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页" sheetId="1" state="visible" r:id="rId1"/>
    <sheet xmlns:r="http://schemas.openxmlformats.org/officeDocument/2006/relationships" name="资金流水" sheetId="2" state="visible" r:id="rId2"/>
    <sheet xmlns:r="http://schemas.openxmlformats.org/officeDocument/2006/relationships" name="应付登记" sheetId="3" state="visible" r:id="rId3"/>
    <sheet xmlns:r="http://schemas.openxmlformats.org/officeDocument/2006/relationships" name="考勤工资" sheetId="4" state="visible" r:id="rId4"/>
    <sheet xmlns:r="http://schemas.openxmlformats.org/officeDocument/2006/relationships" name="发票登记" sheetId="5" state="visible" r:id="rId5"/>
    <sheet xmlns:r="http://schemas.openxmlformats.org/officeDocument/2006/relationships" name="收入确认" sheetId="6" state="visible" r:id="rId6"/>
    <sheet xmlns:r="http://schemas.openxmlformats.org/officeDocument/2006/relationships" name="代发抵账" sheetId="7" state="visible" r:id="rId7"/>
    <sheet xmlns:r="http://schemas.openxmlformats.org/officeDocument/2006/relationships" name="项目档案" sheetId="8" state="visible" r:id="rId8"/>
    <sheet xmlns:r="http://schemas.openxmlformats.org/officeDocument/2006/relationships" name="往来单位" sheetId="9" state="visible" r:id="rId9"/>
    <sheet xmlns:r="http://schemas.openxmlformats.org/officeDocument/2006/relationships" name="工资标准" sheetId="10" state="visible" r:id="rId10"/>
    <sheet xmlns:r="http://schemas.openxmlformats.org/officeDocument/2006/relationships" name="期初余额" sheetId="11" state="visible" r:id="rId11"/>
    <sheet xmlns:r="http://schemas.openxmlformats.org/officeDocument/2006/relationships" name="基础资料" sheetId="12" state="visible" r:id="rId12"/>
    <sheet xmlns:r="http://schemas.openxmlformats.org/officeDocument/2006/relationships" name="账户明细" sheetId="13" state="visible" r:id="rId13"/>
    <sheet xmlns:r="http://schemas.openxmlformats.org/officeDocument/2006/relationships" name="资金报表" sheetId="14" state="visible" r:id="rId14"/>
    <sheet xmlns:r="http://schemas.openxmlformats.org/officeDocument/2006/relationships" name="应收账款总表" sheetId="15" state="visible" r:id="rId15"/>
    <sheet xmlns:r="http://schemas.openxmlformats.org/officeDocument/2006/relationships" name="应付账款总表" sheetId="16" state="visible" r:id="rId16"/>
    <sheet xmlns:r="http://schemas.openxmlformats.org/officeDocument/2006/relationships" name="个人往来" sheetId="17" state="visible" r:id="rId17"/>
    <sheet xmlns:r="http://schemas.openxmlformats.org/officeDocument/2006/relationships" name="工资表" sheetId="18" state="visible" r:id="rId18"/>
    <sheet xmlns:r="http://schemas.openxmlformats.org/officeDocument/2006/relationships" name="工资汇总" sheetId="19" state="visible" r:id="rId19"/>
    <sheet xmlns:r="http://schemas.openxmlformats.org/officeDocument/2006/relationships" name="用工成本表" sheetId="20" state="visible" r:id="rId20"/>
    <sheet xmlns:r="http://schemas.openxmlformats.org/officeDocument/2006/relationships" name="发票统计" sheetId="21" state="visible" r:id="rId21"/>
    <sheet xmlns:r="http://schemas.openxmlformats.org/officeDocument/2006/relationships" name="项目账" sheetId="22" state="visible" r:id="rId22"/>
    <sheet xmlns:r="http://schemas.openxmlformats.org/officeDocument/2006/relationships" name="项目利润表" sheetId="23" state="visible" r:id="rId23"/>
    <sheet xmlns:r="http://schemas.openxmlformats.org/officeDocument/2006/relationships" name="费用分摊" sheetId="24" state="visible" r:id="rId24"/>
    <sheet xmlns:r="http://schemas.openxmlformats.org/officeDocument/2006/relationships" name="利润表" sheetId="25" state="visible" r:id="rId25"/>
    <sheet xmlns:r="http://schemas.openxmlformats.org/officeDocument/2006/relationships" name="资产负债表" sheetId="26" state="visible" r:id="rId26"/>
    <sheet xmlns:r="http://schemas.openxmlformats.org/officeDocument/2006/relationships" name="盈亏平衡表" sheetId="27" state="visible" r:id="rId27"/>
    <sheet xmlns:r="http://schemas.openxmlformats.org/officeDocument/2006/relationships" name="数据校验" sheetId="28" state="visible" r:id="rId28"/>
    <sheet xmlns:r="http://schemas.openxmlformats.org/officeDocument/2006/relationships" name="_月汇总" sheetId="29" state="hidden" r:id="rId29"/>
    <sheet xmlns:r="http://schemas.openxmlformats.org/officeDocument/2006/relationships" name="_项目汇总" sheetId="30" state="hidden" r:id="rId30"/>
    <sheet xmlns:r="http://schemas.openxmlformats.org/officeDocument/2006/relationships" name="_余额" sheetId="31" state="hidden" r:id="rId31"/>
    <sheet xmlns:r="http://schemas.openxmlformats.org/officeDocument/2006/relationships" name="_辅助" sheetId="32" state="hidden" r:id="rId32"/>
  </sheets>
  <definedNames>
    <definedName name="_xlnm._FilterDatabase" localSheetId="1" hidden="1">'资金流水'!$A$5:$P$2005</definedName>
    <definedName name="_xlnm.Print_Titles" localSheetId="1">'资金流水'!$5:$5</definedName>
    <definedName name="_xlnm._FilterDatabase" localSheetId="2" hidden="1">'应付登记'!$A$4:$K$1004</definedName>
    <definedName name="_xlnm.Print_Titles" localSheetId="2">'应付登记'!$4:$4</definedName>
    <definedName name="_xlnm._FilterDatabase" localSheetId="3" hidden="1">'考勤工资'!$A$4:$X$1004</definedName>
    <definedName name="_xlnm.Print_Titles" localSheetId="3">'考勤工资'!$4:$4</definedName>
    <definedName name="_xlnm._FilterDatabase" localSheetId="4" hidden="1">'发票登记'!$A$4:$W$1004</definedName>
    <definedName name="_xlnm.Print_Titles" localSheetId="4">'发票登记'!$4:$4</definedName>
    <definedName name="_xlnm._FilterDatabase" localSheetId="5" hidden="1">'收入确认'!$A$4:$I$204</definedName>
    <definedName name="_xlnm._FilterDatabase" localSheetId="7" hidden="1">'项目档案'!$A$3:$T$63</definedName>
    <definedName name="_xlnm._FilterDatabase" localSheetId="8" hidden="1">'往来单位'!$A$3:$N$303</definedName>
    <definedName name="_xlnm._FilterDatabase" localSheetId="9" hidden="1">'工资标准'!$A$3:$G$303</definedName>
    <definedName name="_xlnm.Print_Titles" localSheetId="12">'账户明细'!$7:$7</definedName>
    <definedName name="_xlnm._FilterDatabase" localSheetId="14" hidden="1">'应收账款总表'!$A$5:$Y$65</definedName>
    <definedName name="_xlnm.Print_Titles" localSheetId="14">'应收账款总表'!$5:$5</definedName>
    <definedName name="_xlnm._FilterDatabase" localSheetId="17" hidden="1">'工资表'!$A$5:$AL$155</definedName>
    <definedName name="_xlnm.Print_Titles" localSheetId="17">'工资表'!$5:$5</definedName>
    <definedName name="_xlnm._FilterDatabase" localSheetId="18" hidden="1">'工资汇总'!$A$5:$AD$205</definedName>
    <definedName name="_xlnm.Print_Titles" localSheetId="18">'工资汇总'!$5:$5</definedName>
    <definedName name="_xlnm.Print_Titles" localSheetId="19">'用工成本表'!$5:$5</definedName>
    <definedName name="_xlnm._FilterDatabase" localSheetId="22" hidden="1">'项目利润表'!$A$5:$AF$66</definedName>
    <definedName name="_xlnm.Print_Titles" localSheetId="22">'项目利润表'!$4:$5</definedName>
    <definedName name="_xlnm.Print_Titles" localSheetId="24">'利润表'!$5:$5</definedName>
    <definedName name="_xlnm.Print_Titles" localSheetId="25">'资产负债表'!$5:$5</definedName>
    <definedName name="_xlnm.Print_Titles" localSheetId="27">'数据校验'!$4:$4</definedName>
  </definedNames>
  <calcPr calcId="191029" fullCalcOnLoad="0"/>
</workbook>
</file>

<file path=xl/styles.xml><?xml version="1.0" encoding="utf-8"?>
<styleSheet xmlns="http://schemas.openxmlformats.org/spreadsheetml/2006/main">
  <numFmts count="16">
    <numFmt numFmtId="164" formatCode="0;-0;&quot;-&quot;"/>
    <numFmt numFmtId="165" formatCode="#,##0.00;[Red]-#,##0.00;&quot;-&quot;"/>
    <numFmt numFmtId="166" formatCode="yyyy/mm/dd"/>
    <numFmt numFmtId="167" formatCode="yyyy&quot;年&quot;m&quot;月&quot;"/>
    <numFmt numFmtId="168" formatCode="0.##"/>
    <numFmt numFmtId="169" formatCode="#,##0.##"/>
    <numFmt numFmtId="170" formatCode="yyyy-mm-dd h:mm:ss"/>
    <numFmt numFmtId="171" formatCode="0.0%"/>
    <numFmt numFmtId="172" formatCode="m/d"/>
    <numFmt numFmtId="173" formatCode="0.0%;[Red]-0.0%;&quot;-&quot;"/>
    <numFmt numFmtId="174" formatCode="0.##;-0.##;&quot;&quot;"/>
    <numFmt numFmtId="175" formatCode="0&quot;/2000&quot;"/>
    <numFmt numFmtId="176" formatCode="0&quot;/1000&quot;"/>
    <numFmt numFmtId="177" formatCode="0&quot;/200&quot;"/>
    <numFmt numFmtId="178" formatCode="0&quot;/300&quot;"/>
    <numFmt numFmtId="179" formatCode="0&quot;/60&quot;"/>
  </numFmts>
  <fonts count="18">
    <font>
      <name val="Calibri"/>
      <family val="2"/>
      <color theme="1"/>
      <sz val="11"/>
      <scheme val="minor"/>
    </font>
    <font>
      <name val="微软雅黑"/>
      <b val="1"/>
      <color rgb="FFFFFFFF"/>
      <sz val="16"/>
    </font>
    <font>
      <name val="微软雅黑"/>
      <color rgb="FFFF6600"/>
      <sz val="10"/>
    </font>
    <font>
      <name val="微软雅黑"/>
      <b val="1"/>
      <color rgb="FF1F3864"/>
      <sz val="10"/>
    </font>
    <font>
      <name val="微软雅黑"/>
      <b val="1"/>
      <color rgb="FFC00000"/>
      <sz val="13"/>
    </font>
    <font>
      <name val="微软雅黑"/>
      <color rgb="FF808080"/>
      <sz val="9"/>
    </font>
    <font>
      <name val="微软雅黑"/>
      <b val="1"/>
      <color rgb="FFFFFFFF"/>
      <sz val="11"/>
    </font>
    <font>
      <name val="微软雅黑"/>
      <b val="1"/>
      <color rgb="FFFFFFFF"/>
      <sz val="10"/>
    </font>
    <font>
      <name val="微软雅黑"/>
      <color rgb="FFBFBFBF"/>
      <sz val="8"/>
    </font>
    <font>
      <name val="微软雅黑"/>
      <color rgb="FF404040"/>
      <sz val="10"/>
    </font>
    <font>
      <name val="微软雅黑"/>
      <color rgb="FF1F4E79"/>
      <sz val="10"/>
    </font>
    <font>
      <name val="微软雅黑"/>
      <b val="1"/>
      <color rgb="FF000000"/>
      <sz val="10"/>
    </font>
    <font>
      <name val="微软雅黑"/>
      <color rgb="FF000000"/>
      <sz val="10"/>
    </font>
    <font>
      <name val="微软雅黑"/>
      <b val="1"/>
      <color rgb="FF0563C1"/>
      <sz val="10"/>
      <u val="single"/>
    </font>
    <font>
      <name val="微软雅黑"/>
      <b val="1"/>
      <color rgb="FF000000"/>
      <sz val="11"/>
    </font>
    <font>
      <name val="微软雅黑"/>
      <b val="1"/>
      <color rgb="FFC00000"/>
      <sz val="10"/>
    </font>
    <font>
      <name val="微软雅黑"/>
      <color rgb="FF0563C1"/>
      <sz val="10"/>
      <u val="single"/>
    </font>
    <font>
      <name val="微软雅黑"/>
      <b val="1"/>
      <color rgb="FF1F3864"/>
      <sz val="10"/>
      <u val="single"/>
    </font>
  </fonts>
  <fills count="23">
    <fill>
      <patternFill/>
    </fill>
    <fill>
      <patternFill patternType="gray125"/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305496"/>
      </patternFill>
    </fill>
    <fill>
      <patternFill patternType="solid">
        <fgColor rgb="FF7F7F7F"/>
      </patternFill>
    </fill>
    <fill>
      <patternFill patternType="solid">
        <fgColor rgb="FFBF8F00"/>
      </patternFill>
    </fill>
    <fill>
      <patternFill patternType="solid">
        <fgColor rgb="FFF2F2F2"/>
      </patternFill>
    </fill>
    <fill>
      <patternFill patternType="solid">
        <fgColor rgb="FFFFF7E0"/>
      </patternFill>
    </fill>
    <fill>
      <patternFill patternType="solid">
        <fgColor rgb="FF1F3864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EAF1FB"/>
      </patternFill>
    </fill>
    <fill>
      <patternFill patternType="solid">
        <fgColor rgb="FF375623"/>
      </patternFill>
    </fill>
    <fill>
      <patternFill patternType="solid">
        <fgColor rgb="FF595959"/>
      </patternFill>
    </fill>
    <fill>
      <patternFill patternType="solid">
        <fgColor rgb="FFFCE4D6"/>
      </patternFill>
    </fill>
    <fill>
      <patternFill patternType="solid">
        <fgColor rgb="FF833C0C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C65911"/>
      </patternFill>
    </fill>
    <fill>
      <patternFill patternType="solid">
        <fgColor rgb="FFC000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1" fillId="10" borderId="0" applyAlignment="1" pivotButton="0" quotePrefix="0" xfId="0">
      <alignment horizontal="center" vertical="center"/>
    </xf>
    <xf numFmtId="0" fontId="8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1" fontId="14" fillId="19" borderId="1" applyAlignment="1" applyProtection="1" pivotButton="0" quotePrefix="0" xfId="0">
      <alignment horizontal="center" vertical="center"/>
      <protection locked="0" hidden="0"/>
    </xf>
    <xf numFmtId="166" fontId="14" fillId="19" borderId="1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horizontal="left" vertical="center"/>
    </xf>
    <xf numFmtId="0" fontId="15" fillId="3" borderId="1" applyAlignment="1" applyProtection="1" pivotButton="0" quotePrefix="0" xfId="0">
      <alignment horizontal="left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6" fillId="10" borderId="1" applyAlignment="1" pivotButton="0" quotePrefix="0" xfId="0">
      <alignment horizontal="left" vertical="center"/>
    </xf>
    <xf numFmtId="0" fontId="0" fillId="0" borderId="1" pivotButton="0" quotePrefix="0" xfId="0"/>
    <xf numFmtId="0" fontId="17" fillId="4" borderId="1" applyAlignment="1" pivotButton="0" quotePrefix="0" xfId="0">
      <alignment horizontal="center" vertical="center"/>
    </xf>
    <xf numFmtId="165" fontId="4" fillId="18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6" fillId="22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73" fontId="9" fillId="0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21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13" fillId="18" borderId="0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/>
    </xf>
    <xf numFmtId="166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165" fontId="10" fillId="9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/>
    </xf>
    <xf numFmtId="9" fontId="10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7" fontId="10" fillId="9" borderId="1" applyAlignment="1" pivotButton="0" quotePrefix="0" xfId="0">
      <alignment horizontal="center" vertical="center"/>
    </xf>
    <xf numFmtId="168" fontId="10" fillId="9" borderId="1" applyAlignment="1" pivotButton="0" quotePrefix="0" xfId="0">
      <alignment horizontal="center" vertical="center"/>
    </xf>
    <xf numFmtId="169" fontId="10" fillId="9" borderId="1" applyAlignment="1" pivotButton="0" quotePrefix="0" xfId="0">
      <alignment horizontal="center" vertical="center"/>
    </xf>
    <xf numFmtId="165" fontId="10" fillId="9" borderId="1" applyAlignment="1" pivotButton="0" quotePrefix="0" xfId="0">
      <alignment horizontal="center" vertical="center"/>
    </xf>
    <xf numFmtId="168" fontId="9" fillId="8" borderId="1" applyAlignment="1" pivotButton="0" quotePrefix="0" xfId="0">
      <alignment horizontal="center" vertical="center"/>
    </xf>
    <xf numFmtId="169" fontId="9" fillId="8" borderId="1" applyAlignment="1" pivotButton="0" quotePrefix="0" xfId="0">
      <alignment horizontal="center" vertical="center"/>
    </xf>
    <xf numFmtId="165" fontId="9" fillId="8" borderId="1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/>
    </xf>
    <xf numFmtId="49" fontId="10" fillId="13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left" vertical="center"/>
    </xf>
    <xf numFmtId="170" fontId="10" fillId="13" borderId="1" applyAlignment="1" pivotButton="0" quotePrefix="0" xfId="0">
      <alignment horizontal="center" vertical="center"/>
    </xf>
    <xf numFmtId="165" fontId="10" fillId="13" borderId="1" applyAlignment="1" pivotButton="0" quotePrefix="0" xfId="0">
      <alignment horizontal="right" vertical="center"/>
    </xf>
    <xf numFmtId="0" fontId="1" fillId="14" borderId="0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 wrapText="1"/>
    </xf>
    <xf numFmtId="165" fontId="3" fillId="8" borderId="1" applyAlignment="1" pivotButton="0" quotePrefix="0" xfId="0">
      <alignment horizontal="right" vertical="center"/>
    </xf>
    <xf numFmtId="49" fontId="10" fillId="9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0" fontId="11" fillId="16" borderId="1" applyAlignment="1" pivotButton="0" quotePrefix="0" xfId="0">
      <alignment horizontal="center" vertical="center"/>
    </xf>
    <xf numFmtId="165" fontId="3" fillId="16" borderId="1" applyAlignment="1" pivotButton="0" quotePrefix="0" xfId="0">
      <alignment horizontal="right" vertical="center"/>
    </xf>
    <xf numFmtId="0" fontId="6" fillId="15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49" fontId="10" fillId="9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10" fontId="10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71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4" fillId="19" borderId="1" applyAlignment="1" applyProtection="1" pivotButton="0" quotePrefix="0" xfId="0">
      <alignment horizontal="center" vertical="center"/>
      <protection locked="0" hidden="0"/>
    </xf>
    <xf numFmtId="0" fontId="5" fillId="0" borderId="0" pivotButton="0" quotePrefix="0" xfId="0"/>
    <xf numFmtId="0" fontId="15" fillId="0" borderId="0" pivotButton="0" quotePrefix="0" xfId="0"/>
    <xf numFmtId="166" fontId="9" fillId="8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66" fontId="3" fillId="8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9" fillId="20" borderId="1" pivotButton="0" quotePrefix="0" xfId="0"/>
    <xf numFmtId="0" fontId="11" fillId="20" borderId="1" applyAlignment="1" pivotButton="0" quotePrefix="0" xfId="0">
      <alignment horizontal="left" vertical="center"/>
    </xf>
    <xf numFmtId="165" fontId="3" fillId="20" borderId="1" applyAlignment="1" pivotButton="0" quotePrefix="0" xfId="0">
      <alignment horizontal="right" vertical="center"/>
    </xf>
    <xf numFmtId="172" fontId="9" fillId="8" borderId="1" applyAlignment="1" pivotButton="0" quotePrefix="0" xfId="0">
      <alignment horizontal="center" vertical="center"/>
    </xf>
    <xf numFmtId="0" fontId="9" fillId="16" borderId="1" pivotButton="0" quotePrefix="0" xfId="0"/>
    <xf numFmtId="173" fontId="9" fillId="8" borderId="1" applyAlignment="1" pivotButton="0" quotePrefix="0" xfId="0">
      <alignment horizontal="center" vertical="center"/>
    </xf>
    <xf numFmtId="0" fontId="0" fillId="16" borderId="1" pivotButton="0" quotePrefix="0" xfId="0"/>
    <xf numFmtId="164" fontId="9" fillId="0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left" vertical="center"/>
    </xf>
    <xf numFmtId="164" fontId="3" fillId="16" borderId="1" applyAlignment="1" pivotButton="0" quotePrefix="0" xfId="0">
      <alignment horizontal="center" vertical="center"/>
    </xf>
    <xf numFmtId="173" fontId="3" fillId="16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/>
    </xf>
    <xf numFmtId="0" fontId="11" fillId="0" borderId="0" pivotButton="0" quotePrefix="0" xfId="0"/>
    <xf numFmtId="0" fontId="3" fillId="8" borderId="1" applyAlignment="1" pivotButton="0" quotePrefix="0" xfId="0">
      <alignment horizontal="center" vertical="center"/>
    </xf>
    <xf numFmtId="167" fontId="14" fillId="19" borderId="1" applyAlignment="1" applyProtection="1" pivotButton="0" quotePrefix="0" xfId="0">
      <alignment horizontal="center" vertical="center"/>
      <protection locked="0" hidden="0"/>
    </xf>
    <xf numFmtId="167" fontId="3" fillId="8" borderId="1" applyAlignment="1" pivotButton="0" quotePrefix="0" xfId="0">
      <alignment horizontal="center" vertical="center"/>
    </xf>
    <xf numFmtId="174" fontId="3" fillId="16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left" vertical="center"/>
    </xf>
    <xf numFmtId="174" fontId="9" fillId="0" borderId="1" applyAlignment="1" pivotButton="0" quotePrefix="0" xfId="0">
      <alignment horizontal="center" vertical="center"/>
    </xf>
    <xf numFmtId="169" fontId="9" fillId="0" borderId="1" applyAlignment="1" pivotButton="0" quotePrefix="0" xfId="0">
      <alignment horizontal="center" vertical="center"/>
    </xf>
    <xf numFmtId="168" fontId="3" fillId="16" borderId="1" applyAlignment="1" pivotButton="0" quotePrefix="0" xfId="0">
      <alignment horizontal="right" vertical="center"/>
    </xf>
    <xf numFmtId="0" fontId="15" fillId="16" borderId="1" pivotButton="0" quotePrefix="0" xfId="0"/>
    <xf numFmtId="0" fontId="7" fillId="11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4" fontId="3" fillId="16" borderId="1" applyAlignment="1" pivotButton="0" quotePrefix="0" xfId="0">
      <alignment horizontal="right" vertical="center"/>
    </xf>
    <xf numFmtId="0" fontId="1" fillId="21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center" vertical="center" wrapText="1"/>
    </xf>
    <xf numFmtId="9" fontId="3" fillId="8" borderId="1" applyAlignment="1" pivotButton="0" quotePrefix="0" xfId="0">
      <alignment horizontal="center" vertical="center"/>
    </xf>
    <xf numFmtId="173" fontId="3" fillId="8" borderId="1" applyAlignment="1" pivotButton="0" quotePrefix="0" xfId="0">
      <alignment horizontal="center" vertical="center"/>
    </xf>
    <xf numFmtId="173" fontId="5" fillId="0" borderId="1" applyAlignment="1" pivotButton="0" quotePrefix="0" xfId="0">
      <alignment horizontal="center" vertical="center"/>
    </xf>
    <xf numFmtId="173" fontId="5" fillId="20" borderId="1" applyAlignment="1" pivotButton="0" quotePrefix="0" xfId="0">
      <alignment horizontal="center" vertical="center"/>
    </xf>
    <xf numFmtId="173" fontId="9" fillId="0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168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173" fontId="10" fillId="9" borderId="1" applyAlignment="1" applyProtection="1" pivotButton="0" quotePrefix="0" xfId="0">
      <alignment horizontal="center" vertical="center"/>
      <protection locked="0" hidden="0"/>
    </xf>
    <xf numFmtId="173" fontId="3" fillId="0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173" fontId="5" fillId="16" borderId="1" applyAlignment="1" pivotButton="0" quotePrefix="0" xfId="0">
      <alignment horizontal="center" vertical="center"/>
    </xf>
    <xf numFmtId="173" fontId="3" fillId="16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5" fontId="10" fillId="9" borderId="1" applyAlignment="1" applyProtection="1" pivotButton="0" quotePrefix="0" xfId="0">
      <alignment horizontal="right" vertical="center"/>
      <protection locked="0" hidden="0"/>
    </xf>
    <xf numFmtId="173" fontId="3" fillId="8" borderId="1" applyAlignment="1" pivotButton="0" quotePrefix="0" xfId="0">
      <alignment horizontal="right" vertical="center"/>
    </xf>
    <xf numFmtId="173" fontId="10" fillId="9" borderId="1" applyAlignment="1" applyProtection="1" pivotButton="0" quotePrefix="0" xfId="0">
      <alignment horizontal="right" vertical="center"/>
      <protection locked="0" hidden="0"/>
    </xf>
    <xf numFmtId="173" fontId="4" fillId="8" borderId="1" applyAlignment="1" pivotButton="0" quotePrefix="0" xfId="0">
      <alignment horizontal="right" vertical="center"/>
    </xf>
    <xf numFmtId="0" fontId="1" fillId="17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75" fontId="3" fillId="8" borderId="1" applyAlignment="1" pivotButton="0" quotePrefix="0" xfId="0">
      <alignment horizontal="right" vertical="center"/>
    </xf>
    <xf numFmtId="176" fontId="3" fillId="8" borderId="1" applyAlignment="1" pivotButton="0" quotePrefix="0" xfId="0">
      <alignment horizontal="right" vertical="center"/>
    </xf>
    <xf numFmtId="177" fontId="3" fillId="8" borderId="1" applyAlignment="1" pivotButton="0" quotePrefix="0" xfId="0">
      <alignment horizontal="right" vertical="center"/>
    </xf>
    <xf numFmtId="178" fontId="3" fillId="8" borderId="1" applyAlignment="1" pivotButton="0" quotePrefix="0" xfId="0">
      <alignment horizontal="right" vertical="center"/>
    </xf>
    <xf numFmtId="179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dxfs count="11">
    <dxf>
      <font>
        <name val="微软雅黑"/>
        <b val="1"/>
        <color rgb="FF00B050"/>
        <sz val="13"/>
      </font>
    </dxf>
    <dxf>
      <font>
        <name val="微软雅黑"/>
        <b val="1"/>
        <color rgb="FFC00000"/>
        <sz val="10"/>
      </font>
    </dxf>
    <dxf>
      <font>
        <name val="微软雅黑"/>
        <b val="1"/>
        <color rgb="FFC00000"/>
        <sz val="10"/>
      </font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ont>
        <name val="微软雅黑"/>
        <b val="1"/>
        <color rgb="FF00B050"/>
        <sz val="10"/>
      </font>
    </dxf>
    <dxf>
      <font>
        <name val="微软雅黑"/>
        <b val="1"/>
        <color rgb="FF0070C0"/>
        <sz val="10"/>
      </font>
    </dxf>
    <dxf>
      <font>
        <name val="微软雅黑"/>
        <color rgb="FFC00000"/>
        <sz val="10"/>
      </font>
    </dxf>
    <dxf>
      <fill>
        <patternFill patternType="solid">
          <fgColor rgb="FFEAF1FB"/>
        </patternFill>
      </fill>
    </dxf>
    <dxf>
      <font>
        <name val="微软雅黑"/>
        <color rgb="FFBFBFBF"/>
        <sz val="10"/>
      </font>
    </dxf>
    <dxf>
      <fill>
        <patternFill patternType="solid">
          <fgColor rgb="FFF2F2F2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Z60"/>
  <sheetViews>
    <sheetView showGridLines="0" tabSelected="1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5" customWidth="1" min="3" max="3"/>
    <col width="3" customWidth="1" min="4" max="4"/>
    <col width="16" customWidth="1" min="5" max="5"/>
    <col width="15" customWidth="1" min="6" max="6"/>
    <col width="3" customWidth="1" min="7" max="7"/>
    <col width="16" customWidth="1" min="8" max="8"/>
    <col width="15" customWidth="1" min="9" max="9"/>
    <col width="3" customWidth="1" min="10" max="10"/>
    <col width="16" customWidth="1" min="11" max="11"/>
    <col width="15" customWidth="1" min="12" max="12"/>
    <col hidden="1" width="13" customWidth="1" min="26" max="26"/>
  </cols>
  <sheetData>
    <row r="1" ht="33" customHeight="1">
      <c r="A1" s="1" t="str">
        <f>基础资料!$C$5&amp;" · 建筑安装财务模板（消防改造 · 水电安装 · 强弱电）"</f>
        <v>竣辉 · 建筑安装财务模板（消防改造 · 水电安装 · 强弱电）</v>
      </c>
      <c r="Z1" s="2">
        <f>IF(AND(项目利润表!$B$7&lt;&gt;"",OR(N(项目利润表!$Q$7)&lt;&gt;0,N(项目利润表!$R$7)+N(项目利润表!$S$7)+N(项目利润表!$T$7)+N(项目利润表!$U$7)+N(项目利润表!$V$7)&lt;&gt;0)),N(项目利润表!$Z$7)+(61-1)/10000000,"")</f>
        <v>504646.350006</v>
      </c>
    </row>
    <row r="2" ht="38" customHeight="1">
      <c r="A2" s="3" t="inlineStr">
        <is>
          <t>💡 平时只录蓝色那几张（资金流水、应付登记、考勤工资、发票、收入确认、代发抵账），其余全是自动的。下面黄格子选报表年度和截止月份（选那个月任意一天，报表都算到月底；空着＝最后一笔流水那个月），所有报表跟着变。</t>
        </is>
      </c>
      <c r="Z2" s="2">
        <f>IF(AND(项目利润表!$B$8&lt;&gt;"",OR(N(项目利润表!$Q$8)&lt;&gt;0,N(项目利润表!$R$8)+N(项目利润表!$S$8)+N(项目利润表!$T$8)+N(项目利润表!$U$8)+N(项目利润表!$V$8)&lt;&gt;0)),N(项目利润表!$Z$8)+(61-2)/10000000,"")</f>
        <v>522827.0400059</v>
      </c>
    </row>
    <row r="3">
      <c r="Z3" s="2">
        <f>IF(AND(项目利润表!$B$9&lt;&gt;"",OR(N(项目利润表!$Q$9)&lt;&gt;0,N(项目利润表!$R$9)+N(项目利润表!$S$9)+N(项目利润表!$T$9)+N(项目利润表!$U$9)+N(项目利润表!$V$9)&lt;&gt;0)),N(项目利润表!$Z$9)+(61-3)/10000000,"")</f>
        <v>1099488.5600058</v>
      </c>
    </row>
    <row r="4">
      <c r="B4" s="4" t="inlineStr">
        <is>
          <t>报表年度</t>
        </is>
      </c>
      <c r="C4" s="5" t="n">
        <v>2026</v>
      </c>
      <c r="E4" s="4" t="inlineStr">
        <is>
          <t>截止月份</t>
        </is>
      </c>
      <c r="F4" s="6" t="n"/>
      <c r="H4" s="7" t="str">
        <f>IF(N(C4)&lt;_辅助!$J$6,"⚠ 早于建账年（"&amp;_辅助!$J$6&amp;"），没有数","报表到："&amp;TEXT(_辅助!$J$9,"yyyy年m月d日")&amp;"（截止日所在月的月底；最后一笔流水 "&amp;TEXT(_辅助!$J$10,"m月d日")&amp;"）")</f>
        <v>报表到：2026年8月31日（截止日所在月的月底；最后一笔流水 8月28日）</v>
      </c>
      <c r="Z4" s="2">
        <f>IF(AND(项目利润表!$B$10&lt;&gt;"",OR(N(项目利润表!$Q$10)&lt;&gt;0,N(项目利润表!$R$10)+N(项目利润表!$S$10)+N(项目利润表!$T$10)+N(项目利润表!$U$10)+N(项目利润表!$V$10)&lt;&gt;0)),N(项目利润表!$Z$10)+(61-4)/10000000,"")</f>
        <v>211042.5500057</v>
      </c>
    </row>
    <row r="5" ht="64" customHeight="1">
      <c r="B5" s="8" t="inlineStr">
        <is>
          <t>⚠ 现在表里是你原表的数（演示用）：原表只有「累计」数，建账日定在 2026-03-01，以前的都当期初；2026 年只有德安农商行总部录了产值确认，其他项目 3 月以后的产值确认、5～8 月的考勤都还没录，所以本年利润表只有成本、收入很少，工人显示「多发了」。补录【收入确认】【考勤工资】后就准了。正式用之前，看说明里「开始用自己的账」清空这几张表。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10" t="n"/>
      <c r="Z5" s="2">
        <f>IF(AND(项目利润表!$B$11&lt;&gt;"",OR(N(项目利润表!$Q$11)&lt;&gt;0,N(项目利润表!$R$11)+N(项目利润表!$S$11)+N(项目利润表!$T$11)+N(项目利润表!$U$11)+N(项目利润表!$V$11)&lt;&gt;0)),N(项目利润表!$Z$11)+(61-5)/10000000,"")</f>
        <v>1084.4100056</v>
      </c>
    </row>
    <row r="6">
      <c r="B6" s="11" t="inlineStr">
        <is>
          <t>关键数（到截止月底）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Z6" s="2">
        <f>IF(AND(项目利润表!$B$12&lt;&gt;"",OR(N(项目利润表!$Q$12)&lt;&gt;0,N(项目利润表!$R$12)+N(项目利润表!$S$12)+N(项目利润表!$T$12)+N(项目利润表!$U$12)+N(项目利润表!$V$12)&lt;&gt;0)),N(项目利润表!$Z$12)+(61-6)/10000000,"")</f>
        <v>111782.4400055</v>
      </c>
    </row>
    <row r="7">
      <c r="B7" s="13" t="str">
        <f>HYPERLINK("#'利润表'!A1","本年确认产值")</f>
        <v>本年确认产值</v>
      </c>
      <c r="C7" s="10" t="n"/>
      <c r="E7" s="13" t="str">
        <f>HYPERLINK("#'利润表'!A1","本年净利润")</f>
        <v>本年净利润</v>
      </c>
      <c r="F7" s="10" t="n"/>
      <c r="H7" s="13" t="str">
        <f>HYPERLINK("#'资金报表'!A1","银行＋现金余额")</f>
        <v>银行＋现金余额</v>
      </c>
      <c r="I7" s="10" t="n"/>
      <c r="K7" s="13" t="str">
        <f>HYPERLINK("#'应收账款总表'!A1","甲方还欠（应收净额）")</f>
        <v>甲方还欠（应收净额）</v>
      </c>
      <c r="L7" s="10" t="n"/>
      <c r="Z7" s="2">
        <f>IF(AND(项目利润表!$B$13&lt;&gt;"",OR(N(项目利润表!$Q$13)&lt;&gt;0,N(项目利润表!$R$13)+N(项目利润表!$S$13)+N(项目利润表!$T$13)+N(项目利润表!$U$13)+N(项目利润表!$V$13)&lt;&gt;0)),N(项目利润表!$Z$13)+(61-7)/10000000,"")</f>
        <v>241332.2800054</v>
      </c>
    </row>
    <row r="8" ht="26" customHeight="1">
      <c r="B8" s="14">
        <f>_月汇总!$O$3</f>
        <v>8992</v>
      </c>
      <c r="C8" s="10" t="n"/>
      <c r="E8" s="14">
        <f>_月汇总!$O$3+_月汇总!$O$22-(_月汇总!$O$4+_月汇总!$O$5+_月汇总!$O$6+_月汇总!$O$7+_月汇总!$O$8+_月汇总!$O$9+_月汇总!$O$10+_月汇总!$O$11+_月汇总!$O$12+_月汇总!$O$13+_月汇总!$O$14+_月汇总!$O$15+_月汇总!$O$16+_月汇总!$O$17+_月汇总!$O$18+_月汇总!$O$19+_月汇总!$O$20+_月汇总!$O$21+_月汇总!$O$23+_月汇总!$O$24+_月汇总!$O$25)</f>
        <v>-506604.5924</v>
      </c>
      <c r="F8" s="10" t="n"/>
      <c r="H8" s="14">
        <f>资产负债表!$B$6</f>
        <v>690444.46</v>
      </c>
      <c r="I8" s="10" t="n"/>
      <c r="K8" s="14">
        <f>SUM(_项目汇总!$AV$3:$AV$62)</f>
        <v>3327665.06</v>
      </c>
      <c r="L8" s="10" t="n"/>
      <c r="Z8" s="2">
        <f>IF(AND(项目利润表!$B$14&lt;&gt;"",OR(N(项目利润表!$Q$14)&lt;&gt;0,N(项目利润表!$R$14)+N(项目利润表!$S$14)+N(项目利润表!$T$14)+N(项目利润表!$U$14)+N(项目利润表!$V$14)&lt;&gt;0)),N(项目利润表!$Z$14)+(61-8)/10000000,"")</f>
        <v>62175.0800053</v>
      </c>
    </row>
    <row r="9">
      <c r="B9" s="13" t="str">
        <f>HYPERLINK("#'应付账款总表'!A1","欠材料分包机械（应付净额）")</f>
        <v>欠材料分包机械（应付净额）</v>
      </c>
      <c r="C9" s="10" t="n"/>
      <c r="E9" s="13" t="str">
        <f>HYPERLINK("#'工资汇总'!A1","欠工资（净额，含管理人员）")</f>
        <v>欠工资（净额，含管理人员）</v>
      </c>
      <c r="F9" s="10" t="n"/>
      <c r="H9" s="13" t="str">
        <f>HYPERLINK("#'个人往来'!A1","公司欠老板/负责人（个人户）")</f>
        <v>公司欠老板/负责人（个人户）</v>
      </c>
      <c r="I9" s="10" t="n"/>
      <c r="K9" s="13" t="str">
        <f>HYPERLINK("#'盈亏平衡表'!A1","全年保本产值")</f>
        <v>全年保本产值</v>
      </c>
      <c r="L9" s="10" t="n"/>
      <c r="Z9" s="2">
        <f>IF(AND(项目利润表!$B$15&lt;&gt;"",OR(N(项目利润表!$Q$15)&lt;&gt;0,N(项目利润表!$R$15)+N(项目利润表!$S$15)+N(项目利润表!$T$15)+N(项目利润表!$U$15)+N(项目利润表!$V$15)&lt;&gt;0)),N(项目利润表!$Z$15)+(61-9)/10000000,"")</f>
        <v>510758.9600052</v>
      </c>
    </row>
    <row r="10" ht="26" customHeight="1">
      <c r="B10" s="14">
        <f>SUM(_余额!$C$3:$C$302)</f>
        <v>403773.38</v>
      </c>
      <c r="C10" s="10" t="n"/>
      <c r="E10" s="14">
        <f>SUM(_余额!$E$3:$E$302)</f>
        <v>5312.59</v>
      </c>
      <c r="F10" s="10" t="n"/>
      <c r="H10" s="14">
        <f>-SUMIFS(_余额!$S$3:$S$22,_余额!$Q$3:$Q$22,"个人户")</f>
        <v>283527.6</v>
      </c>
      <c r="I10" s="10" t="n"/>
      <c r="K10" s="14">
        <f>盈亏平衡表!$C$16</f>
        <v>526119.200077937</v>
      </c>
      <c r="L10" s="10" t="n"/>
      <c r="Z10" s="2">
        <f>IF(AND(项目利润表!$B$16&lt;&gt;"",OR(N(项目利润表!$Q$16)&lt;&gt;0,N(项目利润表!$R$16)+N(项目利润表!$S$16)+N(项目利润表!$T$16)+N(项目利润表!$U$16)+N(项目利润表!$V$16)&lt;&gt;0)),N(项目利润表!$Z$16)+(61-10)/10000000,"")</f>
        <v>5965.2100051</v>
      </c>
    </row>
    <row r="11">
      <c r="B11" s="7" t="str">
        <f>"安全边际："&amp;IF(ISNUMBER(盈亏平衡表!$C$22),TEXT(盈亏平衡表!$C$22,"0%"),"-")&amp;"　　"&amp;盈亏平衡表!$C$24</f>
        <v>安全边际：-2825%　　照现在的速度，今年产值约 2 万，还差 51 万产值才保本</v>
      </c>
      <c r="Z11" s="2">
        <f>IF(AND(项目利润表!$B$17&lt;&gt;"",OR(N(项目利润表!$Q$17)&lt;&gt;0,N(项目利润表!$R$17)+N(项目利润表!$S$17)+N(项目利润表!$T$17)+N(项目利润表!$U$17)+N(项目利润表!$V$17)&lt;&gt;0)),N(项目利润表!$Z$17)+(61-11)/10000000,"")</f>
        <v>-9493.869995</v>
      </c>
    </row>
    <row r="12">
      <c r="Z12" s="2">
        <f>IF(AND(项目利润表!$B$18&lt;&gt;"",OR(N(项目利润表!$Q$18)&lt;&gt;0,N(项目利润表!$R$18)+N(项目利润表!$S$18)+N(项目利润表!$T$18)+N(项目利润表!$U$18)+N(项目利润表!$V$18)&lt;&gt;0)),N(项目利润表!$Z$18)+(61-12)/10000000,"")</f>
      </c>
    </row>
    <row r="13">
      <c r="B13" s="15" t="inlineStr">
        <is>
          <t>赚得最多的 5 个项目（开工至今）</t>
        </is>
      </c>
      <c r="C13" s="12" t="n"/>
      <c r="D13" s="12" t="n"/>
      <c r="E13" s="12" t="n"/>
      <c r="F13" s="12" t="n"/>
      <c r="H13" s="16" t="inlineStr">
        <is>
          <t>亏得最多 / 赚得最少的 5 个项目</t>
        </is>
      </c>
      <c r="I13" s="12" t="n"/>
      <c r="J13" s="12" t="n"/>
      <c r="K13" s="12" t="n"/>
      <c r="L13" s="12" t="n"/>
      <c r="Z13" s="2">
        <f>IF(AND(项目利润表!$B$19&lt;&gt;"",OR(N(项目利润表!$Q$19)&lt;&gt;0,N(项目利润表!$R$19)+N(项目利润表!$S$19)+N(项目利润表!$T$19)+N(项目利润表!$U$19)+N(项目利润表!$V$19)&lt;&gt;0)),N(项目利润表!$Z$19)+(61-13)/10000000,"")</f>
      </c>
    </row>
    <row r="14" ht="34" customHeight="1">
      <c r="B14" s="17" t="inlineStr">
        <is>
          <t>项目</t>
        </is>
      </c>
      <c r="C14" s="17" t="inlineStr">
        <is>
          <t>净利</t>
        </is>
      </c>
      <c r="D14" s="10" t="n"/>
      <c r="E14" s="17" t="inlineStr">
        <is>
          <t>确认产值</t>
        </is>
      </c>
      <c r="F14" s="17" t="inlineStr">
        <is>
          <t>净利率</t>
        </is>
      </c>
      <c r="H14" s="18" t="inlineStr">
        <is>
          <t>项目</t>
        </is>
      </c>
      <c r="I14" s="18" t="inlineStr">
        <is>
          <t>净利</t>
        </is>
      </c>
      <c r="J14" s="10" t="n"/>
      <c r="K14" s="18" t="inlineStr">
        <is>
          <t>确认产值</t>
        </is>
      </c>
      <c r="L14" s="18" t="inlineStr">
        <is>
          <t>净利率</t>
        </is>
      </c>
      <c r="Z14" s="2">
        <f>IF(AND(项目利润表!$B$20&lt;&gt;"",OR(N(项目利润表!$Q$20)&lt;&gt;0,N(项目利润表!$R$20)+N(项目利润表!$S$20)+N(项目利润表!$T$20)+N(项目利润表!$U$20)+N(项目利润表!$V$20)&lt;&gt;0)),N(项目利润表!$Z$20)+(61-14)/10000000,"")</f>
        <v>-2499.9999953</v>
      </c>
    </row>
    <row r="15">
      <c r="B15" s="19" t="str">
        <f>IF(IFERROR(MATCH(LARGE($Z$1:$Z$60,1),$Z$1:$Z$60,0),0)=0,"",INDEX(项目利润表!$B$7:$B$66,IFERROR(MATCH(LARGE($Z$1:$Z$60,1),$Z$1:$Z$60,0),0)))</f>
        <v>九安架空层</v>
      </c>
      <c r="C15" s="20">
        <f>IF(IFERROR(MATCH(LARGE($Z$1:$Z$60,1),$Z$1:$Z$60,0),0)=0,"",INDEX(项目利润表!$Z$7:$Z$66,IFERROR(MATCH(LARGE($Z$1:$Z$60,1),$Z$1:$Z$60,0),0)))</f>
        <v>1099488.56</v>
      </c>
      <c r="D15" s="10" t="n"/>
      <c r="E15" s="21">
        <f>IF(IFERROR(MATCH(LARGE($Z$1:$Z$60,1),$Z$1:$Z$60,0),0)=0,"",INDEX(项目利润表!$Q$7:$Q$66,IFERROR(MATCH(LARGE($Z$1:$Z$60,1),$Z$1:$Z$60,0),0)))</f>
        <v>1500000</v>
      </c>
      <c r="F15" s="22">
        <f>IF(IFERROR(MATCH(LARGE($Z$1:$Z$60,1),$Z$1:$Z$60,0),0)=0,"",INDEX(项目利润表!$AA$7:$AA$66,IFERROR(MATCH(LARGE($Z$1:$Z$60,1),$Z$1:$Z$60,0),0)))</f>
        <v>0.732992373333333</v>
      </c>
      <c r="H15" s="19" t="str">
        <f>IF(IF(1&gt;COUNT($Z$1:$Z$60)-5,0,IFERROR(MATCH(SMALL($Z$1:$Z$60,1),$Z$1:$Z$60,0),0))=0,"",INDEX(项目利润表!$B$7:$B$66,IF(1&gt;COUNT($Z$1:$Z$60)-5,0,IFERROR(MATCH(SMALL($Z$1:$Z$60,1),$Z$1:$Z$60,0),0))))</f>
        <v>吴山政府项目</v>
      </c>
      <c r="I15" s="20">
        <f>IF(IF(1&gt;COUNT($Z$1:$Z$60)-5,0,IFERROR(MATCH(SMALL($Z$1:$Z$60,1),$Z$1:$Z$60,0),0))=0,"",INDEX(项目利润表!$Z$7:$Z$66,IF(1&gt;COUNT($Z$1:$Z$60)-5,0,IFERROR(MATCH(SMALL($Z$1:$Z$60,1),$Z$1:$Z$60,0),0))))</f>
        <v>-56647.98</v>
      </c>
      <c r="J15" s="10" t="n"/>
      <c r="K15" s="21">
        <f>IF(IF(1&gt;COUNT($Z$1:$Z$60)-5,0,IFERROR(MATCH(SMALL($Z$1:$Z$60,1),$Z$1:$Z$60,0),0))=0,"",INDEX(项目利润表!$Q$7:$Q$66,IF(1&gt;COUNT($Z$1:$Z$60)-5,0,IFERROR(MATCH(SMALL($Z$1:$Z$60,1),$Z$1:$Z$60,0),0))))</f>
        <v>0</v>
      </c>
      <c r="L15" s="22">
        <f>IF(IF(1&gt;COUNT($Z$1:$Z$60)-5,0,IFERROR(MATCH(SMALL($Z$1:$Z$60,1),$Z$1:$Z$60,0),0))=0,"",INDEX(项目利润表!$AA$7:$AA$66,IF(1&gt;COUNT($Z$1:$Z$60)-5,0,IFERROR(MATCH(SMALL($Z$1:$Z$60,1),$Z$1:$Z$60,0),0))))</f>
      </c>
      <c r="Z15" s="2">
        <f>IF(AND(项目利润表!$B$21&lt;&gt;"",OR(N(项目利润表!$Q$21)&lt;&gt;0,N(项目利润表!$R$21)+N(项目利润表!$S$21)+N(项目利润表!$T$21)+N(项目利润表!$U$21)+N(项目利润表!$V$21)&lt;&gt;0)),N(项目利润表!$Z$21)+(61-15)/10000000,"")</f>
      </c>
    </row>
    <row r="16">
      <c r="B16" s="19" t="str">
        <f>IF(IFERROR(MATCH(LARGE($Z$1:$Z$60,2),$Z$1:$Z$60,0),0)=0,"",INDEX(项目利润表!$B$7:$B$66,IFERROR(MATCH(LARGE($Z$1:$Z$60,2),$Z$1:$Z$60,0),0)))</f>
        <v>科创中心</v>
      </c>
      <c r="C16" s="20">
        <f>IF(IFERROR(MATCH(LARGE($Z$1:$Z$60,2),$Z$1:$Z$60,0),0)=0,"",INDEX(项目利润表!$Z$7:$Z$66,IFERROR(MATCH(LARGE($Z$1:$Z$60,2),$Z$1:$Z$60,0),0)))</f>
        <v>522827.04</v>
      </c>
      <c r="D16" s="10" t="n"/>
      <c r="E16" s="21">
        <f>IF(IFERROR(MATCH(LARGE($Z$1:$Z$60,2),$Z$1:$Z$60,0),0)=0,"",INDEX(项目利润表!$Q$7:$Q$66,IFERROR(MATCH(LARGE($Z$1:$Z$60,2),$Z$1:$Z$60,0),0)))</f>
        <v>1641809</v>
      </c>
      <c r="F16" s="22">
        <f>IF(IFERROR(MATCH(LARGE($Z$1:$Z$60,2),$Z$1:$Z$60,0),0)=0,"",INDEX(项目利润表!$AA$7:$AA$66,IFERROR(MATCH(LARGE($Z$1:$Z$60,2),$Z$1:$Z$60,0),0)))</f>
        <v>0.318445714452777</v>
      </c>
      <c r="H16" s="19" t="str">
        <f>IF(IF(2&gt;COUNT($Z$1:$Z$60)-5,0,IFERROR(MATCH(SMALL($Z$1:$Z$60,2),$Z$1:$Z$60,0),0))=0,"",INDEX(项目利润表!$B$7:$B$66,IF(2&gt;COUNT($Z$1:$Z$60)-5,0,IFERROR(MATCH(SMALL($Z$1:$Z$60,2),$Z$1:$Z$60,0),0))))</f>
        <v>示范园</v>
      </c>
      <c r="I16" s="20">
        <f>IF(IF(2&gt;COUNT($Z$1:$Z$60)-5,0,IFERROR(MATCH(SMALL($Z$1:$Z$60,2),$Z$1:$Z$60,0),0))=0,"",INDEX(项目利润表!$Z$7:$Z$66,IF(2&gt;COUNT($Z$1:$Z$60)-5,0,IFERROR(MATCH(SMALL($Z$1:$Z$60,2),$Z$1:$Z$60,0),0))))</f>
        <v>-9493.87</v>
      </c>
      <c r="J16" s="10" t="n"/>
      <c r="K16" s="21">
        <f>IF(IF(2&gt;COUNT($Z$1:$Z$60)-5,0,IFERROR(MATCH(SMALL($Z$1:$Z$60,2),$Z$1:$Z$60,0),0))=0,"",INDEX(项目利润表!$Q$7:$Q$66,IF(2&gt;COUNT($Z$1:$Z$60)-5,0,IFERROR(MATCH(SMALL($Z$1:$Z$60,2),$Z$1:$Z$60,0),0))))</f>
        <v>0</v>
      </c>
      <c r="L16" s="22">
        <f>IF(IF(2&gt;COUNT($Z$1:$Z$60)-5,0,IFERROR(MATCH(SMALL($Z$1:$Z$60,2),$Z$1:$Z$60,0),0))=0,"",INDEX(项目利润表!$AA$7:$AA$66,IF(2&gt;COUNT($Z$1:$Z$60)-5,0,IFERROR(MATCH(SMALL($Z$1:$Z$60,2),$Z$1:$Z$60,0),0))))</f>
      </c>
      <c r="Z16" s="2">
        <f>IF(AND(项目利润表!$B$22&lt;&gt;"",OR(N(项目利润表!$Q$22)&lt;&gt;0,N(项目利润表!$R$22)+N(项目利润表!$S$22)+N(项目利润表!$T$22)+N(项目利润表!$U$22)+N(项目利润表!$V$22)&lt;&gt;0)),N(项目利润表!$Z$22)+(61-16)/10000000,"")</f>
        <v>-56647.9799955</v>
      </c>
    </row>
    <row r="17">
      <c r="B17" s="19" t="str">
        <f>IF(IFERROR(MATCH(LARGE($Z$1:$Z$60,3),$Z$1:$Z$60,0),0)=0,"",INDEX(项目利润表!$B$7:$B$66,IFERROR(MATCH(LARGE($Z$1:$Z$60,3),$Z$1:$Z$60,0),0)))</f>
        <v>博河科创中心</v>
      </c>
      <c r="C17" s="20">
        <f>IF(IFERROR(MATCH(LARGE($Z$1:$Z$60,3),$Z$1:$Z$60,0),0)=0,"",INDEX(项目利润表!$Z$7:$Z$66,IFERROR(MATCH(LARGE($Z$1:$Z$60,3),$Z$1:$Z$60,0),0)))</f>
        <v>510758.96</v>
      </c>
      <c r="D17" s="10" t="n"/>
      <c r="E17" s="21">
        <f>IF(IFERROR(MATCH(LARGE($Z$1:$Z$60,3),$Z$1:$Z$60,0),0)=0,"",INDEX(项目利润表!$Q$7:$Q$66,IFERROR(MATCH(LARGE($Z$1:$Z$60,3),$Z$1:$Z$60,0),0)))</f>
        <v>510758.96</v>
      </c>
      <c r="F17" s="22">
        <f>IF(IFERROR(MATCH(LARGE($Z$1:$Z$60,3),$Z$1:$Z$60,0),0)=0,"",INDEX(项目利润表!$AA$7:$AA$66,IFERROR(MATCH(LARGE($Z$1:$Z$60,3),$Z$1:$Z$60,0),0)))</f>
        <v>1</v>
      </c>
      <c r="H17" s="19" t="str">
        <f>IF(IF(3&gt;COUNT($Z$1:$Z$60)-5,0,IFERROR(MATCH(SMALL($Z$1:$Z$60,3),$Z$1:$Z$60,0),0))=0,"",INDEX(项目利润表!$B$7:$B$66,IF(3&gt;COUNT($Z$1:$Z$60)-5,0,IFERROR(MATCH(SMALL($Z$1:$Z$60,3),$Z$1:$Z$60,0),0))))</f>
        <v>隆世光伏</v>
      </c>
      <c r="I17" s="20">
        <f>IF(IF(3&gt;COUNT($Z$1:$Z$60)-5,0,IFERROR(MATCH(SMALL($Z$1:$Z$60,3),$Z$1:$Z$60,0),0))=0,"",INDEX(项目利润表!$Z$7:$Z$66,IF(3&gt;COUNT($Z$1:$Z$60)-5,0,IFERROR(MATCH(SMALL($Z$1:$Z$60,3),$Z$1:$Z$60,0),0))))</f>
        <v>-2500</v>
      </c>
      <c r="J17" s="10" t="n"/>
      <c r="K17" s="21">
        <f>IF(IF(3&gt;COUNT($Z$1:$Z$60)-5,0,IFERROR(MATCH(SMALL($Z$1:$Z$60,3),$Z$1:$Z$60,0),0))=0,"",INDEX(项目利润表!$Q$7:$Q$66,IF(3&gt;COUNT($Z$1:$Z$60)-5,0,IFERROR(MATCH(SMALL($Z$1:$Z$60,3),$Z$1:$Z$60,0),0))))</f>
        <v>0</v>
      </c>
      <c r="L17" s="22">
        <f>IF(IF(3&gt;COUNT($Z$1:$Z$60)-5,0,IFERROR(MATCH(SMALL($Z$1:$Z$60,3),$Z$1:$Z$60,0),0))=0,"",INDEX(项目利润表!$AA$7:$AA$66,IF(3&gt;COUNT($Z$1:$Z$60)-5,0,IFERROR(MATCH(SMALL($Z$1:$Z$60,3),$Z$1:$Z$60,0),0))))</f>
      </c>
      <c r="Z17" s="2">
        <f>IF(AND(项目利润表!$B$23&lt;&gt;"",OR(N(项目利润表!$Q$23)&lt;&gt;0,N(项目利润表!$R$23)+N(项目利润表!$S$23)+N(项目利润表!$T$23)+N(项目利润表!$U$23)+N(项目利润表!$V$23)&lt;&gt;0)),N(项目利润表!$Z$23)+(61-17)/10000000,"")</f>
      </c>
    </row>
    <row r="18">
      <c r="B18" s="19" t="str">
        <f>IF(IFERROR(MATCH(LARGE($Z$1:$Z$60,4),$Z$1:$Z$60,0),0)=0,"",INDEX(项目利润表!$B$7:$B$66,IFERROR(MATCH(LARGE($Z$1:$Z$60,4),$Z$1:$Z$60,0),0)))</f>
        <v>德安养老中心</v>
      </c>
      <c r="C18" s="20">
        <f>IF(IFERROR(MATCH(LARGE($Z$1:$Z$60,4),$Z$1:$Z$60,0),0)=0,"",INDEX(项目利润表!$Z$7:$Z$66,IFERROR(MATCH(LARGE($Z$1:$Z$60,4),$Z$1:$Z$60,0),0)))</f>
        <v>504646.35</v>
      </c>
      <c r="D18" s="10" t="n"/>
      <c r="E18" s="21">
        <f>IF(IFERROR(MATCH(LARGE($Z$1:$Z$60,4),$Z$1:$Z$60,0),0)=0,"",INDEX(项目利润表!$Q$7:$Q$66,IFERROR(MATCH(LARGE($Z$1:$Z$60,4),$Z$1:$Z$60,0),0)))</f>
        <v>4362576.49</v>
      </c>
      <c r="F18" s="22">
        <f>IF(IFERROR(MATCH(LARGE($Z$1:$Z$60,4),$Z$1:$Z$60,0),0)=0,"",INDEX(项目利润表!$AA$7:$AA$66,IFERROR(MATCH(LARGE($Z$1:$Z$60,4),$Z$1:$Z$60,0),0)))</f>
        <v>0.115676218206549</v>
      </c>
      <c r="H18" s="19" t="str">
        <f>IF(IF(4&gt;COUNT($Z$1:$Z$60)-5,0,IFERROR(MATCH(SMALL($Z$1:$Z$60,4),$Z$1:$Z$60,0),0))=0,"",INDEX(项目利润表!$B$7:$B$66,IF(4&gt;COUNT($Z$1:$Z$60)-5,0,IFERROR(MATCH(SMALL($Z$1:$Z$60,4),$Z$1:$Z$60,0),0))))</f>
        <v>邹桥派出所</v>
      </c>
      <c r="I18" s="20">
        <f>IF(IF(4&gt;COUNT($Z$1:$Z$60)-5,0,IFERROR(MATCH(SMALL($Z$1:$Z$60,4),$Z$1:$Z$60,0),0))=0,"",INDEX(项目利润表!$Z$7:$Z$66,IF(4&gt;COUNT($Z$1:$Z$60)-5,0,IFERROR(MATCH(SMALL($Z$1:$Z$60,4),$Z$1:$Z$60,0),0))))</f>
        <v>1084.41</v>
      </c>
      <c r="J18" s="10" t="n"/>
      <c r="K18" s="21">
        <f>IF(IF(4&gt;COUNT($Z$1:$Z$60)-5,0,IFERROR(MATCH(SMALL($Z$1:$Z$60,4),$Z$1:$Z$60,0),0))=0,"",INDEX(项目利润表!$Q$7:$Q$66,IF(4&gt;COUNT($Z$1:$Z$60)-5,0,IFERROR(MATCH(SMALL($Z$1:$Z$60,4),$Z$1:$Z$60,0),0))))</f>
        <v>95560.56</v>
      </c>
      <c r="L18" s="22">
        <f>IF(IF(4&gt;COUNT($Z$1:$Z$60)-5,0,IFERROR(MATCH(SMALL($Z$1:$Z$60,4),$Z$1:$Z$60,0),0))=0,"",INDEX(项目利润表!$AA$7:$AA$66,IF(4&gt;COUNT($Z$1:$Z$60)-5,0,IFERROR(MATCH(SMALL($Z$1:$Z$60,4),$Z$1:$Z$60,0),0))))</f>
        <v>0.0113478824318317</v>
      </c>
      <c r="Z18" s="2">
        <f>IF(AND(项目利润表!$B$24&lt;&gt;"",OR(N(项目利润表!$Q$24)&lt;&gt;0,N(项目利润表!$R$24)+N(项目利润表!$S$24)+N(项目利润表!$T$24)+N(项目利润表!$U$24)+N(项目利润表!$V$24)&lt;&gt;0)),N(项目利润表!$Z$24)+(61-18)/10000000,"")</f>
      </c>
    </row>
    <row r="19">
      <c r="B19" s="19" t="str">
        <f>IF(IFERROR(MATCH(LARGE($Z$1:$Z$60,5),$Z$1:$Z$60,0),0)=0,"",INDEX(项目利润表!$B$7:$B$66,IFERROR(MATCH(LARGE($Z$1:$Z$60,5),$Z$1:$Z$60,0),0)))</f>
        <v>抚州8号楼</v>
      </c>
      <c r="C19" s="20">
        <f>IF(IFERROR(MATCH(LARGE($Z$1:$Z$60,5),$Z$1:$Z$60,0),0)=0,"",INDEX(项目利润表!$Z$7:$Z$66,IFERROR(MATCH(LARGE($Z$1:$Z$60,5),$Z$1:$Z$60,0),0)))</f>
        <v>241332.28</v>
      </c>
      <c r="D19" s="10" t="n"/>
      <c r="E19" s="21">
        <f>IF(IFERROR(MATCH(LARGE($Z$1:$Z$60,5),$Z$1:$Z$60,0),0)=0,"",INDEX(项目利润表!$Q$7:$Q$66,IFERROR(MATCH(LARGE($Z$1:$Z$60,5),$Z$1:$Z$60,0),0)))</f>
        <v>960000</v>
      </c>
      <c r="F19" s="22">
        <f>IF(IFERROR(MATCH(LARGE($Z$1:$Z$60,5),$Z$1:$Z$60,0),0)=0,"",INDEX(项目利润表!$AA$7:$AA$66,IFERROR(MATCH(LARGE($Z$1:$Z$60,5),$Z$1:$Z$60,0),0)))</f>
        <v>0.251387791666667</v>
      </c>
      <c r="H19" s="19" t="str">
        <f>IF(IF(5&gt;COUNT($Z$1:$Z$60)-5,0,IFERROR(MATCH(SMALL($Z$1:$Z$60,5),$Z$1:$Z$60,0),0))=0,"",INDEX(项目利润表!$B$7:$B$66,IF(5&gt;COUNT($Z$1:$Z$60)-5,0,IFERROR(MATCH(SMALL($Z$1:$Z$60,5),$Z$1:$Z$60,0),0))))</f>
        <v>德安农商行总部</v>
      </c>
      <c r="I19" s="20">
        <f>IF(IF(5&gt;COUNT($Z$1:$Z$60)-5,0,IFERROR(MATCH(SMALL($Z$1:$Z$60,5),$Z$1:$Z$60,0),0))=0,"",INDEX(项目利润表!$Z$7:$Z$66,IF(5&gt;COUNT($Z$1:$Z$60)-5,0,IFERROR(MATCH(SMALL($Z$1:$Z$60,5),$Z$1:$Z$60,0),0))))</f>
        <v>5965.21</v>
      </c>
      <c r="J19" s="10" t="n"/>
      <c r="K19" s="21">
        <f>IF(IF(5&gt;COUNT($Z$1:$Z$60)-5,0,IFERROR(MATCH(SMALL($Z$1:$Z$60,5),$Z$1:$Z$60,0),0))=0,"",INDEX(项目利润表!$Q$7:$Q$66,IF(5&gt;COUNT($Z$1:$Z$60)-5,0,IFERROR(MATCH(SMALL($Z$1:$Z$60,5),$Z$1:$Z$60,0),0))))</f>
        <v>8992</v>
      </c>
      <c r="L19" s="22">
        <f>IF(IF(5&gt;COUNT($Z$1:$Z$60)-5,0,IFERROR(MATCH(SMALL($Z$1:$Z$60,5),$Z$1:$Z$60,0),0))=0,"",INDEX(项目利润表!$AA$7:$AA$66,IF(5&gt;COUNT($Z$1:$Z$60)-5,0,IFERROR(MATCH(SMALL($Z$1:$Z$60,5),$Z$1:$Z$60,0),0))))</f>
        <v>0.663390791814947</v>
      </c>
      <c r="Z19" s="2">
        <f>IF(AND(项目利润表!$B$25&lt;&gt;"",OR(N(项目利润表!$Q$25)&lt;&gt;0,N(项目利润表!$R$25)+N(项目利润表!$S$25)+N(项目利润表!$T$25)+N(项目利润表!$U$25)+N(项目利润表!$V$25)&lt;&gt;0)),N(项目利润表!$Z$25)+(61-19)/10000000,"")</f>
      </c>
    </row>
    <row r="20">
      <c r="Z20" s="2">
        <f>IF(AND(项目利润表!$B$26&lt;&gt;"",OR(N(项目利润表!$Q$26)&lt;&gt;0,N(项目利润表!$R$26)+N(项目利润表!$S$26)+N(项目利润表!$T$26)+N(项目利润表!$U$26)+N(项目利润表!$V$26)&lt;&gt;0)),N(项目利润表!$Z$26)+(61-20)/10000000,"")</f>
      </c>
    </row>
    <row r="21">
      <c r="B21" s="23" t="inlineStr">
        <is>
          <t>提醒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Z21" s="2">
        <f>IF(AND(项目利润表!$B$27&lt;&gt;"",OR(N(项目利润表!$Q$27)&lt;&gt;0,N(项目利润表!$R$27)+N(项目利润表!$S$27)+N(项目利润表!$T$27)+N(项目利润表!$U$27)+N(项目利润表!$V$27)&lt;&gt;0)),N(项目利润表!$Z$27)+(61-21)/10000000,"")</f>
      </c>
    </row>
    <row r="22">
      <c r="B22" s="24" t="str">
        <f>"数据校验：要改 "&amp;COUNTIF(数据校验!$D$5:$D$45,"✗")&amp;" 项、要看 "&amp;COUNTIF(数据校验!$D$5:$D$45,"⚠")&amp;" 项"&amp;IF(COUNTIF(数据校验!$D$5:$D$45,"✗")+COUNTIF(数据校验!$D$5:$D$45,"⚠")=0,"，都没问题 √","  → 点这里去看")</f>
        <v>数据校验：要改 1 项、要看 4 项  → 点这里去看</v>
      </c>
      <c r="Z22" s="2">
        <f>IF(AND(项目利润表!$B$28&lt;&gt;"",OR(N(项目利润表!$Q$28)&lt;&gt;0,N(项目利润表!$R$28)+N(项目利润表!$S$28)+N(项目利润表!$T$28)+N(项目利润表!$U$28)+N(项目利润表!$V$28)&lt;&gt;0)),N(项目利润表!$Z$28)+(61-22)/10000000,"")</f>
      </c>
    </row>
    <row r="23">
      <c r="B23" s="25" t="str">
        <f>IF(N(数据校验!$C$5)&gt;0,"资金流水有 "&amp;数据校验!$C$5&amp;" 行要改（没认出类别、项目或单位）","资金流水都认出来了 √")</f>
        <v>资金流水有 7 行要改（没认出类别、项目或单位）</v>
      </c>
      <c r="Z23" s="2">
        <f>IF(AND(项目利润表!$B$29&lt;&gt;"",OR(N(项目利润表!$Q$29)&lt;&gt;0,N(项目利润表!$R$29)+N(项目利润表!$S$29)+N(项目利润表!$T$29)+N(项目利润表!$U$29)+N(项目利润表!$V$29)&lt;&gt;0)),N(项目利润表!$Z$29)+(61-23)/10000000,"")</f>
      </c>
    </row>
    <row r="24">
      <c r="B24" s="25" t="str">
        <f>IF(N(数据校验!$C$26)&gt;0,数据校验!$C$26&amp;" 个项目要注意：成本花得多产值确认得少（该找甲方报量）、完工没结算或亏损 → 看【项目利润表】提示","")</f>
        <v>7 个项目要注意：成本花得多产值确认得少（该找甲方报量）、完工没结算或亏损 → 看【项目利润表】提示</v>
      </c>
      <c r="Z24" s="2">
        <f>IF(AND(项目利润表!$B$30&lt;&gt;"",OR(N(项目利润表!$Q$30)&lt;&gt;0,N(项目利润表!$R$30)+N(项目利润表!$S$30)+N(项目利润表!$T$30)+N(项目利润表!$U$30)+N(项目利润表!$V$30)&lt;&gt;0)),N(项目利润表!$Z$30)+(61-24)/10000000,"")</f>
      </c>
    </row>
    <row r="25">
      <c r="B25" s="25" t="str">
        <f>IF(COUNTIF(应收账款总表!$Y$6:$Y$65,"质保金*")&gt;0,COUNTIF(应收账款总表!$Y$6:$Y$65,"质保金*")&amp;" 个项目质保金到期可以催了","")&amp;IF(N(应收账款总表!$L$4)&gt;0,"  开了票没回款的 "&amp;TEXT(应收账款总表!$L$4,"#,##0")&amp;" 元","")</f>
        <v>  开了票没回款的 135,732 元</v>
      </c>
      <c r="Z25" s="2">
        <f>IF(AND(项目利润表!$B$31&lt;&gt;"",OR(N(项目利润表!$Q$31)&lt;&gt;0,N(项目利润表!$R$31)+N(项目利润表!$S$31)+N(项目利润表!$T$31)+N(项目利润表!$U$31)+N(项目利润表!$V$31)&lt;&gt;0)),N(项目利润表!$Z$31)+(61-25)/10000000,"")</f>
      </c>
    </row>
    <row r="26">
      <c r="B26" s="25" t="str">
        <f>IF(N(数据校验!$C$15)&gt;0,数据校验!$C$15&amp;" 个管理人员有月份没录考勤（管理费会少算）","")</f>
        <v>5 个管理人员有月份没录考勤（管理费会少算）</v>
      </c>
      <c r="Z26" s="2">
        <f>IF(AND(项目利润表!$B$32&lt;&gt;"",OR(N(项目利润表!$Q$32)&lt;&gt;0,N(项目利润表!$R$32)+N(项目利润表!$S$32)+N(项目利润表!$T$32)+N(项目利润表!$U$32)+N(项目利润表!$V$32)&lt;&gt;0)),N(项目利润表!$Z$32)+(61-26)/10000000,"")</f>
      </c>
    </row>
    <row r="27">
      <c r="B27" s="25">
        <f>IF(ABS(N(数据校验!$C$17))&gt;0.01,"账户余额跟银行 App 对不上，差 "&amp;TEXT(数据校验!$C$17,"#,##0.00"),"")</f>
      </c>
      <c r="Z27" s="2">
        <f>IF(AND(项目利润表!$B$33&lt;&gt;"",OR(N(项目利润表!$Q$33)&lt;&gt;0,N(项目利润表!$R$33)+N(项目利润表!$S$33)+N(项目利润表!$T$33)+N(项目利润表!$U$33)+N(项目利润表!$V$33)&lt;&gt;0)),N(项目利润表!$Z$33)+(61-27)/10000000,"")</f>
      </c>
    </row>
    <row r="28">
      <c r="Z28" s="2">
        <f>IF(AND(项目利润表!$B$34&lt;&gt;"",OR(N(项目利润表!$Q$34)&lt;&gt;0,N(项目利润表!$R$34)+N(项目利润表!$S$34)+N(项目利润表!$T$34)+N(项目利润表!$U$34)+N(项目利润表!$V$34)&lt;&gt;0)),N(项目利润表!$Z$34)+(61-28)/10000000,"")</f>
      </c>
    </row>
    <row r="29">
      <c r="B29" s="11" t="inlineStr">
        <is>
          <t>各张表（点名字跳过去；每张表右上角有「← 回首页」）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Z29" s="2">
        <f>IF(AND(项目利润表!$B$35&lt;&gt;"",OR(N(项目利润表!$Q$35)&lt;&gt;0,N(项目利润表!$R$35)+N(项目利润表!$S$35)+N(项目利润表!$T$35)+N(项目利润表!$U$35)+N(项目利润表!$V$35)&lt;&gt;0)),N(项目利润表!$Z$35)+(61-29)/10000000,"")</f>
      </c>
    </row>
    <row r="30">
      <c r="B30" s="26" t="inlineStr">
        <is>
          <t>每天 / 每笔录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10" t="n"/>
      <c r="Z30" s="2">
        <f>IF(AND(项目利润表!$B$36&lt;&gt;"",OR(N(项目利润表!$Q$36)&lt;&gt;0,N(项目利润表!$R$36)+N(项目利润表!$S$36)+N(项目利润表!$T$36)+N(项目利润表!$U$36)+N(项目利润表!$V$36)&lt;&gt;0)),N(项目利润表!$Z$36)+(61-30)/10000000,"")</f>
      </c>
    </row>
    <row r="31">
      <c r="B31" s="27" t="inlineStr">
        <is>
          <t>资金流水</t>
        </is>
      </c>
      <c r="C31" s="28" t="inlineStr">
        <is>
          <t>银行、现金、老板个人户的每一笔收支（摘要里的项目、单位、类别自动认）</t>
        </is>
      </c>
      <c r="D31" s="9" t="n"/>
      <c r="E31" s="9" t="n"/>
      <c r="F31" s="10" t="n"/>
      <c r="H31" s="27" t="inlineStr">
        <is>
          <t>应付登记</t>
        </is>
      </c>
      <c r="I31" s="28" t="inlineStr">
        <is>
          <t>跟材料商、分包、机械对了账就登记应付（付款在流水里记）</t>
        </is>
      </c>
      <c r="J31" s="9" t="n"/>
      <c r="K31" s="9" t="n"/>
      <c r="L31" s="10" t="n"/>
      <c r="Z31" s="2">
        <f>IF(AND(项目利润表!$B$37&lt;&gt;"",OR(N(项目利润表!$Q$37)&lt;&gt;0,N(项目利润表!$R$37)+N(项目利润表!$S$37)+N(项目利润表!$T$37)+N(项目利润表!$U$37)+N(项目利润表!$V$37)&lt;&gt;0)),N(项目利润表!$Z$37)+(61-31)/10000000,"")</f>
      </c>
    </row>
    <row r="32">
      <c r="B32" s="27" t="inlineStr">
        <is>
          <t>考勤工资</t>
        </is>
      </c>
      <c r="C32" s="28" t="inlineStr">
        <is>
          <t>每人每月一行：在哪个工地干了几天，工资自动算</t>
        </is>
      </c>
      <c r="D32" s="9" t="n"/>
      <c r="E32" s="9" t="n"/>
      <c r="F32" s="10" t="n"/>
      <c r="H32" s="27" t="inlineStr">
        <is>
          <t>发票登记</t>
        </is>
      </c>
      <c r="I32" s="28" t="inlineStr">
        <is>
          <t>电子税务局导出的发票整块粘进来</t>
        </is>
      </c>
      <c r="J32" s="9" t="n"/>
      <c r="K32" s="9" t="n"/>
      <c r="L32" s="10" t="n"/>
      <c r="Z32" s="2">
        <f>IF(AND(项目利润表!$B$38&lt;&gt;"",OR(N(项目利润表!$Q$38)&lt;&gt;0,N(项目利润表!$R$38)+N(项目利润表!$S$38)+N(项目利润表!$T$38)+N(项目利润表!$U$38)+N(项目利润表!$V$38)&lt;&gt;0)),N(项目利润表!$Z$38)+(61-32)/10000000,"")</f>
      </c>
    </row>
    <row r="33">
      <c r="B33" s="27" t="inlineStr">
        <is>
          <t>收入确认</t>
        </is>
      </c>
      <c r="C33" s="28" t="inlineStr">
        <is>
          <t>甲方/总包确认的产值、结算（收入按这里算）</t>
        </is>
      </c>
      <c r="D33" s="9" t="n"/>
      <c r="E33" s="9" t="n"/>
      <c r="F33" s="10" t="n"/>
      <c r="H33" s="27" t="inlineStr">
        <is>
          <t>代发抵账</t>
        </is>
      </c>
      <c r="I33" s="28" t="inlineStr">
        <is>
          <t>总包代发工资、代付款、甲供材、甲方扣款</t>
        </is>
      </c>
      <c r="J33" s="9" t="n"/>
      <c r="K33" s="9" t="n"/>
      <c r="L33" s="10" t="n"/>
      <c r="Z33" s="2">
        <f>IF(AND(项目利润表!$B$39&lt;&gt;"",OR(N(项目利润表!$Q$39)&lt;&gt;0,N(项目利润表!$R$39)+N(项目利润表!$S$39)+N(项目利润表!$T$39)+N(项目利润表!$U$39)+N(项目利润表!$V$39)&lt;&gt;0)),N(项目利润表!$Z$39)+(61-33)/10000000,"")</f>
      </c>
    </row>
    <row r="34">
      <c r="B34" s="29" t="inlineStr">
        <is>
          <t>档案（偶尔改）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10" t="n"/>
      <c r="Z34" s="2">
        <f>IF(AND(项目利润表!$B$40&lt;&gt;"",OR(N(项目利润表!$Q$40)&lt;&gt;0,N(项目利润表!$R$40)+N(项目利润表!$S$40)+N(项目利润表!$T$40)+N(项目利润表!$U$40)+N(项目利润表!$V$40)&lt;&gt;0)),N(项目利润表!$Z$40)+(61-34)/10000000,"")</f>
      </c>
    </row>
    <row r="35">
      <c r="B35" s="27" t="inlineStr">
        <is>
          <t>项目档案</t>
        </is>
      </c>
      <c r="C35" s="28" t="inlineStr">
        <is>
          <t>一个工地一行：合同额、甲方、开工完工、摘要关键词</t>
        </is>
      </c>
      <c r="D35" s="9" t="n"/>
      <c r="E35" s="9" t="n"/>
      <c r="F35" s="10" t="n"/>
      <c r="H35" s="27" t="inlineStr">
        <is>
          <t>往来单位</t>
        </is>
      </c>
      <c r="I35" s="28" t="inlineStr">
        <is>
          <t>甲方、材料商、分包、机械、工人、老板都在这一张</t>
        </is>
      </c>
      <c r="J35" s="9" t="n"/>
      <c r="K35" s="9" t="n"/>
      <c r="L35" s="10" t="n"/>
      <c r="Z35" s="2">
        <f>IF(AND(项目利润表!$B$41&lt;&gt;"",OR(N(项目利润表!$Q$41)&lt;&gt;0,N(项目利润表!$R$41)+N(项目利润表!$S$41)+N(项目利润表!$T$41)+N(项目利润表!$U$41)+N(项目利润表!$V$41)&lt;&gt;0)),N(项目利润表!$Z$41)+(61-35)/10000000,"")</f>
      </c>
    </row>
    <row r="36">
      <c r="B36" s="27" t="inlineStr">
        <is>
          <t>工资标准</t>
        </is>
      </c>
      <c r="C36" s="28" t="inlineStr">
        <is>
          <t>日工资、月薪；涨工资加一行</t>
        </is>
      </c>
      <c r="D36" s="9" t="n"/>
      <c r="E36" s="9" t="n"/>
      <c r="F36" s="10" t="n"/>
      <c r="H36" s="27" t="inlineStr">
        <is>
          <t>期初余额</t>
        </is>
      </c>
      <c r="I36" s="28" t="inlineStr">
        <is>
          <t>建账日以前的数，只填一次</t>
        </is>
      </c>
      <c r="J36" s="9" t="n"/>
      <c r="K36" s="9" t="n"/>
      <c r="L36" s="10" t="n"/>
      <c r="Z36" s="2">
        <f>IF(AND(项目利润表!$B$42&lt;&gt;"",OR(N(项目利润表!$Q$42)&lt;&gt;0,N(项目利润表!$R$42)+N(项目利润表!$S$42)+N(项目利润表!$T$42)+N(项目利润表!$U$42)+N(项目利润表!$V$42)&lt;&gt;0)),N(项目利润表!$Z$42)+(61-36)/10000000,"")</f>
      </c>
    </row>
    <row r="37">
      <c r="B37" s="27" t="inlineStr">
        <is>
          <t>基础资料</t>
        </is>
      </c>
      <c r="C37" s="28" t="inlineStr">
        <is>
          <t>公司、资金账户、收支类别、关键词、税率、固定资产</t>
        </is>
      </c>
      <c r="D37" s="9" t="n"/>
      <c r="E37" s="9" t="n"/>
      <c r="F37" s="10" t="n"/>
      <c r="Z37" s="2">
        <f>IF(AND(项目利润表!$B$43&lt;&gt;"",OR(N(项目利润表!$Q$43)&lt;&gt;0,N(项目利润表!$R$43)+N(项目利润表!$S$43)+N(项目利润表!$T$43)+N(项目利润表!$U$43)+N(项目利润表!$V$43)&lt;&gt;0)),N(项目利润表!$Z$43)+(61-37)/10000000,"")</f>
      </c>
    </row>
    <row r="38">
      <c r="B38" s="15" t="inlineStr">
        <is>
          <t>查看（自动）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10" t="n"/>
      <c r="Z38" s="2">
        <f>IF(AND(项目利润表!$B$44&lt;&gt;"",OR(N(项目利润表!$Q$44)&lt;&gt;0,N(项目利润表!$R$44)+N(项目利润表!$S$44)+N(项目利润表!$T$44)+N(项目利润表!$U$44)+N(项目利润表!$V$44)&lt;&gt;0)),N(项目利润表!$Z$44)+(61-38)/10000000,"")</f>
      </c>
    </row>
    <row r="39">
      <c r="B39" s="27" t="inlineStr">
        <is>
          <t>账户明细</t>
        </is>
      </c>
      <c r="C39" s="28" t="inlineStr">
        <is>
          <t>选一个账户看每一笔和余额</t>
        </is>
      </c>
      <c r="D39" s="9" t="n"/>
      <c r="E39" s="9" t="n"/>
      <c r="F39" s="10" t="n"/>
      <c r="H39" s="27" t="inlineStr">
        <is>
          <t>资金报表</t>
        </is>
      </c>
      <c r="I39" s="28" t="inlineStr">
        <is>
          <t>资金周报 / 月报</t>
        </is>
      </c>
      <c r="J39" s="9" t="n"/>
      <c r="K39" s="9" t="n"/>
      <c r="L39" s="10" t="n"/>
      <c r="Z39" s="2">
        <f>IF(AND(项目利润表!$B$45&lt;&gt;"",OR(N(项目利润表!$Q$45)&lt;&gt;0,N(项目利润表!$R$45)+N(项目利润表!$S$45)+N(项目利润表!$T$45)+N(项目利润表!$U$45)+N(项目利润表!$V$45)&lt;&gt;0)),N(项目利润表!$Z$45)+(61-39)/10000000,"")</f>
      </c>
    </row>
    <row r="40">
      <c r="B40" s="27" t="inlineStr">
        <is>
          <t>应收账款总表</t>
        </is>
      </c>
      <c r="C40" s="28" t="inlineStr">
        <is>
          <t>每个项目甲方还欠多少、欠了多久</t>
        </is>
      </c>
      <c r="D40" s="9" t="n"/>
      <c r="E40" s="9" t="n"/>
      <c r="F40" s="10" t="n"/>
      <c r="H40" s="27" t="inlineStr">
        <is>
          <t>应付账款总表</t>
        </is>
      </c>
      <c r="I40" s="28" t="inlineStr">
        <is>
          <t>欠材料商、分包、机械多少，对账单</t>
        </is>
      </c>
      <c r="J40" s="9" t="n"/>
      <c r="K40" s="9" t="n"/>
      <c r="L40" s="10" t="n"/>
      <c r="Z40" s="2">
        <f>IF(AND(项目利润表!$B$46&lt;&gt;"",OR(N(项目利润表!$Q$46)&lt;&gt;0,N(项目利润表!$R$46)+N(项目利润表!$S$46)+N(项目利润表!$T$46)+N(项目利润表!$U$46)+N(项目利润表!$V$46)&lt;&gt;0)),N(项目利润表!$Z$46)+(61-40)/10000000,"")</f>
      </c>
    </row>
    <row r="41">
      <c r="B41" s="27" t="inlineStr">
        <is>
          <t>个人往来</t>
        </is>
      </c>
      <c r="C41" s="28" t="inlineStr">
        <is>
          <t>老板、负责人垫了多少、公司欠他多少；保证金押金台账</t>
        </is>
      </c>
      <c r="D41" s="9" t="n"/>
      <c r="E41" s="9" t="n"/>
      <c r="F41" s="10" t="n"/>
      <c r="H41" s="27" t="inlineStr">
        <is>
          <t>工资表</t>
        </is>
      </c>
      <c r="I41" s="28" t="inlineStr">
        <is>
          <t>选月份出工资表</t>
        </is>
      </c>
      <c r="J41" s="9" t="n"/>
      <c r="K41" s="9" t="n"/>
      <c r="L41" s="10" t="n"/>
      <c r="Z41" s="2">
        <f>IF(AND(项目利润表!$B$47&lt;&gt;"",OR(N(项目利润表!$Q$47)&lt;&gt;0,N(项目利润表!$R$47)+N(项目利润表!$S$47)+N(项目利润表!$T$47)+N(项目利润表!$U$47)+N(项目利润表!$V$47)&lt;&gt;0)),N(项目利润表!$Z$47)+(61-41)/10000000,"")</f>
      </c>
    </row>
    <row r="42">
      <c r="B42" s="27" t="inlineStr">
        <is>
          <t>工资汇总</t>
        </is>
      </c>
      <c r="C42" s="28" t="inlineStr">
        <is>
          <t>每人本年应发、已发、欠薪</t>
        </is>
      </c>
      <c r="D42" s="9" t="n"/>
      <c r="E42" s="9" t="n"/>
      <c r="F42" s="10" t="n"/>
      <c r="H42" s="27" t="inlineStr">
        <is>
          <t>用工成本表</t>
        </is>
      </c>
      <c r="I42" s="28" t="inlineStr">
        <is>
          <t>各项目每月人工</t>
        </is>
      </c>
      <c r="J42" s="9" t="n"/>
      <c r="K42" s="9" t="n"/>
      <c r="L42" s="10" t="n"/>
      <c r="Z42" s="2">
        <f>IF(AND(项目利润表!$B$48&lt;&gt;"",OR(N(项目利润表!$Q$48)&lt;&gt;0,N(项目利润表!$R$48)+N(项目利润表!$S$48)+N(项目利润表!$T$48)+N(项目利润表!$U$48)+N(项目利润表!$V$48)&lt;&gt;0)),N(项目利润表!$Z$48)+(61-42)/10000000,"")</f>
      </c>
    </row>
    <row r="43">
      <c r="B43" s="27" t="inlineStr">
        <is>
          <t>发票统计</t>
        </is>
      </c>
      <c r="C43" s="28" t="inlineStr">
        <is>
          <t>开票、收票、欠票</t>
        </is>
      </c>
      <c r="D43" s="9" t="n"/>
      <c r="E43" s="9" t="n"/>
      <c r="F43" s="10" t="n"/>
      <c r="Z43" s="2">
        <f>IF(AND(项目利润表!$B$49&lt;&gt;"",OR(N(项目利润表!$Q$49)&lt;&gt;0,N(项目利润表!$R$49)+N(项目利润表!$S$49)+N(项目利润表!$T$49)+N(项目利润表!$U$49)+N(项目利润表!$V$49)&lt;&gt;0)),N(项目利润表!$Z$49)+(61-43)/10000000,"")</f>
      </c>
    </row>
    <row r="44">
      <c r="B44" s="30" t="inlineStr">
        <is>
          <t>项目（自动）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10" t="n"/>
      <c r="Z44" s="2">
        <f>IF(AND(项目利润表!$B$50&lt;&gt;"",OR(N(项目利润表!$Q$50)&lt;&gt;0,N(项目利润表!$R$50)+N(项目利润表!$S$50)+N(项目利润表!$T$50)+N(项目利润表!$U$50)+N(项目利润表!$V$50)&lt;&gt;0)),N(项目利润表!$Z$50)+(61-44)/10000000,"")</f>
      </c>
    </row>
    <row r="45">
      <c r="B45" s="27" t="inlineStr">
        <is>
          <t>项目账</t>
        </is>
      </c>
      <c r="C45" s="28" t="inlineStr">
        <is>
          <t>选一个项目看全部明细（不用每个项目做一张表）</t>
        </is>
      </c>
      <c r="D45" s="9" t="n"/>
      <c r="E45" s="9" t="n"/>
      <c r="F45" s="10" t="n"/>
      <c r="H45" s="27" t="inlineStr">
        <is>
          <t>项目利润表</t>
        </is>
      </c>
      <c r="I45" s="28" t="inlineStr">
        <is>
          <t>全部项目本年和开工至今的利润</t>
        </is>
      </c>
      <c r="J45" s="9" t="n"/>
      <c r="K45" s="9" t="n"/>
      <c r="L45" s="10" t="n"/>
      <c r="Z45" s="2">
        <f>IF(AND(项目利润表!$B$51&lt;&gt;"",OR(N(项目利润表!$Q$51)&lt;&gt;0,N(项目利润表!$R$51)+N(项目利润表!$S$51)+N(项目利润表!$T$51)+N(项目利润表!$U$51)+N(项目利润表!$V$51)&lt;&gt;0)),N(项目利润表!$Z$51)+(61-45)/10000000,"")</f>
      </c>
    </row>
    <row r="46">
      <c r="B46" s="27" t="inlineStr">
        <is>
          <t>费用分摊</t>
        </is>
      </c>
      <c r="C46" s="28" t="inlineStr">
        <is>
          <t>老板工资、公司开支怎么摊到项目</t>
        </is>
      </c>
      <c r="D46" s="9" t="n"/>
      <c r="E46" s="9" t="n"/>
      <c r="F46" s="10" t="n"/>
      <c r="Z46" s="2">
        <f>IF(AND(项目利润表!$B$52&lt;&gt;"",OR(N(项目利润表!$Q$52)&lt;&gt;0,N(项目利润表!$R$52)+N(项目利润表!$S$52)+N(项目利润表!$T$52)+N(项目利润表!$U$52)+N(项目利润表!$V$52)&lt;&gt;0)),N(项目利润表!$Z$52)+(61-46)/10000000,"")</f>
      </c>
    </row>
    <row r="47">
      <c r="B47" s="23" t="inlineStr">
        <is>
          <t>老板报表（自动）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10" t="n"/>
      <c r="Z47" s="2">
        <f>IF(AND(项目利润表!$B$53&lt;&gt;"",OR(N(项目利润表!$Q$53)&lt;&gt;0,N(项目利润表!$R$53)+N(项目利润表!$S$53)+N(项目利润表!$T$53)+N(项目利润表!$U$53)+N(项目利润表!$V$53)&lt;&gt;0)),N(项目利润表!$Z$53)+(61-47)/10000000,"")</f>
      </c>
    </row>
    <row r="48">
      <c r="B48" s="27" t="inlineStr">
        <is>
          <t>利润表</t>
        </is>
      </c>
      <c r="C48" s="28" t="inlineStr">
        <is>
          <t>按月的利润表</t>
        </is>
      </c>
      <c r="D48" s="9" t="n"/>
      <c r="E48" s="9" t="n"/>
      <c r="F48" s="10" t="n"/>
      <c r="H48" s="27" t="inlineStr">
        <is>
          <t>资产负债表</t>
        </is>
      </c>
      <c r="I48" s="28" t="inlineStr">
        <is>
          <t>资产负债表</t>
        </is>
      </c>
      <c r="J48" s="9" t="n"/>
      <c r="K48" s="9" t="n"/>
      <c r="L48" s="10" t="n"/>
      <c r="Z48" s="2">
        <f>IF(AND(项目利润表!$B$54&lt;&gt;"",OR(N(项目利润表!$Q$54)&lt;&gt;0,N(项目利润表!$R$54)+N(项目利润表!$S$54)+N(项目利润表!$T$54)+N(项目利润表!$U$54)+N(项目利润表!$V$54)&lt;&gt;0)),N(项目利润表!$Z$54)+(61-48)/10000000,"")</f>
      </c>
    </row>
    <row r="49">
      <c r="B49" s="27" t="inlineStr">
        <is>
          <t>盈亏平衡表</t>
        </is>
      </c>
      <c r="C49" s="28" t="inlineStr">
        <is>
          <t>保本产值、项目还能花多少、报价计算器</t>
        </is>
      </c>
      <c r="D49" s="9" t="n"/>
      <c r="E49" s="9" t="n"/>
      <c r="F49" s="10" t="n"/>
      <c r="H49" s="27" t="inlineStr">
        <is>
          <t>数据校验</t>
        </is>
      </c>
      <c r="I49" s="28" t="inlineStr">
        <is>
          <t>哪里录错了、漏了</t>
        </is>
      </c>
      <c r="J49" s="9" t="n"/>
      <c r="K49" s="9" t="n"/>
      <c r="L49" s="10" t="n"/>
      <c r="Z49" s="2">
        <f>IF(AND(项目利润表!$B$55&lt;&gt;"",OR(N(项目利润表!$Q$55)&lt;&gt;0,N(项目利润表!$R$55)+N(项目利润表!$S$55)+N(项目利润表!$T$55)+N(项目利润表!$U$55)+N(项目利润表!$V$55)&lt;&gt;0)),N(项目利润表!$Z$55)+(61-49)/10000000,"")</f>
      </c>
    </row>
    <row r="50">
      <c r="Z50" s="2">
        <f>IF(AND(项目利润表!$B$56&lt;&gt;"",OR(N(项目利润表!$Q$56)&lt;&gt;0,N(项目利润表!$R$56)+N(项目利润表!$S$56)+N(项目利润表!$T$56)+N(项目利润表!$U$56)+N(项目利润表!$V$56)&lt;&gt;0)),N(项目利润表!$Z$56)+(61-50)/10000000,"")</f>
      </c>
    </row>
    <row r="51">
      <c r="B51" s="11" t="inlineStr">
        <is>
          <t>怎么用（第一次看这里）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Z51" s="2">
        <f>IF(AND(项目利润表!$B$57&lt;&gt;"",OR(N(项目利润表!$Q$57)&lt;&gt;0,N(项目利润表!$R$57)+N(项目利润表!$S$57)+N(项目利润表!$T$57)+N(项目利润表!$U$57)+N(项目利润表!$V$57)&lt;&gt;0)),N(项目利润表!$Z$57)+(61-51)/10000000,"")</f>
      </c>
    </row>
    <row r="52" ht="32" customHeight="1">
      <c r="B52" s="31" t="inlineStr">
        <is>
          <t>① 先填档案：【基础资料】公司全称、建账日期、资金账户（每个老板/负责人一个「个人户」）；【项目档案】每个工地一行；【往来单位】甲方、材料商、分包、机械、工人、老板；【工资标准】每人日工资/月薪。</t>
        </is>
      </c>
      <c r="Z52" s="2">
        <f>IF(AND(项目利润表!$B$58&lt;&gt;"",OR(N(项目利润表!$Q$58)&lt;&gt;0,N(项目利润表!$R$58)+N(项目利润表!$S$58)+N(项目利润表!$T$58)+N(项目利润表!$U$58)+N(项目利润表!$V$58)&lt;&gt;0)),N(项目利润表!$Z$58)+(61-52)/10000000,"")</f>
      </c>
    </row>
    <row r="53" ht="32" customHeight="1">
      <c r="B53" s="31" t="inlineStr">
        <is>
          <t>② 建账日以前的账：在【期初余额】填一次——每个老项目累计确认的产值、收款、成本；每家材料商/分包每个项目累计应付、已付；银行期初余额在【基础资料】②。</t>
        </is>
      </c>
      <c r="Z53" s="2">
        <f>IF(AND(项目利润表!$B$59&lt;&gt;"",OR(N(项目利润表!$Q$59)&lt;&gt;0,N(项目利润表!$R$59)+N(项目利润表!$S$59)+N(项目利润表!$T$59)+N(项目利润表!$U$59)+N(项目利润表!$V$59)&lt;&gt;0)),N(项目利润表!$Z$59)+(61-53)/10000000,"")</f>
      </c>
    </row>
    <row r="54" ht="32" customHeight="1">
      <c r="B54" s="31" t="inlineStr">
        <is>
          <t>③ 平时：每笔钱进出记【资金流水】（摘要写清楚项目和对象，类别自动认；认不出的在「改类别」选）；跟材料商/分包对了账记【应付登记】；每月月底录【考勤工资】。</t>
        </is>
      </c>
      <c r="Z54" s="2">
        <f>IF(AND(项目利润表!$B$60&lt;&gt;"",OR(N(项目利润表!$Q$60)&lt;&gt;0,N(项目利润表!$R$60)+N(项目利润表!$S$60)+N(项目利润表!$T$60)+N(项目利润表!$U$60)+N(项目利润表!$V$60)&lt;&gt;0)),N(项目利润表!$Z$60)+(61-54)/10000000,"")</f>
      </c>
    </row>
    <row r="55" ht="32" customHeight="1">
      <c r="B55" s="31" t="inlineStr">
        <is>
          <t>④ 甲方/总包确认了产值（报量批了、结算了）就记【收入确认】——利润按这个算，不按收钱算。总包代发工资、甲方扣款记【代发抵账】。发票每月从电子税务局导出粘到【发票登记】。</t>
        </is>
      </c>
      <c r="Z55" s="2">
        <f>IF(AND(项目利润表!$B$61&lt;&gt;"",OR(N(项目利润表!$Q$61)&lt;&gt;0,N(项目利润表!$R$61)+N(项目利润表!$S$61)+N(项目利润表!$T$61)+N(项目利润表!$U$61)+N(项目利润表!$V$61)&lt;&gt;0)),N(项目利润表!$Z$61)+(61-55)/10000000,"")</f>
      </c>
    </row>
    <row r="56" ht="32" customHeight="1">
      <c r="B56" s="31" t="inlineStr">
        <is>
          <t>⑤ 看报表：首页选年度；【项目账】选项目看明细；【项目利润表】看哪个项目赚哪个亏；【利润表】【资产负债表】【盈亏平衡表】给老板看。每年年底在【费用分摊】填定稿费率。</t>
        </is>
      </c>
      <c r="Z56" s="2">
        <f>IF(AND(项目利润表!$B$62&lt;&gt;"",OR(N(项目利润表!$Q$62)&lt;&gt;0,N(项目利润表!$R$62)+N(项目利润表!$S$62)+N(项目利润表!$T$62)+N(项目利润表!$U$62)+N(项目利润表!$V$62)&lt;&gt;0)),N(项目利润表!$Z$62)+(61-56)/10000000,"")</f>
      </c>
    </row>
    <row r="57" ht="32" customHeight="1">
      <c r="B57" s="31" t="inlineStr">
        <is>
          <t>⑥ 每月对一次账：【基础资料】② 填银行 App 上的实际余额，差额是 0 就对了；再看一眼【数据校验】有没有 ✗。</t>
        </is>
      </c>
      <c r="Z57" s="2">
        <f>IF(AND(项目利润表!$B$63&lt;&gt;"",OR(N(项目利润表!$Q$63)&lt;&gt;0,N(项目利润表!$R$63)+N(项目利润表!$S$63)+N(项目利润表!$T$63)+N(项目利润表!$U$63)+N(项目利润表!$V$63)&lt;&gt;0)),N(项目利润表!$Z$63)+(61-57)/10000000,"")</f>
      </c>
    </row>
    <row r="58" ht="32" customHeight="1">
      <c r="B58" s="31" t="inlineStr">
        <is>
          <t>⑦ 注意：记错了就清空那几格，不要删整行、插行（别的表按行取数，删行公式会出错）；灰色格子是公式，不要往里打字。</t>
        </is>
      </c>
      <c r="Z58" s="2">
        <f>IF(AND(项目利润表!$B$64&lt;&gt;"",OR(N(项目利润表!$Q$64)&lt;&gt;0,N(项目利润表!$R$64)+N(项目利润表!$S$64)+N(项目利润表!$T$64)+N(项目利润表!$U$64)+N(项目利润表!$V$64)&lt;&gt;0)),N(项目利润表!$Z$64)+(61-58)/10000000,"")</f>
      </c>
    </row>
    <row r="59">
      <c r="Z59" s="2">
        <f>IF(AND(项目利润表!$B$65&lt;&gt;"",OR(N(项目利润表!$Q$65)&lt;&gt;0,N(项目利润表!$R$65)+N(项目利润表!$S$65)+N(项目利润表!$T$65)+N(项目利润表!$U$65)+N(项目利润表!$V$65)&lt;&gt;0)),N(项目利润表!$Z$65)+(61-59)/10000000,"")</f>
      </c>
    </row>
    <row r="60">
      <c r="Z60" s="2">
        <f>IF(AND(项目利润表!$B$66&lt;&gt;"",OR(N(项目利润表!$Q$66)&lt;&gt;0,N(项目利润表!$R$66)+N(项目利润表!$S$66)+N(项目利润表!$T$66)+N(项目利润表!$U$66)+N(项目利润表!$V$66)&lt;&gt;0)),N(项目利润表!$Z$66)+(61-60)/10000000,"")</f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84">
    <mergeCell ref="I48:L48"/>
    <mergeCell ref="C39:F39"/>
    <mergeCell ref="C15:D15"/>
    <mergeCell ref="H10:I10"/>
    <mergeCell ref="B47:L47"/>
    <mergeCell ref="B22:L22"/>
    <mergeCell ref="C32:F32"/>
    <mergeCell ref="C37:F37"/>
    <mergeCell ref="H9:I9"/>
    <mergeCell ref="E8:F8"/>
    <mergeCell ref="I40:L40"/>
    <mergeCell ref="I16:J16"/>
    <mergeCell ref="B21:L21"/>
    <mergeCell ref="I18:J18"/>
    <mergeCell ref="B23:L23"/>
    <mergeCell ref="B38:L38"/>
    <mergeCell ref="C41:F41"/>
    <mergeCell ref="C17:D17"/>
    <mergeCell ref="C43:F43"/>
    <mergeCell ref="C19:D19"/>
    <mergeCell ref="B51:L51"/>
    <mergeCell ref="C36:F36"/>
    <mergeCell ref="I39:L39"/>
    <mergeCell ref="I15:J15"/>
    <mergeCell ref="B25:L25"/>
    <mergeCell ref="C14:D14"/>
    <mergeCell ref="B27:L27"/>
    <mergeCell ref="I31:L31"/>
    <mergeCell ref="B11:L11"/>
    <mergeCell ref="B53:L53"/>
    <mergeCell ref="B29:L29"/>
    <mergeCell ref="I32:L32"/>
    <mergeCell ref="I41:L41"/>
    <mergeCell ref="I17:J17"/>
    <mergeCell ref="C40:F40"/>
    <mergeCell ref="B6:L6"/>
    <mergeCell ref="B55:L55"/>
    <mergeCell ref="K10:L10"/>
    <mergeCell ref="I19:J19"/>
    <mergeCell ref="B24:L24"/>
    <mergeCell ref="C18:D18"/>
    <mergeCell ref="I33:L33"/>
    <mergeCell ref="I42:L42"/>
    <mergeCell ref="B26:L26"/>
    <mergeCell ref="B7:C7"/>
    <mergeCell ref="B54:L54"/>
    <mergeCell ref="I35:L35"/>
    <mergeCell ref="K9:L9"/>
    <mergeCell ref="H4:L4"/>
    <mergeCell ref="B56:L56"/>
    <mergeCell ref="A2:L2"/>
    <mergeCell ref="B58:L58"/>
    <mergeCell ref="B52:L52"/>
    <mergeCell ref="B13:F13"/>
    <mergeCell ref="I45:L45"/>
    <mergeCell ref="B57:L57"/>
    <mergeCell ref="C45:F45"/>
    <mergeCell ref="B44:L44"/>
    <mergeCell ref="K8:L8"/>
    <mergeCell ref="B34:L34"/>
    <mergeCell ref="H13:L13"/>
    <mergeCell ref="B9:C9"/>
    <mergeCell ref="K7:L7"/>
    <mergeCell ref="C31:F31"/>
    <mergeCell ref="B30:L30"/>
    <mergeCell ref="E7:F7"/>
    <mergeCell ref="B5:L5"/>
    <mergeCell ref="C46:F46"/>
    <mergeCell ref="C48:F48"/>
    <mergeCell ref="C16:D16"/>
    <mergeCell ref="E10:F10"/>
    <mergeCell ref="C49:F49"/>
    <mergeCell ref="C33:F33"/>
    <mergeCell ref="C42:F42"/>
    <mergeCell ref="B8:C8"/>
    <mergeCell ref="E9:F9"/>
    <mergeCell ref="I49:L49"/>
    <mergeCell ref="I36:L36"/>
    <mergeCell ref="C35:F35"/>
    <mergeCell ref="H7:I7"/>
    <mergeCell ref="B10:C10"/>
    <mergeCell ref="I14:J14"/>
    <mergeCell ref="A1:L1"/>
    <mergeCell ref="H8:I8"/>
  </mergeCells>
  <conditionalFormatting sqref="B8:L8">
    <cfRule type="expression" priority="1" dxfId="0">
      <formula>AND(ISNUMBER(B8),B8&lt;0)</formula>
    </cfRule>
  </conditionalFormatting>
  <conditionalFormatting sqref="C15:C19">
    <cfRule type="expression" priority="2" dxfId="1">
      <formula>N(C15)&lt;0</formula>
    </cfRule>
  </conditionalFormatting>
  <conditionalFormatting sqref="I15:I19">
    <cfRule type="expression" priority="3" dxfId="1">
      <formula>N(I15)&lt;0</formula>
    </cfRule>
  </conditionalFormatting>
  <conditionalFormatting sqref="B22:B27">
    <cfRule type="expression" priority="4" dxfId="1">
      <formula>OR(ISNUMBER(SEARCH("要改",B22)),ISNUMBER(SEARCH("要注意",B22)),ISNUMBER(SEARCH("对不上",B22)))</formula>
    </cfRule>
  </conditionalFormatting>
  <dataValidations count="2">
    <dataValidation sqref="F4" showDropDown="0" showInputMessage="0" showErrorMessage="1" allowBlank="1" errorTitle="日期" error="要像 2026/9/1 这样填日期" type="date" errorStyle="warning" operator="between">
      <formula1>36526</formula1>
      <formula2>73050</formula2>
    </dataValidation>
    <dataValidation sqref="C4" showDropDown="0" showInputMessage="0" showErrorMessage="0" allowBlank="1" type="whole" operator="between">
      <formula1>2000</formula1>
      <formula2>2100</formula2>
    </dataValidation>
  </dataValidations>
  <hyperlinks>
    <hyperlink ref="B22" location="'数据校验'!A1"/>
    <hyperlink ref="B31" location="'资金流水'!A1" display="资金流水"/>
    <hyperlink ref="H31" location="'应付登记'!A1" display="应付登记"/>
    <hyperlink ref="B32" location="'考勤工资'!A1" display="考勤工资"/>
    <hyperlink ref="H32" location="'发票登记'!A1" display="发票登记"/>
    <hyperlink ref="B33" location="'收入确认'!A1" display="收入确认"/>
    <hyperlink ref="H33" location="'代发抵账'!A1" display="代发抵账"/>
    <hyperlink ref="B35" location="'项目档案'!A1" display="项目档案"/>
    <hyperlink ref="H35" location="'往来单位'!A1" display="往来单位"/>
    <hyperlink ref="B36" location="'工资标准'!A1" display="工资标准"/>
    <hyperlink ref="H36" location="'期初余额'!A1" display="期初余额"/>
    <hyperlink ref="B37" location="'基础资料'!A1" display="基础资料"/>
    <hyperlink ref="B39" location="'账户明细'!A1" display="账户明细"/>
    <hyperlink ref="H39" location="'资金报表'!A1" display="资金报表"/>
    <hyperlink ref="B40" location="'应收账款总表'!A1" display="应收账款总表"/>
    <hyperlink ref="H40" location="'应付账款总表'!A1" display="应付账款总表"/>
    <hyperlink ref="B41" location="'个人往来'!A1" display="个人往来"/>
    <hyperlink ref="H41" location="'工资表'!A1" display="工资表"/>
    <hyperlink ref="B42" location="'工资汇总'!A1" display="工资汇总"/>
    <hyperlink ref="H42" location="'用工成本表'!A1" display="用工成本表"/>
    <hyperlink ref="B43" location="'发票统计'!A1" display="发票统计"/>
    <hyperlink ref="B45" location="'项目账'!A1" display="项目账"/>
    <hyperlink ref="H45" location="'项目利润表'!A1" display="项目利润表"/>
    <hyperlink ref="B46" location="'费用分摊'!A1" display="费用分摊"/>
    <hyperlink ref="B48" location="'利润表'!A1" display="利润表"/>
    <hyperlink ref="H48" location="'资产负债表'!A1" display="资产负债表"/>
    <hyperlink ref="B49" location="'盈亏平衡表'!A1" display="盈亏平衡表"/>
    <hyperlink ref="H49" location="'数据校验'!A1" display="数据校验"/>
  </hyperlinks>
  <pageMargins left="0.3" right="0.3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AQ2005"/>
  <sheetViews>
    <sheetView showGridLines="0" tabSelected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.5" customWidth="1" min="2" max="2"/>
    <col width="11" customWidth="1" min="3" max="3"/>
    <col width="34" customWidth="1" min="4" max="4"/>
    <col width="14" customWidth="1" min="5" max="5"/>
    <col width="19.05" customWidth="1" min="6" max="6"/>
    <col width="13.5" customWidth="1" min="7" max="7"/>
    <col width="12" customWidth="1" min="8" max="8"/>
    <col width="11" customWidth="1" min="9" max="9"/>
    <col width="11" customWidth="1" min="10" max="10"/>
    <col width="30" customWidth="1" min="11" max="11"/>
    <col width="12" customWidth="1" min="12" max="12"/>
    <col width="11" customWidth="1" min="13" max="13"/>
    <col width="11" customWidth="1" min="14" max="14"/>
    <col width="11" customWidth="1" min="15" max="15"/>
    <col width="14" customWidth="1" min="16" max="16"/>
    <col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</cols>
  <sheetData>
    <row r="1" ht="33" customHeight="1">
      <c r="A1" s="32" t="inlineStr">
        <is>
          <t>资 金 流 水（所有账户一张表 · 每天录 · 自动认项目、类别、单位）</t>
        </is>
      </c>
      <c r="Q1" s="33" t="inlineStr">
        <is>
          <t>← 回首页</t>
        </is>
      </c>
    </row>
    <row r="2" ht="70" customHeight="1">
      <c r="A2" s="3" t="inlineStr">
        <is>
          <t>💡 左边照原来录：日期、账户、摘要、收入、支出（收款记「收入」，付款记「支出」；银行退回来的钱在支出栏记负数也行，自动当冲回）。中间灰色是按摘要自动认出的 项目 / 收支类别 / 单位或人，看一眼对不对；不对或认不出，在右边黄格「改项目、改类别、改单位」选（改的优先）。几条规矩：①「代X付」（代老叶付佩力材料款）：单位是 X（冲 X 的账），真正收钱的写备注；② 一笔钱是几个项目的（隆世光伏/共青办公楼/德祥工地工程款），拆成几行分别记；③ 自己账户之间转钱（银行↔银行、银行↔老板个人户：借款、还款、报销、备用金）类别是「账户互转」，只记一边，对方账户自动认或在 O 列选；④ 老板、负责人替公司花的钱，记在他的个人户里（账户选他的个人户）。G 列是这个账户记到这一笔为止的余额。⑤ 记错的行清空内容就行，不要删整行、也不要插行（别的表按行取数）。</t>
        </is>
      </c>
    </row>
    <row r="3">
      <c r="A3" s="4" t="inlineStr">
        <is>
          <t>笔数</t>
        </is>
      </c>
      <c r="B3" s="34">
        <f>COUNT(资金流水!$B$6:$B$2005)</f>
        <v>217</v>
      </c>
      <c r="C3" s="4" t="inlineStr">
        <is>
          <t>收入合计</t>
        </is>
      </c>
      <c r="D3" s="35">
        <f>SUMIFS(资金流水!$R$6:$R$2005,资金流水!$AH$6:$AH$2005,"收",资金流水!$I$6:$I$2005,"&lt;&gt;账户互转")</f>
        <v>1673903.2</v>
      </c>
      <c r="E3" s="4" t="inlineStr">
        <is>
          <t>支出合计</t>
        </is>
      </c>
      <c r="F3" s="35">
        <f>-SUMIFS(资金流水!$R$6:$R$2005,资金流水!$AH$6:$AH$2005,"支",资金流水!$I$6:$I$2005,"&lt;&gt;账户互转")</f>
        <v>839466.34</v>
      </c>
      <c r="G3" s="4" t="inlineStr">
        <is>
          <t>待处理</t>
        </is>
      </c>
      <c r="H3" s="36" t="str">
        <f>COUNTIF(资金流水!$K$6:$K$2005,"✗*")&amp;" 笔"</f>
        <v>7 笔</v>
      </c>
      <c r="I3" s="4" t="inlineStr">
        <is>
          <t>提醒</t>
        </is>
      </c>
      <c r="J3" s="36" t="str">
        <f>COUNTIF(资金流水!$K$6:$K$2005,"⚠*")&amp;" 笔"</f>
        <v>0 笔</v>
      </c>
      <c r="K3" s="37" t="str">
        <f>"收支不含账户互转；容量 "&amp;TEXT(B3/2000,"0%")</f>
        <v>收支不含账户互转；容量 11%</v>
      </c>
    </row>
    <row r="4">
      <c r="A4" s="38" t="inlineStr">
        <is>
          <t>① 照原来录</t>
        </is>
      </c>
      <c r="B4" s="12" t="n"/>
      <c r="C4" s="12" t="n"/>
      <c r="D4" s="12" t="n"/>
      <c r="E4" s="12" t="n"/>
      <c r="F4" s="12" t="n"/>
      <c r="G4" s="29" t="inlineStr">
        <is>
          <t>② 自动认的（看对不对）</t>
        </is>
      </c>
      <c r="H4" s="12" t="n"/>
      <c r="I4" s="12" t="n"/>
      <c r="J4" s="12" t="n"/>
      <c r="K4" s="12" t="n"/>
      <c r="L4" s="39" t="inlineStr">
        <is>
          <t>③ 不对才改（改的优先）</t>
        </is>
      </c>
      <c r="M4" s="12" t="n"/>
      <c r="N4" s="12" t="n"/>
      <c r="O4" s="12" t="n"/>
      <c r="P4" s="12" t="n"/>
    </row>
    <row r="5" ht="34" customHeight="1">
      <c r="A5" s="40" t="inlineStr">
        <is>
          <t>序号</t>
        </is>
      </c>
      <c r="B5" s="40" t="inlineStr">
        <is>
          <t>日期</t>
        </is>
      </c>
      <c r="C5" s="40" t="inlineStr">
        <is>
          <t>账户</t>
        </is>
      </c>
      <c r="D5" s="40" t="inlineStr">
        <is>
          <t>摘要</t>
        </is>
      </c>
      <c r="E5" s="40" t="inlineStr">
        <is>
          <t>收入</t>
        </is>
      </c>
      <c r="F5" s="40" t="inlineStr">
        <is>
          <t>支出</t>
        </is>
      </c>
      <c r="G5" s="41" t="inlineStr">
        <is>
          <t>结存
（本账户）</t>
        </is>
      </c>
      <c r="H5" s="41" t="inlineStr">
        <is>
          <t>项目</t>
        </is>
      </c>
      <c r="I5" s="41" t="inlineStr">
        <is>
          <t>收支类别</t>
        </is>
      </c>
      <c r="J5" s="41" t="inlineStr">
        <is>
          <t>单位 / 人</t>
        </is>
      </c>
      <c r="K5" s="41" t="inlineStr">
        <is>
          <t>校验</t>
        </is>
      </c>
      <c r="L5" s="42" t="inlineStr">
        <is>
          <t>改项目</t>
        </is>
      </c>
      <c r="M5" s="42" t="inlineStr">
        <is>
          <t>改类别</t>
        </is>
      </c>
      <c r="N5" s="42" t="inlineStr">
        <is>
          <t>改单位/人</t>
        </is>
      </c>
      <c r="O5" s="42" t="inlineStr">
        <is>
          <t>对方账户
（互转）</t>
        </is>
      </c>
      <c r="P5" s="42" t="inlineStr">
        <is>
          <t>备注</t>
        </is>
      </c>
      <c r="R5" s="2" t="inlineStr">
        <is>
          <t>净额</t>
        </is>
      </c>
      <c r="S5" s="2" t="inlineStr">
        <is>
          <t>年月</t>
        </is>
      </c>
      <c r="T5" s="2" t="inlineStr">
        <is>
          <t>认项目</t>
        </is>
      </c>
      <c r="U5" s="2" t="inlineStr">
        <is>
          <t>认类别</t>
        </is>
      </c>
      <c r="V5" s="2" t="inlineStr">
        <is>
          <t>认单位</t>
        </is>
      </c>
      <c r="W5" s="2" t="inlineStr">
        <is>
          <t>分摊归类</t>
        </is>
      </c>
      <c r="X5" s="2" t="inlineStr">
        <is>
          <t>报表项目</t>
        </is>
      </c>
      <c r="Y5" s="2" t="inlineStr">
        <is>
          <t>有应付</t>
        </is>
      </c>
      <c r="Z5" s="2" t="inlineStr">
        <is>
          <t>单位类型</t>
        </is>
      </c>
      <c r="AA5" s="2" t="inlineStr">
        <is>
          <t>走考勤的人</t>
        </is>
      </c>
      <c r="AB5" s="2" t="inlineStr">
        <is>
          <t>代X付</t>
        </is>
      </c>
      <c r="AC5" s="2" t="inlineStr">
        <is>
          <t>认对方账户</t>
        </is>
      </c>
      <c r="AD5" s="2" t="inlineStr">
        <is>
          <t>对方账户</t>
        </is>
      </c>
      <c r="AE5" s="2" t="inlineStr">
        <is>
          <t>账户类型</t>
        </is>
      </c>
      <c r="AF5" s="2" t="inlineStr">
        <is>
          <t>对方类型</t>
        </is>
      </c>
      <c r="AG5" s="2" t="inlineStr">
        <is>
          <t>关键词类别</t>
        </is>
      </c>
      <c r="AH5" s="2" t="inlineStr">
        <is>
          <t>收支</t>
        </is>
      </c>
      <c r="AI5" s="2" t="inlineStr">
        <is>
          <t>项目命中词</t>
        </is>
      </c>
      <c r="AJ5" s="2" t="inlineStr">
        <is>
          <t>别的项目</t>
        </is>
      </c>
      <c r="AK5" s="2" t="inlineStr">
        <is>
          <t>项目码</t>
        </is>
      </c>
      <c r="AL5" s="2" t="inlineStr">
        <is>
          <t>单位码</t>
        </is>
      </c>
      <c r="AM5" s="2" t="inlineStr">
        <is>
          <t>代付单位码</t>
        </is>
      </c>
      <c r="AN5" s="2" t="inlineStr">
        <is>
          <t>日期数</t>
        </is>
      </c>
      <c r="AO5" s="2" t="inlineStr">
        <is>
          <t>收款排号</t>
        </is>
      </c>
      <c r="AP5" s="2" t="inlineStr">
        <is>
          <t>付款排号</t>
        </is>
      </c>
      <c r="AQ5" s="2" t="inlineStr">
        <is>
          <t>押金排号</t>
        </is>
      </c>
    </row>
    <row r="6">
      <c r="A6" s="43">
        <f t="shared" ref="A6:A2005" si="3">IF(AND(B6="",D6="",E6="",F6=""),"",ROW()-5)</f>
        <v>1</v>
      </c>
      <c r="B6" s="44" t="n">
        <v>46143</v>
      </c>
      <c r="C6" s="45" t="inlineStr">
        <is>
          <t>九江银行</t>
        </is>
      </c>
      <c r="D6" s="46" t="inlineStr">
        <is>
          <t>代吴群付向勇工资</t>
        </is>
      </c>
      <c r="E6" s="47" t="n"/>
      <c r="F6" s="47" t="n">
        <v>15000</v>
      </c>
      <c r="G6" s="48">
        <f t="shared" ref="G6:G2005" si="4">IF(C6="","",ROUND(IFERROR(INDEX(基础资料!$K$5:$K$24,MATCH(C6,基础资料!$G$5:$G$24,0)),0)+SUMIFS($R$6:R6,$C$6:C6,C6)-SUMIFS($R$6:R6,$AD$6:AD6,C6,$X$6:X6,"账户互转"),2))</f>
        <v>-15000</v>
      </c>
      <c r="H6" s="43">
        <f t="shared" ref="H6:H2005" si="0">IF(L6&lt;&gt;"",L6,T6)</f>
      </c>
      <c r="I6" s="43" t="str">
        <f t="shared" ref="I6:I2005" si="5">IF(M6&lt;&gt;"",M6,U6)</f>
        <v>付应付款</v>
      </c>
      <c r="J6" s="43" t="str">
        <f t="shared" ref="J6:J2005" si="1">IF(N6&lt;&gt;"",N6,V6)</f>
        <v>吴群</v>
      </c>
      <c r="K6" s="49" t="str">
        <f t="shared" ref="K6:K2005" si="2">IF(AND(B6="",D6="",E6="",F6=""),"",IF(C6="","✗ 没选账户",IF(AE6="","✗ 账户不在【基础资料】② 里",IF(NOT(ISNUMBER(B6)),"✗ 日期要填成日期（2026/5/1）",IF(AND(ISNUMBER(B6),B6&lt;基础资料!$C$9),"✗ 日期早于建账日期（建账前的放【期初余额】）",IF(AND(N(E6)&lt;&gt;0,N(F6)&lt;&gt;0),"✗ 收入、支出只填一边",IF(R6=0,"✗ 没有金额",IF(I6="","✗ 认不出收支类别：在「改类别」选",IF(W6="？","✗ 收支类别不在【基础资料】③ 里",IF(OR(I6="管理人员工资",I6="折旧费"),"✗ 这一类是自动算的，流水里不能选（发工资选「工资」，买设备选「固定资产购置」）",IF(AND(OR(X6="材料费",X6="人工费",X6="分包费",X6="机械运输费",X6="其他直接费",X6="票据贴息",X6="应收账款"),H6=""),"✗ 这一笔要选项目（摘要里的项目没在【项目档案】的话先去加上）",IF(AND(H6&lt;&gt;"",COUNTIF(项目档案!$B$4:$B$63,H6)=0),"✗ 项目不在【项目档案】里",IF(AND(OR(IFERROR(INDEX(基础资料!$W$5:$W$64,MATCH(I6,基础资料!$S$5:$S$64,0))&amp;"","")="人",IFERROR(INDEX(基础资料!$W$5:$W$64,MATCH(I6,基础资料!$S$5:$S$64,0))&amp;"","")="单位"),J6=""),"✗ 这一笔要选是谁（改单位/人）",IF(AND(I6="付应付款",NOT(OR(Z6="材料供应商",Z6="分包",Z6="机械运输",Z6="其他"))),"✗ 付应付款要选材料商、分包或机械单位",IF(AND(I6="付应付款",Y6=0),"✗ 这家没有应付：先在【应付登记】登记（现买现付的选材料费等）",IF(AND(OR(I6="工资",I6="工资退回"),AA6=0),"✗ 工资要选管理人员或工人（临时工选「临时工工资」）",IF(AND(I6="账户互转",AD6=""),"✗ 账户互转要在「对方账户」选（借款、报销选那个人的个人户）",IF(AND(I6="账户互转",AF6=""),"✗ 对方账户不在【基础资料】② 里",IF(AND(I6="账户互转",AD6=C6),"✗ 对方账户不能是自己",IF(IF(I6="账户互转",COUNTIFS(资金流水!$C$6:$C$2005,AD6,资金流水!$AD$6:$AD$2005,C6,资金流水!$I$6:$I$2005,"账户互转",资金流水!$R$6:$R$2005,-R6)&gt;0,FALSE),"✗ 对方账户那边也记了这笔互转（只记一边：清空其中一行的内容）",IF(AJ6&gt;0,"⚠ 摘要里有两个项目：拆成几行，或在「改项目」选",IF(AND(I6&lt;&gt;"账户互转",O6&lt;&gt;""),"⚠ 填了对方账户但类别不是账户互转（对方账户不起作用）",IF(AND(J6&lt;&gt;"",Z6=""),"⚠ 单位/人没在【往来单位】登记",IF(AND(N(F6)&lt;0,AH6="收"),"⚠ 这是收款，以后请记在收入栏",IF(N(E6)&lt;0,"⚠ 收入填了负数，已按支出算",IF(N(F6)&lt;0,"↩ 冲回（退款）",IF(AND(R6&lt;0,I6&lt;&gt;"固定资产购置",I6&lt;&gt;"付应付款",ISNUMBER(B6),IFERROR(SUMPRODUCT(ISNUMBER(SEARCH(基础资料!$AJ$5:$AJ$34,D6))*(基础资料!$AJ$5:$AJ$34&lt;&gt;"")*((AN6-基础资料!$AK$5:$AK$34)&lt;=30)*((AN6-基础资料!$AK$5:$AK$34)&gt;=-30)),0)&gt;0),"⚠ 像是在买【基础资料】⑥ 登记的车/设备：类别改成「固定资产购置」，不然成本算两遍",IF(AND(OR(I6="材料费",I6="分包费",I6="机械运输费",I6="其他直接费"),J6="",H6&lt;&gt;"",COUNTIFS(应付登记!$E$5:$E$1004,H6,应付登记!$G$5:$G$1004,-R6)&gt;0),"⚠ 这个项目有同样金额的应付登记：是付那家的，改类别选「付应付款」、改单位选那家（不然成本算两遍）","√"))))))))))))))))))))))))))))</f>
        <v>√</v>
      </c>
      <c r="L6" s="45" t="n"/>
      <c r="M6" s="45" t="n"/>
      <c r="N6" s="45" t="n"/>
      <c r="O6" s="45" t="n"/>
      <c r="P6" s="50" t="n"/>
      <c r="R6" s="2">
        <f t="shared" ref="R6:R2005" si="6">ROUND(N(E6)-N(F6),2)</f>
        <v>-15000</v>
      </c>
      <c r="S6" s="2">
        <f t="shared" ref="S6:S2005" si="7">IF(ISNUMBER(B6),YEAR(B6)*100+MONTH(B6),"")</f>
        <v>202605</v>
      </c>
      <c r="T6" s="2">
        <f t="shared" ref="T6:T2005" si="8">IF(N(AK6)=0,"",INDEX(_辅助!$S$1:$S$240,AK6))</f>
      </c>
      <c r="U6" s="2" t="str">
        <f t="shared" ref="U6:U2005" si="9">IF(OR(D6="",R6=0),"",IF(AND(Z6="临时工",R6&lt;0),"临时工工资",IF(AG6="",IF(AA6=1,"工资",IF(Z6="临时工","临时工工资",IF(Z6="甲方/总包","工程款",IF(AND(OR(Z6="材料供应商",Z6="分包",Z6="机械运输"),Y6=1),"付应付款","")))),IF(AND(Y6=1,OR(Z6="材料供应商",Z6="分包",Z6="机械运输",Z6="其他"),OR(AG6="材料费",AG6="分包费",AG6="机械运输费",AG6="其他直接费",AG6="工资",AG6="临时工工资")),"付应付款",AG6))))</f>
        <v>付应付款</v>
      </c>
      <c r="V6" s="2" t="str">
        <f t="shared" ref="V6:V2005" si="10">IF(D6="","",IF(N(AM6)&gt;0,IF(N(AM6)=0,"",INDEX(_辅助!$W$1:$W$900,AM6)),IF(N(AL6)=0,"",INDEX(_辅助!$W$1:$W$900,AL6))))</f>
        <v>吴群</v>
      </c>
      <c r="W6" s="2" t="str">
        <f t="shared" ref="W6:W2005" si="11">IF(I6="","",IFERROR(INDEX(基础资料!$V$5:$V$64,MATCH(I6,基础资料!$S$5:$S$64,0))&amp;"","？"))</f>
        <v>不进利润</v>
      </c>
      <c r="X6" s="2" t="str">
        <f t="shared" ref="X6:X2005" si="12">IF(R6=0,"",IF(OR(I6="",IFERROR(INDEX(基础资料!$U$5:$U$64,MATCH(I6,基础资料!$S$5:$S$64,0))&amp;"","")=""),"待分类",IF(OR(I6="付应付款",IFERROR(INDEX(基础资料!$U$5:$U$64,MATCH(I6,基础资料!$S$5:$S$64,0))&amp;"","")="应付款"),IF(Z6="材料供应商","应付材料款",IF(Z6="分包","应付分包款",IF(Z6="机械运输","应付机械运输费","应付其他款"))),IFERROR(INDEX(基础资料!$U$5:$U$64,MATCH(I6,基础资料!$S$5:$S$64,0))&amp;"",""))))</f>
        <v>应付分包款</v>
      </c>
      <c r="Y6" s="2">
        <f t="shared" ref="Y6:Y2005" si="13">IF(J6="",0,IF(COUNTIF(应付登记!$D$5:$D$1004,J6)+COUNTIF(期初余额!$P$5:$P$204,J6)&gt;0,1,0))</f>
        <v>1</v>
      </c>
      <c r="Z6" s="2" t="str">
        <f t="shared" ref="Z6:Z2005" si="14">IF(J6="","",IFERROR(INDEX(往来单位!$C$4:$C$303,MATCH(J6,往来单位!$B$4:$B$303,0))&amp;"",""))</f>
        <v>分包</v>
      </c>
      <c r="AA6" s="2">
        <f t="shared" ref="AA6:AA2005" si="15">IF(OR(Z6="管理人员",Z6="工人"),1,0)</f>
        <v>0</v>
      </c>
      <c r="AB6" s="2" t="str">
        <f t="shared" ref="AB6:AB2005" si="16">IF(ISERROR(FIND("代",D6)),"",IFERROR(MID(D6,FIND("代",D6)+1,FIND("付",D6,FIND("代",D6))-FIND("代",D6)-1),""))</f>
        <v>吴群</v>
      </c>
      <c r="AC6" s="2">
        <f t="shared" ref="AC6:AC2005" si="17">IF(I6&lt;&gt;"账户互转","",IF(J6&lt;&gt;"",IFERROR(INDEX(_辅助!$G$1:$G$40,MATCH(J6,_辅助!$F$1:$F$40,0)),IF(IFERROR(MATCH(1,INDEX(ISNUMBER(SEARCH(_辅助!$Z$1:$Z$40,D6))*(_辅助!$Z$1:$Z$40&lt;&gt;""),0),0),0)=0,"",INDEX(_辅助!$AA$1:$AA$40,IFERROR(MATCH(1,INDEX(ISNUMBER(SEARCH(_辅助!$Z$1:$Z$40,D6))*(_辅助!$Z$1:$Z$40&lt;&gt;""),0),0),0)))),IF(IFERROR(MATCH(1,INDEX(ISNUMBER(SEARCH(_辅助!$Z$1:$Z$40,D6))*(_辅助!$Z$1:$Z$40&lt;&gt;""),0),0),0)=0,"",INDEX(_辅助!$AA$1:$AA$40,IFERROR(MATCH(1,INDEX(ISNUMBER(SEARCH(_辅助!$Z$1:$Z$40,D6))*(_辅助!$Z$1:$Z$40&lt;&gt;""),0),0),0)))))</f>
      </c>
      <c r="AD6" s="2">
        <f t="shared" ref="AD6:AD2005" si="18">IF(O6&lt;&gt;"",O6,AC6)</f>
      </c>
      <c r="AE6" s="2" t="str">
        <f t="shared" ref="AE6:AE2005" si="19">IF(C6="","",IFERROR(INDEX(基础资料!$H$5:$H$24,MATCH(C6,基础资料!$G$5:$G$24,0))&amp;"",""))</f>
        <v>银行</v>
      </c>
      <c r="AF6" s="2">
        <f t="shared" ref="AF6:AF2005" si="20">IF(AD6="","",IFERROR(INDEX(基础资料!$H$5:$H$24,MATCH(AD6,基础资料!$G$5:$G$24,0))&amp;"",""))</f>
      </c>
      <c r="AG6" s="2" t="str">
        <f t="shared" ref="AG6:AG2005" si="21">IF(OR(D6="",R6=0),"",IFERROR(INDEX(基础资料!$AC$5:$AC$164,IF(IF(F6&lt;&gt;"","支","收")="收",MATCH(1,INDEX(ISNUMBER(SEARCH(_辅助!$AB$1:$AB$160,D6))*(_辅助!$AB$1:$AB$160&lt;&gt;""),0),0),MATCH(1,INDEX(ISNUMBER(SEARCH(_辅助!$AC$1:$AC$160,D6))*(_辅助!$AC$1:$AC$160&lt;&gt;""),0),0)))&amp;"",""))</f>
        <v>工资</v>
      </c>
      <c r="AH6" s="2" t="str">
        <f t="shared" ref="AH6:AH2005" si="22">IF(R6=0,"",IF(OR(IFERROR(INDEX(基础资料!$T$5:$T$64,MATCH(I6,基础资料!$S$5:$S$64,0))&amp;"","")="收",IFERROR(INDEX(基础资料!$T$5:$T$64,MATCH(I6,基础资料!$S$5:$S$64,0))&amp;"","")="支"),IFERROR(INDEX(基础资料!$T$5:$T$64,MATCH(I6,基础资料!$S$5:$S$64,0))&amp;"",""),IF(R6&gt;0,"收","支")))</f>
        <v>支</v>
      </c>
      <c r="AI6" s="2">
        <f t="shared" ref="AI6:AI2005" si="23">IF(N(AK6)=0,"",INDEX(_辅助!$R$1:$R$240,AK6))</f>
      </c>
      <c r="AJ6" s="2">
        <f t="shared" ref="AJ6:AJ2005" si="24">IF(OR(AI6="",L6&lt;&gt;""),0,SUMPRODUCT(ISNUMBER(SEARCH(_辅助!$R$1:$R$240,D6))*(_辅助!$R$1:$R$240&lt;&gt;"")*(1-ISNUMBER(SEARCH(_辅助!$R$1:$R$240,AI6)))*(_辅助!$S$1:$S$240&lt;&gt;T6)))</f>
        <v>0</v>
      </c>
      <c r="AK6" s="2">
        <f t="shared" ref="AK6:AK2005" si="25">IF(D6="",0,IFERROR(MATCH(1,INDEX(ISNUMBER(SEARCH(_辅助!$R$1:$R$240,D6))*(_辅助!$R$1:$R$240&lt;&gt;""),0),0),0))</f>
        <v>0</v>
      </c>
      <c r="AL6" s="2">
        <f t="shared" ref="AL6:AL2005" si="26">IF(D6="",0,IFERROR(MATCH(1,INDEX(ISNUMBER(SEARCH(_辅助!$V$1:$V$900,D6))*(_辅助!$V$1:$V$900&lt;&gt;""),0),0),0))</f>
        <v>99</v>
      </c>
      <c r="AM6" s="2">
        <f t="shared" ref="AM6:AM2005" si="27">IF(AB6="",0,IFERROR(MATCH(1,INDEX(ISNUMBER(SEARCH(_辅助!$V$1:$V$900,AB6))*(_辅助!$V$1:$V$900&lt;&gt;""),0),0),0))</f>
        <v>99</v>
      </c>
      <c r="AN6" s="2">
        <f t="shared" ref="AN6:AN2005" si="28">IF(ISNUMBER(B6),INT(B6),0)</f>
        <v>46143</v>
      </c>
      <c r="AO6" s="2">
        <f t="shared" ref="AO6:AO2005" si="29">IF(AND(X6="应收账款",R6&gt;0,AN6&gt;0,H6&lt;&gt;""),H6&amp;"|"&amp;COUNTIFS(资金流水!$H$6:$H$2005,H6,资金流水!$X$6:$X$2005,"应收账款",资金流水!$R$6:$R$2005,"&gt;0",资金流水!$AN$6:$AN$2005,"&gt;0",资金流水!$AN$6:$AN$2005,"&lt;="&amp;AN6),"")</f>
      </c>
      <c r="AP6" s="2" t="str">
        <f t="shared" ref="AP6:AP2005" si="30">IF(AND(J6&lt;&gt;"",R6&lt;0,AN6&gt;0),J6&amp;"|"&amp;COUNTIFS(资金流水!$J$6:$J$2005,J6,资金流水!$R$6:$R$2005,"&lt;0",资金流水!$AN$6:$AN$2005,"&gt;0",资金流水!$AN$6:$AN$2005,"&lt;="&amp;AN6),"")</f>
        <v>吴群|1</v>
      </c>
      <c r="AQ6" s="2">
        <f t="shared" ref="AQ6:AQ2005" si="31">IF(AND(X6="其他应收款",AN6&gt;0,J6&lt;&gt;""),J6&amp;"|"&amp;(COUNTIFS(资金流水!$J$6:$J$2005,J6,资金流水!$X$6:$X$2005,"其他应收款",资金流水!$AN$6:$AN$2005,"&gt;0",资金流水!$AN$6:$AN$2005,"&lt;"&amp;AN6)+COUNTIFS($J$6:J6,J6,$X$6:X6,"其他应收款",$AN$6:AN6,AN6)),"")</f>
      </c>
    </row>
    <row r="7">
      <c r="A7" s="43">
        <f t="shared" si="3"/>
        <v>2</v>
      </c>
      <c r="B7" s="44" t="n">
        <v>46144</v>
      </c>
      <c r="C7" s="45" t="inlineStr">
        <is>
          <t>九江银行</t>
        </is>
      </c>
      <c r="D7" s="46" t="inlineStr">
        <is>
          <t>付邓泽贵工资</t>
        </is>
      </c>
      <c r="E7" s="47" t="n"/>
      <c r="F7" s="47" t="n">
        <v>3000</v>
      </c>
      <c r="G7" s="48">
        <f t="shared" si="4"/>
        <v>-18000</v>
      </c>
      <c r="H7" s="43">
        <f t="shared" si="0"/>
      </c>
      <c r="I7" s="43" t="str">
        <f t="shared" si="5"/>
        <v>工资</v>
      </c>
      <c r="J7" s="43" t="str">
        <f t="shared" si="1"/>
        <v>邓泽贵</v>
      </c>
      <c r="K7" s="49" t="str">
        <f t="shared" si="2"/>
        <v>√</v>
      </c>
      <c r="L7" s="45" t="n"/>
      <c r="M7" s="45" t="n"/>
      <c r="N7" s="45" t="n"/>
      <c r="O7" s="45" t="n"/>
      <c r="P7" s="50" t="n"/>
      <c r="R7" s="2">
        <f t="shared" si="6"/>
        <v>-3000</v>
      </c>
      <c r="S7" s="2">
        <f t="shared" si="7"/>
        <v>202605</v>
      </c>
      <c r="T7" s="2">
        <f t="shared" si="8"/>
      </c>
      <c r="U7" s="2" t="str">
        <f t="shared" si="9"/>
        <v>工资</v>
      </c>
      <c r="V7" s="2" t="str">
        <f t="shared" si="10"/>
        <v>邓泽贵</v>
      </c>
      <c r="W7" s="2" t="str">
        <f t="shared" si="11"/>
        <v>不进利润</v>
      </c>
      <c r="X7" s="2" t="str">
        <f t="shared" si="12"/>
        <v>应付职工薪酬</v>
      </c>
      <c r="Y7" s="2">
        <f t="shared" si="13"/>
        <v>0</v>
      </c>
      <c r="Z7" s="2" t="str">
        <f t="shared" si="14"/>
        <v>工人</v>
      </c>
      <c r="AA7" s="2">
        <f t="shared" si="15"/>
        <v>1</v>
      </c>
      <c r="AB7" s="2">
        <f t="shared" si="16"/>
      </c>
      <c r="AC7" s="2">
        <f t="shared" si="17"/>
      </c>
      <c r="AD7" s="2">
        <f t="shared" si="18"/>
      </c>
      <c r="AE7" s="2" t="str">
        <f t="shared" si="19"/>
        <v>银行</v>
      </c>
      <c r="AF7" s="2">
        <f t="shared" si="20"/>
      </c>
      <c r="AG7" s="2" t="str">
        <f t="shared" si="21"/>
        <v>工资</v>
      </c>
      <c r="AH7" s="2" t="str">
        <f t="shared" si="22"/>
        <v>支</v>
      </c>
      <c r="AI7" s="2">
        <f t="shared" si="23"/>
      </c>
      <c r="AJ7" s="2">
        <f t="shared" si="24"/>
        <v>0</v>
      </c>
      <c r="AK7" s="2">
        <f t="shared" si="25"/>
        <v>0</v>
      </c>
      <c r="AL7" s="2">
        <f t="shared" si="26"/>
        <v>52</v>
      </c>
      <c r="AM7" s="2">
        <f t="shared" si="27"/>
        <v>0</v>
      </c>
      <c r="AN7" s="2">
        <f t="shared" si="28"/>
        <v>46144</v>
      </c>
      <c r="AO7" s="2">
        <f t="shared" si="29"/>
      </c>
      <c r="AP7" s="2" t="str">
        <f t="shared" si="30"/>
        <v>邓泽贵|1</v>
      </c>
      <c r="AQ7" s="2">
        <f t="shared" si="31"/>
      </c>
    </row>
    <row r="8">
      <c r="A8" s="43">
        <f t="shared" si="3"/>
        <v>3</v>
      </c>
      <c r="B8" s="44" t="n">
        <v>46144</v>
      </c>
      <c r="C8" s="45" t="inlineStr">
        <is>
          <t>九江银行</t>
        </is>
      </c>
      <c r="D8" s="46" t="inlineStr">
        <is>
          <t>付吴志刚工资</t>
        </is>
      </c>
      <c r="E8" s="47" t="n"/>
      <c r="F8" s="47" t="n">
        <v>3000</v>
      </c>
      <c r="G8" s="48">
        <f t="shared" si="4"/>
        <v>-21000</v>
      </c>
      <c r="H8" s="43">
        <f t="shared" si="0"/>
      </c>
      <c r="I8" s="43" t="str">
        <f t="shared" si="5"/>
        <v>工资</v>
      </c>
      <c r="J8" s="43" t="str">
        <f t="shared" si="1"/>
        <v>吴志刚</v>
      </c>
      <c r="K8" s="49" t="str">
        <f t="shared" si="2"/>
        <v>√</v>
      </c>
      <c r="L8" s="45" t="n"/>
      <c r="M8" s="45" t="n"/>
      <c r="N8" s="45" t="n"/>
      <c r="O8" s="45" t="n"/>
      <c r="P8" s="50" t="n"/>
      <c r="R8" s="2">
        <f t="shared" si="6"/>
        <v>-3000</v>
      </c>
      <c r="S8" s="2">
        <f t="shared" si="7"/>
        <v>202605</v>
      </c>
      <c r="T8" s="2">
        <f t="shared" si="8"/>
      </c>
      <c r="U8" s="2" t="str">
        <f t="shared" si="9"/>
        <v>工资</v>
      </c>
      <c r="V8" s="2" t="str">
        <f t="shared" si="10"/>
        <v>吴志刚</v>
      </c>
      <c r="W8" s="2" t="str">
        <f t="shared" si="11"/>
        <v>不进利润</v>
      </c>
      <c r="X8" s="2" t="str">
        <f t="shared" si="12"/>
        <v>应付职工薪酬</v>
      </c>
      <c r="Y8" s="2">
        <f t="shared" si="13"/>
        <v>0</v>
      </c>
      <c r="Z8" s="2" t="str">
        <f t="shared" si="14"/>
        <v>工人</v>
      </c>
      <c r="AA8" s="2">
        <f t="shared" si="15"/>
        <v>1</v>
      </c>
      <c r="AB8" s="2">
        <f t="shared" si="16"/>
      </c>
      <c r="AC8" s="2">
        <f t="shared" si="17"/>
      </c>
      <c r="AD8" s="2">
        <f t="shared" si="18"/>
      </c>
      <c r="AE8" s="2" t="str">
        <f t="shared" si="19"/>
        <v>银行</v>
      </c>
      <c r="AF8" s="2">
        <f t="shared" si="20"/>
      </c>
      <c r="AG8" s="2" t="str">
        <f t="shared" si="21"/>
        <v>工资</v>
      </c>
      <c r="AH8" s="2" t="str">
        <f t="shared" si="22"/>
        <v>支</v>
      </c>
      <c r="AI8" s="2">
        <f t="shared" si="23"/>
      </c>
      <c r="AJ8" s="2">
        <f t="shared" si="24"/>
        <v>0</v>
      </c>
      <c r="AK8" s="2">
        <f t="shared" si="25"/>
        <v>0</v>
      </c>
      <c r="AL8" s="2">
        <f t="shared" si="26"/>
        <v>65</v>
      </c>
      <c r="AM8" s="2">
        <f t="shared" si="27"/>
        <v>0</v>
      </c>
      <c r="AN8" s="2">
        <f t="shared" si="28"/>
        <v>46144</v>
      </c>
      <c r="AO8" s="2">
        <f t="shared" si="29"/>
      </c>
      <c r="AP8" s="2" t="str">
        <f t="shared" si="30"/>
        <v>吴志刚|1</v>
      </c>
      <c r="AQ8" s="2">
        <f t="shared" si="31"/>
      </c>
    </row>
    <row r="9">
      <c r="A9" s="43">
        <f t="shared" si="3"/>
        <v>4</v>
      </c>
      <c r="B9" s="44" t="n">
        <v>46144</v>
      </c>
      <c r="C9" s="45" t="inlineStr">
        <is>
          <t>九江银行</t>
        </is>
      </c>
      <c r="D9" s="46" t="inlineStr">
        <is>
          <t>付金南水工资</t>
        </is>
      </c>
      <c r="E9" s="47" t="n"/>
      <c r="F9" s="47" t="n">
        <v>3000</v>
      </c>
      <c r="G9" s="48">
        <f t="shared" si="4"/>
        <v>-24000</v>
      </c>
      <c r="H9" s="43">
        <f t="shared" si="0"/>
      </c>
      <c r="I9" s="43" t="str">
        <f t="shared" si="5"/>
        <v>工资</v>
      </c>
      <c r="J9" s="43" t="str">
        <f t="shared" si="1"/>
        <v>金南水</v>
      </c>
      <c r="K9" s="49" t="str">
        <f t="shared" si="2"/>
        <v>√</v>
      </c>
      <c r="L9" s="45" t="n"/>
      <c r="M9" s="45" t="n"/>
      <c r="N9" s="45" t="n"/>
      <c r="O9" s="45" t="n"/>
      <c r="P9" s="50" t="n"/>
      <c r="R9" s="2">
        <f t="shared" si="6"/>
        <v>-3000</v>
      </c>
      <c r="S9" s="2">
        <f t="shared" si="7"/>
        <v>202605</v>
      </c>
      <c r="T9" s="2">
        <f t="shared" si="8"/>
      </c>
      <c r="U9" s="2" t="str">
        <f t="shared" si="9"/>
        <v>工资</v>
      </c>
      <c r="V9" s="2" t="str">
        <f t="shared" si="10"/>
        <v>金南水</v>
      </c>
      <c r="W9" s="2" t="str">
        <f t="shared" si="11"/>
        <v>不进利润</v>
      </c>
      <c r="X9" s="2" t="str">
        <f t="shared" si="12"/>
        <v>应付职工薪酬</v>
      </c>
      <c r="Y9" s="2">
        <f t="shared" si="13"/>
        <v>0</v>
      </c>
      <c r="Z9" s="2" t="str">
        <f t="shared" si="14"/>
        <v>工人</v>
      </c>
      <c r="AA9" s="2">
        <f t="shared" si="15"/>
        <v>1</v>
      </c>
      <c r="AB9" s="2">
        <f t="shared" si="16"/>
      </c>
      <c r="AC9" s="2">
        <f t="shared" si="17"/>
      </c>
      <c r="AD9" s="2">
        <f t="shared" si="18"/>
      </c>
      <c r="AE9" s="2" t="str">
        <f t="shared" si="19"/>
        <v>银行</v>
      </c>
      <c r="AF9" s="2">
        <f t="shared" si="20"/>
      </c>
      <c r="AG9" s="2" t="str">
        <f t="shared" si="21"/>
        <v>工资</v>
      </c>
      <c r="AH9" s="2" t="str">
        <f t="shared" si="22"/>
        <v>支</v>
      </c>
      <c r="AI9" s="2">
        <f t="shared" si="23"/>
      </c>
      <c r="AJ9" s="2">
        <f t="shared" si="24"/>
        <v>0</v>
      </c>
      <c r="AK9" s="2">
        <f t="shared" si="25"/>
        <v>0</v>
      </c>
      <c r="AL9" s="2">
        <f t="shared" si="26"/>
        <v>57</v>
      </c>
      <c r="AM9" s="2">
        <f t="shared" si="27"/>
        <v>0</v>
      </c>
      <c r="AN9" s="2">
        <f t="shared" si="28"/>
        <v>46144</v>
      </c>
      <c r="AO9" s="2">
        <f t="shared" si="29"/>
      </c>
      <c r="AP9" s="2" t="str">
        <f t="shared" si="30"/>
        <v>金南水|1</v>
      </c>
      <c r="AQ9" s="2">
        <f t="shared" si="31"/>
      </c>
    </row>
    <row r="10">
      <c r="A10" s="43">
        <f t="shared" si="3"/>
        <v>5</v>
      </c>
      <c r="B10" s="44" t="n">
        <v>46145</v>
      </c>
      <c r="C10" s="45" t="inlineStr">
        <is>
          <t>九江银行</t>
        </is>
      </c>
      <c r="D10" s="46" t="inlineStr">
        <is>
          <t>付张亮亮工资</t>
        </is>
      </c>
      <c r="E10" s="47" t="n"/>
      <c r="F10" s="47" t="n">
        <v>4000</v>
      </c>
      <c r="G10" s="48">
        <f t="shared" si="4"/>
        <v>-28000</v>
      </c>
      <c r="H10" s="43">
        <f t="shared" si="0"/>
      </c>
      <c r="I10" s="43" t="str">
        <f t="shared" si="5"/>
        <v>工资</v>
      </c>
      <c r="J10" s="43" t="str">
        <f t="shared" si="1"/>
        <v>张亮亮</v>
      </c>
      <c r="K10" s="49" t="str">
        <f t="shared" si="2"/>
        <v>√</v>
      </c>
      <c r="L10" s="45" t="n"/>
      <c r="M10" s="45" t="n"/>
      <c r="N10" s="45" t="n"/>
      <c r="O10" s="45" t="n"/>
      <c r="P10" s="50" t="n"/>
      <c r="R10" s="2">
        <f t="shared" si="6"/>
        <v>-4000</v>
      </c>
      <c r="S10" s="2">
        <f t="shared" si="7"/>
        <v>202605</v>
      </c>
      <c r="T10" s="2">
        <f t="shared" si="8"/>
      </c>
      <c r="U10" s="2" t="str">
        <f t="shared" si="9"/>
        <v>工资</v>
      </c>
      <c r="V10" s="2" t="str">
        <f t="shared" si="10"/>
        <v>张亮亮</v>
      </c>
      <c r="W10" s="2" t="str">
        <f t="shared" si="11"/>
        <v>不进利润</v>
      </c>
      <c r="X10" s="2" t="str">
        <f t="shared" si="12"/>
        <v>应付职工薪酬</v>
      </c>
      <c r="Y10" s="2">
        <f t="shared" si="13"/>
        <v>0</v>
      </c>
      <c r="Z10" s="2" t="str">
        <f t="shared" si="14"/>
        <v>工人</v>
      </c>
      <c r="AA10" s="2">
        <f t="shared" si="15"/>
        <v>1</v>
      </c>
      <c r="AB10" s="2">
        <f t="shared" si="16"/>
      </c>
      <c r="AC10" s="2">
        <f t="shared" si="17"/>
      </c>
      <c r="AD10" s="2">
        <f t="shared" si="18"/>
      </c>
      <c r="AE10" s="2" t="str">
        <f t="shared" si="19"/>
        <v>银行</v>
      </c>
      <c r="AF10" s="2">
        <f t="shared" si="20"/>
      </c>
      <c r="AG10" s="2" t="str">
        <f t="shared" si="21"/>
        <v>工资</v>
      </c>
      <c r="AH10" s="2" t="str">
        <f t="shared" si="22"/>
        <v>支</v>
      </c>
      <c r="AI10" s="2">
        <f t="shared" si="23"/>
      </c>
      <c r="AJ10" s="2">
        <f t="shared" si="24"/>
        <v>0</v>
      </c>
      <c r="AK10" s="2">
        <f t="shared" si="25"/>
        <v>0</v>
      </c>
      <c r="AL10" s="2">
        <f t="shared" si="26"/>
        <v>63</v>
      </c>
      <c r="AM10" s="2">
        <f t="shared" si="27"/>
        <v>0</v>
      </c>
      <c r="AN10" s="2">
        <f t="shared" si="28"/>
        <v>46145</v>
      </c>
      <c r="AO10" s="2">
        <f t="shared" si="29"/>
      </c>
      <c r="AP10" s="2" t="str">
        <f t="shared" si="30"/>
        <v>张亮亮|1</v>
      </c>
      <c r="AQ10" s="2">
        <f t="shared" si="31"/>
      </c>
    </row>
    <row r="11">
      <c r="A11" s="43">
        <f t="shared" si="3"/>
        <v>6</v>
      </c>
      <c r="B11" s="44" t="n">
        <v>46148</v>
      </c>
      <c r="C11" s="45" t="inlineStr">
        <is>
          <t>九江银行</t>
        </is>
      </c>
      <c r="D11" s="46" t="inlineStr">
        <is>
          <t>付共安门业材料款</t>
        </is>
      </c>
      <c r="E11" s="47" t="n"/>
      <c r="F11" s="47" t="n">
        <v>4940</v>
      </c>
      <c r="G11" s="48">
        <f t="shared" si="4"/>
        <v>-32940</v>
      </c>
      <c r="H11" s="43">
        <f t="shared" si="0"/>
      </c>
      <c r="I11" s="43" t="str">
        <f t="shared" si="5"/>
        <v>付应付款</v>
      </c>
      <c r="J11" s="43" t="str">
        <f t="shared" si="1"/>
        <v>共安门业</v>
      </c>
      <c r="K11" s="49" t="str">
        <f t="shared" si="2"/>
        <v>√</v>
      </c>
      <c r="L11" s="45" t="n"/>
      <c r="M11" s="45" t="n"/>
      <c r="N11" s="45" t="n"/>
      <c r="O11" s="45" t="n"/>
      <c r="P11" s="50" t="n"/>
      <c r="R11" s="2">
        <f t="shared" si="6"/>
        <v>-4940</v>
      </c>
      <c r="S11" s="2">
        <f t="shared" si="7"/>
        <v>202605</v>
      </c>
      <c r="T11" s="2">
        <f t="shared" si="8"/>
      </c>
      <c r="U11" s="2" t="str">
        <f t="shared" si="9"/>
        <v>付应付款</v>
      </c>
      <c r="V11" s="2" t="str">
        <f t="shared" si="10"/>
        <v>共安门业</v>
      </c>
      <c r="W11" s="2" t="str">
        <f t="shared" si="11"/>
        <v>不进利润</v>
      </c>
      <c r="X11" s="2" t="str">
        <f t="shared" si="12"/>
        <v>应付分包款</v>
      </c>
      <c r="Y11" s="2">
        <f t="shared" si="13"/>
        <v>1</v>
      </c>
      <c r="Z11" s="2" t="str">
        <f t="shared" si="14"/>
        <v>分包</v>
      </c>
      <c r="AA11" s="2">
        <f t="shared" si="15"/>
        <v>0</v>
      </c>
      <c r="AB11" s="2">
        <f t="shared" si="16"/>
      </c>
      <c r="AC11" s="2">
        <f t="shared" si="17"/>
      </c>
      <c r="AD11" s="2">
        <f t="shared" si="18"/>
      </c>
      <c r="AE11" s="2" t="str">
        <f t="shared" si="19"/>
        <v>银行</v>
      </c>
      <c r="AF11" s="2">
        <f t="shared" si="20"/>
      </c>
      <c r="AG11" s="2" t="str">
        <f t="shared" si="21"/>
        <v>材料费</v>
      </c>
      <c r="AH11" s="2" t="str">
        <f t="shared" si="22"/>
        <v>支</v>
      </c>
      <c r="AI11" s="2">
        <f t="shared" si="23"/>
      </c>
      <c r="AJ11" s="2">
        <f t="shared" si="24"/>
        <v>0</v>
      </c>
      <c r="AK11" s="2">
        <f t="shared" si="25"/>
        <v>0</v>
      </c>
      <c r="AL11" s="2">
        <f t="shared" si="26"/>
        <v>38</v>
      </c>
      <c r="AM11" s="2">
        <f t="shared" si="27"/>
        <v>0</v>
      </c>
      <c r="AN11" s="2">
        <f t="shared" si="28"/>
        <v>46148</v>
      </c>
      <c r="AO11" s="2">
        <f t="shared" si="29"/>
      </c>
      <c r="AP11" s="2" t="str">
        <f t="shared" si="30"/>
        <v>共安门业|2</v>
      </c>
      <c r="AQ11" s="2">
        <f t="shared" si="31"/>
      </c>
    </row>
    <row r="12">
      <c r="A12" s="43">
        <f t="shared" si="3"/>
        <v>7</v>
      </c>
      <c r="B12" s="44" t="n">
        <v>46150</v>
      </c>
      <c r="C12" s="45" t="inlineStr">
        <is>
          <t>九江银行</t>
        </is>
      </c>
      <c r="D12" s="46" t="inlineStr">
        <is>
          <t>收到股东借款-聂辉</t>
        </is>
      </c>
      <c r="E12" s="47" t="n">
        <v>10000</v>
      </c>
      <c r="F12" s="47" t="n"/>
      <c r="G12" s="48">
        <f t="shared" si="4"/>
        <v>-22940</v>
      </c>
      <c r="H12" s="43">
        <f t="shared" si="0"/>
      </c>
      <c r="I12" s="43" t="str">
        <f t="shared" si="5"/>
        <v>账户互转</v>
      </c>
      <c r="J12" s="43" t="str">
        <f t="shared" si="1"/>
        <v>聂辉</v>
      </c>
      <c r="K12" s="49" t="str">
        <f t="shared" si="2"/>
        <v>√</v>
      </c>
      <c r="L12" s="45" t="n"/>
      <c r="M12" s="45" t="n"/>
      <c r="N12" s="45" t="n"/>
      <c r="O12" s="45" t="n"/>
      <c r="P12" s="50" t="n"/>
      <c r="R12" s="2">
        <f t="shared" si="6"/>
        <v>10000</v>
      </c>
      <c r="S12" s="2">
        <f t="shared" si="7"/>
        <v>202605</v>
      </c>
      <c r="T12" s="2">
        <f t="shared" si="8"/>
      </c>
      <c r="U12" s="2" t="str">
        <f t="shared" si="9"/>
        <v>账户互转</v>
      </c>
      <c r="V12" s="2" t="str">
        <f t="shared" si="10"/>
        <v>聂辉</v>
      </c>
      <c r="W12" s="2" t="str">
        <f t="shared" si="11"/>
        <v>不进利润</v>
      </c>
      <c r="X12" s="2" t="str">
        <f t="shared" si="12"/>
        <v>账户互转</v>
      </c>
      <c r="Y12" s="2">
        <f t="shared" si="13"/>
        <v>0</v>
      </c>
      <c r="Z12" s="2" t="str">
        <f t="shared" si="14"/>
        <v>管理人员</v>
      </c>
      <c r="AA12" s="2">
        <f t="shared" si="15"/>
        <v>1</v>
      </c>
      <c r="AB12" s="2">
        <f t="shared" si="16"/>
      </c>
      <c r="AC12" s="2" t="str">
        <f t="shared" si="17"/>
        <v>聂辉个人户</v>
      </c>
      <c r="AD12" s="2" t="str">
        <f t="shared" si="18"/>
        <v>聂辉个人户</v>
      </c>
      <c r="AE12" s="2" t="str">
        <f t="shared" si="19"/>
        <v>银行</v>
      </c>
      <c r="AF12" s="2" t="str">
        <f t="shared" si="20"/>
        <v>个人户</v>
      </c>
      <c r="AG12" s="2" t="str">
        <f t="shared" si="21"/>
        <v>账户互转</v>
      </c>
      <c r="AH12" s="2" t="str">
        <f t="shared" si="22"/>
        <v>收</v>
      </c>
      <c r="AI12" s="2">
        <f t="shared" si="23"/>
      </c>
      <c r="AJ12" s="2">
        <f t="shared" si="24"/>
        <v>0</v>
      </c>
      <c r="AK12" s="2">
        <f t="shared" si="25"/>
        <v>0</v>
      </c>
      <c r="AL12" s="2">
        <f t="shared" si="26"/>
        <v>111</v>
      </c>
      <c r="AM12" s="2">
        <f t="shared" si="27"/>
        <v>0</v>
      </c>
      <c r="AN12" s="2">
        <f t="shared" si="28"/>
        <v>46150</v>
      </c>
      <c r="AO12" s="2">
        <f t="shared" si="29"/>
      </c>
      <c r="AP12" s="2">
        <f t="shared" si="30"/>
      </c>
      <c r="AQ12" s="2">
        <f t="shared" si="31"/>
      </c>
    </row>
    <row r="13">
      <c r="A13" s="43">
        <f t="shared" si="3"/>
        <v>8</v>
      </c>
      <c r="B13" s="44" t="n">
        <v>46150</v>
      </c>
      <c r="C13" s="45" t="inlineStr">
        <is>
          <t>九江银行</t>
        </is>
      </c>
      <c r="D13" s="46" t="inlineStr">
        <is>
          <t>收到股东借款-聂辉</t>
        </is>
      </c>
      <c r="E13" s="47" t="n">
        <v>2000</v>
      </c>
      <c r="F13" s="47" t="n"/>
      <c r="G13" s="48">
        <f t="shared" si="4"/>
        <v>-20940</v>
      </c>
      <c r="H13" s="43">
        <f t="shared" si="0"/>
      </c>
      <c r="I13" s="43" t="str">
        <f t="shared" si="5"/>
        <v>账户互转</v>
      </c>
      <c r="J13" s="43" t="str">
        <f t="shared" si="1"/>
        <v>聂辉</v>
      </c>
      <c r="K13" s="49" t="str">
        <f t="shared" si="2"/>
        <v>√</v>
      </c>
      <c r="L13" s="45" t="n"/>
      <c r="M13" s="45" t="n"/>
      <c r="N13" s="45" t="n"/>
      <c r="O13" s="45" t="n"/>
      <c r="P13" s="50" t="n"/>
      <c r="R13" s="2">
        <f t="shared" si="6"/>
        <v>2000</v>
      </c>
      <c r="S13" s="2">
        <f t="shared" si="7"/>
        <v>202605</v>
      </c>
      <c r="T13" s="2">
        <f t="shared" si="8"/>
      </c>
      <c r="U13" s="2" t="str">
        <f t="shared" si="9"/>
        <v>账户互转</v>
      </c>
      <c r="V13" s="2" t="str">
        <f t="shared" si="10"/>
        <v>聂辉</v>
      </c>
      <c r="W13" s="2" t="str">
        <f t="shared" si="11"/>
        <v>不进利润</v>
      </c>
      <c r="X13" s="2" t="str">
        <f t="shared" si="12"/>
        <v>账户互转</v>
      </c>
      <c r="Y13" s="2">
        <f t="shared" si="13"/>
        <v>0</v>
      </c>
      <c r="Z13" s="2" t="str">
        <f t="shared" si="14"/>
        <v>管理人员</v>
      </c>
      <c r="AA13" s="2">
        <f t="shared" si="15"/>
        <v>1</v>
      </c>
      <c r="AB13" s="2">
        <f t="shared" si="16"/>
      </c>
      <c r="AC13" s="2" t="str">
        <f t="shared" si="17"/>
        <v>聂辉个人户</v>
      </c>
      <c r="AD13" s="2" t="str">
        <f t="shared" si="18"/>
        <v>聂辉个人户</v>
      </c>
      <c r="AE13" s="2" t="str">
        <f t="shared" si="19"/>
        <v>银行</v>
      </c>
      <c r="AF13" s="2" t="str">
        <f t="shared" si="20"/>
        <v>个人户</v>
      </c>
      <c r="AG13" s="2" t="str">
        <f t="shared" si="21"/>
        <v>账户互转</v>
      </c>
      <c r="AH13" s="2" t="str">
        <f t="shared" si="22"/>
        <v>收</v>
      </c>
      <c r="AI13" s="2">
        <f t="shared" si="23"/>
      </c>
      <c r="AJ13" s="2">
        <f t="shared" si="24"/>
        <v>0</v>
      </c>
      <c r="AK13" s="2">
        <f t="shared" si="25"/>
        <v>0</v>
      </c>
      <c r="AL13" s="2">
        <f t="shared" si="26"/>
        <v>111</v>
      </c>
      <c r="AM13" s="2">
        <f t="shared" si="27"/>
        <v>0</v>
      </c>
      <c r="AN13" s="2">
        <f t="shared" si="28"/>
        <v>46150</v>
      </c>
      <c r="AO13" s="2">
        <f t="shared" si="29"/>
      </c>
      <c r="AP13" s="2">
        <f t="shared" si="30"/>
      </c>
      <c r="AQ13" s="2">
        <f t="shared" si="31"/>
      </c>
    </row>
    <row r="14">
      <c r="A14" s="43">
        <f t="shared" si="3"/>
        <v>9</v>
      </c>
      <c r="B14" s="44" t="n">
        <v>46150</v>
      </c>
      <c r="C14" s="45" t="inlineStr">
        <is>
          <t>九江银行</t>
        </is>
      </c>
      <c r="D14" s="46" t="inlineStr">
        <is>
          <t>支付酒款</t>
        </is>
      </c>
      <c r="E14" s="47" t="n"/>
      <c r="F14" s="47" t="n">
        <v>20000</v>
      </c>
      <c r="G14" s="48">
        <f t="shared" si="4"/>
        <v>-40940</v>
      </c>
      <c r="H14" s="43">
        <f t="shared" si="0"/>
      </c>
      <c r="I14" s="43" t="str">
        <f t="shared" si="5"/>
        <v>业务招待费</v>
      </c>
      <c r="J14" s="43">
        <f t="shared" si="1"/>
      </c>
      <c r="K14" s="49" t="str">
        <f t="shared" si="2"/>
        <v>√</v>
      </c>
      <c r="L14" s="45" t="n"/>
      <c r="M14" s="45" t="n"/>
      <c r="N14" s="45" t="n"/>
      <c r="O14" s="45" t="n"/>
      <c r="P14" s="50" t="n"/>
      <c r="R14" s="2">
        <f t="shared" si="6"/>
        <v>-20000</v>
      </c>
      <c r="S14" s="2">
        <f t="shared" si="7"/>
        <v>202605</v>
      </c>
      <c r="T14" s="2">
        <f t="shared" si="8"/>
      </c>
      <c r="U14" s="2" t="str">
        <f t="shared" si="9"/>
        <v>业务招待费</v>
      </c>
      <c r="V14" s="2">
        <f t="shared" si="10"/>
      </c>
      <c r="W14" s="2" t="str">
        <f t="shared" si="11"/>
        <v>公司间接费</v>
      </c>
      <c r="X14" s="2" t="str">
        <f t="shared" si="12"/>
        <v>业务招待费</v>
      </c>
      <c r="Y14" s="2">
        <f t="shared" si="13"/>
        <v>0</v>
      </c>
      <c r="Z14" s="2">
        <f t="shared" si="14"/>
      </c>
      <c r="AA14" s="2">
        <f t="shared" si="15"/>
        <v>0</v>
      </c>
      <c r="AB14" s="2">
        <f t="shared" si="16"/>
      </c>
      <c r="AC14" s="2">
        <f t="shared" si="17"/>
      </c>
      <c r="AD14" s="2">
        <f t="shared" si="18"/>
      </c>
      <c r="AE14" s="2" t="str">
        <f t="shared" si="19"/>
        <v>银行</v>
      </c>
      <c r="AF14" s="2">
        <f t="shared" si="20"/>
      </c>
      <c r="AG14" s="2" t="str">
        <f t="shared" si="21"/>
        <v>业务招待费</v>
      </c>
      <c r="AH14" s="2" t="str">
        <f t="shared" si="22"/>
        <v>支</v>
      </c>
      <c r="AI14" s="2">
        <f t="shared" si="23"/>
      </c>
      <c r="AJ14" s="2">
        <f t="shared" si="24"/>
        <v>0</v>
      </c>
      <c r="AK14" s="2">
        <f t="shared" si="25"/>
        <v>0</v>
      </c>
      <c r="AL14" s="2">
        <f t="shared" si="26"/>
        <v>0</v>
      </c>
      <c r="AM14" s="2">
        <f t="shared" si="27"/>
        <v>0</v>
      </c>
      <c r="AN14" s="2">
        <f t="shared" si="28"/>
        <v>46150</v>
      </c>
      <c r="AO14" s="2">
        <f t="shared" si="29"/>
      </c>
      <c r="AP14" s="2">
        <f t="shared" si="30"/>
      </c>
      <c r="AQ14" s="2">
        <f t="shared" si="31"/>
      </c>
    </row>
    <row r="15">
      <c r="A15" s="43">
        <f t="shared" si="3"/>
        <v>10</v>
      </c>
      <c r="B15" s="44" t="n">
        <v>46155</v>
      </c>
      <c r="C15" s="45" t="inlineStr">
        <is>
          <t>九江银行</t>
        </is>
      </c>
      <c r="D15" s="46" t="inlineStr">
        <is>
          <t>收到股东借款-聂辉</t>
        </is>
      </c>
      <c r="E15" s="47" t="n">
        <v>10000</v>
      </c>
      <c r="F15" s="47" t="n"/>
      <c r="G15" s="48">
        <f t="shared" si="4"/>
        <v>-30940</v>
      </c>
      <c r="H15" s="43">
        <f t="shared" si="0"/>
      </c>
      <c r="I15" s="43" t="str">
        <f t="shared" si="5"/>
        <v>账户互转</v>
      </c>
      <c r="J15" s="43" t="str">
        <f t="shared" si="1"/>
        <v>聂辉</v>
      </c>
      <c r="K15" s="49" t="str">
        <f t="shared" si="2"/>
        <v>√</v>
      </c>
      <c r="L15" s="45" t="n"/>
      <c r="M15" s="45" t="n"/>
      <c r="N15" s="45" t="n"/>
      <c r="O15" s="45" t="n"/>
      <c r="P15" s="50" t="n"/>
      <c r="R15" s="2">
        <f t="shared" si="6"/>
        <v>10000</v>
      </c>
      <c r="S15" s="2">
        <f t="shared" si="7"/>
        <v>202605</v>
      </c>
      <c r="T15" s="2">
        <f t="shared" si="8"/>
      </c>
      <c r="U15" s="2" t="str">
        <f t="shared" si="9"/>
        <v>账户互转</v>
      </c>
      <c r="V15" s="2" t="str">
        <f t="shared" si="10"/>
        <v>聂辉</v>
      </c>
      <c r="W15" s="2" t="str">
        <f t="shared" si="11"/>
        <v>不进利润</v>
      </c>
      <c r="X15" s="2" t="str">
        <f t="shared" si="12"/>
        <v>账户互转</v>
      </c>
      <c r="Y15" s="2">
        <f t="shared" si="13"/>
        <v>0</v>
      </c>
      <c r="Z15" s="2" t="str">
        <f t="shared" si="14"/>
        <v>管理人员</v>
      </c>
      <c r="AA15" s="2">
        <f t="shared" si="15"/>
        <v>1</v>
      </c>
      <c r="AB15" s="2">
        <f t="shared" si="16"/>
      </c>
      <c r="AC15" s="2" t="str">
        <f t="shared" si="17"/>
        <v>聂辉个人户</v>
      </c>
      <c r="AD15" s="2" t="str">
        <f t="shared" si="18"/>
        <v>聂辉个人户</v>
      </c>
      <c r="AE15" s="2" t="str">
        <f t="shared" si="19"/>
        <v>银行</v>
      </c>
      <c r="AF15" s="2" t="str">
        <f t="shared" si="20"/>
        <v>个人户</v>
      </c>
      <c r="AG15" s="2" t="str">
        <f t="shared" si="21"/>
        <v>账户互转</v>
      </c>
      <c r="AH15" s="2" t="str">
        <f t="shared" si="22"/>
        <v>收</v>
      </c>
      <c r="AI15" s="2">
        <f t="shared" si="23"/>
      </c>
      <c r="AJ15" s="2">
        <f t="shared" si="24"/>
        <v>0</v>
      </c>
      <c r="AK15" s="2">
        <f t="shared" si="25"/>
        <v>0</v>
      </c>
      <c r="AL15" s="2">
        <f t="shared" si="26"/>
        <v>111</v>
      </c>
      <c r="AM15" s="2">
        <f t="shared" si="27"/>
        <v>0</v>
      </c>
      <c r="AN15" s="2">
        <f t="shared" si="28"/>
        <v>46155</v>
      </c>
      <c r="AO15" s="2">
        <f t="shared" si="29"/>
      </c>
      <c r="AP15" s="2">
        <f t="shared" si="30"/>
      </c>
      <c r="AQ15" s="2">
        <f t="shared" si="31"/>
      </c>
    </row>
    <row r="16">
      <c r="A16" s="43">
        <f t="shared" si="3"/>
        <v>11</v>
      </c>
      <c r="B16" s="44" t="n">
        <v>46155</v>
      </c>
      <c r="C16" s="45" t="inlineStr">
        <is>
          <t>九江银行</t>
        </is>
      </c>
      <c r="D16" s="46" t="inlineStr">
        <is>
          <t>支付异地预缴税</t>
        </is>
      </c>
      <c r="E16" s="47" t="n"/>
      <c r="F16" s="47" t="n">
        <v>6467.49</v>
      </c>
      <c r="G16" s="48">
        <f t="shared" si="4"/>
        <v>-37407.49</v>
      </c>
      <c r="H16" s="43">
        <f t="shared" si="0"/>
      </c>
      <c r="I16" s="43" t="str">
        <f t="shared" si="5"/>
        <v>缴增值税及附加</v>
      </c>
      <c r="J16" s="43">
        <f t="shared" si="1"/>
      </c>
      <c r="K16" s="49" t="str">
        <f t="shared" si="2"/>
        <v>√</v>
      </c>
      <c r="L16" s="45" t="n"/>
      <c r="M16" s="45" t="n"/>
      <c r="N16" s="45" t="n"/>
      <c r="O16" s="45" t="n"/>
      <c r="P16" s="50" t="n"/>
      <c r="R16" s="2">
        <f t="shared" si="6"/>
        <v>-6467.49</v>
      </c>
      <c r="S16" s="2">
        <f t="shared" si="7"/>
        <v>202605</v>
      </c>
      <c r="T16" s="2">
        <f t="shared" si="8"/>
      </c>
      <c r="U16" s="2" t="str">
        <f t="shared" si="9"/>
        <v>缴增值税及附加</v>
      </c>
      <c r="V16" s="2">
        <f t="shared" si="10"/>
      </c>
      <c r="W16" s="2" t="str">
        <f t="shared" si="11"/>
        <v>不进利润</v>
      </c>
      <c r="X16" s="2" t="str">
        <f t="shared" si="12"/>
        <v>应交税费</v>
      </c>
      <c r="Y16" s="2">
        <f t="shared" si="13"/>
        <v>0</v>
      </c>
      <c r="Z16" s="2">
        <f t="shared" si="14"/>
      </c>
      <c r="AA16" s="2">
        <f t="shared" si="15"/>
        <v>0</v>
      </c>
      <c r="AB16" s="2">
        <f t="shared" si="16"/>
      </c>
      <c r="AC16" s="2">
        <f t="shared" si="17"/>
      </c>
      <c r="AD16" s="2">
        <f t="shared" si="18"/>
      </c>
      <c r="AE16" s="2" t="str">
        <f t="shared" si="19"/>
        <v>银行</v>
      </c>
      <c r="AF16" s="2">
        <f t="shared" si="20"/>
      </c>
      <c r="AG16" s="2" t="str">
        <f t="shared" si="21"/>
        <v>缴增值税及附加</v>
      </c>
      <c r="AH16" s="2" t="str">
        <f t="shared" si="22"/>
        <v>支</v>
      </c>
      <c r="AI16" s="2">
        <f t="shared" si="23"/>
      </c>
      <c r="AJ16" s="2">
        <f t="shared" si="24"/>
        <v>0</v>
      </c>
      <c r="AK16" s="2">
        <f t="shared" si="25"/>
        <v>0</v>
      </c>
      <c r="AL16" s="2">
        <f t="shared" si="26"/>
        <v>0</v>
      </c>
      <c r="AM16" s="2">
        <f t="shared" si="27"/>
        <v>0</v>
      </c>
      <c r="AN16" s="2">
        <f t="shared" si="28"/>
        <v>46155</v>
      </c>
      <c r="AO16" s="2">
        <f t="shared" si="29"/>
      </c>
      <c r="AP16" s="2">
        <f t="shared" si="30"/>
      </c>
      <c r="AQ16" s="2">
        <f t="shared" si="31"/>
      </c>
    </row>
    <row r="17">
      <c r="A17" s="43">
        <f t="shared" si="3"/>
        <v>12</v>
      </c>
      <c r="B17" s="44" t="n">
        <v>46155</v>
      </c>
      <c r="C17" s="45" t="inlineStr">
        <is>
          <t>九江银行</t>
        </is>
      </c>
      <c r="D17" s="46" t="inlineStr">
        <is>
          <t>支付异地预缴税</t>
        </is>
      </c>
      <c r="E17" s="47" t="n"/>
      <c r="F17" s="47" t="n">
        <v>410.63</v>
      </c>
      <c r="G17" s="48">
        <f t="shared" si="4"/>
        <v>-37818.12</v>
      </c>
      <c r="H17" s="43">
        <f t="shared" si="0"/>
      </c>
      <c r="I17" s="43" t="str">
        <f t="shared" si="5"/>
        <v>缴增值税及附加</v>
      </c>
      <c r="J17" s="43">
        <f t="shared" si="1"/>
      </c>
      <c r="K17" s="49" t="str">
        <f t="shared" si="2"/>
        <v>√</v>
      </c>
      <c r="L17" s="45" t="n"/>
      <c r="M17" s="45" t="n"/>
      <c r="N17" s="45" t="n"/>
      <c r="O17" s="45" t="n"/>
      <c r="P17" s="50" t="n"/>
      <c r="R17" s="2">
        <f t="shared" si="6"/>
        <v>-410.63</v>
      </c>
      <c r="S17" s="2">
        <f t="shared" si="7"/>
        <v>202605</v>
      </c>
      <c r="T17" s="2">
        <f t="shared" si="8"/>
      </c>
      <c r="U17" s="2" t="str">
        <f t="shared" si="9"/>
        <v>缴增值税及附加</v>
      </c>
      <c r="V17" s="2">
        <f t="shared" si="10"/>
      </c>
      <c r="W17" s="2" t="str">
        <f t="shared" si="11"/>
        <v>不进利润</v>
      </c>
      <c r="X17" s="2" t="str">
        <f t="shared" si="12"/>
        <v>应交税费</v>
      </c>
      <c r="Y17" s="2">
        <f t="shared" si="13"/>
        <v>0</v>
      </c>
      <c r="Z17" s="2">
        <f t="shared" si="14"/>
      </c>
      <c r="AA17" s="2">
        <f t="shared" si="15"/>
        <v>0</v>
      </c>
      <c r="AB17" s="2">
        <f t="shared" si="16"/>
      </c>
      <c r="AC17" s="2">
        <f t="shared" si="17"/>
      </c>
      <c r="AD17" s="2">
        <f t="shared" si="18"/>
      </c>
      <c r="AE17" s="2" t="str">
        <f t="shared" si="19"/>
        <v>银行</v>
      </c>
      <c r="AF17" s="2">
        <f t="shared" si="20"/>
      </c>
      <c r="AG17" s="2" t="str">
        <f t="shared" si="21"/>
        <v>缴增值税及附加</v>
      </c>
      <c r="AH17" s="2" t="str">
        <f t="shared" si="22"/>
        <v>支</v>
      </c>
      <c r="AI17" s="2">
        <f t="shared" si="23"/>
      </c>
      <c r="AJ17" s="2">
        <f t="shared" si="24"/>
        <v>0</v>
      </c>
      <c r="AK17" s="2">
        <f t="shared" si="25"/>
        <v>0</v>
      </c>
      <c r="AL17" s="2">
        <f t="shared" si="26"/>
        <v>0</v>
      </c>
      <c r="AM17" s="2">
        <f t="shared" si="27"/>
        <v>0</v>
      </c>
      <c r="AN17" s="2">
        <f t="shared" si="28"/>
        <v>46155</v>
      </c>
      <c r="AO17" s="2">
        <f t="shared" si="29"/>
      </c>
      <c r="AP17" s="2">
        <f t="shared" si="30"/>
      </c>
      <c r="AQ17" s="2">
        <f t="shared" si="31"/>
      </c>
    </row>
    <row r="18">
      <c r="A18" s="43">
        <f t="shared" si="3"/>
        <v>13</v>
      </c>
      <c r="B18" s="44" t="n">
        <v>46155</v>
      </c>
      <c r="C18" s="45" t="inlineStr">
        <is>
          <t>九江银行</t>
        </is>
      </c>
      <c r="D18" s="46" t="inlineStr">
        <is>
          <t>代扣个税</t>
        </is>
      </c>
      <c r="E18" s="47" t="n"/>
      <c r="F18" s="47" t="n">
        <v>1245.06</v>
      </c>
      <c r="G18" s="48">
        <f t="shared" si="4"/>
        <v>-39063.18</v>
      </c>
      <c r="H18" s="43">
        <f t="shared" si="0"/>
      </c>
      <c r="I18" s="43" t="str">
        <f t="shared" si="5"/>
        <v>代缴个税</v>
      </c>
      <c r="J18" s="43">
        <f t="shared" si="1"/>
      </c>
      <c r="K18" s="49" t="str">
        <f t="shared" si="2"/>
        <v>√</v>
      </c>
      <c r="L18" s="45" t="n"/>
      <c r="M18" s="45" t="n"/>
      <c r="N18" s="45" t="n"/>
      <c r="O18" s="45" t="n"/>
      <c r="P18" s="50" t="n"/>
      <c r="R18" s="2">
        <f t="shared" si="6"/>
        <v>-1245.06</v>
      </c>
      <c r="S18" s="2">
        <f t="shared" si="7"/>
        <v>202605</v>
      </c>
      <c r="T18" s="2">
        <f t="shared" si="8"/>
      </c>
      <c r="U18" s="2" t="str">
        <f t="shared" si="9"/>
        <v>代缴个税</v>
      </c>
      <c r="V18" s="2">
        <f t="shared" si="10"/>
      </c>
      <c r="W18" s="2" t="str">
        <f t="shared" si="11"/>
        <v>不进利润</v>
      </c>
      <c r="X18" s="2" t="str">
        <f t="shared" si="12"/>
        <v>应交税费</v>
      </c>
      <c r="Y18" s="2">
        <f t="shared" si="13"/>
        <v>0</v>
      </c>
      <c r="Z18" s="2">
        <f t="shared" si="14"/>
      </c>
      <c r="AA18" s="2">
        <f t="shared" si="15"/>
        <v>0</v>
      </c>
      <c r="AB18" s="2">
        <f t="shared" si="16"/>
      </c>
      <c r="AC18" s="2">
        <f t="shared" si="17"/>
      </c>
      <c r="AD18" s="2">
        <f t="shared" si="18"/>
      </c>
      <c r="AE18" s="2" t="str">
        <f t="shared" si="19"/>
        <v>银行</v>
      </c>
      <c r="AF18" s="2">
        <f t="shared" si="20"/>
      </c>
      <c r="AG18" s="2" t="str">
        <f t="shared" si="21"/>
        <v>代缴个税</v>
      </c>
      <c r="AH18" s="2" t="str">
        <f t="shared" si="22"/>
        <v>支</v>
      </c>
      <c r="AI18" s="2">
        <f t="shared" si="23"/>
      </c>
      <c r="AJ18" s="2">
        <f t="shared" si="24"/>
        <v>0</v>
      </c>
      <c r="AK18" s="2">
        <f t="shared" si="25"/>
        <v>0</v>
      </c>
      <c r="AL18" s="2">
        <f t="shared" si="26"/>
        <v>0</v>
      </c>
      <c r="AM18" s="2">
        <f t="shared" si="27"/>
        <v>0</v>
      </c>
      <c r="AN18" s="2">
        <f t="shared" si="28"/>
        <v>46155</v>
      </c>
      <c r="AO18" s="2">
        <f t="shared" si="29"/>
      </c>
      <c r="AP18" s="2">
        <f t="shared" si="30"/>
      </c>
      <c r="AQ18" s="2">
        <f t="shared" si="31"/>
      </c>
    </row>
    <row r="19">
      <c r="A19" s="43">
        <f t="shared" si="3"/>
        <v>14</v>
      </c>
      <c r="B19" s="44" t="n">
        <v>46156</v>
      </c>
      <c r="C19" s="45" t="inlineStr">
        <is>
          <t>九江银行</t>
        </is>
      </c>
      <c r="D19" s="46" t="inlineStr">
        <is>
          <t>收到股东借款-聂辉</t>
        </is>
      </c>
      <c r="E19" s="47" t="n">
        <v>40000</v>
      </c>
      <c r="F19" s="47" t="n"/>
      <c r="G19" s="48">
        <f t="shared" si="4"/>
        <v>936.82</v>
      </c>
      <c r="H19" s="43">
        <f t="shared" si="0"/>
      </c>
      <c r="I19" s="43" t="str">
        <f t="shared" si="5"/>
        <v>账户互转</v>
      </c>
      <c r="J19" s="43" t="str">
        <f t="shared" si="1"/>
        <v>聂辉</v>
      </c>
      <c r="K19" s="49" t="str">
        <f t="shared" si="2"/>
        <v>√</v>
      </c>
      <c r="L19" s="45" t="n"/>
      <c r="M19" s="45" t="n"/>
      <c r="N19" s="45" t="n"/>
      <c r="O19" s="45" t="n"/>
      <c r="P19" s="50" t="n"/>
      <c r="R19" s="2">
        <f t="shared" si="6"/>
        <v>40000</v>
      </c>
      <c r="S19" s="2">
        <f t="shared" si="7"/>
        <v>202605</v>
      </c>
      <c r="T19" s="2">
        <f t="shared" si="8"/>
      </c>
      <c r="U19" s="2" t="str">
        <f t="shared" si="9"/>
        <v>账户互转</v>
      </c>
      <c r="V19" s="2" t="str">
        <f t="shared" si="10"/>
        <v>聂辉</v>
      </c>
      <c r="W19" s="2" t="str">
        <f t="shared" si="11"/>
        <v>不进利润</v>
      </c>
      <c r="X19" s="2" t="str">
        <f t="shared" si="12"/>
        <v>账户互转</v>
      </c>
      <c r="Y19" s="2">
        <f t="shared" si="13"/>
        <v>0</v>
      </c>
      <c r="Z19" s="2" t="str">
        <f t="shared" si="14"/>
        <v>管理人员</v>
      </c>
      <c r="AA19" s="2">
        <f t="shared" si="15"/>
        <v>1</v>
      </c>
      <c r="AB19" s="2">
        <f t="shared" si="16"/>
      </c>
      <c r="AC19" s="2" t="str">
        <f t="shared" si="17"/>
        <v>聂辉个人户</v>
      </c>
      <c r="AD19" s="2" t="str">
        <f t="shared" si="18"/>
        <v>聂辉个人户</v>
      </c>
      <c r="AE19" s="2" t="str">
        <f t="shared" si="19"/>
        <v>银行</v>
      </c>
      <c r="AF19" s="2" t="str">
        <f t="shared" si="20"/>
        <v>个人户</v>
      </c>
      <c r="AG19" s="2" t="str">
        <f t="shared" si="21"/>
        <v>账户互转</v>
      </c>
      <c r="AH19" s="2" t="str">
        <f t="shared" si="22"/>
        <v>收</v>
      </c>
      <c r="AI19" s="2">
        <f t="shared" si="23"/>
      </c>
      <c r="AJ19" s="2">
        <f t="shared" si="24"/>
        <v>0</v>
      </c>
      <c r="AK19" s="2">
        <f t="shared" si="25"/>
        <v>0</v>
      </c>
      <c r="AL19" s="2">
        <f t="shared" si="26"/>
        <v>111</v>
      </c>
      <c r="AM19" s="2">
        <f t="shared" si="27"/>
        <v>0</v>
      </c>
      <c r="AN19" s="2">
        <f t="shared" si="28"/>
        <v>46156</v>
      </c>
      <c r="AO19" s="2">
        <f t="shared" si="29"/>
      </c>
      <c r="AP19" s="2">
        <f t="shared" si="30"/>
      </c>
      <c r="AQ19" s="2">
        <f t="shared" si="31"/>
      </c>
    </row>
    <row r="20">
      <c r="A20" s="43">
        <f t="shared" si="3"/>
        <v>15</v>
      </c>
      <c r="B20" s="44" t="n">
        <v>46156</v>
      </c>
      <c r="C20" s="45" t="inlineStr">
        <is>
          <t>九江银行</t>
        </is>
      </c>
      <c r="D20" s="46" t="inlineStr">
        <is>
          <t>付佩力通风材料款（德养）</t>
        </is>
      </c>
      <c r="E20" s="47" t="n"/>
      <c r="F20" s="47" t="n">
        <v>7397</v>
      </c>
      <c r="G20" s="48">
        <f t="shared" si="4"/>
        <v>-6460.18</v>
      </c>
      <c r="H20" s="43" t="str">
        <f t="shared" si="0"/>
        <v>德安养老中心</v>
      </c>
      <c r="I20" s="43" t="str">
        <f t="shared" si="5"/>
        <v>付应付款</v>
      </c>
      <c r="J20" s="43" t="str">
        <f t="shared" si="1"/>
        <v>佩力通风</v>
      </c>
      <c r="K20" s="49" t="str">
        <f t="shared" si="2"/>
        <v>√</v>
      </c>
      <c r="L20" s="45" t="n"/>
      <c r="M20" s="45" t="n"/>
      <c r="N20" s="45" t="n"/>
      <c r="O20" s="45" t="n"/>
      <c r="P20" s="50" t="n"/>
      <c r="R20" s="2">
        <f t="shared" si="6"/>
        <v>-7397</v>
      </c>
      <c r="S20" s="2">
        <f t="shared" si="7"/>
        <v>202605</v>
      </c>
      <c r="T20" s="2" t="str">
        <f t="shared" si="8"/>
        <v>德安养老中心</v>
      </c>
      <c r="U20" s="2" t="str">
        <f t="shared" si="9"/>
        <v>付应付款</v>
      </c>
      <c r="V20" s="2" t="str">
        <f t="shared" si="10"/>
        <v>佩力通风</v>
      </c>
      <c r="W20" s="2" t="str">
        <f t="shared" si="11"/>
        <v>不进利润</v>
      </c>
      <c r="X20" s="2" t="str">
        <f t="shared" si="12"/>
        <v>应付材料款</v>
      </c>
      <c r="Y20" s="2">
        <f t="shared" si="13"/>
        <v>1</v>
      </c>
      <c r="Z20" s="2" t="str">
        <f t="shared" si="14"/>
        <v>材料供应商</v>
      </c>
      <c r="AA20" s="2">
        <f t="shared" si="15"/>
        <v>0</v>
      </c>
      <c r="AB20" s="2">
        <f t="shared" si="16"/>
      </c>
      <c r="AC20" s="2">
        <f t="shared" si="17"/>
      </c>
      <c r="AD20" s="2">
        <f t="shared" si="18"/>
      </c>
      <c r="AE20" s="2" t="str">
        <f t="shared" si="19"/>
        <v>银行</v>
      </c>
      <c r="AF20" s="2">
        <f t="shared" si="20"/>
      </c>
      <c r="AG20" s="2" t="str">
        <f t="shared" si="21"/>
        <v>材料费</v>
      </c>
      <c r="AH20" s="2" t="str">
        <f t="shared" si="22"/>
        <v>支</v>
      </c>
      <c r="AI20" s="2" t="str">
        <f t="shared" si="23"/>
        <v>德养</v>
      </c>
      <c r="AJ20" s="2">
        <f t="shared" si="24"/>
        <v>0</v>
      </c>
      <c r="AK20" s="2">
        <f t="shared" si="25"/>
        <v>28</v>
      </c>
      <c r="AL20" s="2">
        <f t="shared" si="26"/>
        <v>34</v>
      </c>
      <c r="AM20" s="2">
        <f t="shared" si="27"/>
        <v>0</v>
      </c>
      <c r="AN20" s="2">
        <f t="shared" si="28"/>
        <v>46156</v>
      </c>
      <c r="AO20" s="2">
        <f t="shared" si="29"/>
      </c>
      <c r="AP20" s="2" t="str">
        <f t="shared" si="30"/>
        <v>佩力通风|1</v>
      </c>
      <c r="AQ20" s="2">
        <f t="shared" si="31"/>
      </c>
    </row>
    <row r="21">
      <c r="A21" s="43">
        <f t="shared" si="3"/>
        <v>16</v>
      </c>
      <c r="B21" s="44" t="n">
        <v>46157</v>
      </c>
      <c r="C21" s="45" t="inlineStr">
        <is>
          <t>九江银行</t>
        </is>
      </c>
      <c r="D21" s="46" t="inlineStr">
        <is>
          <t>代老叶付佩力通风材料款（德养）</t>
        </is>
      </c>
      <c r="E21" s="47" t="n"/>
      <c r="F21" s="47" t="n">
        <v>10000</v>
      </c>
      <c r="G21" s="48">
        <f t="shared" si="4"/>
        <v>-16460.18</v>
      </c>
      <c r="H21" s="43" t="str">
        <f t="shared" si="0"/>
        <v>德安养老中心</v>
      </c>
      <c r="I21" s="43" t="str">
        <f t="shared" si="5"/>
        <v>付应付款</v>
      </c>
      <c r="J21" s="43" t="str">
        <f t="shared" si="1"/>
        <v>恩旗老叶</v>
      </c>
      <c r="K21" s="49" t="str">
        <f t="shared" si="2"/>
        <v>√</v>
      </c>
      <c r="L21" s="45" t="n"/>
      <c r="M21" s="45" t="n"/>
      <c r="N21" s="45" t="n"/>
      <c r="O21" s="45" t="n"/>
      <c r="P21" s="50" t="n"/>
      <c r="R21" s="2">
        <f t="shared" si="6"/>
        <v>-10000</v>
      </c>
      <c r="S21" s="2">
        <f t="shared" si="7"/>
        <v>202605</v>
      </c>
      <c r="T21" s="2" t="str">
        <f t="shared" si="8"/>
        <v>德安养老中心</v>
      </c>
      <c r="U21" s="2" t="str">
        <f t="shared" si="9"/>
        <v>付应付款</v>
      </c>
      <c r="V21" s="2" t="str">
        <f t="shared" si="10"/>
        <v>恩旗老叶</v>
      </c>
      <c r="W21" s="2" t="str">
        <f t="shared" si="11"/>
        <v>不进利润</v>
      </c>
      <c r="X21" s="2" t="str">
        <f t="shared" si="12"/>
        <v>应付分包款</v>
      </c>
      <c r="Y21" s="2">
        <f t="shared" si="13"/>
        <v>1</v>
      </c>
      <c r="Z21" s="2" t="str">
        <f t="shared" si="14"/>
        <v>分包</v>
      </c>
      <c r="AA21" s="2">
        <f t="shared" si="15"/>
        <v>0</v>
      </c>
      <c r="AB21" s="2" t="str">
        <f t="shared" si="16"/>
        <v>老叶</v>
      </c>
      <c r="AC21" s="2">
        <f t="shared" si="17"/>
      </c>
      <c r="AD21" s="2">
        <f t="shared" si="18"/>
      </c>
      <c r="AE21" s="2" t="str">
        <f t="shared" si="19"/>
        <v>银行</v>
      </c>
      <c r="AF21" s="2">
        <f t="shared" si="20"/>
      </c>
      <c r="AG21" s="2" t="str">
        <f t="shared" si="21"/>
        <v>材料费</v>
      </c>
      <c r="AH21" s="2" t="str">
        <f t="shared" si="22"/>
        <v>支</v>
      </c>
      <c r="AI21" s="2" t="str">
        <f t="shared" si="23"/>
        <v>德养</v>
      </c>
      <c r="AJ21" s="2">
        <f t="shared" si="24"/>
        <v>0</v>
      </c>
      <c r="AK21" s="2">
        <f t="shared" si="25"/>
        <v>28</v>
      </c>
      <c r="AL21" s="2">
        <f t="shared" si="26"/>
        <v>34</v>
      </c>
      <c r="AM21" s="2">
        <f t="shared" si="27"/>
        <v>98</v>
      </c>
      <c r="AN21" s="2">
        <f t="shared" si="28"/>
        <v>46157</v>
      </c>
      <c r="AO21" s="2">
        <f t="shared" si="29"/>
      </c>
      <c r="AP21" s="2" t="str">
        <f t="shared" si="30"/>
        <v>恩旗老叶|2</v>
      </c>
      <c r="AQ21" s="2">
        <f t="shared" si="31"/>
      </c>
    </row>
    <row r="22">
      <c r="A22" s="43">
        <f t="shared" si="3"/>
        <v>17</v>
      </c>
      <c r="B22" s="44" t="n">
        <v>46158</v>
      </c>
      <c r="C22" s="45" t="inlineStr">
        <is>
          <t>九江银行</t>
        </is>
      </c>
      <c r="D22" s="46" t="inlineStr">
        <is>
          <t>付沐丰水箱款(邹桥派出所）</t>
        </is>
      </c>
      <c r="E22" s="47" t="n"/>
      <c r="F22" s="47" t="n">
        <v>22000</v>
      </c>
      <c r="G22" s="48">
        <f t="shared" si="4"/>
        <v>-38460.18</v>
      </c>
      <c r="H22" s="43" t="str">
        <f t="shared" si="0"/>
        <v>邹桥派出所</v>
      </c>
      <c r="I22" s="43" t="str">
        <f t="shared" si="5"/>
        <v>付应付款</v>
      </c>
      <c r="J22" s="43" t="str">
        <f t="shared" si="1"/>
        <v>江西沐丰水箱</v>
      </c>
      <c r="K22" s="49" t="str">
        <f t="shared" si="2"/>
        <v>√</v>
      </c>
      <c r="L22" s="45" t="n"/>
      <c r="M22" s="45" t="n"/>
      <c r="N22" s="45" t="n"/>
      <c r="O22" s="45" t="n"/>
      <c r="P22" s="50" t="n"/>
      <c r="R22" s="2">
        <f t="shared" si="6"/>
        <v>-22000</v>
      </c>
      <c r="S22" s="2">
        <f t="shared" si="7"/>
        <v>202605</v>
      </c>
      <c r="T22" s="2" t="str">
        <f t="shared" si="8"/>
        <v>邹桥派出所</v>
      </c>
      <c r="U22" s="2" t="str">
        <f t="shared" si="9"/>
        <v>付应付款</v>
      </c>
      <c r="V22" s="2" t="str">
        <f t="shared" si="10"/>
        <v>江西沐丰水箱</v>
      </c>
      <c r="W22" s="2" t="str">
        <f t="shared" si="11"/>
        <v>不进利润</v>
      </c>
      <c r="X22" s="2" t="str">
        <f t="shared" si="12"/>
        <v>应付材料款</v>
      </c>
      <c r="Y22" s="2">
        <f t="shared" si="13"/>
        <v>1</v>
      </c>
      <c r="Z22" s="2" t="str">
        <f t="shared" si="14"/>
        <v>材料供应商</v>
      </c>
      <c r="AA22" s="2">
        <f t="shared" si="15"/>
        <v>0</v>
      </c>
      <c r="AB22" s="2">
        <f t="shared" si="16"/>
      </c>
      <c r="AC22" s="2">
        <f t="shared" si="17"/>
      </c>
      <c r="AD22" s="2">
        <f t="shared" si="18"/>
      </c>
      <c r="AE22" s="2" t="str">
        <f t="shared" si="19"/>
        <v>银行</v>
      </c>
      <c r="AF22" s="2">
        <f t="shared" si="20"/>
      </c>
      <c r="AG22" s="2" t="str">
        <f t="shared" si="21"/>
        <v>材料费</v>
      </c>
      <c r="AH22" s="2" t="str">
        <f t="shared" si="22"/>
        <v>支</v>
      </c>
      <c r="AI22" s="2" t="str">
        <f t="shared" si="23"/>
        <v>邹桥派出所</v>
      </c>
      <c r="AJ22" s="2">
        <f t="shared" si="24"/>
        <v>0</v>
      </c>
      <c r="AK22" s="2">
        <f t="shared" si="25"/>
        <v>7</v>
      </c>
      <c r="AL22" s="2">
        <f t="shared" si="26"/>
        <v>90</v>
      </c>
      <c r="AM22" s="2">
        <f t="shared" si="27"/>
        <v>0</v>
      </c>
      <c r="AN22" s="2">
        <f t="shared" si="28"/>
        <v>46158</v>
      </c>
      <c r="AO22" s="2">
        <f t="shared" si="29"/>
      </c>
      <c r="AP22" s="2" t="str">
        <f t="shared" si="30"/>
        <v>江西沐丰水箱|1</v>
      </c>
      <c r="AQ22" s="2">
        <f t="shared" si="31"/>
      </c>
    </row>
    <row r="23">
      <c r="A23" s="43">
        <f t="shared" si="3"/>
        <v>18</v>
      </c>
      <c r="B23" s="44" t="n">
        <v>46161</v>
      </c>
      <c r="C23" s="45" t="inlineStr">
        <is>
          <t>九江银行</t>
        </is>
      </c>
      <c r="D23" s="46" t="inlineStr">
        <is>
          <t>收到股东借款-聂辉</t>
        </is>
      </c>
      <c r="E23" s="47" t="n">
        <v>90000</v>
      </c>
      <c r="F23" s="47" t="n"/>
      <c r="G23" s="48">
        <f t="shared" si="4"/>
        <v>51539.82</v>
      </c>
      <c r="H23" s="43">
        <f t="shared" si="0"/>
      </c>
      <c r="I23" s="43" t="str">
        <f t="shared" si="5"/>
        <v>账户互转</v>
      </c>
      <c r="J23" s="43" t="str">
        <f t="shared" si="1"/>
        <v>聂辉</v>
      </c>
      <c r="K23" s="49" t="str">
        <f t="shared" si="2"/>
        <v>√</v>
      </c>
      <c r="L23" s="45" t="n"/>
      <c r="M23" s="45" t="n"/>
      <c r="N23" s="45" t="n"/>
      <c r="O23" s="45" t="n"/>
      <c r="P23" s="50" t="n"/>
      <c r="R23" s="2">
        <f t="shared" si="6"/>
        <v>90000</v>
      </c>
      <c r="S23" s="2">
        <f t="shared" si="7"/>
        <v>202605</v>
      </c>
      <c r="T23" s="2">
        <f t="shared" si="8"/>
      </c>
      <c r="U23" s="2" t="str">
        <f t="shared" si="9"/>
        <v>账户互转</v>
      </c>
      <c r="V23" s="2" t="str">
        <f t="shared" si="10"/>
        <v>聂辉</v>
      </c>
      <c r="W23" s="2" t="str">
        <f t="shared" si="11"/>
        <v>不进利润</v>
      </c>
      <c r="X23" s="2" t="str">
        <f t="shared" si="12"/>
        <v>账户互转</v>
      </c>
      <c r="Y23" s="2">
        <f t="shared" si="13"/>
        <v>0</v>
      </c>
      <c r="Z23" s="2" t="str">
        <f t="shared" si="14"/>
        <v>管理人员</v>
      </c>
      <c r="AA23" s="2">
        <f t="shared" si="15"/>
        <v>1</v>
      </c>
      <c r="AB23" s="2">
        <f t="shared" si="16"/>
      </c>
      <c r="AC23" s="2" t="str">
        <f t="shared" si="17"/>
        <v>聂辉个人户</v>
      </c>
      <c r="AD23" s="2" t="str">
        <f t="shared" si="18"/>
        <v>聂辉个人户</v>
      </c>
      <c r="AE23" s="2" t="str">
        <f t="shared" si="19"/>
        <v>银行</v>
      </c>
      <c r="AF23" s="2" t="str">
        <f t="shared" si="20"/>
        <v>个人户</v>
      </c>
      <c r="AG23" s="2" t="str">
        <f t="shared" si="21"/>
        <v>账户互转</v>
      </c>
      <c r="AH23" s="2" t="str">
        <f t="shared" si="22"/>
        <v>收</v>
      </c>
      <c r="AI23" s="2">
        <f t="shared" si="23"/>
      </c>
      <c r="AJ23" s="2">
        <f t="shared" si="24"/>
        <v>0</v>
      </c>
      <c r="AK23" s="2">
        <f t="shared" si="25"/>
        <v>0</v>
      </c>
      <c r="AL23" s="2">
        <f t="shared" si="26"/>
        <v>111</v>
      </c>
      <c r="AM23" s="2">
        <f t="shared" si="27"/>
        <v>0</v>
      </c>
      <c r="AN23" s="2">
        <f t="shared" si="28"/>
        <v>46161</v>
      </c>
      <c r="AO23" s="2">
        <f t="shared" si="29"/>
      </c>
      <c r="AP23" s="2">
        <f t="shared" si="30"/>
      </c>
      <c r="AQ23" s="2">
        <f t="shared" si="31"/>
      </c>
    </row>
    <row r="24">
      <c r="A24" s="43">
        <f t="shared" si="3"/>
        <v>19</v>
      </c>
      <c r="B24" s="44" t="n">
        <v>46161</v>
      </c>
      <c r="C24" s="45" t="inlineStr">
        <is>
          <t>九江银行</t>
        </is>
      </c>
      <c r="D24" s="46" t="inlineStr">
        <is>
          <t>支付食品厂投标保证金</t>
        </is>
      </c>
      <c r="E24" s="47" t="n"/>
      <c r="F24" s="47" t="n">
        <v>90000</v>
      </c>
      <c r="G24" s="48">
        <f t="shared" si="4"/>
        <v>-38460.18</v>
      </c>
      <c r="H24" s="43">
        <f t="shared" si="0"/>
      </c>
      <c r="I24" s="43" t="str">
        <f t="shared" si="5"/>
        <v>保证金押金</v>
      </c>
      <c r="J24" s="43">
        <f t="shared" si="1"/>
      </c>
      <c r="K24" s="49" t="str">
        <f t="shared" si="2"/>
        <v>√</v>
      </c>
      <c r="L24" s="45" t="n"/>
      <c r="M24" s="45" t="n"/>
      <c r="N24" s="45" t="n"/>
      <c r="O24" s="45" t="n"/>
      <c r="P24" s="50" t="n"/>
      <c r="R24" s="2">
        <f t="shared" si="6"/>
        <v>-90000</v>
      </c>
      <c r="S24" s="2">
        <f t="shared" si="7"/>
        <v>202605</v>
      </c>
      <c r="T24" s="2">
        <f t="shared" si="8"/>
      </c>
      <c r="U24" s="2" t="str">
        <f t="shared" si="9"/>
        <v>保证金押金</v>
      </c>
      <c r="V24" s="2">
        <f t="shared" si="10"/>
      </c>
      <c r="W24" s="2" t="str">
        <f t="shared" si="11"/>
        <v>不进利润</v>
      </c>
      <c r="X24" s="2" t="str">
        <f t="shared" si="12"/>
        <v>其他应收款</v>
      </c>
      <c r="Y24" s="2">
        <f t="shared" si="13"/>
        <v>0</v>
      </c>
      <c r="Z24" s="2">
        <f t="shared" si="14"/>
      </c>
      <c r="AA24" s="2">
        <f t="shared" si="15"/>
        <v>0</v>
      </c>
      <c r="AB24" s="2">
        <f t="shared" si="16"/>
      </c>
      <c r="AC24" s="2">
        <f t="shared" si="17"/>
      </c>
      <c r="AD24" s="2">
        <f t="shared" si="18"/>
      </c>
      <c r="AE24" s="2" t="str">
        <f t="shared" si="19"/>
        <v>银行</v>
      </c>
      <c r="AF24" s="2">
        <f t="shared" si="20"/>
      </c>
      <c r="AG24" s="2" t="str">
        <f t="shared" si="21"/>
        <v>保证金押金</v>
      </c>
      <c r="AH24" s="2" t="str">
        <f t="shared" si="22"/>
        <v>支</v>
      </c>
      <c r="AI24" s="2">
        <f t="shared" si="23"/>
      </c>
      <c r="AJ24" s="2">
        <f t="shared" si="24"/>
        <v>0</v>
      </c>
      <c r="AK24" s="2">
        <f t="shared" si="25"/>
        <v>0</v>
      </c>
      <c r="AL24" s="2">
        <f t="shared" si="26"/>
        <v>0</v>
      </c>
      <c r="AM24" s="2">
        <f t="shared" si="27"/>
        <v>0</v>
      </c>
      <c r="AN24" s="2">
        <f t="shared" si="28"/>
        <v>46161</v>
      </c>
      <c r="AO24" s="2">
        <f t="shared" si="29"/>
      </c>
      <c r="AP24" s="2">
        <f t="shared" si="30"/>
      </c>
      <c r="AQ24" s="2">
        <f t="shared" si="31"/>
      </c>
    </row>
    <row r="25">
      <c r="A25" s="43">
        <f t="shared" si="3"/>
        <v>20</v>
      </c>
      <c r="B25" s="44" t="n">
        <v>46163</v>
      </c>
      <c r="C25" s="45" t="inlineStr">
        <is>
          <t>九江银行</t>
        </is>
      </c>
      <c r="D25" s="46" t="inlineStr">
        <is>
          <t>收江西赣粤高速公路工程款</t>
        </is>
      </c>
      <c r="E25" s="47" t="n">
        <v>14502.87</v>
      </c>
      <c r="F25" s="47" t="n"/>
      <c r="G25" s="48">
        <f t="shared" si="4"/>
        <v>-23957.31</v>
      </c>
      <c r="H25" s="43" t="str">
        <f t="shared" si="0"/>
        <v>赣粤高速</v>
      </c>
      <c r="I25" s="43" t="str">
        <f t="shared" si="5"/>
        <v>工程款</v>
      </c>
      <c r="J25" s="43" t="str">
        <f t="shared" si="1"/>
        <v>江西赣粤高速</v>
      </c>
      <c r="K25" s="49" t="str">
        <f t="shared" si="2"/>
        <v>√</v>
      </c>
      <c r="L25" s="45" t="n"/>
      <c r="M25" s="45" t="n"/>
      <c r="N25" s="45" t="n"/>
      <c r="O25" s="45" t="n"/>
      <c r="P25" s="50" t="n"/>
      <c r="R25" s="2">
        <f t="shared" si="6"/>
        <v>14502.87</v>
      </c>
      <c r="S25" s="2">
        <f t="shared" si="7"/>
        <v>202605</v>
      </c>
      <c r="T25" s="2" t="str">
        <f t="shared" si="8"/>
        <v>赣粤高速</v>
      </c>
      <c r="U25" s="2" t="str">
        <f t="shared" si="9"/>
        <v>工程款</v>
      </c>
      <c r="V25" s="2" t="str">
        <f t="shared" si="10"/>
        <v>江西赣粤高速</v>
      </c>
      <c r="W25" s="2" t="str">
        <f t="shared" si="11"/>
        <v>不进利润</v>
      </c>
      <c r="X25" s="2" t="str">
        <f t="shared" si="12"/>
        <v>应收账款</v>
      </c>
      <c r="Y25" s="2">
        <f t="shared" si="13"/>
        <v>0</v>
      </c>
      <c r="Z25" s="2" t="str">
        <f t="shared" si="14"/>
        <v>甲方/总包</v>
      </c>
      <c r="AA25" s="2">
        <f t="shared" si="15"/>
        <v>0</v>
      </c>
      <c r="AB25" s="2">
        <f t="shared" si="16"/>
      </c>
      <c r="AC25" s="2">
        <f t="shared" si="17"/>
      </c>
      <c r="AD25" s="2">
        <f t="shared" si="18"/>
      </c>
      <c r="AE25" s="2" t="str">
        <f t="shared" si="19"/>
        <v>银行</v>
      </c>
      <c r="AF25" s="2">
        <f t="shared" si="20"/>
      </c>
      <c r="AG25" s="2" t="str">
        <f t="shared" si="21"/>
        <v>工程款</v>
      </c>
      <c r="AH25" s="2" t="str">
        <f t="shared" si="22"/>
        <v>收</v>
      </c>
      <c r="AI25" s="2" t="str">
        <f t="shared" si="23"/>
        <v>赣粤高速</v>
      </c>
      <c r="AJ25" s="2">
        <f t="shared" si="24"/>
        <v>0</v>
      </c>
      <c r="AK25" s="2">
        <f t="shared" si="25"/>
        <v>20</v>
      </c>
      <c r="AL25" s="2">
        <f t="shared" si="26"/>
        <v>13</v>
      </c>
      <c r="AM25" s="2">
        <f t="shared" si="27"/>
        <v>0</v>
      </c>
      <c r="AN25" s="2">
        <f t="shared" si="28"/>
        <v>46163</v>
      </c>
      <c r="AO25" s="2" t="str">
        <f t="shared" si="29"/>
        <v>赣粤高速|1</v>
      </c>
      <c r="AP25" s="2">
        <f t="shared" si="30"/>
      </c>
      <c r="AQ25" s="2">
        <f t="shared" si="31"/>
      </c>
    </row>
    <row r="26">
      <c r="A26" s="43">
        <f t="shared" si="3"/>
        <v>21</v>
      </c>
      <c r="B26" s="44" t="n">
        <v>46164</v>
      </c>
      <c r="C26" s="45" t="inlineStr">
        <is>
          <t>九江银行</t>
        </is>
      </c>
      <c r="D26" s="46" t="inlineStr">
        <is>
          <t>食品厂投标保证金退回</t>
        </is>
      </c>
      <c r="E26" s="47" t="n">
        <v>90000</v>
      </c>
      <c r="F26" s="47" t="n"/>
      <c r="G26" s="48">
        <f t="shared" si="4"/>
        <v>66042.69</v>
      </c>
      <c r="H26" s="43">
        <f t="shared" si="0"/>
      </c>
      <c r="I26" s="43" t="str">
        <f t="shared" si="5"/>
        <v>保证金押金</v>
      </c>
      <c r="J26" s="43">
        <f t="shared" si="1"/>
      </c>
      <c r="K26" s="49" t="str">
        <f t="shared" si="2"/>
        <v>√</v>
      </c>
      <c r="L26" s="45" t="n"/>
      <c r="M26" s="45" t="n"/>
      <c r="N26" s="45" t="n"/>
      <c r="O26" s="45" t="n"/>
      <c r="P26" s="50" t="n"/>
      <c r="R26" s="2">
        <f t="shared" si="6"/>
        <v>90000</v>
      </c>
      <c r="S26" s="2">
        <f t="shared" si="7"/>
        <v>202605</v>
      </c>
      <c r="T26" s="2">
        <f t="shared" si="8"/>
      </c>
      <c r="U26" s="2" t="str">
        <f t="shared" si="9"/>
        <v>保证金押金</v>
      </c>
      <c r="V26" s="2">
        <f t="shared" si="10"/>
      </c>
      <c r="W26" s="2" t="str">
        <f t="shared" si="11"/>
        <v>不进利润</v>
      </c>
      <c r="X26" s="2" t="str">
        <f t="shared" si="12"/>
        <v>其他应收款</v>
      </c>
      <c r="Y26" s="2">
        <f t="shared" si="13"/>
        <v>0</v>
      </c>
      <c r="Z26" s="2">
        <f t="shared" si="14"/>
      </c>
      <c r="AA26" s="2">
        <f t="shared" si="15"/>
        <v>0</v>
      </c>
      <c r="AB26" s="2">
        <f t="shared" si="16"/>
      </c>
      <c r="AC26" s="2">
        <f t="shared" si="17"/>
      </c>
      <c r="AD26" s="2">
        <f t="shared" si="18"/>
      </c>
      <c r="AE26" s="2" t="str">
        <f t="shared" si="19"/>
        <v>银行</v>
      </c>
      <c r="AF26" s="2">
        <f t="shared" si="20"/>
      </c>
      <c r="AG26" s="2" t="str">
        <f t="shared" si="21"/>
        <v>保证金押金</v>
      </c>
      <c r="AH26" s="2" t="str">
        <f t="shared" si="22"/>
        <v>收</v>
      </c>
      <c r="AI26" s="2">
        <f t="shared" si="23"/>
      </c>
      <c r="AJ26" s="2">
        <f t="shared" si="24"/>
        <v>0</v>
      </c>
      <c r="AK26" s="2">
        <f t="shared" si="25"/>
        <v>0</v>
      </c>
      <c r="AL26" s="2">
        <f t="shared" si="26"/>
        <v>0</v>
      </c>
      <c r="AM26" s="2">
        <f t="shared" si="27"/>
        <v>0</v>
      </c>
      <c r="AN26" s="2">
        <f t="shared" si="28"/>
        <v>46164</v>
      </c>
      <c r="AO26" s="2">
        <f t="shared" si="29"/>
      </c>
      <c r="AP26" s="2">
        <f t="shared" si="30"/>
      </c>
      <c r="AQ26" s="2">
        <f t="shared" si="31"/>
      </c>
    </row>
    <row r="27">
      <c r="A27" s="43">
        <f t="shared" si="3"/>
        <v>22</v>
      </c>
      <c r="B27" s="44" t="n">
        <v>46165</v>
      </c>
      <c r="C27" s="45" t="inlineStr">
        <is>
          <t>九江银行</t>
        </is>
      </c>
      <c r="D27" s="46" t="inlineStr">
        <is>
          <t>归还股东个人借款-聂辉</t>
        </is>
      </c>
      <c r="E27" s="47" t="n"/>
      <c r="F27" s="47" t="n">
        <v>10000</v>
      </c>
      <c r="G27" s="48">
        <f t="shared" si="4"/>
        <v>56042.69</v>
      </c>
      <c r="H27" s="43">
        <f t="shared" si="0"/>
      </c>
      <c r="I27" s="43" t="str">
        <f t="shared" si="5"/>
        <v>账户互转</v>
      </c>
      <c r="J27" s="43" t="str">
        <f t="shared" si="1"/>
        <v>聂辉</v>
      </c>
      <c r="K27" s="49" t="str">
        <f t="shared" si="2"/>
        <v>√</v>
      </c>
      <c r="L27" s="45" t="n"/>
      <c r="M27" s="45" t="n"/>
      <c r="N27" s="45" t="n"/>
      <c r="O27" s="45" t="n"/>
      <c r="P27" s="50" t="n"/>
      <c r="R27" s="2">
        <f t="shared" si="6"/>
        <v>-10000</v>
      </c>
      <c r="S27" s="2">
        <f t="shared" si="7"/>
        <v>202605</v>
      </c>
      <c r="T27" s="2">
        <f t="shared" si="8"/>
      </c>
      <c r="U27" s="2" t="str">
        <f t="shared" si="9"/>
        <v>账户互转</v>
      </c>
      <c r="V27" s="2" t="str">
        <f t="shared" si="10"/>
        <v>聂辉</v>
      </c>
      <c r="W27" s="2" t="str">
        <f t="shared" si="11"/>
        <v>不进利润</v>
      </c>
      <c r="X27" s="2" t="str">
        <f t="shared" si="12"/>
        <v>账户互转</v>
      </c>
      <c r="Y27" s="2">
        <f t="shared" si="13"/>
        <v>0</v>
      </c>
      <c r="Z27" s="2" t="str">
        <f t="shared" si="14"/>
        <v>管理人员</v>
      </c>
      <c r="AA27" s="2">
        <f t="shared" si="15"/>
        <v>1</v>
      </c>
      <c r="AB27" s="2">
        <f t="shared" si="16"/>
      </c>
      <c r="AC27" s="2" t="str">
        <f t="shared" si="17"/>
        <v>聂辉个人户</v>
      </c>
      <c r="AD27" s="2" t="str">
        <f t="shared" si="18"/>
        <v>聂辉个人户</v>
      </c>
      <c r="AE27" s="2" t="str">
        <f t="shared" si="19"/>
        <v>银行</v>
      </c>
      <c r="AF27" s="2" t="str">
        <f t="shared" si="20"/>
        <v>个人户</v>
      </c>
      <c r="AG27" s="2" t="str">
        <f t="shared" si="21"/>
        <v>账户互转</v>
      </c>
      <c r="AH27" s="2" t="str">
        <f t="shared" si="22"/>
        <v>支</v>
      </c>
      <c r="AI27" s="2">
        <f t="shared" si="23"/>
      </c>
      <c r="AJ27" s="2">
        <f t="shared" si="24"/>
        <v>0</v>
      </c>
      <c r="AK27" s="2">
        <f t="shared" si="25"/>
        <v>0</v>
      </c>
      <c r="AL27" s="2">
        <f t="shared" si="26"/>
        <v>111</v>
      </c>
      <c r="AM27" s="2">
        <f t="shared" si="27"/>
        <v>0</v>
      </c>
      <c r="AN27" s="2">
        <f t="shared" si="28"/>
        <v>46165</v>
      </c>
      <c r="AO27" s="2">
        <f t="shared" si="29"/>
      </c>
      <c r="AP27" s="2" t="str">
        <f t="shared" si="30"/>
        <v>聂辉|2</v>
      </c>
      <c r="AQ27" s="2">
        <f t="shared" si="31"/>
      </c>
    </row>
    <row r="28">
      <c r="A28" s="43">
        <f t="shared" si="3"/>
        <v>23</v>
      </c>
      <c r="B28" s="44" t="n">
        <v>46165</v>
      </c>
      <c r="C28" s="45" t="inlineStr">
        <is>
          <t>九江银行</t>
        </is>
      </c>
      <c r="D28" s="46" t="inlineStr">
        <is>
          <t>归还股东个人借款-聂辉</t>
        </is>
      </c>
      <c r="E28" s="47" t="n"/>
      <c r="F28" s="47" t="n">
        <v>80000</v>
      </c>
      <c r="G28" s="48">
        <f t="shared" si="4"/>
        <v>-23957.31</v>
      </c>
      <c r="H28" s="43">
        <f t="shared" si="0"/>
      </c>
      <c r="I28" s="43" t="str">
        <f t="shared" si="5"/>
        <v>账户互转</v>
      </c>
      <c r="J28" s="43" t="str">
        <f t="shared" si="1"/>
        <v>聂辉</v>
      </c>
      <c r="K28" s="49" t="str">
        <f t="shared" si="2"/>
        <v>√</v>
      </c>
      <c r="L28" s="45" t="n"/>
      <c r="M28" s="45" t="n"/>
      <c r="N28" s="45" t="n"/>
      <c r="O28" s="45" t="n"/>
      <c r="P28" s="50" t="n"/>
      <c r="R28" s="2">
        <f t="shared" si="6"/>
        <v>-80000</v>
      </c>
      <c r="S28" s="2">
        <f t="shared" si="7"/>
        <v>202605</v>
      </c>
      <c r="T28" s="2">
        <f t="shared" si="8"/>
      </c>
      <c r="U28" s="2" t="str">
        <f t="shared" si="9"/>
        <v>账户互转</v>
      </c>
      <c r="V28" s="2" t="str">
        <f t="shared" si="10"/>
        <v>聂辉</v>
      </c>
      <c r="W28" s="2" t="str">
        <f t="shared" si="11"/>
        <v>不进利润</v>
      </c>
      <c r="X28" s="2" t="str">
        <f t="shared" si="12"/>
        <v>账户互转</v>
      </c>
      <c r="Y28" s="2">
        <f t="shared" si="13"/>
        <v>0</v>
      </c>
      <c r="Z28" s="2" t="str">
        <f t="shared" si="14"/>
        <v>管理人员</v>
      </c>
      <c r="AA28" s="2">
        <f t="shared" si="15"/>
        <v>1</v>
      </c>
      <c r="AB28" s="2">
        <f t="shared" si="16"/>
      </c>
      <c r="AC28" s="2" t="str">
        <f t="shared" si="17"/>
        <v>聂辉个人户</v>
      </c>
      <c r="AD28" s="2" t="str">
        <f t="shared" si="18"/>
        <v>聂辉个人户</v>
      </c>
      <c r="AE28" s="2" t="str">
        <f t="shared" si="19"/>
        <v>银行</v>
      </c>
      <c r="AF28" s="2" t="str">
        <f t="shared" si="20"/>
        <v>个人户</v>
      </c>
      <c r="AG28" s="2" t="str">
        <f t="shared" si="21"/>
        <v>账户互转</v>
      </c>
      <c r="AH28" s="2" t="str">
        <f t="shared" si="22"/>
        <v>支</v>
      </c>
      <c r="AI28" s="2">
        <f t="shared" si="23"/>
      </c>
      <c r="AJ28" s="2">
        <f t="shared" si="24"/>
        <v>0</v>
      </c>
      <c r="AK28" s="2">
        <f t="shared" si="25"/>
        <v>0</v>
      </c>
      <c r="AL28" s="2">
        <f t="shared" si="26"/>
        <v>111</v>
      </c>
      <c r="AM28" s="2">
        <f t="shared" si="27"/>
        <v>0</v>
      </c>
      <c r="AN28" s="2">
        <f t="shared" si="28"/>
        <v>46165</v>
      </c>
      <c r="AO28" s="2">
        <f t="shared" si="29"/>
      </c>
      <c r="AP28" s="2" t="str">
        <f t="shared" si="30"/>
        <v>聂辉|2</v>
      </c>
      <c r="AQ28" s="2">
        <f t="shared" si="31"/>
      </c>
    </row>
    <row r="29">
      <c r="A29" s="43">
        <f t="shared" si="3"/>
        <v>24</v>
      </c>
      <c r="B29" s="44" t="n">
        <v>46167</v>
      </c>
      <c r="C29" s="45" t="inlineStr">
        <is>
          <t>九江银行</t>
        </is>
      </c>
      <c r="D29" s="46" t="inlineStr">
        <is>
          <t>支付社保费</t>
        </is>
      </c>
      <c r="E29" s="47" t="n"/>
      <c r="F29" s="47" t="n">
        <v>30.54</v>
      </c>
      <c r="G29" s="48">
        <f t="shared" si="4"/>
        <v>-23987.85</v>
      </c>
      <c r="H29" s="43">
        <f t="shared" si="0"/>
      </c>
      <c r="I29" s="43" t="str">
        <f t="shared" si="5"/>
        <v>社保费</v>
      </c>
      <c r="J29" s="43">
        <f t="shared" si="1"/>
      </c>
      <c r="K29" s="49" t="str">
        <f t="shared" si="2"/>
        <v>√</v>
      </c>
      <c r="L29" s="45" t="n"/>
      <c r="M29" s="45" t="n"/>
      <c r="N29" s="45" t="n"/>
      <c r="O29" s="45" t="n"/>
      <c r="P29" s="50" t="n"/>
      <c r="R29" s="2">
        <f t="shared" si="6"/>
        <v>-30.54</v>
      </c>
      <c r="S29" s="2">
        <f t="shared" si="7"/>
        <v>202605</v>
      </c>
      <c r="T29" s="2">
        <f t="shared" si="8"/>
      </c>
      <c r="U29" s="2" t="str">
        <f t="shared" si="9"/>
        <v>社保费</v>
      </c>
      <c r="V29" s="2">
        <f t="shared" si="10"/>
      </c>
      <c r="W29" s="2" t="str">
        <f t="shared" si="11"/>
        <v>公司间接费</v>
      </c>
      <c r="X29" s="2" t="str">
        <f t="shared" si="12"/>
        <v>社保费</v>
      </c>
      <c r="Y29" s="2">
        <f t="shared" si="13"/>
        <v>0</v>
      </c>
      <c r="Z29" s="2">
        <f t="shared" si="14"/>
      </c>
      <c r="AA29" s="2">
        <f t="shared" si="15"/>
        <v>0</v>
      </c>
      <c r="AB29" s="2">
        <f t="shared" si="16"/>
      </c>
      <c r="AC29" s="2">
        <f t="shared" si="17"/>
      </c>
      <c r="AD29" s="2">
        <f t="shared" si="18"/>
      </c>
      <c r="AE29" s="2" t="str">
        <f t="shared" si="19"/>
        <v>银行</v>
      </c>
      <c r="AF29" s="2">
        <f t="shared" si="20"/>
      </c>
      <c r="AG29" s="2" t="str">
        <f t="shared" si="21"/>
        <v>社保费</v>
      </c>
      <c r="AH29" s="2" t="str">
        <f t="shared" si="22"/>
        <v>支</v>
      </c>
      <c r="AI29" s="2">
        <f t="shared" si="23"/>
      </c>
      <c r="AJ29" s="2">
        <f t="shared" si="24"/>
        <v>0</v>
      </c>
      <c r="AK29" s="2">
        <f t="shared" si="25"/>
        <v>0</v>
      </c>
      <c r="AL29" s="2">
        <f t="shared" si="26"/>
        <v>0</v>
      </c>
      <c r="AM29" s="2">
        <f t="shared" si="27"/>
        <v>0</v>
      </c>
      <c r="AN29" s="2">
        <f t="shared" si="28"/>
        <v>46167</v>
      </c>
      <c r="AO29" s="2">
        <f t="shared" si="29"/>
      </c>
      <c r="AP29" s="2">
        <f t="shared" si="30"/>
      </c>
      <c r="AQ29" s="2">
        <f t="shared" si="31"/>
      </c>
    </row>
    <row r="30">
      <c r="A30" s="43">
        <f t="shared" si="3"/>
        <v>25</v>
      </c>
      <c r="B30" s="44" t="n">
        <v>46167</v>
      </c>
      <c r="C30" s="45" t="inlineStr">
        <is>
          <t>九江银行</t>
        </is>
      </c>
      <c r="D30" s="46" t="inlineStr">
        <is>
          <t>支付社保费</t>
        </is>
      </c>
      <c r="E30" s="47" t="n"/>
      <c r="F30" s="47" t="n">
        <v>2008.42</v>
      </c>
      <c r="G30" s="48">
        <f t="shared" si="4"/>
        <v>-25996.27</v>
      </c>
      <c r="H30" s="43">
        <f t="shared" si="0"/>
      </c>
      <c r="I30" s="43" t="str">
        <f t="shared" si="5"/>
        <v>社保费</v>
      </c>
      <c r="J30" s="43">
        <f t="shared" si="1"/>
      </c>
      <c r="K30" s="49" t="str">
        <f t="shared" si="2"/>
        <v>√</v>
      </c>
      <c r="L30" s="45" t="n"/>
      <c r="M30" s="45" t="n"/>
      <c r="N30" s="45" t="n"/>
      <c r="O30" s="45" t="n"/>
      <c r="P30" s="50" t="n"/>
      <c r="R30" s="2">
        <f t="shared" si="6"/>
        <v>-2008.42</v>
      </c>
      <c r="S30" s="2">
        <f t="shared" si="7"/>
        <v>202605</v>
      </c>
      <c r="T30" s="2">
        <f t="shared" si="8"/>
      </c>
      <c r="U30" s="2" t="str">
        <f t="shared" si="9"/>
        <v>社保费</v>
      </c>
      <c r="V30" s="2">
        <f t="shared" si="10"/>
      </c>
      <c r="W30" s="2" t="str">
        <f t="shared" si="11"/>
        <v>公司间接费</v>
      </c>
      <c r="X30" s="2" t="str">
        <f t="shared" si="12"/>
        <v>社保费</v>
      </c>
      <c r="Y30" s="2">
        <f t="shared" si="13"/>
        <v>0</v>
      </c>
      <c r="Z30" s="2">
        <f t="shared" si="14"/>
      </c>
      <c r="AA30" s="2">
        <f t="shared" si="15"/>
        <v>0</v>
      </c>
      <c r="AB30" s="2">
        <f t="shared" si="16"/>
      </c>
      <c r="AC30" s="2">
        <f t="shared" si="17"/>
      </c>
      <c r="AD30" s="2">
        <f t="shared" si="18"/>
      </c>
      <c r="AE30" s="2" t="str">
        <f t="shared" si="19"/>
        <v>银行</v>
      </c>
      <c r="AF30" s="2">
        <f t="shared" si="20"/>
      </c>
      <c r="AG30" s="2" t="str">
        <f t="shared" si="21"/>
        <v>社保费</v>
      </c>
      <c r="AH30" s="2" t="str">
        <f t="shared" si="22"/>
        <v>支</v>
      </c>
      <c r="AI30" s="2">
        <f t="shared" si="23"/>
      </c>
      <c r="AJ30" s="2">
        <f t="shared" si="24"/>
        <v>0</v>
      </c>
      <c r="AK30" s="2">
        <f t="shared" si="25"/>
        <v>0</v>
      </c>
      <c r="AL30" s="2">
        <f t="shared" si="26"/>
        <v>0</v>
      </c>
      <c r="AM30" s="2">
        <f t="shared" si="27"/>
        <v>0</v>
      </c>
      <c r="AN30" s="2">
        <f t="shared" si="28"/>
        <v>46167</v>
      </c>
      <c r="AO30" s="2">
        <f t="shared" si="29"/>
      </c>
      <c r="AP30" s="2">
        <f t="shared" si="30"/>
      </c>
      <c r="AQ30" s="2">
        <f t="shared" si="31"/>
      </c>
    </row>
    <row r="31">
      <c r="A31" s="43">
        <f t="shared" si="3"/>
        <v>26</v>
      </c>
      <c r="B31" s="44" t="n">
        <v>46170</v>
      </c>
      <c r="C31" s="45" t="inlineStr">
        <is>
          <t>九江银行</t>
        </is>
      </c>
      <c r="D31" s="46" t="inlineStr">
        <is>
          <t>付代账公司费用</t>
        </is>
      </c>
      <c r="E31" s="47" t="n"/>
      <c r="F31" s="47" t="n">
        <v>1000</v>
      </c>
      <c r="G31" s="48">
        <f t="shared" si="4"/>
        <v>-26996.27</v>
      </c>
      <c r="H31" s="43">
        <f t="shared" si="0"/>
      </c>
      <c r="I31" s="43" t="str">
        <f t="shared" si="5"/>
        <v>办公费</v>
      </c>
      <c r="J31" s="43">
        <f t="shared" si="1"/>
      </c>
      <c r="K31" s="49" t="str">
        <f t="shared" si="2"/>
        <v>√</v>
      </c>
      <c r="L31" s="45" t="n"/>
      <c r="M31" s="45" t="n"/>
      <c r="N31" s="45" t="n"/>
      <c r="O31" s="45" t="n"/>
      <c r="P31" s="50" t="n"/>
      <c r="R31" s="2">
        <f t="shared" si="6"/>
        <v>-1000</v>
      </c>
      <c r="S31" s="2">
        <f t="shared" si="7"/>
        <v>202605</v>
      </c>
      <c r="T31" s="2">
        <f t="shared" si="8"/>
      </c>
      <c r="U31" s="2" t="str">
        <f t="shared" si="9"/>
        <v>办公费</v>
      </c>
      <c r="V31" s="2">
        <f t="shared" si="10"/>
      </c>
      <c r="W31" s="2" t="str">
        <f t="shared" si="11"/>
        <v>公司间接费</v>
      </c>
      <c r="X31" s="2" t="str">
        <f t="shared" si="12"/>
        <v>办公费</v>
      </c>
      <c r="Y31" s="2">
        <f t="shared" si="13"/>
        <v>0</v>
      </c>
      <c r="Z31" s="2">
        <f t="shared" si="14"/>
      </c>
      <c r="AA31" s="2">
        <f t="shared" si="15"/>
        <v>0</v>
      </c>
      <c r="AB31" s="2">
        <f t="shared" si="16"/>
      </c>
      <c r="AC31" s="2">
        <f t="shared" si="17"/>
      </c>
      <c r="AD31" s="2">
        <f t="shared" si="18"/>
      </c>
      <c r="AE31" s="2" t="str">
        <f t="shared" si="19"/>
        <v>银行</v>
      </c>
      <c r="AF31" s="2">
        <f t="shared" si="20"/>
      </c>
      <c r="AG31" s="2" t="str">
        <f t="shared" si="21"/>
        <v>办公费</v>
      </c>
      <c r="AH31" s="2" t="str">
        <f t="shared" si="22"/>
        <v>支</v>
      </c>
      <c r="AI31" s="2">
        <f t="shared" si="23"/>
      </c>
      <c r="AJ31" s="2">
        <f t="shared" si="24"/>
        <v>0</v>
      </c>
      <c r="AK31" s="2">
        <f t="shared" si="25"/>
        <v>0</v>
      </c>
      <c r="AL31" s="2">
        <f t="shared" si="26"/>
        <v>0</v>
      </c>
      <c r="AM31" s="2">
        <f t="shared" si="27"/>
        <v>0</v>
      </c>
      <c r="AN31" s="2">
        <f t="shared" si="28"/>
        <v>46170</v>
      </c>
      <c r="AO31" s="2">
        <f t="shared" si="29"/>
      </c>
      <c r="AP31" s="2">
        <f t="shared" si="30"/>
      </c>
      <c r="AQ31" s="2">
        <f t="shared" si="31"/>
      </c>
    </row>
    <row r="32">
      <c r="A32" s="43">
        <f t="shared" si="3"/>
        <v>27</v>
      </c>
      <c r="B32" s="44" t="n">
        <v>46145</v>
      </c>
      <c r="C32" s="45" t="inlineStr">
        <is>
          <t>王伟个人户</t>
        </is>
      </c>
      <c r="D32" s="46" t="inlineStr">
        <is>
          <t>支付顺丰快递费</t>
        </is>
      </c>
      <c r="E32" s="47" t="n"/>
      <c r="F32" s="47" t="n">
        <v>23</v>
      </c>
      <c r="G32" s="48">
        <f t="shared" si="4"/>
        <v>-190023</v>
      </c>
      <c r="H32" s="43">
        <f t="shared" si="0"/>
      </c>
      <c r="I32" s="43" t="str">
        <f t="shared" si="5"/>
        <v>办公费</v>
      </c>
      <c r="J32" s="43">
        <f t="shared" si="1"/>
      </c>
      <c r="K32" s="49" t="str">
        <f t="shared" si="2"/>
        <v>√</v>
      </c>
      <c r="L32" s="45" t="n"/>
      <c r="M32" s="45" t="n"/>
      <c r="N32" s="45" t="n"/>
      <c r="O32" s="45" t="n"/>
      <c r="P32" s="50" t="n"/>
      <c r="R32" s="2">
        <f t="shared" si="6"/>
        <v>-23</v>
      </c>
      <c r="S32" s="2">
        <f t="shared" si="7"/>
        <v>202605</v>
      </c>
      <c r="T32" s="2">
        <f t="shared" si="8"/>
      </c>
      <c r="U32" s="2" t="str">
        <f t="shared" si="9"/>
        <v>办公费</v>
      </c>
      <c r="V32" s="2">
        <f t="shared" si="10"/>
      </c>
      <c r="W32" s="2" t="str">
        <f t="shared" si="11"/>
        <v>公司间接费</v>
      </c>
      <c r="X32" s="2" t="str">
        <f t="shared" si="12"/>
        <v>办公费</v>
      </c>
      <c r="Y32" s="2">
        <f t="shared" si="13"/>
        <v>0</v>
      </c>
      <c r="Z32" s="2">
        <f t="shared" si="14"/>
      </c>
      <c r="AA32" s="2">
        <f t="shared" si="15"/>
        <v>0</v>
      </c>
      <c r="AB32" s="2">
        <f t="shared" si="16"/>
      </c>
      <c r="AC32" s="2">
        <f t="shared" si="17"/>
      </c>
      <c r="AD32" s="2">
        <f t="shared" si="18"/>
      </c>
      <c r="AE32" s="2" t="str">
        <f t="shared" si="19"/>
        <v>个人户</v>
      </c>
      <c r="AF32" s="2">
        <f t="shared" si="20"/>
      </c>
      <c r="AG32" s="2" t="str">
        <f t="shared" si="21"/>
        <v>办公费</v>
      </c>
      <c r="AH32" s="2" t="str">
        <f t="shared" si="22"/>
        <v>支</v>
      </c>
      <c r="AI32" s="2">
        <f t="shared" si="23"/>
      </c>
      <c r="AJ32" s="2">
        <f t="shared" si="24"/>
        <v>0</v>
      </c>
      <c r="AK32" s="2">
        <f t="shared" si="25"/>
        <v>0</v>
      </c>
      <c r="AL32" s="2">
        <f t="shared" si="26"/>
        <v>0</v>
      </c>
      <c r="AM32" s="2">
        <f t="shared" si="27"/>
        <v>0</v>
      </c>
      <c r="AN32" s="2">
        <f t="shared" si="28"/>
        <v>46145</v>
      </c>
      <c r="AO32" s="2">
        <f t="shared" si="29"/>
      </c>
      <c r="AP32" s="2">
        <f t="shared" si="30"/>
      </c>
      <c r="AQ32" s="2">
        <f t="shared" si="31"/>
      </c>
    </row>
    <row r="33">
      <c r="A33" s="43">
        <f t="shared" si="3"/>
        <v>28</v>
      </c>
      <c r="B33" s="44" t="n">
        <v>46145</v>
      </c>
      <c r="C33" s="45" t="inlineStr">
        <is>
          <t>王伟个人户</t>
        </is>
      </c>
      <c r="D33" s="46" t="inlineStr">
        <is>
          <t>付老叶分包劳务费</t>
        </is>
      </c>
      <c r="E33" s="47" t="n"/>
      <c r="F33" s="47" t="n">
        <v>3000</v>
      </c>
      <c r="G33" s="48">
        <f t="shared" si="4"/>
        <v>-193023</v>
      </c>
      <c r="H33" s="43">
        <f t="shared" si="0"/>
      </c>
      <c r="I33" s="43" t="str">
        <f t="shared" si="5"/>
        <v>付应付款</v>
      </c>
      <c r="J33" s="43" t="str">
        <f t="shared" si="1"/>
        <v>恩旗老叶</v>
      </c>
      <c r="K33" s="49" t="str">
        <f t="shared" si="2"/>
        <v>√</v>
      </c>
      <c r="L33" s="45" t="n"/>
      <c r="M33" s="45" t="n"/>
      <c r="N33" s="45" t="n"/>
      <c r="O33" s="45" t="n"/>
      <c r="P33" s="50" t="n"/>
      <c r="R33" s="2">
        <f t="shared" si="6"/>
        <v>-3000</v>
      </c>
      <c r="S33" s="2">
        <f t="shared" si="7"/>
        <v>202605</v>
      </c>
      <c r="T33" s="2">
        <f t="shared" si="8"/>
      </c>
      <c r="U33" s="2" t="str">
        <f t="shared" si="9"/>
        <v>付应付款</v>
      </c>
      <c r="V33" s="2" t="str">
        <f t="shared" si="10"/>
        <v>恩旗老叶</v>
      </c>
      <c r="W33" s="2" t="str">
        <f t="shared" si="11"/>
        <v>不进利润</v>
      </c>
      <c r="X33" s="2" t="str">
        <f t="shared" si="12"/>
        <v>应付分包款</v>
      </c>
      <c r="Y33" s="2">
        <f t="shared" si="13"/>
        <v>1</v>
      </c>
      <c r="Z33" s="2" t="str">
        <f t="shared" si="14"/>
        <v>分包</v>
      </c>
      <c r="AA33" s="2">
        <f t="shared" si="15"/>
        <v>0</v>
      </c>
      <c r="AB33" s="2">
        <f t="shared" si="16"/>
      </c>
      <c r="AC33" s="2">
        <f t="shared" si="17"/>
      </c>
      <c r="AD33" s="2">
        <f t="shared" si="18"/>
      </c>
      <c r="AE33" s="2" t="str">
        <f t="shared" si="19"/>
        <v>个人户</v>
      </c>
      <c r="AF33" s="2">
        <f t="shared" si="20"/>
      </c>
      <c r="AG33" s="2" t="str">
        <f t="shared" si="21"/>
        <v>分包费</v>
      </c>
      <c r="AH33" s="2" t="str">
        <f t="shared" si="22"/>
        <v>支</v>
      </c>
      <c r="AI33" s="2">
        <f t="shared" si="23"/>
      </c>
      <c r="AJ33" s="2">
        <f t="shared" si="24"/>
        <v>0</v>
      </c>
      <c r="AK33" s="2">
        <f t="shared" si="25"/>
        <v>0</v>
      </c>
      <c r="AL33" s="2">
        <f t="shared" si="26"/>
        <v>98</v>
      </c>
      <c r="AM33" s="2">
        <f t="shared" si="27"/>
        <v>0</v>
      </c>
      <c r="AN33" s="2">
        <f t="shared" si="28"/>
        <v>46145</v>
      </c>
      <c r="AO33" s="2">
        <f t="shared" si="29"/>
      </c>
      <c r="AP33" s="2" t="str">
        <f t="shared" si="30"/>
        <v>恩旗老叶|1</v>
      </c>
      <c r="AQ33" s="2">
        <f t="shared" si="31"/>
      </c>
    </row>
    <row r="34">
      <c r="A34" s="43">
        <f t="shared" si="3"/>
        <v>29</v>
      </c>
      <c r="B34" s="44" t="n">
        <v>46146</v>
      </c>
      <c r="C34" s="45" t="inlineStr">
        <is>
          <t>王伟个人户</t>
        </is>
      </c>
      <c r="D34" s="46" t="inlineStr">
        <is>
          <t>支付快餐费</t>
        </is>
      </c>
      <c r="E34" s="47" t="n"/>
      <c r="F34" s="47" t="n">
        <v>68</v>
      </c>
      <c r="G34" s="48">
        <f t="shared" si="4"/>
        <v>-193091</v>
      </c>
      <c r="H34" s="43">
        <f t="shared" si="0"/>
      </c>
      <c r="I34" s="43" t="str">
        <f t="shared" si="5"/>
        <v>业务招待费</v>
      </c>
      <c r="J34" s="43">
        <f t="shared" si="1"/>
      </c>
      <c r="K34" s="49" t="str">
        <f t="shared" si="2"/>
        <v>√</v>
      </c>
      <c r="L34" s="45" t="n"/>
      <c r="M34" s="45" t="n"/>
      <c r="N34" s="45" t="n"/>
      <c r="O34" s="45" t="n"/>
      <c r="P34" s="50" t="n"/>
      <c r="R34" s="2">
        <f t="shared" si="6"/>
        <v>-68</v>
      </c>
      <c r="S34" s="2">
        <f t="shared" si="7"/>
        <v>202605</v>
      </c>
      <c r="T34" s="2">
        <f t="shared" si="8"/>
      </c>
      <c r="U34" s="2" t="str">
        <f t="shared" si="9"/>
        <v>业务招待费</v>
      </c>
      <c r="V34" s="2">
        <f t="shared" si="10"/>
      </c>
      <c r="W34" s="2" t="str">
        <f t="shared" si="11"/>
        <v>公司间接费</v>
      </c>
      <c r="X34" s="2" t="str">
        <f t="shared" si="12"/>
        <v>业务招待费</v>
      </c>
      <c r="Y34" s="2">
        <f t="shared" si="13"/>
        <v>0</v>
      </c>
      <c r="Z34" s="2">
        <f t="shared" si="14"/>
      </c>
      <c r="AA34" s="2">
        <f t="shared" si="15"/>
        <v>0</v>
      </c>
      <c r="AB34" s="2">
        <f t="shared" si="16"/>
      </c>
      <c r="AC34" s="2">
        <f t="shared" si="17"/>
      </c>
      <c r="AD34" s="2">
        <f t="shared" si="18"/>
      </c>
      <c r="AE34" s="2" t="str">
        <f t="shared" si="19"/>
        <v>个人户</v>
      </c>
      <c r="AF34" s="2">
        <f t="shared" si="20"/>
      </c>
      <c r="AG34" s="2" t="str">
        <f t="shared" si="21"/>
        <v>业务招待费</v>
      </c>
      <c r="AH34" s="2" t="str">
        <f t="shared" si="22"/>
        <v>支</v>
      </c>
      <c r="AI34" s="2">
        <f t="shared" si="23"/>
      </c>
      <c r="AJ34" s="2">
        <f t="shared" si="24"/>
        <v>0</v>
      </c>
      <c r="AK34" s="2">
        <f t="shared" si="25"/>
        <v>0</v>
      </c>
      <c r="AL34" s="2">
        <f t="shared" si="26"/>
        <v>0</v>
      </c>
      <c r="AM34" s="2">
        <f t="shared" si="27"/>
        <v>0</v>
      </c>
      <c r="AN34" s="2">
        <f t="shared" si="28"/>
        <v>46146</v>
      </c>
      <c r="AO34" s="2">
        <f t="shared" si="29"/>
      </c>
      <c r="AP34" s="2">
        <f t="shared" si="30"/>
      </c>
      <c r="AQ34" s="2">
        <f t="shared" si="31"/>
      </c>
    </row>
    <row r="35">
      <c r="A35" s="43">
        <f t="shared" si="3"/>
        <v>30</v>
      </c>
      <c r="B35" s="44" t="n">
        <v>46154</v>
      </c>
      <c r="C35" s="45" t="inlineStr">
        <is>
          <t>王伟个人户</t>
        </is>
      </c>
      <c r="D35" s="46" t="inlineStr">
        <is>
          <t>皮卡车加油</t>
        </is>
      </c>
      <c r="E35" s="47" t="n"/>
      <c r="F35" s="47" t="n">
        <v>200</v>
      </c>
      <c r="G35" s="48">
        <f t="shared" si="4"/>
        <v>-193291</v>
      </c>
      <c r="H35" s="43">
        <f t="shared" si="0"/>
      </c>
      <c r="I35" s="43" t="str">
        <f t="shared" si="5"/>
        <v>车辆差旅</v>
      </c>
      <c r="J35" s="43">
        <f t="shared" si="1"/>
      </c>
      <c r="K35" s="49" t="str">
        <f t="shared" si="2"/>
        <v>√</v>
      </c>
      <c r="L35" s="45" t="n"/>
      <c r="M35" s="45" t="n"/>
      <c r="N35" s="45" t="n"/>
      <c r="O35" s="45" t="n"/>
      <c r="P35" s="50" t="n"/>
      <c r="R35" s="2">
        <f t="shared" si="6"/>
        <v>-200</v>
      </c>
      <c r="S35" s="2">
        <f t="shared" si="7"/>
        <v>202605</v>
      </c>
      <c r="T35" s="2">
        <f t="shared" si="8"/>
      </c>
      <c r="U35" s="2" t="str">
        <f t="shared" si="9"/>
        <v>车辆差旅</v>
      </c>
      <c r="V35" s="2">
        <f t="shared" si="10"/>
      </c>
      <c r="W35" s="2" t="str">
        <f t="shared" si="11"/>
        <v>公司间接费</v>
      </c>
      <c r="X35" s="2" t="str">
        <f t="shared" si="12"/>
        <v>车辆差旅</v>
      </c>
      <c r="Y35" s="2">
        <f t="shared" si="13"/>
        <v>0</v>
      </c>
      <c r="Z35" s="2">
        <f t="shared" si="14"/>
      </c>
      <c r="AA35" s="2">
        <f t="shared" si="15"/>
        <v>0</v>
      </c>
      <c r="AB35" s="2">
        <f t="shared" si="16"/>
      </c>
      <c r="AC35" s="2">
        <f t="shared" si="17"/>
      </c>
      <c r="AD35" s="2">
        <f t="shared" si="18"/>
      </c>
      <c r="AE35" s="2" t="str">
        <f t="shared" si="19"/>
        <v>个人户</v>
      </c>
      <c r="AF35" s="2">
        <f t="shared" si="20"/>
      </c>
      <c r="AG35" s="2" t="str">
        <f t="shared" si="21"/>
        <v>车辆差旅</v>
      </c>
      <c r="AH35" s="2" t="str">
        <f t="shared" si="22"/>
        <v>支</v>
      </c>
      <c r="AI35" s="2">
        <f t="shared" si="23"/>
      </c>
      <c r="AJ35" s="2">
        <f t="shared" si="24"/>
        <v>0</v>
      </c>
      <c r="AK35" s="2">
        <f t="shared" si="25"/>
        <v>0</v>
      </c>
      <c r="AL35" s="2">
        <f t="shared" si="26"/>
        <v>0</v>
      </c>
      <c r="AM35" s="2">
        <f t="shared" si="27"/>
        <v>0</v>
      </c>
      <c r="AN35" s="2">
        <f t="shared" si="28"/>
        <v>46154</v>
      </c>
      <c r="AO35" s="2">
        <f t="shared" si="29"/>
      </c>
      <c r="AP35" s="2">
        <f t="shared" si="30"/>
      </c>
      <c r="AQ35" s="2">
        <f t="shared" si="31"/>
      </c>
    </row>
    <row r="36">
      <c r="A36" s="43">
        <f t="shared" si="3"/>
        <v>31</v>
      </c>
      <c r="B36" s="44" t="n">
        <v>46156</v>
      </c>
      <c r="C36" s="45" t="inlineStr">
        <is>
          <t>王伟个人户</t>
        </is>
      </c>
      <c r="D36" s="46" t="inlineStr">
        <is>
          <t>付养老中心期间费</t>
        </is>
      </c>
      <c r="E36" s="47" t="n"/>
      <c r="F36" s="47" t="n">
        <v>4000</v>
      </c>
      <c r="G36" s="48">
        <f t="shared" si="4"/>
        <v>-197291</v>
      </c>
      <c r="H36" s="43" t="str">
        <f t="shared" si="0"/>
        <v>德安养老中心</v>
      </c>
      <c r="I36" s="43" t="str">
        <f t="shared" si="5"/>
        <v>其他直接费</v>
      </c>
      <c r="J36" s="43">
        <f t="shared" si="1"/>
      </c>
      <c r="K36" s="49" t="str">
        <f t="shared" si="2"/>
        <v>√</v>
      </c>
      <c r="L36" s="45" t="n"/>
      <c r="M36" s="45" t="n"/>
      <c r="N36" s="45" t="n"/>
      <c r="O36" s="45" t="n"/>
      <c r="P36" s="50" t="n"/>
      <c r="R36" s="2">
        <f t="shared" si="6"/>
        <v>-4000</v>
      </c>
      <c r="S36" s="2">
        <f t="shared" si="7"/>
        <v>202605</v>
      </c>
      <c r="T36" s="2" t="str">
        <f t="shared" si="8"/>
        <v>德安养老中心</v>
      </c>
      <c r="U36" s="2" t="str">
        <f t="shared" si="9"/>
        <v>其他直接费</v>
      </c>
      <c r="V36" s="2">
        <f t="shared" si="10"/>
      </c>
      <c r="W36" s="2" t="str">
        <f t="shared" si="11"/>
        <v>项目直接成本</v>
      </c>
      <c r="X36" s="2" t="str">
        <f t="shared" si="12"/>
        <v>其他直接费</v>
      </c>
      <c r="Y36" s="2">
        <f t="shared" si="13"/>
        <v>0</v>
      </c>
      <c r="Z36" s="2">
        <f t="shared" si="14"/>
      </c>
      <c r="AA36" s="2">
        <f t="shared" si="15"/>
        <v>0</v>
      </c>
      <c r="AB36" s="2">
        <f t="shared" si="16"/>
      </c>
      <c r="AC36" s="2">
        <f t="shared" si="17"/>
      </c>
      <c r="AD36" s="2">
        <f t="shared" si="18"/>
      </c>
      <c r="AE36" s="2" t="str">
        <f t="shared" si="19"/>
        <v>个人户</v>
      </c>
      <c r="AF36" s="2">
        <f t="shared" si="20"/>
      </c>
      <c r="AG36" s="2" t="str">
        <f t="shared" si="21"/>
        <v>其他直接费</v>
      </c>
      <c r="AH36" s="2" t="str">
        <f t="shared" si="22"/>
        <v>支</v>
      </c>
      <c r="AI36" s="2" t="str">
        <f t="shared" si="23"/>
        <v>养老中心</v>
      </c>
      <c r="AJ36" s="2">
        <f t="shared" si="24"/>
        <v>0</v>
      </c>
      <c r="AK36" s="2">
        <f t="shared" si="25"/>
        <v>13</v>
      </c>
      <c r="AL36" s="2">
        <f t="shared" si="26"/>
        <v>0</v>
      </c>
      <c r="AM36" s="2">
        <f t="shared" si="27"/>
        <v>0</v>
      </c>
      <c r="AN36" s="2">
        <f t="shared" si="28"/>
        <v>46156</v>
      </c>
      <c r="AO36" s="2">
        <f t="shared" si="29"/>
      </c>
      <c r="AP36" s="2">
        <f t="shared" si="30"/>
      </c>
      <c r="AQ36" s="2">
        <f t="shared" si="31"/>
      </c>
    </row>
    <row r="37">
      <c r="A37" s="43">
        <f t="shared" si="3"/>
        <v>32</v>
      </c>
      <c r="B37" s="44" t="n">
        <v>46157</v>
      </c>
      <c r="C37" s="45" t="inlineStr">
        <is>
          <t>王伟个人户</t>
        </is>
      </c>
      <c r="D37" s="46" t="inlineStr">
        <is>
          <t>公司日用品</t>
        </is>
      </c>
      <c r="E37" s="47" t="n"/>
      <c r="F37" s="47" t="n">
        <v>55</v>
      </c>
      <c r="G37" s="48">
        <f t="shared" si="4"/>
        <v>-197346</v>
      </c>
      <c r="H37" s="43">
        <f t="shared" si="0"/>
      </c>
      <c r="I37" s="43" t="str">
        <f t="shared" si="5"/>
        <v>办公费</v>
      </c>
      <c r="J37" s="43">
        <f t="shared" si="1"/>
      </c>
      <c r="K37" s="49" t="str">
        <f t="shared" si="2"/>
        <v>√</v>
      </c>
      <c r="L37" s="45" t="n"/>
      <c r="M37" s="45" t="n"/>
      <c r="N37" s="45" t="n"/>
      <c r="O37" s="45" t="n"/>
      <c r="P37" s="50" t="n"/>
      <c r="R37" s="2">
        <f t="shared" si="6"/>
        <v>-55</v>
      </c>
      <c r="S37" s="2">
        <f t="shared" si="7"/>
        <v>202605</v>
      </c>
      <c r="T37" s="2">
        <f t="shared" si="8"/>
      </c>
      <c r="U37" s="2" t="str">
        <f t="shared" si="9"/>
        <v>办公费</v>
      </c>
      <c r="V37" s="2">
        <f t="shared" si="10"/>
      </c>
      <c r="W37" s="2" t="str">
        <f t="shared" si="11"/>
        <v>公司间接费</v>
      </c>
      <c r="X37" s="2" t="str">
        <f t="shared" si="12"/>
        <v>办公费</v>
      </c>
      <c r="Y37" s="2">
        <f t="shared" si="13"/>
        <v>0</v>
      </c>
      <c r="Z37" s="2">
        <f t="shared" si="14"/>
      </c>
      <c r="AA37" s="2">
        <f t="shared" si="15"/>
        <v>0</v>
      </c>
      <c r="AB37" s="2">
        <f t="shared" si="16"/>
      </c>
      <c r="AC37" s="2">
        <f t="shared" si="17"/>
      </c>
      <c r="AD37" s="2">
        <f t="shared" si="18"/>
      </c>
      <c r="AE37" s="2" t="str">
        <f t="shared" si="19"/>
        <v>个人户</v>
      </c>
      <c r="AF37" s="2">
        <f t="shared" si="20"/>
      </c>
      <c r="AG37" s="2" t="str">
        <f t="shared" si="21"/>
        <v>办公费</v>
      </c>
      <c r="AH37" s="2" t="str">
        <f t="shared" si="22"/>
        <v>支</v>
      </c>
      <c r="AI37" s="2">
        <f t="shared" si="23"/>
      </c>
      <c r="AJ37" s="2">
        <f t="shared" si="24"/>
        <v>0</v>
      </c>
      <c r="AK37" s="2">
        <f t="shared" si="25"/>
        <v>0</v>
      </c>
      <c r="AL37" s="2">
        <f t="shared" si="26"/>
        <v>0</v>
      </c>
      <c r="AM37" s="2">
        <f t="shared" si="27"/>
        <v>0</v>
      </c>
      <c r="AN37" s="2">
        <f t="shared" si="28"/>
        <v>46157</v>
      </c>
      <c r="AO37" s="2">
        <f t="shared" si="29"/>
      </c>
      <c r="AP37" s="2">
        <f t="shared" si="30"/>
      </c>
      <c r="AQ37" s="2">
        <f t="shared" si="31"/>
      </c>
    </row>
    <row r="38">
      <c r="A38" s="43">
        <f t="shared" si="3"/>
        <v>33</v>
      </c>
      <c r="B38" s="44" t="n">
        <v>46158</v>
      </c>
      <c r="C38" s="45" t="inlineStr">
        <is>
          <t>王伟个人户</t>
        </is>
      </c>
      <c r="D38" s="46" t="inlineStr">
        <is>
          <t>买酒水</t>
        </is>
      </c>
      <c r="E38" s="47" t="n"/>
      <c r="F38" s="47" t="n">
        <v>55</v>
      </c>
      <c r="G38" s="48">
        <f t="shared" si="4"/>
        <v>-197401</v>
      </c>
      <c r="H38" s="43">
        <f t="shared" si="0"/>
      </c>
      <c r="I38" s="43" t="str">
        <f t="shared" si="5"/>
        <v>业务招待费</v>
      </c>
      <c r="J38" s="43">
        <f t="shared" si="1"/>
      </c>
      <c r="K38" s="49" t="str">
        <f t="shared" si="2"/>
        <v>√</v>
      </c>
      <c r="L38" s="45" t="n"/>
      <c r="M38" s="45" t="n"/>
      <c r="N38" s="45" t="n"/>
      <c r="O38" s="45" t="n"/>
      <c r="P38" s="50" t="n"/>
      <c r="R38" s="2">
        <f t="shared" si="6"/>
        <v>-55</v>
      </c>
      <c r="S38" s="2">
        <f t="shared" si="7"/>
        <v>202605</v>
      </c>
      <c r="T38" s="2">
        <f t="shared" si="8"/>
      </c>
      <c r="U38" s="2" t="str">
        <f t="shared" si="9"/>
        <v>业务招待费</v>
      </c>
      <c r="V38" s="2">
        <f t="shared" si="10"/>
      </c>
      <c r="W38" s="2" t="str">
        <f t="shared" si="11"/>
        <v>公司间接费</v>
      </c>
      <c r="X38" s="2" t="str">
        <f t="shared" si="12"/>
        <v>业务招待费</v>
      </c>
      <c r="Y38" s="2">
        <f t="shared" si="13"/>
        <v>0</v>
      </c>
      <c r="Z38" s="2">
        <f t="shared" si="14"/>
      </c>
      <c r="AA38" s="2">
        <f t="shared" si="15"/>
        <v>0</v>
      </c>
      <c r="AB38" s="2">
        <f t="shared" si="16"/>
      </c>
      <c r="AC38" s="2">
        <f t="shared" si="17"/>
      </c>
      <c r="AD38" s="2">
        <f t="shared" si="18"/>
      </c>
      <c r="AE38" s="2" t="str">
        <f t="shared" si="19"/>
        <v>个人户</v>
      </c>
      <c r="AF38" s="2">
        <f t="shared" si="20"/>
      </c>
      <c r="AG38" s="2" t="str">
        <f t="shared" si="21"/>
        <v>业务招待费</v>
      </c>
      <c r="AH38" s="2" t="str">
        <f t="shared" si="22"/>
        <v>支</v>
      </c>
      <c r="AI38" s="2">
        <f t="shared" si="23"/>
      </c>
      <c r="AJ38" s="2">
        <f t="shared" si="24"/>
        <v>0</v>
      </c>
      <c r="AK38" s="2">
        <f t="shared" si="25"/>
        <v>0</v>
      </c>
      <c r="AL38" s="2">
        <f t="shared" si="26"/>
        <v>0</v>
      </c>
      <c r="AM38" s="2">
        <f t="shared" si="27"/>
        <v>0</v>
      </c>
      <c r="AN38" s="2">
        <f t="shared" si="28"/>
        <v>46158</v>
      </c>
      <c r="AO38" s="2">
        <f t="shared" si="29"/>
      </c>
      <c r="AP38" s="2">
        <f t="shared" si="30"/>
      </c>
      <c r="AQ38" s="2">
        <f t="shared" si="31"/>
      </c>
    </row>
    <row r="39">
      <c r="A39" s="43">
        <f t="shared" si="3"/>
        <v>34</v>
      </c>
      <c r="B39" s="44" t="n">
        <v>46159</v>
      </c>
      <c r="C39" s="45" t="inlineStr">
        <is>
          <t>王伟个人户</t>
        </is>
      </c>
      <c r="D39" s="46" t="inlineStr">
        <is>
          <t>皮卡车加油</t>
        </is>
      </c>
      <c r="E39" s="47" t="n"/>
      <c r="F39" s="47" t="n">
        <v>200</v>
      </c>
      <c r="G39" s="48">
        <f t="shared" si="4"/>
        <v>-197601</v>
      </c>
      <c r="H39" s="43">
        <f t="shared" si="0"/>
      </c>
      <c r="I39" s="43" t="str">
        <f t="shared" si="5"/>
        <v>车辆差旅</v>
      </c>
      <c r="J39" s="43">
        <f t="shared" si="1"/>
      </c>
      <c r="K39" s="49" t="str">
        <f t="shared" si="2"/>
        <v>√</v>
      </c>
      <c r="L39" s="45" t="n"/>
      <c r="M39" s="45" t="n"/>
      <c r="N39" s="45" t="n"/>
      <c r="O39" s="45" t="n"/>
      <c r="P39" s="50" t="n"/>
      <c r="R39" s="2">
        <f t="shared" si="6"/>
        <v>-200</v>
      </c>
      <c r="S39" s="2">
        <f t="shared" si="7"/>
        <v>202605</v>
      </c>
      <c r="T39" s="2">
        <f t="shared" si="8"/>
      </c>
      <c r="U39" s="2" t="str">
        <f t="shared" si="9"/>
        <v>车辆差旅</v>
      </c>
      <c r="V39" s="2">
        <f t="shared" si="10"/>
      </c>
      <c r="W39" s="2" t="str">
        <f t="shared" si="11"/>
        <v>公司间接费</v>
      </c>
      <c r="X39" s="2" t="str">
        <f t="shared" si="12"/>
        <v>车辆差旅</v>
      </c>
      <c r="Y39" s="2">
        <f t="shared" si="13"/>
        <v>0</v>
      </c>
      <c r="Z39" s="2">
        <f t="shared" si="14"/>
      </c>
      <c r="AA39" s="2">
        <f t="shared" si="15"/>
        <v>0</v>
      </c>
      <c r="AB39" s="2">
        <f t="shared" si="16"/>
      </c>
      <c r="AC39" s="2">
        <f t="shared" si="17"/>
      </c>
      <c r="AD39" s="2">
        <f t="shared" si="18"/>
      </c>
      <c r="AE39" s="2" t="str">
        <f t="shared" si="19"/>
        <v>个人户</v>
      </c>
      <c r="AF39" s="2">
        <f t="shared" si="20"/>
      </c>
      <c r="AG39" s="2" t="str">
        <f t="shared" si="21"/>
        <v>车辆差旅</v>
      </c>
      <c r="AH39" s="2" t="str">
        <f t="shared" si="22"/>
        <v>支</v>
      </c>
      <c r="AI39" s="2">
        <f t="shared" si="23"/>
      </c>
      <c r="AJ39" s="2">
        <f t="shared" si="24"/>
        <v>0</v>
      </c>
      <c r="AK39" s="2">
        <f t="shared" si="25"/>
        <v>0</v>
      </c>
      <c r="AL39" s="2">
        <f t="shared" si="26"/>
        <v>0</v>
      </c>
      <c r="AM39" s="2">
        <f t="shared" si="27"/>
        <v>0</v>
      </c>
      <c r="AN39" s="2">
        <f t="shared" si="28"/>
        <v>46159</v>
      </c>
      <c r="AO39" s="2">
        <f t="shared" si="29"/>
      </c>
      <c r="AP39" s="2">
        <f t="shared" si="30"/>
      </c>
      <c r="AQ39" s="2">
        <f t="shared" si="31"/>
      </c>
    </row>
    <row r="40">
      <c r="A40" s="43">
        <f t="shared" si="3"/>
        <v>35</v>
      </c>
      <c r="B40" s="44" t="n">
        <v>46162</v>
      </c>
      <c r="C40" s="45" t="inlineStr">
        <is>
          <t>王伟个人户</t>
        </is>
      </c>
      <c r="D40" s="46" t="inlineStr">
        <is>
          <t>公司食堂买菜</t>
        </is>
      </c>
      <c r="E40" s="47" t="n"/>
      <c r="F40" s="47" t="n">
        <v>150.7</v>
      </c>
      <c r="G40" s="48">
        <f t="shared" si="4"/>
        <v>-197751.7</v>
      </c>
      <c r="H40" s="43">
        <f t="shared" si="0"/>
      </c>
      <c r="I40" s="43" t="str">
        <f t="shared" si="5"/>
        <v>食堂伙食</v>
      </c>
      <c r="J40" s="43">
        <f t="shared" si="1"/>
      </c>
      <c r="K40" s="49" t="str">
        <f t="shared" si="2"/>
        <v>√</v>
      </c>
      <c r="L40" s="45" t="n"/>
      <c r="M40" s="45" t="n"/>
      <c r="N40" s="45" t="n"/>
      <c r="O40" s="45" t="n"/>
      <c r="P40" s="50" t="n"/>
      <c r="R40" s="2">
        <f t="shared" si="6"/>
        <v>-150.7</v>
      </c>
      <c r="S40" s="2">
        <f t="shared" si="7"/>
        <v>202605</v>
      </c>
      <c r="T40" s="2">
        <f t="shared" si="8"/>
      </c>
      <c r="U40" s="2" t="str">
        <f t="shared" si="9"/>
        <v>食堂伙食</v>
      </c>
      <c r="V40" s="2">
        <f t="shared" si="10"/>
      </c>
      <c r="W40" s="2" t="str">
        <f t="shared" si="11"/>
        <v>公司间接费</v>
      </c>
      <c r="X40" s="2" t="str">
        <f t="shared" si="12"/>
        <v>食堂伙食</v>
      </c>
      <c r="Y40" s="2">
        <f t="shared" si="13"/>
        <v>0</v>
      </c>
      <c r="Z40" s="2">
        <f t="shared" si="14"/>
      </c>
      <c r="AA40" s="2">
        <f t="shared" si="15"/>
        <v>0</v>
      </c>
      <c r="AB40" s="2">
        <f t="shared" si="16"/>
      </c>
      <c r="AC40" s="2">
        <f t="shared" si="17"/>
      </c>
      <c r="AD40" s="2">
        <f t="shared" si="18"/>
      </c>
      <c r="AE40" s="2" t="str">
        <f t="shared" si="19"/>
        <v>个人户</v>
      </c>
      <c r="AF40" s="2">
        <f t="shared" si="20"/>
      </c>
      <c r="AG40" s="2" t="str">
        <f t="shared" si="21"/>
        <v>食堂伙食</v>
      </c>
      <c r="AH40" s="2" t="str">
        <f t="shared" si="22"/>
        <v>支</v>
      </c>
      <c r="AI40" s="2">
        <f t="shared" si="23"/>
      </c>
      <c r="AJ40" s="2">
        <f t="shared" si="24"/>
        <v>0</v>
      </c>
      <c r="AK40" s="2">
        <f t="shared" si="25"/>
        <v>0</v>
      </c>
      <c r="AL40" s="2">
        <f t="shared" si="26"/>
        <v>0</v>
      </c>
      <c r="AM40" s="2">
        <f t="shared" si="27"/>
        <v>0</v>
      </c>
      <c r="AN40" s="2">
        <f t="shared" si="28"/>
        <v>46162</v>
      </c>
      <c r="AO40" s="2">
        <f t="shared" si="29"/>
      </c>
      <c r="AP40" s="2">
        <f t="shared" si="30"/>
      </c>
      <c r="AQ40" s="2">
        <f t="shared" si="31"/>
      </c>
    </row>
    <row r="41">
      <c r="A41" s="43">
        <f t="shared" si="3"/>
        <v>36</v>
      </c>
      <c r="B41" s="44" t="n">
        <v>46152</v>
      </c>
      <c r="C41" s="45" t="inlineStr">
        <is>
          <t>王伟个人户</t>
        </is>
      </c>
      <c r="D41" s="46" t="inlineStr">
        <is>
          <t>118酒店客人住宿费</t>
        </is>
      </c>
      <c r="E41" s="47" t="n"/>
      <c r="F41" s="47" t="n">
        <v>80</v>
      </c>
      <c r="G41" s="48">
        <f t="shared" si="4"/>
        <v>-197831.7</v>
      </c>
      <c r="H41" s="43">
        <f t="shared" si="0"/>
      </c>
      <c r="I41" s="43" t="str">
        <f t="shared" si="5"/>
        <v>业务招待费</v>
      </c>
      <c r="J41" s="43">
        <f t="shared" si="1"/>
      </c>
      <c r="K41" s="49" t="str">
        <f t="shared" si="2"/>
        <v>√</v>
      </c>
      <c r="L41" s="45" t="n"/>
      <c r="M41" s="45" t="n"/>
      <c r="N41" s="45" t="n"/>
      <c r="O41" s="45" t="n"/>
      <c r="P41" s="50" t="n"/>
      <c r="R41" s="2">
        <f t="shared" si="6"/>
        <v>-80</v>
      </c>
      <c r="S41" s="2">
        <f t="shared" si="7"/>
        <v>202605</v>
      </c>
      <c r="T41" s="2">
        <f t="shared" si="8"/>
      </c>
      <c r="U41" s="2" t="str">
        <f t="shared" si="9"/>
        <v>业务招待费</v>
      </c>
      <c r="V41" s="2">
        <f t="shared" si="10"/>
      </c>
      <c r="W41" s="2" t="str">
        <f t="shared" si="11"/>
        <v>公司间接费</v>
      </c>
      <c r="X41" s="2" t="str">
        <f t="shared" si="12"/>
        <v>业务招待费</v>
      </c>
      <c r="Y41" s="2">
        <f t="shared" si="13"/>
        <v>0</v>
      </c>
      <c r="Z41" s="2">
        <f t="shared" si="14"/>
      </c>
      <c r="AA41" s="2">
        <f t="shared" si="15"/>
        <v>0</v>
      </c>
      <c r="AB41" s="2">
        <f t="shared" si="16"/>
      </c>
      <c r="AC41" s="2">
        <f t="shared" si="17"/>
      </c>
      <c r="AD41" s="2">
        <f t="shared" si="18"/>
      </c>
      <c r="AE41" s="2" t="str">
        <f t="shared" si="19"/>
        <v>个人户</v>
      </c>
      <c r="AF41" s="2">
        <f t="shared" si="20"/>
      </c>
      <c r="AG41" s="2" t="str">
        <f t="shared" si="21"/>
        <v>业务招待费</v>
      </c>
      <c r="AH41" s="2" t="str">
        <f t="shared" si="22"/>
        <v>支</v>
      </c>
      <c r="AI41" s="2">
        <f t="shared" si="23"/>
      </c>
      <c r="AJ41" s="2">
        <f t="shared" si="24"/>
        <v>0</v>
      </c>
      <c r="AK41" s="2">
        <f t="shared" si="25"/>
        <v>0</v>
      </c>
      <c r="AL41" s="2">
        <f t="shared" si="26"/>
        <v>0</v>
      </c>
      <c r="AM41" s="2">
        <f t="shared" si="27"/>
        <v>0</v>
      </c>
      <c r="AN41" s="2">
        <f t="shared" si="28"/>
        <v>46152</v>
      </c>
      <c r="AO41" s="2">
        <f t="shared" si="29"/>
      </c>
      <c r="AP41" s="2">
        <f t="shared" si="30"/>
      </c>
      <c r="AQ41" s="2">
        <f t="shared" si="31"/>
      </c>
    </row>
    <row r="42">
      <c r="A42" s="43">
        <f t="shared" si="3"/>
        <v>37</v>
      </c>
      <c r="B42" s="44" t="n">
        <v>46152</v>
      </c>
      <c r="C42" s="45" t="inlineStr">
        <is>
          <t>王伟个人户</t>
        </is>
      </c>
      <c r="D42" s="46" t="inlineStr">
        <is>
          <t>买水果</t>
        </is>
      </c>
      <c r="E42" s="47" t="n"/>
      <c r="F42" s="47" t="n">
        <v>163</v>
      </c>
      <c r="G42" s="48">
        <f t="shared" si="4"/>
        <v>-197994.7</v>
      </c>
      <c r="H42" s="43">
        <f t="shared" si="0"/>
      </c>
      <c r="I42" s="43" t="str">
        <f t="shared" si="5"/>
        <v>业务招待费</v>
      </c>
      <c r="J42" s="43">
        <f t="shared" si="1"/>
      </c>
      <c r="K42" s="49" t="str">
        <f t="shared" si="2"/>
        <v>√</v>
      </c>
      <c r="L42" s="45" t="n"/>
      <c r="M42" s="45" t="n"/>
      <c r="N42" s="45" t="n"/>
      <c r="O42" s="45" t="n"/>
      <c r="P42" s="50" t="n"/>
      <c r="R42" s="2">
        <f t="shared" si="6"/>
        <v>-163</v>
      </c>
      <c r="S42" s="2">
        <f t="shared" si="7"/>
        <v>202605</v>
      </c>
      <c r="T42" s="2">
        <f t="shared" si="8"/>
      </c>
      <c r="U42" s="2" t="str">
        <f t="shared" si="9"/>
        <v>业务招待费</v>
      </c>
      <c r="V42" s="2">
        <f t="shared" si="10"/>
      </c>
      <c r="W42" s="2" t="str">
        <f t="shared" si="11"/>
        <v>公司间接费</v>
      </c>
      <c r="X42" s="2" t="str">
        <f t="shared" si="12"/>
        <v>业务招待费</v>
      </c>
      <c r="Y42" s="2">
        <f t="shared" si="13"/>
        <v>0</v>
      </c>
      <c r="Z42" s="2">
        <f t="shared" si="14"/>
      </c>
      <c r="AA42" s="2">
        <f t="shared" si="15"/>
        <v>0</v>
      </c>
      <c r="AB42" s="2">
        <f t="shared" si="16"/>
      </c>
      <c r="AC42" s="2">
        <f t="shared" si="17"/>
      </c>
      <c r="AD42" s="2">
        <f t="shared" si="18"/>
      </c>
      <c r="AE42" s="2" t="str">
        <f t="shared" si="19"/>
        <v>个人户</v>
      </c>
      <c r="AF42" s="2">
        <f t="shared" si="20"/>
      </c>
      <c r="AG42" s="2" t="str">
        <f t="shared" si="21"/>
        <v>业务招待费</v>
      </c>
      <c r="AH42" s="2" t="str">
        <f t="shared" si="22"/>
        <v>支</v>
      </c>
      <c r="AI42" s="2">
        <f t="shared" si="23"/>
      </c>
      <c r="AJ42" s="2">
        <f t="shared" si="24"/>
        <v>0</v>
      </c>
      <c r="AK42" s="2">
        <f t="shared" si="25"/>
        <v>0</v>
      </c>
      <c r="AL42" s="2">
        <f t="shared" si="26"/>
        <v>0</v>
      </c>
      <c r="AM42" s="2">
        <f t="shared" si="27"/>
        <v>0</v>
      </c>
      <c r="AN42" s="2">
        <f t="shared" si="28"/>
        <v>46152</v>
      </c>
      <c r="AO42" s="2">
        <f t="shared" si="29"/>
      </c>
      <c r="AP42" s="2">
        <f t="shared" si="30"/>
      </c>
      <c r="AQ42" s="2">
        <f t="shared" si="31"/>
      </c>
    </row>
    <row r="43">
      <c r="A43" s="43">
        <f t="shared" si="3"/>
        <v>38</v>
      </c>
      <c r="B43" s="44" t="n">
        <v>46152</v>
      </c>
      <c r="C43" s="45" t="inlineStr">
        <is>
          <t>王伟个人户</t>
        </is>
      </c>
      <c r="D43" s="46" t="inlineStr">
        <is>
          <t>外叫海鲜菜</t>
        </is>
      </c>
      <c r="E43" s="47" t="n"/>
      <c r="F43" s="47" t="n">
        <v>580</v>
      </c>
      <c r="G43" s="48">
        <f t="shared" si="4"/>
        <v>-198574.7</v>
      </c>
      <c r="H43" s="43">
        <f t="shared" si="0"/>
      </c>
      <c r="I43" s="43" t="str">
        <f t="shared" si="5"/>
        <v>业务招待费</v>
      </c>
      <c r="J43" s="43">
        <f t="shared" si="1"/>
      </c>
      <c r="K43" s="49" t="str">
        <f t="shared" si="2"/>
        <v>√</v>
      </c>
      <c r="L43" s="45" t="n"/>
      <c r="M43" s="45" t="n"/>
      <c r="N43" s="45" t="n"/>
      <c r="O43" s="45" t="n"/>
      <c r="P43" s="50" t="n"/>
      <c r="R43" s="2">
        <f t="shared" si="6"/>
        <v>-580</v>
      </c>
      <c r="S43" s="2">
        <f t="shared" si="7"/>
        <v>202605</v>
      </c>
      <c r="T43" s="2">
        <f t="shared" si="8"/>
      </c>
      <c r="U43" s="2" t="str">
        <f t="shared" si="9"/>
        <v>业务招待费</v>
      </c>
      <c r="V43" s="2">
        <f t="shared" si="10"/>
      </c>
      <c r="W43" s="2" t="str">
        <f t="shared" si="11"/>
        <v>公司间接费</v>
      </c>
      <c r="X43" s="2" t="str">
        <f t="shared" si="12"/>
        <v>业务招待费</v>
      </c>
      <c r="Y43" s="2">
        <f t="shared" si="13"/>
        <v>0</v>
      </c>
      <c r="Z43" s="2">
        <f t="shared" si="14"/>
      </c>
      <c r="AA43" s="2">
        <f t="shared" si="15"/>
        <v>0</v>
      </c>
      <c r="AB43" s="2">
        <f t="shared" si="16"/>
      </c>
      <c r="AC43" s="2">
        <f t="shared" si="17"/>
      </c>
      <c r="AD43" s="2">
        <f t="shared" si="18"/>
      </c>
      <c r="AE43" s="2" t="str">
        <f t="shared" si="19"/>
        <v>个人户</v>
      </c>
      <c r="AF43" s="2">
        <f t="shared" si="20"/>
      </c>
      <c r="AG43" s="2" t="str">
        <f t="shared" si="21"/>
        <v>业务招待费</v>
      </c>
      <c r="AH43" s="2" t="str">
        <f t="shared" si="22"/>
        <v>支</v>
      </c>
      <c r="AI43" s="2">
        <f t="shared" si="23"/>
      </c>
      <c r="AJ43" s="2">
        <f t="shared" si="24"/>
        <v>0</v>
      </c>
      <c r="AK43" s="2">
        <f t="shared" si="25"/>
        <v>0</v>
      </c>
      <c r="AL43" s="2">
        <f t="shared" si="26"/>
        <v>0</v>
      </c>
      <c r="AM43" s="2">
        <f t="shared" si="27"/>
        <v>0</v>
      </c>
      <c r="AN43" s="2">
        <f t="shared" si="28"/>
        <v>46152</v>
      </c>
      <c r="AO43" s="2">
        <f t="shared" si="29"/>
      </c>
      <c r="AP43" s="2">
        <f t="shared" si="30"/>
      </c>
      <c r="AQ43" s="2">
        <f t="shared" si="31"/>
      </c>
    </row>
    <row r="44">
      <c r="A44" s="43">
        <f t="shared" si="3"/>
        <v>39</v>
      </c>
      <c r="B44" s="44" t="n">
        <v>46159</v>
      </c>
      <c r="C44" s="45" t="inlineStr">
        <is>
          <t>王伟个人户</t>
        </is>
      </c>
      <c r="D44" s="46" t="inlineStr">
        <is>
          <t>江南宴饭店餐费</t>
        </is>
      </c>
      <c r="E44" s="47" t="n"/>
      <c r="F44" s="47" t="n">
        <v>730</v>
      </c>
      <c r="G44" s="48">
        <f t="shared" si="4"/>
        <v>-199304.7</v>
      </c>
      <c r="H44" s="43">
        <f t="shared" si="0"/>
      </c>
      <c r="I44" s="43" t="str">
        <f t="shared" si="5"/>
        <v>业务招待费</v>
      </c>
      <c r="J44" s="43">
        <f t="shared" si="1"/>
      </c>
      <c r="K44" s="49" t="str">
        <f t="shared" si="2"/>
        <v>√</v>
      </c>
      <c r="L44" s="45" t="n"/>
      <c r="M44" s="45" t="n"/>
      <c r="N44" s="45" t="n"/>
      <c r="O44" s="45" t="n"/>
      <c r="P44" s="50" t="n"/>
      <c r="R44" s="2">
        <f t="shared" si="6"/>
        <v>-730</v>
      </c>
      <c r="S44" s="2">
        <f t="shared" si="7"/>
        <v>202605</v>
      </c>
      <c r="T44" s="2">
        <f t="shared" si="8"/>
      </c>
      <c r="U44" s="2" t="str">
        <f t="shared" si="9"/>
        <v>业务招待费</v>
      </c>
      <c r="V44" s="2">
        <f t="shared" si="10"/>
      </c>
      <c r="W44" s="2" t="str">
        <f t="shared" si="11"/>
        <v>公司间接费</v>
      </c>
      <c r="X44" s="2" t="str">
        <f t="shared" si="12"/>
        <v>业务招待费</v>
      </c>
      <c r="Y44" s="2">
        <f t="shared" si="13"/>
        <v>0</v>
      </c>
      <c r="Z44" s="2">
        <f t="shared" si="14"/>
      </c>
      <c r="AA44" s="2">
        <f t="shared" si="15"/>
        <v>0</v>
      </c>
      <c r="AB44" s="2">
        <f t="shared" si="16"/>
      </c>
      <c r="AC44" s="2">
        <f t="shared" si="17"/>
      </c>
      <c r="AD44" s="2">
        <f t="shared" si="18"/>
      </c>
      <c r="AE44" s="2" t="str">
        <f t="shared" si="19"/>
        <v>个人户</v>
      </c>
      <c r="AF44" s="2">
        <f t="shared" si="20"/>
      </c>
      <c r="AG44" s="2" t="str">
        <f t="shared" si="21"/>
        <v>业务招待费</v>
      </c>
      <c r="AH44" s="2" t="str">
        <f t="shared" si="22"/>
        <v>支</v>
      </c>
      <c r="AI44" s="2">
        <f t="shared" si="23"/>
      </c>
      <c r="AJ44" s="2">
        <f t="shared" si="24"/>
        <v>0</v>
      </c>
      <c r="AK44" s="2">
        <f t="shared" si="25"/>
        <v>0</v>
      </c>
      <c r="AL44" s="2">
        <f t="shared" si="26"/>
        <v>0</v>
      </c>
      <c r="AM44" s="2">
        <f t="shared" si="27"/>
        <v>0</v>
      </c>
      <c r="AN44" s="2">
        <f t="shared" si="28"/>
        <v>46159</v>
      </c>
      <c r="AO44" s="2">
        <f t="shared" si="29"/>
      </c>
      <c r="AP44" s="2">
        <f t="shared" si="30"/>
      </c>
      <c r="AQ44" s="2">
        <f t="shared" si="31"/>
      </c>
    </row>
    <row r="45">
      <c r="A45" s="43">
        <f t="shared" si="3"/>
        <v>40</v>
      </c>
      <c r="B45" s="44" t="n">
        <v>46159</v>
      </c>
      <c r="C45" s="45" t="inlineStr">
        <is>
          <t>王伟个人户</t>
        </is>
      </c>
      <c r="D45" s="46" t="inlineStr">
        <is>
          <t>公司食堂买菜</t>
        </is>
      </c>
      <c r="E45" s="47" t="n"/>
      <c r="F45" s="47" t="n">
        <v>110.9</v>
      </c>
      <c r="G45" s="48">
        <f t="shared" si="4"/>
        <v>-199415.6</v>
      </c>
      <c r="H45" s="43">
        <f t="shared" si="0"/>
      </c>
      <c r="I45" s="43" t="str">
        <f t="shared" si="5"/>
        <v>食堂伙食</v>
      </c>
      <c r="J45" s="43">
        <f t="shared" si="1"/>
      </c>
      <c r="K45" s="49" t="str">
        <f t="shared" si="2"/>
        <v>√</v>
      </c>
      <c r="L45" s="45" t="n"/>
      <c r="M45" s="45" t="n"/>
      <c r="N45" s="45" t="n"/>
      <c r="O45" s="45" t="n"/>
      <c r="P45" s="50" t="n"/>
      <c r="R45" s="2">
        <f t="shared" si="6"/>
        <v>-110.9</v>
      </c>
      <c r="S45" s="2">
        <f t="shared" si="7"/>
        <v>202605</v>
      </c>
      <c r="T45" s="2">
        <f t="shared" si="8"/>
      </c>
      <c r="U45" s="2" t="str">
        <f t="shared" si="9"/>
        <v>食堂伙食</v>
      </c>
      <c r="V45" s="2">
        <f t="shared" si="10"/>
      </c>
      <c r="W45" s="2" t="str">
        <f t="shared" si="11"/>
        <v>公司间接费</v>
      </c>
      <c r="X45" s="2" t="str">
        <f t="shared" si="12"/>
        <v>食堂伙食</v>
      </c>
      <c r="Y45" s="2">
        <f t="shared" si="13"/>
        <v>0</v>
      </c>
      <c r="Z45" s="2">
        <f t="shared" si="14"/>
      </c>
      <c r="AA45" s="2">
        <f t="shared" si="15"/>
        <v>0</v>
      </c>
      <c r="AB45" s="2">
        <f t="shared" si="16"/>
      </c>
      <c r="AC45" s="2">
        <f t="shared" si="17"/>
      </c>
      <c r="AD45" s="2">
        <f t="shared" si="18"/>
      </c>
      <c r="AE45" s="2" t="str">
        <f t="shared" si="19"/>
        <v>个人户</v>
      </c>
      <c r="AF45" s="2">
        <f t="shared" si="20"/>
      </c>
      <c r="AG45" s="2" t="str">
        <f t="shared" si="21"/>
        <v>食堂伙食</v>
      </c>
      <c r="AH45" s="2" t="str">
        <f t="shared" si="22"/>
        <v>支</v>
      </c>
      <c r="AI45" s="2">
        <f t="shared" si="23"/>
      </c>
      <c r="AJ45" s="2">
        <f t="shared" si="24"/>
        <v>0</v>
      </c>
      <c r="AK45" s="2">
        <f t="shared" si="25"/>
        <v>0</v>
      </c>
      <c r="AL45" s="2">
        <f t="shared" si="26"/>
        <v>0</v>
      </c>
      <c r="AM45" s="2">
        <f t="shared" si="27"/>
        <v>0</v>
      </c>
      <c r="AN45" s="2">
        <f t="shared" si="28"/>
        <v>46159</v>
      </c>
      <c r="AO45" s="2">
        <f t="shared" si="29"/>
      </c>
      <c r="AP45" s="2">
        <f t="shared" si="30"/>
      </c>
      <c r="AQ45" s="2">
        <f t="shared" si="31"/>
      </c>
    </row>
    <row r="46">
      <c r="A46" s="43">
        <f t="shared" si="3"/>
        <v>41</v>
      </c>
      <c r="B46" s="44" t="n">
        <v>46166</v>
      </c>
      <c r="C46" s="45" t="inlineStr">
        <is>
          <t>王伟个人户</t>
        </is>
      </c>
      <c r="D46" s="46" t="inlineStr">
        <is>
          <t>买抽纸</t>
        </is>
      </c>
      <c r="E46" s="47" t="n"/>
      <c r="F46" s="47" t="n">
        <v>31</v>
      </c>
      <c r="G46" s="48">
        <f t="shared" si="4"/>
        <v>-199446.6</v>
      </c>
      <c r="H46" s="43">
        <f t="shared" si="0"/>
      </c>
      <c r="I46" s="43" t="str">
        <f t="shared" si="5"/>
        <v>办公费</v>
      </c>
      <c r="J46" s="43">
        <f t="shared" si="1"/>
      </c>
      <c r="K46" s="49" t="str">
        <f t="shared" si="2"/>
        <v>√</v>
      </c>
      <c r="L46" s="45" t="n"/>
      <c r="M46" s="45" t="n"/>
      <c r="N46" s="45" t="n"/>
      <c r="O46" s="45" t="n"/>
      <c r="P46" s="50" t="n"/>
      <c r="R46" s="2">
        <f t="shared" si="6"/>
        <v>-31</v>
      </c>
      <c r="S46" s="2">
        <f t="shared" si="7"/>
        <v>202605</v>
      </c>
      <c r="T46" s="2">
        <f t="shared" si="8"/>
      </c>
      <c r="U46" s="2" t="str">
        <f t="shared" si="9"/>
        <v>办公费</v>
      </c>
      <c r="V46" s="2">
        <f t="shared" si="10"/>
      </c>
      <c r="W46" s="2" t="str">
        <f t="shared" si="11"/>
        <v>公司间接费</v>
      </c>
      <c r="X46" s="2" t="str">
        <f t="shared" si="12"/>
        <v>办公费</v>
      </c>
      <c r="Y46" s="2">
        <f t="shared" si="13"/>
        <v>0</v>
      </c>
      <c r="Z46" s="2">
        <f t="shared" si="14"/>
      </c>
      <c r="AA46" s="2">
        <f t="shared" si="15"/>
        <v>0</v>
      </c>
      <c r="AB46" s="2">
        <f t="shared" si="16"/>
      </c>
      <c r="AC46" s="2">
        <f t="shared" si="17"/>
      </c>
      <c r="AD46" s="2">
        <f t="shared" si="18"/>
      </c>
      <c r="AE46" s="2" t="str">
        <f t="shared" si="19"/>
        <v>个人户</v>
      </c>
      <c r="AF46" s="2">
        <f t="shared" si="20"/>
      </c>
      <c r="AG46" s="2" t="str">
        <f t="shared" si="21"/>
        <v>办公费</v>
      </c>
      <c r="AH46" s="2" t="str">
        <f t="shared" si="22"/>
        <v>支</v>
      </c>
      <c r="AI46" s="2">
        <f t="shared" si="23"/>
      </c>
      <c r="AJ46" s="2">
        <f t="shared" si="24"/>
        <v>0</v>
      </c>
      <c r="AK46" s="2">
        <f t="shared" si="25"/>
        <v>0</v>
      </c>
      <c r="AL46" s="2">
        <f t="shared" si="26"/>
        <v>0</v>
      </c>
      <c r="AM46" s="2">
        <f t="shared" si="27"/>
        <v>0</v>
      </c>
      <c r="AN46" s="2">
        <f t="shared" si="28"/>
        <v>46166</v>
      </c>
      <c r="AO46" s="2">
        <f t="shared" si="29"/>
      </c>
      <c r="AP46" s="2">
        <f t="shared" si="30"/>
      </c>
      <c r="AQ46" s="2">
        <f t="shared" si="31"/>
      </c>
    </row>
    <row r="47">
      <c r="A47" s="43">
        <f t="shared" si="3"/>
        <v>42</v>
      </c>
      <c r="B47" s="44" t="n">
        <v>46167</v>
      </c>
      <c r="C47" s="45" t="inlineStr">
        <is>
          <t>王伟个人户</t>
        </is>
      </c>
      <c r="D47" s="46" t="inlineStr">
        <is>
          <t>买大米</t>
        </is>
      </c>
      <c r="E47" s="47" t="n"/>
      <c r="F47" s="47" t="n">
        <v>83</v>
      </c>
      <c r="G47" s="48">
        <f t="shared" si="4"/>
        <v>-199529.6</v>
      </c>
      <c r="H47" s="43">
        <f t="shared" si="0"/>
      </c>
      <c r="I47" s="43" t="str">
        <f t="shared" si="5"/>
        <v>食堂伙食</v>
      </c>
      <c r="J47" s="43">
        <f t="shared" si="1"/>
      </c>
      <c r="K47" s="49" t="str">
        <f t="shared" si="2"/>
        <v>√</v>
      </c>
      <c r="L47" s="45" t="n"/>
      <c r="M47" s="45" t="n"/>
      <c r="N47" s="45" t="n"/>
      <c r="O47" s="45" t="n"/>
      <c r="P47" s="50" t="n"/>
      <c r="R47" s="2">
        <f t="shared" si="6"/>
        <v>-83</v>
      </c>
      <c r="S47" s="2">
        <f t="shared" si="7"/>
        <v>202605</v>
      </c>
      <c r="T47" s="2">
        <f t="shared" si="8"/>
      </c>
      <c r="U47" s="2" t="str">
        <f t="shared" si="9"/>
        <v>食堂伙食</v>
      </c>
      <c r="V47" s="2">
        <f t="shared" si="10"/>
      </c>
      <c r="W47" s="2" t="str">
        <f t="shared" si="11"/>
        <v>公司间接费</v>
      </c>
      <c r="X47" s="2" t="str">
        <f t="shared" si="12"/>
        <v>食堂伙食</v>
      </c>
      <c r="Y47" s="2">
        <f t="shared" si="13"/>
        <v>0</v>
      </c>
      <c r="Z47" s="2">
        <f t="shared" si="14"/>
      </c>
      <c r="AA47" s="2">
        <f t="shared" si="15"/>
        <v>0</v>
      </c>
      <c r="AB47" s="2">
        <f t="shared" si="16"/>
      </c>
      <c r="AC47" s="2">
        <f t="shared" si="17"/>
      </c>
      <c r="AD47" s="2">
        <f t="shared" si="18"/>
      </c>
      <c r="AE47" s="2" t="str">
        <f t="shared" si="19"/>
        <v>个人户</v>
      </c>
      <c r="AF47" s="2">
        <f t="shared" si="20"/>
      </c>
      <c r="AG47" s="2" t="str">
        <f t="shared" si="21"/>
        <v>食堂伙食</v>
      </c>
      <c r="AH47" s="2" t="str">
        <f t="shared" si="22"/>
        <v>支</v>
      </c>
      <c r="AI47" s="2">
        <f t="shared" si="23"/>
      </c>
      <c r="AJ47" s="2">
        <f t="shared" si="24"/>
        <v>0</v>
      </c>
      <c r="AK47" s="2">
        <f t="shared" si="25"/>
        <v>0</v>
      </c>
      <c r="AL47" s="2">
        <f t="shared" si="26"/>
        <v>0</v>
      </c>
      <c r="AM47" s="2">
        <f t="shared" si="27"/>
        <v>0</v>
      </c>
      <c r="AN47" s="2">
        <f t="shared" si="28"/>
        <v>46167</v>
      </c>
      <c r="AO47" s="2">
        <f t="shared" si="29"/>
      </c>
      <c r="AP47" s="2">
        <f t="shared" si="30"/>
      </c>
      <c r="AQ47" s="2">
        <f t="shared" si="31"/>
      </c>
    </row>
    <row r="48">
      <c r="A48" s="43">
        <f t="shared" si="3"/>
        <v>43</v>
      </c>
      <c r="B48" s="44" t="n">
        <v>46168</v>
      </c>
      <c r="C48" s="45" t="inlineStr">
        <is>
          <t>王伟个人户</t>
        </is>
      </c>
      <c r="D48" s="46" t="inlineStr">
        <is>
          <t>架空层工人餐费</t>
        </is>
      </c>
      <c r="E48" s="47" t="n"/>
      <c r="F48" s="47" t="n">
        <v>77</v>
      </c>
      <c r="G48" s="48">
        <f t="shared" si="4"/>
        <v>-199606.6</v>
      </c>
      <c r="H48" s="43" t="str">
        <f t="shared" si="0"/>
        <v>九安架空层</v>
      </c>
      <c r="I48" s="43" t="str">
        <f t="shared" si="5"/>
        <v>其他直接费</v>
      </c>
      <c r="J48" s="43">
        <f t="shared" si="1"/>
      </c>
      <c r="K48" s="49" t="str">
        <f t="shared" si="2"/>
        <v>√</v>
      </c>
      <c r="L48" s="45" t="n"/>
      <c r="M48" s="45" t="n"/>
      <c r="N48" s="45" t="n"/>
      <c r="O48" s="45" t="n"/>
      <c r="P48" s="50" t="n"/>
      <c r="R48" s="2">
        <f t="shared" si="6"/>
        <v>-77</v>
      </c>
      <c r="S48" s="2">
        <f t="shared" si="7"/>
        <v>202605</v>
      </c>
      <c r="T48" s="2" t="str">
        <f t="shared" si="8"/>
        <v>九安架空层</v>
      </c>
      <c r="U48" s="2" t="str">
        <f t="shared" si="9"/>
        <v>其他直接费</v>
      </c>
      <c r="V48" s="2">
        <f t="shared" si="10"/>
      </c>
      <c r="W48" s="2" t="str">
        <f t="shared" si="11"/>
        <v>项目直接成本</v>
      </c>
      <c r="X48" s="2" t="str">
        <f t="shared" si="12"/>
        <v>其他直接费</v>
      </c>
      <c r="Y48" s="2">
        <f t="shared" si="13"/>
        <v>0</v>
      </c>
      <c r="Z48" s="2">
        <f t="shared" si="14"/>
      </c>
      <c r="AA48" s="2">
        <f t="shared" si="15"/>
        <v>0</v>
      </c>
      <c r="AB48" s="2">
        <f t="shared" si="16"/>
      </c>
      <c r="AC48" s="2">
        <f t="shared" si="17"/>
      </c>
      <c r="AD48" s="2">
        <f t="shared" si="18"/>
      </c>
      <c r="AE48" s="2" t="str">
        <f t="shared" si="19"/>
        <v>个人户</v>
      </c>
      <c r="AF48" s="2">
        <f t="shared" si="20"/>
      </c>
      <c r="AG48" s="2" t="str">
        <f t="shared" si="21"/>
        <v>其他直接费</v>
      </c>
      <c r="AH48" s="2" t="str">
        <f t="shared" si="22"/>
        <v>支</v>
      </c>
      <c r="AI48" s="2" t="str">
        <f t="shared" si="23"/>
        <v>架空层</v>
      </c>
      <c r="AJ48" s="2">
        <f t="shared" si="24"/>
        <v>0</v>
      </c>
      <c r="AK48" s="2">
        <f t="shared" si="25"/>
        <v>23</v>
      </c>
      <c r="AL48" s="2">
        <f t="shared" si="26"/>
        <v>0</v>
      </c>
      <c r="AM48" s="2">
        <f t="shared" si="27"/>
        <v>0</v>
      </c>
      <c r="AN48" s="2">
        <f t="shared" si="28"/>
        <v>46168</v>
      </c>
      <c r="AO48" s="2">
        <f t="shared" si="29"/>
      </c>
      <c r="AP48" s="2">
        <f t="shared" si="30"/>
      </c>
      <c r="AQ48" s="2">
        <f t="shared" si="31"/>
      </c>
    </row>
    <row r="49">
      <c r="A49" s="43">
        <f t="shared" si="3"/>
        <v>44</v>
      </c>
      <c r="B49" s="44" t="n">
        <v>46169</v>
      </c>
      <c r="C49" s="45" t="inlineStr">
        <is>
          <t>王伟个人户</t>
        </is>
      </c>
      <c r="D49" s="46" t="inlineStr">
        <is>
          <t>转张滨付平台注册费</t>
        </is>
      </c>
      <c r="E49" s="47" t="n"/>
      <c r="F49" s="47" t="n">
        <v>200</v>
      </c>
      <c r="G49" s="48">
        <f t="shared" si="4"/>
        <v>-199806.6</v>
      </c>
      <c r="H49" s="43">
        <f t="shared" si="0"/>
      </c>
      <c r="I49" s="43" t="str">
        <f t="shared" si="5"/>
        <v>办公费</v>
      </c>
      <c r="J49" s="43" t="str">
        <f t="shared" si="1"/>
        <v>张滨</v>
      </c>
      <c r="K49" s="49" t="str">
        <f t="shared" si="2"/>
        <v>√</v>
      </c>
      <c r="L49" s="45" t="n"/>
      <c r="M49" s="45" t="n"/>
      <c r="N49" s="45" t="n"/>
      <c r="O49" s="45" t="n"/>
      <c r="P49" s="50" t="n"/>
      <c r="R49" s="2">
        <f t="shared" si="6"/>
        <v>-200</v>
      </c>
      <c r="S49" s="2">
        <f t="shared" si="7"/>
        <v>202605</v>
      </c>
      <c r="T49" s="2">
        <f t="shared" si="8"/>
      </c>
      <c r="U49" s="2" t="str">
        <f t="shared" si="9"/>
        <v>办公费</v>
      </c>
      <c r="V49" s="2" t="str">
        <f t="shared" si="10"/>
        <v>张滨</v>
      </c>
      <c r="W49" s="2" t="str">
        <f t="shared" si="11"/>
        <v>公司间接费</v>
      </c>
      <c r="X49" s="2" t="str">
        <f t="shared" si="12"/>
        <v>办公费</v>
      </c>
      <c r="Y49" s="2">
        <f t="shared" si="13"/>
        <v>0</v>
      </c>
      <c r="Z49" s="2" t="str">
        <f t="shared" si="14"/>
        <v>管理人员</v>
      </c>
      <c r="AA49" s="2">
        <f t="shared" si="15"/>
        <v>1</v>
      </c>
      <c r="AB49" s="2">
        <f t="shared" si="16"/>
      </c>
      <c r="AC49" s="2">
        <f t="shared" si="17"/>
      </c>
      <c r="AD49" s="2">
        <f t="shared" si="18"/>
      </c>
      <c r="AE49" s="2" t="str">
        <f t="shared" si="19"/>
        <v>个人户</v>
      </c>
      <c r="AF49" s="2">
        <f t="shared" si="20"/>
      </c>
      <c r="AG49" s="2" t="str">
        <f t="shared" si="21"/>
        <v>办公费</v>
      </c>
      <c r="AH49" s="2" t="str">
        <f t="shared" si="22"/>
        <v>支</v>
      </c>
      <c r="AI49" s="2">
        <f t="shared" si="23"/>
      </c>
      <c r="AJ49" s="2">
        <f t="shared" si="24"/>
        <v>0</v>
      </c>
      <c r="AK49" s="2">
        <f t="shared" si="25"/>
        <v>0</v>
      </c>
      <c r="AL49" s="2">
        <f t="shared" si="26"/>
        <v>110</v>
      </c>
      <c r="AM49" s="2">
        <f t="shared" si="27"/>
        <v>0</v>
      </c>
      <c r="AN49" s="2">
        <f t="shared" si="28"/>
        <v>46169</v>
      </c>
      <c r="AO49" s="2">
        <f t="shared" si="29"/>
      </c>
      <c r="AP49" s="2" t="str">
        <f t="shared" si="30"/>
        <v>张滨|2</v>
      </c>
      <c r="AQ49" s="2">
        <f t="shared" si="31"/>
      </c>
    </row>
    <row r="50">
      <c r="A50" s="43">
        <f t="shared" si="3"/>
        <v>45</v>
      </c>
      <c r="B50" s="44" t="n">
        <v>46170</v>
      </c>
      <c r="C50" s="45" t="inlineStr">
        <is>
          <t>王伟个人户</t>
        </is>
      </c>
      <c r="D50" s="46" t="inlineStr">
        <is>
          <t>买洗洁精</t>
        </is>
      </c>
      <c r="E50" s="47" t="n"/>
      <c r="F50" s="47" t="n">
        <v>10</v>
      </c>
      <c r="G50" s="48">
        <f t="shared" si="4"/>
        <v>-199816.6</v>
      </c>
      <c r="H50" s="43">
        <f t="shared" si="0"/>
      </c>
      <c r="I50" s="43" t="str">
        <f t="shared" si="5"/>
        <v>办公费</v>
      </c>
      <c r="J50" s="43">
        <f t="shared" si="1"/>
      </c>
      <c r="K50" s="49" t="str">
        <f t="shared" si="2"/>
        <v>√</v>
      </c>
      <c r="L50" s="45" t="n"/>
      <c r="M50" s="45" t="n"/>
      <c r="N50" s="45" t="n"/>
      <c r="O50" s="45" t="n"/>
      <c r="P50" s="50" t="n"/>
      <c r="R50" s="2">
        <f t="shared" si="6"/>
        <v>-10</v>
      </c>
      <c r="S50" s="2">
        <f t="shared" si="7"/>
        <v>202605</v>
      </c>
      <c r="T50" s="2">
        <f t="shared" si="8"/>
      </c>
      <c r="U50" s="2" t="str">
        <f t="shared" si="9"/>
        <v>办公费</v>
      </c>
      <c r="V50" s="2">
        <f t="shared" si="10"/>
      </c>
      <c r="W50" s="2" t="str">
        <f t="shared" si="11"/>
        <v>公司间接费</v>
      </c>
      <c r="X50" s="2" t="str">
        <f t="shared" si="12"/>
        <v>办公费</v>
      </c>
      <c r="Y50" s="2">
        <f t="shared" si="13"/>
        <v>0</v>
      </c>
      <c r="Z50" s="2">
        <f t="shared" si="14"/>
      </c>
      <c r="AA50" s="2">
        <f t="shared" si="15"/>
        <v>0</v>
      </c>
      <c r="AB50" s="2">
        <f t="shared" si="16"/>
      </c>
      <c r="AC50" s="2">
        <f t="shared" si="17"/>
      </c>
      <c r="AD50" s="2">
        <f t="shared" si="18"/>
      </c>
      <c r="AE50" s="2" t="str">
        <f t="shared" si="19"/>
        <v>个人户</v>
      </c>
      <c r="AF50" s="2">
        <f t="shared" si="20"/>
      </c>
      <c r="AG50" s="2" t="str">
        <f t="shared" si="21"/>
        <v>办公费</v>
      </c>
      <c r="AH50" s="2" t="str">
        <f t="shared" si="22"/>
        <v>支</v>
      </c>
      <c r="AI50" s="2">
        <f t="shared" si="23"/>
      </c>
      <c r="AJ50" s="2">
        <f t="shared" si="24"/>
        <v>0</v>
      </c>
      <c r="AK50" s="2">
        <f t="shared" si="25"/>
        <v>0</v>
      </c>
      <c r="AL50" s="2">
        <f t="shared" si="26"/>
        <v>0</v>
      </c>
      <c r="AM50" s="2">
        <f t="shared" si="27"/>
        <v>0</v>
      </c>
      <c r="AN50" s="2">
        <f t="shared" si="28"/>
        <v>46170</v>
      </c>
      <c r="AO50" s="2">
        <f t="shared" si="29"/>
      </c>
      <c r="AP50" s="2">
        <f t="shared" si="30"/>
      </c>
      <c r="AQ50" s="2">
        <f t="shared" si="31"/>
      </c>
    </row>
    <row r="51">
      <c r="A51" s="43">
        <f t="shared" si="3"/>
        <v>46</v>
      </c>
      <c r="B51" s="44" t="n">
        <v>46171</v>
      </c>
      <c r="C51" s="45" t="inlineStr">
        <is>
          <t>王伟个人户</t>
        </is>
      </c>
      <c r="D51" s="46" t="inlineStr">
        <is>
          <t>买煤气</t>
        </is>
      </c>
      <c r="E51" s="47" t="n"/>
      <c r="F51" s="47" t="n">
        <v>125</v>
      </c>
      <c r="G51" s="48">
        <f t="shared" si="4"/>
        <v>-199941.6</v>
      </c>
      <c r="H51" s="43">
        <f t="shared" si="0"/>
      </c>
      <c r="I51" s="43" t="str">
        <f t="shared" si="5"/>
        <v>食堂伙食</v>
      </c>
      <c r="J51" s="43">
        <f t="shared" si="1"/>
      </c>
      <c r="K51" s="49" t="str">
        <f t="shared" si="2"/>
        <v>√</v>
      </c>
      <c r="L51" s="45" t="n"/>
      <c r="M51" s="45" t="n"/>
      <c r="N51" s="45" t="n"/>
      <c r="O51" s="45" t="n"/>
      <c r="P51" s="50" t="n"/>
      <c r="R51" s="2">
        <f t="shared" si="6"/>
        <v>-125</v>
      </c>
      <c r="S51" s="2">
        <f t="shared" si="7"/>
        <v>202605</v>
      </c>
      <c r="T51" s="2">
        <f t="shared" si="8"/>
      </c>
      <c r="U51" s="2" t="str">
        <f t="shared" si="9"/>
        <v>食堂伙食</v>
      </c>
      <c r="V51" s="2">
        <f t="shared" si="10"/>
      </c>
      <c r="W51" s="2" t="str">
        <f t="shared" si="11"/>
        <v>公司间接费</v>
      </c>
      <c r="X51" s="2" t="str">
        <f t="shared" si="12"/>
        <v>食堂伙食</v>
      </c>
      <c r="Y51" s="2">
        <f t="shared" si="13"/>
        <v>0</v>
      </c>
      <c r="Z51" s="2">
        <f t="shared" si="14"/>
      </c>
      <c r="AA51" s="2">
        <f t="shared" si="15"/>
        <v>0</v>
      </c>
      <c r="AB51" s="2">
        <f t="shared" si="16"/>
      </c>
      <c r="AC51" s="2">
        <f t="shared" si="17"/>
      </c>
      <c r="AD51" s="2">
        <f t="shared" si="18"/>
      </c>
      <c r="AE51" s="2" t="str">
        <f t="shared" si="19"/>
        <v>个人户</v>
      </c>
      <c r="AF51" s="2">
        <f t="shared" si="20"/>
      </c>
      <c r="AG51" s="2" t="str">
        <f t="shared" si="21"/>
        <v>食堂伙食</v>
      </c>
      <c r="AH51" s="2" t="str">
        <f t="shared" si="22"/>
        <v>支</v>
      </c>
      <c r="AI51" s="2">
        <f t="shared" si="23"/>
      </c>
      <c r="AJ51" s="2">
        <f t="shared" si="24"/>
        <v>0</v>
      </c>
      <c r="AK51" s="2">
        <f t="shared" si="25"/>
        <v>0</v>
      </c>
      <c r="AL51" s="2">
        <f t="shared" si="26"/>
        <v>0</v>
      </c>
      <c r="AM51" s="2">
        <f t="shared" si="27"/>
        <v>0</v>
      </c>
      <c r="AN51" s="2">
        <f t="shared" si="28"/>
        <v>46171</v>
      </c>
      <c r="AO51" s="2">
        <f t="shared" si="29"/>
      </c>
      <c r="AP51" s="2">
        <f t="shared" si="30"/>
      </c>
      <c r="AQ51" s="2">
        <f t="shared" si="31"/>
      </c>
    </row>
    <row r="52">
      <c r="A52" s="43">
        <f t="shared" si="3"/>
        <v>47</v>
      </c>
      <c r="B52" s="44" t="n">
        <v>46171</v>
      </c>
      <c r="C52" s="45" t="inlineStr">
        <is>
          <t>王伟个人户</t>
        </is>
      </c>
      <c r="D52" s="46" t="inlineStr">
        <is>
          <t>农商行草皮</t>
        </is>
      </c>
      <c r="E52" s="47" t="n"/>
      <c r="F52" s="47" t="n">
        <v>50</v>
      </c>
      <c r="G52" s="48">
        <f t="shared" si="4"/>
        <v>-199991.6</v>
      </c>
      <c r="H52" s="43" t="str">
        <f t="shared" si="0"/>
        <v>德安农商行总部</v>
      </c>
      <c r="I52" s="43" t="str">
        <f t="shared" si="5"/>
        <v>材料费</v>
      </c>
      <c r="J52" s="43">
        <f t="shared" si="1"/>
      </c>
      <c r="K52" s="49" t="str">
        <f t="shared" si="2"/>
        <v>√</v>
      </c>
      <c r="L52" s="45" t="n"/>
      <c r="M52" s="45" t="n"/>
      <c r="N52" s="45" t="n"/>
      <c r="O52" s="45" t="n"/>
      <c r="P52" s="50" t="n"/>
      <c r="R52" s="2">
        <f t="shared" si="6"/>
        <v>-50</v>
      </c>
      <c r="S52" s="2">
        <f t="shared" si="7"/>
        <v>202605</v>
      </c>
      <c r="T52" s="2" t="str">
        <f t="shared" si="8"/>
        <v>德安农商行总部</v>
      </c>
      <c r="U52" s="2" t="str">
        <f t="shared" si="9"/>
        <v>材料费</v>
      </c>
      <c r="V52" s="2">
        <f t="shared" si="10"/>
      </c>
      <c r="W52" s="2" t="str">
        <f t="shared" si="11"/>
        <v>项目直接成本</v>
      </c>
      <c r="X52" s="2" t="str">
        <f t="shared" si="12"/>
        <v>材料费</v>
      </c>
      <c r="Y52" s="2">
        <f t="shared" si="13"/>
        <v>0</v>
      </c>
      <c r="Z52" s="2">
        <f t="shared" si="14"/>
      </c>
      <c r="AA52" s="2">
        <f t="shared" si="15"/>
        <v>0</v>
      </c>
      <c r="AB52" s="2">
        <f t="shared" si="16"/>
      </c>
      <c r="AC52" s="2">
        <f t="shared" si="17"/>
      </c>
      <c r="AD52" s="2">
        <f t="shared" si="18"/>
      </c>
      <c r="AE52" s="2" t="str">
        <f t="shared" si="19"/>
        <v>个人户</v>
      </c>
      <c r="AF52" s="2">
        <f t="shared" si="20"/>
      </c>
      <c r="AG52" s="2" t="str">
        <f t="shared" si="21"/>
        <v>材料费</v>
      </c>
      <c r="AH52" s="2" t="str">
        <f t="shared" si="22"/>
        <v>支</v>
      </c>
      <c r="AI52" s="2" t="str">
        <f t="shared" si="23"/>
        <v>农商行</v>
      </c>
      <c r="AJ52" s="2">
        <f t="shared" si="24"/>
        <v>0</v>
      </c>
      <c r="AK52" s="2">
        <f t="shared" si="25"/>
        <v>25</v>
      </c>
      <c r="AL52" s="2">
        <f t="shared" si="26"/>
        <v>0</v>
      </c>
      <c r="AM52" s="2">
        <f t="shared" si="27"/>
        <v>0</v>
      </c>
      <c r="AN52" s="2">
        <f t="shared" si="28"/>
        <v>46171</v>
      </c>
      <c r="AO52" s="2">
        <f t="shared" si="29"/>
      </c>
      <c r="AP52" s="2">
        <f t="shared" si="30"/>
      </c>
      <c r="AQ52" s="2">
        <f t="shared" si="31"/>
      </c>
    </row>
    <row r="53">
      <c r="A53" s="43">
        <f t="shared" si="3"/>
        <v>48</v>
      </c>
      <c r="B53" s="44" t="n">
        <v>46171</v>
      </c>
      <c r="C53" s="45" t="inlineStr">
        <is>
          <t>王伟个人户</t>
        </is>
      </c>
      <c r="D53" s="46" t="inlineStr">
        <is>
          <t>农商行树苗</t>
        </is>
      </c>
      <c r="E53" s="47" t="n"/>
      <c r="F53" s="47" t="n">
        <v>70</v>
      </c>
      <c r="G53" s="48">
        <f t="shared" si="4"/>
        <v>-200061.6</v>
      </c>
      <c r="H53" s="43" t="str">
        <f t="shared" si="0"/>
        <v>德安农商行总部</v>
      </c>
      <c r="I53" s="43" t="str">
        <f t="shared" si="5"/>
        <v>材料费</v>
      </c>
      <c r="J53" s="43">
        <f t="shared" si="1"/>
      </c>
      <c r="K53" s="49" t="str">
        <f t="shared" si="2"/>
        <v>√</v>
      </c>
      <c r="L53" s="45" t="n"/>
      <c r="M53" s="45" t="n"/>
      <c r="N53" s="45" t="n"/>
      <c r="O53" s="45" t="n"/>
      <c r="P53" s="50" t="n"/>
      <c r="R53" s="2">
        <f t="shared" si="6"/>
        <v>-70</v>
      </c>
      <c r="S53" s="2">
        <f t="shared" si="7"/>
        <v>202605</v>
      </c>
      <c r="T53" s="2" t="str">
        <f t="shared" si="8"/>
        <v>德安农商行总部</v>
      </c>
      <c r="U53" s="2" t="str">
        <f t="shared" si="9"/>
        <v>材料费</v>
      </c>
      <c r="V53" s="2">
        <f t="shared" si="10"/>
      </c>
      <c r="W53" s="2" t="str">
        <f t="shared" si="11"/>
        <v>项目直接成本</v>
      </c>
      <c r="X53" s="2" t="str">
        <f t="shared" si="12"/>
        <v>材料费</v>
      </c>
      <c r="Y53" s="2">
        <f t="shared" si="13"/>
        <v>0</v>
      </c>
      <c r="Z53" s="2">
        <f t="shared" si="14"/>
      </c>
      <c r="AA53" s="2">
        <f t="shared" si="15"/>
        <v>0</v>
      </c>
      <c r="AB53" s="2">
        <f t="shared" si="16"/>
      </c>
      <c r="AC53" s="2">
        <f t="shared" si="17"/>
      </c>
      <c r="AD53" s="2">
        <f t="shared" si="18"/>
      </c>
      <c r="AE53" s="2" t="str">
        <f t="shared" si="19"/>
        <v>个人户</v>
      </c>
      <c r="AF53" s="2">
        <f t="shared" si="20"/>
      </c>
      <c r="AG53" s="2" t="str">
        <f t="shared" si="21"/>
        <v>材料费</v>
      </c>
      <c r="AH53" s="2" t="str">
        <f t="shared" si="22"/>
        <v>支</v>
      </c>
      <c r="AI53" s="2" t="str">
        <f t="shared" si="23"/>
        <v>农商行</v>
      </c>
      <c r="AJ53" s="2">
        <f t="shared" si="24"/>
        <v>0</v>
      </c>
      <c r="AK53" s="2">
        <f t="shared" si="25"/>
        <v>25</v>
      </c>
      <c r="AL53" s="2">
        <f t="shared" si="26"/>
        <v>0</v>
      </c>
      <c r="AM53" s="2">
        <f t="shared" si="27"/>
        <v>0</v>
      </c>
      <c r="AN53" s="2">
        <f t="shared" si="28"/>
        <v>46171</v>
      </c>
      <c r="AO53" s="2">
        <f t="shared" si="29"/>
      </c>
      <c r="AP53" s="2">
        <f t="shared" si="30"/>
      </c>
      <c r="AQ53" s="2">
        <f t="shared" si="31"/>
      </c>
    </row>
    <row r="54">
      <c r="A54" s="43">
        <f t="shared" si="3"/>
        <v>49</v>
      </c>
      <c r="B54" s="44" t="n">
        <v>46171</v>
      </c>
      <c r="C54" s="45" t="inlineStr">
        <is>
          <t>王伟个人户</t>
        </is>
      </c>
      <c r="D54" s="46" t="inlineStr">
        <is>
          <t>农商行临时工工资</t>
        </is>
      </c>
      <c r="E54" s="47" t="n"/>
      <c r="F54" s="47" t="n">
        <v>360</v>
      </c>
      <c r="G54" s="48">
        <f t="shared" si="4"/>
        <v>-200421.6</v>
      </c>
      <c r="H54" s="43" t="str">
        <f t="shared" si="0"/>
        <v>德安农商行总部</v>
      </c>
      <c r="I54" s="43" t="str">
        <f t="shared" si="5"/>
        <v>临时工工资</v>
      </c>
      <c r="J54" s="43">
        <f t="shared" si="1"/>
      </c>
      <c r="K54" s="49" t="str">
        <f t="shared" si="2"/>
        <v>√</v>
      </c>
      <c r="L54" s="45" t="n"/>
      <c r="M54" s="45" t="n"/>
      <c r="N54" s="45" t="n"/>
      <c r="O54" s="45" t="n"/>
      <c r="P54" s="50" t="n"/>
      <c r="R54" s="2">
        <f t="shared" si="6"/>
        <v>-360</v>
      </c>
      <c r="S54" s="2">
        <f t="shared" si="7"/>
        <v>202605</v>
      </c>
      <c r="T54" s="2" t="str">
        <f t="shared" si="8"/>
        <v>德安农商行总部</v>
      </c>
      <c r="U54" s="2" t="str">
        <f t="shared" si="9"/>
        <v>临时工工资</v>
      </c>
      <c r="V54" s="2">
        <f t="shared" si="10"/>
      </c>
      <c r="W54" s="2" t="str">
        <f t="shared" si="11"/>
        <v>项目直接成本</v>
      </c>
      <c r="X54" s="2" t="str">
        <f t="shared" si="12"/>
        <v>人工费</v>
      </c>
      <c r="Y54" s="2">
        <f t="shared" si="13"/>
        <v>0</v>
      </c>
      <c r="Z54" s="2">
        <f t="shared" si="14"/>
      </c>
      <c r="AA54" s="2">
        <f t="shared" si="15"/>
        <v>0</v>
      </c>
      <c r="AB54" s="2">
        <f t="shared" si="16"/>
      </c>
      <c r="AC54" s="2">
        <f t="shared" si="17"/>
      </c>
      <c r="AD54" s="2">
        <f t="shared" si="18"/>
      </c>
      <c r="AE54" s="2" t="str">
        <f t="shared" si="19"/>
        <v>个人户</v>
      </c>
      <c r="AF54" s="2">
        <f t="shared" si="20"/>
      </c>
      <c r="AG54" s="2" t="str">
        <f t="shared" si="21"/>
        <v>临时工工资</v>
      </c>
      <c r="AH54" s="2" t="str">
        <f t="shared" si="22"/>
        <v>支</v>
      </c>
      <c r="AI54" s="2" t="str">
        <f t="shared" si="23"/>
        <v>农商行</v>
      </c>
      <c r="AJ54" s="2">
        <f t="shared" si="24"/>
        <v>0</v>
      </c>
      <c r="AK54" s="2">
        <f t="shared" si="25"/>
        <v>25</v>
      </c>
      <c r="AL54" s="2">
        <f t="shared" si="26"/>
        <v>0</v>
      </c>
      <c r="AM54" s="2">
        <f t="shared" si="27"/>
        <v>0</v>
      </c>
      <c r="AN54" s="2">
        <f t="shared" si="28"/>
        <v>46171</v>
      </c>
      <c r="AO54" s="2">
        <f t="shared" si="29"/>
      </c>
      <c r="AP54" s="2">
        <f t="shared" si="30"/>
      </c>
      <c r="AQ54" s="2">
        <f t="shared" si="31"/>
      </c>
    </row>
    <row r="55">
      <c r="A55" s="43">
        <f t="shared" si="3"/>
        <v>50</v>
      </c>
      <c r="B55" s="44" t="n">
        <v>46171</v>
      </c>
      <c r="C55" s="45" t="inlineStr">
        <is>
          <t>王伟个人户</t>
        </is>
      </c>
      <c r="D55" s="46" t="inlineStr">
        <is>
          <t>公司食堂买菜</t>
        </is>
      </c>
      <c r="E55" s="47" t="n"/>
      <c r="F55" s="47" t="n">
        <v>40</v>
      </c>
      <c r="G55" s="48">
        <f t="shared" si="4"/>
        <v>-200461.6</v>
      </c>
      <c r="H55" s="43">
        <f t="shared" si="0"/>
      </c>
      <c r="I55" s="43" t="str">
        <f t="shared" si="5"/>
        <v>食堂伙食</v>
      </c>
      <c r="J55" s="43">
        <f t="shared" si="1"/>
      </c>
      <c r="K55" s="49" t="str">
        <f t="shared" si="2"/>
        <v>√</v>
      </c>
      <c r="L55" s="45" t="n"/>
      <c r="M55" s="45" t="n"/>
      <c r="N55" s="45" t="n"/>
      <c r="O55" s="45" t="n"/>
      <c r="P55" s="50" t="n"/>
      <c r="R55" s="2">
        <f t="shared" si="6"/>
        <v>-40</v>
      </c>
      <c r="S55" s="2">
        <f t="shared" si="7"/>
        <v>202605</v>
      </c>
      <c r="T55" s="2">
        <f t="shared" si="8"/>
      </c>
      <c r="U55" s="2" t="str">
        <f t="shared" si="9"/>
        <v>食堂伙食</v>
      </c>
      <c r="V55" s="2">
        <f t="shared" si="10"/>
      </c>
      <c r="W55" s="2" t="str">
        <f t="shared" si="11"/>
        <v>公司间接费</v>
      </c>
      <c r="X55" s="2" t="str">
        <f t="shared" si="12"/>
        <v>食堂伙食</v>
      </c>
      <c r="Y55" s="2">
        <f t="shared" si="13"/>
        <v>0</v>
      </c>
      <c r="Z55" s="2">
        <f t="shared" si="14"/>
      </c>
      <c r="AA55" s="2">
        <f t="shared" si="15"/>
        <v>0</v>
      </c>
      <c r="AB55" s="2">
        <f t="shared" si="16"/>
      </c>
      <c r="AC55" s="2">
        <f t="shared" si="17"/>
      </c>
      <c r="AD55" s="2">
        <f t="shared" si="18"/>
      </c>
      <c r="AE55" s="2" t="str">
        <f t="shared" si="19"/>
        <v>个人户</v>
      </c>
      <c r="AF55" s="2">
        <f t="shared" si="20"/>
      </c>
      <c r="AG55" s="2" t="str">
        <f t="shared" si="21"/>
        <v>食堂伙食</v>
      </c>
      <c r="AH55" s="2" t="str">
        <f t="shared" si="22"/>
        <v>支</v>
      </c>
      <c r="AI55" s="2">
        <f t="shared" si="23"/>
      </c>
      <c r="AJ55" s="2">
        <f t="shared" si="24"/>
        <v>0</v>
      </c>
      <c r="AK55" s="2">
        <f t="shared" si="25"/>
        <v>0</v>
      </c>
      <c r="AL55" s="2">
        <f t="shared" si="26"/>
        <v>0</v>
      </c>
      <c r="AM55" s="2">
        <f t="shared" si="27"/>
        <v>0</v>
      </c>
      <c r="AN55" s="2">
        <f t="shared" si="28"/>
        <v>46171</v>
      </c>
      <c r="AO55" s="2">
        <f t="shared" si="29"/>
      </c>
      <c r="AP55" s="2">
        <f t="shared" si="30"/>
      </c>
      <c r="AQ55" s="2">
        <f t="shared" si="31"/>
      </c>
    </row>
    <row r="56">
      <c r="A56" s="43">
        <f t="shared" si="3"/>
        <v>51</v>
      </c>
      <c r="B56" s="44" t="n">
        <v>46172</v>
      </c>
      <c r="C56" s="45" t="inlineStr">
        <is>
          <t>王伟个人户</t>
        </is>
      </c>
      <c r="D56" s="46" t="inlineStr">
        <is>
          <t>邹桥派出所设备运输费</t>
        </is>
      </c>
      <c r="E56" s="47" t="n"/>
      <c r="F56" s="47" t="n">
        <v>280</v>
      </c>
      <c r="G56" s="48">
        <f t="shared" si="4"/>
        <v>-200741.6</v>
      </c>
      <c r="H56" s="43" t="str">
        <f t="shared" si="0"/>
        <v>邹桥派出所</v>
      </c>
      <c r="I56" s="43" t="str">
        <f t="shared" si="5"/>
        <v>付应付款</v>
      </c>
      <c r="J56" s="43" t="str">
        <f t="shared" si="1"/>
        <v>章德吉货运</v>
      </c>
      <c r="K56" s="49" t="str">
        <f t="shared" si="2"/>
        <v>√</v>
      </c>
      <c r="L56" s="45" t="n"/>
      <c r="M56" s="45" t="n"/>
      <c r="N56" s="45" t="inlineStr">
        <is>
          <t>章德吉货运</t>
        </is>
      </c>
      <c r="O56" s="45" t="n"/>
      <c r="P56" s="50" t="n"/>
      <c r="R56" s="2">
        <f t="shared" si="6"/>
        <v>-280</v>
      </c>
      <c r="S56" s="2">
        <f t="shared" si="7"/>
        <v>202605</v>
      </c>
      <c r="T56" s="2" t="str">
        <f t="shared" si="8"/>
        <v>邹桥派出所</v>
      </c>
      <c r="U56" s="2" t="str">
        <f t="shared" si="9"/>
        <v>付应付款</v>
      </c>
      <c r="V56" s="2">
        <f t="shared" si="10"/>
      </c>
      <c r="W56" s="2" t="str">
        <f t="shared" si="11"/>
        <v>不进利润</v>
      </c>
      <c r="X56" s="2" t="str">
        <f t="shared" si="12"/>
        <v>应付机械运输费</v>
      </c>
      <c r="Y56" s="2">
        <f t="shared" si="13"/>
        <v>1</v>
      </c>
      <c r="Z56" s="2" t="str">
        <f t="shared" si="14"/>
        <v>机械运输</v>
      </c>
      <c r="AA56" s="2">
        <f t="shared" si="15"/>
        <v>0</v>
      </c>
      <c r="AB56" s="2">
        <f t="shared" si="16"/>
      </c>
      <c r="AC56" s="2">
        <f t="shared" si="17"/>
      </c>
      <c r="AD56" s="2">
        <f t="shared" si="18"/>
      </c>
      <c r="AE56" s="2" t="str">
        <f t="shared" si="19"/>
        <v>个人户</v>
      </c>
      <c r="AF56" s="2">
        <f t="shared" si="20"/>
      </c>
      <c r="AG56" s="2" t="str">
        <f t="shared" si="21"/>
        <v>机械运输费</v>
      </c>
      <c r="AH56" s="2" t="str">
        <f t="shared" si="22"/>
        <v>支</v>
      </c>
      <c r="AI56" s="2" t="str">
        <f t="shared" si="23"/>
        <v>邹桥派出所</v>
      </c>
      <c r="AJ56" s="2">
        <f t="shared" si="24"/>
        <v>0</v>
      </c>
      <c r="AK56" s="2">
        <f t="shared" si="25"/>
        <v>7</v>
      </c>
      <c r="AL56" s="2">
        <f t="shared" si="26"/>
        <v>0</v>
      </c>
      <c r="AM56" s="2">
        <f t="shared" si="27"/>
        <v>0</v>
      </c>
      <c r="AN56" s="2">
        <f t="shared" si="28"/>
        <v>46172</v>
      </c>
      <c r="AO56" s="2">
        <f t="shared" si="29"/>
      </c>
      <c r="AP56" s="2" t="str">
        <f t="shared" si="30"/>
        <v>章德吉货运|1</v>
      </c>
      <c r="AQ56" s="2">
        <f t="shared" si="31"/>
      </c>
    </row>
    <row r="57">
      <c r="A57" s="43">
        <f t="shared" si="3"/>
        <v>52</v>
      </c>
      <c r="B57" s="44" t="n">
        <v>46173</v>
      </c>
      <c r="C57" s="45" t="inlineStr">
        <is>
          <t>王伟个人户</t>
        </is>
      </c>
      <c r="D57" s="46" t="inlineStr">
        <is>
          <t>公司食堂买菜</t>
        </is>
      </c>
      <c r="E57" s="47" t="n"/>
      <c r="F57" s="47" t="n">
        <v>118</v>
      </c>
      <c r="G57" s="48">
        <f t="shared" si="4"/>
        <v>-200859.6</v>
      </c>
      <c r="H57" s="43">
        <f t="shared" si="0"/>
      </c>
      <c r="I57" s="43" t="str">
        <f t="shared" si="5"/>
        <v>食堂伙食</v>
      </c>
      <c r="J57" s="43">
        <f t="shared" si="1"/>
      </c>
      <c r="K57" s="49" t="str">
        <f t="shared" si="2"/>
        <v>√</v>
      </c>
      <c r="L57" s="45" t="n"/>
      <c r="M57" s="45" t="n"/>
      <c r="N57" s="45" t="n"/>
      <c r="O57" s="45" t="n"/>
      <c r="P57" s="50" t="n"/>
      <c r="R57" s="2">
        <f t="shared" si="6"/>
        <v>-118</v>
      </c>
      <c r="S57" s="2">
        <f t="shared" si="7"/>
        <v>202605</v>
      </c>
      <c r="T57" s="2">
        <f t="shared" si="8"/>
      </c>
      <c r="U57" s="2" t="str">
        <f t="shared" si="9"/>
        <v>食堂伙食</v>
      </c>
      <c r="V57" s="2">
        <f t="shared" si="10"/>
      </c>
      <c r="W57" s="2" t="str">
        <f t="shared" si="11"/>
        <v>公司间接费</v>
      </c>
      <c r="X57" s="2" t="str">
        <f t="shared" si="12"/>
        <v>食堂伙食</v>
      </c>
      <c r="Y57" s="2">
        <f t="shared" si="13"/>
        <v>0</v>
      </c>
      <c r="Z57" s="2">
        <f t="shared" si="14"/>
      </c>
      <c r="AA57" s="2">
        <f t="shared" si="15"/>
        <v>0</v>
      </c>
      <c r="AB57" s="2">
        <f t="shared" si="16"/>
      </c>
      <c r="AC57" s="2">
        <f t="shared" si="17"/>
      </c>
      <c r="AD57" s="2">
        <f t="shared" si="18"/>
      </c>
      <c r="AE57" s="2" t="str">
        <f t="shared" si="19"/>
        <v>个人户</v>
      </c>
      <c r="AF57" s="2">
        <f t="shared" si="20"/>
      </c>
      <c r="AG57" s="2" t="str">
        <f t="shared" si="21"/>
        <v>食堂伙食</v>
      </c>
      <c r="AH57" s="2" t="str">
        <f t="shared" si="22"/>
        <v>支</v>
      </c>
      <c r="AI57" s="2">
        <f t="shared" si="23"/>
      </c>
      <c r="AJ57" s="2">
        <f t="shared" si="24"/>
        <v>0</v>
      </c>
      <c r="AK57" s="2">
        <f t="shared" si="25"/>
        <v>0</v>
      </c>
      <c r="AL57" s="2">
        <f t="shared" si="26"/>
        <v>0</v>
      </c>
      <c r="AM57" s="2">
        <f t="shared" si="27"/>
        <v>0</v>
      </c>
      <c r="AN57" s="2">
        <f t="shared" si="28"/>
        <v>46173</v>
      </c>
      <c r="AO57" s="2">
        <f t="shared" si="29"/>
      </c>
      <c r="AP57" s="2">
        <f t="shared" si="30"/>
      </c>
      <c r="AQ57" s="2">
        <f t="shared" si="31"/>
      </c>
    </row>
    <row r="58">
      <c r="A58" s="43">
        <f t="shared" si="3"/>
        <v>53</v>
      </c>
      <c r="B58" s="44" t="n">
        <v>46173</v>
      </c>
      <c r="C58" s="45" t="inlineStr">
        <is>
          <t>王伟个人户</t>
        </is>
      </c>
      <c r="D58" s="46" t="inlineStr">
        <is>
          <t>邹桥派出所挖机费</t>
        </is>
      </c>
      <c r="E58" s="47" t="n"/>
      <c r="F58" s="47" t="n">
        <v>1000</v>
      </c>
      <c r="G58" s="48">
        <f t="shared" si="4"/>
        <v>-201859.6</v>
      </c>
      <c r="H58" s="43" t="str">
        <f t="shared" si="0"/>
        <v>邹桥派出所</v>
      </c>
      <c r="I58" s="43" t="str">
        <f t="shared" si="5"/>
        <v>付应付款</v>
      </c>
      <c r="J58" s="43" t="str">
        <f t="shared" si="1"/>
        <v>航帆增辉</v>
      </c>
      <c r="K58" s="49" t="str">
        <f t="shared" si="2"/>
        <v>√</v>
      </c>
      <c r="L58" s="45" t="n"/>
      <c r="M58" s="45" t="n"/>
      <c r="N58" s="45" t="inlineStr">
        <is>
          <t>航帆增辉</t>
        </is>
      </c>
      <c r="O58" s="45" t="n"/>
      <c r="P58" s="50" t="n"/>
      <c r="R58" s="2">
        <f t="shared" si="6"/>
        <v>-1000</v>
      </c>
      <c r="S58" s="2">
        <f t="shared" si="7"/>
        <v>202605</v>
      </c>
      <c r="T58" s="2" t="str">
        <f t="shared" si="8"/>
        <v>邹桥派出所</v>
      </c>
      <c r="U58" s="2" t="str">
        <f t="shared" si="9"/>
        <v>付应付款</v>
      </c>
      <c r="V58" s="2">
        <f t="shared" si="10"/>
      </c>
      <c r="W58" s="2" t="str">
        <f t="shared" si="11"/>
        <v>不进利润</v>
      </c>
      <c r="X58" s="2" t="str">
        <f t="shared" si="12"/>
        <v>应付机械运输费</v>
      </c>
      <c r="Y58" s="2">
        <f t="shared" si="13"/>
        <v>1</v>
      </c>
      <c r="Z58" s="2" t="str">
        <f t="shared" si="14"/>
        <v>机械运输</v>
      </c>
      <c r="AA58" s="2">
        <f t="shared" si="15"/>
        <v>0</v>
      </c>
      <c r="AB58" s="2">
        <f t="shared" si="16"/>
      </c>
      <c r="AC58" s="2">
        <f t="shared" si="17"/>
      </c>
      <c r="AD58" s="2">
        <f t="shared" si="18"/>
      </c>
      <c r="AE58" s="2" t="str">
        <f t="shared" si="19"/>
        <v>个人户</v>
      </c>
      <c r="AF58" s="2">
        <f t="shared" si="20"/>
      </c>
      <c r="AG58" s="2" t="str">
        <f t="shared" si="21"/>
        <v>机械运输费</v>
      </c>
      <c r="AH58" s="2" t="str">
        <f t="shared" si="22"/>
        <v>支</v>
      </c>
      <c r="AI58" s="2" t="str">
        <f t="shared" si="23"/>
        <v>邹桥派出所</v>
      </c>
      <c r="AJ58" s="2">
        <f t="shared" si="24"/>
        <v>0</v>
      </c>
      <c r="AK58" s="2">
        <f t="shared" si="25"/>
        <v>7</v>
      </c>
      <c r="AL58" s="2">
        <f t="shared" si="26"/>
        <v>0</v>
      </c>
      <c r="AM58" s="2">
        <f t="shared" si="27"/>
        <v>0</v>
      </c>
      <c r="AN58" s="2">
        <f t="shared" si="28"/>
        <v>46173</v>
      </c>
      <c r="AO58" s="2">
        <f t="shared" si="29"/>
      </c>
      <c r="AP58" s="2" t="str">
        <f t="shared" si="30"/>
        <v>航帆增辉|1</v>
      </c>
      <c r="AQ58" s="2">
        <f t="shared" si="31"/>
      </c>
    </row>
    <row r="59">
      <c r="A59" s="43">
        <f t="shared" si="3"/>
        <v>54</v>
      </c>
      <c r="B59" s="44" t="n">
        <v>46146</v>
      </c>
      <c r="C59" s="45" t="inlineStr">
        <is>
          <t>聂辉个人户</t>
        </is>
      </c>
      <c r="D59" s="46" t="inlineStr">
        <is>
          <t>公司工作餐</t>
        </is>
      </c>
      <c r="E59" s="47" t="n"/>
      <c r="F59" s="47" t="n">
        <v>590</v>
      </c>
      <c r="G59" s="48">
        <f t="shared" si="4"/>
        <v>-300258</v>
      </c>
      <c r="H59" s="43">
        <f t="shared" si="0"/>
      </c>
      <c r="I59" s="43" t="str">
        <f t="shared" si="5"/>
        <v>业务招待费</v>
      </c>
      <c r="J59" s="43">
        <f t="shared" si="1"/>
      </c>
      <c r="K59" s="49" t="str">
        <f t="shared" si="2"/>
        <v>√</v>
      </c>
      <c r="L59" s="45" t="n"/>
      <c r="M59" s="45" t="n"/>
      <c r="N59" s="45" t="n"/>
      <c r="O59" s="45" t="n"/>
      <c r="P59" s="50" t="n"/>
      <c r="R59" s="2">
        <f t="shared" si="6"/>
        <v>-590</v>
      </c>
      <c r="S59" s="2">
        <f t="shared" si="7"/>
        <v>202605</v>
      </c>
      <c r="T59" s="2">
        <f t="shared" si="8"/>
      </c>
      <c r="U59" s="2" t="str">
        <f t="shared" si="9"/>
        <v>业务招待费</v>
      </c>
      <c r="V59" s="2">
        <f t="shared" si="10"/>
      </c>
      <c r="W59" s="2" t="str">
        <f t="shared" si="11"/>
        <v>公司间接费</v>
      </c>
      <c r="X59" s="2" t="str">
        <f t="shared" si="12"/>
        <v>业务招待费</v>
      </c>
      <c r="Y59" s="2">
        <f t="shared" si="13"/>
        <v>0</v>
      </c>
      <c r="Z59" s="2">
        <f t="shared" si="14"/>
      </c>
      <c r="AA59" s="2">
        <f t="shared" si="15"/>
        <v>0</v>
      </c>
      <c r="AB59" s="2">
        <f t="shared" si="16"/>
      </c>
      <c r="AC59" s="2">
        <f t="shared" si="17"/>
      </c>
      <c r="AD59" s="2">
        <f t="shared" si="18"/>
      </c>
      <c r="AE59" s="2" t="str">
        <f t="shared" si="19"/>
        <v>个人户</v>
      </c>
      <c r="AF59" s="2">
        <f t="shared" si="20"/>
      </c>
      <c r="AG59" s="2" t="str">
        <f t="shared" si="21"/>
        <v>业务招待费</v>
      </c>
      <c r="AH59" s="2" t="str">
        <f t="shared" si="22"/>
        <v>支</v>
      </c>
      <c r="AI59" s="2">
        <f t="shared" si="23"/>
      </c>
      <c r="AJ59" s="2">
        <f t="shared" si="24"/>
        <v>0</v>
      </c>
      <c r="AK59" s="2">
        <f t="shared" si="25"/>
        <v>0</v>
      </c>
      <c r="AL59" s="2">
        <f t="shared" si="26"/>
        <v>0</v>
      </c>
      <c r="AM59" s="2">
        <f t="shared" si="27"/>
        <v>0</v>
      </c>
      <c r="AN59" s="2">
        <f t="shared" si="28"/>
        <v>46146</v>
      </c>
      <c r="AO59" s="2">
        <f t="shared" si="29"/>
      </c>
      <c r="AP59" s="2">
        <f t="shared" si="30"/>
      </c>
      <c r="AQ59" s="2">
        <f t="shared" si="31"/>
      </c>
    </row>
    <row r="60">
      <c r="A60" s="43">
        <f t="shared" si="3"/>
        <v>55</v>
      </c>
      <c r="B60" s="44" t="n">
        <v>46148</v>
      </c>
      <c r="C60" s="45" t="inlineStr">
        <is>
          <t>聂辉个人户</t>
        </is>
      </c>
      <c r="D60" s="46" t="inlineStr">
        <is>
          <t>公司工作餐</t>
        </is>
      </c>
      <c r="E60" s="47" t="n"/>
      <c r="F60" s="47" t="n">
        <v>320</v>
      </c>
      <c r="G60" s="48">
        <f t="shared" si="4"/>
        <v>-300578</v>
      </c>
      <c r="H60" s="43">
        <f t="shared" si="0"/>
      </c>
      <c r="I60" s="43" t="str">
        <f t="shared" si="5"/>
        <v>业务招待费</v>
      </c>
      <c r="J60" s="43">
        <f t="shared" si="1"/>
      </c>
      <c r="K60" s="49" t="str">
        <f t="shared" si="2"/>
        <v>√</v>
      </c>
      <c r="L60" s="45" t="n"/>
      <c r="M60" s="45" t="n"/>
      <c r="N60" s="45" t="n"/>
      <c r="O60" s="45" t="n"/>
      <c r="P60" s="50" t="n"/>
      <c r="R60" s="2">
        <f t="shared" si="6"/>
        <v>-320</v>
      </c>
      <c r="S60" s="2">
        <f t="shared" si="7"/>
        <v>202605</v>
      </c>
      <c r="T60" s="2">
        <f t="shared" si="8"/>
      </c>
      <c r="U60" s="2" t="str">
        <f t="shared" si="9"/>
        <v>业务招待费</v>
      </c>
      <c r="V60" s="2">
        <f t="shared" si="10"/>
      </c>
      <c r="W60" s="2" t="str">
        <f t="shared" si="11"/>
        <v>公司间接费</v>
      </c>
      <c r="X60" s="2" t="str">
        <f t="shared" si="12"/>
        <v>业务招待费</v>
      </c>
      <c r="Y60" s="2">
        <f t="shared" si="13"/>
        <v>0</v>
      </c>
      <c r="Z60" s="2">
        <f t="shared" si="14"/>
      </c>
      <c r="AA60" s="2">
        <f t="shared" si="15"/>
        <v>0</v>
      </c>
      <c r="AB60" s="2">
        <f t="shared" si="16"/>
      </c>
      <c r="AC60" s="2">
        <f t="shared" si="17"/>
      </c>
      <c r="AD60" s="2">
        <f t="shared" si="18"/>
      </c>
      <c r="AE60" s="2" t="str">
        <f t="shared" si="19"/>
        <v>个人户</v>
      </c>
      <c r="AF60" s="2">
        <f t="shared" si="20"/>
      </c>
      <c r="AG60" s="2" t="str">
        <f t="shared" si="21"/>
        <v>业务招待费</v>
      </c>
      <c r="AH60" s="2" t="str">
        <f t="shared" si="22"/>
        <v>支</v>
      </c>
      <c r="AI60" s="2">
        <f t="shared" si="23"/>
      </c>
      <c r="AJ60" s="2">
        <f t="shared" si="24"/>
        <v>0</v>
      </c>
      <c r="AK60" s="2">
        <f t="shared" si="25"/>
        <v>0</v>
      </c>
      <c r="AL60" s="2">
        <f t="shared" si="26"/>
        <v>0</v>
      </c>
      <c r="AM60" s="2">
        <f t="shared" si="27"/>
        <v>0</v>
      </c>
      <c r="AN60" s="2">
        <f t="shared" si="28"/>
        <v>46148</v>
      </c>
      <c r="AO60" s="2">
        <f t="shared" si="29"/>
      </c>
      <c r="AP60" s="2">
        <f t="shared" si="30"/>
      </c>
      <c r="AQ60" s="2">
        <f t="shared" si="31"/>
      </c>
    </row>
    <row r="61">
      <c r="A61" s="43">
        <f t="shared" si="3"/>
        <v>56</v>
      </c>
      <c r="B61" s="44" t="n">
        <v>46151</v>
      </c>
      <c r="C61" s="45" t="inlineStr">
        <is>
          <t>聂辉个人户</t>
        </is>
      </c>
      <c r="D61" s="46" t="inlineStr">
        <is>
          <t>公司工作餐</t>
        </is>
      </c>
      <c r="E61" s="47" t="n"/>
      <c r="F61" s="47" t="n">
        <v>290</v>
      </c>
      <c r="G61" s="48">
        <f t="shared" si="4"/>
        <v>-300868</v>
      </c>
      <c r="H61" s="43">
        <f t="shared" si="0"/>
      </c>
      <c r="I61" s="43" t="str">
        <f t="shared" si="5"/>
        <v>业务招待费</v>
      </c>
      <c r="J61" s="43">
        <f t="shared" si="1"/>
      </c>
      <c r="K61" s="49" t="str">
        <f t="shared" si="2"/>
        <v>√</v>
      </c>
      <c r="L61" s="45" t="n"/>
      <c r="M61" s="45" t="n"/>
      <c r="N61" s="45" t="n"/>
      <c r="O61" s="45" t="n"/>
      <c r="P61" s="50" t="n"/>
      <c r="R61" s="2">
        <f t="shared" si="6"/>
        <v>-290</v>
      </c>
      <c r="S61" s="2">
        <f t="shared" si="7"/>
        <v>202605</v>
      </c>
      <c r="T61" s="2">
        <f t="shared" si="8"/>
      </c>
      <c r="U61" s="2" t="str">
        <f t="shared" si="9"/>
        <v>业务招待费</v>
      </c>
      <c r="V61" s="2">
        <f t="shared" si="10"/>
      </c>
      <c r="W61" s="2" t="str">
        <f t="shared" si="11"/>
        <v>公司间接费</v>
      </c>
      <c r="X61" s="2" t="str">
        <f t="shared" si="12"/>
        <v>业务招待费</v>
      </c>
      <c r="Y61" s="2">
        <f t="shared" si="13"/>
        <v>0</v>
      </c>
      <c r="Z61" s="2">
        <f t="shared" si="14"/>
      </c>
      <c r="AA61" s="2">
        <f t="shared" si="15"/>
        <v>0</v>
      </c>
      <c r="AB61" s="2">
        <f t="shared" si="16"/>
      </c>
      <c r="AC61" s="2">
        <f t="shared" si="17"/>
      </c>
      <c r="AD61" s="2">
        <f t="shared" si="18"/>
      </c>
      <c r="AE61" s="2" t="str">
        <f t="shared" si="19"/>
        <v>个人户</v>
      </c>
      <c r="AF61" s="2">
        <f t="shared" si="20"/>
      </c>
      <c r="AG61" s="2" t="str">
        <f t="shared" si="21"/>
        <v>业务招待费</v>
      </c>
      <c r="AH61" s="2" t="str">
        <f t="shared" si="22"/>
        <v>支</v>
      </c>
      <c r="AI61" s="2">
        <f t="shared" si="23"/>
      </c>
      <c r="AJ61" s="2">
        <f t="shared" si="24"/>
        <v>0</v>
      </c>
      <c r="AK61" s="2">
        <f t="shared" si="25"/>
        <v>0</v>
      </c>
      <c r="AL61" s="2">
        <f t="shared" si="26"/>
        <v>0</v>
      </c>
      <c r="AM61" s="2">
        <f t="shared" si="27"/>
        <v>0</v>
      </c>
      <c r="AN61" s="2">
        <f t="shared" si="28"/>
        <v>46151</v>
      </c>
      <c r="AO61" s="2">
        <f t="shared" si="29"/>
      </c>
      <c r="AP61" s="2">
        <f t="shared" si="30"/>
      </c>
      <c r="AQ61" s="2">
        <f t="shared" si="31"/>
      </c>
    </row>
    <row r="62">
      <c r="A62" s="43">
        <f t="shared" si="3"/>
        <v>57</v>
      </c>
      <c r="B62" s="44" t="n">
        <v>46163</v>
      </c>
      <c r="C62" s="45" t="inlineStr">
        <is>
          <t>农业银行</t>
        </is>
      </c>
      <c r="D62" s="46" t="inlineStr">
        <is>
          <t>支付贷款利息</t>
        </is>
      </c>
      <c r="E62" s="47" t="n"/>
      <c r="F62" s="47" t="n">
        <v>1052.92</v>
      </c>
      <c r="G62" s="48">
        <f t="shared" si="4"/>
        <v>-1052.92</v>
      </c>
      <c r="H62" s="43">
        <f t="shared" si="0"/>
      </c>
      <c r="I62" s="43" t="str">
        <f t="shared" si="5"/>
        <v>利息支出</v>
      </c>
      <c r="J62" s="43">
        <f t="shared" si="1"/>
      </c>
      <c r="K62" s="49" t="str">
        <f t="shared" si="2"/>
        <v>√</v>
      </c>
      <c r="L62" s="45" t="n"/>
      <c r="M62" s="45" t="n"/>
      <c r="N62" s="45" t="n"/>
      <c r="O62" s="45" t="n"/>
      <c r="P62" s="50" t="n"/>
      <c r="R62" s="2">
        <f t="shared" si="6"/>
        <v>-1052.92</v>
      </c>
      <c r="S62" s="2">
        <f t="shared" si="7"/>
        <v>202605</v>
      </c>
      <c r="T62" s="2">
        <f t="shared" si="8"/>
      </c>
      <c r="U62" s="2" t="str">
        <f t="shared" si="9"/>
        <v>利息支出</v>
      </c>
      <c r="V62" s="2">
        <f t="shared" si="10"/>
      </c>
      <c r="W62" s="2" t="str">
        <f t="shared" si="11"/>
        <v>公司不分摊</v>
      </c>
      <c r="X62" s="2" t="str">
        <f t="shared" si="12"/>
        <v>利息支出</v>
      </c>
      <c r="Y62" s="2">
        <f t="shared" si="13"/>
        <v>0</v>
      </c>
      <c r="Z62" s="2">
        <f t="shared" si="14"/>
      </c>
      <c r="AA62" s="2">
        <f t="shared" si="15"/>
        <v>0</v>
      </c>
      <c r="AB62" s="2">
        <f t="shared" si="16"/>
      </c>
      <c r="AC62" s="2">
        <f t="shared" si="17"/>
      </c>
      <c r="AD62" s="2">
        <f t="shared" si="18"/>
      </c>
      <c r="AE62" s="2" t="str">
        <f t="shared" si="19"/>
        <v>银行</v>
      </c>
      <c r="AF62" s="2">
        <f t="shared" si="20"/>
      </c>
      <c r="AG62" s="2" t="str">
        <f t="shared" si="21"/>
        <v>利息支出</v>
      </c>
      <c r="AH62" s="2" t="str">
        <f t="shared" si="22"/>
        <v>支</v>
      </c>
      <c r="AI62" s="2">
        <f t="shared" si="23"/>
      </c>
      <c r="AJ62" s="2">
        <f t="shared" si="24"/>
        <v>0</v>
      </c>
      <c r="AK62" s="2">
        <f t="shared" si="25"/>
        <v>0</v>
      </c>
      <c r="AL62" s="2">
        <f t="shared" si="26"/>
        <v>0</v>
      </c>
      <c r="AM62" s="2">
        <f t="shared" si="27"/>
        <v>0</v>
      </c>
      <c r="AN62" s="2">
        <f t="shared" si="28"/>
        <v>46163</v>
      </c>
      <c r="AO62" s="2">
        <f t="shared" si="29"/>
      </c>
      <c r="AP62" s="2">
        <f t="shared" si="30"/>
      </c>
      <c r="AQ62" s="2">
        <f t="shared" si="31"/>
      </c>
    </row>
    <row r="63">
      <c r="A63" s="43">
        <f t="shared" si="3"/>
        <v>58</v>
      </c>
      <c r="B63" s="44" t="n">
        <v>46102</v>
      </c>
      <c r="C63" s="45" t="inlineStr">
        <is>
          <t>工商银行</t>
        </is>
      </c>
      <c r="D63" s="46" t="inlineStr">
        <is>
          <t>利息收入</t>
        </is>
      </c>
      <c r="E63" s="47" t="n">
        <v>0.79</v>
      </c>
      <c r="F63" s="47" t="n"/>
      <c r="G63" s="48">
        <f t="shared" si="4"/>
        <v>148.79</v>
      </c>
      <c r="H63" s="43">
        <f t="shared" si="0"/>
      </c>
      <c r="I63" s="43" t="str">
        <f t="shared" si="5"/>
        <v>利息收入</v>
      </c>
      <c r="J63" s="43">
        <f t="shared" si="1"/>
      </c>
      <c r="K63" s="49" t="str">
        <f t="shared" si="2"/>
        <v>√</v>
      </c>
      <c r="L63" s="45" t="n"/>
      <c r="M63" s="45" t="n"/>
      <c r="N63" s="45" t="n"/>
      <c r="O63" s="45" t="n"/>
      <c r="P63" s="50" t="n"/>
      <c r="R63" s="2">
        <f t="shared" si="6"/>
        <v>0.79</v>
      </c>
      <c r="S63" s="2">
        <f t="shared" si="7"/>
        <v>202603</v>
      </c>
      <c r="T63" s="2">
        <f t="shared" si="8"/>
      </c>
      <c r="U63" s="2" t="str">
        <f t="shared" si="9"/>
        <v>利息收入</v>
      </c>
      <c r="V63" s="2">
        <f t="shared" si="10"/>
      </c>
      <c r="W63" s="2" t="str">
        <f t="shared" si="11"/>
        <v>公司不分摊</v>
      </c>
      <c r="X63" s="2" t="str">
        <f t="shared" si="12"/>
        <v>利息收入</v>
      </c>
      <c r="Y63" s="2">
        <f t="shared" si="13"/>
        <v>0</v>
      </c>
      <c r="Z63" s="2">
        <f t="shared" si="14"/>
      </c>
      <c r="AA63" s="2">
        <f t="shared" si="15"/>
        <v>0</v>
      </c>
      <c r="AB63" s="2">
        <f t="shared" si="16"/>
      </c>
      <c r="AC63" s="2">
        <f t="shared" si="17"/>
      </c>
      <c r="AD63" s="2">
        <f t="shared" si="18"/>
      </c>
      <c r="AE63" s="2" t="str">
        <f t="shared" si="19"/>
        <v>银行</v>
      </c>
      <c r="AF63" s="2">
        <f t="shared" si="20"/>
      </c>
      <c r="AG63" s="2" t="str">
        <f t="shared" si="21"/>
        <v>利息收入</v>
      </c>
      <c r="AH63" s="2" t="str">
        <f t="shared" si="22"/>
        <v>收</v>
      </c>
      <c r="AI63" s="2">
        <f t="shared" si="23"/>
      </c>
      <c r="AJ63" s="2">
        <f t="shared" si="24"/>
        <v>0</v>
      </c>
      <c r="AK63" s="2">
        <f t="shared" si="25"/>
        <v>0</v>
      </c>
      <c r="AL63" s="2">
        <f t="shared" si="26"/>
        <v>0</v>
      </c>
      <c r="AM63" s="2">
        <f t="shared" si="27"/>
        <v>0</v>
      </c>
      <c r="AN63" s="2">
        <f t="shared" si="28"/>
        <v>46102</v>
      </c>
      <c r="AO63" s="2">
        <f t="shared" si="29"/>
      </c>
      <c r="AP63" s="2">
        <f t="shared" si="30"/>
      </c>
      <c r="AQ63" s="2">
        <f t="shared" si="31"/>
      </c>
    </row>
    <row r="64">
      <c r="A64" s="43">
        <f t="shared" si="3"/>
        <v>59</v>
      </c>
      <c r="B64" s="44" t="n">
        <v>46102</v>
      </c>
      <c r="C64" s="45" t="inlineStr">
        <is>
          <t>工商银行</t>
        </is>
      </c>
      <c r="D64" s="46" t="inlineStr">
        <is>
          <t>跨行汇款手续费</t>
        </is>
      </c>
      <c r="E64" s="47" t="n"/>
      <c r="F64" s="47" t="n">
        <v>0.79</v>
      </c>
      <c r="G64" s="48">
        <f t="shared" si="4"/>
        <v>148</v>
      </c>
      <c r="H64" s="43">
        <f t="shared" si="0"/>
      </c>
      <c r="I64" s="43" t="str">
        <f t="shared" si="5"/>
        <v>银行手续费</v>
      </c>
      <c r="J64" s="43">
        <f t="shared" si="1"/>
      </c>
      <c r="K64" s="49" t="str">
        <f t="shared" si="2"/>
        <v>√</v>
      </c>
      <c r="L64" s="45" t="n"/>
      <c r="M64" s="45" t="n"/>
      <c r="N64" s="45" t="n"/>
      <c r="O64" s="45" t="n"/>
      <c r="P64" s="50" t="n"/>
      <c r="R64" s="2">
        <f t="shared" si="6"/>
        <v>-0.79</v>
      </c>
      <c r="S64" s="2">
        <f t="shared" si="7"/>
        <v>202603</v>
      </c>
      <c r="T64" s="2">
        <f t="shared" si="8"/>
      </c>
      <c r="U64" s="2" t="str">
        <f t="shared" si="9"/>
        <v>银行手续费</v>
      </c>
      <c r="V64" s="2">
        <f t="shared" si="10"/>
      </c>
      <c r="W64" s="2" t="str">
        <f t="shared" si="11"/>
        <v>公司不分摊</v>
      </c>
      <c r="X64" s="2" t="str">
        <f t="shared" si="12"/>
        <v>手续费</v>
      </c>
      <c r="Y64" s="2">
        <f t="shared" si="13"/>
        <v>0</v>
      </c>
      <c r="Z64" s="2">
        <f t="shared" si="14"/>
      </c>
      <c r="AA64" s="2">
        <f t="shared" si="15"/>
        <v>0</v>
      </c>
      <c r="AB64" s="2">
        <f t="shared" si="16"/>
      </c>
      <c r="AC64" s="2">
        <f t="shared" si="17"/>
      </c>
      <c r="AD64" s="2">
        <f t="shared" si="18"/>
      </c>
      <c r="AE64" s="2" t="str">
        <f t="shared" si="19"/>
        <v>银行</v>
      </c>
      <c r="AF64" s="2">
        <f t="shared" si="20"/>
      </c>
      <c r="AG64" s="2" t="str">
        <f t="shared" si="21"/>
        <v>银行手续费</v>
      </c>
      <c r="AH64" s="2" t="str">
        <f t="shared" si="22"/>
        <v>支</v>
      </c>
      <c r="AI64" s="2">
        <f t="shared" si="23"/>
      </c>
      <c r="AJ64" s="2">
        <f t="shared" si="24"/>
        <v>0</v>
      </c>
      <c r="AK64" s="2">
        <f t="shared" si="25"/>
        <v>0</v>
      </c>
      <c r="AL64" s="2">
        <f t="shared" si="26"/>
        <v>0</v>
      </c>
      <c r="AM64" s="2">
        <f t="shared" si="27"/>
        <v>0</v>
      </c>
      <c r="AN64" s="2">
        <f t="shared" si="28"/>
        <v>46102</v>
      </c>
      <c r="AO64" s="2">
        <f t="shared" si="29"/>
      </c>
      <c r="AP64" s="2">
        <f t="shared" si="30"/>
      </c>
      <c r="AQ64" s="2">
        <f t="shared" si="31"/>
      </c>
    </row>
    <row r="65">
      <c r="A65" s="43">
        <f t="shared" si="3"/>
        <v>60</v>
      </c>
      <c r="B65" s="44" t="n">
        <v>46091</v>
      </c>
      <c r="C65" s="45" t="inlineStr">
        <is>
          <t>农业银行</t>
        </is>
      </c>
      <c r="D65" s="46" t="inlineStr">
        <is>
          <t>贷款</t>
        </is>
      </c>
      <c r="E65" s="47" t="n">
        <v>361000</v>
      </c>
      <c r="F65" s="47" t="n"/>
      <c r="G65" s="48">
        <f t="shared" si="4"/>
        <v>359947.08</v>
      </c>
      <c r="H65" s="43">
        <f t="shared" si="0"/>
      </c>
      <c r="I65" s="43" t="str">
        <f t="shared" si="5"/>
        <v>银行贷款</v>
      </c>
      <c r="J65" s="43">
        <f t="shared" si="1"/>
      </c>
      <c r="K65" s="49" t="str">
        <f t="shared" si="2"/>
        <v>√</v>
      </c>
      <c r="L65" s="45" t="n"/>
      <c r="M65" s="45" t="n"/>
      <c r="N65" s="45" t="n"/>
      <c r="O65" s="45" t="n"/>
      <c r="P65" s="50" t="n"/>
      <c r="R65" s="2">
        <f t="shared" si="6"/>
        <v>361000</v>
      </c>
      <c r="S65" s="2">
        <f t="shared" si="7"/>
        <v>202603</v>
      </c>
      <c r="T65" s="2">
        <f t="shared" si="8"/>
      </c>
      <c r="U65" s="2" t="str">
        <f t="shared" si="9"/>
        <v>银行贷款</v>
      </c>
      <c r="V65" s="2">
        <f t="shared" si="10"/>
      </c>
      <c r="W65" s="2" t="str">
        <f t="shared" si="11"/>
        <v>不进利润</v>
      </c>
      <c r="X65" s="2" t="str">
        <f t="shared" si="12"/>
        <v>短期借款</v>
      </c>
      <c r="Y65" s="2">
        <f t="shared" si="13"/>
        <v>0</v>
      </c>
      <c r="Z65" s="2">
        <f t="shared" si="14"/>
      </c>
      <c r="AA65" s="2">
        <f t="shared" si="15"/>
        <v>0</v>
      </c>
      <c r="AB65" s="2">
        <f t="shared" si="16"/>
      </c>
      <c r="AC65" s="2">
        <f t="shared" si="17"/>
      </c>
      <c r="AD65" s="2">
        <f t="shared" si="18"/>
      </c>
      <c r="AE65" s="2" t="str">
        <f t="shared" si="19"/>
        <v>银行</v>
      </c>
      <c r="AF65" s="2">
        <f t="shared" si="20"/>
      </c>
      <c r="AG65" s="2" t="str">
        <f t="shared" si="21"/>
        <v>银行贷款</v>
      </c>
      <c r="AH65" s="2" t="str">
        <f t="shared" si="22"/>
        <v>收</v>
      </c>
      <c r="AI65" s="2">
        <f t="shared" si="23"/>
      </c>
      <c r="AJ65" s="2">
        <f t="shared" si="24"/>
        <v>0</v>
      </c>
      <c r="AK65" s="2">
        <f t="shared" si="25"/>
        <v>0</v>
      </c>
      <c r="AL65" s="2">
        <f t="shared" si="26"/>
        <v>0</v>
      </c>
      <c r="AM65" s="2">
        <f t="shared" si="27"/>
        <v>0</v>
      </c>
      <c r="AN65" s="2">
        <f t="shared" si="28"/>
        <v>46091</v>
      </c>
      <c r="AO65" s="2">
        <f t="shared" si="29"/>
      </c>
      <c r="AP65" s="2">
        <f t="shared" si="30"/>
      </c>
      <c r="AQ65" s="2">
        <f t="shared" si="31"/>
      </c>
    </row>
    <row r="66">
      <c r="A66" s="43">
        <f t="shared" si="3"/>
        <v>61</v>
      </c>
      <c r="B66" s="44" t="n">
        <v>46091</v>
      </c>
      <c r="C66" s="45" t="inlineStr">
        <is>
          <t>农业银行</t>
        </is>
      </c>
      <c r="D66" s="46" t="inlineStr">
        <is>
          <t>支付共安门业材料款</t>
        </is>
      </c>
      <c r="E66" s="47" t="n"/>
      <c r="F66" s="47" t="n">
        <v>7600</v>
      </c>
      <c r="G66" s="48">
        <f t="shared" si="4"/>
        <v>352347.08</v>
      </c>
      <c r="H66" s="43">
        <f t="shared" si="0"/>
      </c>
      <c r="I66" s="43" t="str">
        <f t="shared" si="5"/>
        <v>付应付款</v>
      </c>
      <c r="J66" s="43" t="str">
        <f t="shared" si="1"/>
        <v>共安门业</v>
      </c>
      <c r="K66" s="49" t="str">
        <f t="shared" si="2"/>
        <v>√</v>
      </c>
      <c r="L66" s="45" t="n"/>
      <c r="M66" s="45" t="n"/>
      <c r="N66" s="45" t="n"/>
      <c r="O66" s="45" t="n"/>
      <c r="P66" s="50" t="n"/>
      <c r="R66" s="2">
        <f t="shared" si="6"/>
        <v>-7600</v>
      </c>
      <c r="S66" s="2">
        <f t="shared" si="7"/>
        <v>202603</v>
      </c>
      <c r="T66" s="2">
        <f t="shared" si="8"/>
      </c>
      <c r="U66" s="2" t="str">
        <f t="shared" si="9"/>
        <v>付应付款</v>
      </c>
      <c r="V66" s="2" t="str">
        <f t="shared" si="10"/>
        <v>共安门业</v>
      </c>
      <c r="W66" s="2" t="str">
        <f t="shared" si="11"/>
        <v>不进利润</v>
      </c>
      <c r="X66" s="2" t="str">
        <f t="shared" si="12"/>
        <v>应付分包款</v>
      </c>
      <c r="Y66" s="2">
        <f t="shared" si="13"/>
        <v>1</v>
      </c>
      <c r="Z66" s="2" t="str">
        <f t="shared" si="14"/>
        <v>分包</v>
      </c>
      <c r="AA66" s="2">
        <f t="shared" si="15"/>
        <v>0</v>
      </c>
      <c r="AB66" s="2">
        <f t="shared" si="16"/>
      </c>
      <c r="AC66" s="2">
        <f t="shared" si="17"/>
      </c>
      <c r="AD66" s="2">
        <f t="shared" si="18"/>
      </c>
      <c r="AE66" s="2" t="str">
        <f t="shared" si="19"/>
        <v>银行</v>
      </c>
      <c r="AF66" s="2">
        <f t="shared" si="20"/>
      </c>
      <c r="AG66" s="2" t="str">
        <f t="shared" si="21"/>
        <v>材料费</v>
      </c>
      <c r="AH66" s="2" t="str">
        <f t="shared" si="22"/>
        <v>支</v>
      </c>
      <c r="AI66" s="2">
        <f t="shared" si="23"/>
      </c>
      <c r="AJ66" s="2">
        <f t="shared" si="24"/>
        <v>0</v>
      </c>
      <c r="AK66" s="2">
        <f t="shared" si="25"/>
        <v>0</v>
      </c>
      <c r="AL66" s="2">
        <f t="shared" si="26"/>
        <v>38</v>
      </c>
      <c r="AM66" s="2">
        <f t="shared" si="27"/>
        <v>0</v>
      </c>
      <c r="AN66" s="2">
        <f t="shared" si="28"/>
        <v>46091</v>
      </c>
      <c r="AO66" s="2">
        <f t="shared" si="29"/>
      </c>
      <c r="AP66" s="2" t="str">
        <f t="shared" si="30"/>
        <v>共安门业|1</v>
      </c>
      <c r="AQ66" s="2">
        <f t="shared" si="31"/>
      </c>
    </row>
    <row r="67">
      <c r="A67" s="43">
        <f t="shared" si="3"/>
        <v>62</v>
      </c>
      <c r="B67" s="44" t="n">
        <v>46091</v>
      </c>
      <c r="C67" s="45" t="inlineStr">
        <is>
          <t>农业银行</t>
        </is>
      </c>
      <c r="D67" s="46" t="inlineStr">
        <is>
          <t>支付上海诚果-邹桥派出所消防水泵款</t>
        </is>
      </c>
      <c r="E67" s="47" t="n"/>
      <c r="F67" s="47" t="n">
        <v>11800</v>
      </c>
      <c r="G67" s="48">
        <f t="shared" si="4"/>
        <v>340547.08</v>
      </c>
      <c r="H67" s="43" t="str">
        <f t="shared" si="0"/>
        <v>邹桥派出所</v>
      </c>
      <c r="I67" s="43" t="str">
        <f t="shared" si="5"/>
        <v>付应付款</v>
      </c>
      <c r="J67" s="43" t="str">
        <f t="shared" si="1"/>
        <v>上海诚果泵阀</v>
      </c>
      <c r="K67" s="49" t="str">
        <f t="shared" si="2"/>
        <v>√</v>
      </c>
      <c r="L67" s="45" t="n"/>
      <c r="M67" s="45" t="n"/>
      <c r="N67" s="45" t="n"/>
      <c r="O67" s="45" t="n"/>
      <c r="P67" s="50" t="n"/>
      <c r="R67" s="2">
        <f t="shared" si="6"/>
        <v>-11800</v>
      </c>
      <c r="S67" s="2">
        <f t="shared" si="7"/>
        <v>202603</v>
      </c>
      <c r="T67" s="2" t="str">
        <f t="shared" si="8"/>
        <v>邹桥派出所</v>
      </c>
      <c r="U67" s="2" t="str">
        <f t="shared" si="9"/>
        <v>付应付款</v>
      </c>
      <c r="V67" s="2" t="str">
        <f t="shared" si="10"/>
        <v>上海诚果泵阀</v>
      </c>
      <c r="W67" s="2" t="str">
        <f t="shared" si="11"/>
        <v>不进利润</v>
      </c>
      <c r="X67" s="2" t="str">
        <f t="shared" si="12"/>
        <v>应付材料款</v>
      </c>
      <c r="Y67" s="2">
        <f t="shared" si="13"/>
        <v>1</v>
      </c>
      <c r="Z67" s="2" t="str">
        <f t="shared" si="14"/>
        <v>材料供应商</v>
      </c>
      <c r="AA67" s="2">
        <f t="shared" si="15"/>
        <v>0</v>
      </c>
      <c r="AB67" s="2">
        <f t="shared" si="16"/>
      </c>
      <c r="AC67" s="2">
        <f t="shared" si="17"/>
      </c>
      <c r="AD67" s="2">
        <f t="shared" si="18"/>
      </c>
      <c r="AE67" s="2" t="str">
        <f t="shared" si="19"/>
        <v>银行</v>
      </c>
      <c r="AF67" s="2">
        <f t="shared" si="20"/>
      </c>
      <c r="AG67" s="2" t="str">
        <f t="shared" si="21"/>
        <v>材料费</v>
      </c>
      <c r="AH67" s="2" t="str">
        <f t="shared" si="22"/>
        <v>支</v>
      </c>
      <c r="AI67" s="2" t="str">
        <f t="shared" si="23"/>
        <v>邹桥派出所</v>
      </c>
      <c r="AJ67" s="2">
        <f t="shared" si="24"/>
        <v>0</v>
      </c>
      <c r="AK67" s="2">
        <f t="shared" si="25"/>
        <v>7</v>
      </c>
      <c r="AL67" s="2">
        <f t="shared" si="26"/>
        <v>33</v>
      </c>
      <c r="AM67" s="2">
        <f t="shared" si="27"/>
        <v>0</v>
      </c>
      <c r="AN67" s="2">
        <f t="shared" si="28"/>
        <v>46091</v>
      </c>
      <c r="AO67" s="2">
        <f t="shared" si="29"/>
      </c>
      <c r="AP67" s="2" t="str">
        <f t="shared" si="30"/>
        <v>上海诚果泵阀|1</v>
      </c>
      <c r="AQ67" s="2">
        <f t="shared" si="31"/>
      </c>
    </row>
    <row r="68">
      <c r="A68" s="43">
        <f t="shared" si="3"/>
        <v>63</v>
      </c>
      <c r="B68" s="44" t="n">
        <v>46091</v>
      </c>
      <c r="C68" s="45" t="inlineStr">
        <is>
          <t>农业银行</t>
        </is>
      </c>
      <c r="D68" s="46" t="inlineStr">
        <is>
          <t>扣手续费</t>
        </is>
      </c>
      <c r="E68" s="47" t="n"/>
      <c r="F68" s="47" t="n">
        <v>9</v>
      </c>
      <c r="G68" s="48">
        <f t="shared" si="4"/>
        <v>340538.08</v>
      </c>
      <c r="H68" s="43">
        <f t="shared" si="0"/>
      </c>
      <c r="I68" s="43" t="str">
        <f t="shared" si="5"/>
        <v>银行手续费</v>
      </c>
      <c r="J68" s="43">
        <f t="shared" si="1"/>
      </c>
      <c r="K68" s="49" t="str">
        <f t="shared" si="2"/>
        <v>√</v>
      </c>
      <c r="L68" s="45" t="n"/>
      <c r="M68" s="45" t="n"/>
      <c r="N68" s="45" t="n"/>
      <c r="O68" s="45" t="n"/>
      <c r="P68" s="50" t="n"/>
      <c r="R68" s="2">
        <f t="shared" si="6"/>
        <v>-9</v>
      </c>
      <c r="S68" s="2">
        <f t="shared" si="7"/>
        <v>202603</v>
      </c>
      <c r="T68" s="2">
        <f t="shared" si="8"/>
      </c>
      <c r="U68" s="2" t="str">
        <f t="shared" si="9"/>
        <v>银行手续费</v>
      </c>
      <c r="V68" s="2">
        <f t="shared" si="10"/>
      </c>
      <c r="W68" s="2" t="str">
        <f t="shared" si="11"/>
        <v>公司不分摊</v>
      </c>
      <c r="X68" s="2" t="str">
        <f t="shared" si="12"/>
        <v>手续费</v>
      </c>
      <c r="Y68" s="2">
        <f t="shared" si="13"/>
        <v>0</v>
      </c>
      <c r="Z68" s="2">
        <f t="shared" si="14"/>
      </c>
      <c r="AA68" s="2">
        <f t="shared" si="15"/>
        <v>0</v>
      </c>
      <c r="AB68" s="2">
        <f t="shared" si="16"/>
      </c>
      <c r="AC68" s="2">
        <f t="shared" si="17"/>
      </c>
      <c r="AD68" s="2">
        <f t="shared" si="18"/>
      </c>
      <c r="AE68" s="2" t="str">
        <f t="shared" si="19"/>
        <v>银行</v>
      </c>
      <c r="AF68" s="2">
        <f t="shared" si="20"/>
      </c>
      <c r="AG68" s="2" t="str">
        <f t="shared" si="21"/>
        <v>银行手续费</v>
      </c>
      <c r="AH68" s="2" t="str">
        <f t="shared" si="22"/>
        <v>支</v>
      </c>
      <c r="AI68" s="2">
        <f t="shared" si="23"/>
      </c>
      <c r="AJ68" s="2">
        <f t="shared" si="24"/>
        <v>0</v>
      </c>
      <c r="AK68" s="2">
        <f t="shared" si="25"/>
        <v>0</v>
      </c>
      <c r="AL68" s="2">
        <f t="shared" si="26"/>
        <v>0</v>
      </c>
      <c r="AM68" s="2">
        <f t="shared" si="27"/>
        <v>0</v>
      </c>
      <c r="AN68" s="2">
        <f t="shared" si="28"/>
        <v>46091</v>
      </c>
      <c r="AO68" s="2">
        <f t="shared" si="29"/>
      </c>
      <c r="AP68" s="2">
        <f t="shared" si="30"/>
      </c>
      <c r="AQ68" s="2">
        <f t="shared" si="31"/>
      </c>
    </row>
    <row r="69">
      <c r="A69" s="43">
        <f t="shared" si="3"/>
        <v>64</v>
      </c>
      <c r="B69" s="44" t="n">
        <v>46091</v>
      </c>
      <c r="C69" s="45" t="inlineStr">
        <is>
          <t>农业银行</t>
        </is>
      </c>
      <c r="D69" s="46" t="inlineStr">
        <is>
          <t>支付杭州行消-抚州8号楼材料款</t>
        </is>
      </c>
      <c r="E69" s="47" t="n"/>
      <c r="F69" s="47" t="n">
        <v>2992</v>
      </c>
      <c r="G69" s="48">
        <f t="shared" si="4"/>
        <v>337546.08</v>
      </c>
      <c r="H69" s="43" t="str">
        <f t="shared" si="0"/>
        <v>抚州8号楼</v>
      </c>
      <c r="I69" s="43" t="str">
        <f t="shared" si="5"/>
        <v>付应付款</v>
      </c>
      <c r="J69" s="43" t="str">
        <f t="shared" si="1"/>
        <v>杭州行消物资贸易</v>
      </c>
      <c r="K69" s="49" t="str">
        <f t="shared" si="2"/>
        <v>√</v>
      </c>
      <c r="L69" s="45" t="n"/>
      <c r="M69" s="45" t="n"/>
      <c r="N69" s="45" t="n"/>
      <c r="O69" s="45" t="n"/>
      <c r="P69" s="50" t="n"/>
      <c r="R69" s="2">
        <f t="shared" si="6"/>
        <v>-2992</v>
      </c>
      <c r="S69" s="2">
        <f t="shared" si="7"/>
        <v>202603</v>
      </c>
      <c r="T69" s="2" t="str">
        <f t="shared" si="8"/>
        <v>抚州8号楼</v>
      </c>
      <c r="U69" s="2" t="str">
        <f t="shared" si="9"/>
        <v>付应付款</v>
      </c>
      <c r="V69" s="2" t="str">
        <f t="shared" si="10"/>
        <v>杭州行消物资贸易</v>
      </c>
      <c r="W69" s="2" t="str">
        <f t="shared" si="11"/>
        <v>不进利润</v>
      </c>
      <c r="X69" s="2" t="str">
        <f t="shared" si="12"/>
        <v>应付材料款</v>
      </c>
      <c r="Y69" s="2">
        <f t="shared" si="13"/>
        <v>1</v>
      </c>
      <c r="Z69" s="2" t="str">
        <f t="shared" si="14"/>
        <v>材料供应商</v>
      </c>
      <c r="AA69" s="2">
        <f t="shared" si="15"/>
        <v>0</v>
      </c>
      <c r="AB69" s="2">
        <f t="shared" si="16"/>
      </c>
      <c r="AC69" s="2">
        <f t="shared" si="17"/>
      </c>
      <c r="AD69" s="2">
        <f t="shared" si="18"/>
      </c>
      <c r="AE69" s="2" t="str">
        <f t="shared" si="19"/>
        <v>银行</v>
      </c>
      <c r="AF69" s="2">
        <f t="shared" si="20"/>
      </c>
      <c r="AG69" s="2" t="str">
        <f t="shared" si="21"/>
        <v>材料费</v>
      </c>
      <c r="AH69" s="2" t="str">
        <f t="shared" si="22"/>
        <v>支</v>
      </c>
      <c r="AI69" s="2" t="str">
        <f t="shared" si="23"/>
        <v>抚州8号楼</v>
      </c>
      <c r="AJ69" s="2">
        <f t="shared" si="24"/>
        <v>0</v>
      </c>
      <c r="AK69" s="2">
        <f t="shared" si="25"/>
        <v>9</v>
      </c>
      <c r="AL69" s="2">
        <f t="shared" si="26"/>
        <v>32</v>
      </c>
      <c r="AM69" s="2">
        <f t="shared" si="27"/>
        <v>0</v>
      </c>
      <c r="AN69" s="2">
        <f t="shared" si="28"/>
        <v>46091</v>
      </c>
      <c r="AO69" s="2">
        <f t="shared" si="29"/>
      </c>
      <c r="AP69" s="2" t="str">
        <f t="shared" si="30"/>
        <v>杭州行消物资贸易|1</v>
      </c>
      <c r="AQ69" s="2">
        <f t="shared" si="31"/>
      </c>
    </row>
    <row r="70">
      <c r="A70" s="43">
        <f t="shared" si="3"/>
        <v>65</v>
      </c>
      <c r="B70" s="44" t="n">
        <v>46091</v>
      </c>
      <c r="C70" s="45" t="inlineStr">
        <is>
          <t>农业银行</t>
        </is>
      </c>
      <c r="D70" s="46" t="inlineStr">
        <is>
          <t>扣手续费</t>
        </is>
      </c>
      <c r="E70" s="47" t="n"/>
      <c r="F70" s="47" t="n">
        <v>4.5</v>
      </c>
      <c r="G70" s="48">
        <f t="shared" si="4"/>
        <v>337541.58</v>
      </c>
      <c r="H70" s="43">
        <f t="shared" si="0"/>
      </c>
      <c r="I70" s="43" t="str">
        <f t="shared" si="5"/>
        <v>银行手续费</v>
      </c>
      <c r="J70" s="43">
        <f t="shared" si="1"/>
      </c>
      <c r="K70" s="49" t="str">
        <f t="shared" si="2"/>
        <v>√</v>
      </c>
      <c r="L70" s="45" t="n"/>
      <c r="M70" s="45" t="n"/>
      <c r="N70" s="45" t="n"/>
      <c r="O70" s="45" t="n"/>
      <c r="P70" s="50" t="n"/>
      <c r="R70" s="2">
        <f t="shared" si="6"/>
        <v>-4.5</v>
      </c>
      <c r="S70" s="2">
        <f t="shared" si="7"/>
        <v>202603</v>
      </c>
      <c r="T70" s="2">
        <f t="shared" si="8"/>
      </c>
      <c r="U70" s="2" t="str">
        <f t="shared" si="9"/>
        <v>银行手续费</v>
      </c>
      <c r="V70" s="2">
        <f t="shared" si="10"/>
      </c>
      <c r="W70" s="2" t="str">
        <f t="shared" si="11"/>
        <v>公司不分摊</v>
      </c>
      <c r="X70" s="2" t="str">
        <f t="shared" si="12"/>
        <v>手续费</v>
      </c>
      <c r="Y70" s="2">
        <f t="shared" si="13"/>
        <v>0</v>
      </c>
      <c r="Z70" s="2">
        <f t="shared" si="14"/>
      </c>
      <c r="AA70" s="2">
        <f t="shared" si="15"/>
        <v>0</v>
      </c>
      <c r="AB70" s="2">
        <f t="shared" si="16"/>
      </c>
      <c r="AC70" s="2">
        <f t="shared" si="17"/>
      </c>
      <c r="AD70" s="2">
        <f t="shared" si="18"/>
      </c>
      <c r="AE70" s="2" t="str">
        <f t="shared" si="19"/>
        <v>银行</v>
      </c>
      <c r="AF70" s="2">
        <f t="shared" si="20"/>
      </c>
      <c r="AG70" s="2" t="str">
        <f t="shared" si="21"/>
        <v>银行手续费</v>
      </c>
      <c r="AH70" s="2" t="str">
        <f t="shared" si="22"/>
        <v>支</v>
      </c>
      <c r="AI70" s="2">
        <f t="shared" si="23"/>
      </c>
      <c r="AJ70" s="2">
        <f t="shared" si="24"/>
        <v>0</v>
      </c>
      <c r="AK70" s="2">
        <f t="shared" si="25"/>
        <v>0</v>
      </c>
      <c r="AL70" s="2">
        <f t="shared" si="26"/>
        <v>0</v>
      </c>
      <c r="AM70" s="2">
        <f t="shared" si="27"/>
        <v>0</v>
      </c>
      <c r="AN70" s="2">
        <f t="shared" si="28"/>
        <v>46091</v>
      </c>
      <c r="AO70" s="2">
        <f t="shared" si="29"/>
      </c>
      <c r="AP70" s="2">
        <f t="shared" si="30"/>
      </c>
      <c r="AQ70" s="2">
        <f t="shared" si="31"/>
      </c>
    </row>
    <row r="71">
      <c r="A71" s="43">
        <f t="shared" si="3"/>
        <v>66</v>
      </c>
      <c r="B71" s="44" t="n">
        <v>46091</v>
      </c>
      <c r="C71" s="45" t="inlineStr">
        <is>
          <t>农业银行</t>
        </is>
      </c>
      <c r="D71" s="46" t="inlineStr">
        <is>
          <t>转竣辉九江银行</t>
        </is>
      </c>
      <c r="E71" s="47" t="n"/>
      <c r="F71" s="47" t="n">
        <v>50000</v>
      </c>
      <c r="G71" s="48">
        <f t="shared" si="4"/>
        <v>287541.58</v>
      </c>
      <c r="H71" s="43">
        <f t="shared" si="0"/>
      </c>
      <c r="I71" s="43" t="str">
        <f t="shared" si="5"/>
        <v>账户互转</v>
      </c>
      <c r="J71" s="43">
        <f t="shared" si="1"/>
      </c>
      <c r="K71" s="49" t="str">
        <f t="shared" si="2"/>
        <v>√</v>
      </c>
      <c r="L71" s="45" t="n"/>
      <c r="M71" s="45" t="n"/>
      <c r="N71" s="45" t="n"/>
      <c r="O71" s="45" t="n"/>
      <c r="P71" s="50" t="n"/>
      <c r="R71" s="2">
        <f t="shared" si="6"/>
        <v>-50000</v>
      </c>
      <c r="S71" s="2">
        <f t="shared" si="7"/>
        <v>202603</v>
      </c>
      <c r="T71" s="2">
        <f t="shared" si="8"/>
      </c>
      <c r="U71" s="2" t="str">
        <f t="shared" si="9"/>
        <v>账户互转</v>
      </c>
      <c r="V71" s="2">
        <f t="shared" si="10"/>
      </c>
      <c r="W71" s="2" t="str">
        <f t="shared" si="11"/>
        <v>不进利润</v>
      </c>
      <c r="X71" s="2" t="str">
        <f t="shared" si="12"/>
        <v>账户互转</v>
      </c>
      <c r="Y71" s="2">
        <f t="shared" si="13"/>
        <v>0</v>
      </c>
      <c r="Z71" s="2">
        <f t="shared" si="14"/>
      </c>
      <c r="AA71" s="2">
        <f t="shared" si="15"/>
        <v>0</v>
      </c>
      <c r="AB71" s="2">
        <f t="shared" si="16"/>
      </c>
      <c r="AC71" s="2" t="str">
        <f t="shared" si="17"/>
        <v>九江银行</v>
      </c>
      <c r="AD71" s="2" t="str">
        <f t="shared" si="18"/>
        <v>九江银行</v>
      </c>
      <c r="AE71" s="2" t="str">
        <f t="shared" si="19"/>
        <v>银行</v>
      </c>
      <c r="AF71" s="2" t="str">
        <f t="shared" si="20"/>
        <v>银行</v>
      </c>
      <c r="AG71" s="2" t="str">
        <f t="shared" si="21"/>
        <v>账户互转</v>
      </c>
      <c r="AH71" s="2" t="str">
        <f t="shared" si="22"/>
        <v>支</v>
      </c>
      <c r="AI71" s="2">
        <f t="shared" si="23"/>
      </c>
      <c r="AJ71" s="2">
        <f t="shared" si="24"/>
        <v>0</v>
      </c>
      <c r="AK71" s="2">
        <f t="shared" si="25"/>
        <v>0</v>
      </c>
      <c r="AL71" s="2">
        <f t="shared" si="26"/>
        <v>0</v>
      </c>
      <c r="AM71" s="2">
        <f t="shared" si="27"/>
        <v>0</v>
      </c>
      <c r="AN71" s="2">
        <f t="shared" si="28"/>
        <v>46091</v>
      </c>
      <c r="AO71" s="2">
        <f t="shared" si="29"/>
      </c>
      <c r="AP71" s="2">
        <f t="shared" si="30"/>
      </c>
      <c r="AQ71" s="2">
        <f t="shared" si="31"/>
      </c>
    </row>
    <row r="72">
      <c r="A72" s="43">
        <f t="shared" si="3"/>
        <v>67</v>
      </c>
      <c r="B72" s="44" t="n">
        <v>46091</v>
      </c>
      <c r="C72" s="45" t="inlineStr">
        <is>
          <t>农业银行</t>
        </is>
      </c>
      <c r="D72" s="46" t="inlineStr">
        <is>
          <t>转竣辉九江银行</t>
        </is>
      </c>
      <c r="E72" s="47" t="n"/>
      <c r="F72" s="47" t="n">
        <v>100000</v>
      </c>
      <c r="G72" s="48">
        <f t="shared" si="4"/>
        <v>187541.58</v>
      </c>
      <c r="H72" s="43">
        <f t="shared" si="0"/>
      </c>
      <c r="I72" s="43" t="str">
        <f t="shared" si="5"/>
        <v>账户互转</v>
      </c>
      <c r="J72" s="43">
        <f t="shared" si="1"/>
      </c>
      <c r="K72" s="49" t="str">
        <f t="shared" si="2"/>
        <v>√</v>
      </c>
      <c r="L72" s="45" t="n"/>
      <c r="M72" s="45" t="n"/>
      <c r="N72" s="45" t="n"/>
      <c r="O72" s="45" t="n"/>
      <c r="P72" s="50" t="n"/>
      <c r="R72" s="2">
        <f t="shared" si="6"/>
        <v>-100000</v>
      </c>
      <c r="S72" s="2">
        <f t="shared" si="7"/>
        <v>202603</v>
      </c>
      <c r="T72" s="2">
        <f t="shared" si="8"/>
      </c>
      <c r="U72" s="2" t="str">
        <f t="shared" si="9"/>
        <v>账户互转</v>
      </c>
      <c r="V72" s="2">
        <f t="shared" si="10"/>
      </c>
      <c r="W72" s="2" t="str">
        <f t="shared" si="11"/>
        <v>不进利润</v>
      </c>
      <c r="X72" s="2" t="str">
        <f t="shared" si="12"/>
        <v>账户互转</v>
      </c>
      <c r="Y72" s="2">
        <f t="shared" si="13"/>
        <v>0</v>
      </c>
      <c r="Z72" s="2">
        <f t="shared" si="14"/>
      </c>
      <c r="AA72" s="2">
        <f t="shared" si="15"/>
        <v>0</v>
      </c>
      <c r="AB72" s="2">
        <f t="shared" si="16"/>
      </c>
      <c r="AC72" s="2" t="str">
        <f t="shared" si="17"/>
        <v>九江银行</v>
      </c>
      <c r="AD72" s="2" t="str">
        <f t="shared" si="18"/>
        <v>九江银行</v>
      </c>
      <c r="AE72" s="2" t="str">
        <f t="shared" si="19"/>
        <v>银行</v>
      </c>
      <c r="AF72" s="2" t="str">
        <f t="shared" si="20"/>
        <v>银行</v>
      </c>
      <c r="AG72" s="2" t="str">
        <f t="shared" si="21"/>
        <v>账户互转</v>
      </c>
      <c r="AH72" s="2" t="str">
        <f t="shared" si="22"/>
        <v>支</v>
      </c>
      <c r="AI72" s="2">
        <f t="shared" si="23"/>
      </c>
      <c r="AJ72" s="2">
        <f t="shared" si="24"/>
        <v>0</v>
      </c>
      <c r="AK72" s="2">
        <f t="shared" si="25"/>
        <v>0</v>
      </c>
      <c r="AL72" s="2">
        <f t="shared" si="26"/>
        <v>0</v>
      </c>
      <c r="AM72" s="2">
        <f t="shared" si="27"/>
        <v>0</v>
      </c>
      <c r="AN72" s="2">
        <f t="shared" si="28"/>
        <v>46091</v>
      </c>
      <c r="AO72" s="2">
        <f t="shared" si="29"/>
      </c>
      <c r="AP72" s="2">
        <f t="shared" si="30"/>
      </c>
      <c r="AQ72" s="2">
        <f t="shared" si="31"/>
      </c>
    </row>
    <row r="73">
      <c r="A73" s="43">
        <f t="shared" si="3"/>
        <v>68</v>
      </c>
      <c r="B73" s="44" t="n">
        <v>46092</v>
      </c>
      <c r="C73" s="45" t="inlineStr">
        <is>
          <t>农业银行</t>
        </is>
      </c>
      <c r="D73" s="46" t="inlineStr">
        <is>
          <t>汇款退回</t>
        </is>
      </c>
      <c r="E73" s="47" t="n">
        <v>2992</v>
      </c>
      <c r="F73" s="47" t="n"/>
      <c r="G73" s="48">
        <f t="shared" si="4"/>
        <v>190533.58</v>
      </c>
      <c r="H73" s="43">
        <f t="shared" si="0"/>
      </c>
      <c r="I73" s="43" t="str">
        <f t="shared" si="5"/>
        <v>付应付款</v>
      </c>
      <c r="J73" s="43" t="str">
        <f t="shared" si="1"/>
        <v>杭州行消物资贸易</v>
      </c>
      <c r="K73" s="49" t="str">
        <f t="shared" si="2"/>
        <v>√</v>
      </c>
      <c r="L73" s="45" t="n"/>
      <c r="M73" s="45" t="n"/>
      <c r="N73" s="45" t="inlineStr">
        <is>
          <t>杭州行消物资贸易</t>
        </is>
      </c>
      <c r="O73" s="45" t="n"/>
      <c r="P73" s="50" t="n"/>
      <c r="R73" s="2">
        <f t="shared" si="6"/>
        <v>2992</v>
      </c>
      <c r="S73" s="2">
        <f t="shared" si="7"/>
        <v>202603</v>
      </c>
      <c r="T73" s="2">
        <f t="shared" si="8"/>
      </c>
      <c r="U73" s="2" t="str">
        <f t="shared" si="9"/>
        <v>付应付款</v>
      </c>
      <c r="V73" s="2">
        <f t="shared" si="10"/>
      </c>
      <c r="W73" s="2" t="str">
        <f t="shared" si="11"/>
        <v>不进利润</v>
      </c>
      <c r="X73" s="2" t="str">
        <f t="shared" si="12"/>
        <v>应付材料款</v>
      </c>
      <c r="Y73" s="2">
        <f t="shared" si="13"/>
        <v>1</v>
      </c>
      <c r="Z73" s="2" t="str">
        <f t="shared" si="14"/>
        <v>材料供应商</v>
      </c>
      <c r="AA73" s="2">
        <f t="shared" si="15"/>
        <v>0</v>
      </c>
      <c r="AB73" s="2">
        <f t="shared" si="16"/>
      </c>
      <c r="AC73" s="2">
        <f t="shared" si="17"/>
      </c>
      <c r="AD73" s="2">
        <f t="shared" si="18"/>
      </c>
      <c r="AE73" s="2" t="str">
        <f t="shared" si="19"/>
        <v>银行</v>
      </c>
      <c r="AF73" s="2">
        <f t="shared" si="20"/>
      </c>
      <c r="AG73" s="2" t="str">
        <f t="shared" si="21"/>
        <v>付应付款</v>
      </c>
      <c r="AH73" s="2" t="str">
        <f t="shared" si="22"/>
        <v>支</v>
      </c>
      <c r="AI73" s="2">
        <f t="shared" si="23"/>
      </c>
      <c r="AJ73" s="2">
        <f t="shared" si="24"/>
        <v>0</v>
      </c>
      <c r="AK73" s="2">
        <f t="shared" si="25"/>
        <v>0</v>
      </c>
      <c r="AL73" s="2">
        <f t="shared" si="26"/>
        <v>0</v>
      </c>
      <c r="AM73" s="2">
        <f t="shared" si="27"/>
        <v>0</v>
      </c>
      <c r="AN73" s="2">
        <f t="shared" si="28"/>
        <v>46092</v>
      </c>
      <c r="AO73" s="2">
        <f t="shared" si="29"/>
      </c>
      <c r="AP73" s="2">
        <f t="shared" si="30"/>
      </c>
      <c r="AQ73" s="2">
        <f t="shared" si="31"/>
      </c>
    </row>
    <row r="74">
      <c r="A74" s="43">
        <f t="shared" si="3"/>
        <v>69</v>
      </c>
      <c r="B74" s="44" t="n">
        <v>46092</v>
      </c>
      <c r="C74" s="45" t="inlineStr">
        <is>
          <t>农业银行</t>
        </is>
      </c>
      <c r="D74" s="46" t="inlineStr">
        <is>
          <t>支付拓齐-老叶-德养材料款</t>
        </is>
      </c>
      <c r="E74" s="47" t="n"/>
      <c r="F74" s="47" t="n">
        <v>50000</v>
      </c>
      <c r="G74" s="48">
        <f t="shared" si="4"/>
        <v>140533.58</v>
      </c>
      <c r="H74" s="43" t="str">
        <f t="shared" si="0"/>
        <v>德安养老中心</v>
      </c>
      <c r="I74" s="43" t="str">
        <f t="shared" si="5"/>
        <v>材料费</v>
      </c>
      <c r="J74" s="43" t="str">
        <f t="shared" si="1"/>
        <v>拓齐</v>
      </c>
      <c r="K74" s="49" t="str">
        <f t="shared" si="2"/>
        <v>√</v>
      </c>
      <c r="L74" s="45" t="n"/>
      <c r="M74" s="45" t="n"/>
      <c r="N74" s="45" t="n"/>
      <c r="O74" s="45" t="n"/>
      <c r="P74" s="50" t="n"/>
      <c r="R74" s="2">
        <f t="shared" si="6"/>
        <v>-50000</v>
      </c>
      <c r="S74" s="2">
        <f t="shared" si="7"/>
        <v>202603</v>
      </c>
      <c r="T74" s="2" t="str">
        <f t="shared" si="8"/>
        <v>德安养老中心</v>
      </c>
      <c r="U74" s="2" t="str">
        <f t="shared" si="9"/>
        <v>材料费</v>
      </c>
      <c r="V74" s="2" t="str">
        <f t="shared" si="10"/>
        <v>拓齐</v>
      </c>
      <c r="W74" s="2" t="str">
        <f t="shared" si="11"/>
        <v>项目直接成本</v>
      </c>
      <c r="X74" s="2" t="str">
        <f t="shared" si="12"/>
        <v>材料费</v>
      </c>
      <c r="Y74" s="2">
        <f t="shared" si="13"/>
        <v>0</v>
      </c>
      <c r="Z74" s="2" t="str">
        <f t="shared" si="14"/>
        <v>材料供应商</v>
      </c>
      <c r="AA74" s="2">
        <f t="shared" si="15"/>
        <v>0</v>
      </c>
      <c r="AB74" s="2">
        <f t="shared" si="16"/>
      </c>
      <c r="AC74" s="2">
        <f t="shared" si="17"/>
      </c>
      <c r="AD74" s="2">
        <f t="shared" si="18"/>
      </c>
      <c r="AE74" s="2" t="str">
        <f t="shared" si="19"/>
        <v>银行</v>
      </c>
      <c r="AF74" s="2">
        <f t="shared" si="20"/>
      </c>
      <c r="AG74" s="2" t="str">
        <f t="shared" si="21"/>
        <v>材料费</v>
      </c>
      <c r="AH74" s="2" t="str">
        <f t="shared" si="22"/>
        <v>支</v>
      </c>
      <c r="AI74" s="2" t="str">
        <f t="shared" si="23"/>
        <v>德养</v>
      </c>
      <c r="AJ74" s="2">
        <f t="shared" si="24"/>
        <v>0</v>
      </c>
      <c r="AK74" s="2">
        <f t="shared" si="25"/>
        <v>28</v>
      </c>
      <c r="AL74" s="2">
        <f t="shared" si="26"/>
        <v>95</v>
      </c>
      <c r="AM74" s="2">
        <f t="shared" si="27"/>
        <v>0</v>
      </c>
      <c r="AN74" s="2">
        <f t="shared" si="28"/>
        <v>46092</v>
      </c>
      <c r="AO74" s="2">
        <f t="shared" si="29"/>
      </c>
      <c r="AP74" s="2" t="str">
        <f t="shared" si="30"/>
        <v>拓齐|1</v>
      </c>
      <c r="AQ74" s="2">
        <f t="shared" si="31"/>
      </c>
    </row>
    <row r="75">
      <c r="A75" s="43">
        <f t="shared" si="3"/>
        <v>70</v>
      </c>
      <c r="B75" s="44" t="n">
        <v>46092</v>
      </c>
      <c r="C75" s="45" t="inlineStr">
        <is>
          <t>农业银行</t>
        </is>
      </c>
      <c r="D75" s="46" t="inlineStr">
        <is>
          <t>扣手续费</t>
        </is>
      </c>
      <c r="E75" s="47" t="n"/>
      <c r="F75" s="47" t="n">
        <v>9</v>
      </c>
      <c r="G75" s="48">
        <f t="shared" si="4"/>
        <v>140524.58</v>
      </c>
      <c r="H75" s="43">
        <f t="shared" si="0"/>
      </c>
      <c r="I75" s="43" t="str">
        <f t="shared" si="5"/>
        <v>银行手续费</v>
      </c>
      <c r="J75" s="43">
        <f t="shared" si="1"/>
      </c>
      <c r="K75" s="49" t="str">
        <f t="shared" si="2"/>
        <v>√</v>
      </c>
      <c r="L75" s="45" t="n"/>
      <c r="M75" s="45" t="n"/>
      <c r="N75" s="45" t="n"/>
      <c r="O75" s="45" t="n"/>
      <c r="P75" s="50" t="n"/>
      <c r="R75" s="2">
        <f t="shared" si="6"/>
        <v>-9</v>
      </c>
      <c r="S75" s="2">
        <f t="shared" si="7"/>
        <v>202603</v>
      </c>
      <c r="T75" s="2">
        <f t="shared" si="8"/>
      </c>
      <c r="U75" s="2" t="str">
        <f t="shared" si="9"/>
        <v>银行手续费</v>
      </c>
      <c r="V75" s="2">
        <f t="shared" si="10"/>
      </c>
      <c r="W75" s="2" t="str">
        <f t="shared" si="11"/>
        <v>公司不分摊</v>
      </c>
      <c r="X75" s="2" t="str">
        <f t="shared" si="12"/>
        <v>手续费</v>
      </c>
      <c r="Y75" s="2">
        <f t="shared" si="13"/>
        <v>0</v>
      </c>
      <c r="Z75" s="2">
        <f t="shared" si="14"/>
      </c>
      <c r="AA75" s="2">
        <f t="shared" si="15"/>
        <v>0</v>
      </c>
      <c r="AB75" s="2">
        <f t="shared" si="16"/>
      </c>
      <c r="AC75" s="2">
        <f t="shared" si="17"/>
      </c>
      <c r="AD75" s="2">
        <f t="shared" si="18"/>
      </c>
      <c r="AE75" s="2" t="str">
        <f t="shared" si="19"/>
        <v>银行</v>
      </c>
      <c r="AF75" s="2">
        <f t="shared" si="20"/>
      </c>
      <c r="AG75" s="2" t="str">
        <f t="shared" si="21"/>
        <v>银行手续费</v>
      </c>
      <c r="AH75" s="2" t="str">
        <f t="shared" si="22"/>
        <v>支</v>
      </c>
      <c r="AI75" s="2">
        <f t="shared" si="23"/>
      </c>
      <c r="AJ75" s="2">
        <f t="shared" si="24"/>
        <v>0</v>
      </c>
      <c r="AK75" s="2">
        <f t="shared" si="25"/>
        <v>0</v>
      </c>
      <c r="AL75" s="2">
        <f t="shared" si="26"/>
        <v>0</v>
      </c>
      <c r="AM75" s="2">
        <f t="shared" si="27"/>
        <v>0</v>
      </c>
      <c r="AN75" s="2">
        <f t="shared" si="28"/>
        <v>46092</v>
      </c>
      <c r="AO75" s="2">
        <f t="shared" si="29"/>
      </c>
      <c r="AP75" s="2">
        <f t="shared" si="30"/>
      </c>
      <c r="AQ75" s="2">
        <f t="shared" si="31"/>
      </c>
    </row>
    <row r="76">
      <c r="A76" s="43">
        <f t="shared" si="3"/>
        <v>71</v>
      </c>
      <c r="B76" s="44" t="n">
        <v>46093</v>
      </c>
      <c r="C76" s="45" t="inlineStr">
        <is>
          <t>农业银行</t>
        </is>
      </c>
      <c r="D76" s="46" t="inlineStr">
        <is>
          <t>转九江银行</t>
        </is>
      </c>
      <c r="E76" s="47" t="n"/>
      <c r="F76" s="47" t="n">
        <v>30000</v>
      </c>
      <c r="G76" s="48">
        <f t="shared" si="4"/>
        <v>110524.58</v>
      </c>
      <c r="H76" s="43">
        <f t="shared" si="0"/>
      </c>
      <c r="I76" s="43" t="str">
        <f t="shared" si="5"/>
        <v>账户互转</v>
      </c>
      <c r="J76" s="43">
        <f t="shared" si="1"/>
      </c>
      <c r="K76" s="49" t="str">
        <f t="shared" si="2"/>
        <v>√</v>
      </c>
      <c r="L76" s="45" t="n"/>
      <c r="M76" s="45" t="n"/>
      <c r="N76" s="45" t="n"/>
      <c r="O76" s="45" t="n"/>
      <c r="P76" s="50" t="n"/>
      <c r="R76" s="2">
        <f t="shared" si="6"/>
        <v>-30000</v>
      </c>
      <c r="S76" s="2">
        <f t="shared" si="7"/>
        <v>202603</v>
      </c>
      <c r="T76" s="2">
        <f t="shared" si="8"/>
      </c>
      <c r="U76" s="2" t="str">
        <f t="shared" si="9"/>
        <v>账户互转</v>
      </c>
      <c r="V76" s="2">
        <f t="shared" si="10"/>
      </c>
      <c r="W76" s="2" t="str">
        <f t="shared" si="11"/>
        <v>不进利润</v>
      </c>
      <c r="X76" s="2" t="str">
        <f t="shared" si="12"/>
        <v>账户互转</v>
      </c>
      <c r="Y76" s="2">
        <f t="shared" si="13"/>
        <v>0</v>
      </c>
      <c r="Z76" s="2">
        <f t="shared" si="14"/>
      </c>
      <c r="AA76" s="2">
        <f t="shared" si="15"/>
        <v>0</v>
      </c>
      <c r="AB76" s="2">
        <f t="shared" si="16"/>
      </c>
      <c r="AC76" s="2" t="str">
        <f t="shared" si="17"/>
        <v>九江银行</v>
      </c>
      <c r="AD76" s="2" t="str">
        <f t="shared" si="18"/>
        <v>九江银行</v>
      </c>
      <c r="AE76" s="2" t="str">
        <f t="shared" si="19"/>
        <v>银行</v>
      </c>
      <c r="AF76" s="2" t="str">
        <f t="shared" si="20"/>
        <v>银行</v>
      </c>
      <c r="AG76" s="2" t="str">
        <f t="shared" si="21"/>
        <v>账户互转</v>
      </c>
      <c r="AH76" s="2" t="str">
        <f t="shared" si="22"/>
        <v>支</v>
      </c>
      <c r="AI76" s="2">
        <f t="shared" si="23"/>
      </c>
      <c r="AJ76" s="2">
        <f t="shared" si="24"/>
        <v>0</v>
      </c>
      <c r="AK76" s="2">
        <f t="shared" si="25"/>
        <v>0</v>
      </c>
      <c r="AL76" s="2">
        <f t="shared" si="26"/>
        <v>0</v>
      </c>
      <c r="AM76" s="2">
        <f t="shared" si="27"/>
        <v>0</v>
      </c>
      <c r="AN76" s="2">
        <f t="shared" si="28"/>
        <v>46093</v>
      </c>
      <c r="AO76" s="2">
        <f t="shared" si="29"/>
      </c>
      <c r="AP76" s="2">
        <f t="shared" si="30"/>
      </c>
      <c r="AQ76" s="2">
        <f t="shared" si="31"/>
      </c>
    </row>
    <row r="77">
      <c r="A77" s="43">
        <f t="shared" si="3"/>
        <v>72</v>
      </c>
      <c r="B77" s="44" t="n">
        <v>46095</v>
      </c>
      <c r="C77" s="45" t="inlineStr">
        <is>
          <t>农业银行</t>
        </is>
      </c>
      <c r="D77" s="46" t="inlineStr">
        <is>
          <t>支付华翔桥架-德养材料款</t>
        </is>
      </c>
      <c r="E77" s="47" t="n"/>
      <c r="F77" s="47" t="n">
        <v>3216</v>
      </c>
      <c r="G77" s="48">
        <f t="shared" si="4"/>
        <v>107308.58</v>
      </c>
      <c r="H77" s="43" t="str">
        <f t="shared" si="0"/>
        <v>德安养老中心</v>
      </c>
      <c r="I77" s="43" t="str">
        <f t="shared" si="5"/>
        <v>材料费</v>
      </c>
      <c r="J77" s="43" t="str">
        <f t="shared" si="1"/>
        <v>华翔桥架</v>
      </c>
      <c r="K77" s="49" t="str">
        <f t="shared" si="2"/>
        <v>√</v>
      </c>
      <c r="L77" s="45" t="n"/>
      <c r="M77" s="45" t="n"/>
      <c r="N77" s="45" t="n"/>
      <c r="O77" s="45" t="n"/>
      <c r="P77" s="50" t="n"/>
      <c r="R77" s="2">
        <f t="shared" si="6"/>
        <v>-3216</v>
      </c>
      <c r="S77" s="2">
        <f t="shared" si="7"/>
        <v>202603</v>
      </c>
      <c r="T77" s="2" t="str">
        <f t="shared" si="8"/>
        <v>德安养老中心</v>
      </c>
      <c r="U77" s="2" t="str">
        <f t="shared" si="9"/>
        <v>材料费</v>
      </c>
      <c r="V77" s="2" t="str">
        <f t="shared" si="10"/>
        <v>华翔桥架</v>
      </c>
      <c r="W77" s="2" t="str">
        <f t="shared" si="11"/>
        <v>项目直接成本</v>
      </c>
      <c r="X77" s="2" t="str">
        <f t="shared" si="12"/>
        <v>材料费</v>
      </c>
      <c r="Y77" s="2">
        <f t="shared" si="13"/>
        <v>0</v>
      </c>
      <c r="Z77" s="2" t="str">
        <f t="shared" si="14"/>
        <v>材料供应商</v>
      </c>
      <c r="AA77" s="2">
        <f t="shared" si="15"/>
        <v>0</v>
      </c>
      <c r="AB77" s="2">
        <f t="shared" si="16"/>
      </c>
      <c r="AC77" s="2">
        <f t="shared" si="17"/>
      </c>
      <c r="AD77" s="2">
        <f t="shared" si="18"/>
      </c>
      <c r="AE77" s="2" t="str">
        <f t="shared" si="19"/>
        <v>银行</v>
      </c>
      <c r="AF77" s="2">
        <f t="shared" si="20"/>
      </c>
      <c r="AG77" s="2" t="str">
        <f t="shared" si="21"/>
        <v>材料费</v>
      </c>
      <c r="AH77" s="2" t="str">
        <f t="shared" si="22"/>
        <v>支</v>
      </c>
      <c r="AI77" s="2" t="str">
        <f t="shared" si="23"/>
        <v>德养</v>
      </c>
      <c r="AJ77" s="2">
        <f t="shared" si="24"/>
        <v>0</v>
      </c>
      <c r="AK77" s="2">
        <f t="shared" si="25"/>
        <v>28</v>
      </c>
      <c r="AL77" s="2">
        <f t="shared" si="26"/>
        <v>35</v>
      </c>
      <c r="AM77" s="2">
        <f t="shared" si="27"/>
        <v>0</v>
      </c>
      <c r="AN77" s="2">
        <f t="shared" si="28"/>
        <v>46095</v>
      </c>
      <c r="AO77" s="2">
        <f t="shared" si="29"/>
      </c>
      <c r="AP77" s="2" t="str">
        <f t="shared" si="30"/>
        <v>华翔桥架|1</v>
      </c>
      <c r="AQ77" s="2">
        <f t="shared" si="31"/>
      </c>
    </row>
    <row r="78">
      <c r="A78" s="43">
        <f t="shared" si="3"/>
        <v>73</v>
      </c>
      <c r="B78" s="44" t="n">
        <v>46100</v>
      </c>
      <c r="C78" s="45" t="inlineStr">
        <is>
          <t>农业银行</t>
        </is>
      </c>
      <c r="D78" s="46" t="inlineStr">
        <is>
          <t>转九江银行</t>
        </is>
      </c>
      <c r="E78" s="47" t="n"/>
      <c r="F78" s="47" t="n">
        <v>100000</v>
      </c>
      <c r="G78" s="48">
        <f t="shared" si="4"/>
        <v>7308.58</v>
      </c>
      <c r="H78" s="43">
        <f t="shared" si="0"/>
      </c>
      <c r="I78" s="43" t="str">
        <f t="shared" si="5"/>
        <v>账户互转</v>
      </c>
      <c r="J78" s="43">
        <f t="shared" si="1"/>
      </c>
      <c r="K78" s="49" t="str">
        <f t="shared" si="2"/>
        <v>√</v>
      </c>
      <c r="L78" s="45" t="n"/>
      <c r="M78" s="45" t="n"/>
      <c r="N78" s="45" t="n"/>
      <c r="O78" s="45" t="n"/>
      <c r="P78" s="50" t="n"/>
      <c r="R78" s="2">
        <f t="shared" si="6"/>
        <v>-100000</v>
      </c>
      <c r="S78" s="2">
        <f t="shared" si="7"/>
        <v>202603</v>
      </c>
      <c r="T78" s="2">
        <f t="shared" si="8"/>
      </c>
      <c r="U78" s="2" t="str">
        <f t="shared" si="9"/>
        <v>账户互转</v>
      </c>
      <c r="V78" s="2">
        <f t="shared" si="10"/>
      </c>
      <c r="W78" s="2" t="str">
        <f t="shared" si="11"/>
        <v>不进利润</v>
      </c>
      <c r="X78" s="2" t="str">
        <f t="shared" si="12"/>
        <v>账户互转</v>
      </c>
      <c r="Y78" s="2">
        <f t="shared" si="13"/>
        <v>0</v>
      </c>
      <c r="Z78" s="2">
        <f t="shared" si="14"/>
      </c>
      <c r="AA78" s="2">
        <f t="shared" si="15"/>
        <v>0</v>
      </c>
      <c r="AB78" s="2">
        <f t="shared" si="16"/>
      </c>
      <c r="AC78" s="2" t="str">
        <f t="shared" si="17"/>
        <v>九江银行</v>
      </c>
      <c r="AD78" s="2" t="str">
        <f t="shared" si="18"/>
        <v>九江银行</v>
      </c>
      <c r="AE78" s="2" t="str">
        <f t="shared" si="19"/>
        <v>银行</v>
      </c>
      <c r="AF78" s="2" t="str">
        <f t="shared" si="20"/>
        <v>银行</v>
      </c>
      <c r="AG78" s="2" t="str">
        <f t="shared" si="21"/>
        <v>账户互转</v>
      </c>
      <c r="AH78" s="2" t="str">
        <f t="shared" si="22"/>
        <v>支</v>
      </c>
      <c r="AI78" s="2">
        <f t="shared" si="23"/>
      </c>
      <c r="AJ78" s="2">
        <f t="shared" si="24"/>
        <v>0</v>
      </c>
      <c r="AK78" s="2">
        <f t="shared" si="25"/>
        <v>0</v>
      </c>
      <c r="AL78" s="2">
        <f t="shared" si="26"/>
        <v>0</v>
      </c>
      <c r="AM78" s="2">
        <f t="shared" si="27"/>
        <v>0</v>
      </c>
      <c r="AN78" s="2">
        <f t="shared" si="28"/>
        <v>46100</v>
      </c>
      <c r="AO78" s="2">
        <f t="shared" si="29"/>
      </c>
      <c r="AP78" s="2">
        <f t="shared" si="30"/>
      </c>
      <c r="AQ78" s="2">
        <f t="shared" si="31"/>
      </c>
    </row>
    <row r="79">
      <c r="A79" s="43">
        <f t="shared" si="3"/>
        <v>74</v>
      </c>
      <c r="B79" s="44" t="n">
        <v>46100</v>
      </c>
      <c r="C79" s="45" t="inlineStr">
        <is>
          <t>农业银行</t>
        </is>
      </c>
      <c r="D79" s="46" t="inlineStr">
        <is>
          <t>支付张滨报销款</t>
        </is>
      </c>
      <c r="E79" s="47" t="n"/>
      <c r="F79" s="47" t="n">
        <v>5000</v>
      </c>
      <c r="G79" s="48">
        <f t="shared" si="4"/>
        <v>2308.58</v>
      </c>
      <c r="H79" s="43">
        <f t="shared" si="0"/>
      </c>
      <c r="I79" s="43" t="str">
        <f t="shared" si="5"/>
        <v>账户互转</v>
      </c>
      <c r="J79" s="43" t="str">
        <f t="shared" si="1"/>
        <v>张滨</v>
      </c>
      <c r="K79" s="49" t="str">
        <f t="shared" si="2"/>
        <v>√</v>
      </c>
      <c r="L79" s="45" t="n"/>
      <c r="M79" s="45" t="n"/>
      <c r="N79" s="45" t="n"/>
      <c r="O79" s="45" t="n"/>
      <c r="P79" s="50" t="n"/>
      <c r="R79" s="2">
        <f t="shared" si="6"/>
        <v>-5000</v>
      </c>
      <c r="S79" s="2">
        <f t="shared" si="7"/>
        <v>202603</v>
      </c>
      <c r="T79" s="2">
        <f t="shared" si="8"/>
      </c>
      <c r="U79" s="2" t="str">
        <f t="shared" si="9"/>
        <v>账户互转</v>
      </c>
      <c r="V79" s="2" t="str">
        <f t="shared" si="10"/>
        <v>张滨</v>
      </c>
      <c r="W79" s="2" t="str">
        <f t="shared" si="11"/>
        <v>不进利润</v>
      </c>
      <c r="X79" s="2" t="str">
        <f t="shared" si="12"/>
        <v>账户互转</v>
      </c>
      <c r="Y79" s="2">
        <f t="shared" si="13"/>
        <v>0</v>
      </c>
      <c r="Z79" s="2" t="str">
        <f t="shared" si="14"/>
        <v>管理人员</v>
      </c>
      <c r="AA79" s="2">
        <f t="shared" si="15"/>
        <v>1</v>
      </c>
      <c r="AB79" s="2">
        <f t="shared" si="16"/>
      </c>
      <c r="AC79" s="2" t="str">
        <f t="shared" si="17"/>
        <v>张滨个人户</v>
      </c>
      <c r="AD79" s="2" t="str">
        <f t="shared" si="18"/>
        <v>张滨个人户</v>
      </c>
      <c r="AE79" s="2" t="str">
        <f t="shared" si="19"/>
        <v>银行</v>
      </c>
      <c r="AF79" s="2" t="str">
        <f t="shared" si="20"/>
        <v>个人户</v>
      </c>
      <c r="AG79" s="2" t="str">
        <f t="shared" si="21"/>
        <v>账户互转</v>
      </c>
      <c r="AH79" s="2" t="str">
        <f t="shared" si="22"/>
        <v>支</v>
      </c>
      <c r="AI79" s="2">
        <f t="shared" si="23"/>
      </c>
      <c r="AJ79" s="2">
        <f t="shared" si="24"/>
        <v>0</v>
      </c>
      <c r="AK79" s="2">
        <f t="shared" si="25"/>
        <v>0</v>
      </c>
      <c r="AL79" s="2">
        <f t="shared" si="26"/>
        <v>110</v>
      </c>
      <c r="AM79" s="2">
        <f t="shared" si="27"/>
        <v>0</v>
      </c>
      <c r="AN79" s="2">
        <f t="shared" si="28"/>
        <v>46100</v>
      </c>
      <c r="AO79" s="2">
        <f t="shared" si="29"/>
      </c>
      <c r="AP79" s="2" t="str">
        <f t="shared" si="30"/>
        <v>张滨|1</v>
      </c>
      <c r="AQ79" s="2">
        <f t="shared" si="31"/>
      </c>
    </row>
    <row r="80">
      <c r="A80" s="43">
        <f t="shared" si="3"/>
        <v>75</v>
      </c>
      <c r="B80" s="44" t="n">
        <v>46100</v>
      </c>
      <c r="C80" s="45" t="inlineStr">
        <is>
          <t>农业银行</t>
        </is>
      </c>
      <c r="D80" s="46" t="inlineStr">
        <is>
          <t>扣手续费</t>
        </is>
      </c>
      <c r="E80" s="47" t="n"/>
      <c r="F80" s="47" t="n">
        <v>4.5</v>
      </c>
      <c r="G80" s="48">
        <f t="shared" si="4"/>
        <v>2304.08</v>
      </c>
      <c r="H80" s="43">
        <f t="shared" si="0"/>
      </c>
      <c r="I80" s="43" t="str">
        <f t="shared" si="5"/>
        <v>银行手续费</v>
      </c>
      <c r="J80" s="43">
        <f t="shared" si="1"/>
      </c>
      <c r="K80" s="49" t="str">
        <f t="shared" si="2"/>
        <v>√</v>
      </c>
      <c r="L80" s="45" t="n"/>
      <c r="M80" s="45" t="n"/>
      <c r="N80" s="45" t="n"/>
      <c r="O80" s="45" t="n"/>
      <c r="P80" s="50" t="n"/>
      <c r="R80" s="2">
        <f t="shared" si="6"/>
        <v>-4.5</v>
      </c>
      <c r="S80" s="2">
        <f t="shared" si="7"/>
        <v>202603</v>
      </c>
      <c r="T80" s="2">
        <f t="shared" si="8"/>
      </c>
      <c r="U80" s="2" t="str">
        <f t="shared" si="9"/>
        <v>银行手续费</v>
      </c>
      <c r="V80" s="2">
        <f t="shared" si="10"/>
      </c>
      <c r="W80" s="2" t="str">
        <f t="shared" si="11"/>
        <v>公司不分摊</v>
      </c>
      <c r="X80" s="2" t="str">
        <f t="shared" si="12"/>
        <v>手续费</v>
      </c>
      <c r="Y80" s="2">
        <f t="shared" si="13"/>
        <v>0</v>
      </c>
      <c r="Z80" s="2">
        <f t="shared" si="14"/>
      </c>
      <c r="AA80" s="2">
        <f t="shared" si="15"/>
        <v>0</v>
      </c>
      <c r="AB80" s="2">
        <f t="shared" si="16"/>
      </c>
      <c r="AC80" s="2">
        <f t="shared" si="17"/>
      </c>
      <c r="AD80" s="2">
        <f t="shared" si="18"/>
      </c>
      <c r="AE80" s="2" t="str">
        <f t="shared" si="19"/>
        <v>银行</v>
      </c>
      <c r="AF80" s="2">
        <f t="shared" si="20"/>
      </c>
      <c r="AG80" s="2" t="str">
        <f t="shared" si="21"/>
        <v>银行手续费</v>
      </c>
      <c r="AH80" s="2" t="str">
        <f t="shared" si="22"/>
        <v>支</v>
      </c>
      <c r="AI80" s="2">
        <f t="shared" si="23"/>
      </c>
      <c r="AJ80" s="2">
        <f t="shared" si="24"/>
        <v>0</v>
      </c>
      <c r="AK80" s="2">
        <f t="shared" si="25"/>
        <v>0</v>
      </c>
      <c r="AL80" s="2">
        <f t="shared" si="26"/>
        <v>0</v>
      </c>
      <c r="AM80" s="2">
        <f t="shared" si="27"/>
        <v>0</v>
      </c>
      <c r="AN80" s="2">
        <f t="shared" si="28"/>
        <v>46100</v>
      </c>
      <c r="AO80" s="2">
        <f t="shared" si="29"/>
      </c>
      <c r="AP80" s="2">
        <f t="shared" si="30"/>
      </c>
      <c r="AQ80" s="2">
        <f t="shared" si="31"/>
      </c>
    </row>
    <row r="81">
      <c r="A81" s="43">
        <f t="shared" si="3"/>
        <v>76</v>
      </c>
      <c r="B81" s="44" t="n">
        <v>46102</v>
      </c>
      <c r="C81" s="45" t="inlineStr">
        <is>
          <t>农业银行</t>
        </is>
      </c>
      <c r="D81" s="46" t="inlineStr">
        <is>
          <t>利息收入</t>
        </is>
      </c>
      <c r="E81" s="47" t="n">
        <v>1.53</v>
      </c>
      <c r="F81" s="47" t="n"/>
      <c r="G81" s="48">
        <f t="shared" si="4"/>
        <v>2305.61</v>
      </c>
      <c r="H81" s="43">
        <f t="shared" si="0"/>
      </c>
      <c r="I81" s="43" t="str">
        <f t="shared" si="5"/>
        <v>利息收入</v>
      </c>
      <c r="J81" s="43">
        <f t="shared" si="1"/>
      </c>
      <c r="K81" s="49" t="str">
        <f t="shared" si="2"/>
        <v>√</v>
      </c>
      <c r="L81" s="45" t="n"/>
      <c r="M81" s="45" t="n"/>
      <c r="N81" s="45" t="n"/>
      <c r="O81" s="45" t="n"/>
      <c r="P81" s="50" t="n"/>
      <c r="R81" s="2">
        <f t="shared" si="6"/>
        <v>1.53</v>
      </c>
      <c r="S81" s="2">
        <f t="shared" si="7"/>
        <v>202603</v>
      </c>
      <c r="T81" s="2">
        <f t="shared" si="8"/>
      </c>
      <c r="U81" s="2" t="str">
        <f t="shared" si="9"/>
        <v>利息收入</v>
      </c>
      <c r="V81" s="2">
        <f t="shared" si="10"/>
      </c>
      <c r="W81" s="2" t="str">
        <f t="shared" si="11"/>
        <v>公司不分摊</v>
      </c>
      <c r="X81" s="2" t="str">
        <f t="shared" si="12"/>
        <v>利息收入</v>
      </c>
      <c r="Y81" s="2">
        <f t="shared" si="13"/>
        <v>0</v>
      </c>
      <c r="Z81" s="2">
        <f t="shared" si="14"/>
      </c>
      <c r="AA81" s="2">
        <f t="shared" si="15"/>
        <v>0</v>
      </c>
      <c r="AB81" s="2">
        <f t="shared" si="16"/>
      </c>
      <c r="AC81" s="2">
        <f t="shared" si="17"/>
      </c>
      <c r="AD81" s="2">
        <f t="shared" si="18"/>
      </c>
      <c r="AE81" s="2" t="str">
        <f t="shared" si="19"/>
        <v>银行</v>
      </c>
      <c r="AF81" s="2">
        <f t="shared" si="20"/>
      </c>
      <c r="AG81" s="2" t="str">
        <f t="shared" si="21"/>
        <v>利息收入</v>
      </c>
      <c r="AH81" s="2" t="str">
        <f t="shared" si="22"/>
        <v>收</v>
      </c>
      <c r="AI81" s="2">
        <f t="shared" si="23"/>
      </c>
      <c r="AJ81" s="2">
        <f t="shared" si="24"/>
        <v>0</v>
      </c>
      <c r="AK81" s="2">
        <f t="shared" si="25"/>
        <v>0</v>
      </c>
      <c r="AL81" s="2">
        <f t="shared" si="26"/>
        <v>0</v>
      </c>
      <c r="AM81" s="2">
        <f t="shared" si="27"/>
        <v>0</v>
      </c>
      <c r="AN81" s="2">
        <f t="shared" si="28"/>
        <v>46102</v>
      </c>
      <c r="AO81" s="2">
        <f t="shared" si="29"/>
      </c>
      <c r="AP81" s="2">
        <f t="shared" si="30"/>
      </c>
      <c r="AQ81" s="2">
        <f t="shared" si="31"/>
      </c>
    </row>
    <row r="82">
      <c r="A82" s="43">
        <f t="shared" si="3"/>
        <v>77</v>
      </c>
      <c r="B82" s="44" t="n">
        <v>46105</v>
      </c>
      <c r="C82" s="45" t="inlineStr">
        <is>
          <t>农业银行</t>
        </is>
      </c>
      <c r="D82" s="46" t="inlineStr">
        <is>
          <t>欠费补缴</t>
        </is>
      </c>
      <c r="E82" s="47" t="n"/>
      <c r="F82" s="47" t="n">
        <v>22.8</v>
      </c>
      <c r="G82" s="48">
        <f t="shared" si="4"/>
        <v>2282.81</v>
      </c>
      <c r="H82" s="43">
        <f t="shared" si="0"/>
      </c>
      <c r="I82" s="43" t="str">
        <f t="shared" si="5"/>
        <v>银行手续费</v>
      </c>
      <c r="J82" s="43">
        <f t="shared" si="1"/>
      </c>
      <c r="K82" s="49" t="str">
        <f t="shared" si="2"/>
        <v>√</v>
      </c>
      <c r="L82" s="45" t="n"/>
      <c r="M82" s="45" t="n"/>
      <c r="N82" s="45" t="n"/>
      <c r="O82" s="45" t="n"/>
      <c r="P82" s="50" t="n"/>
      <c r="R82" s="2">
        <f t="shared" si="6"/>
        <v>-22.8</v>
      </c>
      <c r="S82" s="2">
        <f t="shared" si="7"/>
        <v>202603</v>
      </c>
      <c r="T82" s="2">
        <f t="shared" si="8"/>
      </c>
      <c r="U82" s="2" t="str">
        <f t="shared" si="9"/>
        <v>银行手续费</v>
      </c>
      <c r="V82" s="2">
        <f t="shared" si="10"/>
      </c>
      <c r="W82" s="2" t="str">
        <f t="shared" si="11"/>
        <v>公司不分摊</v>
      </c>
      <c r="X82" s="2" t="str">
        <f t="shared" si="12"/>
        <v>手续费</v>
      </c>
      <c r="Y82" s="2">
        <f t="shared" si="13"/>
        <v>0</v>
      </c>
      <c r="Z82" s="2">
        <f t="shared" si="14"/>
      </c>
      <c r="AA82" s="2">
        <f t="shared" si="15"/>
        <v>0</v>
      </c>
      <c r="AB82" s="2">
        <f t="shared" si="16"/>
      </c>
      <c r="AC82" s="2">
        <f t="shared" si="17"/>
      </c>
      <c r="AD82" s="2">
        <f t="shared" si="18"/>
      </c>
      <c r="AE82" s="2" t="str">
        <f t="shared" si="19"/>
        <v>银行</v>
      </c>
      <c r="AF82" s="2">
        <f t="shared" si="20"/>
      </c>
      <c r="AG82" s="2" t="str">
        <f t="shared" si="21"/>
        <v>银行手续费</v>
      </c>
      <c r="AH82" s="2" t="str">
        <f t="shared" si="22"/>
        <v>支</v>
      </c>
      <c r="AI82" s="2">
        <f t="shared" si="23"/>
      </c>
      <c r="AJ82" s="2">
        <f t="shared" si="24"/>
        <v>0</v>
      </c>
      <c r="AK82" s="2">
        <f t="shared" si="25"/>
        <v>0</v>
      </c>
      <c r="AL82" s="2">
        <f t="shared" si="26"/>
        <v>0</v>
      </c>
      <c r="AM82" s="2">
        <f t="shared" si="27"/>
        <v>0</v>
      </c>
      <c r="AN82" s="2">
        <f t="shared" si="28"/>
        <v>46105</v>
      </c>
      <c r="AO82" s="2">
        <f t="shared" si="29"/>
      </c>
      <c r="AP82" s="2">
        <f t="shared" si="30"/>
      </c>
      <c r="AQ82" s="2">
        <f t="shared" si="31"/>
      </c>
    </row>
    <row r="83">
      <c r="A83" s="43">
        <f t="shared" si="3"/>
        <v>78</v>
      </c>
      <c r="B83" s="44" t="n">
        <v>46133</v>
      </c>
      <c r="C83" s="45" t="inlineStr">
        <is>
          <t>农业银行</t>
        </is>
      </c>
      <c r="D83" s="46" t="inlineStr">
        <is>
          <t>支付贷款利息</t>
        </is>
      </c>
      <c r="E83" s="47" t="n"/>
      <c r="F83" s="47" t="n">
        <v>1474.08</v>
      </c>
      <c r="G83" s="48">
        <f t="shared" si="4"/>
        <v>808.73</v>
      </c>
      <c r="H83" s="43">
        <f t="shared" si="0"/>
      </c>
      <c r="I83" s="43" t="str">
        <f t="shared" si="5"/>
        <v>利息支出</v>
      </c>
      <c r="J83" s="43">
        <f t="shared" si="1"/>
      </c>
      <c r="K83" s="49" t="str">
        <f t="shared" si="2"/>
        <v>√</v>
      </c>
      <c r="L83" s="45" t="n"/>
      <c r="M83" s="45" t="n"/>
      <c r="N83" s="45" t="n"/>
      <c r="O83" s="45" t="n"/>
      <c r="P83" s="50" t="n"/>
      <c r="R83" s="2">
        <f t="shared" si="6"/>
        <v>-1474.08</v>
      </c>
      <c r="S83" s="2">
        <f t="shared" si="7"/>
        <v>202604</v>
      </c>
      <c r="T83" s="2">
        <f t="shared" si="8"/>
      </c>
      <c r="U83" s="2" t="str">
        <f t="shared" si="9"/>
        <v>利息支出</v>
      </c>
      <c r="V83" s="2">
        <f t="shared" si="10"/>
      </c>
      <c r="W83" s="2" t="str">
        <f t="shared" si="11"/>
        <v>公司不分摊</v>
      </c>
      <c r="X83" s="2" t="str">
        <f t="shared" si="12"/>
        <v>利息支出</v>
      </c>
      <c r="Y83" s="2">
        <f t="shared" si="13"/>
        <v>0</v>
      </c>
      <c r="Z83" s="2">
        <f t="shared" si="14"/>
      </c>
      <c r="AA83" s="2">
        <f t="shared" si="15"/>
        <v>0</v>
      </c>
      <c r="AB83" s="2">
        <f t="shared" si="16"/>
      </c>
      <c r="AC83" s="2">
        <f t="shared" si="17"/>
      </c>
      <c r="AD83" s="2">
        <f t="shared" si="18"/>
      </c>
      <c r="AE83" s="2" t="str">
        <f t="shared" si="19"/>
        <v>银行</v>
      </c>
      <c r="AF83" s="2">
        <f t="shared" si="20"/>
      </c>
      <c r="AG83" s="2" t="str">
        <f t="shared" si="21"/>
        <v>利息支出</v>
      </c>
      <c r="AH83" s="2" t="str">
        <f t="shared" si="22"/>
        <v>支</v>
      </c>
      <c r="AI83" s="2">
        <f t="shared" si="23"/>
      </c>
      <c r="AJ83" s="2">
        <f t="shared" si="24"/>
        <v>0</v>
      </c>
      <c r="AK83" s="2">
        <f t="shared" si="25"/>
        <v>0</v>
      </c>
      <c r="AL83" s="2">
        <f t="shared" si="26"/>
        <v>0</v>
      </c>
      <c r="AM83" s="2">
        <f t="shared" si="27"/>
        <v>0</v>
      </c>
      <c r="AN83" s="2">
        <f t="shared" si="28"/>
        <v>46133</v>
      </c>
      <c r="AO83" s="2">
        <f t="shared" si="29"/>
      </c>
      <c r="AP83" s="2">
        <f t="shared" si="30"/>
      </c>
      <c r="AQ83" s="2">
        <f t="shared" si="31"/>
      </c>
    </row>
    <row r="84">
      <c r="A84" s="43">
        <f t="shared" si="3"/>
        <v>79</v>
      </c>
      <c r="B84" s="44" t="n">
        <v>46136</v>
      </c>
      <c r="C84" s="45" t="inlineStr">
        <is>
          <t>农业银行</t>
        </is>
      </c>
      <c r="D84" s="46" t="inlineStr">
        <is>
          <t>扣企业网银年服务费</t>
        </is>
      </c>
      <c r="E84" s="47" t="n"/>
      <c r="F84" s="47" t="n">
        <v>150</v>
      </c>
      <c r="G84" s="48">
        <f t="shared" si="4"/>
        <v>658.73</v>
      </c>
      <c r="H84" s="43">
        <f t="shared" si="0"/>
      </c>
      <c r="I84" s="43" t="str">
        <f t="shared" si="5"/>
        <v>银行手续费</v>
      </c>
      <c r="J84" s="43">
        <f t="shared" si="1"/>
      </c>
      <c r="K84" s="49" t="str">
        <f t="shared" si="2"/>
        <v>√</v>
      </c>
      <c r="L84" s="45" t="n"/>
      <c r="M84" s="45" t="n"/>
      <c r="N84" s="45" t="n"/>
      <c r="O84" s="45" t="n"/>
      <c r="P84" s="50" t="n"/>
      <c r="R84" s="2">
        <f t="shared" si="6"/>
        <v>-150</v>
      </c>
      <c r="S84" s="2">
        <f t="shared" si="7"/>
        <v>202604</v>
      </c>
      <c r="T84" s="2">
        <f t="shared" si="8"/>
      </c>
      <c r="U84" s="2" t="str">
        <f t="shared" si="9"/>
        <v>银行手续费</v>
      </c>
      <c r="V84" s="2">
        <f t="shared" si="10"/>
      </c>
      <c r="W84" s="2" t="str">
        <f t="shared" si="11"/>
        <v>公司不分摊</v>
      </c>
      <c r="X84" s="2" t="str">
        <f t="shared" si="12"/>
        <v>手续费</v>
      </c>
      <c r="Y84" s="2">
        <f t="shared" si="13"/>
        <v>0</v>
      </c>
      <c r="Z84" s="2">
        <f t="shared" si="14"/>
      </c>
      <c r="AA84" s="2">
        <f t="shared" si="15"/>
        <v>0</v>
      </c>
      <c r="AB84" s="2">
        <f t="shared" si="16"/>
      </c>
      <c r="AC84" s="2">
        <f t="shared" si="17"/>
      </c>
      <c r="AD84" s="2">
        <f t="shared" si="18"/>
      </c>
      <c r="AE84" s="2" t="str">
        <f t="shared" si="19"/>
        <v>银行</v>
      </c>
      <c r="AF84" s="2">
        <f t="shared" si="20"/>
      </c>
      <c r="AG84" s="2" t="str">
        <f t="shared" si="21"/>
        <v>银行手续费</v>
      </c>
      <c r="AH84" s="2" t="str">
        <f t="shared" si="22"/>
        <v>支</v>
      </c>
      <c r="AI84" s="2">
        <f t="shared" si="23"/>
      </c>
      <c r="AJ84" s="2">
        <f t="shared" si="24"/>
        <v>0</v>
      </c>
      <c r="AK84" s="2">
        <f t="shared" si="25"/>
        <v>0</v>
      </c>
      <c r="AL84" s="2">
        <f t="shared" si="26"/>
        <v>0</v>
      </c>
      <c r="AM84" s="2">
        <f t="shared" si="27"/>
        <v>0</v>
      </c>
      <c r="AN84" s="2">
        <f t="shared" si="28"/>
        <v>46136</v>
      </c>
      <c r="AO84" s="2">
        <f t="shared" si="29"/>
      </c>
      <c r="AP84" s="2">
        <f t="shared" si="30"/>
      </c>
      <c r="AQ84" s="2">
        <f t="shared" si="31"/>
      </c>
    </row>
    <row r="85">
      <c r="A85" s="43">
        <f t="shared" si="3"/>
        <v>80</v>
      </c>
      <c r="B85" s="44" t="n">
        <v>46136</v>
      </c>
      <c r="C85" s="45" t="inlineStr">
        <is>
          <t>农业银行</t>
        </is>
      </c>
      <c r="D85" s="46" t="inlineStr">
        <is>
          <t>扣对公结算账户维护费</t>
        </is>
      </c>
      <c r="E85" s="47" t="n"/>
      <c r="F85" s="47" t="n">
        <v>50</v>
      </c>
      <c r="G85" s="48">
        <f t="shared" si="4"/>
        <v>608.73</v>
      </c>
      <c r="H85" s="43">
        <f t="shared" si="0"/>
      </c>
      <c r="I85" s="43" t="str">
        <f t="shared" si="5"/>
        <v>银行手续费</v>
      </c>
      <c r="J85" s="43">
        <f t="shared" si="1"/>
      </c>
      <c r="K85" s="49" t="str">
        <f t="shared" si="2"/>
        <v>√</v>
      </c>
      <c r="L85" s="45" t="n"/>
      <c r="M85" s="45" t="n"/>
      <c r="N85" s="45" t="n"/>
      <c r="O85" s="45" t="n"/>
      <c r="P85" s="50" t="n"/>
      <c r="R85" s="2">
        <f t="shared" si="6"/>
        <v>-50</v>
      </c>
      <c r="S85" s="2">
        <f t="shared" si="7"/>
        <v>202604</v>
      </c>
      <c r="T85" s="2">
        <f t="shared" si="8"/>
      </c>
      <c r="U85" s="2" t="str">
        <f t="shared" si="9"/>
        <v>银行手续费</v>
      </c>
      <c r="V85" s="2">
        <f t="shared" si="10"/>
      </c>
      <c r="W85" s="2" t="str">
        <f t="shared" si="11"/>
        <v>公司不分摊</v>
      </c>
      <c r="X85" s="2" t="str">
        <f t="shared" si="12"/>
        <v>手续费</v>
      </c>
      <c r="Y85" s="2">
        <f t="shared" si="13"/>
        <v>0</v>
      </c>
      <c r="Z85" s="2">
        <f t="shared" si="14"/>
      </c>
      <c r="AA85" s="2">
        <f t="shared" si="15"/>
        <v>0</v>
      </c>
      <c r="AB85" s="2">
        <f t="shared" si="16"/>
      </c>
      <c r="AC85" s="2">
        <f t="shared" si="17"/>
      </c>
      <c r="AD85" s="2">
        <f t="shared" si="18"/>
      </c>
      <c r="AE85" s="2" t="str">
        <f t="shared" si="19"/>
        <v>银行</v>
      </c>
      <c r="AF85" s="2">
        <f t="shared" si="20"/>
      </c>
      <c r="AG85" s="2" t="str">
        <f t="shared" si="21"/>
        <v>银行手续费</v>
      </c>
      <c r="AH85" s="2" t="str">
        <f t="shared" si="22"/>
        <v>支</v>
      </c>
      <c r="AI85" s="2">
        <f t="shared" si="23"/>
      </c>
      <c r="AJ85" s="2">
        <f t="shared" si="24"/>
        <v>0</v>
      </c>
      <c r="AK85" s="2">
        <f t="shared" si="25"/>
        <v>0</v>
      </c>
      <c r="AL85" s="2">
        <f t="shared" si="26"/>
        <v>0</v>
      </c>
      <c r="AM85" s="2">
        <f t="shared" si="27"/>
        <v>0</v>
      </c>
      <c r="AN85" s="2">
        <f t="shared" si="28"/>
        <v>46136</v>
      </c>
      <c r="AO85" s="2">
        <f t="shared" si="29"/>
      </c>
      <c r="AP85" s="2">
        <f t="shared" si="30"/>
      </c>
      <c r="AQ85" s="2">
        <f t="shared" si="31"/>
      </c>
    </row>
    <row r="86">
      <c r="A86" s="43">
        <f t="shared" si="3"/>
        <v>81</v>
      </c>
      <c r="B86" s="44" t="n">
        <v>46193</v>
      </c>
      <c r="C86" s="45" t="inlineStr">
        <is>
          <t>农业银行</t>
        </is>
      </c>
      <c r="D86" s="46" t="inlineStr">
        <is>
          <t>收到张滨个人借款</t>
        </is>
      </c>
      <c r="E86" s="47" t="n">
        <v>500</v>
      </c>
      <c r="F86" s="47" t="n"/>
      <c r="G86" s="48">
        <f t="shared" si="4"/>
        <v>1108.73</v>
      </c>
      <c r="H86" s="43">
        <f t="shared" si="0"/>
      </c>
      <c r="I86" s="43" t="str">
        <f t="shared" si="5"/>
        <v>账户互转</v>
      </c>
      <c r="J86" s="43" t="str">
        <f t="shared" si="1"/>
        <v>张滨</v>
      </c>
      <c r="K86" s="49" t="str">
        <f t="shared" si="2"/>
        <v>√</v>
      </c>
      <c r="L86" s="45" t="n"/>
      <c r="M86" s="45" t="n"/>
      <c r="N86" s="45" t="n"/>
      <c r="O86" s="45" t="n"/>
      <c r="P86" s="50" t="n"/>
      <c r="R86" s="2">
        <f t="shared" si="6"/>
        <v>500</v>
      </c>
      <c r="S86" s="2">
        <f t="shared" si="7"/>
        <v>202606</v>
      </c>
      <c r="T86" s="2">
        <f t="shared" si="8"/>
      </c>
      <c r="U86" s="2" t="str">
        <f t="shared" si="9"/>
        <v>账户互转</v>
      </c>
      <c r="V86" s="2" t="str">
        <f t="shared" si="10"/>
        <v>张滨</v>
      </c>
      <c r="W86" s="2" t="str">
        <f t="shared" si="11"/>
        <v>不进利润</v>
      </c>
      <c r="X86" s="2" t="str">
        <f t="shared" si="12"/>
        <v>账户互转</v>
      </c>
      <c r="Y86" s="2">
        <f t="shared" si="13"/>
        <v>0</v>
      </c>
      <c r="Z86" s="2" t="str">
        <f t="shared" si="14"/>
        <v>管理人员</v>
      </c>
      <c r="AA86" s="2">
        <f t="shared" si="15"/>
        <v>1</v>
      </c>
      <c r="AB86" s="2">
        <f t="shared" si="16"/>
      </c>
      <c r="AC86" s="2" t="str">
        <f t="shared" si="17"/>
        <v>张滨个人户</v>
      </c>
      <c r="AD86" s="2" t="str">
        <f t="shared" si="18"/>
        <v>张滨个人户</v>
      </c>
      <c r="AE86" s="2" t="str">
        <f t="shared" si="19"/>
        <v>银行</v>
      </c>
      <c r="AF86" s="2" t="str">
        <f t="shared" si="20"/>
        <v>个人户</v>
      </c>
      <c r="AG86" s="2" t="str">
        <f t="shared" si="21"/>
        <v>账户互转</v>
      </c>
      <c r="AH86" s="2" t="str">
        <f t="shared" si="22"/>
        <v>收</v>
      </c>
      <c r="AI86" s="2">
        <f t="shared" si="23"/>
      </c>
      <c r="AJ86" s="2">
        <f t="shared" si="24"/>
        <v>0</v>
      </c>
      <c r="AK86" s="2">
        <f t="shared" si="25"/>
        <v>0</v>
      </c>
      <c r="AL86" s="2">
        <f t="shared" si="26"/>
        <v>110</v>
      </c>
      <c r="AM86" s="2">
        <f t="shared" si="27"/>
        <v>0</v>
      </c>
      <c r="AN86" s="2">
        <f t="shared" si="28"/>
        <v>46193</v>
      </c>
      <c r="AO86" s="2">
        <f t="shared" si="29"/>
      </c>
      <c r="AP86" s="2">
        <f t="shared" si="30"/>
      </c>
      <c r="AQ86" s="2">
        <f t="shared" si="31"/>
      </c>
    </row>
    <row r="87">
      <c r="A87" s="43">
        <f t="shared" si="3"/>
        <v>82</v>
      </c>
      <c r="B87" s="44" t="n">
        <v>46194</v>
      </c>
      <c r="C87" s="45" t="inlineStr">
        <is>
          <t>农业银行</t>
        </is>
      </c>
      <c r="D87" s="46" t="inlineStr">
        <is>
          <t>支付贷款利息</t>
        </is>
      </c>
      <c r="E87" s="47" t="n"/>
      <c r="F87" s="47" t="n">
        <v>1088.01</v>
      </c>
      <c r="G87" s="48">
        <f t="shared" si="4"/>
        <v>20.72</v>
      </c>
      <c r="H87" s="43">
        <f t="shared" si="0"/>
      </c>
      <c r="I87" s="43" t="str">
        <f t="shared" si="5"/>
        <v>利息支出</v>
      </c>
      <c r="J87" s="43">
        <f t="shared" si="1"/>
      </c>
      <c r="K87" s="49" t="str">
        <f t="shared" si="2"/>
        <v>√</v>
      </c>
      <c r="L87" s="45" t="n"/>
      <c r="M87" s="45" t="n"/>
      <c r="N87" s="45" t="n"/>
      <c r="O87" s="45" t="n"/>
      <c r="P87" s="50" t="n"/>
      <c r="R87" s="2">
        <f t="shared" si="6"/>
        <v>-1088.01</v>
      </c>
      <c r="S87" s="2">
        <f t="shared" si="7"/>
        <v>202606</v>
      </c>
      <c r="T87" s="2">
        <f t="shared" si="8"/>
      </c>
      <c r="U87" s="2" t="str">
        <f t="shared" si="9"/>
        <v>利息支出</v>
      </c>
      <c r="V87" s="2">
        <f t="shared" si="10"/>
      </c>
      <c r="W87" s="2" t="str">
        <f t="shared" si="11"/>
        <v>公司不分摊</v>
      </c>
      <c r="X87" s="2" t="str">
        <f t="shared" si="12"/>
        <v>利息支出</v>
      </c>
      <c r="Y87" s="2">
        <f t="shared" si="13"/>
        <v>0</v>
      </c>
      <c r="Z87" s="2">
        <f t="shared" si="14"/>
      </c>
      <c r="AA87" s="2">
        <f t="shared" si="15"/>
        <v>0</v>
      </c>
      <c r="AB87" s="2">
        <f t="shared" si="16"/>
      </c>
      <c r="AC87" s="2">
        <f t="shared" si="17"/>
      </c>
      <c r="AD87" s="2">
        <f t="shared" si="18"/>
      </c>
      <c r="AE87" s="2" t="str">
        <f t="shared" si="19"/>
        <v>银行</v>
      </c>
      <c r="AF87" s="2">
        <f t="shared" si="20"/>
      </c>
      <c r="AG87" s="2" t="str">
        <f t="shared" si="21"/>
        <v>利息支出</v>
      </c>
      <c r="AH87" s="2" t="str">
        <f t="shared" si="22"/>
        <v>支</v>
      </c>
      <c r="AI87" s="2">
        <f t="shared" si="23"/>
      </c>
      <c r="AJ87" s="2">
        <f t="shared" si="24"/>
        <v>0</v>
      </c>
      <c r="AK87" s="2">
        <f t="shared" si="25"/>
        <v>0</v>
      </c>
      <c r="AL87" s="2">
        <f t="shared" si="26"/>
        <v>0</v>
      </c>
      <c r="AM87" s="2">
        <f t="shared" si="27"/>
        <v>0</v>
      </c>
      <c r="AN87" s="2">
        <f t="shared" si="28"/>
        <v>46194</v>
      </c>
      <c r="AO87" s="2">
        <f t="shared" si="29"/>
      </c>
      <c r="AP87" s="2">
        <f t="shared" si="30"/>
      </c>
      <c r="AQ87" s="2">
        <f t="shared" si="31"/>
      </c>
    </row>
    <row r="88">
      <c r="A88" s="43">
        <f t="shared" si="3"/>
        <v>83</v>
      </c>
      <c r="B88" s="44" t="n">
        <v>46194</v>
      </c>
      <c r="C88" s="45" t="inlineStr">
        <is>
          <t>农业银行</t>
        </is>
      </c>
      <c r="D88" s="46" t="inlineStr">
        <is>
          <t>利息收入</t>
        </is>
      </c>
      <c r="E88" s="47" t="n">
        <v>0.24</v>
      </c>
      <c r="F88" s="47" t="n"/>
      <c r="G88" s="48">
        <f t="shared" si="4"/>
        <v>20.96</v>
      </c>
      <c r="H88" s="43">
        <f t="shared" si="0"/>
      </c>
      <c r="I88" s="43" t="str">
        <f t="shared" si="5"/>
        <v>利息收入</v>
      </c>
      <c r="J88" s="43">
        <f t="shared" si="1"/>
      </c>
      <c r="K88" s="49" t="str">
        <f t="shared" si="2"/>
        <v>√</v>
      </c>
      <c r="L88" s="45" t="n"/>
      <c r="M88" s="45" t="n"/>
      <c r="N88" s="45" t="n"/>
      <c r="O88" s="45" t="n"/>
      <c r="P88" s="50" t="n"/>
      <c r="R88" s="2">
        <f t="shared" si="6"/>
        <v>0.24</v>
      </c>
      <c r="S88" s="2">
        <f t="shared" si="7"/>
        <v>202606</v>
      </c>
      <c r="T88" s="2">
        <f t="shared" si="8"/>
      </c>
      <c r="U88" s="2" t="str">
        <f t="shared" si="9"/>
        <v>利息收入</v>
      </c>
      <c r="V88" s="2">
        <f t="shared" si="10"/>
      </c>
      <c r="W88" s="2" t="str">
        <f t="shared" si="11"/>
        <v>公司不分摊</v>
      </c>
      <c r="X88" s="2" t="str">
        <f t="shared" si="12"/>
        <v>利息收入</v>
      </c>
      <c r="Y88" s="2">
        <f t="shared" si="13"/>
        <v>0</v>
      </c>
      <c r="Z88" s="2">
        <f t="shared" si="14"/>
      </c>
      <c r="AA88" s="2">
        <f t="shared" si="15"/>
        <v>0</v>
      </c>
      <c r="AB88" s="2">
        <f t="shared" si="16"/>
      </c>
      <c r="AC88" s="2">
        <f t="shared" si="17"/>
      </c>
      <c r="AD88" s="2">
        <f t="shared" si="18"/>
      </c>
      <c r="AE88" s="2" t="str">
        <f t="shared" si="19"/>
        <v>银行</v>
      </c>
      <c r="AF88" s="2">
        <f t="shared" si="20"/>
      </c>
      <c r="AG88" s="2" t="str">
        <f t="shared" si="21"/>
        <v>利息收入</v>
      </c>
      <c r="AH88" s="2" t="str">
        <f t="shared" si="22"/>
        <v>收</v>
      </c>
      <c r="AI88" s="2">
        <f t="shared" si="23"/>
      </c>
      <c r="AJ88" s="2">
        <f t="shared" si="24"/>
        <v>0</v>
      </c>
      <c r="AK88" s="2">
        <f t="shared" si="25"/>
        <v>0</v>
      </c>
      <c r="AL88" s="2">
        <f t="shared" si="26"/>
        <v>0</v>
      </c>
      <c r="AM88" s="2">
        <f t="shared" si="27"/>
        <v>0</v>
      </c>
      <c r="AN88" s="2">
        <f t="shared" si="28"/>
        <v>46194</v>
      </c>
      <c r="AO88" s="2">
        <f t="shared" si="29"/>
      </c>
      <c r="AP88" s="2">
        <f t="shared" si="30"/>
      </c>
      <c r="AQ88" s="2">
        <f t="shared" si="31"/>
      </c>
    </row>
    <row r="89">
      <c r="A89" s="43">
        <f t="shared" si="3"/>
        <v>84</v>
      </c>
      <c r="B89" s="44" t="n">
        <v>46177</v>
      </c>
      <c r="C89" s="45" t="inlineStr">
        <is>
          <t>九江银行</t>
        </is>
      </c>
      <c r="D89" s="46" t="inlineStr">
        <is>
          <t>闵清林工资</t>
        </is>
      </c>
      <c r="E89" s="47" t="n"/>
      <c r="F89" s="47" t="n">
        <v>2000</v>
      </c>
      <c r="G89" s="48">
        <f t="shared" si="4"/>
        <v>251003.73</v>
      </c>
      <c r="H89" s="43">
        <f t="shared" si="0"/>
      </c>
      <c r="I89" s="43" t="str">
        <f t="shared" si="5"/>
        <v>工资</v>
      </c>
      <c r="J89" s="43" t="str">
        <f t="shared" si="1"/>
        <v>闵清林</v>
      </c>
      <c r="K89" s="49" t="str">
        <f t="shared" si="2"/>
        <v>√</v>
      </c>
      <c r="L89" s="45" t="n"/>
      <c r="M89" s="45" t="n"/>
      <c r="N89" s="45" t="n"/>
      <c r="O89" s="45" t="n"/>
      <c r="P89" s="50" t="n"/>
      <c r="R89" s="2">
        <f t="shared" si="6"/>
        <v>-2000</v>
      </c>
      <c r="S89" s="2">
        <f t="shared" si="7"/>
        <v>202606</v>
      </c>
      <c r="T89" s="2">
        <f t="shared" si="8"/>
      </c>
      <c r="U89" s="2" t="str">
        <f t="shared" si="9"/>
        <v>工资</v>
      </c>
      <c r="V89" s="2" t="str">
        <f t="shared" si="10"/>
        <v>闵清林</v>
      </c>
      <c r="W89" s="2" t="str">
        <f t="shared" si="11"/>
        <v>不进利润</v>
      </c>
      <c r="X89" s="2" t="str">
        <f t="shared" si="12"/>
        <v>应付职工薪酬</v>
      </c>
      <c r="Y89" s="2">
        <f t="shared" si="13"/>
        <v>0</v>
      </c>
      <c r="Z89" s="2" t="str">
        <f t="shared" si="14"/>
        <v>工人</v>
      </c>
      <c r="AA89" s="2">
        <f t="shared" si="15"/>
        <v>1</v>
      </c>
      <c r="AB89" s="2">
        <f t="shared" si="16"/>
      </c>
      <c r="AC89" s="2">
        <f t="shared" si="17"/>
      </c>
      <c r="AD89" s="2">
        <f t="shared" si="18"/>
      </c>
      <c r="AE89" s="2" t="str">
        <f t="shared" si="19"/>
        <v>银行</v>
      </c>
      <c r="AF89" s="2">
        <f t="shared" si="20"/>
      </c>
      <c r="AG89" s="2" t="str">
        <f t="shared" si="21"/>
        <v>工资</v>
      </c>
      <c r="AH89" s="2" t="str">
        <f t="shared" si="22"/>
        <v>支</v>
      </c>
      <c r="AI89" s="2">
        <f t="shared" si="23"/>
      </c>
      <c r="AJ89" s="2">
        <f t="shared" si="24"/>
        <v>0</v>
      </c>
      <c r="AK89" s="2">
        <f t="shared" si="25"/>
        <v>0</v>
      </c>
      <c r="AL89" s="2">
        <f t="shared" si="26"/>
        <v>54</v>
      </c>
      <c r="AM89" s="2">
        <f t="shared" si="27"/>
        <v>0</v>
      </c>
      <c r="AN89" s="2">
        <f t="shared" si="28"/>
        <v>46177</v>
      </c>
      <c r="AO89" s="2">
        <f t="shared" si="29"/>
      </c>
      <c r="AP89" s="2" t="str">
        <f t="shared" si="30"/>
        <v>闵清林|1</v>
      </c>
      <c r="AQ89" s="2">
        <f t="shared" si="31"/>
      </c>
    </row>
    <row r="90">
      <c r="A90" s="43">
        <f t="shared" si="3"/>
        <v>85</v>
      </c>
      <c r="B90" s="44" t="n">
        <v>46177</v>
      </c>
      <c r="C90" s="45" t="inlineStr">
        <is>
          <t>九江银行</t>
        </is>
      </c>
      <c r="D90" s="46" t="inlineStr">
        <is>
          <t>梅秀刚工资</t>
        </is>
      </c>
      <c r="E90" s="47" t="n"/>
      <c r="F90" s="47" t="n">
        <v>2000</v>
      </c>
      <c r="G90" s="48">
        <f t="shared" si="4"/>
        <v>249003.73</v>
      </c>
      <c r="H90" s="43">
        <f t="shared" si="0"/>
      </c>
      <c r="I90" s="43" t="str">
        <f t="shared" si="5"/>
        <v>工资</v>
      </c>
      <c r="J90" s="43" t="str">
        <f t="shared" si="1"/>
        <v>梅秀刚</v>
      </c>
      <c r="K90" s="49" t="str">
        <f t="shared" si="2"/>
        <v>√</v>
      </c>
      <c r="L90" s="45" t="n"/>
      <c r="M90" s="45" t="n"/>
      <c r="N90" s="45" t="n"/>
      <c r="O90" s="45" t="n"/>
      <c r="P90" s="50" t="n"/>
      <c r="R90" s="2">
        <f t="shared" si="6"/>
        <v>-2000</v>
      </c>
      <c r="S90" s="2">
        <f t="shared" si="7"/>
        <v>202606</v>
      </c>
      <c r="T90" s="2">
        <f t="shared" si="8"/>
      </c>
      <c r="U90" s="2" t="str">
        <f t="shared" si="9"/>
        <v>工资</v>
      </c>
      <c r="V90" s="2" t="str">
        <f t="shared" si="10"/>
        <v>梅秀刚</v>
      </c>
      <c r="W90" s="2" t="str">
        <f t="shared" si="11"/>
        <v>不进利润</v>
      </c>
      <c r="X90" s="2" t="str">
        <f t="shared" si="12"/>
        <v>应付职工薪酬</v>
      </c>
      <c r="Y90" s="2">
        <f t="shared" si="13"/>
        <v>0</v>
      </c>
      <c r="Z90" s="2" t="str">
        <f t="shared" si="14"/>
        <v>工人</v>
      </c>
      <c r="AA90" s="2">
        <f t="shared" si="15"/>
        <v>1</v>
      </c>
      <c r="AB90" s="2">
        <f t="shared" si="16"/>
      </c>
      <c r="AC90" s="2">
        <f t="shared" si="17"/>
      </c>
      <c r="AD90" s="2">
        <f t="shared" si="18"/>
      </c>
      <c r="AE90" s="2" t="str">
        <f t="shared" si="19"/>
        <v>银行</v>
      </c>
      <c r="AF90" s="2">
        <f t="shared" si="20"/>
      </c>
      <c r="AG90" s="2" t="str">
        <f t="shared" si="21"/>
        <v>工资</v>
      </c>
      <c r="AH90" s="2" t="str">
        <f t="shared" si="22"/>
        <v>支</v>
      </c>
      <c r="AI90" s="2">
        <f t="shared" si="23"/>
      </c>
      <c r="AJ90" s="2">
        <f t="shared" si="24"/>
        <v>0</v>
      </c>
      <c r="AK90" s="2">
        <f t="shared" si="25"/>
        <v>0</v>
      </c>
      <c r="AL90" s="2">
        <f t="shared" si="26"/>
        <v>56</v>
      </c>
      <c r="AM90" s="2">
        <f t="shared" si="27"/>
        <v>0</v>
      </c>
      <c r="AN90" s="2">
        <f t="shared" si="28"/>
        <v>46177</v>
      </c>
      <c r="AO90" s="2">
        <f t="shared" si="29"/>
      </c>
      <c r="AP90" s="2" t="str">
        <f t="shared" si="30"/>
        <v>梅秀刚|1</v>
      </c>
      <c r="AQ90" s="2">
        <f t="shared" si="31"/>
      </c>
    </row>
    <row r="91">
      <c r="A91" s="43">
        <f t="shared" si="3"/>
        <v>86</v>
      </c>
      <c r="B91" s="44" t="n">
        <v>46178</v>
      </c>
      <c r="C91" s="45" t="inlineStr">
        <is>
          <t>九江银行</t>
        </is>
      </c>
      <c r="D91" s="46" t="inlineStr">
        <is>
          <t>汽车空调压缩机维修费</t>
        </is>
      </c>
      <c r="E91" s="47" t="n"/>
      <c r="F91" s="47" t="n">
        <v>1100</v>
      </c>
      <c r="G91" s="48">
        <f t="shared" si="4"/>
        <v>247903.73</v>
      </c>
      <c r="H91" s="43">
        <f t="shared" si="0"/>
      </c>
      <c r="I91" s="43" t="str">
        <f t="shared" si="5"/>
        <v>车辆差旅</v>
      </c>
      <c r="J91" s="43">
        <f t="shared" si="1"/>
      </c>
      <c r="K91" s="49" t="str">
        <f t="shared" si="2"/>
        <v>√</v>
      </c>
      <c r="L91" s="45" t="n"/>
      <c r="M91" s="45" t="n"/>
      <c r="N91" s="45" t="n"/>
      <c r="O91" s="45" t="n"/>
      <c r="P91" s="50" t="n"/>
      <c r="R91" s="2">
        <f t="shared" si="6"/>
        <v>-1100</v>
      </c>
      <c r="S91" s="2">
        <f t="shared" si="7"/>
        <v>202606</v>
      </c>
      <c r="T91" s="2">
        <f t="shared" si="8"/>
      </c>
      <c r="U91" s="2" t="str">
        <f t="shared" si="9"/>
        <v>车辆差旅</v>
      </c>
      <c r="V91" s="2">
        <f t="shared" si="10"/>
      </c>
      <c r="W91" s="2" t="str">
        <f t="shared" si="11"/>
        <v>公司间接费</v>
      </c>
      <c r="X91" s="2" t="str">
        <f t="shared" si="12"/>
        <v>车辆差旅</v>
      </c>
      <c r="Y91" s="2">
        <f t="shared" si="13"/>
        <v>0</v>
      </c>
      <c r="Z91" s="2">
        <f t="shared" si="14"/>
      </c>
      <c r="AA91" s="2">
        <f t="shared" si="15"/>
        <v>0</v>
      </c>
      <c r="AB91" s="2">
        <f t="shared" si="16"/>
      </c>
      <c r="AC91" s="2">
        <f t="shared" si="17"/>
      </c>
      <c r="AD91" s="2">
        <f t="shared" si="18"/>
      </c>
      <c r="AE91" s="2" t="str">
        <f t="shared" si="19"/>
        <v>银行</v>
      </c>
      <c r="AF91" s="2">
        <f t="shared" si="20"/>
      </c>
      <c r="AG91" s="2" t="str">
        <f t="shared" si="21"/>
        <v>车辆差旅</v>
      </c>
      <c r="AH91" s="2" t="str">
        <f t="shared" si="22"/>
        <v>支</v>
      </c>
      <c r="AI91" s="2">
        <f t="shared" si="23"/>
      </c>
      <c r="AJ91" s="2">
        <f t="shared" si="24"/>
        <v>0</v>
      </c>
      <c r="AK91" s="2">
        <f t="shared" si="25"/>
        <v>0</v>
      </c>
      <c r="AL91" s="2">
        <f t="shared" si="26"/>
        <v>0</v>
      </c>
      <c r="AM91" s="2">
        <f t="shared" si="27"/>
        <v>0</v>
      </c>
      <c r="AN91" s="2">
        <f t="shared" si="28"/>
        <v>46178</v>
      </c>
      <c r="AO91" s="2">
        <f t="shared" si="29"/>
      </c>
      <c r="AP91" s="2">
        <f t="shared" si="30"/>
      </c>
      <c r="AQ91" s="2">
        <f t="shared" si="31"/>
      </c>
    </row>
    <row r="92">
      <c r="A92" s="43">
        <f t="shared" si="3"/>
        <v>87</v>
      </c>
      <c r="B92" s="44" t="n">
        <v>46178</v>
      </c>
      <c r="C92" s="45" t="inlineStr">
        <is>
          <t>九江银行</t>
        </is>
      </c>
      <c r="D92" s="46" t="inlineStr">
        <is>
          <t>朱博文4月份工资</t>
        </is>
      </c>
      <c r="E92" s="47" t="n"/>
      <c r="F92" s="47" t="n">
        <v>2000</v>
      </c>
      <c r="G92" s="48">
        <f t="shared" si="4"/>
        <v>245903.73</v>
      </c>
      <c r="H92" s="43">
        <f t="shared" si="0"/>
      </c>
      <c r="I92" s="43" t="str">
        <f t="shared" si="5"/>
        <v>工资</v>
      </c>
      <c r="J92" s="43" t="str">
        <f t="shared" si="1"/>
        <v>朱博文</v>
      </c>
      <c r="K92" s="49" t="str">
        <f t="shared" si="2"/>
        <v>√</v>
      </c>
      <c r="L92" s="45" t="n"/>
      <c r="M92" s="45" t="n"/>
      <c r="N92" s="45" t="n"/>
      <c r="O92" s="45" t="n"/>
      <c r="P92" s="50" t="n"/>
      <c r="R92" s="2">
        <f t="shared" si="6"/>
        <v>-2000</v>
      </c>
      <c r="S92" s="2">
        <f t="shared" si="7"/>
        <v>202606</v>
      </c>
      <c r="T92" s="2">
        <f t="shared" si="8"/>
      </c>
      <c r="U92" s="2" t="str">
        <f t="shared" si="9"/>
        <v>工资</v>
      </c>
      <c r="V92" s="2" t="str">
        <f t="shared" si="10"/>
        <v>朱博文</v>
      </c>
      <c r="W92" s="2" t="str">
        <f t="shared" si="11"/>
        <v>不进利润</v>
      </c>
      <c r="X92" s="2" t="str">
        <f t="shared" si="12"/>
        <v>应付职工薪酬</v>
      </c>
      <c r="Y92" s="2">
        <f t="shared" si="13"/>
        <v>0</v>
      </c>
      <c r="Z92" s="2" t="str">
        <f t="shared" si="14"/>
        <v>管理人员</v>
      </c>
      <c r="AA92" s="2">
        <f t="shared" si="15"/>
        <v>1</v>
      </c>
      <c r="AB92" s="2">
        <f t="shared" si="16"/>
      </c>
      <c r="AC92" s="2">
        <f t="shared" si="17"/>
      </c>
      <c r="AD92" s="2">
        <f t="shared" si="18"/>
      </c>
      <c r="AE92" s="2" t="str">
        <f t="shared" si="19"/>
        <v>银行</v>
      </c>
      <c r="AF92" s="2">
        <f t="shared" si="20"/>
      </c>
      <c r="AG92" s="2" t="str">
        <f t="shared" si="21"/>
        <v>工资</v>
      </c>
      <c r="AH92" s="2" t="str">
        <f t="shared" si="22"/>
        <v>支</v>
      </c>
      <c r="AI92" s="2">
        <f t="shared" si="23"/>
      </c>
      <c r="AJ92" s="2">
        <f t="shared" si="24"/>
        <v>0</v>
      </c>
      <c r="AK92" s="2">
        <f t="shared" si="25"/>
        <v>0</v>
      </c>
      <c r="AL92" s="2">
        <f t="shared" si="26"/>
        <v>78</v>
      </c>
      <c r="AM92" s="2">
        <f t="shared" si="27"/>
        <v>0</v>
      </c>
      <c r="AN92" s="2">
        <f t="shared" si="28"/>
        <v>46178</v>
      </c>
      <c r="AO92" s="2">
        <f t="shared" si="29"/>
      </c>
      <c r="AP92" s="2" t="str">
        <f t="shared" si="30"/>
        <v>朱博文|2</v>
      </c>
      <c r="AQ92" s="2">
        <f t="shared" si="31"/>
      </c>
    </row>
    <row r="93">
      <c r="A93" s="43">
        <f t="shared" si="3"/>
        <v>88</v>
      </c>
      <c r="B93" s="44" t="n">
        <v>46178</v>
      </c>
      <c r="C93" s="45" t="inlineStr">
        <is>
          <t>九江银行</t>
        </is>
      </c>
      <c r="D93" s="46" t="inlineStr">
        <is>
          <t>朱博文5月份工资</t>
        </is>
      </c>
      <c r="E93" s="47" t="n"/>
      <c r="F93" s="47" t="n">
        <v>3500</v>
      </c>
      <c r="G93" s="48">
        <f t="shared" si="4"/>
        <v>242403.73</v>
      </c>
      <c r="H93" s="43">
        <f t="shared" si="0"/>
      </c>
      <c r="I93" s="43" t="str">
        <f t="shared" si="5"/>
        <v>工资</v>
      </c>
      <c r="J93" s="43" t="str">
        <f t="shared" si="1"/>
        <v>朱博文</v>
      </c>
      <c r="K93" s="49" t="str">
        <f t="shared" si="2"/>
        <v>√</v>
      </c>
      <c r="L93" s="45" t="n"/>
      <c r="M93" s="45" t="n"/>
      <c r="N93" s="45" t="n"/>
      <c r="O93" s="45" t="n"/>
      <c r="P93" s="50" t="n"/>
      <c r="R93" s="2">
        <f t="shared" si="6"/>
        <v>-3500</v>
      </c>
      <c r="S93" s="2">
        <f t="shared" si="7"/>
        <v>202606</v>
      </c>
      <c r="T93" s="2">
        <f t="shared" si="8"/>
      </c>
      <c r="U93" s="2" t="str">
        <f t="shared" si="9"/>
        <v>工资</v>
      </c>
      <c r="V93" s="2" t="str">
        <f t="shared" si="10"/>
        <v>朱博文</v>
      </c>
      <c r="W93" s="2" t="str">
        <f t="shared" si="11"/>
        <v>不进利润</v>
      </c>
      <c r="X93" s="2" t="str">
        <f t="shared" si="12"/>
        <v>应付职工薪酬</v>
      </c>
      <c r="Y93" s="2">
        <f t="shared" si="13"/>
        <v>0</v>
      </c>
      <c r="Z93" s="2" t="str">
        <f t="shared" si="14"/>
        <v>管理人员</v>
      </c>
      <c r="AA93" s="2">
        <f t="shared" si="15"/>
        <v>1</v>
      </c>
      <c r="AB93" s="2">
        <f t="shared" si="16"/>
      </c>
      <c r="AC93" s="2">
        <f t="shared" si="17"/>
      </c>
      <c r="AD93" s="2">
        <f t="shared" si="18"/>
      </c>
      <c r="AE93" s="2" t="str">
        <f t="shared" si="19"/>
        <v>银行</v>
      </c>
      <c r="AF93" s="2">
        <f t="shared" si="20"/>
      </c>
      <c r="AG93" s="2" t="str">
        <f t="shared" si="21"/>
        <v>工资</v>
      </c>
      <c r="AH93" s="2" t="str">
        <f t="shared" si="22"/>
        <v>支</v>
      </c>
      <c r="AI93" s="2">
        <f t="shared" si="23"/>
      </c>
      <c r="AJ93" s="2">
        <f t="shared" si="24"/>
        <v>0</v>
      </c>
      <c r="AK93" s="2">
        <f t="shared" si="25"/>
        <v>0</v>
      </c>
      <c r="AL93" s="2">
        <f t="shared" si="26"/>
        <v>78</v>
      </c>
      <c r="AM93" s="2">
        <f t="shared" si="27"/>
        <v>0</v>
      </c>
      <c r="AN93" s="2">
        <f t="shared" si="28"/>
        <v>46178</v>
      </c>
      <c r="AO93" s="2">
        <f t="shared" si="29"/>
      </c>
      <c r="AP93" s="2" t="str">
        <f t="shared" si="30"/>
        <v>朱博文|2</v>
      </c>
      <c r="AQ93" s="2">
        <f t="shared" si="31"/>
      </c>
    </row>
    <row r="94">
      <c r="A94" s="43">
        <f t="shared" si="3"/>
        <v>89</v>
      </c>
      <c r="B94" s="44" t="n">
        <v>46181</v>
      </c>
      <c r="C94" s="45" t="inlineStr">
        <is>
          <t>九江银行</t>
        </is>
      </c>
      <c r="D94" s="46" t="inlineStr">
        <is>
          <t>邹桥派出所桥架款</t>
        </is>
      </c>
      <c r="E94" s="47" t="n"/>
      <c r="F94" s="47" t="n">
        <v>303.2</v>
      </c>
      <c r="G94" s="48">
        <f t="shared" si="4"/>
        <v>242100.53</v>
      </c>
      <c r="H94" s="43" t="str">
        <f t="shared" si="0"/>
        <v>邹桥派出所</v>
      </c>
      <c r="I94" s="43" t="str">
        <f t="shared" si="5"/>
        <v>材料费</v>
      </c>
      <c r="J94" s="43">
        <f t="shared" si="1"/>
      </c>
      <c r="K94" s="49" t="str">
        <f t="shared" si="2"/>
        <v>√</v>
      </c>
      <c r="L94" s="45" t="n"/>
      <c r="M94" s="45" t="n"/>
      <c r="N94" s="45" t="n"/>
      <c r="O94" s="45" t="n"/>
      <c r="P94" s="50" t="n"/>
      <c r="R94" s="2">
        <f t="shared" si="6"/>
        <v>-303.2</v>
      </c>
      <c r="S94" s="2">
        <f t="shared" si="7"/>
        <v>202606</v>
      </c>
      <c r="T94" s="2" t="str">
        <f t="shared" si="8"/>
        <v>邹桥派出所</v>
      </c>
      <c r="U94" s="2" t="str">
        <f t="shared" si="9"/>
        <v>材料费</v>
      </c>
      <c r="V94" s="2">
        <f t="shared" si="10"/>
      </c>
      <c r="W94" s="2" t="str">
        <f t="shared" si="11"/>
        <v>项目直接成本</v>
      </c>
      <c r="X94" s="2" t="str">
        <f t="shared" si="12"/>
        <v>材料费</v>
      </c>
      <c r="Y94" s="2">
        <f t="shared" si="13"/>
        <v>0</v>
      </c>
      <c r="Z94" s="2">
        <f t="shared" si="14"/>
      </c>
      <c r="AA94" s="2">
        <f t="shared" si="15"/>
        <v>0</v>
      </c>
      <c r="AB94" s="2">
        <f t="shared" si="16"/>
      </c>
      <c r="AC94" s="2">
        <f t="shared" si="17"/>
      </c>
      <c r="AD94" s="2">
        <f t="shared" si="18"/>
      </c>
      <c r="AE94" s="2" t="str">
        <f t="shared" si="19"/>
        <v>银行</v>
      </c>
      <c r="AF94" s="2">
        <f t="shared" si="20"/>
      </c>
      <c r="AG94" s="2" t="str">
        <f t="shared" si="21"/>
        <v>材料费</v>
      </c>
      <c r="AH94" s="2" t="str">
        <f t="shared" si="22"/>
        <v>支</v>
      </c>
      <c r="AI94" s="2" t="str">
        <f t="shared" si="23"/>
        <v>邹桥派出所</v>
      </c>
      <c r="AJ94" s="2">
        <f t="shared" si="24"/>
        <v>0</v>
      </c>
      <c r="AK94" s="2">
        <f t="shared" si="25"/>
        <v>7</v>
      </c>
      <c r="AL94" s="2">
        <f t="shared" si="26"/>
        <v>0</v>
      </c>
      <c r="AM94" s="2">
        <f t="shared" si="27"/>
        <v>0</v>
      </c>
      <c r="AN94" s="2">
        <f t="shared" si="28"/>
        <v>46181</v>
      </c>
      <c r="AO94" s="2">
        <f t="shared" si="29"/>
      </c>
      <c r="AP94" s="2">
        <f t="shared" si="30"/>
      </c>
      <c r="AQ94" s="2">
        <f t="shared" si="31"/>
      </c>
    </row>
    <row r="95">
      <c r="A95" s="43">
        <f t="shared" si="3"/>
        <v>90</v>
      </c>
      <c r="B95" s="44" t="n">
        <v>46181</v>
      </c>
      <c r="C95" s="45" t="inlineStr">
        <is>
          <t>九江银行</t>
        </is>
      </c>
      <c r="D95" s="46" t="inlineStr">
        <is>
          <t>邹桥派出所桥架款</t>
        </is>
      </c>
      <c r="E95" s="47" t="n">
        <v>303.2</v>
      </c>
      <c r="F95" s="47" t="n"/>
      <c r="G95" s="48">
        <f t="shared" si="4"/>
        <v>242403.73</v>
      </c>
      <c r="H95" s="43" t="str">
        <f t="shared" si="0"/>
        <v>邹桥派出所</v>
      </c>
      <c r="I95" s="43" t="str">
        <f t="shared" si="5"/>
        <v>材料费</v>
      </c>
      <c r="J95" s="43">
        <f t="shared" si="1"/>
      </c>
      <c r="K95" s="49" t="str">
        <f t="shared" si="2"/>
        <v>√</v>
      </c>
      <c r="L95" s="45" t="n"/>
      <c r="M95" s="45" t="n"/>
      <c r="N95" s="45" t="n"/>
      <c r="O95" s="45" t="n"/>
      <c r="P95" s="50" t="n"/>
      <c r="R95" s="2">
        <f t="shared" si="6"/>
        <v>303.2</v>
      </c>
      <c r="S95" s="2">
        <f t="shared" si="7"/>
        <v>202606</v>
      </c>
      <c r="T95" s="2" t="str">
        <f t="shared" si="8"/>
        <v>邹桥派出所</v>
      </c>
      <c r="U95" s="2" t="str">
        <f t="shared" si="9"/>
        <v>材料费</v>
      </c>
      <c r="V95" s="2">
        <f t="shared" si="10"/>
      </c>
      <c r="W95" s="2" t="str">
        <f t="shared" si="11"/>
        <v>项目直接成本</v>
      </c>
      <c r="X95" s="2" t="str">
        <f t="shared" si="12"/>
        <v>材料费</v>
      </c>
      <c r="Y95" s="2">
        <f t="shared" si="13"/>
        <v>0</v>
      </c>
      <c r="Z95" s="2">
        <f t="shared" si="14"/>
      </c>
      <c r="AA95" s="2">
        <f t="shared" si="15"/>
        <v>0</v>
      </c>
      <c r="AB95" s="2">
        <f t="shared" si="16"/>
      </c>
      <c r="AC95" s="2">
        <f t="shared" si="17"/>
      </c>
      <c r="AD95" s="2">
        <f t="shared" si="18"/>
      </c>
      <c r="AE95" s="2" t="str">
        <f t="shared" si="19"/>
        <v>银行</v>
      </c>
      <c r="AF95" s="2">
        <f t="shared" si="20"/>
      </c>
      <c r="AG95" s="2" t="str">
        <f t="shared" si="21"/>
        <v>材料费</v>
      </c>
      <c r="AH95" s="2" t="str">
        <f t="shared" si="22"/>
        <v>支</v>
      </c>
      <c r="AI95" s="2" t="str">
        <f t="shared" si="23"/>
        <v>邹桥派出所</v>
      </c>
      <c r="AJ95" s="2">
        <f t="shared" si="24"/>
        <v>0</v>
      </c>
      <c r="AK95" s="2">
        <f t="shared" si="25"/>
        <v>7</v>
      </c>
      <c r="AL95" s="2">
        <f t="shared" si="26"/>
        <v>0</v>
      </c>
      <c r="AM95" s="2">
        <f t="shared" si="27"/>
        <v>0</v>
      </c>
      <c r="AN95" s="2">
        <f t="shared" si="28"/>
        <v>46181</v>
      </c>
      <c r="AO95" s="2">
        <f t="shared" si="29"/>
      </c>
      <c r="AP95" s="2">
        <f t="shared" si="30"/>
      </c>
      <c r="AQ95" s="2">
        <f t="shared" si="31"/>
      </c>
    </row>
    <row r="96">
      <c r="A96" s="43">
        <f t="shared" si="3"/>
        <v>91</v>
      </c>
      <c r="B96" s="44" t="n">
        <v>46181</v>
      </c>
      <c r="C96" s="45" t="inlineStr">
        <is>
          <t>九江银行</t>
        </is>
      </c>
      <c r="D96" s="46" t="inlineStr">
        <is>
          <t>员工聚餐</t>
        </is>
      </c>
      <c r="E96" s="47" t="n"/>
      <c r="F96" s="47" t="n">
        <v>1098</v>
      </c>
      <c r="G96" s="48">
        <f t="shared" si="4"/>
        <v>241305.73</v>
      </c>
      <c r="H96" s="43">
        <f t="shared" si="0"/>
      </c>
      <c r="I96" s="43" t="str">
        <f t="shared" si="5"/>
        <v>业务招待费</v>
      </c>
      <c r="J96" s="43">
        <f t="shared" si="1"/>
      </c>
      <c r="K96" s="49" t="str">
        <f t="shared" si="2"/>
        <v>√</v>
      </c>
      <c r="L96" s="45" t="n"/>
      <c r="M96" s="45" t="n"/>
      <c r="N96" s="45" t="n"/>
      <c r="O96" s="45" t="n"/>
      <c r="P96" s="50" t="n"/>
      <c r="R96" s="2">
        <f t="shared" si="6"/>
        <v>-1098</v>
      </c>
      <c r="S96" s="2">
        <f t="shared" si="7"/>
        <v>202606</v>
      </c>
      <c r="T96" s="2">
        <f t="shared" si="8"/>
      </c>
      <c r="U96" s="2" t="str">
        <f t="shared" si="9"/>
        <v>业务招待费</v>
      </c>
      <c r="V96" s="2">
        <f t="shared" si="10"/>
      </c>
      <c r="W96" s="2" t="str">
        <f t="shared" si="11"/>
        <v>公司间接费</v>
      </c>
      <c r="X96" s="2" t="str">
        <f t="shared" si="12"/>
        <v>业务招待费</v>
      </c>
      <c r="Y96" s="2">
        <f t="shared" si="13"/>
        <v>0</v>
      </c>
      <c r="Z96" s="2">
        <f t="shared" si="14"/>
      </c>
      <c r="AA96" s="2">
        <f t="shared" si="15"/>
        <v>0</v>
      </c>
      <c r="AB96" s="2">
        <f t="shared" si="16"/>
      </c>
      <c r="AC96" s="2">
        <f t="shared" si="17"/>
      </c>
      <c r="AD96" s="2">
        <f t="shared" si="18"/>
      </c>
      <c r="AE96" s="2" t="str">
        <f t="shared" si="19"/>
        <v>银行</v>
      </c>
      <c r="AF96" s="2">
        <f t="shared" si="20"/>
      </c>
      <c r="AG96" s="2" t="str">
        <f t="shared" si="21"/>
        <v>业务招待费</v>
      </c>
      <c r="AH96" s="2" t="str">
        <f t="shared" si="22"/>
        <v>支</v>
      </c>
      <c r="AI96" s="2">
        <f t="shared" si="23"/>
      </c>
      <c r="AJ96" s="2">
        <f t="shared" si="24"/>
        <v>0</v>
      </c>
      <c r="AK96" s="2">
        <f t="shared" si="25"/>
        <v>0</v>
      </c>
      <c r="AL96" s="2">
        <f t="shared" si="26"/>
        <v>0</v>
      </c>
      <c r="AM96" s="2">
        <f t="shared" si="27"/>
        <v>0</v>
      </c>
      <c r="AN96" s="2">
        <f t="shared" si="28"/>
        <v>46181</v>
      </c>
      <c r="AO96" s="2">
        <f t="shared" si="29"/>
      </c>
      <c r="AP96" s="2">
        <f t="shared" si="30"/>
      </c>
      <c r="AQ96" s="2">
        <f t="shared" si="31"/>
      </c>
    </row>
    <row r="97">
      <c r="A97" s="43">
        <f t="shared" si="3"/>
        <v>92</v>
      </c>
      <c r="B97" s="44" t="n">
        <v>46181</v>
      </c>
      <c r="C97" s="45" t="inlineStr">
        <is>
          <t>九江银行</t>
        </is>
      </c>
      <c r="D97" s="46" t="inlineStr">
        <is>
          <t>员工聚餐</t>
        </is>
      </c>
      <c r="E97" s="47" t="n">
        <v>1098</v>
      </c>
      <c r="F97" s="47" t="n"/>
      <c r="G97" s="48">
        <f t="shared" si="4"/>
        <v>242403.73</v>
      </c>
      <c r="H97" s="43">
        <f t="shared" si="0"/>
      </c>
      <c r="I97" s="43" t="str">
        <f t="shared" si="5"/>
        <v>业务招待费</v>
      </c>
      <c r="J97" s="43">
        <f t="shared" si="1"/>
      </c>
      <c r="K97" s="49" t="str">
        <f t="shared" si="2"/>
        <v>√</v>
      </c>
      <c r="L97" s="45" t="n"/>
      <c r="M97" s="45" t="n"/>
      <c r="N97" s="45" t="n"/>
      <c r="O97" s="45" t="n"/>
      <c r="P97" s="50" t="n"/>
      <c r="R97" s="2">
        <f t="shared" si="6"/>
        <v>1098</v>
      </c>
      <c r="S97" s="2">
        <f t="shared" si="7"/>
        <v>202606</v>
      </c>
      <c r="T97" s="2">
        <f t="shared" si="8"/>
      </c>
      <c r="U97" s="2" t="str">
        <f t="shared" si="9"/>
        <v>业务招待费</v>
      </c>
      <c r="V97" s="2">
        <f t="shared" si="10"/>
      </c>
      <c r="W97" s="2" t="str">
        <f t="shared" si="11"/>
        <v>公司间接费</v>
      </c>
      <c r="X97" s="2" t="str">
        <f t="shared" si="12"/>
        <v>业务招待费</v>
      </c>
      <c r="Y97" s="2">
        <f t="shared" si="13"/>
        <v>0</v>
      </c>
      <c r="Z97" s="2">
        <f t="shared" si="14"/>
      </c>
      <c r="AA97" s="2">
        <f t="shared" si="15"/>
        <v>0</v>
      </c>
      <c r="AB97" s="2">
        <f t="shared" si="16"/>
      </c>
      <c r="AC97" s="2">
        <f t="shared" si="17"/>
      </c>
      <c r="AD97" s="2">
        <f t="shared" si="18"/>
      </c>
      <c r="AE97" s="2" t="str">
        <f t="shared" si="19"/>
        <v>银行</v>
      </c>
      <c r="AF97" s="2">
        <f t="shared" si="20"/>
      </c>
      <c r="AG97" s="2" t="str">
        <f t="shared" si="21"/>
        <v>业务招待费</v>
      </c>
      <c r="AH97" s="2" t="str">
        <f t="shared" si="22"/>
        <v>支</v>
      </c>
      <c r="AI97" s="2">
        <f t="shared" si="23"/>
      </c>
      <c r="AJ97" s="2">
        <f t="shared" si="24"/>
        <v>0</v>
      </c>
      <c r="AK97" s="2">
        <f t="shared" si="25"/>
        <v>0</v>
      </c>
      <c r="AL97" s="2">
        <f t="shared" si="26"/>
        <v>0</v>
      </c>
      <c r="AM97" s="2">
        <f t="shared" si="27"/>
        <v>0</v>
      </c>
      <c r="AN97" s="2">
        <f t="shared" si="28"/>
        <v>46181</v>
      </c>
      <c r="AO97" s="2">
        <f t="shared" si="29"/>
      </c>
      <c r="AP97" s="2">
        <f t="shared" si="30"/>
      </c>
      <c r="AQ97" s="2">
        <f t="shared" si="31"/>
      </c>
    </row>
    <row r="98">
      <c r="A98" s="43">
        <f t="shared" si="3"/>
        <v>93</v>
      </c>
      <c r="B98" s="44" t="n">
        <v>46181</v>
      </c>
      <c r="C98" s="45" t="inlineStr">
        <is>
          <t>九江银行</t>
        </is>
      </c>
      <c r="D98" s="46" t="inlineStr">
        <is>
          <t>员工聚餐</t>
        </is>
      </c>
      <c r="E98" s="47" t="n"/>
      <c r="F98" s="47" t="n">
        <v>1098</v>
      </c>
      <c r="G98" s="48">
        <f t="shared" si="4"/>
        <v>241305.73</v>
      </c>
      <c r="H98" s="43">
        <f t="shared" si="0"/>
      </c>
      <c r="I98" s="43" t="str">
        <f t="shared" si="5"/>
        <v>业务招待费</v>
      </c>
      <c r="J98" s="43">
        <f t="shared" si="1"/>
      </c>
      <c r="K98" s="49" t="str">
        <f t="shared" si="2"/>
        <v>√</v>
      </c>
      <c r="L98" s="45" t="n"/>
      <c r="M98" s="45" t="n"/>
      <c r="N98" s="45" t="n"/>
      <c r="O98" s="45" t="n"/>
      <c r="P98" s="50" t="n"/>
      <c r="R98" s="2">
        <f t="shared" si="6"/>
        <v>-1098</v>
      </c>
      <c r="S98" s="2">
        <f t="shared" si="7"/>
        <v>202606</v>
      </c>
      <c r="T98" s="2">
        <f t="shared" si="8"/>
      </c>
      <c r="U98" s="2" t="str">
        <f t="shared" si="9"/>
        <v>业务招待费</v>
      </c>
      <c r="V98" s="2">
        <f t="shared" si="10"/>
      </c>
      <c r="W98" s="2" t="str">
        <f t="shared" si="11"/>
        <v>公司间接费</v>
      </c>
      <c r="X98" s="2" t="str">
        <f t="shared" si="12"/>
        <v>业务招待费</v>
      </c>
      <c r="Y98" s="2">
        <f t="shared" si="13"/>
        <v>0</v>
      </c>
      <c r="Z98" s="2">
        <f t="shared" si="14"/>
      </c>
      <c r="AA98" s="2">
        <f t="shared" si="15"/>
        <v>0</v>
      </c>
      <c r="AB98" s="2">
        <f t="shared" si="16"/>
      </c>
      <c r="AC98" s="2">
        <f t="shared" si="17"/>
      </c>
      <c r="AD98" s="2">
        <f t="shared" si="18"/>
      </c>
      <c r="AE98" s="2" t="str">
        <f t="shared" si="19"/>
        <v>银行</v>
      </c>
      <c r="AF98" s="2">
        <f t="shared" si="20"/>
      </c>
      <c r="AG98" s="2" t="str">
        <f t="shared" si="21"/>
        <v>业务招待费</v>
      </c>
      <c r="AH98" s="2" t="str">
        <f t="shared" si="22"/>
        <v>支</v>
      </c>
      <c r="AI98" s="2">
        <f t="shared" si="23"/>
      </c>
      <c r="AJ98" s="2">
        <f t="shared" si="24"/>
        <v>0</v>
      </c>
      <c r="AK98" s="2">
        <f t="shared" si="25"/>
        <v>0</v>
      </c>
      <c r="AL98" s="2">
        <f t="shared" si="26"/>
        <v>0</v>
      </c>
      <c r="AM98" s="2">
        <f t="shared" si="27"/>
        <v>0</v>
      </c>
      <c r="AN98" s="2">
        <f t="shared" si="28"/>
        <v>46181</v>
      </c>
      <c r="AO98" s="2">
        <f t="shared" si="29"/>
      </c>
      <c r="AP98" s="2">
        <f t="shared" si="30"/>
      </c>
      <c r="AQ98" s="2">
        <f t="shared" si="31"/>
      </c>
    </row>
    <row r="99">
      <c r="A99" s="43">
        <f t="shared" si="3"/>
        <v>94</v>
      </c>
      <c r="B99" s="44" t="n">
        <v>46181</v>
      </c>
      <c r="C99" s="45" t="inlineStr">
        <is>
          <t>九江银行</t>
        </is>
      </c>
      <c r="D99" s="46" t="inlineStr">
        <is>
          <t>员工聚餐</t>
        </is>
      </c>
      <c r="E99" s="47" t="n">
        <v>1098</v>
      </c>
      <c r="F99" s="47" t="n"/>
      <c r="G99" s="48">
        <f t="shared" si="4"/>
        <v>242403.73</v>
      </c>
      <c r="H99" s="43">
        <f t="shared" si="0"/>
      </c>
      <c r="I99" s="43" t="str">
        <f t="shared" si="5"/>
        <v>业务招待费</v>
      </c>
      <c r="J99" s="43">
        <f t="shared" si="1"/>
      </c>
      <c r="K99" s="49" t="str">
        <f t="shared" si="2"/>
        <v>√</v>
      </c>
      <c r="L99" s="45" t="n"/>
      <c r="M99" s="45" t="n"/>
      <c r="N99" s="45" t="n"/>
      <c r="O99" s="45" t="n"/>
      <c r="P99" s="50" t="n"/>
      <c r="R99" s="2">
        <f t="shared" si="6"/>
        <v>1098</v>
      </c>
      <c r="S99" s="2">
        <f t="shared" si="7"/>
        <v>202606</v>
      </c>
      <c r="T99" s="2">
        <f t="shared" si="8"/>
      </c>
      <c r="U99" s="2" t="str">
        <f t="shared" si="9"/>
        <v>业务招待费</v>
      </c>
      <c r="V99" s="2">
        <f t="shared" si="10"/>
      </c>
      <c r="W99" s="2" t="str">
        <f t="shared" si="11"/>
        <v>公司间接费</v>
      </c>
      <c r="X99" s="2" t="str">
        <f t="shared" si="12"/>
        <v>业务招待费</v>
      </c>
      <c r="Y99" s="2">
        <f t="shared" si="13"/>
        <v>0</v>
      </c>
      <c r="Z99" s="2">
        <f t="shared" si="14"/>
      </c>
      <c r="AA99" s="2">
        <f t="shared" si="15"/>
        <v>0</v>
      </c>
      <c r="AB99" s="2">
        <f t="shared" si="16"/>
      </c>
      <c r="AC99" s="2">
        <f t="shared" si="17"/>
      </c>
      <c r="AD99" s="2">
        <f t="shared" si="18"/>
      </c>
      <c r="AE99" s="2" t="str">
        <f t="shared" si="19"/>
        <v>银行</v>
      </c>
      <c r="AF99" s="2">
        <f t="shared" si="20"/>
      </c>
      <c r="AG99" s="2" t="str">
        <f t="shared" si="21"/>
        <v>业务招待费</v>
      </c>
      <c r="AH99" s="2" t="str">
        <f t="shared" si="22"/>
        <v>支</v>
      </c>
      <c r="AI99" s="2">
        <f t="shared" si="23"/>
      </c>
      <c r="AJ99" s="2">
        <f t="shared" si="24"/>
        <v>0</v>
      </c>
      <c r="AK99" s="2">
        <f t="shared" si="25"/>
        <v>0</v>
      </c>
      <c r="AL99" s="2">
        <f t="shared" si="26"/>
        <v>0</v>
      </c>
      <c r="AM99" s="2">
        <f t="shared" si="27"/>
        <v>0</v>
      </c>
      <c r="AN99" s="2">
        <f t="shared" si="28"/>
        <v>46181</v>
      </c>
      <c r="AO99" s="2">
        <f t="shared" si="29"/>
      </c>
      <c r="AP99" s="2">
        <f t="shared" si="30"/>
      </c>
      <c r="AQ99" s="2">
        <f t="shared" si="31"/>
      </c>
    </row>
    <row r="100">
      <c r="A100" s="43">
        <f t="shared" si="3"/>
        <v>95</v>
      </c>
      <c r="B100" s="44" t="n">
        <v>46181</v>
      </c>
      <c r="C100" s="45" t="inlineStr">
        <is>
          <t>九江银行</t>
        </is>
      </c>
      <c r="D100" s="46" t="inlineStr">
        <is>
          <t>邹桥派出所桥架款</t>
        </is>
      </c>
      <c r="E100" s="47" t="n"/>
      <c r="F100" s="47" t="n">
        <v>303.2</v>
      </c>
      <c r="G100" s="48">
        <f t="shared" si="4"/>
        <v>242100.53</v>
      </c>
      <c r="H100" s="43" t="str">
        <f t="shared" si="0"/>
        <v>邹桥派出所</v>
      </c>
      <c r="I100" s="43" t="str">
        <f t="shared" si="5"/>
        <v>材料费</v>
      </c>
      <c r="J100" s="43">
        <f t="shared" si="1"/>
      </c>
      <c r="K100" s="49" t="str">
        <f t="shared" si="2"/>
        <v>√</v>
      </c>
      <c r="L100" s="45" t="n"/>
      <c r="M100" s="45" t="n"/>
      <c r="N100" s="45" t="n"/>
      <c r="O100" s="45" t="n"/>
      <c r="P100" s="50" t="n"/>
      <c r="R100" s="2">
        <f t="shared" si="6"/>
        <v>-303.2</v>
      </c>
      <c r="S100" s="2">
        <f t="shared" si="7"/>
        <v>202606</v>
      </c>
      <c r="T100" s="2" t="str">
        <f t="shared" si="8"/>
        <v>邹桥派出所</v>
      </c>
      <c r="U100" s="2" t="str">
        <f t="shared" si="9"/>
        <v>材料费</v>
      </c>
      <c r="V100" s="2">
        <f t="shared" si="10"/>
      </c>
      <c r="W100" s="2" t="str">
        <f t="shared" si="11"/>
        <v>项目直接成本</v>
      </c>
      <c r="X100" s="2" t="str">
        <f t="shared" si="12"/>
        <v>材料费</v>
      </c>
      <c r="Y100" s="2">
        <f t="shared" si="13"/>
        <v>0</v>
      </c>
      <c r="Z100" s="2">
        <f t="shared" si="14"/>
      </c>
      <c r="AA100" s="2">
        <f t="shared" si="15"/>
        <v>0</v>
      </c>
      <c r="AB100" s="2">
        <f t="shared" si="16"/>
      </c>
      <c r="AC100" s="2">
        <f t="shared" si="17"/>
      </c>
      <c r="AD100" s="2">
        <f t="shared" si="18"/>
      </c>
      <c r="AE100" s="2" t="str">
        <f t="shared" si="19"/>
        <v>银行</v>
      </c>
      <c r="AF100" s="2">
        <f t="shared" si="20"/>
      </c>
      <c r="AG100" s="2" t="str">
        <f t="shared" si="21"/>
        <v>材料费</v>
      </c>
      <c r="AH100" s="2" t="str">
        <f t="shared" si="22"/>
        <v>支</v>
      </c>
      <c r="AI100" s="2" t="str">
        <f t="shared" si="23"/>
        <v>邹桥派出所</v>
      </c>
      <c r="AJ100" s="2">
        <f t="shared" si="24"/>
        <v>0</v>
      </c>
      <c r="AK100" s="2">
        <f t="shared" si="25"/>
        <v>7</v>
      </c>
      <c r="AL100" s="2">
        <f t="shared" si="26"/>
        <v>0</v>
      </c>
      <c r="AM100" s="2">
        <f t="shared" si="27"/>
        <v>0</v>
      </c>
      <c r="AN100" s="2">
        <f t="shared" si="28"/>
        <v>46181</v>
      </c>
      <c r="AO100" s="2">
        <f t="shared" si="29"/>
      </c>
      <c r="AP100" s="2">
        <f t="shared" si="30"/>
      </c>
      <c r="AQ100" s="2">
        <f t="shared" si="31"/>
      </c>
    </row>
    <row r="101">
      <c r="A101" s="43">
        <f t="shared" si="3"/>
        <v>96</v>
      </c>
      <c r="B101" s="44" t="n">
        <v>46181</v>
      </c>
      <c r="C101" s="45" t="inlineStr">
        <is>
          <t>九江银行</t>
        </is>
      </c>
      <c r="D101" s="46" t="inlineStr">
        <is>
          <t>员工聚餐</t>
        </is>
      </c>
      <c r="E101" s="47" t="n"/>
      <c r="F101" s="47" t="n">
        <v>1098</v>
      </c>
      <c r="G101" s="48">
        <f t="shared" si="4"/>
        <v>241002.53</v>
      </c>
      <c r="H101" s="43">
        <f t="shared" si="0"/>
      </c>
      <c r="I101" s="43" t="str">
        <f t="shared" si="5"/>
        <v>业务招待费</v>
      </c>
      <c r="J101" s="43">
        <f t="shared" si="1"/>
      </c>
      <c r="K101" s="49" t="str">
        <f t="shared" si="2"/>
        <v>√</v>
      </c>
      <c r="L101" s="45" t="n"/>
      <c r="M101" s="45" t="n"/>
      <c r="N101" s="45" t="n"/>
      <c r="O101" s="45" t="n"/>
      <c r="P101" s="50" t="n"/>
      <c r="R101" s="2">
        <f t="shared" si="6"/>
        <v>-1098</v>
      </c>
      <c r="S101" s="2">
        <f t="shared" si="7"/>
        <v>202606</v>
      </c>
      <c r="T101" s="2">
        <f t="shared" si="8"/>
      </c>
      <c r="U101" s="2" t="str">
        <f t="shared" si="9"/>
        <v>业务招待费</v>
      </c>
      <c r="V101" s="2">
        <f t="shared" si="10"/>
      </c>
      <c r="W101" s="2" t="str">
        <f t="shared" si="11"/>
        <v>公司间接费</v>
      </c>
      <c r="X101" s="2" t="str">
        <f t="shared" si="12"/>
        <v>业务招待费</v>
      </c>
      <c r="Y101" s="2">
        <f t="shared" si="13"/>
        <v>0</v>
      </c>
      <c r="Z101" s="2">
        <f t="shared" si="14"/>
      </c>
      <c r="AA101" s="2">
        <f t="shared" si="15"/>
        <v>0</v>
      </c>
      <c r="AB101" s="2">
        <f t="shared" si="16"/>
      </c>
      <c r="AC101" s="2">
        <f t="shared" si="17"/>
      </c>
      <c r="AD101" s="2">
        <f t="shared" si="18"/>
      </c>
      <c r="AE101" s="2" t="str">
        <f t="shared" si="19"/>
        <v>银行</v>
      </c>
      <c r="AF101" s="2">
        <f t="shared" si="20"/>
      </c>
      <c r="AG101" s="2" t="str">
        <f t="shared" si="21"/>
        <v>业务招待费</v>
      </c>
      <c r="AH101" s="2" t="str">
        <f t="shared" si="22"/>
        <v>支</v>
      </c>
      <c r="AI101" s="2">
        <f t="shared" si="23"/>
      </c>
      <c r="AJ101" s="2">
        <f t="shared" si="24"/>
        <v>0</v>
      </c>
      <c r="AK101" s="2">
        <f t="shared" si="25"/>
        <v>0</v>
      </c>
      <c r="AL101" s="2">
        <f t="shared" si="26"/>
        <v>0</v>
      </c>
      <c r="AM101" s="2">
        <f t="shared" si="27"/>
        <v>0</v>
      </c>
      <c r="AN101" s="2">
        <f t="shared" si="28"/>
        <v>46181</v>
      </c>
      <c r="AO101" s="2">
        <f t="shared" si="29"/>
      </c>
      <c r="AP101" s="2">
        <f t="shared" si="30"/>
      </c>
      <c r="AQ101" s="2">
        <f t="shared" si="31"/>
      </c>
    </row>
    <row r="102">
      <c r="A102" s="43">
        <f t="shared" si="3"/>
        <v>97</v>
      </c>
      <c r="B102" s="44" t="n">
        <v>46181</v>
      </c>
      <c r="C102" s="45" t="inlineStr">
        <is>
          <t>九江银行</t>
        </is>
      </c>
      <c r="D102" s="46" t="inlineStr">
        <is>
          <t>员工聚餐</t>
        </is>
      </c>
      <c r="E102" s="47" t="n">
        <v>1098</v>
      </c>
      <c r="F102" s="47" t="n"/>
      <c r="G102" s="48">
        <f t="shared" si="4"/>
        <v>242100.53</v>
      </c>
      <c r="H102" s="43">
        <f t="shared" si="0"/>
      </c>
      <c r="I102" s="43" t="str">
        <f t="shared" si="5"/>
        <v>业务招待费</v>
      </c>
      <c r="J102" s="43">
        <f t="shared" si="1"/>
      </c>
      <c r="K102" s="49" t="str">
        <f t="shared" si="2"/>
        <v>√</v>
      </c>
      <c r="L102" s="45" t="n"/>
      <c r="M102" s="45" t="n"/>
      <c r="N102" s="45" t="n"/>
      <c r="O102" s="45" t="n"/>
      <c r="P102" s="50" t="n"/>
      <c r="R102" s="2">
        <f t="shared" si="6"/>
        <v>1098</v>
      </c>
      <c r="S102" s="2">
        <f t="shared" si="7"/>
        <v>202606</v>
      </c>
      <c r="T102" s="2">
        <f t="shared" si="8"/>
      </c>
      <c r="U102" s="2" t="str">
        <f t="shared" si="9"/>
        <v>业务招待费</v>
      </c>
      <c r="V102" s="2">
        <f t="shared" si="10"/>
      </c>
      <c r="W102" s="2" t="str">
        <f t="shared" si="11"/>
        <v>公司间接费</v>
      </c>
      <c r="X102" s="2" t="str">
        <f t="shared" si="12"/>
        <v>业务招待费</v>
      </c>
      <c r="Y102" s="2">
        <f t="shared" si="13"/>
        <v>0</v>
      </c>
      <c r="Z102" s="2">
        <f t="shared" si="14"/>
      </c>
      <c r="AA102" s="2">
        <f t="shared" si="15"/>
        <v>0</v>
      </c>
      <c r="AB102" s="2">
        <f t="shared" si="16"/>
      </c>
      <c r="AC102" s="2">
        <f t="shared" si="17"/>
      </c>
      <c r="AD102" s="2">
        <f t="shared" si="18"/>
      </c>
      <c r="AE102" s="2" t="str">
        <f t="shared" si="19"/>
        <v>银行</v>
      </c>
      <c r="AF102" s="2">
        <f t="shared" si="20"/>
      </c>
      <c r="AG102" s="2" t="str">
        <f t="shared" si="21"/>
        <v>业务招待费</v>
      </c>
      <c r="AH102" s="2" t="str">
        <f t="shared" si="22"/>
        <v>支</v>
      </c>
      <c r="AI102" s="2">
        <f t="shared" si="23"/>
      </c>
      <c r="AJ102" s="2">
        <f t="shared" si="24"/>
        <v>0</v>
      </c>
      <c r="AK102" s="2">
        <f t="shared" si="25"/>
        <v>0</v>
      </c>
      <c r="AL102" s="2">
        <f t="shared" si="26"/>
        <v>0</v>
      </c>
      <c r="AM102" s="2">
        <f t="shared" si="27"/>
        <v>0</v>
      </c>
      <c r="AN102" s="2">
        <f t="shared" si="28"/>
        <v>46181</v>
      </c>
      <c r="AO102" s="2">
        <f t="shared" si="29"/>
      </c>
      <c r="AP102" s="2">
        <f t="shared" si="30"/>
      </c>
      <c r="AQ102" s="2">
        <f t="shared" si="31"/>
      </c>
    </row>
    <row r="103">
      <c r="A103" s="43">
        <f t="shared" si="3"/>
        <v>98</v>
      </c>
      <c r="B103" s="44" t="n">
        <v>46183</v>
      </c>
      <c r="C103" s="45" t="inlineStr">
        <is>
          <t>九江银行</t>
        </is>
      </c>
      <c r="D103" s="46" t="inlineStr">
        <is>
          <t>邹桥派出所检测报告</t>
        </is>
      </c>
      <c r="E103" s="47" t="n"/>
      <c r="F103" s="47" t="n">
        <v>2500</v>
      </c>
      <c r="G103" s="48">
        <f t="shared" si="4"/>
        <v>239600.53</v>
      </c>
      <c r="H103" s="43" t="str">
        <f t="shared" si="0"/>
        <v>邹桥派出所</v>
      </c>
      <c r="I103" s="43" t="str">
        <f t="shared" si="5"/>
        <v>其他直接费</v>
      </c>
      <c r="J103" s="43">
        <f t="shared" si="1"/>
      </c>
      <c r="K103" s="49" t="str">
        <f t="shared" si="2"/>
        <v>√</v>
      </c>
      <c r="L103" s="45" t="n"/>
      <c r="M103" s="45" t="n"/>
      <c r="N103" s="45" t="n"/>
      <c r="O103" s="45" t="n"/>
      <c r="P103" s="50" t="n"/>
      <c r="R103" s="2">
        <f t="shared" si="6"/>
        <v>-2500</v>
      </c>
      <c r="S103" s="2">
        <f t="shared" si="7"/>
        <v>202606</v>
      </c>
      <c r="T103" s="2" t="str">
        <f t="shared" si="8"/>
        <v>邹桥派出所</v>
      </c>
      <c r="U103" s="2" t="str">
        <f t="shared" si="9"/>
        <v>其他直接费</v>
      </c>
      <c r="V103" s="2">
        <f t="shared" si="10"/>
      </c>
      <c r="W103" s="2" t="str">
        <f t="shared" si="11"/>
        <v>项目直接成本</v>
      </c>
      <c r="X103" s="2" t="str">
        <f t="shared" si="12"/>
        <v>其他直接费</v>
      </c>
      <c r="Y103" s="2">
        <f t="shared" si="13"/>
        <v>0</v>
      </c>
      <c r="Z103" s="2">
        <f t="shared" si="14"/>
      </c>
      <c r="AA103" s="2">
        <f t="shared" si="15"/>
        <v>0</v>
      </c>
      <c r="AB103" s="2">
        <f t="shared" si="16"/>
      </c>
      <c r="AC103" s="2">
        <f t="shared" si="17"/>
      </c>
      <c r="AD103" s="2">
        <f t="shared" si="18"/>
      </c>
      <c r="AE103" s="2" t="str">
        <f t="shared" si="19"/>
        <v>银行</v>
      </c>
      <c r="AF103" s="2">
        <f t="shared" si="20"/>
      </c>
      <c r="AG103" s="2" t="str">
        <f t="shared" si="21"/>
        <v>其他直接费</v>
      </c>
      <c r="AH103" s="2" t="str">
        <f t="shared" si="22"/>
        <v>支</v>
      </c>
      <c r="AI103" s="2" t="str">
        <f t="shared" si="23"/>
        <v>邹桥派出所</v>
      </c>
      <c r="AJ103" s="2">
        <f t="shared" si="24"/>
        <v>0</v>
      </c>
      <c r="AK103" s="2">
        <f t="shared" si="25"/>
        <v>7</v>
      </c>
      <c r="AL103" s="2">
        <f t="shared" si="26"/>
        <v>0</v>
      </c>
      <c r="AM103" s="2">
        <f t="shared" si="27"/>
        <v>0</v>
      </c>
      <c r="AN103" s="2">
        <f t="shared" si="28"/>
        <v>46183</v>
      </c>
      <c r="AO103" s="2">
        <f t="shared" si="29"/>
      </c>
      <c r="AP103" s="2">
        <f t="shared" si="30"/>
      </c>
      <c r="AQ103" s="2">
        <f t="shared" si="31"/>
      </c>
    </row>
    <row r="104">
      <c r="A104" s="43">
        <f t="shared" si="3"/>
        <v>99</v>
      </c>
      <c r="B104" s="44" t="n">
        <v>46183</v>
      </c>
      <c r="C104" s="45" t="inlineStr">
        <is>
          <t>九江银行</t>
        </is>
      </c>
      <c r="D104" s="46" t="inlineStr">
        <is>
          <t>邹桥派出所检测报告</t>
        </is>
      </c>
      <c r="E104" s="47" t="n">
        <v>2500</v>
      </c>
      <c r="F104" s="47" t="n"/>
      <c r="G104" s="48">
        <f t="shared" si="4"/>
        <v>242100.53</v>
      </c>
      <c r="H104" s="43" t="str">
        <f t="shared" si="0"/>
        <v>邹桥派出所</v>
      </c>
      <c r="I104" s="43" t="str">
        <f t="shared" si="5"/>
        <v>其他直接费</v>
      </c>
      <c r="J104" s="43">
        <f t="shared" si="1"/>
      </c>
      <c r="K104" s="49" t="str">
        <f t="shared" si="2"/>
        <v>√</v>
      </c>
      <c r="L104" s="45" t="n"/>
      <c r="M104" s="45" t="n"/>
      <c r="N104" s="45" t="n"/>
      <c r="O104" s="45" t="n"/>
      <c r="P104" s="50" t="n"/>
      <c r="R104" s="2">
        <f t="shared" si="6"/>
        <v>2500</v>
      </c>
      <c r="S104" s="2">
        <f t="shared" si="7"/>
        <v>202606</v>
      </c>
      <c r="T104" s="2" t="str">
        <f t="shared" si="8"/>
        <v>邹桥派出所</v>
      </c>
      <c r="U104" s="2" t="str">
        <f t="shared" si="9"/>
        <v>其他直接费</v>
      </c>
      <c r="V104" s="2">
        <f t="shared" si="10"/>
      </c>
      <c r="W104" s="2" t="str">
        <f t="shared" si="11"/>
        <v>项目直接成本</v>
      </c>
      <c r="X104" s="2" t="str">
        <f t="shared" si="12"/>
        <v>其他直接费</v>
      </c>
      <c r="Y104" s="2">
        <f t="shared" si="13"/>
        <v>0</v>
      </c>
      <c r="Z104" s="2">
        <f t="shared" si="14"/>
      </c>
      <c r="AA104" s="2">
        <f t="shared" si="15"/>
        <v>0</v>
      </c>
      <c r="AB104" s="2">
        <f t="shared" si="16"/>
      </c>
      <c r="AC104" s="2">
        <f t="shared" si="17"/>
      </c>
      <c r="AD104" s="2">
        <f t="shared" si="18"/>
      </c>
      <c r="AE104" s="2" t="str">
        <f t="shared" si="19"/>
        <v>银行</v>
      </c>
      <c r="AF104" s="2">
        <f t="shared" si="20"/>
      </c>
      <c r="AG104" s="2" t="str">
        <f t="shared" si="21"/>
        <v>其他直接费</v>
      </c>
      <c r="AH104" s="2" t="str">
        <f t="shared" si="22"/>
        <v>支</v>
      </c>
      <c r="AI104" s="2" t="str">
        <f t="shared" si="23"/>
        <v>邹桥派出所</v>
      </c>
      <c r="AJ104" s="2">
        <f t="shared" si="24"/>
        <v>0</v>
      </c>
      <c r="AK104" s="2">
        <f t="shared" si="25"/>
        <v>7</v>
      </c>
      <c r="AL104" s="2">
        <f t="shared" si="26"/>
        <v>0</v>
      </c>
      <c r="AM104" s="2">
        <f t="shared" si="27"/>
        <v>0</v>
      </c>
      <c r="AN104" s="2">
        <f t="shared" si="28"/>
        <v>46183</v>
      </c>
      <c r="AO104" s="2">
        <f t="shared" si="29"/>
      </c>
      <c r="AP104" s="2">
        <f t="shared" si="30"/>
      </c>
      <c r="AQ104" s="2">
        <f t="shared" si="31"/>
      </c>
    </row>
    <row r="105">
      <c r="A105" s="43">
        <f t="shared" si="3"/>
        <v>100</v>
      </c>
      <c r="B105" s="44" t="n">
        <v>46183</v>
      </c>
      <c r="C105" s="45" t="inlineStr">
        <is>
          <t>九江银行</t>
        </is>
      </c>
      <c r="D105" s="46" t="inlineStr">
        <is>
          <t>邹桥派出所检测报告</t>
        </is>
      </c>
      <c r="E105" s="47" t="n"/>
      <c r="F105" s="47" t="n">
        <v>2500</v>
      </c>
      <c r="G105" s="48">
        <f t="shared" si="4"/>
        <v>239600.53</v>
      </c>
      <c r="H105" s="43" t="str">
        <f t="shared" si="0"/>
        <v>邹桥派出所</v>
      </c>
      <c r="I105" s="43" t="str">
        <f t="shared" si="5"/>
        <v>其他直接费</v>
      </c>
      <c r="J105" s="43">
        <f t="shared" si="1"/>
      </c>
      <c r="K105" s="49" t="str">
        <f t="shared" si="2"/>
        <v>√</v>
      </c>
      <c r="L105" s="45" t="n"/>
      <c r="M105" s="45" t="n"/>
      <c r="N105" s="45" t="n"/>
      <c r="O105" s="45" t="n"/>
      <c r="P105" s="50" t="n"/>
      <c r="R105" s="2">
        <f t="shared" si="6"/>
        <v>-2500</v>
      </c>
      <c r="S105" s="2">
        <f t="shared" si="7"/>
        <v>202606</v>
      </c>
      <c r="T105" s="2" t="str">
        <f t="shared" si="8"/>
        <v>邹桥派出所</v>
      </c>
      <c r="U105" s="2" t="str">
        <f t="shared" si="9"/>
        <v>其他直接费</v>
      </c>
      <c r="V105" s="2">
        <f t="shared" si="10"/>
      </c>
      <c r="W105" s="2" t="str">
        <f t="shared" si="11"/>
        <v>项目直接成本</v>
      </c>
      <c r="X105" s="2" t="str">
        <f t="shared" si="12"/>
        <v>其他直接费</v>
      </c>
      <c r="Y105" s="2">
        <f t="shared" si="13"/>
        <v>0</v>
      </c>
      <c r="Z105" s="2">
        <f t="shared" si="14"/>
      </c>
      <c r="AA105" s="2">
        <f t="shared" si="15"/>
        <v>0</v>
      </c>
      <c r="AB105" s="2">
        <f t="shared" si="16"/>
      </c>
      <c r="AC105" s="2">
        <f t="shared" si="17"/>
      </c>
      <c r="AD105" s="2">
        <f t="shared" si="18"/>
      </c>
      <c r="AE105" s="2" t="str">
        <f t="shared" si="19"/>
        <v>银行</v>
      </c>
      <c r="AF105" s="2">
        <f t="shared" si="20"/>
      </c>
      <c r="AG105" s="2" t="str">
        <f t="shared" si="21"/>
        <v>其他直接费</v>
      </c>
      <c r="AH105" s="2" t="str">
        <f t="shared" si="22"/>
        <v>支</v>
      </c>
      <c r="AI105" s="2" t="str">
        <f t="shared" si="23"/>
        <v>邹桥派出所</v>
      </c>
      <c r="AJ105" s="2">
        <f t="shared" si="24"/>
        <v>0</v>
      </c>
      <c r="AK105" s="2">
        <f t="shared" si="25"/>
        <v>7</v>
      </c>
      <c r="AL105" s="2">
        <f t="shared" si="26"/>
        <v>0</v>
      </c>
      <c r="AM105" s="2">
        <f t="shared" si="27"/>
        <v>0</v>
      </c>
      <c r="AN105" s="2">
        <f t="shared" si="28"/>
        <v>46183</v>
      </c>
      <c r="AO105" s="2">
        <f t="shared" si="29"/>
      </c>
      <c r="AP105" s="2">
        <f t="shared" si="30"/>
      </c>
      <c r="AQ105" s="2">
        <f t="shared" si="31"/>
      </c>
    </row>
    <row r="106">
      <c r="A106" s="43">
        <f t="shared" si="3"/>
        <v>101</v>
      </c>
      <c r="B106" s="44" t="n">
        <v>46184</v>
      </c>
      <c r="C106" s="45" t="inlineStr">
        <is>
          <t>九江银行</t>
        </is>
      </c>
      <c r="D106" s="46" t="inlineStr">
        <is>
          <t>聂辉个人借款</t>
        </is>
      </c>
      <c r="E106" s="47" t="n">
        <v>2000</v>
      </c>
      <c r="F106" s="47" t="n"/>
      <c r="G106" s="48">
        <f t="shared" si="4"/>
        <v>241600.53</v>
      </c>
      <c r="H106" s="43">
        <f t="shared" si="0"/>
      </c>
      <c r="I106" s="43" t="str">
        <f t="shared" si="5"/>
        <v>账户互转</v>
      </c>
      <c r="J106" s="43" t="str">
        <f t="shared" si="1"/>
        <v>聂辉</v>
      </c>
      <c r="K106" s="49" t="str">
        <f t="shared" si="2"/>
        <v>√</v>
      </c>
      <c r="L106" s="45" t="n"/>
      <c r="M106" s="45" t="n"/>
      <c r="N106" s="45" t="n"/>
      <c r="O106" s="45" t="n"/>
      <c r="P106" s="50" t="n"/>
      <c r="R106" s="2">
        <f t="shared" si="6"/>
        <v>2000</v>
      </c>
      <c r="S106" s="2">
        <f t="shared" si="7"/>
        <v>202606</v>
      </c>
      <c r="T106" s="2">
        <f t="shared" si="8"/>
      </c>
      <c r="U106" s="2" t="str">
        <f t="shared" si="9"/>
        <v>账户互转</v>
      </c>
      <c r="V106" s="2" t="str">
        <f t="shared" si="10"/>
        <v>聂辉</v>
      </c>
      <c r="W106" s="2" t="str">
        <f t="shared" si="11"/>
        <v>不进利润</v>
      </c>
      <c r="X106" s="2" t="str">
        <f t="shared" si="12"/>
        <v>账户互转</v>
      </c>
      <c r="Y106" s="2">
        <f t="shared" si="13"/>
        <v>0</v>
      </c>
      <c r="Z106" s="2" t="str">
        <f t="shared" si="14"/>
        <v>管理人员</v>
      </c>
      <c r="AA106" s="2">
        <f t="shared" si="15"/>
        <v>1</v>
      </c>
      <c r="AB106" s="2">
        <f t="shared" si="16"/>
      </c>
      <c r="AC106" s="2" t="str">
        <f t="shared" si="17"/>
        <v>聂辉个人户</v>
      </c>
      <c r="AD106" s="2" t="str">
        <f t="shared" si="18"/>
        <v>聂辉个人户</v>
      </c>
      <c r="AE106" s="2" t="str">
        <f t="shared" si="19"/>
        <v>银行</v>
      </c>
      <c r="AF106" s="2" t="str">
        <f t="shared" si="20"/>
        <v>个人户</v>
      </c>
      <c r="AG106" s="2" t="str">
        <f t="shared" si="21"/>
        <v>账户互转</v>
      </c>
      <c r="AH106" s="2" t="str">
        <f t="shared" si="22"/>
        <v>收</v>
      </c>
      <c r="AI106" s="2">
        <f t="shared" si="23"/>
      </c>
      <c r="AJ106" s="2">
        <f t="shared" si="24"/>
        <v>0</v>
      </c>
      <c r="AK106" s="2">
        <f t="shared" si="25"/>
        <v>0</v>
      </c>
      <c r="AL106" s="2">
        <f t="shared" si="26"/>
        <v>111</v>
      </c>
      <c r="AM106" s="2">
        <f t="shared" si="27"/>
        <v>0</v>
      </c>
      <c r="AN106" s="2">
        <f t="shared" si="28"/>
        <v>46184</v>
      </c>
      <c r="AO106" s="2">
        <f t="shared" si="29"/>
      </c>
      <c r="AP106" s="2">
        <f t="shared" si="30"/>
      </c>
      <c r="AQ106" s="2">
        <f t="shared" si="31"/>
      </c>
    </row>
    <row r="107">
      <c r="A107" s="43">
        <f t="shared" si="3"/>
        <v>102</v>
      </c>
      <c r="B107" s="44" t="n">
        <v>46184</v>
      </c>
      <c r="C107" s="45" t="inlineStr">
        <is>
          <t>九江银行</t>
        </is>
      </c>
      <c r="D107" s="46" t="inlineStr">
        <is>
          <t>室外消防阀门井盖</t>
        </is>
      </c>
      <c r="E107" s="47" t="n"/>
      <c r="F107" s="47" t="n">
        <v>1140</v>
      </c>
      <c r="G107" s="48">
        <f t="shared" si="4"/>
        <v>240460.53</v>
      </c>
      <c r="H107" s="43">
        <f t="shared" si="0"/>
      </c>
      <c r="I107" s="43" t="str">
        <f t="shared" si="5"/>
        <v>材料费</v>
      </c>
      <c r="J107" s="43">
        <f t="shared" si="1"/>
      </c>
      <c r="K107" s="49" t="str">
        <f t="shared" si="2"/>
        <v>✗ 这一笔要选项目（摘要里的项目没在【项目档案】的话先去加上）</v>
      </c>
      <c r="L107" s="45" t="n"/>
      <c r="M107" s="45" t="n"/>
      <c r="N107" s="45" t="n"/>
      <c r="O107" s="45" t="n"/>
      <c r="P107" s="50" t="n"/>
      <c r="R107" s="2">
        <f t="shared" si="6"/>
        <v>-1140</v>
      </c>
      <c r="S107" s="2">
        <f t="shared" si="7"/>
        <v>202606</v>
      </c>
      <c r="T107" s="2">
        <f t="shared" si="8"/>
      </c>
      <c r="U107" s="2" t="str">
        <f t="shared" si="9"/>
        <v>材料费</v>
      </c>
      <c r="V107" s="2">
        <f t="shared" si="10"/>
      </c>
      <c r="W107" s="2" t="str">
        <f t="shared" si="11"/>
        <v>项目直接成本</v>
      </c>
      <c r="X107" s="2" t="str">
        <f t="shared" si="12"/>
        <v>材料费</v>
      </c>
      <c r="Y107" s="2">
        <f t="shared" si="13"/>
        <v>0</v>
      </c>
      <c r="Z107" s="2">
        <f t="shared" si="14"/>
      </c>
      <c r="AA107" s="2">
        <f t="shared" si="15"/>
        <v>0</v>
      </c>
      <c r="AB107" s="2">
        <f t="shared" si="16"/>
      </c>
      <c r="AC107" s="2">
        <f t="shared" si="17"/>
      </c>
      <c r="AD107" s="2">
        <f t="shared" si="18"/>
      </c>
      <c r="AE107" s="2" t="str">
        <f t="shared" si="19"/>
        <v>银行</v>
      </c>
      <c r="AF107" s="2">
        <f t="shared" si="20"/>
      </c>
      <c r="AG107" s="2" t="str">
        <f t="shared" si="21"/>
        <v>材料费</v>
      </c>
      <c r="AH107" s="2" t="str">
        <f t="shared" si="22"/>
        <v>支</v>
      </c>
      <c r="AI107" s="2">
        <f t="shared" si="23"/>
      </c>
      <c r="AJ107" s="2">
        <f t="shared" si="24"/>
        <v>0</v>
      </c>
      <c r="AK107" s="2">
        <f t="shared" si="25"/>
        <v>0</v>
      </c>
      <c r="AL107" s="2">
        <f t="shared" si="26"/>
        <v>0</v>
      </c>
      <c r="AM107" s="2">
        <f t="shared" si="27"/>
        <v>0</v>
      </c>
      <c r="AN107" s="2">
        <f t="shared" si="28"/>
        <v>46184</v>
      </c>
      <c r="AO107" s="2">
        <f t="shared" si="29"/>
      </c>
      <c r="AP107" s="2">
        <f t="shared" si="30"/>
      </c>
      <c r="AQ107" s="2">
        <f t="shared" si="31"/>
      </c>
    </row>
    <row r="108">
      <c r="A108" s="43">
        <f t="shared" si="3"/>
        <v>103</v>
      </c>
      <c r="B108" s="44" t="n">
        <v>46188</v>
      </c>
      <c r="C108" s="45" t="inlineStr">
        <is>
          <t>九江银行</t>
        </is>
      </c>
      <c r="D108" s="46" t="inlineStr">
        <is>
          <t>聂辉个人借款</t>
        </is>
      </c>
      <c r="E108" s="47" t="n">
        <v>2000</v>
      </c>
      <c r="F108" s="47" t="n"/>
      <c r="G108" s="48">
        <f t="shared" si="4"/>
        <v>242460.53</v>
      </c>
      <c r="H108" s="43">
        <f t="shared" si="0"/>
      </c>
      <c r="I108" s="43" t="str">
        <f t="shared" si="5"/>
        <v>账户互转</v>
      </c>
      <c r="J108" s="43" t="str">
        <f t="shared" si="1"/>
        <v>聂辉</v>
      </c>
      <c r="K108" s="49" t="str">
        <f t="shared" si="2"/>
        <v>√</v>
      </c>
      <c r="L108" s="45" t="n"/>
      <c r="M108" s="45" t="n"/>
      <c r="N108" s="45" t="n"/>
      <c r="O108" s="45" t="n"/>
      <c r="P108" s="50" t="n"/>
      <c r="R108" s="2">
        <f t="shared" si="6"/>
        <v>2000</v>
      </c>
      <c r="S108" s="2">
        <f t="shared" si="7"/>
        <v>202606</v>
      </c>
      <c r="T108" s="2">
        <f t="shared" si="8"/>
      </c>
      <c r="U108" s="2" t="str">
        <f t="shared" si="9"/>
        <v>账户互转</v>
      </c>
      <c r="V108" s="2" t="str">
        <f t="shared" si="10"/>
        <v>聂辉</v>
      </c>
      <c r="W108" s="2" t="str">
        <f t="shared" si="11"/>
        <v>不进利润</v>
      </c>
      <c r="X108" s="2" t="str">
        <f t="shared" si="12"/>
        <v>账户互转</v>
      </c>
      <c r="Y108" s="2">
        <f t="shared" si="13"/>
        <v>0</v>
      </c>
      <c r="Z108" s="2" t="str">
        <f t="shared" si="14"/>
        <v>管理人员</v>
      </c>
      <c r="AA108" s="2">
        <f t="shared" si="15"/>
        <v>1</v>
      </c>
      <c r="AB108" s="2">
        <f t="shared" si="16"/>
      </c>
      <c r="AC108" s="2" t="str">
        <f t="shared" si="17"/>
        <v>聂辉个人户</v>
      </c>
      <c r="AD108" s="2" t="str">
        <f t="shared" si="18"/>
        <v>聂辉个人户</v>
      </c>
      <c r="AE108" s="2" t="str">
        <f t="shared" si="19"/>
        <v>银行</v>
      </c>
      <c r="AF108" s="2" t="str">
        <f t="shared" si="20"/>
        <v>个人户</v>
      </c>
      <c r="AG108" s="2" t="str">
        <f t="shared" si="21"/>
        <v>账户互转</v>
      </c>
      <c r="AH108" s="2" t="str">
        <f t="shared" si="22"/>
        <v>收</v>
      </c>
      <c r="AI108" s="2">
        <f t="shared" si="23"/>
      </c>
      <c r="AJ108" s="2">
        <f t="shared" si="24"/>
        <v>0</v>
      </c>
      <c r="AK108" s="2">
        <f t="shared" si="25"/>
        <v>0</v>
      </c>
      <c r="AL108" s="2">
        <f t="shared" si="26"/>
        <v>111</v>
      </c>
      <c r="AM108" s="2">
        <f t="shared" si="27"/>
        <v>0</v>
      </c>
      <c r="AN108" s="2">
        <f t="shared" si="28"/>
        <v>46188</v>
      </c>
      <c r="AO108" s="2">
        <f t="shared" si="29"/>
      </c>
      <c r="AP108" s="2">
        <f t="shared" si="30"/>
      </c>
      <c r="AQ108" s="2">
        <f t="shared" si="31"/>
      </c>
    </row>
    <row r="109">
      <c r="A109" s="43">
        <f t="shared" si="3"/>
        <v>104</v>
      </c>
      <c r="B109" s="44" t="n">
        <v>46188</v>
      </c>
      <c r="C109" s="45" t="inlineStr">
        <is>
          <t>九江银行</t>
        </is>
      </c>
      <c r="D109" s="46" t="inlineStr">
        <is>
          <t>隆世光伏检测报告</t>
        </is>
      </c>
      <c r="E109" s="47" t="n"/>
      <c r="F109" s="47" t="n">
        <v>2500</v>
      </c>
      <c r="G109" s="48">
        <f t="shared" si="4"/>
        <v>239960.53</v>
      </c>
      <c r="H109" s="43" t="str">
        <f t="shared" si="0"/>
        <v>隆世光伏</v>
      </c>
      <c r="I109" s="43" t="str">
        <f t="shared" si="5"/>
        <v>其他直接费</v>
      </c>
      <c r="J109" s="43">
        <f t="shared" si="1"/>
      </c>
      <c r="K109" s="49" t="str">
        <f t="shared" si="2"/>
        <v>√</v>
      </c>
      <c r="L109" s="45" t="n"/>
      <c r="M109" s="45" t="n"/>
      <c r="N109" s="45" t="n"/>
      <c r="O109" s="45" t="n"/>
      <c r="P109" s="50" t="n"/>
      <c r="R109" s="2">
        <f t="shared" si="6"/>
        <v>-2500</v>
      </c>
      <c r="S109" s="2">
        <f t="shared" si="7"/>
        <v>202606</v>
      </c>
      <c r="T109" s="2" t="str">
        <f t="shared" si="8"/>
        <v>隆世光伏</v>
      </c>
      <c r="U109" s="2" t="str">
        <f t="shared" si="9"/>
        <v>其他直接费</v>
      </c>
      <c r="V109" s="2">
        <f t="shared" si="10"/>
      </c>
      <c r="W109" s="2" t="str">
        <f t="shared" si="11"/>
        <v>项目直接成本</v>
      </c>
      <c r="X109" s="2" t="str">
        <f t="shared" si="12"/>
        <v>其他直接费</v>
      </c>
      <c r="Y109" s="2">
        <f t="shared" si="13"/>
        <v>0</v>
      </c>
      <c r="Z109" s="2">
        <f t="shared" si="14"/>
      </c>
      <c r="AA109" s="2">
        <f t="shared" si="15"/>
        <v>0</v>
      </c>
      <c r="AB109" s="2">
        <f t="shared" si="16"/>
      </c>
      <c r="AC109" s="2">
        <f t="shared" si="17"/>
      </c>
      <c r="AD109" s="2">
        <f t="shared" si="18"/>
      </c>
      <c r="AE109" s="2" t="str">
        <f t="shared" si="19"/>
        <v>银行</v>
      </c>
      <c r="AF109" s="2">
        <f t="shared" si="20"/>
      </c>
      <c r="AG109" s="2" t="str">
        <f t="shared" si="21"/>
        <v>其他直接费</v>
      </c>
      <c r="AH109" s="2" t="str">
        <f t="shared" si="22"/>
        <v>支</v>
      </c>
      <c r="AI109" s="2" t="str">
        <f t="shared" si="23"/>
        <v>隆世光伏</v>
      </c>
      <c r="AJ109" s="2">
        <f t="shared" si="24"/>
        <v>0</v>
      </c>
      <c r="AK109" s="2">
        <f t="shared" si="25"/>
        <v>21</v>
      </c>
      <c r="AL109" s="2">
        <f t="shared" si="26"/>
        <v>0</v>
      </c>
      <c r="AM109" s="2">
        <f t="shared" si="27"/>
        <v>0</v>
      </c>
      <c r="AN109" s="2">
        <f t="shared" si="28"/>
        <v>46188</v>
      </c>
      <c r="AO109" s="2">
        <f t="shared" si="29"/>
      </c>
      <c r="AP109" s="2">
        <f t="shared" si="30"/>
      </c>
      <c r="AQ109" s="2">
        <f t="shared" si="31"/>
      </c>
    </row>
    <row r="110">
      <c r="A110" s="43">
        <f t="shared" si="3"/>
        <v>105</v>
      </c>
      <c r="B110" s="44" t="n">
        <v>46188</v>
      </c>
      <c r="C110" s="45" t="inlineStr">
        <is>
          <t>九江银行</t>
        </is>
      </c>
      <c r="D110" s="46" t="inlineStr">
        <is>
          <t>隆世光伏检测报告</t>
        </is>
      </c>
      <c r="E110" s="47" t="n">
        <v>2500</v>
      </c>
      <c r="F110" s="47" t="n"/>
      <c r="G110" s="48">
        <f t="shared" si="4"/>
        <v>242460.53</v>
      </c>
      <c r="H110" s="43" t="str">
        <f t="shared" si="0"/>
        <v>隆世光伏</v>
      </c>
      <c r="I110" s="43" t="str">
        <f t="shared" si="5"/>
        <v>其他直接费</v>
      </c>
      <c r="J110" s="43">
        <f t="shared" si="1"/>
      </c>
      <c r="K110" s="49" t="str">
        <f t="shared" si="2"/>
        <v>√</v>
      </c>
      <c r="L110" s="45" t="n"/>
      <c r="M110" s="45" t="n"/>
      <c r="N110" s="45" t="n"/>
      <c r="O110" s="45" t="n"/>
      <c r="P110" s="50" t="n"/>
      <c r="R110" s="2">
        <f t="shared" si="6"/>
        <v>2500</v>
      </c>
      <c r="S110" s="2">
        <f t="shared" si="7"/>
        <v>202606</v>
      </c>
      <c r="T110" s="2" t="str">
        <f t="shared" si="8"/>
        <v>隆世光伏</v>
      </c>
      <c r="U110" s="2" t="str">
        <f t="shared" si="9"/>
        <v>其他直接费</v>
      </c>
      <c r="V110" s="2">
        <f t="shared" si="10"/>
      </c>
      <c r="W110" s="2" t="str">
        <f t="shared" si="11"/>
        <v>项目直接成本</v>
      </c>
      <c r="X110" s="2" t="str">
        <f t="shared" si="12"/>
        <v>其他直接费</v>
      </c>
      <c r="Y110" s="2">
        <f t="shared" si="13"/>
        <v>0</v>
      </c>
      <c r="Z110" s="2">
        <f t="shared" si="14"/>
      </c>
      <c r="AA110" s="2">
        <f t="shared" si="15"/>
        <v>0</v>
      </c>
      <c r="AB110" s="2">
        <f t="shared" si="16"/>
      </c>
      <c r="AC110" s="2">
        <f t="shared" si="17"/>
      </c>
      <c r="AD110" s="2">
        <f t="shared" si="18"/>
      </c>
      <c r="AE110" s="2" t="str">
        <f t="shared" si="19"/>
        <v>银行</v>
      </c>
      <c r="AF110" s="2">
        <f t="shared" si="20"/>
      </c>
      <c r="AG110" s="2" t="str">
        <f t="shared" si="21"/>
        <v>其他直接费</v>
      </c>
      <c r="AH110" s="2" t="str">
        <f t="shared" si="22"/>
        <v>支</v>
      </c>
      <c r="AI110" s="2" t="str">
        <f t="shared" si="23"/>
        <v>隆世光伏</v>
      </c>
      <c r="AJ110" s="2">
        <f t="shared" si="24"/>
        <v>0</v>
      </c>
      <c r="AK110" s="2">
        <f t="shared" si="25"/>
        <v>21</v>
      </c>
      <c r="AL110" s="2">
        <f t="shared" si="26"/>
        <v>0</v>
      </c>
      <c r="AM110" s="2">
        <f t="shared" si="27"/>
        <v>0</v>
      </c>
      <c r="AN110" s="2">
        <f t="shared" si="28"/>
        <v>46188</v>
      </c>
      <c r="AO110" s="2">
        <f t="shared" si="29"/>
      </c>
      <c r="AP110" s="2">
        <f t="shared" si="30"/>
      </c>
      <c r="AQ110" s="2">
        <f t="shared" si="31"/>
      </c>
    </row>
    <row r="111">
      <c r="A111" s="43">
        <f t="shared" si="3"/>
        <v>106</v>
      </c>
      <c r="B111" s="44" t="n">
        <v>46188</v>
      </c>
      <c r="C111" s="45" t="inlineStr">
        <is>
          <t>九江银行</t>
        </is>
      </c>
      <c r="D111" s="46" t="inlineStr">
        <is>
          <t>隆世光伏检测报告</t>
        </is>
      </c>
      <c r="E111" s="47" t="n"/>
      <c r="F111" s="47" t="n">
        <v>2500</v>
      </c>
      <c r="G111" s="48">
        <f t="shared" si="4"/>
        <v>239960.53</v>
      </c>
      <c r="H111" s="43" t="str">
        <f t="shared" si="0"/>
        <v>隆世光伏</v>
      </c>
      <c r="I111" s="43" t="str">
        <f t="shared" si="5"/>
        <v>其他直接费</v>
      </c>
      <c r="J111" s="43">
        <f t="shared" si="1"/>
      </c>
      <c r="K111" s="49" t="str">
        <f t="shared" si="2"/>
        <v>√</v>
      </c>
      <c r="L111" s="45" t="n"/>
      <c r="M111" s="45" t="n"/>
      <c r="N111" s="45" t="n"/>
      <c r="O111" s="45" t="n"/>
      <c r="P111" s="50" t="n"/>
      <c r="R111" s="2">
        <f t="shared" si="6"/>
        <v>-2500</v>
      </c>
      <c r="S111" s="2">
        <f t="shared" si="7"/>
        <v>202606</v>
      </c>
      <c r="T111" s="2" t="str">
        <f t="shared" si="8"/>
        <v>隆世光伏</v>
      </c>
      <c r="U111" s="2" t="str">
        <f t="shared" si="9"/>
        <v>其他直接费</v>
      </c>
      <c r="V111" s="2">
        <f t="shared" si="10"/>
      </c>
      <c r="W111" s="2" t="str">
        <f t="shared" si="11"/>
        <v>项目直接成本</v>
      </c>
      <c r="X111" s="2" t="str">
        <f t="shared" si="12"/>
        <v>其他直接费</v>
      </c>
      <c r="Y111" s="2">
        <f t="shared" si="13"/>
        <v>0</v>
      </c>
      <c r="Z111" s="2">
        <f t="shared" si="14"/>
      </c>
      <c r="AA111" s="2">
        <f t="shared" si="15"/>
        <v>0</v>
      </c>
      <c r="AB111" s="2">
        <f t="shared" si="16"/>
      </c>
      <c r="AC111" s="2">
        <f t="shared" si="17"/>
      </c>
      <c r="AD111" s="2">
        <f t="shared" si="18"/>
      </c>
      <c r="AE111" s="2" t="str">
        <f t="shared" si="19"/>
        <v>银行</v>
      </c>
      <c r="AF111" s="2">
        <f t="shared" si="20"/>
      </c>
      <c r="AG111" s="2" t="str">
        <f t="shared" si="21"/>
        <v>其他直接费</v>
      </c>
      <c r="AH111" s="2" t="str">
        <f t="shared" si="22"/>
        <v>支</v>
      </c>
      <c r="AI111" s="2" t="str">
        <f t="shared" si="23"/>
        <v>隆世光伏</v>
      </c>
      <c r="AJ111" s="2">
        <f t="shared" si="24"/>
        <v>0</v>
      </c>
      <c r="AK111" s="2">
        <f t="shared" si="25"/>
        <v>21</v>
      </c>
      <c r="AL111" s="2">
        <f t="shared" si="26"/>
        <v>0</v>
      </c>
      <c r="AM111" s="2">
        <f t="shared" si="27"/>
        <v>0</v>
      </c>
      <c r="AN111" s="2">
        <f t="shared" si="28"/>
        <v>46188</v>
      </c>
      <c r="AO111" s="2">
        <f t="shared" si="29"/>
      </c>
      <c r="AP111" s="2">
        <f t="shared" si="30"/>
      </c>
      <c r="AQ111" s="2">
        <f t="shared" si="31"/>
      </c>
    </row>
    <row r="112">
      <c r="A112" s="43">
        <f t="shared" si="3"/>
        <v>107</v>
      </c>
      <c r="B112" s="44" t="n">
        <v>46191</v>
      </c>
      <c r="C112" s="45" t="inlineStr">
        <is>
          <t>九江银行</t>
        </is>
      </c>
      <c r="D112" s="46" t="inlineStr">
        <is>
          <t>平安保险费退回</t>
        </is>
      </c>
      <c r="E112" s="47" t="n">
        <v>703.2</v>
      </c>
      <c r="F112" s="47" t="n"/>
      <c r="G112" s="48">
        <f t="shared" si="4"/>
        <v>240663.73</v>
      </c>
      <c r="H112" s="43">
        <f t="shared" si="0"/>
      </c>
      <c r="I112" s="43" t="str">
        <f t="shared" si="5"/>
        <v>车辆差旅</v>
      </c>
      <c r="J112" s="43">
        <f t="shared" si="1"/>
      </c>
      <c r="K112" s="49" t="str">
        <f t="shared" si="2"/>
        <v>√</v>
      </c>
      <c r="L112" s="45" t="n"/>
      <c r="M112" s="45" t="n"/>
      <c r="N112" s="45" t="n"/>
      <c r="O112" s="45" t="n"/>
      <c r="P112" s="50" t="n"/>
      <c r="R112" s="2">
        <f t="shared" si="6"/>
        <v>703.2</v>
      </c>
      <c r="S112" s="2">
        <f t="shared" si="7"/>
        <v>202606</v>
      </c>
      <c r="T112" s="2">
        <f t="shared" si="8"/>
      </c>
      <c r="U112" s="2" t="str">
        <f t="shared" si="9"/>
        <v>车辆差旅</v>
      </c>
      <c r="V112" s="2">
        <f t="shared" si="10"/>
      </c>
      <c r="W112" s="2" t="str">
        <f t="shared" si="11"/>
        <v>公司间接费</v>
      </c>
      <c r="X112" s="2" t="str">
        <f t="shared" si="12"/>
        <v>车辆差旅</v>
      </c>
      <c r="Y112" s="2">
        <f t="shared" si="13"/>
        <v>0</v>
      </c>
      <c r="Z112" s="2">
        <f t="shared" si="14"/>
      </c>
      <c r="AA112" s="2">
        <f t="shared" si="15"/>
        <v>0</v>
      </c>
      <c r="AB112" s="2">
        <f t="shared" si="16"/>
      </c>
      <c r="AC112" s="2">
        <f t="shared" si="17"/>
      </c>
      <c r="AD112" s="2">
        <f t="shared" si="18"/>
      </c>
      <c r="AE112" s="2" t="str">
        <f t="shared" si="19"/>
        <v>银行</v>
      </c>
      <c r="AF112" s="2">
        <f t="shared" si="20"/>
      </c>
      <c r="AG112" s="2" t="str">
        <f t="shared" si="21"/>
        <v>车辆差旅</v>
      </c>
      <c r="AH112" s="2" t="str">
        <f t="shared" si="22"/>
        <v>支</v>
      </c>
      <c r="AI112" s="2">
        <f t="shared" si="23"/>
      </c>
      <c r="AJ112" s="2">
        <f t="shared" si="24"/>
        <v>0</v>
      </c>
      <c r="AK112" s="2">
        <f t="shared" si="25"/>
        <v>0</v>
      </c>
      <c r="AL112" s="2">
        <f t="shared" si="26"/>
        <v>0</v>
      </c>
      <c r="AM112" s="2">
        <f t="shared" si="27"/>
        <v>0</v>
      </c>
      <c r="AN112" s="2">
        <f t="shared" si="28"/>
        <v>46191</v>
      </c>
      <c r="AO112" s="2">
        <f t="shared" si="29"/>
      </c>
      <c r="AP112" s="2">
        <f t="shared" si="30"/>
      </c>
      <c r="AQ112" s="2">
        <f t="shared" si="31"/>
      </c>
    </row>
    <row r="113">
      <c r="A113" s="43">
        <f t="shared" si="3"/>
        <v>108</v>
      </c>
      <c r="B113" s="44" t="n">
        <v>46191</v>
      </c>
      <c r="C113" s="45" t="inlineStr">
        <is>
          <t>九江银行</t>
        </is>
      </c>
      <c r="D113" s="46" t="inlineStr">
        <is>
          <t>聂辉个人借款</t>
        </is>
      </c>
      <c r="E113" s="47" t="n">
        <v>5000</v>
      </c>
      <c r="F113" s="47" t="n"/>
      <c r="G113" s="48">
        <f t="shared" si="4"/>
        <v>245663.73</v>
      </c>
      <c r="H113" s="43">
        <f t="shared" si="0"/>
      </c>
      <c r="I113" s="43" t="str">
        <f t="shared" si="5"/>
        <v>账户互转</v>
      </c>
      <c r="J113" s="43" t="str">
        <f t="shared" si="1"/>
        <v>聂辉</v>
      </c>
      <c r="K113" s="49" t="str">
        <f t="shared" si="2"/>
        <v>√</v>
      </c>
      <c r="L113" s="45" t="n"/>
      <c r="M113" s="45" t="n"/>
      <c r="N113" s="45" t="n"/>
      <c r="O113" s="45" t="n"/>
      <c r="P113" s="50" t="n"/>
      <c r="R113" s="2">
        <f t="shared" si="6"/>
        <v>5000</v>
      </c>
      <c r="S113" s="2">
        <f t="shared" si="7"/>
        <v>202606</v>
      </c>
      <c r="T113" s="2">
        <f t="shared" si="8"/>
      </c>
      <c r="U113" s="2" t="str">
        <f t="shared" si="9"/>
        <v>账户互转</v>
      </c>
      <c r="V113" s="2" t="str">
        <f t="shared" si="10"/>
        <v>聂辉</v>
      </c>
      <c r="W113" s="2" t="str">
        <f t="shared" si="11"/>
        <v>不进利润</v>
      </c>
      <c r="X113" s="2" t="str">
        <f t="shared" si="12"/>
        <v>账户互转</v>
      </c>
      <c r="Y113" s="2">
        <f t="shared" si="13"/>
        <v>0</v>
      </c>
      <c r="Z113" s="2" t="str">
        <f t="shared" si="14"/>
        <v>管理人员</v>
      </c>
      <c r="AA113" s="2">
        <f t="shared" si="15"/>
        <v>1</v>
      </c>
      <c r="AB113" s="2">
        <f t="shared" si="16"/>
      </c>
      <c r="AC113" s="2" t="str">
        <f t="shared" si="17"/>
        <v>聂辉个人户</v>
      </c>
      <c r="AD113" s="2" t="str">
        <f t="shared" si="18"/>
        <v>聂辉个人户</v>
      </c>
      <c r="AE113" s="2" t="str">
        <f t="shared" si="19"/>
        <v>银行</v>
      </c>
      <c r="AF113" s="2" t="str">
        <f t="shared" si="20"/>
        <v>个人户</v>
      </c>
      <c r="AG113" s="2" t="str">
        <f t="shared" si="21"/>
        <v>账户互转</v>
      </c>
      <c r="AH113" s="2" t="str">
        <f t="shared" si="22"/>
        <v>收</v>
      </c>
      <c r="AI113" s="2">
        <f t="shared" si="23"/>
      </c>
      <c r="AJ113" s="2">
        <f t="shared" si="24"/>
        <v>0</v>
      </c>
      <c r="AK113" s="2">
        <f t="shared" si="25"/>
        <v>0</v>
      </c>
      <c r="AL113" s="2">
        <f t="shared" si="26"/>
        <v>111</v>
      </c>
      <c r="AM113" s="2">
        <f t="shared" si="27"/>
        <v>0</v>
      </c>
      <c r="AN113" s="2">
        <f t="shared" si="28"/>
        <v>46191</v>
      </c>
      <c r="AO113" s="2">
        <f t="shared" si="29"/>
      </c>
      <c r="AP113" s="2">
        <f t="shared" si="30"/>
      </c>
      <c r="AQ113" s="2">
        <f t="shared" si="31"/>
      </c>
    </row>
    <row r="114">
      <c r="A114" s="43">
        <f t="shared" si="3"/>
        <v>109</v>
      </c>
      <c r="B114" s="44" t="n">
        <v>46191</v>
      </c>
      <c r="C114" s="45" t="inlineStr">
        <is>
          <t>九江银行</t>
        </is>
      </c>
      <c r="D114" s="46" t="inlineStr">
        <is>
          <t>付邓泽贵工资</t>
        </is>
      </c>
      <c r="E114" s="47" t="n"/>
      <c r="F114" s="47" t="n">
        <v>3000</v>
      </c>
      <c r="G114" s="48">
        <f t="shared" si="4"/>
        <v>242663.73</v>
      </c>
      <c r="H114" s="43">
        <f t="shared" si="0"/>
      </c>
      <c r="I114" s="43" t="str">
        <f t="shared" si="5"/>
        <v>工资</v>
      </c>
      <c r="J114" s="43" t="str">
        <f t="shared" si="1"/>
        <v>邓泽贵</v>
      </c>
      <c r="K114" s="49" t="str">
        <f t="shared" si="2"/>
        <v>√</v>
      </c>
      <c r="L114" s="45" t="n"/>
      <c r="M114" s="45" t="n"/>
      <c r="N114" s="45" t="n"/>
      <c r="O114" s="45" t="n"/>
      <c r="P114" s="50" t="n"/>
      <c r="R114" s="2">
        <f t="shared" si="6"/>
        <v>-3000</v>
      </c>
      <c r="S114" s="2">
        <f t="shared" si="7"/>
        <v>202606</v>
      </c>
      <c r="T114" s="2">
        <f t="shared" si="8"/>
      </c>
      <c r="U114" s="2" t="str">
        <f t="shared" si="9"/>
        <v>工资</v>
      </c>
      <c r="V114" s="2" t="str">
        <f t="shared" si="10"/>
        <v>邓泽贵</v>
      </c>
      <c r="W114" s="2" t="str">
        <f t="shared" si="11"/>
        <v>不进利润</v>
      </c>
      <c r="X114" s="2" t="str">
        <f t="shared" si="12"/>
        <v>应付职工薪酬</v>
      </c>
      <c r="Y114" s="2">
        <f t="shared" si="13"/>
        <v>0</v>
      </c>
      <c r="Z114" s="2" t="str">
        <f t="shared" si="14"/>
        <v>工人</v>
      </c>
      <c r="AA114" s="2">
        <f t="shared" si="15"/>
        <v>1</v>
      </c>
      <c r="AB114" s="2">
        <f t="shared" si="16"/>
      </c>
      <c r="AC114" s="2">
        <f t="shared" si="17"/>
      </c>
      <c r="AD114" s="2">
        <f t="shared" si="18"/>
      </c>
      <c r="AE114" s="2" t="str">
        <f t="shared" si="19"/>
        <v>银行</v>
      </c>
      <c r="AF114" s="2">
        <f t="shared" si="20"/>
      </c>
      <c r="AG114" s="2" t="str">
        <f t="shared" si="21"/>
        <v>工资</v>
      </c>
      <c r="AH114" s="2" t="str">
        <f t="shared" si="22"/>
        <v>支</v>
      </c>
      <c r="AI114" s="2">
        <f t="shared" si="23"/>
      </c>
      <c r="AJ114" s="2">
        <f t="shared" si="24"/>
        <v>0</v>
      </c>
      <c r="AK114" s="2">
        <f t="shared" si="25"/>
        <v>0</v>
      </c>
      <c r="AL114" s="2">
        <f t="shared" si="26"/>
        <v>52</v>
      </c>
      <c r="AM114" s="2">
        <f t="shared" si="27"/>
        <v>0</v>
      </c>
      <c r="AN114" s="2">
        <f t="shared" si="28"/>
        <v>46191</v>
      </c>
      <c r="AO114" s="2">
        <f t="shared" si="29"/>
      </c>
      <c r="AP114" s="2" t="str">
        <f t="shared" si="30"/>
        <v>邓泽贵|2</v>
      </c>
      <c r="AQ114" s="2">
        <f t="shared" si="31"/>
      </c>
    </row>
    <row r="115">
      <c r="A115" s="43">
        <f t="shared" si="3"/>
        <v>110</v>
      </c>
      <c r="B115" s="44" t="n">
        <v>46191</v>
      </c>
      <c r="C115" s="45" t="inlineStr">
        <is>
          <t>九江银行</t>
        </is>
      </c>
      <c r="D115" s="46" t="inlineStr">
        <is>
          <t>闵清林工资</t>
        </is>
      </c>
      <c r="E115" s="47" t="n"/>
      <c r="F115" s="47" t="n">
        <v>2000</v>
      </c>
      <c r="G115" s="48">
        <f t="shared" si="4"/>
        <v>240663.73</v>
      </c>
      <c r="H115" s="43">
        <f t="shared" si="0"/>
      </c>
      <c r="I115" s="43" t="str">
        <f t="shared" si="5"/>
        <v>工资</v>
      </c>
      <c r="J115" s="43" t="str">
        <f t="shared" si="1"/>
        <v>闵清林</v>
      </c>
      <c r="K115" s="49" t="str">
        <f t="shared" si="2"/>
        <v>√</v>
      </c>
      <c r="L115" s="45" t="n"/>
      <c r="M115" s="45" t="n"/>
      <c r="N115" s="45" t="n"/>
      <c r="O115" s="45" t="n"/>
      <c r="P115" s="50" t="n"/>
      <c r="R115" s="2">
        <f t="shared" si="6"/>
        <v>-2000</v>
      </c>
      <c r="S115" s="2">
        <f t="shared" si="7"/>
        <v>202606</v>
      </c>
      <c r="T115" s="2">
        <f t="shared" si="8"/>
      </c>
      <c r="U115" s="2" t="str">
        <f t="shared" si="9"/>
        <v>工资</v>
      </c>
      <c r="V115" s="2" t="str">
        <f t="shared" si="10"/>
        <v>闵清林</v>
      </c>
      <c r="W115" s="2" t="str">
        <f t="shared" si="11"/>
        <v>不进利润</v>
      </c>
      <c r="X115" s="2" t="str">
        <f t="shared" si="12"/>
        <v>应付职工薪酬</v>
      </c>
      <c r="Y115" s="2">
        <f t="shared" si="13"/>
        <v>0</v>
      </c>
      <c r="Z115" s="2" t="str">
        <f t="shared" si="14"/>
        <v>工人</v>
      </c>
      <c r="AA115" s="2">
        <f t="shared" si="15"/>
        <v>1</v>
      </c>
      <c r="AB115" s="2">
        <f t="shared" si="16"/>
      </c>
      <c r="AC115" s="2">
        <f t="shared" si="17"/>
      </c>
      <c r="AD115" s="2">
        <f t="shared" si="18"/>
      </c>
      <c r="AE115" s="2" t="str">
        <f t="shared" si="19"/>
        <v>银行</v>
      </c>
      <c r="AF115" s="2">
        <f t="shared" si="20"/>
      </c>
      <c r="AG115" s="2" t="str">
        <f t="shared" si="21"/>
        <v>工资</v>
      </c>
      <c r="AH115" s="2" t="str">
        <f t="shared" si="22"/>
        <v>支</v>
      </c>
      <c r="AI115" s="2">
        <f t="shared" si="23"/>
      </c>
      <c r="AJ115" s="2">
        <f t="shared" si="24"/>
        <v>0</v>
      </c>
      <c r="AK115" s="2">
        <f t="shared" si="25"/>
        <v>0</v>
      </c>
      <c r="AL115" s="2">
        <f t="shared" si="26"/>
        <v>54</v>
      </c>
      <c r="AM115" s="2">
        <f t="shared" si="27"/>
        <v>0</v>
      </c>
      <c r="AN115" s="2">
        <f t="shared" si="28"/>
        <v>46191</v>
      </c>
      <c r="AO115" s="2">
        <f t="shared" si="29"/>
      </c>
      <c r="AP115" s="2" t="str">
        <f t="shared" si="30"/>
        <v>闵清林|3</v>
      </c>
      <c r="AQ115" s="2">
        <f t="shared" si="31"/>
      </c>
    </row>
    <row r="116">
      <c r="A116" s="43">
        <f t="shared" si="3"/>
        <v>111</v>
      </c>
      <c r="B116" s="44" t="n">
        <v>46191</v>
      </c>
      <c r="C116" s="45" t="inlineStr">
        <is>
          <t>九江银行</t>
        </is>
      </c>
      <c r="D116" s="46" t="inlineStr">
        <is>
          <t>闵清林工资</t>
        </is>
      </c>
      <c r="E116" s="47" t="n"/>
      <c r="F116" s="47" t="n">
        <v>700</v>
      </c>
      <c r="G116" s="48">
        <f t="shared" si="4"/>
        <v>239963.73</v>
      </c>
      <c r="H116" s="43">
        <f t="shared" si="0"/>
      </c>
      <c r="I116" s="43" t="str">
        <f t="shared" si="5"/>
        <v>工资</v>
      </c>
      <c r="J116" s="43" t="str">
        <f t="shared" si="1"/>
        <v>闵清林</v>
      </c>
      <c r="K116" s="49" t="str">
        <f t="shared" si="2"/>
        <v>√</v>
      </c>
      <c r="L116" s="45" t="n"/>
      <c r="M116" s="45" t="n"/>
      <c r="N116" s="45" t="n"/>
      <c r="O116" s="45" t="n"/>
      <c r="P116" s="50" t="n"/>
      <c r="R116" s="2">
        <f t="shared" si="6"/>
        <v>-700</v>
      </c>
      <c r="S116" s="2">
        <f t="shared" si="7"/>
        <v>202606</v>
      </c>
      <c r="T116" s="2">
        <f t="shared" si="8"/>
      </c>
      <c r="U116" s="2" t="str">
        <f t="shared" si="9"/>
        <v>工资</v>
      </c>
      <c r="V116" s="2" t="str">
        <f t="shared" si="10"/>
        <v>闵清林</v>
      </c>
      <c r="W116" s="2" t="str">
        <f t="shared" si="11"/>
        <v>不进利润</v>
      </c>
      <c r="X116" s="2" t="str">
        <f t="shared" si="12"/>
        <v>应付职工薪酬</v>
      </c>
      <c r="Y116" s="2">
        <f t="shared" si="13"/>
        <v>0</v>
      </c>
      <c r="Z116" s="2" t="str">
        <f t="shared" si="14"/>
        <v>工人</v>
      </c>
      <c r="AA116" s="2">
        <f t="shared" si="15"/>
        <v>1</v>
      </c>
      <c r="AB116" s="2">
        <f t="shared" si="16"/>
      </c>
      <c r="AC116" s="2">
        <f t="shared" si="17"/>
      </c>
      <c r="AD116" s="2">
        <f t="shared" si="18"/>
      </c>
      <c r="AE116" s="2" t="str">
        <f t="shared" si="19"/>
        <v>银行</v>
      </c>
      <c r="AF116" s="2">
        <f t="shared" si="20"/>
      </c>
      <c r="AG116" s="2" t="str">
        <f t="shared" si="21"/>
        <v>工资</v>
      </c>
      <c r="AH116" s="2" t="str">
        <f t="shared" si="22"/>
        <v>支</v>
      </c>
      <c r="AI116" s="2">
        <f t="shared" si="23"/>
      </c>
      <c r="AJ116" s="2">
        <f t="shared" si="24"/>
        <v>0</v>
      </c>
      <c r="AK116" s="2">
        <f t="shared" si="25"/>
        <v>0</v>
      </c>
      <c r="AL116" s="2">
        <f t="shared" si="26"/>
        <v>54</v>
      </c>
      <c r="AM116" s="2">
        <f t="shared" si="27"/>
        <v>0</v>
      </c>
      <c r="AN116" s="2">
        <f t="shared" si="28"/>
        <v>46191</v>
      </c>
      <c r="AO116" s="2">
        <f t="shared" si="29"/>
      </c>
      <c r="AP116" s="2" t="str">
        <f t="shared" si="30"/>
        <v>闵清林|3</v>
      </c>
      <c r="AQ116" s="2">
        <f t="shared" si="31"/>
      </c>
    </row>
    <row r="117">
      <c r="A117" s="43">
        <f t="shared" si="3"/>
        <v>112</v>
      </c>
      <c r="B117" s="44" t="n">
        <v>46193</v>
      </c>
      <c r="C117" s="45" t="inlineStr">
        <is>
          <t>九江银行</t>
        </is>
      </c>
      <c r="D117" s="46" t="inlineStr">
        <is>
          <t>支付贷款利息</t>
        </is>
      </c>
      <c r="E117" s="47" t="n"/>
      <c r="F117" s="47" t="n">
        <v>588</v>
      </c>
      <c r="G117" s="48">
        <f t="shared" si="4"/>
        <v>239375.73</v>
      </c>
      <c r="H117" s="43">
        <f t="shared" si="0"/>
      </c>
      <c r="I117" s="43" t="str">
        <f t="shared" si="5"/>
        <v>利息支出</v>
      </c>
      <c r="J117" s="43">
        <f t="shared" si="1"/>
      </c>
      <c r="K117" s="49" t="str">
        <f t="shared" si="2"/>
        <v>√</v>
      </c>
      <c r="L117" s="45" t="n"/>
      <c r="M117" s="45" t="n"/>
      <c r="N117" s="45" t="n"/>
      <c r="O117" s="45" t="n"/>
      <c r="P117" s="50" t="n"/>
      <c r="R117" s="2">
        <f t="shared" si="6"/>
        <v>-588</v>
      </c>
      <c r="S117" s="2">
        <f t="shared" si="7"/>
        <v>202606</v>
      </c>
      <c r="T117" s="2">
        <f t="shared" si="8"/>
      </c>
      <c r="U117" s="2" t="str">
        <f t="shared" si="9"/>
        <v>利息支出</v>
      </c>
      <c r="V117" s="2">
        <f t="shared" si="10"/>
      </c>
      <c r="W117" s="2" t="str">
        <f t="shared" si="11"/>
        <v>公司不分摊</v>
      </c>
      <c r="X117" s="2" t="str">
        <f t="shared" si="12"/>
        <v>利息支出</v>
      </c>
      <c r="Y117" s="2">
        <f t="shared" si="13"/>
        <v>0</v>
      </c>
      <c r="Z117" s="2">
        <f t="shared" si="14"/>
      </c>
      <c r="AA117" s="2">
        <f t="shared" si="15"/>
        <v>0</v>
      </c>
      <c r="AB117" s="2">
        <f t="shared" si="16"/>
      </c>
      <c r="AC117" s="2">
        <f t="shared" si="17"/>
      </c>
      <c r="AD117" s="2">
        <f t="shared" si="18"/>
      </c>
      <c r="AE117" s="2" t="str">
        <f t="shared" si="19"/>
        <v>银行</v>
      </c>
      <c r="AF117" s="2">
        <f t="shared" si="20"/>
      </c>
      <c r="AG117" s="2" t="str">
        <f t="shared" si="21"/>
        <v>利息支出</v>
      </c>
      <c r="AH117" s="2" t="str">
        <f t="shared" si="22"/>
        <v>支</v>
      </c>
      <c r="AI117" s="2">
        <f t="shared" si="23"/>
      </c>
      <c r="AJ117" s="2">
        <f t="shared" si="24"/>
        <v>0</v>
      </c>
      <c r="AK117" s="2">
        <f t="shared" si="25"/>
        <v>0</v>
      </c>
      <c r="AL117" s="2">
        <f t="shared" si="26"/>
        <v>0</v>
      </c>
      <c r="AM117" s="2">
        <f t="shared" si="27"/>
        <v>0</v>
      </c>
      <c r="AN117" s="2">
        <f t="shared" si="28"/>
        <v>46193</v>
      </c>
      <c r="AO117" s="2">
        <f t="shared" si="29"/>
      </c>
      <c r="AP117" s="2">
        <f t="shared" si="30"/>
      </c>
      <c r="AQ117" s="2">
        <f t="shared" si="31"/>
      </c>
    </row>
    <row r="118">
      <c r="A118" s="43">
        <f t="shared" si="3"/>
        <v>113</v>
      </c>
      <c r="B118" s="44" t="n">
        <v>46193</v>
      </c>
      <c r="C118" s="45" t="inlineStr">
        <is>
          <t>九江银行</t>
        </is>
      </c>
      <c r="D118" s="46" t="inlineStr">
        <is>
          <t>支付贷款利息</t>
        </is>
      </c>
      <c r="E118" s="47" t="n">
        <v>588</v>
      </c>
      <c r="F118" s="47" t="n"/>
      <c r="G118" s="48">
        <f t="shared" si="4"/>
        <v>239963.73</v>
      </c>
      <c r="H118" s="43">
        <f t="shared" si="0"/>
      </c>
      <c r="I118" s="43" t="str">
        <f t="shared" si="5"/>
        <v>利息支出</v>
      </c>
      <c r="J118" s="43">
        <f t="shared" si="1"/>
      </c>
      <c r="K118" s="49" t="str">
        <f t="shared" si="2"/>
        <v>√</v>
      </c>
      <c r="L118" s="45" t="n"/>
      <c r="M118" s="45" t="n"/>
      <c r="N118" s="45" t="n"/>
      <c r="O118" s="45" t="n"/>
      <c r="P118" s="50" t="n"/>
      <c r="R118" s="2">
        <f t="shared" si="6"/>
        <v>588</v>
      </c>
      <c r="S118" s="2">
        <f t="shared" si="7"/>
        <v>202606</v>
      </c>
      <c r="T118" s="2">
        <f t="shared" si="8"/>
      </c>
      <c r="U118" s="2" t="str">
        <f t="shared" si="9"/>
        <v>利息支出</v>
      </c>
      <c r="V118" s="2">
        <f t="shared" si="10"/>
      </c>
      <c r="W118" s="2" t="str">
        <f t="shared" si="11"/>
        <v>公司不分摊</v>
      </c>
      <c r="X118" s="2" t="str">
        <f t="shared" si="12"/>
        <v>利息支出</v>
      </c>
      <c r="Y118" s="2">
        <f t="shared" si="13"/>
        <v>0</v>
      </c>
      <c r="Z118" s="2">
        <f t="shared" si="14"/>
      </c>
      <c r="AA118" s="2">
        <f t="shared" si="15"/>
        <v>0</v>
      </c>
      <c r="AB118" s="2">
        <f t="shared" si="16"/>
      </c>
      <c r="AC118" s="2">
        <f t="shared" si="17"/>
      </c>
      <c r="AD118" s="2">
        <f t="shared" si="18"/>
      </c>
      <c r="AE118" s="2" t="str">
        <f t="shared" si="19"/>
        <v>银行</v>
      </c>
      <c r="AF118" s="2">
        <f t="shared" si="20"/>
      </c>
      <c r="AG118" s="2" t="str">
        <f t="shared" si="21"/>
        <v>利息支出</v>
      </c>
      <c r="AH118" s="2" t="str">
        <f t="shared" si="22"/>
        <v>支</v>
      </c>
      <c r="AI118" s="2">
        <f t="shared" si="23"/>
      </c>
      <c r="AJ118" s="2">
        <f t="shared" si="24"/>
        <v>0</v>
      </c>
      <c r="AK118" s="2">
        <f t="shared" si="25"/>
        <v>0</v>
      </c>
      <c r="AL118" s="2">
        <f t="shared" si="26"/>
        <v>0</v>
      </c>
      <c r="AM118" s="2">
        <f t="shared" si="27"/>
        <v>0</v>
      </c>
      <c r="AN118" s="2">
        <f t="shared" si="28"/>
        <v>46193</v>
      </c>
      <c r="AO118" s="2">
        <f t="shared" si="29"/>
      </c>
      <c r="AP118" s="2">
        <f t="shared" si="30"/>
      </c>
      <c r="AQ118" s="2">
        <f t="shared" si="31"/>
      </c>
    </row>
    <row r="119">
      <c r="A119" s="43">
        <f t="shared" si="3"/>
        <v>114</v>
      </c>
      <c r="B119" s="44" t="n">
        <v>46193</v>
      </c>
      <c r="C119" s="45" t="inlineStr">
        <is>
          <t>九江银行</t>
        </is>
      </c>
      <c r="D119" s="46" t="inlineStr">
        <is>
          <t>支付贷款利息</t>
        </is>
      </c>
      <c r="E119" s="47" t="n"/>
      <c r="F119" s="47" t="n">
        <v>588</v>
      </c>
      <c r="G119" s="48">
        <f t="shared" si="4"/>
        <v>239375.73</v>
      </c>
      <c r="H119" s="43">
        <f t="shared" si="0"/>
      </c>
      <c r="I119" s="43" t="str">
        <f t="shared" si="5"/>
        <v>利息支出</v>
      </c>
      <c r="J119" s="43">
        <f t="shared" si="1"/>
      </c>
      <c r="K119" s="49" t="str">
        <f t="shared" si="2"/>
        <v>√</v>
      </c>
      <c r="L119" s="45" t="n"/>
      <c r="M119" s="45" t="n"/>
      <c r="N119" s="45" t="n"/>
      <c r="O119" s="45" t="n"/>
      <c r="P119" s="50" t="n"/>
      <c r="R119" s="2">
        <f t="shared" si="6"/>
        <v>-588</v>
      </c>
      <c r="S119" s="2">
        <f t="shared" si="7"/>
        <v>202606</v>
      </c>
      <c r="T119" s="2">
        <f t="shared" si="8"/>
      </c>
      <c r="U119" s="2" t="str">
        <f t="shared" si="9"/>
        <v>利息支出</v>
      </c>
      <c r="V119" s="2">
        <f t="shared" si="10"/>
      </c>
      <c r="W119" s="2" t="str">
        <f t="shared" si="11"/>
        <v>公司不分摊</v>
      </c>
      <c r="X119" s="2" t="str">
        <f t="shared" si="12"/>
        <v>利息支出</v>
      </c>
      <c r="Y119" s="2">
        <f t="shared" si="13"/>
        <v>0</v>
      </c>
      <c r="Z119" s="2">
        <f t="shared" si="14"/>
      </c>
      <c r="AA119" s="2">
        <f t="shared" si="15"/>
        <v>0</v>
      </c>
      <c r="AB119" s="2">
        <f t="shared" si="16"/>
      </c>
      <c r="AC119" s="2">
        <f t="shared" si="17"/>
      </c>
      <c r="AD119" s="2">
        <f t="shared" si="18"/>
      </c>
      <c r="AE119" s="2" t="str">
        <f t="shared" si="19"/>
        <v>银行</v>
      </c>
      <c r="AF119" s="2">
        <f t="shared" si="20"/>
      </c>
      <c r="AG119" s="2" t="str">
        <f t="shared" si="21"/>
        <v>利息支出</v>
      </c>
      <c r="AH119" s="2" t="str">
        <f t="shared" si="22"/>
        <v>支</v>
      </c>
      <c r="AI119" s="2">
        <f t="shared" si="23"/>
      </c>
      <c r="AJ119" s="2">
        <f t="shared" si="24"/>
        <v>0</v>
      </c>
      <c r="AK119" s="2">
        <f t="shared" si="25"/>
        <v>0</v>
      </c>
      <c r="AL119" s="2">
        <f t="shared" si="26"/>
        <v>0</v>
      </c>
      <c r="AM119" s="2">
        <f t="shared" si="27"/>
        <v>0</v>
      </c>
      <c r="AN119" s="2">
        <f t="shared" si="28"/>
        <v>46193</v>
      </c>
      <c r="AO119" s="2">
        <f t="shared" si="29"/>
      </c>
      <c r="AP119" s="2">
        <f t="shared" si="30"/>
      </c>
      <c r="AQ119" s="2">
        <f t="shared" si="31"/>
      </c>
    </row>
    <row r="120">
      <c r="A120" s="43">
        <f t="shared" si="3"/>
        <v>115</v>
      </c>
      <c r="B120" s="44" t="n">
        <v>46193</v>
      </c>
      <c r="C120" s="45" t="inlineStr">
        <is>
          <t>九江银行</t>
        </is>
      </c>
      <c r="D120" s="46" t="inlineStr">
        <is>
          <t>支付贷款利息</t>
        </is>
      </c>
      <c r="E120" s="47" t="n">
        <v>588</v>
      </c>
      <c r="F120" s="47" t="n"/>
      <c r="G120" s="48">
        <f t="shared" si="4"/>
        <v>239963.73</v>
      </c>
      <c r="H120" s="43">
        <f t="shared" si="0"/>
      </c>
      <c r="I120" s="43" t="str">
        <f t="shared" si="5"/>
        <v>利息支出</v>
      </c>
      <c r="J120" s="43">
        <f t="shared" si="1"/>
      </c>
      <c r="K120" s="49" t="str">
        <f t="shared" si="2"/>
        <v>√</v>
      </c>
      <c r="L120" s="45" t="n"/>
      <c r="M120" s="45" t="n"/>
      <c r="N120" s="45" t="n"/>
      <c r="O120" s="45" t="n"/>
      <c r="P120" s="50" t="n"/>
      <c r="R120" s="2">
        <f t="shared" si="6"/>
        <v>588</v>
      </c>
      <c r="S120" s="2">
        <f t="shared" si="7"/>
        <v>202606</v>
      </c>
      <c r="T120" s="2">
        <f t="shared" si="8"/>
      </c>
      <c r="U120" s="2" t="str">
        <f t="shared" si="9"/>
        <v>利息支出</v>
      </c>
      <c r="V120" s="2">
        <f t="shared" si="10"/>
      </c>
      <c r="W120" s="2" t="str">
        <f t="shared" si="11"/>
        <v>公司不分摊</v>
      </c>
      <c r="X120" s="2" t="str">
        <f t="shared" si="12"/>
        <v>利息支出</v>
      </c>
      <c r="Y120" s="2">
        <f t="shared" si="13"/>
        <v>0</v>
      </c>
      <c r="Z120" s="2">
        <f t="shared" si="14"/>
      </c>
      <c r="AA120" s="2">
        <f t="shared" si="15"/>
        <v>0</v>
      </c>
      <c r="AB120" s="2">
        <f t="shared" si="16"/>
      </c>
      <c r="AC120" s="2">
        <f t="shared" si="17"/>
      </c>
      <c r="AD120" s="2">
        <f t="shared" si="18"/>
      </c>
      <c r="AE120" s="2" t="str">
        <f t="shared" si="19"/>
        <v>银行</v>
      </c>
      <c r="AF120" s="2">
        <f t="shared" si="20"/>
      </c>
      <c r="AG120" s="2" t="str">
        <f t="shared" si="21"/>
        <v>利息支出</v>
      </c>
      <c r="AH120" s="2" t="str">
        <f t="shared" si="22"/>
        <v>支</v>
      </c>
      <c r="AI120" s="2">
        <f t="shared" si="23"/>
      </c>
      <c r="AJ120" s="2">
        <f t="shared" si="24"/>
        <v>0</v>
      </c>
      <c r="AK120" s="2">
        <f t="shared" si="25"/>
        <v>0</v>
      </c>
      <c r="AL120" s="2">
        <f t="shared" si="26"/>
        <v>0</v>
      </c>
      <c r="AM120" s="2">
        <f t="shared" si="27"/>
        <v>0</v>
      </c>
      <c r="AN120" s="2">
        <f t="shared" si="28"/>
        <v>46193</v>
      </c>
      <c r="AO120" s="2">
        <f t="shared" si="29"/>
      </c>
      <c r="AP120" s="2">
        <f t="shared" si="30"/>
      </c>
      <c r="AQ120" s="2">
        <f t="shared" si="31"/>
      </c>
    </row>
    <row r="121">
      <c r="A121" s="43">
        <f t="shared" si="3"/>
        <v>116</v>
      </c>
      <c r="B121" s="44" t="n">
        <v>46194</v>
      </c>
      <c r="C121" s="45" t="inlineStr">
        <is>
          <t>九江银行</t>
        </is>
      </c>
      <c r="D121" s="46" t="inlineStr">
        <is>
          <t>入息</t>
        </is>
      </c>
      <c r="E121" s="47" t="n">
        <v>2.76</v>
      </c>
      <c r="F121" s="47" t="n"/>
      <c r="G121" s="48">
        <f t="shared" si="4"/>
        <v>239966.49</v>
      </c>
      <c r="H121" s="43">
        <f t="shared" si="0"/>
      </c>
      <c r="I121" s="43" t="str">
        <f t="shared" si="5"/>
        <v>利息收入</v>
      </c>
      <c r="J121" s="43">
        <f t="shared" si="1"/>
      </c>
      <c r="K121" s="49" t="str">
        <f t="shared" si="2"/>
        <v>√</v>
      </c>
      <c r="L121" s="45" t="n"/>
      <c r="M121" s="45" t="n"/>
      <c r="N121" s="45" t="n"/>
      <c r="O121" s="45" t="n"/>
      <c r="P121" s="50" t="n"/>
      <c r="R121" s="2">
        <f t="shared" si="6"/>
        <v>2.76</v>
      </c>
      <c r="S121" s="2">
        <f t="shared" si="7"/>
        <v>202606</v>
      </c>
      <c r="T121" s="2">
        <f t="shared" si="8"/>
      </c>
      <c r="U121" s="2" t="str">
        <f t="shared" si="9"/>
        <v>利息收入</v>
      </c>
      <c r="V121" s="2">
        <f t="shared" si="10"/>
      </c>
      <c r="W121" s="2" t="str">
        <f t="shared" si="11"/>
        <v>公司不分摊</v>
      </c>
      <c r="X121" s="2" t="str">
        <f t="shared" si="12"/>
        <v>利息收入</v>
      </c>
      <c r="Y121" s="2">
        <f t="shared" si="13"/>
        <v>0</v>
      </c>
      <c r="Z121" s="2">
        <f t="shared" si="14"/>
      </c>
      <c r="AA121" s="2">
        <f t="shared" si="15"/>
        <v>0</v>
      </c>
      <c r="AB121" s="2">
        <f t="shared" si="16"/>
      </c>
      <c r="AC121" s="2">
        <f t="shared" si="17"/>
      </c>
      <c r="AD121" s="2">
        <f t="shared" si="18"/>
      </c>
      <c r="AE121" s="2" t="str">
        <f t="shared" si="19"/>
        <v>银行</v>
      </c>
      <c r="AF121" s="2">
        <f t="shared" si="20"/>
      </c>
      <c r="AG121" s="2" t="str">
        <f t="shared" si="21"/>
        <v>利息收入</v>
      </c>
      <c r="AH121" s="2" t="str">
        <f t="shared" si="22"/>
        <v>收</v>
      </c>
      <c r="AI121" s="2">
        <f t="shared" si="23"/>
      </c>
      <c r="AJ121" s="2">
        <f t="shared" si="24"/>
        <v>0</v>
      </c>
      <c r="AK121" s="2">
        <f t="shared" si="25"/>
        <v>0</v>
      </c>
      <c r="AL121" s="2">
        <f t="shared" si="26"/>
        <v>0</v>
      </c>
      <c r="AM121" s="2">
        <f t="shared" si="27"/>
        <v>0</v>
      </c>
      <c r="AN121" s="2">
        <f t="shared" si="28"/>
        <v>46194</v>
      </c>
      <c r="AO121" s="2">
        <f t="shared" si="29"/>
      </c>
      <c r="AP121" s="2">
        <f t="shared" si="30"/>
      </c>
      <c r="AQ121" s="2">
        <f t="shared" si="31"/>
      </c>
    </row>
    <row r="122">
      <c r="A122" s="43">
        <f t="shared" si="3"/>
        <v>117</v>
      </c>
      <c r="B122" s="44" t="n">
        <v>46198</v>
      </c>
      <c r="C122" s="45" t="inlineStr">
        <is>
          <t>九江银行</t>
        </is>
      </c>
      <c r="D122" s="46" t="inlineStr">
        <is>
          <t>德养工程款-承兑汇票</t>
        </is>
      </c>
      <c r="E122" s="47" t="n">
        <v>280819.79</v>
      </c>
      <c r="F122" s="47" t="n"/>
      <c r="G122" s="48">
        <f t="shared" si="4"/>
        <v>520786.28</v>
      </c>
      <c r="H122" s="43" t="str">
        <f t="shared" si="0"/>
        <v>德安养老中心</v>
      </c>
      <c r="I122" s="43" t="str">
        <f t="shared" si="5"/>
        <v>工程款</v>
      </c>
      <c r="J122" s="43">
        <f t="shared" si="1"/>
      </c>
      <c r="K122" s="49" t="str">
        <f t="shared" si="2"/>
        <v>√</v>
      </c>
      <c r="L122" s="45" t="n"/>
      <c r="M122" s="45" t="n"/>
      <c r="N122" s="45" t="n"/>
      <c r="O122" s="45" t="n"/>
      <c r="P122" s="50" t="n"/>
      <c r="R122" s="2">
        <f t="shared" si="6"/>
        <v>280819.79</v>
      </c>
      <c r="S122" s="2">
        <f t="shared" si="7"/>
        <v>202606</v>
      </c>
      <c r="T122" s="2" t="str">
        <f t="shared" si="8"/>
        <v>德安养老中心</v>
      </c>
      <c r="U122" s="2" t="str">
        <f t="shared" si="9"/>
        <v>工程款</v>
      </c>
      <c r="V122" s="2">
        <f t="shared" si="10"/>
      </c>
      <c r="W122" s="2" t="str">
        <f t="shared" si="11"/>
        <v>不进利润</v>
      </c>
      <c r="X122" s="2" t="str">
        <f t="shared" si="12"/>
        <v>应收账款</v>
      </c>
      <c r="Y122" s="2">
        <f t="shared" si="13"/>
        <v>0</v>
      </c>
      <c r="Z122" s="2">
        <f t="shared" si="14"/>
      </c>
      <c r="AA122" s="2">
        <f t="shared" si="15"/>
        <v>0</v>
      </c>
      <c r="AB122" s="2">
        <f t="shared" si="16"/>
      </c>
      <c r="AC122" s="2">
        <f t="shared" si="17"/>
      </c>
      <c r="AD122" s="2">
        <f t="shared" si="18"/>
      </c>
      <c r="AE122" s="2" t="str">
        <f t="shared" si="19"/>
        <v>银行</v>
      </c>
      <c r="AF122" s="2">
        <f t="shared" si="20"/>
      </c>
      <c r="AG122" s="2" t="str">
        <f t="shared" si="21"/>
        <v>工程款</v>
      </c>
      <c r="AH122" s="2" t="str">
        <f t="shared" si="22"/>
        <v>收</v>
      </c>
      <c r="AI122" s="2" t="str">
        <f t="shared" si="23"/>
        <v>德养</v>
      </c>
      <c r="AJ122" s="2">
        <f t="shared" si="24"/>
        <v>0</v>
      </c>
      <c r="AK122" s="2">
        <f t="shared" si="25"/>
        <v>28</v>
      </c>
      <c r="AL122" s="2">
        <f t="shared" si="26"/>
        <v>0</v>
      </c>
      <c r="AM122" s="2">
        <f t="shared" si="27"/>
        <v>0</v>
      </c>
      <c r="AN122" s="2">
        <f t="shared" si="28"/>
        <v>46198</v>
      </c>
      <c r="AO122" s="2" t="str">
        <f t="shared" si="29"/>
        <v>德安养老中心|1</v>
      </c>
      <c r="AP122" s="2">
        <f t="shared" si="30"/>
      </c>
      <c r="AQ122" s="2">
        <f t="shared" si="31"/>
      </c>
    </row>
    <row r="123">
      <c r="A123" s="43">
        <f t="shared" si="3"/>
        <v>118</v>
      </c>
      <c r="B123" s="44" t="n">
        <v>46198</v>
      </c>
      <c r="C123" s="45" t="inlineStr">
        <is>
          <t>九江银行</t>
        </is>
      </c>
      <c r="D123" s="46" t="inlineStr">
        <is>
          <t>支付承兑汇票利息</t>
        </is>
      </c>
      <c r="E123" s="47" t="n"/>
      <c r="F123" s="47" t="n">
        <v>1359.64</v>
      </c>
      <c r="G123" s="48">
        <f t="shared" si="4"/>
        <v>519426.64</v>
      </c>
      <c r="H123" s="43">
        <f t="shared" si="0"/>
      </c>
      <c r="I123" s="43" t="str">
        <f t="shared" si="5"/>
        <v>票据贴息</v>
      </c>
      <c r="J123" s="43">
        <f t="shared" si="1"/>
      </c>
      <c r="K123" s="49" t="str">
        <f t="shared" si="2"/>
        <v>✗ 这一笔要选项目（摘要里的项目没在【项目档案】的话先去加上）</v>
      </c>
      <c r="L123" s="45" t="n"/>
      <c r="M123" s="45" t="n"/>
      <c r="N123" s="45" t="n"/>
      <c r="O123" s="45" t="n"/>
      <c r="P123" s="50" t="n"/>
      <c r="R123" s="2">
        <f t="shared" si="6"/>
        <v>-1359.64</v>
      </c>
      <c r="S123" s="2">
        <f t="shared" si="7"/>
        <v>202606</v>
      </c>
      <c r="T123" s="2">
        <f t="shared" si="8"/>
      </c>
      <c r="U123" s="2" t="str">
        <f t="shared" si="9"/>
        <v>票据贴息</v>
      </c>
      <c r="V123" s="2">
        <f t="shared" si="10"/>
      </c>
      <c r="W123" s="2" t="str">
        <f t="shared" si="11"/>
        <v>项目直接成本</v>
      </c>
      <c r="X123" s="2" t="str">
        <f t="shared" si="12"/>
        <v>票据贴息</v>
      </c>
      <c r="Y123" s="2">
        <f t="shared" si="13"/>
        <v>0</v>
      </c>
      <c r="Z123" s="2">
        <f t="shared" si="14"/>
      </c>
      <c r="AA123" s="2">
        <f t="shared" si="15"/>
        <v>0</v>
      </c>
      <c r="AB123" s="2">
        <f t="shared" si="16"/>
      </c>
      <c r="AC123" s="2">
        <f t="shared" si="17"/>
      </c>
      <c r="AD123" s="2">
        <f t="shared" si="18"/>
      </c>
      <c r="AE123" s="2" t="str">
        <f t="shared" si="19"/>
        <v>银行</v>
      </c>
      <c r="AF123" s="2">
        <f t="shared" si="20"/>
      </c>
      <c r="AG123" s="2" t="str">
        <f t="shared" si="21"/>
        <v>票据贴息</v>
      </c>
      <c r="AH123" s="2" t="str">
        <f t="shared" si="22"/>
        <v>支</v>
      </c>
      <c r="AI123" s="2">
        <f t="shared" si="23"/>
      </c>
      <c r="AJ123" s="2">
        <f t="shared" si="24"/>
        <v>0</v>
      </c>
      <c r="AK123" s="2">
        <f t="shared" si="25"/>
        <v>0</v>
      </c>
      <c r="AL123" s="2">
        <f t="shared" si="26"/>
        <v>0</v>
      </c>
      <c r="AM123" s="2">
        <f t="shared" si="27"/>
        <v>0</v>
      </c>
      <c r="AN123" s="2">
        <f t="shared" si="28"/>
        <v>46198</v>
      </c>
      <c r="AO123" s="2">
        <f t="shared" si="29"/>
      </c>
      <c r="AP123" s="2">
        <f t="shared" si="30"/>
      </c>
      <c r="AQ123" s="2">
        <f t="shared" si="31"/>
      </c>
    </row>
    <row r="124">
      <c r="A124" s="43">
        <f t="shared" si="3"/>
        <v>119</v>
      </c>
      <c r="B124" s="44" t="n">
        <v>46198</v>
      </c>
      <c r="C124" s="45" t="inlineStr">
        <is>
          <t>九江银行</t>
        </is>
      </c>
      <c r="D124" s="46" t="inlineStr">
        <is>
          <t>（朱博文，姚俊强）社保费</t>
        </is>
      </c>
      <c r="E124" s="47" t="n"/>
      <c r="F124" s="47" t="n">
        <v>2008.42</v>
      </c>
      <c r="G124" s="48">
        <f t="shared" si="4"/>
        <v>517418.22</v>
      </c>
      <c r="H124" s="43">
        <f t="shared" si="0"/>
      </c>
      <c r="I124" s="43" t="str">
        <f t="shared" si="5"/>
        <v>社保费</v>
      </c>
      <c r="J124" s="43" t="str">
        <f t="shared" si="1"/>
        <v>姚俊强</v>
      </c>
      <c r="K124" s="49" t="str">
        <f t="shared" si="2"/>
        <v>√</v>
      </c>
      <c r="L124" s="45" t="n"/>
      <c r="M124" s="45" t="n"/>
      <c r="N124" s="45" t="n"/>
      <c r="O124" s="45" t="n"/>
      <c r="P124" s="50" t="n"/>
      <c r="R124" s="2">
        <f t="shared" si="6"/>
        <v>-2008.42</v>
      </c>
      <c r="S124" s="2">
        <f t="shared" si="7"/>
        <v>202606</v>
      </c>
      <c r="T124" s="2">
        <f t="shared" si="8"/>
      </c>
      <c r="U124" s="2" t="str">
        <f t="shared" si="9"/>
        <v>社保费</v>
      </c>
      <c r="V124" s="2" t="str">
        <f t="shared" si="10"/>
        <v>姚俊强</v>
      </c>
      <c r="W124" s="2" t="str">
        <f t="shared" si="11"/>
        <v>公司间接费</v>
      </c>
      <c r="X124" s="2" t="str">
        <f t="shared" si="12"/>
        <v>社保费</v>
      </c>
      <c r="Y124" s="2">
        <f t="shared" si="13"/>
        <v>0</v>
      </c>
      <c r="Z124" s="2" t="str">
        <f t="shared" si="14"/>
        <v>管理人员</v>
      </c>
      <c r="AA124" s="2">
        <f t="shared" si="15"/>
        <v>1</v>
      </c>
      <c r="AB124" s="2">
        <f t="shared" si="16"/>
      </c>
      <c r="AC124" s="2">
        <f t="shared" si="17"/>
      </c>
      <c r="AD124" s="2">
        <f t="shared" si="18"/>
      </c>
      <c r="AE124" s="2" t="str">
        <f t="shared" si="19"/>
        <v>银行</v>
      </c>
      <c r="AF124" s="2">
        <f t="shared" si="20"/>
      </c>
      <c r="AG124" s="2" t="str">
        <f t="shared" si="21"/>
        <v>社保费</v>
      </c>
      <c r="AH124" s="2" t="str">
        <f t="shared" si="22"/>
        <v>支</v>
      </c>
      <c r="AI124" s="2">
        <f t="shared" si="23"/>
      </c>
      <c r="AJ124" s="2">
        <f t="shared" si="24"/>
        <v>0</v>
      </c>
      <c r="AK124" s="2">
        <f t="shared" si="25"/>
        <v>0</v>
      </c>
      <c r="AL124" s="2">
        <f t="shared" si="26"/>
        <v>72</v>
      </c>
      <c r="AM124" s="2">
        <f t="shared" si="27"/>
        <v>0</v>
      </c>
      <c r="AN124" s="2">
        <f t="shared" si="28"/>
        <v>46198</v>
      </c>
      <c r="AO124" s="2">
        <f t="shared" si="29"/>
      </c>
      <c r="AP124" s="2" t="str">
        <f t="shared" si="30"/>
        <v>姚俊强|2</v>
      </c>
      <c r="AQ124" s="2">
        <f t="shared" si="31"/>
      </c>
    </row>
    <row r="125">
      <c r="A125" s="43">
        <f t="shared" si="3"/>
        <v>120</v>
      </c>
      <c r="B125" s="44" t="n">
        <v>46198</v>
      </c>
      <c r="C125" s="45" t="inlineStr">
        <is>
          <t>九江银行</t>
        </is>
      </c>
      <c r="D125" s="46" t="inlineStr">
        <is>
          <t>（朱博文，姚俊强）社保费</t>
        </is>
      </c>
      <c r="E125" s="47" t="n"/>
      <c r="F125" s="47" t="n">
        <v>30.54</v>
      </c>
      <c r="G125" s="48">
        <f t="shared" si="4"/>
        <v>517387.68</v>
      </c>
      <c r="H125" s="43">
        <f t="shared" si="0"/>
      </c>
      <c r="I125" s="43" t="str">
        <f t="shared" si="5"/>
        <v>社保费</v>
      </c>
      <c r="J125" s="43" t="str">
        <f t="shared" si="1"/>
        <v>姚俊强</v>
      </c>
      <c r="K125" s="49" t="str">
        <f t="shared" si="2"/>
        <v>√</v>
      </c>
      <c r="L125" s="45" t="n"/>
      <c r="M125" s="45" t="n"/>
      <c r="N125" s="45" t="n"/>
      <c r="O125" s="45" t="n"/>
      <c r="P125" s="50" t="n"/>
      <c r="R125" s="2">
        <f t="shared" si="6"/>
        <v>-30.54</v>
      </c>
      <c r="S125" s="2">
        <f t="shared" si="7"/>
        <v>202606</v>
      </c>
      <c r="T125" s="2">
        <f t="shared" si="8"/>
      </c>
      <c r="U125" s="2" t="str">
        <f t="shared" si="9"/>
        <v>社保费</v>
      </c>
      <c r="V125" s="2" t="str">
        <f t="shared" si="10"/>
        <v>姚俊强</v>
      </c>
      <c r="W125" s="2" t="str">
        <f t="shared" si="11"/>
        <v>公司间接费</v>
      </c>
      <c r="X125" s="2" t="str">
        <f t="shared" si="12"/>
        <v>社保费</v>
      </c>
      <c r="Y125" s="2">
        <f t="shared" si="13"/>
        <v>0</v>
      </c>
      <c r="Z125" s="2" t="str">
        <f t="shared" si="14"/>
        <v>管理人员</v>
      </c>
      <c r="AA125" s="2">
        <f t="shared" si="15"/>
        <v>1</v>
      </c>
      <c r="AB125" s="2">
        <f t="shared" si="16"/>
      </c>
      <c r="AC125" s="2">
        <f t="shared" si="17"/>
      </c>
      <c r="AD125" s="2">
        <f t="shared" si="18"/>
      </c>
      <c r="AE125" s="2" t="str">
        <f t="shared" si="19"/>
        <v>银行</v>
      </c>
      <c r="AF125" s="2">
        <f t="shared" si="20"/>
      </c>
      <c r="AG125" s="2" t="str">
        <f t="shared" si="21"/>
        <v>社保费</v>
      </c>
      <c r="AH125" s="2" t="str">
        <f t="shared" si="22"/>
        <v>支</v>
      </c>
      <c r="AI125" s="2">
        <f t="shared" si="23"/>
      </c>
      <c r="AJ125" s="2">
        <f t="shared" si="24"/>
        <v>0</v>
      </c>
      <c r="AK125" s="2">
        <f t="shared" si="25"/>
        <v>0</v>
      </c>
      <c r="AL125" s="2">
        <f t="shared" si="26"/>
        <v>72</v>
      </c>
      <c r="AM125" s="2">
        <f t="shared" si="27"/>
        <v>0</v>
      </c>
      <c r="AN125" s="2">
        <f t="shared" si="28"/>
        <v>46198</v>
      </c>
      <c r="AO125" s="2">
        <f t="shared" si="29"/>
      </c>
      <c r="AP125" s="2" t="str">
        <f t="shared" si="30"/>
        <v>姚俊强|2</v>
      </c>
      <c r="AQ125" s="2">
        <f t="shared" si="31"/>
      </c>
    </row>
    <row r="126">
      <c r="A126" s="43">
        <f t="shared" si="3"/>
        <v>121</v>
      </c>
      <c r="B126" s="44" t="n">
        <v>46198</v>
      </c>
      <c r="C126" s="45" t="inlineStr">
        <is>
          <t>九江银行</t>
        </is>
      </c>
      <c r="D126" s="46" t="inlineStr">
        <is>
          <t>付邓泽贵工资</t>
        </is>
      </c>
      <c r="E126" s="47" t="n"/>
      <c r="F126" s="47" t="n">
        <v>19184.31</v>
      </c>
      <c r="G126" s="48">
        <f t="shared" si="4"/>
        <v>498203.37</v>
      </c>
      <c r="H126" s="43">
        <f t="shared" si="0"/>
      </c>
      <c r="I126" s="43" t="str">
        <f t="shared" si="5"/>
        <v>工资</v>
      </c>
      <c r="J126" s="43" t="str">
        <f t="shared" si="1"/>
        <v>邓泽贵</v>
      </c>
      <c r="K126" s="49" t="str">
        <f t="shared" si="2"/>
        <v>√</v>
      </c>
      <c r="L126" s="45" t="n"/>
      <c r="M126" s="45" t="n"/>
      <c r="N126" s="45" t="n"/>
      <c r="O126" s="45" t="n"/>
      <c r="P126" s="50" t="n"/>
      <c r="R126" s="2">
        <f t="shared" si="6"/>
        <v>-19184.31</v>
      </c>
      <c r="S126" s="2">
        <f t="shared" si="7"/>
        <v>202606</v>
      </c>
      <c r="T126" s="2">
        <f t="shared" si="8"/>
      </c>
      <c r="U126" s="2" t="str">
        <f t="shared" si="9"/>
        <v>工资</v>
      </c>
      <c r="V126" s="2" t="str">
        <f t="shared" si="10"/>
        <v>邓泽贵</v>
      </c>
      <c r="W126" s="2" t="str">
        <f t="shared" si="11"/>
        <v>不进利润</v>
      </c>
      <c r="X126" s="2" t="str">
        <f t="shared" si="12"/>
        <v>应付职工薪酬</v>
      </c>
      <c r="Y126" s="2">
        <f t="shared" si="13"/>
        <v>0</v>
      </c>
      <c r="Z126" s="2" t="str">
        <f t="shared" si="14"/>
        <v>工人</v>
      </c>
      <c r="AA126" s="2">
        <f t="shared" si="15"/>
        <v>1</v>
      </c>
      <c r="AB126" s="2">
        <f t="shared" si="16"/>
      </c>
      <c r="AC126" s="2">
        <f t="shared" si="17"/>
      </c>
      <c r="AD126" s="2">
        <f t="shared" si="18"/>
      </c>
      <c r="AE126" s="2" t="str">
        <f t="shared" si="19"/>
        <v>银行</v>
      </c>
      <c r="AF126" s="2">
        <f t="shared" si="20"/>
      </c>
      <c r="AG126" s="2" t="str">
        <f t="shared" si="21"/>
        <v>工资</v>
      </c>
      <c r="AH126" s="2" t="str">
        <f t="shared" si="22"/>
        <v>支</v>
      </c>
      <c r="AI126" s="2">
        <f t="shared" si="23"/>
      </c>
      <c r="AJ126" s="2">
        <f t="shared" si="24"/>
        <v>0</v>
      </c>
      <c r="AK126" s="2">
        <f t="shared" si="25"/>
        <v>0</v>
      </c>
      <c r="AL126" s="2">
        <f t="shared" si="26"/>
        <v>52</v>
      </c>
      <c r="AM126" s="2">
        <f t="shared" si="27"/>
        <v>0</v>
      </c>
      <c r="AN126" s="2">
        <f t="shared" si="28"/>
        <v>46198</v>
      </c>
      <c r="AO126" s="2">
        <f t="shared" si="29"/>
      </c>
      <c r="AP126" s="2" t="str">
        <f t="shared" si="30"/>
        <v>邓泽贵|3</v>
      </c>
      <c r="AQ126" s="2">
        <f t="shared" si="31"/>
      </c>
    </row>
    <row r="127">
      <c r="A127" s="43">
        <f t="shared" si="3"/>
        <v>122</v>
      </c>
      <c r="B127" s="44" t="n">
        <v>46198</v>
      </c>
      <c r="C127" s="45" t="inlineStr">
        <is>
          <t>九江银行</t>
        </is>
      </c>
      <c r="D127" s="46" t="inlineStr">
        <is>
          <t>闵清林工资</t>
        </is>
      </c>
      <c r="E127" s="47" t="n"/>
      <c r="F127" s="47" t="n">
        <v>8887</v>
      </c>
      <c r="G127" s="48">
        <f t="shared" si="4"/>
        <v>489316.37</v>
      </c>
      <c r="H127" s="43">
        <f t="shared" si="0"/>
      </c>
      <c r="I127" s="43" t="str">
        <f t="shared" si="5"/>
        <v>工资</v>
      </c>
      <c r="J127" s="43" t="str">
        <f t="shared" si="1"/>
        <v>闵清林</v>
      </c>
      <c r="K127" s="49" t="str">
        <f t="shared" si="2"/>
        <v>√</v>
      </c>
      <c r="L127" s="45" t="n"/>
      <c r="M127" s="45" t="n"/>
      <c r="N127" s="45" t="n"/>
      <c r="O127" s="45" t="n"/>
      <c r="P127" s="50" t="n"/>
      <c r="R127" s="2">
        <f t="shared" si="6"/>
        <v>-8887</v>
      </c>
      <c r="S127" s="2">
        <f t="shared" si="7"/>
        <v>202606</v>
      </c>
      <c r="T127" s="2">
        <f t="shared" si="8"/>
      </c>
      <c r="U127" s="2" t="str">
        <f t="shared" si="9"/>
        <v>工资</v>
      </c>
      <c r="V127" s="2" t="str">
        <f t="shared" si="10"/>
        <v>闵清林</v>
      </c>
      <c r="W127" s="2" t="str">
        <f t="shared" si="11"/>
        <v>不进利润</v>
      </c>
      <c r="X127" s="2" t="str">
        <f t="shared" si="12"/>
        <v>应付职工薪酬</v>
      </c>
      <c r="Y127" s="2">
        <f t="shared" si="13"/>
        <v>0</v>
      </c>
      <c r="Z127" s="2" t="str">
        <f t="shared" si="14"/>
        <v>工人</v>
      </c>
      <c r="AA127" s="2">
        <f t="shared" si="15"/>
        <v>1</v>
      </c>
      <c r="AB127" s="2">
        <f t="shared" si="16"/>
      </c>
      <c r="AC127" s="2">
        <f t="shared" si="17"/>
      </c>
      <c r="AD127" s="2">
        <f t="shared" si="18"/>
      </c>
      <c r="AE127" s="2" t="str">
        <f t="shared" si="19"/>
        <v>银行</v>
      </c>
      <c r="AF127" s="2">
        <f t="shared" si="20"/>
      </c>
      <c r="AG127" s="2" t="str">
        <f t="shared" si="21"/>
        <v>工资</v>
      </c>
      <c r="AH127" s="2" t="str">
        <f t="shared" si="22"/>
        <v>支</v>
      </c>
      <c r="AI127" s="2">
        <f t="shared" si="23"/>
      </c>
      <c r="AJ127" s="2">
        <f t="shared" si="24"/>
        <v>0</v>
      </c>
      <c r="AK127" s="2">
        <f t="shared" si="25"/>
        <v>0</v>
      </c>
      <c r="AL127" s="2">
        <f t="shared" si="26"/>
        <v>54</v>
      </c>
      <c r="AM127" s="2">
        <f t="shared" si="27"/>
        <v>0</v>
      </c>
      <c r="AN127" s="2">
        <f t="shared" si="28"/>
        <v>46198</v>
      </c>
      <c r="AO127" s="2">
        <f t="shared" si="29"/>
      </c>
      <c r="AP127" s="2" t="str">
        <f t="shared" si="30"/>
        <v>闵清林|4</v>
      </c>
      <c r="AQ127" s="2">
        <f t="shared" si="31"/>
      </c>
    </row>
    <row r="128">
      <c r="A128" s="43">
        <f t="shared" si="3"/>
        <v>123</v>
      </c>
      <c r="B128" s="44" t="n">
        <v>46198</v>
      </c>
      <c r="C128" s="45" t="inlineStr">
        <is>
          <t>九江银行</t>
        </is>
      </c>
      <c r="D128" s="46" t="inlineStr">
        <is>
          <t>支付启航材料费</t>
        </is>
      </c>
      <c r="E128" s="47" t="n"/>
      <c r="F128" s="47" t="n">
        <v>10358</v>
      </c>
      <c r="G128" s="48">
        <f t="shared" si="4"/>
        <v>478958.37</v>
      </c>
      <c r="H128" s="43">
        <f t="shared" si="0"/>
      </c>
      <c r="I128" s="43" t="str">
        <f t="shared" si="5"/>
        <v>付应付款</v>
      </c>
      <c r="J128" s="43" t="str">
        <f t="shared" si="1"/>
        <v>启航五金</v>
      </c>
      <c r="K128" s="49" t="str">
        <f t="shared" si="2"/>
        <v>√</v>
      </c>
      <c r="L128" s="45" t="n"/>
      <c r="M128" s="45" t="n"/>
      <c r="N128" s="45" t="n"/>
      <c r="O128" s="45" t="n"/>
      <c r="P128" s="50" t="n"/>
      <c r="R128" s="2">
        <f t="shared" si="6"/>
        <v>-10358</v>
      </c>
      <c r="S128" s="2">
        <f t="shared" si="7"/>
        <v>202606</v>
      </c>
      <c r="T128" s="2">
        <f t="shared" si="8"/>
      </c>
      <c r="U128" s="2" t="str">
        <f t="shared" si="9"/>
        <v>付应付款</v>
      </c>
      <c r="V128" s="2" t="str">
        <f t="shared" si="10"/>
        <v>启航五金</v>
      </c>
      <c r="W128" s="2" t="str">
        <f t="shared" si="11"/>
        <v>不进利润</v>
      </c>
      <c r="X128" s="2" t="str">
        <f t="shared" si="12"/>
        <v>应付材料款</v>
      </c>
      <c r="Y128" s="2">
        <f t="shared" si="13"/>
        <v>1</v>
      </c>
      <c r="Z128" s="2" t="str">
        <f t="shared" si="14"/>
        <v>材料供应商</v>
      </c>
      <c r="AA128" s="2">
        <f t="shared" si="15"/>
        <v>0</v>
      </c>
      <c r="AB128" s="2">
        <f t="shared" si="16"/>
      </c>
      <c r="AC128" s="2">
        <f t="shared" si="17"/>
      </c>
      <c r="AD128" s="2">
        <f t="shared" si="18"/>
      </c>
      <c r="AE128" s="2" t="str">
        <f t="shared" si="19"/>
        <v>银行</v>
      </c>
      <c r="AF128" s="2">
        <f t="shared" si="20"/>
      </c>
      <c r="AG128" s="2" t="str">
        <f t="shared" si="21"/>
        <v>材料费</v>
      </c>
      <c r="AH128" s="2" t="str">
        <f t="shared" si="22"/>
        <v>支</v>
      </c>
      <c r="AI128" s="2">
        <f t="shared" si="23"/>
      </c>
      <c r="AJ128" s="2">
        <f t="shared" si="24"/>
        <v>0</v>
      </c>
      <c r="AK128" s="2">
        <f t="shared" si="25"/>
        <v>0</v>
      </c>
      <c r="AL128" s="2">
        <f t="shared" si="26"/>
        <v>84</v>
      </c>
      <c r="AM128" s="2">
        <f t="shared" si="27"/>
        <v>0</v>
      </c>
      <c r="AN128" s="2">
        <f t="shared" si="28"/>
        <v>46198</v>
      </c>
      <c r="AO128" s="2">
        <f t="shared" si="29"/>
      </c>
      <c r="AP128" s="2" t="str">
        <f t="shared" si="30"/>
        <v>启航五金|1</v>
      </c>
      <c r="AQ128" s="2">
        <f t="shared" si="31"/>
      </c>
    </row>
    <row r="129">
      <c r="A129" s="43">
        <f t="shared" si="3"/>
        <v>124</v>
      </c>
      <c r="B129" s="44" t="n">
        <v>46198</v>
      </c>
      <c r="C129" s="45" t="inlineStr">
        <is>
          <t>九江银行</t>
        </is>
      </c>
      <c r="D129" s="46" t="inlineStr">
        <is>
          <t>张滨工资</t>
        </is>
      </c>
      <c r="E129" s="47" t="n"/>
      <c r="F129" s="47" t="n">
        <v>10000</v>
      </c>
      <c r="G129" s="48">
        <f t="shared" si="4"/>
        <v>468958.37</v>
      </c>
      <c r="H129" s="43">
        <f t="shared" si="0"/>
      </c>
      <c r="I129" s="43" t="str">
        <f t="shared" si="5"/>
        <v>工资</v>
      </c>
      <c r="J129" s="43" t="str">
        <f t="shared" si="1"/>
        <v>张滨</v>
      </c>
      <c r="K129" s="49" t="str">
        <f t="shared" si="2"/>
        <v>√</v>
      </c>
      <c r="L129" s="45" t="n"/>
      <c r="M129" s="45" t="n"/>
      <c r="N129" s="45" t="n"/>
      <c r="O129" s="45" t="n"/>
      <c r="P129" s="50" t="n"/>
      <c r="R129" s="2">
        <f t="shared" si="6"/>
        <v>-10000</v>
      </c>
      <c r="S129" s="2">
        <f t="shared" si="7"/>
        <v>202606</v>
      </c>
      <c r="T129" s="2">
        <f t="shared" si="8"/>
      </c>
      <c r="U129" s="2" t="str">
        <f t="shared" si="9"/>
        <v>工资</v>
      </c>
      <c r="V129" s="2" t="str">
        <f t="shared" si="10"/>
        <v>张滨</v>
      </c>
      <c r="W129" s="2" t="str">
        <f t="shared" si="11"/>
        <v>不进利润</v>
      </c>
      <c r="X129" s="2" t="str">
        <f t="shared" si="12"/>
        <v>应付职工薪酬</v>
      </c>
      <c r="Y129" s="2">
        <f t="shared" si="13"/>
        <v>0</v>
      </c>
      <c r="Z129" s="2" t="str">
        <f t="shared" si="14"/>
        <v>管理人员</v>
      </c>
      <c r="AA129" s="2">
        <f t="shared" si="15"/>
        <v>1</v>
      </c>
      <c r="AB129" s="2">
        <f t="shared" si="16"/>
      </c>
      <c r="AC129" s="2">
        <f t="shared" si="17"/>
      </c>
      <c r="AD129" s="2">
        <f t="shared" si="18"/>
      </c>
      <c r="AE129" s="2" t="str">
        <f t="shared" si="19"/>
        <v>银行</v>
      </c>
      <c r="AF129" s="2">
        <f t="shared" si="20"/>
      </c>
      <c r="AG129" s="2" t="str">
        <f t="shared" si="21"/>
        <v>工资</v>
      </c>
      <c r="AH129" s="2" t="str">
        <f t="shared" si="22"/>
        <v>支</v>
      </c>
      <c r="AI129" s="2">
        <f t="shared" si="23"/>
      </c>
      <c r="AJ129" s="2">
        <f t="shared" si="24"/>
        <v>0</v>
      </c>
      <c r="AK129" s="2">
        <f t="shared" si="25"/>
        <v>0</v>
      </c>
      <c r="AL129" s="2">
        <f t="shared" si="26"/>
        <v>110</v>
      </c>
      <c r="AM129" s="2">
        <f t="shared" si="27"/>
        <v>0</v>
      </c>
      <c r="AN129" s="2">
        <f t="shared" si="28"/>
        <v>46198</v>
      </c>
      <c r="AO129" s="2">
        <f t="shared" si="29"/>
      </c>
      <c r="AP129" s="2" t="str">
        <f t="shared" si="30"/>
        <v>张滨|3</v>
      </c>
      <c r="AQ129" s="2">
        <f t="shared" si="31"/>
      </c>
    </row>
    <row r="130">
      <c r="A130" s="43">
        <f t="shared" si="3"/>
        <v>125</v>
      </c>
      <c r="B130" s="44" t="n">
        <v>46198</v>
      </c>
      <c r="C130" s="45" t="inlineStr">
        <is>
          <t>九江银行</t>
        </is>
      </c>
      <c r="D130" s="46" t="inlineStr">
        <is>
          <t>公司门头装修费</t>
        </is>
      </c>
      <c r="E130" s="47" t="n"/>
      <c r="F130" s="47" t="n">
        <v>1700</v>
      </c>
      <c r="G130" s="48">
        <f t="shared" si="4"/>
        <v>467258.37</v>
      </c>
      <c r="H130" s="43">
        <f t="shared" si="0"/>
      </c>
      <c r="I130" s="43" t="str">
        <f t="shared" si="5"/>
        <v>办公费</v>
      </c>
      <c r="J130" s="43">
        <f t="shared" si="1"/>
      </c>
      <c r="K130" s="49" t="str">
        <f t="shared" si="2"/>
        <v>√</v>
      </c>
      <c r="L130" s="45" t="n"/>
      <c r="M130" s="45" t="n"/>
      <c r="N130" s="45" t="n"/>
      <c r="O130" s="45" t="n"/>
      <c r="P130" s="50" t="n"/>
      <c r="R130" s="2">
        <f t="shared" si="6"/>
        <v>-1700</v>
      </c>
      <c r="S130" s="2">
        <f t="shared" si="7"/>
        <v>202606</v>
      </c>
      <c r="T130" s="2">
        <f t="shared" si="8"/>
      </c>
      <c r="U130" s="2" t="str">
        <f t="shared" si="9"/>
        <v>办公费</v>
      </c>
      <c r="V130" s="2">
        <f t="shared" si="10"/>
      </c>
      <c r="W130" s="2" t="str">
        <f t="shared" si="11"/>
        <v>公司间接费</v>
      </c>
      <c r="X130" s="2" t="str">
        <f t="shared" si="12"/>
        <v>办公费</v>
      </c>
      <c r="Y130" s="2">
        <f t="shared" si="13"/>
        <v>0</v>
      </c>
      <c r="Z130" s="2">
        <f t="shared" si="14"/>
      </c>
      <c r="AA130" s="2">
        <f t="shared" si="15"/>
        <v>0</v>
      </c>
      <c r="AB130" s="2">
        <f t="shared" si="16"/>
      </c>
      <c r="AC130" s="2">
        <f t="shared" si="17"/>
      </c>
      <c r="AD130" s="2">
        <f t="shared" si="18"/>
      </c>
      <c r="AE130" s="2" t="str">
        <f t="shared" si="19"/>
        <v>银行</v>
      </c>
      <c r="AF130" s="2">
        <f t="shared" si="20"/>
      </c>
      <c r="AG130" s="2" t="str">
        <f t="shared" si="21"/>
        <v>办公费</v>
      </c>
      <c r="AH130" s="2" t="str">
        <f t="shared" si="22"/>
        <v>支</v>
      </c>
      <c r="AI130" s="2">
        <f t="shared" si="23"/>
      </c>
      <c r="AJ130" s="2">
        <f t="shared" si="24"/>
        <v>0</v>
      </c>
      <c r="AK130" s="2">
        <f t="shared" si="25"/>
        <v>0</v>
      </c>
      <c r="AL130" s="2">
        <f t="shared" si="26"/>
        <v>0</v>
      </c>
      <c r="AM130" s="2">
        <f t="shared" si="27"/>
        <v>0</v>
      </c>
      <c r="AN130" s="2">
        <f t="shared" si="28"/>
        <v>46198</v>
      </c>
      <c r="AO130" s="2">
        <f t="shared" si="29"/>
      </c>
      <c r="AP130" s="2">
        <f t="shared" si="30"/>
      </c>
      <c r="AQ130" s="2">
        <f t="shared" si="31"/>
      </c>
    </row>
    <row r="131">
      <c r="A131" s="43">
        <f t="shared" si="3"/>
        <v>126</v>
      </c>
      <c r="B131" s="44" t="n">
        <v>46198</v>
      </c>
      <c r="C131" s="45" t="inlineStr">
        <is>
          <t>九江银行</t>
        </is>
      </c>
      <c r="D131" s="46" t="inlineStr">
        <is>
          <t>江西图揽金属科技-抗震支架</t>
        </is>
      </c>
      <c r="E131" s="47" t="n"/>
      <c r="F131" s="47" t="n">
        <v>20000</v>
      </c>
      <c r="G131" s="48">
        <f t="shared" si="4"/>
        <v>447258.37</v>
      </c>
      <c r="H131" s="43">
        <f t="shared" si="0"/>
      </c>
      <c r="I131" s="43" t="str">
        <f t="shared" si="5"/>
        <v>付应付款</v>
      </c>
      <c r="J131" s="43" t="str">
        <f t="shared" si="1"/>
        <v>图揽成善</v>
      </c>
      <c r="K131" s="49" t="str">
        <f t="shared" si="2"/>
        <v>√</v>
      </c>
      <c r="L131" s="45" t="n"/>
      <c r="M131" s="45" t="n"/>
      <c r="N131" s="45" t="n"/>
      <c r="O131" s="45" t="n"/>
      <c r="P131" s="50" t="n"/>
      <c r="R131" s="2">
        <f t="shared" si="6"/>
        <v>-20000</v>
      </c>
      <c r="S131" s="2">
        <f t="shared" si="7"/>
        <v>202606</v>
      </c>
      <c r="T131" s="2">
        <f t="shared" si="8"/>
      </c>
      <c r="U131" s="2" t="str">
        <f t="shared" si="9"/>
        <v>付应付款</v>
      </c>
      <c r="V131" s="2" t="str">
        <f t="shared" si="10"/>
        <v>图揽成善</v>
      </c>
      <c r="W131" s="2" t="str">
        <f t="shared" si="11"/>
        <v>不进利润</v>
      </c>
      <c r="X131" s="2" t="str">
        <f t="shared" si="12"/>
        <v>应付分包款</v>
      </c>
      <c r="Y131" s="2">
        <f t="shared" si="13"/>
        <v>1</v>
      </c>
      <c r="Z131" s="2" t="str">
        <f t="shared" si="14"/>
        <v>分包</v>
      </c>
      <c r="AA131" s="2">
        <f t="shared" si="15"/>
        <v>0</v>
      </c>
      <c r="AB131" s="2">
        <f t="shared" si="16"/>
      </c>
      <c r="AC131" s="2">
        <f t="shared" si="17"/>
      </c>
      <c r="AD131" s="2">
        <f t="shared" si="18"/>
      </c>
      <c r="AE131" s="2" t="str">
        <f t="shared" si="19"/>
        <v>银行</v>
      </c>
      <c r="AF131" s="2">
        <f t="shared" si="20"/>
      </c>
      <c r="AG131" s="2" t="str">
        <f t="shared" si="21"/>
        <v>材料费</v>
      </c>
      <c r="AH131" s="2" t="str">
        <f t="shared" si="22"/>
        <v>支</v>
      </c>
      <c r="AI131" s="2">
        <f t="shared" si="23"/>
      </c>
      <c r="AJ131" s="2">
        <f t="shared" si="24"/>
        <v>0</v>
      </c>
      <c r="AK131" s="2">
        <f t="shared" si="25"/>
        <v>0</v>
      </c>
      <c r="AL131" s="2">
        <f t="shared" si="26"/>
        <v>103</v>
      </c>
      <c r="AM131" s="2">
        <f t="shared" si="27"/>
        <v>0</v>
      </c>
      <c r="AN131" s="2">
        <f t="shared" si="28"/>
        <v>46198</v>
      </c>
      <c r="AO131" s="2">
        <f t="shared" si="29"/>
      </c>
      <c r="AP131" s="2" t="str">
        <f t="shared" si="30"/>
        <v>图揽成善|1</v>
      </c>
      <c r="AQ131" s="2">
        <f t="shared" si="31"/>
      </c>
    </row>
    <row r="132">
      <c r="A132" s="43">
        <f t="shared" si="3"/>
        <v>127</v>
      </c>
      <c r="B132" s="44" t="n">
        <v>46198</v>
      </c>
      <c r="C132" s="45" t="inlineStr">
        <is>
          <t>九江银行</t>
        </is>
      </c>
      <c r="D132" s="46" t="inlineStr">
        <is>
          <t>浔阳楼电线款</t>
        </is>
      </c>
      <c r="E132" s="47" t="n"/>
      <c r="F132" s="47" t="n">
        <v>9459</v>
      </c>
      <c r="G132" s="48">
        <f t="shared" si="4"/>
        <v>437799.37</v>
      </c>
      <c r="H132" s="43">
        <f t="shared" si="0"/>
      </c>
      <c r="I132" s="43" t="str">
        <f t="shared" si="5"/>
        <v>付应付款</v>
      </c>
      <c r="J132" s="43" t="str">
        <f t="shared" si="1"/>
        <v>浔阳楼电缆</v>
      </c>
      <c r="K132" s="49" t="str">
        <f t="shared" si="2"/>
        <v>√</v>
      </c>
      <c r="L132" s="45" t="n"/>
      <c r="M132" s="45" t="n"/>
      <c r="N132" s="45" t="n"/>
      <c r="O132" s="45" t="n"/>
      <c r="P132" s="50" t="n"/>
      <c r="R132" s="2">
        <f t="shared" si="6"/>
        <v>-9459</v>
      </c>
      <c r="S132" s="2">
        <f t="shared" si="7"/>
        <v>202606</v>
      </c>
      <c r="T132" s="2">
        <f t="shared" si="8"/>
      </c>
      <c r="U132" s="2" t="str">
        <f t="shared" si="9"/>
        <v>付应付款</v>
      </c>
      <c r="V132" s="2" t="str">
        <f t="shared" si="10"/>
        <v>浔阳楼电缆</v>
      </c>
      <c r="W132" s="2" t="str">
        <f t="shared" si="11"/>
        <v>不进利润</v>
      </c>
      <c r="X132" s="2" t="str">
        <f t="shared" si="12"/>
        <v>应付材料款</v>
      </c>
      <c r="Y132" s="2">
        <f t="shared" si="13"/>
        <v>1</v>
      </c>
      <c r="Z132" s="2" t="str">
        <f t="shared" si="14"/>
        <v>材料供应商</v>
      </c>
      <c r="AA132" s="2">
        <f t="shared" si="15"/>
        <v>0</v>
      </c>
      <c r="AB132" s="2">
        <f t="shared" si="16"/>
      </c>
      <c r="AC132" s="2">
        <f t="shared" si="17"/>
      </c>
      <c r="AD132" s="2">
        <f t="shared" si="18"/>
      </c>
      <c r="AE132" s="2" t="str">
        <f t="shared" si="19"/>
        <v>银行</v>
      </c>
      <c r="AF132" s="2">
        <f t="shared" si="20"/>
      </c>
      <c r="AG132" s="2" t="str">
        <f t="shared" si="21"/>
        <v>材料费</v>
      </c>
      <c r="AH132" s="2" t="str">
        <f t="shared" si="22"/>
        <v>支</v>
      </c>
      <c r="AI132" s="2">
        <f t="shared" si="23"/>
      </c>
      <c r="AJ132" s="2">
        <f t="shared" si="24"/>
        <v>0</v>
      </c>
      <c r="AK132" s="2">
        <f t="shared" si="25"/>
        <v>0</v>
      </c>
      <c r="AL132" s="2">
        <f t="shared" si="26"/>
        <v>41</v>
      </c>
      <c r="AM132" s="2">
        <f t="shared" si="27"/>
        <v>0</v>
      </c>
      <c r="AN132" s="2">
        <f t="shared" si="28"/>
        <v>46198</v>
      </c>
      <c r="AO132" s="2">
        <f t="shared" si="29"/>
      </c>
      <c r="AP132" s="2" t="str">
        <f t="shared" si="30"/>
        <v>浔阳楼电缆|2</v>
      </c>
      <c r="AQ132" s="2">
        <f t="shared" si="31"/>
      </c>
    </row>
    <row r="133">
      <c r="A133" s="43">
        <f t="shared" si="3"/>
        <v>128</v>
      </c>
      <c r="B133" s="44" t="n">
        <v>46198</v>
      </c>
      <c r="C133" s="45" t="inlineStr">
        <is>
          <t>九江银行</t>
        </is>
      </c>
      <c r="D133" s="46" t="inlineStr">
        <is>
          <t>浔阳楼电线款</t>
        </is>
      </c>
      <c r="E133" s="47" t="n"/>
      <c r="F133" s="47" t="n">
        <v>34057</v>
      </c>
      <c r="G133" s="48">
        <f t="shared" si="4"/>
        <v>403742.37</v>
      </c>
      <c r="H133" s="43">
        <f t="shared" si="0"/>
      </c>
      <c r="I133" s="43" t="str">
        <f t="shared" si="5"/>
        <v>付应付款</v>
      </c>
      <c r="J133" s="43" t="str">
        <f t="shared" si="1"/>
        <v>浔阳楼电缆</v>
      </c>
      <c r="K133" s="49" t="str">
        <f t="shared" si="2"/>
        <v>√</v>
      </c>
      <c r="L133" s="45" t="n"/>
      <c r="M133" s="45" t="n"/>
      <c r="N133" s="45" t="n"/>
      <c r="O133" s="45" t="n"/>
      <c r="P133" s="50" t="n"/>
      <c r="R133" s="2">
        <f t="shared" si="6"/>
        <v>-34057</v>
      </c>
      <c r="S133" s="2">
        <f t="shared" si="7"/>
        <v>202606</v>
      </c>
      <c r="T133" s="2">
        <f t="shared" si="8"/>
      </c>
      <c r="U133" s="2" t="str">
        <f t="shared" si="9"/>
        <v>付应付款</v>
      </c>
      <c r="V133" s="2" t="str">
        <f t="shared" si="10"/>
        <v>浔阳楼电缆</v>
      </c>
      <c r="W133" s="2" t="str">
        <f t="shared" si="11"/>
        <v>不进利润</v>
      </c>
      <c r="X133" s="2" t="str">
        <f t="shared" si="12"/>
        <v>应付材料款</v>
      </c>
      <c r="Y133" s="2">
        <f t="shared" si="13"/>
        <v>1</v>
      </c>
      <c r="Z133" s="2" t="str">
        <f t="shared" si="14"/>
        <v>材料供应商</v>
      </c>
      <c r="AA133" s="2">
        <f t="shared" si="15"/>
        <v>0</v>
      </c>
      <c r="AB133" s="2">
        <f t="shared" si="16"/>
      </c>
      <c r="AC133" s="2">
        <f t="shared" si="17"/>
      </c>
      <c r="AD133" s="2">
        <f t="shared" si="18"/>
      </c>
      <c r="AE133" s="2" t="str">
        <f t="shared" si="19"/>
        <v>银行</v>
      </c>
      <c r="AF133" s="2">
        <f t="shared" si="20"/>
      </c>
      <c r="AG133" s="2" t="str">
        <f t="shared" si="21"/>
        <v>材料费</v>
      </c>
      <c r="AH133" s="2" t="str">
        <f t="shared" si="22"/>
        <v>支</v>
      </c>
      <c r="AI133" s="2">
        <f t="shared" si="23"/>
      </c>
      <c r="AJ133" s="2">
        <f t="shared" si="24"/>
        <v>0</v>
      </c>
      <c r="AK133" s="2">
        <f t="shared" si="25"/>
        <v>0</v>
      </c>
      <c r="AL133" s="2">
        <f t="shared" si="26"/>
        <v>41</v>
      </c>
      <c r="AM133" s="2">
        <f t="shared" si="27"/>
        <v>0</v>
      </c>
      <c r="AN133" s="2">
        <f t="shared" si="28"/>
        <v>46198</v>
      </c>
      <c r="AO133" s="2">
        <f t="shared" si="29"/>
      </c>
      <c r="AP133" s="2" t="str">
        <f t="shared" si="30"/>
        <v>浔阳楼电缆|2</v>
      </c>
      <c r="AQ133" s="2">
        <f t="shared" si="31"/>
      </c>
    </row>
    <row r="134">
      <c r="A134" s="43">
        <f t="shared" si="3"/>
        <v>129</v>
      </c>
      <c r="B134" s="44" t="n">
        <v>46198</v>
      </c>
      <c r="C134" s="45" t="inlineStr">
        <is>
          <t>九江银行</t>
        </is>
      </c>
      <c r="D134" s="46" t="inlineStr">
        <is>
          <t>四川久远智能消防-设备款</t>
        </is>
      </c>
      <c r="E134" s="47" t="n"/>
      <c r="F134" s="47" t="n">
        <v>30551.22</v>
      </c>
      <c r="G134" s="48">
        <f t="shared" si="4"/>
        <v>373191.15</v>
      </c>
      <c r="H134" s="43">
        <f t="shared" si="0"/>
      </c>
      <c r="I134" s="43" t="str">
        <f t="shared" si="5"/>
        <v>材料费</v>
      </c>
      <c r="J134" s="43" t="str">
        <f t="shared" si="1"/>
        <v>四川久远智能消防</v>
      </c>
      <c r="K134" s="49" t="str">
        <f t="shared" si="2"/>
        <v>✗ 这一笔要选项目（摘要里的项目没在【项目档案】的话先去加上）</v>
      </c>
      <c r="L134" s="45" t="n"/>
      <c r="M134" s="45" t="n"/>
      <c r="N134" s="45" t="n"/>
      <c r="O134" s="45" t="n"/>
      <c r="P134" s="50" t="n"/>
      <c r="R134" s="2">
        <f t="shared" si="6"/>
        <v>-30551.22</v>
      </c>
      <c r="S134" s="2">
        <f t="shared" si="7"/>
        <v>202606</v>
      </c>
      <c r="T134" s="2">
        <f t="shared" si="8"/>
      </c>
      <c r="U134" s="2" t="str">
        <f t="shared" si="9"/>
        <v>材料费</v>
      </c>
      <c r="V134" s="2" t="str">
        <f t="shared" si="10"/>
        <v>四川久远智能消防</v>
      </c>
      <c r="W134" s="2" t="str">
        <f t="shared" si="11"/>
        <v>项目直接成本</v>
      </c>
      <c r="X134" s="2" t="str">
        <f t="shared" si="12"/>
        <v>材料费</v>
      </c>
      <c r="Y134" s="2">
        <f t="shared" si="13"/>
        <v>0</v>
      </c>
      <c r="Z134" s="2" t="str">
        <f t="shared" si="14"/>
        <v>材料供应商</v>
      </c>
      <c r="AA134" s="2">
        <f t="shared" si="15"/>
        <v>0</v>
      </c>
      <c r="AB134" s="2">
        <f t="shared" si="16"/>
      </c>
      <c r="AC134" s="2">
        <f t="shared" si="17"/>
      </c>
      <c r="AD134" s="2">
        <f t="shared" si="18"/>
      </c>
      <c r="AE134" s="2" t="str">
        <f t="shared" si="19"/>
        <v>银行</v>
      </c>
      <c r="AF134" s="2">
        <f t="shared" si="20"/>
      </c>
      <c r="AG134" s="2" t="str">
        <f t="shared" si="21"/>
        <v>材料费</v>
      </c>
      <c r="AH134" s="2" t="str">
        <f t="shared" si="22"/>
        <v>支</v>
      </c>
      <c r="AI134" s="2">
        <f t="shared" si="23"/>
      </c>
      <c r="AJ134" s="2">
        <f t="shared" si="24"/>
        <v>0</v>
      </c>
      <c r="AK134" s="2">
        <f t="shared" si="25"/>
        <v>0</v>
      </c>
      <c r="AL134" s="2">
        <f t="shared" si="26"/>
        <v>8</v>
      </c>
      <c r="AM134" s="2">
        <f t="shared" si="27"/>
        <v>0</v>
      </c>
      <c r="AN134" s="2">
        <f t="shared" si="28"/>
        <v>46198</v>
      </c>
      <c r="AO134" s="2">
        <f t="shared" si="29"/>
      </c>
      <c r="AP134" s="2" t="str">
        <f t="shared" si="30"/>
        <v>四川久远智能消防|1</v>
      </c>
      <c r="AQ134" s="2">
        <f t="shared" si="31"/>
      </c>
    </row>
    <row r="135">
      <c r="A135" s="43">
        <f t="shared" si="3"/>
        <v>130</v>
      </c>
      <c r="B135" s="44" t="n">
        <v>46198</v>
      </c>
      <c r="C135" s="45" t="inlineStr">
        <is>
          <t>九江银行</t>
        </is>
      </c>
      <c r="D135" s="46" t="inlineStr">
        <is>
          <t>员工聚餐</t>
        </is>
      </c>
      <c r="E135" s="47" t="n"/>
      <c r="F135" s="47" t="n">
        <v>1098</v>
      </c>
      <c r="G135" s="48">
        <f t="shared" si="4"/>
        <v>372093.15</v>
      </c>
      <c r="H135" s="43">
        <f t="shared" si="0"/>
      </c>
      <c r="I135" s="43" t="str">
        <f t="shared" si="5"/>
        <v>业务招待费</v>
      </c>
      <c r="J135" s="43">
        <f t="shared" si="1"/>
      </c>
      <c r="K135" s="49" t="str">
        <f t="shared" si="2"/>
        <v>√</v>
      </c>
      <c r="L135" s="45" t="n"/>
      <c r="M135" s="45" t="n"/>
      <c r="N135" s="45" t="n"/>
      <c r="O135" s="45" t="n"/>
      <c r="P135" s="50" t="n"/>
      <c r="R135" s="2">
        <f t="shared" si="6"/>
        <v>-1098</v>
      </c>
      <c r="S135" s="2">
        <f t="shared" si="7"/>
        <v>202606</v>
      </c>
      <c r="T135" s="2">
        <f t="shared" si="8"/>
      </c>
      <c r="U135" s="2" t="str">
        <f t="shared" si="9"/>
        <v>业务招待费</v>
      </c>
      <c r="V135" s="2">
        <f t="shared" si="10"/>
      </c>
      <c r="W135" s="2" t="str">
        <f t="shared" si="11"/>
        <v>公司间接费</v>
      </c>
      <c r="X135" s="2" t="str">
        <f t="shared" si="12"/>
        <v>业务招待费</v>
      </c>
      <c r="Y135" s="2">
        <f t="shared" si="13"/>
        <v>0</v>
      </c>
      <c r="Z135" s="2">
        <f t="shared" si="14"/>
      </c>
      <c r="AA135" s="2">
        <f t="shared" si="15"/>
        <v>0</v>
      </c>
      <c r="AB135" s="2">
        <f t="shared" si="16"/>
      </c>
      <c r="AC135" s="2">
        <f t="shared" si="17"/>
      </c>
      <c r="AD135" s="2">
        <f t="shared" si="18"/>
      </c>
      <c r="AE135" s="2" t="str">
        <f t="shared" si="19"/>
        <v>银行</v>
      </c>
      <c r="AF135" s="2">
        <f t="shared" si="20"/>
      </c>
      <c r="AG135" s="2" t="str">
        <f t="shared" si="21"/>
        <v>业务招待费</v>
      </c>
      <c r="AH135" s="2" t="str">
        <f t="shared" si="22"/>
        <v>支</v>
      </c>
      <c r="AI135" s="2">
        <f t="shared" si="23"/>
      </c>
      <c r="AJ135" s="2">
        <f t="shared" si="24"/>
        <v>0</v>
      </c>
      <c r="AK135" s="2">
        <f t="shared" si="25"/>
        <v>0</v>
      </c>
      <c r="AL135" s="2">
        <f t="shared" si="26"/>
        <v>0</v>
      </c>
      <c r="AM135" s="2">
        <f t="shared" si="27"/>
        <v>0</v>
      </c>
      <c r="AN135" s="2">
        <f t="shared" si="28"/>
        <v>46198</v>
      </c>
      <c r="AO135" s="2">
        <f t="shared" si="29"/>
      </c>
      <c r="AP135" s="2">
        <f t="shared" si="30"/>
      </c>
      <c r="AQ135" s="2">
        <f t="shared" si="31"/>
      </c>
    </row>
    <row r="136">
      <c r="A136" s="43">
        <f t="shared" si="3"/>
        <v>131</v>
      </c>
      <c r="B136" s="44" t="n">
        <v>46198</v>
      </c>
      <c r="C136" s="45" t="inlineStr">
        <is>
          <t>九江银行</t>
        </is>
      </c>
      <c r="D136" s="46" t="inlineStr">
        <is>
          <t>皮卡车维修费</t>
        </is>
      </c>
      <c r="E136" s="47" t="n"/>
      <c r="F136" s="47" t="n">
        <v>1200</v>
      </c>
      <c r="G136" s="48">
        <f t="shared" si="4"/>
        <v>370893.15</v>
      </c>
      <c r="H136" s="43">
        <f t="shared" si="0"/>
      </c>
      <c r="I136" s="43" t="str">
        <f t="shared" si="5"/>
        <v>车辆差旅</v>
      </c>
      <c r="J136" s="43">
        <f t="shared" si="1"/>
      </c>
      <c r="K136" s="49" t="str">
        <f t="shared" si="2"/>
        <v>√</v>
      </c>
      <c r="L136" s="45" t="n"/>
      <c r="M136" s="45" t="n"/>
      <c r="N136" s="45" t="n"/>
      <c r="O136" s="45" t="n"/>
      <c r="P136" s="50" t="n"/>
      <c r="R136" s="2">
        <f t="shared" si="6"/>
        <v>-1200</v>
      </c>
      <c r="S136" s="2">
        <f t="shared" si="7"/>
        <v>202606</v>
      </c>
      <c r="T136" s="2">
        <f t="shared" si="8"/>
      </c>
      <c r="U136" s="2" t="str">
        <f t="shared" si="9"/>
        <v>车辆差旅</v>
      </c>
      <c r="V136" s="2">
        <f t="shared" si="10"/>
      </c>
      <c r="W136" s="2" t="str">
        <f t="shared" si="11"/>
        <v>公司间接费</v>
      </c>
      <c r="X136" s="2" t="str">
        <f t="shared" si="12"/>
        <v>车辆差旅</v>
      </c>
      <c r="Y136" s="2">
        <f t="shared" si="13"/>
        <v>0</v>
      </c>
      <c r="Z136" s="2">
        <f t="shared" si="14"/>
      </c>
      <c r="AA136" s="2">
        <f t="shared" si="15"/>
        <v>0</v>
      </c>
      <c r="AB136" s="2">
        <f t="shared" si="16"/>
      </c>
      <c r="AC136" s="2">
        <f t="shared" si="17"/>
      </c>
      <c r="AD136" s="2">
        <f t="shared" si="18"/>
      </c>
      <c r="AE136" s="2" t="str">
        <f t="shared" si="19"/>
        <v>银行</v>
      </c>
      <c r="AF136" s="2">
        <f t="shared" si="20"/>
      </c>
      <c r="AG136" s="2" t="str">
        <f t="shared" si="21"/>
        <v>车辆差旅</v>
      </c>
      <c r="AH136" s="2" t="str">
        <f t="shared" si="22"/>
        <v>支</v>
      </c>
      <c r="AI136" s="2">
        <f t="shared" si="23"/>
      </c>
      <c r="AJ136" s="2">
        <f t="shared" si="24"/>
        <v>0</v>
      </c>
      <c r="AK136" s="2">
        <f t="shared" si="25"/>
        <v>0</v>
      </c>
      <c r="AL136" s="2">
        <f t="shared" si="26"/>
        <v>0</v>
      </c>
      <c r="AM136" s="2">
        <f t="shared" si="27"/>
        <v>0</v>
      </c>
      <c r="AN136" s="2">
        <f t="shared" si="28"/>
        <v>46198</v>
      </c>
      <c r="AO136" s="2">
        <f t="shared" si="29"/>
      </c>
      <c r="AP136" s="2">
        <f t="shared" si="30"/>
      </c>
      <c r="AQ136" s="2">
        <f t="shared" si="31"/>
      </c>
    </row>
    <row r="137">
      <c r="A137" s="43">
        <f t="shared" si="3"/>
        <v>132</v>
      </c>
      <c r="B137" s="44" t="n">
        <v>46199</v>
      </c>
      <c r="C137" s="45" t="inlineStr">
        <is>
          <t>九江银行</t>
        </is>
      </c>
      <c r="D137" s="46" t="inlineStr">
        <is>
          <t>付吴志刚工资</t>
        </is>
      </c>
      <c r="E137" s="47" t="n"/>
      <c r="F137" s="47" t="n">
        <v>10000</v>
      </c>
      <c r="G137" s="48">
        <f t="shared" si="4"/>
        <v>360893.15</v>
      </c>
      <c r="H137" s="43">
        <f t="shared" si="0"/>
      </c>
      <c r="I137" s="43" t="str">
        <f t="shared" si="5"/>
        <v>工资</v>
      </c>
      <c r="J137" s="43" t="str">
        <f t="shared" si="1"/>
        <v>吴志刚</v>
      </c>
      <c r="K137" s="49" t="str">
        <f t="shared" si="2"/>
        <v>√</v>
      </c>
      <c r="L137" s="45" t="n"/>
      <c r="M137" s="45" t="n"/>
      <c r="N137" s="45" t="n"/>
      <c r="O137" s="45" t="n"/>
      <c r="P137" s="50" t="n"/>
      <c r="R137" s="2">
        <f t="shared" si="6"/>
        <v>-10000</v>
      </c>
      <c r="S137" s="2">
        <f t="shared" si="7"/>
        <v>202606</v>
      </c>
      <c r="T137" s="2">
        <f t="shared" si="8"/>
      </c>
      <c r="U137" s="2" t="str">
        <f t="shared" si="9"/>
        <v>工资</v>
      </c>
      <c r="V137" s="2" t="str">
        <f t="shared" si="10"/>
        <v>吴志刚</v>
      </c>
      <c r="W137" s="2" t="str">
        <f t="shared" si="11"/>
        <v>不进利润</v>
      </c>
      <c r="X137" s="2" t="str">
        <f t="shared" si="12"/>
        <v>应付职工薪酬</v>
      </c>
      <c r="Y137" s="2">
        <f t="shared" si="13"/>
        <v>0</v>
      </c>
      <c r="Z137" s="2" t="str">
        <f t="shared" si="14"/>
        <v>工人</v>
      </c>
      <c r="AA137" s="2">
        <f t="shared" si="15"/>
        <v>1</v>
      </c>
      <c r="AB137" s="2">
        <f t="shared" si="16"/>
      </c>
      <c r="AC137" s="2">
        <f t="shared" si="17"/>
      </c>
      <c r="AD137" s="2">
        <f t="shared" si="18"/>
      </c>
      <c r="AE137" s="2" t="str">
        <f t="shared" si="19"/>
        <v>银行</v>
      </c>
      <c r="AF137" s="2">
        <f t="shared" si="20"/>
      </c>
      <c r="AG137" s="2" t="str">
        <f t="shared" si="21"/>
        <v>工资</v>
      </c>
      <c r="AH137" s="2" t="str">
        <f t="shared" si="22"/>
        <v>支</v>
      </c>
      <c r="AI137" s="2">
        <f t="shared" si="23"/>
      </c>
      <c r="AJ137" s="2">
        <f t="shared" si="24"/>
        <v>0</v>
      </c>
      <c r="AK137" s="2">
        <f t="shared" si="25"/>
        <v>0</v>
      </c>
      <c r="AL137" s="2">
        <f t="shared" si="26"/>
        <v>65</v>
      </c>
      <c r="AM137" s="2">
        <f t="shared" si="27"/>
        <v>0</v>
      </c>
      <c r="AN137" s="2">
        <f t="shared" si="28"/>
        <v>46199</v>
      </c>
      <c r="AO137" s="2">
        <f t="shared" si="29"/>
      </c>
      <c r="AP137" s="2" t="str">
        <f t="shared" si="30"/>
        <v>吴志刚|2</v>
      </c>
      <c r="AQ137" s="2">
        <f t="shared" si="31"/>
      </c>
    </row>
    <row r="138">
      <c r="A138" s="43">
        <f t="shared" si="3"/>
        <v>133</v>
      </c>
      <c r="B138" s="44" t="n">
        <v>46199</v>
      </c>
      <c r="C138" s="45" t="inlineStr">
        <is>
          <t>九江银行</t>
        </is>
      </c>
      <c r="D138" s="46" t="inlineStr">
        <is>
          <t>袁斌财工资</t>
        </is>
      </c>
      <c r="E138" s="47" t="n"/>
      <c r="F138" s="47" t="n">
        <v>4000</v>
      </c>
      <c r="G138" s="48">
        <f t="shared" si="4"/>
        <v>356893.15</v>
      </c>
      <c r="H138" s="43">
        <f t="shared" si="0"/>
      </c>
      <c r="I138" s="43" t="str">
        <f t="shared" si="5"/>
        <v>工资</v>
      </c>
      <c r="J138" s="43" t="str">
        <f t="shared" si="1"/>
        <v>袁斌财</v>
      </c>
      <c r="K138" s="49" t="str">
        <f t="shared" si="2"/>
        <v>√</v>
      </c>
      <c r="L138" s="45" t="n"/>
      <c r="M138" s="45" t="n"/>
      <c r="N138" s="45" t="n"/>
      <c r="O138" s="45" t="n"/>
      <c r="P138" s="50" t="n"/>
      <c r="R138" s="2">
        <f t="shared" si="6"/>
        <v>-4000</v>
      </c>
      <c r="S138" s="2">
        <f t="shared" si="7"/>
        <v>202606</v>
      </c>
      <c r="T138" s="2">
        <f t="shared" si="8"/>
      </c>
      <c r="U138" s="2" t="str">
        <f t="shared" si="9"/>
        <v>工资</v>
      </c>
      <c r="V138" s="2" t="str">
        <f t="shared" si="10"/>
        <v>袁斌财</v>
      </c>
      <c r="W138" s="2" t="str">
        <f t="shared" si="11"/>
        <v>不进利润</v>
      </c>
      <c r="X138" s="2" t="str">
        <f t="shared" si="12"/>
        <v>应付职工薪酬</v>
      </c>
      <c r="Y138" s="2">
        <f t="shared" si="13"/>
        <v>0</v>
      </c>
      <c r="Z138" s="2" t="str">
        <f t="shared" si="14"/>
        <v>工人</v>
      </c>
      <c r="AA138" s="2">
        <f t="shared" si="15"/>
        <v>1</v>
      </c>
      <c r="AB138" s="2">
        <f t="shared" si="16"/>
      </c>
      <c r="AC138" s="2">
        <f t="shared" si="17"/>
      </c>
      <c r="AD138" s="2">
        <f t="shared" si="18"/>
      </c>
      <c r="AE138" s="2" t="str">
        <f t="shared" si="19"/>
        <v>银行</v>
      </c>
      <c r="AF138" s="2">
        <f t="shared" si="20"/>
      </c>
      <c r="AG138" s="2" t="str">
        <f t="shared" si="21"/>
        <v>工资</v>
      </c>
      <c r="AH138" s="2" t="str">
        <f t="shared" si="22"/>
        <v>支</v>
      </c>
      <c r="AI138" s="2">
        <f t="shared" si="23"/>
      </c>
      <c r="AJ138" s="2">
        <f t="shared" si="24"/>
        <v>0</v>
      </c>
      <c r="AK138" s="2">
        <f t="shared" si="25"/>
        <v>0</v>
      </c>
      <c r="AL138" s="2">
        <f t="shared" si="26"/>
        <v>46</v>
      </c>
      <c r="AM138" s="2">
        <f t="shared" si="27"/>
        <v>0</v>
      </c>
      <c r="AN138" s="2">
        <f t="shared" si="28"/>
        <v>46199</v>
      </c>
      <c r="AO138" s="2">
        <f t="shared" si="29"/>
      </c>
      <c r="AP138" s="2" t="str">
        <f t="shared" si="30"/>
        <v>袁斌财|1</v>
      </c>
      <c r="AQ138" s="2">
        <f t="shared" si="31"/>
      </c>
    </row>
    <row r="139">
      <c r="A139" s="43">
        <f t="shared" si="3"/>
        <v>134</v>
      </c>
      <c r="B139" s="44" t="n">
        <v>46199</v>
      </c>
      <c r="C139" s="45" t="inlineStr">
        <is>
          <t>九江银行</t>
        </is>
      </c>
      <c r="D139" s="46" t="inlineStr">
        <is>
          <t>叶炳南工资</t>
        </is>
      </c>
      <c r="E139" s="47" t="n"/>
      <c r="F139" s="47" t="n">
        <v>4000</v>
      </c>
      <c r="G139" s="48">
        <f t="shared" si="4"/>
        <v>352893.15</v>
      </c>
      <c r="H139" s="43">
        <f t="shared" si="0"/>
      </c>
      <c r="I139" s="43" t="str">
        <f t="shared" si="5"/>
        <v>工资</v>
      </c>
      <c r="J139" s="43" t="str">
        <f t="shared" si="1"/>
        <v>叶炳南</v>
      </c>
      <c r="K139" s="49" t="str">
        <f t="shared" si="2"/>
        <v>√</v>
      </c>
      <c r="L139" s="45" t="n"/>
      <c r="M139" s="45" t="n"/>
      <c r="N139" s="45" t="n"/>
      <c r="O139" s="45" t="n"/>
      <c r="P139" s="50" t="n"/>
      <c r="R139" s="2">
        <f t="shared" si="6"/>
        <v>-4000</v>
      </c>
      <c r="S139" s="2">
        <f t="shared" si="7"/>
        <v>202606</v>
      </c>
      <c r="T139" s="2">
        <f t="shared" si="8"/>
      </c>
      <c r="U139" s="2" t="str">
        <f t="shared" si="9"/>
        <v>工资</v>
      </c>
      <c r="V139" s="2" t="str">
        <f t="shared" si="10"/>
        <v>叶炳南</v>
      </c>
      <c r="W139" s="2" t="str">
        <f t="shared" si="11"/>
        <v>不进利润</v>
      </c>
      <c r="X139" s="2" t="str">
        <f t="shared" si="12"/>
        <v>应付职工薪酬</v>
      </c>
      <c r="Y139" s="2">
        <f t="shared" si="13"/>
        <v>0</v>
      </c>
      <c r="Z139" s="2" t="str">
        <f t="shared" si="14"/>
        <v>工人</v>
      </c>
      <c r="AA139" s="2">
        <f t="shared" si="15"/>
        <v>1</v>
      </c>
      <c r="AB139" s="2">
        <f t="shared" si="16"/>
      </c>
      <c r="AC139" s="2">
        <f t="shared" si="17"/>
      </c>
      <c r="AD139" s="2">
        <f t="shared" si="18"/>
      </c>
      <c r="AE139" s="2" t="str">
        <f t="shared" si="19"/>
        <v>银行</v>
      </c>
      <c r="AF139" s="2">
        <f t="shared" si="20"/>
      </c>
      <c r="AG139" s="2" t="str">
        <f t="shared" si="21"/>
        <v>工资</v>
      </c>
      <c r="AH139" s="2" t="str">
        <f t="shared" si="22"/>
        <v>支</v>
      </c>
      <c r="AI139" s="2">
        <f t="shared" si="23"/>
      </c>
      <c r="AJ139" s="2">
        <f t="shared" si="24"/>
        <v>0</v>
      </c>
      <c r="AK139" s="2">
        <f t="shared" si="25"/>
        <v>0</v>
      </c>
      <c r="AL139" s="2">
        <f t="shared" si="26"/>
        <v>50</v>
      </c>
      <c r="AM139" s="2">
        <f t="shared" si="27"/>
        <v>0</v>
      </c>
      <c r="AN139" s="2">
        <f t="shared" si="28"/>
        <v>46199</v>
      </c>
      <c r="AO139" s="2">
        <f t="shared" si="29"/>
      </c>
      <c r="AP139" s="2" t="str">
        <f t="shared" si="30"/>
        <v>叶炳南|1</v>
      </c>
      <c r="AQ139" s="2">
        <f t="shared" si="31"/>
      </c>
    </row>
    <row r="140">
      <c r="A140" s="43">
        <f t="shared" si="3"/>
        <v>135</v>
      </c>
      <c r="B140" s="44" t="n">
        <v>46199</v>
      </c>
      <c r="C140" s="45" t="inlineStr">
        <is>
          <t>九江银行</t>
        </is>
      </c>
      <c r="D140" s="46" t="inlineStr">
        <is>
          <t>叶焰平工资</t>
        </is>
      </c>
      <c r="E140" s="47" t="n"/>
      <c r="F140" s="47" t="n">
        <v>5000</v>
      </c>
      <c r="G140" s="48">
        <f t="shared" si="4"/>
        <v>347893.15</v>
      </c>
      <c r="H140" s="43">
        <f t="shared" si="0"/>
      </c>
      <c r="I140" s="43" t="str">
        <f t="shared" si="5"/>
        <v>工资</v>
      </c>
      <c r="J140" s="43" t="str">
        <f t="shared" si="1"/>
        <v>叶焰平</v>
      </c>
      <c r="K140" s="49" t="str">
        <f t="shared" si="2"/>
        <v>√</v>
      </c>
      <c r="L140" s="45" t="n"/>
      <c r="M140" s="45" t="n"/>
      <c r="N140" s="45" t="n"/>
      <c r="O140" s="45" t="n"/>
      <c r="P140" s="50" t="n"/>
      <c r="R140" s="2">
        <f t="shared" si="6"/>
        <v>-5000</v>
      </c>
      <c r="S140" s="2">
        <f t="shared" si="7"/>
        <v>202606</v>
      </c>
      <c r="T140" s="2">
        <f t="shared" si="8"/>
      </c>
      <c r="U140" s="2" t="str">
        <f t="shared" si="9"/>
        <v>工资</v>
      </c>
      <c r="V140" s="2" t="str">
        <f t="shared" si="10"/>
        <v>叶焰平</v>
      </c>
      <c r="W140" s="2" t="str">
        <f t="shared" si="11"/>
        <v>不进利润</v>
      </c>
      <c r="X140" s="2" t="str">
        <f t="shared" si="12"/>
        <v>应付职工薪酬</v>
      </c>
      <c r="Y140" s="2">
        <f t="shared" si="13"/>
        <v>0</v>
      </c>
      <c r="Z140" s="2" t="str">
        <f t="shared" si="14"/>
        <v>工人</v>
      </c>
      <c r="AA140" s="2">
        <f t="shared" si="15"/>
        <v>1</v>
      </c>
      <c r="AB140" s="2">
        <f t="shared" si="16"/>
      </c>
      <c r="AC140" s="2">
        <f t="shared" si="17"/>
      </c>
      <c r="AD140" s="2">
        <f t="shared" si="18"/>
      </c>
      <c r="AE140" s="2" t="str">
        <f t="shared" si="19"/>
        <v>银行</v>
      </c>
      <c r="AF140" s="2">
        <f t="shared" si="20"/>
      </c>
      <c r="AG140" s="2" t="str">
        <f t="shared" si="21"/>
        <v>工资</v>
      </c>
      <c r="AH140" s="2" t="str">
        <f t="shared" si="22"/>
        <v>支</v>
      </c>
      <c r="AI140" s="2">
        <f t="shared" si="23"/>
      </c>
      <c r="AJ140" s="2">
        <f t="shared" si="24"/>
        <v>0</v>
      </c>
      <c r="AK140" s="2">
        <f t="shared" si="25"/>
        <v>0</v>
      </c>
      <c r="AL140" s="2">
        <f t="shared" si="26"/>
        <v>70</v>
      </c>
      <c r="AM140" s="2">
        <f t="shared" si="27"/>
        <v>0</v>
      </c>
      <c r="AN140" s="2">
        <f t="shared" si="28"/>
        <v>46199</v>
      </c>
      <c r="AO140" s="2">
        <f t="shared" si="29"/>
      </c>
      <c r="AP140" s="2" t="str">
        <f t="shared" si="30"/>
        <v>叶焰平|1</v>
      </c>
      <c r="AQ140" s="2">
        <f t="shared" si="31"/>
      </c>
    </row>
    <row r="141">
      <c r="A141" s="43">
        <f t="shared" si="3"/>
        <v>136</v>
      </c>
      <c r="B141" s="44" t="n">
        <v>46199</v>
      </c>
      <c r="C141" s="45" t="inlineStr">
        <is>
          <t>九江银行</t>
        </is>
      </c>
      <c r="D141" s="46" t="inlineStr">
        <is>
          <t>梅秀刚工资</t>
        </is>
      </c>
      <c r="E141" s="47" t="n"/>
      <c r="F141" s="47" t="n">
        <v>4000</v>
      </c>
      <c r="G141" s="48">
        <f t="shared" si="4"/>
        <v>343893.15</v>
      </c>
      <c r="H141" s="43">
        <f t="shared" si="0"/>
      </c>
      <c r="I141" s="43" t="str">
        <f t="shared" si="5"/>
        <v>工资</v>
      </c>
      <c r="J141" s="43" t="str">
        <f t="shared" si="1"/>
        <v>梅秀刚</v>
      </c>
      <c r="K141" s="49" t="str">
        <f t="shared" si="2"/>
        <v>√</v>
      </c>
      <c r="L141" s="45" t="n"/>
      <c r="M141" s="45" t="n"/>
      <c r="N141" s="45" t="n"/>
      <c r="O141" s="45" t="n"/>
      <c r="P141" s="50" t="n"/>
      <c r="R141" s="2">
        <f t="shared" si="6"/>
        <v>-4000</v>
      </c>
      <c r="S141" s="2">
        <f t="shared" si="7"/>
        <v>202606</v>
      </c>
      <c r="T141" s="2">
        <f t="shared" si="8"/>
      </c>
      <c r="U141" s="2" t="str">
        <f t="shared" si="9"/>
        <v>工资</v>
      </c>
      <c r="V141" s="2" t="str">
        <f t="shared" si="10"/>
        <v>梅秀刚</v>
      </c>
      <c r="W141" s="2" t="str">
        <f t="shared" si="11"/>
        <v>不进利润</v>
      </c>
      <c r="X141" s="2" t="str">
        <f t="shared" si="12"/>
        <v>应付职工薪酬</v>
      </c>
      <c r="Y141" s="2">
        <f t="shared" si="13"/>
        <v>0</v>
      </c>
      <c r="Z141" s="2" t="str">
        <f t="shared" si="14"/>
        <v>工人</v>
      </c>
      <c r="AA141" s="2">
        <f t="shared" si="15"/>
        <v>1</v>
      </c>
      <c r="AB141" s="2">
        <f t="shared" si="16"/>
      </c>
      <c r="AC141" s="2">
        <f t="shared" si="17"/>
      </c>
      <c r="AD141" s="2">
        <f t="shared" si="18"/>
      </c>
      <c r="AE141" s="2" t="str">
        <f t="shared" si="19"/>
        <v>银行</v>
      </c>
      <c r="AF141" s="2">
        <f t="shared" si="20"/>
      </c>
      <c r="AG141" s="2" t="str">
        <f t="shared" si="21"/>
        <v>工资</v>
      </c>
      <c r="AH141" s="2" t="str">
        <f t="shared" si="22"/>
        <v>支</v>
      </c>
      <c r="AI141" s="2">
        <f t="shared" si="23"/>
      </c>
      <c r="AJ141" s="2">
        <f t="shared" si="24"/>
        <v>0</v>
      </c>
      <c r="AK141" s="2">
        <f t="shared" si="25"/>
        <v>0</v>
      </c>
      <c r="AL141" s="2">
        <f t="shared" si="26"/>
        <v>56</v>
      </c>
      <c r="AM141" s="2">
        <f t="shared" si="27"/>
        <v>0</v>
      </c>
      <c r="AN141" s="2">
        <f t="shared" si="28"/>
        <v>46199</v>
      </c>
      <c r="AO141" s="2">
        <f t="shared" si="29"/>
      </c>
      <c r="AP141" s="2" t="str">
        <f t="shared" si="30"/>
        <v>梅秀刚|2</v>
      </c>
      <c r="AQ141" s="2">
        <f t="shared" si="31"/>
      </c>
    </row>
    <row r="142">
      <c r="A142" s="43">
        <f t="shared" si="3"/>
        <v>137</v>
      </c>
      <c r="B142" s="44" t="n">
        <v>46199</v>
      </c>
      <c r="C142" s="45" t="inlineStr">
        <is>
          <t>九江银行</t>
        </is>
      </c>
      <c r="D142" s="46" t="inlineStr">
        <is>
          <t>金李平工资</t>
        </is>
      </c>
      <c r="E142" s="47" t="n"/>
      <c r="F142" s="47" t="n">
        <v>4000</v>
      </c>
      <c r="G142" s="48">
        <f t="shared" si="4"/>
        <v>339893.15</v>
      </c>
      <c r="H142" s="43">
        <f t="shared" si="0"/>
      </c>
      <c r="I142" s="43" t="str">
        <f t="shared" si="5"/>
        <v>工资</v>
      </c>
      <c r="J142" s="43" t="str">
        <f t="shared" si="1"/>
        <v>金李平</v>
      </c>
      <c r="K142" s="49" t="str">
        <f t="shared" si="2"/>
        <v>√</v>
      </c>
      <c r="L142" s="45" t="n"/>
      <c r="M142" s="45" t="n"/>
      <c r="N142" s="45" t="n"/>
      <c r="O142" s="45" t="n"/>
      <c r="P142" s="50" t="n"/>
      <c r="R142" s="2">
        <f t="shared" si="6"/>
        <v>-4000</v>
      </c>
      <c r="S142" s="2">
        <f t="shared" si="7"/>
        <v>202606</v>
      </c>
      <c r="T142" s="2">
        <f t="shared" si="8"/>
      </c>
      <c r="U142" s="2" t="str">
        <f t="shared" si="9"/>
        <v>工资</v>
      </c>
      <c r="V142" s="2" t="str">
        <f t="shared" si="10"/>
        <v>金李平</v>
      </c>
      <c r="W142" s="2" t="str">
        <f t="shared" si="11"/>
        <v>不进利润</v>
      </c>
      <c r="X142" s="2" t="str">
        <f t="shared" si="12"/>
        <v>应付职工薪酬</v>
      </c>
      <c r="Y142" s="2">
        <f t="shared" si="13"/>
        <v>0</v>
      </c>
      <c r="Z142" s="2" t="str">
        <f t="shared" si="14"/>
        <v>工人</v>
      </c>
      <c r="AA142" s="2">
        <f t="shared" si="15"/>
        <v>1</v>
      </c>
      <c r="AB142" s="2">
        <f t="shared" si="16"/>
      </c>
      <c r="AC142" s="2">
        <f t="shared" si="17"/>
      </c>
      <c r="AD142" s="2">
        <f t="shared" si="18"/>
      </c>
      <c r="AE142" s="2" t="str">
        <f t="shared" si="19"/>
        <v>银行</v>
      </c>
      <c r="AF142" s="2">
        <f t="shared" si="20"/>
      </c>
      <c r="AG142" s="2" t="str">
        <f t="shared" si="21"/>
        <v>工资</v>
      </c>
      <c r="AH142" s="2" t="str">
        <f t="shared" si="22"/>
        <v>支</v>
      </c>
      <c r="AI142" s="2">
        <f t="shared" si="23"/>
      </c>
      <c r="AJ142" s="2">
        <f t="shared" si="24"/>
        <v>0</v>
      </c>
      <c r="AK142" s="2">
        <f t="shared" si="25"/>
        <v>0</v>
      </c>
      <c r="AL142" s="2">
        <f t="shared" si="26"/>
        <v>58</v>
      </c>
      <c r="AM142" s="2">
        <f t="shared" si="27"/>
        <v>0</v>
      </c>
      <c r="AN142" s="2">
        <f t="shared" si="28"/>
        <v>46199</v>
      </c>
      <c r="AO142" s="2">
        <f t="shared" si="29"/>
      </c>
      <c r="AP142" s="2" t="str">
        <f t="shared" si="30"/>
        <v>金李平|1</v>
      </c>
      <c r="AQ142" s="2">
        <f t="shared" si="31"/>
      </c>
    </row>
    <row r="143">
      <c r="A143" s="43">
        <f t="shared" si="3"/>
        <v>138</v>
      </c>
      <c r="B143" s="44" t="n">
        <v>46199</v>
      </c>
      <c r="C143" s="45" t="inlineStr">
        <is>
          <t>九江银行</t>
        </is>
      </c>
      <c r="D143" s="46" t="inlineStr">
        <is>
          <t>胡家新工资</t>
        </is>
      </c>
      <c r="E143" s="47" t="n"/>
      <c r="F143" s="47" t="n">
        <v>4000</v>
      </c>
      <c r="G143" s="48">
        <f t="shared" si="4"/>
        <v>335893.15</v>
      </c>
      <c r="H143" s="43">
        <f t="shared" si="0"/>
      </c>
      <c r="I143" s="43" t="str">
        <f t="shared" si="5"/>
        <v>工资</v>
      </c>
      <c r="J143" s="43" t="str">
        <f t="shared" si="1"/>
        <v>胡家新</v>
      </c>
      <c r="K143" s="49" t="str">
        <f t="shared" si="2"/>
        <v>√</v>
      </c>
      <c r="L143" s="45" t="n"/>
      <c r="M143" s="45" t="n"/>
      <c r="N143" s="45" t="n"/>
      <c r="O143" s="45" t="n"/>
      <c r="P143" s="50" t="n"/>
      <c r="R143" s="2">
        <f t="shared" si="6"/>
        <v>-4000</v>
      </c>
      <c r="S143" s="2">
        <f t="shared" si="7"/>
        <v>202606</v>
      </c>
      <c r="T143" s="2">
        <f t="shared" si="8"/>
      </c>
      <c r="U143" s="2" t="str">
        <f t="shared" si="9"/>
        <v>工资</v>
      </c>
      <c r="V143" s="2" t="str">
        <f t="shared" si="10"/>
        <v>胡家新</v>
      </c>
      <c r="W143" s="2" t="str">
        <f t="shared" si="11"/>
        <v>不进利润</v>
      </c>
      <c r="X143" s="2" t="str">
        <f t="shared" si="12"/>
        <v>应付职工薪酬</v>
      </c>
      <c r="Y143" s="2">
        <f t="shared" si="13"/>
        <v>0</v>
      </c>
      <c r="Z143" s="2" t="str">
        <f t="shared" si="14"/>
        <v>工人</v>
      </c>
      <c r="AA143" s="2">
        <f t="shared" si="15"/>
        <v>1</v>
      </c>
      <c r="AB143" s="2">
        <f t="shared" si="16"/>
      </c>
      <c r="AC143" s="2">
        <f t="shared" si="17"/>
      </c>
      <c r="AD143" s="2">
        <f t="shared" si="18"/>
      </c>
      <c r="AE143" s="2" t="str">
        <f t="shared" si="19"/>
        <v>银行</v>
      </c>
      <c r="AF143" s="2">
        <f t="shared" si="20"/>
      </c>
      <c r="AG143" s="2" t="str">
        <f t="shared" si="21"/>
        <v>工资</v>
      </c>
      <c r="AH143" s="2" t="str">
        <f t="shared" si="22"/>
        <v>支</v>
      </c>
      <c r="AI143" s="2">
        <f t="shared" si="23"/>
      </c>
      <c r="AJ143" s="2">
        <f t="shared" si="24"/>
        <v>0</v>
      </c>
      <c r="AK143" s="2">
        <f t="shared" si="25"/>
        <v>0</v>
      </c>
      <c r="AL143" s="2">
        <f t="shared" si="26"/>
        <v>47</v>
      </c>
      <c r="AM143" s="2">
        <f t="shared" si="27"/>
        <v>0</v>
      </c>
      <c r="AN143" s="2">
        <f t="shared" si="28"/>
        <v>46199</v>
      </c>
      <c r="AO143" s="2">
        <f t="shared" si="29"/>
      </c>
      <c r="AP143" s="2" t="str">
        <f t="shared" si="30"/>
        <v>胡家新|1</v>
      </c>
      <c r="AQ143" s="2">
        <f t="shared" si="31"/>
      </c>
    </row>
    <row r="144">
      <c r="A144" s="43">
        <f t="shared" si="3"/>
        <v>139</v>
      </c>
      <c r="B144" s="44" t="n">
        <v>46199</v>
      </c>
      <c r="C144" s="45" t="inlineStr">
        <is>
          <t>九江银行</t>
        </is>
      </c>
      <c r="D144" s="46" t="inlineStr">
        <is>
          <t>万焕和工资</t>
        </is>
      </c>
      <c r="E144" s="47" t="n"/>
      <c r="F144" s="47" t="n">
        <v>4000</v>
      </c>
      <c r="G144" s="48">
        <f t="shared" si="4"/>
        <v>331893.15</v>
      </c>
      <c r="H144" s="43">
        <f t="shared" si="0"/>
      </c>
      <c r="I144" s="43" t="str">
        <f t="shared" si="5"/>
        <v>工资</v>
      </c>
      <c r="J144" s="43" t="str">
        <f t="shared" si="1"/>
        <v>万焕和</v>
      </c>
      <c r="K144" s="49" t="str">
        <f t="shared" si="2"/>
        <v>√</v>
      </c>
      <c r="L144" s="45" t="n"/>
      <c r="M144" s="45" t="n"/>
      <c r="N144" s="45" t="n"/>
      <c r="O144" s="45" t="n"/>
      <c r="P144" s="50" t="n"/>
      <c r="R144" s="2">
        <f t="shared" si="6"/>
        <v>-4000</v>
      </c>
      <c r="S144" s="2">
        <f t="shared" si="7"/>
        <v>202606</v>
      </c>
      <c r="T144" s="2">
        <f t="shared" si="8"/>
      </c>
      <c r="U144" s="2" t="str">
        <f t="shared" si="9"/>
        <v>工资</v>
      </c>
      <c r="V144" s="2" t="str">
        <f t="shared" si="10"/>
        <v>万焕和</v>
      </c>
      <c r="W144" s="2" t="str">
        <f t="shared" si="11"/>
        <v>不进利润</v>
      </c>
      <c r="X144" s="2" t="str">
        <f t="shared" si="12"/>
        <v>应付职工薪酬</v>
      </c>
      <c r="Y144" s="2">
        <f t="shared" si="13"/>
        <v>0</v>
      </c>
      <c r="Z144" s="2" t="str">
        <f t="shared" si="14"/>
        <v>工人</v>
      </c>
      <c r="AA144" s="2">
        <f t="shared" si="15"/>
        <v>1</v>
      </c>
      <c r="AB144" s="2">
        <f t="shared" si="16"/>
      </c>
      <c r="AC144" s="2">
        <f t="shared" si="17"/>
      </c>
      <c r="AD144" s="2">
        <f t="shared" si="18"/>
      </c>
      <c r="AE144" s="2" t="str">
        <f t="shared" si="19"/>
        <v>银行</v>
      </c>
      <c r="AF144" s="2">
        <f t="shared" si="20"/>
      </c>
      <c r="AG144" s="2" t="str">
        <f t="shared" si="21"/>
        <v>工资</v>
      </c>
      <c r="AH144" s="2" t="str">
        <f t="shared" si="22"/>
        <v>支</v>
      </c>
      <c r="AI144" s="2">
        <f t="shared" si="23"/>
      </c>
      <c r="AJ144" s="2">
        <f t="shared" si="24"/>
        <v>0</v>
      </c>
      <c r="AK144" s="2">
        <f t="shared" si="25"/>
        <v>0</v>
      </c>
      <c r="AL144" s="2">
        <f t="shared" si="26"/>
        <v>51</v>
      </c>
      <c r="AM144" s="2">
        <f t="shared" si="27"/>
        <v>0</v>
      </c>
      <c r="AN144" s="2">
        <f t="shared" si="28"/>
        <v>46199</v>
      </c>
      <c r="AO144" s="2">
        <f t="shared" si="29"/>
      </c>
      <c r="AP144" s="2" t="str">
        <f t="shared" si="30"/>
        <v>万焕和|1</v>
      </c>
      <c r="AQ144" s="2">
        <f t="shared" si="31"/>
      </c>
    </row>
    <row r="145">
      <c r="A145" s="43">
        <f t="shared" si="3"/>
        <v>140</v>
      </c>
      <c r="B145" s="44" t="n">
        <v>46199</v>
      </c>
      <c r="C145" s="45" t="inlineStr">
        <is>
          <t>九江银行</t>
        </is>
      </c>
      <c r="D145" s="46" t="inlineStr">
        <is>
          <t>徐从国工资</t>
        </is>
      </c>
      <c r="E145" s="47" t="n"/>
      <c r="F145" s="47" t="n">
        <v>4000</v>
      </c>
      <c r="G145" s="48">
        <f t="shared" si="4"/>
        <v>327893.15</v>
      </c>
      <c r="H145" s="43">
        <f t="shared" si="0"/>
      </c>
      <c r="I145" s="43" t="str">
        <f t="shared" si="5"/>
        <v>工资</v>
      </c>
      <c r="J145" s="43" t="str">
        <f t="shared" si="1"/>
        <v>徐从国</v>
      </c>
      <c r="K145" s="49" t="str">
        <f t="shared" si="2"/>
        <v>√</v>
      </c>
      <c r="L145" s="45" t="n"/>
      <c r="M145" s="45" t="n"/>
      <c r="N145" s="45" t="n"/>
      <c r="O145" s="45" t="n"/>
      <c r="P145" s="50" t="n"/>
      <c r="R145" s="2">
        <f t="shared" si="6"/>
        <v>-4000</v>
      </c>
      <c r="S145" s="2">
        <f t="shared" si="7"/>
        <v>202606</v>
      </c>
      <c r="T145" s="2">
        <f t="shared" si="8"/>
      </c>
      <c r="U145" s="2" t="str">
        <f t="shared" si="9"/>
        <v>工资</v>
      </c>
      <c r="V145" s="2" t="str">
        <f t="shared" si="10"/>
        <v>徐从国</v>
      </c>
      <c r="W145" s="2" t="str">
        <f t="shared" si="11"/>
        <v>不进利润</v>
      </c>
      <c r="X145" s="2" t="str">
        <f t="shared" si="12"/>
        <v>应付职工薪酬</v>
      </c>
      <c r="Y145" s="2">
        <f t="shared" si="13"/>
        <v>0</v>
      </c>
      <c r="Z145" s="2" t="str">
        <f t="shared" si="14"/>
        <v>工人</v>
      </c>
      <c r="AA145" s="2">
        <f t="shared" si="15"/>
        <v>1</v>
      </c>
      <c r="AB145" s="2">
        <f t="shared" si="16"/>
      </c>
      <c r="AC145" s="2">
        <f t="shared" si="17"/>
      </c>
      <c r="AD145" s="2">
        <f t="shared" si="18"/>
      </c>
      <c r="AE145" s="2" t="str">
        <f t="shared" si="19"/>
        <v>银行</v>
      </c>
      <c r="AF145" s="2">
        <f t="shared" si="20"/>
      </c>
      <c r="AG145" s="2" t="str">
        <f t="shared" si="21"/>
        <v>工资</v>
      </c>
      <c r="AH145" s="2" t="str">
        <f t="shared" si="22"/>
        <v>支</v>
      </c>
      <c r="AI145" s="2">
        <f t="shared" si="23"/>
      </c>
      <c r="AJ145" s="2">
        <f t="shared" si="24"/>
        <v>0</v>
      </c>
      <c r="AK145" s="2">
        <f t="shared" si="25"/>
        <v>0</v>
      </c>
      <c r="AL145" s="2">
        <f t="shared" si="26"/>
        <v>55</v>
      </c>
      <c r="AM145" s="2">
        <f t="shared" si="27"/>
        <v>0</v>
      </c>
      <c r="AN145" s="2">
        <f t="shared" si="28"/>
        <v>46199</v>
      </c>
      <c r="AO145" s="2">
        <f t="shared" si="29"/>
      </c>
      <c r="AP145" s="2" t="str">
        <f t="shared" si="30"/>
        <v>徐从国|1</v>
      </c>
      <c r="AQ145" s="2">
        <f t="shared" si="31"/>
      </c>
    </row>
    <row r="146">
      <c r="A146" s="43">
        <f t="shared" si="3"/>
        <v>141</v>
      </c>
      <c r="B146" s="44" t="n">
        <v>46199</v>
      </c>
      <c r="C146" s="45" t="inlineStr">
        <is>
          <t>九江银行</t>
        </is>
      </c>
      <c r="D146" s="46" t="inlineStr">
        <is>
          <t>杨明定工资</t>
        </is>
      </c>
      <c r="E146" s="47" t="n"/>
      <c r="F146" s="47" t="n">
        <v>4000</v>
      </c>
      <c r="G146" s="48">
        <f t="shared" si="4"/>
        <v>323893.15</v>
      </c>
      <c r="H146" s="43">
        <f t="shared" si="0"/>
      </c>
      <c r="I146" s="43" t="str">
        <f t="shared" si="5"/>
        <v>工资</v>
      </c>
      <c r="J146" s="43" t="str">
        <f t="shared" si="1"/>
        <v>杨明定</v>
      </c>
      <c r="K146" s="49" t="str">
        <f t="shared" si="2"/>
        <v>√</v>
      </c>
      <c r="L146" s="45" t="n"/>
      <c r="M146" s="45" t="n"/>
      <c r="N146" s="45" t="n"/>
      <c r="O146" s="45" t="n"/>
      <c r="P146" s="50" t="n"/>
      <c r="R146" s="2">
        <f t="shared" si="6"/>
        <v>-4000</v>
      </c>
      <c r="S146" s="2">
        <f t="shared" si="7"/>
        <v>202606</v>
      </c>
      <c r="T146" s="2">
        <f t="shared" si="8"/>
      </c>
      <c r="U146" s="2" t="str">
        <f t="shared" si="9"/>
        <v>工资</v>
      </c>
      <c r="V146" s="2" t="str">
        <f t="shared" si="10"/>
        <v>杨明定</v>
      </c>
      <c r="W146" s="2" t="str">
        <f t="shared" si="11"/>
        <v>不进利润</v>
      </c>
      <c r="X146" s="2" t="str">
        <f t="shared" si="12"/>
        <v>应付职工薪酬</v>
      </c>
      <c r="Y146" s="2">
        <f t="shared" si="13"/>
        <v>0</v>
      </c>
      <c r="Z146" s="2" t="str">
        <f t="shared" si="14"/>
        <v>工人</v>
      </c>
      <c r="AA146" s="2">
        <f t="shared" si="15"/>
        <v>1</v>
      </c>
      <c r="AB146" s="2">
        <f t="shared" si="16"/>
      </c>
      <c r="AC146" s="2">
        <f t="shared" si="17"/>
      </c>
      <c r="AD146" s="2">
        <f t="shared" si="18"/>
      </c>
      <c r="AE146" s="2" t="str">
        <f t="shared" si="19"/>
        <v>银行</v>
      </c>
      <c r="AF146" s="2">
        <f t="shared" si="20"/>
      </c>
      <c r="AG146" s="2" t="str">
        <f t="shared" si="21"/>
        <v>工资</v>
      </c>
      <c r="AH146" s="2" t="str">
        <f t="shared" si="22"/>
        <v>支</v>
      </c>
      <c r="AI146" s="2">
        <f t="shared" si="23"/>
      </c>
      <c r="AJ146" s="2">
        <f t="shared" si="24"/>
        <v>0</v>
      </c>
      <c r="AK146" s="2">
        <f t="shared" si="25"/>
        <v>0</v>
      </c>
      <c r="AL146" s="2">
        <f t="shared" si="26"/>
        <v>59</v>
      </c>
      <c r="AM146" s="2">
        <f t="shared" si="27"/>
        <v>0</v>
      </c>
      <c r="AN146" s="2">
        <f t="shared" si="28"/>
        <v>46199</v>
      </c>
      <c r="AO146" s="2">
        <f t="shared" si="29"/>
      </c>
      <c r="AP146" s="2" t="str">
        <f t="shared" si="30"/>
        <v>杨明定|1</v>
      </c>
      <c r="AQ146" s="2">
        <f t="shared" si="31"/>
      </c>
    </row>
    <row r="147">
      <c r="A147" s="43">
        <f t="shared" si="3"/>
        <v>142</v>
      </c>
      <c r="B147" s="44" t="n">
        <v>46199</v>
      </c>
      <c r="C147" s="45" t="inlineStr">
        <is>
          <t>九江银行</t>
        </is>
      </c>
      <c r="D147" s="46" t="inlineStr">
        <is>
          <t>张亮亮工资</t>
        </is>
      </c>
      <c r="E147" s="47" t="n"/>
      <c r="F147" s="47" t="n">
        <v>5000</v>
      </c>
      <c r="G147" s="48">
        <f t="shared" si="4"/>
        <v>318893.15</v>
      </c>
      <c r="H147" s="43">
        <f t="shared" si="0"/>
      </c>
      <c r="I147" s="43" t="str">
        <f t="shared" si="5"/>
        <v>工资</v>
      </c>
      <c r="J147" s="43" t="str">
        <f t="shared" si="1"/>
        <v>张亮亮</v>
      </c>
      <c r="K147" s="49" t="str">
        <f t="shared" si="2"/>
        <v>√</v>
      </c>
      <c r="L147" s="45" t="n"/>
      <c r="M147" s="45" t="n"/>
      <c r="N147" s="45" t="n"/>
      <c r="O147" s="45" t="n"/>
      <c r="P147" s="50" t="n"/>
      <c r="R147" s="2">
        <f t="shared" si="6"/>
        <v>-5000</v>
      </c>
      <c r="S147" s="2">
        <f t="shared" si="7"/>
        <v>202606</v>
      </c>
      <c r="T147" s="2">
        <f t="shared" si="8"/>
      </c>
      <c r="U147" s="2" t="str">
        <f t="shared" si="9"/>
        <v>工资</v>
      </c>
      <c r="V147" s="2" t="str">
        <f t="shared" si="10"/>
        <v>张亮亮</v>
      </c>
      <c r="W147" s="2" t="str">
        <f t="shared" si="11"/>
        <v>不进利润</v>
      </c>
      <c r="X147" s="2" t="str">
        <f t="shared" si="12"/>
        <v>应付职工薪酬</v>
      </c>
      <c r="Y147" s="2">
        <f t="shared" si="13"/>
        <v>0</v>
      </c>
      <c r="Z147" s="2" t="str">
        <f t="shared" si="14"/>
        <v>工人</v>
      </c>
      <c r="AA147" s="2">
        <f t="shared" si="15"/>
        <v>1</v>
      </c>
      <c r="AB147" s="2">
        <f t="shared" si="16"/>
      </c>
      <c r="AC147" s="2">
        <f t="shared" si="17"/>
      </c>
      <c r="AD147" s="2">
        <f t="shared" si="18"/>
      </c>
      <c r="AE147" s="2" t="str">
        <f t="shared" si="19"/>
        <v>银行</v>
      </c>
      <c r="AF147" s="2">
        <f t="shared" si="20"/>
      </c>
      <c r="AG147" s="2" t="str">
        <f t="shared" si="21"/>
        <v>工资</v>
      </c>
      <c r="AH147" s="2" t="str">
        <f t="shared" si="22"/>
        <v>支</v>
      </c>
      <c r="AI147" s="2">
        <f t="shared" si="23"/>
      </c>
      <c r="AJ147" s="2">
        <f t="shared" si="24"/>
        <v>0</v>
      </c>
      <c r="AK147" s="2">
        <f t="shared" si="25"/>
        <v>0</v>
      </c>
      <c r="AL147" s="2">
        <f t="shared" si="26"/>
        <v>63</v>
      </c>
      <c r="AM147" s="2">
        <f t="shared" si="27"/>
        <v>0</v>
      </c>
      <c r="AN147" s="2">
        <f t="shared" si="28"/>
        <v>46199</v>
      </c>
      <c r="AO147" s="2">
        <f t="shared" si="29"/>
      </c>
      <c r="AP147" s="2" t="str">
        <f t="shared" si="30"/>
        <v>张亮亮|2</v>
      </c>
      <c r="AQ147" s="2">
        <f t="shared" si="31"/>
      </c>
    </row>
    <row r="148">
      <c r="A148" s="43">
        <f t="shared" si="3"/>
        <v>143</v>
      </c>
      <c r="B148" s="44" t="n">
        <v>46199</v>
      </c>
      <c r="C148" s="45" t="inlineStr">
        <is>
          <t>九江银行</t>
        </is>
      </c>
      <c r="D148" s="46" t="inlineStr">
        <is>
          <t>程章赐工资</t>
        </is>
      </c>
      <c r="E148" s="47" t="n"/>
      <c r="F148" s="47" t="n">
        <v>4000</v>
      </c>
      <c r="G148" s="48">
        <f t="shared" si="4"/>
        <v>314893.15</v>
      </c>
      <c r="H148" s="43">
        <f t="shared" si="0"/>
      </c>
      <c r="I148" s="43" t="str">
        <f t="shared" si="5"/>
        <v>工资</v>
      </c>
      <c r="J148" s="43" t="str">
        <f t="shared" si="1"/>
        <v>程章赐</v>
      </c>
      <c r="K148" s="49" t="str">
        <f t="shared" si="2"/>
        <v>√</v>
      </c>
      <c r="L148" s="45" t="n"/>
      <c r="M148" s="45" t="n"/>
      <c r="N148" s="45" t="n"/>
      <c r="O148" s="45" t="n"/>
      <c r="P148" s="50" t="n"/>
      <c r="R148" s="2">
        <f t="shared" si="6"/>
        <v>-4000</v>
      </c>
      <c r="S148" s="2">
        <f t="shared" si="7"/>
        <v>202606</v>
      </c>
      <c r="T148" s="2">
        <f t="shared" si="8"/>
      </c>
      <c r="U148" s="2" t="str">
        <f t="shared" si="9"/>
        <v>工资</v>
      </c>
      <c r="V148" s="2" t="str">
        <f t="shared" si="10"/>
        <v>程章赐</v>
      </c>
      <c r="W148" s="2" t="str">
        <f t="shared" si="11"/>
        <v>不进利润</v>
      </c>
      <c r="X148" s="2" t="str">
        <f t="shared" si="12"/>
        <v>应付职工薪酬</v>
      </c>
      <c r="Y148" s="2">
        <f t="shared" si="13"/>
        <v>0</v>
      </c>
      <c r="Z148" s="2" t="str">
        <f t="shared" si="14"/>
        <v>工人</v>
      </c>
      <c r="AA148" s="2">
        <f t="shared" si="15"/>
        <v>1</v>
      </c>
      <c r="AB148" s="2">
        <f t="shared" si="16"/>
      </c>
      <c r="AC148" s="2">
        <f t="shared" si="17"/>
      </c>
      <c r="AD148" s="2">
        <f t="shared" si="18"/>
      </c>
      <c r="AE148" s="2" t="str">
        <f t="shared" si="19"/>
        <v>银行</v>
      </c>
      <c r="AF148" s="2">
        <f t="shared" si="20"/>
      </c>
      <c r="AG148" s="2" t="str">
        <f t="shared" si="21"/>
        <v>工资</v>
      </c>
      <c r="AH148" s="2" t="str">
        <f t="shared" si="22"/>
        <v>支</v>
      </c>
      <c r="AI148" s="2">
        <f t="shared" si="23"/>
      </c>
      <c r="AJ148" s="2">
        <f t="shared" si="24"/>
        <v>0</v>
      </c>
      <c r="AK148" s="2">
        <f t="shared" si="25"/>
        <v>0</v>
      </c>
      <c r="AL148" s="2">
        <f t="shared" si="26"/>
        <v>48</v>
      </c>
      <c r="AM148" s="2">
        <f t="shared" si="27"/>
        <v>0</v>
      </c>
      <c r="AN148" s="2">
        <f t="shared" si="28"/>
        <v>46199</v>
      </c>
      <c r="AO148" s="2">
        <f t="shared" si="29"/>
      </c>
      <c r="AP148" s="2" t="str">
        <f t="shared" si="30"/>
        <v>程章赐|1</v>
      </c>
      <c r="AQ148" s="2">
        <f t="shared" si="31"/>
      </c>
    </row>
    <row r="149">
      <c r="A149" s="43">
        <f t="shared" si="3"/>
        <v>144</v>
      </c>
      <c r="B149" s="44" t="n">
        <v>46199</v>
      </c>
      <c r="C149" s="45" t="inlineStr">
        <is>
          <t>九江银行</t>
        </is>
      </c>
      <c r="D149" s="46" t="inlineStr">
        <is>
          <t>程章材工资</t>
        </is>
      </c>
      <c r="E149" s="47" t="n"/>
      <c r="F149" s="47" t="n">
        <v>4000</v>
      </c>
      <c r="G149" s="48">
        <f t="shared" si="4"/>
        <v>310893.15</v>
      </c>
      <c r="H149" s="43">
        <f t="shared" si="0"/>
      </c>
      <c r="I149" s="43" t="str">
        <f t="shared" si="5"/>
        <v>工资</v>
      </c>
      <c r="J149" s="43" t="str">
        <f t="shared" si="1"/>
        <v>程章材</v>
      </c>
      <c r="K149" s="49" t="str">
        <f t="shared" si="2"/>
        <v>√</v>
      </c>
      <c r="L149" s="45" t="n"/>
      <c r="M149" s="45" t="n"/>
      <c r="N149" s="45" t="n"/>
      <c r="O149" s="45" t="n"/>
      <c r="P149" s="50" t="n"/>
      <c r="R149" s="2">
        <f t="shared" si="6"/>
        <v>-4000</v>
      </c>
      <c r="S149" s="2">
        <f t="shared" si="7"/>
        <v>202606</v>
      </c>
      <c r="T149" s="2">
        <f t="shared" si="8"/>
      </c>
      <c r="U149" s="2" t="str">
        <f t="shared" si="9"/>
        <v>工资</v>
      </c>
      <c r="V149" s="2" t="str">
        <f t="shared" si="10"/>
        <v>程章材</v>
      </c>
      <c r="W149" s="2" t="str">
        <f t="shared" si="11"/>
        <v>不进利润</v>
      </c>
      <c r="X149" s="2" t="str">
        <f t="shared" si="12"/>
        <v>应付职工薪酬</v>
      </c>
      <c r="Y149" s="2">
        <f t="shared" si="13"/>
        <v>0</v>
      </c>
      <c r="Z149" s="2" t="str">
        <f t="shared" si="14"/>
        <v>工人</v>
      </c>
      <c r="AA149" s="2">
        <f t="shared" si="15"/>
        <v>1</v>
      </c>
      <c r="AB149" s="2">
        <f t="shared" si="16"/>
      </c>
      <c r="AC149" s="2">
        <f t="shared" si="17"/>
      </c>
      <c r="AD149" s="2">
        <f t="shared" si="18"/>
      </c>
      <c r="AE149" s="2" t="str">
        <f t="shared" si="19"/>
        <v>银行</v>
      </c>
      <c r="AF149" s="2">
        <f t="shared" si="20"/>
      </c>
      <c r="AG149" s="2" t="str">
        <f t="shared" si="21"/>
        <v>工资</v>
      </c>
      <c r="AH149" s="2" t="str">
        <f t="shared" si="22"/>
        <v>支</v>
      </c>
      <c r="AI149" s="2">
        <f t="shared" si="23"/>
      </c>
      <c r="AJ149" s="2">
        <f t="shared" si="24"/>
        <v>0</v>
      </c>
      <c r="AK149" s="2">
        <f t="shared" si="25"/>
        <v>0</v>
      </c>
      <c r="AL149" s="2">
        <f t="shared" si="26"/>
        <v>49</v>
      </c>
      <c r="AM149" s="2">
        <f t="shared" si="27"/>
        <v>0</v>
      </c>
      <c r="AN149" s="2">
        <f t="shared" si="28"/>
        <v>46199</v>
      </c>
      <c r="AO149" s="2">
        <f t="shared" si="29"/>
      </c>
      <c r="AP149" s="2" t="str">
        <f t="shared" si="30"/>
        <v>程章材|1</v>
      </c>
      <c r="AQ149" s="2">
        <f t="shared" si="31"/>
      </c>
    </row>
    <row r="150">
      <c r="A150" s="43">
        <f t="shared" si="3"/>
        <v>145</v>
      </c>
      <c r="B150" s="44" t="n">
        <v>46199</v>
      </c>
      <c r="C150" s="45" t="inlineStr">
        <is>
          <t>九江银行</t>
        </is>
      </c>
      <c r="D150" s="46" t="inlineStr">
        <is>
          <t>成峰工资</t>
        </is>
      </c>
      <c r="E150" s="47" t="n"/>
      <c r="F150" s="47" t="n">
        <v>4000</v>
      </c>
      <c r="G150" s="48">
        <f t="shared" si="4"/>
        <v>306893.15</v>
      </c>
      <c r="H150" s="43">
        <f t="shared" si="0"/>
      </c>
      <c r="I150" s="43" t="str">
        <f t="shared" si="5"/>
        <v>工资</v>
      </c>
      <c r="J150" s="43" t="str">
        <f t="shared" si="1"/>
        <v>成峰</v>
      </c>
      <c r="K150" s="49" t="str">
        <f t="shared" si="2"/>
        <v>√</v>
      </c>
      <c r="L150" s="45" t="n"/>
      <c r="M150" s="45" t="n"/>
      <c r="N150" s="45" t="n"/>
      <c r="O150" s="45" t="n"/>
      <c r="P150" s="50" t="n"/>
      <c r="R150" s="2">
        <f t="shared" si="6"/>
        <v>-4000</v>
      </c>
      <c r="S150" s="2">
        <f t="shared" si="7"/>
        <v>202606</v>
      </c>
      <c r="T150" s="2">
        <f t="shared" si="8"/>
      </c>
      <c r="U150" s="2" t="str">
        <f t="shared" si="9"/>
        <v>工资</v>
      </c>
      <c r="V150" s="2" t="str">
        <f t="shared" si="10"/>
        <v>成峰</v>
      </c>
      <c r="W150" s="2" t="str">
        <f t="shared" si="11"/>
        <v>不进利润</v>
      </c>
      <c r="X150" s="2" t="str">
        <f t="shared" si="12"/>
        <v>应付职工薪酬</v>
      </c>
      <c r="Y150" s="2">
        <f t="shared" si="13"/>
        <v>0</v>
      </c>
      <c r="Z150" s="2" t="str">
        <f t="shared" si="14"/>
        <v>工人</v>
      </c>
      <c r="AA150" s="2">
        <f t="shared" si="15"/>
        <v>1</v>
      </c>
      <c r="AB150" s="2">
        <f t="shared" si="16"/>
      </c>
      <c r="AC150" s="2">
        <f t="shared" si="17"/>
      </c>
      <c r="AD150" s="2">
        <f t="shared" si="18"/>
      </c>
      <c r="AE150" s="2" t="str">
        <f t="shared" si="19"/>
        <v>银行</v>
      </c>
      <c r="AF150" s="2">
        <f t="shared" si="20"/>
      </c>
      <c r="AG150" s="2" t="str">
        <f t="shared" si="21"/>
        <v>工资</v>
      </c>
      <c r="AH150" s="2" t="str">
        <f t="shared" si="22"/>
        <v>支</v>
      </c>
      <c r="AI150" s="2">
        <f t="shared" si="23"/>
      </c>
      <c r="AJ150" s="2">
        <f t="shared" si="24"/>
        <v>0</v>
      </c>
      <c r="AK150" s="2">
        <f t="shared" si="25"/>
        <v>0</v>
      </c>
      <c r="AL150" s="2">
        <f t="shared" si="26"/>
        <v>109</v>
      </c>
      <c r="AM150" s="2">
        <f t="shared" si="27"/>
        <v>0</v>
      </c>
      <c r="AN150" s="2">
        <f t="shared" si="28"/>
        <v>46199</v>
      </c>
      <c r="AO150" s="2">
        <f t="shared" si="29"/>
      </c>
      <c r="AP150" s="2" t="str">
        <f t="shared" si="30"/>
        <v>成峰|1</v>
      </c>
      <c r="AQ150" s="2">
        <f t="shared" si="31"/>
      </c>
    </row>
    <row r="151">
      <c r="A151" s="43">
        <f t="shared" si="3"/>
        <v>146</v>
      </c>
      <c r="B151" s="44" t="n">
        <v>46199</v>
      </c>
      <c r="C151" s="45" t="inlineStr">
        <is>
          <t>九江银行</t>
        </is>
      </c>
      <c r="D151" s="46" t="inlineStr">
        <is>
          <t>金南水工资</t>
        </is>
      </c>
      <c r="E151" s="47" t="n"/>
      <c r="F151" s="47" t="n">
        <v>10000</v>
      </c>
      <c r="G151" s="48">
        <f t="shared" si="4"/>
        <v>296893.15</v>
      </c>
      <c r="H151" s="43">
        <f t="shared" si="0"/>
      </c>
      <c r="I151" s="43" t="str">
        <f t="shared" si="5"/>
        <v>工资</v>
      </c>
      <c r="J151" s="43" t="str">
        <f t="shared" si="1"/>
        <v>金南水</v>
      </c>
      <c r="K151" s="49" t="str">
        <f t="shared" si="2"/>
        <v>√</v>
      </c>
      <c r="L151" s="45" t="n"/>
      <c r="M151" s="45" t="n"/>
      <c r="N151" s="45" t="n"/>
      <c r="O151" s="45" t="n"/>
      <c r="P151" s="50" t="n"/>
      <c r="R151" s="2">
        <f t="shared" si="6"/>
        <v>-10000</v>
      </c>
      <c r="S151" s="2">
        <f t="shared" si="7"/>
        <v>202606</v>
      </c>
      <c r="T151" s="2">
        <f t="shared" si="8"/>
      </c>
      <c r="U151" s="2" t="str">
        <f t="shared" si="9"/>
        <v>工资</v>
      </c>
      <c r="V151" s="2" t="str">
        <f t="shared" si="10"/>
        <v>金南水</v>
      </c>
      <c r="W151" s="2" t="str">
        <f t="shared" si="11"/>
        <v>不进利润</v>
      </c>
      <c r="X151" s="2" t="str">
        <f t="shared" si="12"/>
        <v>应付职工薪酬</v>
      </c>
      <c r="Y151" s="2">
        <f t="shared" si="13"/>
        <v>0</v>
      </c>
      <c r="Z151" s="2" t="str">
        <f t="shared" si="14"/>
        <v>工人</v>
      </c>
      <c r="AA151" s="2">
        <f t="shared" si="15"/>
        <v>1</v>
      </c>
      <c r="AB151" s="2">
        <f t="shared" si="16"/>
      </c>
      <c r="AC151" s="2">
        <f t="shared" si="17"/>
      </c>
      <c r="AD151" s="2">
        <f t="shared" si="18"/>
      </c>
      <c r="AE151" s="2" t="str">
        <f t="shared" si="19"/>
        <v>银行</v>
      </c>
      <c r="AF151" s="2">
        <f t="shared" si="20"/>
      </c>
      <c r="AG151" s="2" t="str">
        <f t="shared" si="21"/>
        <v>工资</v>
      </c>
      <c r="AH151" s="2" t="str">
        <f t="shared" si="22"/>
        <v>支</v>
      </c>
      <c r="AI151" s="2">
        <f t="shared" si="23"/>
      </c>
      <c r="AJ151" s="2">
        <f t="shared" si="24"/>
        <v>0</v>
      </c>
      <c r="AK151" s="2">
        <f t="shared" si="25"/>
        <v>0</v>
      </c>
      <c r="AL151" s="2">
        <f t="shared" si="26"/>
        <v>57</v>
      </c>
      <c r="AM151" s="2">
        <f t="shared" si="27"/>
        <v>0</v>
      </c>
      <c r="AN151" s="2">
        <f t="shared" si="28"/>
        <v>46199</v>
      </c>
      <c r="AO151" s="2">
        <f t="shared" si="29"/>
      </c>
      <c r="AP151" s="2" t="str">
        <f t="shared" si="30"/>
        <v>金南水|2</v>
      </c>
      <c r="AQ151" s="2">
        <f t="shared" si="31"/>
      </c>
    </row>
    <row r="152">
      <c r="A152" s="43">
        <f t="shared" si="3"/>
        <v>147</v>
      </c>
      <c r="B152" s="44" t="n">
        <v>46200</v>
      </c>
      <c r="C152" s="45" t="inlineStr">
        <is>
          <t>九江银行</t>
        </is>
      </c>
      <c r="D152" s="46" t="inlineStr">
        <is>
          <t>还聂辉个人借款</t>
        </is>
      </c>
      <c r="E152" s="47" t="n"/>
      <c r="F152" s="47" t="n">
        <v>50000</v>
      </c>
      <c r="G152" s="48">
        <f t="shared" si="4"/>
        <v>246893.15</v>
      </c>
      <c r="H152" s="43">
        <f t="shared" si="0"/>
      </c>
      <c r="I152" s="43" t="str">
        <f t="shared" si="5"/>
        <v>账户互转</v>
      </c>
      <c r="J152" s="43" t="str">
        <f t="shared" si="1"/>
        <v>聂辉</v>
      </c>
      <c r="K152" s="49" t="str">
        <f t="shared" si="2"/>
        <v>√</v>
      </c>
      <c r="L152" s="45" t="n"/>
      <c r="M152" s="45" t="n"/>
      <c r="N152" s="45" t="n"/>
      <c r="O152" s="45" t="n"/>
      <c r="P152" s="50" t="n"/>
      <c r="R152" s="2">
        <f t="shared" si="6"/>
        <v>-50000</v>
      </c>
      <c r="S152" s="2">
        <f t="shared" si="7"/>
        <v>202606</v>
      </c>
      <c r="T152" s="2">
        <f t="shared" si="8"/>
      </c>
      <c r="U152" s="2" t="str">
        <f t="shared" si="9"/>
        <v>账户互转</v>
      </c>
      <c r="V152" s="2" t="str">
        <f t="shared" si="10"/>
        <v>聂辉</v>
      </c>
      <c r="W152" s="2" t="str">
        <f t="shared" si="11"/>
        <v>不进利润</v>
      </c>
      <c r="X152" s="2" t="str">
        <f t="shared" si="12"/>
        <v>账户互转</v>
      </c>
      <c r="Y152" s="2">
        <f t="shared" si="13"/>
        <v>0</v>
      </c>
      <c r="Z152" s="2" t="str">
        <f t="shared" si="14"/>
        <v>管理人员</v>
      </c>
      <c r="AA152" s="2">
        <f t="shared" si="15"/>
        <v>1</v>
      </c>
      <c r="AB152" s="2">
        <f t="shared" si="16"/>
      </c>
      <c r="AC152" s="2" t="str">
        <f t="shared" si="17"/>
        <v>聂辉个人户</v>
      </c>
      <c r="AD152" s="2" t="str">
        <f t="shared" si="18"/>
        <v>聂辉个人户</v>
      </c>
      <c r="AE152" s="2" t="str">
        <f t="shared" si="19"/>
        <v>银行</v>
      </c>
      <c r="AF152" s="2" t="str">
        <f t="shared" si="20"/>
        <v>个人户</v>
      </c>
      <c r="AG152" s="2" t="str">
        <f t="shared" si="21"/>
        <v>账户互转</v>
      </c>
      <c r="AH152" s="2" t="str">
        <f t="shared" si="22"/>
        <v>支</v>
      </c>
      <c r="AI152" s="2">
        <f t="shared" si="23"/>
      </c>
      <c r="AJ152" s="2">
        <f t="shared" si="24"/>
        <v>0</v>
      </c>
      <c r="AK152" s="2">
        <f t="shared" si="25"/>
        <v>0</v>
      </c>
      <c r="AL152" s="2">
        <f t="shared" si="26"/>
        <v>111</v>
      </c>
      <c r="AM152" s="2">
        <f t="shared" si="27"/>
        <v>0</v>
      </c>
      <c r="AN152" s="2">
        <f t="shared" si="28"/>
        <v>46200</v>
      </c>
      <c r="AO152" s="2">
        <f t="shared" si="29"/>
      </c>
      <c r="AP152" s="2" t="str">
        <f t="shared" si="30"/>
        <v>聂辉|3</v>
      </c>
      <c r="AQ152" s="2">
        <f t="shared" si="31"/>
      </c>
    </row>
    <row r="153">
      <c r="A153" s="43">
        <f t="shared" si="3"/>
        <v>148</v>
      </c>
      <c r="B153" s="44" t="n">
        <v>46202</v>
      </c>
      <c r="C153" s="45" t="inlineStr">
        <is>
          <t>九江银行</t>
        </is>
      </c>
      <c r="D153" s="46" t="inlineStr">
        <is>
          <t>邹桥工程款-承兑汇票</t>
        </is>
      </c>
      <c r="E153" s="47" t="n">
        <v>50996.59</v>
      </c>
      <c r="F153" s="47" t="n"/>
      <c r="G153" s="48">
        <f t="shared" si="4"/>
        <v>297889.74</v>
      </c>
      <c r="H153" s="43" t="str">
        <f t="shared" si="0"/>
        <v>邹桥派出所</v>
      </c>
      <c r="I153" s="43" t="str">
        <f t="shared" si="5"/>
        <v>工程款</v>
      </c>
      <c r="J153" s="43">
        <f t="shared" si="1"/>
      </c>
      <c r="K153" s="49" t="str">
        <f t="shared" si="2"/>
        <v>√</v>
      </c>
      <c r="L153" s="45" t="n"/>
      <c r="M153" s="45" t="n"/>
      <c r="N153" s="45" t="n"/>
      <c r="O153" s="45" t="n"/>
      <c r="P153" s="50" t="n"/>
      <c r="R153" s="2">
        <f t="shared" si="6"/>
        <v>50996.59</v>
      </c>
      <c r="S153" s="2">
        <f t="shared" si="7"/>
        <v>202606</v>
      </c>
      <c r="T153" s="2" t="str">
        <f t="shared" si="8"/>
        <v>邹桥派出所</v>
      </c>
      <c r="U153" s="2" t="str">
        <f t="shared" si="9"/>
        <v>工程款</v>
      </c>
      <c r="V153" s="2">
        <f t="shared" si="10"/>
      </c>
      <c r="W153" s="2" t="str">
        <f t="shared" si="11"/>
        <v>不进利润</v>
      </c>
      <c r="X153" s="2" t="str">
        <f t="shared" si="12"/>
        <v>应收账款</v>
      </c>
      <c r="Y153" s="2">
        <f t="shared" si="13"/>
        <v>0</v>
      </c>
      <c r="Z153" s="2">
        <f t="shared" si="14"/>
      </c>
      <c r="AA153" s="2">
        <f t="shared" si="15"/>
        <v>0</v>
      </c>
      <c r="AB153" s="2">
        <f t="shared" si="16"/>
      </c>
      <c r="AC153" s="2">
        <f t="shared" si="17"/>
      </c>
      <c r="AD153" s="2">
        <f t="shared" si="18"/>
      </c>
      <c r="AE153" s="2" t="str">
        <f t="shared" si="19"/>
        <v>银行</v>
      </c>
      <c r="AF153" s="2">
        <f t="shared" si="20"/>
      </c>
      <c r="AG153" s="2" t="str">
        <f t="shared" si="21"/>
        <v>工程款</v>
      </c>
      <c r="AH153" s="2" t="str">
        <f t="shared" si="22"/>
        <v>收</v>
      </c>
      <c r="AI153" s="2" t="str">
        <f t="shared" si="23"/>
        <v>邹桥</v>
      </c>
      <c r="AJ153" s="2">
        <f t="shared" si="24"/>
        <v>0</v>
      </c>
      <c r="AK153" s="2">
        <f t="shared" si="25"/>
        <v>31</v>
      </c>
      <c r="AL153" s="2">
        <f t="shared" si="26"/>
        <v>0</v>
      </c>
      <c r="AM153" s="2">
        <f t="shared" si="27"/>
        <v>0</v>
      </c>
      <c r="AN153" s="2">
        <f t="shared" si="28"/>
        <v>46202</v>
      </c>
      <c r="AO153" s="2" t="str">
        <f t="shared" si="29"/>
        <v>邹桥派出所|1</v>
      </c>
      <c r="AP153" s="2">
        <f t="shared" si="30"/>
      </c>
      <c r="AQ153" s="2">
        <f t="shared" si="31"/>
      </c>
    </row>
    <row r="154">
      <c r="A154" s="43">
        <f t="shared" si="3"/>
        <v>149</v>
      </c>
      <c r="B154" s="44" t="n">
        <v>46202</v>
      </c>
      <c r="C154" s="45" t="inlineStr">
        <is>
          <t>九江银行</t>
        </is>
      </c>
      <c r="D154" s="46" t="inlineStr">
        <is>
          <t>支付承兑汇票利息</t>
        </is>
      </c>
      <c r="E154" s="47" t="n"/>
      <c r="F154" s="47" t="n">
        <v>229.48</v>
      </c>
      <c r="G154" s="48">
        <f t="shared" si="4"/>
        <v>297660.26</v>
      </c>
      <c r="H154" s="43">
        <f t="shared" si="0"/>
      </c>
      <c r="I154" s="43" t="str">
        <f t="shared" si="5"/>
        <v>票据贴息</v>
      </c>
      <c r="J154" s="43">
        <f t="shared" si="1"/>
      </c>
      <c r="K154" s="49" t="str">
        <f t="shared" si="2"/>
        <v>✗ 这一笔要选项目（摘要里的项目没在【项目档案】的话先去加上）</v>
      </c>
      <c r="L154" s="45" t="n"/>
      <c r="M154" s="45" t="n"/>
      <c r="N154" s="45" t="n"/>
      <c r="O154" s="45" t="n"/>
      <c r="P154" s="50" t="n"/>
      <c r="R154" s="2">
        <f t="shared" si="6"/>
        <v>-229.48</v>
      </c>
      <c r="S154" s="2">
        <f t="shared" si="7"/>
        <v>202606</v>
      </c>
      <c r="T154" s="2">
        <f t="shared" si="8"/>
      </c>
      <c r="U154" s="2" t="str">
        <f t="shared" si="9"/>
        <v>票据贴息</v>
      </c>
      <c r="V154" s="2">
        <f t="shared" si="10"/>
      </c>
      <c r="W154" s="2" t="str">
        <f t="shared" si="11"/>
        <v>项目直接成本</v>
      </c>
      <c r="X154" s="2" t="str">
        <f t="shared" si="12"/>
        <v>票据贴息</v>
      </c>
      <c r="Y154" s="2">
        <f t="shared" si="13"/>
        <v>0</v>
      </c>
      <c r="Z154" s="2">
        <f t="shared" si="14"/>
      </c>
      <c r="AA154" s="2">
        <f t="shared" si="15"/>
        <v>0</v>
      </c>
      <c r="AB154" s="2">
        <f t="shared" si="16"/>
      </c>
      <c r="AC154" s="2">
        <f t="shared" si="17"/>
      </c>
      <c r="AD154" s="2">
        <f t="shared" si="18"/>
      </c>
      <c r="AE154" s="2" t="str">
        <f t="shared" si="19"/>
        <v>银行</v>
      </c>
      <c r="AF154" s="2">
        <f t="shared" si="20"/>
      </c>
      <c r="AG154" s="2" t="str">
        <f t="shared" si="21"/>
        <v>票据贴息</v>
      </c>
      <c r="AH154" s="2" t="str">
        <f t="shared" si="22"/>
        <v>支</v>
      </c>
      <c r="AI154" s="2">
        <f t="shared" si="23"/>
      </c>
      <c r="AJ154" s="2">
        <f t="shared" si="24"/>
        <v>0</v>
      </c>
      <c r="AK154" s="2">
        <f t="shared" si="25"/>
        <v>0</v>
      </c>
      <c r="AL154" s="2">
        <f t="shared" si="26"/>
        <v>0</v>
      </c>
      <c r="AM154" s="2">
        <f t="shared" si="27"/>
        <v>0</v>
      </c>
      <c r="AN154" s="2">
        <f t="shared" si="28"/>
        <v>46202</v>
      </c>
      <c r="AO154" s="2">
        <f t="shared" si="29"/>
      </c>
      <c r="AP154" s="2">
        <f t="shared" si="30"/>
      </c>
      <c r="AQ154" s="2">
        <f t="shared" si="31"/>
      </c>
    </row>
    <row r="155">
      <c r="A155" s="43">
        <f t="shared" si="3"/>
        <v>150</v>
      </c>
      <c r="B155" s="44" t="n">
        <v>46203</v>
      </c>
      <c r="C155" s="45" t="inlineStr">
        <is>
          <t>九江银行</t>
        </is>
      </c>
      <c r="D155" s="46" t="inlineStr">
        <is>
          <t>四川久远智能消防-设备款</t>
        </is>
      </c>
      <c r="E155" s="47" t="n"/>
      <c r="F155" s="47" t="n">
        <v>30000</v>
      </c>
      <c r="G155" s="48">
        <f t="shared" si="4"/>
        <v>267660.26</v>
      </c>
      <c r="H155" s="43">
        <f t="shared" si="0"/>
      </c>
      <c r="I155" s="43" t="str">
        <f t="shared" si="5"/>
        <v>材料费</v>
      </c>
      <c r="J155" s="43" t="str">
        <f t="shared" si="1"/>
        <v>四川久远智能消防</v>
      </c>
      <c r="K155" s="49" t="str">
        <f t="shared" si="2"/>
        <v>✗ 这一笔要选项目（摘要里的项目没在【项目档案】的话先去加上）</v>
      </c>
      <c r="L155" s="45" t="n"/>
      <c r="M155" s="45" t="n"/>
      <c r="N155" s="45" t="n"/>
      <c r="O155" s="45" t="n"/>
      <c r="P155" s="50" t="n"/>
      <c r="R155" s="2">
        <f t="shared" si="6"/>
        <v>-30000</v>
      </c>
      <c r="S155" s="2">
        <f t="shared" si="7"/>
        <v>202606</v>
      </c>
      <c r="T155" s="2">
        <f t="shared" si="8"/>
      </c>
      <c r="U155" s="2" t="str">
        <f t="shared" si="9"/>
        <v>材料费</v>
      </c>
      <c r="V155" s="2" t="str">
        <f t="shared" si="10"/>
        <v>四川久远智能消防</v>
      </c>
      <c r="W155" s="2" t="str">
        <f t="shared" si="11"/>
        <v>项目直接成本</v>
      </c>
      <c r="X155" s="2" t="str">
        <f t="shared" si="12"/>
        <v>材料费</v>
      </c>
      <c r="Y155" s="2">
        <f t="shared" si="13"/>
        <v>0</v>
      </c>
      <c r="Z155" s="2" t="str">
        <f t="shared" si="14"/>
        <v>材料供应商</v>
      </c>
      <c r="AA155" s="2">
        <f t="shared" si="15"/>
        <v>0</v>
      </c>
      <c r="AB155" s="2">
        <f t="shared" si="16"/>
      </c>
      <c r="AC155" s="2">
        <f t="shared" si="17"/>
      </c>
      <c r="AD155" s="2">
        <f t="shared" si="18"/>
      </c>
      <c r="AE155" s="2" t="str">
        <f t="shared" si="19"/>
        <v>银行</v>
      </c>
      <c r="AF155" s="2">
        <f t="shared" si="20"/>
      </c>
      <c r="AG155" s="2" t="str">
        <f t="shared" si="21"/>
        <v>材料费</v>
      </c>
      <c r="AH155" s="2" t="str">
        <f t="shared" si="22"/>
        <v>支</v>
      </c>
      <c r="AI155" s="2">
        <f t="shared" si="23"/>
      </c>
      <c r="AJ155" s="2">
        <f t="shared" si="24"/>
        <v>0</v>
      </c>
      <c r="AK155" s="2">
        <f t="shared" si="25"/>
        <v>0</v>
      </c>
      <c r="AL155" s="2">
        <f t="shared" si="26"/>
        <v>8</v>
      </c>
      <c r="AM155" s="2">
        <f t="shared" si="27"/>
        <v>0</v>
      </c>
      <c r="AN155" s="2">
        <f t="shared" si="28"/>
        <v>46203</v>
      </c>
      <c r="AO155" s="2">
        <f t="shared" si="29"/>
      </c>
      <c r="AP155" s="2" t="str">
        <f t="shared" si="30"/>
        <v>四川久远智能消防|2</v>
      </c>
      <c r="AQ155" s="2">
        <f t="shared" si="31"/>
      </c>
    </row>
    <row r="156">
      <c r="A156" s="43">
        <f t="shared" si="3"/>
        <v>151</v>
      </c>
      <c r="B156" s="44" t="n">
        <v>46203</v>
      </c>
      <c r="C156" s="45" t="inlineStr">
        <is>
          <t>九江银行</t>
        </is>
      </c>
      <c r="D156" s="46" t="inlineStr">
        <is>
          <t>九江财小保代账服务费</t>
        </is>
      </c>
      <c r="E156" s="47" t="n"/>
      <c r="F156" s="47" t="n">
        <v>10000</v>
      </c>
      <c r="G156" s="48">
        <f t="shared" si="4"/>
        <v>257660.26</v>
      </c>
      <c r="H156" s="43">
        <f t="shared" si="0"/>
      </c>
      <c r="I156" s="43" t="str">
        <f t="shared" si="5"/>
        <v>办公费</v>
      </c>
      <c r="J156" s="43" t="str">
        <f t="shared" si="1"/>
        <v>九江财小保</v>
      </c>
      <c r="K156" s="49" t="str">
        <f t="shared" si="2"/>
        <v>√</v>
      </c>
      <c r="L156" s="45" t="n"/>
      <c r="M156" s="45" t="n"/>
      <c r="N156" s="45" t="n"/>
      <c r="O156" s="45" t="n"/>
      <c r="P156" s="50" t="n"/>
      <c r="R156" s="2">
        <f t="shared" si="6"/>
        <v>-10000</v>
      </c>
      <c r="S156" s="2">
        <f t="shared" si="7"/>
        <v>202606</v>
      </c>
      <c r="T156" s="2">
        <f t="shared" si="8"/>
      </c>
      <c r="U156" s="2" t="str">
        <f t="shared" si="9"/>
        <v>办公费</v>
      </c>
      <c r="V156" s="2" t="str">
        <f t="shared" si="10"/>
        <v>九江财小保</v>
      </c>
      <c r="W156" s="2" t="str">
        <f t="shared" si="11"/>
        <v>公司间接费</v>
      </c>
      <c r="X156" s="2" t="str">
        <f t="shared" si="12"/>
        <v>办公费</v>
      </c>
      <c r="Y156" s="2">
        <f t="shared" si="13"/>
        <v>0</v>
      </c>
      <c r="Z156" s="2" t="str">
        <f t="shared" si="14"/>
        <v>其他</v>
      </c>
      <c r="AA156" s="2">
        <f t="shared" si="15"/>
        <v>0</v>
      </c>
      <c r="AB156" s="2">
        <f t="shared" si="16"/>
      </c>
      <c r="AC156" s="2">
        <f t="shared" si="17"/>
      </c>
      <c r="AD156" s="2">
        <f t="shared" si="18"/>
      </c>
      <c r="AE156" s="2" t="str">
        <f t="shared" si="19"/>
        <v>银行</v>
      </c>
      <c r="AF156" s="2">
        <f t="shared" si="20"/>
      </c>
      <c r="AG156" s="2" t="str">
        <f t="shared" si="21"/>
        <v>办公费</v>
      </c>
      <c r="AH156" s="2" t="str">
        <f t="shared" si="22"/>
        <v>支</v>
      </c>
      <c r="AI156" s="2">
        <f t="shared" si="23"/>
      </c>
      <c r="AJ156" s="2">
        <f t="shared" si="24"/>
        <v>0</v>
      </c>
      <c r="AK156" s="2">
        <f t="shared" si="25"/>
        <v>0</v>
      </c>
      <c r="AL156" s="2">
        <f t="shared" si="26"/>
        <v>27</v>
      </c>
      <c r="AM156" s="2">
        <f t="shared" si="27"/>
        <v>0</v>
      </c>
      <c r="AN156" s="2">
        <f t="shared" si="28"/>
        <v>46203</v>
      </c>
      <c r="AO156" s="2">
        <f t="shared" si="29"/>
      </c>
      <c r="AP156" s="2" t="str">
        <f t="shared" si="30"/>
        <v>九江财小保|1</v>
      </c>
      <c r="AQ156" s="2">
        <f t="shared" si="31"/>
      </c>
    </row>
    <row r="157">
      <c r="A157" s="43">
        <f t="shared" si="3"/>
        <v>152</v>
      </c>
      <c r="B157" s="44" t="n">
        <v>46205</v>
      </c>
      <c r="C157" s="45" t="inlineStr">
        <is>
          <t>九江银行</t>
        </is>
      </c>
      <c r="D157" s="46" t="inlineStr">
        <is>
          <t>刘海工资</t>
        </is>
      </c>
      <c r="E157" s="47" t="n"/>
      <c r="F157" s="47" t="n">
        <v>3000</v>
      </c>
      <c r="G157" s="48">
        <f t="shared" si="4"/>
        <v>254660.26</v>
      </c>
      <c r="H157" s="43">
        <f t="shared" si="0"/>
      </c>
      <c r="I157" s="43" t="str">
        <f t="shared" si="5"/>
        <v>工资</v>
      </c>
      <c r="J157" s="43" t="str">
        <f t="shared" si="1"/>
        <v>刘海</v>
      </c>
      <c r="K157" s="49" t="str">
        <f t="shared" si="2"/>
        <v>√</v>
      </c>
      <c r="L157" s="45" t="n"/>
      <c r="M157" s="45" t="n"/>
      <c r="N157" s="45" t="n"/>
      <c r="O157" s="45" t="n"/>
      <c r="P157" s="50" t="n"/>
      <c r="R157" s="2">
        <f t="shared" si="6"/>
        <v>-3000</v>
      </c>
      <c r="S157" s="2">
        <f t="shared" si="7"/>
        <v>202607</v>
      </c>
      <c r="T157" s="2">
        <f t="shared" si="8"/>
      </c>
      <c r="U157" s="2" t="str">
        <f t="shared" si="9"/>
        <v>工资</v>
      </c>
      <c r="V157" s="2" t="str">
        <f t="shared" si="10"/>
        <v>刘海</v>
      </c>
      <c r="W157" s="2" t="str">
        <f t="shared" si="11"/>
        <v>不进利润</v>
      </c>
      <c r="X157" s="2" t="str">
        <f t="shared" si="12"/>
        <v>应付职工薪酬</v>
      </c>
      <c r="Y157" s="2">
        <f t="shared" si="13"/>
        <v>0</v>
      </c>
      <c r="Z157" s="2" t="str">
        <f t="shared" si="14"/>
        <v>工人</v>
      </c>
      <c r="AA157" s="2">
        <f t="shared" si="15"/>
        <v>1</v>
      </c>
      <c r="AB157" s="2">
        <f t="shared" si="16"/>
      </c>
      <c r="AC157" s="2">
        <f t="shared" si="17"/>
      </c>
      <c r="AD157" s="2">
        <f t="shared" si="18"/>
      </c>
      <c r="AE157" s="2" t="str">
        <f t="shared" si="19"/>
        <v>银行</v>
      </c>
      <c r="AF157" s="2">
        <f t="shared" si="20"/>
      </c>
      <c r="AG157" s="2" t="str">
        <f t="shared" si="21"/>
        <v>工资</v>
      </c>
      <c r="AH157" s="2" t="str">
        <f t="shared" si="22"/>
        <v>支</v>
      </c>
      <c r="AI157" s="2">
        <f t="shared" si="23"/>
      </c>
      <c r="AJ157" s="2">
        <f t="shared" si="24"/>
        <v>0</v>
      </c>
      <c r="AK157" s="2">
        <f t="shared" si="25"/>
        <v>0</v>
      </c>
      <c r="AL157" s="2">
        <f t="shared" si="26"/>
        <v>108</v>
      </c>
      <c r="AM157" s="2">
        <f t="shared" si="27"/>
        <v>0</v>
      </c>
      <c r="AN157" s="2">
        <f t="shared" si="28"/>
        <v>46205</v>
      </c>
      <c r="AO157" s="2">
        <f t="shared" si="29"/>
      </c>
      <c r="AP157" s="2" t="str">
        <f t="shared" si="30"/>
        <v>刘海|1</v>
      </c>
      <c r="AQ157" s="2">
        <f t="shared" si="31"/>
      </c>
    </row>
    <row r="158">
      <c r="A158" s="43">
        <f t="shared" si="3"/>
        <v>153</v>
      </c>
      <c r="B158" s="44" t="n">
        <v>46205</v>
      </c>
      <c r="C158" s="45" t="inlineStr">
        <is>
          <t>九江银行</t>
        </is>
      </c>
      <c r="D158" s="46" t="inlineStr">
        <is>
          <t>高征坤工资</t>
        </is>
      </c>
      <c r="E158" s="47" t="n"/>
      <c r="F158" s="47" t="n">
        <v>4000</v>
      </c>
      <c r="G158" s="48">
        <f t="shared" si="4"/>
        <v>250660.26</v>
      </c>
      <c r="H158" s="43">
        <f t="shared" si="0"/>
      </c>
      <c r="I158" s="43" t="str">
        <f t="shared" si="5"/>
        <v>工资</v>
      </c>
      <c r="J158" s="43" t="str">
        <f t="shared" si="1"/>
        <v>高征坤</v>
      </c>
      <c r="K158" s="49" t="str">
        <f t="shared" si="2"/>
        <v>√</v>
      </c>
      <c r="L158" s="45" t="n"/>
      <c r="M158" s="45" t="n"/>
      <c r="N158" s="45" t="n"/>
      <c r="O158" s="45" t="n"/>
      <c r="P158" s="50" t="n"/>
      <c r="R158" s="2">
        <f t="shared" si="6"/>
        <v>-4000</v>
      </c>
      <c r="S158" s="2">
        <f t="shared" si="7"/>
        <v>202607</v>
      </c>
      <c r="T158" s="2">
        <f t="shared" si="8"/>
      </c>
      <c r="U158" s="2" t="str">
        <f t="shared" si="9"/>
        <v>工资</v>
      </c>
      <c r="V158" s="2" t="str">
        <f t="shared" si="10"/>
        <v>高征坤</v>
      </c>
      <c r="W158" s="2" t="str">
        <f t="shared" si="11"/>
        <v>不进利润</v>
      </c>
      <c r="X158" s="2" t="str">
        <f t="shared" si="12"/>
        <v>应付职工薪酬</v>
      </c>
      <c r="Y158" s="2">
        <f t="shared" si="13"/>
        <v>0</v>
      </c>
      <c r="Z158" s="2" t="str">
        <f t="shared" si="14"/>
        <v>工人</v>
      </c>
      <c r="AA158" s="2">
        <f t="shared" si="15"/>
        <v>1</v>
      </c>
      <c r="AB158" s="2">
        <f t="shared" si="16"/>
      </c>
      <c r="AC158" s="2">
        <f t="shared" si="17"/>
      </c>
      <c r="AD158" s="2">
        <f t="shared" si="18"/>
      </c>
      <c r="AE158" s="2" t="str">
        <f t="shared" si="19"/>
        <v>银行</v>
      </c>
      <c r="AF158" s="2">
        <f t="shared" si="20"/>
      </c>
      <c r="AG158" s="2" t="str">
        <f t="shared" si="21"/>
        <v>工资</v>
      </c>
      <c r="AH158" s="2" t="str">
        <f t="shared" si="22"/>
        <v>支</v>
      </c>
      <c r="AI158" s="2">
        <f t="shared" si="23"/>
      </c>
      <c r="AJ158" s="2">
        <f t="shared" si="24"/>
        <v>0</v>
      </c>
      <c r="AK158" s="2">
        <f t="shared" si="25"/>
        <v>0</v>
      </c>
      <c r="AL158" s="2">
        <f t="shared" si="26"/>
        <v>62</v>
      </c>
      <c r="AM158" s="2">
        <f t="shared" si="27"/>
        <v>0</v>
      </c>
      <c r="AN158" s="2">
        <f t="shared" si="28"/>
        <v>46205</v>
      </c>
      <c r="AO158" s="2">
        <f t="shared" si="29"/>
      </c>
      <c r="AP158" s="2" t="str">
        <f t="shared" si="30"/>
        <v>高征坤|1</v>
      </c>
      <c r="AQ158" s="2">
        <f t="shared" si="31"/>
      </c>
    </row>
    <row r="159">
      <c r="A159" s="43">
        <f t="shared" si="3"/>
        <v>154</v>
      </c>
      <c r="B159" s="44" t="n">
        <v>46205</v>
      </c>
      <c r="C159" s="45" t="inlineStr">
        <is>
          <t>九江银行</t>
        </is>
      </c>
      <c r="D159" s="46" t="inlineStr">
        <is>
          <t>王兴姣工资</t>
        </is>
      </c>
      <c r="E159" s="47" t="n"/>
      <c r="F159" s="47" t="n">
        <v>5000</v>
      </c>
      <c r="G159" s="48">
        <f t="shared" si="4"/>
        <v>245660.26</v>
      </c>
      <c r="H159" s="43">
        <f t="shared" si="0"/>
      </c>
      <c r="I159" s="43" t="str">
        <f t="shared" si="5"/>
        <v>工资</v>
      </c>
      <c r="J159" s="43" t="str">
        <f t="shared" si="1"/>
        <v>王兴蛟</v>
      </c>
      <c r="K159" s="49" t="str">
        <f t="shared" si="2"/>
        <v>√</v>
      </c>
      <c r="L159" s="45" t="n"/>
      <c r="M159" s="45" t="n"/>
      <c r="N159" s="45" t="n"/>
      <c r="O159" s="45" t="n"/>
      <c r="P159" s="50" t="n"/>
      <c r="R159" s="2">
        <f t="shared" si="6"/>
        <v>-5000</v>
      </c>
      <c r="S159" s="2">
        <f t="shared" si="7"/>
        <v>202607</v>
      </c>
      <c r="T159" s="2">
        <f t="shared" si="8"/>
      </c>
      <c r="U159" s="2" t="str">
        <f t="shared" si="9"/>
        <v>工资</v>
      </c>
      <c r="V159" s="2" t="str">
        <f t="shared" si="10"/>
        <v>王兴蛟</v>
      </c>
      <c r="W159" s="2" t="str">
        <f t="shared" si="11"/>
        <v>不进利润</v>
      </c>
      <c r="X159" s="2" t="str">
        <f t="shared" si="12"/>
        <v>应付职工薪酬</v>
      </c>
      <c r="Y159" s="2">
        <f t="shared" si="13"/>
        <v>0</v>
      </c>
      <c r="Z159" s="2" t="str">
        <f t="shared" si="14"/>
        <v>工人</v>
      </c>
      <c r="AA159" s="2">
        <f t="shared" si="15"/>
        <v>1</v>
      </c>
      <c r="AB159" s="2">
        <f t="shared" si="16"/>
      </c>
      <c r="AC159" s="2">
        <f t="shared" si="17"/>
      </c>
      <c r="AD159" s="2">
        <f t="shared" si="18"/>
      </c>
      <c r="AE159" s="2" t="str">
        <f t="shared" si="19"/>
        <v>银行</v>
      </c>
      <c r="AF159" s="2">
        <f t="shared" si="20"/>
      </c>
      <c r="AG159" s="2" t="str">
        <f t="shared" si="21"/>
        <v>工资</v>
      </c>
      <c r="AH159" s="2" t="str">
        <f t="shared" si="22"/>
        <v>支</v>
      </c>
      <c r="AI159" s="2">
        <f t="shared" si="23"/>
      </c>
      <c r="AJ159" s="2">
        <f t="shared" si="24"/>
        <v>0</v>
      </c>
      <c r="AK159" s="2">
        <f t="shared" si="25"/>
        <v>0</v>
      </c>
      <c r="AL159" s="2">
        <f t="shared" si="26"/>
        <v>61</v>
      </c>
      <c r="AM159" s="2">
        <f t="shared" si="27"/>
        <v>0</v>
      </c>
      <c r="AN159" s="2">
        <f t="shared" si="28"/>
        <v>46205</v>
      </c>
      <c r="AO159" s="2">
        <f t="shared" si="29"/>
      </c>
      <c r="AP159" s="2" t="str">
        <f t="shared" si="30"/>
        <v>王兴蛟|2</v>
      </c>
      <c r="AQ159" s="2">
        <f t="shared" si="31"/>
      </c>
    </row>
    <row r="160">
      <c r="A160" s="43">
        <f t="shared" si="3"/>
        <v>155</v>
      </c>
      <c r="B160" s="44" t="n">
        <v>46205</v>
      </c>
      <c r="C160" s="45" t="inlineStr">
        <is>
          <t>九江银行</t>
        </is>
      </c>
      <c r="D160" s="46" t="inlineStr">
        <is>
          <t>王兴姣工资</t>
        </is>
      </c>
      <c r="E160" s="47" t="n">
        <v>5000</v>
      </c>
      <c r="F160" s="47" t="n"/>
      <c r="G160" s="48">
        <f t="shared" si="4"/>
        <v>250660.26</v>
      </c>
      <c r="H160" s="43">
        <f t="shared" si="0"/>
      </c>
      <c r="I160" s="43" t="str">
        <f t="shared" si="5"/>
        <v>工资</v>
      </c>
      <c r="J160" s="43" t="str">
        <f t="shared" si="1"/>
        <v>王兴蛟</v>
      </c>
      <c r="K160" s="49" t="str">
        <f t="shared" si="2"/>
        <v>√</v>
      </c>
      <c r="L160" s="45" t="n"/>
      <c r="M160" s="45" t="n"/>
      <c r="N160" s="45" t="n"/>
      <c r="O160" s="45" t="n"/>
      <c r="P160" s="50" t="n"/>
      <c r="R160" s="2">
        <f t="shared" si="6"/>
        <v>5000</v>
      </c>
      <c r="S160" s="2">
        <f t="shared" si="7"/>
        <v>202607</v>
      </c>
      <c r="T160" s="2">
        <f t="shared" si="8"/>
      </c>
      <c r="U160" s="2" t="str">
        <f t="shared" si="9"/>
        <v>工资</v>
      </c>
      <c r="V160" s="2" t="str">
        <f t="shared" si="10"/>
        <v>王兴蛟</v>
      </c>
      <c r="W160" s="2" t="str">
        <f t="shared" si="11"/>
        <v>不进利润</v>
      </c>
      <c r="X160" s="2" t="str">
        <f t="shared" si="12"/>
        <v>应付职工薪酬</v>
      </c>
      <c r="Y160" s="2">
        <f t="shared" si="13"/>
        <v>0</v>
      </c>
      <c r="Z160" s="2" t="str">
        <f t="shared" si="14"/>
        <v>工人</v>
      </c>
      <c r="AA160" s="2">
        <f t="shared" si="15"/>
        <v>1</v>
      </c>
      <c r="AB160" s="2">
        <f t="shared" si="16"/>
      </c>
      <c r="AC160" s="2">
        <f t="shared" si="17"/>
      </c>
      <c r="AD160" s="2">
        <f t="shared" si="18"/>
      </c>
      <c r="AE160" s="2" t="str">
        <f t="shared" si="19"/>
        <v>银行</v>
      </c>
      <c r="AF160" s="2">
        <f t="shared" si="20"/>
      </c>
      <c r="AG160" s="2" t="str">
        <f t="shared" si="21"/>
        <v>工资</v>
      </c>
      <c r="AH160" s="2" t="str">
        <f t="shared" si="22"/>
        <v>支</v>
      </c>
      <c r="AI160" s="2">
        <f t="shared" si="23"/>
      </c>
      <c r="AJ160" s="2">
        <f t="shared" si="24"/>
        <v>0</v>
      </c>
      <c r="AK160" s="2">
        <f t="shared" si="25"/>
        <v>0</v>
      </c>
      <c r="AL160" s="2">
        <f t="shared" si="26"/>
        <v>61</v>
      </c>
      <c r="AM160" s="2">
        <f t="shared" si="27"/>
        <v>0</v>
      </c>
      <c r="AN160" s="2">
        <f t="shared" si="28"/>
        <v>46205</v>
      </c>
      <c r="AO160" s="2">
        <f t="shared" si="29"/>
      </c>
      <c r="AP160" s="2">
        <f t="shared" si="30"/>
      </c>
      <c r="AQ160" s="2">
        <f t="shared" si="31"/>
      </c>
    </row>
    <row r="161">
      <c r="A161" s="43">
        <f t="shared" si="3"/>
        <v>156</v>
      </c>
      <c r="B161" s="44" t="n">
        <v>46205</v>
      </c>
      <c r="C161" s="45" t="inlineStr">
        <is>
          <t>九江银行</t>
        </is>
      </c>
      <c r="D161" s="46" t="inlineStr">
        <is>
          <t>油漆费</t>
        </is>
      </c>
      <c r="E161" s="47" t="n"/>
      <c r="F161" s="47" t="n">
        <v>574</v>
      </c>
      <c r="G161" s="48">
        <f t="shared" si="4"/>
        <v>250086.26</v>
      </c>
      <c r="H161" s="43">
        <f t="shared" si="0"/>
      </c>
      <c r="I161" s="43" t="str">
        <f t="shared" si="5"/>
        <v>材料费</v>
      </c>
      <c r="J161" s="43">
        <f t="shared" si="1"/>
      </c>
      <c r="K161" s="49" t="str">
        <f t="shared" si="2"/>
        <v>✗ 这一笔要选项目（摘要里的项目没在【项目档案】的话先去加上）</v>
      </c>
      <c r="L161" s="45" t="n"/>
      <c r="M161" s="45" t="n"/>
      <c r="N161" s="45" t="n"/>
      <c r="O161" s="45" t="n"/>
      <c r="P161" s="50" t="n"/>
      <c r="R161" s="2">
        <f t="shared" si="6"/>
        <v>-574</v>
      </c>
      <c r="S161" s="2">
        <f t="shared" si="7"/>
        <v>202607</v>
      </c>
      <c r="T161" s="2">
        <f t="shared" si="8"/>
      </c>
      <c r="U161" s="2" t="str">
        <f t="shared" si="9"/>
        <v>材料费</v>
      </c>
      <c r="V161" s="2">
        <f t="shared" si="10"/>
      </c>
      <c r="W161" s="2" t="str">
        <f t="shared" si="11"/>
        <v>项目直接成本</v>
      </c>
      <c r="X161" s="2" t="str">
        <f t="shared" si="12"/>
        <v>材料费</v>
      </c>
      <c r="Y161" s="2">
        <f t="shared" si="13"/>
        <v>0</v>
      </c>
      <c r="Z161" s="2">
        <f t="shared" si="14"/>
      </c>
      <c r="AA161" s="2">
        <f t="shared" si="15"/>
        <v>0</v>
      </c>
      <c r="AB161" s="2">
        <f t="shared" si="16"/>
      </c>
      <c r="AC161" s="2">
        <f t="shared" si="17"/>
      </c>
      <c r="AD161" s="2">
        <f t="shared" si="18"/>
      </c>
      <c r="AE161" s="2" t="str">
        <f t="shared" si="19"/>
        <v>银行</v>
      </c>
      <c r="AF161" s="2">
        <f t="shared" si="20"/>
      </c>
      <c r="AG161" s="2" t="str">
        <f t="shared" si="21"/>
        <v>材料费</v>
      </c>
      <c r="AH161" s="2" t="str">
        <f t="shared" si="22"/>
        <v>支</v>
      </c>
      <c r="AI161" s="2">
        <f t="shared" si="23"/>
      </c>
      <c r="AJ161" s="2">
        <f t="shared" si="24"/>
        <v>0</v>
      </c>
      <c r="AK161" s="2">
        <f t="shared" si="25"/>
        <v>0</v>
      </c>
      <c r="AL161" s="2">
        <f t="shared" si="26"/>
        <v>0</v>
      </c>
      <c r="AM161" s="2">
        <f t="shared" si="27"/>
        <v>0</v>
      </c>
      <c r="AN161" s="2">
        <f t="shared" si="28"/>
        <v>46205</v>
      </c>
      <c r="AO161" s="2">
        <f t="shared" si="29"/>
      </c>
      <c r="AP161" s="2">
        <f t="shared" si="30"/>
      </c>
      <c r="AQ161" s="2">
        <f t="shared" si="31"/>
      </c>
    </row>
    <row r="162">
      <c r="A162" s="43">
        <f t="shared" si="3"/>
        <v>157</v>
      </c>
      <c r="B162" s="44" t="n">
        <v>46205</v>
      </c>
      <c r="C162" s="45" t="inlineStr">
        <is>
          <t>九江银行</t>
        </is>
      </c>
      <c r="D162" s="46" t="inlineStr">
        <is>
          <t>德安农商行挖机费</t>
        </is>
      </c>
      <c r="E162" s="47" t="n"/>
      <c r="F162" s="47" t="n">
        <v>800</v>
      </c>
      <c r="G162" s="48">
        <f t="shared" si="4"/>
        <v>249286.26</v>
      </c>
      <c r="H162" s="43" t="str">
        <f t="shared" si="0"/>
        <v>德安农商行总部</v>
      </c>
      <c r="I162" s="43" t="str">
        <f t="shared" si="5"/>
        <v>付应付款</v>
      </c>
      <c r="J162" s="43" t="str">
        <f t="shared" si="1"/>
        <v>德安县恒建工程部</v>
      </c>
      <c r="K162" s="49" t="str">
        <f t="shared" si="2"/>
        <v>√</v>
      </c>
      <c r="L162" s="45" t="n"/>
      <c r="M162" s="45" t="n"/>
      <c r="N162" s="45" t="inlineStr">
        <is>
          <t>德安县恒建工程部</t>
        </is>
      </c>
      <c r="O162" s="45" t="n"/>
      <c r="P162" s="50" t="n"/>
      <c r="R162" s="2">
        <f t="shared" si="6"/>
        <v>-800</v>
      </c>
      <c r="S162" s="2">
        <f t="shared" si="7"/>
        <v>202607</v>
      </c>
      <c r="T162" s="2" t="str">
        <f t="shared" si="8"/>
        <v>德安农商行总部</v>
      </c>
      <c r="U162" s="2" t="str">
        <f t="shared" si="9"/>
        <v>付应付款</v>
      </c>
      <c r="V162" s="2">
        <f t="shared" si="10"/>
      </c>
      <c r="W162" s="2" t="str">
        <f t="shared" si="11"/>
        <v>不进利润</v>
      </c>
      <c r="X162" s="2" t="str">
        <f t="shared" si="12"/>
        <v>应付机械运输费</v>
      </c>
      <c r="Y162" s="2">
        <f t="shared" si="13"/>
        <v>1</v>
      </c>
      <c r="Z162" s="2" t="str">
        <f t="shared" si="14"/>
        <v>机械运输</v>
      </c>
      <c r="AA162" s="2">
        <f t="shared" si="15"/>
        <v>0</v>
      </c>
      <c r="AB162" s="2">
        <f t="shared" si="16"/>
      </c>
      <c r="AC162" s="2">
        <f t="shared" si="17"/>
      </c>
      <c r="AD162" s="2">
        <f t="shared" si="18"/>
      </c>
      <c r="AE162" s="2" t="str">
        <f t="shared" si="19"/>
        <v>银行</v>
      </c>
      <c r="AF162" s="2">
        <f t="shared" si="20"/>
      </c>
      <c r="AG162" s="2" t="str">
        <f t="shared" si="21"/>
        <v>机械运输费</v>
      </c>
      <c r="AH162" s="2" t="str">
        <f t="shared" si="22"/>
        <v>支</v>
      </c>
      <c r="AI162" s="2" t="str">
        <f t="shared" si="23"/>
        <v>德安农商</v>
      </c>
      <c r="AJ162" s="2">
        <f t="shared" si="24"/>
        <v>0</v>
      </c>
      <c r="AK162" s="2">
        <f t="shared" si="25"/>
        <v>18</v>
      </c>
      <c r="AL162" s="2">
        <f t="shared" si="26"/>
        <v>0</v>
      </c>
      <c r="AM162" s="2">
        <f t="shared" si="27"/>
        <v>0</v>
      </c>
      <c r="AN162" s="2">
        <f t="shared" si="28"/>
        <v>46205</v>
      </c>
      <c r="AO162" s="2">
        <f t="shared" si="29"/>
      </c>
      <c r="AP162" s="2" t="str">
        <f t="shared" si="30"/>
        <v>德安县恒建工程部|1</v>
      </c>
      <c r="AQ162" s="2">
        <f t="shared" si="31"/>
      </c>
    </row>
    <row r="163">
      <c r="A163" s="43">
        <f t="shared" si="3"/>
        <v>158</v>
      </c>
      <c r="B163" s="44" t="n">
        <v>46205</v>
      </c>
      <c r="C163" s="45" t="inlineStr">
        <is>
          <t>九江银行</t>
        </is>
      </c>
      <c r="D163" s="46" t="inlineStr">
        <is>
          <t>王兴蛟工资</t>
        </is>
      </c>
      <c r="E163" s="47" t="n"/>
      <c r="F163" s="47" t="n">
        <v>5000</v>
      </c>
      <c r="G163" s="48">
        <f t="shared" si="4"/>
        <v>244286.26</v>
      </c>
      <c r="H163" s="43">
        <f t="shared" si="0"/>
      </c>
      <c r="I163" s="43" t="str">
        <f t="shared" si="5"/>
        <v>工资</v>
      </c>
      <c r="J163" s="43" t="str">
        <f t="shared" si="1"/>
        <v>王兴蛟</v>
      </c>
      <c r="K163" s="49" t="str">
        <f t="shared" si="2"/>
        <v>√</v>
      </c>
      <c r="L163" s="45" t="n"/>
      <c r="M163" s="45" t="n"/>
      <c r="N163" s="45" t="n"/>
      <c r="O163" s="45" t="n"/>
      <c r="P163" s="50" t="n"/>
      <c r="R163" s="2">
        <f t="shared" si="6"/>
        <v>-5000</v>
      </c>
      <c r="S163" s="2">
        <f t="shared" si="7"/>
        <v>202607</v>
      </c>
      <c r="T163" s="2">
        <f t="shared" si="8"/>
      </c>
      <c r="U163" s="2" t="str">
        <f t="shared" si="9"/>
        <v>工资</v>
      </c>
      <c r="V163" s="2" t="str">
        <f t="shared" si="10"/>
        <v>王兴蛟</v>
      </c>
      <c r="W163" s="2" t="str">
        <f t="shared" si="11"/>
        <v>不进利润</v>
      </c>
      <c r="X163" s="2" t="str">
        <f t="shared" si="12"/>
        <v>应付职工薪酬</v>
      </c>
      <c r="Y163" s="2">
        <f t="shared" si="13"/>
        <v>0</v>
      </c>
      <c r="Z163" s="2" t="str">
        <f t="shared" si="14"/>
        <v>工人</v>
      </c>
      <c r="AA163" s="2">
        <f t="shared" si="15"/>
        <v>1</v>
      </c>
      <c r="AB163" s="2">
        <f t="shared" si="16"/>
      </c>
      <c r="AC163" s="2">
        <f t="shared" si="17"/>
      </c>
      <c r="AD163" s="2">
        <f t="shared" si="18"/>
      </c>
      <c r="AE163" s="2" t="str">
        <f t="shared" si="19"/>
        <v>银行</v>
      </c>
      <c r="AF163" s="2">
        <f t="shared" si="20"/>
      </c>
      <c r="AG163" s="2" t="str">
        <f t="shared" si="21"/>
        <v>工资</v>
      </c>
      <c r="AH163" s="2" t="str">
        <f t="shared" si="22"/>
        <v>支</v>
      </c>
      <c r="AI163" s="2">
        <f t="shared" si="23"/>
      </c>
      <c r="AJ163" s="2">
        <f t="shared" si="24"/>
        <v>0</v>
      </c>
      <c r="AK163" s="2">
        <f t="shared" si="25"/>
        <v>0</v>
      </c>
      <c r="AL163" s="2">
        <f t="shared" si="26"/>
        <v>60</v>
      </c>
      <c r="AM163" s="2">
        <f t="shared" si="27"/>
        <v>0</v>
      </c>
      <c r="AN163" s="2">
        <f t="shared" si="28"/>
        <v>46205</v>
      </c>
      <c r="AO163" s="2">
        <f t="shared" si="29"/>
      </c>
      <c r="AP163" s="2" t="str">
        <f t="shared" si="30"/>
        <v>王兴蛟|2</v>
      </c>
      <c r="AQ163" s="2">
        <f t="shared" si="31"/>
      </c>
    </row>
    <row r="164">
      <c r="A164" s="43">
        <f t="shared" si="3"/>
        <v>159</v>
      </c>
      <c r="B164" s="44" t="n">
        <v>46207</v>
      </c>
      <c r="C164" s="45" t="inlineStr">
        <is>
          <t>九江银行</t>
        </is>
      </c>
      <c r="D164" s="46" t="inlineStr">
        <is>
          <t>代缴员工个税6月（闵清林，邓泽贵）</t>
        </is>
      </c>
      <c r="E164" s="47" t="n"/>
      <c r="F164" s="47" t="n">
        <v>996.75</v>
      </c>
      <c r="G164" s="48">
        <f t="shared" si="4"/>
        <v>243289.51</v>
      </c>
      <c r="H164" s="43">
        <f t="shared" si="0"/>
      </c>
      <c r="I164" s="43" t="str">
        <f t="shared" si="5"/>
        <v>代缴个税</v>
      </c>
      <c r="J164" s="43" t="str">
        <f t="shared" si="1"/>
        <v>邓泽贵</v>
      </c>
      <c r="K164" s="49" t="str">
        <f t="shared" si="2"/>
        <v>√</v>
      </c>
      <c r="L164" s="45" t="n"/>
      <c r="M164" s="45" t="n"/>
      <c r="N164" s="45" t="n"/>
      <c r="O164" s="45" t="n"/>
      <c r="P164" s="50" t="n"/>
      <c r="R164" s="2">
        <f t="shared" si="6"/>
        <v>-996.75</v>
      </c>
      <c r="S164" s="2">
        <f t="shared" si="7"/>
        <v>202607</v>
      </c>
      <c r="T164" s="2">
        <f t="shared" si="8"/>
      </c>
      <c r="U164" s="2" t="str">
        <f t="shared" si="9"/>
        <v>代缴个税</v>
      </c>
      <c r="V164" s="2" t="str">
        <f t="shared" si="10"/>
        <v>邓泽贵</v>
      </c>
      <c r="W164" s="2" t="str">
        <f t="shared" si="11"/>
        <v>不进利润</v>
      </c>
      <c r="X164" s="2" t="str">
        <f t="shared" si="12"/>
        <v>应交税费</v>
      </c>
      <c r="Y164" s="2">
        <f t="shared" si="13"/>
        <v>0</v>
      </c>
      <c r="Z164" s="2" t="str">
        <f t="shared" si="14"/>
        <v>工人</v>
      </c>
      <c r="AA164" s="2">
        <f t="shared" si="15"/>
        <v>1</v>
      </c>
      <c r="AB164" s="2">
        <f t="shared" si="16"/>
      </c>
      <c r="AC164" s="2">
        <f t="shared" si="17"/>
      </c>
      <c r="AD164" s="2">
        <f t="shared" si="18"/>
      </c>
      <c r="AE164" s="2" t="str">
        <f t="shared" si="19"/>
        <v>银行</v>
      </c>
      <c r="AF164" s="2">
        <f t="shared" si="20"/>
      </c>
      <c r="AG164" s="2" t="str">
        <f t="shared" si="21"/>
        <v>代缴个税</v>
      </c>
      <c r="AH164" s="2" t="str">
        <f t="shared" si="22"/>
        <v>支</v>
      </c>
      <c r="AI164" s="2">
        <f t="shared" si="23"/>
      </c>
      <c r="AJ164" s="2">
        <f t="shared" si="24"/>
        <v>0</v>
      </c>
      <c r="AK164" s="2">
        <f t="shared" si="25"/>
        <v>0</v>
      </c>
      <c r="AL164" s="2">
        <f t="shared" si="26"/>
        <v>52</v>
      </c>
      <c r="AM164" s="2">
        <f t="shared" si="27"/>
        <v>0</v>
      </c>
      <c r="AN164" s="2">
        <f t="shared" si="28"/>
        <v>46207</v>
      </c>
      <c r="AO164" s="2">
        <f t="shared" si="29"/>
      </c>
      <c r="AP164" s="2" t="str">
        <f t="shared" si="30"/>
        <v>邓泽贵|4</v>
      </c>
      <c r="AQ164" s="2">
        <f t="shared" si="31"/>
      </c>
    </row>
    <row r="165">
      <c r="A165" s="43">
        <f t="shared" si="3"/>
        <v>160</v>
      </c>
      <c r="B165" s="44" t="n">
        <v>46207</v>
      </c>
      <c r="C165" s="45" t="inlineStr">
        <is>
          <t>九江银行</t>
        </is>
      </c>
      <c r="D165" s="46" t="inlineStr">
        <is>
          <t>缴税款</t>
        </is>
      </c>
      <c r="E165" s="47" t="n"/>
      <c r="F165" s="47" t="n">
        <v>2653.94</v>
      </c>
      <c r="G165" s="48">
        <f t="shared" si="4"/>
        <v>240635.57</v>
      </c>
      <c r="H165" s="43">
        <f t="shared" si="0"/>
      </c>
      <c r="I165" s="43" t="str">
        <f t="shared" si="5"/>
        <v>缴增值税及附加</v>
      </c>
      <c r="J165" s="43">
        <f t="shared" si="1"/>
      </c>
      <c r="K165" s="49" t="str">
        <f t="shared" si="2"/>
        <v>√</v>
      </c>
      <c r="L165" s="45" t="n"/>
      <c r="M165" s="45" t="n"/>
      <c r="N165" s="45" t="n"/>
      <c r="O165" s="45" t="n"/>
      <c r="P165" s="50" t="n"/>
      <c r="R165" s="2">
        <f t="shared" si="6"/>
        <v>-2653.94</v>
      </c>
      <c r="S165" s="2">
        <f t="shared" si="7"/>
        <v>202607</v>
      </c>
      <c r="T165" s="2">
        <f t="shared" si="8"/>
      </c>
      <c r="U165" s="2" t="str">
        <f t="shared" si="9"/>
        <v>缴增值税及附加</v>
      </c>
      <c r="V165" s="2">
        <f t="shared" si="10"/>
      </c>
      <c r="W165" s="2" t="str">
        <f t="shared" si="11"/>
        <v>不进利润</v>
      </c>
      <c r="X165" s="2" t="str">
        <f t="shared" si="12"/>
        <v>应交税费</v>
      </c>
      <c r="Y165" s="2">
        <f t="shared" si="13"/>
        <v>0</v>
      </c>
      <c r="Z165" s="2">
        <f t="shared" si="14"/>
      </c>
      <c r="AA165" s="2">
        <f t="shared" si="15"/>
        <v>0</v>
      </c>
      <c r="AB165" s="2">
        <f t="shared" si="16"/>
      </c>
      <c r="AC165" s="2">
        <f t="shared" si="17"/>
      </c>
      <c r="AD165" s="2">
        <f t="shared" si="18"/>
      </c>
      <c r="AE165" s="2" t="str">
        <f t="shared" si="19"/>
        <v>银行</v>
      </c>
      <c r="AF165" s="2">
        <f t="shared" si="20"/>
      </c>
      <c r="AG165" s="2" t="str">
        <f t="shared" si="21"/>
        <v>缴增值税及附加</v>
      </c>
      <c r="AH165" s="2" t="str">
        <f t="shared" si="22"/>
        <v>支</v>
      </c>
      <c r="AI165" s="2">
        <f t="shared" si="23"/>
      </c>
      <c r="AJ165" s="2">
        <f t="shared" si="24"/>
        <v>0</v>
      </c>
      <c r="AK165" s="2">
        <f t="shared" si="25"/>
        <v>0</v>
      </c>
      <c r="AL165" s="2">
        <f t="shared" si="26"/>
        <v>0</v>
      </c>
      <c r="AM165" s="2">
        <f t="shared" si="27"/>
        <v>0</v>
      </c>
      <c r="AN165" s="2">
        <f t="shared" si="28"/>
        <v>46207</v>
      </c>
      <c r="AO165" s="2">
        <f t="shared" si="29"/>
      </c>
      <c r="AP165" s="2">
        <f t="shared" si="30"/>
      </c>
      <c r="AQ165" s="2">
        <f t="shared" si="31"/>
      </c>
    </row>
    <row r="166">
      <c r="A166" s="43">
        <f t="shared" si="3"/>
        <v>161</v>
      </c>
      <c r="B166" s="44" t="n">
        <v>46217</v>
      </c>
      <c r="C166" s="45" t="inlineStr">
        <is>
          <t>九江银行</t>
        </is>
      </c>
      <c r="D166" s="46" t="inlineStr">
        <is>
          <t>江西佩力通风-消防设备款</t>
        </is>
      </c>
      <c r="E166" s="47" t="n"/>
      <c r="F166" s="47" t="n">
        <v>1673</v>
      </c>
      <c r="G166" s="48">
        <f t="shared" si="4"/>
        <v>238962.57</v>
      </c>
      <c r="H166" s="43">
        <f t="shared" si="0"/>
      </c>
      <c r="I166" s="43" t="str">
        <f t="shared" si="5"/>
        <v>付应付款</v>
      </c>
      <c r="J166" s="43" t="str">
        <f t="shared" si="1"/>
        <v>佩力通风</v>
      </c>
      <c r="K166" s="49" t="str">
        <f t="shared" si="2"/>
        <v>√</v>
      </c>
      <c r="L166" s="45" t="n"/>
      <c r="M166" s="45" t="n"/>
      <c r="N166" s="45" t="n"/>
      <c r="O166" s="45" t="n"/>
      <c r="P166" s="50" t="n"/>
      <c r="R166" s="2">
        <f t="shared" si="6"/>
        <v>-1673</v>
      </c>
      <c r="S166" s="2">
        <f t="shared" si="7"/>
        <v>202607</v>
      </c>
      <c r="T166" s="2">
        <f t="shared" si="8"/>
      </c>
      <c r="U166" s="2" t="str">
        <f t="shared" si="9"/>
        <v>付应付款</v>
      </c>
      <c r="V166" s="2" t="str">
        <f t="shared" si="10"/>
        <v>佩力通风</v>
      </c>
      <c r="W166" s="2" t="str">
        <f t="shared" si="11"/>
        <v>不进利润</v>
      </c>
      <c r="X166" s="2" t="str">
        <f t="shared" si="12"/>
        <v>应付材料款</v>
      </c>
      <c r="Y166" s="2">
        <f t="shared" si="13"/>
        <v>1</v>
      </c>
      <c r="Z166" s="2" t="str">
        <f t="shared" si="14"/>
        <v>材料供应商</v>
      </c>
      <c r="AA166" s="2">
        <f t="shared" si="15"/>
        <v>0</v>
      </c>
      <c r="AB166" s="2">
        <f t="shared" si="16"/>
      </c>
      <c r="AC166" s="2">
        <f t="shared" si="17"/>
      </c>
      <c r="AD166" s="2">
        <f t="shared" si="18"/>
      </c>
      <c r="AE166" s="2" t="str">
        <f t="shared" si="19"/>
        <v>银行</v>
      </c>
      <c r="AF166" s="2">
        <f t="shared" si="20"/>
      </c>
      <c r="AG166" s="2" t="str">
        <f t="shared" si="21"/>
        <v>材料费</v>
      </c>
      <c r="AH166" s="2" t="str">
        <f t="shared" si="22"/>
        <v>支</v>
      </c>
      <c r="AI166" s="2">
        <f t="shared" si="23"/>
      </c>
      <c r="AJ166" s="2">
        <f t="shared" si="24"/>
        <v>0</v>
      </c>
      <c r="AK166" s="2">
        <f t="shared" si="25"/>
        <v>0</v>
      </c>
      <c r="AL166" s="2">
        <f t="shared" si="26"/>
        <v>34</v>
      </c>
      <c r="AM166" s="2">
        <f t="shared" si="27"/>
        <v>0</v>
      </c>
      <c r="AN166" s="2">
        <f t="shared" si="28"/>
        <v>46217</v>
      </c>
      <c r="AO166" s="2">
        <f t="shared" si="29"/>
      </c>
      <c r="AP166" s="2" t="str">
        <f t="shared" si="30"/>
        <v>佩力通风|2</v>
      </c>
      <c r="AQ166" s="2">
        <f t="shared" si="31"/>
      </c>
    </row>
    <row r="167">
      <c r="A167" s="43">
        <f t="shared" si="3"/>
        <v>162</v>
      </c>
      <c r="B167" s="44" t="n">
        <v>46226</v>
      </c>
      <c r="C167" s="45" t="inlineStr">
        <is>
          <t>九江银行</t>
        </is>
      </c>
      <c r="D167" s="46" t="inlineStr">
        <is>
          <t>隆世光伏/共青办公楼/德祥工地工程款</t>
        </is>
      </c>
      <c r="E167" s="47" t="n">
        <v>120000</v>
      </c>
      <c r="F167" s="47" t="n"/>
      <c r="G167" s="48">
        <f t="shared" si="4"/>
        <v>358962.57</v>
      </c>
      <c r="H167" s="43" t="str">
        <f t="shared" si="0"/>
        <v>隆世光伏</v>
      </c>
      <c r="I167" s="43" t="str">
        <f t="shared" si="5"/>
        <v>工程款</v>
      </c>
      <c r="J167" s="43">
        <f t="shared" si="1"/>
      </c>
      <c r="K167" s="49" t="str">
        <f t="shared" si="2"/>
        <v>√</v>
      </c>
      <c r="L167" s="45" t="n"/>
      <c r="M167" s="45" t="n"/>
      <c r="N167" s="45" t="n"/>
      <c r="O167" s="45" t="n"/>
      <c r="P167" s="50" t="n"/>
      <c r="R167" s="2">
        <f t="shared" si="6"/>
        <v>120000</v>
      </c>
      <c r="S167" s="2">
        <f t="shared" si="7"/>
        <v>202607</v>
      </c>
      <c r="T167" s="2" t="str">
        <f t="shared" si="8"/>
        <v>隆世光伏</v>
      </c>
      <c r="U167" s="2" t="str">
        <f t="shared" si="9"/>
        <v>工程款</v>
      </c>
      <c r="V167" s="2">
        <f t="shared" si="10"/>
      </c>
      <c r="W167" s="2" t="str">
        <f t="shared" si="11"/>
        <v>不进利润</v>
      </c>
      <c r="X167" s="2" t="str">
        <f t="shared" si="12"/>
        <v>应收账款</v>
      </c>
      <c r="Y167" s="2">
        <f t="shared" si="13"/>
        <v>0</v>
      </c>
      <c r="Z167" s="2">
        <f t="shared" si="14"/>
      </c>
      <c r="AA167" s="2">
        <f t="shared" si="15"/>
        <v>0</v>
      </c>
      <c r="AB167" s="2">
        <f t="shared" si="16"/>
      </c>
      <c r="AC167" s="2">
        <f t="shared" si="17"/>
      </c>
      <c r="AD167" s="2">
        <f t="shared" si="18"/>
      </c>
      <c r="AE167" s="2" t="str">
        <f t="shared" si="19"/>
        <v>银行</v>
      </c>
      <c r="AF167" s="2">
        <f t="shared" si="20"/>
      </c>
      <c r="AG167" s="2" t="str">
        <f t="shared" si="21"/>
        <v>工程款</v>
      </c>
      <c r="AH167" s="2" t="str">
        <f t="shared" si="22"/>
        <v>收</v>
      </c>
      <c r="AI167" s="2" t="str">
        <f t="shared" si="23"/>
        <v>共青办公楼</v>
      </c>
      <c r="AJ167" s="2">
        <f t="shared" si="24"/>
        <v>0</v>
      </c>
      <c r="AK167" s="2">
        <f t="shared" si="25"/>
        <v>11</v>
      </c>
      <c r="AL167" s="2">
        <f t="shared" si="26"/>
        <v>0</v>
      </c>
      <c r="AM167" s="2">
        <f t="shared" si="27"/>
        <v>0</v>
      </c>
      <c r="AN167" s="2">
        <f t="shared" si="28"/>
        <v>46226</v>
      </c>
      <c r="AO167" s="2" t="str">
        <f t="shared" si="29"/>
        <v>隆世光伏|1</v>
      </c>
      <c r="AP167" s="2">
        <f t="shared" si="30"/>
      </c>
      <c r="AQ167" s="2">
        <f t="shared" si="31"/>
      </c>
    </row>
    <row r="168">
      <c r="A168" s="43">
        <f t="shared" si="3"/>
        <v>163</v>
      </c>
      <c r="B168" s="44" t="n">
        <v>46226</v>
      </c>
      <c r="C168" s="45" t="inlineStr">
        <is>
          <t>九江银行</t>
        </is>
      </c>
      <c r="D168" s="46" t="inlineStr">
        <is>
          <t>叶焰平工资</t>
        </is>
      </c>
      <c r="E168" s="47" t="n"/>
      <c r="F168" s="47" t="n">
        <v>10000</v>
      </c>
      <c r="G168" s="48">
        <f t="shared" si="4"/>
        <v>348962.57</v>
      </c>
      <c r="H168" s="43">
        <f t="shared" si="0"/>
      </c>
      <c r="I168" s="43" t="str">
        <f t="shared" si="5"/>
        <v>工资</v>
      </c>
      <c r="J168" s="43" t="str">
        <f t="shared" si="1"/>
        <v>叶焰平</v>
      </c>
      <c r="K168" s="49" t="str">
        <f t="shared" si="2"/>
        <v>√</v>
      </c>
      <c r="L168" s="45" t="n"/>
      <c r="M168" s="45" t="n"/>
      <c r="N168" s="45" t="n"/>
      <c r="O168" s="45" t="n"/>
      <c r="P168" s="50" t="n"/>
      <c r="R168" s="2">
        <f t="shared" si="6"/>
        <v>-10000</v>
      </c>
      <c r="S168" s="2">
        <f t="shared" si="7"/>
        <v>202607</v>
      </c>
      <c r="T168" s="2">
        <f t="shared" si="8"/>
      </c>
      <c r="U168" s="2" t="str">
        <f t="shared" si="9"/>
        <v>工资</v>
      </c>
      <c r="V168" s="2" t="str">
        <f t="shared" si="10"/>
        <v>叶焰平</v>
      </c>
      <c r="W168" s="2" t="str">
        <f t="shared" si="11"/>
        <v>不进利润</v>
      </c>
      <c r="X168" s="2" t="str">
        <f t="shared" si="12"/>
        <v>应付职工薪酬</v>
      </c>
      <c r="Y168" s="2">
        <f t="shared" si="13"/>
        <v>0</v>
      </c>
      <c r="Z168" s="2" t="str">
        <f t="shared" si="14"/>
        <v>工人</v>
      </c>
      <c r="AA168" s="2">
        <f t="shared" si="15"/>
        <v>1</v>
      </c>
      <c r="AB168" s="2">
        <f t="shared" si="16"/>
      </c>
      <c r="AC168" s="2">
        <f t="shared" si="17"/>
      </c>
      <c r="AD168" s="2">
        <f t="shared" si="18"/>
      </c>
      <c r="AE168" s="2" t="str">
        <f t="shared" si="19"/>
        <v>银行</v>
      </c>
      <c r="AF168" s="2">
        <f t="shared" si="20"/>
      </c>
      <c r="AG168" s="2" t="str">
        <f t="shared" si="21"/>
        <v>工资</v>
      </c>
      <c r="AH168" s="2" t="str">
        <f t="shared" si="22"/>
        <v>支</v>
      </c>
      <c r="AI168" s="2">
        <f t="shared" si="23"/>
      </c>
      <c r="AJ168" s="2">
        <f t="shared" si="24"/>
        <v>0</v>
      </c>
      <c r="AK168" s="2">
        <f t="shared" si="25"/>
        <v>0</v>
      </c>
      <c r="AL168" s="2">
        <f t="shared" si="26"/>
        <v>70</v>
      </c>
      <c r="AM168" s="2">
        <f t="shared" si="27"/>
        <v>0</v>
      </c>
      <c r="AN168" s="2">
        <f t="shared" si="28"/>
        <v>46226</v>
      </c>
      <c r="AO168" s="2">
        <f t="shared" si="29"/>
      </c>
      <c r="AP168" s="2" t="str">
        <f t="shared" si="30"/>
        <v>叶焰平|2</v>
      </c>
      <c r="AQ168" s="2">
        <f t="shared" si="31"/>
      </c>
    </row>
    <row r="169">
      <c r="A169" s="43">
        <f t="shared" si="3"/>
        <v>164</v>
      </c>
      <c r="B169" s="44" t="n">
        <v>46227</v>
      </c>
      <c r="C169" s="45" t="inlineStr">
        <is>
          <t>九江银行</t>
        </is>
      </c>
      <c r="D169" s="46" t="inlineStr">
        <is>
          <t>（朱博文，姚俊强）社保费</t>
        </is>
      </c>
      <c r="E169" s="47" t="n"/>
      <c r="F169" s="47" t="n">
        <v>2008.42</v>
      </c>
      <c r="G169" s="48">
        <f t="shared" si="4"/>
        <v>346954.15</v>
      </c>
      <c r="H169" s="43">
        <f t="shared" si="0"/>
      </c>
      <c r="I169" s="43" t="str">
        <f t="shared" si="5"/>
        <v>社保费</v>
      </c>
      <c r="J169" s="43" t="str">
        <f t="shared" si="1"/>
        <v>姚俊强</v>
      </c>
      <c r="K169" s="49" t="str">
        <f t="shared" si="2"/>
        <v>√</v>
      </c>
      <c r="L169" s="45" t="n"/>
      <c r="M169" s="45" t="n"/>
      <c r="N169" s="45" t="n"/>
      <c r="O169" s="45" t="n"/>
      <c r="P169" s="50" t="n"/>
      <c r="R169" s="2">
        <f t="shared" si="6"/>
        <v>-2008.42</v>
      </c>
      <c r="S169" s="2">
        <f t="shared" si="7"/>
        <v>202607</v>
      </c>
      <c r="T169" s="2">
        <f t="shared" si="8"/>
      </c>
      <c r="U169" s="2" t="str">
        <f t="shared" si="9"/>
        <v>社保费</v>
      </c>
      <c r="V169" s="2" t="str">
        <f t="shared" si="10"/>
        <v>姚俊强</v>
      </c>
      <c r="W169" s="2" t="str">
        <f t="shared" si="11"/>
        <v>公司间接费</v>
      </c>
      <c r="X169" s="2" t="str">
        <f t="shared" si="12"/>
        <v>社保费</v>
      </c>
      <c r="Y169" s="2">
        <f t="shared" si="13"/>
        <v>0</v>
      </c>
      <c r="Z169" s="2" t="str">
        <f t="shared" si="14"/>
        <v>管理人员</v>
      </c>
      <c r="AA169" s="2">
        <f t="shared" si="15"/>
        <v>1</v>
      </c>
      <c r="AB169" s="2">
        <f t="shared" si="16"/>
      </c>
      <c r="AC169" s="2">
        <f t="shared" si="17"/>
      </c>
      <c r="AD169" s="2">
        <f t="shared" si="18"/>
      </c>
      <c r="AE169" s="2" t="str">
        <f t="shared" si="19"/>
        <v>银行</v>
      </c>
      <c r="AF169" s="2">
        <f t="shared" si="20"/>
      </c>
      <c r="AG169" s="2" t="str">
        <f t="shared" si="21"/>
        <v>社保费</v>
      </c>
      <c r="AH169" s="2" t="str">
        <f t="shared" si="22"/>
        <v>支</v>
      </c>
      <c r="AI169" s="2">
        <f t="shared" si="23"/>
      </c>
      <c r="AJ169" s="2">
        <f t="shared" si="24"/>
        <v>0</v>
      </c>
      <c r="AK169" s="2">
        <f t="shared" si="25"/>
        <v>0</v>
      </c>
      <c r="AL169" s="2">
        <f t="shared" si="26"/>
        <v>72</v>
      </c>
      <c r="AM169" s="2">
        <f t="shared" si="27"/>
        <v>0</v>
      </c>
      <c r="AN169" s="2">
        <f t="shared" si="28"/>
        <v>46227</v>
      </c>
      <c r="AO169" s="2">
        <f t="shared" si="29"/>
      </c>
      <c r="AP169" s="2" t="str">
        <f t="shared" si="30"/>
        <v>姚俊强|4</v>
      </c>
      <c r="AQ169" s="2">
        <f t="shared" si="31"/>
      </c>
    </row>
    <row r="170">
      <c r="A170" s="43">
        <f t="shared" si="3"/>
        <v>165</v>
      </c>
      <c r="B170" s="44" t="n">
        <v>46227</v>
      </c>
      <c r="C170" s="45" t="inlineStr">
        <is>
          <t>九江银行</t>
        </is>
      </c>
      <c r="D170" s="46" t="inlineStr">
        <is>
          <t>（朱博文，姚俊强）社保费</t>
        </is>
      </c>
      <c r="E170" s="47" t="n"/>
      <c r="F170" s="47" t="n">
        <v>30.54</v>
      </c>
      <c r="G170" s="48">
        <f t="shared" si="4"/>
        <v>346923.61</v>
      </c>
      <c r="H170" s="43">
        <f t="shared" si="0"/>
      </c>
      <c r="I170" s="43" t="str">
        <f t="shared" si="5"/>
        <v>社保费</v>
      </c>
      <c r="J170" s="43" t="str">
        <f t="shared" si="1"/>
        <v>姚俊强</v>
      </c>
      <c r="K170" s="49" t="str">
        <f t="shared" si="2"/>
        <v>√</v>
      </c>
      <c r="L170" s="45" t="n"/>
      <c r="M170" s="45" t="n"/>
      <c r="N170" s="45" t="n"/>
      <c r="O170" s="45" t="n"/>
      <c r="P170" s="50" t="n"/>
      <c r="R170" s="2">
        <f t="shared" si="6"/>
        <v>-30.54</v>
      </c>
      <c r="S170" s="2">
        <f t="shared" si="7"/>
        <v>202607</v>
      </c>
      <c r="T170" s="2">
        <f t="shared" si="8"/>
      </c>
      <c r="U170" s="2" t="str">
        <f t="shared" si="9"/>
        <v>社保费</v>
      </c>
      <c r="V170" s="2" t="str">
        <f t="shared" si="10"/>
        <v>姚俊强</v>
      </c>
      <c r="W170" s="2" t="str">
        <f t="shared" si="11"/>
        <v>公司间接费</v>
      </c>
      <c r="X170" s="2" t="str">
        <f t="shared" si="12"/>
        <v>社保费</v>
      </c>
      <c r="Y170" s="2">
        <f t="shared" si="13"/>
        <v>0</v>
      </c>
      <c r="Z170" s="2" t="str">
        <f t="shared" si="14"/>
        <v>管理人员</v>
      </c>
      <c r="AA170" s="2">
        <f t="shared" si="15"/>
        <v>1</v>
      </c>
      <c r="AB170" s="2">
        <f t="shared" si="16"/>
      </c>
      <c r="AC170" s="2">
        <f t="shared" si="17"/>
      </c>
      <c r="AD170" s="2">
        <f t="shared" si="18"/>
      </c>
      <c r="AE170" s="2" t="str">
        <f t="shared" si="19"/>
        <v>银行</v>
      </c>
      <c r="AF170" s="2">
        <f t="shared" si="20"/>
      </c>
      <c r="AG170" s="2" t="str">
        <f t="shared" si="21"/>
        <v>社保费</v>
      </c>
      <c r="AH170" s="2" t="str">
        <f t="shared" si="22"/>
        <v>支</v>
      </c>
      <c r="AI170" s="2">
        <f t="shared" si="23"/>
      </c>
      <c r="AJ170" s="2">
        <f t="shared" si="24"/>
        <v>0</v>
      </c>
      <c r="AK170" s="2">
        <f t="shared" si="25"/>
        <v>0</v>
      </c>
      <c r="AL170" s="2">
        <f t="shared" si="26"/>
        <v>72</v>
      </c>
      <c r="AM170" s="2">
        <f t="shared" si="27"/>
        <v>0</v>
      </c>
      <c r="AN170" s="2">
        <f t="shared" si="28"/>
        <v>46227</v>
      </c>
      <c r="AO170" s="2">
        <f t="shared" si="29"/>
      </c>
      <c r="AP170" s="2" t="str">
        <f t="shared" si="30"/>
        <v>姚俊强|4</v>
      </c>
      <c r="AQ170" s="2">
        <f t="shared" si="31"/>
      </c>
    </row>
    <row r="171">
      <c r="A171" s="43">
        <f t="shared" si="3"/>
        <v>166</v>
      </c>
      <c r="B171" s="44" t="n">
        <v>46227</v>
      </c>
      <c r="C171" s="45" t="inlineStr">
        <is>
          <t>九江银行</t>
        </is>
      </c>
      <c r="D171" s="46" t="inlineStr">
        <is>
          <t>还王伟2025年11月9日借款</t>
        </is>
      </c>
      <c r="E171" s="47" t="n"/>
      <c r="F171" s="47" t="n">
        <v>30000</v>
      </c>
      <c r="G171" s="48">
        <f t="shared" si="4"/>
        <v>316923.61</v>
      </c>
      <c r="H171" s="43">
        <f t="shared" si="0"/>
      </c>
      <c r="I171" s="43" t="str">
        <f t="shared" si="5"/>
        <v>账户互转</v>
      </c>
      <c r="J171" s="43" t="str">
        <f t="shared" si="1"/>
        <v>王伟</v>
      </c>
      <c r="K171" s="49" t="str">
        <f t="shared" si="2"/>
        <v>√</v>
      </c>
      <c r="L171" s="45" t="n"/>
      <c r="M171" s="45" t="n"/>
      <c r="N171" s="45" t="n"/>
      <c r="O171" s="45" t="n"/>
      <c r="P171" s="50" t="n"/>
      <c r="R171" s="2">
        <f t="shared" si="6"/>
        <v>-30000</v>
      </c>
      <c r="S171" s="2">
        <f t="shared" si="7"/>
        <v>202607</v>
      </c>
      <c r="T171" s="2">
        <f t="shared" si="8"/>
      </c>
      <c r="U171" s="2" t="str">
        <f t="shared" si="9"/>
        <v>账户互转</v>
      </c>
      <c r="V171" s="2" t="str">
        <f t="shared" si="10"/>
        <v>王伟</v>
      </c>
      <c r="W171" s="2" t="str">
        <f t="shared" si="11"/>
        <v>不进利润</v>
      </c>
      <c r="X171" s="2" t="str">
        <f t="shared" si="12"/>
        <v>账户互转</v>
      </c>
      <c r="Y171" s="2">
        <f t="shared" si="13"/>
        <v>0</v>
      </c>
      <c r="Z171" s="2" t="str">
        <f t="shared" si="14"/>
        <v>管理人员</v>
      </c>
      <c r="AA171" s="2">
        <f t="shared" si="15"/>
        <v>1</v>
      </c>
      <c r="AB171" s="2">
        <f t="shared" si="16"/>
      </c>
      <c r="AC171" s="2" t="str">
        <f t="shared" si="17"/>
        <v>王伟个人户</v>
      </c>
      <c r="AD171" s="2" t="str">
        <f t="shared" si="18"/>
        <v>王伟个人户</v>
      </c>
      <c r="AE171" s="2" t="str">
        <f t="shared" si="19"/>
        <v>银行</v>
      </c>
      <c r="AF171" s="2" t="str">
        <f t="shared" si="20"/>
        <v>个人户</v>
      </c>
      <c r="AG171" s="2" t="str">
        <f t="shared" si="21"/>
        <v>账户互转</v>
      </c>
      <c r="AH171" s="2" t="str">
        <f t="shared" si="22"/>
        <v>支</v>
      </c>
      <c r="AI171" s="2">
        <f t="shared" si="23"/>
      </c>
      <c r="AJ171" s="2">
        <f t="shared" si="24"/>
        <v>0</v>
      </c>
      <c r="AK171" s="2">
        <f t="shared" si="25"/>
        <v>0</v>
      </c>
      <c r="AL171" s="2">
        <f t="shared" si="26"/>
        <v>112</v>
      </c>
      <c r="AM171" s="2">
        <f t="shared" si="27"/>
        <v>0</v>
      </c>
      <c r="AN171" s="2">
        <f t="shared" si="28"/>
        <v>46227</v>
      </c>
      <c r="AO171" s="2">
        <f t="shared" si="29"/>
      </c>
      <c r="AP171" s="2" t="str">
        <f t="shared" si="30"/>
        <v>王伟|1</v>
      </c>
      <c r="AQ171" s="2">
        <f t="shared" si="31"/>
      </c>
    </row>
    <row r="172">
      <c r="A172" s="43">
        <f t="shared" si="3"/>
        <v>167</v>
      </c>
      <c r="B172" s="44" t="n">
        <v>46227</v>
      </c>
      <c r="C172" s="45" t="inlineStr">
        <is>
          <t>九江银行</t>
        </is>
      </c>
      <c r="D172" s="46" t="inlineStr">
        <is>
          <t>张滨工资</t>
        </is>
      </c>
      <c r="E172" s="47" t="n"/>
      <c r="F172" s="47" t="n">
        <v>5000</v>
      </c>
      <c r="G172" s="48">
        <f t="shared" si="4"/>
        <v>311923.61</v>
      </c>
      <c r="H172" s="43">
        <f t="shared" si="0"/>
      </c>
      <c r="I172" s="43" t="str">
        <f t="shared" si="5"/>
        <v>工资</v>
      </c>
      <c r="J172" s="43" t="str">
        <f t="shared" si="1"/>
        <v>张滨</v>
      </c>
      <c r="K172" s="49" t="str">
        <f t="shared" si="2"/>
        <v>√</v>
      </c>
      <c r="L172" s="45" t="n"/>
      <c r="M172" s="45" t="n"/>
      <c r="N172" s="45" t="n"/>
      <c r="O172" s="45" t="n"/>
      <c r="P172" s="50" t="n"/>
      <c r="R172" s="2">
        <f t="shared" si="6"/>
        <v>-5000</v>
      </c>
      <c r="S172" s="2">
        <f t="shared" si="7"/>
        <v>202607</v>
      </c>
      <c r="T172" s="2">
        <f t="shared" si="8"/>
      </c>
      <c r="U172" s="2" t="str">
        <f t="shared" si="9"/>
        <v>工资</v>
      </c>
      <c r="V172" s="2" t="str">
        <f t="shared" si="10"/>
        <v>张滨</v>
      </c>
      <c r="W172" s="2" t="str">
        <f t="shared" si="11"/>
        <v>不进利润</v>
      </c>
      <c r="X172" s="2" t="str">
        <f t="shared" si="12"/>
        <v>应付职工薪酬</v>
      </c>
      <c r="Y172" s="2">
        <f t="shared" si="13"/>
        <v>0</v>
      </c>
      <c r="Z172" s="2" t="str">
        <f t="shared" si="14"/>
        <v>管理人员</v>
      </c>
      <c r="AA172" s="2">
        <f t="shared" si="15"/>
        <v>1</v>
      </c>
      <c r="AB172" s="2">
        <f t="shared" si="16"/>
      </c>
      <c r="AC172" s="2">
        <f t="shared" si="17"/>
      </c>
      <c r="AD172" s="2">
        <f t="shared" si="18"/>
      </c>
      <c r="AE172" s="2" t="str">
        <f t="shared" si="19"/>
        <v>银行</v>
      </c>
      <c r="AF172" s="2">
        <f t="shared" si="20"/>
      </c>
      <c r="AG172" s="2" t="str">
        <f t="shared" si="21"/>
        <v>工资</v>
      </c>
      <c r="AH172" s="2" t="str">
        <f t="shared" si="22"/>
        <v>支</v>
      </c>
      <c r="AI172" s="2">
        <f t="shared" si="23"/>
      </c>
      <c r="AJ172" s="2">
        <f t="shared" si="24"/>
        <v>0</v>
      </c>
      <c r="AK172" s="2">
        <f t="shared" si="25"/>
        <v>0</v>
      </c>
      <c r="AL172" s="2">
        <f t="shared" si="26"/>
        <v>110</v>
      </c>
      <c r="AM172" s="2">
        <f t="shared" si="27"/>
        <v>0</v>
      </c>
      <c r="AN172" s="2">
        <f t="shared" si="28"/>
        <v>46227</v>
      </c>
      <c r="AO172" s="2">
        <f t="shared" si="29"/>
      </c>
      <c r="AP172" s="2" t="str">
        <f t="shared" si="30"/>
        <v>张滨|4</v>
      </c>
      <c r="AQ172" s="2">
        <f t="shared" si="31"/>
      </c>
    </row>
    <row r="173">
      <c r="A173" s="43">
        <f t="shared" si="3"/>
        <v>168</v>
      </c>
      <c r="B173" s="44" t="n">
        <v>46229</v>
      </c>
      <c r="C173" s="45" t="inlineStr">
        <is>
          <t>九江银行</t>
        </is>
      </c>
      <c r="D173" s="46" t="inlineStr">
        <is>
          <t>还聂辉2025年1月28日6万 还聂辉2025年11月2日1万</t>
        </is>
      </c>
      <c r="E173" s="47" t="n"/>
      <c r="F173" s="47" t="n">
        <v>70000</v>
      </c>
      <c r="G173" s="48">
        <f t="shared" si="4"/>
        <v>241923.61</v>
      </c>
      <c r="H173" s="43">
        <f t="shared" si="0"/>
      </c>
      <c r="I173" s="43" t="str">
        <f t="shared" si="5"/>
        <v>账户互转</v>
      </c>
      <c r="J173" s="43" t="str">
        <f t="shared" si="1"/>
        <v>聂辉</v>
      </c>
      <c r="K173" s="49" t="str">
        <f t="shared" si="2"/>
        <v>√</v>
      </c>
      <c r="L173" s="45" t="n"/>
      <c r="M173" s="45" t="n"/>
      <c r="N173" s="45" t="n"/>
      <c r="O173" s="45" t="n"/>
      <c r="P173" s="50" t="n"/>
      <c r="R173" s="2">
        <f t="shared" si="6"/>
        <v>-70000</v>
      </c>
      <c r="S173" s="2">
        <f t="shared" si="7"/>
        <v>202607</v>
      </c>
      <c r="T173" s="2">
        <f t="shared" si="8"/>
      </c>
      <c r="U173" s="2" t="str">
        <f t="shared" si="9"/>
        <v>账户互转</v>
      </c>
      <c r="V173" s="2" t="str">
        <f t="shared" si="10"/>
        <v>聂辉</v>
      </c>
      <c r="W173" s="2" t="str">
        <f t="shared" si="11"/>
        <v>不进利润</v>
      </c>
      <c r="X173" s="2" t="str">
        <f t="shared" si="12"/>
        <v>账户互转</v>
      </c>
      <c r="Y173" s="2">
        <f t="shared" si="13"/>
        <v>0</v>
      </c>
      <c r="Z173" s="2" t="str">
        <f t="shared" si="14"/>
        <v>管理人员</v>
      </c>
      <c r="AA173" s="2">
        <f t="shared" si="15"/>
        <v>1</v>
      </c>
      <c r="AB173" s="2">
        <f t="shared" si="16"/>
      </c>
      <c r="AC173" s="2" t="str">
        <f t="shared" si="17"/>
        <v>聂辉个人户</v>
      </c>
      <c r="AD173" s="2" t="str">
        <f t="shared" si="18"/>
        <v>聂辉个人户</v>
      </c>
      <c r="AE173" s="2" t="str">
        <f t="shared" si="19"/>
        <v>银行</v>
      </c>
      <c r="AF173" s="2" t="str">
        <f t="shared" si="20"/>
        <v>个人户</v>
      </c>
      <c r="AG173" s="2" t="str">
        <f t="shared" si="21"/>
        <v>账户互转</v>
      </c>
      <c r="AH173" s="2" t="str">
        <f t="shared" si="22"/>
        <v>支</v>
      </c>
      <c r="AI173" s="2">
        <f t="shared" si="23"/>
      </c>
      <c r="AJ173" s="2">
        <f t="shared" si="24"/>
        <v>0</v>
      </c>
      <c r="AK173" s="2">
        <f t="shared" si="25"/>
        <v>0</v>
      </c>
      <c r="AL173" s="2">
        <f t="shared" si="26"/>
        <v>111</v>
      </c>
      <c r="AM173" s="2">
        <f t="shared" si="27"/>
        <v>0</v>
      </c>
      <c r="AN173" s="2">
        <f t="shared" si="28"/>
        <v>46229</v>
      </c>
      <c r="AO173" s="2">
        <f t="shared" si="29"/>
      </c>
      <c r="AP173" s="2" t="str">
        <f t="shared" si="30"/>
        <v>聂辉|4</v>
      </c>
      <c r="AQ173" s="2">
        <f t="shared" si="31"/>
      </c>
    </row>
    <row r="174">
      <c r="A174" s="43">
        <f t="shared" si="3"/>
        <v>169</v>
      </c>
      <c r="B174" s="44" t="n">
        <v>46231</v>
      </c>
      <c r="C174" s="45" t="inlineStr">
        <is>
          <t>九江银行</t>
        </is>
      </c>
      <c r="D174" s="46" t="inlineStr">
        <is>
          <t>聂辉个人借款</t>
        </is>
      </c>
      <c r="E174" s="47" t="n">
        <v>60000</v>
      </c>
      <c r="F174" s="47" t="n"/>
      <c r="G174" s="48">
        <f t="shared" si="4"/>
        <v>301923.61</v>
      </c>
      <c r="H174" s="43">
        <f t="shared" si="0"/>
      </c>
      <c r="I174" s="43" t="str">
        <f t="shared" si="5"/>
        <v>账户互转</v>
      </c>
      <c r="J174" s="43" t="str">
        <f t="shared" si="1"/>
        <v>聂辉</v>
      </c>
      <c r="K174" s="49" t="str">
        <f t="shared" si="2"/>
        <v>√</v>
      </c>
      <c r="L174" s="45" t="n"/>
      <c r="M174" s="45" t="n"/>
      <c r="N174" s="45" t="n"/>
      <c r="O174" s="45" t="n"/>
      <c r="P174" s="50" t="n"/>
      <c r="R174" s="2">
        <f t="shared" si="6"/>
        <v>60000</v>
      </c>
      <c r="S174" s="2">
        <f t="shared" si="7"/>
        <v>202607</v>
      </c>
      <c r="T174" s="2">
        <f t="shared" si="8"/>
      </c>
      <c r="U174" s="2" t="str">
        <f t="shared" si="9"/>
        <v>账户互转</v>
      </c>
      <c r="V174" s="2" t="str">
        <f t="shared" si="10"/>
        <v>聂辉</v>
      </c>
      <c r="W174" s="2" t="str">
        <f t="shared" si="11"/>
        <v>不进利润</v>
      </c>
      <c r="X174" s="2" t="str">
        <f t="shared" si="12"/>
        <v>账户互转</v>
      </c>
      <c r="Y174" s="2">
        <f t="shared" si="13"/>
        <v>0</v>
      </c>
      <c r="Z174" s="2" t="str">
        <f t="shared" si="14"/>
        <v>管理人员</v>
      </c>
      <c r="AA174" s="2">
        <f t="shared" si="15"/>
        <v>1</v>
      </c>
      <c r="AB174" s="2">
        <f t="shared" si="16"/>
      </c>
      <c r="AC174" s="2" t="str">
        <f t="shared" si="17"/>
        <v>聂辉个人户</v>
      </c>
      <c r="AD174" s="2" t="str">
        <f t="shared" si="18"/>
        <v>聂辉个人户</v>
      </c>
      <c r="AE174" s="2" t="str">
        <f t="shared" si="19"/>
        <v>银行</v>
      </c>
      <c r="AF174" s="2" t="str">
        <f t="shared" si="20"/>
        <v>个人户</v>
      </c>
      <c r="AG174" s="2" t="str">
        <f t="shared" si="21"/>
        <v>账户互转</v>
      </c>
      <c r="AH174" s="2" t="str">
        <f t="shared" si="22"/>
        <v>收</v>
      </c>
      <c r="AI174" s="2">
        <f t="shared" si="23"/>
      </c>
      <c r="AJ174" s="2">
        <f t="shared" si="24"/>
        <v>0</v>
      </c>
      <c r="AK174" s="2">
        <f t="shared" si="25"/>
        <v>0</v>
      </c>
      <c r="AL174" s="2">
        <f t="shared" si="26"/>
        <v>111</v>
      </c>
      <c r="AM174" s="2">
        <f t="shared" si="27"/>
        <v>0</v>
      </c>
      <c r="AN174" s="2">
        <f t="shared" si="28"/>
        <v>46231</v>
      </c>
      <c r="AO174" s="2">
        <f t="shared" si="29"/>
      </c>
      <c r="AP174" s="2">
        <f t="shared" si="30"/>
      </c>
      <c r="AQ174" s="2">
        <f t="shared" si="31"/>
      </c>
    </row>
    <row r="175">
      <c r="A175" s="43">
        <f t="shared" si="3"/>
        <v>170</v>
      </c>
      <c r="B175" s="44" t="n">
        <v>46231</v>
      </c>
      <c r="C175" s="45" t="inlineStr">
        <is>
          <t>九江银行</t>
        </is>
      </c>
      <c r="D175" s="46" t="inlineStr">
        <is>
          <t>吴山政府项目材料费</t>
        </is>
      </c>
      <c r="E175" s="47" t="n"/>
      <c r="F175" s="47" t="n">
        <v>29040</v>
      </c>
      <c r="G175" s="48">
        <f t="shared" si="4"/>
        <v>272883.61</v>
      </c>
      <c r="H175" s="43" t="str">
        <f t="shared" si="0"/>
        <v>吴山政府项目</v>
      </c>
      <c r="I175" s="43" t="str">
        <f t="shared" si="5"/>
        <v>材料费</v>
      </c>
      <c r="J175" s="43">
        <f t="shared" si="1"/>
      </c>
      <c r="K175" s="49" t="str">
        <f t="shared" si="2"/>
        <v>√</v>
      </c>
      <c r="L175" s="45" t="n"/>
      <c r="M175" s="45" t="n"/>
      <c r="N175" s="45" t="n"/>
      <c r="O175" s="45" t="n"/>
      <c r="P175" s="50" t="n"/>
      <c r="R175" s="2">
        <f t="shared" si="6"/>
        <v>-29040</v>
      </c>
      <c r="S175" s="2">
        <f t="shared" si="7"/>
        <v>202607</v>
      </c>
      <c r="T175" s="2" t="str">
        <f t="shared" si="8"/>
        <v>吴山政府项目</v>
      </c>
      <c r="U175" s="2" t="str">
        <f t="shared" si="9"/>
        <v>材料费</v>
      </c>
      <c r="V175" s="2">
        <f t="shared" si="10"/>
      </c>
      <c r="W175" s="2" t="str">
        <f t="shared" si="11"/>
        <v>项目直接成本</v>
      </c>
      <c r="X175" s="2" t="str">
        <f t="shared" si="12"/>
        <v>材料费</v>
      </c>
      <c r="Y175" s="2">
        <f t="shared" si="13"/>
        <v>0</v>
      </c>
      <c r="Z175" s="2">
        <f t="shared" si="14"/>
      </c>
      <c r="AA175" s="2">
        <f t="shared" si="15"/>
        <v>0</v>
      </c>
      <c r="AB175" s="2">
        <f t="shared" si="16"/>
      </c>
      <c r="AC175" s="2">
        <f t="shared" si="17"/>
      </c>
      <c r="AD175" s="2">
        <f t="shared" si="18"/>
      </c>
      <c r="AE175" s="2" t="str">
        <f t="shared" si="19"/>
        <v>银行</v>
      </c>
      <c r="AF175" s="2">
        <f t="shared" si="20"/>
      </c>
      <c r="AG175" s="2" t="str">
        <f t="shared" si="21"/>
        <v>材料费</v>
      </c>
      <c r="AH175" s="2" t="str">
        <f t="shared" si="22"/>
        <v>支</v>
      </c>
      <c r="AI175" s="2" t="str">
        <f t="shared" si="23"/>
        <v>吴山政府项目</v>
      </c>
      <c r="AJ175" s="2">
        <f t="shared" si="24"/>
        <v>0</v>
      </c>
      <c r="AK175" s="2">
        <f t="shared" si="25"/>
        <v>4</v>
      </c>
      <c r="AL175" s="2">
        <f t="shared" si="26"/>
        <v>0</v>
      </c>
      <c r="AM175" s="2">
        <f t="shared" si="27"/>
        <v>0</v>
      </c>
      <c r="AN175" s="2">
        <f t="shared" si="28"/>
        <v>46231</v>
      </c>
      <c r="AO175" s="2">
        <f t="shared" si="29"/>
      </c>
      <c r="AP175" s="2">
        <f t="shared" si="30"/>
      </c>
      <c r="AQ175" s="2">
        <f t="shared" si="31"/>
      </c>
    </row>
    <row r="176">
      <c r="A176" s="43">
        <f t="shared" si="3"/>
        <v>171</v>
      </c>
      <c r="B176" s="44" t="n">
        <v>46231</v>
      </c>
      <c r="C176" s="45" t="inlineStr">
        <is>
          <t>九江银行</t>
        </is>
      </c>
      <c r="D176" s="46" t="inlineStr">
        <is>
          <t>吴山政府项目材料费</t>
        </is>
      </c>
      <c r="E176" s="47" t="n"/>
      <c r="F176" s="47" t="n">
        <v>27607.98</v>
      </c>
      <c r="G176" s="48">
        <f t="shared" si="4"/>
        <v>245275.63</v>
      </c>
      <c r="H176" s="43" t="str">
        <f t="shared" si="0"/>
        <v>吴山政府项目</v>
      </c>
      <c r="I176" s="43" t="str">
        <f t="shared" si="5"/>
        <v>材料费</v>
      </c>
      <c r="J176" s="43">
        <f t="shared" si="1"/>
      </c>
      <c r="K176" s="49" t="str">
        <f t="shared" si="2"/>
        <v>√</v>
      </c>
      <c r="L176" s="45" t="n"/>
      <c r="M176" s="45" t="n"/>
      <c r="N176" s="45" t="n"/>
      <c r="O176" s="45" t="n"/>
      <c r="P176" s="50" t="n"/>
      <c r="R176" s="2">
        <f t="shared" si="6"/>
        <v>-27607.98</v>
      </c>
      <c r="S176" s="2">
        <f t="shared" si="7"/>
        <v>202607</v>
      </c>
      <c r="T176" s="2" t="str">
        <f t="shared" si="8"/>
        <v>吴山政府项目</v>
      </c>
      <c r="U176" s="2" t="str">
        <f t="shared" si="9"/>
        <v>材料费</v>
      </c>
      <c r="V176" s="2">
        <f t="shared" si="10"/>
      </c>
      <c r="W176" s="2" t="str">
        <f t="shared" si="11"/>
        <v>项目直接成本</v>
      </c>
      <c r="X176" s="2" t="str">
        <f t="shared" si="12"/>
        <v>材料费</v>
      </c>
      <c r="Y176" s="2">
        <f t="shared" si="13"/>
        <v>0</v>
      </c>
      <c r="Z176" s="2">
        <f t="shared" si="14"/>
      </c>
      <c r="AA176" s="2">
        <f t="shared" si="15"/>
        <v>0</v>
      </c>
      <c r="AB176" s="2">
        <f t="shared" si="16"/>
      </c>
      <c r="AC176" s="2">
        <f t="shared" si="17"/>
      </c>
      <c r="AD176" s="2">
        <f t="shared" si="18"/>
      </c>
      <c r="AE176" s="2" t="str">
        <f t="shared" si="19"/>
        <v>银行</v>
      </c>
      <c r="AF176" s="2">
        <f t="shared" si="20"/>
      </c>
      <c r="AG176" s="2" t="str">
        <f t="shared" si="21"/>
        <v>材料费</v>
      </c>
      <c r="AH176" s="2" t="str">
        <f t="shared" si="22"/>
        <v>支</v>
      </c>
      <c r="AI176" s="2" t="str">
        <f t="shared" si="23"/>
        <v>吴山政府项目</v>
      </c>
      <c r="AJ176" s="2">
        <f t="shared" si="24"/>
        <v>0</v>
      </c>
      <c r="AK176" s="2">
        <f t="shared" si="25"/>
        <v>4</v>
      </c>
      <c r="AL176" s="2">
        <f t="shared" si="26"/>
        <v>0</v>
      </c>
      <c r="AM176" s="2">
        <f t="shared" si="27"/>
        <v>0</v>
      </c>
      <c r="AN176" s="2">
        <f t="shared" si="28"/>
        <v>46231</v>
      </c>
      <c r="AO176" s="2">
        <f t="shared" si="29"/>
      </c>
      <c r="AP176" s="2">
        <f t="shared" si="30"/>
      </c>
      <c r="AQ176" s="2">
        <f t="shared" si="31"/>
      </c>
    </row>
    <row r="177">
      <c r="A177" s="43">
        <f t="shared" si="3"/>
        <v>172</v>
      </c>
      <c r="B177" s="44" t="n">
        <v>46232</v>
      </c>
      <c r="C177" s="45" t="inlineStr">
        <is>
          <t>九江银行</t>
        </is>
      </c>
      <c r="D177" s="46" t="inlineStr">
        <is>
          <t>抚州8号楼工程款</t>
        </is>
      </c>
      <c r="E177" s="47" t="n">
        <v>54516.23</v>
      </c>
      <c r="F177" s="47" t="n"/>
      <c r="G177" s="48">
        <f t="shared" si="4"/>
        <v>299791.86</v>
      </c>
      <c r="H177" s="43" t="str">
        <f t="shared" si="0"/>
        <v>抚州8号楼</v>
      </c>
      <c r="I177" s="43" t="str">
        <f t="shared" si="5"/>
        <v>工程款</v>
      </c>
      <c r="J177" s="43">
        <f t="shared" si="1"/>
      </c>
      <c r="K177" s="49" t="str">
        <f t="shared" si="2"/>
        <v>√</v>
      </c>
      <c r="L177" s="45" t="n"/>
      <c r="M177" s="45" t="n"/>
      <c r="N177" s="45" t="n"/>
      <c r="O177" s="45" t="n"/>
      <c r="P177" s="50" t="n"/>
      <c r="R177" s="2">
        <f t="shared" si="6"/>
        <v>54516.23</v>
      </c>
      <c r="S177" s="2">
        <f t="shared" si="7"/>
        <v>202607</v>
      </c>
      <c r="T177" s="2" t="str">
        <f t="shared" si="8"/>
        <v>抚州8号楼</v>
      </c>
      <c r="U177" s="2" t="str">
        <f t="shared" si="9"/>
        <v>工程款</v>
      </c>
      <c r="V177" s="2">
        <f t="shared" si="10"/>
      </c>
      <c r="W177" s="2" t="str">
        <f t="shared" si="11"/>
        <v>不进利润</v>
      </c>
      <c r="X177" s="2" t="str">
        <f t="shared" si="12"/>
        <v>应收账款</v>
      </c>
      <c r="Y177" s="2">
        <f t="shared" si="13"/>
        <v>0</v>
      </c>
      <c r="Z177" s="2">
        <f t="shared" si="14"/>
      </c>
      <c r="AA177" s="2">
        <f t="shared" si="15"/>
        <v>0</v>
      </c>
      <c r="AB177" s="2">
        <f t="shared" si="16"/>
      </c>
      <c r="AC177" s="2">
        <f t="shared" si="17"/>
      </c>
      <c r="AD177" s="2">
        <f t="shared" si="18"/>
      </c>
      <c r="AE177" s="2" t="str">
        <f t="shared" si="19"/>
        <v>银行</v>
      </c>
      <c r="AF177" s="2">
        <f t="shared" si="20"/>
      </c>
      <c r="AG177" s="2" t="str">
        <f t="shared" si="21"/>
        <v>工程款</v>
      </c>
      <c r="AH177" s="2" t="str">
        <f t="shared" si="22"/>
        <v>收</v>
      </c>
      <c r="AI177" s="2" t="str">
        <f t="shared" si="23"/>
        <v>抚州8号楼</v>
      </c>
      <c r="AJ177" s="2">
        <f t="shared" si="24"/>
        <v>0</v>
      </c>
      <c r="AK177" s="2">
        <f t="shared" si="25"/>
        <v>9</v>
      </c>
      <c r="AL177" s="2">
        <f t="shared" si="26"/>
        <v>0</v>
      </c>
      <c r="AM177" s="2">
        <f t="shared" si="27"/>
        <v>0</v>
      </c>
      <c r="AN177" s="2">
        <f t="shared" si="28"/>
        <v>46232</v>
      </c>
      <c r="AO177" s="2" t="str">
        <f t="shared" si="29"/>
        <v>抚州8号楼|1</v>
      </c>
      <c r="AP177" s="2">
        <f t="shared" si="30"/>
      </c>
      <c r="AQ177" s="2">
        <f t="shared" si="31"/>
      </c>
    </row>
    <row r="178">
      <c r="A178" s="43">
        <f t="shared" si="3"/>
        <v>173</v>
      </c>
      <c r="B178" s="44" t="n">
        <v>46232</v>
      </c>
      <c r="C178" s="45" t="inlineStr">
        <is>
          <t>九江银行</t>
        </is>
      </c>
      <c r="D178" s="46" t="inlineStr">
        <is>
          <t>德养消防检测报告</t>
        </is>
      </c>
      <c r="E178" s="47" t="n"/>
      <c r="F178" s="47" t="n">
        <v>8000</v>
      </c>
      <c r="G178" s="48">
        <f t="shared" si="4"/>
        <v>291791.86</v>
      </c>
      <c r="H178" s="43" t="str">
        <f t="shared" si="0"/>
        <v>德安养老中心</v>
      </c>
      <c r="I178" s="43" t="str">
        <f t="shared" si="5"/>
        <v>其他直接费</v>
      </c>
      <c r="J178" s="43">
        <f t="shared" si="1"/>
      </c>
      <c r="K178" s="49" t="str">
        <f t="shared" si="2"/>
        <v>√</v>
      </c>
      <c r="L178" s="45" t="n"/>
      <c r="M178" s="45" t="n"/>
      <c r="N178" s="45" t="n"/>
      <c r="O178" s="45" t="n"/>
      <c r="P178" s="50" t="n"/>
      <c r="R178" s="2">
        <f t="shared" si="6"/>
        <v>-8000</v>
      </c>
      <c r="S178" s="2">
        <f t="shared" si="7"/>
        <v>202607</v>
      </c>
      <c r="T178" s="2" t="str">
        <f t="shared" si="8"/>
        <v>德安养老中心</v>
      </c>
      <c r="U178" s="2" t="str">
        <f t="shared" si="9"/>
        <v>其他直接费</v>
      </c>
      <c r="V178" s="2">
        <f t="shared" si="10"/>
      </c>
      <c r="W178" s="2" t="str">
        <f t="shared" si="11"/>
        <v>项目直接成本</v>
      </c>
      <c r="X178" s="2" t="str">
        <f t="shared" si="12"/>
        <v>其他直接费</v>
      </c>
      <c r="Y178" s="2">
        <f t="shared" si="13"/>
        <v>0</v>
      </c>
      <c r="Z178" s="2">
        <f t="shared" si="14"/>
      </c>
      <c r="AA178" s="2">
        <f t="shared" si="15"/>
        <v>0</v>
      </c>
      <c r="AB178" s="2">
        <f t="shared" si="16"/>
      </c>
      <c r="AC178" s="2">
        <f t="shared" si="17"/>
      </c>
      <c r="AD178" s="2">
        <f t="shared" si="18"/>
      </c>
      <c r="AE178" s="2" t="str">
        <f t="shared" si="19"/>
        <v>银行</v>
      </c>
      <c r="AF178" s="2">
        <f t="shared" si="20"/>
      </c>
      <c r="AG178" s="2" t="str">
        <f t="shared" si="21"/>
        <v>其他直接费</v>
      </c>
      <c r="AH178" s="2" t="str">
        <f t="shared" si="22"/>
        <v>支</v>
      </c>
      <c r="AI178" s="2" t="str">
        <f t="shared" si="23"/>
        <v>德养</v>
      </c>
      <c r="AJ178" s="2">
        <f t="shared" si="24"/>
        <v>0</v>
      </c>
      <c r="AK178" s="2">
        <f t="shared" si="25"/>
        <v>28</v>
      </c>
      <c r="AL178" s="2">
        <f t="shared" si="26"/>
        <v>0</v>
      </c>
      <c r="AM178" s="2">
        <f t="shared" si="27"/>
        <v>0</v>
      </c>
      <c r="AN178" s="2">
        <f t="shared" si="28"/>
        <v>46232</v>
      </c>
      <c r="AO178" s="2">
        <f t="shared" si="29"/>
      </c>
      <c r="AP178" s="2">
        <f t="shared" si="30"/>
      </c>
      <c r="AQ178" s="2">
        <f t="shared" si="31"/>
      </c>
    </row>
    <row r="179">
      <c r="A179" s="43">
        <f t="shared" si="3"/>
        <v>174</v>
      </c>
      <c r="B179" s="44" t="n">
        <v>46234</v>
      </c>
      <c r="C179" s="45" t="inlineStr">
        <is>
          <t>九江银行</t>
        </is>
      </c>
      <c r="D179" s="46" t="inlineStr">
        <is>
          <t>科创中心挖机费</t>
        </is>
      </c>
      <c r="E179" s="47" t="n"/>
      <c r="F179" s="47" t="n">
        <v>8000</v>
      </c>
      <c r="G179" s="48">
        <f t="shared" si="4"/>
        <v>283791.86</v>
      </c>
      <c r="H179" s="43" t="str">
        <f t="shared" si="0"/>
        <v>科创中心</v>
      </c>
      <c r="I179" s="43" t="str">
        <f t="shared" si="5"/>
        <v>机械运输费</v>
      </c>
      <c r="J179" s="43">
        <f t="shared" si="1"/>
      </c>
      <c r="K179" s="49" t="str">
        <f t="shared" si="2"/>
        <v>√</v>
      </c>
      <c r="L179" s="45" t="n"/>
      <c r="M179" s="45" t="n"/>
      <c r="N179" s="45" t="n"/>
      <c r="O179" s="45" t="n"/>
      <c r="P179" s="50" t="n"/>
      <c r="R179" s="2">
        <f t="shared" si="6"/>
        <v>-8000</v>
      </c>
      <c r="S179" s="2">
        <f t="shared" si="7"/>
        <v>202607</v>
      </c>
      <c r="T179" s="2" t="str">
        <f t="shared" si="8"/>
        <v>科创中心</v>
      </c>
      <c r="U179" s="2" t="str">
        <f t="shared" si="9"/>
        <v>机械运输费</v>
      </c>
      <c r="V179" s="2">
        <f t="shared" si="10"/>
      </c>
      <c r="W179" s="2" t="str">
        <f t="shared" si="11"/>
        <v>项目直接成本</v>
      </c>
      <c r="X179" s="2" t="str">
        <f t="shared" si="12"/>
        <v>机械运输费</v>
      </c>
      <c r="Y179" s="2">
        <f t="shared" si="13"/>
        <v>0</v>
      </c>
      <c r="Z179" s="2">
        <f t="shared" si="14"/>
      </c>
      <c r="AA179" s="2">
        <f t="shared" si="15"/>
        <v>0</v>
      </c>
      <c r="AB179" s="2">
        <f t="shared" si="16"/>
      </c>
      <c r="AC179" s="2">
        <f t="shared" si="17"/>
      </c>
      <c r="AD179" s="2">
        <f t="shared" si="18"/>
      </c>
      <c r="AE179" s="2" t="str">
        <f t="shared" si="19"/>
        <v>银行</v>
      </c>
      <c r="AF179" s="2">
        <f t="shared" si="20"/>
      </c>
      <c r="AG179" s="2" t="str">
        <f t="shared" si="21"/>
        <v>机械运输费</v>
      </c>
      <c r="AH179" s="2" t="str">
        <f t="shared" si="22"/>
        <v>支</v>
      </c>
      <c r="AI179" s="2" t="str">
        <f t="shared" si="23"/>
        <v>科创中心</v>
      </c>
      <c r="AJ179" s="2">
        <f t="shared" si="24"/>
        <v>0</v>
      </c>
      <c r="AK179" s="2">
        <f t="shared" si="25"/>
        <v>14</v>
      </c>
      <c r="AL179" s="2">
        <f t="shared" si="26"/>
        <v>0</v>
      </c>
      <c r="AM179" s="2">
        <f t="shared" si="27"/>
        <v>0</v>
      </c>
      <c r="AN179" s="2">
        <f t="shared" si="28"/>
        <v>46234</v>
      </c>
      <c r="AO179" s="2">
        <f t="shared" si="29"/>
      </c>
      <c r="AP179" s="2">
        <f t="shared" si="30"/>
      </c>
      <c r="AQ179" s="2">
        <f t="shared" si="31"/>
      </c>
    </row>
    <row r="180">
      <c r="A180" s="43">
        <f t="shared" si="3"/>
        <v>175</v>
      </c>
      <c r="B180" s="44" t="n">
        <v>46234</v>
      </c>
      <c r="C180" s="45" t="inlineStr">
        <is>
          <t>九江银行</t>
        </is>
      </c>
      <c r="D180" s="46" t="inlineStr">
        <is>
          <t>科创中心挖机费</t>
        </is>
      </c>
      <c r="E180" s="47" t="n">
        <v>8000</v>
      </c>
      <c r="F180" s="47" t="n"/>
      <c r="G180" s="48">
        <f t="shared" si="4"/>
        <v>291791.86</v>
      </c>
      <c r="H180" s="43" t="str">
        <f t="shared" si="0"/>
        <v>科创中心</v>
      </c>
      <c r="I180" s="43" t="str">
        <f t="shared" si="5"/>
        <v>机械运输费</v>
      </c>
      <c r="J180" s="43">
        <f t="shared" si="1"/>
      </c>
      <c r="K180" s="49" t="str">
        <f t="shared" si="2"/>
        <v>√</v>
      </c>
      <c r="L180" s="45" t="n"/>
      <c r="M180" s="45" t="n"/>
      <c r="N180" s="45" t="n"/>
      <c r="O180" s="45" t="n"/>
      <c r="P180" s="50" t="n"/>
      <c r="R180" s="2">
        <f t="shared" si="6"/>
        <v>8000</v>
      </c>
      <c r="S180" s="2">
        <f t="shared" si="7"/>
        <v>202607</v>
      </c>
      <c r="T180" s="2" t="str">
        <f t="shared" si="8"/>
        <v>科创中心</v>
      </c>
      <c r="U180" s="2" t="str">
        <f t="shared" si="9"/>
        <v>机械运输费</v>
      </c>
      <c r="V180" s="2">
        <f t="shared" si="10"/>
      </c>
      <c r="W180" s="2" t="str">
        <f t="shared" si="11"/>
        <v>项目直接成本</v>
      </c>
      <c r="X180" s="2" t="str">
        <f t="shared" si="12"/>
        <v>机械运输费</v>
      </c>
      <c r="Y180" s="2">
        <f t="shared" si="13"/>
        <v>0</v>
      </c>
      <c r="Z180" s="2">
        <f t="shared" si="14"/>
      </c>
      <c r="AA180" s="2">
        <f t="shared" si="15"/>
        <v>0</v>
      </c>
      <c r="AB180" s="2">
        <f t="shared" si="16"/>
      </c>
      <c r="AC180" s="2">
        <f t="shared" si="17"/>
      </c>
      <c r="AD180" s="2">
        <f t="shared" si="18"/>
      </c>
      <c r="AE180" s="2" t="str">
        <f t="shared" si="19"/>
        <v>银行</v>
      </c>
      <c r="AF180" s="2">
        <f t="shared" si="20"/>
      </c>
      <c r="AG180" s="2" t="str">
        <f t="shared" si="21"/>
        <v>机械运输费</v>
      </c>
      <c r="AH180" s="2" t="str">
        <f t="shared" si="22"/>
        <v>支</v>
      </c>
      <c r="AI180" s="2" t="str">
        <f t="shared" si="23"/>
        <v>科创中心</v>
      </c>
      <c r="AJ180" s="2">
        <f t="shared" si="24"/>
        <v>0</v>
      </c>
      <c r="AK180" s="2">
        <f t="shared" si="25"/>
        <v>14</v>
      </c>
      <c r="AL180" s="2">
        <f t="shared" si="26"/>
        <v>0</v>
      </c>
      <c r="AM180" s="2">
        <f t="shared" si="27"/>
        <v>0</v>
      </c>
      <c r="AN180" s="2">
        <f t="shared" si="28"/>
        <v>46234</v>
      </c>
      <c r="AO180" s="2">
        <f t="shared" si="29"/>
      </c>
      <c r="AP180" s="2">
        <f t="shared" si="30"/>
      </c>
      <c r="AQ180" s="2">
        <f t="shared" si="31"/>
      </c>
    </row>
    <row r="181">
      <c r="A181" s="43">
        <f t="shared" si="3"/>
        <v>176</v>
      </c>
      <c r="B181" s="44" t="n">
        <v>46234</v>
      </c>
      <c r="C181" s="45" t="inlineStr">
        <is>
          <t>九江银行</t>
        </is>
      </c>
      <c r="D181" s="46" t="inlineStr">
        <is>
          <t>科创中心挖机费</t>
        </is>
      </c>
      <c r="E181" s="47" t="n"/>
      <c r="F181" s="47" t="n">
        <v>8000</v>
      </c>
      <c r="G181" s="48">
        <f t="shared" si="4"/>
        <v>283791.86</v>
      </c>
      <c r="H181" s="43" t="str">
        <f t="shared" si="0"/>
        <v>科创中心</v>
      </c>
      <c r="I181" s="43" t="str">
        <f t="shared" si="5"/>
        <v>机械运输费</v>
      </c>
      <c r="J181" s="43">
        <f t="shared" si="1"/>
      </c>
      <c r="K181" s="49" t="str">
        <f t="shared" si="2"/>
        <v>√</v>
      </c>
      <c r="L181" s="45" t="n"/>
      <c r="M181" s="45" t="n"/>
      <c r="N181" s="45" t="n"/>
      <c r="O181" s="45" t="n"/>
      <c r="P181" s="50" t="n"/>
      <c r="R181" s="2">
        <f t="shared" si="6"/>
        <v>-8000</v>
      </c>
      <c r="S181" s="2">
        <f t="shared" si="7"/>
        <v>202607</v>
      </c>
      <c r="T181" s="2" t="str">
        <f t="shared" si="8"/>
        <v>科创中心</v>
      </c>
      <c r="U181" s="2" t="str">
        <f t="shared" si="9"/>
        <v>机械运输费</v>
      </c>
      <c r="V181" s="2">
        <f t="shared" si="10"/>
      </c>
      <c r="W181" s="2" t="str">
        <f t="shared" si="11"/>
        <v>项目直接成本</v>
      </c>
      <c r="X181" s="2" t="str">
        <f t="shared" si="12"/>
        <v>机械运输费</v>
      </c>
      <c r="Y181" s="2">
        <f t="shared" si="13"/>
        <v>0</v>
      </c>
      <c r="Z181" s="2">
        <f t="shared" si="14"/>
      </c>
      <c r="AA181" s="2">
        <f t="shared" si="15"/>
        <v>0</v>
      </c>
      <c r="AB181" s="2">
        <f t="shared" si="16"/>
      </c>
      <c r="AC181" s="2">
        <f t="shared" si="17"/>
      </c>
      <c r="AD181" s="2">
        <f t="shared" si="18"/>
      </c>
      <c r="AE181" s="2" t="str">
        <f t="shared" si="19"/>
        <v>银行</v>
      </c>
      <c r="AF181" s="2">
        <f t="shared" si="20"/>
      </c>
      <c r="AG181" s="2" t="str">
        <f t="shared" si="21"/>
        <v>机械运输费</v>
      </c>
      <c r="AH181" s="2" t="str">
        <f t="shared" si="22"/>
        <v>支</v>
      </c>
      <c r="AI181" s="2" t="str">
        <f t="shared" si="23"/>
        <v>科创中心</v>
      </c>
      <c r="AJ181" s="2">
        <f t="shared" si="24"/>
        <v>0</v>
      </c>
      <c r="AK181" s="2">
        <f t="shared" si="25"/>
        <v>14</v>
      </c>
      <c r="AL181" s="2">
        <f t="shared" si="26"/>
        <v>0</v>
      </c>
      <c r="AM181" s="2">
        <f t="shared" si="27"/>
        <v>0</v>
      </c>
      <c r="AN181" s="2">
        <f t="shared" si="28"/>
        <v>46234</v>
      </c>
      <c r="AO181" s="2">
        <f t="shared" si="29"/>
      </c>
      <c r="AP181" s="2">
        <f t="shared" si="30"/>
      </c>
      <c r="AQ181" s="2">
        <f t="shared" si="31"/>
      </c>
    </row>
    <row r="182">
      <c r="A182" s="43">
        <f t="shared" si="3"/>
        <v>177</v>
      </c>
      <c r="B182" s="44" t="n">
        <v>46234</v>
      </c>
      <c r="C182" s="45" t="inlineStr">
        <is>
          <t>九江银行</t>
        </is>
      </c>
      <c r="D182" s="46" t="inlineStr">
        <is>
          <t>邹桥派出所屋面保温棉搬运费 张洪林（已扣80个税）</t>
        </is>
      </c>
      <c r="E182" s="47" t="n"/>
      <c r="F182" s="47" t="n">
        <v>1120</v>
      </c>
      <c r="G182" s="48">
        <f t="shared" si="4"/>
        <v>282671.86</v>
      </c>
      <c r="H182" s="43" t="str">
        <f t="shared" si="0"/>
        <v>邹桥派出所</v>
      </c>
      <c r="I182" s="43" t="str">
        <f t="shared" si="5"/>
        <v>工资</v>
      </c>
      <c r="J182" s="43" t="str">
        <f t="shared" si="1"/>
        <v>张洪林</v>
      </c>
      <c r="K182" s="49" t="str">
        <f t="shared" si="2"/>
        <v>√</v>
      </c>
      <c r="L182" s="45" t="n"/>
      <c r="M182" s="45" t="inlineStr">
        <is>
          <t>工资</t>
        </is>
      </c>
      <c r="N182" s="45" t="inlineStr">
        <is>
          <t>张洪林</t>
        </is>
      </c>
      <c r="O182" s="45" t="n"/>
      <c r="P182" s="50" t="n"/>
      <c r="R182" s="2">
        <f t="shared" si="6"/>
        <v>-1120</v>
      </c>
      <c r="S182" s="2">
        <f t="shared" si="7"/>
        <v>202607</v>
      </c>
      <c r="T182" s="2" t="str">
        <f t="shared" si="8"/>
        <v>邹桥派出所</v>
      </c>
      <c r="U182" s="2" t="str">
        <f t="shared" si="9"/>
        <v>机械运输费</v>
      </c>
      <c r="V182" s="2" t="str">
        <f t="shared" si="10"/>
        <v>张洪林</v>
      </c>
      <c r="W182" s="2" t="str">
        <f t="shared" si="11"/>
        <v>不进利润</v>
      </c>
      <c r="X182" s="2" t="str">
        <f t="shared" si="12"/>
        <v>应付职工薪酬</v>
      </c>
      <c r="Y182" s="2">
        <f t="shared" si="13"/>
        <v>0</v>
      </c>
      <c r="Z182" s="2" t="str">
        <f t="shared" si="14"/>
        <v>工人</v>
      </c>
      <c r="AA182" s="2">
        <f t="shared" si="15"/>
        <v>1</v>
      </c>
      <c r="AB182" s="2">
        <f t="shared" si="16"/>
      </c>
      <c r="AC182" s="2">
        <f t="shared" si="17"/>
      </c>
      <c r="AD182" s="2">
        <f t="shared" si="18"/>
      </c>
      <c r="AE182" s="2" t="str">
        <f t="shared" si="19"/>
        <v>银行</v>
      </c>
      <c r="AF182" s="2">
        <f t="shared" si="20"/>
      </c>
      <c r="AG182" s="2" t="str">
        <f t="shared" si="21"/>
        <v>机械运输费</v>
      </c>
      <c r="AH182" s="2" t="str">
        <f t="shared" si="22"/>
        <v>支</v>
      </c>
      <c r="AI182" s="2" t="str">
        <f t="shared" si="23"/>
        <v>邹桥派出所</v>
      </c>
      <c r="AJ182" s="2">
        <f t="shared" si="24"/>
        <v>0</v>
      </c>
      <c r="AK182" s="2">
        <f t="shared" si="25"/>
        <v>7</v>
      </c>
      <c r="AL182" s="2">
        <f t="shared" si="26"/>
        <v>81</v>
      </c>
      <c r="AM182" s="2">
        <f t="shared" si="27"/>
        <v>0</v>
      </c>
      <c r="AN182" s="2">
        <f t="shared" si="28"/>
        <v>46234</v>
      </c>
      <c r="AO182" s="2">
        <f t="shared" si="29"/>
      </c>
      <c r="AP182" s="2" t="str">
        <f t="shared" si="30"/>
        <v>张洪林|1</v>
      </c>
      <c r="AQ182" s="2">
        <f t="shared" si="31"/>
      </c>
    </row>
    <row r="183">
      <c r="A183" s="43">
        <f t="shared" si="3"/>
        <v>178</v>
      </c>
      <c r="B183" s="44" t="n">
        <v>46234</v>
      </c>
      <c r="C183" s="45" t="inlineStr">
        <is>
          <t>九江银行</t>
        </is>
      </c>
      <c r="D183" s="46" t="inlineStr">
        <is>
          <t>茶叶款（陈先琴）</t>
        </is>
      </c>
      <c r="E183" s="47" t="n"/>
      <c r="F183" s="47" t="n">
        <v>950</v>
      </c>
      <c r="G183" s="48">
        <f t="shared" si="4"/>
        <v>281721.86</v>
      </c>
      <c r="H183" s="43">
        <f t="shared" si="0"/>
      </c>
      <c r="I183" s="43" t="str">
        <f t="shared" si="5"/>
        <v>业务招待费</v>
      </c>
      <c r="J183" s="43">
        <f t="shared" si="1"/>
      </c>
      <c r="K183" s="49" t="str">
        <f t="shared" si="2"/>
        <v>√</v>
      </c>
      <c r="L183" s="45" t="n"/>
      <c r="M183" s="45" t="n"/>
      <c r="N183" s="45" t="n"/>
      <c r="O183" s="45" t="n"/>
      <c r="P183" s="50" t="n"/>
      <c r="R183" s="2">
        <f t="shared" si="6"/>
        <v>-950</v>
      </c>
      <c r="S183" s="2">
        <f t="shared" si="7"/>
        <v>202607</v>
      </c>
      <c r="T183" s="2">
        <f t="shared" si="8"/>
      </c>
      <c r="U183" s="2" t="str">
        <f t="shared" si="9"/>
        <v>业务招待费</v>
      </c>
      <c r="V183" s="2">
        <f t="shared" si="10"/>
      </c>
      <c r="W183" s="2" t="str">
        <f t="shared" si="11"/>
        <v>公司间接费</v>
      </c>
      <c r="X183" s="2" t="str">
        <f t="shared" si="12"/>
        <v>业务招待费</v>
      </c>
      <c r="Y183" s="2">
        <f t="shared" si="13"/>
        <v>0</v>
      </c>
      <c r="Z183" s="2">
        <f t="shared" si="14"/>
      </c>
      <c r="AA183" s="2">
        <f t="shared" si="15"/>
        <v>0</v>
      </c>
      <c r="AB183" s="2">
        <f t="shared" si="16"/>
      </c>
      <c r="AC183" s="2">
        <f t="shared" si="17"/>
      </c>
      <c r="AD183" s="2">
        <f t="shared" si="18"/>
      </c>
      <c r="AE183" s="2" t="str">
        <f t="shared" si="19"/>
        <v>银行</v>
      </c>
      <c r="AF183" s="2">
        <f t="shared" si="20"/>
      </c>
      <c r="AG183" s="2" t="str">
        <f t="shared" si="21"/>
        <v>业务招待费</v>
      </c>
      <c r="AH183" s="2" t="str">
        <f t="shared" si="22"/>
        <v>支</v>
      </c>
      <c r="AI183" s="2">
        <f t="shared" si="23"/>
      </c>
      <c r="AJ183" s="2">
        <f t="shared" si="24"/>
        <v>0</v>
      </c>
      <c r="AK183" s="2">
        <f t="shared" si="25"/>
        <v>0</v>
      </c>
      <c r="AL183" s="2">
        <f t="shared" si="26"/>
        <v>0</v>
      </c>
      <c r="AM183" s="2">
        <f t="shared" si="27"/>
        <v>0</v>
      </c>
      <c r="AN183" s="2">
        <f t="shared" si="28"/>
        <v>46234</v>
      </c>
      <c r="AO183" s="2">
        <f t="shared" si="29"/>
      </c>
      <c r="AP183" s="2">
        <f t="shared" si="30"/>
      </c>
      <c r="AQ183" s="2">
        <f t="shared" si="31"/>
      </c>
    </row>
    <row r="184">
      <c r="A184" s="43">
        <f t="shared" si="3"/>
        <v>179</v>
      </c>
      <c r="B184" s="44" t="n">
        <v>46234</v>
      </c>
      <c r="C184" s="45" t="inlineStr">
        <is>
          <t>九江银行</t>
        </is>
      </c>
      <c r="D184" s="46" t="inlineStr">
        <is>
          <t>雷友才工资</t>
        </is>
      </c>
      <c r="E184" s="47" t="n"/>
      <c r="F184" s="47" t="n">
        <v>2000</v>
      </c>
      <c r="G184" s="48">
        <f t="shared" si="4"/>
        <v>279721.86</v>
      </c>
      <c r="H184" s="43">
        <f t="shared" si="0"/>
      </c>
      <c r="I184" s="43" t="str">
        <f t="shared" si="5"/>
        <v>工资</v>
      </c>
      <c r="J184" s="43" t="str">
        <f t="shared" si="1"/>
        <v>雷友才</v>
      </c>
      <c r="K184" s="49" t="str">
        <f t="shared" si="2"/>
        <v>√</v>
      </c>
      <c r="L184" s="45" t="n"/>
      <c r="M184" s="45" t="n"/>
      <c r="N184" s="45" t="n"/>
      <c r="O184" s="45" t="n"/>
      <c r="P184" s="50" t="n"/>
      <c r="R184" s="2">
        <f t="shared" si="6"/>
        <v>-2000</v>
      </c>
      <c r="S184" s="2">
        <f t="shared" si="7"/>
        <v>202607</v>
      </c>
      <c r="T184" s="2">
        <f t="shared" si="8"/>
      </c>
      <c r="U184" s="2" t="str">
        <f t="shared" si="9"/>
        <v>工资</v>
      </c>
      <c r="V184" s="2" t="str">
        <f t="shared" si="10"/>
        <v>雷友才</v>
      </c>
      <c r="W184" s="2" t="str">
        <f t="shared" si="11"/>
        <v>不进利润</v>
      </c>
      <c r="X184" s="2" t="str">
        <f t="shared" si="12"/>
        <v>应付职工薪酬</v>
      </c>
      <c r="Y184" s="2">
        <f t="shared" si="13"/>
        <v>0</v>
      </c>
      <c r="Z184" s="2" t="str">
        <f t="shared" si="14"/>
        <v>工人</v>
      </c>
      <c r="AA184" s="2">
        <f t="shared" si="15"/>
        <v>1</v>
      </c>
      <c r="AB184" s="2">
        <f t="shared" si="16"/>
      </c>
      <c r="AC184" s="2">
        <f t="shared" si="17"/>
      </c>
      <c r="AD184" s="2">
        <f t="shared" si="18"/>
      </c>
      <c r="AE184" s="2" t="str">
        <f t="shared" si="19"/>
        <v>银行</v>
      </c>
      <c r="AF184" s="2">
        <f t="shared" si="20"/>
      </c>
      <c r="AG184" s="2" t="str">
        <f t="shared" si="21"/>
        <v>工资</v>
      </c>
      <c r="AH184" s="2" t="str">
        <f t="shared" si="22"/>
        <v>支</v>
      </c>
      <c r="AI184" s="2">
        <f t="shared" si="23"/>
      </c>
      <c r="AJ184" s="2">
        <f t="shared" si="24"/>
        <v>0</v>
      </c>
      <c r="AK184" s="2">
        <f t="shared" si="25"/>
        <v>0</v>
      </c>
      <c r="AL184" s="2">
        <f t="shared" si="26"/>
        <v>79</v>
      </c>
      <c r="AM184" s="2">
        <f t="shared" si="27"/>
        <v>0</v>
      </c>
      <c r="AN184" s="2">
        <f t="shared" si="28"/>
        <v>46234</v>
      </c>
      <c r="AO184" s="2">
        <f t="shared" si="29"/>
      </c>
      <c r="AP184" s="2" t="str">
        <f t="shared" si="30"/>
        <v>雷友才|1</v>
      </c>
      <c r="AQ184" s="2">
        <f t="shared" si="31"/>
      </c>
    </row>
    <row r="185">
      <c r="A185" s="43">
        <f t="shared" si="3"/>
        <v>180</v>
      </c>
      <c r="B185" s="44" t="n">
        <v>46234</v>
      </c>
      <c r="C185" s="45" t="inlineStr">
        <is>
          <t>九江银行</t>
        </is>
      </c>
      <c r="D185" s="46" t="inlineStr">
        <is>
          <t>还聂辉个人借款</t>
        </is>
      </c>
      <c r="E185" s="47" t="n"/>
      <c r="F185" s="47" t="n">
        <v>40000</v>
      </c>
      <c r="G185" s="48">
        <f t="shared" si="4"/>
        <v>239721.86</v>
      </c>
      <c r="H185" s="43">
        <f t="shared" si="0"/>
      </c>
      <c r="I185" s="43" t="str">
        <f t="shared" si="5"/>
        <v>账户互转</v>
      </c>
      <c r="J185" s="43" t="str">
        <f t="shared" si="1"/>
        <v>聂辉</v>
      </c>
      <c r="K185" s="49" t="str">
        <f t="shared" si="2"/>
        <v>√</v>
      </c>
      <c r="L185" s="45" t="n"/>
      <c r="M185" s="45" t="n"/>
      <c r="N185" s="45" t="n"/>
      <c r="O185" s="45" t="n"/>
      <c r="P185" s="50" t="n"/>
      <c r="R185" s="2">
        <f t="shared" si="6"/>
        <v>-40000</v>
      </c>
      <c r="S185" s="2">
        <f t="shared" si="7"/>
        <v>202607</v>
      </c>
      <c r="T185" s="2">
        <f t="shared" si="8"/>
      </c>
      <c r="U185" s="2" t="str">
        <f t="shared" si="9"/>
        <v>账户互转</v>
      </c>
      <c r="V185" s="2" t="str">
        <f t="shared" si="10"/>
        <v>聂辉</v>
      </c>
      <c r="W185" s="2" t="str">
        <f t="shared" si="11"/>
        <v>不进利润</v>
      </c>
      <c r="X185" s="2" t="str">
        <f t="shared" si="12"/>
        <v>账户互转</v>
      </c>
      <c r="Y185" s="2">
        <f t="shared" si="13"/>
        <v>0</v>
      </c>
      <c r="Z185" s="2" t="str">
        <f t="shared" si="14"/>
        <v>管理人员</v>
      </c>
      <c r="AA185" s="2">
        <f t="shared" si="15"/>
        <v>1</v>
      </c>
      <c r="AB185" s="2">
        <f t="shared" si="16"/>
      </c>
      <c r="AC185" s="2" t="str">
        <f t="shared" si="17"/>
        <v>聂辉个人户</v>
      </c>
      <c r="AD185" s="2" t="str">
        <f t="shared" si="18"/>
        <v>聂辉个人户</v>
      </c>
      <c r="AE185" s="2" t="str">
        <f t="shared" si="19"/>
        <v>银行</v>
      </c>
      <c r="AF185" s="2" t="str">
        <f t="shared" si="20"/>
        <v>个人户</v>
      </c>
      <c r="AG185" s="2" t="str">
        <f t="shared" si="21"/>
        <v>账户互转</v>
      </c>
      <c r="AH185" s="2" t="str">
        <f t="shared" si="22"/>
        <v>支</v>
      </c>
      <c r="AI185" s="2">
        <f t="shared" si="23"/>
      </c>
      <c r="AJ185" s="2">
        <f t="shared" si="24"/>
        <v>0</v>
      </c>
      <c r="AK185" s="2">
        <f t="shared" si="25"/>
        <v>0</v>
      </c>
      <c r="AL185" s="2">
        <f t="shared" si="26"/>
        <v>111</v>
      </c>
      <c r="AM185" s="2">
        <f t="shared" si="27"/>
        <v>0</v>
      </c>
      <c r="AN185" s="2">
        <f t="shared" si="28"/>
        <v>46234</v>
      </c>
      <c r="AO185" s="2">
        <f t="shared" si="29"/>
      </c>
      <c r="AP185" s="2" t="str">
        <f t="shared" si="30"/>
        <v>聂辉|5</v>
      </c>
      <c r="AQ185" s="2">
        <f t="shared" si="31"/>
      </c>
    </row>
    <row r="186">
      <c r="A186" s="43">
        <f t="shared" si="3"/>
        <v>181</v>
      </c>
      <c r="B186" s="44" t="n">
        <v>46234</v>
      </c>
      <c r="C186" s="45" t="inlineStr">
        <is>
          <t>九江银行</t>
        </is>
      </c>
      <c r="D186" s="46" t="inlineStr">
        <is>
          <t>九江恒讯消防-设备款</t>
        </is>
      </c>
      <c r="E186" s="47" t="n"/>
      <c r="F186" s="47" t="n">
        <v>462</v>
      </c>
      <c r="G186" s="48">
        <f t="shared" si="4"/>
        <v>239259.86</v>
      </c>
      <c r="H186" s="43">
        <f t="shared" si="0"/>
      </c>
      <c r="I186" s="43" t="str">
        <f t="shared" si="5"/>
        <v>材料费</v>
      </c>
      <c r="J186" s="43" t="str">
        <f t="shared" si="1"/>
        <v>九江恒讯消防</v>
      </c>
      <c r="K186" s="49" t="str">
        <f t="shared" si="2"/>
        <v>✗ 这一笔要选项目（摘要里的项目没在【项目档案】的话先去加上）</v>
      </c>
      <c r="L186" s="45" t="n"/>
      <c r="M186" s="45" t="n"/>
      <c r="N186" s="45" t="n"/>
      <c r="O186" s="45" t="n"/>
      <c r="P186" s="50" t="n"/>
      <c r="R186" s="2">
        <f t="shared" si="6"/>
        <v>-462</v>
      </c>
      <c r="S186" s="2">
        <f t="shared" si="7"/>
        <v>202607</v>
      </c>
      <c r="T186" s="2">
        <f t="shared" si="8"/>
      </c>
      <c r="U186" s="2" t="str">
        <f t="shared" si="9"/>
        <v>材料费</v>
      </c>
      <c r="V186" s="2" t="str">
        <f t="shared" si="10"/>
        <v>九江恒讯消防</v>
      </c>
      <c r="W186" s="2" t="str">
        <f t="shared" si="11"/>
        <v>项目直接成本</v>
      </c>
      <c r="X186" s="2" t="str">
        <f t="shared" si="12"/>
        <v>材料费</v>
      </c>
      <c r="Y186" s="2">
        <f t="shared" si="13"/>
        <v>0</v>
      </c>
      <c r="Z186" s="2" t="str">
        <f t="shared" si="14"/>
        <v>材料供应商</v>
      </c>
      <c r="AA186" s="2">
        <f t="shared" si="15"/>
        <v>0</v>
      </c>
      <c r="AB186" s="2">
        <f t="shared" si="16"/>
      </c>
      <c r="AC186" s="2">
        <f t="shared" si="17"/>
      </c>
      <c r="AD186" s="2">
        <f t="shared" si="18"/>
      </c>
      <c r="AE186" s="2" t="str">
        <f t="shared" si="19"/>
        <v>银行</v>
      </c>
      <c r="AF186" s="2">
        <f t="shared" si="20"/>
      </c>
      <c r="AG186" s="2" t="str">
        <f t="shared" si="21"/>
        <v>材料费</v>
      </c>
      <c r="AH186" s="2" t="str">
        <f t="shared" si="22"/>
        <v>支</v>
      </c>
      <c r="AI186" s="2">
        <f t="shared" si="23"/>
      </c>
      <c r="AJ186" s="2">
        <f t="shared" si="24"/>
        <v>0</v>
      </c>
      <c r="AK186" s="2">
        <f t="shared" si="25"/>
        <v>0</v>
      </c>
      <c r="AL186" s="2">
        <f t="shared" si="26"/>
        <v>22</v>
      </c>
      <c r="AM186" s="2">
        <f t="shared" si="27"/>
        <v>0</v>
      </c>
      <c r="AN186" s="2">
        <f t="shared" si="28"/>
        <v>46234</v>
      </c>
      <c r="AO186" s="2">
        <f t="shared" si="29"/>
      </c>
      <c r="AP186" s="2" t="str">
        <f t="shared" si="30"/>
        <v>九江恒讯消防|1</v>
      </c>
      <c r="AQ186" s="2">
        <f t="shared" si="31"/>
      </c>
    </row>
    <row r="187">
      <c r="A187" s="43">
        <f t="shared" si="3"/>
        <v>182</v>
      </c>
      <c r="B187" s="44" t="n">
        <v>46222</v>
      </c>
      <c r="C187" s="45" t="inlineStr">
        <is>
          <t>农业银行</t>
        </is>
      </c>
      <c r="D187" s="46" t="inlineStr">
        <is>
          <t>收到张滨个人借款</t>
        </is>
      </c>
      <c r="E187" s="47" t="n">
        <v>1100</v>
      </c>
      <c r="F187" s="47" t="n"/>
      <c r="G187" s="48">
        <f t="shared" si="4"/>
        <v>1120.96</v>
      </c>
      <c r="H187" s="43">
        <f t="shared" si="0"/>
      </c>
      <c r="I187" s="43" t="str">
        <f t="shared" si="5"/>
        <v>账户互转</v>
      </c>
      <c r="J187" s="43" t="str">
        <f t="shared" si="1"/>
        <v>张滨</v>
      </c>
      <c r="K187" s="49" t="str">
        <f t="shared" si="2"/>
        <v>√</v>
      </c>
      <c r="L187" s="45" t="n"/>
      <c r="M187" s="45" t="n"/>
      <c r="N187" s="45" t="n"/>
      <c r="O187" s="45" t="n"/>
      <c r="P187" s="50" t="n"/>
      <c r="R187" s="2">
        <f t="shared" si="6"/>
        <v>1100</v>
      </c>
      <c r="S187" s="2">
        <f t="shared" si="7"/>
        <v>202607</v>
      </c>
      <c r="T187" s="2">
        <f t="shared" si="8"/>
      </c>
      <c r="U187" s="2" t="str">
        <f t="shared" si="9"/>
        <v>账户互转</v>
      </c>
      <c r="V187" s="2" t="str">
        <f t="shared" si="10"/>
        <v>张滨</v>
      </c>
      <c r="W187" s="2" t="str">
        <f t="shared" si="11"/>
        <v>不进利润</v>
      </c>
      <c r="X187" s="2" t="str">
        <f t="shared" si="12"/>
        <v>账户互转</v>
      </c>
      <c r="Y187" s="2">
        <f t="shared" si="13"/>
        <v>0</v>
      </c>
      <c r="Z187" s="2" t="str">
        <f t="shared" si="14"/>
        <v>管理人员</v>
      </c>
      <c r="AA187" s="2">
        <f t="shared" si="15"/>
        <v>1</v>
      </c>
      <c r="AB187" s="2">
        <f t="shared" si="16"/>
      </c>
      <c r="AC187" s="2" t="str">
        <f t="shared" si="17"/>
        <v>张滨个人户</v>
      </c>
      <c r="AD187" s="2" t="str">
        <f t="shared" si="18"/>
        <v>张滨个人户</v>
      </c>
      <c r="AE187" s="2" t="str">
        <f t="shared" si="19"/>
        <v>银行</v>
      </c>
      <c r="AF187" s="2" t="str">
        <f t="shared" si="20"/>
        <v>个人户</v>
      </c>
      <c r="AG187" s="2" t="str">
        <f t="shared" si="21"/>
        <v>账户互转</v>
      </c>
      <c r="AH187" s="2" t="str">
        <f t="shared" si="22"/>
        <v>收</v>
      </c>
      <c r="AI187" s="2">
        <f t="shared" si="23"/>
      </c>
      <c r="AJ187" s="2">
        <f t="shared" si="24"/>
        <v>0</v>
      </c>
      <c r="AK187" s="2">
        <f t="shared" si="25"/>
        <v>0</v>
      </c>
      <c r="AL187" s="2">
        <f t="shared" si="26"/>
        <v>110</v>
      </c>
      <c r="AM187" s="2">
        <f t="shared" si="27"/>
        <v>0</v>
      </c>
      <c r="AN187" s="2">
        <f t="shared" si="28"/>
        <v>46222</v>
      </c>
      <c r="AO187" s="2">
        <f t="shared" si="29"/>
      </c>
      <c r="AP187" s="2">
        <f t="shared" si="30"/>
      </c>
      <c r="AQ187" s="2">
        <f t="shared" si="31"/>
      </c>
    </row>
    <row r="188">
      <c r="A188" s="43">
        <f t="shared" si="3"/>
        <v>183</v>
      </c>
      <c r="B188" s="44" t="n">
        <v>46224</v>
      </c>
      <c r="C188" s="45" t="inlineStr">
        <is>
          <t>农业银行</t>
        </is>
      </c>
      <c r="D188" s="46" t="inlineStr">
        <is>
          <t>还贷款利息</t>
        </is>
      </c>
      <c r="E188" s="47" t="n"/>
      <c r="F188" s="47" t="n">
        <v>1052.92</v>
      </c>
      <c r="G188" s="48">
        <f t="shared" si="4"/>
        <v>68.04</v>
      </c>
      <c r="H188" s="43">
        <f t="shared" si="0"/>
      </c>
      <c r="I188" s="43" t="str">
        <f t="shared" si="5"/>
        <v>利息支出</v>
      </c>
      <c r="J188" s="43">
        <f t="shared" si="1"/>
      </c>
      <c r="K188" s="49" t="str">
        <f t="shared" si="2"/>
        <v>√</v>
      </c>
      <c r="L188" s="45" t="n"/>
      <c r="M188" s="45" t="n"/>
      <c r="N188" s="45" t="n"/>
      <c r="O188" s="45" t="n"/>
      <c r="P188" s="50" t="n"/>
      <c r="R188" s="2">
        <f t="shared" si="6"/>
        <v>-1052.92</v>
      </c>
      <c r="S188" s="2">
        <f t="shared" si="7"/>
        <v>202607</v>
      </c>
      <c r="T188" s="2">
        <f t="shared" si="8"/>
      </c>
      <c r="U188" s="2" t="str">
        <f t="shared" si="9"/>
        <v>利息支出</v>
      </c>
      <c r="V188" s="2">
        <f t="shared" si="10"/>
      </c>
      <c r="W188" s="2" t="str">
        <f t="shared" si="11"/>
        <v>公司不分摊</v>
      </c>
      <c r="X188" s="2" t="str">
        <f t="shared" si="12"/>
        <v>利息支出</v>
      </c>
      <c r="Y188" s="2">
        <f t="shared" si="13"/>
        <v>0</v>
      </c>
      <c r="Z188" s="2">
        <f t="shared" si="14"/>
      </c>
      <c r="AA188" s="2">
        <f t="shared" si="15"/>
        <v>0</v>
      </c>
      <c r="AB188" s="2">
        <f t="shared" si="16"/>
      </c>
      <c r="AC188" s="2">
        <f t="shared" si="17"/>
      </c>
      <c r="AD188" s="2">
        <f t="shared" si="18"/>
      </c>
      <c r="AE188" s="2" t="str">
        <f t="shared" si="19"/>
        <v>银行</v>
      </c>
      <c r="AF188" s="2">
        <f t="shared" si="20"/>
      </c>
      <c r="AG188" s="2" t="str">
        <f t="shared" si="21"/>
        <v>利息支出</v>
      </c>
      <c r="AH188" s="2" t="str">
        <f t="shared" si="22"/>
        <v>支</v>
      </c>
      <c r="AI188" s="2">
        <f t="shared" si="23"/>
      </c>
      <c r="AJ188" s="2">
        <f t="shared" si="24"/>
        <v>0</v>
      </c>
      <c r="AK188" s="2">
        <f t="shared" si="25"/>
        <v>0</v>
      </c>
      <c r="AL188" s="2">
        <f t="shared" si="26"/>
        <v>0</v>
      </c>
      <c r="AM188" s="2">
        <f t="shared" si="27"/>
        <v>0</v>
      </c>
      <c r="AN188" s="2">
        <f t="shared" si="28"/>
        <v>46224</v>
      </c>
      <c r="AO188" s="2">
        <f t="shared" si="29"/>
      </c>
      <c r="AP188" s="2">
        <f t="shared" si="30"/>
      </c>
      <c r="AQ188" s="2">
        <f t="shared" si="31"/>
      </c>
    </row>
    <row r="189">
      <c r="A189" s="43">
        <f t="shared" si="3"/>
        <v>184</v>
      </c>
      <c r="B189" s="44" t="n">
        <v>46242</v>
      </c>
      <c r="C189" s="45" t="inlineStr">
        <is>
          <t>九江银行</t>
        </is>
      </c>
      <c r="D189" s="46" t="inlineStr">
        <is>
          <t>聂辉个人借款</t>
        </is>
      </c>
      <c r="E189" s="47" t="n">
        <v>600</v>
      </c>
      <c r="F189" s="47" t="n"/>
      <c r="G189" s="48">
        <f t="shared" si="4"/>
        <v>239859.86</v>
      </c>
      <c r="H189" s="43">
        <f t="shared" si="0"/>
      </c>
      <c r="I189" s="43" t="str">
        <f t="shared" si="5"/>
        <v>账户互转</v>
      </c>
      <c r="J189" s="43" t="str">
        <f t="shared" si="1"/>
        <v>聂辉</v>
      </c>
      <c r="K189" s="49" t="str">
        <f t="shared" si="2"/>
        <v>√</v>
      </c>
      <c r="L189" s="45" t="n"/>
      <c r="M189" s="45" t="n"/>
      <c r="N189" s="45" t="n"/>
      <c r="O189" s="45" t="n"/>
      <c r="P189" s="50" t="n"/>
      <c r="R189" s="2">
        <f t="shared" si="6"/>
        <v>600</v>
      </c>
      <c r="S189" s="2">
        <f t="shared" si="7"/>
        <v>202608</v>
      </c>
      <c r="T189" s="2">
        <f t="shared" si="8"/>
      </c>
      <c r="U189" s="2" t="str">
        <f t="shared" si="9"/>
        <v>账户互转</v>
      </c>
      <c r="V189" s="2" t="str">
        <f t="shared" si="10"/>
        <v>聂辉</v>
      </c>
      <c r="W189" s="2" t="str">
        <f t="shared" si="11"/>
        <v>不进利润</v>
      </c>
      <c r="X189" s="2" t="str">
        <f t="shared" si="12"/>
        <v>账户互转</v>
      </c>
      <c r="Y189" s="2">
        <f t="shared" si="13"/>
        <v>0</v>
      </c>
      <c r="Z189" s="2" t="str">
        <f t="shared" si="14"/>
        <v>管理人员</v>
      </c>
      <c r="AA189" s="2">
        <f t="shared" si="15"/>
        <v>1</v>
      </c>
      <c r="AB189" s="2">
        <f t="shared" si="16"/>
      </c>
      <c r="AC189" s="2" t="str">
        <f t="shared" si="17"/>
        <v>聂辉个人户</v>
      </c>
      <c r="AD189" s="2" t="str">
        <f t="shared" si="18"/>
        <v>聂辉个人户</v>
      </c>
      <c r="AE189" s="2" t="str">
        <f t="shared" si="19"/>
        <v>银行</v>
      </c>
      <c r="AF189" s="2" t="str">
        <f t="shared" si="20"/>
        <v>个人户</v>
      </c>
      <c r="AG189" s="2" t="str">
        <f t="shared" si="21"/>
        <v>账户互转</v>
      </c>
      <c r="AH189" s="2" t="str">
        <f t="shared" si="22"/>
        <v>收</v>
      </c>
      <c r="AI189" s="2">
        <f t="shared" si="23"/>
      </c>
      <c r="AJ189" s="2">
        <f t="shared" si="24"/>
        <v>0</v>
      </c>
      <c r="AK189" s="2">
        <f t="shared" si="25"/>
        <v>0</v>
      </c>
      <c r="AL189" s="2">
        <f t="shared" si="26"/>
        <v>111</v>
      </c>
      <c r="AM189" s="2">
        <f t="shared" si="27"/>
        <v>0</v>
      </c>
      <c r="AN189" s="2">
        <f t="shared" si="28"/>
        <v>46242</v>
      </c>
      <c r="AO189" s="2">
        <f t="shared" si="29"/>
      </c>
      <c r="AP189" s="2">
        <f t="shared" si="30"/>
      </c>
      <c r="AQ189" s="2">
        <f t="shared" si="31"/>
      </c>
    </row>
    <row r="190">
      <c r="A190" s="43">
        <f t="shared" si="3"/>
        <v>185</v>
      </c>
      <c r="B190" s="44" t="n">
        <v>46242</v>
      </c>
      <c r="C190" s="45" t="inlineStr">
        <is>
          <t>九江银行</t>
        </is>
      </c>
      <c r="D190" s="46" t="inlineStr">
        <is>
          <t>陈德银工资</t>
        </is>
      </c>
      <c r="E190" s="47" t="n"/>
      <c r="F190" s="47" t="n">
        <v>1040</v>
      </c>
      <c r="G190" s="48">
        <f t="shared" si="4"/>
        <v>238819.86</v>
      </c>
      <c r="H190" s="43">
        <f t="shared" si="0"/>
      </c>
      <c r="I190" s="43" t="str">
        <f t="shared" si="5"/>
        <v>工资</v>
      </c>
      <c r="J190" s="43" t="str">
        <f t="shared" si="1"/>
        <v>陈德银</v>
      </c>
      <c r="K190" s="49" t="str">
        <f t="shared" si="2"/>
        <v>√</v>
      </c>
      <c r="L190" s="45" t="n"/>
      <c r="M190" s="45" t="n"/>
      <c r="N190" s="45" t="n"/>
      <c r="O190" s="45" t="n"/>
      <c r="P190" s="50" t="n"/>
      <c r="R190" s="2">
        <f t="shared" si="6"/>
        <v>-1040</v>
      </c>
      <c r="S190" s="2">
        <f t="shared" si="7"/>
        <v>202608</v>
      </c>
      <c r="T190" s="2">
        <f t="shared" si="8"/>
      </c>
      <c r="U190" s="2" t="str">
        <f t="shared" si="9"/>
        <v>工资</v>
      </c>
      <c r="V190" s="2" t="str">
        <f t="shared" si="10"/>
        <v>陈德银</v>
      </c>
      <c r="W190" s="2" t="str">
        <f t="shared" si="11"/>
        <v>不进利润</v>
      </c>
      <c r="X190" s="2" t="str">
        <f t="shared" si="12"/>
        <v>应付职工薪酬</v>
      </c>
      <c r="Y190" s="2">
        <f t="shared" si="13"/>
        <v>0</v>
      </c>
      <c r="Z190" s="2" t="str">
        <f t="shared" si="14"/>
        <v>工人</v>
      </c>
      <c r="AA190" s="2">
        <f t="shared" si="15"/>
        <v>1</v>
      </c>
      <c r="AB190" s="2">
        <f t="shared" si="16"/>
      </c>
      <c r="AC190" s="2">
        <f t="shared" si="17"/>
      </c>
      <c r="AD190" s="2">
        <f t="shared" si="18"/>
      </c>
      <c r="AE190" s="2" t="str">
        <f t="shared" si="19"/>
        <v>银行</v>
      </c>
      <c r="AF190" s="2">
        <f t="shared" si="20"/>
      </c>
      <c r="AG190" s="2" t="str">
        <f t="shared" si="21"/>
        <v>工资</v>
      </c>
      <c r="AH190" s="2" t="str">
        <f t="shared" si="22"/>
        <v>支</v>
      </c>
      <c r="AI190" s="2">
        <f t="shared" si="23"/>
      </c>
      <c r="AJ190" s="2">
        <f t="shared" si="24"/>
        <v>0</v>
      </c>
      <c r="AK190" s="2">
        <f t="shared" si="25"/>
        <v>0</v>
      </c>
      <c r="AL190" s="2">
        <f t="shared" si="26"/>
        <v>73</v>
      </c>
      <c r="AM190" s="2">
        <f t="shared" si="27"/>
        <v>0</v>
      </c>
      <c r="AN190" s="2">
        <f t="shared" si="28"/>
        <v>46242</v>
      </c>
      <c r="AO190" s="2">
        <f t="shared" si="29"/>
      </c>
      <c r="AP190" s="2" t="str">
        <f t="shared" si="30"/>
        <v>陈德银|1</v>
      </c>
      <c r="AQ190" s="2">
        <f t="shared" si="31"/>
      </c>
    </row>
    <row r="191">
      <c r="A191" s="43">
        <f t="shared" si="3"/>
        <v>186</v>
      </c>
      <c r="B191" s="44" t="n">
        <v>46254</v>
      </c>
      <c r="C191" s="45" t="inlineStr">
        <is>
          <t>九江银行</t>
        </is>
      </c>
      <c r="D191" s="46" t="inlineStr">
        <is>
          <t>王伟个人借款</t>
        </is>
      </c>
      <c r="E191" s="47" t="n">
        <v>1500</v>
      </c>
      <c r="F191" s="47" t="n"/>
      <c r="G191" s="48">
        <f t="shared" si="4"/>
        <v>240319.86</v>
      </c>
      <c r="H191" s="43">
        <f t="shared" si="0"/>
      </c>
      <c r="I191" s="43" t="str">
        <f t="shared" si="5"/>
        <v>账户互转</v>
      </c>
      <c r="J191" s="43" t="str">
        <f t="shared" si="1"/>
        <v>王伟</v>
      </c>
      <c r="K191" s="49" t="str">
        <f t="shared" si="2"/>
        <v>√</v>
      </c>
      <c r="L191" s="45" t="n"/>
      <c r="M191" s="45" t="n"/>
      <c r="N191" s="45" t="n"/>
      <c r="O191" s="45" t="n"/>
      <c r="P191" s="50" t="n"/>
      <c r="R191" s="2">
        <f t="shared" si="6"/>
        <v>1500</v>
      </c>
      <c r="S191" s="2">
        <f t="shared" si="7"/>
        <v>202608</v>
      </c>
      <c r="T191" s="2">
        <f t="shared" si="8"/>
      </c>
      <c r="U191" s="2" t="str">
        <f t="shared" si="9"/>
        <v>账户互转</v>
      </c>
      <c r="V191" s="2" t="str">
        <f t="shared" si="10"/>
        <v>王伟</v>
      </c>
      <c r="W191" s="2" t="str">
        <f t="shared" si="11"/>
        <v>不进利润</v>
      </c>
      <c r="X191" s="2" t="str">
        <f t="shared" si="12"/>
        <v>账户互转</v>
      </c>
      <c r="Y191" s="2">
        <f t="shared" si="13"/>
        <v>0</v>
      </c>
      <c r="Z191" s="2" t="str">
        <f t="shared" si="14"/>
        <v>管理人员</v>
      </c>
      <c r="AA191" s="2">
        <f t="shared" si="15"/>
        <v>1</v>
      </c>
      <c r="AB191" s="2">
        <f t="shared" si="16"/>
      </c>
      <c r="AC191" s="2" t="str">
        <f t="shared" si="17"/>
        <v>王伟个人户</v>
      </c>
      <c r="AD191" s="2" t="str">
        <f t="shared" si="18"/>
        <v>王伟个人户</v>
      </c>
      <c r="AE191" s="2" t="str">
        <f t="shared" si="19"/>
        <v>银行</v>
      </c>
      <c r="AF191" s="2" t="str">
        <f t="shared" si="20"/>
        <v>个人户</v>
      </c>
      <c r="AG191" s="2" t="str">
        <f t="shared" si="21"/>
        <v>账户互转</v>
      </c>
      <c r="AH191" s="2" t="str">
        <f t="shared" si="22"/>
        <v>收</v>
      </c>
      <c r="AI191" s="2">
        <f t="shared" si="23"/>
      </c>
      <c r="AJ191" s="2">
        <f t="shared" si="24"/>
        <v>0</v>
      </c>
      <c r="AK191" s="2">
        <f t="shared" si="25"/>
        <v>0</v>
      </c>
      <c r="AL191" s="2">
        <f t="shared" si="26"/>
        <v>112</v>
      </c>
      <c r="AM191" s="2">
        <f t="shared" si="27"/>
        <v>0</v>
      </c>
      <c r="AN191" s="2">
        <f t="shared" si="28"/>
        <v>46254</v>
      </c>
      <c r="AO191" s="2">
        <f t="shared" si="29"/>
      </c>
      <c r="AP191" s="2">
        <f t="shared" si="30"/>
      </c>
      <c r="AQ191" s="2">
        <f t="shared" si="31"/>
      </c>
    </row>
    <row r="192">
      <c r="A192" s="43">
        <f t="shared" si="3"/>
        <v>187</v>
      </c>
      <c r="B192" s="44" t="n">
        <v>46255</v>
      </c>
      <c r="C192" s="45" t="inlineStr">
        <is>
          <t>九江银行</t>
        </is>
      </c>
      <c r="D192" s="46" t="inlineStr">
        <is>
          <t>抚州8号楼购买售后产品</t>
        </is>
      </c>
      <c r="E192" s="47" t="n"/>
      <c r="F192" s="47" t="n">
        <v>1470</v>
      </c>
      <c r="G192" s="48">
        <f t="shared" si="4"/>
        <v>238849.86</v>
      </c>
      <c r="H192" s="43" t="str">
        <f t="shared" si="0"/>
        <v>抚州8号楼</v>
      </c>
      <c r="I192" s="43" t="str">
        <f t="shared" si="5"/>
        <v>其他直接费</v>
      </c>
      <c r="J192" s="43">
        <f t="shared" si="1"/>
      </c>
      <c r="K192" s="49" t="str">
        <f t="shared" si="2"/>
        <v>√</v>
      </c>
      <c r="L192" s="45" t="n"/>
      <c r="M192" s="45" t="n"/>
      <c r="N192" s="45" t="n"/>
      <c r="O192" s="45" t="n"/>
      <c r="P192" s="50" t="n"/>
      <c r="R192" s="2">
        <f t="shared" si="6"/>
        <v>-1470</v>
      </c>
      <c r="S192" s="2">
        <f t="shared" si="7"/>
        <v>202608</v>
      </c>
      <c r="T192" s="2" t="str">
        <f t="shared" si="8"/>
        <v>抚州8号楼</v>
      </c>
      <c r="U192" s="2" t="str">
        <f t="shared" si="9"/>
        <v>其他直接费</v>
      </c>
      <c r="V192" s="2">
        <f t="shared" si="10"/>
      </c>
      <c r="W192" s="2" t="str">
        <f t="shared" si="11"/>
        <v>项目直接成本</v>
      </c>
      <c r="X192" s="2" t="str">
        <f t="shared" si="12"/>
        <v>其他直接费</v>
      </c>
      <c r="Y192" s="2">
        <f t="shared" si="13"/>
        <v>0</v>
      </c>
      <c r="Z192" s="2">
        <f t="shared" si="14"/>
      </c>
      <c r="AA192" s="2">
        <f t="shared" si="15"/>
        <v>0</v>
      </c>
      <c r="AB192" s="2">
        <f t="shared" si="16"/>
      </c>
      <c r="AC192" s="2">
        <f t="shared" si="17"/>
      </c>
      <c r="AD192" s="2">
        <f t="shared" si="18"/>
      </c>
      <c r="AE192" s="2" t="str">
        <f t="shared" si="19"/>
        <v>银行</v>
      </c>
      <c r="AF192" s="2">
        <f t="shared" si="20"/>
      </c>
      <c r="AG192" s="2" t="str">
        <f t="shared" si="21"/>
        <v>其他直接费</v>
      </c>
      <c r="AH192" s="2" t="str">
        <f t="shared" si="22"/>
        <v>支</v>
      </c>
      <c r="AI192" s="2" t="str">
        <f t="shared" si="23"/>
        <v>抚州8号楼</v>
      </c>
      <c r="AJ192" s="2">
        <f t="shared" si="24"/>
        <v>0</v>
      </c>
      <c r="AK192" s="2">
        <f t="shared" si="25"/>
        <v>9</v>
      </c>
      <c r="AL192" s="2">
        <f t="shared" si="26"/>
        <v>0</v>
      </c>
      <c r="AM192" s="2">
        <f t="shared" si="27"/>
        <v>0</v>
      </c>
      <c r="AN192" s="2">
        <f t="shared" si="28"/>
        <v>46255</v>
      </c>
      <c r="AO192" s="2">
        <f t="shared" si="29"/>
      </c>
      <c r="AP192" s="2">
        <f t="shared" si="30"/>
      </c>
      <c r="AQ192" s="2">
        <f t="shared" si="31"/>
      </c>
    </row>
    <row r="193">
      <c r="A193" s="43">
        <f t="shared" si="3"/>
        <v>188</v>
      </c>
      <c r="B193" s="44" t="n">
        <v>46259</v>
      </c>
      <c r="C193" s="45" t="inlineStr">
        <is>
          <t>九江银行</t>
        </is>
      </c>
      <c r="D193" s="46" t="inlineStr">
        <is>
          <t>聂辉个人借款</t>
        </is>
      </c>
      <c r="E193" s="47" t="n">
        <v>2000</v>
      </c>
      <c r="F193" s="47" t="n"/>
      <c r="G193" s="48">
        <f t="shared" si="4"/>
        <v>240849.86</v>
      </c>
      <c r="H193" s="43">
        <f t="shared" si="0"/>
      </c>
      <c r="I193" s="43" t="str">
        <f t="shared" si="5"/>
        <v>账户互转</v>
      </c>
      <c r="J193" s="43" t="str">
        <f t="shared" si="1"/>
        <v>聂辉</v>
      </c>
      <c r="K193" s="49" t="str">
        <f t="shared" si="2"/>
        <v>√</v>
      </c>
      <c r="L193" s="45" t="n"/>
      <c r="M193" s="45" t="n"/>
      <c r="N193" s="45" t="n"/>
      <c r="O193" s="45" t="n"/>
      <c r="P193" s="50" t="n"/>
      <c r="R193" s="2">
        <f t="shared" si="6"/>
        <v>2000</v>
      </c>
      <c r="S193" s="2">
        <f t="shared" si="7"/>
        <v>202608</v>
      </c>
      <c r="T193" s="2">
        <f t="shared" si="8"/>
      </c>
      <c r="U193" s="2" t="str">
        <f t="shared" si="9"/>
        <v>账户互转</v>
      </c>
      <c r="V193" s="2" t="str">
        <f t="shared" si="10"/>
        <v>聂辉</v>
      </c>
      <c r="W193" s="2" t="str">
        <f t="shared" si="11"/>
        <v>不进利润</v>
      </c>
      <c r="X193" s="2" t="str">
        <f t="shared" si="12"/>
        <v>账户互转</v>
      </c>
      <c r="Y193" s="2">
        <f t="shared" si="13"/>
        <v>0</v>
      </c>
      <c r="Z193" s="2" t="str">
        <f t="shared" si="14"/>
        <v>管理人员</v>
      </c>
      <c r="AA193" s="2">
        <f t="shared" si="15"/>
        <v>1</v>
      </c>
      <c r="AB193" s="2">
        <f t="shared" si="16"/>
      </c>
      <c r="AC193" s="2" t="str">
        <f t="shared" si="17"/>
        <v>聂辉个人户</v>
      </c>
      <c r="AD193" s="2" t="str">
        <f t="shared" si="18"/>
        <v>聂辉个人户</v>
      </c>
      <c r="AE193" s="2" t="str">
        <f t="shared" si="19"/>
        <v>银行</v>
      </c>
      <c r="AF193" s="2" t="str">
        <f t="shared" si="20"/>
        <v>个人户</v>
      </c>
      <c r="AG193" s="2" t="str">
        <f t="shared" si="21"/>
        <v>账户互转</v>
      </c>
      <c r="AH193" s="2" t="str">
        <f t="shared" si="22"/>
        <v>收</v>
      </c>
      <c r="AI193" s="2">
        <f t="shared" si="23"/>
      </c>
      <c r="AJ193" s="2">
        <f t="shared" si="24"/>
        <v>0</v>
      </c>
      <c r="AK193" s="2">
        <f t="shared" si="25"/>
        <v>0</v>
      </c>
      <c r="AL193" s="2">
        <f t="shared" si="26"/>
        <v>111</v>
      </c>
      <c r="AM193" s="2">
        <f t="shared" si="27"/>
        <v>0</v>
      </c>
      <c r="AN193" s="2">
        <f t="shared" si="28"/>
        <v>46259</v>
      </c>
      <c r="AO193" s="2">
        <f t="shared" si="29"/>
      </c>
      <c r="AP193" s="2">
        <f t="shared" si="30"/>
      </c>
      <c r="AQ193" s="2">
        <f t="shared" si="31"/>
      </c>
    </row>
    <row r="194">
      <c r="A194" s="43">
        <f t="shared" si="3"/>
        <v>189</v>
      </c>
      <c r="B194" s="44" t="n">
        <v>46259</v>
      </c>
      <c r="C194" s="45" t="inlineStr">
        <is>
          <t>九江银行</t>
        </is>
      </c>
      <c r="D194" s="46" t="inlineStr">
        <is>
          <t>姚俊强社保费</t>
        </is>
      </c>
      <c r="E194" s="47" t="n"/>
      <c r="F194" s="47" t="n">
        <v>1019.48</v>
      </c>
      <c r="G194" s="48">
        <f t="shared" si="4"/>
        <v>239830.38</v>
      </c>
      <c r="H194" s="43">
        <f t="shared" si="0"/>
      </c>
      <c r="I194" s="43" t="str">
        <f t="shared" si="5"/>
        <v>社保费</v>
      </c>
      <c r="J194" s="43" t="str">
        <f t="shared" si="1"/>
        <v>姚俊强</v>
      </c>
      <c r="K194" s="49" t="str">
        <f t="shared" si="2"/>
        <v>√</v>
      </c>
      <c r="L194" s="45" t="n"/>
      <c r="M194" s="45" t="n"/>
      <c r="N194" s="45" t="n"/>
      <c r="O194" s="45" t="n"/>
      <c r="P194" s="50" t="n"/>
      <c r="R194" s="2">
        <f t="shared" si="6"/>
        <v>-1019.48</v>
      </c>
      <c r="S194" s="2">
        <f t="shared" si="7"/>
        <v>202608</v>
      </c>
      <c r="T194" s="2">
        <f t="shared" si="8"/>
      </c>
      <c r="U194" s="2" t="str">
        <f t="shared" si="9"/>
        <v>社保费</v>
      </c>
      <c r="V194" s="2" t="str">
        <f t="shared" si="10"/>
        <v>姚俊强</v>
      </c>
      <c r="W194" s="2" t="str">
        <f t="shared" si="11"/>
        <v>公司间接费</v>
      </c>
      <c r="X194" s="2" t="str">
        <f t="shared" si="12"/>
        <v>社保费</v>
      </c>
      <c r="Y194" s="2">
        <f t="shared" si="13"/>
        <v>0</v>
      </c>
      <c r="Z194" s="2" t="str">
        <f t="shared" si="14"/>
        <v>管理人员</v>
      </c>
      <c r="AA194" s="2">
        <f t="shared" si="15"/>
        <v>1</v>
      </c>
      <c r="AB194" s="2">
        <f t="shared" si="16"/>
      </c>
      <c r="AC194" s="2">
        <f t="shared" si="17"/>
      </c>
      <c r="AD194" s="2">
        <f t="shared" si="18"/>
      </c>
      <c r="AE194" s="2" t="str">
        <f t="shared" si="19"/>
        <v>银行</v>
      </c>
      <c r="AF194" s="2">
        <f t="shared" si="20"/>
      </c>
      <c r="AG194" s="2" t="str">
        <f t="shared" si="21"/>
        <v>社保费</v>
      </c>
      <c r="AH194" s="2" t="str">
        <f t="shared" si="22"/>
        <v>支</v>
      </c>
      <c r="AI194" s="2">
        <f t="shared" si="23"/>
      </c>
      <c r="AJ194" s="2">
        <f t="shared" si="24"/>
        <v>0</v>
      </c>
      <c r="AK194" s="2">
        <f t="shared" si="25"/>
        <v>0</v>
      </c>
      <c r="AL194" s="2">
        <f t="shared" si="26"/>
        <v>72</v>
      </c>
      <c r="AM194" s="2">
        <f t="shared" si="27"/>
        <v>0</v>
      </c>
      <c r="AN194" s="2">
        <f t="shared" si="28"/>
        <v>46259</v>
      </c>
      <c r="AO194" s="2">
        <f t="shared" si="29"/>
      </c>
      <c r="AP194" s="2" t="str">
        <f t="shared" si="30"/>
        <v>姚俊强|5</v>
      </c>
      <c r="AQ194" s="2">
        <f t="shared" si="31"/>
      </c>
    </row>
    <row r="195">
      <c r="A195" s="43">
        <f t="shared" si="3"/>
        <v>190</v>
      </c>
      <c r="B195" s="44" t="n">
        <v>46259</v>
      </c>
      <c r="C195" s="45" t="inlineStr">
        <is>
          <t>九江银行</t>
        </is>
      </c>
      <c r="D195" s="46" t="inlineStr">
        <is>
          <t>朱博文社保费</t>
        </is>
      </c>
      <c r="E195" s="47" t="n"/>
      <c r="F195" s="47" t="n">
        <v>1019.48</v>
      </c>
      <c r="G195" s="48">
        <f t="shared" si="4"/>
        <v>238810.9</v>
      </c>
      <c r="H195" s="43">
        <f t="shared" si="0"/>
      </c>
      <c r="I195" s="43" t="str">
        <f t="shared" si="5"/>
        <v>社保费</v>
      </c>
      <c r="J195" s="43" t="str">
        <f t="shared" si="1"/>
        <v>朱博文</v>
      </c>
      <c r="K195" s="49" t="str">
        <f t="shared" si="2"/>
        <v>√</v>
      </c>
      <c r="L195" s="45" t="n"/>
      <c r="M195" s="45" t="n"/>
      <c r="N195" s="45" t="n"/>
      <c r="O195" s="45" t="n"/>
      <c r="P195" s="50" t="n"/>
      <c r="R195" s="2">
        <f t="shared" si="6"/>
        <v>-1019.48</v>
      </c>
      <c r="S195" s="2">
        <f t="shared" si="7"/>
        <v>202608</v>
      </c>
      <c r="T195" s="2">
        <f t="shared" si="8"/>
      </c>
      <c r="U195" s="2" t="str">
        <f t="shared" si="9"/>
        <v>社保费</v>
      </c>
      <c r="V195" s="2" t="str">
        <f t="shared" si="10"/>
        <v>朱博文</v>
      </c>
      <c r="W195" s="2" t="str">
        <f t="shared" si="11"/>
        <v>公司间接费</v>
      </c>
      <c r="X195" s="2" t="str">
        <f t="shared" si="12"/>
        <v>社保费</v>
      </c>
      <c r="Y195" s="2">
        <f t="shared" si="13"/>
        <v>0</v>
      </c>
      <c r="Z195" s="2" t="str">
        <f t="shared" si="14"/>
        <v>管理人员</v>
      </c>
      <c r="AA195" s="2">
        <f t="shared" si="15"/>
        <v>1</v>
      </c>
      <c r="AB195" s="2">
        <f t="shared" si="16"/>
      </c>
      <c r="AC195" s="2">
        <f t="shared" si="17"/>
      </c>
      <c r="AD195" s="2">
        <f t="shared" si="18"/>
      </c>
      <c r="AE195" s="2" t="str">
        <f t="shared" si="19"/>
        <v>银行</v>
      </c>
      <c r="AF195" s="2">
        <f t="shared" si="20"/>
      </c>
      <c r="AG195" s="2" t="str">
        <f t="shared" si="21"/>
        <v>社保费</v>
      </c>
      <c r="AH195" s="2" t="str">
        <f t="shared" si="22"/>
        <v>支</v>
      </c>
      <c r="AI195" s="2">
        <f t="shared" si="23"/>
      </c>
      <c r="AJ195" s="2">
        <f t="shared" si="24"/>
        <v>0</v>
      </c>
      <c r="AK195" s="2">
        <f t="shared" si="25"/>
        <v>0</v>
      </c>
      <c r="AL195" s="2">
        <f t="shared" si="26"/>
        <v>78</v>
      </c>
      <c r="AM195" s="2">
        <f t="shared" si="27"/>
        <v>0</v>
      </c>
      <c r="AN195" s="2">
        <f t="shared" si="28"/>
        <v>46259</v>
      </c>
      <c r="AO195" s="2">
        <f t="shared" si="29"/>
      </c>
      <c r="AP195" s="2" t="str">
        <f t="shared" si="30"/>
        <v>朱博文|3</v>
      </c>
      <c r="AQ195" s="2">
        <f t="shared" si="31"/>
      </c>
    </row>
    <row r="196">
      <c r="A196" s="43">
        <f t="shared" si="3"/>
        <v>191</v>
      </c>
      <c r="B196" s="44" t="n">
        <v>46262</v>
      </c>
      <c r="C196" s="45" t="inlineStr">
        <is>
          <t>九江银行</t>
        </is>
      </c>
      <c r="D196" s="46" t="inlineStr">
        <is>
          <t>中国联项目工程款</t>
        </is>
      </c>
      <c r="E196" s="47" t="n">
        <v>650862.4</v>
      </c>
      <c r="F196" s="47" t="n"/>
      <c r="G196" s="48">
        <f t="shared" si="4"/>
        <v>889673.3</v>
      </c>
      <c r="H196" s="43" t="str">
        <f t="shared" si="0"/>
        <v>中国联项目</v>
      </c>
      <c r="I196" s="43" t="str">
        <f t="shared" si="5"/>
        <v>工程款</v>
      </c>
      <c r="J196" s="43">
        <f t="shared" si="1"/>
      </c>
      <c r="K196" s="49" t="str">
        <f t="shared" si="2"/>
        <v>√</v>
      </c>
      <c r="L196" s="45" t="n"/>
      <c r="M196" s="45" t="n"/>
      <c r="N196" s="45" t="n"/>
      <c r="O196" s="45" t="n"/>
      <c r="P196" s="50" t="n"/>
      <c r="R196" s="2">
        <f t="shared" si="6"/>
        <v>650862.4</v>
      </c>
      <c r="S196" s="2">
        <f t="shared" si="7"/>
        <v>202608</v>
      </c>
      <c r="T196" s="2" t="str">
        <f t="shared" si="8"/>
        <v>中国联项目</v>
      </c>
      <c r="U196" s="2" t="str">
        <f t="shared" si="9"/>
        <v>工程款</v>
      </c>
      <c r="V196" s="2">
        <f t="shared" si="10"/>
      </c>
      <c r="W196" s="2" t="str">
        <f t="shared" si="11"/>
        <v>不进利润</v>
      </c>
      <c r="X196" s="2" t="str">
        <f t="shared" si="12"/>
        <v>应收账款</v>
      </c>
      <c r="Y196" s="2">
        <f t="shared" si="13"/>
        <v>0</v>
      </c>
      <c r="Z196" s="2">
        <f t="shared" si="14"/>
      </c>
      <c r="AA196" s="2">
        <f t="shared" si="15"/>
        <v>0</v>
      </c>
      <c r="AB196" s="2">
        <f t="shared" si="16"/>
      </c>
      <c r="AC196" s="2">
        <f t="shared" si="17"/>
      </c>
      <c r="AD196" s="2">
        <f t="shared" si="18"/>
      </c>
      <c r="AE196" s="2" t="str">
        <f t="shared" si="19"/>
        <v>银行</v>
      </c>
      <c r="AF196" s="2">
        <f t="shared" si="20"/>
      </c>
      <c r="AG196" s="2" t="str">
        <f t="shared" si="21"/>
        <v>工程款</v>
      </c>
      <c r="AH196" s="2" t="str">
        <f t="shared" si="22"/>
        <v>收</v>
      </c>
      <c r="AI196" s="2" t="str">
        <f t="shared" si="23"/>
        <v>中国联项目</v>
      </c>
      <c r="AJ196" s="2">
        <f t="shared" si="24"/>
        <v>0</v>
      </c>
      <c r="AK196" s="2">
        <f t="shared" si="25"/>
        <v>12</v>
      </c>
      <c r="AL196" s="2">
        <f t="shared" si="26"/>
        <v>0</v>
      </c>
      <c r="AM196" s="2">
        <f t="shared" si="27"/>
        <v>0</v>
      </c>
      <c r="AN196" s="2">
        <f t="shared" si="28"/>
        <v>46262</v>
      </c>
      <c r="AO196" s="2" t="str">
        <f t="shared" si="29"/>
        <v>中国联项目|1</v>
      </c>
      <c r="AP196" s="2">
        <f t="shared" si="30"/>
      </c>
      <c r="AQ196" s="2">
        <f t="shared" si="31"/>
      </c>
    </row>
    <row r="197">
      <c r="A197" s="43">
        <f t="shared" si="3"/>
        <v>192</v>
      </c>
      <c r="B197" s="44" t="n">
        <v>46262</v>
      </c>
      <c r="C197" s="45" t="inlineStr">
        <is>
          <t>九江银行</t>
        </is>
      </c>
      <c r="D197" s="46" t="inlineStr">
        <is>
          <t>抚州2号楼工程款</t>
        </is>
      </c>
      <c r="E197" s="47" t="n">
        <v>51200</v>
      </c>
      <c r="F197" s="47" t="n"/>
      <c r="G197" s="48">
        <f t="shared" si="4"/>
        <v>940873.3</v>
      </c>
      <c r="H197" s="43" t="str">
        <f t="shared" si="0"/>
        <v>抚州2号楼</v>
      </c>
      <c r="I197" s="43" t="str">
        <f t="shared" si="5"/>
        <v>工程款</v>
      </c>
      <c r="J197" s="43">
        <f t="shared" si="1"/>
      </c>
      <c r="K197" s="49" t="str">
        <f t="shared" si="2"/>
        <v>√</v>
      </c>
      <c r="L197" s="45" t="n"/>
      <c r="M197" s="45" t="n"/>
      <c r="N197" s="45" t="n"/>
      <c r="O197" s="45" t="n"/>
      <c r="P197" s="50" t="n"/>
      <c r="R197" s="2">
        <f t="shared" si="6"/>
        <v>51200</v>
      </c>
      <c r="S197" s="2">
        <f t="shared" si="7"/>
        <v>202608</v>
      </c>
      <c r="T197" s="2" t="str">
        <f t="shared" si="8"/>
        <v>抚州2号楼</v>
      </c>
      <c r="U197" s="2" t="str">
        <f t="shared" si="9"/>
        <v>工程款</v>
      </c>
      <c r="V197" s="2">
        <f t="shared" si="10"/>
      </c>
      <c r="W197" s="2" t="str">
        <f t="shared" si="11"/>
        <v>不进利润</v>
      </c>
      <c r="X197" s="2" t="str">
        <f t="shared" si="12"/>
        <v>应收账款</v>
      </c>
      <c r="Y197" s="2">
        <f t="shared" si="13"/>
        <v>0</v>
      </c>
      <c r="Z197" s="2">
        <f t="shared" si="14"/>
      </c>
      <c r="AA197" s="2">
        <f t="shared" si="15"/>
        <v>0</v>
      </c>
      <c r="AB197" s="2">
        <f t="shared" si="16"/>
      </c>
      <c r="AC197" s="2">
        <f t="shared" si="17"/>
      </c>
      <c r="AD197" s="2">
        <f t="shared" si="18"/>
      </c>
      <c r="AE197" s="2" t="str">
        <f t="shared" si="19"/>
        <v>银行</v>
      </c>
      <c r="AF197" s="2">
        <f t="shared" si="20"/>
      </c>
      <c r="AG197" s="2" t="str">
        <f t="shared" si="21"/>
        <v>工程款</v>
      </c>
      <c r="AH197" s="2" t="str">
        <f t="shared" si="22"/>
        <v>收</v>
      </c>
      <c r="AI197" s="2" t="str">
        <f t="shared" si="23"/>
        <v>抚州2号楼</v>
      </c>
      <c r="AJ197" s="2">
        <f t="shared" si="24"/>
        <v>0</v>
      </c>
      <c r="AK197" s="2">
        <f t="shared" si="25"/>
        <v>10</v>
      </c>
      <c r="AL197" s="2">
        <f t="shared" si="26"/>
        <v>0</v>
      </c>
      <c r="AM197" s="2">
        <f t="shared" si="27"/>
        <v>0</v>
      </c>
      <c r="AN197" s="2">
        <f t="shared" si="28"/>
        <v>46262</v>
      </c>
      <c r="AO197" s="2" t="str">
        <f t="shared" si="29"/>
        <v>抚州2号楼|1</v>
      </c>
      <c r="AP197" s="2">
        <f t="shared" si="30"/>
      </c>
      <c r="AQ197" s="2">
        <f t="shared" si="31"/>
      </c>
    </row>
    <row r="198">
      <c r="A198" s="43">
        <f t="shared" si="3"/>
        <v>193</v>
      </c>
      <c r="B198" s="44" t="n">
        <v>46262</v>
      </c>
      <c r="C198" s="45" t="inlineStr">
        <is>
          <t>九江银行</t>
        </is>
      </c>
      <c r="D198" s="46" t="inlineStr">
        <is>
          <t>吴长友工资</t>
        </is>
      </c>
      <c r="E198" s="47" t="n"/>
      <c r="F198" s="47" t="n">
        <v>6000</v>
      </c>
      <c r="G198" s="48">
        <f t="shared" si="4"/>
        <v>934873.3</v>
      </c>
      <c r="H198" s="43">
        <f t="shared" si="0"/>
      </c>
      <c r="I198" s="43" t="str">
        <f t="shared" si="5"/>
        <v>工资</v>
      </c>
      <c r="J198" s="43" t="str">
        <f t="shared" si="1"/>
        <v>吴长友</v>
      </c>
      <c r="K198" s="49" t="str">
        <f t="shared" si="2"/>
        <v>√</v>
      </c>
      <c r="L198" s="45" t="n"/>
      <c r="M198" s="45" t="n"/>
      <c r="N198" s="45" t="n"/>
      <c r="O198" s="45" t="n"/>
      <c r="P198" s="50" t="n"/>
      <c r="R198" s="2">
        <f t="shared" si="6"/>
        <v>-6000</v>
      </c>
      <c r="S198" s="2">
        <f t="shared" si="7"/>
        <v>202608</v>
      </c>
      <c r="T198" s="2">
        <f t="shared" si="8"/>
      </c>
      <c r="U198" s="2" t="str">
        <f t="shared" si="9"/>
        <v>工资</v>
      </c>
      <c r="V198" s="2" t="str">
        <f t="shared" si="10"/>
        <v>吴长友</v>
      </c>
      <c r="W198" s="2" t="str">
        <f t="shared" si="11"/>
        <v>不进利润</v>
      </c>
      <c r="X198" s="2" t="str">
        <f t="shared" si="12"/>
        <v>应付职工薪酬</v>
      </c>
      <c r="Y198" s="2">
        <f t="shared" si="13"/>
        <v>0</v>
      </c>
      <c r="Z198" s="2" t="str">
        <f t="shared" si="14"/>
        <v>工人</v>
      </c>
      <c r="AA198" s="2">
        <f t="shared" si="15"/>
        <v>1</v>
      </c>
      <c r="AB198" s="2">
        <f t="shared" si="16"/>
      </c>
      <c r="AC198" s="2">
        <f t="shared" si="17"/>
      </c>
      <c r="AD198" s="2">
        <f t="shared" si="18"/>
      </c>
      <c r="AE198" s="2" t="str">
        <f t="shared" si="19"/>
        <v>银行</v>
      </c>
      <c r="AF198" s="2">
        <f t="shared" si="20"/>
      </c>
      <c r="AG198" s="2" t="str">
        <f t="shared" si="21"/>
        <v>工资</v>
      </c>
      <c r="AH198" s="2" t="str">
        <f t="shared" si="22"/>
        <v>支</v>
      </c>
      <c r="AI198" s="2">
        <f t="shared" si="23"/>
      </c>
      <c r="AJ198" s="2">
        <f t="shared" si="24"/>
        <v>0</v>
      </c>
      <c r="AK198" s="2">
        <f t="shared" si="25"/>
        <v>0</v>
      </c>
      <c r="AL198" s="2">
        <f t="shared" si="26"/>
        <v>53</v>
      </c>
      <c r="AM198" s="2">
        <f t="shared" si="27"/>
        <v>0</v>
      </c>
      <c r="AN198" s="2">
        <f t="shared" si="28"/>
        <v>46262</v>
      </c>
      <c r="AO198" s="2">
        <f t="shared" si="29"/>
      </c>
      <c r="AP198" s="2" t="str">
        <f t="shared" si="30"/>
        <v>吴长友|1</v>
      </c>
      <c r="AQ198" s="2">
        <f t="shared" si="31"/>
      </c>
    </row>
    <row r="199">
      <c r="A199" s="43">
        <f t="shared" si="3"/>
        <v>194</v>
      </c>
      <c r="B199" s="44" t="n">
        <v>46262</v>
      </c>
      <c r="C199" s="45" t="inlineStr">
        <is>
          <t>九江银行</t>
        </is>
      </c>
      <c r="D199" s="46" t="inlineStr">
        <is>
          <t>梅秀刚工资</t>
        </is>
      </c>
      <c r="E199" s="47" t="n"/>
      <c r="F199" s="47" t="n">
        <v>5000</v>
      </c>
      <c r="G199" s="48">
        <f t="shared" si="4"/>
        <v>929873.3</v>
      </c>
      <c r="H199" s="43">
        <f t="shared" si="0"/>
      </c>
      <c r="I199" s="43" t="str">
        <f t="shared" si="5"/>
        <v>工资</v>
      </c>
      <c r="J199" s="43" t="str">
        <f t="shared" si="1"/>
        <v>梅秀刚</v>
      </c>
      <c r="K199" s="49" t="str">
        <f t="shared" si="2"/>
        <v>√</v>
      </c>
      <c r="L199" s="45" t="n"/>
      <c r="M199" s="45" t="n"/>
      <c r="N199" s="45" t="n"/>
      <c r="O199" s="45" t="n"/>
      <c r="P199" s="50" t="n"/>
      <c r="R199" s="2">
        <f t="shared" si="6"/>
        <v>-5000</v>
      </c>
      <c r="S199" s="2">
        <f t="shared" si="7"/>
        <v>202608</v>
      </c>
      <c r="T199" s="2">
        <f t="shared" si="8"/>
      </c>
      <c r="U199" s="2" t="str">
        <f t="shared" si="9"/>
        <v>工资</v>
      </c>
      <c r="V199" s="2" t="str">
        <f t="shared" si="10"/>
        <v>梅秀刚</v>
      </c>
      <c r="W199" s="2" t="str">
        <f t="shared" si="11"/>
        <v>不进利润</v>
      </c>
      <c r="X199" s="2" t="str">
        <f t="shared" si="12"/>
        <v>应付职工薪酬</v>
      </c>
      <c r="Y199" s="2">
        <f t="shared" si="13"/>
        <v>0</v>
      </c>
      <c r="Z199" s="2" t="str">
        <f t="shared" si="14"/>
        <v>工人</v>
      </c>
      <c r="AA199" s="2">
        <f t="shared" si="15"/>
        <v>1</v>
      </c>
      <c r="AB199" s="2">
        <f t="shared" si="16"/>
      </c>
      <c r="AC199" s="2">
        <f t="shared" si="17"/>
      </c>
      <c r="AD199" s="2">
        <f t="shared" si="18"/>
      </c>
      <c r="AE199" s="2" t="str">
        <f t="shared" si="19"/>
        <v>银行</v>
      </c>
      <c r="AF199" s="2">
        <f t="shared" si="20"/>
      </c>
      <c r="AG199" s="2" t="str">
        <f t="shared" si="21"/>
        <v>工资</v>
      </c>
      <c r="AH199" s="2" t="str">
        <f t="shared" si="22"/>
        <v>支</v>
      </c>
      <c r="AI199" s="2">
        <f t="shared" si="23"/>
      </c>
      <c r="AJ199" s="2">
        <f t="shared" si="24"/>
        <v>0</v>
      </c>
      <c r="AK199" s="2">
        <f t="shared" si="25"/>
        <v>0</v>
      </c>
      <c r="AL199" s="2">
        <f t="shared" si="26"/>
        <v>56</v>
      </c>
      <c r="AM199" s="2">
        <f t="shared" si="27"/>
        <v>0</v>
      </c>
      <c r="AN199" s="2">
        <f t="shared" si="28"/>
        <v>46262</v>
      </c>
      <c r="AO199" s="2">
        <f t="shared" si="29"/>
      </c>
      <c r="AP199" s="2" t="str">
        <f t="shared" si="30"/>
        <v>梅秀刚|3</v>
      </c>
      <c r="AQ199" s="2">
        <f t="shared" si="31"/>
      </c>
    </row>
    <row r="200">
      <c r="A200" s="43">
        <f t="shared" si="3"/>
        <v>195</v>
      </c>
      <c r="B200" s="44" t="n">
        <v>46262</v>
      </c>
      <c r="C200" s="45" t="inlineStr">
        <is>
          <t>九江银行</t>
        </is>
      </c>
      <c r="D200" s="46" t="inlineStr">
        <is>
          <t>叶炳南工资</t>
        </is>
      </c>
      <c r="E200" s="47" t="n"/>
      <c r="F200" s="47" t="n">
        <v>5000</v>
      </c>
      <c r="G200" s="48">
        <f t="shared" si="4"/>
        <v>924873.3</v>
      </c>
      <c r="H200" s="43">
        <f t="shared" si="0"/>
      </c>
      <c r="I200" s="43" t="str">
        <f t="shared" si="5"/>
        <v>工资</v>
      </c>
      <c r="J200" s="43" t="str">
        <f t="shared" si="1"/>
        <v>叶炳南</v>
      </c>
      <c r="K200" s="49" t="str">
        <f t="shared" si="2"/>
        <v>√</v>
      </c>
      <c r="L200" s="45" t="n"/>
      <c r="M200" s="45" t="n"/>
      <c r="N200" s="45" t="n"/>
      <c r="O200" s="45" t="n"/>
      <c r="P200" s="50" t="n"/>
      <c r="R200" s="2">
        <f t="shared" si="6"/>
        <v>-5000</v>
      </c>
      <c r="S200" s="2">
        <f t="shared" si="7"/>
        <v>202608</v>
      </c>
      <c r="T200" s="2">
        <f t="shared" si="8"/>
      </c>
      <c r="U200" s="2" t="str">
        <f t="shared" si="9"/>
        <v>工资</v>
      </c>
      <c r="V200" s="2" t="str">
        <f t="shared" si="10"/>
        <v>叶炳南</v>
      </c>
      <c r="W200" s="2" t="str">
        <f t="shared" si="11"/>
        <v>不进利润</v>
      </c>
      <c r="X200" s="2" t="str">
        <f t="shared" si="12"/>
        <v>应付职工薪酬</v>
      </c>
      <c r="Y200" s="2">
        <f t="shared" si="13"/>
        <v>0</v>
      </c>
      <c r="Z200" s="2" t="str">
        <f t="shared" si="14"/>
        <v>工人</v>
      </c>
      <c r="AA200" s="2">
        <f t="shared" si="15"/>
        <v>1</v>
      </c>
      <c r="AB200" s="2">
        <f t="shared" si="16"/>
      </c>
      <c r="AC200" s="2">
        <f t="shared" si="17"/>
      </c>
      <c r="AD200" s="2">
        <f t="shared" si="18"/>
      </c>
      <c r="AE200" s="2" t="str">
        <f t="shared" si="19"/>
        <v>银行</v>
      </c>
      <c r="AF200" s="2">
        <f t="shared" si="20"/>
      </c>
      <c r="AG200" s="2" t="str">
        <f t="shared" si="21"/>
        <v>工资</v>
      </c>
      <c r="AH200" s="2" t="str">
        <f t="shared" si="22"/>
        <v>支</v>
      </c>
      <c r="AI200" s="2">
        <f t="shared" si="23"/>
      </c>
      <c r="AJ200" s="2">
        <f t="shared" si="24"/>
        <v>0</v>
      </c>
      <c r="AK200" s="2">
        <f t="shared" si="25"/>
        <v>0</v>
      </c>
      <c r="AL200" s="2">
        <f t="shared" si="26"/>
        <v>50</v>
      </c>
      <c r="AM200" s="2">
        <f t="shared" si="27"/>
        <v>0</v>
      </c>
      <c r="AN200" s="2">
        <f t="shared" si="28"/>
        <v>46262</v>
      </c>
      <c r="AO200" s="2">
        <f t="shared" si="29"/>
      </c>
      <c r="AP200" s="2" t="str">
        <f t="shared" si="30"/>
        <v>叶炳南|2</v>
      </c>
      <c r="AQ200" s="2">
        <f t="shared" si="31"/>
      </c>
    </row>
    <row r="201">
      <c r="A201" s="43">
        <f t="shared" si="3"/>
        <v>196</v>
      </c>
      <c r="B201" s="44" t="n">
        <v>46262</v>
      </c>
      <c r="C201" s="45" t="inlineStr">
        <is>
          <t>九江银行</t>
        </is>
      </c>
      <c r="D201" s="46" t="inlineStr">
        <is>
          <t>袁斌财工资</t>
        </is>
      </c>
      <c r="E201" s="47" t="n"/>
      <c r="F201" s="47" t="n">
        <v>5000</v>
      </c>
      <c r="G201" s="48">
        <f t="shared" si="4"/>
        <v>919873.3</v>
      </c>
      <c r="H201" s="43">
        <f t="shared" si="0"/>
      </c>
      <c r="I201" s="43" t="str">
        <f t="shared" si="5"/>
        <v>工资</v>
      </c>
      <c r="J201" s="43" t="str">
        <f t="shared" si="1"/>
        <v>袁斌财</v>
      </c>
      <c r="K201" s="49" t="str">
        <f t="shared" si="2"/>
        <v>√</v>
      </c>
      <c r="L201" s="45" t="n"/>
      <c r="M201" s="45" t="n"/>
      <c r="N201" s="45" t="n"/>
      <c r="O201" s="45" t="n"/>
      <c r="P201" s="50" t="n"/>
      <c r="R201" s="2">
        <f t="shared" si="6"/>
        <v>-5000</v>
      </c>
      <c r="S201" s="2">
        <f t="shared" si="7"/>
        <v>202608</v>
      </c>
      <c r="T201" s="2">
        <f t="shared" si="8"/>
      </c>
      <c r="U201" s="2" t="str">
        <f t="shared" si="9"/>
        <v>工资</v>
      </c>
      <c r="V201" s="2" t="str">
        <f t="shared" si="10"/>
        <v>袁斌财</v>
      </c>
      <c r="W201" s="2" t="str">
        <f t="shared" si="11"/>
        <v>不进利润</v>
      </c>
      <c r="X201" s="2" t="str">
        <f t="shared" si="12"/>
        <v>应付职工薪酬</v>
      </c>
      <c r="Y201" s="2">
        <f t="shared" si="13"/>
        <v>0</v>
      </c>
      <c r="Z201" s="2" t="str">
        <f t="shared" si="14"/>
        <v>工人</v>
      </c>
      <c r="AA201" s="2">
        <f t="shared" si="15"/>
        <v>1</v>
      </c>
      <c r="AB201" s="2">
        <f t="shared" si="16"/>
      </c>
      <c r="AC201" s="2">
        <f t="shared" si="17"/>
      </c>
      <c r="AD201" s="2">
        <f t="shared" si="18"/>
      </c>
      <c r="AE201" s="2" t="str">
        <f t="shared" si="19"/>
        <v>银行</v>
      </c>
      <c r="AF201" s="2">
        <f t="shared" si="20"/>
      </c>
      <c r="AG201" s="2" t="str">
        <f t="shared" si="21"/>
        <v>工资</v>
      </c>
      <c r="AH201" s="2" t="str">
        <f t="shared" si="22"/>
        <v>支</v>
      </c>
      <c r="AI201" s="2">
        <f t="shared" si="23"/>
      </c>
      <c r="AJ201" s="2">
        <f t="shared" si="24"/>
        <v>0</v>
      </c>
      <c r="AK201" s="2">
        <f t="shared" si="25"/>
        <v>0</v>
      </c>
      <c r="AL201" s="2">
        <f t="shared" si="26"/>
        <v>46</v>
      </c>
      <c r="AM201" s="2">
        <f t="shared" si="27"/>
        <v>0</v>
      </c>
      <c r="AN201" s="2">
        <f t="shared" si="28"/>
        <v>46262</v>
      </c>
      <c r="AO201" s="2">
        <f t="shared" si="29"/>
      </c>
      <c r="AP201" s="2" t="str">
        <f t="shared" si="30"/>
        <v>袁斌财|2</v>
      </c>
      <c r="AQ201" s="2">
        <f t="shared" si="31"/>
      </c>
    </row>
    <row r="202">
      <c r="A202" s="43">
        <f t="shared" si="3"/>
        <v>197</v>
      </c>
      <c r="B202" s="44" t="n">
        <v>46262</v>
      </c>
      <c r="C202" s="45" t="inlineStr">
        <is>
          <t>九江银行</t>
        </is>
      </c>
      <c r="D202" s="46" t="inlineStr">
        <is>
          <t>金南水工资</t>
        </is>
      </c>
      <c r="E202" s="47" t="n"/>
      <c r="F202" s="47" t="n">
        <v>5000</v>
      </c>
      <c r="G202" s="48">
        <f t="shared" si="4"/>
        <v>914873.3</v>
      </c>
      <c r="H202" s="43">
        <f t="shared" si="0"/>
      </c>
      <c r="I202" s="43" t="str">
        <f t="shared" si="5"/>
        <v>工资</v>
      </c>
      <c r="J202" s="43" t="str">
        <f t="shared" si="1"/>
        <v>金南水</v>
      </c>
      <c r="K202" s="49" t="str">
        <f t="shared" si="2"/>
        <v>√</v>
      </c>
      <c r="L202" s="45" t="n"/>
      <c r="M202" s="45" t="n"/>
      <c r="N202" s="45" t="n"/>
      <c r="O202" s="45" t="n"/>
      <c r="P202" s="50" t="n"/>
      <c r="R202" s="2">
        <f t="shared" si="6"/>
        <v>-5000</v>
      </c>
      <c r="S202" s="2">
        <f t="shared" si="7"/>
        <v>202608</v>
      </c>
      <c r="T202" s="2">
        <f t="shared" si="8"/>
      </c>
      <c r="U202" s="2" t="str">
        <f t="shared" si="9"/>
        <v>工资</v>
      </c>
      <c r="V202" s="2" t="str">
        <f t="shared" si="10"/>
        <v>金南水</v>
      </c>
      <c r="W202" s="2" t="str">
        <f t="shared" si="11"/>
        <v>不进利润</v>
      </c>
      <c r="X202" s="2" t="str">
        <f t="shared" si="12"/>
        <v>应付职工薪酬</v>
      </c>
      <c r="Y202" s="2">
        <f t="shared" si="13"/>
        <v>0</v>
      </c>
      <c r="Z202" s="2" t="str">
        <f t="shared" si="14"/>
        <v>工人</v>
      </c>
      <c r="AA202" s="2">
        <f t="shared" si="15"/>
        <v>1</v>
      </c>
      <c r="AB202" s="2">
        <f t="shared" si="16"/>
      </c>
      <c r="AC202" s="2">
        <f t="shared" si="17"/>
      </c>
      <c r="AD202" s="2">
        <f t="shared" si="18"/>
      </c>
      <c r="AE202" s="2" t="str">
        <f t="shared" si="19"/>
        <v>银行</v>
      </c>
      <c r="AF202" s="2">
        <f t="shared" si="20"/>
      </c>
      <c r="AG202" s="2" t="str">
        <f t="shared" si="21"/>
        <v>工资</v>
      </c>
      <c r="AH202" s="2" t="str">
        <f t="shared" si="22"/>
        <v>支</v>
      </c>
      <c r="AI202" s="2">
        <f t="shared" si="23"/>
      </c>
      <c r="AJ202" s="2">
        <f t="shared" si="24"/>
        <v>0</v>
      </c>
      <c r="AK202" s="2">
        <f t="shared" si="25"/>
        <v>0</v>
      </c>
      <c r="AL202" s="2">
        <f t="shared" si="26"/>
        <v>57</v>
      </c>
      <c r="AM202" s="2">
        <f t="shared" si="27"/>
        <v>0</v>
      </c>
      <c r="AN202" s="2">
        <f t="shared" si="28"/>
        <v>46262</v>
      </c>
      <c r="AO202" s="2">
        <f t="shared" si="29"/>
      </c>
      <c r="AP202" s="2" t="str">
        <f t="shared" si="30"/>
        <v>金南水|4</v>
      </c>
      <c r="AQ202" s="2">
        <f t="shared" si="31"/>
      </c>
    </row>
    <row r="203">
      <c r="A203" s="43">
        <f t="shared" si="3"/>
        <v>198</v>
      </c>
      <c r="B203" s="44" t="n">
        <v>46262</v>
      </c>
      <c r="C203" s="45" t="inlineStr">
        <is>
          <t>九江银行</t>
        </is>
      </c>
      <c r="D203" s="46" t="inlineStr">
        <is>
          <t>胡家新工资</t>
        </is>
      </c>
      <c r="E203" s="47" t="n"/>
      <c r="F203" s="47" t="n">
        <v>3000</v>
      </c>
      <c r="G203" s="48">
        <f t="shared" si="4"/>
        <v>911873.3</v>
      </c>
      <c r="H203" s="43">
        <f t="shared" si="0"/>
      </c>
      <c r="I203" s="43" t="str">
        <f t="shared" si="5"/>
        <v>工资</v>
      </c>
      <c r="J203" s="43" t="str">
        <f t="shared" si="1"/>
        <v>胡家新</v>
      </c>
      <c r="K203" s="49" t="str">
        <f t="shared" si="2"/>
        <v>√</v>
      </c>
      <c r="L203" s="45" t="n"/>
      <c r="M203" s="45" t="n"/>
      <c r="N203" s="45" t="n"/>
      <c r="O203" s="45" t="n"/>
      <c r="P203" s="50" t="n"/>
      <c r="R203" s="2">
        <f t="shared" si="6"/>
        <v>-3000</v>
      </c>
      <c r="S203" s="2">
        <f t="shared" si="7"/>
        <v>202608</v>
      </c>
      <c r="T203" s="2">
        <f t="shared" si="8"/>
      </c>
      <c r="U203" s="2" t="str">
        <f t="shared" si="9"/>
        <v>工资</v>
      </c>
      <c r="V203" s="2" t="str">
        <f t="shared" si="10"/>
        <v>胡家新</v>
      </c>
      <c r="W203" s="2" t="str">
        <f t="shared" si="11"/>
        <v>不进利润</v>
      </c>
      <c r="X203" s="2" t="str">
        <f t="shared" si="12"/>
        <v>应付职工薪酬</v>
      </c>
      <c r="Y203" s="2">
        <f t="shared" si="13"/>
        <v>0</v>
      </c>
      <c r="Z203" s="2" t="str">
        <f t="shared" si="14"/>
        <v>工人</v>
      </c>
      <c r="AA203" s="2">
        <f t="shared" si="15"/>
        <v>1</v>
      </c>
      <c r="AB203" s="2">
        <f t="shared" si="16"/>
      </c>
      <c r="AC203" s="2">
        <f t="shared" si="17"/>
      </c>
      <c r="AD203" s="2">
        <f t="shared" si="18"/>
      </c>
      <c r="AE203" s="2" t="str">
        <f t="shared" si="19"/>
        <v>银行</v>
      </c>
      <c r="AF203" s="2">
        <f t="shared" si="20"/>
      </c>
      <c r="AG203" s="2" t="str">
        <f t="shared" si="21"/>
        <v>工资</v>
      </c>
      <c r="AH203" s="2" t="str">
        <f t="shared" si="22"/>
        <v>支</v>
      </c>
      <c r="AI203" s="2">
        <f t="shared" si="23"/>
      </c>
      <c r="AJ203" s="2">
        <f t="shared" si="24"/>
        <v>0</v>
      </c>
      <c r="AK203" s="2">
        <f t="shared" si="25"/>
        <v>0</v>
      </c>
      <c r="AL203" s="2">
        <f t="shared" si="26"/>
        <v>47</v>
      </c>
      <c r="AM203" s="2">
        <f t="shared" si="27"/>
        <v>0</v>
      </c>
      <c r="AN203" s="2">
        <f t="shared" si="28"/>
        <v>46262</v>
      </c>
      <c r="AO203" s="2">
        <f t="shared" si="29"/>
      </c>
      <c r="AP203" s="2" t="str">
        <f t="shared" si="30"/>
        <v>胡家新|2</v>
      </c>
      <c r="AQ203" s="2">
        <f t="shared" si="31"/>
      </c>
    </row>
    <row r="204">
      <c r="A204" s="43">
        <f t="shared" si="3"/>
        <v>199</v>
      </c>
      <c r="B204" s="44" t="n">
        <v>46262</v>
      </c>
      <c r="C204" s="45" t="inlineStr">
        <is>
          <t>九江银行</t>
        </is>
      </c>
      <c r="D204" s="46" t="inlineStr">
        <is>
          <t>万焕和工资</t>
        </is>
      </c>
      <c r="E204" s="47" t="n"/>
      <c r="F204" s="47" t="n">
        <v>3000</v>
      </c>
      <c r="G204" s="48">
        <f t="shared" si="4"/>
        <v>908873.3</v>
      </c>
      <c r="H204" s="43">
        <f t="shared" si="0"/>
      </c>
      <c r="I204" s="43" t="str">
        <f t="shared" si="5"/>
        <v>工资</v>
      </c>
      <c r="J204" s="43" t="str">
        <f t="shared" si="1"/>
        <v>万焕和</v>
      </c>
      <c r="K204" s="49" t="str">
        <f t="shared" si="2"/>
        <v>√</v>
      </c>
      <c r="L204" s="45" t="n"/>
      <c r="M204" s="45" t="n"/>
      <c r="N204" s="45" t="n"/>
      <c r="O204" s="45" t="n"/>
      <c r="P204" s="50" t="n"/>
      <c r="R204" s="2">
        <f t="shared" si="6"/>
        <v>-3000</v>
      </c>
      <c r="S204" s="2">
        <f t="shared" si="7"/>
        <v>202608</v>
      </c>
      <c r="T204" s="2">
        <f t="shared" si="8"/>
      </c>
      <c r="U204" s="2" t="str">
        <f t="shared" si="9"/>
        <v>工资</v>
      </c>
      <c r="V204" s="2" t="str">
        <f t="shared" si="10"/>
        <v>万焕和</v>
      </c>
      <c r="W204" s="2" t="str">
        <f t="shared" si="11"/>
        <v>不进利润</v>
      </c>
      <c r="X204" s="2" t="str">
        <f t="shared" si="12"/>
        <v>应付职工薪酬</v>
      </c>
      <c r="Y204" s="2">
        <f t="shared" si="13"/>
        <v>0</v>
      </c>
      <c r="Z204" s="2" t="str">
        <f t="shared" si="14"/>
        <v>工人</v>
      </c>
      <c r="AA204" s="2">
        <f t="shared" si="15"/>
        <v>1</v>
      </c>
      <c r="AB204" s="2">
        <f t="shared" si="16"/>
      </c>
      <c r="AC204" s="2">
        <f t="shared" si="17"/>
      </c>
      <c r="AD204" s="2">
        <f t="shared" si="18"/>
      </c>
      <c r="AE204" s="2" t="str">
        <f t="shared" si="19"/>
        <v>银行</v>
      </c>
      <c r="AF204" s="2">
        <f t="shared" si="20"/>
      </c>
      <c r="AG204" s="2" t="str">
        <f t="shared" si="21"/>
        <v>工资</v>
      </c>
      <c r="AH204" s="2" t="str">
        <f t="shared" si="22"/>
        <v>支</v>
      </c>
      <c r="AI204" s="2">
        <f t="shared" si="23"/>
      </c>
      <c r="AJ204" s="2">
        <f t="shared" si="24"/>
        <v>0</v>
      </c>
      <c r="AK204" s="2">
        <f t="shared" si="25"/>
        <v>0</v>
      </c>
      <c r="AL204" s="2">
        <f t="shared" si="26"/>
        <v>51</v>
      </c>
      <c r="AM204" s="2">
        <f t="shared" si="27"/>
        <v>0</v>
      </c>
      <c r="AN204" s="2">
        <f t="shared" si="28"/>
        <v>46262</v>
      </c>
      <c r="AO204" s="2">
        <f t="shared" si="29"/>
      </c>
      <c r="AP204" s="2" t="str">
        <f t="shared" si="30"/>
        <v>万焕和|2</v>
      </c>
      <c r="AQ204" s="2">
        <f t="shared" si="31"/>
      </c>
    </row>
    <row r="205">
      <c r="A205" s="43">
        <f t="shared" si="3"/>
        <v>200</v>
      </c>
      <c r="B205" s="44" t="n">
        <v>46262</v>
      </c>
      <c r="C205" s="45" t="inlineStr">
        <is>
          <t>九江银行</t>
        </is>
      </c>
      <c r="D205" s="46" t="inlineStr">
        <is>
          <t>邓付贞工资</t>
        </is>
      </c>
      <c r="E205" s="47" t="n"/>
      <c r="F205" s="47" t="n">
        <v>5000</v>
      </c>
      <c r="G205" s="48">
        <f t="shared" si="4"/>
        <v>903873.3</v>
      </c>
      <c r="H205" s="43">
        <f t="shared" si="0"/>
      </c>
      <c r="I205" s="43" t="str">
        <f t="shared" si="5"/>
        <v>工资</v>
      </c>
      <c r="J205" s="43" t="str">
        <f t="shared" si="1"/>
        <v>邓付贞</v>
      </c>
      <c r="K205" s="49" t="str">
        <f t="shared" si="2"/>
        <v>√</v>
      </c>
      <c r="L205" s="45" t="n"/>
      <c r="M205" s="45" t="n"/>
      <c r="N205" s="45" t="n"/>
      <c r="O205" s="45" t="n"/>
      <c r="P205" s="50" t="n"/>
      <c r="R205" s="2">
        <f t="shared" si="6"/>
        <v>-5000</v>
      </c>
      <c r="S205" s="2">
        <f t="shared" si="7"/>
        <v>202608</v>
      </c>
      <c r="T205" s="2">
        <f t="shared" si="8"/>
      </c>
      <c r="U205" s="2" t="str">
        <f t="shared" si="9"/>
        <v>工资</v>
      </c>
      <c r="V205" s="2" t="str">
        <f t="shared" si="10"/>
        <v>邓付贞</v>
      </c>
      <c r="W205" s="2" t="str">
        <f t="shared" si="11"/>
        <v>不进利润</v>
      </c>
      <c r="X205" s="2" t="str">
        <f t="shared" si="12"/>
        <v>应付职工薪酬</v>
      </c>
      <c r="Y205" s="2">
        <f t="shared" si="13"/>
        <v>0</v>
      </c>
      <c r="Z205" s="2" t="str">
        <f t="shared" si="14"/>
        <v>工人</v>
      </c>
      <c r="AA205" s="2">
        <f t="shared" si="15"/>
        <v>1</v>
      </c>
      <c r="AB205" s="2">
        <f t="shared" si="16"/>
      </c>
      <c r="AC205" s="2">
        <f t="shared" si="17"/>
      </c>
      <c r="AD205" s="2">
        <f t="shared" si="18"/>
      </c>
      <c r="AE205" s="2" t="str">
        <f t="shared" si="19"/>
        <v>银行</v>
      </c>
      <c r="AF205" s="2">
        <f t="shared" si="20"/>
      </c>
      <c r="AG205" s="2" t="str">
        <f t="shared" si="21"/>
        <v>工资</v>
      </c>
      <c r="AH205" s="2" t="str">
        <f t="shared" si="22"/>
        <v>支</v>
      </c>
      <c r="AI205" s="2">
        <f t="shared" si="23"/>
      </c>
      <c r="AJ205" s="2">
        <f t="shared" si="24"/>
        <v>0</v>
      </c>
      <c r="AK205" s="2">
        <f t="shared" si="25"/>
        <v>0</v>
      </c>
      <c r="AL205" s="2">
        <f t="shared" si="26"/>
        <v>74</v>
      </c>
      <c r="AM205" s="2">
        <f t="shared" si="27"/>
        <v>0</v>
      </c>
      <c r="AN205" s="2">
        <f t="shared" si="28"/>
        <v>46262</v>
      </c>
      <c r="AO205" s="2">
        <f t="shared" si="29"/>
      </c>
      <c r="AP205" s="2" t="str">
        <f t="shared" si="30"/>
        <v>邓付贞|1</v>
      </c>
      <c r="AQ205" s="2">
        <f t="shared" si="31"/>
      </c>
    </row>
    <row r="206">
      <c r="A206" s="43">
        <f t="shared" si="3"/>
        <v>201</v>
      </c>
      <c r="B206" s="44" t="n">
        <v>46262</v>
      </c>
      <c r="C206" s="45" t="inlineStr">
        <is>
          <t>九江银行</t>
        </is>
      </c>
      <c r="D206" s="46" t="inlineStr">
        <is>
          <t>刘海工资</t>
        </is>
      </c>
      <c r="E206" s="47" t="n"/>
      <c r="F206" s="47" t="n">
        <v>3000</v>
      </c>
      <c r="G206" s="48">
        <f t="shared" si="4"/>
        <v>900873.3</v>
      </c>
      <c r="H206" s="43">
        <f t="shared" si="0"/>
      </c>
      <c r="I206" s="43" t="str">
        <f t="shared" si="5"/>
        <v>工资</v>
      </c>
      <c r="J206" s="43" t="str">
        <f t="shared" si="1"/>
        <v>刘海</v>
      </c>
      <c r="K206" s="49" t="str">
        <f t="shared" si="2"/>
        <v>√</v>
      </c>
      <c r="L206" s="45" t="n"/>
      <c r="M206" s="45" t="n"/>
      <c r="N206" s="45" t="n"/>
      <c r="O206" s="45" t="n"/>
      <c r="P206" s="50" t="n"/>
      <c r="R206" s="2">
        <f t="shared" si="6"/>
        <v>-3000</v>
      </c>
      <c r="S206" s="2">
        <f t="shared" si="7"/>
        <v>202608</v>
      </c>
      <c r="T206" s="2">
        <f t="shared" si="8"/>
      </c>
      <c r="U206" s="2" t="str">
        <f t="shared" si="9"/>
        <v>工资</v>
      </c>
      <c r="V206" s="2" t="str">
        <f t="shared" si="10"/>
        <v>刘海</v>
      </c>
      <c r="W206" s="2" t="str">
        <f t="shared" si="11"/>
        <v>不进利润</v>
      </c>
      <c r="X206" s="2" t="str">
        <f t="shared" si="12"/>
        <v>应付职工薪酬</v>
      </c>
      <c r="Y206" s="2">
        <f t="shared" si="13"/>
        <v>0</v>
      </c>
      <c r="Z206" s="2" t="str">
        <f t="shared" si="14"/>
        <v>工人</v>
      </c>
      <c r="AA206" s="2">
        <f t="shared" si="15"/>
        <v>1</v>
      </c>
      <c r="AB206" s="2">
        <f t="shared" si="16"/>
      </c>
      <c r="AC206" s="2">
        <f t="shared" si="17"/>
      </c>
      <c r="AD206" s="2">
        <f t="shared" si="18"/>
      </c>
      <c r="AE206" s="2" t="str">
        <f t="shared" si="19"/>
        <v>银行</v>
      </c>
      <c r="AF206" s="2">
        <f t="shared" si="20"/>
      </c>
      <c r="AG206" s="2" t="str">
        <f t="shared" si="21"/>
        <v>工资</v>
      </c>
      <c r="AH206" s="2" t="str">
        <f t="shared" si="22"/>
        <v>支</v>
      </c>
      <c r="AI206" s="2">
        <f t="shared" si="23"/>
      </c>
      <c r="AJ206" s="2">
        <f t="shared" si="24"/>
        <v>0</v>
      </c>
      <c r="AK206" s="2">
        <f t="shared" si="25"/>
        <v>0</v>
      </c>
      <c r="AL206" s="2">
        <f t="shared" si="26"/>
        <v>108</v>
      </c>
      <c r="AM206" s="2">
        <f t="shared" si="27"/>
        <v>0</v>
      </c>
      <c r="AN206" s="2">
        <f t="shared" si="28"/>
        <v>46262</v>
      </c>
      <c r="AO206" s="2">
        <f t="shared" si="29"/>
      </c>
      <c r="AP206" s="2" t="str">
        <f t="shared" si="30"/>
        <v>刘海|2</v>
      </c>
      <c r="AQ206" s="2">
        <f t="shared" si="31"/>
      </c>
    </row>
    <row r="207">
      <c r="A207" s="43">
        <f t="shared" si="3"/>
        <v>202</v>
      </c>
      <c r="B207" s="44" t="n">
        <v>46262</v>
      </c>
      <c r="C207" s="45" t="inlineStr">
        <is>
          <t>九江银行</t>
        </is>
      </c>
      <c r="D207" s="46" t="inlineStr">
        <is>
          <t>徐从国工资</t>
        </is>
      </c>
      <c r="E207" s="47" t="n"/>
      <c r="F207" s="47" t="n">
        <v>2000</v>
      </c>
      <c r="G207" s="48">
        <f t="shared" si="4"/>
        <v>898873.3</v>
      </c>
      <c r="H207" s="43">
        <f t="shared" si="0"/>
      </c>
      <c r="I207" s="43" t="str">
        <f t="shared" si="5"/>
        <v>工资</v>
      </c>
      <c r="J207" s="43" t="str">
        <f t="shared" si="1"/>
        <v>徐从国</v>
      </c>
      <c r="K207" s="49" t="str">
        <f t="shared" si="2"/>
        <v>√</v>
      </c>
      <c r="L207" s="45" t="n"/>
      <c r="M207" s="45" t="n"/>
      <c r="N207" s="45" t="n"/>
      <c r="O207" s="45" t="n"/>
      <c r="P207" s="50" t="n"/>
      <c r="R207" s="2">
        <f t="shared" si="6"/>
        <v>-2000</v>
      </c>
      <c r="S207" s="2">
        <f t="shared" si="7"/>
        <v>202608</v>
      </c>
      <c r="T207" s="2">
        <f t="shared" si="8"/>
      </c>
      <c r="U207" s="2" t="str">
        <f t="shared" si="9"/>
        <v>工资</v>
      </c>
      <c r="V207" s="2" t="str">
        <f t="shared" si="10"/>
        <v>徐从国</v>
      </c>
      <c r="W207" s="2" t="str">
        <f t="shared" si="11"/>
        <v>不进利润</v>
      </c>
      <c r="X207" s="2" t="str">
        <f t="shared" si="12"/>
        <v>应付职工薪酬</v>
      </c>
      <c r="Y207" s="2">
        <f t="shared" si="13"/>
        <v>0</v>
      </c>
      <c r="Z207" s="2" t="str">
        <f t="shared" si="14"/>
        <v>工人</v>
      </c>
      <c r="AA207" s="2">
        <f t="shared" si="15"/>
        <v>1</v>
      </c>
      <c r="AB207" s="2">
        <f t="shared" si="16"/>
      </c>
      <c r="AC207" s="2">
        <f t="shared" si="17"/>
      </c>
      <c r="AD207" s="2">
        <f t="shared" si="18"/>
      </c>
      <c r="AE207" s="2" t="str">
        <f t="shared" si="19"/>
        <v>银行</v>
      </c>
      <c r="AF207" s="2">
        <f t="shared" si="20"/>
      </c>
      <c r="AG207" s="2" t="str">
        <f t="shared" si="21"/>
        <v>工资</v>
      </c>
      <c r="AH207" s="2" t="str">
        <f t="shared" si="22"/>
        <v>支</v>
      </c>
      <c r="AI207" s="2">
        <f t="shared" si="23"/>
      </c>
      <c r="AJ207" s="2">
        <f t="shared" si="24"/>
        <v>0</v>
      </c>
      <c r="AK207" s="2">
        <f t="shared" si="25"/>
        <v>0</v>
      </c>
      <c r="AL207" s="2">
        <f t="shared" si="26"/>
        <v>55</v>
      </c>
      <c r="AM207" s="2">
        <f t="shared" si="27"/>
        <v>0</v>
      </c>
      <c r="AN207" s="2">
        <f t="shared" si="28"/>
        <v>46262</v>
      </c>
      <c r="AO207" s="2">
        <f t="shared" si="29"/>
      </c>
      <c r="AP207" s="2" t="str">
        <f t="shared" si="30"/>
        <v>徐从国|2</v>
      </c>
      <c r="AQ207" s="2">
        <f t="shared" si="31"/>
      </c>
    </row>
    <row r="208">
      <c r="A208" s="43">
        <f t="shared" si="3"/>
        <v>203</v>
      </c>
      <c r="B208" s="44" t="n">
        <v>46262</v>
      </c>
      <c r="C208" s="45" t="inlineStr">
        <is>
          <t>九江银行</t>
        </is>
      </c>
      <c r="D208" s="46" t="inlineStr">
        <is>
          <t>王兴蛟工资</t>
        </is>
      </c>
      <c r="E208" s="47" t="n"/>
      <c r="F208" s="47" t="n">
        <v>2000</v>
      </c>
      <c r="G208" s="48">
        <f t="shared" si="4"/>
        <v>896873.3</v>
      </c>
      <c r="H208" s="43">
        <f t="shared" si="0"/>
      </c>
      <c r="I208" s="43" t="str">
        <f t="shared" si="5"/>
        <v>工资</v>
      </c>
      <c r="J208" s="43" t="str">
        <f t="shared" si="1"/>
        <v>王兴蛟</v>
      </c>
      <c r="K208" s="49" t="str">
        <f t="shared" si="2"/>
        <v>√</v>
      </c>
      <c r="L208" s="45" t="n"/>
      <c r="M208" s="45" t="n"/>
      <c r="N208" s="45" t="n"/>
      <c r="O208" s="45" t="n"/>
      <c r="P208" s="50" t="n"/>
      <c r="R208" s="2">
        <f t="shared" si="6"/>
        <v>-2000</v>
      </c>
      <c r="S208" s="2">
        <f t="shared" si="7"/>
        <v>202608</v>
      </c>
      <c r="T208" s="2">
        <f t="shared" si="8"/>
      </c>
      <c r="U208" s="2" t="str">
        <f t="shared" si="9"/>
        <v>工资</v>
      </c>
      <c r="V208" s="2" t="str">
        <f t="shared" si="10"/>
        <v>王兴蛟</v>
      </c>
      <c r="W208" s="2" t="str">
        <f t="shared" si="11"/>
        <v>不进利润</v>
      </c>
      <c r="X208" s="2" t="str">
        <f t="shared" si="12"/>
        <v>应付职工薪酬</v>
      </c>
      <c r="Y208" s="2">
        <f t="shared" si="13"/>
        <v>0</v>
      </c>
      <c r="Z208" s="2" t="str">
        <f t="shared" si="14"/>
        <v>工人</v>
      </c>
      <c r="AA208" s="2">
        <f t="shared" si="15"/>
        <v>1</v>
      </c>
      <c r="AB208" s="2">
        <f t="shared" si="16"/>
      </c>
      <c r="AC208" s="2">
        <f t="shared" si="17"/>
      </c>
      <c r="AD208" s="2">
        <f t="shared" si="18"/>
      </c>
      <c r="AE208" s="2" t="str">
        <f t="shared" si="19"/>
        <v>银行</v>
      </c>
      <c r="AF208" s="2">
        <f t="shared" si="20"/>
      </c>
      <c r="AG208" s="2" t="str">
        <f t="shared" si="21"/>
        <v>工资</v>
      </c>
      <c r="AH208" s="2" t="str">
        <f t="shared" si="22"/>
        <v>支</v>
      </c>
      <c r="AI208" s="2">
        <f t="shared" si="23"/>
      </c>
      <c r="AJ208" s="2">
        <f t="shared" si="24"/>
        <v>0</v>
      </c>
      <c r="AK208" s="2">
        <f t="shared" si="25"/>
        <v>0</v>
      </c>
      <c r="AL208" s="2">
        <f t="shared" si="26"/>
        <v>60</v>
      </c>
      <c r="AM208" s="2">
        <f t="shared" si="27"/>
        <v>0</v>
      </c>
      <c r="AN208" s="2">
        <f t="shared" si="28"/>
        <v>46262</v>
      </c>
      <c r="AO208" s="2">
        <f t="shared" si="29"/>
      </c>
      <c r="AP208" s="2" t="str">
        <f t="shared" si="30"/>
        <v>王兴蛟|3</v>
      </c>
      <c r="AQ208" s="2">
        <f t="shared" si="31"/>
      </c>
    </row>
    <row r="209">
      <c r="A209" s="43">
        <f t="shared" si="3"/>
        <v>204</v>
      </c>
      <c r="B209" s="44" t="n">
        <v>46262</v>
      </c>
      <c r="C209" s="45" t="inlineStr">
        <is>
          <t>九江银行</t>
        </is>
      </c>
      <c r="D209" s="46" t="inlineStr">
        <is>
          <t>叶焰平工资</t>
        </is>
      </c>
      <c r="E209" s="47" t="n"/>
      <c r="F209" s="47" t="n">
        <v>10000</v>
      </c>
      <c r="G209" s="48">
        <f t="shared" si="4"/>
        <v>886873.3</v>
      </c>
      <c r="H209" s="43">
        <f t="shared" si="0"/>
      </c>
      <c r="I209" s="43" t="str">
        <f t="shared" si="5"/>
        <v>工资</v>
      </c>
      <c r="J209" s="43" t="str">
        <f t="shared" si="1"/>
        <v>叶焰平</v>
      </c>
      <c r="K209" s="49" t="str">
        <f t="shared" si="2"/>
        <v>√</v>
      </c>
      <c r="L209" s="45" t="n"/>
      <c r="M209" s="45" t="n"/>
      <c r="N209" s="45" t="n"/>
      <c r="O209" s="45" t="n"/>
      <c r="P209" s="50" t="n"/>
      <c r="R209" s="2">
        <f t="shared" si="6"/>
        <v>-10000</v>
      </c>
      <c r="S209" s="2">
        <f t="shared" si="7"/>
        <v>202608</v>
      </c>
      <c r="T209" s="2">
        <f t="shared" si="8"/>
      </c>
      <c r="U209" s="2" t="str">
        <f t="shared" si="9"/>
        <v>工资</v>
      </c>
      <c r="V209" s="2" t="str">
        <f t="shared" si="10"/>
        <v>叶焰平</v>
      </c>
      <c r="W209" s="2" t="str">
        <f t="shared" si="11"/>
        <v>不进利润</v>
      </c>
      <c r="X209" s="2" t="str">
        <f t="shared" si="12"/>
        <v>应付职工薪酬</v>
      </c>
      <c r="Y209" s="2">
        <f t="shared" si="13"/>
        <v>0</v>
      </c>
      <c r="Z209" s="2" t="str">
        <f t="shared" si="14"/>
        <v>工人</v>
      </c>
      <c r="AA209" s="2">
        <f t="shared" si="15"/>
        <v>1</v>
      </c>
      <c r="AB209" s="2">
        <f t="shared" si="16"/>
      </c>
      <c r="AC209" s="2">
        <f t="shared" si="17"/>
      </c>
      <c r="AD209" s="2">
        <f t="shared" si="18"/>
      </c>
      <c r="AE209" s="2" t="str">
        <f t="shared" si="19"/>
        <v>银行</v>
      </c>
      <c r="AF209" s="2">
        <f t="shared" si="20"/>
      </c>
      <c r="AG209" s="2" t="str">
        <f t="shared" si="21"/>
        <v>工资</v>
      </c>
      <c r="AH209" s="2" t="str">
        <f t="shared" si="22"/>
        <v>支</v>
      </c>
      <c r="AI209" s="2">
        <f t="shared" si="23"/>
      </c>
      <c r="AJ209" s="2">
        <f t="shared" si="24"/>
        <v>0</v>
      </c>
      <c r="AK209" s="2">
        <f t="shared" si="25"/>
        <v>0</v>
      </c>
      <c r="AL209" s="2">
        <f t="shared" si="26"/>
        <v>70</v>
      </c>
      <c r="AM209" s="2">
        <f t="shared" si="27"/>
        <v>0</v>
      </c>
      <c r="AN209" s="2">
        <f t="shared" si="28"/>
        <v>46262</v>
      </c>
      <c r="AO209" s="2">
        <f t="shared" si="29"/>
      </c>
      <c r="AP209" s="2" t="str">
        <f t="shared" si="30"/>
        <v>叶焰平|3</v>
      </c>
      <c r="AQ209" s="2">
        <f t="shared" si="31"/>
      </c>
    </row>
    <row r="210">
      <c r="A210" s="43">
        <f t="shared" si="3"/>
        <v>205</v>
      </c>
      <c r="B210" s="44" t="n">
        <v>46262</v>
      </c>
      <c r="C210" s="45" t="inlineStr">
        <is>
          <t>九江银行</t>
        </is>
      </c>
      <c r="D210" s="46" t="inlineStr">
        <is>
          <t>张亮亮工资</t>
        </is>
      </c>
      <c r="E210" s="47" t="n"/>
      <c r="F210" s="47" t="n">
        <v>5000</v>
      </c>
      <c r="G210" s="48">
        <f t="shared" si="4"/>
        <v>881873.3</v>
      </c>
      <c r="H210" s="43">
        <f t="shared" si="0"/>
      </c>
      <c r="I210" s="43" t="str">
        <f t="shared" si="5"/>
        <v>工资</v>
      </c>
      <c r="J210" s="43" t="str">
        <f t="shared" si="1"/>
        <v>张亮亮</v>
      </c>
      <c r="K210" s="49" t="str">
        <f t="shared" si="2"/>
        <v>√</v>
      </c>
      <c r="L210" s="45" t="n"/>
      <c r="M210" s="45" t="n"/>
      <c r="N210" s="45" t="n"/>
      <c r="O210" s="45" t="n"/>
      <c r="P210" s="50" t="n"/>
      <c r="R210" s="2">
        <f t="shared" si="6"/>
        <v>-5000</v>
      </c>
      <c r="S210" s="2">
        <f t="shared" si="7"/>
        <v>202608</v>
      </c>
      <c r="T210" s="2">
        <f t="shared" si="8"/>
      </c>
      <c r="U210" s="2" t="str">
        <f t="shared" si="9"/>
        <v>工资</v>
      </c>
      <c r="V210" s="2" t="str">
        <f t="shared" si="10"/>
        <v>张亮亮</v>
      </c>
      <c r="W210" s="2" t="str">
        <f t="shared" si="11"/>
        <v>不进利润</v>
      </c>
      <c r="X210" s="2" t="str">
        <f t="shared" si="12"/>
        <v>应付职工薪酬</v>
      </c>
      <c r="Y210" s="2">
        <f t="shared" si="13"/>
        <v>0</v>
      </c>
      <c r="Z210" s="2" t="str">
        <f t="shared" si="14"/>
        <v>工人</v>
      </c>
      <c r="AA210" s="2">
        <f t="shared" si="15"/>
        <v>1</v>
      </c>
      <c r="AB210" s="2">
        <f t="shared" si="16"/>
      </c>
      <c r="AC210" s="2">
        <f t="shared" si="17"/>
      </c>
      <c r="AD210" s="2">
        <f t="shared" si="18"/>
      </c>
      <c r="AE210" s="2" t="str">
        <f t="shared" si="19"/>
        <v>银行</v>
      </c>
      <c r="AF210" s="2">
        <f t="shared" si="20"/>
      </c>
      <c r="AG210" s="2" t="str">
        <f t="shared" si="21"/>
        <v>工资</v>
      </c>
      <c r="AH210" s="2" t="str">
        <f t="shared" si="22"/>
        <v>支</v>
      </c>
      <c r="AI210" s="2">
        <f t="shared" si="23"/>
      </c>
      <c r="AJ210" s="2">
        <f t="shared" si="24"/>
        <v>0</v>
      </c>
      <c r="AK210" s="2">
        <f t="shared" si="25"/>
        <v>0</v>
      </c>
      <c r="AL210" s="2">
        <f t="shared" si="26"/>
        <v>63</v>
      </c>
      <c r="AM210" s="2">
        <f t="shared" si="27"/>
        <v>0</v>
      </c>
      <c r="AN210" s="2">
        <f t="shared" si="28"/>
        <v>46262</v>
      </c>
      <c r="AO210" s="2">
        <f t="shared" si="29"/>
      </c>
      <c r="AP210" s="2" t="str">
        <f t="shared" si="30"/>
        <v>张亮亮|3</v>
      </c>
      <c r="AQ210" s="2">
        <f t="shared" si="31"/>
      </c>
    </row>
    <row r="211">
      <c r="A211" s="43">
        <f t="shared" si="3"/>
        <v>206</v>
      </c>
      <c r="B211" s="44" t="n">
        <v>46262</v>
      </c>
      <c r="C211" s="45" t="inlineStr">
        <is>
          <t>九江银行</t>
        </is>
      </c>
      <c r="D211" s="46" t="inlineStr">
        <is>
          <t>抚州2号楼预缴企业所得税</t>
        </is>
      </c>
      <c r="E211" s="47" t="n"/>
      <c r="F211" s="47" t="n">
        <v>93.94</v>
      </c>
      <c r="G211" s="48">
        <f t="shared" si="4"/>
        <v>881779.36</v>
      </c>
      <c r="H211" s="43" t="str">
        <f t="shared" si="0"/>
        <v>抚州2号楼</v>
      </c>
      <c r="I211" s="43" t="str">
        <f t="shared" si="5"/>
        <v>所得税</v>
      </c>
      <c r="J211" s="43">
        <f t="shared" si="1"/>
      </c>
      <c r="K211" s="49" t="str">
        <f t="shared" si="2"/>
        <v>√</v>
      </c>
      <c r="L211" s="45" t="n"/>
      <c r="M211" s="45" t="n"/>
      <c r="N211" s="45" t="n"/>
      <c r="O211" s="45" t="n"/>
      <c r="P211" s="50" t="n"/>
      <c r="R211" s="2">
        <f t="shared" si="6"/>
        <v>-93.94</v>
      </c>
      <c r="S211" s="2">
        <f t="shared" si="7"/>
        <v>202608</v>
      </c>
      <c r="T211" s="2" t="str">
        <f t="shared" si="8"/>
        <v>抚州2号楼</v>
      </c>
      <c r="U211" s="2" t="str">
        <f t="shared" si="9"/>
        <v>所得税</v>
      </c>
      <c r="V211" s="2">
        <f t="shared" si="10"/>
      </c>
      <c r="W211" s="2" t="str">
        <f t="shared" si="11"/>
        <v>公司不分摊</v>
      </c>
      <c r="X211" s="2" t="str">
        <f t="shared" si="12"/>
        <v>所得税</v>
      </c>
      <c r="Y211" s="2">
        <f t="shared" si="13"/>
        <v>0</v>
      </c>
      <c r="Z211" s="2">
        <f t="shared" si="14"/>
      </c>
      <c r="AA211" s="2">
        <f t="shared" si="15"/>
        <v>0</v>
      </c>
      <c r="AB211" s="2">
        <f t="shared" si="16"/>
      </c>
      <c r="AC211" s="2">
        <f t="shared" si="17"/>
      </c>
      <c r="AD211" s="2">
        <f t="shared" si="18"/>
      </c>
      <c r="AE211" s="2" t="str">
        <f t="shared" si="19"/>
        <v>银行</v>
      </c>
      <c r="AF211" s="2">
        <f t="shared" si="20"/>
      </c>
      <c r="AG211" s="2" t="str">
        <f t="shared" si="21"/>
        <v>所得税</v>
      </c>
      <c r="AH211" s="2" t="str">
        <f t="shared" si="22"/>
        <v>支</v>
      </c>
      <c r="AI211" s="2" t="str">
        <f t="shared" si="23"/>
        <v>抚州2号楼</v>
      </c>
      <c r="AJ211" s="2">
        <f t="shared" si="24"/>
        <v>0</v>
      </c>
      <c r="AK211" s="2">
        <f t="shared" si="25"/>
        <v>10</v>
      </c>
      <c r="AL211" s="2">
        <f t="shared" si="26"/>
        <v>0</v>
      </c>
      <c r="AM211" s="2">
        <f t="shared" si="27"/>
        <v>0</v>
      </c>
      <c r="AN211" s="2">
        <f t="shared" si="28"/>
        <v>46262</v>
      </c>
      <c r="AO211" s="2">
        <f t="shared" si="29"/>
      </c>
      <c r="AP211" s="2">
        <f t="shared" si="30"/>
      </c>
      <c r="AQ211" s="2">
        <f t="shared" si="31"/>
      </c>
    </row>
    <row r="212">
      <c r="A212" s="43">
        <f t="shared" si="3"/>
        <v>207</v>
      </c>
      <c r="B212" s="44" t="n">
        <v>46262</v>
      </c>
      <c r="C212" s="45" t="inlineStr">
        <is>
          <t>九江银行</t>
        </is>
      </c>
      <c r="D212" s="46" t="inlineStr">
        <is>
          <t>抚州2号楼预缴增值税939.45 城市维护建设税23.48</t>
        </is>
      </c>
      <c r="E212" s="47" t="n"/>
      <c r="F212" s="47" t="n">
        <v>962.9299999999999</v>
      </c>
      <c r="G212" s="48">
        <f t="shared" si="4"/>
        <v>880816.43</v>
      </c>
      <c r="H212" s="43" t="str">
        <f t="shared" si="0"/>
        <v>抚州2号楼</v>
      </c>
      <c r="I212" s="43" t="str">
        <f t="shared" si="5"/>
        <v>缴增值税及附加</v>
      </c>
      <c r="J212" s="43">
        <f t="shared" si="1"/>
      </c>
      <c r="K212" s="49" t="str">
        <f t="shared" si="2"/>
        <v>√</v>
      </c>
      <c r="L212" s="45" t="n"/>
      <c r="M212" s="45" t="n"/>
      <c r="N212" s="45" t="n"/>
      <c r="O212" s="45" t="n"/>
      <c r="P212" s="50" t="n"/>
      <c r="R212" s="2">
        <f t="shared" si="6"/>
        <v>-962.93</v>
      </c>
      <c r="S212" s="2">
        <f t="shared" si="7"/>
        <v>202608</v>
      </c>
      <c r="T212" s="2" t="str">
        <f t="shared" si="8"/>
        <v>抚州2号楼</v>
      </c>
      <c r="U212" s="2" t="str">
        <f t="shared" si="9"/>
        <v>缴增值税及附加</v>
      </c>
      <c r="V212" s="2">
        <f t="shared" si="10"/>
      </c>
      <c r="W212" s="2" t="str">
        <f t="shared" si="11"/>
        <v>不进利润</v>
      </c>
      <c r="X212" s="2" t="str">
        <f t="shared" si="12"/>
        <v>应交税费</v>
      </c>
      <c r="Y212" s="2">
        <f t="shared" si="13"/>
        <v>0</v>
      </c>
      <c r="Z212" s="2">
        <f t="shared" si="14"/>
      </c>
      <c r="AA212" s="2">
        <f t="shared" si="15"/>
        <v>0</v>
      </c>
      <c r="AB212" s="2">
        <f t="shared" si="16"/>
      </c>
      <c r="AC212" s="2">
        <f t="shared" si="17"/>
      </c>
      <c r="AD212" s="2">
        <f t="shared" si="18"/>
      </c>
      <c r="AE212" s="2" t="str">
        <f t="shared" si="19"/>
        <v>银行</v>
      </c>
      <c r="AF212" s="2">
        <f t="shared" si="20"/>
      </c>
      <c r="AG212" s="2" t="str">
        <f t="shared" si="21"/>
        <v>缴增值税及附加</v>
      </c>
      <c r="AH212" s="2" t="str">
        <f t="shared" si="22"/>
        <v>支</v>
      </c>
      <c r="AI212" s="2" t="str">
        <f t="shared" si="23"/>
        <v>抚州2号楼</v>
      </c>
      <c r="AJ212" s="2">
        <f t="shared" si="24"/>
        <v>0</v>
      </c>
      <c r="AK212" s="2">
        <f t="shared" si="25"/>
        <v>10</v>
      </c>
      <c r="AL212" s="2">
        <f t="shared" si="26"/>
        <v>0</v>
      </c>
      <c r="AM212" s="2">
        <f t="shared" si="27"/>
        <v>0</v>
      </c>
      <c r="AN212" s="2">
        <f t="shared" si="28"/>
        <v>46262</v>
      </c>
      <c r="AO212" s="2">
        <f t="shared" si="29"/>
      </c>
      <c r="AP212" s="2">
        <f t="shared" si="30"/>
      </c>
      <c r="AQ212" s="2">
        <f t="shared" si="31"/>
      </c>
    </row>
    <row r="213">
      <c r="A213" s="43">
        <f t="shared" si="3"/>
        <v>208</v>
      </c>
      <c r="B213" s="44" t="n">
        <v>46262</v>
      </c>
      <c r="C213" s="45" t="inlineStr">
        <is>
          <t>九江银行</t>
        </is>
      </c>
      <c r="D213" s="46" t="inlineStr">
        <is>
          <t>抚州8号楼祝冬冬分包-劳务费</t>
        </is>
      </c>
      <c r="E213" s="47" t="n"/>
      <c r="F213" s="47" t="n">
        <v>20000</v>
      </c>
      <c r="G213" s="48">
        <f t="shared" si="4"/>
        <v>860816.43</v>
      </c>
      <c r="H213" s="43" t="str">
        <f t="shared" si="0"/>
        <v>抚州8号楼</v>
      </c>
      <c r="I213" s="43" t="str">
        <f t="shared" si="5"/>
        <v>付应付款</v>
      </c>
      <c r="J213" s="43" t="str">
        <f t="shared" si="1"/>
        <v>祝冬冬</v>
      </c>
      <c r="K213" s="49" t="str">
        <f t="shared" si="2"/>
        <v>√</v>
      </c>
      <c r="L213" s="45" t="n"/>
      <c r="M213" s="45" t="n"/>
      <c r="N213" s="45" t="n"/>
      <c r="O213" s="45" t="n"/>
      <c r="P213" s="50" t="n"/>
      <c r="R213" s="2">
        <f t="shared" si="6"/>
        <v>-20000</v>
      </c>
      <c r="S213" s="2">
        <f t="shared" si="7"/>
        <v>202608</v>
      </c>
      <c r="T213" s="2" t="str">
        <f t="shared" si="8"/>
        <v>抚州8号楼</v>
      </c>
      <c r="U213" s="2" t="str">
        <f t="shared" si="9"/>
        <v>付应付款</v>
      </c>
      <c r="V213" s="2" t="str">
        <f t="shared" si="10"/>
        <v>祝冬冬</v>
      </c>
      <c r="W213" s="2" t="str">
        <f t="shared" si="11"/>
        <v>不进利润</v>
      </c>
      <c r="X213" s="2" t="str">
        <f t="shared" si="12"/>
        <v>应付分包款</v>
      </c>
      <c r="Y213" s="2">
        <f t="shared" si="13"/>
        <v>1</v>
      </c>
      <c r="Z213" s="2" t="str">
        <f t="shared" si="14"/>
        <v>分包</v>
      </c>
      <c r="AA213" s="2">
        <f t="shared" si="15"/>
        <v>0</v>
      </c>
      <c r="AB213" s="2">
        <f t="shared" si="16"/>
      </c>
      <c r="AC213" s="2">
        <f t="shared" si="17"/>
      </c>
      <c r="AD213" s="2">
        <f t="shared" si="18"/>
      </c>
      <c r="AE213" s="2" t="str">
        <f t="shared" si="19"/>
        <v>银行</v>
      </c>
      <c r="AF213" s="2">
        <f t="shared" si="20"/>
      </c>
      <c r="AG213" s="2" t="str">
        <f t="shared" si="21"/>
        <v>分包费</v>
      </c>
      <c r="AH213" s="2" t="str">
        <f t="shared" si="22"/>
        <v>支</v>
      </c>
      <c r="AI213" s="2" t="str">
        <f t="shared" si="23"/>
        <v>抚州8号楼</v>
      </c>
      <c r="AJ213" s="2">
        <f t="shared" si="24"/>
        <v>0</v>
      </c>
      <c r="AK213" s="2">
        <f t="shared" si="25"/>
        <v>9</v>
      </c>
      <c r="AL213" s="2">
        <f t="shared" si="26"/>
        <v>42</v>
      </c>
      <c r="AM213" s="2">
        <f t="shared" si="27"/>
        <v>0</v>
      </c>
      <c r="AN213" s="2">
        <f t="shared" si="28"/>
        <v>46262</v>
      </c>
      <c r="AO213" s="2">
        <f t="shared" si="29"/>
      </c>
      <c r="AP213" s="2" t="str">
        <f t="shared" si="30"/>
        <v>祝冬冬|1</v>
      </c>
      <c r="AQ213" s="2">
        <f t="shared" si="31"/>
      </c>
    </row>
    <row r="214">
      <c r="A214" s="43">
        <f t="shared" si="3"/>
        <v>209</v>
      </c>
      <c r="B214" s="44" t="n">
        <v>46262</v>
      </c>
      <c r="C214" s="45" t="inlineStr">
        <is>
          <t>九江银行</t>
        </is>
      </c>
      <c r="D214" s="46" t="inlineStr">
        <is>
          <t>王伟工资</t>
        </is>
      </c>
      <c r="E214" s="47" t="n"/>
      <c r="F214" s="47" t="n">
        <v>5000</v>
      </c>
      <c r="G214" s="48">
        <f t="shared" si="4"/>
        <v>855816.43</v>
      </c>
      <c r="H214" s="43">
        <f t="shared" si="0"/>
      </c>
      <c r="I214" s="43" t="str">
        <f t="shared" si="5"/>
        <v>工资</v>
      </c>
      <c r="J214" s="43" t="str">
        <f t="shared" si="1"/>
        <v>王伟</v>
      </c>
      <c r="K214" s="49" t="str">
        <f t="shared" si="2"/>
        <v>√</v>
      </c>
      <c r="L214" s="45" t="n"/>
      <c r="M214" s="45" t="n"/>
      <c r="N214" s="45" t="n"/>
      <c r="O214" s="45" t="n"/>
      <c r="P214" s="50" t="n"/>
      <c r="R214" s="2">
        <f t="shared" si="6"/>
        <v>-5000</v>
      </c>
      <c r="S214" s="2">
        <f t="shared" si="7"/>
        <v>202608</v>
      </c>
      <c r="T214" s="2">
        <f t="shared" si="8"/>
      </c>
      <c r="U214" s="2" t="str">
        <f t="shared" si="9"/>
        <v>工资</v>
      </c>
      <c r="V214" s="2" t="str">
        <f t="shared" si="10"/>
        <v>王伟</v>
      </c>
      <c r="W214" s="2" t="str">
        <f t="shared" si="11"/>
        <v>不进利润</v>
      </c>
      <c r="X214" s="2" t="str">
        <f t="shared" si="12"/>
        <v>应付职工薪酬</v>
      </c>
      <c r="Y214" s="2">
        <f t="shared" si="13"/>
        <v>0</v>
      </c>
      <c r="Z214" s="2" t="str">
        <f t="shared" si="14"/>
        <v>管理人员</v>
      </c>
      <c r="AA214" s="2">
        <f t="shared" si="15"/>
        <v>1</v>
      </c>
      <c r="AB214" s="2">
        <f t="shared" si="16"/>
      </c>
      <c r="AC214" s="2">
        <f t="shared" si="17"/>
      </c>
      <c r="AD214" s="2">
        <f t="shared" si="18"/>
      </c>
      <c r="AE214" s="2" t="str">
        <f t="shared" si="19"/>
        <v>银行</v>
      </c>
      <c r="AF214" s="2">
        <f t="shared" si="20"/>
      </c>
      <c r="AG214" s="2" t="str">
        <f t="shared" si="21"/>
        <v>工资</v>
      </c>
      <c r="AH214" s="2" t="str">
        <f t="shared" si="22"/>
        <v>支</v>
      </c>
      <c r="AI214" s="2">
        <f t="shared" si="23"/>
      </c>
      <c r="AJ214" s="2">
        <f t="shared" si="24"/>
        <v>0</v>
      </c>
      <c r="AK214" s="2">
        <f t="shared" si="25"/>
        <v>0</v>
      </c>
      <c r="AL214" s="2">
        <f t="shared" si="26"/>
        <v>112</v>
      </c>
      <c r="AM214" s="2">
        <f t="shared" si="27"/>
        <v>0</v>
      </c>
      <c r="AN214" s="2">
        <f t="shared" si="28"/>
        <v>46262</v>
      </c>
      <c r="AO214" s="2">
        <f t="shared" si="29"/>
      </c>
      <c r="AP214" s="2" t="str">
        <f t="shared" si="30"/>
        <v>王伟|2</v>
      </c>
      <c r="AQ214" s="2">
        <f t="shared" si="31"/>
      </c>
    </row>
    <row r="215">
      <c r="A215" s="43">
        <f t="shared" si="3"/>
        <v>210</v>
      </c>
      <c r="B215" s="44" t="n">
        <v>46262</v>
      </c>
      <c r="C215" s="45" t="inlineStr">
        <is>
          <t>九江银行</t>
        </is>
      </c>
      <c r="D215" s="46" t="inlineStr">
        <is>
          <t>还聂辉个人借款</t>
        </is>
      </c>
      <c r="E215" s="47" t="n"/>
      <c r="F215" s="47" t="n">
        <v>100000</v>
      </c>
      <c r="G215" s="48">
        <f t="shared" si="4"/>
        <v>755816.43</v>
      </c>
      <c r="H215" s="43">
        <f t="shared" si="0"/>
      </c>
      <c r="I215" s="43" t="str">
        <f t="shared" si="5"/>
        <v>账户互转</v>
      </c>
      <c r="J215" s="43" t="str">
        <f t="shared" si="1"/>
        <v>聂辉</v>
      </c>
      <c r="K215" s="49" t="str">
        <f t="shared" si="2"/>
        <v>√</v>
      </c>
      <c r="L215" s="45" t="n"/>
      <c r="M215" s="45" t="n"/>
      <c r="N215" s="45" t="n"/>
      <c r="O215" s="45" t="n"/>
      <c r="P215" s="50" t="n"/>
      <c r="R215" s="2">
        <f t="shared" si="6"/>
        <v>-100000</v>
      </c>
      <c r="S215" s="2">
        <f t="shared" si="7"/>
        <v>202608</v>
      </c>
      <c r="T215" s="2">
        <f t="shared" si="8"/>
      </c>
      <c r="U215" s="2" t="str">
        <f t="shared" si="9"/>
        <v>账户互转</v>
      </c>
      <c r="V215" s="2" t="str">
        <f t="shared" si="10"/>
        <v>聂辉</v>
      </c>
      <c r="W215" s="2" t="str">
        <f t="shared" si="11"/>
        <v>不进利润</v>
      </c>
      <c r="X215" s="2" t="str">
        <f t="shared" si="12"/>
        <v>账户互转</v>
      </c>
      <c r="Y215" s="2">
        <f t="shared" si="13"/>
        <v>0</v>
      </c>
      <c r="Z215" s="2" t="str">
        <f t="shared" si="14"/>
        <v>管理人员</v>
      </c>
      <c r="AA215" s="2">
        <f t="shared" si="15"/>
        <v>1</v>
      </c>
      <c r="AB215" s="2">
        <f t="shared" si="16"/>
      </c>
      <c r="AC215" s="2" t="str">
        <f t="shared" si="17"/>
        <v>聂辉个人户</v>
      </c>
      <c r="AD215" s="2" t="str">
        <f t="shared" si="18"/>
        <v>聂辉个人户</v>
      </c>
      <c r="AE215" s="2" t="str">
        <f t="shared" si="19"/>
        <v>银行</v>
      </c>
      <c r="AF215" s="2" t="str">
        <f t="shared" si="20"/>
        <v>个人户</v>
      </c>
      <c r="AG215" s="2" t="str">
        <f t="shared" si="21"/>
        <v>账户互转</v>
      </c>
      <c r="AH215" s="2" t="str">
        <f t="shared" si="22"/>
        <v>支</v>
      </c>
      <c r="AI215" s="2">
        <f t="shared" si="23"/>
      </c>
      <c r="AJ215" s="2">
        <f t="shared" si="24"/>
        <v>0</v>
      </c>
      <c r="AK215" s="2">
        <f t="shared" si="25"/>
        <v>0</v>
      </c>
      <c r="AL215" s="2">
        <f t="shared" si="26"/>
        <v>111</v>
      </c>
      <c r="AM215" s="2">
        <f t="shared" si="27"/>
        <v>0</v>
      </c>
      <c r="AN215" s="2">
        <f t="shared" si="28"/>
        <v>46262</v>
      </c>
      <c r="AO215" s="2">
        <f t="shared" si="29"/>
      </c>
      <c r="AP215" s="2" t="str">
        <f t="shared" si="30"/>
        <v>聂辉|6</v>
      </c>
      <c r="AQ215" s="2">
        <f t="shared" si="31"/>
      </c>
    </row>
    <row r="216">
      <c r="A216" s="43">
        <f t="shared" si="3"/>
        <v>211</v>
      </c>
      <c r="B216" s="44" t="n">
        <v>46262</v>
      </c>
      <c r="C216" s="45" t="inlineStr">
        <is>
          <t>九江银行</t>
        </is>
      </c>
      <c r="D216" s="46" t="inlineStr">
        <is>
          <t>聂峰工资</t>
        </is>
      </c>
      <c r="E216" s="47" t="n"/>
      <c r="F216" s="47" t="n">
        <v>6000</v>
      </c>
      <c r="G216" s="48">
        <f t="shared" si="4"/>
        <v>749816.43</v>
      </c>
      <c r="H216" s="43">
        <f t="shared" si="0"/>
      </c>
      <c r="I216" s="43" t="str">
        <f t="shared" si="5"/>
        <v>工资</v>
      </c>
      <c r="J216" s="43" t="str">
        <f t="shared" si="1"/>
        <v>聂峰</v>
      </c>
      <c r="K216" s="49" t="str">
        <f t="shared" si="2"/>
        <v>√</v>
      </c>
      <c r="L216" s="45" t="n"/>
      <c r="M216" s="45" t="n"/>
      <c r="N216" s="45" t="n"/>
      <c r="O216" s="45" t="n"/>
      <c r="P216" s="50" t="n"/>
      <c r="R216" s="2">
        <f t="shared" si="6"/>
        <v>-6000</v>
      </c>
      <c r="S216" s="2">
        <f t="shared" si="7"/>
        <v>202608</v>
      </c>
      <c r="T216" s="2">
        <f t="shared" si="8"/>
      </c>
      <c r="U216" s="2" t="str">
        <f t="shared" si="9"/>
        <v>工资</v>
      </c>
      <c r="V216" s="2" t="str">
        <f t="shared" si="10"/>
        <v>聂峰</v>
      </c>
      <c r="W216" s="2" t="str">
        <f t="shared" si="11"/>
        <v>不进利润</v>
      </c>
      <c r="X216" s="2" t="str">
        <f t="shared" si="12"/>
        <v>应付职工薪酬</v>
      </c>
      <c r="Y216" s="2">
        <f t="shared" si="13"/>
        <v>0</v>
      </c>
      <c r="Z216" s="2" t="str">
        <f t="shared" si="14"/>
        <v>工人</v>
      </c>
      <c r="AA216" s="2">
        <f t="shared" si="15"/>
        <v>1</v>
      </c>
      <c r="AB216" s="2">
        <f t="shared" si="16"/>
      </c>
      <c r="AC216" s="2">
        <f t="shared" si="17"/>
      </c>
      <c r="AD216" s="2">
        <f t="shared" si="18"/>
      </c>
      <c r="AE216" s="2" t="str">
        <f t="shared" si="19"/>
        <v>银行</v>
      </c>
      <c r="AF216" s="2">
        <f t="shared" si="20"/>
      </c>
      <c r="AG216" s="2" t="str">
        <f t="shared" si="21"/>
        <v>工资</v>
      </c>
      <c r="AH216" s="2" t="str">
        <f t="shared" si="22"/>
        <v>支</v>
      </c>
      <c r="AI216" s="2">
        <f t="shared" si="23"/>
      </c>
      <c r="AJ216" s="2">
        <f t="shared" si="24"/>
        <v>0</v>
      </c>
      <c r="AK216" s="2">
        <f t="shared" si="25"/>
        <v>0</v>
      </c>
      <c r="AL216" s="2">
        <f t="shared" si="26"/>
        <v>107</v>
      </c>
      <c r="AM216" s="2">
        <f t="shared" si="27"/>
        <v>0</v>
      </c>
      <c r="AN216" s="2">
        <f t="shared" si="28"/>
        <v>46262</v>
      </c>
      <c r="AO216" s="2">
        <f t="shared" si="29"/>
      </c>
      <c r="AP216" s="2" t="str">
        <f t="shared" si="30"/>
        <v>聂峰|1</v>
      </c>
      <c r="AQ216" s="2">
        <f t="shared" si="31"/>
      </c>
    </row>
    <row r="217">
      <c r="A217" s="43">
        <f t="shared" si="3"/>
        <v>212</v>
      </c>
      <c r="B217" s="44" t="n">
        <v>46262</v>
      </c>
      <c r="C217" s="45" t="inlineStr">
        <is>
          <t>九江银行</t>
        </is>
      </c>
      <c r="D217" s="46" t="inlineStr">
        <is>
          <t>金南水工资</t>
        </is>
      </c>
      <c r="E217" s="47" t="n"/>
      <c r="F217" s="47" t="n">
        <v>3000</v>
      </c>
      <c r="G217" s="48">
        <f t="shared" si="4"/>
        <v>746816.43</v>
      </c>
      <c r="H217" s="43">
        <f t="shared" si="0"/>
      </c>
      <c r="I217" s="43" t="str">
        <f t="shared" si="5"/>
        <v>工资</v>
      </c>
      <c r="J217" s="43" t="str">
        <f t="shared" si="1"/>
        <v>金南水</v>
      </c>
      <c r="K217" s="49" t="str">
        <f t="shared" si="2"/>
        <v>√</v>
      </c>
      <c r="L217" s="45" t="n"/>
      <c r="M217" s="45" t="n"/>
      <c r="N217" s="45" t="n"/>
      <c r="O217" s="45" t="n"/>
      <c r="P217" s="50" t="n"/>
      <c r="R217" s="2">
        <f t="shared" si="6"/>
        <v>-3000</v>
      </c>
      <c r="S217" s="2">
        <f t="shared" si="7"/>
        <v>202608</v>
      </c>
      <c r="T217" s="2">
        <f t="shared" si="8"/>
      </c>
      <c r="U217" s="2" t="str">
        <f t="shared" si="9"/>
        <v>工资</v>
      </c>
      <c r="V217" s="2" t="str">
        <f t="shared" si="10"/>
        <v>金南水</v>
      </c>
      <c r="W217" s="2" t="str">
        <f t="shared" si="11"/>
        <v>不进利润</v>
      </c>
      <c r="X217" s="2" t="str">
        <f t="shared" si="12"/>
        <v>应付职工薪酬</v>
      </c>
      <c r="Y217" s="2">
        <f t="shared" si="13"/>
        <v>0</v>
      </c>
      <c r="Z217" s="2" t="str">
        <f t="shared" si="14"/>
        <v>工人</v>
      </c>
      <c r="AA217" s="2">
        <f t="shared" si="15"/>
        <v>1</v>
      </c>
      <c r="AB217" s="2">
        <f t="shared" si="16"/>
      </c>
      <c r="AC217" s="2">
        <f t="shared" si="17"/>
      </c>
      <c r="AD217" s="2">
        <f t="shared" si="18"/>
      </c>
      <c r="AE217" s="2" t="str">
        <f t="shared" si="19"/>
        <v>银行</v>
      </c>
      <c r="AF217" s="2">
        <f t="shared" si="20"/>
      </c>
      <c r="AG217" s="2" t="str">
        <f t="shared" si="21"/>
        <v>工资</v>
      </c>
      <c r="AH217" s="2" t="str">
        <f t="shared" si="22"/>
        <v>支</v>
      </c>
      <c r="AI217" s="2">
        <f t="shared" si="23"/>
      </c>
      <c r="AJ217" s="2">
        <f t="shared" si="24"/>
        <v>0</v>
      </c>
      <c r="AK217" s="2">
        <f t="shared" si="25"/>
        <v>0</v>
      </c>
      <c r="AL217" s="2">
        <f t="shared" si="26"/>
        <v>57</v>
      </c>
      <c r="AM217" s="2">
        <f t="shared" si="27"/>
        <v>0</v>
      </c>
      <c r="AN217" s="2">
        <f t="shared" si="28"/>
        <v>46262</v>
      </c>
      <c r="AO217" s="2">
        <f t="shared" si="29"/>
      </c>
      <c r="AP217" s="2" t="str">
        <f t="shared" si="30"/>
        <v>金南水|4</v>
      </c>
      <c r="AQ217" s="2">
        <f t="shared" si="31"/>
      </c>
    </row>
    <row r="218">
      <c r="A218" s="43">
        <f t="shared" si="3"/>
        <v>213</v>
      </c>
      <c r="B218" s="44" t="n">
        <v>46262</v>
      </c>
      <c r="C218" s="45" t="inlineStr">
        <is>
          <t>九江银行</t>
        </is>
      </c>
      <c r="D218" s="46" t="inlineStr">
        <is>
          <t>张滨工资</t>
        </is>
      </c>
      <c r="E218" s="47" t="n"/>
      <c r="F218" s="47" t="n">
        <v>5000</v>
      </c>
      <c r="G218" s="48">
        <f t="shared" si="4"/>
        <v>741816.43</v>
      </c>
      <c r="H218" s="43">
        <f t="shared" si="0"/>
      </c>
      <c r="I218" s="43" t="str">
        <f t="shared" si="5"/>
        <v>工资</v>
      </c>
      <c r="J218" s="43" t="str">
        <f t="shared" si="1"/>
        <v>张滨</v>
      </c>
      <c r="K218" s="49" t="str">
        <f t="shared" si="2"/>
        <v>√</v>
      </c>
      <c r="L218" s="45" t="n"/>
      <c r="M218" s="45" t="n"/>
      <c r="N218" s="45" t="n"/>
      <c r="O218" s="45" t="n"/>
      <c r="P218" s="50" t="n"/>
      <c r="R218" s="2">
        <f t="shared" si="6"/>
        <v>-5000</v>
      </c>
      <c r="S218" s="2">
        <f t="shared" si="7"/>
        <v>202608</v>
      </c>
      <c r="T218" s="2">
        <f t="shared" si="8"/>
      </c>
      <c r="U218" s="2" t="str">
        <f t="shared" si="9"/>
        <v>工资</v>
      </c>
      <c r="V218" s="2" t="str">
        <f t="shared" si="10"/>
        <v>张滨</v>
      </c>
      <c r="W218" s="2" t="str">
        <f t="shared" si="11"/>
        <v>不进利润</v>
      </c>
      <c r="X218" s="2" t="str">
        <f t="shared" si="12"/>
        <v>应付职工薪酬</v>
      </c>
      <c r="Y218" s="2">
        <f t="shared" si="13"/>
        <v>0</v>
      </c>
      <c r="Z218" s="2" t="str">
        <f t="shared" si="14"/>
        <v>管理人员</v>
      </c>
      <c r="AA218" s="2">
        <f t="shared" si="15"/>
        <v>1</v>
      </c>
      <c r="AB218" s="2">
        <f t="shared" si="16"/>
      </c>
      <c r="AC218" s="2">
        <f t="shared" si="17"/>
      </c>
      <c r="AD218" s="2">
        <f t="shared" si="18"/>
      </c>
      <c r="AE218" s="2" t="str">
        <f t="shared" si="19"/>
        <v>银行</v>
      </c>
      <c r="AF218" s="2">
        <f t="shared" si="20"/>
      </c>
      <c r="AG218" s="2" t="str">
        <f t="shared" si="21"/>
        <v>工资</v>
      </c>
      <c r="AH218" s="2" t="str">
        <f t="shared" si="22"/>
        <v>支</v>
      </c>
      <c r="AI218" s="2">
        <f t="shared" si="23"/>
      </c>
      <c r="AJ218" s="2">
        <f t="shared" si="24"/>
        <v>0</v>
      </c>
      <c r="AK218" s="2">
        <f t="shared" si="25"/>
        <v>0</v>
      </c>
      <c r="AL218" s="2">
        <f t="shared" si="26"/>
        <v>110</v>
      </c>
      <c r="AM218" s="2">
        <f t="shared" si="27"/>
        <v>0</v>
      </c>
      <c r="AN218" s="2">
        <f t="shared" si="28"/>
        <v>46262</v>
      </c>
      <c r="AO218" s="2">
        <f t="shared" si="29"/>
      </c>
      <c r="AP218" s="2" t="str">
        <f t="shared" si="30"/>
        <v>张滨|5</v>
      </c>
      <c r="AQ218" s="2">
        <f t="shared" si="31"/>
      </c>
    </row>
    <row r="219">
      <c r="A219" s="43">
        <f t="shared" si="3"/>
        <v>214</v>
      </c>
      <c r="B219" s="44" t="n">
        <v>46262</v>
      </c>
      <c r="C219" s="45" t="inlineStr">
        <is>
          <t>九江银行</t>
        </is>
      </c>
      <c r="D219" s="46" t="inlineStr">
        <is>
          <t>占善庆工资</t>
        </is>
      </c>
      <c r="E219" s="47" t="n"/>
      <c r="F219" s="47" t="n">
        <v>1600</v>
      </c>
      <c r="G219" s="48">
        <f t="shared" si="4"/>
        <v>740216.43</v>
      </c>
      <c r="H219" s="43">
        <f t="shared" si="0"/>
      </c>
      <c r="I219" s="43" t="str">
        <f t="shared" si="5"/>
        <v>工资</v>
      </c>
      <c r="J219" s="43" t="str">
        <f t="shared" si="1"/>
        <v>占善庆</v>
      </c>
      <c r="K219" s="49" t="str">
        <f t="shared" si="2"/>
        <v>√</v>
      </c>
      <c r="L219" s="45" t="n"/>
      <c r="M219" s="45" t="n"/>
      <c r="N219" s="45" t="n"/>
      <c r="O219" s="45" t="n"/>
      <c r="P219" s="50" t="n"/>
      <c r="R219" s="2">
        <f t="shared" si="6"/>
        <v>-1600</v>
      </c>
      <c r="S219" s="2">
        <f t="shared" si="7"/>
        <v>202608</v>
      </c>
      <c r="T219" s="2">
        <f t="shared" si="8"/>
      </c>
      <c r="U219" s="2" t="str">
        <f t="shared" si="9"/>
        <v>工资</v>
      </c>
      <c r="V219" s="2" t="str">
        <f t="shared" si="10"/>
        <v>占善庆</v>
      </c>
      <c r="W219" s="2" t="str">
        <f t="shared" si="11"/>
        <v>不进利润</v>
      </c>
      <c r="X219" s="2" t="str">
        <f t="shared" si="12"/>
        <v>应付职工薪酬</v>
      </c>
      <c r="Y219" s="2">
        <f t="shared" si="13"/>
        <v>0</v>
      </c>
      <c r="Z219" s="2" t="str">
        <f t="shared" si="14"/>
        <v>工人</v>
      </c>
      <c r="AA219" s="2">
        <f t="shared" si="15"/>
        <v>1</v>
      </c>
      <c r="AB219" s="2">
        <f t="shared" si="16"/>
      </c>
      <c r="AC219" s="2">
        <f t="shared" si="17"/>
      </c>
      <c r="AD219" s="2">
        <f t="shared" si="18"/>
      </c>
      <c r="AE219" s="2" t="str">
        <f t="shared" si="19"/>
        <v>银行</v>
      </c>
      <c r="AF219" s="2">
        <f t="shared" si="20"/>
      </c>
      <c r="AG219" s="2" t="str">
        <f t="shared" si="21"/>
        <v>工资</v>
      </c>
      <c r="AH219" s="2" t="str">
        <f t="shared" si="22"/>
        <v>支</v>
      </c>
      <c r="AI219" s="2">
        <f t="shared" si="23"/>
      </c>
      <c r="AJ219" s="2">
        <f t="shared" si="24"/>
        <v>0</v>
      </c>
      <c r="AK219" s="2">
        <f t="shared" si="25"/>
        <v>0</v>
      </c>
      <c r="AL219" s="2">
        <f t="shared" si="26"/>
        <v>80</v>
      </c>
      <c r="AM219" s="2">
        <f t="shared" si="27"/>
        <v>0</v>
      </c>
      <c r="AN219" s="2">
        <f t="shared" si="28"/>
        <v>46262</v>
      </c>
      <c r="AO219" s="2">
        <f t="shared" si="29"/>
      </c>
      <c r="AP219" s="2" t="str">
        <f t="shared" si="30"/>
        <v>占善庆|1</v>
      </c>
      <c r="AQ219" s="2">
        <f t="shared" si="31"/>
      </c>
    </row>
    <row r="220">
      <c r="A220" s="43">
        <f t="shared" si="3"/>
        <v>215</v>
      </c>
      <c r="B220" s="44" t="n">
        <v>46262</v>
      </c>
      <c r="C220" s="45" t="inlineStr">
        <is>
          <t>九江银行</t>
        </is>
      </c>
      <c r="D220" s="46" t="inlineStr">
        <is>
          <t>筑强材料款</t>
        </is>
      </c>
      <c r="E220" s="47" t="n"/>
      <c r="F220" s="47" t="n">
        <v>50000</v>
      </c>
      <c r="G220" s="48">
        <f t="shared" si="4"/>
        <v>690216.43</v>
      </c>
      <c r="H220" s="43">
        <f t="shared" si="0"/>
      </c>
      <c r="I220" s="43" t="str">
        <f t="shared" si="5"/>
        <v>付应付款</v>
      </c>
      <c r="J220" s="43" t="str">
        <f t="shared" si="1"/>
        <v>筑强</v>
      </c>
      <c r="K220" s="49" t="str">
        <f t="shared" si="2"/>
        <v>√</v>
      </c>
      <c r="L220" s="45" t="n"/>
      <c r="M220" s="45" t="n"/>
      <c r="N220" s="45" t="n"/>
      <c r="O220" s="45" t="n"/>
      <c r="P220" s="50" t="n"/>
      <c r="R220" s="2">
        <f t="shared" si="6"/>
        <v>-50000</v>
      </c>
      <c r="S220" s="2">
        <f t="shared" si="7"/>
        <v>202608</v>
      </c>
      <c r="T220" s="2">
        <f t="shared" si="8"/>
      </c>
      <c r="U220" s="2" t="str">
        <f t="shared" si="9"/>
        <v>付应付款</v>
      </c>
      <c r="V220" s="2" t="str">
        <f t="shared" si="10"/>
        <v>筑强</v>
      </c>
      <c r="W220" s="2" t="str">
        <f t="shared" si="11"/>
        <v>不进利润</v>
      </c>
      <c r="X220" s="2" t="str">
        <f t="shared" si="12"/>
        <v>应付材料款</v>
      </c>
      <c r="Y220" s="2">
        <f t="shared" si="13"/>
        <v>1</v>
      </c>
      <c r="Z220" s="2" t="str">
        <f t="shared" si="14"/>
        <v>材料供应商</v>
      </c>
      <c r="AA220" s="2">
        <f t="shared" si="15"/>
        <v>0</v>
      </c>
      <c r="AB220" s="2">
        <f t="shared" si="16"/>
      </c>
      <c r="AC220" s="2">
        <f t="shared" si="17"/>
      </c>
      <c r="AD220" s="2">
        <f t="shared" si="18"/>
      </c>
      <c r="AE220" s="2" t="str">
        <f t="shared" si="19"/>
        <v>银行</v>
      </c>
      <c r="AF220" s="2">
        <f t="shared" si="20"/>
      </c>
      <c r="AG220" s="2" t="str">
        <f t="shared" si="21"/>
        <v>材料费</v>
      </c>
      <c r="AH220" s="2" t="str">
        <f t="shared" si="22"/>
        <v>支</v>
      </c>
      <c r="AI220" s="2">
        <f t="shared" si="23"/>
      </c>
      <c r="AJ220" s="2">
        <f t="shared" si="24"/>
        <v>0</v>
      </c>
      <c r="AK220" s="2">
        <f t="shared" si="25"/>
        <v>0</v>
      </c>
      <c r="AL220" s="2">
        <f t="shared" si="26"/>
        <v>82</v>
      </c>
      <c r="AM220" s="2">
        <f t="shared" si="27"/>
        <v>0</v>
      </c>
      <c r="AN220" s="2">
        <f t="shared" si="28"/>
        <v>46262</v>
      </c>
      <c r="AO220" s="2">
        <f t="shared" si="29"/>
      </c>
      <c r="AP220" s="2" t="str">
        <f t="shared" si="30"/>
        <v>筑强|1</v>
      </c>
      <c r="AQ220" s="2">
        <f t="shared" si="31"/>
      </c>
    </row>
    <row r="221">
      <c r="A221" s="43">
        <f t="shared" si="3"/>
        <v>216</v>
      </c>
      <c r="B221" s="44" t="n">
        <v>46253</v>
      </c>
      <c r="C221" s="45" t="inlineStr">
        <is>
          <t>农业银行</t>
        </is>
      </c>
      <c r="D221" s="46" t="inlineStr">
        <is>
          <t>张滨个人借款（支付贷款利息）</t>
        </is>
      </c>
      <c r="E221" s="47" t="n">
        <v>1100</v>
      </c>
      <c r="F221" s="47" t="n"/>
      <c r="G221" s="48">
        <f t="shared" si="4"/>
        <v>1168.04</v>
      </c>
      <c r="H221" s="43">
        <f t="shared" si="0"/>
      </c>
      <c r="I221" s="43" t="str">
        <f t="shared" si="5"/>
        <v>账户互转</v>
      </c>
      <c r="J221" s="43" t="str">
        <f t="shared" si="1"/>
        <v>张滨</v>
      </c>
      <c r="K221" s="49" t="str">
        <f t="shared" si="2"/>
        <v>√</v>
      </c>
      <c r="L221" s="45" t="n"/>
      <c r="M221" s="45" t="n"/>
      <c r="N221" s="45" t="n"/>
      <c r="O221" s="45" t="n"/>
      <c r="P221" s="50" t="n"/>
      <c r="R221" s="2">
        <f t="shared" si="6"/>
        <v>1100</v>
      </c>
      <c r="S221" s="2">
        <f t="shared" si="7"/>
        <v>202608</v>
      </c>
      <c r="T221" s="2">
        <f t="shared" si="8"/>
      </c>
      <c r="U221" s="2" t="str">
        <f t="shared" si="9"/>
        <v>账户互转</v>
      </c>
      <c r="V221" s="2" t="str">
        <f t="shared" si="10"/>
        <v>张滨</v>
      </c>
      <c r="W221" s="2" t="str">
        <f t="shared" si="11"/>
        <v>不进利润</v>
      </c>
      <c r="X221" s="2" t="str">
        <f t="shared" si="12"/>
        <v>账户互转</v>
      </c>
      <c r="Y221" s="2">
        <f t="shared" si="13"/>
        <v>0</v>
      </c>
      <c r="Z221" s="2" t="str">
        <f t="shared" si="14"/>
        <v>管理人员</v>
      </c>
      <c r="AA221" s="2">
        <f t="shared" si="15"/>
        <v>1</v>
      </c>
      <c r="AB221" s="2">
        <f t="shared" si="16"/>
      </c>
      <c r="AC221" s="2" t="str">
        <f t="shared" si="17"/>
        <v>张滨个人户</v>
      </c>
      <c r="AD221" s="2" t="str">
        <f t="shared" si="18"/>
        <v>张滨个人户</v>
      </c>
      <c r="AE221" s="2" t="str">
        <f t="shared" si="19"/>
        <v>银行</v>
      </c>
      <c r="AF221" s="2" t="str">
        <f t="shared" si="20"/>
        <v>个人户</v>
      </c>
      <c r="AG221" s="2" t="str">
        <f t="shared" si="21"/>
        <v>账户互转</v>
      </c>
      <c r="AH221" s="2" t="str">
        <f t="shared" si="22"/>
        <v>收</v>
      </c>
      <c r="AI221" s="2">
        <f t="shared" si="23"/>
      </c>
      <c r="AJ221" s="2">
        <f t="shared" si="24"/>
        <v>0</v>
      </c>
      <c r="AK221" s="2">
        <f t="shared" si="25"/>
        <v>0</v>
      </c>
      <c r="AL221" s="2">
        <f t="shared" si="26"/>
        <v>110</v>
      </c>
      <c r="AM221" s="2">
        <f t="shared" si="27"/>
        <v>0</v>
      </c>
      <c r="AN221" s="2">
        <f t="shared" si="28"/>
        <v>46253</v>
      </c>
      <c r="AO221" s="2">
        <f t="shared" si="29"/>
      </c>
      <c r="AP221" s="2">
        <f t="shared" si="30"/>
      </c>
      <c r="AQ221" s="2">
        <f t="shared" si="31"/>
      </c>
    </row>
    <row r="222">
      <c r="A222" s="43">
        <f t="shared" si="3"/>
        <v>217</v>
      </c>
      <c r="B222" s="44" t="n">
        <v>46255</v>
      </c>
      <c r="C222" s="45" t="inlineStr">
        <is>
          <t>农业银行</t>
        </is>
      </c>
      <c r="D222" s="46" t="inlineStr">
        <is>
          <t>还贷款利息</t>
        </is>
      </c>
      <c r="E222" s="47" t="n"/>
      <c r="F222" s="47" t="n">
        <v>1088.01</v>
      </c>
      <c r="G222" s="48">
        <f t="shared" si="4"/>
        <v>80.03</v>
      </c>
      <c r="H222" s="43">
        <f t="shared" si="0"/>
      </c>
      <c r="I222" s="43" t="str">
        <f t="shared" si="5"/>
        <v>利息支出</v>
      </c>
      <c r="J222" s="43">
        <f t="shared" si="1"/>
      </c>
      <c r="K222" s="49" t="str">
        <f t="shared" si="2"/>
        <v>√</v>
      </c>
      <c r="L222" s="45" t="n"/>
      <c r="M222" s="45" t="n"/>
      <c r="N222" s="45" t="n"/>
      <c r="O222" s="45" t="n"/>
      <c r="P222" s="50" t="n"/>
      <c r="R222" s="2">
        <f t="shared" si="6"/>
        <v>-1088.01</v>
      </c>
      <c r="S222" s="2">
        <f t="shared" si="7"/>
        <v>202608</v>
      </c>
      <c r="T222" s="2">
        <f t="shared" si="8"/>
      </c>
      <c r="U222" s="2" t="str">
        <f t="shared" si="9"/>
        <v>利息支出</v>
      </c>
      <c r="V222" s="2">
        <f t="shared" si="10"/>
      </c>
      <c r="W222" s="2" t="str">
        <f t="shared" si="11"/>
        <v>公司不分摊</v>
      </c>
      <c r="X222" s="2" t="str">
        <f t="shared" si="12"/>
        <v>利息支出</v>
      </c>
      <c r="Y222" s="2">
        <f t="shared" si="13"/>
        <v>0</v>
      </c>
      <c r="Z222" s="2">
        <f t="shared" si="14"/>
      </c>
      <c r="AA222" s="2">
        <f t="shared" si="15"/>
        <v>0</v>
      </c>
      <c r="AB222" s="2">
        <f t="shared" si="16"/>
      </c>
      <c r="AC222" s="2">
        <f t="shared" si="17"/>
      </c>
      <c r="AD222" s="2">
        <f t="shared" si="18"/>
      </c>
      <c r="AE222" s="2" t="str">
        <f t="shared" si="19"/>
        <v>银行</v>
      </c>
      <c r="AF222" s="2">
        <f t="shared" si="20"/>
      </c>
      <c r="AG222" s="2" t="str">
        <f t="shared" si="21"/>
        <v>利息支出</v>
      </c>
      <c r="AH222" s="2" t="str">
        <f t="shared" si="22"/>
        <v>支</v>
      </c>
      <c r="AI222" s="2">
        <f t="shared" si="23"/>
      </c>
      <c r="AJ222" s="2">
        <f t="shared" si="24"/>
        <v>0</v>
      </c>
      <c r="AK222" s="2">
        <f t="shared" si="25"/>
        <v>0</v>
      </c>
      <c r="AL222" s="2">
        <f t="shared" si="26"/>
        <v>0</v>
      </c>
      <c r="AM222" s="2">
        <f t="shared" si="27"/>
        <v>0</v>
      </c>
      <c r="AN222" s="2">
        <f t="shared" si="28"/>
        <v>46255</v>
      </c>
      <c r="AO222" s="2">
        <f t="shared" si="29"/>
      </c>
      <c r="AP222" s="2">
        <f t="shared" si="30"/>
      </c>
      <c r="AQ222" s="2">
        <f t="shared" si="31"/>
      </c>
    </row>
    <row r="223">
      <c r="A223" s="43">
        <f t="shared" si="3"/>
      </c>
      <c r="B223" s="44" t="n"/>
      <c r="C223" s="45" t="n"/>
      <c r="D223" s="46" t="n"/>
      <c r="E223" s="47" t="n"/>
      <c r="F223" s="47" t="n"/>
      <c r="G223" s="48">
        <f t="shared" si="4"/>
      </c>
      <c r="H223" s="43">
        <f t="shared" si="0"/>
      </c>
      <c r="I223" s="43">
        <f t="shared" si="5"/>
      </c>
      <c r="J223" s="43">
        <f t="shared" si="1"/>
      </c>
      <c r="K223" s="49">
        <f t="shared" si="2"/>
      </c>
      <c r="L223" s="45" t="n"/>
      <c r="M223" s="45" t="n"/>
      <c r="N223" s="45" t="n"/>
      <c r="O223" s="45" t="n"/>
      <c r="P223" s="50" t="n"/>
      <c r="R223" s="2">
        <f t="shared" si="6"/>
        <v>0</v>
      </c>
      <c r="S223" s="2">
        <f t="shared" si="7"/>
      </c>
      <c r="T223" s="2">
        <f t="shared" si="8"/>
      </c>
      <c r="U223" s="2">
        <f t="shared" si="9"/>
      </c>
      <c r="V223" s="2">
        <f t="shared" si="10"/>
      </c>
      <c r="W223" s="2">
        <f t="shared" si="11"/>
      </c>
      <c r="X223" s="2">
        <f t="shared" si="12"/>
      </c>
      <c r="Y223" s="2">
        <f t="shared" si="13"/>
        <v>0</v>
      </c>
      <c r="Z223" s="2">
        <f t="shared" si="14"/>
      </c>
      <c r="AA223" s="2">
        <f t="shared" si="15"/>
        <v>0</v>
      </c>
      <c r="AB223" s="2">
        <f t="shared" si="16"/>
      </c>
      <c r="AC223" s="2">
        <f t="shared" si="17"/>
      </c>
      <c r="AD223" s="2">
        <f t="shared" si="18"/>
      </c>
      <c r="AE223" s="2">
        <f t="shared" si="19"/>
      </c>
      <c r="AF223" s="2">
        <f t="shared" si="20"/>
      </c>
      <c r="AG223" s="2">
        <f t="shared" si="21"/>
      </c>
      <c r="AH223" s="2">
        <f t="shared" si="22"/>
      </c>
      <c r="AI223" s="2">
        <f t="shared" si="23"/>
      </c>
      <c r="AJ223" s="2">
        <f t="shared" si="24"/>
        <v>0</v>
      </c>
      <c r="AK223" s="2">
        <f t="shared" si="25"/>
        <v>0</v>
      </c>
      <c r="AL223" s="2">
        <f t="shared" si="26"/>
        <v>0</v>
      </c>
      <c r="AM223" s="2">
        <f t="shared" si="27"/>
        <v>0</v>
      </c>
      <c r="AN223" s="2">
        <f t="shared" si="28"/>
        <v>0</v>
      </c>
      <c r="AO223" s="2">
        <f t="shared" si="29"/>
      </c>
      <c r="AP223" s="2">
        <f t="shared" si="30"/>
      </c>
      <c r="AQ223" s="2">
        <f t="shared" si="31"/>
      </c>
    </row>
    <row r="224">
      <c r="A224" s="43">
        <f t="shared" si="3"/>
      </c>
      <c r="B224" s="44" t="n"/>
      <c r="C224" s="45" t="n"/>
      <c r="D224" s="46" t="n"/>
      <c r="E224" s="47" t="n"/>
      <c r="F224" s="47" t="n"/>
      <c r="G224" s="48">
        <f t="shared" si="4"/>
      </c>
      <c r="H224" s="43">
        <f t="shared" si="0"/>
      </c>
      <c r="I224" s="43">
        <f t="shared" si="5"/>
      </c>
      <c r="J224" s="43">
        <f t="shared" si="1"/>
      </c>
      <c r="K224" s="49">
        <f t="shared" si="2"/>
      </c>
      <c r="L224" s="45" t="n"/>
      <c r="M224" s="45" t="n"/>
      <c r="N224" s="45" t="n"/>
      <c r="O224" s="45" t="n"/>
      <c r="P224" s="50" t="n"/>
      <c r="R224" s="2">
        <f t="shared" si="6"/>
        <v>0</v>
      </c>
      <c r="S224" s="2">
        <f t="shared" si="7"/>
      </c>
      <c r="T224" s="2">
        <f t="shared" si="8"/>
      </c>
      <c r="U224" s="2">
        <f t="shared" si="9"/>
      </c>
      <c r="V224" s="2">
        <f t="shared" si="10"/>
      </c>
      <c r="W224" s="2">
        <f t="shared" si="11"/>
      </c>
      <c r="X224" s="2">
        <f t="shared" si="12"/>
      </c>
      <c r="Y224" s="2">
        <f t="shared" si="13"/>
        <v>0</v>
      </c>
      <c r="Z224" s="2">
        <f t="shared" si="14"/>
      </c>
      <c r="AA224" s="2">
        <f t="shared" si="15"/>
        <v>0</v>
      </c>
      <c r="AB224" s="2">
        <f t="shared" si="16"/>
      </c>
      <c r="AC224" s="2">
        <f t="shared" si="17"/>
      </c>
      <c r="AD224" s="2">
        <f t="shared" si="18"/>
      </c>
      <c r="AE224" s="2">
        <f t="shared" si="19"/>
      </c>
      <c r="AF224" s="2">
        <f t="shared" si="20"/>
      </c>
      <c r="AG224" s="2">
        <f t="shared" si="21"/>
      </c>
      <c r="AH224" s="2">
        <f t="shared" si="22"/>
      </c>
      <c r="AI224" s="2">
        <f t="shared" si="23"/>
      </c>
      <c r="AJ224" s="2">
        <f t="shared" si="24"/>
        <v>0</v>
      </c>
      <c r="AK224" s="2">
        <f t="shared" si="25"/>
        <v>0</v>
      </c>
      <c r="AL224" s="2">
        <f t="shared" si="26"/>
        <v>0</v>
      </c>
      <c r="AM224" s="2">
        <f t="shared" si="27"/>
        <v>0</v>
      </c>
      <c r="AN224" s="2">
        <f t="shared" si="28"/>
        <v>0</v>
      </c>
      <c r="AO224" s="2">
        <f t="shared" si="29"/>
      </c>
      <c r="AP224" s="2">
        <f t="shared" si="30"/>
      </c>
      <c r="AQ224" s="2">
        <f t="shared" si="31"/>
      </c>
    </row>
    <row r="225">
      <c r="A225" s="43">
        <f t="shared" si="3"/>
      </c>
      <c r="B225" s="44" t="n"/>
      <c r="C225" s="45" t="n"/>
      <c r="D225" s="46" t="n"/>
      <c r="E225" s="47" t="n"/>
      <c r="F225" s="47" t="n"/>
      <c r="G225" s="48">
        <f t="shared" si="4"/>
      </c>
      <c r="H225" s="43">
        <f t="shared" si="0"/>
      </c>
      <c r="I225" s="43">
        <f t="shared" si="5"/>
      </c>
      <c r="J225" s="43">
        <f t="shared" si="1"/>
      </c>
      <c r="K225" s="49">
        <f t="shared" si="2"/>
      </c>
      <c r="L225" s="45" t="n"/>
      <c r="M225" s="45" t="n"/>
      <c r="N225" s="45" t="n"/>
      <c r="O225" s="45" t="n"/>
      <c r="P225" s="50" t="n"/>
      <c r="R225" s="2">
        <f t="shared" si="6"/>
        <v>0</v>
      </c>
      <c r="S225" s="2">
        <f t="shared" si="7"/>
      </c>
      <c r="T225" s="2">
        <f t="shared" si="8"/>
      </c>
      <c r="U225" s="2">
        <f t="shared" si="9"/>
      </c>
      <c r="V225" s="2">
        <f t="shared" si="10"/>
      </c>
      <c r="W225" s="2">
        <f t="shared" si="11"/>
      </c>
      <c r="X225" s="2">
        <f t="shared" si="12"/>
      </c>
      <c r="Y225" s="2">
        <f t="shared" si="13"/>
        <v>0</v>
      </c>
      <c r="Z225" s="2">
        <f t="shared" si="14"/>
      </c>
      <c r="AA225" s="2">
        <f t="shared" si="15"/>
        <v>0</v>
      </c>
      <c r="AB225" s="2">
        <f t="shared" si="16"/>
      </c>
      <c r="AC225" s="2">
        <f t="shared" si="17"/>
      </c>
      <c r="AD225" s="2">
        <f t="shared" si="18"/>
      </c>
      <c r="AE225" s="2">
        <f t="shared" si="19"/>
      </c>
      <c r="AF225" s="2">
        <f t="shared" si="20"/>
      </c>
      <c r="AG225" s="2">
        <f t="shared" si="21"/>
      </c>
      <c r="AH225" s="2">
        <f t="shared" si="22"/>
      </c>
      <c r="AI225" s="2">
        <f t="shared" si="23"/>
      </c>
      <c r="AJ225" s="2">
        <f t="shared" si="24"/>
        <v>0</v>
      </c>
      <c r="AK225" s="2">
        <f t="shared" si="25"/>
        <v>0</v>
      </c>
      <c r="AL225" s="2">
        <f t="shared" si="26"/>
        <v>0</v>
      </c>
      <c r="AM225" s="2">
        <f t="shared" si="27"/>
        <v>0</v>
      </c>
      <c r="AN225" s="2">
        <f t="shared" si="28"/>
        <v>0</v>
      </c>
      <c r="AO225" s="2">
        <f t="shared" si="29"/>
      </c>
      <c r="AP225" s="2">
        <f t="shared" si="30"/>
      </c>
      <c r="AQ225" s="2">
        <f t="shared" si="31"/>
      </c>
    </row>
    <row r="226">
      <c r="A226" s="43">
        <f t="shared" si="3"/>
      </c>
      <c r="B226" s="44" t="n"/>
      <c r="C226" s="45" t="n"/>
      <c r="D226" s="46" t="n"/>
      <c r="E226" s="47" t="n"/>
      <c r="F226" s="47" t="n"/>
      <c r="G226" s="48">
        <f t="shared" si="4"/>
      </c>
      <c r="H226" s="43">
        <f t="shared" si="0"/>
      </c>
      <c r="I226" s="43">
        <f t="shared" si="5"/>
      </c>
      <c r="J226" s="43">
        <f t="shared" si="1"/>
      </c>
      <c r="K226" s="49">
        <f t="shared" si="2"/>
      </c>
      <c r="L226" s="45" t="n"/>
      <c r="M226" s="45" t="n"/>
      <c r="N226" s="45" t="n"/>
      <c r="O226" s="45" t="n"/>
      <c r="P226" s="50" t="n"/>
      <c r="R226" s="2">
        <f t="shared" si="6"/>
        <v>0</v>
      </c>
      <c r="S226" s="2">
        <f t="shared" si="7"/>
      </c>
      <c r="T226" s="2">
        <f t="shared" si="8"/>
      </c>
      <c r="U226" s="2">
        <f t="shared" si="9"/>
      </c>
      <c r="V226" s="2">
        <f t="shared" si="10"/>
      </c>
      <c r="W226" s="2">
        <f t="shared" si="11"/>
      </c>
      <c r="X226" s="2">
        <f t="shared" si="12"/>
      </c>
      <c r="Y226" s="2">
        <f t="shared" si="13"/>
        <v>0</v>
      </c>
      <c r="Z226" s="2">
        <f t="shared" si="14"/>
      </c>
      <c r="AA226" s="2">
        <f t="shared" si="15"/>
        <v>0</v>
      </c>
      <c r="AB226" s="2">
        <f t="shared" si="16"/>
      </c>
      <c r="AC226" s="2">
        <f t="shared" si="17"/>
      </c>
      <c r="AD226" s="2">
        <f t="shared" si="18"/>
      </c>
      <c r="AE226" s="2">
        <f t="shared" si="19"/>
      </c>
      <c r="AF226" s="2">
        <f t="shared" si="20"/>
      </c>
      <c r="AG226" s="2">
        <f t="shared" si="21"/>
      </c>
      <c r="AH226" s="2">
        <f t="shared" si="22"/>
      </c>
      <c r="AI226" s="2">
        <f t="shared" si="23"/>
      </c>
      <c r="AJ226" s="2">
        <f t="shared" si="24"/>
        <v>0</v>
      </c>
      <c r="AK226" s="2">
        <f t="shared" si="25"/>
        <v>0</v>
      </c>
      <c r="AL226" s="2">
        <f t="shared" si="26"/>
        <v>0</v>
      </c>
      <c r="AM226" s="2">
        <f t="shared" si="27"/>
        <v>0</v>
      </c>
      <c r="AN226" s="2">
        <f t="shared" si="28"/>
        <v>0</v>
      </c>
      <c r="AO226" s="2">
        <f t="shared" si="29"/>
      </c>
      <c r="AP226" s="2">
        <f t="shared" si="30"/>
      </c>
      <c r="AQ226" s="2">
        <f t="shared" si="31"/>
      </c>
    </row>
    <row r="227">
      <c r="A227" s="43">
        <f t="shared" si="3"/>
      </c>
      <c r="B227" s="44" t="n"/>
      <c r="C227" s="45" t="n"/>
      <c r="D227" s="46" t="n"/>
      <c r="E227" s="47" t="n"/>
      <c r="F227" s="47" t="n"/>
      <c r="G227" s="48">
        <f t="shared" si="4"/>
      </c>
      <c r="H227" s="43">
        <f t="shared" si="0"/>
      </c>
      <c r="I227" s="43">
        <f t="shared" si="5"/>
      </c>
      <c r="J227" s="43">
        <f t="shared" si="1"/>
      </c>
      <c r="K227" s="49">
        <f t="shared" si="2"/>
      </c>
      <c r="L227" s="45" t="n"/>
      <c r="M227" s="45" t="n"/>
      <c r="N227" s="45" t="n"/>
      <c r="O227" s="45" t="n"/>
      <c r="P227" s="50" t="n"/>
      <c r="R227" s="2">
        <f t="shared" si="6"/>
        <v>0</v>
      </c>
      <c r="S227" s="2">
        <f t="shared" si="7"/>
      </c>
      <c r="T227" s="2">
        <f t="shared" si="8"/>
      </c>
      <c r="U227" s="2">
        <f t="shared" si="9"/>
      </c>
      <c r="V227" s="2">
        <f t="shared" si="10"/>
      </c>
      <c r="W227" s="2">
        <f t="shared" si="11"/>
      </c>
      <c r="X227" s="2">
        <f t="shared" si="12"/>
      </c>
      <c r="Y227" s="2">
        <f t="shared" si="13"/>
        <v>0</v>
      </c>
      <c r="Z227" s="2">
        <f t="shared" si="14"/>
      </c>
      <c r="AA227" s="2">
        <f t="shared" si="15"/>
        <v>0</v>
      </c>
      <c r="AB227" s="2">
        <f t="shared" si="16"/>
      </c>
      <c r="AC227" s="2">
        <f t="shared" si="17"/>
      </c>
      <c r="AD227" s="2">
        <f t="shared" si="18"/>
      </c>
      <c r="AE227" s="2">
        <f t="shared" si="19"/>
      </c>
      <c r="AF227" s="2">
        <f t="shared" si="20"/>
      </c>
      <c r="AG227" s="2">
        <f t="shared" si="21"/>
      </c>
      <c r="AH227" s="2">
        <f t="shared" si="22"/>
      </c>
      <c r="AI227" s="2">
        <f t="shared" si="23"/>
      </c>
      <c r="AJ227" s="2">
        <f t="shared" si="24"/>
        <v>0</v>
      </c>
      <c r="AK227" s="2">
        <f t="shared" si="25"/>
        <v>0</v>
      </c>
      <c r="AL227" s="2">
        <f t="shared" si="26"/>
        <v>0</v>
      </c>
      <c r="AM227" s="2">
        <f t="shared" si="27"/>
        <v>0</v>
      </c>
      <c r="AN227" s="2">
        <f t="shared" si="28"/>
        <v>0</v>
      </c>
      <c r="AO227" s="2">
        <f t="shared" si="29"/>
      </c>
      <c r="AP227" s="2">
        <f t="shared" si="30"/>
      </c>
      <c r="AQ227" s="2">
        <f t="shared" si="31"/>
      </c>
    </row>
    <row r="228">
      <c r="A228" s="43">
        <f t="shared" si="3"/>
      </c>
      <c r="B228" s="44" t="n"/>
      <c r="C228" s="45" t="n"/>
      <c r="D228" s="46" t="n"/>
      <c r="E228" s="47" t="n"/>
      <c r="F228" s="47" t="n"/>
      <c r="G228" s="48">
        <f t="shared" si="4"/>
      </c>
      <c r="H228" s="43">
        <f t="shared" si="0"/>
      </c>
      <c r="I228" s="43">
        <f t="shared" si="5"/>
      </c>
      <c r="J228" s="43">
        <f t="shared" si="1"/>
      </c>
      <c r="K228" s="49">
        <f t="shared" si="2"/>
      </c>
      <c r="L228" s="45" t="n"/>
      <c r="M228" s="45" t="n"/>
      <c r="N228" s="45" t="n"/>
      <c r="O228" s="45" t="n"/>
      <c r="P228" s="50" t="n"/>
      <c r="R228" s="2">
        <f t="shared" si="6"/>
        <v>0</v>
      </c>
      <c r="S228" s="2">
        <f t="shared" si="7"/>
      </c>
      <c r="T228" s="2">
        <f t="shared" si="8"/>
      </c>
      <c r="U228" s="2">
        <f t="shared" si="9"/>
      </c>
      <c r="V228" s="2">
        <f t="shared" si="10"/>
      </c>
      <c r="W228" s="2">
        <f t="shared" si="11"/>
      </c>
      <c r="X228" s="2">
        <f t="shared" si="12"/>
      </c>
      <c r="Y228" s="2">
        <f t="shared" si="13"/>
        <v>0</v>
      </c>
      <c r="Z228" s="2">
        <f t="shared" si="14"/>
      </c>
      <c r="AA228" s="2">
        <f t="shared" si="15"/>
        <v>0</v>
      </c>
      <c r="AB228" s="2">
        <f t="shared" si="16"/>
      </c>
      <c r="AC228" s="2">
        <f t="shared" si="17"/>
      </c>
      <c r="AD228" s="2">
        <f t="shared" si="18"/>
      </c>
      <c r="AE228" s="2">
        <f t="shared" si="19"/>
      </c>
      <c r="AF228" s="2">
        <f t="shared" si="20"/>
      </c>
      <c r="AG228" s="2">
        <f t="shared" si="21"/>
      </c>
      <c r="AH228" s="2">
        <f t="shared" si="22"/>
      </c>
      <c r="AI228" s="2">
        <f t="shared" si="23"/>
      </c>
      <c r="AJ228" s="2">
        <f t="shared" si="24"/>
        <v>0</v>
      </c>
      <c r="AK228" s="2">
        <f t="shared" si="25"/>
        <v>0</v>
      </c>
      <c r="AL228" s="2">
        <f t="shared" si="26"/>
        <v>0</v>
      </c>
      <c r="AM228" s="2">
        <f t="shared" si="27"/>
        <v>0</v>
      </c>
      <c r="AN228" s="2">
        <f t="shared" si="28"/>
        <v>0</v>
      </c>
      <c r="AO228" s="2">
        <f t="shared" si="29"/>
      </c>
      <c r="AP228" s="2">
        <f t="shared" si="30"/>
      </c>
      <c r="AQ228" s="2">
        <f t="shared" si="31"/>
      </c>
    </row>
    <row r="229">
      <c r="A229" s="43">
        <f t="shared" si="3"/>
      </c>
      <c r="B229" s="44" t="n"/>
      <c r="C229" s="45" t="n"/>
      <c r="D229" s="46" t="n"/>
      <c r="E229" s="47" t="n"/>
      <c r="F229" s="47" t="n"/>
      <c r="G229" s="48">
        <f t="shared" si="4"/>
      </c>
      <c r="H229" s="43">
        <f t="shared" si="0"/>
      </c>
      <c r="I229" s="43">
        <f t="shared" si="5"/>
      </c>
      <c r="J229" s="43">
        <f t="shared" si="1"/>
      </c>
      <c r="K229" s="49">
        <f t="shared" si="2"/>
      </c>
      <c r="L229" s="45" t="n"/>
      <c r="M229" s="45" t="n"/>
      <c r="N229" s="45" t="n"/>
      <c r="O229" s="45" t="n"/>
      <c r="P229" s="50" t="n"/>
      <c r="R229" s="2">
        <f t="shared" si="6"/>
        <v>0</v>
      </c>
      <c r="S229" s="2">
        <f t="shared" si="7"/>
      </c>
      <c r="T229" s="2">
        <f t="shared" si="8"/>
      </c>
      <c r="U229" s="2">
        <f t="shared" si="9"/>
      </c>
      <c r="V229" s="2">
        <f t="shared" si="10"/>
      </c>
      <c r="W229" s="2">
        <f t="shared" si="11"/>
      </c>
      <c r="X229" s="2">
        <f t="shared" si="12"/>
      </c>
      <c r="Y229" s="2">
        <f t="shared" si="13"/>
        <v>0</v>
      </c>
      <c r="Z229" s="2">
        <f t="shared" si="14"/>
      </c>
      <c r="AA229" s="2">
        <f t="shared" si="15"/>
        <v>0</v>
      </c>
      <c r="AB229" s="2">
        <f t="shared" si="16"/>
      </c>
      <c r="AC229" s="2">
        <f t="shared" si="17"/>
      </c>
      <c r="AD229" s="2">
        <f t="shared" si="18"/>
      </c>
      <c r="AE229" s="2">
        <f t="shared" si="19"/>
      </c>
      <c r="AF229" s="2">
        <f t="shared" si="20"/>
      </c>
      <c r="AG229" s="2">
        <f t="shared" si="21"/>
      </c>
      <c r="AH229" s="2">
        <f t="shared" si="22"/>
      </c>
      <c r="AI229" s="2">
        <f t="shared" si="23"/>
      </c>
      <c r="AJ229" s="2">
        <f t="shared" si="24"/>
        <v>0</v>
      </c>
      <c r="AK229" s="2">
        <f t="shared" si="25"/>
        <v>0</v>
      </c>
      <c r="AL229" s="2">
        <f t="shared" si="26"/>
        <v>0</v>
      </c>
      <c r="AM229" s="2">
        <f t="shared" si="27"/>
        <v>0</v>
      </c>
      <c r="AN229" s="2">
        <f t="shared" si="28"/>
        <v>0</v>
      </c>
      <c r="AO229" s="2">
        <f t="shared" si="29"/>
      </c>
      <c r="AP229" s="2">
        <f t="shared" si="30"/>
      </c>
      <c r="AQ229" s="2">
        <f t="shared" si="31"/>
      </c>
    </row>
    <row r="230">
      <c r="A230" s="43">
        <f t="shared" si="3"/>
      </c>
      <c r="B230" s="44" t="n"/>
      <c r="C230" s="45" t="n"/>
      <c r="D230" s="46" t="n"/>
      <c r="E230" s="47" t="n"/>
      <c r="F230" s="47" t="n"/>
      <c r="G230" s="48">
        <f t="shared" si="4"/>
      </c>
      <c r="H230" s="43">
        <f t="shared" si="0"/>
      </c>
      <c r="I230" s="43">
        <f t="shared" si="5"/>
      </c>
      <c r="J230" s="43">
        <f t="shared" si="1"/>
      </c>
      <c r="K230" s="49">
        <f t="shared" si="2"/>
      </c>
      <c r="L230" s="45" t="n"/>
      <c r="M230" s="45" t="n"/>
      <c r="N230" s="45" t="n"/>
      <c r="O230" s="45" t="n"/>
      <c r="P230" s="50" t="n"/>
      <c r="R230" s="2">
        <f t="shared" si="6"/>
        <v>0</v>
      </c>
      <c r="S230" s="2">
        <f t="shared" si="7"/>
      </c>
      <c r="T230" s="2">
        <f t="shared" si="8"/>
      </c>
      <c r="U230" s="2">
        <f t="shared" si="9"/>
      </c>
      <c r="V230" s="2">
        <f t="shared" si="10"/>
      </c>
      <c r="W230" s="2">
        <f t="shared" si="11"/>
      </c>
      <c r="X230" s="2">
        <f t="shared" si="12"/>
      </c>
      <c r="Y230" s="2">
        <f t="shared" si="13"/>
        <v>0</v>
      </c>
      <c r="Z230" s="2">
        <f t="shared" si="14"/>
      </c>
      <c r="AA230" s="2">
        <f t="shared" si="15"/>
        <v>0</v>
      </c>
      <c r="AB230" s="2">
        <f t="shared" si="16"/>
      </c>
      <c r="AC230" s="2">
        <f t="shared" si="17"/>
      </c>
      <c r="AD230" s="2">
        <f t="shared" si="18"/>
      </c>
      <c r="AE230" s="2">
        <f t="shared" si="19"/>
      </c>
      <c r="AF230" s="2">
        <f t="shared" si="20"/>
      </c>
      <c r="AG230" s="2">
        <f t="shared" si="21"/>
      </c>
      <c r="AH230" s="2">
        <f t="shared" si="22"/>
      </c>
      <c r="AI230" s="2">
        <f t="shared" si="23"/>
      </c>
      <c r="AJ230" s="2">
        <f t="shared" si="24"/>
        <v>0</v>
      </c>
      <c r="AK230" s="2">
        <f t="shared" si="25"/>
        <v>0</v>
      </c>
      <c r="AL230" s="2">
        <f t="shared" si="26"/>
        <v>0</v>
      </c>
      <c r="AM230" s="2">
        <f t="shared" si="27"/>
        <v>0</v>
      </c>
      <c r="AN230" s="2">
        <f t="shared" si="28"/>
        <v>0</v>
      </c>
      <c r="AO230" s="2">
        <f t="shared" si="29"/>
      </c>
      <c r="AP230" s="2">
        <f t="shared" si="30"/>
      </c>
      <c r="AQ230" s="2">
        <f t="shared" si="31"/>
      </c>
    </row>
    <row r="231">
      <c r="A231" s="43">
        <f t="shared" si="3"/>
      </c>
      <c r="B231" s="44" t="n"/>
      <c r="C231" s="45" t="n"/>
      <c r="D231" s="46" t="n"/>
      <c r="E231" s="47" t="n"/>
      <c r="F231" s="47" t="n"/>
      <c r="G231" s="48">
        <f t="shared" si="4"/>
      </c>
      <c r="H231" s="43">
        <f t="shared" si="0"/>
      </c>
      <c r="I231" s="43">
        <f t="shared" si="5"/>
      </c>
      <c r="J231" s="43">
        <f t="shared" si="1"/>
      </c>
      <c r="K231" s="49">
        <f t="shared" si="2"/>
      </c>
      <c r="L231" s="45" t="n"/>
      <c r="M231" s="45" t="n"/>
      <c r="N231" s="45" t="n"/>
      <c r="O231" s="45" t="n"/>
      <c r="P231" s="50" t="n"/>
      <c r="R231" s="2">
        <f t="shared" si="6"/>
        <v>0</v>
      </c>
      <c r="S231" s="2">
        <f t="shared" si="7"/>
      </c>
      <c r="T231" s="2">
        <f t="shared" si="8"/>
      </c>
      <c r="U231" s="2">
        <f t="shared" si="9"/>
      </c>
      <c r="V231" s="2">
        <f t="shared" si="10"/>
      </c>
      <c r="W231" s="2">
        <f t="shared" si="11"/>
      </c>
      <c r="X231" s="2">
        <f t="shared" si="12"/>
      </c>
      <c r="Y231" s="2">
        <f t="shared" si="13"/>
        <v>0</v>
      </c>
      <c r="Z231" s="2">
        <f t="shared" si="14"/>
      </c>
      <c r="AA231" s="2">
        <f t="shared" si="15"/>
        <v>0</v>
      </c>
      <c r="AB231" s="2">
        <f t="shared" si="16"/>
      </c>
      <c r="AC231" s="2">
        <f t="shared" si="17"/>
      </c>
      <c r="AD231" s="2">
        <f t="shared" si="18"/>
      </c>
      <c r="AE231" s="2">
        <f t="shared" si="19"/>
      </c>
      <c r="AF231" s="2">
        <f t="shared" si="20"/>
      </c>
      <c r="AG231" s="2">
        <f t="shared" si="21"/>
      </c>
      <c r="AH231" s="2">
        <f t="shared" si="22"/>
      </c>
      <c r="AI231" s="2">
        <f t="shared" si="23"/>
      </c>
      <c r="AJ231" s="2">
        <f t="shared" si="24"/>
        <v>0</v>
      </c>
      <c r="AK231" s="2">
        <f t="shared" si="25"/>
        <v>0</v>
      </c>
      <c r="AL231" s="2">
        <f t="shared" si="26"/>
        <v>0</v>
      </c>
      <c r="AM231" s="2">
        <f t="shared" si="27"/>
        <v>0</v>
      </c>
      <c r="AN231" s="2">
        <f t="shared" si="28"/>
        <v>0</v>
      </c>
      <c r="AO231" s="2">
        <f t="shared" si="29"/>
      </c>
      <c r="AP231" s="2">
        <f t="shared" si="30"/>
      </c>
      <c r="AQ231" s="2">
        <f t="shared" si="31"/>
      </c>
    </row>
    <row r="232">
      <c r="A232" s="43">
        <f t="shared" si="3"/>
      </c>
      <c r="B232" s="44" t="n"/>
      <c r="C232" s="45" t="n"/>
      <c r="D232" s="46" t="n"/>
      <c r="E232" s="47" t="n"/>
      <c r="F232" s="47" t="n"/>
      <c r="G232" s="48">
        <f t="shared" si="4"/>
      </c>
      <c r="H232" s="43">
        <f t="shared" si="0"/>
      </c>
      <c r="I232" s="43">
        <f t="shared" si="5"/>
      </c>
      <c r="J232" s="43">
        <f t="shared" si="1"/>
      </c>
      <c r="K232" s="49">
        <f t="shared" si="2"/>
      </c>
      <c r="L232" s="45" t="n"/>
      <c r="M232" s="45" t="n"/>
      <c r="N232" s="45" t="n"/>
      <c r="O232" s="45" t="n"/>
      <c r="P232" s="50" t="n"/>
      <c r="R232" s="2">
        <f t="shared" si="6"/>
        <v>0</v>
      </c>
      <c r="S232" s="2">
        <f t="shared" si="7"/>
      </c>
      <c r="T232" s="2">
        <f t="shared" si="8"/>
      </c>
      <c r="U232" s="2">
        <f t="shared" si="9"/>
      </c>
      <c r="V232" s="2">
        <f t="shared" si="10"/>
      </c>
      <c r="W232" s="2">
        <f t="shared" si="11"/>
      </c>
      <c r="X232" s="2">
        <f t="shared" si="12"/>
      </c>
      <c r="Y232" s="2">
        <f t="shared" si="13"/>
        <v>0</v>
      </c>
      <c r="Z232" s="2">
        <f t="shared" si="14"/>
      </c>
      <c r="AA232" s="2">
        <f t="shared" si="15"/>
        <v>0</v>
      </c>
      <c r="AB232" s="2">
        <f t="shared" si="16"/>
      </c>
      <c r="AC232" s="2">
        <f t="shared" si="17"/>
      </c>
      <c r="AD232" s="2">
        <f t="shared" si="18"/>
      </c>
      <c r="AE232" s="2">
        <f t="shared" si="19"/>
      </c>
      <c r="AF232" s="2">
        <f t="shared" si="20"/>
      </c>
      <c r="AG232" s="2">
        <f t="shared" si="21"/>
      </c>
      <c r="AH232" s="2">
        <f t="shared" si="22"/>
      </c>
      <c r="AI232" s="2">
        <f t="shared" si="23"/>
      </c>
      <c r="AJ232" s="2">
        <f t="shared" si="24"/>
        <v>0</v>
      </c>
      <c r="AK232" s="2">
        <f t="shared" si="25"/>
        <v>0</v>
      </c>
      <c r="AL232" s="2">
        <f t="shared" si="26"/>
        <v>0</v>
      </c>
      <c r="AM232" s="2">
        <f t="shared" si="27"/>
        <v>0</v>
      </c>
      <c r="AN232" s="2">
        <f t="shared" si="28"/>
        <v>0</v>
      </c>
      <c r="AO232" s="2">
        <f t="shared" si="29"/>
      </c>
      <c r="AP232" s="2">
        <f t="shared" si="30"/>
      </c>
      <c r="AQ232" s="2">
        <f t="shared" si="31"/>
      </c>
    </row>
    <row r="233">
      <c r="A233" s="43">
        <f t="shared" si="3"/>
      </c>
      <c r="B233" s="44" t="n"/>
      <c r="C233" s="45" t="n"/>
      <c r="D233" s="46" t="n"/>
      <c r="E233" s="47" t="n"/>
      <c r="F233" s="47" t="n"/>
      <c r="G233" s="48">
        <f t="shared" si="4"/>
      </c>
      <c r="H233" s="43">
        <f t="shared" si="0"/>
      </c>
      <c r="I233" s="43">
        <f t="shared" si="5"/>
      </c>
      <c r="J233" s="43">
        <f t="shared" si="1"/>
      </c>
      <c r="K233" s="49">
        <f t="shared" si="2"/>
      </c>
      <c r="L233" s="45" t="n"/>
      <c r="M233" s="45" t="n"/>
      <c r="N233" s="45" t="n"/>
      <c r="O233" s="45" t="n"/>
      <c r="P233" s="50" t="n"/>
      <c r="R233" s="2">
        <f t="shared" si="6"/>
        <v>0</v>
      </c>
      <c r="S233" s="2">
        <f t="shared" si="7"/>
      </c>
      <c r="T233" s="2">
        <f t="shared" si="8"/>
      </c>
      <c r="U233" s="2">
        <f t="shared" si="9"/>
      </c>
      <c r="V233" s="2">
        <f t="shared" si="10"/>
      </c>
      <c r="W233" s="2">
        <f t="shared" si="11"/>
      </c>
      <c r="X233" s="2">
        <f t="shared" si="12"/>
      </c>
      <c r="Y233" s="2">
        <f t="shared" si="13"/>
        <v>0</v>
      </c>
      <c r="Z233" s="2">
        <f t="shared" si="14"/>
      </c>
      <c r="AA233" s="2">
        <f t="shared" si="15"/>
        <v>0</v>
      </c>
      <c r="AB233" s="2">
        <f t="shared" si="16"/>
      </c>
      <c r="AC233" s="2">
        <f t="shared" si="17"/>
      </c>
      <c r="AD233" s="2">
        <f t="shared" si="18"/>
      </c>
      <c r="AE233" s="2">
        <f t="shared" si="19"/>
      </c>
      <c r="AF233" s="2">
        <f t="shared" si="20"/>
      </c>
      <c r="AG233" s="2">
        <f t="shared" si="21"/>
      </c>
      <c r="AH233" s="2">
        <f t="shared" si="22"/>
      </c>
      <c r="AI233" s="2">
        <f t="shared" si="23"/>
      </c>
      <c r="AJ233" s="2">
        <f t="shared" si="24"/>
        <v>0</v>
      </c>
      <c r="AK233" s="2">
        <f t="shared" si="25"/>
        <v>0</v>
      </c>
      <c r="AL233" s="2">
        <f t="shared" si="26"/>
        <v>0</v>
      </c>
      <c r="AM233" s="2">
        <f t="shared" si="27"/>
        <v>0</v>
      </c>
      <c r="AN233" s="2">
        <f t="shared" si="28"/>
        <v>0</v>
      </c>
      <c r="AO233" s="2">
        <f t="shared" si="29"/>
      </c>
      <c r="AP233" s="2">
        <f t="shared" si="30"/>
      </c>
      <c r="AQ233" s="2">
        <f t="shared" si="31"/>
      </c>
    </row>
    <row r="234">
      <c r="A234" s="43">
        <f t="shared" si="3"/>
      </c>
      <c r="B234" s="44" t="n"/>
      <c r="C234" s="45" t="n"/>
      <c r="D234" s="46" t="n"/>
      <c r="E234" s="47" t="n"/>
      <c r="F234" s="47" t="n"/>
      <c r="G234" s="48">
        <f t="shared" si="4"/>
      </c>
      <c r="H234" s="43">
        <f t="shared" si="0"/>
      </c>
      <c r="I234" s="43">
        <f t="shared" si="5"/>
      </c>
      <c r="J234" s="43">
        <f t="shared" si="1"/>
      </c>
      <c r="K234" s="49">
        <f t="shared" si="2"/>
      </c>
      <c r="L234" s="45" t="n"/>
      <c r="M234" s="45" t="n"/>
      <c r="N234" s="45" t="n"/>
      <c r="O234" s="45" t="n"/>
      <c r="P234" s="50" t="n"/>
      <c r="R234" s="2">
        <f t="shared" si="6"/>
        <v>0</v>
      </c>
      <c r="S234" s="2">
        <f t="shared" si="7"/>
      </c>
      <c r="T234" s="2">
        <f t="shared" si="8"/>
      </c>
      <c r="U234" s="2">
        <f t="shared" si="9"/>
      </c>
      <c r="V234" s="2">
        <f t="shared" si="10"/>
      </c>
      <c r="W234" s="2">
        <f t="shared" si="11"/>
      </c>
      <c r="X234" s="2">
        <f t="shared" si="12"/>
      </c>
      <c r="Y234" s="2">
        <f t="shared" si="13"/>
        <v>0</v>
      </c>
      <c r="Z234" s="2">
        <f t="shared" si="14"/>
      </c>
      <c r="AA234" s="2">
        <f t="shared" si="15"/>
        <v>0</v>
      </c>
      <c r="AB234" s="2">
        <f t="shared" si="16"/>
      </c>
      <c r="AC234" s="2">
        <f t="shared" si="17"/>
      </c>
      <c r="AD234" s="2">
        <f t="shared" si="18"/>
      </c>
      <c r="AE234" s="2">
        <f t="shared" si="19"/>
      </c>
      <c r="AF234" s="2">
        <f t="shared" si="20"/>
      </c>
      <c r="AG234" s="2">
        <f t="shared" si="21"/>
      </c>
      <c r="AH234" s="2">
        <f t="shared" si="22"/>
      </c>
      <c r="AI234" s="2">
        <f t="shared" si="23"/>
      </c>
      <c r="AJ234" s="2">
        <f t="shared" si="24"/>
        <v>0</v>
      </c>
      <c r="AK234" s="2">
        <f t="shared" si="25"/>
        <v>0</v>
      </c>
      <c r="AL234" s="2">
        <f t="shared" si="26"/>
        <v>0</v>
      </c>
      <c r="AM234" s="2">
        <f t="shared" si="27"/>
        <v>0</v>
      </c>
      <c r="AN234" s="2">
        <f t="shared" si="28"/>
        <v>0</v>
      </c>
      <c r="AO234" s="2">
        <f t="shared" si="29"/>
      </c>
      <c r="AP234" s="2">
        <f t="shared" si="30"/>
      </c>
      <c r="AQ234" s="2">
        <f t="shared" si="31"/>
      </c>
    </row>
    <row r="235">
      <c r="A235" s="43">
        <f t="shared" si="3"/>
      </c>
      <c r="B235" s="44" t="n"/>
      <c r="C235" s="45" t="n"/>
      <c r="D235" s="46" t="n"/>
      <c r="E235" s="47" t="n"/>
      <c r="F235" s="47" t="n"/>
      <c r="G235" s="48">
        <f t="shared" si="4"/>
      </c>
      <c r="H235" s="43">
        <f t="shared" si="0"/>
      </c>
      <c r="I235" s="43">
        <f t="shared" si="5"/>
      </c>
      <c r="J235" s="43">
        <f t="shared" si="1"/>
      </c>
      <c r="K235" s="49">
        <f t="shared" si="2"/>
      </c>
      <c r="L235" s="45" t="n"/>
      <c r="M235" s="45" t="n"/>
      <c r="N235" s="45" t="n"/>
      <c r="O235" s="45" t="n"/>
      <c r="P235" s="50" t="n"/>
      <c r="R235" s="2">
        <f t="shared" si="6"/>
        <v>0</v>
      </c>
      <c r="S235" s="2">
        <f t="shared" si="7"/>
      </c>
      <c r="T235" s="2">
        <f t="shared" si="8"/>
      </c>
      <c r="U235" s="2">
        <f t="shared" si="9"/>
      </c>
      <c r="V235" s="2">
        <f t="shared" si="10"/>
      </c>
      <c r="W235" s="2">
        <f t="shared" si="11"/>
      </c>
      <c r="X235" s="2">
        <f t="shared" si="12"/>
      </c>
      <c r="Y235" s="2">
        <f t="shared" si="13"/>
        <v>0</v>
      </c>
      <c r="Z235" s="2">
        <f t="shared" si="14"/>
      </c>
      <c r="AA235" s="2">
        <f t="shared" si="15"/>
        <v>0</v>
      </c>
      <c r="AB235" s="2">
        <f t="shared" si="16"/>
      </c>
      <c r="AC235" s="2">
        <f t="shared" si="17"/>
      </c>
      <c r="AD235" s="2">
        <f t="shared" si="18"/>
      </c>
      <c r="AE235" s="2">
        <f t="shared" si="19"/>
      </c>
      <c r="AF235" s="2">
        <f t="shared" si="20"/>
      </c>
      <c r="AG235" s="2">
        <f t="shared" si="21"/>
      </c>
      <c r="AH235" s="2">
        <f t="shared" si="22"/>
      </c>
      <c r="AI235" s="2">
        <f t="shared" si="23"/>
      </c>
      <c r="AJ235" s="2">
        <f t="shared" si="24"/>
        <v>0</v>
      </c>
      <c r="AK235" s="2">
        <f t="shared" si="25"/>
        <v>0</v>
      </c>
      <c r="AL235" s="2">
        <f t="shared" si="26"/>
        <v>0</v>
      </c>
      <c r="AM235" s="2">
        <f t="shared" si="27"/>
        <v>0</v>
      </c>
      <c r="AN235" s="2">
        <f t="shared" si="28"/>
        <v>0</v>
      </c>
      <c r="AO235" s="2">
        <f t="shared" si="29"/>
      </c>
      <c r="AP235" s="2">
        <f t="shared" si="30"/>
      </c>
      <c r="AQ235" s="2">
        <f t="shared" si="31"/>
      </c>
    </row>
    <row r="236">
      <c r="A236" s="43">
        <f t="shared" si="3"/>
      </c>
      <c r="B236" s="44" t="n"/>
      <c r="C236" s="45" t="n"/>
      <c r="D236" s="46" t="n"/>
      <c r="E236" s="47" t="n"/>
      <c r="F236" s="47" t="n"/>
      <c r="G236" s="48">
        <f t="shared" si="4"/>
      </c>
      <c r="H236" s="43">
        <f t="shared" si="0"/>
      </c>
      <c r="I236" s="43">
        <f t="shared" si="5"/>
      </c>
      <c r="J236" s="43">
        <f t="shared" si="1"/>
      </c>
      <c r="K236" s="49">
        <f t="shared" si="2"/>
      </c>
      <c r="L236" s="45" t="n"/>
      <c r="M236" s="45" t="n"/>
      <c r="N236" s="45" t="n"/>
      <c r="O236" s="45" t="n"/>
      <c r="P236" s="50" t="n"/>
      <c r="R236" s="2">
        <f t="shared" si="6"/>
        <v>0</v>
      </c>
      <c r="S236" s="2">
        <f t="shared" si="7"/>
      </c>
      <c r="T236" s="2">
        <f t="shared" si="8"/>
      </c>
      <c r="U236" s="2">
        <f t="shared" si="9"/>
      </c>
      <c r="V236" s="2">
        <f t="shared" si="10"/>
      </c>
      <c r="W236" s="2">
        <f t="shared" si="11"/>
      </c>
      <c r="X236" s="2">
        <f t="shared" si="12"/>
      </c>
      <c r="Y236" s="2">
        <f t="shared" si="13"/>
        <v>0</v>
      </c>
      <c r="Z236" s="2">
        <f t="shared" si="14"/>
      </c>
      <c r="AA236" s="2">
        <f t="shared" si="15"/>
        <v>0</v>
      </c>
      <c r="AB236" s="2">
        <f t="shared" si="16"/>
      </c>
      <c r="AC236" s="2">
        <f t="shared" si="17"/>
      </c>
      <c r="AD236" s="2">
        <f t="shared" si="18"/>
      </c>
      <c r="AE236" s="2">
        <f t="shared" si="19"/>
      </c>
      <c r="AF236" s="2">
        <f t="shared" si="20"/>
      </c>
      <c r="AG236" s="2">
        <f t="shared" si="21"/>
      </c>
      <c r="AH236" s="2">
        <f t="shared" si="22"/>
      </c>
      <c r="AI236" s="2">
        <f t="shared" si="23"/>
      </c>
      <c r="AJ236" s="2">
        <f t="shared" si="24"/>
        <v>0</v>
      </c>
      <c r="AK236" s="2">
        <f t="shared" si="25"/>
        <v>0</v>
      </c>
      <c r="AL236" s="2">
        <f t="shared" si="26"/>
        <v>0</v>
      </c>
      <c r="AM236" s="2">
        <f t="shared" si="27"/>
        <v>0</v>
      </c>
      <c r="AN236" s="2">
        <f t="shared" si="28"/>
        <v>0</v>
      </c>
      <c r="AO236" s="2">
        <f t="shared" si="29"/>
      </c>
      <c r="AP236" s="2">
        <f t="shared" si="30"/>
      </c>
      <c r="AQ236" s="2">
        <f t="shared" si="31"/>
      </c>
    </row>
    <row r="237">
      <c r="A237" s="43">
        <f t="shared" si="3"/>
      </c>
      <c r="B237" s="44" t="n"/>
      <c r="C237" s="45" t="n"/>
      <c r="D237" s="46" t="n"/>
      <c r="E237" s="47" t="n"/>
      <c r="F237" s="47" t="n"/>
      <c r="G237" s="48">
        <f t="shared" si="4"/>
      </c>
      <c r="H237" s="43">
        <f t="shared" si="0"/>
      </c>
      <c r="I237" s="43">
        <f t="shared" si="5"/>
      </c>
      <c r="J237" s="43">
        <f t="shared" si="1"/>
      </c>
      <c r="K237" s="49">
        <f t="shared" si="2"/>
      </c>
      <c r="L237" s="45" t="n"/>
      <c r="M237" s="45" t="n"/>
      <c r="N237" s="45" t="n"/>
      <c r="O237" s="45" t="n"/>
      <c r="P237" s="50" t="n"/>
      <c r="R237" s="2">
        <f t="shared" si="6"/>
        <v>0</v>
      </c>
      <c r="S237" s="2">
        <f t="shared" si="7"/>
      </c>
      <c r="T237" s="2">
        <f t="shared" si="8"/>
      </c>
      <c r="U237" s="2">
        <f t="shared" si="9"/>
      </c>
      <c r="V237" s="2">
        <f t="shared" si="10"/>
      </c>
      <c r="W237" s="2">
        <f t="shared" si="11"/>
      </c>
      <c r="X237" s="2">
        <f t="shared" si="12"/>
      </c>
      <c r="Y237" s="2">
        <f t="shared" si="13"/>
        <v>0</v>
      </c>
      <c r="Z237" s="2">
        <f t="shared" si="14"/>
      </c>
      <c r="AA237" s="2">
        <f t="shared" si="15"/>
        <v>0</v>
      </c>
      <c r="AB237" s="2">
        <f t="shared" si="16"/>
      </c>
      <c r="AC237" s="2">
        <f t="shared" si="17"/>
      </c>
      <c r="AD237" s="2">
        <f t="shared" si="18"/>
      </c>
      <c r="AE237" s="2">
        <f t="shared" si="19"/>
      </c>
      <c r="AF237" s="2">
        <f t="shared" si="20"/>
      </c>
      <c r="AG237" s="2">
        <f t="shared" si="21"/>
      </c>
      <c r="AH237" s="2">
        <f t="shared" si="22"/>
      </c>
      <c r="AI237" s="2">
        <f t="shared" si="23"/>
      </c>
      <c r="AJ237" s="2">
        <f t="shared" si="24"/>
        <v>0</v>
      </c>
      <c r="AK237" s="2">
        <f t="shared" si="25"/>
        <v>0</v>
      </c>
      <c r="AL237" s="2">
        <f t="shared" si="26"/>
        <v>0</v>
      </c>
      <c r="AM237" s="2">
        <f t="shared" si="27"/>
        <v>0</v>
      </c>
      <c r="AN237" s="2">
        <f t="shared" si="28"/>
        <v>0</v>
      </c>
      <c r="AO237" s="2">
        <f t="shared" si="29"/>
      </c>
      <c r="AP237" s="2">
        <f t="shared" si="30"/>
      </c>
      <c r="AQ237" s="2">
        <f t="shared" si="31"/>
      </c>
    </row>
    <row r="238">
      <c r="A238" s="43">
        <f t="shared" si="3"/>
      </c>
      <c r="B238" s="44" t="n"/>
      <c r="C238" s="45" t="n"/>
      <c r="D238" s="46" t="n"/>
      <c r="E238" s="47" t="n"/>
      <c r="F238" s="47" t="n"/>
      <c r="G238" s="48">
        <f t="shared" si="4"/>
      </c>
      <c r="H238" s="43">
        <f t="shared" si="0"/>
      </c>
      <c r="I238" s="43">
        <f t="shared" si="5"/>
      </c>
      <c r="J238" s="43">
        <f t="shared" si="1"/>
      </c>
      <c r="K238" s="49">
        <f t="shared" si="2"/>
      </c>
      <c r="L238" s="45" t="n"/>
      <c r="M238" s="45" t="n"/>
      <c r="N238" s="45" t="n"/>
      <c r="O238" s="45" t="n"/>
      <c r="P238" s="50" t="n"/>
      <c r="R238" s="2">
        <f t="shared" si="6"/>
        <v>0</v>
      </c>
      <c r="S238" s="2">
        <f t="shared" si="7"/>
      </c>
      <c r="T238" s="2">
        <f t="shared" si="8"/>
      </c>
      <c r="U238" s="2">
        <f t="shared" si="9"/>
      </c>
      <c r="V238" s="2">
        <f t="shared" si="10"/>
      </c>
      <c r="W238" s="2">
        <f t="shared" si="11"/>
      </c>
      <c r="X238" s="2">
        <f t="shared" si="12"/>
      </c>
      <c r="Y238" s="2">
        <f t="shared" si="13"/>
        <v>0</v>
      </c>
      <c r="Z238" s="2">
        <f t="shared" si="14"/>
      </c>
      <c r="AA238" s="2">
        <f t="shared" si="15"/>
        <v>0</v>
      </c>
      <c r="AB238" s="2">
        <f t="shared" si="16"/>
      </c>
      <c r="AC238" s="2">
        <f t="shared" si="17"/>
      </c>
      <c r="AD238" s="2">
        <f t="shared" si="18"/>
      </c>
      <c r="AE238" s="2">
        <f t="shared" si="19"/>
      </c>
      <c r="AF238" s="2">
        <f t="shared" si="20"/>
      </c>
      <c r="AG238" s="2">
        <f t="shared" si="21"/>
      </c>
      <c r="AH238" s="2">
        <f t="shared" si="22"/>
      </c>
      <c r="AI238" s="2">
        <f t="shared" si="23"/>
      </c>
      <c r="AJ238" s="2">
        <f t="shared" si="24"/>
        <v>0</v>
      </c>
      <c r="AK238" s="2">
        <f t="shared" si="25"/>
        <v>0</v>
      </c>
      <c r="AL238" s="2">
        <f t="shared" si="26"/>
        <v>0</v>
      </c>
      <c r="AM238" s="2">
        <f t="shared" si="27"/>
        <v>0</v>
      </c>
      <c r="AN238" s="2">
        <f t="shared" si="28"/>
        <v>0</v>
      </c>
      <c r="AO238" s="2">
        <f t="shared" si="29"/>
      </c>
      <c r="AP238" s="2">
        <f t="shared" si="30"/>
      </c>
      <c r="AQ238" s="2">
        <f t="shared" si="31"/>
      </c>
    </row>
    <row r="239">
      <c r="A239" s="43">
        <f t="shared" si="3"/>
      </c>
      <c r="B239" s="44" t="n"/>
      <c r="C239" s="45" t="n"/>
      <c r="D239" s="46" t="n"/>
      <c r="E239" s="47" t="n"/>
      <c r="F239" s="47" t="n"/>
      <c r="G239" s="48">
        <f t="shared" si="4"/>
      </c>
      <c r="H239" s="43">
        <f t="shared" si="0"/>
      </c>
      <c r="I239" s="43">
        <f t="shared" si="5"/>
      </c>
      <c r="J239" s="43">
        <f t="shared" si="1"/>
      </c>
      <c r="K239" s="49">
        <f t="shared" si="2"/>
      </c>
      <c r="L239" s="45" t="n"/>
      <c r="M239" s="45" t="n"/>
      <c r="N239" s="45" t="n"/>
      <c r="O239" s="45" t="n"/>
      <c r="P239" s="50" t="n"/>
      <c r="R239" s="2">
        <f t="shared" si="6"/>
        <v>0</v>
      </c>
      <c r="S239" s="2">
        <f t="shared" si="7"/>
      </c>
      <c r="T239" s="2">
        <f t="shared" si="8"/>
      </c>
      <c r="U239" s="2">
        <f t="shared" si="9"/>
      </c>
      <c r="V239" s="2">
        <f t="shared" si="10"/>
      </c>
      <c r="W239" s="2">
        <f t="shared" si="11"/>
      </c>
      <c r="X239" s="2">
        <f t="shared" si="12"/>
      </c>
      <c r="Y239" s="2">
        <f t="shared" si="13"/>
        <v>0</v>
      </c>
      <c r="Z239" s="2">
        <f t="shared" si="14"/>
      </c>
      <c r="AA239" s="2">
        <f t="shared" si="15"/>
        <v>0</v>
      </c>
      <c r="AB239" s="2">
        <f t="shared" si="16"/>
      </c>
      <c r="AC239" s="2">
        <f t="shared" si="17"/>
      </c>
      <c r="AD239" s="2">
        <f t="shared" si="18"/>
      </c>
      <c r="AE239" s="2">
        <f t="shared" si="19"/>
      </c>
      <c r="AF239" s="2">
        <f t="shared" si="20"/>
      </c>
      <c r="AG239" s="2">
        <f t="shared" si="21"/>
      </c>
      <c r="AH239" s="2">
        <f t="shared" si="22"/>
      </c>
      <c r="AI239" s="2">
        <f t="shared" si="23"/>
      </c>
      <c r="AJ239" s="2">
        <f t="shared" si="24"/>
        <v>0</v>
      </c>
      <c r="AK239" s="2">
        <f t="shared" si="25"/>
        <v>0</v>
      </c>
      <c r="AL239" s="2">
        <f t="shared" si="26"/>
        <v>0</v>
      </c>
      <c r="AM239" s="2">
        <f t="shared" si="27"/>
        <v>0</v>
      </c>
      <c r="AN239" s="2">
        <f t="shared" si="28"/>
        <v>0</v>
      </c>
      <c r="AO239" s="2">
        <f t="shared" si="29"/>
      </c>
      <c r="AP239" s="2">
        <f t="shared" si="30"/>
      </c>
      <c r="AQ239" s="2">
        <f t="shared" si="31"/>
      </c>
    </row>
    <row r="240">
      <c r="A240" s="43">
        <f t="shared" si="3"/>
      </c>
      <c r="B240" s="44" t="n"/>
      <c r="C240" s="45" t="n"/>
      <c r="D240" s="46" t="n"/>
      <c r="E240" s="47" t="n"/>
      <c r="F240" s="47" t="n"/>
      <c r="G240" s="48">
        <f t="shared" si="4"/>
      </c>
      <c r="H240" s="43">
        <f t="shared" si="0"/>
      </c>
      <c r="I240" s="43">
        <f t="shared" si="5"/>
      </c>
      <c r="J240" s="43">
        <f t="shared" si="1"/>
      </c>
      <c r="K240" s="49">
        <f t="shared" si="2"/>
      </c>
      <c r="L240" s="45" t="n"/>
      <c r="M240" s="45" t="n"/>
      <c r="N240" s="45" t="n"/>
      <c r="O240" s="45" t="n"/>
      <c r="P240" s="50" t="n"/>
      <c r="R240" s="2">
        <f t="shared" si="6"/>
        <v>0</v>
      </c>
      <c r="S240" s="2">
        <f t="shared" si="7"/>
      </c>
      <c r="T240" s="2">
        <f t="shared" si="8"/>
      </c>
      <c r="U240" s="2">
        <f t="shared" si="9"/>
      </c>
      <c r="V240" s="2">
        <f t="shared" si="10"/>
      </c>
      <c r="W240" s="2">
        <f t="shared" si="11"/>
      </c>
      <c r="X240" s="2">
        <f t="shared" si="12"/>
      </c>
      <c r="Y240" s="2">
        <f t="shared" si="13"/>
        <v>0</v>
      </c>
      <c r="Z240" s="2">
        <f t="shared" si="14"/>
      </c>
      <c r="AA240" s="2">
        <f t="shared" si="15"/>
        <v>0</v>
      </c>
      <c r="AB240" s="2">
        <f t="shared" si="16"/>
      </c>
      <c r="AC240" s="2">
        <f t="shared" si="17"/>
      </c>
      <c r="AD240" s="2">
        <f t="shared" si="18"/>
      </c>
      <c r="AE240" s="2">
        <f t="shared" si="19"/>
      </c>
      <c r="AF240" s="2">
        <f t="shared" si="20"/>
      </c>
      <c r="AG240" s="2">
        <f t="shared" si="21"/>
      </c>
      <c r="AH240" s="2">
        <f t="shared" si="22"/>
      </c>
      <c r="AI240" s="2">
        <f t="shared" si="23"/>
      </c>
      <c r="AJ240" s="2">
        <f t="shared" si="24"/>
        <v>0</v>
      </c>
      <c r="AK240" s="2">
        <f t="shared" si="25"/>
        <v>0</v>
      </c>
      <c r="AL240" s="2">
        <f t="shared" si="26"/>
        <v>0</v>
      </c>
      <c r="AM240" s="2">
        <f t="shared" si="27"/>
        <v>0</v>
      </c>
      <c r="AN240" s="2">
        <f t="shared" si="28"/>
        <v>0</v>
      </c>
      <c r="AO240" s="2">
        <f t="shared" si="29"/>
      </c>
      <c r="AP240" s="2">
        <f t="shared" si="30"/>
      </c>
      <c r="AQ240" s="2">
        <f t="shared" si="31"/>
      </c>
    </row>
    <row r="241">
      <c r="A241" s="43">
        <f t="shared" si="3"/>
      </c>
      <c r="B241" s="44" t="n"/>
      <c r="C241" s="45" t="n"/>
      <c r="D241" s="46" t="n"/>
      <c r="E241" s="47" t="n"/>
      <c r="F241" s="47" t="n"/>
      <c r="G241" s="48">
        <f t="shared" si="4"/>
      </c>
      <c r="H241" s="43">
        <f t="shared" si="0"/>
      </c>
      <c r="I241" s="43">
        <f t="shared" si="5"/>
      </c>
      <c r="J241" s="43">
        <f t="shared" si="1"/>
      </c>
      <c r="K241" s="49">
        <f t="shared" si="2"/>
      </c>
      <c r="L241" s="45" t="n"/>
      <c r="M241" s="45" t="n"/>
      <c r="N241" s="45" t="n"/>
      <c r="O241" s="45" t="n"/>
      <c r="P241" s="50" t="n"/>
      <c r="R241" s="2">
        <f t="shared" si="6"/>
        <v>0</v>
      </c>
      <c r="S241" s="2">
        <f t="shared" si="7"/>
      </c>
      <c r="T241" s="2">
        <f t="shared" si="8"/>
      </c>
      <c r="U241" s="2">
        <f t="shared" si="9"/>
      </c>
      <c r="V241" s="2">
        <f t="shared" si="10"/>
      </c>
      <c r="W241" s="2">
        <f t="shared" si="11"/>
      </c>
      <c r="X241" s="2">
        <f t="shared" si="12"/>
      </c>
      <c r="Y241" s="2">
        <f t="shared" si="13"/>
        <v>0</v>
      </c>
      <c r="Z241" s="2">
        <f t="shared" si="14"/>
      </c>
      <c r="AA241" s="2">
        <f t="shared" si="15"/>
        <v>0</v>
      </c>
      <c r="AB241" s="2">
        <f t="shared" si="16"/>
      </c>
      <c r="AC241" s="2">
        <f t="shared" si="17"/>
      </c>
      <c r="AD241" s="2">
        <f t="shared" si="18"/>
      </c>
      <c r="AE241" s="2">
        <f t="shared" si="19"/>
      </c>
      <c r="AF241" s="2">
        <f t="shared" si="20"/>
      </c>
      <c r="AG241" s="2">
        <f t="shared" si="21"/>
      </c>
      <c r="AH241" s="2">
        <f t="shared" si="22"/>
      </c>
      <c r="AI241" s="2">
        <f t="shared" si="23"/>
      </c>
      <c r="AJ241" s="2">
        <f t="shared" si="24"/>
        <v>0</v>
      </c>
      <c r="AK241" s="2">
        <f t="shared" si="25"/>
        <v>0</v>
      </c>
      <c r="AL241" s="2">
        <f t="shared" si="26"/>
        <v>0</v>
      </c>
      <c r="AM241" s="2">
        <f t="shared" si="27"/>
        <v>0</v>
      </c>
      <c r="AN241" s="2">
        <f t="shared" si="28"/>
        <v>0</v>
      </c>
      <c r="AO241" s="2">
        <f t="shared" si="29"/>
      </c>
      <c r="AP241" s="2">
        <f t="shared" si="30"/>
      </c>
      <c r="AQ241" s="2">
        <f t="shared" si="31"/>
      </c>
    </row>
    <row r="242">
      <c r="A242" s="43">
        <f t="shared" si="3"/>
      </c>
      <c r="B242" s="44" t="n"/>
      <c r="C242" s="45" t="n"/>
      <c r="D242" s="46" t="n"/>
      <c r="E242" s="47" t="n"/>
      <c r="F242" s="47" t="n"/>
      <c r="G242" s="48">
        <f t="shared" si="4"/>
      </c>
      <c r="H242" s="43">
        <f t="shared" si="0"/>
      </c>
      <c r="I242" s="43">
        <f t="shared" si="5"/>
      </c>
      <c r="J242" s="43">
        <f t="shared" si="1"/>
      </c>
      <c r="K242" s="49">
        <f t="shared" si="2"/>
      </c>
      <c r="L242" s="45" t="n"/>
      <c r="M242" s="45" t="n"/>
      <c r="N242" s="45" t="n"/>
      <c r="O242" s="45" t="n"/>
      <c r="P242" s="50" t="n"/>
      <c r="R242" s="2">
        <f t="shared" si="6"/>
        <v>0</v>
      </c>
      <c r="S242" s="2">
        <f t="shared" si="7"/>
      </c>
      <c r="T242" s="2">
        <f t="shared" si="8"/>
      </c>
      <c r="U242" s="2">
        <f t="shared" si="9"/>
      </c>
      <c r="V242" s="2">
        <f t="shared" si="10"/>
      </c>
      <c r="W242" s="2">
        <f t="shared" si="11"/>
      </c>
      <c r="X242" s="2">
        <f t="shared" si="12"/>
      </c>
      <c r="Y242" s="2">
        <f t="shared" si="13"/>
        <v>0</v>
      </c>
      <c r="Z242" s="2">
        <f t="shared" si="14"/>
      </c>
      <c r="AA242" s="2">
        <f t="shared" si="15"/>
        <v>0</v>
      </c>
      <c r="AB242" s="2">
        <f t="shared" si="16"/>
      </c>
      <c r="AC242" s="2">
        <f t="shared" si="17"/>
      </c>
      <c r="AD242" s="2">
        <f t="shared" si="18"/>
      </c>
      <c r="AE242" s="2">
        <f t="shared" si="19"/>
      </c>
      <c r="AF242" s="2">
        <f t="shared" si="20"/>
      </c>
      <c r="AG242" s="2">
        <f t="shared" si="21"/>
      </c>
      <c r="AH242" s="2">
        <f t="shared" si="22"/>
      </c>
      <c r="AI242" s="2">
        <f t="shared" si="23"/>
      </c>
      <c r="AJ242" s="2">
        <f t="shared" si="24"/>
        <v>0</v>
      </c>
      <c r="AK242" s="2">
        <f t="shared" si="25"/>
        <v>0</v>
      </c>
      <c r="AL242" s="2">
        <f t="shared" si="26"/>
        <v>0</v>
      </c>
      <c r="AM242" s="2">
        <f t="shared" si="27"/>
        <v>0</v>
      </c>
      <c r="AN242" s="2">
        <f t="shared" si="28"/>
        <v>0</v>
      </c>
      <c r="AO242" s="2">
        <f t="shared" si="29"/>
      </c>
      <c r="AP242" s="2">
        <f t="shared" si="30"/>
      </c>
      <c r="AQ242" s="2">
        <f t="shared" si="31"/>
      </c>
    </row>
    <row r="243">
      <c r="A243" s="43">
        <f t="shared" si="3"/>
      </c>
      <c r="B243" s="44" t="n"/>
      <c r="C243" s="45" t="n"/>
      <c r="D243" s="46" t="n"/>
      <c r="E243" s="47" t="n"/>
      <c r="F243" s="47" t="n"/>
      <c r="G243" s="48">
        <f t="shared" si="4"/>
      </c>
      <c r="H243" s="43">
        <f t="shared" si="0"/>
      </c>
      <c r="I243" s="43">
        <f t="shared" si="5"/>
      </c>
      <c r="J243" s="43">
        <f t="shared" si="1"/>
      </c>
      <c r="K243" s="49">
        <f t="shared" si="2"/>
      </c>
      <c r="L243" s="45" t="n"/>
      <c r="M243" s="45" t="n"/>
      <c r="N243" s="45" t="n"/>
      <c r="O243" s="45" t="n"/>
      <c r="P243" s="50" t="n"/>
      <c r="R243" s="2">
        <f t="shared" si="6"/>
        <v>0</v>
      </c>
      <c r="S243" s="2">
        <f t="shared" si="7"/>
      </c>
      <c r="T243" s="2">
        <f t="shared" si="8"/>
      </c>
      <c r="U243" s="2">
        <f t="shared" si="9"/>
      </c>
      <c r="V243" s="2">
        <f t="shared" si="10"/>
      </c>
      <c r="W243" s="2">
        <f t="shared" si="11"/>
      </c>
      <c r="X243" s="2">
        <f t="shared" si="12"/>
      </c>
      <c r="Y243" s="2">
        <f t="shared" si="13"/>
        <v>0</v>
      </c>
      <c r="Z243" s="2">
        <f t="shared" si="14"/>
      </c>
      <c r="AA243" s="2">
        <f t="shared" si="15"/>
        <v>0</v>
      </c>
      <c r="AB243" s="2">
        <f t="shared" si="16"/>
      </c>
      <c r="AC243" s="2">
        <f t="shared" si="17"/>
      </c>
      <c r="AD243" s="2">
        <f t="shared" si="18"/>
      </c>
      <c r="AE243" s="2">
        <f t="shared" si="19"/>
      </c>
      <c r="AF243" s="2">
        <f t="shared" si="20"/>
      </c>
      <c r="AG243" s="2">
        <f t="shared" si="21"/>
      </c>
      <c r="AH243" s="2">
        <f t="shared" si="22"/>
      </c>
      <c r="AI243" s="2">
        <f t="shared" si="23"/>
      </c>
      <c r="AJ243" s="2">
        <f t="shared" si="24"/>
        <v>0</v>
      </c>
      <c r="AK243" s="2">
        <f t="shared" si="25"/>
        <v>0</v>
      </c>
      <c r="AL243" s="2">
        <f t="shared" si="26"/>
        <v>0</v>
      </c>
      <c r="AM243" s="2">
        <f t="shared" si="27"/>
        <v>0</v>
      </c>
      <c r="AN243" s="2">
        <f t="shared" si="28"/>
        <v>0</v>
      </c>
      <c r="AO243" s="2">
        <f t="shared" si="29"/>
      </c>
      <c r="AP243" s="2">
        <f t="shared" si="30"/>
      </c>
      <c r="AQ243" s="2">
        <f t="shared" si="31"/>
      </c>
    </row>
    <row r="244">
      <c r="A244" s="43">
        <f t="shared" si="3"/>
      </c>
      <c r="B244" s="44" t="n"/>
      <c r="C244" s="45" t="n"/>
      <c r="D244" s="46" t="n"/>
      <c r="E244" s="47" t="n"/>
      <c r="F244" s="47" t="n"/>
      <c r="G244" s="48">
        <f t="shared" si="4"/>
      </c>
      <c r="H244" s="43">
        <f t="shared" si="0"/>
      </c>
      <c r="I244" s="43">
        <f t="shared" si="5"/>
      </c>
      <c r="J244" s="43">
        <f t="shared" si="1"/>
      </c>
      <c r="K244" s="49">
        <f t="shared" si="2"/>
      </c>
      <c r="L244" s="45" t="n"/>
      <c r="M244" s="45" t="n"/>
      <c r="N244" s="45" t="n"/>
      <c r="O244" s="45" t="n"/>
      <c r="P244" s="50" t="n"/>
      <c r="R244" s="2">
        <f t="shared" si="6"/>
        <v>0</v>
      </c>
      <c r="S244" s="2">
        <f t="shared" si="7"/>
      </c>
      <c r="T244" s="2">
        <f t="shared" si="8"/>
      </c>
      <c r="U244" s="2">
        <f t="shared" si="9"/>
      </c>
      <c r="V244" s="2">
        <f t="shared" si="10"/>
      </c>
      <c r="W244" s="2">
        <f t="shared" si="11"/>
      </c>
      <c r="X244" s="2">
        <f t="shared" si="12"/>
      </c>
      <c r="Y244" s="2">
        <f t="shared" si="13"/>
        <v>0</v>
      </c>
      <c r="Z244" s="2">
        <f t="shared" si="14"/>
      </c>
      <c r="AA244" s="2">
        <f t="shared" si="15"/>
        <v>0</v>
      </c>
      <c r="AB244" s="2">
        <f t="shared" si="16"/>
      </c>
      <c r="AC244" s="2">
        <f t="shared" si="17"/>
      </c>
      <c r="AD244" s="2">
        <f t="shared" si="18"/>
      </c>
      <c r="AE244" s="2">
        <f t="shared" si="19"/>
      </c>
      <c r="AF244" s="2">
        <f t="shared" si="20"/>
      </c>
      <c r="AG244" s="2">
        <f t="shared" si="21"/>
      </c>
      <c r="AH244" s="2">
        <f t="shared" si="22"/>
      </c>
      <c r="AI244" s="2">
        <f t="shared" si="23"/>
      </c>
      <c r="AJ244" s="2">
        <f t="shared" si="24"/>
        <v>0</v>
      </c>
      <c r="AK244" s="2">
        <f t="shared" si="25"/>
        <v>0</v>
      </c>
      <c r="AL244" s="2">
        <f t="shared" si="26"/>
        <v>0</v>
      </c>
      <c r="AM244" s="2">
        <f t="shared" si="27"/>
        <v>0</v>
      </c>
      <c r="AN244" s="2">
        <f t="shared" si="28"/>
        <v>0</v>
      </c>
      <c r="AO244" s="2">
        <f t="shared" si="29"/>
      </c>
      <c r="AP244" s="2">
        <f t="shared" si="30"/>
      </c>
      <c r="AQ244" s="2">
        <f t="shared" si="31"/>
      </c>
    </row>
    <row r="245">
      <c r="A245" s="43">
        <f t="shared" si="3"/>
      </c>
      <c r="B245" s="44" t="n"/>
      <c r="C245" s="45" t="n"/>
      <c r="D245" s="46" t="n"/>
      <c r="E245" s="47" t="n"/>
      <c r="F245" s="47" t="n"/>
      <c r="G245" s="48">
        <f t="shared" si="4"/>
      </c>
      <c r="H245" s="43">
        <f t="shared" si="0"/>
      </c>
      <c r="I245" s="43">
        <f t="shared" si="5"/>
      </c>
      <c r="J245" s="43">
        <f t="shared" si="1"/>
      </c>
      <c r="K245" s="49">
        <f t="shared" si="2"/>
      </c>
      <c r="L245" s="45" t="n"/>
      <c r="M245" s="45" t="n"/>
      <c r="N245" s="45" t="n"/>
      <c r="O245" s="45" t="n"/>
      <c r="P245" s="50" t="n"/>
      <c r="R245" s="2">
        <f t="shared" si="6"/>
        <v>0</v>
      </c>
      <c r="S245" s="2">
        <f t="shared" si="7"/>
      </c>
      <c r="T245" s="2">
        <f t="shared" si="8"/>
      </c>
      <c r="U245" s="2">
        <f t="shared" si="9"/>
      </c>
      <c r="V245" s="2">
        <f t="shared" si="10"/>
      </c>
      <c r="W245" s="2">
        <f t="shared" si="11"/>
      </c>
      <c r="X245" s="2">
        <f t="shared" si="12"/>
      </c>
      <c r="Y245" s="2">
        <f t="shared" si="13"/>
        <v>0</v>
      </c>
      <c r="Z245" s="2">
        <f t="shared" si="14"/>
      </c>
      <c r="AA245" s="2">
        <f t="shared" si="15"/>
        <v>0</v>
      </c>
      <c r="AB245" s="2">
        <f t="shared" si="16"/>
      </c>
      <c r="AC245" s="2">
        <f t="shared" si="17"/>
      </c>
      <c r="AD245" s="2">
        <f t="shared" si="18"/>
      </c>
      <c r="AE245" s="2">
        <f t="shared" si="19"/>
      </c>
      <c r="AF245" s="2">
        <f t="shared" si="20"/>
      </c>
      <c r="AG245" s="2">
        <f t="shared" si="21"/>
      </c>
      <c r="AH245" s="2">
        <f t="shared" si="22"/>
      </c>
      <c r="AI245" s="2">
        <f t="shared" si="23"/>
      </c>
      <c r="AJ245" s="2">
        <f t="shared" si="24"/>
        <v>0</v>
      </c>
      <c r="AK245" s="2">
        <f t="shared" si="25"/>
        <v>0</v>
      </c>
      <c r="AL245" s="2">
        <f t="shared" si="26"/>
        <v>0</v>
      </c>
      <c r="AM245" s="2">
        <f t="shared" si="27"/>
        <v>0</v>
      </c>
      <c r="AN245" s="2">
        <f t="shared" si="28"/>
        <v>0</v>
      </c>
      <c r="AO245" s="2">
        <f t="shared" si="29"/>
      </c>
      <c r="AP245" s="2">
        <f t="shared" si="30"/>
      </c>
      <c r="AQ245" s="2">
        <f t="shared" si="31"/>
      </c>
    </row>
    <row r="246">
      <c r="A246" s="43">
        <f t="shared" si="3"/>
      </c>
      <c r="B246" s="44" t="n"/>
      <c r="C246" s="45" t="n"/>
      <c r="D246" s="46" t="n"/>
      <c r="E246" s="47" t="n"/>
      <c r="F246" s="47" t="n"/>
      <c r="G246" s="48">
        <f t="shared" si="4"/>
      </c>
      <c r="H246" s="43">
        <f t="shared" si="0"/>
      </c>
      <c r="I246" s="43">
        <f t="shared" si="5"/>
      </c>
      <c r="J246" s="43">
        <f t="shared" si="1"/>
      </c>
      <c r="K246" s="49">
        <f t="shared" si="2"/>
      </c>
      <c r="L246" s="45" t="n"/>
      <c r="M246" s="45" t="n"/>
      <c r="N246" s="45" t="n"/>
      <c r="O246" s="45" t="n"/>
      <c r="P246" s="50" t="n"/>
      <c r="R246" s="2">
        <f t="shared" si="6"/>
        <v>0</v>
      </c>
      <c r="S246" s="2">
        <f t="shared" si="7"/>
      </c>
      <c r="T246" s="2">
        <f t="shared" si="8"/>
      </c>
      <c r="U246" s="2">
        <f t="shared" si="9"/>
      </c>
      <c r="V246" s="2">
        <f t="shared" si="10"/>
      </c>
      <c r="W246" s="2">
        <f t="shared" si="11"/>
      </c>
      <c r="X246" s="2">
        <f t="shared" si="12"/>
      </c>
      <c r="Y246" s="2">
        <f t="shared" si="13"/>
        <v>0</v>
      </c>
      <c r="Z246" s="2">
        <f t="shared" si="14"/>
      </c>
      <c r="AA246" s="2">
        <f t="shared" si="15"/>
        <v>0</v>
      </c>
      <c r="AB246" s="2">
        <f t="shared" si="16"/>
      </c>
      <c r="AC246" s="2">
        <f t="shared" si="17"/>
      </c>
      <c r="AD246" s="2">
        <f t="shared" si="18"/>
      </c>
      <c r="AE246" s="2">
        <f t="shared" si="19"/>
      </c>
      <c r="AF246" s="2">
        <f t="shared" si="20"/>
      </c>
      <c r="AG246" s="2">
        <f t="shared" si="21"/>
      </c>
      <c r="AH246" s="2">
        <f t="shared" si="22"/>
      </c>
      <c r="AI246" s="2">
        <f t="shared" si="23"/>
      </c>
      <c r="AJ246" s="2">
        <f t="shared" si="24"/>
        <v>0</v>
      </c>
      <c r="AK246" s="2">
        <f t="shared" si="25"/>
        <v>0</v>
      </c>
      <c r="AL246" s="2">
        <f t="shared" si="26"/>
        <v>0</v>
      </c>
      <c r="AM246" s="2">
        <f t="shared" si="27"/>
        <v>0</v>
      </c>
      <c r="AN246" s="2">
        <f t="shared" si="28"/>
        <v>0</v>
      </c>
      <c r="AO246" s="2">
        <f t="shared" si="29"/>
      </c>
      <c r="AP246" s="2">
        <f t="shared" si="30"/>
      </c>
      <c r="AQ246" s="2">
        <f t="shared" si="31"/>
      </c>
    </row>
    <row r="247">
      <c r="A247" s="43">
        <f t="shared" si="3"/>
      </c>
      <c r="B247" s="44" t="n"/>
      <c r="C247" s="45" t="n"/>
      <c r="D247" s="46" t="n"/>
      <c r="E247" s="47" t="n"/>
      <c r="F247" s="47" t="n"/>
      <c r="G247" s="48">
        <f t="shared" si="4"/>
      </c>
      <c r="H247" s="43">
        <f t="shared" si="0"/>
      </c>
      <c r="I247" s="43">
        <f t="shared" si="5"/>
      </c>
      <c r="J247" s="43">
        <f t="shared" si="1"/>
      </c>
      <c r="K247" s="49">
        <f t="shared" si="2"/>
      </c>
      <c r="L247" s="45" t="n"/>
      <c r="M247" s="45" t="n"/>
      <c r="N247" s="45" t="n"/>
      <c r="O247" s="45" t="n"/>
      <c r="P247" s="50" t="n"/>
      <c r="R247" s="2">
        <f t="shared" si="6"/>
        <v>0</v>
      </c>
      <c r="S247" s="2">
        <f t="shared" si="7"/>
      </c>
      <c r="T247" s="2">
        <f t="shared" si="8"/>
      </c>
      <c r="U247" s="2">
        <f t="shared" si="9"/>
      </c>
      <c r="V247" s="2">
        <f t="shared" si="10"/>
      </c>
      <c r="W247" s="2">
        <f t="shared" si="11"/>
      </c>
      <c r="X247" s="2">
        <f t="shared" si="12"/>
      </c>
      <c r="Y247" s="2">
        <f t="shared" si="13"/>
        <v>0</v>
      </c>
      <c r="Z247" s="2">
        <f t="shared" si="14"/>
      </c>
      <c r="AA247" s="2">
        <f t="shared" si="15"/>
        <v>0</v>
      </c>
      <c r="AB247" s="2">
        <f t="shared" si="16"/>
      </c>
      <c r="AC247" s="2">
        <f t="shared" si="17"/>
      </c>
      <c r="AD247" s="2">
        <f t="shared" si="18"/>
      </c>
      <c r="AE247" s="2">
        <f t="shared" si="19"/>
      </c>
      <c r="AF247" s="2">
        <f t="shared" si="20"/>
      </c>
      <c r="AG247" s="2">
        <f t="shared" si="21"/>
      </c>
      <c r="AH247" s="2">
        <f t="shared" si="22"/>
      </c>
      <c r="AI247" s="2">
        <f t="shared" si="23"/>
      </c>
      <c r="AJ247" s="2">
        <f t="shared" si="24"/>
        <v>0</v>
      </c>
      <c r="AK247" s="2">
        <f t="shared" si="25"/>
        <v>0</v>
      </c>
      <c r="AL247" s="2">
        <f t="shared" si="26"/>
        <v>0</v>
      </c>
      <c r="AM247" s="2">
        <f t="shared" si="27"/>
        <v>0</v>
      </c>
      <c r="AN247" s="2">
        <f t="shared" si="28"/>
        <v>0</v>
      </c>
      <c r="AO247" s="2">
        <f t="shared" si="29"/>
      </c>
      <c r="AP247" s="2">
        <f t="shared" si="30"/>
      </c>
      <c r="AQ247" s="2">
        <f t="shared" si="31"/>
      </c>
    </row>
    <row r="248">
      <c r="A248" s="43">
        <f t="shared" si="3"/>
      </c>
      <c r="B248" s="44" t="n"/>
      <c r="C248" s="45" t="n"/>
      <c r="D248" s="46" t="n"/>
      <c r="E248" s="47" t="n"/>
      <c r="F248" s="47" t="n"/>
      <c r="G248" s="48">
        <f t="shared" si="4"/>
      </c>
      <c r="H248" s="43">
        <f t="shared" si="0"/>
      </c>
      <c r="I248" s="43">
        <f t="shared" si="5"/>
      </c>
      <c r="J248" s="43">
        <f t="shared" si="1"/>
      </c>
      <c r="K248" s="49">
        <f t="shared" si="2"/>
      </c>
      <c r="L248" s="45" t="n"/>
      <c r="M248" s="45" t="n"/>
      <c r="N248" s="45" t="n"/>
      <c r="O248" s="45" t="n"/>
      <c r="P248" s="50" t="n"/>
      <c r="R248" s="2">
        <f t="shared" si="6"/>
        <v>0</v>
      </c>
      <c r="S248" s="2">
        <f t="shared" si="7"/>
      </c>
      <c r="T248" s="2">
        <f t="shared" si="8"/>
      </c>
      <c r="U248" s="2">
        <f t="shared" si="9"/>
      </c>
      <c r="V248" s="2">
        <f t="shared" si="10"/>
      </c>
      <c r="W248" s="2">
        <f t="shared" si="11"/>
      </c>
      <c r="X248" s="2">
        <f t="shared" si="12"/>
      </c>
      <c r="Y248" s="2">
        <f t="shared" si="13"/>
        <v>0</v>
      </c>
      <c r="Z248" s="2">
        <f t="shared" si="14"/>
      </c>
      <c r="AA248" s="2">
        <f t="shared" si="15"/>
        <v>0</v>
      </c>
      <c r="AB248" s="2">
        <f t="shared" si="16"/>
      </c>
      <c r="AC248" s="2">
        <f t="shared" si="17"/>
      </c>
      <c r="AD248" s="2">
        <f t="shared" si="18"/>
      </c>
      <c r="AE248" s="2">
        <f t="shared" si="19"/>
      </c>
      <c r="AF248" s="2">
        <f t="shared" si="20"/>
      </c>
      <c r="AG248" s="2">
        <f t="shared" si="21"/>
      </c>
      <c r="AH248" s="2">
        <f t="shared" si="22"/>
      </c>
      <c r="AI248" s="2">
        <f t="shared" si="23"/>
      </c>
      <c r="AJ248" s="2">
        <f t="shared" si="24"/>
        <v>0</v>
      </c>
      <c r="AK248" s="2">
        <f t="shared" si="25"/>
        <v>0</v>
      </c>
      <c r="AL248" s="2">
        <f t="shared" si="26"/>
        <v>0</v>
      </c>
      <c r="AM248" s="2">
        <f t="shared" si="27"/>
        <v>0</v>
      </c>
      <c r="AN248" s="2">
        <f t="shared" si="28"/>
        <v>0</v>
      </c>
      <c r="AO248" s="2">
        <f t="shared" si="29"/>
      </c>
      <c r="AP248" s="2">
        <f t="shared" si="30"/>
      </c>
      <c r="AQ248" s="2">
        <f t="shared" si="31"/>
      </c>
    </row>
    <row r="249">
      <c r="A249" s="43">
        <f t="shared" si="3"/>
      </c>
      <c r="B249" s="44" t="n"/>
      <c r="C249" s="45" t="n"/>
      <c r="D249" s="46" t="n"/>
      <c r="E249" s="47" t="n"/>
      <c r="F249" s="47" t="n"/>
      <c r="G249" s="48">
        <f t="shared" si="4"/>
      </c>
      <c r="H249" s="43">
        <f t="shared" si="0"/>
      </c>
      <c r="I249" s="43">
        <f t="shared" si="5"/>
      </c>
      <c r="J249" s="43">
        <f t="shared" si="1"/>
      </c>
      <c r="K249" s="49">
        <f t="shared" si="2"/>
      </c>
      <c r="L249" s="45" t="n"/>
      <c r="M249" s="45" t="n"/>
      <c r="N249" s="45" t="n"/>
      <c r="O249" s="45" t="n"/>
      <c r="P249" s="50" t="n"/>
      <c r="R249" s="2">
        <f t="shared" si="6"/>
        <v>0</v>
      </c>
      <c r="S249" s="2">
        <f t="shared" si="7"/>
      </c>
      <c r="T249" s="2">
        <f t="shared" si="8"/>
      </c>
      <c r="U249" s="2">
        <f t="shared" si="9"/>
      </c>
      <c r="V249" s="2">
        <f t="shared" si="10"/>
      </c>
      <c r="W249" s="2">
        <f t="shared" si="11"/>
      </c>
      <c r="X249" s="2">
        <f t="shared" si="12"/>
      </c>
      <c r="Y249" s="2">
        <f t="shared" si="13"/>
        <v>0</v>
      </c>
      <c r="Z249" s="2">
        <f t="shared" si="14"/>
      </c>
      <c r="AA249" s="2">
        <f t="shared" si="15"/>
        <v>0</v>
      </c>
      <c r="AB249" s="2">
        <f t="shared" si="16"/>
      </c>
      <c r="AC249" s="2">
        <f t="shared" si="17"/>
      </c>
      <c r="AD249" s="2">
        <f t="shared" si="18"/>
      </c>
      <c r="AE249" s="2">
        <f t="shared" si="19"/>
      </c>
      <c r="AF249" s="2">
        <f t="shared" si="20"/>
      </c>
      <c r="AG249" s="2">
        <f t="shared" si="21"/>
      </c>
      <c r="AH249" s="2">
        <f t="shared" si="22"/>
      </c>
      <c r="AI249" s="2">
        <f t="shared" si="23"/>
      </c>
      <c r="AJ249" s="2">
        <f t="shared" si="24"/>
        <v>0</v>
      </c>
      <c r="AK249" s="2">
        <f t="shared" si="25"/>
        <v>0</v>
      </c>
      <c r="AL249" s="2">
        <f t="shared" si="26"/>
        <v>0</v>
      </c>
      <c r="AM249" s="2">
        <f t="shared" si="27"/>
        <v>0</v>
      </c>
      <c r="AN249" s="2">
        <f t="shared" si="28"/>
        <v>0</v>
      </c>
      <c r="AO249" s="2">
        <f t="shared" si="29"/>
      </c>
      <c r="AP249" s="2">
        <f t="shared" si="30"/>
      </c>
      <c r="AQ249" s="2">
        <f t="shared" si="31"/>
      </c>
    </row>
    <row r="250">
      <c r="A250" s="43">
        <f t="shared" si="3"/>
      </c>
      <c r="B250" s="44" t="n"/>
      <c r="C250" s="45" t="n"/>
      <c r="D250" s="46" t="n"/>
      <c r="E250" s="47" t="n"/>
      <c r="F250" s="47" t="n"/>
      <c r="G250" s="48">
        <f t="shared" si="4"/>
      </c>
      <c r="H250" s="43">
        <f t="shared" si="0"/>
      </c>
      <c r="I250" s="43">
        <f t="shared" si="5"/>
      </c>
      <c r="J250" s="43">
        <f t="shared" si="1"/>
      </c>
      <c r="K250" s="49">
        <f t="shared" si="2"/>
      </c>
      <c r="L250" s="45" t="n"/>
      <c r="M250" s="45" t="n"/>
      <c r="N250" s="45" t="n"/>
      <c r="O250" s="45" t="n"/>
      <c r="P250" s="50" t="n"/>
      <c r="R250" s="2">
        <f t="shared" si="6"/>
        <v>0</v>
      </c>
      <c r="S250" s="2">
        <f t="shared" si="7"/>
      </c>
      <c r="T250" s="2">
        <f t="shared" si="8"/>
      </c>
      <c r="U250" s="2">
        <f t="shared" si="9"/>
      </c>
      <c r="V250" s="2">
        <f t="shared" si="10"/>
      </c>
      <c r="W250" s="2">
        <f t="shared" si="11"/>
      </c>
      <c r="X250" s="2">
        <f t="shared" si="12"/>
      </c>
      <c r="Y250" s="2">
        <f t="shared" si="13"/>
        <v>0</v>
      </c>
      <c r="Z250" s="2">
        <f t="shared" si="14"/>
      </c>
      <c r="AA250" s="2">
        <f t="shared" si="15"/>
        <v>0</v>
      </c>
      <c r="AB250" s="2">
        <f t="shared" si="16"/>
      </c>
      <c r="AC250" s="2">
        <f t="shared" si="17"/>
      </c>
      <c r="AD250" s="2">
        <f t="shared" si="18"/>
      </c>
      <c r="AE250" s="2">
        <f t="shared" si="19"/>
      </c>
      <c r="AF250" s="2">
        <f t="shared" si="20"/>
      </c>
      <c r="AG250" s="2">
        <f t="shared" si="21"/>
      </c>
      <c r="AH250" s="2">
        <f t="shared" si="22"/>
      </c>
      <c r="AI250" s="2">
        <f t="shared" si="23"/>
      </c>
      <c r="AJ250" s="2">
        <f t="shared" si="24"/>
        <v>0</v>
      </c>
      <c r="AK250" s="2">
        <f t="shared" si="25"/>
        <v>0</v>
      </c>
      <c r="AL250" s="2">
        <f t="shared" si="26"/>
        <v>0</v>
      </c>
      <c r="AM250" s="2">
        <f t="shared" si="27"/>
        <v>0</v>
      </c>
      <c r="AN250" s="2">
        <f t="shared" si="28"/>
        <v>0</v>
      </c>
      <c r="AO250" s="2">
        <f t="shared" si="29"/>
      </c>
      <c r="AP250" s="2">
        <f t="shared" si="30"/>
      </c>
      <c r="AQ250" s="2">
        <f t="shared" si="31"/>
      </c>
    </row>
    <row r="251">
      <c r="A251" s="43">
        <f t="shared" si="3"/>
      </c>
      <c r="B251" s="44" t="n"/>
      <c r="C251" s="45" t="n"/>
      <c r="D251" s="46" t="n"/>
      <c r="E251" s="47" t="n"/>
      <c r="F251" s="47" t="n"/>
      <c r="G251" s="48">
        <f t="shared" si="4"/>
      </c>
      <c r="H251" s="43">
        <f t="shared" si="0"/>
      </c>
      <c r="I251" s="43">
        <f t="shared" si="5"/>
      </c>
      <c r="J251" s="43">
        <f t="shared" si="1"/>
      </c>
      <c r="K251" s="49">
        <f t="shared" si="2"/>
      </c>
      <c r="L251" s="45" t="n"/>
      <c r="M251" s="45" t="n"/>
      <c r="N251" s="45" t="n"/>
      <c r="O251" s="45" t="n"/>
      <c r="P251" s="50" t="n"/>
      <c r="R251" s="2">
        <f t="shared" si="6"/>
        <v>0</v>
      </c>
      <c r="S251" s="2">
        <f t="shared" si="7"/>
      </c>
      <c r="T251" s="2">
        <f t="shared" si="8"/>
      </c>
      <c r="U251" s="2">
        <f t="shared" si="9"/>
      </c>
      <c r="V251" s="2">
        <f t="shared" si="10"/>
      </c>
      <c r="W251" s="2">
        <f t="shared" si="11"/>
      </c>
      <c r="X251" s="2">
        <f t="shared" si="12"/>
      </c>
      <c r="Y251" s="2">
        <f t="shared" si="13"/>
        <v>0</v>
      </c>
      <c r="Z251" s="2">
        <f t="shared" si="14"/>
      </c>
      <c r="AA251" s="2">
        <f t="shared" si="15"/>
        <v>0</v>
      </c>
      <c r="AB251" s="2">
        <f t="shared" si="16"/>
      </c>
      <c r="AC251" s="2">
        <f t="shared" si="17"/>
      </c>
      <c r="AD251" s="2">
        <f t="shared" si="18"/>
      </c>
      <c r="AE251" s="2">
        <f t="shared" si="19"/>
      </c>
      <c r="AF251" s="2">
        <f t="shared" si="20"/>
      </c>
      <c r="AG251" s="2">
        <f t="shared" si="21"/>
      </c>
      <c r="AH251" s="2">
        <f t="shared" si="22"/>
      </c>
      <c r="AI251" s="2">
        <f t="shared" si="23"/>
      </c>
      <c r="AJ251" s="2">
        <f t="shared" si="24"/>
        <v>0</v>
      </c>
      <c r="AK251" s="2">
        <f t="shared" si="25"/>
        <v>0</v>
      </c>
      <c r="AL251" s="2">
        <f t="shared" si="26"/>
        <v>0</v>
      </c>
      <c r="AM251" s="2">
        <f t="shared" si="27"/>
        <v>0</v>
      </c>
      <c r="AN251" s="2">
        <f t="shared" si="28"/>
        <v>0</v>
      </c>
      <c r="AO251" s="2">
        <f t="shared" si="29"/>
      </c>
      <c r="AP251" s="2">
        <f t="shared" si="30"/>
      </c>
      <c r="AQ251" s="2">
        <f t="shared" si="31"/>
      </c>
    </row>
    <row r="252">
      <c r="A252" s="43">
        <f t="shared" si="3"/>
      </c>
      <c r="B252" s="44" t="n"/>
      <c r="C252" s="45" t="n"/>
      <c r="D252" s="46" t="n"/>
      <c r="E252" s="47" t="n"/>
      <c r="F252" s="47" t="n"/>
      <c r="G252" s="48">
        <f t="shared" si="4"/>
      </c>
      <c r="H252" s="43">
        <f t="shared" si="0"/>
      </c>
      <c r="I252" s="43">
        <f t="shared" si="5"/>
      </c>
      <c r="J252" s="43">
        <f t="shared" si="1"/>
      </c>
      <c r="K252" s="49">
        <f t="shared" si="2"/>
      </c>
      <c r="L252" s="45" t="n"/>
      <c r="M252" s="45" t="n"/>
      <c r="N252" s="45" t="n"/>
      <c r="O252" s="45" t="n"/>
      <c r="P252" s="50" t="n"/>
      <c r="R252" s="2">
        <f t="shared" si="6"/>
        <v>0</v>
      </c>
      <c r="S252" s="2">
        <f t="shared" si="7"/>
      </c>
      <c r="T252" s="2">
        <f t="shared" si="8"/>
      </c>
      <c r="U252" s="2">
        <f t="shared" si="9"/>
      </c>
      <c r="V252" s="2">
        <f t="shared" si="10"/>
      </c>
      <c r="W252" s="2">
        <f t="shared" si="11"/>
      </c>
      <c r="X252" s="2">
        <f t="shared" si="12"/>
      </c>
      <c r="Y252" s="2">
        <f t="shared" si="13"/>
        <v>0</v>
      </c>
      <c r="Z252" s="2">
        <f t="shared" si="14"/>
      </c>
      <c r="AA252" s="2">
        <f t="shared" si="15"/>
        <v>0</v>
      </c>
      <c r="AB252" s="2">
        <f t="shared" si="16"/>
      </c>
      <c r="AC252" s="2">
        <f t="shared" si="17"/>
      </c>
      <c r="AD252" s="2">
        <f t="shared" si="18"/>
      </c>
      <c r="AE252" s="2">
        <f t="shared" si="19"/>
      </c>
      <c r="AF252" s="2">
        <f t="shared" si="20"/>
      </c>
      <c r="AG252" s="2">
        <f t="shared" si="21"/>
      </c>
      <c r="AH252" s="2">
        <f t="shared" si="22"/>
      </c>
      <c r="AI252" s="2">
        <f t="shared" si="23"/>
      </c>
      <c r="AJ252" s="2">
        <f t="shared" si="24"/>
        <v>0</v>
      </c>
      <c r="AK252" s="2">
        <f t="shared" si="25"/>
        <v>0</v>
      </c>
      <c r="AL252" s="2">
        <f t="shared" si="26"/>
        <v>0</v>
      </c>
      <c r="AM252" s="2">
        <f t="shared" si="27"/>
        <v>0</v>
      </c>
      <c r="AN252" s="2">
        <f t="shared" si="28"/>
        <v>0</v>
      </c>
      <c r="AO252" s="2">
        <f t="shared" si="29"/>
      </c>
      <c r="AP252" s="2">
        <f t="shared" si="30"/>
      </c>
      <c r="AQ252" s="2">
        <f t="shared" si="31"/>
      </c>
    </row>
    <row r="253">
      <c r="A253" s="43">
        <f t="shared" si="3"/>
      </c>
      <c r="B253" s="44" t="n"/>
      <c r="C253" s="45" t="n"/>
      <c r="D253" s="46" t="n"/>
      <c r="E253" s="47" t="n"/>
      <c r="F253" s="47" t="n"/>
      <c r="G253" s="48">
        <f t="shared" si="4"/>
      </c>
      <c r="H253" s="43">
        <f t="shared" si="0"/>
      </c>
      <c r="I253" s="43">
        <f t="shared" si="5"/>
      </c>
      <c r="J253" s="43">
        <f t="shared" si="1"/>
      </c>
      <c r="K253" s="49">
        <f t="shared" si="2"/>
      </c>
      <c r="L253" s="45" t="n"/>
      <c r="M253" s="45" t="n"/>
      <c r="N253" s="45" t="n"/>
      <c r="O253" s="45" t="n"/>
      <c r="P253" s="50" t="n"/>
      <c r="R253" s="2">
        <f t="shared" si="6"/>
        <v>0</v>
      </c>
      <c r="S253" s="2">
        <f t="shared" si="7"/>
      </c>
      <c r="T253" s="2">
        <f t="shared" si="8"/>
      </c>
      <c r="U253" s="2">
        <f t="shared" si="9"/>
      </c>
      <c r="V253" s="2">
        <f t="shared" si="10"/>
      </c>
      <c r="W253" s="2">
        <f t="shared" si="11"/>
      </c>
      <c r="X253" s="2">
        <f t="shared" si="12"/>
      </c>
      <c r="Y253" s="2">
        <f t="shared" si="13"/>
        <v>0</v>
      </c>
      <c r="Z253" s="2">
        <f t="shared" si="14"/>
      </c>
      <c r="AA253" s="2">
        <f t="shared" si="15"/>
        <v>0</v>
      </c>
      <c r="AB253" s="2">
        <f t="shared" si="16"/>
      </c>
      <c r="AC253" s="2">
        <f t="shared" si="17"/>
      </c>
      <c r="AD253" s="2">
        <f t="shared" si="18"/>
      </c>
      <c r="AE253" s="2">
        <f t="shared" si="19"/>
      </c>
      <c r="AF253" s="2">
        <f t="shared" si="20"/>
      </c>
      <c r="AG253" s="2">
        <f t="shared" si="21"/>
      </c>
      <c r="AH253" s="2">
        <f t="shared" si="22"/>
      </c>
      <c r="AI253" s="2">
        <f t="shared" si="23"/>
      </c>
      <c r="AJ253" s="2">
        <f t="shared" si="24"/>
        <v>0</v>
      </c>
      <c r="AK253" s="2">
        <f t="shared" si="25"/>
        <v>0</v>
      </c>
      <c r="AL253" s="2">
        <f t="shared" si="26"/>
        <v>0</v>
      </c>
      <c r="AM253" s="2">
        <f t="shared" si="27"/>
        <v>0</v>
      </c>
      <c r="AN253" s="2">
        <f t="shared" si="28"/>
        <v>0</v>
      </c>
      <c r="AO253" s="2">
        <f t="shared" si="29"/>
      </c>
      <c r="AP253" s="2">
        <f t="shared" si="30"/>
      </c>
      <c r="AQ253" s="2">
        <f t="shared" si="31"/>
      </c>
    </row>
    <row r="254">
      <c r="A254" s="43">
        <f t="shared" si="3"/>
      </c>
      <c r="B254" s="44" t="n"/>
      <c r="C254" s="45" t="n"/>
      <c r="D254" s="46" t="n"/>
      <c r="E254" s="47" t="n"/>
      <c r="F254" s="47" t="n"/>
      <c r="G254" s="48">
        <f t="shared" si="4"/>
      </c>
      <c r="H254" s="43">
        <f t="shared" si="0"/>
      </c>
      <c r="I254" s="43">
        <f t="shared" si="5"/>
      </c>
      <c r="J254" s="43">
        <f t="shared" si="1"/>
      </c>
      <c r="K254" s="49">
        <f t="shared" si="2"/>
      </c>
      <c r="L254" s="45" t="n"/>
      <c r="M254" s="45" t="n"/>
      <c r="N254" s="45" t="n"/>
      <c r="O254" s="45" t="n"/>
      <c r="P254" s="50" t="n"/>
      <c r="R254" s="2">
        <f t="shared" si="6"/>
        <v>0</v>
      </c>
      <c r="S254" s="2">
        <f t="shared" si="7"/>
      </c>
      <c r="T254" s="2">
        <f t="shared" si="8"/>
      </c>
      <c r="U254" s="2">
        <f t="shared" si="9"/>
      </c>
      <c r="V254" s="2">
        <f t="shared" si="10"/>
      </c>
      <c r="W254" s="2">
        <f t="shared" si="11"/>
      </c>
      <c r="X254" s="2">
        <f t="shared" si="12"/>
      </c>
      <c r="Y254" s="2">
        <f t="shared" si="13"/>
        <v>0</v>
      </c>
      <c r="Z254" s="2">
        <f t="shared" si="14"/>
      </c>
      <c r="AA254" s="2">
        <f t="shared" si="15"/>
        <v>0</v>
      </c>
      <c r="AB254" s="2">
        <f t="shared" si="16"/>
      </c>
      <c r="AC254" s="2">
        <f t="shared" si="17"/>
      </c>
      <c r="AD254" s="2">
        <f t="shared" si="18"/>
      </c>
      <c r="AE254" s="2">
        <f t="shared" si="19"/>
      </c>
      <c r="AF254" s="2">
        <f t="shared" si="20"/>
      </c>
      <c r="AG254" s="2">
        <f t="shared" si="21"/>
      </c>
      <c r="AH254" s="2">
        <f t="shared" si="22"/>
      </c>
      <c r="AI254" s="2">
        <f t="shared" si="23"/>
      </c>
      <c r="AJ254" s="2">
        <f t="shared" si="24"/>
        <v>0</v>
      </c>
      <c r="AK254" s="2">
        <f t="shared" si="25"/>
        <v>0</v>
      </c>
      <c r="AL254" s="2">
        <f t="shared" si="26"/>
        <v>0</v>
      </c>
      <c r="AM254" s="2">
        <f t="shared" si="27"/>
        <v>0</v>
      </c>
      <c r="AN254" s="2">
        <f t="shared" si="28"/>
        <v>0</v>
      </c>
      <c r="AO254" s="2">
        <f t="shared" si="29"/>
      </c>
      <c r="AP254" s="2">
        <f t="shared" si="30"/>
      </c>
      <c r="AQ254" s="2">
        <f t="shared" si="31"/>
      </c>
    </row>
    <row r="255">
      <c r="A255" s="43">
        <f t="shared" si="3"/>
      </c>
      <c r="B255" s="44" t="n"/>
      <c r="C255" s="45" t="n"/>
      <c r="D255" s="46" t="n"/>
      <c r="E255" s="47" t="n"/>
      <c r="F255" s="47" t="n"/>
      <c r="G255" s="48">
        <f t="shared" si="4"/>
      </c>
      <c r="H255" s="43">
        <f t="shared" si="0"/>
      </c>
      <c r="I255" s="43">
        <f t="shared" si="5"/>
      </c>
      <c r="J255" s="43">
        <f t="shared" si="1"/>
      </c>
      <c r="K255" s="49">
        <f t="shared" si="2"/>
      </c>
      <c r="L255" s="45" t="n"/>
      <c r="M255" s="45" t="n"/>
      <c r="N255" s="45" t="n"/>
      <c r="O255" s="45" t="n"/>
      <c r="P255" s="50" t="n"/>
      <c r="R255" s="2">
        <f t="shared" si="6"/>
        <v>0</v>
      </c>
      <c r="S255" s="2">
        <f t="shared" si="7"/>
      </c>
      <c r="T255" s="2">
        <f t="shared" si="8"/>
      </c>
      <c r="U255" s="2">
        <f t="shared" si="9"/>
      </c>
      <c r="V255" s="2">
        <f t="shared" si="10"/>
      </c>
      <c r="W255" s="2">
        <f t="shared" si="11"/>
      </c>
      <c r="X255" s="2">
        <f t="shared" si="12"/>
      </c>
      <c r="Y255" s="2">
        <f t="shared" si="13"/>
        <v>0</v>
      </c>
      <c r="Z255" s="2">
        <f t="shared" si="14"/>
      </c>
      <c r="AA255" s="2">
        <f t="shared" si="15"/>
        <v>0</v>
      </c>
      <c r="AB255" s="2">
        <f t="shared" si="16"/>
      </c>
      <c r="AC255" s="2">
        <f t="shared" si="17"/>
      </c>
      <c r="AD255" s="2">
        <f t="shared" si="18"/>
      </c>
      <c r="AE255" s="2">
        <f t="shared" si="19"/>
      </c>
      <c r="AF255" s="2">
        <f t="shared" si="20"/>
      </c>
      <c r="AG255" s="2">
        <f t="shared" si="21"/>
      </c>
      <c r="AH255" s="2">
        <f t="shared" si="22"/>
      </c>
      <c r="AI255" s="2">
        <f t="shared" si="23"/>
      </c>
      <c r="AJ255" s="2">
        <f t="shared" si="24"/>
        <v>0</v>
      </c>
      <c r="AK255" s="2">
        <f t="shared" si="25"/>
        <v>0</v>
      </c>
      <c r="AL255" s="2">
        <f t="shared" si="26"/>
        <v>0</v>
      </c>
      <c r="AM255" s="2">
        <f t="shared" si="27"/>
        <v>0</v>
      </c>
      <c r="AN255" s="2">
        <f t="shared" si="28"/>
        <v>0</v>
      </c>
      <c r="AO255" s="2">
        <f t="shared" si="29"/>
      </c>
      <c r="AP255" s="2">
        <f t="shared" si="30"/>
      </c>
      <c r="AQ255" s="2">
        <f t="shared" si="31"/>
      </c>
    </row>
    <row r="256">
      <c r="A256" s="43">
        <f t="shared" si="3"/>
      </c>
      <c r="B256" s="44" t="n"/>
      <c r="C256" s="45" t="n"/>
      <c r="D256" s="46" t="n"/>
      <c r="E256" s="47" t="n"/>
      <c r="F256" s="47" t="n"/>
      <c r="G256" s="48">
        <f t="shared" si="4"/>
      </c>
      <c r="H256" s="43">
        <f t="shared" si="0"/>
      </c>
      <c r="I256" s="43">
        <f t="shared" si="5"/>
      </c>
      <c r="J256" s="43">
        <f t="shared" si="1"/>
      </c>
      <c r="K256" s="49">
        <f t="shared" si="2"/>
      </c>
      <c r="L256" s="45" t="n"/>
      <c r="M256" s="45" t="n"/>
      <c r="N256" s="45" t="n"/>
      <c r="O256" s="45" t="n"/>
      <c r="P256" s="50" t="n"/>
      <c r="R256" s="2">
        <f t="shared" si="6"/>
        <v>0</v>
      </c>
      <c r="S256" s="2">
        <f t="shared" si="7"/>
      </c>
      <c r="T256" s="2">
        <f t="shared" si="8"/>
      </c>
      <c r="U256" s="2">
        <f t="shared" si="9"/>
      </c>
      <c r="V256" s="2">
        <f t="shared" si="10"/>
      </c>
      <c r="W256" s="2">
        <f t="shared" si="11"/>
      </c>
      <c r="X256" s="2">
        <f t="shared" si="12"/>
      </c>
      <c r="Y256" s="2">
        <f t="shared" si="13"/>
        <v>0</v>
      </c>
      <c r="Z256" s="2">
        <f t="shared" si="14"/>
      </c>
      <c r="AA256" s="2">
        <f t="shared" si="15"/>
        <v>0</v>
      </c>
      <c r="AB256" s="2">
        <f t="shared" si="16"/>
      </c>
      <c r="AC256" s="2">
        <f t="shared" si="17"/>
      </c>
      <c r="AD256" s="2">
        <f t="shared" si="18"/>
      </c>
      <c r="AE256" s="2">
        <f t="shared" si="19"/>
      </c>
      <c r="AF256" s="2">
        <f t="shared" si="20"/>
      </c>
      <c r="AG256" s="2">
        <f t="shared" si="21"/>
      </c>
      <c r="AH256" s="2">
        <f t="shared" si="22"/>
      </c>
      <c r="AI256" s="2">
        <f t="shared" si="23"/>
      </c>
      <c r="AJ256" s="2">
        <f t="shared" si="24"/>
        <v>0</v>
      </c>
      <c r="AK256" s="2">
        <f t="shared" si="25"/>
        <v>0</v>
      </c>
      <c r="AL256" s="2">
        <f t="shared" si="26"/>
        <v>0</v>
      </c>
      <c r="AM256" s="2">
        <f t="shared" si="27"/>
        <v>0</v>
      </c>
      <c r="AN256" s="2">
        <f t="shared" si="28"/>
        <v>0</v>
      </c>
      <c r="AO256" s="2">
        <f t="shared" si="29"/>
      </c>
      <c r="AP256" s="2">
        <f t="shared" si="30"/>
      </c>
      <c r="AQ256" s="2">
        <f t="shared" si="31"/>
      </c>
    </row>
    <row r="257">
      <c r="A257" s="43">
        <f t="shared" si="3"/>
      </c>
      <c r="B257" s="44" t="n"/>
      <c r="C257" s="45" t="n"/>
      <c r="D257" s="46" t="n"/>
      <c r="E257" s="47" t="n"/>
      <c r="F257" s="47" t="n"/>
      <c r="G257" s="48">
        <f t="shared" si="4"/>
      </c>
      <c r="H257" s="43">
        <f t="shared" si="0"/>
      </c>
      <c r="I257" s="43">
        <f t="shared" si="5"/>
      </c>
      <c r="J257" s="43">
        <f t="shared" si="1"/>
      </c>
      <c r="K257" s="49">
        <f t="shared" si="2"/>
      </c>
      <c r="L257" s="45" t="n"/>
      <c r="M257" s="45" t="n"/>
      <c r="N257" s="45" t="n"/>
      <c r="O257" s="45" t="n"/>
      <c r="P257" s="50" t="n"/>
      <c r="R257" s="2">
        <f t="shared" si="6"/>
        <v>0</v>
      </c>
      <c r="S257" s="2">
        <f t="shared" si="7"/>
      </c>
      <c r="T257" s="2">
        <f t="shared" si="8"/>
      </c>
      <c r="U257" s="2">
        <f t="shared" si="9"/>
      </c>
      <c r="V257" s="2">
        <f t="shared" si="10"/>
      </c>
      <c r="W257" s="2">
        <f t="shared" si="11"/>
      </c>
      <c r="X257" s="2">
        <f t="shared" si="12"/>
      </c>
      <c r="Y257" s="2">
        <f t="shared" si="13"/>
        <v>0</v>
      </c>
      <c r="Z257" s="2">
        <f t="shared" si="14"/>
      </c>
      <c r="AA257" s="2">
        <f t="shared" si="15"/>
        <v>0</v>
      </c>
      <c r="AB257" s="2">
        <f t="shared" si="16"/>
      </c>
      <c r="AC257" s="2">
        <f t="shared" si="17"/>
      </c>
      <c r="AD257" s="2">
        <f t="shared" si="18"/>
      </c>
      <c r="AE257" s="2">
        <f t="shared" si="19"/>
      </c>
      <c r="AF257" s="2">
        <f t="shared" si="20"/>
      </c>
      <c r="AG257" s="2">
        <f t="shared" si="21"/>
      </c>
      <c r="AH257" s="2">
        <f t="shared" si="22"/>
      </c>
      <c r="AI257" s="2">
        <f t="shared" si="23"/>
      </c>
      <c r="AJ257" s="2">
        <f t="shared" si="24"/>
        <v>0</v>
      </c>
      <c r="AK257" s="2">
        <f t="shared" si="25"/>
        <v>0</v>
      </c>
      <c r="AL257" s="2">
        <f t="shared" si="26"/>
        <v>0</v>
      </c>
      <c r="AM257" s="2">
        <f t="shared" si="27"/>
        <v>0</v>
      </c>
      <c r="AN257" s="2">
        <f t="shared" si="28"/>
        <v>0</v>
      </c>
      <c r="AO257" s="2">
        <f t="shared" si="29"/>
      </c>
      <c r="AP257" s="2">
        <f t="shared" si="30"/>
      </c>
      <c r="AQ257" s="2">
        <f t="shared" si="31"/>
      </c>
    </row>
    <row r="258">
      <c r="A258" s="43">
        <f t="shared" si="3"/>
      </c>
      <c r="B258" s="44" t="n"/>
      <c r="C258" s="45" t="n"/>
      <c r="D258" s="46" t="n"/>
      <c r="E258" s="47" t="n"/>
      <c r="F258" s="47" t="n"/>
      <c r="G258" s="48">
        <f t="shared" si="4"/>
      </c>
      <c r="H258" s="43">
        <f t="shared" si="0"/>
      </c>
      <c r="I258" s="43">
        <f t="shared" si="5"/>
      </c>
      <c r="J258" s="43">
        <f t="shared" si="1"/>
      </c>
      <c r="K258" s="49">
        <f t="shared" si="2"/>
      </c>
      <c r="L258" s="45" t="n"/>
      <c r="M258" s="45" t="n"/>
      <c r="N258" s="45" t="n"/>
      <c r="O258" s="45" t="n"/>
      <c r="P258" s="50" t="n"/>
      <c r="R258" s="2">
        <f t="shared" si="6"/>
        <v>0</v>
      </c>
      <c r="S258" s="2">
        <f t="shared" si="7"/>
      </c>
      <c r="T258" s="2">
        <f t="shared" si="8"/>
      </c>
      <c r="U258" s="2">
        <f t="shared" si="9"/>
      </c>
      <c r="V258" s="2">
        <f t="shared" si="10"/>
      </c>
      <c r="W258" s="2">
        <f t="shared" si="11"/>
      </c>
      <c r="X258" s="2">
        <f t="shared" si="12"/>
      </c>
      <c r="Y258" s="2">
        <f t="shared" si="13"/>
        <v>0</v>
      </c>
      <c r="Z258" s="2">
        <f t="shared" si="14"/>
      </c>
      <c r="AA258" s="2">
        <f t="shared" si="15"/>
        <v>0</v>
      </c>
      <c r="AB258" s="2">
        <f t="shared" si="16"/>
      </c>
      <c r="AC258" s="2">
        <f t="shared" si="17"/>
      </c>
      <c r="AD258" s="2">
        <f t="shared" si="18"/>
      </c>
      <c r="AE258" s="2">
        <f t="shared" si="19"/>
      </c>
      <c r="AF258" s="2">
        <f t="shared" si="20"/>
      </c>
      <c r="AG258" s="2">
        <f t="shared" si="21"/>
      </c>
      <c r="AH258" s="2">
        <f t="shared" si="22"/>
      </c>
      <c r="AI258" s="2">
        <f t="shared" si="23"/>
      </c>
      <c r="AJ258" s="2">
        <f t="shared" si="24"/>
        <v>0</v>
      </c>
      <c r="AK258" s="2">
        <f t="shared" si="25"/>
        <v>0</v>
      </c>
      <c r="AL258" s="2">
        <f t="shared" si="26"/>
        <v>0</v>
      </c>
      <c r="AM258" s="2">
        <f t="shared" si="27"/>
        <v>0</v>
      </c>
      <c r="AN258" s="2">
        <f t="shared" si="28"/>
        <v>0</v>
      </c>
      <c r="AO258" s="2">
        <f t="shared" si="29"/>
      </c>
      <c r="AP258" s="2">
        <f t="shared" si="30"/>
      </c>
      <c r="AQ258" s="2">
        <f t="shared" si="31"/>
      </c>
    </row>
    <row r="259">
      <c r="A259" s="43">
        <f t="shared" si="3"/>
      </c>
      <c r="B259" s="44" t="n"/>
      <c r="C259" s="45" t="n"/>
      <c r="D259" s="46" t="n"/>
      <c r="E259" s="47" t="n"/>
      <c r="F259" s="47" t="n"/>
      <c r="G259" s="48">
        <f t="shared" si="4"/>
      </c>
      <c r="H259" s="43">
        <f t="shared" si="0"/>
      </c>
      <c r="I259" s="43">
        <f t="shared" si="5"/>
      </c>
      <c r="J259" s="43">
        <f t="shared" si="1"/>
      </c>
      <c r="K259" s="49">
        <f t="shared" si="2"/>
      </c>
      <c r="L259" s="45" t="n"/>
      <c r="M259" s="45" t="n"/>
      <c r="N259" s="45" t="n"/>
      <c r="O259" s="45" t="n"/>
      <c r="P259" s="50" t="n"/>
      <c r="R259" s="2">
        <f t="shared" si="6"/>
        <v>0</v>
      </c>
      <c r="S259" s="2">
        <f t="shared" si="7"/>
      </c>
      <c r="T259" s="2">
        <f t="shared" si="8"/>
      </c>
      <c r="U259" s="2">
        <f t="shared" si="9"/>
      </c>
      <c r="V259" s="2">
        <f t="shared" si="10"/>
      </c>
      <c r="W259" s="2">
        <f t="shared" si="11"/>
      </c>
      <c r="X259" s="2">
        <f t="shared" si="12"/>
      </c>
      <c r="Y259" s="2">
        <f t="shared" si="13"/>
        <v>0</v>
      </c>
      <c r="Z259" s="2">
        <f t="shared" si="14"/>
      </c>
      <c r="AA259" s="2">
        <f t="shared" si="15"/>
        <v>0</v>
      </c>
      <c r="AB259" s="2">
        <f t="shared" si="16"/>
      </c>
      <c r="AC259" s="2">
        <f t="shared" si="17"/>
      </c>
      <c r="AD259" s="2">
        <f t="shared" si="18"/>
      </c>
      <c r="AE259" s="2">
        <f t="shared" si="19"/>
      </c>
      <c r="AF259" s="2">
        <f t="shared" si="20"/>
      </c>
      <c r="AG259" s="2">
        <f t="shared" si="21"/>
      </c>
      <c r="AH259" s="2">
        <f t="shared" si="22"/>
      </c>
      <c r="AI259" s="2">
        <f t="shared" si="23"/>
      </c>
      <c r="AJ259" s="2">
        <f t="shared" si="24"/>
        <v>0</v>
      </c>
      <c r="AK259" s="2">
        <f t="shared" si="25"/>
        <v>0</v>
      </c>
      <c r="AL259" s="2">
        <f t="shared" si="26"/>
        <v>0</v>
      </c>
      <c r="AM259" s="2">
        <f t="shared" si="27"/>
        <v>0</v>
      </c>
      <c r="AN259" s="2">
        <f t="shared" si="28"/>
        <v>0</v>
      </c>
      <c r="AO259" s="2">
        <f t="shared" si="29"/>
      </c>
      <c r="AP259" s="2">
        <f t="shared" si="30"/>
      </c>
      <c r="AQ259" s="2">
        <f t="shared" si="31"/>
      </c>
    </row>
    <row r="260">
      <c r="A260" s="43">
        <f t="shared" si="3"/>
      </c>
      <c r="B260" s="44" t="n"/>
      <c r="C260" s="45" t="n"/>
      <c r="D260" s="46" t="n"/>
      <c r="E260" s="47" t="n"/>
      <c r="F260" s="47" t="n"/>
      <c r="G260" s="48">
        <f t="shared" si="4"/>
      </c>
      <c r="H260" s="43">
        <f t="shared" si="0"/>
      </c>
      <c r="I260" s="43">
        <f t="shared" si="5"/>
      </c>
      <c r="J260" s="43">
        <f t="shared" si="1"/>
      </c>
      <c r="K260" s="49">
        <f t="shared" si="2"/>
      </c>
      <c r="L260" s="45" t="n"/>
      <c r="M260" s="45" t="n"/>
      <c r="N260" s="45" t="n"/>
      <c r="O260" s="45" t="n"/>
      <c r="P260" s="50" t="n"/>
      <c r="R260" s="2">
        <f t="shared" si="6"/>
        <v>0</v>
      </c>
      <c r="S260" s="2">
        <f t="shared" si="7"/>
      </c>
      <c r="T260" s="2">
        <f t="shared" si="8"/>
      </c>
      <c r="U260" s="2">
        <f t="shared" si="9"/>
      </c>
      <c r="V260" s="2">
        <f t="shared" si="10"/>
      </c>
      <c r="W260" s="2">
        <f t="shared" si="11"/>
      </c>
      <c r="X260" s="2">
        <f t="shared" si="12"/>
      </c>
      <c r="Y260" s="2">
        <f t="shared" si="13"/>
        <v>0</v>
      </c>
      <c r="Z260" s="2">
        <f t="shared" si="14"/>
      </c>
      <c r="AA260" s="2">
        <f t="shared" si="15"/>
        <v>0</v>
      </c>
      <c r="AB260" s="2">
        <f t="shared" si="16"/>
      </c>
      <c r="AC260" s="2">
        <f t="shared" si="17"/>
      </c>
      <c r="AD260" s="2">
        <f t="shared" si="18"/>
      </c>
      <c r="AE260" s="2">
        <f t="shared" si="19"/>
      </c>
      <c r="AF260" s="2">
        <f t="shared" si="20"/>
      </c>
      <c r="AG260" s="2">
        <f t="shared" si="21"/>
      </c>
      <c r="AH260" s="2">
        <f t="shared" si="22"/>
      </c>
      <c r="AI260" s="2">
        <f t="shared" si="23"/>
      </c>
      <c r="AJ260" s="2">
        <f t="shared" si="24"/>
        <v>0</v>
      </c>
      <c r="AK260" s="2">
        <f t="shared" si="25"/>
        <v>0</v>
      </c>
      <c r="AL260" s="2">
        <f t="shared" si="26"/>
        <v>0</v>
      </c>
      <c r="AM260" s="2">
        <f t="shared" si="27"/>
        <v>0</v>
      </c>
      <c r="AN260" s="2">
        <f t="shared" si="28"/>
        <v>0</v>
      </c>
      <c r="AO260" s="2">
        <f t="shared" si="29"/>
      </c>
      <c r="AP260" s="2">
        <f t="shared" si="30"/>
      </c>
      <c r="AQ260" s="2">
        <f t="shared" si="31"/>
      </c>
    </row>
    <row r="261">
      <c r="A261" s="43">
        <f t="shared" si="3"/>
      </c>
      <c r="B261" s="44" t="n"/>
      <c r="C261" s="45" t="n"/>
      <c r="D261" s="46" t="n"/>
      <c r="E261" s="47" t="n"/>
      <c r="F261" s="47" t="n"/>
      <c r="G261" s="48">
        <f t="shared" si="4"/>
      </c>
      <c r="H261" s="43">
        <f t="shared" si="0"/>
      </c>
      <c r="I261" s="43">
        <f t="shared" si="5"/>
      </c>
      <c r="J261" s="43">
        <f t="shared" si="1"/>
      </c>
      <c r="K261" s="49">
        <f t="shared" si="2"/>
      </c>
      <c r="L261" s="45" t="n"/>
      <c r="M261" s="45" t="n"/>
      <c r="N261" s="45" t="n"/>
      <c r="O261" s="45" t="n"/>
      <c r="P261" s="50" t="n"/>
      <c r="R261" s="2">
        <f t="shared" si="6"/>
        <v>0</v>
      </c>
      <c r="S261" s="2">
        <f t="shared" si="7"/>
      </c>
      <c r="T261" s="2">
        <f t="shared" si="8"/>
      </c>
      <c r="U261" s="2">
        <f t="shared" si="9"/>
      </c>
      <c r="V261" s="2">
        <f t="shared" si="10"/>
      </c>
      <c r="W261" s="2">
        <f t="shared" si="11"/>
      </c>
      <c r="X261" s="2">
        <f t="shared" si="12"/>
      </c>
      <c r="Y261" s="2">
        <f t="shared" si="13"/>
        <v>0</v>
      </c>
      <c r="Z261" s="2">
        <f t="shared" si="14"/>
      </c>
      <c r="AA261" s="2">
        <f t="shared" si="15"/>
        <v>0</v>
      </c>
      <c r="AB261" s="2">
        <f t="shared" si="16"/>
      </c>
      <c r="AC261" s="2">
        <f t="shared" si="17"/>
      </c>
      <c r="AD261" s="2">
        <f t="shared" si="18"/>
      </c>
      <c r="AE261" s="2">
        <f t="shared" si="19"/>
      </c>
      <c r="AF261" s="2">
        <f t="shared" si="20"/>
      </c>
      <c r="AG261" s="2">
        <f t="shared" si="21"/>
      </c>
      <c r="AH261" s="2">
        <f t="shared" si="22"/>
      </c>
      <c r="AI261" s="2">
        <f t="shared" si="23"/>
      </c>
      <c r="AJ261" s="2">
        <f t="shared" si="24"/>
        <v>0</v>
      </c>
      <c r="AK261" s="2">
        <f t="shared" si="25"/>
        <v>0</v>
      </c>
      <c r="AL261" s="2">
        <f t="shared" si="26"/>
        <v>0</v>
      </c>
      <c r="AM261" s="2">
        <f t="shared" si="27"/>
        <v>0</v>
      </c>
      <c r="AN261" s="2">
        <f t="shared" si="28"/>
        <v>0</v>
      </c>
      <c r="AO261" s="2">
        <f t="shared" si="29"/>
      </c>
      <c r="AP261" s="2">
        <f t="shared" si="30"/>
      </c>
      <c r="AQ261" s="2">
        <f t="shared" si="31"/>
      </c>
    </row>
    <row r="262">
      <c r="A262" s="43">
        <f t="shared" si="3"/>
      </c>
      <c r="B262" s="44" t="n"/>
      <c r="C262" s="45" t="n"/>
      <c r="D262" s="46" t="n"/>
      <c r="E262" s="47" t="n"/>
      <c r="F262" s="47" t="n"/>
      <c r="G262" s="48">
        <f t="shared" si="4"/>
      </c>
      <c r="H262" s="43">
        <f t="shared" si="0"/>
      </c>
      <c r="I262" s="43">
        <f t="shared" si="5"/>
      </c>
      <c r="J262" s="43">
        <f t="shared" si="1"/>
      </c>
      <c r="K262" s="49">
        <f t="shared" si="2"/>
      </c>
      <c r="L262" s="45" t="n"/>
      <c r="M262" s="45" t="n"/>
      <c r="N262" s="45" t="n"/>
      <c r="O262" s="45" t="n"/>
      <c r="P262" s="50" t="n"/>
      <c r="R262" s="2">
        <f t="shared" si="6"/>
        <v>0</v>
      </c>
      <c r="S262" s="2">
        <f t="shared" si="7"/>
      </c>
      <c r="T262" s="2">
        <f t="shared" si="8"/>
      </c>
      <c r="U262" s="2">
        <f t="shared" si="9"/>
      </c>
      <c r="V262" s="2">
        <f t="shared" si="10"/>
      </c>
      <c r="W262" s="2">
        <f t="shared" si="11"/>
      </c>
      <c r="X262" s="2">
        <f t="shared" si="12"/>
      </c>
      <c r="Y262" s="2">
        <f t="shared" si="13"/>
        <v>0</v>
      </c>
      <c r="Z262" s="2">
        <f t="shared" si="14"/>
      </c>
      <c r="AA262" s="2">
        <f t="shared" si="15"/>
        <v>0</v>
      </c>
      <c r="AB262" s="2">
        <f t="shared" si="16"/>
      </c>
      <c r="AC262" s="2">
        <f t="shared" si="17"/>
      </c>
      <c r="AD262" s="2">
        <f t="shared" si="18"/>
      </c>
      <c r="AE262" s="2">
        <f t="shared" si="19"/>
      </c>
      <c r="AF262" s="2">
        <f t="shared" si="20"/>
      </c>
      <c r="AG262" s="2">
        <f t="shared" si="21"/>
      </c>
      <c r="AH262" s="2">
        <f t="shared" si="22"/>
      </c>
      <c r="AI262" s="2">
        <f t="shared" si="23"/>
      </c>
      <c r="AJ262" s="2">
        <f t="shared" si="24"/>
        <v>0</v>
      </c>
      <c r="AK262" s="2">
        <f t="shared" si="25"/>
        <v>0</v>
      </c>
      <c r="AL262" s="2">
        <f t="shared" si="26"/>
        <v>0</v>
      </c>
      <c r="AM262" s="2">
        <f t="shared" si="27"/>
        <v>0</v>
      </c>
      <c r="AN262" s="2">
        <f t="shared" si="28"/>
        <v>0</v>
      </c>
      <c r="AO262" s="2">
        <f t="shared" si="29"/>
      </c>
      <c r="AP262" s="2">
        <f t="shared" si="30"/>
      </c>
      <c r="AQ262" s="2">
        <f t="shared" si="31"/>
      </c>
    </row>
    <row r="263">
      <c r="A263" s="43">
        <f t="shared" si="3"/>
      </c>
      <c r="B263" s="44" t="n"/>
      <c r="C263" s="45" t="n"/>
      <c r="D263" s="46" t="n"/>
      <c r="E263" s="47" t="n"/>
      <c r="F263" s="47" t="n"/>
      <c r="G263" s="48">
        <f t="shared" si="4"/>
      </c>
      <c r="H263" s="43">
        <f t="shared" si="0"/>
      </c>
      <c r="I263" s="43">
        <f t="shared" si="5"/>
      </c>
      <c r="J263" s="43">
        <f t="shared" si="1"/>
      </c>
      <c r="K263" s="49">
        <f t="shared" si="2"/>
      </c>
      <c r="L263" s="45" t="n"/>
      <c r="M263" s="45" t="n"/>
      <c r="N263" s="45" t="n"/>
      <c r="O263" s="45" t="n"/>
      <c r="P263" s="50" t="n"/>
      <c r="R263" s="2">
        <f t="shared" si="6"/>
        <v>0</v>
      </c>
      <c r="S263" s="2">
        <f t="shared" si="7"/>
      </c>
      <c r="T263" s="2">
        <f t="shared" si="8"/>
      </c>
      <c r="U263" s="2">
        <f t="shared" si="9"/>
      </c>
      <c r="V263" s="2">
        <f t="shared" si="10"/>
      </c>
      <c r="W263" s="2">
        <f t="shared" si="11"/>
      </c>
      <c r="X263" s="2">
        <f t="shared" si="12"/>
      </c>
      <c r="Y263" s="2">
        <f t="shared" si="13"/>
        <v>0</v>
      </c>
      <c r="Z263" s="2">
        <f t="shared" si="14"/>
      </c>
      <c r="AA263" s="2">
        <f t="shared" si="15"/>
        <v>0</v>
      </c>
      <c r="AB263" s="2">
        <f t="shared" si="16"/>
      </c>
      <c r="AC263" s="2">
        <f t="shared" si="17"/>
      </c>
      <c r="AD263" s="2">
        <f t="shared" si="18"/>
      </c>
      <c r="AE263" s="2">
        <f t="shared" si="19"/>
      </c>
      <c r="AF263" s="2">
        <f t="shared" si="20"/>
      </c>
      <c r="AG263" s="2">
        <f t="shared" si="21"/>
      </c>
      <c r="AH263" s="2">
        <f t="shared" si="22"/>
      </c>
      <c r="AI263" s="2">
        <f t="shared" si="23"/>
      </c>
      <c r="AJ263" s="2">
        <f t="shared" si="24"/>
        <v>0</v>
      </c>
      <c r="AK263" s="2">
        <f t="shared" si="25"/>
        <v>0</v>
      </c>
      <c r="AL263" s="2">
        <f t="shared" si="26"/>
        <v>0</v>
      </c>
      <c r="AM263" s="2">
        <f t="shared" si="27"/>
        <v>0</v>
      </c>
      <c r="AN263" s="2">
        <f t="shared" si="28"/>
        <v>0</v>
      </c>
      <c r="AO263" s="2">
        <f t="shared" si="29"/>
      </c>
      <c r="AP263" s="2">
        <f t="shared" si="30"/>
      </c>
      <c r="AQ263" s="2">
        <f t="shared" si="31"/>
      </c>
    </row>
    <row r="264">
      <c r="A264" s="43">
        <f t="shared" si="3"/>
      </c>
      <c r="B264" s="44" t="n"/>
      <c r="C264" s="45" t="n"/>
      <c r="D264" s="46" t="n"/>
      <c r="E264" s="47" t="n"/>
      <c r="F264" s="47" t="n"/>
      <c r="G264" s="48">
        <f t="shared" si="4"/>
      </c>
      <c r="H264" s="43">
        <f t="shared" si="0"/>
      </c>
      <c r="I264" s="43">
        <f t="shared" si="5"/>
      </c>
      <c r="J264" s="43">
        <f t="shared" si="1"/>
      </c>
      <c r="K264" s="49">
        <f t="shared" si="2"/>
      </c>
      <c r="L264" s="45" t="n"/>
      <c r="M264" s="45" t="n"/>
      <c r="N264" s="45" t="n"/>
      <c r="O264" s="45" t="n"/>
      <c r="P264" s="50" t="n"/>
      <c r="R264" s="2">
        <f t="shared" si="6"/>
        <v>0</v>
      </c>
      <c r="S264" s="2">
        <f t="shared" si="7"/>
      </c>
      <c r="T264" s="2">
        <f t="shared" si="8"/>
      </c>
      <c r="U264" s="2">
        <f t="shared" si="9"/>
      </c>
      <c r="V264" s="2">
        <f t="shared" si="10"/>
      </c>
      <c r="W264" s="2">
        <f t="shared" si="11"/>
      </c>
      <c r="X264" s="2">
        <f t="shared" si="12"/>
      </c>
      <c r="Y264" s="2">
        <f t="shared" si="13"/>
        <v>0</v>
      </c>
      <c r="Z264" s="2">
        <f t="shared" si="14"/>
      </c>
      <c r="AA264" s="2">
        <f t="shared" si="15"/>
        <v>0</v>
      </c>
      <c r="AB264" s="2">
        <f t="shared" si="16"/>
      </c>
      <c r="AC264" s="2">
        <f t="shared" si="17"/>
      </c>
      <c r="AD264" s="2">
        <f t="shared" si="18"/>
      </c>
      <c r="AE264" s="2">
        <f t="shared" si="19"/>
      </c>
      <c r="AF264" s="2">
        <f t="shared" si="20"/>
      </c>
      <c r="AG264" s="2">
        <f t="shared" si="21"/>
      </c>
      <c r="AH264" s="2">
        <f t="shared" si="22"/>
      </c>
      <c r="AI264" s="2">
        <f t="shared" si="23"/>
      </c>
      <c r="AJ264" s="2">
        <f t="shared" si="24"/>
        <v>0</v>
      </c>
      <c r="AK264" s="2">
        <f t="shared" si="25"/>
        <v>0</v>
      </c>
      <c r="AL264" s="2">
        <f t="shared" si="26"/>
        <v>0</v>
      </c>
      <c r="AM264" s="2">
        <f t="shared" si="27"/>
        <v>0</v>
      </c>
      <c r="AN264" s="2">
        <f t="shared" si="28"/>
        <v>0</v>
      </c>
      <c r="AO264" s="2">
        <f t="shared" si="29"/>
      </c>
      <c r="AP264" s="2">
        <f t="shared" si="30"/>
      </c>
      <c r="AQ264" s="2">
        <f t="shared" si="31"/>
      </c>
    </row>
    <row r="265">
      <c r="A265" s="43">
        <f t="shared" si="3"/>
      </c>
      <c r="B265" s="44" t="n"/>
      <c r="C265" s="45" t="n"/>
      <c r="D265" s="46" t="n"/>
      <c r="E265" s="47" t="n"/>
      <c r="F265" s="47" t="n"/>
      <c r="G265" s="48">
        <f t="shared" si="4"/>
      </c>
      <c r="H265" s="43">
        <f t="shared" si="0"/>
      </c>
      <c r="I265" s="43">
        <f t="shared" si="5"/>
      </c>
      <c r="J265" s="43">
        <f t="shared" si="1"/>
      </c>
      <c r="K265" s="49">
        <f t="shared" si="2"/>
      </c>
      <c r="L265" s="45" t="n"/>
      <c r="M265" s="45" t="n"/>
      <c r="N265" s="45" t="n"/>
      <c r="O265" s="45" t="n"/>
      <c r="P265" s="50" t="n"/>
      <c r="R265" s="2">
        <f t="shared" si="6"/>
        <v>0</v>
      </c>
      <c r="S265" s="2">
        <f t="shared" si="7"/>
      </c>
      <c r="T265" s="2">
        <f t="shared" si="8"/>
      </c>
      <c r="U265" s="2">
        <f t="shared" si="9"/>
      </c>
      <c r="V265" s="2">
        <f t="shared" si="10"/>
      </c>
      <c r="W265" s="2">
        <f t="shared" si="11"/>
      </c>
      <c r="X265" s="2">
        <f t="shared" si="12"/>
      </c>
      <c r="Y265" s="2">
        <f t="shared" si="13"/>
        <v>0</v>
      </c>
      <c r="Z265" s="2">
        <f t="shared" si="14"/>
      </c>
      <c r="AA265" s="2">
        <f t="shared" si="15"/>
        <v>0</v>
      </c>
      <c r="AB265" s="2">
        <f t="shared" si="16"/>
      </c>
      <c r="AC265" s="2">
        <f t="shared" si="17"/>
      </c>
      <c r="AD265" s="2">
        <f t="shared" si="18"/>
      </c>
      <c r="AE265" s="2">
        <f t="shared" si="19"/>
      </c>
      <c r="AF265" s="2">
        <f t="shared" si="20"/>
      </c>
      <c r="AG265" s="2">
        <f t="shared" si="21"/>
      </c>
      <c r="AH265" s="2">
        <f t="shared" si="22"/>
      </c>
      <c r="AI265" s="2">
        <f t="shared" si="23"/>
      </c>
      <c r="AJ265" s="2">
        <f t="shared" si="24"/>
        <v>0</v>
      </c>
      <c r="AK265" s="2">
        <f t="shared" si="25"/>
        <v>0</v>
      </c>
      <c r="AL265" s="2">
        <f t="shared" si="26"/>
        <v>0</v>
      </c>
      <c r="AM265" s="2">
        <f t="shared" si="27"/>
        <v>0</v>
      </c>
      <c r="AN265" s="2">
        <f t="shared" si="28"/>
        <v>0</v>
      </c>
      <c r="AO265" s="2">
        <f t="shared" si="29"/>
      </c>
      <c r="AP265" s="2">
        <f t="shared" si="30"/>
      </c>
      <c r="AQ265" s="2">
        <f t="shared" si="31"/>
      </c>
    </row>
    <row r="266">
      <c r="A266" s="43">
        <f t="shared" si="3"/>
      </c>
      <c r="B266" s="44" t="n"/>
      <c r="C266" s="45" t="n"/>
      <c r="D266" s="46" t="n"/>
      <c r="E266" s="47" t="n"/>
      <c r="F266" s="47" t="n"/>
      <c r="G266" s="48">
        <f t="shared" si="4"/>
      </c>
      <c r="H266" s="43">
        <f t="shared" si="0"/>
      </c>
      <c r="I266" s="43">
        <f t="shared" si="5"/>
      </c>
      <c r="J266" s="43">
        <f t="shared" si="1"/>
      </c>
      <c r="K266" s="49">
        <f t="shared" si="2"/>
      </c>
      <c r="L266" s="45" t="n"/>
      <c r="M266" s="45" t="n"/>
      <c r="N266" s="45" t="n"/>
      <c r="O266" s="45" t="n"/>
      <c r="P266" s="50" t="n"/>
      <c r="R266" s="2">
        <f t="shared" si="6"/>
        <v>0</v>
      </c>
      <c r="S266" s="2">
        <f t="shared" si="7"/>
      </c>
      <c r="T266" s="2">
        <f t="shared" si="8"/>
      </c>
      <c r="U266" s="2">
        <f t="shared" si="9"/>
      </c>
      <c r="V266" s="2">
        <f t="shared" si="10"/>
      </c>
      <c r="W266" s="2">
        <f t="shared" si="11"/>
      </c>
      <c r="X266" s="2">
        <f t="shared" si="12"/>
      </c>
      <c r="Y266" s="2">
        <f t="shared" si="13"/>
        <v>0</v>
      </c>
      <c r="Z266" s="2">
        <f t="shared" si="14"/>
      </c>
      <c r="AA266" s="2">
        <f t="shared" si="15"/>
        <v>0</v>
      </c>
      <c r="AB266" s="2">
        <f t="shared" si="16"/>
      </c>
      <c r="AC266" s="2">
        <f t="shared" si="17"/>
      </c>
      <c r="AD266" s="2">
        <f t="shared" si="18"/>
      </c>
      <c r="AE266" s="2">
        <f t="shared" si="19"/>
      </c>
      <c r="AF266" s="2">
        <f t="shared" si="20"/>
      </c>
      <c r="AG266" s="2">
        <f t="shared" si="21"/>
      </c>
      <c r="AH266" s="2">
        <f t="shared" si="22"/>
      </c>
      <c r="AI266" s="2">
        <f t="shared" si="23"/>
      </c>
      <c r="AJ266" s="2">
        <f t="shared" si="24"/>
        <v>0</v>
      </c>
      <c r="AK266" s="2">
        <f t="shared" si="25"/>
        <v>0</v>
      </c>
      <c r="AL266" s="2">
        <f t="shared" si="26"/>
        <v>0</v>
      </c>
      <c r="AM266" s="2">
        <f t="shared" si="27"/>
        <v>0</v>
      </c>
      <c r="AN266" s="2">
        <f t="shared" si="28"/>
        <v>0</v>
      </c>
      <c r="AO266" s="2">
        <f t="shared" si="29"/>
      </c>
      <c r="AP266" s="2">
        <f t="shared" si="30"/>
      </c>
      <c r="AQ266" s="2">
        <f t="shared" si="31"/>
      </c>
    </row>
    <row r="267">
      <c r="A267" s="43">
        <f t="shared" si="3"/>
      </c>
      <c r="B267" s="44" t="n"/>
      <c r="C267" s="45" t="n"/>
      <c r="D267" s="46" t="n"/>
      <c r="E267" s="47" t="n"/>
      <c r="F267" s="47" t="n"/>
      <c r="G267" s="48">
        <f t="shared" si="4"/>
      </c>
      <c r="H267" s="43">
        <f t="shared" si="0"/>
      </c>
      <c r="I267" s="43">
        <f t="shared" si="5"/>
      </c>
      <c r="J267" s="43">
        <f t="shared" si="1"/>
      </c>
      <c r="K267" s="49">
        <f t="shared" si="2"/>
      </c>
      <c r="L267" s="45" t="n"/>
      <c r="M267" s="45" t="n"/>
      <c r="N267" s="45" t="n"/>
      <c r="O267" s="45" t="n"/>
      <c r="P267" s="50" t="n"/>
      <c r="R267" s="2">
        <f t="shared" si="6"/>
        <v>0</v>
      </c>
      <c r="S267" s="2">
        <f t="shared" si="7"/>
      </c>
      <c r="T267" s="2">
        <f t="shared" si="8"/>
      </c>
      <c r="U267" s="2">
        <f t="shared" si="9"/>
      </c>
      <c r="V267" s="2">
        <f t="shared" si="10"/>
      </c>
      <c r="W267" s="2">
        <f t="shared" si="11"/>
      </c>
      <c r="X267" s="2">
        <f t="shared" si="12"/>
      </c>
      <c r="Y267" s="2">
        <f t="shared" si="13"/>
        <v>0</v>
      </c>
      <c r="Z267" s="2">
        <f t="shared" si="14"/>
      </c>
      <c r="AA267" s="2">
        <f t="shared" si="15"/>
        <v>0</v>
      </c>
      <c r="AB267" s="2">
        <f t="shared" si="16"/>
      </c>
      <c r="AC267" s="2">
        <f t="shared" si="17"/>
      </c>
      <c r="AD267" s="2">
        <f t="shared" si="18"/>
      </c>
      <c r="AE267" s="2">
        <f t="shared" si="19"/>
      </c>
      <c r="AF267" s="2">
        <f t="shared" si="20"/>
      </c>
      <c r="AG267" s="2">
        <f t="shared" si="21"/>
      </c>
      <c r="AH267" s="2">
        <f t="shared" si="22"/>
      </c>
      <c r="AI267" s="2">
        <f t="shared" si="23"/>
      </c>
      <c r="AJ267" s="2">
        <f t="shared" si="24"/>
        <v>0</v>
      </c>
      <c r="AK267" s="2">
        <f t="shared" si="25"/>
        <v>0</v>
      </c>
      <c r="AL267" s="2">
        <f t="shared" si="26"/>
        <v>0</v>
      </c>
      <c r="AM267" s="2">
        <f t="shared" si="27"/>
        <v>0</v>
      </c>
      <c r="AN267" s="2">
        <f t="shared" si="28"/>
        <v>0</v>
      </c>
      <c r="AO267" s="2">
        <f t="shared" si="29"/>
      </c>
      <c r="AP267" s="2">
        <f t="shared" si="30"/>
      </c>
      <c r="AQ267" s="2">
        <f t="shared" si="31"/>
      </c>
    </row>
    <row r="268">
      <c r="A268" s="43">
        <f t="shared" si="3"/>
      </c>
      <c r="B268" s="44" t="n"/>
      <c r="C268" s="45" t="n"/>
      <c r="D268" s="46" t="n"/>
      <c r="E268" s="47" t="n"/>
      <c r="F268" s="47" t="n"/>
      <c r="G268" s="48">
        <f t="shared" si="4"/>
      </c>
      <c r="H268" s="43">
        <f t="shared" si="0"/>
      </c>
      <c r="I268" s="43">
        <f t="shared" si="5"/>
      </c>
      <c r="J268" s="43">
        <f t="shared" si="1"/>
      </c>
      <c r="K268" s="49">
        <f t="shared" si="2"/>
      </c>
      <c r="L268" s="45" t="n"/>
      <c r="M268" s="45" t="n"/>
      <c r="N268" s="45" t="n"/>
      <c r="O268" s="45" t="n"/>
      <c r="P268" s="50" t="n"/>
      <c r="R268" s="2">
        <f t="shared" si="6"/>
        <v>0</v>
      </c>
      <c r="S268" s="2">
        <f t="shared" si="7"/>
      </c>
      <c r="T268" s="2">
        <f t="shared" si="8"/>
      </c>
      <c r="U268" s="2">
        <f t="shared" si="9"/>
      </c>
      <c r="V268" s="2">
        <f t="shared" si="10"/>
      </c>
      <c r="W268" s="2">
        <f t="shared" si="11"/>
      </c>
      <c r="X268" s="2">
        <f t="shared" si="12"/>
      </c>
      <c r="Y268" s="2">
        <f t="shared" si="13"/>
        <v>0</v>
      </c>
      <c r="Z268" s="2">
        <f t="shared" si="14"/>
      </c>
      <c r="AA268" s="2">
        <f t="shared" si="15"/>
        <v>0</v>
      </c>
      <c r="AB268" s="2">
        <f t="shared" si="16"/>
      </c>
      <c r="AC268" s="2">
        <f t="shared" si="17"/>
      </c>
      <c r="AD268" s="2">
        <f t="shared" si="18"/>
      </c>
      <c r="AE268" s="2">
        <f t="shared" si="19"/>
      </c>
      <c r="AF268" s="2">
        <f t="shared" si="20"/>
      </c>
      <c r="AG268" s="2">
        <f t="shared" si="21"/>
      </c>
      <c r="AH268" s="2">
        <f t="shared" si="22"/>
      </c>
      <c r="AI268" s="2">
        <f t="shared" si="23"/>
      </c>
      <c r="AJ268" s="2">
        <f t="shared" si="24"/>
        <v>0</v>
      </c>
      <c r="AK268" s="2">
        <f t="shared" si="25"/>
        <v>0</v>
      </c>
      <c r="AL268" s="2">
        <f t="shared" si="26"/>
        <v>0</v>
      </c>
      <c r="AM268" s="2">
        <f t="shared" si="27"/>
        <v>0</v>
      </c>
      <c r="AN268" s="2">
        <f t="shared" si="28"/>
        <v>0</v>
      </c>
      <c r="AO268" s="2">
        <f t="shared" si="29"/>
      </c>
      <c r="AP268" s="2">
        <f t="shared" si="30"/>
      </c>
      <c r="AQ268" s="2">
        <f t="shared" si="31"/>
      </c>
    </row>
    <row r="269">
      <c r="A269" s="43">
        <f t="shared" si="3"/>
      </c>
      <c r="B269" s="44" t="n"/>
      <c r="C269" s="45" t="n"/>
      <c r="D269" s="46" t="n"/>
      <c r="E269" s="47" t="n"/>
      <c r="F269" s="47" t="n"/>
      <c r="G269" s="48">
        <f t="shared" si="4"/>
      </c>
      <c r="H269" s="43">
        <f t="shared" si="0"/>
      </c>
      <c r="I269" s="43">
        <f t="shared" si="5"/>
      </c>
      <c r="J269" s="43">
        <f t="shared" si="1"/>
      </c>
      <c r="K269" s="49">
        <f t="shared" si="2"/>
      </c>
      <c r="L269" s="45" t="n"/>
      <c r="M269" s="45" t="n"/>
      <c r="N269" s="45" t="n"/>
      <c r="O269" s="45" t="n"/>
      <c r="P269" s="50" t="n"/>
      <c r="R269" s="2">
        <f t="shared" si="6"/>
        <v>0</v>
      </c>
      <c r="S269" s="2">
        <f t="shared" si="7"/>
      </c>
      <c r="T269" s="2">
        <f t="shared" si="8"/>
      </c>
      <c r="U269" s="2">
        <f t="shared" si="9"/>
      </c>
      <c r="V269" s="2">
        <f t="shared" si="10"/>
      </c>
      <c r="W269" s="2">
        <f t="shared" si="11"/>
      </c>
      <c r="X269" s="2">
        <f t="shared" si="12"/>
      </c>
      <c r="Y269" s="2">
        <f t="shared" si="13"/>
        <v>0</v>
      </c>
      <c r="Z269" s="2">
        <f t="shared" si="14"/>
      </c>
      <c r="AA269" s="2">
        <f t="shared" si="15"/>
        <v>0</v>
      </c>
      <c r="AB269" s="2">
        <f t="shared" si="16"/>
      </c>
      <c r="AC269" s="2">
        <f t="shared" si="17"/>
      </c>
      <c r="AD269" s="2">
        <f t="shared" si="18"/>
      </c>
      <c r="AE269" s="2">
        <f t="shared" si="19"/>
      </c>
      <c r="AF269" s="2">
        <f t="shared" si="20"/>
      </c>
      <c r="AG269" s="2">
        <f t="shared" si="21"/>
      </c>
      <c r="AH269" s="2">
        <f t="shared" si="22"/>
      </c>
      <c r="AI269" s="2">
        <f t="shared" si="23"/>
      </c>
      <c r="AJ269" s="2">
        <f t="shared" si="24"/>
        <v>0</v>
      </c>
      <c r="AK269" s="2">
        <f t="shared" si="25"/>
        <v>0</v>
      </c>
      <c r="AL269" s="2">
        <f t="shared" si="26"/>
        <v>0</v>
      </c>
      <c r="AM269" s="2">
        <f t="shared" si="27"/>
        <v>0</v>
      </c>
      <c r="AN269" s="2">
        <f t="shared" si="28"/>
        <v>0</v>
      </c>
      <c r="AO269" s="2">
        <f t="shared" si="29"/>
      </c>
      <c r="AP269" s="2">
        <f t="shared" si="30"/>
      </c>
      <c r="AQ269" s="2">
        <f t="shared" si="31"/>
      </c>
    </row>
    <row r="270">
      <c r="A270" s="43">
        <f t="shared" si="3"/>
      </c>
      <c r="B270" s="44" t="n"/>
      <c r="C270" s="45" t="n"/>
      <c r="D270" s="46" t="n"/>
      <c r="E270" s="47" t="n"/>
      <c r="F270" s="47" t="n"/>
      <c r="G270" s="48">
        <f t="shared" si="4"/>
      </c>
      <c r="H270" s="43">
        <f t="shared" si="0"/>
      </c>
      <c r="I270" s="43">
        <f t="shared" si="5"/>
      </c>
      <c r="J270" s="43">
        <f t="shared" si="1"/>
      </c>
      <c r="K270" s="49">
        <f t="shared" si="2"/>
      </c>
      <c r="L270" s="45" t="n"/>
      <c r="M270" s="45" t="n"/>
      <c r="N270" s="45" t="n"/>
      <c r="O270" s="45" t="n"/>
      <c r="P270" s="50" t="n"/>
      <c r="R270" s="2">
        <f t="shared" si="6"/>
        <v>0</v>
      </c>
      <c r="S270" s="2">
        <f t="shared" si="7"/>
      </c>
      <c r="T270" s="2">
        <f t="shared" si="8"/>
      </c>
      <c r="U270" s="2">
        <f t="shared" si="9"/>
      </c>
      <c r="V270" s="2">
        <f t="shared" si="10"/>
      </c>
      <c r="W270" s="2">
        <f t="shared" si="11"/>
      </c>
      <c r="X270" s="2">
        <f t="shared" si="12"/>
      </c>
      <c r="Y270" s="2">
        <f t="shared" si="13"/>
        <v>0</v>
      </c>
      <c r="Z270" s="2">
        <f t="shared" si="14"/>
      </c>
      <c r="AA270" s="2">
        <f t="shared" si="15"/>
        <v>0</v>
      </c>
      <c r="AB270" s="2">
        <f t="shared" si="16"/>
      </c>
      <c r="AC270" s="2">
        <f t="shared" si="17"/>
      </c>
      <c r="AD270" s="2">
        <f t="shared" si="18"/>
      </c>
      <c r="AE270" s="2">
        <f t="shared" si="19"/>
      </c>
      <c r="AF270" s="2">
        <f t="shared" si="20"/>
      </c>
      <c r="AG270" s="2">
        <f t="shared" si="21"/>
      </c>
      <c r="AH270" s="2">
        <f t="shared" si="22"/>
      </c>
      <c r="AI270" s="2">
        <f t="shared" si="23"/>
      </c>
      <c r="AJ270" s="2">
        <f t="shared" si="24"/>
        <v>0</v>
      </c>
      <c r="AK270" s="2">
        <f t="shared" si="25"/>
        <v>0</v>
      </c>
      <c r="AL270" s="2">
        <f t="shared" si="26"/>
        <v>0</v>
      </c>
      <c r="AM270" s="2">
        <f t="shared" si="27"/>
        <v>0</v>
      </c>
      <c r="AN270" s="2">
        <f t="shared" si="28"/>
        <v>0</v>
      </c>
      <c r="AO270" s="2">
        <f t="shared" si="29"/>
      </c>
      <c r="AP270" s="2">
        <f t="shared" si="30"/>
      </c>
      <c r="AQ270" s="2">
        <f t="shared" si="31"/>
      </c>
    </row>
    <row r="271">
      <c r="A271" s="43">
        <f t="shared" si="3"/>
      </c>
      <c r="B271" s="44" t="n"/>
      <c r="C271" s="45" t="n"/>
      <c r="D271" s="46" t="n"/>
      <c r="E271" s="47" t="n"/>
      <c r="F271" s="47" t="n"/>
      <c r="G271" s="48">
        <f t="shared" si="4"/>
      </c>
      <c r="H271" s="43">
        <f t="shared" si="0"/>
      </c>
      <c r="I271" s="43">
        <f t="shared" si="5"/>
      </c>
      <c r="J271" s="43">
        <f t="shared" si="1"/>
      </c>
      <c r="K271" s="49">
        <f t="shared" si="2"/>
      </c>
      <c r="L271" s="45" t="n"/>
      <c r="M271" s="45" t="n"/>
      <c r="N271" s="45" t="n"/>
      <c r="O271" s="45" t="n"/>
      <c r="P271" s="50" t="n"/>
      <c r="R271" s="2">
        <f t="shared" si="6"/>
        <v>0</v>
      </c>
      <c r="S271" s="2">
        <f t="shared" si="7"/>
      </c>
      <c r="T271" s="2">
        <f t="shared" si="8"/>
      </c>
      <c r="U271" s="2">
        <f t="shared" si="9"/>
      </c>
      <c r="V271" s="2">
        <f t="shared" si="10"/>
      </c>
      <c r="W271" s="2">
        <f t="shared" si="11"/>
      </c>
      <c r="X271" s="2">
        <f t="shared" si="12"/>
      </c>
      <c r="Y271" s="2">
        <f t="shared" si="13"/>
        <v>0</v>
      </c>
      <c r="Z271" s="2">
        <f t="shared" si="14"/>
      </c>
      <c r="AA271" s="2">
        <f t="shared" si="15"/>
        <v>0</v>
      </c>
      <c r="AB271" s="2">
        <f t="shared" si="16"/>
      </c>
      <c r="AC271" s="2">
        <f t="shared" si="17"/>
      </c>
      <c r="AD271" s="2">
        <f t="shared" si="18"/>
      </c>
      <c r="AE271" s="2">
        <f t="shared" si="19"/>
      </c>
      <c r="AF271" s="2">
        <f t="shared" si="20"/>
      </c>
      <c r="AG271" s="2">
        <f t="shared" si="21"/>
      </c>
      <c r="AH271" s="2">
        <f t="shared" si="22"/>
      </c>
      <c r="AI271" s="2">
        <f t="shared" si="23"/>
      </c>
      <c r="AJ271" s="2">
        <f t="shared" si="24"/>
        <v>0</v>
      </c>
      <c r="AK271" s="2">
        <f t="shared" si="25"/>
        <v>0</v>
      </c>
      <c r="AL271" s="2">
        <f t="shared" si="26"/>
        <v>0</v>
      </c>
      <c r="AM271" s="2">
        <f t="shared" si="27"/>
        <v>0</v>
      </c>
      <c r="AN271" s="2">
        <f t="shared" si="28"/>
        <v>0</v>
      </c>
      <c r="AO271" s="2">
        <f t="shared" si="29"/>
      </c>
      <c r="AP271" s="2">
        <f t="shared" si="30"/>
      </c>
      <c r="AQ271" s="2">
        <f t="shared" si="31"/>
      </c>
    </row>
    <row r="272">
      <c r="A272" s="43">
        <f t="shared" si="3"/>
      </c>
      <c r="B272" s="44" t="n"/>
      <c r="C272" s="45" t="n"/>
      <c r="D272" s="46" t="n"/>
      <c r="E272" s="47" t="n"/>
      <c r="F272" s="47" t="n"/>
      <c r="G272" s="48">
        <f t="shared" si="4"/>
      </c>
      <c r="H272" s="43">
        <f t="shared" si="0"/>
      </c>
      <c r="I272" s="43">
        <f t="shared" si="5"/>
      </c>
      <c r="J272" s="43">
        <f t="shared" si="1"/>
      </c>
      <c r="K272" s="49">
        <f t="shared" si="2"/>
      </c>
      <c r="L272" s="45" t="n"/>
      <c r="M272" s="45" t="n"/>
      <c r="N272" s="45" t="n"/>
      <c r="O272" s="45" t="n"/>
      <c r="P272" s="50" t="n"/>
      <c r="R272" s="2">
        <f t="shared" si="6"/>
        <v>0</v>
      </c>
      <c r="S272" s="2">
        <f t="shared" si="7"/>
      </c>
      <c r="T272" s="2">
        <f t="shared" si="8"/>
      </c>
      <c r="U272" s="2">
        <f t="shared" si="9"/>
      </c>
      <c r="V272" s="2">
        <f t="shared" si="10"/>
      </c>
      <c r="W272" s="2">
        <f t="shared" si="11"/>
      </c>
      <c r="X272" s="2">
        <f t="shared" si="12"/>
      </c>
      <c r="Y272" s="2">
        <f t="shared" si="13"/>
        <v>0</v>
      </c>
      <c r="Z272" s="2">
        <f t="shared" si="14"/>
      </c>
      <c r="AA272" s="2">
        <f t="shared" si="15"/>
        <v>0</v>
      </c>
      <c r="AB272" s="2">
        <f t="shared" si="16"/>
      </c>
      <c r="AC272" s="2">
        <f t="shared" si="17"/>
      </c>
      <c r="AD272" s="2">
        <f t="shared" si="18"/>
      </c>
      <c r="AE272" s="2">
        <f t="shared" si="19"/>
      </c>
      <c r="AF272" s="2">
        <f t="shared" si="20"/>
      </c>
      <c r="AG272" s="2">
        <f t="shared" si="21"/>
      </c>
      <c r="AH272" s="2">
        <f t="shared" si="22"/>
      </c>
      <c r="AI272" s="2">
        <f t="shared" si="23"/>
      </c>
      <c r="AJ272" s="2">
        <f t="shared" si="24"/>
        <v>0</v>
      </c>
      <c r="AK272" s="2">
        <f t="shared" si="25"/>
        <v>0</v>
      </c>
      <c r="AL272" s="2">
        <f t="shared" si="26"/>
        <v>0</v>
      </c>
      <c r="AM272" s="2">
        <f t="shared" si="27"/>
        <v>0</v>
      </c>
      <c r="AN272" s="2">
        <f t="shared" si="28"/>
        <v>0</v>
      </c>
      <c r="AO272" s="2">
        <f t="shared" si="29"/>
      </c>
      <c r="AP272" s="2">
        <f t="shared" si="30"/>
      </c>
      <c r="AQ272" s="2">
        <f t="shared" si="31"/>
      </c>
    </row>
    <row r="273">
      <c r="A273" s="43">
        <f t="shared" si="3"/>
      </c>
      <c r="B273" s="44" t="n"/>
      <c r="C273" s="45" t="n"/>
      <c r="D273" s="46" t="n"/>
      <c r="E273" s="47" t="n"/>
      <c r="F273" s="47" t="n"/>
      <c r="G273" s="48">
        <f t="shared" si="4"/>
      </c>
      <c r="H273" s="43">
        <f t="shared" si="0"/>
      </c>
      <c r="I273" s="43">
        <f t="shared" si="5"/>
      </c>
      <c r="J273" s="43">
        <f t="shared" si="1"/>
      </c>
      <c r="K273" s="49">
        <f t="shared" si="2"/>
      </c>
      <c r="L273" s="45" t="n"/>
      <c r="M273" s="45" t="n"/>
      <c r="N273" s="45" t="n"/>
      <c r="O273" s="45" t="n"/>
      <c r="P273" s="50" t="n"/>
      <c r="R273" s="2">
        <f t="shared" si="6"/>
        <v>0</v>
      </c>
      <c r="S273" s="2">
        <f t="shared" si="7"/>
      </c>
      <c r="T273" s="2">
        <f t="shared" si="8"/>
      </c>
      <c r="U273" s="2">
        <f t="shared" si="9"/>
      </c>
      <c r="V273" s="2">
        <f t="shared" si="10"/>
      </c>
      <c r="W273" s="2">
        <f t="shared" si="11"/>
      </c>
      <c r="X273" s="2">
        <f t="shared" si="12"/>
      </c>
      <c r="Y273" s="2">
        <f t="shared" si="13"/>
        <v>0</v>
      </c>
      <c r="Z273" s="2">
        <f t="shared" si="14"/>
      </c>
      <c r="AA273" s="2">
        <f t="shared" si="15"/>
        <v>0</v>
      </c>
      <c r="AB273" s="2">
        <f t="shared" si="16"/>
      </c>
      <c r="AC273" s="2">
        <f t="shared" si="17"/>
      </c>
      <c r="AD273" s="2">
        <f t="shared" si="18"/>
      </c>
      <c r="AE273" s="2">
        <f t="shared" si="19"/>
      </c>
      <c r="AF273" s="2">
        <f t="shared" si="20"/>
      </c>
      <c r="AG273" s="2">
        <f t="shared" si="21"/>
      </c>
      <c r="AH273" s="2">
        <f t="shared" si="22"/>
      </c>
      <c r="AI273" s="2">
        <f t="shared" si="23"/>
      </c>
      <c r="AJ273" s="2">
        <f t="shared" si="24"/>
        <v>0</v>
      </c>
      <c r="AK273" s="2">
        <f t="shared" si="25"/>
        <v>0</v>
      </c>
      <c r="AL273" s="2">
        <f t="shared" si="26"/>
        <v>0</v>
      </c>
      <c r="AM273" s="2">
        <f t="shared" si="27"/>
        <v>0</v>
      </c>
      <c r="AN273" s="2">
        <f t="shared" si="28"/>
        <v>0</v>
      </c>
      <c r="AO273" s="2">
        <f t="shared" si="29"/>
      </c>
      <c r="AP273" s="2">
        <f t="shared" si="30"/>
      </c>
      <c r="AQ273" s="2">
        <f t="shared" si="31"/>
      </c>
    </row>
    <row r="274">
      <c r="A274" s="43">
        <f t="shared" si="3"/>
      </c>
      <c r="B274" s="44" t="n"/>
      <c r="C274" s="45" t="n"/>
      <c r="D274" s="46" t="n"/>
      <c r="E274" s="47" t="n"/>
      <c r="F274" s="47" t="n"/>
      <c r="G274" s="48">
        <f t="shared" si="4"/>
      </c>
      <c r="H274" s="43">
        <f t="shared" si="0"/>
      </c>
      <c r="I274" s="43">
        <f t="shared" si="5"/>
      </c>
      <c r="J274" s="43">
        <f t="shared" si="1"/>
      </c>
      <c r="K274" s="49">
        <f t="shared" si="2"/>
      </c>
      <c r="L274" s="45" t="n"/>
      <c r="M274" s="45" t="n"/>
      <c r="N274" s="45" t="n"/>
      <c r="O274" s="45" t="n"/>
      <c r="P274" s="50" t="n"/>
      <c r="R274" s="2">
        <f t="shared" si="6"/>
        <v>0</v>
      </c>
      <c r="S274" s="2">
        <f t="shared" si="7"/>
      </c>
      <c r="T274" s="2">
        <f t="shared" si="8"/>
      </c>
      <c r="U274" s="2">
        <f t="shared" si="9"/>
      </c>
      <c r="V274" s="2">
        <f t="shared" si="10"/>
      </c>
      <c r="W274" s="2">
        <f t="shared" si="11"/>
      </c>
      <c r="X274" s="2">
        <f t="shared" si="12"/>
      </c>
      <c r="Y274" s="2">
        <f t="shared" si="13"/>
        <v>0</v>
      </c>
      <c r="Z274" s="2">
        <f t="shared" si="14"/>
      </c>
      <c r="AA274" s="2">
        <f t="shared" si="15"/>
        <v>0</v>
      </c>
      <c r="AB274" s="2">
        <f t="shared" si="16"/>
      </c>
      <c r="AC274" s="2">
        <f t="shared" si="17"/>
      </c>
      <c r="AD274" s="2">
        <f t="shared" si="18"/>
      </c>
      <c r="AE274" s="2">
        <f t="shared" si="19"/>
      </c>
      <c r="AF274" s="2">
        <f t="shared" si="20"/>
      </c>
      <c r="AG274" s="2">
        <f t="shared" si="21"/>
      </c>
      <c r="AH274" s="2">
        <f t="shared" si="22"/>
      </c>
      <c r="AI274" s="2">
        <f t="shared" si="23"/>
      </c>
      <c r="AJ274" s="2">
        <f t="shared" si="24"/>
        <v>0</v>
      </c>
      <c r="AK274" s="2">
        <f t="shared" si="25"/>
        <v>0</v>
      </c>
      <c r="AL274" s="2">
        <f t="shared" si="26"/>
        <v>0</v>
      </c>
      <c r="AM274" s="2">
        <f t="shared" si="27"/>
        <v>0</v>
      </c>
      <c r="AN274" s="2">
        <f t="shared" si="28"/>
        <v>0</v>
      </c>
      <c r="AO274" s="2">
        <f t="shared" si="29"/>
      </c>
      <c r="AP274" s="2">
        <f t="shared" si="30"/>
      </c>
      <c r="AQ274" s="2">
        <f t="shared" si="31"/>
      </c>
    </row>
    <row r="275">
      <c r="A275" s="43">
        <f t="shared" si="3"/>
      </c>
      <c r="B275" s="44" t="n"/>
      <c r="C275" s="45" t="n"/>
      <c r="D275" s="46" t="n"/>
      <c r="E275" s="47" t="n"/>
      <c r="F275" s="47" t="n"/>
      <c r="G275" s="48">
        <f t="shared" si="4"/>
      </c>
      <c r="H275" s="43">
        <f t="shared" si="0"/>
      </c>
      <c r="I275" s="43">
        <f t="shared" si="5"/>
      </c>
      <c r="J275" s="43">
        <f t="shared" si="1"/>
      </c>
      <c r="K275" s="49">
        <f t="shared" si="2"/>
      </c>
      <c r="L275" s="45" t="n"/>
      <c r="M275" s="45" t="n"/>
      <c r="N275" s="45" t="n"/>
      <c r="O275" s="45" t="n"/>
      <c r="P275" s="50" t="n"/>
      <c r="R275" s="2">
        <f t="shared" si="6"/>
        <v>0</v>
      </c>
      <c r="S275" s="2">
        <f t="shared" si="7"/>
      </c>
      <c r="T275" s="2">
        <f t="shared" si="8"/>
      </c>
      <c r="U275" s="2">
        <f t="shared" si="9"/>
      </c>
      <c r="V275" s="2">
        <f t="shared" si="10"/>
      </c>
      <c r="W275" s="2">
        <f t="shared" si="11"/>
      </c>
      <c r="X275" s="2">
        <f t="shared" si="12"/>
      </c>
      <c r="Y275" s="2">
        <f t="shared" si="13"/>
        <v>0</v>
      </c>
      <c r="Z275" s="2">
        <f t="shared" si="14"/>
      </c>
      <c r="AA275" s="2">
        <f t="shared" si="15"/>
        <v>0</v>
      </c>
      <c r="AB275" s="2">
        <f t="shared" si="16"/>
      </c>
      <c r="AC275" s="2">
        <f t="shared" si="17"/>
      </c>
      <c r="AD275" s="2">
        <f t="shared" si="18"/>
      </c>
      <c r="AE275" s="2">
        <f t="shared" si="19"/>
      </c>
      <c r="AF275" s="2">
        <f t="shared" si="20"/>
      </c>
      <c r="AG275" s="2">
        <f t="shared" si="21"/>
      </c>
      <c r="AH275" s="2">
        <f t="shared" si="22"/>
      </c>
      <c r="AI275" s="2">
        <f t="shared" si="23"/>
      </c>
      <c r="AJ275" s="2">
        <f t="shared" si="24"/>
        <v>0</v>
      </c>
      <c r="AK275" s="2">
        <f t="shared" si="25"/>
        <v>0</v>
      </c>
      <c r="AL275" s="2">
        <f t="shared" si="26"/>
        <v>0</v>
      </c>
      <c r="AM275" s="2">
        <f t="shared" si="27"/>
        <v>0</v>
      </c>
      <c r="AN275" s="2">
        <f t="shared" si="28"/>
        <v>0</v>
      </c>
      <c r="AO275" s="2">
        <f t="shared" si="29"/>
      </c>
      <c r="AP275" s="2">
        <f t="shared" si="30"/>
      </c>
      <c r="AQ275" s="2">
        <f t="shared" si="31"/>
      </c>
    </row>
    <row r="276">
      <c r="A276" s="43">
        <f t="shared" si="3"/>
      </c>
      <c r="B276" s="44" t="n"/>
      <c r="C276" s="45" t="n"/>
      <c r="D276" s="46" t="n"/>
      <c r="E276" s="47" t="n"/>
      <c r="F276" s="47" t="n"/>
      <c r="G276" s="48">
        <f t="shared" si="4"/>
      </c>
      <c r="H276" s="43">
        <f t="shared" si="0"/>
      </c>
      <c r="I276" s="43">
        <f t="shared" si="5"/>
      </c>
      <c r="J276" s="43">
        <f t="shared" si="1"/>
      </c>
      <c r="K276" s="49">
        <f t="shared" si="2"/>
      </c>
      <c r="L276" s="45" t="n"/>
      <c r="M276" s="45" t="n"/>
      <c r="N276" s="45" t="n"/>
      <c r="O276" s="45" t="n"/>
      <c r="P276" s="50" t="n"/>
      <c r="R276" s="2">
        <f t="shared" si="6"/>
        <v>0</v>
      </c>
      <c r="S276" s="2">
        <f t="shared" si="7"/>
      </c>
      <c r="T276" s="2">
        <f t="shared" si="8"/>
      </c>
      <c r="U276" s="2">
        <f t="shared" si="9"/>
      </c>
      <c r="V276" s="2">
        <f t="shared" si="10"/>
      </c>
      <c r="W276" s="2">
        <f t="shared" si="11"/>
      </c>
      <c r="X276" s="2">
        <f t="shared" si="12"/>
      </c>
      <c r="Y276" s="2">
        <f t="shared" si="13"/>
        <v>0</v>
      </c>
      <c r="Z276" s="2">
        <f t="shared" si="14"/>
      </c>
      <c r="AA276" s="2">
        <f t="shared" si="15"/>
        <v>0</v>
      </c>
      <c r="AB276" s="2">
        <f t="shared" si="16"/>
      </c>
      <c r="AC276" s="2">
        <f t="shared" si="17"/>
      </c>
      <c r="AD276" s="2">
        <f t="shared" si="18"/>
      </c>
      <c r="AE276" s="2">
        <f t="shared" si="19"/>
      </c>
      <c r="AF276" s="2">
        <f t="shared" si="20"/>
      </c>
      <c r="AG276" s="2">
        <f t="shared" si="21"/>
      </c>
      <c r="AH276" s="2">
        <f t="shared" si="22"/>
      </c>
      <c r="AI276" s="2">
        <f t="shared" si="23"/>
      </c>
      <c r="AJ276" s="2">
        <f t="shared" si="24"/>
        <v>0</v>
      </c>
      <c r="AK276" s="2">
        <f t="shared" si="25"/>
        <v>0</v>
      </c>
      <c r="AL276" s="2">
        <f t="shared" si="26"/>
        <v>0</v>
      </c>
      <c r="AM276" s="2">
        <f t="shared" si="27"/>
        <v>0</v>
      </c>
      <c r="AN276" s="2">
        <f t="shared" si="28"/>
        <v>0</v>
      </c>
      <c r="AO276" s="2">
        <f t="shared" si="29"/>
      </c>
      <c r="AP276" s="2">
        <f t="shared" si="30"/>
      </c>
      <c r="AQ276" s="2">
        <f t="shared" si="31"/>
      </c>
    </row>
    <row r="277">
      <c r="A277" s="43">
        <f t="shared" si="3"/>
      </c>
      <c r="B277" s="44" t="n"/>
      <c r="C277" s="45" t="n"/>
      <c r="D277" s="46" t="n"/>
      <c r="E277" s="47" t="n"/>
      <c r="F277" s="47" t="n"/>
      <c r="G277" s="48">
        <f t="shared" si="4"/>
      </c>
      <c r="H277" s="43">
        <f t="shared" si="0"/>
      </c>
      <c r="I277" s="43">
        <f t="shared" si="5"/>
      </c>
      <c r="J277" s="43">
        <f t="shared" si="1"/>
      </c>
      <c r="K277" s="49">
        <f t="shared" si="2"/>
      </c>
      <c r="L277" s="45" t="n"/>
      <c r="M277" s="45" t="n"/>
      <c r="N277" s="45" t="n"/>
      <c r="O277" s="45" t="n"/>
      <c r="P277" s="50" t="n"/>
      <c r="R277" s="2">
        <f t="shared" si="6"/>
        <v>0</v>
      </c>
      <c r="S277" s="2">
        <f t="shared" si="7"/>
      </c>
      <c r="T277" s="2">
        <f t="shared" si="8"/>
      </c>
      <c r="U277" s="2">
        <f t="shared" si="9"/>
      </c>
      <c r="V277" s="2">
        <f t="shared" si="10"/>
      </c>
      <c r="W277" s="2">
        <f t="shared" si="11"/>
      </c>
      <c r="X277" s="2">
        <f t="shared" si="12"/>
      </c>
      <c r="Y277" s="2">
        <f t="shared" si="13"/>
        <v>0</v>
      </c>
      <c r="Z277" s="2">
        <f t="shared" si="14"/>
      </c>
      <c r="AA277" s="2">
        <f t="shared" si="15"/>
        <v>0</v>
      </c>
      <c r="AB277" s="2">
        <f t="shared" si="16"/>
      </c>
      <c r="AC277" s="2">
        <f t="shared" si="17"/>
      </c>
      <c r="AD277" s="2">
        <f t="shared" si="18"/>
      </c>
      <c r="AE277" s="2">
        <f t="shared" si="19"/>
      </c>
      <c r="AF277" s="2">
        <f t="shared" si="20"/>
      </c>
      <c r="AG277" s="2">
        <f t="shared" si="21"/>
      </c>
      <c r="AH277" s="2">
        <f t="shared" si="22"/>
      </c>
      <c r="AI277" s="2">
        <f t="shared" si="23"/>
      </c>
      <c r="AJ277" s="2">
        <f t="shared" si="24"/>
        <v>0</v>
      </c>
      <c r="AK277" s="2">
        <f t="shared" si="25"/>
        <v>0</v>
      </c>
      <c r="AL277" s="2">
        <f t="shared" si="26"/>
        <v>0</v>
      </c>
      <c r="AM277" s="2">
        <f t="shared" si="27"/>
        <v>0</v>
      </c>
      <c r="AN277" s="2">
        <f t="shared" si="28"/>
        <v>0</v>
      </c>
      <c r="AO277" s="2">
        <f t="shared" si="29"/>
      </c>
      <c r="AP277" s="2">
        <f t="shared" si="30"/>
      </c>
      <c r="AQ277" s="2">
        <f t="shared" si="31"/>
      </c>
    </row>
    <row r="278">
      <c r="A278" s="43">
        <f t="shared" si="3"/>
      </c>
      <c r="B278" s="44" t="n"/>
      <c r="C278" s="45" t="n"/>
      <c r="D278" s="46" t="n"/>
      <c r="E278" s="47" t="n"/>
      <c r="F278" s="47" t="n"/>
      <c r="G278" s="48">
        <f t="shared" si="4"/>
      </c>
      <c r="H278" s="43">
        <f t="shared" si="0"/>
      </c>
      <c r="I278" s="43">
        <f t="shared" si="5"/>
      </c>
      <c r="J278" s="43">
        <f t="shared" si="1"/>
      </c>
      <c r="K278" s="49">
        <f t="shared" si="2"/>
      </c>
      <c r="L278" s="45" t="n"/>
      <c r="M278" s="45" t="n"/>
      <c r="N278" s="45" t="n"/>
      <c r="O278" s="45" t="n"/>
      <c r="P278" s="50" t="n"/>
      <c r="R278" s="2">
        <f t="shared" si="6"/>
        <v>0</v>
      </c>
      <c r="S278" s="2">
        <f t="shared" si="7"/>
      </c>
      <c r="T278" s="2">
        <f t="shared" si="8"/>
      </c>
      <c r="U278" s="2">
        <f t="shared" si="9"/>
      </c>
      <c r="V278" s="2">
        <f t="shared" si="10"/>
      </c>
      <c r="W278" s="2">
        <f t="shared" si="11"/>
      </c>
      <c r="X278" s="2">
        <f t="shared" si="12"/>
      </c>
      <c r="Y278" s="2">
        <f t="shared" si="13"/>
        <v>0</v>
      </c>
      <c r="Z278" s="2">
        <f t="shared" si="14"/>
      </c>
      <c r="AA278" s="2">
        <f t="shared" si="15"/>
        <v>0</v>
      </c>
      <c r="AB278" s="2">
        <f t="shared" si="16"/>
      </c>
      <c r="AC278" s="2">
        <f t="shared" si="17"/>
      </c>
      <c r="AD278" s="2">
        <f t="shared" si="18"/>
      </c>
      <c r="AE278" s="2">
        <f t="shared" si="19"/>
      </c>
      <c r="AF278" s="2">
        <f t="shared" si="20"/>
      </c>
      <c r="AG278" s="2">
        <f t="shared" si="21"/>
      </c>
      <c r="AH278" s="2">
        <f t="shared" si="22"/>
      </c>
      <c r="AI278" s="2">
        <f t="shared" si="23"/>
      </c>
      <c r="AJ278" s="2">
        <f t="shared" si="24"/>
        <v>0</v>
      </c>
      <c r="AK278" s="2">
        <f t="shared" si="25"/>
        <v>0</v>
      </c>
      <c r="AL278" s="2">
        <f t="shared" si="26"/>
        <v>0</v>
      </c>
      <c r="AM278" s="2">
        <f t="shared" si="27"/>
        <v>0</v>
      </c>
      <c r="AN278" s="2">
        <f t="shared" si="28"/>
        <v>0</v>
      </c>
      <c r="AO278" s="2">
        <f t="shared" si="29"/>
      </c>
      <c r="AP278" s="2">
        <f t="shared" si="30"/>
      </c>
      <c r="AQ278" s="2">
        <f t="shared" si="31"/>
      </c>
    </row>
    <row r="279">
      <c r="A279" s="43">
        <f t="shared" si="3"/>
      </c>
      <c r="B279" s="44" t="n"/>
      <c r="C279" s="45" t="n"/>
      <c r="D279" s="46" t="n"/>
      <c r="E279" s="47" t="n"/>
      <c r="F279" s="47" t="n"/>
      <c r="G279" s="48">
        <f t="shared" si="4"/>
      </c>
      <c r="H279" s="43">
        <f t="shared" si="0"/>
      </c>
      <c r="I279" s="43">
        <f t="shared" si="5"/>
      </c>
      <c r="J279" s="43">
        <f t="shared" si="1"/>
      </c>
      <c r="K279" s="49">
        <f t="shared" si="2"/>
      </c>
      <c r="L279" s="45" t="n"/>
      <c r="M279" s="45" t="n"/>
      <c r="N279" s="45" t="n"/>
      <c r="O279" s="45" t="n"/>
      <c r="P279" s="50" t="n"/>
      <c r="R279" s="2">
        <f t="shared" si="6"/>
        <v>0</v>
      </c>
      <c r="S279" s="2">
        <f t="shared" si="7"/>
      </c>
      <c r="T279" s="2">
        <f t="shared" si="8"/>
      </c>
      <c r="U279" s="2">
        <f t="shared" si="9"/>
      </c>
      <c r="V279" s="2">
        <f t="shared" si="10"/>
      </c>
      <c r="W279" s="2">
        <f t="shared" si="11"/>
      </c>
      <c r="X279" s="2">
        <f t="shared" si="12"/>
      </c>
      <c r="Y279" s="2">
        <f t="shared" si="13"/>
        <v>0</v>
      </c>
      <c r="Z279" s="2">
        <f t="shared" si="14"/>
      </c>
      <c r="AA279" s="2">
        <f t="shared" si="15"/>
        <v>0</v>
      </c>
      <c r="AB279" s="2">
        <f t="shared" si="16"/>
      </c>
      <c r="AC279" s="2">
        <f t="shared" si="17"/>
      </c>
      <c r="AD279" s="2">
        <f t="shared" si="18"/>
      </c>
      <c r="AE279" s="2">
        <f t="shared" si="19"/>
      </c>
      <c r="AF279" s="2">
        <f t="shared" si="20"/>
      </c>
      <c r="AG279" s="2">
        <f t="shared" si="21"/>
      </c>
      <c r="AH279" s="2">
        <f t="shared" si="22"/>
      </c>
      <c r="AI279" s="2">
        <f t="shared" si="23"/>
      </c>
      <c r="AJ279" s="2">
        <f t="shared" si="24"/>
        <v>0</v>
      </c>
      <c r="AK279" s="2">
        <f t="shared" si="25"/>
        <v>0</v>
      </c>
      <c r="AL279" s="2">
        <f t="shared" si="26"/>
        <v>0</v>
      </c>
      <c r="AM279" s="2">
        <f t="shared" si="27"/>
        <v>0</v>
      </c>
      <c r="AN279" s="2">
        <f t="shared" si="28"/>
        <v>0</v>
      </c>
      <c r="AO279" s="2">
        <f t="shared" si="29"/>
      </c>
      <c r="AP279" s="2">
        <f t="shared" si="30"/>
      </c>
      <c r="AQ279" s="2">
        <f t="shared" si="31"/>
      </c>
    </row>
    <row r="280">
      <c r="A280" s="43">
        <f t="shared" si="3"/>
      </c>
      <c r="B280" s="44" t="n"/>
      <c r="C280" s="45" t="n"/>
      <c r="D280" s="46" t="n"/>
      <c r="E280" s="47" t="n"/>
      <c r="F280" s="47" t="n"/>
      <c r="G280" s="48">
        <f t="shared" si="4"/>
      </c>
      <c r="H280" s="43">
        <f t="shared" si="0"/>
      </c>
      <c r="I280" s="43">
        <f t="shared" si="5"/>
      </c>
      <c r="J280" s="43">
        <f t="shared" si="1"/>
      </c>
      <c r="K280" s="49">
        <f t="shared" si="2"/>
      </c>
      <c r="L280" s="45" t="n"/>
      <c r="M280" s="45" t="n"/>
      <c r="N280" s="45" t="n"/>
      <c r="O280" s="45" t="n"/>
      <c r="P280" s="50" t="n"/>
      <c r="R280" s="2">
        <f t="shared" si="6"/>
        <v>0</v>
      </c>
      <c r="S280" s="2">
        <f t="shared" si="7"/>
      </c>
      <c r="T280" s="2">
        <f t="shared" si="8"/>
      </c>
      <c r="U280" s="2">
        <f t="shared" si="9"/>
      </c>
      <c r="V280" s="2">
        <f t="shared" si="10"/>
      </c>
      <c r="W280" s="2">
        <f t="shared" si="11"/>
      </c>
      <c r="X280" s="2">
        <f t="shared" si="12"/>
      </c>
      <c r="Y280" s="2">
        <f t="shared" si="13"/>
        <v>0</v>
      </c>
      <c r="Z280" s="2">
        <f t="shared" si="14"/>
      </c>
      <c r="AA280" s="2">
        <f t="shared" si="15"/>
        <v>0</v>
      </c>
      <c r="AB280" s="2">
        <f t="shared" si="16"/>
      </c>
      <c r="AC280" s="2">
        <f t="shared" si="17"/>
      </c>
      <c r="AD280" s="2">
        <f t="shared" si="18"/>
      </c>
      <c r="AE280" s="2">
        <f t="shared" si="19"/>
      </c>
      <c r="AF280" s="2">
        <f t="shared" si="20"/>
      </c>
      <c r="AG280" s="2">
        <f t="shared" si="21"/>
      </c>
      <c r="AH280" s="2">
        <f t="shared" si="22"/>
      </c>
      <c r="AI280" s="2">
        <f t="shared" si="23"/>
      </c>
      <c r="AJ280" s="2">
        <f t="shared" si="24"/>
        <v>0</v>
      </c>
      <c r="AK280" s="2">
        <f t="shared" si="25"/>
        <v>0</v>
      </c>
      <c r="AL280" s="2">
        <f t="shared" si="26"/>
        <v>0</v>
      </c>
      <c r="AM280" s="2">
        <f t="shared" si="27"/>
        <v>0</v>
      </c>
      <c r="AN280" s="2">
        <f t="shared" si="28"/>
        <v>0</v>
      </c>
      <c r="AO280" s="2">
        <f t="shared" si="29"/>
      </c>
      <c r="AP280" s="2">
        <f t="shared" si="30"/>
      </c>
      <c r="AQ280" s="2">
        <f t="shared" si="31"/>
      </c>
    </row>
    <row r="281">
      <c r="A281" s="43">
        <f t="shared" si="3"/>
      </c>
      <c r="B281" s="44" t="n"/>
      <c r="C281" s="45" t="n"/>
      <c r="D281" s="46" t="n"/>
      <c r="E281" s="47" t="n"/>
      <c r="F281" s="47" t="n"/>
      <c r="G281" s="48">
        <f t="shared" si="4"/>
      </c>
      <c r="H281" s="43">
        <f t="shared" si="0"/>
      </c>
      <c r="I281" s="43">
        <f t="shared" si="5"/>
      </c>
      <c r="J281" s="43">
        <f t="shared" si="1"/>
      </c>
      <c r="K281" s="49">
        <f t="shared" si="2"/>
      </c>
      <c r="L281" s="45" t="n"/>
      <c r="M281" s="45" t="n"/>
      <c r="N281" s="45" t="n"/>
      <c r="O281" s="45" t="n"/>
      <c r="P281" s="50" t="n"/>
      <c r="R281" s="2">
        <f t="shared" si="6"/>
        <v>0</v>
      </c>
      <c r="S281" s="2">
        <f t="shared" si="7"/>
      </c>
      <c r="T281" s="2">
        <f t="shared" si="8"/>
      </c>
      <c r="U281" s="2">
        <f t="shared" si="9"/>
      </c>
      <c r="V281" s="2">
        <f t="shared" si="10"/>
      </c>
      <c r="W281" s="2">
        <f t="shared" si="11"/>
      </c>
      <c r="X281" s="2">
        <f t="shared" si="12"/>
      </c>
      <c r="Y281" s="2">
        <f t="shared" si="13"/>
        <v>0</v>
      </c>
      <c r="Z281" s="2">
        <f t="shared" si="14"/>
      </c>
      <c r="AA281" s="2">
        <f t="shared" si="15"/>
        <v>0</v>
      </c>
      <c r="AB281" s="2">
        <f t="shared" si="16"/>
      </c>
      <c r="AC281" s="2">
        <f t="shared" si="17"/>
      </c>
      <c r="AD281" s="2">
        <f t="shared" si="18"/>
      </c>
      <c r="AE281" s="2">
        <f t="shared" si="19"/>
      </c>
      <c r="AF281" s="2">
        <f t="shared" si="20"/>
      </c>
      <c r="AG281" s="2">
        <f t="shared" si="21"/>
      </c>
      <c r="AH281" s="2">
        <f t="shared" si="22"/>
      </c>
      <c r="AI281" s="2">
        <f t="shared" si="23"/>
      </c>
      <c r="AJ281" s="2">
        <f t="shared" si="24"/>
        <v>0</v>
      </c>
      <c r="AK281" s="2">
        <f t="shared" si="25"/>
        <v>0</v>
      </c>
      <c r="AL281" s="2">
        <f t="shared" si="26"/>
        <v>0</v>
      </c>
      <c r="AM281" s="2">
        <f t="shared" si="27"/>
        <v>0</v>
      </c>
      <c r="AN281" s="2">
        <f t="shared" si="28"/>
        <v>0</v>
      </c>
      <c r="AO281" s="2">
        <f t="shared" si="29"/>
      </c>
      <c r="AP281" s="2">
        <f t="shared" si="30"/>
      </c>
      <c r="AQ281" s="2">
        <f t="shared" si="31"/>
      </c>
    </row>
    <row r="282">
      <c r="A282" s="43">
        <f t="shared" si="3"/>
      </c>
      <c r="B282" s="44" t="n"/>
      <c r="C282" s="45" t="n"/>
      <c r="D282" s="46" t="n"/>
      <c r="E282" s="47" t="n"/>
      <c r="F282" s="47" t="n"/>
      <c r="G282" s="48">
        <f t="shared" si="4"/>
      </c>
      <c r="H282" s="43">
        <f t="shared" si="0"/>
      </c>
      <c r="I282" s="43">
        <f t="shared" si="5"/>
      </c>
      <c r="J282" s="43">
        <f t="shared" si="1"/>
      </c>
      <c r="K282" s="49">
        <f t="shared" si="2"/>
      </c>
      <c r="L282" s="45" t="n"/>
      <c r="M282" s="45" t="n"/>
      <c r="N282" s="45" t="n"/>
      <c r="O282" s="45" t="n"/>
      <c r="P282" s="50" t="n"/>
      <c r="R282" s="2">
        <f t="shared" si="6"/>
        <v>0</v>
      </c>
      <c r="S282" s="2">
        <f t="shared" si="7"/>
      </c>
      <c r="T282" s="2">
        <f t="shared" si="8"/>
      </c>
      <c r="U282" s="2">
        <f t="shared" si="9"/>
      </c>
      <c r="V282" s="2">
        <f t="shared" si="10"/>
      </c>
      <c r="W282" s="2">
        <f t="shared" si="11"/>
      </c>
      <c r="X282" s="2">
        <f t="shared" si="12"/>
      </c>
      <c r="Y282" s="2">
        <f t="shared" si="13"/>
        <v>0</v>
      </c>
      <c r="Z282" s="2">
        <f t="shared" si="14"/>
      </c>
      <c r="AA282" s="2">
        <f t="shared" si="15"/>
        <v>0</v>
      </c>
      <c r="AB282" s="2">
        <f t="shared" si="16"/>
      </c>
      <c r="AC282" s="2">
        <f t="shared" si="17"/>
      </c>
      <c r="AD282" s="2">
        <f t="shared" si="18"/>
      </c>
      <c r="AE282" s="2">
        <f t="shared" si="19"/>
      </c>
      <c r="AF282" s="2">
        <f t="shared" si="20"/>
      </c>
      <c r="AG282" s="2">
        <f t="shared" si="21"/>
      </c>
      <c r="AH282" s="2">
        <f t="shared" si="22"/>
      </c>
      <c r="AI282" s="2">
        <f t="shared" si="23"/>
      </c>
      <c r="AJ282" s="2">
        <f t="shared" si="24"/>
        <v>0</v>
      </c>
      <c r="AK282" s="2">
        <f t="shared" si="25"/>
        <v>0</v>
      </c>
      <c r="AL282" s="2">
        <f t="shared" si="26"/>
        <v>0</v>
      </c>
      <c r="AM282" s="2">
        <f t="shared" si="27"/>
        <v>0</v>
      </c>
      <c r="AN282" s="2">
        <f t="shared" si="28"/>
        <v>0</v>
      </c>
      <c r="AO282" s="2">
        <f t="shared" si="29"/>
      </c>
      <c r="AP282" s="2">
        <f t="shared" si="30"/>
      </c>
      <c r="AQ282" s="2">
        <f t="shared" si="31"/>
      </c>
    </row>
    <row r="283">
      <c r="A283" s="43">
        <f t="shared" si="3"/>
      </c>
      <c r="B283" s="44" t="n"/>
      <c r="C283" s="45" t="n"/>
      <c r="D283" s="46" t="n"/>
      <c r="E283" s="47" t="n"/>
      <c r="F283" s="47" t="n"/>
      <c r="G283" s="48">
        <f t="shared" si="4"/>
      </c>
      <c r="H283" s="43">
        <f t="shared" si="0"/>
      </c>
      <c r="I283" s="43">
        <f t="shared" si="5"/>
      </c>
      <c r="J283" s="43">
        <f t="shared" si="1"/>
      </c>
      <c r="K283" s="49">
        <f t="shared" si="2"/>
      </c>
      <c r="L283" s="45" t="n"/>
      <c r="M283" s="45" t="n"/>
      <c r="N283" s="45" t="n"/>
      <c r="O283" s="45" t="n"/>
      <c r="P283" s="50" t="n"/>
      <c r="R283" s="2">
        <f t="shared" si="6"/>
        <v>0</v>
      </c>
      <c r="S283" s="2">
        <f t="shared" si="7"/>
      </c>
      <c r="T283" s="2">
        <f t="shared" si="8"/>
      </c>
      <c r="U283" s="2">
        <f t="shared" si="9"/>
      </c>
      <c r="V283" s="2">
        <f t="shared" si="10"/>
      </c>
      <c r="W283" s="2">
        <f t="shared" si="11"/>
      </c>
      <c r="X283" s="2">
        <f t="shared" si="12"/>
      </c>
      <c r="Y283" s="2">
        <f t="shared" si="13"/>
        <v>0</v>
      </c>
      <c r="Z283" s="2">
        <f t="shared" si="14"/>
      </c>
      <c r="AA283" s="2">
        <f t="shared" si="15"/>
        <v>0</v>
      </c>
      <c r="AB283" s="2">
        <f t="shared" si="16"/>
      </c>
      <c r="AC283" s="2">
        <f t="shared" si="17"/>
      </c>
      <c r="AD283" s="2">
        <f t="shared" si="18"/>
      </c>
      <c r="AE283" s="2">
        <f t="shared" si="19"/>
      </c>
      <c r="AF283" s="2">
        <f t="shared" si="20"/>
      </c>
      <c r="AG283" s="2">
        <f t="shared" si="21"/>
      </c>
      <c r="AH283" s="2">
        <f t="shared" si="22"/>
      </c>
      <c r="AI283" s="2">
        <f t="shared" si="23"/>
      </c>
      <c r="AJ283" s="2">
        <f t="shared" si="24"/>
        <v>0</v>
      </c>
      <c r="AK283" s="2">
        <f t="shared" si="25"/>
        <v>0</v>
      </c>
      <c r="AL283" s="2">
        <f t="shared" si="26"/>
        <v>0</v>
      </c>
      <c r="AM283" s="2">
        <f t="shared" si="27"/>
        <v>0</v>
      </c>
      <c r="AN283" s="2">
        <f t="shared" si="28"/>
        <v>0</v>
      </c>
      <c r="AO283" s="2">
        <f t="shared" si="29"/>
      </c>
      <c r="AP283" s="2">
        <f t="shared" si="30"/>
      </c>
      <c r="AQ283" s="2">
        <f t="shared" si="31"/>
      </c>
    </row>
    <row r="284">
      <c r="A284" s="43">
        <f t="shared" si="3"/>
      </c>
      <c r="B284" s="44" t="n"/>
      <c r="C284" s="45" t="n"/>
      <c r="D284" s="46" t="n"/>
      <c r="E284" s="47" t="n"/>
      <c r="F284" s="47" t="n"/>
      <c r="G284" s="48">
        <f t="shared" si="4"/>
      </c>
      <c r="H284" s="43">
        <f t="shared" si="0"/>
      </c>
      <c r="I284" s="43">
        <f t="shared" si="5"/>
      </c>
      <c r="J284" s="43">
        <f t="shared" si="1"/>
      </c>
      <c r="K284" s="49">
        <f t="shared" si="2"/>
      </c>
      <c r="L284" s="45" t="n"/>
      <c r="M284" s="45" t="n"/>
      <c r="N284" s="45" t="n"/>
      <c r="O284" s="45" t="n"/>
      <c r="P284" s="50" t="n"/>
      <c r="R284" s="2">
        <f t="shared" si="6"/>
        <v>0</v>
      </c>
      <c r="S284" s="2">
        <f t="shared" si="7"/>
      </c>
      <c r="T284" s="2">
        <f t="shared" si="8"/>
      </c>
      <c r="U284" s="2">
        <f t="shared" si="9"/>
      </c>
      <c r="V284" s="2">
        <f t="shared" si="10"/>
      </c>
      <c r="W284" s="2">
        <f t="shared" si="11"/>
      </c>
      <c r="X284" s="2">
        <f t="shared" si="12"/>
      </c>
      <c r="Y284" s="2">
        <f t="shared" si="13"/>
        <v>0</v>
      </c>
      <c r="Z284" s="2">
        <f t="shared" si="14"/>
      </c>
      <c r="AA284" s="2">
        <f t="shared" si="15"/>
        <v>0</v>
      </c>
      <c r="AB284" s="2">
        <f t="shared" si="16"/>
      </c>
      <c r="AC284" s="2">
        <f t="shared" si="17"/>
      </c>
      <c r="AD284" s="2">
        <f t="shared" si="18"/>
      </c>
      <c r="AE284" s="2">
        <f t="shared" si="19"/>
      </c>
      <c r="AF284" s="2">
        <f t="shared" si="20"/>
      </c>
      <c r="AG284" s="2">
        <f t="shared" si="21"/>
      </c>
      <c r="AH284" s="2">
        <f t="shared" si="22"/>
      </c>
      <c r="AI284" s="2">
        <f t="shared" si="23"/>
      </c>
      <c r="AJ284" s="2">
        <f t="shared" si="24"/>
        <v>0</v>
      </c>
      <c r="AK284" s="2">
        <f t="shared" si="25"/>
        <v>0</v>
      </c>
      <c r="AL284" s="2">
        <f t="shared" si="26"/>
        <v>0</v>
      </c>
      <c r="AM284" s="2">
        <f t="shared" si="27"/>
        <v>0</v>
      </c>
      <c r="AN284" s="2">
        <f t="shared" si="28"/>
        <v>0</v>
      </c>
      <c r="AO284" s="2">
        <f t="shared" si="29"/>
      </c>
      <c r="AP284" s="2">
        <f t="shared" si="30"/>
      </c>
      <c r="AQ284" s="2">
        <f t="shared" si="31"/>
      </c>
    </row>
    <row r="285">
      <c r="A285" s="43">
        <f t="shared" si="3"/>
      </c>
      <c r="B285" s="44" t="n"/>
      <c r="C285" s="45" t="n"/>
      <c r="D285" s="46" t="n"/>
      <c r="E285" s="47" t="n"/>
      <c r="F285" s="47" t="n"/>
      <c r="G285" s="48">
        <f t="shared" si="4"/>
      </c>
      <c r="H285" s="43">
        <f t="shared" si="0"/>
      </c>
      <c r="I285" s="43">
        <f t="shared" si="5"/>
      </c>
      <c r="J285" s="43">
        <f t="shared" si="1"/>
      </c>
      <c r="K285" s="49">
        <f t="shared" si="2"/>
      </c>
      <c r="L285" s="45" t="n"/>
      <c r="M285" s="45" t="n"/>
      <c r="N285" s="45" t="n"/>
      <c r="O285" s="45" t="n"/>
      <c r="P285" s="50" t="n"/>
      <c r="R285" s="2">
        <f t="shared" si="6"/>
        <v>0</v>
      </c>
      <c r="S285" s="2">
        <f t="shared" si="7"/>
      </c>
      <c r="T285" s="2">
        <f t="shared" si="8"/>
      </c>
      <c r="U285" s="2">
        <f t="shared" si="9"/>
      </c>
      <c r="V285" s="2">
        <f t="shared" si="10"/>
      </c>
      <c r="W285" s="2">
        <f t="shared" si="11"/>
      </c>
      <c r="X285" s="2">
        <f t="shared" si="12"/>
      </c>
      <c r="Y285" s="2">
        <f t="shared" si="13"/>
        <v>0</v>
      </c>
      <c r="Z285" s="2">
        <f t="shared" si="14"/>
      </c>
      <c r="AA285" s="2">
        <f t="shared" si="15"/>
        <v>0</v>
      </c>
      <c r="AB285" s="2">
        <f t="shared" si="16"/>
      </c>
      <c r="AC285" s="2">
        <f t="shared" si="17"/>
      </c>
      <c r="AD285" s="2">
        <f t="shared" si="18"/>
      </c>
      <c r="AE285" s="2">
        <f t="shared" si="19"/>
      </c>
      <c r="AF285" s="2">
        <f t="shared" si="20"/>
      </c>
      <c r="AG285" s="2">
        <f t="shared" si="21"/>
      </c>
      <c r="AH285" s="2">
        <f t="shared" si="22"/>
      </c>
      <c r="AI285" s="2">
        <f t="shared" si="23"/>
      </c>
      <c r="AJ285" s="2">
        <f t="shared" si="24"/>
        <v>0</v>
      </c>
      <c r="AK285" s="2">
        <f t="shared" si="25"/>
        <v>0</v>
      </c>
      <c r="AL285" s="2">
        <f t="shared" si="26"/>
        <v>0</v>
      </c>
      <c r="AM285" s="2">
        <f t="shared" si="27"/>
        <v>0</v>
      </c>
      <c r="AN285" s="2">
        <f t="shared" si="28"/>
        <v>0</v>
      </c>
      <c r="AO285" s="2">
        <f t="shared" si="29"/>
      </c>
      <c r="AP285" s="2">
        <f t="shared" si="30"/>
      </c>
      <c r="AQ285" s="2">
        <f t="shared" si="31"/>
      </c>
    </row>
    <row r="286">
      <c r="A286" s="43">
        <f t="shared" si="3"/>
      </c>
      <c r="B286" s="44" t="n"/>
      <c r="C286" s="45" t="n"/>
      <c r="D286" s="46" t="n"/>
      <c r="E286" s="47" t="n"/>
      <c r="F286" s="47" t="n"/>
      <c r="G286" s="48">
        <f t="shared" si="4"/>
      </c>
      <c r="H286" s="43">
        <f t="shared" si="0"/>
      </c>
      <c r="I286" s="43">
        <f t="shared" si="5"/>
      </c>
      <c r="J286" s="43">
        <f t="shared" si="1"/>
      </c>
      <c r="K286" s="49">
        <f t="shared" si="2"/>
      </c>
      <c r="L286" s="45" t="n"/>
      <c r="M286" s="45" t="n"/>
      <c r="N286" s="45" t="n"/>
      <c r="O286" s="45" t="n"/>
      <c r="P286" s="50" t="n"/>
      <c r="R286" s="2">
        <f t="shared" si="6"/>
        <v>0</v>
      </c>
      <c r="S286" s="2">
        <f t="shared" si="7"/>
      </c>
      <c r="T286" s="2">
        <f t="shared" si="8"/>
      </c>
      <c r="U286" s="2">
        <f t="shared" si="9"/>
      </c>
      <c r="V286" s="2">
        <f t="shared" si="10"/>
      </c>
      <c r="W286" s="2">
        <f t="shared" si="11"/>
      </c>
      <c r="X286" s="2">
        <f t="shared" si="12"/>
      </c>
      <c r="Y286" s="2">
        <f t="shared" si="13"/>
        <v>0</v>
      </c>
      <c r="Z286" s="2">
        <f t="shared" si="14"/>
      </c>
      <c r="AA286" s="2">
        <f t="shared" si="15"/>
        <v>0</v>
      </c>
      <c r="AB286" s="2">
        <f t="shared" si="16"/>
      </c>
      <c r="AC286" s="2">
        <f t="shared" si="17"/>
      </c>
      <c r="AD286" s="2">
        <f t="shared" si="18"/>
      </c>
      <c r="AE286" s="2">
        <f t="shared" si="19"/>
      </c>
      <c r="AF286" s="2">
        <f t="shared" si="20"/>
      </c>
      <c r="AG286" s="2">
        <f t="shared" si="21"/>
      </c>
      <c r="AH286" s="2">
        <f t="shared" si="22"/>
      </c>
      <c r="AI286" s="2">
        <f t="shared" si="23"/>
      </c>
      <c r="AJ286" s="2">
        <f t="shared" si="24"/>
        <v>0</v>
      </c>
      <c r="AK286" s="2">
        <f t="shared" si="25"/>
        <v>0</v>
      </c>
      <c r="AL286" s="2">
        <f t="shared" si="26"/>
        <v>0</v>
      </c>
      <c r="AM286" s="2">
        <f t="shared" si="27"/>
        <v>0</v>
      </c>
      <c r="AN286" s="2">
        <f t="shared" si="28"/>
        <v>0</v>
      </c>
      <c r="AO286" s="2">
        <f t="shared" si="29"/>
      </c>
      <c r="AP286" s="2">
        <f t="shared" si="30"/>
      </c>
      <c r="AQ286" s="2">
        <f t="shared" si="31"/>
      </c>
    </row>
    <row r="287">
      <c r="A287" s="43">
        <f t="shared" si="3"/>
      </c>
      <c r="B287" s="44" t="n"/>
      <c r="C287" s="45" t="n"/>
      <c r="D287" s="46" t="n"/>
      <c r="E287" s="47" t="n"/>
      <c r="F287" s="47" t="n"/>
      <c r="G287" s="48">
        <f t="shared" si="4"/>
      </c>
      <c r="H287" s="43">
        <f t="shared" si="0"/>
      </c>
      <c r="I287" s="43">
        <f t="shared" si="5"/>
      </c>
      <c r="J287" s="43">
        <f t="shared" si="1"/>
      </c>
      <c r="K287" s="49">
        <f t="shared" si="2"/>
      </c>
      <c r="L287" s="45" t="n"/>
      <c r="M287" s="45" t="n"/>
      <c r="N287" s="45" t="n"/>
      <c r="O287" s="45" t="n"/>
      <c r="P287" s="50" t="n"/>
      <c r="R287" s="2">
        <f t="shared" si="6"/>
        <v>0</v>
      </c>
      <c r="S287" s="2">
        <f t="shared" si="7"/>
      </c>
      <c r="T287" s="2">
        <f t="shared" si="8"/>
      </c>
      <c r="U287" s="2">
        <f t="shared" si="9"/>
      </c>
      <c r="V287" s="2">
        <f t="shared" si="10"/>
      </c>
      <c r="W287" s="2">
        <f t="shared" si="11"/>
      </c>
      <c r="X287" s="2">
        <f t="shared" si="12"/>
      </c>
      <c r="Y287" s="2">
        <f t="shared" si="13"/>
        <v>0</v>
      </c>
      <c r="Z287" s="2">
        <f t="shared" si="14"/>
      </c>
      <c r="AA287" s="2">
        <f t="shared" si="15"/>
        <v>0</v>
      </c>
      <c r="AB287" s="2">
        <f t="shared" si="16"/>
      </c>
      <c r="AC287" s="2">
        <f t="shared" si="17"/>
      </c>
      <c r="AD287" s="2">
        <f t="shared" si="18"/>
      </c>
      <c r="AE287" s="2">
        <f t="shared" si="19"/>
      </c>
      <c r="AF287" s="2">
        <f t="shared" si="20"/>
      </c>
      <c r="AG287" s="2">
        <f t="shared" si="21"/>
      </c>
      <c r="AH287" s="2">
        <f t="shared" si="22"/>
      </c>
      <c r="AI287" s="2">
        <f t="shared" si="23"/>
      </c>
      <c r="AJ287" s="2">
        <f t="shared" si="24"/>
        <v>0</v>
      </c>
      <c r="AK287" s="2">
        <f t="shared" si="25"/>
        <v>0</v>
      </c>
      <c r="AL287" s="2">
        <f t="shared" si="26"/>
        <v>0</v>
      </c>
      <c r="AM287" s="2">
        <f t="shared" si="27"/>
        <v>0</v>
      </c>
      <c r="AN287" s="2">
        <f t="shared" si="28"/>
        <v>0</v>
      </c>
      <c r="AO287" s="2">
        <f t="shared" si="29"/>
      </c>
      <c r="AP287" s="2">
        <f t="shared" si="30"/>
      </c>
      <c r="AQ287" s="2">
        <f t="shared" si="31"/>
      </c>
    </row>
    <row r="288">
      <c r="A288" s="43">
        <f t="shared" si="3"/>
      </c>
      <c r="B288" s="44" t="n"/>
      <c r="C288" s="45" t="n"/>
      <c r="D288" s="46" t="n"/>
      <c r="E288" s="47" t="n"/>
      <c r="F288" s="47" t="n"/>
      <c r="G288" s="48">
        <f t="shared" si="4"/>
      </c>
      <c r="H288" s="43">
        <f t="shared" si="0"/>
      </c>
      <c r="I288" s="43">
        <f t="shared" si="5"/>
      </c>
      <c r="J288" s="43">
        <f t="shared" si="1"/>
      </c>
      <c r="K288" s="49">
        <f t="shared" si="2"/>
      </c>
      <c r="L288" s="45" t="n"/>
      <c r="M288" s="45" t="n"/>
      <c r="N288" s="45" t="n"/>
      <c r="O288" s="45" t="n"/>
      <c r="P288" s="50" t="n"/>
      <c r="R288" s="2">
        <f t="shared" si="6"/>
        <v>0</v>
      </c>
      <c r="S288" s="2">
        <f t="shared" si="7"/>
      </c>
      <c r="T288" s="2">
        <f t="shared" si="8"/>
      </c>
      <c r="U288" s="2">
        <f t="shared" si="9"/>
      </c>
      <c r="V288" s="2">
        <f t="shared" si="10"/>
      </c>
      <c r="W288" s="2">
        <f t="shared" si="11"/>
      </c>
      <c r="X288" s="2">
        <f t="shared" si="12"/>
      </c>
      <c r="Y288" s="2">
        <f t="shared" si="13"/>
        <v>0</v>
      </c>
      <c r="Z288" s="2">
        <f t="shared" si="14"/>
      </c>
      <c r="AA288" s="2">
        <f t="shared" si="15"/>
        <v>0</v>
      </c>
      <c r="AB288" s="2">
        <f t="shared" si="16"/>
      </c>
      <c r="AC288" s="2">
        <f t="shared" si="17"/>
      </c>
      <c r="AD288" s="2">
        <f t="shared" si="18"/>
      </c>
      <c r="AE288" s="2">
        <f t="shared" si="19"/>
      </c>
      <c r="AF288" s="2">
        <f t="shared" si="20"/>
      </c>
      <c r="AG288" s="2">
        <f t="shared" si="21"/>
      </c>
      <c r="AH288" s="2">
        <f t="shared" si="22"/>
      </c>
      <c r="AI288" s="2">
        <f t="shared" si="23"/>
      </c>
      <c r="AJ288" s="2">
        <f t="shared" si="24"/>
        <v>0</v>
      </c>
      <c r="AK288" s="2">
        <f t="shared" si="25"/>
        <v>0</v>
      </c>
      <c r="AL288" s="2">
        <f t="shared" si="26"/>
        <v>0</v>
      </c>
      <c r="AM288" s="2">
        <f t="shared" si="27"/>
        <v>0</v>
      </c>
      <c r="AN288" s="2">
        <f t="shared" si="28"/>
        <v>0</v>
      </c>
      <c r="AO288" s="2">
        <f t="shared" si="29"/>
      </c>
      <c r="AP288" s="2">
        <f t="shared" si="30"/>
      </c>
      <c r="AQ288" s="2">
        <f t="shared" si="31"/>
      </c>
    </row>
    <row r="289">
      <c r="A289" s="43">
        <f t="shared" si="3"/>
      </c>
      <c r="B289" s="44" t="n"/>
      <c r="C289" s="45" t="n"/>
      <c r="D289" s="46" t="n"/>
      <c r="E289" s="47" t="n"/>
      <c r="F289" s="47" t="n"/>
      <c r="G289" s="48">
        <f t="shared" si="4"/>
      </c>
      <c r="H289" s="43">
        <f t="shared" si="0"/>
      </c>
      <c r="I289" s="43">
        <f t="shared" si="5"/>
      </c>
      <c r="J289" s="43">
        <f t="shared" si="1"/>
      </c>
      <c r="K289" s="49">
        <f t="shared" si="2"/>
      </c>
      <c r="L289" s="45" t="n"/>
      <c r="M289" s="45" t="n"/>
      <c r="N289" s="45" t="n"/>
      <c r="O289" s="45" t="n"/>
      <c r="P289" s="50" t="n"/>
      <c r="R289" s="2">
        <f t="shared" si="6"/>
        <v>0</v>
      </c>
      <c r="S289" s="2">
        <f t="shared" si="7"/>
      </c>
      <c r="T289" s="2">
        <f t="shared" si="8"/>
      </c>
      <c r="U289" s="2">
        <f t="shared" si="9"/>
      </c>
      <c r="V289" s="2">
        <f t="shared" si="10"/>
      </c>
      <c r="W289" s="2">
        <f t="shared" si="11"/>
      </c>
      <c r="X289" s="2">
        <f t="shared" si="12"/>
      </c>
      <c r="Y289" s="2">
        <f t="shared" si="13"/>
        <v>0</v>
      </c>
      <c r="Z289" s="2">
        <f t="shared" si="14"/>
      </c>
      <c r="AA289" s="2">
        <f t="shared" si="15"/>
        <v>0</v>
      </c>
      <c r="AB289" s="2">
        <f t="shared" si="16"/>
      </c>
      <c r="AC289" s="2">
        <f t="shared" si="17"/>
      </c>
      <c r="AD289" s="2">
        <f t="shared" si="18"/>
      </c>
      <c r="AE289" s="2">
        <f t="shared" si="19"/>
      </c>
      <c r="AF289" s="2">
        <f t="shared" si="20"/>
      </c>
      <c r="AG289" s="2">
        <f t="shared" si="21"/>
      </c>
      <c r="AH289" s="2">
        <f t="shared" si="22"/>
      </c>
      <c r="AI289" s="2">
        <f t="shared" si="23"/>
      </c>
      <c r="AJ289" s="2">
        <f t="shared" si="24"/>
        <v>0</v>
      </c>
      <c r="AK289" s="2">
        <f t="shared" si="25"/>
        <v>0</v>
      </c>
      <c r="AL289" s="2">
        <f t="shared" si="26"/>
        <v>0</v>
      </c>
      <c r="AM289" s="2">
        <f t="shared" si="27"/>
        <v>0</v>
      </c>
      <c r="AN289" s="2">
        <f t="shared" si="28"/>
        <v>0</v>
      </c>
      <c r="AO289" s="2">
        <f t="shared" si="29"/>
      </c>
      <c r="AP289" s="2">
        <f t="shared" si="30"/>
      </c>
      <c r="AQ289" s="2">
        <f t="shared" si="31"/>
      </c>
    </row>
    <row r="290">
      <c r="A290" s="43">
        <f t="shared" si="3"/>
      </c>
      <c r="B290" s="44" t="n"/>
      <c r="C290" s="45" t="n"/>
      <c r="D290" s="46" t="n"/>
      <c r="E290" s="47" t="n"/>
      <c r="F290" s="47" t="n"/>
      <c r="G290" s="48">
        <f t="shared" si="4"/>
      </c>
      <c r="H290" s="43">
        <f t="shared" si="0"/>
      </c>
      <c r="I290" s="43">
        <f t="shared" si="5"/>
      </c>
      <c r="J290" s="43">
        <f t="shared" si="1"/>
      </c>
      <c r="K290" s="49">
        <f t="shared" si="2"/>
      </c>
      <c r="L290" s="45" t="n"/>
      <c r="M290" s="45" t="n"/>
      <c r="N290" s="45" t="n"/>
      <c r="O290" s="45" t="n"/>
      <c r="P290" s="50" t="n"/>
      <c r="R290" s="2">
        <f t="shared" si="6"/>
        <v>0</v>
      </c>
      <c r="S290" s="2">
        <f t="shared" si="7"/>
      </c>
      <c r="T290" s="2">
        <f t="shared" si="8"/>
      </c>
      <c r="U290" s="2">
        <f t="shared" si="9"/>
      </c>
      <c r="V290" s="2">
        <f t="shared" si="10"/>
      </c>
      <c r="W290" s="2">
        <f t="shared" si="11"/>
      </c>
      <c r="X290" s="2">
        <f t="shared" si="12"/>
      </c>
      <c r="Y290" s="2">
        <f t="shared" si="13"/>
        <v>0</v>
      </c>
      <c r="Z290" s="2">
        <f t="shared" si="14"/>
      </c>
      <c r="AA290" s="2">
        <f t="shared" si="15"/>
        <v>0</v>
      </c>
      <c r="AB290" s="2">
        <f t="shared" si="16"/>
      </c>
      <c r="AC290" s="2">
        <f t="shared" si="17"/>
      </c>
      <c r="AD290" s="2">
        <f t="shared" si="18"/>
      </c>
      <c r="AE290" s="2">
        <f t="shared" si="19"/>
      </c>
      <c r="AF290" s="2">
        <f t="shared" si="20"/>
      </c>
      <c r="AG290" s="2">
        <f t="shared" si="21"/>
      </c>
      <c r="AH290" s="2">
        <f t="shared" si="22"/>
      </c>
      <c r="AI290" s="2">
        <f t="shared" si="23"/>
      </c>
      <c r="AJ290" s="2">
        <f t="shared" si="24"/>
        <v>0</v>
      </c>
      <c r="AK290" s="2">
        <f t="shared" si="25"/>
        <v>0</v>
      </c>
      <c r="AL290" s="2">
        <f t="shared" si="26"/>
        <v>0</v>
      </c>
      <c r="AM290" s="2">
        <f t="shared" si="27"/>
        <v>0</v>
      </c>
      <c r="AN290" s="2">
        <f t="shared" si="28"/>
        <v>0</v>
      </c>
      <c r="AO290" s="2">
        <f t="shared" si="29"/>
      </c>
      <c r="AP290" s="2">
        <f t="shared" si="30"/>
      </c>
      <c r="AQ290" s="2">
        <f t="shared" si="31"/>
      </c>
    </row>
    <row r="291">
      <c r="A291" s="43">
        <f t="shared" si="3"/>
      </c>
      <c r="B291" s="44" t="n"/>
      <c r="C291" s="45" t="n"/>
      <c r="D291" s="46" t="n"/>
      <c r="E291" s="47" t="n"/>
      <c r="F291" s="47" t="n"/>
      <c r="G291" s="48">
        <f t="shared" si="4"/>
      </c>
      <c r="H291" s="43">
        <f t="shared" si="0"/>
      </c>
      <c r="I291" s="43">
        <f t="shared" si="5"/>
      </c>
      <c r="J291" s="43">
        <f t="shared" si="1"/>
      </c>
      <c r="K291" s="49">
        <f t="shared" si="2"/>
      </c>
      <c r="L291" s="45" t="n"/>
      <c r="M291" s="45" t="n"/>
      <c r="N291" s="45" t="n"/>
      <c r="O291" s="45" t="n"/>
      <c r="P291" s="50" t="n"/>
      <c r="R291" s="2">
        <f t="shared" si="6"/>
        <v>0</v>
      </c>
      <c r="S291" s="2">
        <f t="shared" si="7"/>
      </c>
      <c r="T291" s="2">
        <f t="shared" si="8"/>
      </c>
      <c r="U291" s="2">
        <f t="shared" si="9"/>
      </c>
      <c r="V291" s="2">
        <f t="shared" si="10"/>
      </c>
      <c r="W291" s="2">
        <f t="shared" si="11"/>
      </c>
      <c r="X291" s="2">
        <f t="shared" si="12"/>
      </c>
      <c r="Y291" s="2">
        <f t="shared" si="13"/>
        <v>0</v>
      </c>
      <c r="Z291" s="2">
        <f t="shared" si="14"/>
      </c>
      <c r="AA291" s="2">
        <f t="shared" si="15"/>
        <v>0</v>
      </c>
      <c r="AB291" s="2">
        <f t="shared" si="16"/>
      </c>
      <c r="AC291" s="2">
        <f t="shared" si="17"/>
      </c>
      <c r="AD291" s="2">
        <f t="shared" si="18"/>
      </c>
      <c r="AE291" s="2">
        <f t="shared" si="19"/>
      </c>
      <c r="AF291" s="2">
        <f t="shared" si="20"/>
      </c>
      <c r="AG291" s="2">
        <f t="shared" si="21"/>
      </c>
      <c r="AH291" s="2">
        <f t="shared" si="22"/>
      </c>
      <c r="AI291" s="2">
        <f t="shared" si="23"/>
      </c>
      <c r="AJ291" s="2">
        <f t="shared" si="24"/>
        <v>0</v>
      </c>
      <c r="AK291" s="2">
        <f t="shared" si="25"/>
        <v>0</v>
      </c>
      <c r="AL291" s="2">
        <f t="shared" si="26"/>
        <v>0</v>
      </c>
      <c r="AM291" s="2">
        <f t="shared" si="27"/>
        <v>0</v>
      </c>
      <c r="AN291" s="2">
        <f t="shared" si="28"/>
        <v>0</v>
      </c>
      <c r="AO291" s="2">
        <f t="shared" si="29"/>
      </c>
      <c r="AP291" s="2">
        <f t="shared" si="30"/>
      </c>
      <c r="AQ291" s="2">
        <f t="shared" si="31"/>
      </c>
    </row>
    <row r="292">
      <c r="A292" s="43">
        <f t="shared" si="3"/>
      </c>
      <c r="B292" s="44" t="n"/>
      <c r="C292" s="45" t="n"/>
      <c r="D292" s="46" t="n"/>
      <c r="E292" s="47" t="n"/>
      <c r="F292" s="47" t="n"/>
      <c r="G292" s="48">
        <f t="shared" si="4"/>
      </c>
      <c r="H292" s="43">
        <f t="shared" si="0"/>
      </c>
      <c r="I292" s="43">
        <f t="shared" si="5"/>
      </c>
      <c r="J292" s="43">
        <f t="shared" si="1"/>
      </c>
      <c r="K292" s="49">
        <f t="shared" si="2"/>
      </c>
      <c r="L292" s="45" t="n"/>
      <c r="M292" s="45" t="n"/>
      <c r="N292" s="45" t="n"/>
      <c r="O292" s="45" t="n"/>
      <c r="P292" s="50" t="n"/>
      <c r="R292" s="2">
        <f t="shared" si="6"/>
        <v>0</v>
      </c>
      <c r="S292" s="2">
        <f t="shared" si="7"/>
      </c>
      <c r="T292" s="2">
        <f t="shared" si="8"/>
      </c>
      <c r="U292" s="2">
        <f t="shared" si="9"/>
      </c>
      <c r="V292" s="2">
        <f t="shared" si="10"/>
      </c>
      <c r="W292" s="2">
        <f t="shared" si="11"/>
      </c>
      <c r="X292" s="2">
        <f t="shared" si="12"/>
      </c>
      <c r="Y292" s="2">
        <f t="shared" si="13"/>
        <v>0</v>
      </c>
      <c r="Z292" s="2">
        <f t="shared" si="14"/>
      </c>
      <c r="AA292" s="2">
        <f t="shared" si="15"/>
        <v>0</v>
      </c>
      <c r="AB292" s="2">
        <f t="shared" si="16"/>
      </c>
      <c r="AC292" s="2">
        <f t="shared" si="17"/>
      </c>
      <c r="AD292" s="2">
        <f t="shared" si="18"/>
      </c>
      <c r="AE292" s="2">
        <f t="shared" si="19"/>
      </c>
      <c r="AF292" s="2">
        <f t="shared" si="20"/>
      </c>
      <c r="AG292" s="2">
        <f t="shared" si="21"/>
      </c>
      <c r="AH292" s="2">
        <f t="shared" si="22"/>
      </c>
      <c r="AI292" s="2">
        <f t="shared" si="23"/>
      </c>
      <c r="AJ292" s="2">
        <f t="shared" si="24"/>
        <v>0</v>
      </c>
      <c r="AK292" s="2">
        <f t="shared" si="25"/>
        <v>0</v>
      </c>
      <c r="AL292" s="2">
        <f t="shared" si="26"/>
        <v>0</v>
      </c>
      <c r="AM292" s="2">
        <f t="shared" si="27"/>
        <v>0</v>
      </c>
      <c r="AN292" s="2">
        <f t="shared" si="28"/>
        <v>0</v>
      </c>
      <c r="AO292" s="2">
        <f t="shared" si="29"/>
      </c>
      <c r="AP292" s="2">
        <f t="shared" si="30"/>
      </c>
      <c r="AQ292" s="2">
        <f t="shared" si="31"/>
      </c>
    </row>
    <row r="293">
      <c r="A293" s="43">
        <f t="shared" si="3"/>
      </c>
      <c r="B293" s="44" t="n"/>
      <c r="C293" s="45" t="n"/>
      <c r="D293" s="46" t="n"/>
      <c r="E293" s="47" t="n"/>
      <c r="F293" s="47" t="n"/>
      <c r="G293" s="48">
        <f t="shared" si="4"/>
      </c>
      <c r="H293" s="43">
        <f t="shared" si="0"/>
      </c>
      <c r="I293" s="43">
        <f t="shared" si="5"/>
      </c>
      <c r="J293" s="43">
        <f t="shared" si="1"/>
      </c>
      <c r="K293" s="49">
        <f t="shared" si="2"/>
      </c>
      <c r="L293" s="45" t="n"/>
      <c r="M293" s="45" t="n"/>
      <c r="N293" s="45" t="n"/>
      <c r="O293" s="45" t="n"/>
      <c r="P293" s="50" t="n"/>
      <c r="R293" s="2">
        <f t="shared" si="6"/>
        <v>0</v>
      </c>
      <c r="S293" s="2">
        <f t="shared" si="7"/>
      </c>
      <c r="T293" s="2">
        <f t="shared" si="8"/>
      </c>
      <c r="U293" s="2">
        <f t="shared" si="9"/>
      </c>
      <c r="V293" s="2">
        <f t="shared" si="10"/>
      </c>
      <c r="W293" s="2">
        <f t="shared" si="11"/>
      </c>
      <c r="X293" s="2">
        <f t="shared" si="12"/>
      </c>
      <c r="Y293" s="2">
        <f t="shared" si="13"/>
        <v>0</v>
      </c>
      <c r="Z293" s="2">
        <f t="shared" si="14"/>
      </c>
      <c r="AA293" s="2">
        <f t="shared" si="15"/>
        <v>0</v>
      </c>
      <c r="AB293" s="2">
        <f t="shared" si="16"/>
      </c>
      <c r="AC293" s="2">
        <f t="shared" si="17"/>
      </c>
      <c r="AD293" s="2">
        <f t="shared" si="18"/>
      </c>
      <c r="AE293" s="2">
        <f t="shared" si="19"/>
      </c>
      <c r="AF293" s="2">
        <f t="shared" si="20"/>
      </c>
      <c r="AG293" s="2">
        <f t="shared" si="21"/>
      </c>
      <c r="AH293" s="2">
        <f t="shared" si="22"/>
      </c>
      <c r="AI293" s="2">
        <f t="shared" si="23"/>
      </c>
      <c r="AJ293" s="2">
        <f t="shared" si="24"/>
        <v>0</v>
      </c>
      <c r="AK293" s="2">
        <f t="shared" si="25"/>
        <v>0</v>
      </c>
      <c r="AL293" s="2">
        <f t="shared" si="26"/>
        <v>0</v>
      </c>
      <c r="AM293" s="2">
        <f t="shared" si="27"/>
        <v>0</v>
      </c>
      <c r="AN293" s="2">
        <f t="shared" si="28"/>
        <v>0</v>
      </c>
      <c r="AO293" s="2">
        <f t="shared" si="29"/>
      </c>
      <c r="AP293" s="2">
        <f t="shared" si="30"/>
      </c>
      <c r="AQ293" s="2">
        <f t="shared" si="31"/>
      </c>
    </row>
    <row r="294">
      <c r="A294" s="43">
        <f t="shared" si="3"/>
      </c>
      <c r="B294" s="44" t="n"/>
      <c r="C294" s="45" t="n"/>
      <c r="D294" s="46" t="n"/>
      <c r="E294" s="47" t="n"/>
      <c r="F294" s="47" t="n"/>
      <c r="G294" s="48">
        <f t="shared" si="4"/>
      </c>
      <c r="H294" s="43">
        <f t="shared" si="0"/>
      </c>
      <c r="I294" s="43">
        <f t="shared" si="5"/>
      </c>
      <c r="J294" s="43">
        <f t="shared" si="1"/>
      </c>
      <c r="K294" s="49">
        <f t="shared" si="2"/>
      </c>
      <c r="L294" s="45" t="n"/>
      <c r="M294" s="45" t="n"/>
      <c r="N294" s="45" t="n"/>
      <c r="O294" s="45" t="n"/>
      <c r="P294" s="50" t="n"/>
      <c r="R294" s="2">
        <f t="shared" si="6"/>
        <v>0</v>
      </c>
      <c r="S294" s="2">
        <f t="shared" si="7"/>
      </c>
      <c r="T294" s="2">
        <f t="shared" si="8"/>
      </c>
      <c r="U294" s="2">
        <f t="shared" si="9"/>
      </c>
      <c r="V294" s="2">
        <f t="shared" si="10"/>
      </c>
      <c r="W294" s="2">
        <f t="shared" si="11"/>
      </c>
      <c r="X294" s="2">
        <f t="shared" si="12"/>
      </c>
      <c r="Y294" s="2">
        <f t="shared" si="13"/>
        <v>0</v>
      </c>
      <c r="Z294" s="2">
        <f t="shared" si="14"/>
      </c>
      <c r="AA294" s="2">
        <f t="shared" si="15"/>
        <v>0</v>
      </c>
      <c r="AB294" s="2">
        <f t="shared" si="16"/>
      </c>
      <c r="AC294" s="2">
        <f t="shared" si="17"/>
      </c>
      <c r="AD294" s="2">
        <f t="shared" si="18"/>
      </c>
      <c r="AE294" s="2">
        <f t="shared" si="19"/>
      </c>
      <c r="AF294" s="2">
        <f t="shared" si="20"/>
      </c>
      <c r="AG294" s="2">
        <f t="shared" si="21"/>
      </c>
      <c r="AH294" s="2">
        <f t="shared" si="22"/>
      </c>
      <c r="AI294" s="2">
        <f t="shared" si="23"/>
      </c>
      <c r="AJ294" s="2">
        <f t="shared" si="24"/>
        <v>0</v>
      </c>
      <c r="AK294" s="2">
        <f t="shared" si="25"/>
        <v>0</v>
      </c>
      <c r="AL294" s="2">
        <f t="shared" si="26"/>
        <v>0</v>
      </c>
      <c r="AM294" s="2">
        <f t="shared" si="27"/>
        <v>0</v>
      </c>
      <c r="AN294" s="2">
        <f t="shared" si="28"/>
        <v>0</v>
      </c>
      <c r="AO294" s="2">
        <f t="shared" si="29"/>
      </c>
      <c r="AP294" s="2">
        <f t="shared" si="30"/>
      </c>
      <c r="AQ294" s="2">
        <f t="shared" si="31"/>
      </c>
    </row>
    <row r="295">
      <c r="A295" s="43">
        <f t="shared" si="3"/>
      </c>
      <c r="B295" s="44" t="n"/>
      <c r="C295" s="45" t="n"/>
      <c r="D295" s="46" t="n"/>
      <c r="E295" s="47" t="n"/>
      <c r="F295" s="47" t="n"/>
      <c r="G295" s="48">
        <f t="shared" si="4"/>
      </c>
      <c r="H295" s="43">
        <f t="shared" si="0"/>
      </c>
      <c r="I295" s="43">
        <f t="shared" si="5"/>
      </c>
      <c r="J295" s="43">
        <f t="shared" si="1"/>
      </c>
      <c r="K295" s="49">
        <f t="shared" si="2"/>
      </c>
      <c r="L295" s="45" t="n"/>
      <c r="M295" s="45" t="n"/>
      <c r="N295" s="45" t="n"/>
      <c r="O295" s="45" t="n"/>
      <c r="P295" s="50" t="n"/>
      <c r="R295" s="2">
        <f t="shared" si="6"/>
        <v>0</v>
      </c>
      <c r="S295" s="2">
        <f t="shared" si="7"/>
      </c>
      <c r="T295" s="2">
        <f t="shared" si="8"/>
      </c>
      <c r="U295" s="2">
        <f t="shared" si="9"/>
      </c>
      <c r="V295" s="2">
        <f t="shared" si="10"/>
      </c>
      <c r="W295" s="2">
        <f t="shared" si="11"/>
      </c>
      <c r="X295" s="2">
        <f t="shared" si="12"/>
      </c>
      <c r="Y295" s="2">
        <f t="shared" si="13"/>
        <v>0</v>
      </c>
      <c r="Z295" s="2">
        <f t="shared" si="14"/>
      </c>
      <c r="AA295" s="2">
        <f t="shared" si="15"/>
        <v>0</v>
      </c>
      <c r="AB295" s="2">
        <f t="shared" si="16"/>
      </c>
      <c r="AC295" s="2">
        <f t="shared" si="17"/>
      </c>
      <c r="AD295" s="2">
        <f t="shared" si="18"/>
      </c>
      <c r="AE295" s="2">
        <f t="shared" si="19"/>
      </c>
      <c r="AF295" s="2">
        <f t="shared" si="20"/>
      </c>
      <c r="AG295" s="2">
        <f t="shared" si="21"/>
      </c>
      <c r="AH295" s="2">
        <f t="shared" si="22"/>
      </c>
      <c r="AI295" s="2">
        <f t="shared" si="23"/>
      </c>
      <c r="AJ295" s="2">
        <f t="shared" si="24"/>
        <v>0</v>
      </c>
      <c r="AK295" s="2">
        <f t="shared" si="25"/>
        <v>0</v>
      </c>
      <c r="AL295" s="2">
        <f t="shared" si="26"/>
        <v>0</v>
      </c>
      <c r="AM295" s="2">
        <f t="shared" si="27"/>
        <v>0</v>
      </c>
      <c r="AN295" s="2">
        <f t="shared" si="28"/>
        <v>0</v>
      </c>
      <c r="AO295" s="2">
        <f t="shared" si="29"/>
      </c>
      <c r="AP295" s="2">
        <f t="shared" si="30"/>
      </c>
      <c r="AQ295" s="2">
        <f t="shared" si="31"/>
      </c>
    </row>
    <row r="296">
      <c r="A296" s="43">
        <f t="shared" si="3"/>
      </c>
      <c r="B296" s="44" t="n"/>
      <c r="C296" s="45" t="n"/>
      <c r="D296" s="46" t="n"/>
      <c r="E296" s="47" t="n"/>
      <c r="F296" s="47" t="n"/>
      <c r="G296" s="48">
        <f t="shared" si="4"/>
      </c>
      <c r="H296" s="43">
        <f t="shared" si="0"/>
      </c>
      <c r="I296" s="43">
        <f t="shared" si="5"/>
      </c>
      <c r="J296" s="43">
        <f t="shared" si="1"/>
      </c>
      <c r="K296" s="49">
        <f t="shared" si="2"/>
      </c>
      <c r="L296" s="45" t="n"/>
      <c r="M296" s="45" t="n"/>
      <c r="N296" s="45" t="n"/>
      <c r="O296" s="45" t="n"/>
      <c r="P296" s="50" t="n"/>
      <c r="R296" s="2">
        <f t="shared" si="6"/>
        <v>0</v>
      </c>
      <c r="S296" s="2">
        <f t="shared" si="7"/>
      </c>
      <c r="T296" s="2">
        <f t="shared" si="8"/>
      </c>
      <c r="U296" s="2">
        <f t="shared" si="9"/>
      </c>
      <c r="V296" s="2">
        <f t="shared" si="10"/>
      </c>
      <c r="W296" s="2">
        <f t="shared" si="11"/>
      </c>
      <c r="X296" s="2">
        <f t="shared" si="12"/>
      </c>
      <c r="Y296" s="2">
        <f t="shared" si="13"/>
        <v>0</v>
      </c>
      <c r="Z296" s="2">
        <f t="shared" si="14"/>
      </c>
      <c r="AA296" s="2">
        <f t="shared" si="15"/>
        <v>0</v>
      </c>
      <c r="AB296" s="2">
        <f t="shared" si="16"/>
      </c>
      <c r="AC296" s="2">
        <f t="shared" si="17"/>
      </c>
      <c r="AD296" s="2">
        <f t="shared" si="18"/>
      </c>
      <c r="AE296" s="2">
        <f t="shared" si="19"/>
      </c>
      <c r="AF296" s="2">
        <f t="shared" si="20"/>
      </c>
      <c r="AG296" s="2">
        <f t="shared" si="21"/>
      </c>
      <c r="AH296" s="2">
        <f t="shared" si="22"/>
      </c>
      <c r="AI296" s="2">
        <f t="shared" si="23"/>
      </c>
      <c r="AJ296" s="2">
        <f t="shared" si="24"/>
        <v>0</v>
      </c>
      <c r="AK296" s="2">
        <f t="shared" si="25"/>
        <v>0</v>
      </c>
      <c r="AL296" s="2">
        <f t="shared" si="26"/>
        <v>0</v>
      </c>
      <c r="AM296" s="2">
        <f t="shared" si="27"/>
        <v>0</v>
      </c>
      <c r="AN296" s="2">
        <f t="shared" si="28"/>
        <v>0</v>
      </c>
      <c r="AO296" s="2">
        <f t="shared" si="29"/>
      </c>
      <c r="AP296" s="2">
        <f t="shared" si="30"/>
      </c>
      <c r="AQ296" s="2">
        <f t="shared" si="31"/>
      </c>
    </row>
    <row r="297">
      <c r="A297" s="43">
        <f t="shared" si="3"/>
      </c>
      <c r="B297" s="44" t="n"/>
      <c r="C297" s="45" t="n"/>
      <c r="D297" s="46" t="n"/>
      <c r="E297" s="47" t="n"/>
      <c r="F297" s="47" t="n"/>
      <c r="G297" s="48">
        <f t="shared" si="4"/>
      </c>
      <c r="H297" s="43">
        <f t="shared" si="0"/>
      </c>
      <c r="I297" s="43">
        <f t="shared" si="5"/>
      </c>
      <c r="J297" s="43">
        <f t="shared" si="1"/>
      </c>
      <c r="K297" s="49">
        <f t="shared" si="2"/>
      </c>
      <c r="L297" s="45" t="n"/>
      <c r="M297" s="45" t="n"/>
      <c r="N297" s="45" t="n"/>
      <c r="O297" s="45" t="n"/>
      <c r="P297" s="50" t="n"/>
      <c r="R297" s="2">
        <f t="shared" si="6"/>
        <v>0</v>
      </c>
      <c r="S297" s="2">
        <f t="shared" si="7"/>
      </c>
      <c r="T297" s="2">
        <f t="shared" si="8"/>
      </c>
      <c r="U297" s="2">
        <f t="shared" si="9"/>
      </c>
      <c r="V297" s="2">
        <f t="shared" si="10"/>
      </c>
      <c r="W297" s="2">
        <f t="shared" si="11"/>
      </c>
      <c r="X297" s="2">
        <f t="shared" si="12"/>
      </c>
      <c r="Y297" s="2">
        <f t="shared" si="13"/>
        <v>0</v>
      </c>
      <c r="Z297" s="2">
        <f t="shared" si="14"/>
      </c>
      <c r="AA297" s="2">
        <f t="shared" si="15"/>
        <v>0</v>
      </c>
      <c r="AB297" s="2">
        <f t="shared" si="16"/>
      </c>
      <c r="AC297" s="2">
        <f t="shared" si="17"/>
      </c>
      <c r="AD297" s="2">
        <f t="shared" si="18"/>
      </c>
      <c r="AE297" s="2">
        <f t="shared" si="19"/>
      </c>
      <c r="AF297" s="2">
        <f t="shared" si="20"/>
      </c>
      <c r="AG297" s="2">
        <f t="shared" si="21"/>
      </c>
      <c r="AH297" s="2">
        <f t="shared" si="22"/>
      </c>
      <c r="AI297" s="2">
        <f t="shared" si="23"/>
      </c>
      <c r="AJ297" s="2">
        <f t="shared" si="24"/>
        <v>0</v>
      </c>
      <c r="AK297" s="2">
        <f t="shared" si="25"/>
        <v>0</v>
      </c>
      <c r="AL297" s="2">
        <f t="shared" si="26"/>
        <v>0</v>
      </c>
      <c r="AM297" s="2">
        <f t="shared" si="27"/>
        <v>0</v>
      </c>
      <c r="AN297" s="2">
        <f t="shared" si="28"/>
        <v>0</v>
      </c>
      <c r="AO297" s="2">
        <f t="shared" si="29"/>
      </c>
      <c r="AP297" s="2">
        <f t="shared" si="30"/>
      </c>
      <c r="AQ297" s="2">
        <f t="shared" si="31"/>
      </c>
    </row>
    <row r="298">
      <c r="A298" s="43">
        <f t="shared" si="3"/>
      </c>
      <c r="B298" s="44" t="n"/>
      <c r="C298" s="45" t="n"/>
      <c r="D298" s="46" t="n"/>
      <c r="E298" s="47" t="n"/>
      <c r="F298" s="47" t="n"/>
      <c r="G298" s="48">
        <f t="shared" si="4"/>
      </c>
      <c r="H298" s="43">
        <f t="shared" si="0"/>
      </c>
      <c r="I298" s="43">
        <f t="shared" si="5"/>
      </c>
      <c r="J298" s="43">
        <f t="shared" si="1"/>
      </c>
      <c r="K298" s="49">
        <f t="shared" si="2"/>
      </c>
      <c r="L298" s="45" t="n"/>
      <c r="M298" s="45" t="n"/>
      <c r="N298" s="45" t="n"/>
      <c r="O298" s="45" t="n"/>
      <c r="P298" s="50" t="n"/>
      <c r="R298" s="2">
        <f t="shared" si="6"/>
        <v>0</v>
      </c>
      <c r="S298" s="2">
        <f t="shared" si="7"/>
      </c>
      <c r="T298" s="2">
        <f t="shared" si="8"/>
      </c>
      <c r="U298" s="2">
        <f t="shared" si="9"/>
      </c>
      <c r="V298" s="2">
        <f t="shared" si="10"/>
      </c>
      <c r="W298" s="2">
        <f t="shared" si="11"/>
      </c>
      <c r="X298" s="2">
        <f t="shared" si="12"/>
      </c>
      <c r="Y298" s="2">
        <f t="shared" si="13"/>
        <v>0</v>
      </c>
      <c r="Z298" s="2">
        <f t="shared" si="14"/>
      </c>
      <c r="AA298" s="2">
        <f t="shared" si="15"/>
        <v>0</v>
      </c>
      <c r="AB298" s="2">
        <f t="shared" si="16"/>
      </c>
      <c r="AC298" s="2">
        <f t="shared" si="17"/>
      </c>
      <c r="AD298" s="2">
        <f t="shared" si="18"/>
      </c>
      <c r="AE298" s="2">
        <f t="shared" si="19"/>
      </c>
      <c r="AF298" s="2">
        <f t="shared" si="20"/>
      </c>
      <c r="AG298" s="2">
        <f t="shared" si="21"/>
      </c>
      <c r="AH298" s="2">
        <f t="shared" si="22"/>
      </c>
      <c r="AI298" s="2">
        <f t="shared" si="23"/>
      </c>
      <c r="AJ298" s="2">
        <f t="shared" si="24"/>
        <v>0</v>
      </c>
      <c r="AK298" s="2">
        <f t="shared" si="25"/>
        <v>0</v>
      </c>
      <c r="AL298" s="2">
        <f t="shared" si="26"/>
        <v>0</v>
      </c>
      <c r="AM298" s="2">
        <f t="shared" si="27"/>
        <v>0</v>
      </c>
      <c r="AN298" s="2">
        <f t="shared" si="28"/>
        <v>0</v>
      </c>
      <c r="AO298" s="2">
        <f t="shared" si="29"/>
      </c>
      <c r="AP298" s="2">
        <f t="shared" si="30"/>
      </c>
      <c r="AQ298" s="2">
        <f t="shared" si="31"/>
      </c>
    </row>
    <row r="299">
      <c r="A299" s="43">
        <f t="shared" si="3"/>
      </c>
      <c r="B299" s="44" t="n"/>
      <c r="C299" s="45" t="n"/>
      <c r="D299" s="46" t="n"/>
      <c r="E299" s="47" t="n"/>
      <c r="F299" s="47" t="n"/>
      <c r="G299" s="48">
        <f t="shared" si="4"/>
      </c>
      <c r="H299" s="43">
        <f t="shared" si="0"/>
      </c>
      <c r="I299" s="43">
        <f t="shared" si="5"/>
      </c>
      <c r="J299" s="43">
        <f t="shared" si="1"/>
      </c>
      <c r="K299" s="49">
        <f t="shared" si="2"/>
      </c>
      <c r="L299" s="45" t="n"/>
      <c r="M299" s="45" t="n"/>
      <c r="N299" s="45" t="n"/>
      <c r="O299" s="45" t="n"/>
      <c r="P299" s="50" t="n"/>
      <c r="R299" s="2">
        <f t="shared" si="6"/>
        <v>0</v>
      </c>
      <c r="S299" s="2">
        <f t="shared" si="7"/>
      </c>
      <c r="T299" s="2">
        <f t="shared" si="8"/>
      </c>
      <c r="U299" s="2">
        <f t="shared" si="9"/>
      </c>
      <c r="V299" s="2">
        <f t="shared" si="10"/>
      </c>
      <c r="W299" s="2">
        <f t="shared" si="11"/>
      </c>
      <c r="X299" s="2">
        <f t="shared" si="12"/>
      </c>
      <c r="Y299" s="2">
        <f t="shared" si="13"/>
        <v>0</v>
      </c>
      <c r="Z299" s="2">
        <f t="shared" si="14"/>
      </c>
      <c r="AA299" s="2">
        <f t="shared" si="15"/>
        <v>0</v>
      </c>
      <c r="AB299" s="2">
        <f t="shared" si="16"/>
      </c>
      <c r="AC299" s="2">
        <f t="shared" si="17"/>
      </c>
      <c r="AD299" s="2">
        <f t="shared" si="18"/>
      </c>
      <c r="AE299" s="2">
        <f t="shared" si="19"/>
      </c>
      <c r="AF299" s="2">
        <f t="shared" si="20"/>
      </c>
      <c r="AG299" s="2">
        <f t="shared" si="21"/>
      </c>
      <c r="AH299" s="2">
        <f t="shared" si="22"/>
      </c>
      <c r="AI299" s="2">
        <f t="shared" si="23"/>
      </c>
      <c r="AJ299" s="2">
        <f t="shared" si="24"/>
        <v>0</v>
      </c>
      <c r="AK299" s="2">
        <f t="shared" si="25"/>
        <v>0</v>
      </c>
      <c r="AL299" s="2">
        <f t="shared" si="26"/>
        <v>0</v>
      </c>
      <c r="AM299" s="2">
        <f t="shared" si="27"/>
        <v>0</v>
      </c>
      <c r="AN299" s="2">
        <f t="shared" si="28"/>
        <v>0</v>
      </c>
      <c r="AO299" s="2">
        <f t="shared" si="29"/>
      </c>
      <c r="AP299" s="2">
        <f t="shared" si="30"/>
      </c>
      <c r="AQ299" s="2">
        <f t="shared" si="31"/>
      </c>
    </row>
    <row r="300">
      <c r="A300" s="43">
        <f t="shared" si="3"/>
      </c>
      <c r="B300" s="44" t="n"/>
      <c r="C300" s="45" t="n"/>
      <c r="D300" s="46" t="n"/>
      <c r="E300" s="47" t="n"/>
      <c r="F300" s="47" t="n"/>
      <c r="G300" s="48">
        <f t="shared" si="4"/>
      </c>
      <c r="H300" s="43">
        <f t="shared" si="0"/>
      </c>
      <c r="I300" s="43">
        <f t="shared" si="5"/>
      </c>
      <c r="J300" s="43">
        <f t="shared" si="1"/>
      </c>
      <c r="K300" s="49">
        <f t="shared" si="2"/>
      </c>
      <c r="L300" s="45" t="n"/>
      <c r="M300" s="45" t="n"/>
      <c r="N300" s="45" t="n"/>
      <c r="O300" s="45" t="n"/>
      <c r="P300" s="50" t="n"/>
      <c r="R300" s="2">
        <f t="shared" si="6"/>
        <v>0</v>
      </c>
      <c r="S300" s="2">
        <f t="shared" si="7"/>
      </c>
      <c r="T300" s="2">
        <f t="shared" si="8"/>
      </c>
      <c r="U300" s="2">
        <f t="shared" si="9"/>
      </c>
      <c r="V300" s="2">
        <f t="shared" si="10"/>
      </c>
      <c r="W300" s="2">
        <f t="shared" si="11"/>
      </c>
      <c r="X300" s="2">
        <f t="shared" si="12"/>
      </c>
      <c r="Y300" s="2">
        <f t="shared" si="13"/>
        <v>0</v>
      </c>
      <c r="Z300" s="2">
        <f t="shared" si="14"/>
      </c>
      <c r="AA300" s="2">
        <f t="shared" si="15"/>
        <v>0</v>
      </c>
      <c r="AB300" s="2">
        <f t="shared" si="16"/>
      </c>
      <c r="AC300" s="2">
        <f t="shared" si="17"/>
      </c>
      <c r="AD300" s="2">
        <f t="shared" si="18"/>
      </c>
      <c r="AE300" s="2">
        <f t="shared" si="19"/>
      </c>
      <c r="AF300" s="2">
        <f t="shared" si="20"/>
      </c>
      <c r="AG300" s="2">
        <f t="shared" si="21"/>
      </c>
      <c r="AH300" s="2">
        <f t="shared" si="22"/>
      </c>
      <c r="AI300" s="2">
        <f t="shared" si="23"/>
      </c>
      <c r="AJ300" s="2">
        <f t="shared" si="24"/>
        <v>0</v>
      </c>
      <c r="AK300" s="2">
        <f t="shared" si="25"/>
        <v>0</v>
      </c>
      <c r="AL300" s="2">
        <f t="shared" si="26"/>
        <v>0</v>
      </c>
      <c r="AM300" s="2">
        <f t="shared" si="27"/>
        <v>0</v>
      </c>
      <c r="AN300" s="2">
        <f t="shared" si="28"/>
        <v>0</v>
      </c>
      <c r="AO300" s="2">
        <f t="shared" si="29"/>
      </c>
      <c r="AP300" s="2">
        <f t="shared" si="30"/>
      </c>
      <c r="AQ300" s="2">
        <f t="shared" si="31"/>
      </c>
    </row>
    <row r="301">
      <c r="A301" s="43">
        <f t="shared" si="3"/>
      </c>
      <c r="B301" s="44" t="n"/>
      <c r="C301" s="45" t="n"/>
      <c r="D301" s="46" t="n"/>
      <c r="E301" s="47" t="n"/>
      <c r="F301" s="47" t="n"/>
      <c r="G301" s="48">
        <f t="shared" si="4"/>
      </c>
      <c r="H301" s="43">
        <f t="shared" si="0"/>
      </c>
      <c r="I301" s="43">
        <f t="shared" si="5"/>
      </c>
      <c r="J301" s="43">
        <f t="shared" si="1"/>
      </c>
      <c r="K301" s="49">
        <f t="shared" si="2"/>
      </c>
      <c r="L301" s="45" t="n"/>
      <c r="M301" s="45" t="n"/>
      <c r="N301" s="45" t="n"/>
      <c r="O301" s="45" t="n"/>
      <c r="P301" s="50" t="n"/>
      <c r="R301" s="2">
        <f t="shared" si="6"/>
        <v>0</v>
      </c>
      <c r="S301" s="2">
        <f t="shared" si="7"/>
      </c>
      <c r="T301" s="2">
        <f t="shared" si="8"/>
      </c>
      <c r="U301" s="2">
        <f t="shared" si="9"/>
      </c>
      <c r="V301" s="2">
        <f t="shared" si="10"/>
      </c>
      <c r="W301" s="2">
        <f t="shared" si="11"/>
      </c>
      <c r="X301" s="2">
        <f t="shared" si="12"/>
      </c>
      <c r="Y301" s="2">
        <f t="shared" si="13"/>
        <v>0</v>
      </c>
      <c r="Z301" s="2">
        <f t="shared" si="14"/>
      </c>
      <c r="AA301" s="2">
        <f t="shared" si="15"/>
        <v>0</v>
      </c>
      <c r="AB301" s="2">
        <f t="shared" si="16"/>
      </c>
      <c r="AC301" s="2">
        <f t="shared" si="17"/>
      </c>
      <c r="AD301" s="2">
        <f t="shared" si="18"/>
      </c>
      <c r="AE301" s="2">
        <f t="shared" si="19"/>
      </c>
      <c r="AF301" s="2">
        <f t="shared" si="20"/>
      </c>
      <c r="AG301" s="2">
        <f t="shared" si="21"/>
      </c>
      <c r="AH301" s="2">
        <f t="shared" si="22"/>
      </c>
      <c r="AI301" s="2">
        <f t="shared" si="23"/>
      </c>
      <c r="AJ301" s="2">
        <f t="shared" si="24"/>
        <v>0</v>
      </c>
      <c r="AK301" s="2">
        <f t="shared" si="25"/>
        <v>0</v>
      </c>
      <c r="AL301" s="2">
        <f t="shared" si="26"/>
        <v>0</v>
      </c>
      <c r="AM301" s="2">
        <f t="shared" si="27"/>
        <v>0</v>
      </c>
      <c r="AN301" s="2">
        <f t="shared" si="28"/>
        <v>0</v>
      </c>
      <c r="AO301" s="2">
        <f t="shared" si="29"/>
      </c>
      <c r="AP301" s="2">
        <f t="shared" si="30"/>
      </c>
      <c r="AQ301" s="2">
        <f t="shared" si="31"/>
      </c>
    </row>
    <row r="302">
      <c r="A302" s="43">
        <f t="shared" si="3"/>
      </c>
      <c r="B302" s="44" t="n"/>
      <c r="C302" s="45" t="n"/>
      <c r="D302" s="46" t="n"/>
      <c r="E302" s="47" t="n"/>
      <c r="F302" s="47" t="n"/>
      <c r="G302" s="48">
        <f t="shared" si="4"/>
      </c>
      <c r="H302" s="43">
        <f t="shared" si="0"/>
      </c>
      <c r="I302" s="43">
        <f t="shared" si="5"/>
      </c>
      <c r="J302" s="43">
        <f t="shared" si="1"/>
      </c>
      <c r="K302" s="49">
        <f t="shared" si="2"/>
      </c>
      <c r="L302" s="45" t="n"/>
      <c r="M302" s="45" t="n"/>
      <c r="N302" s="45" t="n"/>
      <c r="O302" s="45" t="n"/>
      <c r="P302" s="50" t="n"/>
      <c r="R302" s="2">
        <f t="shared" si="6"/>
        <v>0</v>
      </c>
      <c r="S302" s="2">
        <f t="shared" si="7"/>
      </c>
      <c r="T302" s="2">
        <f t="shared" si="8"/>
      </c>
      <c r="U302" s="2">
        <f t="shared" si="9"/>
      </c>
      <c r="V302" s="2">
        <f t="shared" si="10"/>
      </c>
      <c r="W302" s="2">
        <f t="shared" si="11"/>
      </c>
      <c r="X302" s="2">
        <f t="shared" si="12"/>
      </c>
      <c r="Y302" s="2">
        <f t="shared" si="13"/>
        <v>0</v>
      </c>
      <c r="Z302" s="2">
        <f t="shared" si="14"/>
      </c>
      <c r="AA302" s="2">
        <f t="shared" si="15"/>
        <v>0</v>
      </c>
      <c r="AB302" s="2">
        <f t="shared" si="16"/>
      </c>
      <c r="AC302" s="2">
        <f t="shared" si="17"/>
      </c>
      <c r="AD302" s="2">
        <f t="shared" si="18"/>
      </c>
      <c r="AE302" s="2">
        <f t="shared" si="19"/>
      </c>
      <c r="AF302" s="2">
        <f t="shared" si="20"/>
      </c>
      <c r="AG302" s="2">
        <f t="shared" si="21"/>
      </c>
      <c r="AH302" s="2">
        <f t="shared" si="22"/>
      </c>
      <c r="AI302" s="2">
        <f t="shared" si="23"/>
      </c>
      <c r="AJ302" s="2">
        <f t="shared" si="24"/>
        <v>0</v>
      </c>
      <c r="AK302" s="2">
        <f t="shared" si="25"/>
        <v>0</v>
      </c>
      <c r="AL302" s="2">
        <f t="shared" si="26"/>
        <v>0</v>
      </c>
      <c r="AM302" s="2">
        <f t="shared" si="27"/>
        <v>0</v>
      </c>
      <c r="AN302" s="2">
        <f t="shared" si="28"/>
        <v>0</v>
      </c>
      <c r="AO302" s="2">
        <f t="shared" si="29"/>
      </c>
      <c r="AP302" s="2">
        <f t="shared" si="30"/>
      </c>
      <c r="AQ302" s="2">
        <f t="shared" si="31"/>
      </c>
    </row>
    <row r="303">
      <c r="A303" s="43">
        <f t="shared" si="3"/>
      </c>
      <c r="B303" s="44" t="n"/>
      <c r="C303" s="45" t="n"/>
      <c r="D303" s="46" t="n"/>
      <c r="E303" s="47" t="n"/>
      <c r="F303" s="47" t="n"/>
      <c r="G303" s="48">
        <f t="shared" si="4"/>
      </c>
      <c r="H303" s="43">
        <f t="shared" si="0"/>
      </c>
      <c r="I303" s="43">
        <f t="shared" si="5"/>
      </c>
      <c r="J303" s="43">
        <f t="shared" si="1"/>
      </c>
      <c r="K303" s="49">
        <f t="shared" si="2"/>
      </c>
      <c r="L303" s="45" t="n"/>
      <c r="M303" s="45" t="n"/>
      <c r="N303" s="45" t="n"/>
      <c r="O303" s="45" t="n"/>
      <c r="P303" s="50" t="n"/>
      <c r="R303" s="2">
        <f t="shared" si="6"/>
        <v>0</v>
      </c>
      <c r="S303" s="2">
        <f t="shared" si="7"/>
      </c>
      <c r="T303" s="2">
        <f t="shared" si="8"/>
      </c>
      <c r="U303" s="2">
        <f t="shared" si="9"/>
      </c>
      <c r="V303" s="2">
        <f t="shared" si="10"/>
      </c>
      <c r="W303" s="2">
        <f t="shared" si="11"/>
      </c>
      <c r="X303" s="2">
        <f t="shared" si="12"/>
      </c>
      <c r="Y303" s="2">
        <f t="shared" si="13"/>
        <v>0</v>
      </c>
      <c r="Z303" s="2">
        <f t="shared" si="14"/>
      </c>
      <c r="AA303" s="2">
        <f t="shared" si="15"/>
        <v>0</v>
      </c>
      <c r="AB303" s="2">
        <f t="shared" si="16"/>
      </c>
      <c r="AC303" s="2">
        <f t="shared" si="17"/>
      </c>
      <c r="AD303" s="2">
        <f t="shared" si="18"/>
      </c>
      <c r="AE303" s="2">
        <f t="shared" si="19"/>
      </c>
      <c r="AF303" s="2">
        <f t="shared" si="20"/>
      </c>
      <c r="AG303" s="2">
        <f t="shared" si="21"/>
      </c>
      <c r="AH303" s="2">
        <f t="shared" si="22"/>
      </c>
      <c r="AI303" s="2">
        <f t="shared" si="23"/>
      </c>
      <c r="AJ303" s="2">
        <f t="shared" si="24"/>
        <v>0</v>
      </c>
      <c r="AK303" s="2">
        <f t="shared" si="25"/>
        <v>0</v>
      </c>
      <c r="AL303" s="2">
        <f t="shared" si="26"/>
        <v>0</v>
      </c>
      <c r="AM303" s="2">
        <f t="shared" si="27"/>
        <v>0</v>
      </c>
      <c r="AN303" s="2">
        <f t="shared" si="28"/>
        <v>0</v>
      </c>
      <c r="AO303" s="2">
        <f t="shared" si="29"/>
      </c>
      <c r="AP303" s="2">
        <f t="shared" si="30"/>
      </c>
      <c r="AQ303" s="2">
        <f t="shared" si="31"/>
      </c>
    </row>
    <row r="304">
      <c r="A304" s="43">
        <f t="shared" si="3"/>
      </c>
      <c r="B304" s="44" t="n"/>
      <c r="C304" s="45" t="n"/>
      <c r="D304" s="46" t="n"/>
      <c r="E304" s="47" t="n"/>
      <c r="F304" s="47" t="n"/>
      <c r="G304" s="48">
        <f t="shared" si="4"/>
      </c>
      <c r="H304" s="43">
        <f t="shared" si="0"/>
      </c>
      <c r="I304" s="43">
        <f t="shared" si="5"/>
      </c>
      <c r="J304" s="43">
        <f t="shared" si="1"/>
      </c>
      <c r="K304" s="49">
        <f t="shared" si="2"/>
      </c>
      <c r="L304" s="45" t="n"/>
      <c r="M304" s="45" t="n"/>
      <c r="N304" s="45" t="n"/>
      <c r="O304" s="45" t="n"/>
      <c r="P304" s="50" t="n"/>
      <c r="R304" s="2">
        <f t="shared" si="6"/>
        <v>0</v>
      </c>
      <c r="S304" s="2">
        <f t="shared" si="7"/>
      </c>
      <c r="T304" s="2">
        <f t="shared" si="8"/>
      </c>
      <c r="U304" s="2">
        <f t="shared" si="9"/>
      </c>
      <c r="V304" s="2">
        <f t="shared" si="10"/>
      </c>
      <c r="W304" s="2">
        <f t="shared" si="11"/>
      </c>
      <c r="X304" s="2">
        <f t="shared" si="12"/>
      </c>
      <c r="Y304" s="2">
        <f t="shared" si="13"/>
        <v>0</v>
      </c>
      <c r="Z304" s="2">
        <f t="shared" si="14"/>
      </c>
      <c r="AA304" s="2">
        <f t="shared" si="15"/>
        <v>0</v>
      </c>
      <c r="AB304" s="2">
        <f t="shared" si="16"/>
      </c>
      <c r="AC304" s="2">
        <f t="shared" si="17"/>
      </c>
      <c r="AD304" s="2">
        <f t="shared" si="18"/>
      </c>
      <c r="AE304" s="2">
        <f t="shared" si="19"/>
      </c>
      <c r="AF304" s="2">
        <f t="shared" si="20"/>
      </c>
      <c r="AG304" s="2">
        <f t="shared" si="21"/>
      </c>
      <c r="AH304" s="2">
        <f t="shared" si="22"/>
      </c>
      <c r="AI304" s="2">
        <f t="shared" si="23"/>
      </c>
      <c r="AJ304" s="2">
        <f t="shared" si="24"/>
        <v>0</v>
      </c>
      <c r="AK304" s="2">
        <f t="shared" si="25"/>
        <v>0</v>
      </c>
      <c r="AL304" s="2">
        <f t="shared" si="26"/>
        <v>0</v>
      </c>
      <c r="AM304" s="2">
        <f t="shared" si="27"/>
        <v>0</v>
      </c>
      <c r="AN304" s="2">
        <f t="shared" si="28"/>
        <v>0</v>
      </c>
      <c r="AO304" s="2">
        <f t="shared" si="29"/>
      </c>
      <c r="AP304" s="2">
        <f t="shared" si="30"/>
      </c>
      <c r="AQ304" s="2">
        <f t="shared" si="31"/>
      </c>
    </row>
    <row r="305">
      <c r="A305" s="43">
        <f t="shared" si="3"/>
      </c>
      <c r="B305" s="44" t="n"/>
      <c r="C305" s="45" t="n"/>
      <c r="D305" s="46" t="n"/>
      <c r="E305" s="47" t="n"/>
      <c r="F305" s="47" t="n"/>
      <c r="G305" s="48">
        <f t="shared" si="4"/>
      </c>
      <c r="H305" s="43">
        <f t="shared" si="0"/>
      </c>
      <c r="I305" s="43">
        <f t="shared" si="5"/>
      </c>
      <c r="J305" s="43">
        <f t="shared" si="1"/>
      </c>
      <c r="K305" s="49">
        <f t="shared" si="2"/>
      </c>
      <c r="L305" s="45" t="n"/>
      <c r="M305" s="45" t="n"/>
      <c r="N305" s="45" t="n"/>
      <c r="O305" s="45" t="n"/>
      <c r="P305" s="50" t="n"/>
      <c r="R305" s="2">
        <f t="shared" si="6"/>
        <v>0</v>
      </c>
      <c r="S305" s="2">
        <f t="shared" si="7"/>
      </c>
      <c r="T305" s="2">
        <f t="shared" si="8"/>
      </c>
      <c r="U305" s="2">
        <f t="shared" si="9"/>
      </c>
      <c r="V305" s="2">
        <f t="shared" si="10"/>
      </c>
      <c r="W305" s="2">
        <f t="shared" si="11"/>
      </c>
      <c r="X305" s="2">
        <f t="shared" si="12"/>
      </c>
      <c r="Y305" s="2">
        <f t="shared" si="13"/>
        <v>0</v>
      </c>
      <c r="Z305" s="2">
        <f t="shared" si="14"/>
      </c>
      <c r="AA305" s="2">
        <f t="shared" si="15"/>
        <v>0</v>
      </c>
      <c r="AB305" s="2">
        <f t="shared" si="16"/>
      </c>
      <c r="AC305" s="2">
        <f t="shared" si="17"/>
      </c>
      <c r="AD305" s="2">
        <f t="shared" si="18"/>
      </c>
      <c r="AE305" s="2">
        <f t="shared" si="19"/>
      </c>
      <c r="AF305" s="2">
        <f t="shared" si="20"/>
      </c>
      <c r="AG305" s="2">
        <f t="shared" si="21"/>
      </c>
      <c r="AH305" s="2">
        <f t="shared" si="22"/>
      </c>
      <c r="AI305" s="2">
        <f t="shared" si="23"/>
      </c>
      <c r="AJ305" s="2">
        <f t="shared" si="24"/>
        <v>0</v>
      </c>
      <c r="AK305" s="2">
        <f t="shared" si="25"/>
        <v>0</v>
      </c>
      <c r="AL305" s="2">
        <f t="shared" si="26"/>
        <v>0</v>
      </c>
      <c r="AM305" s="2">
        <f t="shared" si="27"/>
        <v>0</v>
      </c>
      <c r="AN305" s="2">
        <f t="shared" si="28"/>
        <v>0</v>
      </c>
      <c r="AO305" s="2">
        <f t="shared" si="29"/>
      </c>
      <c r="AP305" s="2">
        <f t="shared" si="30"/>
      </c>
      <c r="AQ305" s="2">
        <f t="shared" si="31"/>
      </c>
    </row>
    <row r="306">
      <c r="A306" s="43">
        <f t="shared" si="3"/>
      </c>
      <c r="B306" s="44" t="n"/>
      <c r="C306" s="45" t="n"/>
      <c r="D306" s="46" t="n"/>
      <c r="E306" s="47" t="n"/>
      <c r="F306" s="47" t="n"/>
      <c r="G306" s="48">
        <f t="shared" si="4"/>
      </c>
      <c r="H306" s="43">
        <f t="shared" si="0"/>
      </c>
      <c r="I306" s="43">
        <f t="shared" si="5"/>
      </c>
      <c r="J306" s="43">
        <f t="shared" si="1"/>
      </c>
      <c r="K306" s="49">
        <f t="shared" si="2"/>
      </c>
      <c r="L306" s="45" t="n"/>
      <c r="M306" s="45" t="n"/>
      <c r="N306" s="45" t="n"/>
      <c r="O306" s="45" t="n"/>
      <c r="P306" s="50" t="n"/>
      <c r="R306" s="2">
        <f t="shared" si="6"/>
        <v>0</v>
      </c>
      <c r="S306" s="2">
        <f t="shared" si="7"/>
      </c>
      <c r="T306" s="2">
        <f t="shared" si="8"/>
      </c>
      <c r="U306" s="2">
        <f t="shared" si="9"/>
      </c>
      <c r="V306" s="2">
        <f t="shared" si="10"/>
      </c>
      <c r="W306" s="2">
        <f t="shared" si="11"/>
      </c>
      <c r="X306" s="2">
        <f t="shared" si="12"/>
      </c>
      <c r="Y306" s="2">
        <f t="shared" si="13"/>
        <v>0</v>
      </c>
      <c r="Z306" s="2">
        <f t="shared" si="14"/>
      </c>
      <c r="AA306" s="2">
        <f t="shared" si="15"/>
        <v>0</v>
      </c>
      <c r="AB306" s="2">
        <f t="shared" si="16"/>
      </c>
      <c r="AC306" s="2">
        <f t="shared" si="17"/>
      </c>
      <c r="AD306" s="2">
        <f t="shared" si="18"/>
      </c>
      <c r="AE306" s="2">
        <f t="shared" si="19"/>
      </c>
      <c r="AF306" s="2">
        <f t="shared" si="20"/>
      </c>
      <c r="AG306" s="2">
        <f t="shared" si="21"/>
      </c>
      <c r="AH306" s="2">
        <f t="shared" si="22"/>
      </c>
      <c r="AI306" s="2">
        <f t="shared" si="23"/>
      </c>
      <c r="AJ306" s="2">
        <f t="shared" si="24"/>
        <v>0</v>
      </c>
      <c r="AK306" s="2">
        <f t="shared" si="25"/>
        <v>0</v>
      </c>
      <c r="AL306" s="2">
        <f t="shared" si="26"/>
        <v>0</v>
      </c>
      <c r="AM306" s="2">
        <f t="shared" si="27"/>
        <v>0</v>
      </c>
      <c r="AN306" s="2">
        <f t="shared" si="28"/>
        <v>0</v>
      </c>
      <c r="AO306" s="2">
        <f t="shared" si="29"/>
      </c>
      <c r="AP306" s="2">
        <f t="shared" si="30"/>
      </c>
      <c r="AQ306" s="2">
        <f t="shared" si="31"/>
      </c>
    </row>
    <row r="307">
      <c r="A307" s="43">
        <f t="shared" si="3"/>
      </c>
      <c r="B307" s="44" t="n"/>
      <c r="C307" s="45" t="n"/>
      <c r="D307" s="46" t="n"/>
      <c r="E307" s="47" t="n"/>
      <c r="F307" s="47" t="n"/>
      <c r="G307" s="48">
        <f t="shared" si="4"/>
      </c>
      <c r="H307" s="43">
        <f t="shared" si="0"/>
      </c>
      <c r="I307" s="43">
        <f t="shared" si="5"/>
      </c>
      <c r="J307" s="43">
        <f t="shared" si="1"/>
      </c>
      <c r="K307" s="49">
        <f t="shared" si="2"/>
      </c>
      <c r="L307" s="45" t="n"/>
      <c r="M307" s="45" t="n"/>
      <c r="N307" s="45" t="n"/>
      <c r="O307" s="45" t="n"/>
      <c r="P307" s="50" t="n"/>
      <c r="R307" s="2">
        <f t="shared" si="6"/>
        <v>0</v>
      </c>
      <c r="S307" s="2">
        <f t="shared" si="7"/>
      </c>
      <c r="T307" s="2">
        <f t="shared" si="8"/>
      </c>
      <c r="U307" s="2">
        <f t="shared" si="9"/>
      </c>
      <c r="V307" s="2">
        <f t="shared" si="10"/>
      </c>
      <c r="W307" s="2">
        <f t="shared" si="11"/>
      </c>
      <c r="X307" s="2">
        <f t="shared" si="12"/>
      </c>
      <c r="Y307" s="2">
        <f t="shared" si="13"/>
        <v>0</v>
      </c>
      <c r="Z307" s="2">
        <f t="shared" si="14"/>
      </c>
      <c r="AA307" s="2">
        <f t="shared" si="15"/>
        <v>0</v>
      </c>
      <c r="AB307" s="2">
        <f t="shared" si="16"/>
      </c>
      <c r="AC307" s="2">
        <f t="shared" si="17"/>
      </c>
      <c r="AD307" s="2">
        <f t="shared" si="18"/>
      </c>
      <c r="AE307" s="2">
        <f t="shared" si="19"/>
      </c>
      <c r="AF307" s="2">
        <f t="shared" si="20"/>
      </c>
      <c r="AG307" s="2">
        <f t="shared" si="21"/>
      </c>
      <c r="AH307" s="2">
        <f t="shared" si="22"/>
      </c>
      <c r="AI307" s="2">
        <f t="shared" si="23"/>
      </c>
      <c r="AJ307" s="2">
        <f t="shared" si="24"/>
        <v>0</v>
      </c>
      <c r="AK307" s="2">
        <f t="shared" si="25"/>
        <v>0</v>
      </c>
      <c r="AL307" s="2">
        <f t="shared" si="26"/>
        <v>0</v>
      </c>
      <c r="AM307" s="2">
        <f t="shared" si="27"/>
        <v>0</v>
      </c>
      <c r="AN307" s="2">
        <f t="shared" si="28"/>
        <v>0</v>
      </c>
      <c r="AO307" s="2">
        <f t="shared" si="29"/>
      </c>
      <c r="AP307" s="2">
        <f t="shared" si="30"/>
      </c>
      <c r="AQ307" s="2">
        <f t="shared" si="31"/>
      </c>
    </row>
    <row r="308">
      <c r="A308" s="43">
        <f t="shared" si="3"/>
      </c>
      <c r="B308" s="44" t="n"/>
      <c r="C308" s="45" t="n"/>
      <c r="D308" s="46" t="n"/>
      <c r="E308" s="47" t="n"/>
      <c r="F308" s="47" t="n"/>
      <c r="G308" s="48">
        <f t="shared" si="4"/>
      </c>
      <c r="H308" s="43">
        <f t="shared" si="0"/>
      </c>
      <c r="I308" s="43">
        <f t="shared" si="5"/>
      </c>
      <c r="J308" s="43">
        <f t="shared" si="1"/>
      </c>
      <c r="K308" s="49">
        <f t="shared" si="2"/>
      </c>
      <c r="L308" s="45" t="n"/>
      <c r="M308" s="45" t="n"/>
      <c r="N308" s="45" t="n"/>
      <c r="O308" s="45" t="n"/>
      <c r="P308" s="50" t="n"/>
      <c r="R308" s="2">
        <f t="shared" si="6"/>
        <v>0</v>
      </c>
      <c r="S308" s="2">
        <f t="shared" si="7"/>
      </c>
      <c r="T308" s="2">
        <f t="shared" si="8"/>
      </c>
      <c r="U308" s="2">
        <f t="shared" si="9"/>
      </c>
      <c r="V308" s="2">
        <f t="shared" si="10"/>
      </c>
      <c r="W308" s="2">
        <f t="shared" si="11"/>
      </c>
      <c r="X308" s="2">
        <f t="shared" si="12"/>
      </c>
      <c r="Y308" s="2">
        <f t="shared" si="13"/>
        <v>0</v>
      </c>
      <c r="Z308" s="2">
        <f t="shared" si="14"/>
      </c>
      <c r="AA308" s="2">
        <f t="shared" si="15"/>
        <v>0</v>
      </c>
      <c r="AB308" s="2">
        <f t="shared" si="16"/>
      </c>
      <c r="AC308" s="2">
        <f t="shared" si="17"/>
      </c>
      <c r="AD308" s="2">
        <f t="shared" si="18"/>
      </c>
      <c r="AE308" s="2">
        <f t="shared" si="19"/>
      </c>
      <c r="AF308" s="2">
        <f t="shared" si="20"/>
      </c>
      <c r="AG308" s="2">
        <f t="shared" si="21"/>
      </c>
      <c r="AH308" s="2">
        <f t="shared" si="22"/>
      </c>
      <c r="AI308" s="2">
        <f t="shared" si="23"/>
      </c>
      <c r="AJ308" s="2">
        <f t="shared" si="24"/>
        <v>0</v>
      </c>
      <c r="AK308" s="2">
        <f t="shared" si="25"/>
        <v>0</v>
      </c>
      <c r="AL308" s="2">
        <f t="shared" si="26"/>
        <v>0</v>
      </c>
      <c r="AM308" s="2">
        <f t="shared" si="27"/>
        <v>0</v>
      </c>
      <c r="AN308" s="2">
        <f t="shared" si="28"/>
        <v>0</v>
      </c>
      <c r="AO308" s="2">
        <f t="shared" si="29"/>
      </c>
      <c r="AP308" s="2">
        <f t="shared" si="30"/>
      </c>
      <c r="AQ308" s="2">
        <f t="shared" si="31"/>
      </c>
    </row>
    <row r="309">
      <c r="A309" s="43">
        <f t="shared" si="3"/>
      </c>
      <c r="B309" s="44" t="n"/>
      <c r="C309" s="45" t="n"/>
      <c r="D309" s="46" t="n"/>
      <c r="E309" s="47" t="n"/>
      <c r="F309" s="47" t="n"/>
      <c r="G309" s="48">
        <f t="shared" si="4"/>
      </c>
      <c r="H309" s="43">
        <f t="shared" si="0"/>
      </c>
      <c r="I309" s="43">
        <f t="shared" si="5"/>
      </c>
      <c r="J309" s="43">
        <f t="shared" si="1"/>
      </c>
      <c r="K309" s="49">
        <f t="shared" si="2"/>
      </c>
      <c r="L309" s="45" t="n"/>
      <c r="M309" s="45" t="n"/>
      <c r="N309" s="45" t="n"/>
      <c r="O309" s="45" t="n"/>
      <c r="P309" s="50" t="n"/>
      <c r="R309" s="2">
        <f t="shared" si="6"/>
        <v>0</v>
      </c>
      <c r="S309" s="2">
        <f t="shared" si="7"/>
      </c>
      <c r="T309" s="2">
        <f t="shared" si="8"/>
      </c>
      <c r="U309" s="2">
        <f t="shared" si="9"/>
      </c>
      <c r="V309" s="2">
        <f t="shared" si="10"/>
      </c>
      <c r="W309" s="2">
        <f t="shared" si="11"/>
      </c>
      <c r="X309" s="2">
        <f t="shared" si="12"/>
      </c>
      <c r="Y309" s="2">
        <f t="shared" si="13"/>
        <v>0</v>
      </c>
      <c r="Z309" s="2">
        <f t="shared" si="14"/>
      </c>
      <c r="AA309" s="2">
        <f t="shared" si="15"/>
        <v>0</v>
      </c>
      <c r="AB309" s="2">
        <f t="shared" si="16"/>
      </c>
      <c r="AC309" s="2">
        <f t="shared" si="17"/>
      </c>
      <c r="AD309" s="2">
        <f t="shared" si="18"/>
      </c>
      <c r="AE309" s="2">
        <f t="shared" si="19"/>
      </c>
      <c r="AF309" s="2">
        <f t="shared" si="20"/>
      </c>
      <c r="AG309" s="2">
        <f t="shared" si="21"/>
      </c>
      <c r="AH309" s="2">
        <f t="shared" si="22"/>
      </c>
      <c r="AI309" s="2">
        <f t="shared" si="23"/>
      </c>
      <c r="AJ309" s="2">
        <f t="shared" si="24"/>
        <v>0</v>
      </c>
      <c r="AK309" s="2">
        <f t="shared" si="25"/>
        <v>0</v>
      </c>
      <c r="AL309" s="2">
        <f t="shared" si="26"/>
        <v>0</v>
      </c>
      <c r="AM309" s="2">
        <f t="shared" si="27"/>
        <v>0</v>
      </c>
      <c r="AN309" s="2">
        <f t="shared" si="28"/>
        <v>0</v>
      </c>
      <c r="AO309" s="2">
        <f t="shared" si="29"/>
      </c>
      <c r="AP309" s="2">
        <f t="shared" si="30"/>
      </c>
      <c r="AQ309" s="2">
        <f t="shared" si="31"/>
      </c>
    </row>
    <row r="310">
      <c r="A310" s="43">
        <f t="shared" si="3"/>
      </c>
      <c r="B310" s="44" t="n"/>
      <c r="C310" s="45" t="n"/>
      <c r="D310" s="46" t="n"/>
      <c r="E310" s="47" t="n"/>
      <c r="F310" s="47" t="n"/>
      <c r="G310" s="48">
        <f t="shared" si="4"/>
      </c>
      <c r="H310" s="43">
        <f t="shared" si="0"/>
      </c>
      <c r="I310" s="43">
        <f t="shared" si="5"/>
      </c>
      <c r="J310" s="43">
        <f t="shared" si="1"/>
      </c>
      <c r="K310" s="49">
        <f t="shared" si="2"/>
      </c>
      <c r="L310" s="45" t="n"/>
      <c r="M310" s="45" t="n"/>
      <c r="N310" s="45" t="n"/>
      <c r="O310" s="45" t="n"/>
      <c r="P310" s="50" t="n"/>
      <c r="R310" s="2">
        <f t="shared" si="6"/>
        <v>0</v>
      </c>
      <c r="S310" s="2">
        <f t="shared" si="7"/>
      </c>
      <c r="T310" s="2">
        <f t="shared" si="8"/>
      </c>
      <c r="U310" s="2">
        <f t="shared" si="9"/>
      </c>
      <c r="V310" s="2">
        <f t="shared" si="10"/>
      </c>
      <c r="W310" s="2">
        <f t="shared" si="11"/>
      </c>
      <c r="X310" s="2">
        <f t="shared" si="12"/>
      </c>
      <c r="Y310" s="2">
        <f t="shared" si="13"/>
        <v>0</v>
      </c>
      <c r="Z310" s="2">
        <f t="shared" si="14"/>
      </c>
      <c r="AA310" s="2">
        <f t="shared" si="15"/>
        <v>0</v>
      </c>
      <c r="AB310" s="2">
        <f t="shared" si="16"/>
      </c>
      <c r="AC310" s="2">
        <f t="shared" si="17"/>
      </c>
      <c r="AD310" s="2">
        <f t="shared" si="18"/>
      </c>
      <c r="AE310" s="2">
        <f t="shared" si="19"/>
      </c>
      <c r="AF310" s="2">
        <f t="shared" si="20"/>
      </c>
      <c r="AG310" s="2">
        <f t="shared" si="21"/>
      </c>
      <c r="AH310" s="2">
        <f t="shared" si="22"/>
      </c>
      <c r="AI310" s="2">
        <f t="shared" si="23"/>
      </c>
      <c r="AJ310" s="2">
        <f t="shared" si="24"/>
        <v>0</v>
      </c>
      <c r="AK310" s="2">
        <f t="shared" si="25"/>
        <v>0</v>
      </c>
      <c r="AL310" s="2">
        <f t="shared" si="26"/>
        <v>0</v>
      </c>
      <c r="AM310" s="2">
        <f t="shared" si="27"/>
        <v>0</v>
      </c>
      <c r="AN310" s="2">
        <f t="shared" si="28"/>
        <v>0</v>
      </c>
      <c r="AO310" s="2">
        <f t="shared" si="29"/>
      </c>
      <c r="AP310" s="2">
        <f t="shared" si="30"/>
      </c>
      <c r="AQ310" s="2">
        <f t="shared" si="31"/>
      </c>
    </row>
    <row r="311">
      <c r="A311" s="43">
        <f t="shared" si="3"/>
      </c>
      <c r="B311" s="44" t="n"/>
      <c r="C311" s="45" t="n"/>
      <c r="D311" s="46" t="n"/>
      <c r="E311" s="47" t="n"/>
      <c r="F311" s="47" t="n"/>
      <c r="G311" s="48">
        <f t="shared" si="4"/>
      </c>
      <c r="H311" s="43">
        <f t="shared" si="0"/>
      </c>
      <c r="I311" s="43">
        <f t="shared" si="5"/>
      </c>
      <c r="J311" s="43">
        <f t="shared" si="1"/>
      </c>
      <c r="K311" s="49">
        <f t="shared" si="2"/>
      </c>
      <c r="L311" s="45" t="n"/>
      <c r="M311" s="45" t="n"/>
      <c r="N311" s="45" t="n"/>
      <c r="O311" s="45" t="n"/>
      <c r="P311" s="50" t="n"/>
      <c r="R311" s="2">
        <f t="shared" si="6"/>
        <v>0</v>
      </c>
      <c r="S311" s="2">
        <f t="shared" si="7"/>
      </c>
      <c r="T311" s="2">
        <f t="shared" si="8"/>
      </c>
      <c r="U311" s="2">
        <f t="shared" si="9"/>
      </c>
      <c r="V311" s="2">
        <f t="shared" si="10"/>
      </c>
      <c r="W311" s="2">
        <f t="shared" si="11"/>
      </c>
      <c r="X311" s="2">
        <f t="shared" si="12"/>
      </c>
      <c r="Y311" s="2">
        <f t="shared" si="13"/>
        <v>0</v>
      </c>
      <c r="Z311" s="2">
        <f t="shared" si="14"/>
      </c>
      <c r="AA311" s="2">
        <f t="shared" si="15"/>
        <v>0</v>
      </c>
      <c r="AB311" s="2">
        <f t="shared" si="16"/>
      </c>
      <c r="AC311" s="2">
        <f t="shared" si="17"/>
      </c>
      <c r="AD311" s="2">
        <f t="shared" si="18"/>
      </c>
      <c r="AE311" s="2">
        <f t="shared" si="19"/>
      </c>
      <c r="AF311" s="2">
        <f t="shared" si="20"/>
      </c>
      <c r="AG311" s="2">
        <f t="shared" si="21"/>
      </c>
      <c r="AH311" s="2">
        <f t="shared" si="22"/>
      </c>
      <c r="AI311" s="2">
        <f t="shared" si="23"/>
      </c>
      <c r="AJ311" s="2">
        <f t="shared" si="24"/>
        <v>0</v>
      </c>
      <c r="AK311" s="2">
        <f t="shared" si="25"/>
        <v>0</v>
      </c>
      <c r="AL311" s="2">
        <f t="shared" si="26"/>
        <v>0</v>
      </c>
      <c r="AM311" s="2">
        <f t="shared" si="27"/>
        <v>0</v>
      </c>
      <c r="AN311" s="2">
        <f t="shared" si="28"/>
        <v>0</v>
      </c>
      <c r="AO311" s="2">
        <f t="shared" si="29"/>
      </c>
      <c r="AP311" s="2">
        <f t="shared" si="30"/>
      </c>
      <c r="AQ311" s="2">
        <f t="shared" si="31"/>
      </c>
    </row>
    <row r="312">
      <c r="A312" s="43">
        <f t="shared" si="3"/>
      </c>
      <c r="B312" s="44" t="n"/>
      <c r="C312" s="45" t="n"/>
      <c r="D312" s="46" t="n"/>
      <c r="E312" s="47" t="n"/>
      <c r="F312" s="47" t="n"/>
      <c r="G312" s="48">
        <f t="shared" si="4"/>
      </c>
      <c r="H312" s="43">
        <f t="shared" si="0"/>
      </c>
      <c r="I312" s="43">
        <f t="shared" si="5"/>
      </c>
      <c r="J312" s="43">
        <f t="shared" si="1"/>
      </c>
      <c r="K312" s="49">
        <f t="shared" si="2"/>
      </c>
      <c r="L312" s="45" t="n"/>
      <c r="M312" s="45" t="n"/>
      <c r="N312" s="45" t="n"/>
      <c r="O312" s="45" t="n"/>
      <c r="P312" s="50" t="n"/>
      <c r="R312" s="2">
        <f t="shared" si="6"/>
        <v>0</v>
      </c>
      <c r="S312" s="2">
        <f t="shared" si="7"/>
      </c>
      <c r="T312" s="2">
        <f t="shared" si="8"/>
      </c>
      <c r="U312" s="2">
        <f t="shared" si="9"/>
      </c>
      <c r="V312" s="2">
        <f t="shared" si="10"/>
      </c>
      <c r="W312" s="2">
        <f t="shared" si="11"/>
      </c>
      <c r="X312" s="2">
        <f t="shared" si="12"/>
      </c>
      <c r="Y312" s="2">
        <f t="shared" si="13"/>
        <v>0</v>
      </c>
      <c r="Z312" s="2">
        <f t="shared" si="14"/>
      </c>
      <c r="AA312" s="2">
        <f t="shared" si="15"/>
        <v>0</v>
      </c>
      <c r="AB312" s="2">
        <f t="shared" si="16"/>
      </c>
      <c r="AC312" s="2">
        <f t="shared" si="17"/>
      </c>
      <c r="AD312" s="2">
        <f t="shared" si="18"/>
      </c>
      <c r="AE312" s="2">
        <f t="shared" si="19"/>
      </c>
      <c r="AF312" s="2">
        <f t="shared" si="20"/>
      </c>
      <c r="AG312" s="2">
        <f t="shared" si="21"/>
      </c>
      <c r="AH312" s="2">
        <f t="shared" si="22"/>
      </c>
      <c r="AI312" s="2">
        <f t="shared" si="23"/>
      </c>
      <c r="AJ312" s="2">
        <f t="shared" si="24"/>
        <v>0</v>
      </c>
      <c r="AK312" s="2">
        <f t="shared" si="25"/>
        <v>0</v>
      </c>
      <c r="AL312" s="2">
        <f t="shared" si="26"/>
        <v>0</v>
      </c>
      <c r="AM312" s="2">
        <f t="shared" si="27"/>
        <v>0</v>
      </c>
      <c r="AN312" s="2">
        <f t="shared" si="28"/>
        <v>0</v>
      </c>
      <c r="AO312" s="2">
        <f t="shared" si="29"/>
      </c>
      <c r="AP312" s="2">
        <f t="shared" si="30"/>
      </c>
      <c r="AQ312" s="2">
        <f t="shared" si="31"/>
      </c>
    </row>
    <row r="313">
      <c r="A313" s="43">
        <f t="shared" si="3"/>
      </c>
      <c r="B313" s="44" t="n"/>
      <c r="C313" s="45" t="n"/>
      <c r="D313" s="46" t="n"/>
      <c r="E313" s="47" t="n"/>
      <c r="F313" s="47" t="n"/>
      <c r="G313" s="48">
        <f t="shared" si="4"/>
      </c>
      <c r="H313" s="43">
        <f t="shared" si="0"/>
      </c>
      <c r="I313" s="43">
        <f t="shared" si="5"/>
      </c>
      <c r="J313" s="43">
        <f t="shared" si="1"/>
      </c>
      <c r="K313" s="49">
        <f t="shared" si="2"/>
      </c>
      <c r="L313" s="45" t="n"/>
      <c r="M313" s="45" t="n"/>
      <c r="N313" s="45" t="n"/>
      <c r="O313" s="45" t="n"/>
      <c r="P313" s="50" t="n"/>
      <c r="R313" s="2">
        <f t="shared" si="6"/>
        <v>0</v>
      </c>
      <c r="S313" s="2">
        <f t="shared" si="7"/>
      </c>
      <c r="T313" s="2">
        <f t="shared" si="8"/>
      </c>
      <c r="U313" s="2">
        <f t="shared" si="9"/>
      </c>
      <c r="V313" s="2">
        <f t="shared" si="10"/>
      </c>
      <c r="W313" s="2">
        <f t="shared" si="11"/>
      </c>
      <c r="X313" s="2">
        <f t="shared" si="12"/>
      </c>
      <c r="Y313" s="2">
        <f t="shared" si="13"/>
        <v>0</v>
      </c>
      <c r="Z313" s="2">
        <f t="shared" si="14"/>
      </c>
      <c r="AA313" s="2">
        <f t="shared" si="15"/>
        <v>0</v>
      </c>
      <c r="AB313" s="2">
        <f t="shared" si="16"/>
      </c>
      <c r="AC313" s="2">
        <f t="shared" si="17"/>
      </c>
      <c r="AD313" s="2">
        <f t="shared" si="18"/>
      </c>
      <c r="AE313" s="2">
        <f t="shared" si="19"/>
      </c>
      <c r="AF313" s="2">
        <f t="shared" si="20"/>
      </c>
      <c r="AG313" s="2">
        <f t="shared" si="21"/>
      </c>
      <c r="AH313" s="2">
        <f t="shared" si="22"/>
      </c>
      <c r="AI313" s="2">
        <f t="shared" si="23"/>
      </c>
      <c r="AJ313" s="2">
        <f t="shared" si="24"/>
        <v>0</v>
      </c>
      <c r="AK313" s="2">
        <f t="shared" si="25"/>
        <v>0</v>
      </c>
      <c r="AL313" s="2">
        <f t="shared" si="26"/>
        <v>0</v>
      </c>
      <c r="AM313" s="2">
        <f t="shared" si="27"/>
        <v>0</v>
      </c>
      <c r="AN313" s="2">
        <f t="shared" si="28"/>
        <v>0</v>
      </c>
      <c r="AO313" s="2">
        <f t="shared" si="29"/>
      </c>
      <c r="AP313" s="2">
        <f t="shared" si="30"/>
      </c>
      <c r="AQ313" s="2">
        <f t="shared" si="31"/>
      </c>
    </row>
    <row r="314">
      <c r="A314" s="43">
        <f t="shared" si="3"/>
      </c>
      <c r="B314" s="44" t="n"/>
      <c r="C314" s="45" t="n"/>
      <c r="D314" s="46" t="n"/>
      <c r="E314" s="47" t="n"/>
      <c r="F314" s="47" t="n"/>
      <c r="G314" s="48">
        <f t="shared" si="4"/>
      </c>
      <c r="H314" s="43">
        <f t="shared" si="0"/>
      </c>
      <c r="I314" s="43">
        <f t="shared" si="5"/>
      </c>
      <c r="J314" s="43">
        <f t="shared" si="1"/>
      </c>
      <c r="K314" s="49">
        <f t="shared" si="2"/>
      </c>
      <c r="L314" s="45" t="n"/>
      <c r="M314" s="45" t="n"/>
      <c r="N314" s="45" t="n"/>
      <c r="O314" s="45" t="n"/>
      <c r="P314" s="50" t="n"/>
      <c r="R314" s="2">
        <f t="shared" si="6"/>
        <v>0</v>
      </c>
      <c r="S314" s="2">
        <f t="shared" si="7"/>
      </c>
      <c r="T314" s="2">
        <f t="shared" si="8"/>
      </c>
      <c r="U314" s="2">
        <f t="shared" si="9"/>
      </c>
      <c r="V314" s="2">
        <f t="shared" si="10"/>
      </c>
      <c r="W314" s="2">
        <f t="shared" si="11"/>
      </c>
      <c r="X314" s="2">
        <f t="shared" si="12"/>
      </c>
      <c r="Y314" s="2">
        <f t="shared" si="13"/>
        <v>0</v>
      </c>
      <c r="Z314" s="2">
        <f t="shared" si="14"/>
      </c>
      <c r="AA314" s="2">
        <f t="shared" si="15"/>
        <v>0</v>
      </c>
      <c r="AB314" s="2">
        <f t="shared" si="16"/>
      </c>
      <c r="AC314" s="2">
        <f t="shared" si="17"/>
      </c>
      <c r="AD314" s="2">
        <f t="shared" si="18"/>
      </c>
      <c r="AE314" s="2">
        <f t="shared" si="19"/>
      </c>
      <c r="AF314" s="2">
        <f t="shared" si="20"/>
      </c>
      <c r="AG314" s="2">
        <f t="shared" si="21"/>
      </c>
      <c r="AH314" s="2">
        <f t="shared" si="22"/>
      </c>
      <c r="AI314" s="2">
        <f t="shared" si="23"/>
      </c>
      <c r="AJ314" s="2">
        <f t="shared" si="24"/>
        <v>0</v>
      </c>
      <c r="AK314" s="2">
        <f t="shared" si="25"/>
        <v>0</v>
      </c>
      <c r="AL314" s="2">
        <f t="shared" si="26"/>
        <v>0</v>
      </c>
      <c r="AM314" s="2">
        <f t="shared" si="27"/>
        <v>0</v>
      </c>
      <c r="AN314" s="2">
        <f t="shared" si="28"/>
        <v>0</v>
      </c>
      <c r="AO314" s="2">
        <f t="shared" si="29"/>
      </c>
      <c r="AP314" s="2">
        <f t="shared" si="30"/>
      </c>
      <c r="AQ314" s="2">
        <f t="shared" si="31"/>
      </c>
    </row>
    <row r="315">
      <c r="A315" s="43">
        <f t="shared" si="3"/>
      </c>
      <c r="B315" s="44" t="n"/>
      <c r="C315" s="45" t="n"/>
      <c r="D315" s="46" t="n"/>
      <c r="E315" s="47" t="n"/>
      <c r="F315" s="47" t="n"/>
      <c r="G315" s="48">
        <f t="shared" si="4"/>
      </c>
      <c r="H315" s="43">
        <f t="shared" si="0"/>
      </c>
      <c r="I315" s="43">
        <f t="shared" si="5"/>
      </c>
      <c r="J315" s="43">
        <f t="shared" si="1"/>
      </c>
      <c r="K315" s="49">
        <f t="shared" si="2"/>
      </c>
      <c r="L315" s="45" t="n"/>
      <c r="M315" s="45" t="n"/>
      <c r="N315" s="45" t="n"/>
      <c r="O315" s="45" t="n"/>
      <c r="P315" s="50" t="n"/>
      <c r="R315" s="2">
        <f t="shared" si="6"/>
        <v>0</v>
      </c>
      <c r="S315" s="2">
        <f t="shared" si="7"/>
      </c>
      <c r="T315" s="2">
        <f t="shared" si="8"/>
      </c>
      <c r="U315" s="2">
        <f t="shared" si="9"/>
      </c>
      <c r="V315" s="2">
        <f t="shared" si="10"/>
      </c>
      <c r="W315" s="2">
        <f t="shared" si="11"/>
      </c>
      <c r="X315" s="2">
        <f t="shared" si="12"/>
      </c>
      <c r="Y315" s="2">
        <f t="shared" si="13"/>
        <v>0</v>
      </c>
      <c r="Z315" s="2">
        <f t="shared" si="14"/>
      </c>
      <c r="AA315" s="2">
        <f t="shared" si="15"/>
        <v>0</v>
      </c>
      <c r="AB315" s="2">
        <f t="shared" si="16"/>
      </c>
      <c r="AC315" s="2">
        <f t="shared" si="17"/>
      </c>
      <c r="AD315" s="2">
        <f t="shared" si="18"/>
      </c>
      <c r="AE315" s="2">
        <f t="shared" si="19"/>
      </c>
      <c r="AF315" s="2">
        <f t="shared" si="20"/>
      </c>
      <c r="AG315" s="2">
        <f t="shared" si="21"/>
      </c>
      <c r="AH315" s="2">
        <f t="shared" si="22"/>
      </c>
      <c r="AI315" s="2">
        <f t="shared" si="23"/>
      </c>
      <c r="AJ315" s="2">
        <f t="shared" si="24"/>
        <v>0</v>
      </c>
      <c r="AK315" s="2">
        <f t="shared" si="25"/>
        <v>0</v>
      </c>
      <c r="AL315" s="2">
        <f t="shared" si="26"/>
        <v>0</v>
      </c>
      <c r="AM315" s="2">
        <f t="shared" si="27"/>
        <v>0</v>
      </c>
      <c r="AN315" s="2">
        <f t="shared" si="28"/>
        <v>0</v>
      </c>
      <c r="AO315" s="2">
        <f t="shared" si="29"/>
      </c>
      <c r="AP315" s="2">
        <f t="shared" si="30"/>
      </c>
      <c r="AQ315" s="2">
        <f t="shared" si="31"/>
      </c>
    </row>
    <row r="316">
      <c r="A316" s="43">
        <f t="shared" si="3"/>
      </c>
      <c r="B316" s="44" t="n"/>
      <c r="C316" s="45" t="n"/>
      <c r="D316" s="46" t="n"/>
      <c r="E316" s="47" t="n"/>
      <c r="F316" s="47" t="n"/>
      <c r="G316" s="48">
        <f t="shared" si="4"/>
      </c>
      <c r="H316" s="43">
        <f t="shared" si="0"/>
      </c>
      <c r="I316" s="43">
        <f t="shared" si="5"/>
      </c>
      <c r="J316" s="43">
        <f t="shared" si="1"/>
      </c>
      <c r="K316" s="49">
        <f t="shared" si="2"/>
      </c>
      <c r="L316" s="45" t="n"/>
      <c r="M316" s="45" t="n"/>
      <c r="N316" s="45" t="n"/>
      <c r="O316" s="45" t="n"/>
      <c r="P316" s="50" t="n"/>
      <c r="R316" s="2">
        <f t="shared" si="6"/>
        <v>0</v>
      </c>
      <c r="S316" s="2">
        <f t="shared" si="7"/>
      </c>
      <c r="T316" s="2">
        <f t="shared" si="8"/>
      </c>
      <c r="U316" s="2">
        <f t="shared" si="9"/>
      </c>
      <c r="V316" s="2">
        <f t="shared" si="10"/>
      </c>
      <c r="W316" s="2">
        <f t="shared" si="11"/>
      </c>
      <c r="X316" s="2">
        <f t="shared" si="12"/>
      </c>
      <c r="Y316" s="2">
        <f t="shared" si="13"/>
        <v>0</v>
      </c>
      <c r="Z316" s="2">
        <f t="shared" si="14"/>
      </c>
      <c r="AA316" s="2">
        <f t="shared" si="15"/>
        <v>0</v>
      </c>
      <c r="AB316" s="2">
        <f t="shared" si="16"/>
      </c>
      <c r="AC316" s="2">
        <f t="shared" si="17"/>
      </c>
      <c r="AD316" s="2">
        <f t="shared" si="18"/>
      </c>
      <c r="AE316" s="2">
        <f t="shared" si="19"/>
      </c>
      <c r="AF316" s="2">
        <f t="shared" si="20"/>
      </c>
      <c r="AG316" s="2">
        <f t="shared" si="21"/>
      </c>
      <c r="AH316" s="2">
        <f t="shared" si="22"/>
      </c>
      <c r="AI316" s="2">
        <f t="shared" si="23"/>
      </c>
      <c r="AJ316" s="2">
        <f t="shared" si="24"/>
        <v>0</v>
      </c>
      <c r="AK316" s="2">
        <f t="shared" si="25"/>
        <v>0</v>
      </c>
      <c r="AL316" s="2">
        <f t="shared" si="26"/>
        <v>0</v>
      </c>
      <c r="AM316" s="2">
        <f t="shared" si="27"/>
        <v>0</v>
      </c>
      <c r="AN316" s="2">
        <f t="shared" si="28"/>
        <v>0</v>
      </c>
      <c r="AO316" s="2">
        <f t="shared" si="29"/>
      </c>
      <c r="AP316" s="2">
        <f t="shared" si="30"/>
      </c>
      <c r="AQ316" s="2">
        <f t="shared" si="31"/>
      </c>
    </row>
    <row r="317">
      <c r="A317" s="43">
        <f t="shared" si="3"/>
      </c>
      <c r="B317" s="44" t="n"/>
      <c r="C317" s="45" t="n"/>
      <c r="D317" s="46" t="n"/>
      <c r="E317" s="47" t="n"/>
      <c r="F317" s="47" t="n"/>
      <c r="G317" s="48">
        <f t="shared" si="4"/>
      </c>
      <c r="H317" s="43">
        <f t="shared" si="0"/>
      </c>
      <c r="I317" s="43">
        <f t="shared" si="5"/>
      </c>
      <c r="J317" s="43">
        <f t="shared" si="1"/>
      </c>
      <c r="K317" s="49">
        <f t="shared" si="2"/>
      </c>
      <c r="L317" s="45" t="n"/>
      <c r="M317" s="45" t="n"/>
      <c r="N317" s="45" t="n"/>
      <c r="O317" s="45" t="n"/>
      <c r="P317" s="50" t="n"/>
      <c r="R317" s="2">
        <f t="shared" si="6"/>
        <v>0</v>
      </c>
      <c r="S317" s="2">
        <f t="shared" si="7"/>
      </c>
      <c r="T317" s="2">
        <f t="shared" si="8"/>
      </c>
      <c r="U317" s="2">
        <f t="shared" si="9"/>
      </c>
      <c r="V317" s="2">
        <f t="shared" si="10"/>
      </c>
      <c r="W317" s="2">
        <f t="shared" si="11"/>
      </c>
      <c r="X317" s="2">
        <f t="shared" si="12"/>
      </c>
      <c r="Y317" s="2">
        <f t="shared" si="13"/>
        <v>0</v>
      </c>
      <c r="Z317" s="2">
        <f t="shared" si="14"/>
      </c>
      <c r="AA317" s="2">
        <f t="shared" si="15"/>
        <v>0</v>
      </c>
      <c r="AB317" s="2">
        <f t="shared" si="16"/>
      </c>
      <c r="AC317" s="2">
        <f t="shared" si="17"/>
      </c>
      <c r="AD317" s="2">
        <f t="shared" si="18"/>
      </c>
      <c r="AE317" s="2">
        <f t="shared" si="19"/>
      </c>
      <c r="AF317" s="2">
        <f t="shared" si="20"/>
      </c>
      <c r="AG317" s="2">
        <f t="shared" si="21"/>
      </c>
      <c r="AH317" s="2">
        <f t="shared" si="22"/>
      </c>
      <c r="AI317" s="2">
        <f t="shared" si="23"/>
      </c>
      <c r="AJ317" s="2">
        <f t="shared" si="24"/>
        <v>0</v>
      </c>
      <c r="AK317" s="2">
        <f t="shared" si="25"/>
        <v>0</v>
      </c>
      <c r="AL317" s="2">
        <f t="shared" si="26"/>
        <v>0</v>
      </c>
      <c r="AM317" s="2">
        <f t="shared" si="27"/>
        <v>0</v>
      </c>
      <c r="AN317" s="2">
        <f t="shared" si="28"/>
        <v>0</v>
      </c>
      <c r="AO317" s="2">
        <f t="shared" si="29"/>
      </c>
      <c r="AP317" s="2">
        <f t="shared" si="30"/>
      </c>
      <c r="AQ317" s="2">
        <f t="shared" si="31"/>
      </c>
    </row>
    <row r="318">
      <c r="A318" s="43">
        <f t="shared" si="3"/>
      </c>
      <c r="B318" s="44" t="n"/>
      <c r="C318" s="45" t="n"/>
      <c r="D318" s="46" t="n"/>
      <c r="E318" s="47" t="n"/>
      <c r="F318" s="47" t="n"/>
      <c r="G318" s="48">
        <f t="shared" si="4"/>
      </c>
      <c r="H318" s="43">
        <f t="shared" si="0"/>
      </c>
      <c r="I318" s="43">
        <f t="shared" si="5"/>
      </c>
      <c r="J318" s="43">
        <f t="shared" si="1"/>
      </c>
      <c r="K318" s="49">
        <f t="shared" si="2"/>
      </c>
      <c r="L318" s="45" t="n"/>
      <c r="M318" s="45" t="n"/>
      <c r="N318" s="45" t="n"/>
      <c r="O318" s="45" t="n"/>
      <c r="P318" s="50" t="n"/>
      <c r="R318" s="2">
        <f t="shared" si="6"/>
        <v>0</v>
      </c>
      <c r="S318" s="2">
        <f t="shared" si="7"/>
      </c>
      <c r="T318" s="2">
        <f t="shared" si="8"/>
      </c>
      <c r="U318" s="2">
        <f t="shared" si="9"/>
      </c>
      <c r="V318" s="2">
        <f t="shared" si="10"/>
      </c>
      <c r="W318" s="2">
        <f t="shared" si="11"/>
      </c>
      <c r="X318" s="2">
        <f t="shared" si="12"/>
      </c>
      <c r="Y318" s="2">
        <f t="shared" si="13"/>
        <v>0</v>
      </c>
      <c r="Z318" s="2">
        <f t="shared" si="14"/>
      </c>
      <c r="AA318" s="2">
        <f t="shared" si="15"/>
        <v>0</v>
      </c>
      <c r="AB318" s="2">
        <f t="shared" si="16"/>
      </c>
      <c r="AC318" s="2">
        <f t="shared" si="17"/>
      </c>
      <c r="AD318" s="2">
        <f t="shared" si="18"/>
      </c>
      <c r="AE318" s="2">
        <f t="shared" si="19"/>
      </c>
      <c r="AF318" s="2">
        <f t="shared" si="20"/>
      </c>
      <c r="AG318" s="2">
        <f t="shared" si="21"/>
      </c>
      <c r="AH318" s="2">
        <f t="shared" si="22"/>
      </c>
      <c r="AI318" s="2">
        <f t="shared" si="23"/>
      </c>
      <c r="AJ318" s="2">
        <f t="shared" si="24"/>
        <v>0</v>
      </c>
      <c r="AK318" s="2">
        <f t="shared" si="25"/>
        <v>0</v>
      </c>
      <c r="AL318" s="2">
        <f t="shared" si="26"/>
        <v>0</v>
      </c>
      <c r="AM318" s="2">
        <f t="shared" si="27"/>
        <v>0</v>
      </c>
      <c r="AN318" s="2">
        <f t="shared" si="28"/>
        <v>0</v>
      </c>
      <c r="AO318" s="2">
        <f t="shared" si="29"/>
      </c>
      <c r="AP318" s="2">
        <f t="shared" si="30"/>
      </c>
      <c r="AQ318" s="2">
        <f t="shared" si="31"/>
      </c>
    </row>
    <row r="319">
      <c r="A319" s="43">
        <f t="shared" si="3"/>
      </c>
      <c r="B319" s="44" t="n"/>
      <c r="C319" s="45" t="n"/>
      <c r="D319" s="46" t="n"/>
      <c r="E319" s="47" t="n"/>
      <c r="F319" s="47" t="n"/>
      <c r="G319" s="48">
        <f t="shared" si="4"/>
      </c>
      <c r="H319" s="43">
        <f t="shared" si="0"/>
      </c>
      <c r="I319" s="43">
        <f t="shared" si="5"/>
      </c>
      <c r="J319" s="43">
        <f t="shared" si="1"/>
      </c>
      <c r="K319" s="49">
        <f t="shared" si="2"/>
      </c>
      <c r="L319" s="45" t="n"/>
      <c r="M319" s="45" t="n"/>
      <c r="N319" s="45" t="n"/>
      <c r="O319" s="45" t="n"/>
      <c r="P319" s="50" t="n"/>
      <c r="R319" s="2">
        <f t="shared" si="6"/>
        <v>0</v>
      </c>
      <c r="S319" s="2">
        <f t="shared" si="7"/>
      </c>
      <c r="T319" s="2">
        <f t="shared" si="8"/>
      </c>
      <c r="U319" s="2">
        <f t="shared" si="9"/>
      </c>
      <c r="V319" s="2">
        <f t="shared" si="10"/>
      </c>
      <c r="W319" s="2">
        <f t="shared" si="11"/>
      </c>
      <c r="X319" s="2">
        <f t="shared" si="12"/>
      </c>
      <c r="Y319" s="2">
        <f t="shared" si="13"/>
        <v>0</v>
      </c>
      <c r="Z319" s="2">
        <f t="shared" si="14"/>
      </c>
      <c r="AA319" s="2">
        <f t="shared" si="15"/>
        <v>0</v>
      </c>
      <c r="AB319" s="2">
        <f t="shared" si="16"/>
      </c>
      <c r="AC319" s="2">
        <f t="shared" si="17"/>
      </c>
      <c r="AD319" s="2">
        <f t="shared" si="18"/>
      </c>
      <c r="AE319" s="2">
        <f t="shared" si="19"/>
      </c>
      <c r="AF319" s="2">
        <f t="shared" si="20"/>
      </c>
      <c r="AG319" s="2">
        <f t="shared" si="21"/>
      </c>
      <c r="AH319" s="2">
        <f t="shared" si="22"/>
      </c>
      <c r="AI319" s="2">
        <f t="shared" si="23"/>
      </c>
      <c r="AJ319" s="2">
        <f t="shared" si="24"/>
        <v>0</v>
      </c>
      <c r="AK319" s="2">
        <f t="shared" si="25"/>
        <v>0</v>
      </c>
      <c r="AL319" s="2">
        <f t="shared" si="26"/>
        <v>0</v>
      </c>
      <c r="AM319" s="2">
        <f t="shared" si="27"/>
        <v>0</v>
      </c>
      <c r="AN319" s="2">
        <f t="shared" si="28"/>
        <v>0</v>
      </c>
      <c r="AO319" s="2">
        <f t="shared" si="29"/>
      </c>
      <c r="AP319" s="2">
        <f t="shared" si="30"/>
      </c>
      <c r="AQ319" s="2">
        <f t="shared" si="31"/>
      </c>
    </row>
    <row r="320">
      <c r="A320" s="43">
        <f t="shared" si="3"/>
      </c>
      <c r="B320" s="44" t="n"/>
      <c r="C320" s="45" t="n"/>
      <c r="D320" s="46" t="n"/>
      <c r="E320" s="47" t="n"/>
      <c r="F320" s="47" t="n"/>
      <c r="G320" s="48">
        <f t="shared" si="4"/>
      </c>
      <c r="H320" s="43">
        <f t="shared" si="0"/>
      </c>
      <c r="I320" s="43">
        <f t="shared" si="5"/>
      </c>
      <c r="J320" s="43">
        <f t="shared" si="1"/>
      </c>
      <c r="K320" s="49">
        <f t="shared" si="2"/>
      </c>
      <c r="L320" s="45" t="n"/>
      <c r="M320" s="45" t="n"/>
      <c r="N320" s="45" t="n"/>
      <c r="O320" s="45" t="n"/>
      <c r="P320" s="50" t="n"/>
      <c r="R320" s="2">
        <f t="shared" si="6"/>
        <v>0</v>
      </c>
      <c r="S320" s="2">
        <f t="shared" si="7"/>
      </c>
      <c r="T320" s="2">
        <f t="shared" si="8"/>
      </c>
      <c r="U320" s="2">
        <f t="shared" si="9"/>
      </c>
      <c r="V320" s="2">
        <f t="shared" si="10"/>
      </c>
      <c r="W320" s="2">
        <f t="shared" si="11"/>
      </c>
      <c r="X320" s="2">
        <f t="shared" si="12"/>
      </c>
      <c r="Y320" s="2">
        <f t="shared" si="13"/>
        <v>0</v>
      </c>
      <c r="Z320" s="2">
        <f t="shared" si="14"/>
      </c>
      <c r="AA320" s="2">
        <f t="shared" si="15"/>
        <v>0</v>
      </c>
      <c r="AB320" s="2">
        <f t="shared" si="16"/>
      </c>
      <c r="AC320" s="2">
        <f t="shared" si="17"/>
      </c>
      <c r="AD320" s="2">
        <f t="shared" si="18"/>
      </c>
      <c r="AE320" s="2">
        <f t="shared" si="19"/>
      </c>
      <c r="AF320" s="2">
        <f t="shared" si="20"/>
      </c>
      <c r="AG320" s="2">
        <f t="shared" si="21"/>
      </c>
      <c r="AH320" s="2">
        <f t="shared" si="22"/>
      </c>
      <c r="AI320" s="2">
        <f t="shared" si="23"/>
      </c>
      <c r="AJ320" s="2">
        <f t="shared" si="24"/>
        <v>0</v>
      </c>
      <c r="AK320" s="2">
        <f t="shared" si="25"/>
        <v>0</v>
      </c>
      <c r="AL320" s="2">
        <f t="shared" si="26"/>
        <v>0</v>
      </c>
      <c r="AM320" s="2">
        <f t="shared" si="27"/>
        <v>0</v>
      </c>
      <c r="AN320" s="2">
        <f t="shared" si="28"/>
        <v>0</v>
      </c>
      <c r="AO320" s="2">
        <f t="shared" si="29"/>
      </c>
      <c r="AP320" s="2">
        <f t="shared" si="30"/>
      </c>
      <c r="AQ320" s="2">
        <f t="shared" si="31"/>
      </c>
    </row>
    <row r="321">
      <c r="A321" s="43">
        <f t="shared" si="3"/>
      </c>
      <c r="B321" s="44" t="n"/>
      <c r="C321" s="45" t="n"/>
      <c r="D321" s="46" t="n"/>
      <c r="E321" s="47" t="n"/>
      <c r="F321" s="47" t="n"/>
      <c r="G321" s="48">
        <f t="shared" si="4"/>
      </c>
      <c r="H321" s="43">
        <f t="shared" si="0"/>
      </c>
      <c r="I321" s="43">
        <f t="shared" si="5"/>
      </c>
      <c r="J321" s="43">
        <f t="shared" si="1"/>
      </c>
      <c r="K321" s="49">
        <f t="shared" si="2"/>
      </c>
      <c r="L321" s="45" t="n"/>
      <c r="M321" s="45" t="n"/>
      <c r="N321" s="45" t="n"/>
      <c r="O321" s="45" t="n"/>
      <c r="P321" s="50" t="n"/>
      <c r="R321" s="2">
        <f t="shared" si="6"/>
        <v>0</v>
      </c>
      <c r="S321" s="2">
        <f t="shared" si="7"/>
      </c>
      <c r="T321" s="2">
        <f t="shared" si="8"/>
      </c>
      <c r="U321" s="2">
        <f t="shared" si="9"/>
      </c>
      <c r="V321" s="2">
        <f t="shared" si="10"/>
      </c>
      <c r="W321" s="2">
        <f t="shared" si="11"/>
      </c>
      <c r="X321" s="2">
        <f t="shared" si="12"/>
      </c>
      <c r="Y321" s="2">
        <f t="shared" si="13"/>
        <v>0</v>
      </c>
      <c r="Z321" s="2">
        <f t="shared" si="14"/>
      </c>
      <c r="AA321" s="2">
        <f t="shared" si="15"/>
        <v>0</v>
      </c>
      <c r="AB321" s="2">
        <f t="shared" si="16"/>
      </c>
      <c r="AC321" s="2">
        <f t="shared" si="17"/>
      </c>
      <c r="AD321" s="2">
        <f t="shared" si="18"/>
      </c>
      <c r="AE321" s="2">
        <f t="shared" si="19"/>
      </c>
      <c r="AF321" s="2">
        <f t="shared" si="20"/>
      </c>
      <c r="AG321" s="2">
        <f t="shared" si="21"/>
      </c>
      <c r="AH321" s="2">
        <f t="shared" si="22"/>
      </c>
      <c r="AI321" s="2">
        <f t="shared" si="23"/>
      </c>
      <c r="AJ321" s="2">
        <f t="shared" si="24"/>
        <v>0</v>
      </c>
      <c r="AK321" s="2">
        <f t="shared" si="25"/>
        <v>0</v>
      </c>
      <c r="AL321" s="2">
        <f t="shared" si="26"/>
        <v>0</v>
      </c>
      <c r="AM321" s="2">
        <f t="shared" si="27"/>
        <v>0</v>
      </c>
      <c r="AN321" s="2">
        <f t="shared" si="28"/>
        <v>0</v>
      </c>
      <c r="AO321" s="2">
        <f t="shared" si="29"/>
      </c>
      <c r="AP321" s="2">
        <f t="shared" si="30"/>
      </c>
      <c r="AQ321" s="2">
        <f t="shared" si="31"/>
      </c>
    </row>
    <row r="322">
      <c r="A322" s="43">
        <f t="shared" si="3"/>
      </c>
      <c r="B322" s="44" t="n"/>
      <c r="C322" s="45" t="n"/>
      <c r="D322" s="46" t="n"/>
      <c r="E322" s="47" t="n"/>
      <c r="F322" s="47" t="n"/>
      <c r="G322" s="48">
        <f t="shared" si="4"/>
      </c>
      <c r="H322" s="43">
        <f t="shared" si="0"/>
      </c>
      <c r="I322" s="43">
        <f t="shared" si="5"/>
      </c>
      <c r="J322" s="43">
        <f t="shared" si="1"/>
      </c>
      <c r="K322" s="49">
        <f t="shared" si="2"/>
      </c>
      <c r="L322" s="45" t="n"/>
      <c r="M322" s="45" t="n"/>
      <c r="N322" s="45" t="n"/>
      <c r="O322" s="45" t="n"/>
      <c r="P322" s="50" t="n"/>
      <c r="R322" s="2">
        <f t="shared" si="6"/>
        <v>0</v>
      </c>
      <c r="S322" s="2">
        <f t="shared" si="7"/>
      </c>
      <c r="T322" s="2">
        <f t="shared" si="8"/>
      </c>
      <c r="U322" s="2">
        <f t="shared" si="9"/>
      </c>
      <c r="V322" s="2">
        <f t="shared" si="10"/>
      </c>
      <c r="W322" s="2">
        <f t="shared" si="11"/>
      </c>
      <c r="X322" s="2">
        <f t="shared" si="12"/>
      </c>
      <c r="Y322" s="2">
        <f t="shared" si="13"/>
        <v>0</v>
      </c>
      <c r="Z322" s="2">
        <f t="shared" si="14"/>
      </c>
      <c r="AA322" s="2">
        <f t="shared" si="15"/>
        <v>0</v>
      </c>
      <c r="AB322" s="2">
        <f t="shared" si="16"/>
      </c>
      <c r="AC322" s="2">
        <f t="shared" si="17"/>
      </c>
      <c r="AD322" s="2">
        <f t="shared" si="18"/>
      </c>
      <c r="AE322" s="2">
        <f t="shared" si="19"/>
      </c>
      <c r="AF322" s="2">
        <f t="shared" si="20"/>
      </c>
      <c r="AG322" s="2">
        <f t="shared" si="21"/>
      </c>
      <c r="AH322" s="2">
        <f t="shared" si="22"/>
      </c>
      <c r="AI322" s="2">
        <f t="shared" si="23"/>
      </c>
      <c r="AJ322" s="2">
        <f t="shared" si="24"/>
        <v>0</v>
      </c>
      <c r="AK322" s="2">
        <f t="shared" si="25"/>
        <v>0</v>
      </c>
      <c r="AL322" s="2">
        <f t="shared" si="26"/>
        <v>0</v>
      </c>
      <c r="AM322" s="2">
        <f t="shared" si="27"/>
        <v>0</v>
      </c>
      <c r="AN322" s="2">
        <f t="shared" si="28"/>
        <v>0</v>
      </c>
      <c r="AO322" s="2">
        <f t="shared" si="29"/>
      </c>
      <c r="AP322" s="2">
        <f t="shared" si="30"/>
      </c>
      <c r="AQ322" s="2">
        <f t="shared" si="31"/>
      </c>
    </row>
    <row r="323">
      <c r="A323" s="43">
        <f t="shared" si="3"/>
      </c>
      <c r="B323" s="44" t="n"/>
      <c r="C323" s="45" t="n"/>
      <c r="D323" s="46" t="n"/>
      <c r="E323" s="47" t="n"/>
      <c r="F323" s="47" t="n"/>
      <c r="G323" s="48">
        <f t="shared" si="4"/>
      </c>
      <c r="H323" s="43">
        <f t="shared" si="0"/>
      </c>
      <c r="I323" s="43">
        <f t="shared" si="5"/>
      </c>
      <c r="J323" s="43">
        <f t="shared" si="1"/>
      </c>
      <c r="K323" s="49">
        <f t="shared" si="2"/>
      </c>
      <c r="L323" s="45" t="n"/>
      <c r="M323" s="45" t="n"/>
      <c r="N323" s="45" t="n"/>
      <c r="O323" s="45" t="n"/>
      <c r="P323" s="50" t="n"/>
      <c r="R323" s="2">
        <f t="shared" si="6"/>
        <v>0</v>
      </c>
      <c r="S323" s="2">
        <f t="shared" si="7"/>
      </c>
      <c r="T323" s="2">
        <f t="shared" si="8"/>
      </c>
      <c r="U323" s="2">
        <f t="shared" si="9"/>
      </c>
      <c r="V323" s="2">
        <f t="shared" si="10"/>
      </c>
      <c r="W323" s="2">
        <f t="shared" si="11"/>
      </c>
      <c r="X323" s="2">
        <f t="shared" si="12"/>
      </c>
      <c r="Y323" s="2">
        <f t="shared" si="13"/>
        <v>0</v>
      </c>
      <c r="Z323" s="2">
        <f t="shared" si="14"/>
      </c>
      <c r="AA323" s="2">
        <f t="shared" si="15"/>
        <v>0</v>
      </c>
      <c r="AB323" s="2">
        <f t="shared" si="16"/>
      </c>
      <c r="AC323" s="2">
        <f t="shared" si="17"/>
      </c>
      <c r="AD323" s="2">
        <f t="shared" si="18"/>
      </c>
      <c r="AE323" s="2">
        <f t="shared" si="19"/>
      </c>
      <c r="AF323" s="2">
        <f t="shared" si="20"/>
      </c>
      <c r="AG323" s="2">
        <f t="shared" si="21"/>
      </c>
      <c r="AH323" s="2">
        <f t="shared" si="22"/>
      </c>
      <c r="AI323" s="2">
        <f t="shared" si="23"/>
      </c>
      <c r="AJ323" s="2">
        <f t="shared" si="24"/>
        <v>0</v>
      </c>
      <c r="AK323" s="2">
        <f t="shared" si="25"/>
        <v>0</v>
      </c>
      <c r="AL323" s="2">
        <f t="shared" si="26"/>
        <v>0</v>
      </c>
      <c r="AM323" s="2">
        <f t="shared" si="27"/>
        <v>0</v>
      </c>
      <c r="AN323" s="2">
        <f t="shared" si="28"/>
        <v>0</v>
      </c>
      <c r="AO323" s="2">
        <f t="shared" si="29"/>
      </c>
      <c r="AP323" s="2">
        <f t="shared" si="30"/>
      </c>
      <c r="AQ323" s="2">
        <f t="shared" si="31"/>
      </c>
    </row>
    <row r="324">
      <c r="A324" s="43">
        <f t="shared" si="3"/>
      </c>
      <c r="B324" s="44" t="n"/>
      <c r="C324" s="45" t="n"/>
      <c r="D324" s="46" t="n"/>
      <c r="E324" s="47" t="n"/>
      <c r="F324" s="47" t="n"/>
      <c r="G324" s="48">
        <f t="shared" si="4"/>
      </c>
      <c r="H324" s="43">
        <f t="shared" si="0"/>
      </c>
      <c r="I324" s="43">
        <f t="shared" si="5"/>
      </c>
      <c r="J324" s="43">
        <f t="shared" si="1"/>
      </c>
      <c r="K324" s="49">
        <f t="shared" si="2"/>
      </c>
      <c r="L324" s="45" t="n"/>
      <c r="M324" s="45" t="n"/>
      <c r="N324" s="45" t="n"/>
      <c r="O324" s="45" t="n"/>
      <c r="P324" s="50" t="n"/>
      <c r="R324" s="2">
        <f t="shared" si="6"/>
        <v>0</v>
      </c>
      <c r="S324" s="2">
        <f t="shared" si="7"/>
      </c>
      <c r="T324" s="2">
        <f t="shared" si="8"/>
      </c>
      <c r="U324" s="2">
        <f t="shared" si="9"/>
      </c>
      <c r="V324" s="2">
        <f t="shared" si="10"/>
      </c>
      <c r="W324" s="2">
        <f t="shared" si="11"/>
      </c>
      <c r="X324" s="2">
        <f t="shared" si="12"/>
      </c>
      <c r="Y324" s="2">
        <f t="shared" si="13"/>
        <v>0</v>
      </c>
      <c r="Z324" s="2">
        <f t="shared" si="14"/>
      </c>
      <c r="AA324" s="2">
        <f t="shared" si="15"/>
        <v>0</v>
      </c>
      <c r="AB324" s="2">
        <f t="shared" si="16"/>
      </c>
      <c r="AC324" s="2">
        <f t="shared" si="17"/>
      </c>
      <c r="AD324" s="2">
        <f t="shared" si="18"/>
      </c>
      <c r="AE324" s="2">
        <f t="shared" si="19"/>
      </c>
      <c r="AF324" s="2">
        <f t="shared" si="20"/>
      </c>
      <c r="AG324" s="2">
        <f t="shared" si="21"/>
      </c>
      <c r="AH324" s="2">
        <f t="shared" si="22"/>
      </c>
      <c r="AI324" s="2">
        <f t="shared" si="23"/>
      </c>
      <c r="AJ324" s="2">
        <f t="shared" si="24"/>
        <v>0</v>
      </c>
      <c r="AK324" s="2">
        <f t="shared" si="25"/>
        <v>0</v>
      </c>
      <c r="AL324" s="2">
        <f t="shared" si="26"/>
        <v>0</v>
      </c>
      <c r="AM324" s="2">
        <f t="shared" si="27"/>
        <v>0</v>
      </c>
      <c r="AN324" s="2">
        <f t="shared" si="28"/>
        <v>0</v>
      </c>
      <c r="AO324" s="2">
        <f t="shared" si="29"/>
      </c>
      <c r="AP324" s="2">
        <f t="shared" si="30"/>
      </c>
      <c r="AQ324" s="2">
        <f t="shared" si="31"/>
      </c>
    </row>
    <row r="325">
      <c r="A325" s="43">
        <f t="shared" si="3"/>
      </c>
      <c r="B325" s="44" t="n"/>
      <c r="C325" s="45" t="n"/>
      <c r="D325" s="46" t="n"/>
      <c r="E325" s="47" t="n"/>
      <c r="F325" s="47" t="n"/>
      <c r="G325" s="48">
        <f t="shared" si="4"/>
      </c>
      <c r="H325" s="43">
        <f t="shared" si="0"/>
      </c>
      <c r="I325" s="43">
        <f t="shared" si="5"/>
      </c>
      <c r="J325" s="43">
        <f t="shared" si="1"/>
      </c>
      <c r="K325" s="49">
        <f t="shared" si="2"/>
      </c>
      <c r="L325" s="45" t="n"/>
      <c r="M325" s="45" t="n"/>
      <c r="N325" s="45" t="n"/>
      <c r="O325" s="45" t="n"/>
      <c r="P325" s="50" t="n"/>
      <c r="R325" s="2">
        <f t="shared" si="6"/>
        <v>0</v>
      </c>
      <c r="S325" s="2">
        <f t="shared" si="7"/>
      </c>
      <c r="T325" s="2">
        <f t="shared" si="8"/>
      </c>
      <c r="U325" s="2">
        <f t="shared" si="9"/>
      </c>
      <c r="V325" s="2">
        <f t="shared" si="10"/>
      </c>
      <c r="W325" s="2">
        <f t="shared" si="11"/>
      </c>
      <c r="X325" s="2">
        <f t="shared" si="12"/>
      </c>
      <c r="Y325" s="2">
        <f t="shared" si="13"/>
        <v>0</v>
      </c>
      <c r="Z325" s="2">
        <f t="shared" si="14"/>
      </c>
      <c r="AA325" s="2">
        <f t="shared" si="15"/>
        <v>0</v>
      </c>
      <c r="AB325" s="2">
        <f t="shared" si="16"/>
      </c>
      <c r="AC325" s="2">
        <f t="shared" si="17"/>
      </c>
      <c r="AD325" s="2">
        <f t="shared" si="18"/>
      </c>
      <c r="AE325" s="2">
        <f t="shared" si="19"/>
      </c>
      <c r="AF325" s="2">
        <f t="shared" si="20"/>
      </c>
      <c r="AG325" s="2">
        <f t="shared" si="21"/>
      </c>
      <c r="AH325" s="2">
        <f t="shared" si="22"/>
      </c>
      <c r="AI325" s="2">
        <f t="shared" si="23"/>
      </c>
      <c r="AJ325" s="2">
        <f t="shared" si="24"/>
        <v>0</v>
      </c>
      <c r="AK325" s="2">
        <f t="shared" si="25"/>
        <v>0</v>
      </c>
      <c r="AL325" s="2">
        <f t="shared" si="26"/>
        <v>0</v>
      </c>
      <c r="AM325" s="2">
        <f t="shared" si="27"/>
        <v>0</v>
      </c>
      <c r="AN325" s="2">
        <f t="shared" si="28"/>
        <v>0</v>
      </c>
      <c r="AO325" s="2">
        <f t="shared" si="29"/>
      </c>
      <c r="AP325" s="2">
        <f t="shared" si="30"/>
      </c>
      <c r="AQ325" s="2">
        <f t="shared" si="31"/>
      </c>
    </row>
    <row r="326">
      <c r="A326" s="43">
        <f t="shared" si="3"/>
      </c>
      <c r="B326" s="44" t="n"/>
      <c r="C326" s="45" t="n"/>
      <c r="D326" s="46" t="n"/>
      <c r="E326" s="47" t="n"/>
      <c r="F326" s="47" t="n"/>
      <c r="G326" s="48">
        <f t="shared" si="4"/>
      </c>
      <c r="H326" s="43">
        <f t="shared" si="0"/>
      </c>
      <c r="I326" s="43">
        <f t="shared" si="5"/>
      </c>
      <c r="J326" s="43">
        <f t="shared" si="1"/>
      </c>
      <c r="K326" s="49">
        <f t="shared" si="2"/>
      </c>
      <c r="L326" s="45" t="n"/>
      <c r="M326" s="45" t="n"/>
      <c r="N326" s="45" t="n"/>
      <c r="O326" s="45" t="n"/>
      <c r="P326" s="50" t="n"/>
      <c r="R326" s="2">
        <f t="shared" si="6"/>
        <v>0</v>
      </c>
      <c r="S326" s="2">
        <f t="shared" si="7"/>
      </c>
      <c r="T326" s="2">
        <f t="shared" si="8"/>
      </c>
      <c r="U326" s="2">
        <f t="shared" si="9"/>
      </c>
      <c r="V326" s="2">
        <f t="shared" si="10"/>
      </c>
      <c r="W326" s="2">
        <f t="shared" si="11"/>
      </c>
      <c r="X326" s="2">
        <f t="shared" si="12"/>
      </c>
      <c r="Y326" s="2">
        <f t="shared" si="13"/>
        <v>0</v>
      </c>
      <c r="Z326" s="2">
        <f t="shared" si="14"/>
      </c>
      <c r="AA326" s="2">
        <f t="shared" si="15"/>
        <v>0</v>
      </c>
      <c r="AB326" s="2">
        <f t="shared" si="16"/>
      </c>
      <c r="AC326" s="2">
        <f t="shared" si="17"/>
      </c>
      <c r="AD326" s="2">
        <f t="shared" si="18"/>
      </c>
      <c r="AE326" s="2">
        <f t="shared" si="19"/>
      </c>
      <c r="AF326" s="2">
        <f t="shared" si="20"/>
      </c>
      <c r="AG326" s="2">
        <f t="shared" si="21"/>
      </c>
      <c r="AH326" s="2">
        <f t="shared" si="22"/>
      </c>
      <c r="AI326" s="2">
        <f t="shared" si="23"/>
      </c>
      <c r="AJ326" s="2">
        <f t="shared" si="24"/>
        <v>0</v>
      </c>
      <c r="AK326" s="2">
        <f t="shared" si="25"/>
        <v>0</v>
      </c>
      <c r="AL326" s="2">
        <f t="shared" si="26"/>
        <v>0</v>
      </c>
      <c r="AM326" s="2">
        <f t="shared" si="27"/>
        <v>0</v>
      </c>
      <c r="AN326" s="2">
        <f t="shared" si="28"/>
        <v>0</v>
      </c>
      <c r="AO326" s="2">
        <f t="shared" si="29"/>
      </c>
      <c r="AP326" s="2">
        <f t="shared" si="30"/>
      </c>
      <c r="AQ326" s="2">
        <f t="shared" si="31"/>
      </c>
    </row>
    <row r="327">
      <c r="A327" s="43">
        <f t="shared" si="3"/>
      </c>
      <c r="B327" s="44" t="n"/>
      <c r="C327" s="45" t="n"/>
      <c r="D327" s="46" t="n"/>
      <c r="E327" s="47" t="n"/>
      <c r="F327" s="47" t="n"/>
      <c r="G327" s="48">
        <f t="shared" si="4"/>
      </c>
      <c r="H327" s="43">
        <f t="shared" si="0"/>
      </c>
      <c r="I327" s="43">
        <f t="shared" si="5"/>
      </c>
      <c r="J327" s="43">
        <f t="shared" si="1"/>
      </c>
      <c r="K327" s="49">
        <f t="shared" si="2"/>
      </c>
      <c r="L327" s="45" t="n"/>
      <c r="M327" s="45" t="n"/>
      <c r="N327" s="45" t="n"/>
      <c r="O327" s="45" t="n"/>
      <c r="P327" s="50" t="n"/>
      <c r="R327" s="2">
        <f t="shared" si="6"/>
        <v>0</v>
      </c>
      <c r="S327" s="2">
        <f t="shared" si="7"/>
      </c>
      <c r="T327" s="2">
        <f t="shared" si="8"/>
      </c>
      <c r="U327" s="2">
        <f t="shared" si="9"/>
      </c>
      <c r="V327" s="2">
        <f t="shared" si="10"/>
      </c>
      <c r="W327" s="2">
        <f t="shared" si="11"/>
      </c>
      <c r="X327" s="2">
        <f t="shared" si="12"/>
      </c>
      <c r="Y327" s="2">
        <f t="shared" si="13"/>
        <v>0</v>
      </c>
      <c r="Z327" s="2">
        <f t="shared" si="14"/>
      </c>
      <c r="AA327" s="2">
        <f t="shared" si="15"/>
        <v>0</v>
      </c>
      <c r="AB327" s="2">
        <f t="shared" si="16"/>
      </c>
      <c r="AC327" s="2">
        <f t="shared" si="17"/>
      </c>
      <c r="AD327" s="2">
        <f t="shared" si="18"/>
      </c>
      <c r="AE327" s="2">
        <f t="shared" si="19"/>
      </c>
      <c r="AF327" s="2">
        <f t="shared" si="20"/>
      </c>
      <c r="AG327" s="2">
        <f t="shared" si="21"/>
      </c>
      <c r="AH327" s="2">
        <f t="shared" si="22"/>
      </c>
      <c r="AI327" s="2">
        <f t="shared" si="23"/>
      </c>
      <c r="AJ327" s="2">
        <f t="shared" si="24"/>
        <v>0</v>
      </c>
      <c r="AK327" s="2">
        <f t="shared" si="25"/>
        <v>0</v>
      </c>
      <c r="AL327" s="2">
        <f t="shared" si="26"/>
        <v>0</v>
      </c>
      <c r="AM327" s="2">
        <f t="shared" si="27"/>
        <v>0</v>
      </c>
      <c r="AN327" s="2">
        <f t="shared" si="28"/>
        <v>0</v>
      </c>
      <c r="AO327" s="2">
        <f t="shared" si="29"/>
      </c>
      <c r="AP327" s="2">
        <f t="shared" si="30"/>
      </c>
      <c r="AQ327" s="2">
        <f t="shared" si="31"/>
      </c>
    </row>
    <row r="328">
      <c r="A328" s="43">
        <f t="shared" si="3"/>
      </c>
      <c r="B328" s="44" t="n"/>
      <c r="C328" s="45" t="n"/>
      <c r="D328" s="46" t="n"/>
      <c r="E328" s="47" t="n"/>
      <c r="F328" s="47" t="n"/>
      <c r="G328" s="48">
        <f t="shared" si="4"/>
      </c>
      <c r="H328" s="43">
        <f t="shared" si="0"/>
      </c>
      <c r="I328" s="43">
        <f t="shared" si="5"/>
      </c>
      <c r="J328" s="43">
        <f t="shared" si="1"/>
      </c>
      <c r="K328" s="49">
        <f t="shared" si="2"/>
      </c>
      <c r="L328" s="45" t="n"/>
      <c r="M328" s="45" t="n"/>
      <c r="N328" s="45" t="n"/>
      <c r="O328" s="45" t="n"/>
      <c r="P328" s="50" t="n"/>
      <c r="R328" s="2">
        <f t="shared" si="6"/>
        <v>0</v>
      </c>
      <c r="S328" s="2">
        <f t="shared" si="7"/>
      </c>
      <c r="T328" s="2">
        <f t="shared" si="8"/>
      </c>
      <c r="U328" s="2">
        <f t="shared" si="9"/>
      </c>
      <c r="V328" s="2">
        <f t="shared" si="10"/>
      </c>
      <c r="W328" s="2">
        <f t="shared" si="11"/>
      </c>
      <c r="X328" s="2">
        <f t="shared" si="12"/>
      </c>
      <c r="Y328" s="2">
        <f t="shared" si="13"/>
        <v>0</v>
      </c>
      <c r="Z328" s="2">
        <f t="shared" si="14"/>
      </c>
      <c r="AA328" s="2">
        <f t="shared" si="15"/>
        <v>0</v>
      </c>
      <c r="AB328" s="2">
        <f t="shared" si="16"/>
      </c>
      <c r="AC328" s="2">
        <f t="shared" si="17"/>
      </c>
      <c r="AD328" s="2">
        <f t="shared" si="18"/>
      </c>
      <c r="AE328" s="2">
        <f t="shared" si="19"/>
      </c>
      <c r="AF328" s="2">
        <f t="shared" si="20"/>
      </c>
      <c r="AG328" s="2">
        <f t="shared" si="21"/>
      </c>
      <c r="AH328" s="2">
        <f t="shared" si="22"/>
      </c>
      <c r="AI328" s="2">
        <f t="shared" si="23"/>
      </c>
      <c r="AJ328" s="2">
        <f t="shared" si="24"/>
        <v>0</v>
      </c>
      <c r="AK328" s="2">
        <f t="shared" si="25"/>
        <v>0</v>
      </c>
      <c r="AL328" s="2">
        <f t="shared" si="26"/>
        <v>0</v>
      </c>
      <c r="AM328" s="2">
        <f t="shared" si="27"/>
        <v>0</v>
      </c>
      <c r="AN328" s="2">
        <f t="shared" si="28"/>
        <v>0</v>
      </c>
      <c r="AO328" s="2">
        <f t="shared" si="29"/>
      </c>
      <c r="AP328" s="2">
        <f t="shared" si="30"/>
      </c>
      <c r="AQ328" s="2">
        <f t="shared" si="31"/>
      </c>
    </row>
    <row r="329">
      <c r="A329" s="43">
        <f t="shared" si="3"/>
      </c>
      <c r="B329" s="44" t="n"/>
      <c r="C329" s="45" t="n"/>
      <c r="D329" s="46" t="n"/>
      <c r="E329" s="47" t="n"/>
      <c r="F329" s="47" t="n"/>
      <c r="G329" s="48">
        <f t="shared" si="4"/>
      </c>
      <c r="H329" s="43">
        <f t="shared" si="0"/>
      </c>
      <c r="I329" s="43">
        <f t="shared" si="5"/>
      </c>
      <c r="J329" s="43">
        <f t="shared" si="1"/>
      </c>
      <c r="K329" s="49">
        <f t="shared" si="2"/>
      </c>
      <c r="L329" s="45" t="n"/>
      <c r="M329" s="45" t="n"/>
      <c r="N329" s="45" t="n"/>
      <c r="O329" s="45" t="n"/>
      <c r="P329" s="50" t="n"/>
      <c r="R329" s="2">
        <f t="shared" si="6"/>
        <v>0</v>
      </c>
      <c r="S329" s="2">
        <f t="shared" si="7"/>
      </c>
      <c r="T329" s="2">
        <f t="shared" si="8"/>
      </c>
      <c r="U329" s="2">
        <f t="shared" si="9"/>
      </c>
      <c r="V329" s="2">
        <f t="shared" si="10"/>
      </c>
      <c r="W329" s="2">
        <f t="shared" si="11"/>
      </c>
      <c r="X329" s="2">
        <f t="shared" si="12"/>
      </c>
      <c r="Y329" s="2">
        <f t="shared" si="13"/>
        <v>0</v>
      </c>
      <c r="Z329" s="2">
        <f t="shared" si="14"/>
      </c>
      <c r="AA329" s="2">
        <f t="shared" si="15"/>
        <v>0</v>
      </c>
      <c r="AB329" s="2">
        <f t="shared" si="16"/>
      </c>
      <c r="AC329" s="2">
        <f t="shared" si="17"/>
      </c>
      <c r="AD329" s="2">
        <f t="shared" si="18"/>
      </c>
      <c r="AE329" s="2">
        <f t="shared" si="19"/>
      </c>
      <c r="AF329" s="2">
        <f t="shared" si="20"/>
      </c>
      <c r="AG329" s="2">
        <f t="shared" si="21"/>
      </c>
      <c r="AH329" s="2">
        <f t="shared" si="22"/>
      </c>
      <c r="AI329" s="2">
        <f t="shared" si="23"/>
      </c>
      <c r="AJ329" s="2">
        <f t="shared" si="24"/>
        <v>0</v>
      </c>
      <c r="AK329" s="2">
        <f t="shared" si="25"/>
        <v>0</v>
      </c>
      <c r="AL329" s="2">
        <f t="shared" si="26"/>
        <v>0</v>
      </c>
      <c r="AM329" s="2">
        <f t="shared" si="27"/>
        <v>0</v>
      </c>
      <c r="AN329" s="2">
        <f t="shared" si="28"/>
        <v>0</v>
      </c>
      <c r="AO329" s="2">
        <f t="shared" si="29"/>
      </c>
      <c r="AP329" s="2">
        <f t="shared" si="30"/>
      </c>
      <c r="AQ329" s="2">
        <f t="shared" si="31"/>
      </c>
    </row>
    <row r="330">
      <c r="A330" s="43">
        <f t="shared" si="3"/>
      </c>
      <c r="B330" s="44" t="n"/>
      <c r="C330" s="45" t="n"/>
      <c r="D330" s="46" t="n"/>
      <c r="E330" s="47" t="n"/>
      <c r="F330" s="47" t="n"/>
      <c r="G330" s="48">
        <f t="shared" si="4"/>
      </c>
      <c r="H330" s="43">
        <f t="shared" si="0"/>
      </c>
      <c r="I330" s="43">
        <f t="shared" si="5"/>
      </c>
      <c r="J330" s="43">
        <f t="shared" si="1"/>
      </c>
      <c r="K330" s="49">
        <f t="shared" si="2"/>
      </c>
      <c r="L330" s="45" t="n"/>
      <c r="M330" s="45" t="n"/>
      <c r="N330" s="45" t="n"/>
      <c r="O330" s="45" t="n"/>
      <c r="P330" s="50" t="n"/>
      <c r="R330" s="2">
        <f t="shared" si="6"/>
        <v>0</v>
      </c>
      <c r="S330" s="2">
        <f t="shared" si="7"/>
      </c>
      <c r="T330" s="2">
        <f t="shared" si="8"/>
      </c>
      <c r="U330" s="2">
        <f t="shared" si="9"/>
      </c>
      <c r="V330" s="2">
        <f t="shared" si="10"/>
      </c>
      <c r="W330" s="2">
        <f t="shared" si="11"/>
      </c>
      <c r="X330" s="2">
        <f t="shared" si="12"/>
      </c>
      <c r="Y330" s="2">
        <f t="shared" si="13"/>
        <v>0</v>
      </c>
      <c r="Z330" s="2">
        <f t="shared" si="14"/>
      </c>
      <c r="AA330" s="2">
        <f t="shared" si="15"/>
        <v>0</v>
      </c>
      <c r="AB330" s="2">
        <f t="shared" si="16"/>
      </c>
      <c r="AC330" s="2">
        <f t="shared" si="17"/>
      </c>
      <c r="AD330" s="2">
        <f t="shared" si="18"/>
      </c>
      <c r="AE330" s="2">
        <f t="shared" si="19"/>
      </c>
      <c r="AF330" s="2">
        <f t="shared" si="20"/>
      </c>
      <c r="AG330" s="2">
        <f t="shared" si="21"/>
      </c>
      <c r="AH330" s="2">
        <f t="shared" si="22"/>
      </c>
      <c r="AI330" s="2">
        <f t="shared" si="23"/>
      </c>
      <c r="AJ330" s="2">
        <f t="shared" si="24"/>
        <v>0</v>
      </c>
      <c r="AK330" s="2">
        <f t="shared" si="25"/>
        <v>0</v>
      </c>
      <c r="AL330" s="2">
        <f t="shared" si="26"/>
        <v>0</v>
      </c>
      <c r="AM330" s="2">
        <f t="shared" si="27"/>
        <v>0</v>
      </c>
      <c r="AN330" s="2">
        <f t="shared" si="28"/>
        <v>0</v>
      </c>
      <c r="AO330" s="2">
        <f t="shared" si="29"/>
      </c>
      <c r="AP330" s="2">
        <f t="shared" si="30"/>
      </c>
      <c r="AQ330" s="2">
        <f t="shared" si="31"/>
      </c>
    </row>
    <row r="331">
      <c r="A331" s="43">
        <f t="shared" si="3"/>
      </c>
      <c r="B331" s="44" t="n"/>
      <c r="C331" s="45" t="n"/>
      <c r="D331" s="46" t="n"/>
      <c r="E331" s="47" t="n"/>
      <c r="F331" s="47" t="n"/>
      <c r="G331" s="48">
        <f t="shared" si="4"/>
      </c>
      <c r="H331" s="43">
        <f t="shared" si="0"/>
      </c>
      <c r="I331" s="43">
        <f t="shared" si="5"/>
      </c>
      <c r="J331" s="43">
        <f t="shared" si="1"/>
      </c>
      <c r="K331" s="49">
        <f t="shared" si="2"/>
      </c>
      <c r="L331" s="45" t="n"/>
      <c r="M331" s="45" t="n"/>
      <c r="N331" s="45" t="n"/>
      <c r="O331" s="45" t="n"/>
      <c r="P331" s="50" t="n"/>
      <c r="R331" s="2">
        <f t="shared" si="6"/>
        <v>0</v>
      </c>
      <c r="S331" s="2">
        <f t="shared" si="7"/>
      </c>
      <c r="T331" s="2">
        <f t="shared" si="8"/>
      </c>
      <c r="U331" s="2">
        <f t="shared" si="9"/>
      </c>
      <c r="V331" s="2">
        <f t="shared" si="10"/>
      </c>
      <c r="W331" s="2">
        <f t="shared" si="11"/>
      </c>
      <c r="X331" s="2">
        <f t="shared" si="12"/>
      </c>
      <c r="Y331" s="2">
        <f t="shared" si="13"/>
        <v>0</v>
      </c>
      <c r="Z331" s="2">
        <f t="shared" si="14"/>
      </c>
      <c r="AA331" s="2">
        <f t="shared" si="15"/>
        <v>0</v>
      </c>
      <c r="AB331" s="2">
        <f t="shared" si="16"/>
      </c>
      <c r="AC331" s="2">
        <f t="shared" si="17"/>
      </c>
      <c r="AD331" s="2">
        <f t="shared" si="18"/>
      </c>
      <c r="AE331" s="2">
        <f t="shared" si="19"/>
      </c>
      <c r="AF331" s="2">
        <f t="shared" si="20"/>
      </c>
      <c r="AG331" s="2">
        <f t="shared" si="21"/>
      </c>
      <c r="AH331" s="2">
        <f t="shared" si="22"/>
      </c>
      <c r="AI331" s="2">
        <f t="shared" si="23"/>
      </c>
      <c r="AJ331" s="2">
        <f t="shared" si="24"/>
        <v>0</v>
      </c>
      <c r="AK331" s="2">
        <f t="shared" si="25"/>
        <v>0</v>
      </c>
      <c r="AL331" s="2">
        <f t="shared" si="26"/>
        <v>0</v>
      </c>
      <c r="AM331" s="2">
        <f t="shared" si="27"/>
        <v>0</v>
      </c>
      <c r="AN331" s="2">
        <f t="shared" si="28"/>
        <v>0</v>
      </c>
      <c r="AO331" s="2">
        <f t="shared" si="29"/>
      </c>
      <c r="AP331" s="2">
        <f t="shared" si="30"/>
      </c>
      <c r="AQ331" s="2">
        <f t="shared" si="31"/>
      </c>
    </row>
    <row r="332">
      <c r="A332" s="43">
        <f t="shared" si="3"/>
      </c>
      <c r="B332" s="44" t="n"/>
      <c r="C332" s="45" t="n"/>
      <c r="D332" s="46" t="n"/>
      <c r="E332" s="47" t="n"/>
      <c r="F332" s="47" t="n"/>
      <c r="G332" s="48">
        <f t="shared" si="4"/>
      </c>
      <c r="H332" s="43">
        <f t="shared" si="0"/>
      </c>
      <c r="I332" s="43">
        <f t="shared" si="5"/>
      </c>
      <c r="J332" s="43">
        <f t="shared" si="1"/>
      </c>
      <c r="K332" s="49">
        <f t="shared" si="2"/>
      </c>
      <c r="L332" s="45" t="n"/>
      <c r="M332" s="45" t="n"/>
      <c r="N332" s="45" t="n"/>
      <c r="O332" s="45" t="n"/>
      <c r="P332" s="50" t="n"/>
      <c r="R332" s="2">
        <f t="shared" si="6"/>
        <v>0</v>
      </c>
      <c r="S332" s="2">
        <f t="shared" si="7"/>
      </c>
      <c r="T332" s="2">
        <f t="shared" si="8"/>
      </c>
      <c r="U332" s="2">
        <f t="shared" si="9"/>
      </c>
      <c r="V332" s="2">
        <f t="shared" si="10"/>
      </c>
      <c r="W332" s="2">
        <f t="shared" si="11"/>
      </c>
      <c r="X332" s="2">
        <f t="shared" si="12"/>
      </c>
      <c r="Y332" s="2">
        <f t="shared" si="13"/>
        <v>0</v>
      </c>
      <c r="Z332" s="2">
        <f t="shared" si="14"/>
      </c>
      <c r="AA332" s="2">
        <f t="shared" si="15"/>
        <v>0</v>
      </c>
      <c r="AB332" s="2">
        <f t="shared" si="16"/>
      </c>
      <c r="AC332" s="2">
        <f t="shared" si="17"/>
      </c>
      <c r="AD332" s="2">
        <f t="shared" si="18"/>
      </c>
      <c r="AE332" s="2">
        <f t="shared" si="19"/>
      </c>
      <c r="AF332" s="2">
        <f t="shared" si="20"/>
      </c>
      <c r="AG332" s="2">
        <f t="shared" si="21"/>
      </c>
      <c r="AH332" s="2">
        <f t="shared" si="22"/>
      </c>
      <c r="AI332" s="2">
        <f t="shared" si="23"/>
      </c>
      <c r="AJ332" s="2">
        <f t="shared" si="24"/>
        <v>0</v>
      </c>
      <c r="AK332" s="2">
        <f t="shared" si="25"/>
        <v>0</v>
      </c>
      <c r="AL332" s="2">
        <f t="shared" si="26"/>
        <v>0</v>
      </c>
      <c r="AM332" s="2">
        <f t="shared" si="27"/>
        <v>0</v>
      </c>
      <c r="AN332" s="2">
        <f t="shared" si="28"/>
        <v>0</v>
      </c>
      <c r="AO332" s="2">
        <f t="shared" si="29"/>
      </c>
      <c r="AP332" s="2">
        <f t="shared" si="30"/>
      </c>
      <c r="AQ332" s="2">
        <f t="shared" si="31"/>
      </c>
    </row>
    <row r="333">
      <c r="A333" s="43">
        <f t="shared" si="3"/>
      </c>
      <c r="B333" s="44" t="n"/>
      <c r="C333" s="45" t="n"/>
      <c r="D333" s="46" t="n"/>
      <c r="E333" s="47" t="n"/>
      <c r="F333" s="47" t="n"/>
      <c r="G333" s="48">
        <f t="shared" si="4"/>
      </c>
      <c r="H333" s="43">
        <f t="shared" si="0"/>
      </c>
      <c r="I333" s="43">
        <f t="shared" si="5"/>
      </c>
      <c r="J333" s="43">
        <f t="shared" si="1"/>
      </c>
      <c r="K333" s="49">
        <f t="shared" si="2"/>
      </c>
      <c r="L333" s="45" t="n"/>
      <c r="M333" s="45" t="n"/>
      <c r="N333" s="45" t="n"/>
      <c r="O333" s="45" t="n"/>
      <c r="P333" s="50" t="n"/>
      <c r="R333" s="2">
        <f t="shared" si="6"/>
        <v>0</v>
      </c>
      <c r="S333" s="2">
        <f t="shared" si="7"/>
      </c>
      <c r="T333" s="2">
        <f t="shared" si="8"/>
      </c>
      <c r="U333" s="2">
        <f t="shared" si="9"/>
      </c>
      <c r="V333" s="2">
        <f t="shared" si="10"/>
      </c>
      <c r="W333" s="2">
        <f t="shared" si="11"/>
      </c>
      <c r="X333" s="2">
        <f t="shared" si="12"/>
      </c>
      <c r="Y333" s="2">
        <f t="shared" si="13"/>
        <v>0</v>
      </c>
      <c r="Z333" s="2">
        <f t="shared" si="14"/>
      </c>
      <c r="AA333" s="2">
        <f t="shared" si="15"/>
        <v>0</v>
      </c>
      <c r="AB333" s="2">
        <f t="shared" si="16"/>
      </c>
      <c r="AC333" s="2">
        <f t="shared" si="17"/>
      </c>
      <c r="AD333" s="2">
        <f t="shared" si="18"/>
      </c>
      <c r="AE333" s="2">
        <f t="shared" si="19"/>
      </c>
      <c r="AF333" s="2">
        <f t="shared" si="20"/>
      </c>
      <c r="AG333" s="2">
        <f t="shared" si="21"/>
      </c>
      <c r="AH333" s="2">
        <f t="shared" si="22"/>
      </c>
      <c r="AI333" s="2">
        <f t="shared" si="23"/>
      </c>
      <c r="AJ333" s="2">
        <f t="shared" si="24"/>
        <v>0</v>
      </c>
      <c r="AK333" s="2">
        <f t="shared" si="25"/>
        <v>0</v>
      </c>
      <c r="AL333" s="2">
        <f t="shared" si="26"/>
        <v>0</v>
      </c>
      <c r="AM333" s="2">
        <f t="shared" si="27"/>
        <v>0</v>
      </c>
      <c r="AN333" s="2">
        <f t="shared" si="28"/>
        <v>0</v>
      </c>
      <c r="AO333" s="2">
        <f t="shared" si="29"/>
      </c>
      <c r="AP333" s="2">
        <f t="shared" si="30"/>
      </c>
      <c r="AQ333" s="2">
        <f t="shared" si="31"/>
      </c>
    </row>
    <row r="334">
      <c r="A334" s="43">
        <f t="shared" si="3"/>
      </c>
      <c r="B334" s="44" t="n"/>
      <c r="C334" s="45" t="n"/>
      <c r="D334" s="46" t="n"/>
      <c r="E334" s="47" t="n"/>
      <c r="F334" s="47" t="n"/>
      <c r="G334" s="48">
        <f t="shared" si="4"/>
      </c>
      <c r="H334" s="43">
        <f t="shared" si="0"/>
      </c>
      <c r="I334" s="43">
        <f t="shared" si="5"/>
      </c>
      <c r="J334" s="43">
        <f t="shared" si="1"/>
      </c>
      <c r="K334" s="49">
        <f t="shared" si="2"/>
      </c>
      <c r="L334" s="45" t="n"/>
      <c r="M334" s="45" t="n"/>
      <c r="N334" s="45" t="n"/>
      <c r="O334" s="45" t="n"/>
      <c r="P334" s="50" t="n"/>
      <c r="R334" s="2">
        <f t="shared" si="6"/>
        <v>0</v>
      </c>
      <c r="S334" s="2">
        <f t="shared" si="7"/>
      </c>
      <c r="T334" s="2">
        <f t="shared" si="8"/>
      </c>
      <c r="U334" s="2">
        <f t="shared" si="9"/>
      </c>
      <c r="V334" s="2">
        <f t="shared" si="10"/>
      </c>
      <c r="W334" s="2">
        <f t="shared" si="11"/>
      </c>
      <c r="X334" s="2">
        <f t="shared" si="12"/>
      </c>
      <c r="Y334" s="2">
        <f t="shared" si="13"/>
        <v>0</v>
      </c>
      <c r="Z334" s="2">
        <f t="shared" si="14"/>
      </c>
      <c r="AA334" s="2">
        <f t="shared" si="15"/>
        <v>0</v>
      </c>
      <c r="AB334" s="2">
        <f t="shared" si="16"/>
      </c>
      <c r="AC334" s="2">
        <f t="shared" si="17"/>
      </c>
      <c r="AD334" s="2">
        <f t="shared" si="18"/>
      </c>
      <c r="AE334" s="2">
        <f t="shared" si="19"/>
      </c>
      <c r="AF334" s="2">
        <f t="shared" si="20"/>
      </c>
      <c r="AG334" s="2">
        <f t="shared" si="21"/>
      </c>
      <c r="AH334" s="2">
        <f t="shared" si="22"/>
      </c>
      <c r="AI334" s="2">
        <f t="shared" si="23"/>
      </c>
      <c r="AJ334" s="2">
        <f t="shared" si="24"/>
        <v>0</v>
      </c>
      <c r="AK334" s="2">
        <f t="shared" si="25"/>
        <v>0</v>
      </c>
      <c r="AL334" s="2">
        <f t="shared" si="26"/>
        <v>0</v>
      </c>
      <c r="AM334" s="2">
        <f t="shared" si="27"/>
        <v>0</v>
      </c>
      <c r="AN334" s="2">
        <f t="shared" si="28"/>
        <v>0</v>
      </c>
      <c r="AO334" s="2">
        <f t="shared" si="29"/>
      </c>
      <c r="AP334" s="2">
        <f t="shared" si="30"/>
      </c>
      <c r="AQ334" s="2">
        <f t="shared" si="31"/>
      </c>
    </row>
    <row r="335">
      <c r="A335" s="43">
        <f t="shared" si="3"/>
      </c>
      <c r="B335" s="44" t="n"/>
      <c r="C335" s="45" t="n"/>
      <c r="D335" s="46" t="n"/>
      <c r="E335" s="47" t="n"/>
      <c r="F335" s="47" t="n"/>
      <c r="G335" s="48">
        <f t="shared" si="4"/>
      </c>
      <c r="H335" s="43">
        <f t="shared" si="0"/>
      </c>
      <c r="I335" s="43">
        <f t="shared" si="5"/>
      </c>
      <c r="J335" s="43">
        <f t="shared" si="1"/>
      </c>
      <c r="K335" s="49">
        <f t="shared" si="2"/>
      </c>
      <c r="L335" s="45" t="n"/>
      <c r="M335" s="45" t="n"/>
      <c r="N335" s="45" t="n"/>
      <c r="O335" s="45" t="n"/>
      <c r="P335" s="50" t="n"/>
      <c r="R335" s="2">
        <f t="shared" si="6"/>
        <v>0</v>
      </c>
      <c r="S335" s="2">
        <f t="shared" si="7"/>
      </c>
      <c r="T335" s="2">
        <f t="shared" si="8"/>
      </c>
      <c r="U335" s="2">
        <f t="shared" si="9"/>
      </c>
      <c r="V335" s="2">
        <f t="shared" si="10"/>
      </c>
      <c r="W335" s="2">
        <f t="shared" si="11"/>
      </c>
      <c r="X335" s="2">
        <f t="shared" si="12"/>
      </c>
      <c r="Y335" s="2">
        <f t="shared" si="13"/>
        <v>0</v>
      </c>
      <c r="Z335" s="2">
        <f t="shared" si="14"/>
      </c>
      <c r="AA335" s="2">
        <f t="shared" si="15"/>
        <v>0</v>
      </c>
      <c r="AB335" s="2">
        <f t="shared" si="16"/>
      </c>
      <c r="AC335" s="2">
        <f t="shared" si="17"/>
      </c>
      <c r="AD335" s="2">
        <f t="shared" si="18"/>
      </c>
      <c r="AE335" s="2">
        <f t="shared" si="19"/>
      </c>
      <c r="AF335" s="2">
        <f t="shared" si="20"/>
      </c>
      <c r="AG335" s="2">
        <f t="shared" si="21"/>
      </c>
      <c r="AH335" s="2">
        <f t="shared" si="22"/>
      </c>
      <c r="AI335" s="2">
        <f t="shared" si="23"/>
      </c>
      <c r="AJ335" s="2">
        <f t="shared" si="24"/>
        <v>0</v>
      </c>
      <c r="AK335" s="2">
        <f t="shared" si="25"/>
        <v>0</v>
      </c>
      <c r="AL335" s="2">
        <f t="shared" si="26"/>
        <v>0</v>
      </c>
      <c r="AM335" s="2">
        <f t="shared" si="27"/>
        <v>0</v>
      </c>
      <c r="AN335" s="2">
        <f t="shared" si="28"/>
        <v>0</v>
      </c>
      <c r="AO335" s="2">
        <f t="shared" si="29"/>
      </c>
      <c r="AP335" s="2">
        <f t="shared" si="30"/>
      </c>
      <c r="AQ335" s="2">
        <f t="shared" si="31"/>
      </c>
    </row>
    <row r="336">
      <c r="A336" s="43">
        <f t="shared" si="3"/>
      </c>
      <c r="B336" s="44" t="n"/>
      <c r="C336" s="45" t="n"/>
      <c r="D336" s="46" t="n"/>
      <c r="E336" s="47" t="n"/>
      <c r="F336" s="47" t="n"/>
      <c r="G336" s="48">
        <f t="shared" si="4"/>
      </c>
      <c r="H336" s="43">
        <f t="shared" si="0"/>
      </c>
      <c r="I336" s="43">
        <f t="shared" si="5"/>
      </c>
      <c r="J336" s="43">
        <f t="shared" si="1"/>
      </c>
      <c r="K336" s="49">
        <f t="shared" si="2"/>
      </c>
      <c r="L336" s="45" t="n"/>
      <c r="M336" s="45" t="n"/>
      <c r="N336" s="45" t="n"/>
      <c r="O336" s="45" t="n"/>
      <c r="P336" s="50" t="n"/>
      <c r="R336" s="2">
        <f t="shared" si="6"/>
        <v>0</v>
      </c>
      <c r="S336" s="2">
        <f t="shared" si="7"/>
      </c>
      <c r="T336" s="2">
        <f t="shared" si="8"/>
      </c>
      <c r="U336" s="2">
        <f t="shared" si="9"/>
      </c>
      <c r="V336" s="2">
        <f t="shared" si="10"/>
      </c>
      <c r="W336" s="2">
        <f t="shared" si="11"/>
      </c>
      <c r="X336" s="2">
        <f t="shared" si="12"/>
      </c>
      <c r="Y336" s="2">
        <f t="shared" si="13"/>
        <v>0</v>
      </c>
      <c r="Z336" s="2">
        <f t="shared" si="14"/>
      </c>
      <c r="AA336" s="2">
        <f t="shared" si="15"/>
        <v>0</v>
      </c>
      <c r="AB336" s="2">
        <f t="shared" si="16"/>
      </c>
      <c r="AC336" s="2">
        <f t="shared" si="17"/>
      </c>
      <c r="AD336" s="2">
        <f t="shared" si="18"/>
      </c>
      <c r="AE336" s="2">
        <f t="shared" si="19"/>
      </c>
      <c r="AF336" s="2">
        <f t="shared" si="20"/>
      </c>
      <c r="AG336" s="2">
        <f t="shared" si="21"/>
      </c>
      <c r="AH336" s="2">
        <f t="shared" si="22"/>
      </c>
      <c r="AI336" s="2">
        <f t="shared" si="23"/>
      </c>
      <c r="AJ336" s="2">
        <f t="shared" si="24"/>
        <v>0</v>
      </c>
      <c r="AK336" s="2">
        <f t="shared" si="25"/>
        <v>0</v>
      </c>
      <c r="AL336" s="2">
        <f t="shared" si="26"/>
        <v>0</v>
      </c>
      <c r="AM336" s="2">
        <f t="shared" si="27"/>
        <v>0</v>
      </c>
      <c r="AN336" s="2">
        <f t="shared" si="28"/>
        <v>0</v>
      </c>
      <c r="AO336" s="2">
        <f t="shared" si="29"/>
      </c>
      <c r="AP336" s="2">
        <f t="shared" si="30"/>
      </c>
      <c r="AQ336" s="2">
        <f t="shared" si="31"/>
      </c>
    </row>
    <row r="337">
      <c r="A337" s="43">
        <f t="shared" si="3"/>
      </c>
      <c r="B337" s="44" t="n"/>
      <c r="C337" s="45" t="n"/>
      <c r="D337" s="46" t="n"/>
      <c r="E337" s="47" t="n"/>
      <c r="F337" s="47" t="n"/>
      <c r="G337" s="48">
        <f t="shared" si="4"/>
      </c>
      <c r="H337" s="43">
        <f t="shared" si="0"/>
      </c>
      <c r="I337" s="43">
        <f t="shared" si="5"/>
      </c>
      <c r="J337" s="43">
        <f t="shared" si="1"/>
      </c>
      <c r="K337" s="49">
        <f t="shared" si="2"/>
      </c>
      <c r="L337" s="45" t="n"/>
      <c r="M337" s="45" t="n"/>
      <c r="N337" s="45" t="n"/>
      <c r="O337" s="45" t="n"/>
      <c r="P337" s="50" t="n"/>
      <c r="R337" s="2">
        <f t="shared" si="6"/>
        <v>0</v>
      </c>
      <c r="S337" s="2">
        <f t="shared" si="7"/>
      </c>
      <c r="T337" s="2">
        <f t="shared" si="8"/>
      </c>
      <c r="U337" s="2">
        <f t="shared" si="9"/>
      </c>
      <c r="V337" s="2">
        <f t="shared" si="10"/>
      </c>
      <c r="W337" s="2">
        <f t="shared" si="11"/>
      </c>
      <c r="X337" s="2">
        <f t="shared" si="12"/>
      </c>
      <c r="Y337" s="2">
        <f t="shared" si="13"/>
        <v>0</v>
      </c>
      <c r="Z337" s="2">
        <f t="shared" si="14"/>
      </c>
      <c r="AA337" s="2">
        <f t="shared" si="15"/>
        <v>0</v>
      </c>
      <c r="AB337" s="2">
        <f t="shared" si="16"/>
      </c>
      <c r="AC337" s="2">
        <f t="shared" si="17"/>
      </c>
      <c r="AD337" s="2">
        <f t="shared" si="18"/>
      </c>
      <c r="AE337" s="2">
        <f t="shared" si="19"/>
      </c>
      <c r="AF337" s="2">
        <f t="shared" si="20"/>
      </c>
      <c r="AG337" s="2">
        <f t="shared" si="21"/>
      </c>
      <c r="AH337" s="2">
        <f t="shared" si="22"/>
      </c>
      <c r="AI337" s="2">
        <f t="shared" si="23"/>
      </c>
      <c r="AJ337" s="2">
        <f t="shared" si="24"/>
        <v>0</v>
      </c>
      <c r="AK337" s="2">
        <f t="shared" si="25"/>
        <v>0</v>
      </c>
      <c r="AL337" s="2">
        <f t="shared" si="26"/>
        <v>0</v>
      </c>
      <c r="AM337" s="2">
        <f t="shared" si="27"/>
        <v>0</v>
      </c>
      <c r="AN337" s="2">
        <f t="shared" si="28"/>
        <v>0</v>
      </c>
      <c r="AO337" s="2">
        <f t="shared" si="29"/>
      </c>
      <c r="AP337" s="2">
        <f t="shared" si="30"/>
      </c>
      <c r="AQ337" s="2">
        <f t="shared" si="31"/>
      </c>
    </row>
    <row r="338">
      <c r="A338" s="43">
        <f t="shared" si="3"/>
      </c>
      <c r="B338" s="44" t="n"/>
      <c r="C338" s="45" t="n"/>
      <c r="D338" s="46" t="n"/>
      <c r="E338" s="47" t="n"/>
      <c r="F338" s="47" t="n"/>
      <c r="G338" s="48">
        <f t="shared" si="4"/>
      </c>
      <c r="H338" s="43">
        <f t="shared" si="0"/>
      </c>
      <c r="I338" s="43">
        <f t="shared" si="5"/>
      </c>
      <c r="J338" s="43">
        <f t="shared" si="1"/>
      </c>
      <c r="K338" s="49">
        <f t="shared" si="2"/>
      </c>
      <c r="L338" s="45" t="n"/>
      <c r="M338" s="45" t="n"/>
      <c r="N338" s="45" t="n"/>
      <c r="O338" s="45" t="n"/>
      <c r="P338" s="50" t="n"/>
      <c r="R338" s="2">
        <f t="shared" si="6"/>
        <v>0</v>
      </c>
      <c r="S338" s="2">
        <f t="shared" si="7"/>
      </c>
      <c r="T338" s="2">
        <f t="shared" si="8"/>
      </c>
      <c r="U338" s="2">
        <f t="shared" si="9"/>
      </c>
      <c r="V338" s="2">
        <f t="shared" si="10"/>
      </c>
      <c r="W338" s="2">
        <f t="shared" si="11"/>
      </c>
      <c r="X338" s="2">
        <f t="shared" si="12"/>
      </c>
      <c r="Y338" s="2">
        <f t="shared" si="13"/>
        <v>0</v>
      </c>
      <c r="Z338" s="2">
        <f t="shared" si="14"/>
      </c>
      <c r="AA338" s="2">
        <f t="shared" si="15"/>
        <v>0</v>
      </c>
      <c r="AB338" s="2">
        <f t="shared" si="16"/>
      </c>
      <c r="AC338" s="2">
        <f t="shared" si="17"/>
      </c>
      <c r="AD338" s="2">
        <f t="shared" si="18"/>
      </c>
      <c r="AE338" s="2">
        <f t="shared" si="19"/>
      </c>
      <c r="AF338" s="2">
        <f t="shared" si="20"/>
      </c>
      <c r="AG338" s="2">
        <f t="shared" si="21"/>
      </c>
      <c r="AH338" s="2">
        <f t="shared" si="22"/>
      </c>
      <c r="AI338" s="2">
        <f t="shared" si="23"/>
      </c>
      <c r="AJ338" s="2">
        <f t="shared" si="24"/>
        <v>0</v>
      </c>
      <c r="AK338" s="2">
        <f t="shared" si="25"/>
        <v>0</v>
      </c>
      <c r="AL338" s="2">
        <f t="shared" si="26"/>
        <v>0</v>
      </c>
      <c r="AM338" s="2">
        <f t="shared" si="27"/>
        <v>0</v>
      </c>
      <c r="AN338" s="2">
        <f t="shared" si="28"/>
        <v>0</v>
      </c>
      <c r="AO338" s="2">
        <f t="shared" si="29"/>
      </c>
      <c r="AP338" s="2">
        <f t="shared" si="30"/>
      </c>
      <c r="AQ338" s="2">
        <f t="shared" si="31"/>
      </c>
    </row>
    <row r="339">
      <c r="A339" s="43">
        <f t="shared" si="3"/>
      </c>
      <c r="B339" s="44" t="n"/>
      <c r="C339" s="45" t="n"/>
      <c r="D339" s="46" t="n"/>
      <c r="E339" s="47" t="n"/>
      <c r="F339" s="47" t="n"/>
      <c r="G339" s="48">
        <f t="shared" si="4"/>
      </c>
      <c r="H339" s="43">
        <f t="shared" si="0"/>
      </c>
      <c r="I339" s="43">
        <f t="shared" si="5"/>
      </c>
      <c r="J339" s="43">
        <f t="shared" si="1"/>
      </c>
      <c r="K339" s="49">
        <f t="shared" si="2"/>
      </c>
      <c r="L339" s="45" t="n"/>
      <c r="M339" s="45" t="n"/>
      <c r="N339" s="45" t="n"/>
      <c r="O339" s="45" t="n"/>
      <c r="P339" s="50" t="n"/>
      <c r="R339" s="2">
        <f t="shared" si="6"/>
        <v>0</v>
      </c>
      <c r="S339" s="2">
        <f t="shared" si="7"/>
      </c>
      <c r="T339" s="2">
        <f t="shared" si="8"/>
      </c>
      <c r="U339" s="2">
        <f t="shared" si="9"/>
      </c>
      <c r="V339" s="2">
        <f t="shared" si="10"/>
      </c>
      <c r="W339" s="2">
        <f t="shared" si="11"/>
      </c>
      <c r="X339" s="2">
        <f t="shared" si="12"/>
      </c>
      <c r="Y339" s="2">
        <f t="shared" si="13"/>
        <v>0</v>
      </c>
      <c r="Z339" s="2">
        <f t="shared" si="14"/>
      </c>
      <c r="AA339" s="2">
        <f t="shared" si="15"/>
        <v>0</v>
      </c>
      <c r="AB339" s="2">
        <f t="shared" si="16"/>
      </c>
      <c r="AC339" s="2">
        <f t="shared" si="17"/>
      </c>
      <c r="AD339" s="2">
        <f t="shared" si="18"/>
      </c>
      <c r="AE339" s="2">
        <f t="shared" si="19"/>
      </c>
      <c r="AF339" s="2">
        <f t="shared" si="20"/>
      </c>
      <c r="AG339" s="2">
        <f t="shared" si="21"/>
      </c>
      <c r="AH339" s="2">
        <f t="shared" si="22"/>
      </c>
      <c r="AI339" s="2">
        <f t="shared" si="23"/>
      </c>
      <c r="AJ339" s="2">
        <f t="shared" si="24"/>
        <v>0</v>
      </c>
      <c r="AK339" s="2">
        <f t="shared" si="25"/>
        <v>0</v>
      </c>
      <c r="AL339" s="2">
        <f t="shared" si="26"/>
        <v>0</v>
      </c>
      <c r="AM339" s="2">
        <f t="shared" si="27"/>
        <v>0</v>
      </c>
      <c r="AN339" s="2">
        <f t="shared" si="28"/>
        <v>0</v>
      </c>
      <c r="AO339" s="2">
        <f t="shared" si="29"/>
      </c>
      <c r="AP339" s="2">
        <f t="shared" si="30"/>
      </c>
      <c r="AQ339" s="2">
        <f t="shared" si="31"/>
      </c>
    </row>
    <row r="340">
      <c r="A340" s="43">
        <f t="shared" si="3"/>
      </c>
      <c r="B340" s="44" t="n"/>
      <c r="C340" s="45" t="n"/>
      <c r="D340" s="46" t="n"/>
      <c r="E340" s="47" t="n"/>
      <c r="F340" s="47" t="n"/>
      <c r="G340" s="48">
        <f t="shared" si="4"/>
      </c>
      <c r="H340" s="43">
        <f t="shared" si="0"/>
      </c>
      <c r="I340" s="43">
        <f t="shared" si="5"/>
      </c>
      <c r="J340" s="43">
        <f t="shared" si="1"/>
      </c>
      <c r="K340" s="49">
        <f t="shared" si="2"/>
      </c>
      <c r="L340" s="45" t="n"/>
      <c r="M340" s="45" t="n"/>
      <c r="N340" s="45" t="n"/>
      <c r="O340" s="45" t="n"/>
      <c r="P340" s="50" t="n"/>
      <c r="R340" s="2">
        <f t="shared" si="6"/>
        <v>0</v>
      </c>
      <c r="S340" s="2">
        <f t="shared" si="7"/>
      </c>
      <c r="T340" s="2">
        <f t="shared" si="8"/>
      </c>
      <c r="U340" s="2">
        <f t="shared" si="9"/>
      </c>
      <c r="V340" s="2">
        <f t="shared" si="10"/>
      </c>
      <c r="W340" s="2">
        <f t="shared" si="11"/>
      </c>
      <c r="X340" s="2">
        <f t="shared" si="12"/>
      </c>
      <c r="Y340" s="2">
        <f t="shared" si="13"/>
        <v>0</v>
      </c>
      <c r="Z340" s="2">
        <f t="shared" si="14"/>
      </c>
      <c r="AA340" s="2">
        <f t="shared" si="15"/>
        <v>0</v>
      </c>
      <c r="AB340" s="2">
        <f t="shared" si="16"/>
      </c>
      <c r="AC340" s="2">
        <f t="shared" si="17"/>
      </c>
      <c r="AD340" s="2">
        <f t="shared" si="18"/>
      </c>
      <c r="AE340" s="2">
        <f t="shared" si="19"/>
      </c>
      <c r="AF340" s="2">
        <f t="shared" si="20"/>
      </c>
      <c r="AG340" s="2">
        <f t="shared" si="21"/>
      </c>
      <c r="AH340" s="2">
        <f t="shared" si="22"/>
      </c>
      <c r="AI340" s="2">
        <f t="shared" si="23"/>
      </c>
      <c r="AJ340" s="2">
        <f t="shared" si="24"/>
        <v>0</v>
      </c>
      <c r="AK340" s="2">
        <f t="shared" si="25"/>
        <v>0</v>
      </c>
      <c r="AL340" s="2">
        <f t="shared" si="26"/>
        <v>0</v>
      </c>
      <c r="AM340" s="2">
        <f t="shared" si="27"/>
        <v>0</v>
      </c>
      <c r="AN340" s="2">
        <f t="shared" si="28"/>
        <v>0</v>
      </c>
      <c r="AO340" s="2">
        <f t="shared" si="29"/>
      </c>
      <c r="AP340" s="2">
        <f t="shared" si="30"/>
      </c>
      <c r="AQ340" s="2">
        <f t="shared" si="31"/>
      </c>
    </row>
    <row r="341">
      <c r="A341" s="43">
        <f t="shared" si="3"/>
      </c>
      <c r="B341" s="44" t="n"/>
      <c r="C341" s="45" t="n"/>
      <c r="D341" s="46" t="n"/>
      <c r="E341" s="47" t="n"/>
      <c r="F341" s="47" t="n"/>
      <c r="G341" s="48">
        <f t="shared" si="4"/>
      </c>
      <c r="H341" s="43">
        <f t="shared" si="0"/>
      </c>
      <c r="I341" s="43">
        <f t="shared" si="5"/>
      </c>
      <c r="J341" s="43">
        <f t="shared" si="1"/>
      </c>
      <c r="K341" s="49">
        <f t="shared" si="2"/>
      </c>
      <c r="L341" s="45" t="n"/>
      <c r="M341" s="45" t="n"/>
      <c r="N341" s="45" t="n"/>
      <c r="O341" s="45" t="n"/>
      <c r="P341" s="50" t="n"/>
      <c r="R341" s="2">
        <f t="shared" si="6"/>
        <v>0</v>
      </c>
      <c r="S341" s="2">
        <f t="shared" si="7"/>
      </c>
      <c r="T341" s="2">
        <f t="shared" si="8"/>
      </c>
      <c r="U341" s="2">
        <f t="shared" si="9"/>
      </c>
      <c r="V341" s="2">
        <f t="shared" si="10"/>
      </c>
      <c r="W341" s="2">
        <f t="shared" si="11"/>
      </c>
      <c r="X341" s="2">
        <f t="shared" si="12"/>
      </c>
      <c r="Y341" s="2">
        <f t="shared" si="13"/>
        <v>0</v>
      </c>
      <c r="Z341" s="2">
        <f t="shared" si="14"/>
      </c>
      <c r="AA341" s="2">
        <f t="shared" si="15"/>
        <v>0</v>
      </c>
      <c r="AB341" s="2">
        <f t="shared" si="16"/>
      </c>
      <c r="AC341" s="2">
        <f t="shared" si="17"/>
      </c>
      <c r="AD341" s="2">
        <f t="shared" si="18"/>
      </c>
      <c r="AE341" s="2">
        <f t="shared" si="19"/>
      </c>
      <c r="AF341" s="2">
        <f t="shared" si="20"/>
      </c>
      <c r="AG341" s="2">
        <f t="shared" si="21"/>
      </c>
      <c r="AH341" s="2">
        <f t="shared" si="22"/>
      </c>
      <c r="AI341" s="2">
        <f t="shared" si="23"/>
      </c>
      <c r="AJ341" s="2">
        <f t="shared" si="24"/>
        <v>0</v>
      </c>
      <c r="AK341" s="2">
        <f t="shared" si="25"/>
        <v>0</v>
      </c>
      <c r="AL341" s="2">
        <f t="shared" si="26"/>
        <v>0</v>
      </c>
      <c r="AM341" s="2">
        <f t="shared" si="27"/>
        <v>0</v>
      </c>
      <c r="AN341" s="2">
        <f t="shared" si="28"/>
        <v>0</v>
      </c>
      <c r="AO341" s="2">
        <f t="shared" si="29"/>
      </c>
      <c r="AP341" s="2">
        <f t="shared" si="30"/>
      </c>
      <c r="AQ341" s="2">
        <f t="shared" si="31"/>
      </c>
    </row>
    <row r="342">
      <c r="A342" s="43">
        <f t="shared" si="3"/>
      </c>
      <c r="B342" s="44" t="n"/>
      <c r="C342" s="45" t="n"/>
      <c r="D342" s="46" t="n"/>
      <c r="E342" s="47" t="n"/>
      <c r="F342" s="47" t="n"/>
      <c r="G342" s="48">
        <f t="shared" si="4"/>
      </c>
      <c r="H342" s="43">
        <f t="shared" si="0"/>
      </c>
      <c r="I342" s="43">
        <f t="shared" si="5"/>
      </c>
      <c r="J342" s="43">
        <f t="shared" si="1"/>
      </c>
      <c r="K342" s="49">
        <f t="shared" si="2"/>
      </c>
      <c r="L342" s="45" t="n"/>
      <c r="M342" s="45" t="n"/>
      <c r="N342" s="45" t="n"/>
      <c r="O342" s="45" t="n"/>
      <c r="P342" s="50" t="n"/>
      <c r="R342" s="2">
        <f t="shared" si="6"/>
        <v>0</v>
      </c>
      <c r="S342" s="2">
        <f t="shared" si="7"/>
      </c>
      <c r="T342" s="2">
        <f t="shared" si="8"/>
      </c>
      <c r="U342" s="2">
        <f t="shared" si="9"/>
      </c>
      <c r="V342" s="2">
        <f t="shared" si="10"/>
      </c>
      <c r="W342" s="2">
        <f t="shared" si="11"/>
      </c>
      <c r="X342" s="2">
        <f t="shared" si="12"/>
      </c>
      <c r="Y342" s="2">
        <f t="shared" si="13"/>
        <v>0</v>
      </c>
      <c r="Z342" s="2">
        <f t="shared" si="14"/>
      </c>
      <c r="AA342" s="2">
        <f t="shared" si="15"/>
        <v>0</v>
      </c>
      <c r="AB342" s="2">
        <f t="shared" si="16"/>
      </c>
      <c r="AC342" s="2">
        <f t="shared" si="17"/>
      </c>
      <c r="AD342" s="2">
        <f t="shared" si="18"/>
      </c>
      <c r="AE342" s="2">
        <f t="shared" si="19"/>
      </c>
      <c r="AF342" s="2">
        <f t="shared" si="20"/>
      </c>
      <c r="AG342" s="2">
        <f t="shared" si="21"/>
      </c>
      <c r="AH342" s="2">
        <f t="shared" si="22"/>
      </c>
      <c r="AI342" s="2">
        <f t="shared" si="23"/>
      </c>
      <c r="AJ342" s="2">
        <f t="shared" si="24"/>
        <v>0</v>
      </c>
      <c r="AK342" s="2">
        <f t="shared" si="25"/>
        <v>0</v>
      </c>
      <c r="AL342" s="2">
        <f t="shared" si="26"/>
        <v>0</v>
      </c>
      <c r="AM342" s="2">
        <f t="shared" si="27"/>
        <v>0</v>
      </c>
      <c r="AN342" s="2">
        <f t="shared" si="28"/>
        <v>0</v>
      </c>
      <c r="AO342" s="2">
        <f t="shared" si="29"/>
      </c>
      <c r="AP342" s="2">
        <f t="shared" si="30"/>
      </c>
      <c r="AQ342" s="2">
        <f t="shared" si="31"/>
      </c>
    </row>
    <row r="343">
      <c r="A343" s="43">
        <f t="shared" si="3"/>
      </c>
      <c r="B343" s="44" t="n"/>
      <c r="C343" s="45" t="n"/>
      <c r="D343" s="46" t="n"/>
      <c r="E343" s="47" t="n"/>
      <c r="F343" s="47" t="n"/>
      <c r="G343" s="48">
        <f t="shared" si="4"/>
      </c>
      <c r="H343" s="43">
        <f t="shared" si="0"/>
      </c>
      <c r="I343" s="43">
        <f t="shared" si="5"/>
      </c>
      <c r="J343" s="43">
        <f t="shared" si="1"/>
      </c>
      <c r="K343" s="49">
        <f t="shared" si="2"/>
      </c>
      <c r="L343" s="45" t="n"/>
      <c r="M343" s="45" t="n"/>
      <c r="N343" s="45" t="n"/>
      <c r="O343" s="45" t="n"/>
      <c r="P343" s="50" t="n"/>
      <c r="R343" s="2">
        <f t="shared" si="6"/>
        <v>0</v>
      </c>
      <c r="S343" s="2">
        <f t="shared" si="7"/>
      </c>
      <c r="T343" s="2">
        <f t="shared" si="8"/>
      </c>
      <c r="U343" s="2">
        <f t="shared" si="9"/>
      </c>
      <c r="V343" s="2">
        <f t="shared" si="10"/>
      </c>
      <c r="W343" s="2">
        <f t="shared" si="11"/>
      </c>
      <c r="X343" s="2">
        <f t="shared" si="12"/>
      </c>
      <c r="Y343" s="2">
        <f t="shared" si="13"/>
        <v>0</v>
      </c>
      <c r="Z343" s="2">
        <f t="shared" si="14"/>
      </c>
      <c r="AA343" s="2">
        <f t="shared" si="15"/>
        <v>0</v>
      </c>
      <c r="AB343" s="2">
        <f t="shared" si="16"/>
      </c>
      <c r="AC343" s="2">
        <f t="shared" si="17"/>
      </c>
      <c r="AD343" s="2">
        <f t="shared" si="18"/>
      </c>
      <c r="AE343" s="2">
        <f t="shared" si="19"/>
      </c>
      <c r="AF343" s="2">
        <f t="shared" si="20"/>
      </c>
      <c r="AG343" s="2">
        <f t="shared" si="21"/>
      </c>
      <c r="AH343" s="2">
        <f t="shared" si="22"/>
      </c>
      <c r="AI343" s="2">
        <f t="shared" si="23"/>
      </c>
      <c r="AJ343" s="2">
        <f t="shared" si="24"/>
        <v>0</v>
      </c>
      <c r="AK343" s="2">
        <f t="shared" si="25"/>
        <v>0</v>
      </c>
      <c r="AL343" s="2">
        <f t="shared" si="26"/>
        <v>0</v>
      </c>
      <c r="AM343" s="2">
        <f t="shared" si="27"/>
        <v>0</v>
      </c>
      <c r="AN343" s="2">
        <f t="shared" si="28"/>
        <v>0</v>
      </c>
      <c r="AO343" s="2">
        <f t="shared" si="29"/>
      </c>
      <c r="AP343" s="2">
        <f t="shared" si="30"/>
      </c>
      <c r="AQ343" s="2">
        <f t="shared" si="31"/>
      </c>
    </row>
    <row r="344">
      <c r="A344" s="43">
        <f t="shared" si="3"/>
      </c>
      <c r="B344" s="44" t="n"/>
      <c r="C344" s="45" t="n"/>
      <c r="D344" s="46" t="n"/>
      <c r="E344" s="47" t="n"/>
      <c r="F344" s="47" t="n"/>
      <c r="G344" s="48">
        <f t="shared" si="4"/>
      </c>
      <c r="H344" s="43">
        <f t="shared" si="0"/>
      </c>
      <c r="I344" s="43">
        <f t="shared" si="5"/>
      </c>
      <c r="J344" s="43">
        <f t="shared" si="1"/>
      </c>
      <c r="K344" s="49">
        <f t="shared" si="2"/>
      </c>
      <c r="L344" s="45" t="n"/>
      <c r="M344" s="45" t="n"/>
      <c r="N344" s="45" t="n"/>
      <c r="O344" s="45" t="n"/>
      <c r="P344" s="50" t="n"/>
      <c r="R344" s="2">
        <f t="shared" si="6"/>
        <v>0</v>
      </c>
      <c r="S344" s="2">
        <f t="shared" si="7"/>
      </c>
      <c r="T344" s="2">
        <f t="shared" si="8"/>
      </c>
      <c r="U344" s="2">
        <f t="shared" si="9"/>
      </c>
      <c r="V344" s="2">
        <f t="shared" si="10"/>
      </c>
      <c r="W344" s="2">
        <f t="shared" si="11"/>
      </c>
      <c r="X344" s="2">
        <f t="shared" si="12"/>
      </c>
      <c r="Y344" s="2">
        <f t="shared" si="13"/>
        <v>0</v>
      </c>
      <c r="Z344" s="2">
        <f t="shared" si="14"/>
      </c>
      <c r="AA344" s="2">
        <f t="shared" si="15"/>
        <v>0</v>
      </c>
      <c r="AB344" s="2">
        <f t="shared" si="16"/>
      </c>
      <c r="AC344" s="2">
        <f t="shared" si="17"/>
      </c>
      <c r="AD344" s="2">
        <f t="shared" si="18"/>
      </c>
      <c r="AE344" s="2">
        <f t="shared" si="19"/>
      </c>
      <c r="AF344" s="2">
        <f t="shared" si="20"/>
      </c>
      <c r="AG344" s="2">
        <f t="shared" si="21"/>
      </c>
      <c r="AH344" s="2">
        <f t="shared" si="22"/>
      </c>
      <c r="AI344" s="2">
        <f t="shared" si="23"/>
      </c>
      <c r="AJ344" s="2">
        <f t="shared" si="24"/>
        <v>0</v>
      </c>
      <c r="AK344" s="2">
        <f t="shared" si="25"/>
        <v>0</v>
      </c>
      <c r="AL344" s="2">
        <f t="shared" si="26"/>
        <v>0</v>
      </c>
      <c r="AM344" s="2">
        <f t="shared" si="27"/>
        <v>0</v>
      </c>
      <c r="AN344" s="2">
        <f t="shared" si="28"/>
        <v>0</v>
      </c>
      <c r="AO344" s="2">
        <f t="shared" si="29"/>
      </c>
      <c r="AP344" s="2">
        <f t="shared" si="30"/>
      </c>
      <c r="AQ344" s="2">
        <f t="shared" si="31"/>
      </c>
    </row>
    <row r="345">
      <c r="A345" s="43">
        <f t="shared" si="3"/>
      </c>
      <c r="B345" s="44" t="n"/>
      <c r="C345" s="45" t="n"/>
      <c r="D345" s="46" t="n"/>
      <c r="E345" s="47" t="n"/>
      <c r="F345" s="47" t="n"/>
      <c r="G345" s="48">
        <f t="shared" si="4"/>
      </c>
      <c r="H345" s="43">
        <f t="shared" si="0"/>
      </c>
      <c r="I345" s="43">
        <f t="shared" si="5"/>
      </c>
      <c r="J345" s="43">
        <f t="shared" si="1"/>
      </c>
      <c r="K345" s="49">
        <f t="shared" si="2"/>
      </c>
      <c r="L345" s="45" t="n"/>
      <c r="M345" s="45" t="n"/>
      <c r="N345" s="45" t="n"/>
      <c r="O345" s="45" t="n"/>
      <c r="P345" s="50" t="n"/>
      <c r="R345" s="2">
        <f t="shared" si="6"/>
        <v>0</v>
      </c>
      <c r="S345" s="2">
        <f t="shared" si="7"/>
      </c>
      <c r="T345" s="2">
        <f t="shared" si="8"/>
      </c>
      <c r="U345" s="2">
        <f t="shared" si="9"/>
      </c>
      <c r="V345" s="2">
        <f t="shared" si="10"/>
      </c>
      <c r="W345" s="2">
        <f t="shared" si="11"/>
      </c>
      <c r="X345" s="2">
        <f t="shared" si="12"/>
      </c>
      <c r="Y345" s="2">
        <f t="shared" si="13"/>
        <v>0</v>
      </c>
      <c r="Z345" s="2">
        <f t="shared" si="14"/>
      </c>
      <c r="AA345" s="2">
        <f t="shared" si="15"/>
        <v>0</v>
      </c>
      <c r="AB345" s="2">
        <f t="shared" si="16"/>
      </c>
      <c r="AC345" s="2">
        <f t="shared" si="17"/>
      </c>
      <c r="AD345" s="2">
        <f t="shared" si="18"/>
      </c>
      <c r="AE345" s="2">
        <f t="shared" si="19"/>
      </c>
      <c r="AF345" s="2">
        <f t="shared" si="20"/>
      </c>
      <c r="AG345" s="2">
        <f t="shared" si="21"/>
      </c>
      <c r="AH345" s="2">
        <f t="shared" si="22"/>
      </c>
      <c r="AI345" s="2">
        <f t="shared" si="23"/>
      </c>
      <c r="AJ345" s="2">
        <f t="shared" si="24"/>
        <v>0</v>
      </c>
      <c r="AK345" s="2">
        <f t="shared" si="25"/>
        <v>0</v>
      </c>
      <c r="AL345" s="2">
        <f t="shared" si="26"/>
        <v>0</v>
      </c>
      <c r="AM345" s="2">
        <f t="shared" si="27"/>
        <v>0</v>
      </c>
      <c r="AN345" s="2">
        <f t="shared" si="28"/>
        <v>0</v>
      </c>
      <c r="AO345" s="2">
        <f t="shared" si="29"/>
      </c>
      <c r="AP345" s="2">
        <f t="shared" si="30"/>
      </c>
      <c r="AQ345" s="2">
        <f t="shared" si="31"/>
      </c>
    </row>
    <row r="346">
      <c r="A346" s="43">
        <f t="shared" si="3"/>
      </c>
      <c r="B346" s="44" t="n"/>
      <c r="C346" s="45" t="n"/>
      <c r="D346" s="46" t="n"/>
      <c r="E346" s="47" t="n"/>
      <c r="F346" s="47" t="n"/>
      <c r="G346" s="48">
        <f t="shared" si="4"/>
      </c>
      <c r="H346" s="43">
        <f t="shared" si="0"/>
      </c>
      <c r="I346" s="43">
        <f t="shared" si="5"/>
      </c>
      <c r="J346" s="43">
        <f t="shared" si="1"/>
      </c>
      <c r="K346" s="49">
        <f t="shared" si="2"/>
      </c>
      <c r="L346" s="45" t="n"/>
      <c r="M346" s="45" t="n"/>
      <c r="N346" s="45" t="n"/>
      <c r="O346" s="45" t="n"/>
      <c r="P346" s="50" t="n"/>
      <c r="R346" s="2">
        <f t="shared" si="6"/>
        <v>0</v>
      </c>
      <c r="S346" s="2">
        <f t="shared" si="7"/>
      </c>
      <c r="T346" s="2">
        <f t="shared" si="8"/>
      </c>
      <c r="U346" s="2">
        <f t="shared" si="9"/>
      </c>
      <c r="V346" s="2">
        <f t="shared" si="10"/>
      </c>
      <c r="W346" s="2">
        <f t="shared" si="11"/>
      </c>
      <c r="X346" s="2">
        <f t="shared" si="12"/>
      </c>
      <c r="Y346" s="2">
        <f t="shared" si="13"/>
        <v>0</v>
      </c>
      <c r="Z346" s="2">
        <f t="shared" si="14"/>
      </c>
      <c r="AA346" s="2">
        <f t="shared" si="15"/>
        <v>0</v>
      </c>
      <c r="AB346" s="2">
        <f t="shared" si="16"/>
      </c>
      <c r="AC346" s="2">
        <f t="shared" si="17"/>
      </c>
      <c r="AD346" s="2">
        <f t="shared" si="18"/>
      </c>
      <c r="AE346" s="2">
        <f t="shared" si="19"/>
      </c>
      <c r="AF346" s="2">
        <f t="shared" si="20"/>
      </c>
      <c r="AG346" s="2">
        <f t="shared" si="21"/>
      </c>
      <c r="AH346" s="2">
        <f t="shared" si="22"/>
      </c>
      <c r="AI346" s="2">
        <f t="shared" si="23"/>
      </c>
      <c r="AJ346" s="2">
        <f t="shared" si="24"/>
        <v>0</v>
      </c>
      <c r="AK346" s="2">
        <f t="shared" si="25"/>
        <v>0</v>
      </c>
      <c r="AL346" s="2">
        <f t="shared" si="26"/>
        <v>0</v>
      </c>
      <c r="AM346" s="2">
        <f t="shared" si="27"/>
        <v>0</v>
      </c>
      <c r="AN346" s="2">
        <f t="shared" si="28"/>
        <v>0</v>
      </c>
      <c r="AO346" s="2">
        <f t="shared" si="29"/>
      </c>
      <c r="AP346" s="2">
        <f t="shared" si="30"/>
      </c>
      <c r="AQ346" s="2">
        <f t="shared" si="31"/>
      </c>
    </row>
    <row r="347">
      <c r="A347" s="43">
        <f t="shared" si="3"/>
      </c>
      <c r="B347" s="44" t="n"/>
      <c r="C347" s="45" t="n"/>
      <c r="D347" s="46" t="n"/>
      <c r="E347" s="47" t="n"/>
      <c r="F347" s="47" t="n"/>
      <c r="G347" s="48">
        <f t="shared" si="4"/>
      </c>
      <c r="H347" s="43">
        <f t="shared" si="0"/>
      </c>
      <c r="I347" s="43">
        <f t="shared" si="5"/>
      </c>
      <c r="J347" s="43">
        <f t="shared" si="1"/>
      </c>
      <c r="K347" s="49">
        <f t="shared" si="2"/>
      </c>
      <c r="L347" s="45" t="n"/>
      <c r="M347" s="45" t="n"/>
      <c r="N347" s="45" t="n"/>
      <c r="O347" s="45" t="n"/>
      <c r="P347" s="50" t="n"/>
      <c r="R347" s="2">
        <f t="shared" si="6"/>
        <v>0</v>
      </c>
      <c r="S347" s="2">
        <f t="shared" si="7"/>
      </c>
      <c r="T347" s="2">
        <f t="shared" si="8"/>
      </c>
      <c r="U347" s="2">
        <f t="shared" si="9"/>
      </c>
      <c r="V347" s="2">
        <f t="shared" si="10"/>
      </c>
      <c r="W347" s="2">
        <f t="shared" si="11"/>
      </c>
      <c r="X347" s="2">
        <f t="shared" si="12"/>
      </c>
      <c r="Y347" s="2">
        <f t="shared" si="13"/>
        <v>0</v>
      </c>
      <c r="Z347" s="2">
        <f t="shared" si="14"/>
      </c>
      <c r="AA347" s="2">
        <f t="shared" si="15"/>
        <v>0</v>
      </c>
      <c r="AB347" s="2">
        <f t="shared" si="16"/>
      </c>
      <c r="AC347" s="2">
        <f t="shared" si="17"/>
      </c>
      <c r="AD347" s="2">
        <f t="shared" si="18"/>
      </c>
      <c r="AE347" s="2">
        <f t="shared" si="19"/>
      </c>
      <c r="AF347" s="2">
        <f t="shared" si="20"/>
      </c>
      <c r="AG347" s="2">
        <f t="shared" si="21"/>
      </c>
      <c r="AH347" s="2">
        <f t="shared" si="22"/>
      </c>
      <c r="AI347" s="2">
        <f t="shared" si="23"/>
      </c>
      <c r="AJ347" s="2">
        <f t="shared" si="24"/>
        <v>0</v>
      </c>
      <c r="AK347" s="2">
        <f t="shared" si="25"/>
        <v>0</v>
      </c>
      <c r="AL347" s="2">
        <f t="shared" si="26"/>
        <v>0</v>
      </c>
      <c r="AM347" s="2">
        <f t="shared" si="27"/>
        <v>0</v>
      </c>
      <c r="AN347" s="2">
        <f t="shared" si="28"/>
        <v>0</v>
      </c>
      <c r="AO347" s="2">
        <f t="shared" si="29"/>
      </c>
      <c r="AP347" s="2">
        <f t="shared" si="30"/>
      </c>
      <c r="AQ347" s="2">
        <f t="shared" si="31"/>
      </c>
    </row>
    <row r="348">
      <c r="A348" s="43">
        <f t="shared" si="3"/>
      </c>
      <c r="B348" s="44" t="n"/>
      <c r="C348" s="45" t="n"/>
      <c r="D348" s="46" t="n"/>
      <c r="E348" s="47" t="n"/>
      <c r="F348" s="47" t="n"/>
      <c r="G348" s="48">
        <f t="shared" si="4"/>
      </c>
      <c r="H348" s="43">
        <f t="shared" si="0"/>
      </c>
      <c r="I348" s="43">
        <f t="shared" si="5"/>
      </c>
      <c r="J348" s="43">
        <f t="shared" si="1"/>
      </c>
      <c r="K348" s="49">
        <f t="shared" si="2"/>
      </c>
      <c r="L348" s="45" t="n"/>
      <c r="M348" s="45" t="n"/>
      <c r="N348" s="45" t="n"/>
      <c r="O348" s="45" t="n"/>
      <c r="P348" s="50" t="n"/>
      <c r="R348" s="2">
        <f t="shared" si="6"/>
        <v>0</v>
      </c>
      <c r="S348" s="2">
        <f t="shared" si="7"/>
      </c>
      <c r="T348" s="2">
        <f t="shared" si="8"/>
      </c>
      <c r="U348" s="2">
        <f t="shared" si="9"/>
      </c>
      <c r="V348" s="2">
        <f t="shared" si="10"/>
      </c>
      <c r="W348" s="2">
        <f t="shared" si="11"/>
      </c>
      <c r="X348" s="2">
        <f t="shared" si="12"/>
      </c>
      <c r="Y348" s="2">
        <f t="shared" si="13"/>
        <v>0</v>
      </c>
      <c r="Z348" s="2">
        <f t="shared" si="14"/>
      </c>
      <c r="AA348" s="2">
        <f t="shared" si="15"/>
        <v>0</v>
      </c>
      <c r="AB348" s="2">
        <f t="shared" si="16"/>
      </c>
      <c r="AC348" s="2">
        <f t="shared" si="17"/>
      </c>
      <c r="AD348" s="2">
        <f t="shared" si="18"/>
      </c>
      <c r="AE348" s="2">
        <f t="shared" si="19"/>
      </c>
      <c r="AF348" s="2">
        <f t="shared" si="20"/>
      </c>
      <c r="AG348" s="2">
        <f t="shared" si="21"/>
      </c>
      <c r="AH348" s="2">
        <f t="shared" si="22"/>
      </c>
      <c r="AI348" s="2">
        <f t="shared" si="23"/>
      </c>
      <c r="AJ348" s="2">
        <f t="shared" si="24"/>
        <v>0</v>
      </c>
      <c r="AK348" s="2">
        <f t="shared" si="25"/>
        <v>0</v>
      </c>
      <c r="AL348" s="2">
        <f t="shared" si="26"/>
        <v>0</v>
      </c>
      <c r="AM348" s="2">
        <f t="shared" si="27"/>
        <v>0</v>
      </c>
      <c r="AN348" s="2">
        <f t="shared" si="28"/>
        <v>0</v>
      </c>
      <c r="AO348" s="2">
        <f t="shared" si="29"/>
      </c>
      <c r="AP348" s="2">
        <f t="shared" si="30"/>
      </c>
      <c r="AQ348" s="2">
        <f t="shared" si="31"/>
      </c>
    </row>
    <row r="349">
      <c r="A349" s="43">
        <f t="shared" si="3"/>
      </c>
      <c r="B349" s="44" t="n"/>
      <c r="C349" s="45" t="n"/>
      <c r="D349" s="46" t="n"/>
      <c r="E349" s="47" t="n"/>
      <c r="F349" s="47" t="n"/>
      <c r="G349" s="48">
        <f t="shared" si="4"/>
      </c>
      <c r="H349" s="43">
        <f t="shared" si="0"/>
      </c>
      <c r="I349" s="43">
        <f t="shared" si="5"/>
      </c>
      <c r="J349" s="43">
        <f t="shared" si="1"/>
      </c>
      <c r="K349" s="49">
        <f t="shared" si="2"/>
      </c>
      <c r="L349" s="45" t="n"/>
      <c r="M349" s="45" t="n"/>
      <c r="N349" s="45" t="n"/>
      <c r="O349" s="45" t="n"/>
      <c r="P349" s="50" t="n"/>
      <c r="R349" s="2">
        <f t="shared" si="6"/>
        <v>0</v>
      </c>
      <c r="S349" s="2">
        <f t="shared" si="7"/>
      </c>
      <c r="T349" s="2">
        <f t="shared" si="8"/>
      </c>
      <c r="U349" s="2">
        <f t="shared" si="9"/>
      </c>
      <c r="V349" s="2">
        <f t="shared" si="10"/>
      </c>
      <c r="W349" s="2">
        <f t="shared" si="11"/>
      </c>
      <c r="X349" s="2">
        <f t="shared" si="12"/>
      </c>
      <c r="Y349" s="2">
        <f t="shared" si="13"/>
        <v>0</v>
      </c>
      <c r="Z349" s="2">
        <f t="shared" si="14"/>
      </c>
      <c r="AA349" s="2">
        <f t="shared" si="15"/>
        <v>0</v>
      </c>
      <c r="AB349" s="2">
        <f t="shared" si="16"/>
      </c>
      <c r="AC349" s="2">
        <f t="shared" si="17"/>
      </c>
      <c r="AD349" s="2">
        <f t="shared" si="18"/>
      </c>
      <c r="AE349" s="2">
        <f t="shared" si="19"/>
      </c>
      <c r="AF349" s="2">
        <f t="shared" si="20"/>
      </c>
      <c r="AG349" s="2">
        <f t="shared" si="21"/>
      </c>
      <c r="AH349" s="2">
        <f t="shared" si="22"/>
      </c>
      <c r="AI349" s="2">
        <f t="shared" si="23"/>
      </c>
      <c r="AJ349" s="2">
        <f t="shared" si="24"/>
        <v>0</v>
      </c>
      <c r="AK349" s="2">
        <f t="shared" si="25"/>
        <v>0</v>
      </c>
      <c r="AL349" s="2">
        <f t="shared" si="26"/>
        <v>0</v>
      </c>
      <c r="AM349" s="2">
        <f t="shared" si="27"/>
        <v>0</v>
      </c>
      <c r="AN349" s="2">
        <f t="shared" si="28"/>
        <v>0</v>
      </c>
      <c r="AO349" s="2">
        <f t="shared" si="29"/>
      </c>
      <c r="AP349" s="2">
        <f t="shared" si="30"/>
      </c>
      <c r="AQ349" s="2">
        <f t="shared" si="31"/>
      </c>
    </row>
    <row r="350">
      <c r="A350" s="43">
        <f t="shared" si="3"/>
      </c>
      <c r="B350" s="44" t="n"/>
      <c r="C350" s="45" t="n"/>
      <c r="D350" s="46" t="n"/>
      <c r="E350" s="47" t="n"/>
      <c r="F350" s="47" t="n"/>
      <c r="G350" s="48">
        <f t="shared" si="4"/>
      </c>
      <c r="H350" s="43">
        <f t="shared" si="0"/>
      </c>
      <c r="I350" s="43">
        <f t="shared" si="5"/>
      </c>
      <c r="J350" s="43">
        <f t="shared" si="1"/>
      </c>
      <c r="K350" s="49">
        <f t="shared" si="2"/>
      </c>
      <c r="L350" s="45" t="n"/>
      <c r="M350" s="45" t="n"/>
      <c r="N350" s="45" t="n"/>
      <c r="O350" s="45" t="n"/>
      <c r="P350" s="50" t="n"/>
      <c r="R350" s="2">
        <f t="shared" si="6"/>
        <v>0</v>
      </c>
      <c r="S350" s="2">
        <f t="shared" si="7"/>
      </c>
      <c r="T350" s="2">
        <f t="shared" si="8"/>
      </c>
      <c r="U350" s="2">
        <f t="shared" si="9"/>
      </c>
      <c r="V350" s="2">
        <f t="shared" si="10"/>
      </c>
      <c r="W350" s="2">
        <f t="shared" si="11"/>
      </c>
      <c r="X350" s="2">
        <f t="shared" si="12"/>
      </c>
      <c r="Y350" s="2">
        <f t="shared" si="13"/>
        <v>0</v>
      </c>
      <c r="Z350" s="2">
        <f t="shared" si="14"/>
      </c>
      <c r="AA350" s="2">
        <f t="shared" si="15"/>
        <v>0</v>
      </c>
      <c r="AB350" s="2">
        <f t="shared" si="16"/>
      </c>
      <c r="AC350" s="2">
        <f t="shared" si="17"/>
      </c>
      <c r="AD350" s="2">
        <f t="shared" si="18"/>
      </c>
      <c r="AE350" s="2">
        <f t="shared" si="19"/>
      </c>
      <c r="AF350" s="2">
        <f t="shared" si="20"/>
      </c>
      <c r="AG350" s="2">
        <f t="shared" si="21"/>
      </c>
      <c r="AH350" s="2">
        <f t="shared" si="22"/>
      </c>
      <c r="AI350" s="2">
        <f t="shared" si="23"/>
      </c>
      <c r="AJ350" s="2">
        <f t="shared" si="24"/>
        <v>0</v>
      </c>
      <c r="AK350" s="2">
        <f t="shared" si="25"/>
        <v>0</v>
      </c>
      <c r="AL350" s="2">
        <f t="shared" si="26"/>
        <v>0</v>
      </c>
      <c r="AM350" s="2">
        <f t="shared" si="27"/>
        <v>0</v>
      </c>
      <c r="AN350" s="2">
        <f t="shared" si="28"/>
        <v>0</v>
      </c>
      <c r="AO350" s="2">
        <f t="shared" si="29"/>
      </c>
      <c r="AP350" s="2">
        <f t="shared" si="30"/>
      </c>
      <c r="AQ350" s="2">
        <f t="shared" si="31"/>
      </c>
    </row>
    <row r="351">
      <c r="A351" s="43">
        <f t="shared" si="3"/>
      </c>
      <c r="B351" s="44" t="n"/>
      <c r="C351" s="45" t="n"/>
      <c r="D351" s="46" t="n"/>
      <c r="E351" s="47" t="n"/>
      <c r="F351" s="47" t="n"/>
      <c r="G351" s="48">
        <f t="shared" si="4"/>
      </c>
      <c r="H351" s="43">
        <f t="shared" si="0"/>
      </c>
      <c r="I351" s="43">
        <f t="shared" si="5"/>
      </c>
      <c r="J351" s="43">
        <f t="shared" si="1"/>
      </c>
      <c r="K351" s="49">
        <f t="shared" si="2"/>
      </c>
      <c r="L351" s="45" t="n"/>
      <c r="M351" s="45" t="n"/>
      <c r="N351" s="45" t="n"/>
      <c r="O351" s="45" t="n"/>
      <c r="P351" s="50" t="n"/>
      <c r="R351" s="2">
        <f t="shared" si="6"/>
        <v>0</v>
      </c>
      <c r="S351" s="2">
        <f t="shared" si="7"/>
      </c>
      <c r="T351" s="2">
        <f t="shared" si="8"/>
      </c>
      <c r="U351" s="2">
        <f t="shared" si="9"/>
      </c>
      <c r="V351" s="2">
        <f t="shared" si="10"/>
      </c>
      <c r="W351" s="2">
        <f t="shared" si="11"/>
      </c>
      <c r="X351" s="2">
        <f t="shared" si="12"/>
      </c>
      <c r="Y351" s="2">
        <f t="shared" si="13"/>
        <v>0</v>
      </c>
      <c r="Z351" s="2">
        <f t="shared" si="14"/>
      </c>
      <c r="AA351" s="2">
        <f t="shared" si="15"/>
        <v>0</v>
      </c>
      <c r="AB351" s="2">
        <f t="shared" si="16"/>
      </c>
      <c r="AC351" s="2">
        <f t="shared" si="17"/>
      </c>
      <c r="AD351" s="2">
        <f t="shared" si="18"/>
      </c>
      <c r="AE351" s="2">
        <f t="shared" si="19"/>
      </c>
      <c r="AF351" s="2">
        <f t="shared" si="20"/>
      </c>
      <c r="AG351" s="2">
        <f t="shared" si="21"/>
      </c>
      <c r="AH351" s="2">
        <f t="shared" si="22"/>
      </c>
      <c r="AI351" s="2">
        <f t="shared" si="23"/>
      </c>
      <c r="AJ351" s="2">
        <f t="shared" si="24"/>
        <v>0</v>
      </c>
      <c r="AK351" s="2">
        <f t="shared" si="25"/>
        <v>0</v>
      </c>
      <c r="AL351" s="2">
        <f t="shared" si="26"/>
        <v>0</v>
      </c>
      <c r="AM351" s="2">
        <f t="shared" si="27"/>
        <v>0</v>
      </c>
      <c r="AN351" s="2">
        <f t="shared" si="28"/>
        <v>0</v>
      </c>
      <c r="AO351" s="2">
        <f t="shared" si="29"/>
      </c>
      <c r="AP351" s="2">
        <f t="shared" si="30"/>
      </c>
      <c r="AQ351" s="2">
        <f t="shared" si="31"/>
      </c>
    </row>
    <row r="352">
      <c r="A352" s="43">
        <f t="shared" si="3"/>
      </c>
      <c r="B352" s="44" t="n"/>
      <c r="C352" s="45" t="n"/>
      <c r="D352" s="46" t="n"/>
      <c r="E352" s="47" t="n"/>
      <c r="F352" s="47" t="n"/>
      <c r="G352" s="48">
        <f t="shared" si="4"/>
      </c>
      <c r="H352" s="43">
        <f t="shared" si="0"/>
      </c>
      <c r="I352" s="43">
        <f t="shared" si="5"/>
      </c>
      <c r="J352" s="43">
        <f t="shared" si="1"/>
      </c>
      <c r="K352" s="49">
        <f t="shared" si="2"/>
      </c>
      <c r="L352" s="45" t="n"/>
      <c r="M352" s="45" t="n"/>
      <c r="N352" s="45" t="n"/>
      <c r="O352" s="45" t="n"/>
      <c r="P352" s="50" t="n"/>
      <c r="R352" s="2">
        <f t="shared" si="6"/>
        <v>0</v>
      </c>
      <c r="S352" s="2">
        <f t="shared" si="7"/>
      </c>
      <c r="T352" s="2">
        <f t="shared" si="8"/>
      </c>
      <c r="U352" s="2">
        <f t="shared" si="9"/>
      </c>
      <c r="V352" s="2">
        <f t="shared" si="10"/>
      </c>
      <c r="W352" s="2">
        <f t="shared" si="11"/>
      </c>
      <c r="X352" s="2">
        <f t="shared" si="12"/>
      </c>
      <c r="Y352" s="2">
        <f t="shared" si="13"/>
        <v>0</v>
      </c>
      <c r="Z352" s="2">
        <f t="shared" si="14"/>
      </c>
      <c r="AA352" s="2">
        <f t="shared" si="15"/>
        <v>0</v>
      </c>
      <c r="AB352" s="2">
        <f t="shared" si="16"/>
      </c>
      <c r="AC352" s="2">
        <f t="shared" si="17"/>
      </c>
      <c r="AD352" s="2">
        <f t="shared" si="18"/>
      </c>
      <c r="AE352" s="2">
        <f t="shared" si="19"/>
      </c>
      <c r="AF352" s="2">
        <f t="shared" si="20"/>
      </c>
      <c r="AG352" s="2">
        <f t="shared" si="21"/>
      </c>
      <c r="AH352" s="2">
        <f t="shared" si="22"/>
      </c>
      <c r="AI352" s="2">
        <f t="shared" si="23"/>
      </c>
      <c r="AJ352" s="2">
        <f t="shared" si="24"/>
        <v>0</v>
      </c>
      <c r="AK352" s="2">
        <f t="shared" si="25"/>
        <v>0</v>
      </c>
      <c r="AL352" s="2">
        <f t="shared" si="26"/>
        <v>0</v>
      </c>
      <c r="AM352" s="2">
        <f t="shared" si="27"/>
        <v>0</v>
      </c>
      <c r="AN352" s="2">
        <f t="shared" si="28"/>
        <v>0</v>
      </c>
      <c r="AO352" s="2">
        <f t="shared" si="29"/>
      </c>
      <c r="AP352" s="2">
        <f t="shared" si="30"/>
      </c>
      <c r="AQ352" s="2">
        <f t="shared" si="31"/>
      </c>
    </row>
    <row r="353">
      <c r="A353" s="43">
        <f t="shared" si="3"/>
      </c>
      <c r="B353" s="44" t="n"/>
      <c r="C353" s="45" t="n"/>
      <c r="D353" s="46" t="n"/>
      <c r="E353" s="47" t="n"/>
      <c r="F353" s="47" t="n"/>
      <c r="G353" s="48">
        <f t="shared" si="4"/>
      </c>
      <c r="H353" s="43">
        <f t="shared" si="0"/>
      </c>
      <c r="I353" s="43">
        <f t="shared" si="5"/>
      </c>
      <c r="J353" s="43">
        <f t="shared" si="1"/>
      </c>
      <c r="K353" s="49">
        <f t="shared" si="2"/>
      </c>
      <c r="L353" s="45" t="n"/>
      <c r="M353" s="45" t="n"/>
      <c r="N353" s="45" t="n"/>
      <c r="O353" s="45" t="n"/>
      <c r="P353" s="50" t="n"/>
      <c r="R353" s="2">
        <f t="shared" si="6"/>
        <v>0</v>
      </c>
      <c r="S353" s="2">
        <f t="shared" si="7"/>
      </c>
      <c r="T353" s="2">
        <f t="shared" si="8"/>
      </c>
      <c r="U353" s="2">
        <f t="shared" si="9"/>
      </c>
      <c r="V353" s="2">
        <f t="shared" si="10"/>
      </c>
      <c r="W353" s="2">
        <f t="shared" si="11"/>
      </c>
      <c r="X353" s="2">
        <f t="shared" si="12"/>
      </c>
      <c r="Y353" s="2">
        <f t="shared" si="13"/>
        <v>0</v>
      </c>
      <c r="Z353" s="2">
        <f t="shared" si="14"/>
      </c>
      <c r="AA353" s="2">
        <f t="shared" si="15"/>
        <v>0</v>
      </c>
      <c r="AB353" s="2">
        <f t="shared" si="16"/>
      </c>
      <c r="AC353" s="2">
        <f t="shared" si="17"/>
      </c>
      <c r="AD353" s="2">
        <f t="shared" si="18"/>
      </c>
      <c r="AE353" s="2">
        <f t="shared" si="19"/>
      </c>
      <c r="AF353" s="2">
        <f t="shared" si="20"/>
      </c>
      <c r="AG353" s="2">
        <f t="shared" si="21"/>
      </c>
      <c r="AH353" s="2">
        <f t="shared" si="22"/>
      </c>
      <c r="AI353" s="2">
        <f t="shared" si="23"/>
      </c>
      <c r="AJ353" s="2">
        <f t="shared" si="24"/>
        <v>0</v>
      </c>
      <c r="AK353" s="2">
        <f t="shared" si="25"/>
        <v>0</v>
      </c>
      <c r="AL353" s="2">
        <f t="shared" si="26"/>
        <v>0</v>
      </c>
      <c r="AM353" s="2">
        <f t="shared" si="27"/>
        <v>0</v>
      </c>
      <c r="AN353" s="2">
        <f t="shared" si="28"/>
        <v>0</v>
      </c>
      <c r="AO353" s="2">
        <f t="shared" si="29"/>
      </c>
      <c r="AP353" s="2">
        <f t="shared" si="30"/>
      </c>
      <c r="AQ353" s="2">
        <f t="shared" si="31"/>
      </c>
    </row>
    <row r="354">
      <c r="A354" s="43">
        <f t="shared" si="3"/>
      </c>
      <c r="B354" s="44" t="n"/>
      <c r="C354" s="45" t="n"/>
      <c r="D354" s="46" t="n"/>
      <c r="E354" s="47" t="n"/>
      <c r="F354" s="47" t="n"/>
      <c r="G354" s="48">
        <f t="shared" si="4"/>
      </c>
      <c r="H354" s="43">
        <f t="shared" si="0"/>
      </c>
      <c r="I354" s="43">
        <f t="shared" si="5"/>
      </c>
      <c r="J354" s="43">
        <f t="shared" si="1"/>
      </c>
      <c r="K354" s="49">
        <f t="shared" si="2"/>
      </c>
      <c r="L354" s="45" t="n"/>
      <c r="M354" s="45" t="n"/>
      <c r="N354" s="45" t="n"/>
      <c r="O354" s="45" t="n"/>
      <c r="P354" s="50" t="n"/>
      <c r="R354" s="2">
        <f t="shared" si="6"/>
        <v>0</v>
      </c>
      <c r="S354" s="2">
        <f t="shared" si="7"/>
      </c>
      <c r="T354" s="2">
        <f t="shared" si="8"/>
      </c>
      <c r="U354" s="2">
        <f t="shared" si="9"/>
      </c>
      <c r="V354" s="2">
        <f t="shared" si="10"/>
      </c>
      <c r="W354" s="2">
        <f t="shared" si="11"/>
      </c>
      <c r="X354" s="2">
        <f t="shared" si="12"/>
      </c>
      <c r="Y354" s="2">
        <f t="shared" si="13"/>
        <v>0</v>
      </c>
      <c r="Z354" s="2">
        <f t="shared" si="14"/>
      </c>
      <c r="AA354" s="2">
        <f t="shared" si="15"/>
        <v>0</v>
      </c>
      <c r="AB354" s="2">
        <f t="shared" si="16"/>
      </c>
      <c r="AC354" s="2">
        <f t="shared" si="17"/>
      </c>
      <c r="AD354" s="2">
        <f t="shared" si="18"/>
      </c>
      <c r="AE354" s="2">
        <f t="shared" si="19"/>
      </c>
      <c r="AF354" s="2">
        <f t="shared" si="20"/>
      </c>
      <c r="AG354" s="2">
        <f t="shared" si="21"/>
      </c>
      <c r="AH354" s="2">
        <f t="shared" si="22"/>
      </c>
      <c r="AI354" s="2">
        <f t="shared" si="23"/>
      </c>
      <c r="AJ354" s="2">
        <f t="shared" si="24"/>
        <v>0</v>
      </c>
      <c r="AK354" s="2">
        <f t="shared" si="25"/>
        <v>0</v>
      </c>
      <c r="AL354" s="2">
        <f t="shared" si="26"/>
        <v>0</v>
      </c>
      <c r="AM354" s="2">
        <f t="shared" si="27"/>
        <v>0</v>
      </c>
      <c r="AN354" s="2">
        <f t="shared" si="28"/>
        <v>0</v>
      </c>
      <c r="AO354" s="2">
        <f t="shared" si="29"/>
      </c>
      <c r="AP354" s="2">
        <f t="shared" si="30"/>
      </c>
      <c r="AQ354" s="2">
        <f t="shared" si="31"/>
      </c>
    </row>
    <row r="355">
      <c r="A355" s="43">
        <f t="shared" si="3"/>
      </c>
      <c r="B355" s="44" t="n"/>
      <c r="C355" s="45" t="n"/>
      <c r="D355" s="46" t="n"/>
      <c r="E355" s="47" t="n"/>
      <c r="F355" s="47" t="n"/>
      <c r="G355" s="48">
        <f t="shared" si="4"/>
      </c>
      <c r="H355" s="43">
        <f t="shared" si="0"/>
      </c>
      <c r="I355" s="43">
        <f t="shared" si="5"/>
      </c>
      <c r="J355" s="43">
        <f t="shared" si="1"/>
      </c>
      <c r="K355" s="49">
        <f t="shared" si="2"/>
      </c>
      <c r="L355" s="45" t="n"/>
      <c r="M355" s="45" t="n"/>
      <c r="N355" s="45" t="n"/>
      <c r="O355" s="45" t="n"/>
      <c r="P355" s="50" t="n"/>
      <c r="R355" s="2">
        <f t="shared" si="6"/>
        <v>0</v>
      </c>
      <c r="S355" s="2">
        <f t="shared" si="7"/>
      </c>
      <c r="T355" s="2">
        <f t="shared" si="8"/>
      </c>
      <c r="U355" s="2">
        <f t="shared" si="9"/>
      </c>
      <c r="V355" s="2">
        <f t="shared" si="10"/>
      </c>
      <c r="W355" s="2">
        <f t="shared" si="11"/>
      </c>
      <c r="X355" s="2">
        <f t="shared" si="12"/>
      </c>
      <c r="Y355" s="2">
        <f t="shared" si="13"/>
        <v>0</v>
      </c>
      <c r="Z355" s="2">
        <f t="shared" si="14"/>
      </c>
      <c r="AA355" s="2">
        <f t="shared" si="15"/>
        <v>0</v>
      </c>
      <c r="AB355" s="2">
        <f t="shared" si="16"/>
      </c>
      <c r="AC355" s="2">
        <f t="shared" si="17"/>
      </c>
      <c r="AD355" s="2">
        <f t="shared" si="18"/>
      </c>
      <c r="AE355" s="2">
        <f t="shared" si="19"/>
      </c>
      <c r="AF355" s="2">
        <f t="shared" si="20"/>
      </c>
      <c r="AG355" s="2">
        <f t="shared" si="21"/>
      </c>
      <c r="AH355" s="2">
        <f t="shared" si="22"/>
      </c>
      <c r="AI355" s="2">
        <f t="shared" si="23"/>
      </c>
      <c r="AJ355" s="2">
        <f t="shared" si="24"/>
        <v>0</v>
      </c>
      <c r="AK355" s="2">
        <f t="shared" si="25"/>
        <v>0</v>
      </c>
      <c r="AL355" s="2">
        <f t="shared" si="26"/>
        <v>0</v>
      </c>
      <c r="AM355" s="2">
        <f t="shared" si="27"/>
        <v>0</v>
      </c>
      <c r="AN355" s="2">
        <f t="shared" si="28"/>
        <v>0</v>
      </c>
      <c r="AO355" s="2">
        <f t="shared" si="29"/>
      </c>
      <c r="AP355" s="2">
        <f t="shared" si="30"/>
      </c>
      <c r="AQ355" s="2">
        <f t="shared" si="31"/>
      </c>
    </row>
    <row r="356">
      <c r="A356" s="43">
        <f t="shared" si="3"/>
      </c>
      <c r="B356" s="44" t="n"/>
      <c r="C356" s="45" t="n"/>
      <c r="D356" s="46" t="n"/>
      <c r="E356" s="47" t="n"/>
      <c r="F356" s="47" t="n"/>
      <c r="G356" s="48">
        <f t="shared" si="4"/>
      </c>
      <c r="H356" s="43">
        <f t="shared" si="0"/>
      </c>
      <c r="I356" s="43">
        <f t="shared" si="5"/>
      </c>
      <c r="J356" s="43">
        <f t="shared" si="1"/>
      </c>
      <c r="K356" s="49">
        <f t="shared" si="2"/>
      </c>
      <c r="L356" s="45" t="n"/>
      <c r="M356" s="45" t="n"/>
      <c r="N356" s="45" t="n"/>
      <c r="O356" s="45" t="n"/>
      <c r="P356" s="50" t="n"/>
      <c r="R356" s="2">
        <f t="shared" si="6"/>
        <v>0</v>
      </c>
      <c r="S356" s="2">
        <f t="shared" si="7"/>
      </c>
      <c r="T356" s="2">
        <f t="shared" si="8"/>
      </c>
      <c r="U356" s="2">
        <f t="shared" si="9"/>
      </c>
      <c r="V356" s="2">
        <f t="shared" si="10"/>
      </c>
      <c r="W356" s="2">
        <f t="shared" si="11"/>
      </c>
      <c r="X356" s="2">
        <f t="shared" si="12"/>
      </c>
      <c r="Y356" s="2">
        <f t="shared" si="13"/>
        <v>0</v>
      </c>
      <c r="Z356" s="2">
        <f t="shared" si="14"/>
      </c>
      <c r="AA356" s="2">
        <f t="shared" si="15"/>
        <v>0</v>
      </c>
      <c r="AB356" s="2">
        <f t="shared" si="16"/>
      </c>
      <c r="AC356" s="2">
        <f t="shared" si="17"/>
      </c>
      <c r="AD356" s="2">
        <f t="shared" si="18"/>
      </c>
      <c r="AE356" s="2">
        <f t="shared" si="19"/>
      </c>
      <c r="AF356" s="2">
        <f t="shared" si="20"/>
      </c>
      <c r="AG356" s="2">
        <f t="shared" si="21"/>
      </c>
      <c r="AH356" s="2">
        <f t="shared" si="22"/>
      </c>
      <c r="AI356" s="2">
        <f t="shared" si="23"/>
      </c>
      <c r="AJ356" s="2">
        <f t="shared" si="24"/>
        <v>0</v>
      </c>
      <c r="AK356" s="2">
        <f t="shared" si="25"/>
        <v>0</v>
      </c>
      <c r="AL356" s="2">
        <f t="shared" si="26"/>
        <v>0</v>
      </c>
      <c r="AM356" s="2">
        <f t="shared" si="27"/>
        <v>0</v>
      </c>
      <c r="AN356" s="2">
        <f t="shared" si="28"/>
        <v>0</v>
      </c>
      <c r="AO356" s="2">
        <f t="shared" si="29"/>
      </c>
      <c r="AP356" s="2">
        <f t="shared" si="30"/>
      </c>
      <c r="AQ356" s="2">
        <f t="shared" si="31"/>
      </c>
    </row>
    <row r="357">
      <c r="A357" s="43">
        <f t="shared" si="3"/>
      </c>
      <c r="B357" s="44" t="n"/>
      <c r="C357" s="45" t="n"/>
      <c r="D357" s="46" t="n"/>
      <c r="E357" s="47" t="n"/>
      <c r="F357" s="47" t="n"/>
      <c r="G357" s="48">
        <f t="shared" si="4"/>
      </c>
      <c r="H357" s="43">
        <f t="shared" si="0"/>
      </c>
      <c r="I357" s="43">
        <f t="shared" si="5"/>
      </c>
      <c r="J357" s="43">
        <f t="shared" si="1"/>
      </c>
      <c r="K357" s="49">
        <f t="shared" si="2"/>
      </c>
      <c r="L357" s="45" t="n"/>
      <c r="M357" s="45" t="n"/>
      <c r="N357" s="45" t="n"/>
      <c r="O357" s="45" t="n"/>
      <c r="P357" s="50" t="n"/>
      <c r="R357" s="2">
        <f t="shared" si="6"/>
        <v>0</v>
      </c>
      <c r="S357" s="2">
        <f t="shared" si="7"/>
      </c>
      <c r="T357" s="2">
        <f t="shared" si="8"/>
      </c>
      <c r="U357" s="2">
        <f t="shared" si="9"/>
      </c>
      <c r="V357" s="2">
        <f t="shared" si="10"/>
      </c>
      <c r="W357" s="2">
        <f t="shared" si="11"/>
      </c>
      <c r="X357" s="2">
        <f t="shared" si="12"/>
      </c>
      <c r="Y357" s="2">
        <f t="shared" si="13"/>
        <v>0</v>
      </c>
      <c r="Z357" s="2">
        <f t="shared" si="14"/>
      </c>
      <c r="AA357" s="2">
        <f t="shared" si="15"/>
        <v>0</v>
      </c>
      <c r="AB357" s="2">
        <f t="shared" si="16"/>
      </c>
      <c r="AC357" s="2">
        <f t="shared" si="17"/>
      </c>
      <c r="AD357" s="2">
        <f t="shared" si="18"/>
      </c>
      <c r="AE357" s="2">
        <f t="shared" si="19"/>
      </c>
      <c r="AF357" s="2">
        <f t="shared" si="20"/>
      </c>
      <c r="AG357" s="2">
        <f t="shared" si="21"/>
      </c>
      <c r="AH357" s="2">
        <f t="shared" si="22"/>
      </c>
      <c r="AI357" s="2">
        <f t="shared" si="23"/>
      </c>
      <c r="AJ357" s="2">
        <f t="shared" si="24"/>
        <v>0</v>
      </c>
      <c r="AK357" s="2">
        <f t="shared" si="25"/>
        <v>0</v>
      </c>
      <c r="AL357" s="2">
        <f t="shared" si="26"/>
        <v>0</v>
      </c>
      <c r="AM357" s="2">
        <f t="shared" si="27"/>
        <v>0</v>
      </c>
      <c r="AN357" s="2">
        <f t="shared" si="28"/>
        <v>0</v>
      </c>
      <c r="AO357" s="2">
        <f t="shared" si="29"/>
      </c>
      <c r="AP357" s="2">
        <f t="shared" si="30"/>
      </c>
      <c r="AQ357" s="2">
        <f t="shared" si="31"/>
      </c>
    </row>
    <row r="358">
      <c r="A358" s="43">
        <f t="shared" si="3"/>
      </c>
      <c r="B358" s="44" t="n"/>
      <c r="C358" s="45" t="n"/>
      <c r="D358" s="46" t="n"/>
      <c r="E358" s="47" t="n"/>
      <c r="F358" s="47" t="n"/>
      <c r="G358" s="48">
        <f t="shared" si="4"/>
      </c>
      <c r="H358" s="43">
        <f t="shared" si="0"/>
      </c>
      <c r="I358" s="43">
        <f t="shared" si="5"/>
      </c>
      <c r="J358" s="43">
        <f t="shared" si="1"/>
      </c>
      <c r="K358" s="49">
        <f t="shared" si="2"/>
      </c>
      <c r="L358" s="45" t="n"/>
      <c r="M358" s="45" t="n"/>
      <c r="N358" s="45" t="n"/>
      <c r="O358" s="45" t="n"/>
      <c r="P358" s="50" t="n"/>
      <c r="R358" s="2">
        <f t="shared" si="6"/>
        <v>0</v>
      </c>
      <c r="S358" s="2">
        <f t="shared" si="7"/>
      </c>
      <c r="T358" s="2">
        <f t="shared" si="8"/>
      </c>
      <c r="U358" s="2">
        <f t="shared" si="9"/>
      </c>
      <c r="V358" s="2">
        <f t="shared" si="10"/>
      </c>
      <c r="W358" s="2">
        <f t="shared" si="11"/>
      </c>
      <c r="X358" s="2">
        <f t="shared" si="12"/>
      </c>
      <c r="Y358" s="2">
        <f t="shared" si="13"/>
        <v>0</v>
      </c>
      <c r="Z358" s="2">
        <f t="shared" si="14"/>
      </c>
      <c r="AA358" s="2">
        <f t="shared" si="15"/>
        <v>0</v>
      </c>
      <c r="AB358" s="2">
        <f t="shared" si="16"/>
      </c>
      <c r="AC358" s="2">
        <f t="shared" si="17"/>
      </c>
      <c r="AD358" s="2">
        <f t="shared" si="18"/>
      </c>
      <c r="AE358" s="2">
        <f t="shared" si="19"/>
      </c>
      <c r="AF358" s="2">
        <f t="shared" si="20"/>
      </c>
      <c r="AG358" s="2">
        <f t="shared" si="21"/>
      </c>
      <c r="AH358" s="2">
        <f t="shared" si="22"/>
      </c>
      <c r="AI358" s="2">
        <f t="shared" si="23"/>
      </c>
      <c r="AJ358" s="2">
        <f t="shared" si="24"/>
        <v>0</v>
      </c>
      <c r="AK358" s="2">
        <f t="shared" si="25"/>
        <v>0</v>
      </c>
      <c r="AL358" s="2">
        <f t="shared" si="26"/>
        <v>0</v>
      </c>
      <c r="AM358" s="2">
        <f t="shared" si="27"/>
        <v>0</v>
      </c>
      <c r="AN358" s="2">
        <f t="shared" si="28"/>
        <v>0</v>
      </c>
      <c r="AO358" s="2">
        <f t="shared" si="29"/>
      </c>
      <c r="AP358" s="2">
        <f t="shared" si="30"/>
      </c>
      <c r="AQ358" s="2">
        <f t="shared" si="31"/>
      </c>
    </row>
    <row r="359">
      <c r="A359" s="43">
        <f t="shared" si="3"/>
      </c>
      <c r="B359" s="44" t="n"/>
      <c r="C359" s="45" t="n"/>
      <c r="D359" s="46" t="n"/>
      <c r="E359" s="47" t="n"/>
      <c r="F359" s="47" t="n"/>
      <c r="G359" s="48">
        <f t="shared" si="4"/>
      </c>
      <c r="H359" s="43">
        <f t="shared" si="0"/>
      </c>
      <c r="I359" s="43">
        <f t="shared" si="5"/>
      </c>
      <c r="J359" s="43">
        <f t="shared" si="1"/>
      </c>
      <c r="K359" s="49">
        <f t="shared" si="2"/>
      </c>
      <c r="L359" s="45" t="n"/>
      <c r="M359" s="45" t="n"/>
      <c r="N359" s="45" t="n"/>
      <c r="O359" s="45" t="n"/>
      <c r="P359" s="50" t="n"/>
      <c r="R359" s="2">
        <f t="shared" si="6"/>
        <v>0</v>
      </c>
      <c r="S359" s="2">
        <f t="shared" si="7"/>
      </c>
      <c r="T359" s="2">
        <f t="shared" si="8"/>
      </c>
      <c r="U359" s="2">
        <f t="shared" si="9"/>
      </c>
      <c r="V359" s="2">
        <f t="shared" si="10"/>
      </c>
      <c r="W359" s="2">
        <f t="shared" si="11"/>
      </c>
      <c r="X359" s="2">
        <f t="shared" si="12"/>
      </c>
      <c r="Y359" s="2">
        <f t="shared" si="13"/>
        <v>0</v>
      </c>
      <c r="Z359" s="2">
        <f t="shared" si="14"/>
      </c>
      <c r="AA359" s="2">
        <f t="shared" si="15"/>
        <v>0</v>
      </c>
      <c r="AB359" s="2">
        <f t="shared" si="16"/>
      </c>
      <c r="AC359" s="2">
        <f t="shared" si="17"/>
      </c>
      <c r="AD359" s="2">
        <f t="shared" si="18"/>
      </c>
      <c r="AE359" s="2">
        <f t="shared" si="19"/>
      </c>
      <c r="AF359" s="2">
        <f t="shared" si="20"/>
      </c>
      <c r="AG359" s="2">
        <f t="shared" si="21"/>
      </c>
      <c r="AH359" s="2">
        <f t="shared" si="22"/>
      </c>
      <c r="AI359" s="2">
        <f t="shared" si="23"/>
      </c>
      <c r="AJ359" s="2">
        <f t="shared" si="24"/>
        <v>0</v>
      </c>
      <c r="AK359" s="2">
        <f t="shared" si="25"/>
        <v>0</v>
      </c>
      <c r="AL359" s="2">
        <f t="shared" si="26"/>
        <v>0</v>
      </c>
      <c r="AM359" s="2">
        <f t="shared" si="27"/>
        <v>0</v>
      </c>
      <c r="AN359" s="2">
        <f t="shared" si="28"/>
        <v>0</v>
      </c>
      <c r="AO359" s="2">
        <f t="shared" si="29"/>
      </c>
      <c r="AP359" s="2">
        <f t="shared" si="30"/>
      </c>
      <c r="AQ359" s="2">
        <f t="shared" si="31"/>
      </c>
    </row>
    <row r="360">
      <c r="A360" s="43">
        <f t="shared" si="3"/>
      </c>
      <c r="B360" s="44" t="n"/>
      <c r="C360" s="45" t="n"/>
      <c r="D360" s="46" t="n"/>
      <c r="E360" s="47" t="n"/>
      <c r="F360" s="47" t="n"/>
      <c r="G360" s="48">
        <f t="shared" si="4"/>
      </c>
      <c r="H360" s="43">
        <f t="shared" si="0"/>
      </c>
      <c r="I360" s="43">
        <f t="shared" si="5"/>
      </c>
      <c r="J360" s="43">
        <f t="shared" si="1"/>
      </c>
      <c r="K360" s="49">
        <f t="shared" si="2"/>
      </c>
      <c r="L360" s="45" t="n"/>
      <c r="M360" s="45" t="n"/>
      <c r="N360" s="45" t="n"/>
      <c r="O360" s="45" t="n"/>
      <c r="P360" s="50" t="n"/>
      <c r="R360" s="2">
        <f t="shared" si="6"/>
        <v>0</v>
      </c>
      <c r="S360" s="2">
        <f t="shared" si="7"/>
      </c>
      <c r="T360" s="2">
        <f t="shared" si="8"/>
      </c>
      <c r="U360" s="2">
        <f t="shared" si="9"/>
      </c>
      <c r="V360" s="2">
        <f t="shared" si="10"/>
      </c>
      <c r="W360" s="2">
        <f t="shared" si="11"/>
      </c>
      <c r="X360" s="2">
        <f t="shared" si="12"/>
      </c>
      <c r="Y360" s="2">
        <f t="shared" si="13"/>
        <v>0</v>
      </c>
      <c r="Z360" s="2">
        <f t="shared" si="14"/>
      </c>
      <c r="AA360" s="2">
        <f t="shared" si="15"/>
        <v>0</v>
      </c>
      <c r="AB360" s="2">
        <f t="shared" si="16"/>
      </c>
      <c r="AC360" s="2">
        <f t="shared" si="17"/>
      </c>
      <c r="AD360" s="2">
        <f t="shared" si="18"/>
      </c>
      <c r="AE360" s="2">
        <f t="shared" si="19"/>
      </c>
      <c r="AF360" s="2">
        <f t="shared" si="20"/>
      </c>
      <c r="AG360" s="2">
        <f t="shared" si="21"/>
      </c>
      <c r="AH360" s="2">
        <f t="shared" si="22"/>
      </c>
      <c r="AI360" s="2">
        <f t="shared" si="23"/>
      </c>
      <c r="AJ360" s="2">
        <f t="shared" si="24"/>
        <v>0</v>
      </c>
      <c r="AK360" s="2">
        <f t="shared" si="25"/>
        <v>0</v>
      </c>
      <c r="AL360" s="2">
        <f t="shared" si="26"/>
        <v>0</v>
      </c>
      <c r="AM360" s="2">
        <f t="shared" si="27"/>
        <v>0</v>
      </c>
      <c r="AN360" s="2">
        <f t="shared" si="28"/>
        <v>0</v>
      </c>
      <c r="AO360" s="2">
        <f t="shared" si="29"/>
      </c>
      <c r="AP360" s="2">
        <f t="shared" si="30"/>
      </c>
      <c r="AQ360" s="2">
        <f t="shared" si="31"/>
      </c>
    </row>
    <row r="361">
      <c r="A361" s="43">
        <f t="shared" si="3"/>
      </c>
      <c r="B361" s="44" t="n"/>
      <c r="C361" s="45" t="n"/>
      <c r="D361" s="46" t="n"/>
      <c r="E361" s="47" t="n"/>
      <c r="F361" s="47" t="n"/>
      <c r="G361" s="48">
        <f t="shared" si="4"/>
      </c>
      <c r="H361" s="43">
        <f t="shared" si="0"/>
      </c>
      <c r="I361" s="43">
        <f t="shared" si="5"/>
      </c>
      <c r="J361" s="43">
        <f t="shared" si="1"/>
      </c>
      <c r="K361" s="49">
        <f t="shared" si="2"/>
      </c>
      <c r="L361" s="45" t="n"/>
      <c r="M361" s="45" t="n"/>
      <c r="N361" s="45" t="n"/>
      <c r="O361" s="45" t="n"/>
      <c r="P361" s="50" t="n"/>
      <c r="R361" s="2">
        <f t="shared" si="6"/>
        <v>0</v>
      </c>
      <c r="S361" s="2">
        <f t="shared" si="7"/>
      </c>
      <c r="T361" s="2">
        <f t="shared" si="8"/>
      </c>
      <c r="U361" s="2">
        <f t="shared" si="9"/>
      </c>
      <c r="V361" s="2">
        <f t="shared" si="10"/>
      </c>
      <c r="W361" s="2">
        <f t="shared" si="11"/>
      </c>
      <c r="X361" s="2">
        <f t="shared" si="12"/>
      </c>
      <c r="Y361" s="2">
        <f t="shared" si="13"/>
        <v>0</v>
      </c>
      <c r="Z361" s="2">
        <f t="shared" si="14"/>
      </c>
      <c r="AA361" s="2">
        <f t="shared" si="15"/>
        <v>0</v>
      </c>
      <c r="AB361" s="2">
        <f t="shared" si="16"/>
      </c>
      <c r="AC361" s="2">
        <f t="shared" si="17"/>
      </c>
      <c r="AD361" s="2">
        <f t="shared" si="18"/>
      </c>
      <c r="AE361" s="2">
        <f t="shared" si="19"/>
      </c>
      <c r="AF361" s="2">
        <f t="shared" si="20"/>
      </c>
      <c r="AG361" s="2">
        <f t="shared" si="21"/>
      </c>
      <c r="AH361" s="2">
        <f t="shared" si="22"/>
      </c>
      <c r="AI361" s="2">
        <f t="shared" si="23"/>
      </c>
      <c r="AJ361" s="2">
        <f t="shared" si="24"/>
        <v>0</v>
      </c>
      <c r="AK361" s="2">
        <f t="shared" si="25"/>
        <v>0</v>
      </c>
      <c r="AL361" s="2">
        <f t="shared" si="26"/>
        <v>0</v>
      </c>
      <c r="AM361" s="2">
        <f t="shared" si="27"/>
        <v>0</v>
      </c>
      <c r="AN361" s="2">
        <f t="shared" si="28"/>
        <v>0</v>
      </c>
      <c r="AO361" s="2">
        <f t="shared" si="29"/>
      </c>
      <c r="AP361" s="2">
        <f t="shared" si="30"/>
      </c>
      <c r="AQ361" s="2">
        <f t="shared" si="31"/>
      </c>
    </row>
    <row r="362">
      <c r="A362" s="43">
        <f t="shared" si="3"/>
      </c>
      <c r="B362" s="44" t="n"/>
      <c r="C362" s="45" t="n"/>
      <c r="D362" s="46" t="n"/>
      <c r="E362" s="47" t="n"/>
      <c r="F362" s="47" t="n"/>
      <c r="G362" s="48">
        <f t="shared" si="4"/>
      </c>
      <c r="H362" s="43">
        <f t="shared" si="0"/>
      </c>
      <c r="I362" s="43">
        <f t="shared" si="5"/>
      </c>
      <c r="J362" s="43">
        <f t="shared" si="1"/>
      </c>
      <c r="K362" s="49">
        <f t="shared" si="2"/>
      </c>
      <c r="L362" s="45" t="n"/>
      <c r="M362" s="45" t="n"/>
      <c r="N362" s="45" t="n"/>
      <c r="O362" s="45" t="n"/>
      <c r="P362" s="50" t="n"/>
      <c r="R362" s="2">
        <f t="shared" si="6"/>
        <v>0</v>
      </c>
      <c r="S362" s="2">
        <f t="shared" si="7"/>
      </c>
      <c r="T362" s="2">
        <f t="shared" si="8"/>
      </c>
      <c r="U362" s="2">
        <f t="shared" si="9"/>
      </c>
      <c r="V362" s="2">
        <f t="shared" si="10"/>
      </c>
      <c r="W362" s="2">
        <f t="shared" si="11"/>
      </c>
      <c r="X362" s="2">
        <f t="shared" si="12"/>
      </c>
      <c r="Y362" s="2">
        <f t="shared" si="13"/>
        <v>0</v>
      </c>
      <c r="Z362" s="2">
        <f t="shared" si="14"/>
      </c>
      <c r="AA362" s="2">
        <f t="shared" si="15"/>
        <v>0</v>
      </c>
      <c r="AB362" s="2">
        <f t="shared" si="16"/>
      </c>
      <c r="AC362" s="2">
        <f t="shared" si="17"/>
      </c>
      <c r="AD362" s="2">
        <f t="shared" si="18"/>
      </c>
      <c r="AE362" s="2">
        <f t="shared" si="19"/>
      </c>
      <c r="AF362" s="2">
        <f t="shared" si="20"/>
      </c>
      <c r="AG362" s="2">
        <f t="shared" si="21"/>
      </c>
      <c r="AH362" s="2">
        <f t="shared" si="22"/>
      </c>
      <c r="AI362" s="2">
        <f t="shared" si="23"/>
      </c>
      <c r="AJ362" s="2">
        <f t="shared" si="24"/>
        <v>0</v>
      </c>
      <c r="AK362" s="2">
        <f t="shared" si="25"/>
        <v>0</v>
      </c>
      <c r="AL362" s="2">
        <f t="shared" si="26"/>
        <v>0</v>
      </c>
      <c r="AM362" s="2">
        <f t="shared" si="27"/>
        <v>0</v>
      </c>
      <c r="AN362" s="2">
        <f t="shared" si="28"/>
        <v>0</v>
      </c>
      <c r="AO362" s="2">
        <f t="shared" si="29"/>
      </c>
      <c r="AP362" s="2">
        <f t="shared" si="30"/>
      </c>
      <c r="AQ362" s="2">
        <f t="shared" si="31"/>
      </c>
    </row>
    <row r="363">
      <c r="A363" s="43">
        <f t="shared" si="3"/>
      </c>
      <c r="B363" s="44" t="n"/>
      <c r="C363" s="45" t="n"/>
      <c r="D363" s="46" t="n"/>
      <c r="E363" s="47" t="n"/>
      <c r="F363" s="47" t="n"/>
      <c r="G363" s="48">
        <f t="shared" si="4"/>
      </c>
      <c r="H363" s="43">
        <f t="shared" si="0"/>
      </c>
      <c r="I363" s="43">
        <f t="shared" si="5"/>
      </c>
      <c r="J363" s="43">
        <f t="shared" si="1"/>
      </c>
      <c r="K363" s="49">
        <f t="shared" si="2"/>
      </c>
      <c r="L363" s="45" t="n"/>
      <c r="M363" s="45" t="n"/>
      <c r="N363" s="45" t="n"/>
      <c r="O363" s="45" t="n"/>
      <c r="P363" s="50" t="n"/>
      <c r="R363" s="2">
        <f t="shared" si="6"/>
        <v>0</v>
      </c>
      <c r="S363" s="2">
        <f t="shared" si="7"/>
      </c>
      <c r="T363" s="2">
        <f t="shared" si="8"/>
      </c>
      <c r="U363" s="2">
        <f t="shared" si="9"/>
      </c>
      <c r="V363" s="2">
        <f t="shared" si="10"/>
      </c>
      <c r="W363" s="2">
        <f t="shared" si="11"/>
      </c>
      <c r="X363" s="2">
        <f t="shared" si="12"/>
      </c>
      <c r="Y363" s="2">
        <f t="shared" si="13"/>
        <v>0</v>
      </c>
      <c r="Z363" s="2">
        <f t="shared" si="14"/>
      </c>
      <c r="AA363" s="2">
        <f t="shared" si="15"/>
        <v>0</v>
      </c>
      <c r="AB363" s="2">
        <f t="shared" si="16"/>
      </c>
      <c r="AC363" s="2">
        <f t="shared" si="17"/>
      </c>
      <c r="AD363" s="2">
        <f t="shared" si="18"/>
      </c>
      <c r="AE363" s="2">
        <f t="shared" si="19"/>
      </c>
      <c r="AF363" s="2">
        <f t="shared" si="20"/>
      </c>
      <c r="AG363" s="2">
        <f t="shared" si="21"/>
      </c>
      <c r="AH363" s="2">
        <f t="shared" si="22"/>
      </c>
      <c r="AI363" s="2">
        <f t="shared" si="23"/>
      </c>
      <c r="AJ363" s="2">
        <f t="shared" si="24"/>
        <v>0</v>
      </c>
      <c r="AK363" s="2">
        <f t="shared" si="25"/>
        <v>0</v>
      </c>
      <c r="AL363" s="2">
        <f t="shared" si="26"/>
        <v>0</v>
      </c>
      <c r="AM363" s="2">
        <f t="shared" si="27"/>
        <v>0</v>
      </c>
      <c r="AN363" s="2">
        <f t="shared" si="28"/>
        <v>0</v>
      </c>
      <c r="AO363" s="2">
        <f t="shared" si="29"/>
      </c>
      <c r="AP363" s="2">
        <f t="shared" si="30"/>
      </c>
      <c r="AQ363" s="2">
        <f t="shared" si="31"/>
      </c>
    </row>
    <row r="364">
      <c r="A364" s="43">
        <f t="shared" si="3"/>
      </c>
      <c r="B364" s="44" t="n"/>
      <c r="C364" s="45" t="n"/>
      <c r="D364" s="46" t="n"/>
      <c r="E364" s="47" t="n"/>
      <c r="F364" s="47" t="n"/>
      <c r="G364" s="48">
        <f t="shared" si="4"/>
      </c>
      <c r="H364" s="43">
        <f t="shared" si="0"/>
      </c>
      <c r="I364" s="43">
        <f t="shared" si="5"/>
      </c>
      <c r="J364" s="43">
        <f t="shared" si="1"/>
      </c>
      <c r="K364" s="49">
        <f t="shared" si="2"/>
      </c>
      <c r="L364" s="45" t="n"/>
      <c r="M364" s="45" t="n"/>
      <c r="N364" s="45" t="n"/>
      <c r="O364" s="45" t="n"/>
      <c r="P364" s="50" t="n"/>
      <c r="R364" s="2">
        <f t="shared" si="6"/>
        <v>0</v>
      </c>
      <c r="S364" s="2">
        <f t="shared" si="7"/>
      </c>
      <c r="T364" s="2">
        <f t="shared" si="8"/>
      </c>
      <c r="U364" s="2">
        <f t="shared" si="9"/>
      </c>
      <c r="V364" s="2">
        <f t="shared" si="10"/>
      </c>
      <c r="W364" s="2">
        <f t="shared" si="11"/>
      </c>
      <c r="X364" s="2">
        <f t="shared" si="12"/>
      </c>
      <c r="Y364" s="2">
        <f t="shared" si="13"/>
        <v>0</v>
      </c>
      <c r="Z364" s="2">
        <f t="shared" si="14"/>
      </c>
      <c r="AA364" s="2">
        <f t="shared" si="15"/>
        <v>0</v>
      </c>
      <c r="AB364" s="2">
        <f t="shared" si="16"/>
      </c>
      <c r="AC364" s="2">
        <f t="shared" si="17"/>
      </c>
      <c r="AD364" s="2">
        <f t="shared" si="18"/>
      </c>
      <c r="AE364" s="2">
        <f t="shared" si="19"/>
      </c>
      <c r="AF364" s="2">
        <f t="shared" si="20"/>
      </c>
      <c r="AG364" s="2">
        <f t="shared" si="21"/>
      </c>
      <c r="AH364" s="2">
        <f t="shared" si="22"/>
      </c>
      <c r="AI364" s="2">
        <f t="shared" si="23"/>
      </c>
      <c r="AJ364" s="2">
        <f t="shared" si="24"/>
        <v>0</v>
      </c>
      <c r="AK364" s="2">
        <f t="shared" si="25"/>
        <v>0</v>
      </c>
      <c r="AL364" s="2">
        <f t="shared" si="26"/>
        <v>0</v>
      </c>
      <c r="AM364" s="2">
        <f t="shared" si="27"/>
        <v>0</v>
      </c>
      <c r="AN364" s="2">
        <f t="shared" si="28"/>
        <v>0</v>
      </c>
      <c r="AO364" s="2">
        <f t="shared" si="29"/>
      </c>
      <c r="AP364" s="2">
        <f t="shared" si="30"/>
      </c>
      <c r="AQ364" s="2">
        <f t="shared" si="31"/>
      </c>
    </row>
    <row r="365">
      <c r="A365" s="43">
        <f t="shared" si="3"/>
      </c>
      <c r="B365" s="44" t="n"/>
      <c r="C365" s="45" t="n"/>
      <c r="D365" s="46" t="n"/>
      <c r="E365" s="47" t="n"/>
      <c r="F365" s="47" t="n"/>
      <c r="G365" s="48">
        <f t="shared" si="4"/>
      </c>
      <c r="H365" s="43">
        <f t="shared" si="0"/>
      </c>
      <c r="I365" s="43">
        <f t="shared" si="5"/>
      </c>
      <c r="J365" s="43">
        <f t="shared" si="1"/>
      </c>
      <c r="K365" s="49">
        <f t="shared" si="2"/>
      </c>
      <c r="L365" s="45" t="n"/>
      <c r="M365" s="45" t="n"/>
      <c r="N365" s="45" t="n"/>
      <c r="O365" s="45" t="n"/>
      <c r="P365" s="50" t="n"/>
      <c r="R365" s="2">
        <f t="shared" si="6"/>
        <v>0</v>
      </c>
      <c r="S365" s="2">
        <f t="shared" si="7"/>
      </c>
      <c r="T365" s="2">
        <f t="shared" si="8"/>
      </c>
      <c r="U365" s="2">
        <f t="shared" si="9"/>
      </c>
      <c r="V365" s="2">
        <f t="shared" si="10"/>
      </c>
      <c r="W365" s="2">
        <f t="shared" si="11"/>
      </c>
      <c r="X365" s="2">
        <f t="shared" si="12"/>
      </c>
      <c r="Y365" s="2">
        <f t="shared" si="13"/>
        <v>0</v>
      </c>
      <c r="Z365" s="2">
        <f t="shared" si="14"/>
      </c>
      <c r="AA365" s="2">
        <f t="shared" si="15"/>
        <v>0</v>
      </c>
      <c r="AB365" s="2">
        <f t="shared" si="16"/>
      </c>
      <c r="AC365" s="2">
        <f t="shared" si="17"/>
      </c>
      <c r="AD365" s="2">
        <f t="shared" si="18"/>
      </c>
      <c r="AE365" s="2">
        <f t="shared" si="19"/>
      </c>
      <c r="AF365" s="2">
        <f t="shared" si="20"/>
      </c>
      <c r="AG365" s="2">
        <f t="shared" si="21"/>
      </c>
      <c r="AH365" s="2">
        <f t="shared" si="22"/>
      </c>
      <c r="AI365" s="2">
        <f t="shared" si="23"/>
      </c>
      <c r="AJ365" s="2">
        <f t="shared" si="24"/>
        <v>0</v>
      </c>
      <c r="AK365" s="2">
        <f t="shared" si="25"/>
        <v>0</v>
      </c>
      <c r="AL365" s="2">
        <f t="shared" si="26"/>
        <v>0</v>
      </c>
      <c r="AM365" s="2">
        <f t="shared" si="27"/>
        <v>0</v>
      </c>
      <c r="AN365" s="2">
        <f t="shared" si="28"/>
        <v>0</v>
      </c>
      <c r="AO365" s="2">
        <f t="shared" si="29"/>
      </c>
      <c r="AP365" s="2">
        <f t="shared" si="30"/>
      </c>
      <c r="AQ365" s="2">
        <f t="shared" si="31"/>
      </c>
    </row>
    <row r="366">
      <c r="A366" s="43">
        <f t="shared" si="3"/>
      </c>
      <c r="B366" s="44" t="n"/>
      <c r="C366" s="45" t="n"/>
      <c r="D366" s="46" t="n"/>
      <c r="E366" s="47" t="n"/>
      <c r="F366" s="47" t="n"/>
      <c r="G366" s="48">
        <f t="shared" si="4"/>
      </c>
      <c r="H366" s="43">
        <f t="shared" si="0"/>
      </c>
      <c r="I366" s="43">
        <f t="shared" si="5"/>
      </c>
      <c r="J366" s="43">
        <f t="shared" si="1"/>
      </c>
      <c r="K366" s="49">
        <f t="shared" si="2"/>
      </c>
      <c r="L366" s="45" t="n"/>
      <c r="M366" s="45" t="n"/>
      <c r="N366" s="45" t="n"/>
      <c r="O366" s="45" t="n"/>
      <c r="P366" s="50" t="n"/>
      <c r="R366" s="2">
        <f t="shared" si="6"/>
        <v>0</v>
      </c>
      <c r="S366" s="2">
        <f t="shared" si="7"/>
      </c>
      <c r="T366" s="2">
        <f t="shared" si="8"/>
      </c>
      <c r="U366" s="2">
        <f t="shared" si="9"/>
      </c>
      <c r="V366" s="2">
        <f t="shared" si="10"/>
      </c>
      <c r="W366" s="2">
        <f t="shared" si="11"/>
      </c>
      <c r="X366" s="2">
        <f t="shared" si="12"/>
      </c>
      <c r="Y366" s="2">
        <f t="shared" si="13"/>
        <v>0</v>
      </c>
      <c r="Z366" s="2">
        <f t="shared" si="14"/>
      </c>
      <c r="AA366" s="2">
        <f t="shared" si="15"/>
        <v>0</v>
      </c>
      <c r="AB366" s="2">
        <f t="shared" si="16"/>
      </c>
      <c r="AC366" s="2">
        <f t="shared" si="17"/>
      </c>
      <c r="AD366" s="2">
        <f t="shared" si="18"/>
      </c>
      <c r="AE366" s="2">
        <f t="shared" si="19"/>
      </c>
      <c r="AF366" s="2">
        <f t="shared" si="20"/>
      </c>
      <c r="AG366" s="2">
        <f t="shared" si="21"/>
      </c>
      <c r="AH366" s="2">
        <f t="shared" si="22"/>
      </c>
      <c r="AI366" s="2">
        <f t="shared" si="23"/>
      </c>
      <c r="AJ366" s="2">
        <f t="shared" si="24"/>
        <v>0</v>
      </c>
      <c r="AK366" s="2">
        <f t="shared" si="25"/>
        <v>0</v>
      </c>
      <c r="AL366" s="2">
        <f t="shared" si="26"/>
        <v>0</v>
      </c>
      <c r="AM366" s="2">
        <f t="shared" si="27"/>
        <v>0</v>
      </c>
      <c r="AN366" s="2">
        <f t="shared" si="28"/>
        <v>0</v>
      </c>
      <c r="AO366" s="2">
        <f t="shared" si="29"/>
      </c>
      <c r="AP366" s="2">
        <f t="shared" si="30"/>
      </c>
      <c r="AQ366" s="2">
        <f t="shared" si="31"/>
      </c>
    </row>
    <row r="367">
      <c r="A367" s="43">
        <f t="shared" si="3"/>
      </c>
      <c r="B367" s="44" t="n"/>
      <c r="C367" s="45" t="n"/>
      <c r="D367" s="46" t="n"/>
      <c r="E367" s="47" t="n"/>
      <c r="F367" s="47" t="n"/>
      <c r="G367" s="48">
        <f t="shared" si="4"/>
      </c>
      <c r="H367" s="43">
        <f t="shared" si="0"/>
      </c>
      <c r="I367" s="43">
        <f t="shared" si="5"/>
      </c>
      <c r="J367" s="43">
        <f t="shared" si="1"/>
      </c>
      <c r="K367" s="49">
        <f t="shared" si="2"/>
      </c>
      <c r="L367" s="45" t="n"/>
      <c r="M367" s="45" t="n"/>
      <c r="N367" s="45" t="n"/>
      <c r="O367" s="45" t="n"/>
      <c r="P367" s="50" t="n"/>
      <c r="R367" s="2">
        <f t="shared" si="6"/>
        <v>0</v>
      </c>
      <c r="S367" s="2">
        <f t="shared" si="7"/>
      </c>
      <c r="T367" s="2">
        <f t="shared" si="8"/>
      </c>
      <c r="U367" s="2">
        <f t="shared" si="9"/>
      </c>
      <c r="V367" s="2">
        <f t="shared" si="10"/>
      </c>
      <c r="W367" s="2">
        <f t="shared" si="11"/>
      </c>
      <c r="X367" s="2">
        <f t="shared" si="12"/>
      </c>
      <c r="Y367" s="2">
        <f t="shared" si="13"/>
        <v>0</v>
      </c>
      <c r="Z367" s="2">
        <f t="shared" si="14"/>
      </c>
      <c r="AA367" s="2">
        <f t="shared" si="15"/>
        <v>0</v>
      </c>
      <c r="AB367" s="2">
        <f t="shared" si="16"/>
      </c>
      <c r="AC367" s="2">
        <f t="shared" si="17"/>
      </c>
      <c r="AD367" s="2">
        <f t="shared" si="18"/>
      </c>
      <c r="AE367" s="2">
        <f t="shared" si="19"/>
      </c>
      <c r="AF367" s="2">
        <f t="shared" si="20"/>
      </c>
      <c r="AG367" s="2">
        <f t="shared" si="21"/>
      </c>
      <c r="AH367" s="2">
        <f t="shared" si="22"/>
      </c>
      <c r="AI367" s="2">
        <f t="shared" si="23"/>
      </c>
      <c r="AJ367" s="2">
        <f t="shared" si="24"/>
        <v>0</v>
      </c>
      <c r="AK367" s="2">
        <f t="shared" si="25"/>
        <v>0</v>
      </c>
      <c r="AL367" s="2">
        <f t="shared" si="26"/>
        <v>0</v>
      </c>
      <c r="AM367" s="2">
        <f t="shared" si="27"/>
        <v>0</v>
      </c>
      <c r="AN367" s="2">
        <f t="shared" si="28"/>
        <v>0</v>
      </c>
      <c r="AO367" s="2">
        <f t="shared" si="29"/>
      </c>
      <c r="AP367" s="2">
        <f t="shared" si="30"/>
      </c>
      <c r="AQ367" s="2">
        <f t="shared" si="31"/>
      </c>
    </row>
    <row r="368">
      <c r="A368" s="43">
        <f t="shared" si="3"/>
      </c>
      <c r="B368" s="44" t="n"/>
      <c r="C368" s="45" t="n"/>
      <c r="D368" s="46" t="n"/>
      <c r="E368" s="47" t="n"/>
      <c r="F368" s="47" t="n"/>
      <c r="G368" s="48">
        <f t="shared" si="4"/>
      </c>
      <c r="H368" s="43">
        <f t="shared" si="0"/>
      </c>
      <c r="I368" s="43">
        <f t="shared" si="5"/>
      </c>
      <c r="J368" s="43">
        <f t="shared" si="1"/>
      </c>
      <c r="K368" s="49">
        <f t="shared" si="2"/>
      </c>
      <c r="L368" s="45" t="n"/>
      <c r="M368" s="45" t="n"/>
      <c r="N368" s="45" t="n"/>
      <c r="O368" s="45" t="n"/>
      <c r="P368" s="50" t="n"/>
      <c r="R368" s="2">
        <f t="shared" si="6"/>
        <v>0</v>
      </c>
      <c r="S368" s="2">
        <f t="shared" si="7"/>
      </c>
      <c r="T368" s="2">
        <f t="shared" si="8"/>
      </c>
      <c r="U368" s="2">
        <f t="shared" si="9"/>
      </c>
      <c r="V368" s="2">
        <f t="shared" si="10"/>
      </c>
      <c r="W368" s="2">
        <f t="shared" si="11"/>
      </c>
      <c r="X368" s="2">
        <f t="shared" si="12"/>
      </c>
      <c r="Y368" s="2">
        <f t="shared" si="13"/>
        <v>0</v>
      </c>
      <c r="Z368" s="2">
        <f t="shared" si="14"/>
      </c>
      <c r="AA368" s="2">
        <f t="shared" si="15"/>
        <v>0</v>
      </c>
      <c r="AB368" s="2">
        <f t="shared" si="16"/>
      </c>
      <c r="AC368" s="2">
        <f t="shared" si="17"/>
      </c>
      <c r="AD368" s="2">
        <f t="shared" si="18"/>
      </c>
      <c r="AE368" s="2">
        <f t="shared" si="19"/>
      </c>
      <c r="AF368" s="2">
        <f t="shared" si="20"/>
      </c>
      <c r="AG368" s="2">
        <f t="shared" si="21"/>
      </c>
      <c r="AH368" s="2">
        <f t="shared" si="22"/>
      </c>
      <c r="AI368" s="2">
        <f t="shared" si="23"/>
      </c>
      <c r="AJ368" s="2">
        <f t="shared" si="24"/>
        <v>0</v>
      </c>
      <c r="AK368" s="2">
        <f t="shared" si="25"/>
        <v>0</v>
      </c>
      <c r="AL368" s="2">
        <f t="shared" si="26"/>
        <v>0</v>
      </c>
      <c r="AM368" s="2">
        <f t="shared" si="27"/>
        <v>0</v>
      </c>
      <c r="AN368" s="2">
        <f t="shared" si="28"/>
        <v>0</v>
      </c>
      <c r="AO368" s="2">
        <f t="shared" si="29"/>
      </c>
      <c r="AP368" s="2">
        <f t="shared" si="30"/>
      </c>
      <c r="AQ368" s="2">
        <f t="shared" si="31"/>
      </c>
    </row>
    <row r="369">
      <c r="A369" s="43">
        <f t="shared" si="3"/>
      </c>
      <c r="B369" s="44" t="n"/>
      <c r="C369" s="45" t="n"/>
      <c r="D369" s="46" t="n"/>
      <c r="E369" s="47" t="n"/>
      <c r="F369" s="47" t="n"/>
      <c r="G369" s="48">
        <f t="shared" si="4"/>
      </c>
      <c r="H369" s="43">
        <f t="shared" si="0"/>
      </c>
      <c r="I369" s="43">
        <f t="shared" si="5"/>
      </c>
      <c r="J369" s="43">
        <f t="shared" si="1"/>
      </c>
      <c r="K369" s="49">
        <f t="shared" si="2"/>
      </c>
      <c r="L369" s="45" t="n"/>
      <c r="M369" s="45" t="n"/>
      <c r="N369" s="45" t="n"/>
      <c r="O369" s="45" t="n"/>
      <c r="P369" s="50" t="n"/>
      <c r="R369" s="2">
        <f t="shared" si="6"/>
        <v>0</v>
      </c>
      <c r="S369" s="2">
        <f t="shared" si="7"/>
      </c>
      <c r="T369" s="2">
        <f t="shared" si="8"/>
      </c>
      <c r="U369" s="2">
        <f t="shared" si="9"/>
      </c>
      <c r="V369" s="2">
        <f t="shared" si="10"/>
      </c>
      <c r="W369" s="2">
        <f t="shared" si="11"/>
      </c>
      <c r="X369" s="2">
        <f t="shared" si="12"/>
      </c>
      <c r="Y369" s="2">
        <f t="shared" si="13"/>
        <v>0</v>
      </c>
      <c r="Z369" s="2">
        <f t="shared" si="14"/>
      </c>
      <c r="AA369" s="2">
        <f t="shared" si="15"/>
        <v>0</v>
      </c>
      <c r="AB369" s="2">
        <f t="shared" si="16"/>
      </c>
      <c r="AC369" s="2">
        <f t="shared" si="17"/>
      </c>
      <c r="AD369" s="2">
        <f t="shared" si="18"/>
      </c>
      <c r="AE369" s="2">
        <f t="shared" si="19"/>
      </c>
      <c r="AF369" s="2">
        <f t="shared" si="20"/>
      </c>
      <c r="AG369" s="2">
        <f t="shared" si="21"/>
      </c>
      <c r="AH369" s="2">
        <f t="shared" si="22"/>
      </c>
      <c r="AI369" s="2">
        <f t="shared" si="23"/>
      </c>
      <c r="AJ369" s="2">
        <f t="shared" si="24"/>
        <v>0</v>
      </c>
      <c r="AK369" s="2">
        <f t="shared" si="25"/>
        <v>0</v>
      </c>
      <c r="AL369" s="2">
        <f t="shared" si="26"/>
        <v>0</v>
      </c>
      <c r="AM369" s="2">
        <f t="shared" si="27"/>
        <v>0</v>
      </c>
      <c r="AN369" s="2">
        <f t="shared" si="28"/>
        <v>0</v>
      </c>
      <c r="AO369" s="2">
        <f t="shared" si="29"/>
      </c>
      <c r="AP369" s="2">
        <f t="shared" si="30"/>
      </c>
      <c r="AQ369" s="2">
        <f t="shared" si="31"/>
      </c>
    </row>
    <row r="370">
      <c r="A370" s="43">
        <f t="shared" si="3"/>
      </c>
      <c r="B370" s="44" t="n"/>
      <c r="C370" s="45" t="n"/>
      <c r="D370" s="46" t="n"/>
      <c r="E370" s="47" t="n"/>
      <c r="F370" s="47" t="n"/>
      <c r="G370" s="48">
        <f t="shared" si="4"/>
      </c>
      <c r="H370" s="43">
        <f t="shared" si="0"/>
      </c>
      <c r="I370" s="43">
        <f t="shared" si="5"/>
      </c>
      <c r="J370" s="43">
        <f t="shared" si="1"/>
      </c>
      <c r="K370" s="49">
        <f t="shared" si="2"/>
      </c>
      <c r="L370" s="45" t="n"/>
      <c r="M370" s="45" t="n"/>
      <c r="N370" s="45" t="n"/>
      <c r="O370" s="45" t="n"/>
      <c r="P370" s="50" t="n"/>
      <c r="R370" s="2">
        <f t="shared" si="6"/>
        <v>0</v>
      </c>
      <c r="S370" s="2">
        <f t="shared" si="7"/>
      </c>
      <c r="T370" s="2">
        <f t="shared" si="8"/>
      </c>
      <c r="U370" s="2">
        <f t="shared" si="9"/>
      </c>
      <c r="V370" s="2">
        <f t="shared" si="10"/>
      </c>
      <c r="W370" s="2">
        <f t="shared" si="11"/>
      </c>
      <c r="X370" s="2">
        <f t="shared" si="12"/>
      </c>
      <c r="Y370" s="2">
        <f t="shared" si="13"/>
        <v>0</v>
      </c>
      <c r="Z370" s="2">
        <f t="shared" si="14"/>
      </c>
      <c r="AA370" s="2">
        <f t="shared" si="15"/>
        <v>0</v>
      </c>
      <c r="AB370" s="2">
        <f t="shared" si="16"/>
      </c>
      <c r="AC370" s="2">
        <f t="shared" si="17"/>
      </c>
      <c r="AD370" s="2">
        <f t="shared" si="18"/>
      </c>
      <c r="AE370" s="2">
        <f t="shared" si="19"/>
      </c>
      <c r="AF370" s="2">
        <f t="shared" si="20"/>
      </c>
      <c r="AG370" s="2">
        <f t="shared" si="21"/>
      </c>
      <c r="AH370" s="2">
        <f t="shared" si="22"/>
      </c>
      <c r="AI370" s="2">
        <f t="shared" si="23"/>
      </c>
      <c r="AJ370" s="2">
        <f t="shared" si="24"/>
        <v>0</v>
      </c>
      <c r="AK370" s="2">
        <f t="shared" si="25"/>
        <v>0</v>
      </c>
      <c r="AL370" s="2">
        <f t="shared" si="26"/>
        <v>0</v>
      </c>
      <c r="AM370" s="2">
        <f t="shared" si="27"/>
        <v>0</v>
      </c>
      <c r="AN370" s="2">
        <f t="shared" si="28"/>
        <v>0</v>
      </c>
      <c r="AO370" s="2">
        <f t="shared" si="29"/>
      </c>
      <c r="AP370" s="2">
        <f t="shared" si="30"/>
      </c>
      <c r="AQ370" s="2">
        <f t="shared" si="31"/>
      </c>
    </row>
    <row r="371">
      <c r="A371" s="43">
        <f t="shared" si="3"/>
      </c>
      <c r="B371" s="44" t="n"/>
      <c r="C371" s="45" t="n"/>
      <c r="D371" s="46" t="n"/>
      <c r="E371" s="47" t="n"/>
      <c r="F371" s="47" t="n"/>
      <c r="G371" s="48">
        <f t="shared" si="4"/>
      </c>
      <c r="H371" s="43">
        <f t="shared" si="0"/>
      </c>
      <c r="I371" s="43">
        <f t="shared" si="5"/>
      </c>
      <c r="J371" s="43">
        <f t="shared" si="1"/>
      </c>
      <c r="K371" s="49">
        <f t="shared" si="2"/>
      </c>
      <c r="L371" s="45" t="n"/>
      <c r="M371" s="45" t="n"/>
      <c r="N371" s="45" t="n"/>
      <c r="O371" s="45" t="n"/>
      <c r="P371" s="50" t="n"/>
      <c r="R371" s="2">
        <f t="shared" si="6"/>
        <v>0</v>
      </c>
      <c r="S371" s="2">
        <f t="shared" si="7"/>
      </c>
      <c r="T371" s="2">
        <f t="shared" si="8"/>
      </c>
      <c r="U371" s="2">
        <f t="shared" si="9"/>
      </c>
      <c r="V371" s="2">
        <f t="shared" si="10"/>
      </c>
      <c r="W371" s="2">
        <f t="shared" si="11"/>
      </c>
      <c r="X371" s="2">
        <f t="shared" si="12"/>
      </c>
      <c r="Y371" s="2">
        <f t="shared" si="13"/>
        <v>0</v>
      </c>
      <c r="Z371" s="2">
        <f t="shared" si="14"/>
      </c>
      <c r="AA371" s="2">
        <f t="shared" si="15"/>
        <v>0</v>
      </c>
      <c r="AB371" s="2">
        <f t="shared" si="16"/>
      </c>
      <c r="AC371" s="2">
        <f t="shared" si="17"/>
      </c>
      <c r="AD371" s="2">
        <f t="shared" si="18"/>
      </c>
      <c r="AE371" s="2">
        <f t="shared" si="19"/>
      </c>
      <c r="AF371" s="2">
        <f t="shared" si="20"/>
      </c>
      <c r="AG371" s="2">
        <f t="shared" si="21"/>
      </c>
      <c r="AH371" s="2">
        <f t="shared" si="22"/>
      </c>
      <c r="AI371" s="2">
        <f t="shared" si="23"/>
      </c>
      <c r="AJ371" s="2">
        <f t="shared" si="24"/>
        <v>0</v>
      </c>
      <c r="AK371" s="2">
        <f t="shared" si="25"/>
        <v>0</v>
      </c>
      <c r="AL371" s="2">
        <f t="shared" si="26"/>
        <v>0</v>
      </c>
      <c r="AM371" s="2">
        <f t="shared" si="27"/>
        <v>0</v>
      </c>
      <c r="AN371" s="2">
        <f t="shared" si="28"/>
        <v>0</v>
      </c>
      <c r="AO371" s="2">
        <f t="shared" si="29"/>
      </c>
      <c r="AP371" s="2">
        <f t="shared" si="30"/>
      </c>
      <c r="AQ371" s="2">
        <f t="shared" si="31"/>
      </c>
    </row>
    <row r="372">
      <c r="A372" s="43">
        <f t="shared" si="3"/>
      </c>
      <c r="B372" s="44" t="n"/>
      <c r="C372" s="45" t="n"/>
      <c r="D372" s="46" t="n"/>
      <c r="E372" s="47" t="n"/>
      <c r="F372" s="47" t="n"/>
      <c r="G372" s="48">
        <f t="shared" si="4"/>
      </c>
      <c r="H372" s="43">
        <f t="shared" si="0"/>
      </c>
      <c r="I372" s="43">
        <f t="shared" si="5"/>
      </c>
      <c r="J372" s="43">
        <f t="shared" si="1"/>
      </c>
      <c r="K372" s="49">
        <f t="shared" si="2"/>
      </c>
      <c r="L372" s="45" t="n"/>
      <c r="M372" s="45" t="n"/>
      <c r="N372" s="45" t="n"/>
      <c r="O372" s="45" t="n"/>
      <c r="P372" s="50" t="n"/>
      <c r="R372" s="2">
        <f t="shared" si="6"/>
        <v>0</v>
      </c>
      <c r="S372" s="2">
        <f t="shared" si="7"/>
      </c>
      <c r="T372" s="2">
        <f t="shared" si="8"/>
      </c>
      <c r="U372" s="2">
        <f t="shared" si="9"/>
      </c>
      <c r="V372" s="2">
        <f t="shared" si="10"/>
      </c>
      <c r="W372" s="2">
        <f t="shared" si="11"/>
      </c>
      <c r="X372" s="2">
        <f t="shared" si="12"/>
      </c>
      <c r="Y372" s="2">
        <f t="shared" si="13"/>
        <v>0</v>
      </c>
      <c r="Z372" s="2">
        <f t="shared" si="14"/>
      </c>
      <c r="AA372" s="2">
        <f t="shared" si="15"/>
        <v>0</v>
      </c>
      <c r="AB372" s="2">
        <f t="shared" si="16"/>
      </c>
      <c r="AC372" s="2">
        <f t="shared" si="17"/>
      </c>
      <c r="AD372" s="2">
        <f t="shared" si="18"/>
      </c>
      <c r="AE372" s="2">
        <f t="shared" si="19"/>
      </c>
      <c r="AF372" s="2">
        <f t="shared" si="20"/>
      </c>
      <c r="AG372" s="2">
        <f t="shared" si="21"/>
      </c>
      <c r="AH372" s="2">
        <f t="shared" si="22"/>
      </c>
      <c r="AI372" s="2">
        <f t="shared" si="23"/>
      </c>
      <c r="AJ372" s="2">
        <f t="shared" si="24"/>
        <v>0</v>
      </c>
      <c r="AK372" s="2">
        <f t="shared" si="25"/>
        <v>0</v>
      </c>
      <c r="AL372" s="2">
        <f t="shared" si="26"/>
        <v>0</v>
      </c>
      <c r="AM372" s="2">
        <f t="shared" si="27"/>
        <v>0</v>
      </c>
      <c r="AN372" s="2">
        <f t="shared" si="28"/>
        <v>0</v>
      </c>
      <c r="AO372" s="2">
        <f t="shared" si="29"/>
      </c>
      <c r="AP372" s="2">
        <f t="shared" si="30"/>
      </c>
      <c r="AQ372" s="2">
        <f t="shared" si="31"/>
      </c>
    </row>
    <row r="373">
      <c r="A373" s="43">
        <f t="shared" si="3"/>
      </c>
      <c r="B373" s="44" t="n"/>
      <c r="C373" s="45" t="n"/>
      <c r="D373" s="46" t="n"/>
      <c r="E373" s="47" t="n"/>
      <c r="F373" s="47" t="n"/>
      <c r="G373" s="48">
        <f t="shared" si="4"/>
      </c>
      <c r="H373" s="43">
        <f t="shared" si="0"/>
      </c>
      <c r="I373" s="43">
        <f t="shared" si="5"/>
      </c>
      <c r="J373" s="43">
        <f t="shared" si="1"/>
      </c>
      <c r="K373" s="49">
        <f t="shared" si="2"/>
      </c>
      <c r="L373" s="45" t="n"/>
      <c r="M373" s="45" t="n"/>
      <c r="N373" s="45" t="n"/>
      <c r="O373" s="45" t="n"/>
      <c r="P373" s="50" t="n"/>
      <c r="R373" s="2">
        <f t="shared" si="6"/>
        <v>0</v>
      </c>
      <c r="S373" s="2">
        <f t="shared" si="7"/>
      </c>
      <c r="T373" s="2">
        <f t="shared" si="8"/>
      </c>
      <c r="U373" s="2">
        <f t="shared" si="9"/>
      </c>
      <c r="V373" s="2">
        <f t="shared" si="10"/>
      </c>
      <c r="W373" s="2">
        <f t="shared" si="11"/>
      </c>
      <c r="X373" s="2">
        <f t="shared" si="12"/>
      </c>
      <c r="Y373" s="2">
        <f t="shared" si="13"/>
        <v>0</v>
      </c>
      <c r="Z373" s="2">
        <f t="shared" si="14"/>
      </c>
      <c r="AA373" s="2">
        <f t="shared" si="15"/>
        <v>0</v>
      </c>
      <c r="AB373" s="2">
        <f t="shared" si="16"/>
      </c>
      <c r="AC373" s="2">
        <f t="shared" si="17"/>
      </c>
      <c r="AD373" s="2">
        <f t="shared" si="18"/>
      </c>
      <c r="AE373" s="2">
        <f t="shared" si="19"/>
      </c>
      <c r="AF373" s="2">
        <f t="shared" si="20"/>
      </c>
      <c r="AG373" s="2">
        <f t="shared" si="21"/>
      </c>
      <c r="AH373" s="2">
        <f t="shared" si="22"/>
      </c>
      <c r="AI373" s="2">
        <f t="shared" si="23"/>
      </c>
      <c r="AJ373" s="2">
        <f t="shared" si="24"/>
        <v>0</v>
      </c>
      <c r="AK373" s="2">
        <f t="shared" si="25"/>
        <v>0</v>
      </c>
      <c r="AL373" s="2">
        <f t="shared" si="26"/>
        <v>0</v>
      </c>
      <c r="AM373" s="2">
        <f t="shared" si="27"/>
        <v>0</v>
      </c>
      <c r="AN373" s="2">
        <f t="shared" si="28"/>
        <v>0</v>
      </c>
      <c r="AO373" s="2">
        <f t="shared" si="29"/>
      </c>
      <c r="AP373" s="2">
        <f t="shared" si="30"/>
      </c>
      <c r="AQ373" s="2">
        <f t="shared" si="31"/>
      </c>
    </row>
    <row r="374">
      <c r="A374" s="43">
        <f t="shared" si="3"/>
      </c>
      <c r="B374" s="44" t="n"/>
      <c r="C374" s="45" t="n"/>
      <c r="D374" s="46" t="n"/>
      <c r="E374" s="47" t="n"/>
      <c r="F374" s="47" t="n"/>
      <c r="G374" s="48">
        <f t="shared" si="4"/>
      </c>
      <c r="H374" s="43">
        <f t="shared" si="0"/>
      </c>
      <c r="I374" s="43">
        <f t="shared" si="5"/>
      </c>
      <c r="J374" s="43">
        <f t="shared" si="1"/>
      </c>
      <c r="K374" s="49">
        <f t="shared" si="2"/>
      </c>
      <c r="L374" s="45" t="n"/>
      <c r="M374" s="45" t="n"/>
      <c r="N374" s="45" t="n"/>
      <c r="O374" s="45" t="n"/>
      <c r="P374" s="50" t="n"/>
      <c r="R374" s="2">
        <f t="shared" si="6"/>
        <v>0</v>
      </c>
      <c r="S374" s="2">
        <f t="shared" si="7"/>
      </c>
      <c r="T374" s="2">
        <f t="shared" si="8"/>
      </c>
      <c r="U374" s="2">
        <f t="shared" si="9"/>
      </c>
      <c r="V374" s="2">
        <f t="shared" si="10"/>
      </c>
      <c r="W374" s="2">
        <f t="shared" si="11"/>
      </c>
      <c r="X374" s="2">
        <f t="shared" si="12"/>
      </c>
      <c r="Y374" s="2">
        <f t="shared" si="13"/>
        <v>0</v>
      </c>
      <c r="Z374" s="2">
        <f t="shared" si="14"/>
      </c>
      <c r="AA374" s="2">
        <f t="shared" si="15"/>
        <v>0</v>
      </c>
      <c r="AB374" s="2">
        <f t="shared" si="16"/>
      </c>
      <c r="AC374" s="2">
        <f t="shared" si="17"/>
      </c>
      <c r="AD374" s="2">
        <f t="shared" si="18"/>
      </c>
      <c r="AE374" s="2">
        <f t="shared" si="19"/>
      </c>
      <c r="AF374" s="2">
        <f t="shared" si="20"/>
      </c>
      <c r="AG374" s="2">
        <f t="shared" si="21"/>
      </c>
      <c r="AH374" s="2">
        <f t="shared" si="22"/>
      </c>
      <c r="AI374" s="2">
        <f t="shared" si="23"/>
      </c>
      <c r="AJ374" s="2">
        <f t="shared" si="24"/>
        <v>0</v>
      </c>
      <c r="AK374" s="2">
        <f t="shared" si="25"/>
        <v>0</v>
      </c>
      <c r="AL374" s="2">
        <f t="shared" si="26"/>
        <v>0</v>
      </c>
      <c r="AM374" s="2">
        <f t="shared" si="27"/>
        <v>0</v>
      </c>
      <c r="AN374" s="2">
        <f t="shared" si="28"/>
        <v>0</v>
      </c>
      <c r="AO374" s="2">
        <f t="shared" si="29"/>
      </c>
      <c r="AP374" s="2">
        <f t="shared" si="30"/>
      </c>
      <c r="AQ374" s="2">
        <f t="shared" si="31"/>
      </c>
    </row>
    <row r="375">
      <c r="A375" s="43">
        <f t="shared" si="3"/>
      </c>
      <c r="B375" s="44" t="n"/>
      <c r="C375" s="45" t="n"/>
      <c r="D375" s="46" t="n"/>
      <c r="E375" s="47" t="n"/>
      <c r="F375" s="47" t="n"/>
      <c r="G375" s="48">
        <f t="shared" si="4"/>
      </c>
      <c r="H375" s="43">
        <f t="shared" si="0"/>
      </c>
      <c r="I375" s="43">
        <f t="shared" si="5"/>
      </c>
      <c r="J375" s="43">
        <f t="shared" si="1"/>
      </c>
      <c r="K375" s="49">
        <f t="shared" si="2"/>
      </c>
      <c r="L375" s="45" t="n"/>
      <c r="M375" s="45" t="n"/>
      <c r="N375" s="45" t="n"/>
      <c r="O375" s="45" t="n"/>
      <c r="P375" s="50" t="n"/>
      <c r="R375" s="2">
        <f t="shared" si="6"/>
        <v>0</v>
      </c>
      <c r="S375" s="2">
        <f t="shared" si="7"/>
      </c>
      <c r="T375" s="2">
        <f t="shared" si="8"/>
      </c>
      <c r="U375" s="2">
        <f t="shared" si="9"/>
      </c>
      <c r="V375" s="2">
        <f t="shared" si="10"/>
      </c>
      <c r="W375" s="2">
        <f t="shared" si="11"/>
      </c>
      <c r="X375" s="2">
        <f t="shared" si="12"/>
      </c>
      <c r="Y375" s="2">
        <f t="shared" si="13"/>
        <v>0</v>
      </c>
      <c r="Z375" s="2">
        <f t="shared" si="14"/>
      </c>
      <c r="AA375" s="2">
        <f t="shared" si="15"/>
        <v>0</v>
      </c>
      <c r="AB375" s="2">
        <f t="shared" si="16"/>
      </c>
      <c r="AC375" s="2">
        <f t="shared" si="17"/>
      </c>
      <c r="AD375" s="2">
        <f t="shared" si="18"/>
      </c>
      <c r="AE375" s="2">
        <f t="shared" si="19"/>
      </c>
      <c r="AF375" s="2">
        <f t="shared" si="20"/>
      </c>
      <c r="AG375" s="2">
        <f t="shared" si="21"/>
      </c>
      <c r="AH375" s="2">
        <f t="shared" si="22"/>
      </c>
      <c r="AI375" s="2">
        <f t="shared" si="23"/>
      </c>
      <c r="AJ375" s="2">
        <f t="shared" si="24"/>
        <v>0</v>
      </c>
      <c r="AK375" s="2">
        <f t="shared" si="25"/>
        <v>0</v>
      </c>
      <c r="AL375" s="2">
        <f t="shared" si="26"/>
        <v>0</v>
      </c>
      <c r="AM375" s="2">
        <f t="shared" si="27"/>
        <v>0</v>
      </c>
      <c r="AN375" s="2">
        <f t="shared" si="28"/>
        <v>0</v>
      </c>
      <c r="AO375" s="2">
        <f t="shared" si="29"/>
      </c>
      <c r="AP375" s="2">
        <f t="shared" si="30"/>
      </c>
      <c r="AQ375" s="2">
        <f t="shared" si="31"/>
      </c>
    </row>
    <row r="376">
      <c r="A376" s="43">
        <f t="shared" si="3"/>
      </c>
      <c r="B376" s="44" t="n"/>
      <c r="C376" s="45" t="n"/>
      <c r="D376" s="46" t="n"/>
      <c r="E376" s="47" t="n"/>
      <c r="F376" s="47" t="n"/>
      <c r="G376" s="48">
        <f t="shared" si="4"/>
      </c>
      <c r="H376" s="43">
        <f t="shared" si="0"/>
      </c>
      <c r="I376" s="43">
        <f t="shared" si="5"/>
      </c>
      <c r="J376" s="43">
        <f t="shared" si="1"/>
      </c>
      <c r="K376" s="49">
        <f t="shared" si="2"/>
      </c>
      <c r="L376" s="45" t="n"/>
      <c r="M376" s="45" t="n"/>
      <c r="N376" s="45" t="n"/>
      <c r="O376" s="45" t="n"/>
      <c r="P376" s="50" t="n"/>
      <c r="R376" s="2">
        <f t="shared" si="6"/>
        <v>0</v>
      </c>
      <c r="S376" s="2">
        <f t="shared" si="7"/>
      </c>
      <c r="T376" s="2">
        <f t="shared" si="8"/>
      </c>
      <c r="U376" s="2">
        <f t="shared" si="9"/>
      </c>
      <c r="V376" s="2">
        <f t="shared" si="10"/>
      </c>
      <c r="W376" s="2">
        <f t="shared" si="11"/>
      </c>
      <c r="X376" s="2">
        <f t="shared" si="12"/>
      </c>
      <c r="Y376" s="2">
        <f t="shared" si="13"/>
        <v>0</v>
      </c>
      <c r="Z376" s="2">
        <f t="shared" si="14"/>
      </c>
      <c r="AA376" s="2">
        <f t="shared" si="15"/>
        <v>0</v>
      </c>
      <c r="AB376" s="2">
        <f t="shared" si="16"/>
      </c>
      <c r="AC376" s="2">
        <f t="shared" si="17"/>
      </c>
      <c r="AD376" s="2">
        <f t="shared" si="18"/>
      </c>
      <c r="AE376" s="2">
        <f t="shared" si="19"/>
      </c>
      <c r="AF376" s="2">
        <f t="shared" si="20"/>
      </c>
      <c r="AG376" s="2">
        <f t="shared" si="21"/>
      </c>
      <c r="AH376" s="2">
        <f t="shared" si="22"/>
      </c>
      <c r="AI376" s="2">
        <f t="shared" si="23"/>
      </c>
      <c r="AJ376" s="2">
        <f t="shared" si="24"/>
        <v>0</v>
      </c>
      <c r="AK376" s="2">
        <f t="shared" si="25"/>
        <v>0</v>
      </c>
      <c r="AL376" s="2">
        <f t="shared" si="26"/>
        <v>0</v>
      </c>
      <c r="AM376" s="2">
        <f t="shared" si="27"/>
        <v>0</v>
      </c>
      <c r="AN376" s="2">
        <f t="shared" si="28"/>
        <v>0</v>
      </c>
      <c r="AO376" s="2">
        <f t="shared" si="29"/>
      </c>
      <c r="AP376" s="2">
        <f t="shared" si="30"/>
      </c>
      <c r="AQ376" s="2">
        <f t="shared" si="31"/>
      </c>
    </row>
    <row r="377">
      <c r="A377" s="43">
        <f t="shared" si="3"/>
      </c>
      <c r="B377" s="44" t="n"/>
      <c r="C377" s="45" t="n"/>
      <c r="D377" s="46" t="n"/>
      <c r="E377" s="47" t="n"/>
      <c r="F377" s="47" t="n"/>
      <c r="G377" s="48">
        <f t="shared" si="4"/>
      </c>
      <c r="H377" s="43">
        <f t="shared" si="0"/>
      </c>
      <c r="I377" s="43">
        <f t="shared" si="5"/>
      </c>
      <c r="J377" s="43">
        <f t="shared" si="1"/>
      </c>
      <c r="K377" s="49">
        <f t="shared" si="2"/>
      </c>
      <c r="L377" s="45" t="n"/>
      <c r="M377" s="45" t="n"/>
      <c r="N377" s="45" t="n"/>
      <c r="O377" s="45" t="n"/>
      <c r="P377" s="50" t="n"/>
      <c r="R377" s="2">
        <f t="shared" si="6"/>
        <v>0</v>
      </c>
      <c r="S377" s="2">
        <f t="shared" si="7"/>
      </c>
      <c r="T377" s="2">
        <f t="shared" si="8"/>
      </c>
      <c r="U377" s="2">
        <f t="shared" si="9"/>
      </c>
      <c r="V377" s="2">
        <f t="shared" si="10"/>
      </c>
      <c r="W377" s="2">
        <f t="shared" si="11"/>
      </c>
      <c r="X377" s="2">
        <f t="shared" si="12"/>
      </c>
      <c r="Y377" s="2">
        <f t="shared" si="13"/>
        <v>0</v>
      </c>
      <c r="Z377" s="2">
        <f t="shared" si="14"/>
      </c>
      <c r="AA377" s="2">
        <f t="shared" si="15"/>
        <v>0</v>
      </c>
      <c r="AB377" s="2">
        <f t="shared" si="16"/>
      </c>
      <c r="AC377" s="2">
        <f t="shared" si="17"/>
      </c>
      <c r="AD377" s="2">
        <f t="shared" si="18"/>
      </c>
      <c r="AE377" s="2">
        <f t="shared" si="19"/>
      </c>
      <c r="AF377" s="2">
        <f t="shared" si="20"/>
      </c>
      <c r="AG377" s="2">
        <f t="shared" si="21"/>
      </c>
      <c r="AH377" s="2">
        <f t="shared" si="22"/>
      </c>
      <c r="AI377" s="2">
        <f t="shared" si="23"/>
      </c>
      <c r="AJ377" s="2">
        <f t="shared" si="24"/>
        <v>0</v>
      </c>
      <c r="AK377" s="2">
        <f t="shared" si="25"/>
        <v>0</v>
      </c>
      <c r="AL377" s="2">
        <f t="shared" si="26"/>
        <v>0</v>
      </c>
      <c r="AM377" s="2">
        <f t="shared" si="27"/>
        <v>0</v>
      </c>
      <c r="AN377" s="2">
        <f t="shared" si="28"/>
        <v>0</v>
      </c>
      <c r="AO377" s="2">
        <f t="shared" si="29"/>
      </c>
      <c r="AP377" s="2">
        <f t="shared" si="30"/>
      </c>
      <c r="AQ377" s="2">
        <f t="shared" si="31"/>
      </c>
    </row>
    <row r="378">
      <c r="A378" s="43">
        <f t="shared" si="3"/>
      </c>
      <c r="B378" s="44" t="n"/>
      <c r="C378" s="45" t="n"/>
      <c r="D378" s="46" t="n"/>
      <c r="E378" s="47" t="n"/>
      <c r="F378" s="47" t="n"/>
      <c r="G378" s="48">
        <f t="shared" si="4"/>
      </c>
      <c r="H378" s="43">
        <f t="shared" si="0"/>
      </c>
      <c r="I378" s="43">
        <f t="shared" si="5"/>
      </c>
      <c r="J378" s="43">
        <f t="shared" si="1"/>
      </c>
      <c r="K378" s="49">
        <f t="shared" si="2"/>
      </c>
      <c r="L378" s="45" t="n"/>
      <c r="M378" s="45" t="n"/>
      <c r="N378" s="45" t="n"/>
      <c r="O378" s="45" t="n"/>
      <c r="P378" s="50" t="n"/>
      <c r="R378" s="2">
        <f t="shared" si="6"/>
        <v>0</v>
      </c>
      <c r="S378" s="2">
        <f t="shared" si="7"/>
      </c>
      <c r="T378" s="2">
        <f t="shared" si="8"/>
      </c>
      <c r="U378" s="2">
        <f t="shared" si="9"/>
      </c>
      <c r="V378" s="2">
        <f t="shared" si="10"/>
      </c>
      <c r="W378" s="2">
        <f t="shared" si="11"/>
      </c>
      <c r="X378" s="2">
        <f t="shared" si="12"/>
      </c>
      <c r="Y378" s="2">
        <f t="shared" si="13"/>
        <v>0</v>
      </c>
      <c r="Z378" s="2">
        <f t="shared" si="14"/>
      </c>
      <c r="AA378" s="2">
        <f t="shared" si="15"/>
        <v>0</v>
      </c>
      <c r="AB378" s="2">
        <f t="shared" si="16"/>
      </c>
      <c r="AC378" s="2">
        <f t="shared" si="17"/>
      </c>
      <c r="AD378" s="2">
        <f t="shared" si="18"/>
      </c>
      <c r="AE378" s="2">
        <f t="shared" si="19"/>
      </c>
      <c r="AF378" s="2">
        <f t="shared" si="20"/>
      </c>
      <c r="AG378" s="2">
        <f t="shared" si="21"/>
      </c>
      <c r="AH378" s="2">
        <f t="shared" si="22"/>
      </c>
      <c r="AI378" s="2">
        <f t="shared" si="23"/>
      </c>
      <c r="AJ378" s="2">
        <f t="shared" si="24"/>
        <v>0</v>
      </c>
      <c r="AK378" s="2">
        <f t="shared" si="25"/>
        <v>0</v>
      </c>
      <c r="AL378" s="2">
        <f t="shared" si="26"/>
        <v>0</v>
      </c>
      <c r="AM378" s="2">
        <f t="shared" si="27"/>
        <v>0</v>
      </c>
      <c r="AN378" s="2">
        <f t="shared" si="28"/>
        <v>0</v>
      </c>
      <c r="AO378" s="2">
        <f t="shared" si="29"/>
      </c>
      <c r="AP378" s="2">
        <f t="shared" si="30"/>
      </c>
      <c r="AQ378" s="2">
        <f t="shared" si="31"/>
      </c>
    </row>
    <row r="379">
      <c r="A379" s="43">
        <f t="shared" si="3"/>
      </c>
      <c r="B379" s="44" t="n"/>
      <c r="C379" s="45" t="n"/>
      <c r="D379" s="46" t="n"/>
      <c r="E379" s="47" t="n"/>
      <c r="F379" s="47" t="n"/>
      <c r="G379" s="48">
        <f t="shared" si="4"/>
      </c>
      <c r="H379" s="43">
        <f t="shared" si="0"/>
      </c>
      <c r="I379" s="43">
        <f t="shared" si="5"/>
      </c>
      <c r="J379" s="43">
        <f t="shared" si="1"/>
      </c>
      <c r="K379" s="49">
        <f t="shared" si="2"/>
      </c>
      <c r="L379" s="45" t="n"/>
      <c r="M379" s="45" t="n"/>
      <c r="N379" s="45" t="n"/>
      <c r="O379" s="45" t="n"/>
      <c r="P379" s="50" t="n"/>
      <c r="R379" s="2">
        <f t="shared" si="6"/>
        <v>0</v>
      </c>
      <c r="S379" s="2">
        <f t="shared" si="7"/>
      </c>
      <c r="T379" s="2">
        <f t="shared" si="8"/>
      </c>
      <c r="U379" s="2">
        <f t="shared" si="9"/>
      </c>
      <c r="V379" s="2">
        <f t="shared" si="10"/>
      </c>
      <c r="W379" s="2">
        <f t="shared" si="11"/>
      </c>
      <c r="X379" s="2">
        <f t="shared" si="12"/>
      </c>
      <c r="Y379" s="2">
        <f t="shared" si="13"/>
        <v>0</v>
      </c>
      <c r="Z379" s="2">
        <f t="shared" si="14"/>
      </c>
      <c r="AA379" s="2">
        <f t="shared" si="15"/>
        <v>0</v>
      </c>
      <c r="AB379" s="2">
        <f t="shared" si="16"/>
      </c>
      <c r="AC379" s="2">
        <f t="shared" si="17"/>
      </c>
      <c r="AD379" s="2">
        <f t="shared" si="18"/>
      </c>
      <c r="AE379" s="2">
        <f t="shared" si="19"/>
      </c>
      <c r="AF379" s="2">
        <f t="shared" si="20"/>
      </c>
      <c r="AG379" s="2">
        <f t="shared" si="21"/>
      </c>
      <c r="AH379" s="2">
        <f t="shared" si="22"/>
      </c>
      <c r="AI379" s="2">
        <f t="shared" si="23"/>
      </c>
      <c r="AJ379" s="2">
        <f t="shared" si="24"/>
        <v>0</v>
      </c>
      <c r="AK379" s="2">
        <f t="shared" si="25"/>
        <v>0</v>
      </c>
      <c r="AL379" s="2">
        <f t="shared" si="26"/>
        <v>0</v>
      </c>
      <c r="AM379" s="2">
        <f t="shared" si="27"/>
        <v>0</v>
      </c>
      <c r="AN379" s="2">
        <f t="shared" si="28"/>
        <v>0</v>
      </c>
      <c r="AO379" s="2">
        <f t="shared" si="29"/>
      </c>
      <c r="AP379" s="2">
        <f t="shared" si="30"/>
      </c>
      <c r="AQ379" s="2">
        <f t="shared" si="31"/>
      </c>
    </row>
    <row r="380">
      <c r="A380" s="43">
        <f t="shared" si="3"/>
      </c>
      <c r="B380" s="44" t="n"/>
      <c r="C380" s="45" t="n"/>
      <c r="D380" s="46" t="n"/>
      <c r="E380" s="47" t="n"/>
      <c r="F380" s="47" t="n"/>
      <c r="G380" s="48">
        <f t="shared" si="4"/>
      </c>
      <c r="H380" s="43">
        <f t="shared" si="0"/>
      </c>
      <c r="I380" s="43">
        <f t="shared" si="5"/>
      </c>
      <c r="J380" s="43">
        <f t="shared" si="1"/>
      </c>
      <c r="K380" s="49">
        <f t="shared" si="2"/>
      </c>
      <c r="L380" s="45" t="n"/>
      <c r="M380" s="45" t="n"/>
      <c r="N380" s="45" t="n"/>
      <c r="O380" s="45" t="n"/>
      <c r="P380" s="50" t="n"/>
      <c r="R380" s="2">
        <f t="shared" si="6"/>
        <v>0</v>
      </c>
      <c r="S380" s="2">
        <f t="shared" si="7"/>
      </c>
      <c r="T380" s="2">
        <f t="shared" si="8"/>
      </c>
      <c r="U380" s="2">
        <f t="shared" si="9"/>
      </c>
      <c r="V380" s="2">
        <f t="shared" si="10"/>
      </c>
      <c r="W380" s="2">
        <f t="shared" si="11"/>
      </c>
      <c r="X380" s="2">
        <f t="shared" si="12"/>
      </c>
      <c r="Y380" s="2">
        <f t="shared" si="13"/>
        <v>0</v>
      </c>
      <c r="Z380" s="2">
        <f t="shared" si="14"/>
      </c>
      <c r="AA380" s="2">
        <f t="shared" si="15"/>
        <v>0</v>
      </c>
      <c r="AB380" s="2">
        <f t="shared" si="16"/>
      </c>
      <c r="AC380" s="2">
        <f t="shared" si="17"/>
      </c>
      <c r="AD380" s="2">
        <f t="shared" si="18"/>
      </c>
      <c r="AE380" s="2">
        <f t="shared" si="19"/>
      </c>
      <c r="AF380" s="2">
        <f t="shared" si="20"/>
      </c>
      <c r="AG380" s="2">
        <f t="shared" si="21"/>
      </c>
      <c r="AH380" s="2">
        <f t="shared" si="22"/>
      </c>
      <c r="AI380" s="2">
        <f t="shared" si="23"/>
      </c>
      <c r="AJ380" s="2">
        <f t="shared" si="24"/>
        <v>0</v>
      </c>
      <c r="AK380" s="2">
        <f t="shared" si="25"/>
        <v>0</v>
      </c>
      <c r="AL380" s="2">
        <f t="shared" si="26"/>
        <v>0</v>
      </c>
      <c r="AM380" s="2">
        <f t="shared" si="27"/>
        <v>0</v>
      </c>
      <c r="AN380" s="2">
        <f t="shared" si="28"/>
        <v>0</v>
      </c>
      <c r="AO380" s="2">
        <f t="shared" si="29"/>
      </c>
      <c r="AP380" s="2">
        <f t="shared" si="30"/>
      </c>
      <c r="AQ380" s="2">
        <f t="shared" si="31"/>
      </c>
    </row>
    <row r="381">
      <c r="A381" s="43">
        <f t="shared" si="3"/>
      </c>
      <c r="B381" s="44" t="n"/>
      <c r="C381" s="45" t="n"/>
      <c r="D381" s="46" t="n"/>
      <c r="E381" s="47" t="n"/>
      <c r="F381" s="47" t="n"/>
      <c r="G381" s="48">
        <f t="shared" si="4"/>
      </c>
      <c r="H381" s="43">
        <f t="shared" si="0"/>
      </c>
      <c r="I381" s="43">
        <f t="shared" si="5"/>
      </c>
      <c r="J381" s="43">
        <f t="shared" si="1"/>
      </c>
      <c r="K381" s="49">
        <f t="shared" si="2"/>
      </c>
      <c r="L381" s="45" t="n"/>
      <c r="M381" s="45" t="n"/>
      <c r="N381" s="45" t="n"/>
      <c r="O381" s="45" t="n"/>
      <c r="P381" s="50" t="n"/>
      <c r="R381" s="2">
        <f t="shared" si="6"/>
        <v>0</v>
      </c>
      <c r="S381" s="2">
        <f t="shared" si="7"/>
      </c>
      <c r="T381" s="2">
        <f t="shared" si="8"/>
      </c>
      <c r="U381" s="2">
        <f t="shared" si="9"/>
      </c>
      <c r="V381" s="2">
        <f t="shared" si="10"/>
      </c>
      <c r="W381" s="2">
        <f t="shared" si="11"/>
      </c>
      <c r="X381" s="2">
        <f t="shared" si="12"/>
      </c>
      <c r="Y381" s="2">
        <f t="shared" si="13"/>
        <v>0</v>
      </c>
      <c r="Z381" s="2">
        <f t="shared" si="14"/>
      </c>
      <c r="AA381" s="2">
        <f t="shared" si="15"/>
        <v>0</v>
      </c>
      <c r="AB381" s="2">
        <f t="shared" si="16"/>
      </c>
      <c r="AC381" s="2">
        <f t="shared" si="17"/>
      </c>
      <c r="AD381" s="2">
        <f t="shared" si="18"/>
      </c>
      <c r="AE381" s="2">
        <f t="shared" si="19"/>
      </c>
      <c r="AF381" s="2">
        <f t="shared" si="20"/>
      </c>
      <c r="AG381" s="2">
        <f t="shared" si="21"/>
      </c>
      <c r="AH381" s="2">
        <f t="shared" si="22"/>
      </c>
      <c r="AI381" s="2">
        <f t="shared" si="23"/>
      </c>
      <c r="AJ381" s="2">
        <f t="shared" si="24"/>
        <v>0</v>
      </c>
      <c r="AK381" s="2">
        <f t="shared" si="25"/>
        <v>0</v>
      </c>
      <c r="AL381" s="2">
        <f t="shared" si="26"/>
        <v>0</v>
      </c>
      <c r="AM381" s="2">
        <f t="shared" si="27"/>
        <v>0</v>
      </c>
      <c r="AN381" s="2">
        <f t="shared" si="28"/>
        <v>0</v>
      </c>
      <c r="AO381" s="2">
        <f t="shared" si="29"/>
      </c>
      <c r="AP381" s="2">
        <f t="shared" si="30"/>
      </c>
      <c r="AQ381" s="2">
        <f t="shared" si="31"/>
      </c>
    </row>
    <row r="382">
      <c r="A382" s="43">
        <f t="shared" si="3"/>
      </c>
      <c r="B382" s="44" t="n"/>
      <c r="C382" s="45" t="n"/>
      <c r="D382" s="46" t="n"/>
      <c r="E382" s="47" t="n"/>
      <c r="F382" s="47" t="n"/>
      <c r="G382" s="48">
        <f t="shared" si="4"/>
      </c>
      <c r="H382" s="43">
        <f t="shared" si="0"/>
      </c>
      <c r="I382" s="43">
        <f t="shared" si="5"/>
      </c>
      <c r="J382" s="43">
        <f t="shared" si="1"/>
      </c>
      <c r="K382" s="49">
        <f t="shared" si="2"/>
      </c>
      <c r="L382" s="45" t="n"/>
      <c r="M382" s="45" t="n"/>
      <c r="N382" s="45" t="n"/>
      <c r="O382" s="45" t="n"/>
      <c r="P382" s="50" t="n"/>
      <c r="R382" s="2">
        <f t="shared" si="6"/>
        <v>0</v>
      </c>
      <c r="S382" s="2">
        <f t="shared" si="7"/>
      </c>
      <c r="T382" s="2">
        <f t="shared" si="8"/>
      </c>
      <c r="U382" s="2">
        <f t="shared" si="9"/>
      </c>
      <c r="V382" s="2">
        <f t="shared" si="10"/>
      </c>
      <c r="W382" s="2">
        <f t="shared" si="11"/>
      </c>
      <c r="X382" s="2">
        <f t="shared" si="12"/>
      </c>
      <c r="Y382" s="2">
        <f t="shared" si="13"/>
        <v>0</v>
      </c>
      <c r="Z382" s="2">
        <f t="shared" si="14"/>
      </c>
      <c r="AA382" s="2">
        <f t="shared" si="15"/>
        <v>0</v>
      </c>
      <c r="AB382" s="2">
        <f t="shared" si="16"/>
      </c>
      <c r="AC382" s="2">
        <f t="shared" si="17"/>
      </c>
      <c r="AD382" s="2">
        <f t="shared" si="18"/>
      </c>
      <c r="AE382" s="2">
        <f t="shared" si="19"/>
      </c>
      <c r="AF382" s="2">
        <f t="shared" si="20"/>
      </c>
      <c r="AG382" s="2">
        <f t="shared" si="21"/>
      </c>
      <c r="AH382" s="2">
        <f t="shared" si="22"/>
      </c>
      <c r="AI382" s="2">
        <f t="shared" si="23"/>
      </c>
      <c r="AJ382" s="2">
        <f t="shared" si="24"/>
        <v>0</v>
      </c>
      <c r="AK382" s="2">
        <f t="shared" si="25"/>
        <v>0</v>
      </c>
      <c r="AL382" s="2">
        <f t="shared" si="26"/>
        <v>0</v>
      </c>
      <c r="AM382" s="2">
        <f t="shared" si="27"/>
        <v>0</v>
      </c>
      <c r="AN382" s="2">
        <f t="shared" si="28"/>
        <v>0</v>
      </c>
      <c r="AO382" s="2">
        <f t="shared" si="29"/>
      </c>
      <c r="AP382" s="2">
        <f t="shared" si="30"/>
      </c>
      <c r="AQ382" s="2">
        <f t="shared" si="31"/>
      </c>
    </row>
    <row r="383">
      <c r="A383" s="43">
        <f t="shared" si="3"/>
      </c>
      <c r="B383" s="44" t="n"/>
      <c r="C383" s="45" t="n"/>
      <c r="D383" s="46" t="n"/>
      <c r="E383" s="47" t="n"/>
      <c r="F383" s="47" t="n"/>
      <c r="G383" s="48">
        <f t="shared" si="4"/>
      </c>
      <c r="H383" s="43">
        <f t="shared" si="0"/>
      </c>
      <c r="I383" s="43">
        <f t="shared" si="5"/>
      </c>
      <c r="J383" s="43">
        <f t="shared" si="1"/>
      </c>
      <c r="K383" s="49">
        <f t="shared" si="2"/>
      </c>
      <c r="L383" s="45" t="n"/>
      <c r="M383" s="45" t="n"/>
      <c r="N383" s="45" t="n"/>
      <c r="O383" s="45" t="n"/>
      <c r="P383" s="50" t="n"/>
      <c r="R383" s="2">
        <f t="shared" si="6"/>
        <v>0</v>
      </c>
      <c r="S383" s="2">
        <f t="shared" si="7"/>
      </c>
      <c r="T383" s="2">
        <f t="shared" si="8"/>
      </c>
      <c r="U383" s="2">
        <f t="shared" si="9"/>
      </c>
      <c r="V383" s="2">
        <f t="shared" si="10"/>
      </c>
      <c r="W383" s="2">
        <f t="shared" si="11"/>
      </c>
      <c r="X383" s="2">
        <f t="shared" si="12"/>
      </c>
      <c r="Y383" s="2">
        <f t="shared" si="13"/>
        <v>0</v>
      </c>
      <c r="Z383" s="2">
        <f t="shared" si="14"/>
      </c>
      <c r="AA383" s="2">
        <f t="shared" si="15"/>
        <v>0</v>
      </c>
      <c r="AB383" s="2">
        <f t="shared" si="16"/>
      </c>
      <c r="AC383" s="2">
        <f t="shared" si="17"/>
      </c>
      <c r="AD383" s="2">
        <f t="shared" si="18"/>
      </c>
      <c r="AE383" s="2">
        <f t="shared" si="19"/>
      </c>
      <c r="AF383" s="2">
        <f t="shared" si="20"/>
      </c>
      <c r="AG383" s="2">
        <f t="shared" si="21"/>
      </c>
      <c r="AH383" s="2">
        <f t="shared" si="22"/>
      </c>
      <c r="AI383" s="2">
        <f t="shared" si="23"/>
      </c>
      <c r="AJ383" s="2">
        <f t="shared" si="24"/>
        <v>0</v>
      </c>
      <c r="AK383" s="2">
        <f t="shared" si="25"/>
        <v>0</v>
      </c>
      <c r="AL383" s="2">
        <f t="shared" si="26"/>
        <v>0</v>
      </c>
      <c r="AM383" s="2">
        <f t="shared" si="27"/>
        <v>0</v>
      </c>
      <c r="AN383" s="2">
        <f t="shared" si="28"/>
        <v>0</v>
      </c>
      <c r="AO383" s="2">
        <f t="shared" si="29"/>
      </c>
      <c r="AP383" s="2">
        <f t="shared" si="30"/>
      </c>
      <c r="AQ383" s="2">
        <f t="shared" si="31"/>
      </c>
    </row>
    <row r="384">
      <c r="A384" s="43">
        <f t="shared" si="3"/>
      </c>
      <c r="B384" s="44" t="n"/>
      <c r="C384" s="45" t="n"/>
      <c r="D384" s="46" t="n"/>
      <c r="E384" s="47" t="n"/>
      <c r="F384" s="47" t="n"/>
      <c r="G384" s="48">
        <f t="shared" si="4"/>
      </c>
      <c r="H384" s="43">
        <f t="shared" si="0"/>
      </c>
      <c r="I384" s="43">
        <f t="shared" si="5"/>
      </c>
      <c r="J384" s="43">
        <f t="shared" si="1"/>
      </c>
      <c r="K384" s="49">
        <f t="shared" si="2"/>
      </c>
      <c r="L384" s="45" t="n"/>
      <c r="M384" s="45" t="n"/>
      <c r="N384" s="45" t="n"/>
      <c r="O384" s="45" t="n"/>
      <c r="P384" s="50" t="n"/>
      <c r="R384" s="2">
        <f t="shared" si="6"/>
        <v>0</v>
      </c>
      <c r="S384" s="2">
        <f t="shared" si="7"/>
      </c>
      <c r="T384" s="2">
        <f t="shared" si="8"/>
      </c>
      <c r="U384" s="2">
        <f t="shared" si="9"/>
      </c>
      <c r="V384" s="2">
        <f t="shared" si="10"/>
      </c>
      <c r="W384" s="2">
        <f t="shared" si="11"/>
      </c>
      <c r="X384" s="2">
        <f t="shared" si="12"/>
      </c>
      <c r="Y384" s="2">
        <f t="shared" si="13"/>
        <v>0</v>
      </c>
      <c r="Z384" s="2">
        <f t="shared" si="14"/>
      </c>
      <c r="AA384" s="2">
        <f t="shared" si="15"/>
        <v>0</v>
      </c>
      <c r="AB384" s="2">
        <f t="shared" si="16"/>
      </c>
      <c r="AC384" s="2">
        <f t="shared" si="17"/>
      </c>
      <c r="AD384" s="2">
        <f t="shared" si="18"/>
      </c>
      <c r="AE384" s="2">
        <f t="shared" si="19"/>
      </c>
      <c r="AF384" s="2">
        <f t="shared" si="20"/>
      </c>
      <c r="AG384" s="2">
        <f t="shared" si="21"/>
      </c>
      <c r="AH384" s="2">
        <f t="shared" si="22"/>
      </c>
      <c r="AI384" s="2">
        <f t="shared" si="23"/>
      </c>
      <c r="AJ384" s="2">
        <f t="shared" si="24"/>
        <v>0</v>
      </c>
      <c r="AK384" s="2">
        <f t="shared" si="25"/>
        <v>0</v>
      </c>
      <c r="AL384" s="2">
        <f t="shared" si="26"/>
        <v>0</v>
      </c>
      <c r="AM384" s="2">
        <f t="shared" si="27"/>
        <v>0</v>
      </c>
      <c r="AN384" s="2">
        <f t="shared" si="28"/>
        <v>0</v>
      </c>
      <c r="AO384" s="2">
        <f t="shared" si="29"/>
      </c>
      <c r="AP384" s="2">
        <f t="shared" si="30"/>
      </c>
      <c r="AQ384" s="2">
        <f t="shared" si="31"/>
      </c>
    </row>
    <row r="385">
      <c r="A385" s="43">
        <f t="shared" si="3"/>
      </c>
      <c r="B385" s="44" t="n"/>
      <c r="C385" s="45" t="n"/>
      <c r="D385" s="46" t="n"/>
      <c r="E385" s="47" t="n"/>
      <c r="F385" s="47" t="n"/>
      <c r="G385" s="48">
        <f t="shared" si="4"/>
      </c>
      <c r="H385" s="43">
        <f t="shared" si="0"/>
      </c>
      <c r="I385" s="43">
        <f t="shared" si="5"/>
      </c>
      <c r="J385" s="43">
        <f t="shared" si="1"/>
      </c>
      <c r="K385" s="49">
        <f t="shared" si="2"/>
      </c>
      <c r="L385" s="45" t="n"/>
      <c r="M385" s="45" t="n"/>
      <c r="N385" s="45" t="n"/>
      <c r="O385" s="45" t="n"/>
      <c r="P385" s="50" t="n"/>
      <c r="R385" s="2">
        <f t="shared" si="6"/>
        <v>0</v>
      </c>
      <c r="S385" s="2">
        <f t="shared" si="7"/>
      </c>
      <c r="T385" s="2">
        <f t="shared" si="8"/>
      </c>
      <c r="U385" s="2">
        <f t="shared" si="9"/>
      </c>
      <c r="V385" s="2">
        <f t="shared" si="10"/>
      </c>
      <c r="W385" s="2">
        <f t="shared" si="11"/>
      </c>
      <c r="X385" s="2">
        <f t="shared" si="12"/>
      </c>
      <c r="Y385" s="2">
        <f t="shared" si="13"/>
        <v>0</v>
      </c>
      <c r="Z385" s="2">
        <f t="shared" si="14"/>
      </c>
      <c r="AA385" s="2">
        <f t="shared" si="15"/>
        <v>0</v>
      </c>
      <c r="AB385" s="2">
        <f t="shared" si="16"/>
      </c>
      <c r="AC385" s="2">
        <f t="shared" si="17"/>
      </c>
      <c r="AD385" s="2">
        <f t="shared" si="18"/>
      </c>
      <c r="AE385" s="2">
        <f t="shared" si="19"/>
      </c>
      <c r="AF385" s="2">
        <f t="shared" si="20"/>
      </c>
      <c r="AG385" s="2">
        <f t="shared" si="21"/>
      </c>
      <c r="AH385" s="2">
        <f t="shared" si="22"/>
      </c>
      <c r="AI385" s="2">
        <f t="shared" si="23"/>
      </c>
      <c r="AJ385" s="2">
        <f t="shared" si="24"/>
        <v>0</v>
      </c>
      <c r="AK385" s="2">
        <f t="shared" si="25"/>
        <v>0</v>
      </c>
      <c r="AL385" s="2">
        <f t="shared" si="26"/>
        <v>0</v>
      </c>
      <c r="AM385" s="2">
        <f t="shared" si="27"/>
        <v>0</v>
      </c>
      <c r="AN385" s="2">
        <f t="shared" si="28"/>
        <v>0</v>
      </c>
      <c r="AO385" s="2">
        <f t="shared" si="29"/>
      </c>
      <c r="AP385" s="2">
        <f t="shared" si="30"/>
      </c>
      <c r="AQ385" s="2">
        <f t="shared" si="31"/>
      </c>
    </row>
    <row r="386">
      <c r="A386" s="43">
        <f t="shared" si="3"/>
      </c>
      <c r="B386" s="44" t="n"/>
      <c r="C386" s="45" t="n"/>
      <c r="D386" s="46" t="n"/>
      <c r="E386" s="47" t="n"/>
      <c r="F386" s="47" t="n"/>
      <c r="G386" s="48">
        <f t="shared" si="4"/>
      </c>
      <c r="H386" s="43">
        <f t="shared" si="0"/>
      </c>
      <c r="I386" s="43">
        <f t="shared" si="5"/>
      </c>
      <c r="J386" s="43">
        <f t="shared" si="1"/>
      </c>
      <c r="K386" s="49">
        <f t="shared" si="2"/>
      </c>
      <c r="L386" s="45" t="n"/>
      <c r="M386" s="45" t="n"/>
      <c r="N386" s="45" t="n"/>
      <c r="O386" s="45" t="n"/>
      <c r="P386" s="50" t="n"/>
      <c r="R386" s="2">
        <f t="shared" si="6"/>
        <v>0</v>
      </c>
      <c r="S386" s="2">
        <f t="shared" si="7"/>
      </c>
      <c r="T386" s="2">
        <f t="shared" si="8"/>
      </c>
      <c r="U386" s="2">
        <f t="shared" si="9"/>
      </c>
      <c r="V386" s="2">
        <f t="shared" si="10"/>
      </c>
      <c r="W386" s="2">
        <f t="shared" si="11"/>
      </c>
      <c r="X386" s="2">
        <f t="shared" si="12"/>
      </c>
      <c r="Y386" s="2">
        <f t="shared" si="13"/>
        <v>0</v>
      </c>
      <c r="Z386" s="2">
        <f t="shared" si="14"/>
      </c>
      <c r="AA386" s="2">
        <f t="shared" si="15"/>
        <v>0</v>
      </c>
      <c r="AB386" s="2">
        <f t="shared" si="16"/>
      </c>
      <c r="AC386" s="2">
        <f t="shared" si="17"/>
      </c>
      <c r="AD386" s="2">
        <f t="shared" si="18"/>
      </c>
      <c r="AE386" s="2">
        <f t="shared" si="19"/>
      </c>
      <c r="AF386" s="2">
        <f t="shared" si="20"/>
      </c>
      <c r="AG386" s="2">
        <f t="shared" si="21"/>
      </c>
      <c r="AH386" s="2">
        <f t="shared" si="22"/>
      </c>
      <c r="AI386" s="2">
        <f t="shared" si="23"/>
      </c>
      <c r="AJ386" s="2">
        <f t="shared" si="24"/>
        <v>0</v>
      </c>
      <c r="AK386" s="2">
        <f t="shared" si="25"/>
        <v>0</v>
      </c>
      <c r="AL386" s="2">
        <f t="shared" si="26"/>
        <v>0</v>
      </c>
      <c r="AM386" s="2">
        <f t="shared" si="27"/>
        <v>0</v>
      </c>
      <c r="AN386" s="2">
        <f t="shared" si="28"/>
        <v>0</v>
      </c>
      <c r="AO386" s="2">
        <f t="shared" si="29"/>
      </c>
      <c r="AP386" s="2">
        <f t="shared" si="30"/>
      </c>
      <c r="AQ386" s="2">
        <f t="shared" si="31"/>
      </c>
    </row>
    <row r="387">
      <c r="A387" s="43">
        <f t="shared" si="3"/>
      </c>
      <c r="B387" s="44" t="n"/>
      <c r="C387" s="45" t="n"/>
      <c r="D387" s="46" t="n"/>
      <c r="E387" s="47" t="n"/>
      <c r="F387" s="47" t="n"/>
      <c r="G387" s="48">
        <f t="shared" si="4"/>
      </c>
      <c r="H387" s="43">
        <f t="shared" si="0"/>
      </c>
      <c r="I387" s="43">
        <f t="shared" si="5"/>
      </c>
      <c r="J387" s="43">
        <f t="shared" si="1"/>
      </c>
      <c r="K387" s="49">
        <f t="shared" si="2"/>
      </c>
      <c r="L387" s="45" t="n"/>
      <c r="M387" s="45" t="n"/>
      <c r="N387" s="45" t="n"/>
      <c r="O387" s="45" t="n"/>
      <c r="P387" s="50" t="n"/>
      <c r="R387" s="2">
        <f t="shared" si="6"/>
        <v>0</v>
      </c>
      <c r="S387" s="2">
        <f t="shared" si="7"/>
      </c>
      <c r="T387" s="2">
        <f t="shared" si="8"/>
      </c>
      <c r="U387" s="2">
        <f t="shared" si="9"/>
      </c>
      <c r="V387" s="2">
        <f t="shared" si="10"/>
      </c>
      <c r="W387" s="2">
        <f t="shared" si="11"/>
      </c>
      <c r="X387" s="2">
        <f t="shared" si="12"/>
      </c>
      <c r="Y387" s="2">
        <f t="shared" si="13"/>
        <v>0</v>
      </c>
      <c r="Z387" s="2">
        <f t="shared" si="14"/>
      </c>
      <c r="AA387" s="2">
        <f t="shared" si="15"/>
        <v>0</v>
      </c>
      <c r="AB387" s="2">
        <f t="shared" si="16"/>
      </c>
      <c r="AC387" s="2">
        <f t="shared" si="17"/>
      </c>
      <c r="AD387" s="2">
        <f t="shared" si="18"/>
      </c>
      <c r="AE387" s="2">
        <f t="shared" si="19"/>
      </c>
      <c r="AF387" s="2">
        <f t="shared" si="20"/>
      </c>
      <c r="AG387" s="2">
        <f t="shared" si="21"/>
      </c>
      <c r="AH387" s="2">
        <f t="shared" si="22"/>
      </c>
      <c r="AI387" s="2">
        <f t="shared" si="23"/>
      </c>
      <c r="AJ387" s="2">
        <f t="shared" si="24"/>
        <v>0</v>
      </c>
      <c r="AK387" s="2">
        <f t="shared" si="25"/>
        <v>0</v>
      </c>
      <c r="AL387" s="2">
        <f t="shared" si="26"/>
        <v>0</v>
      </c>
      <c r="AM387" s="2">
        <f t="shared" si="27"/>
        <v>0</v>
      </c>
      <c r="AN387" s="2">
        <f t="shared" si="28"/>
        <v>0</v>
      </c>
      <c r="AO387" s="2">
        <f t="shared" si="29"/>
      </c>
      <c r="AP387" s="2">
        <f t="shared" si="30"/>
      </c>
      <c r="AQ387" s="2">
        <f t="shared" si="31"/>
      </c>
    </row>
    <row r="388">
      <c r="A388" s="43">
        <f t="shared" si="3"/>
      </c>
      <c r="B388" s="44" t="n"/>
      <c r="C388" s="45" t="n"/>
      <c r="D388" s="46" t="n"/>
      <c r="E388" s="47" t="n"/>
      <c r="F388" s="47" t="n"/>
      <c r="G388" s="48">
        <f t="shared" si="4"/>
      </c>
      <c r="H388" s="43">
        <f t="shared" si="0"/>
      </c>
      <c r="I388" s="43">
        <f t="shared" si="5"/>
      </c>
      <c r="J388" s="43">
        <f t="shared" si="1"/>
      </c>
      <c r="K388" s="49">
        <f t="shared" si="2"/>
      </c>
      <c r="L388" s="45" t="n"/>
      <c r="M388" s="45" t="n"/>
      <c r="N388" s="45" t="n"/>
      <c r="O388" s="45" t="n"/>
      <c r="P388" s="50" t="n"/>
      <c r="R388" s="2">
        <f t="shared" si="6"/>
        <v>0</v>
      </c>
      <c r="S388" s="2">
        <f t="shared" si="7"/>
      </c>
      <c r="T388" s="2">
        <f t="shared" si="8"/>
      </c>
      <c r="U388" s="2">
        <f t="shared" si="9"/>
      </c>
      <c r="V388" s="2">
        <f t="shared" si="10"/>
      </c>
      <c r="W388" s="2">
        <f t="shared" si="11"/>
      </c>
      <c r="X388" s="2">
        <f t="shared" si="12"/>
      </c>
      <c r="Y388" s="2">
        <f t="shared" si="13"/>
        <v>0</v>
      </c>
      <c r="Z388" s="2">
        <f t="shared" si="14"/>
      </c>
      <c r="AA388" s="2">
        <f t="shared" si="15"/>
        <v>0</v>
      </c>
      <c r="AB388" s="2">
        <f t="shared" si="16"/>
      </c>
      <c r="AC388" s="2">
        <f t="shared" si="17"/>
      </c>
      <c r="AD388" s="2">
        <f t="shared" si="18"/>
      </c>
      <c r="AE388" s="2">
        <f t="shared" si="19"/>
      </c>
      <c r="AF388" s="2">
        <f t="shared" si="20"/>
      </c>
      <c r="AG388" s="2">
        <f t="shared" si="21"/>
      </c>
      <c r="AH388" s="2">
        <f t="shared" si="22"/>
      </c>
      <c r="AI388" s="2">
        <f t="shared" si="23"/>
      </c>
      <c r="AJ388" s="2">
        <f t="shared" si="24"/>
        <v>0</v>
      </c>
      <c r="AK388" s="2">
        <f t="shared" si="25"/>
        <v>0</v>
      </c>
      <c r="AL388" s="2">
        <f t="shared" si="26"/>
        <v>0</v>
      </c>
      <c r="AM388" s="2">
        <f t="shared" si="27"/>
        <v>0</v>
      </c>
      <c r="AN388" s="2">
        <f t="shared" si="28"/>
        <v>0</v>
      </c>
      <c r="AO388" s="2">
        <f t="shared" si="29"/>
      </c>
      <c r="AP388" s="2">
        <f t="shared" si="30"/>
      </c>
      <c r="AQ388" s="2">
        <f t="shared" si="31"/>
      </c>
    </row>
    <row r="389">
      <c r="A389" s="43">
        <f t="shared" si="3"/>
      </c>
      <c r="B389" s="44" t="n"/>
      <c r="C389" s="45" t="n"/>
      <c r="D389" s="46" t="n"/>
      <c r="E389" s="47" t="n"/>
      <c r="F389" s="47" t="n"/>
      <c r="G389" s="48">
        <f t="shared" si="4"/>
      </c>
      <c r="H389" s="43">
        <f t="shared" si="0"/>
      </c>
      <c r="I389" s="43">
        <f t="shared" si="5"/>
      </c>
      <c r="J389" s="43">
        <f t="shared" si="1"/>
      </c>
      <c r="K389" s="49">
        <f t="shared" si="2"/>
      </c>
      <c r="L389" s="45" t="n"/>
      <c r="M389" s="45" t="n"/>
      <c r="N389" s="45" t="n"/>
      <c r="O389" s="45" t="n"/>
      <c r="P389" s="50" t="n"/>
      <c r="R389" s="2">
        <f t="shared" si="6"/>
        <v>0</v>
      </c>
      <c r="S389" s="2">
        <f t="shared" si="7"/>
      </c>
      <c r="T389" s="2">
        <f t="shared" si="8"/>
      </c>
      <c r="U389" s="2">
        <f t="shared" si="9"/>
      </c>
      <c r="V389" s="2">
        <f t="shared" si="10"/>
      </c>
      <c r="W389" s="2">
        <f t="shared" si="11"/>
      </c>
      <c r="X389" s="2">
        <f t="shared" si="12"/>
      </c>
      <c r="Y389" s="2">
        <f t="shared" si="13"/>
        <v>0</v>
      </c>
      <c r="Z389" s="2">
        <f t="shared" si="14"/>
      </c>
      <c r="AA389" s="2">
        <f t="shared" si="15"/>
        <v>0</v>
      </c>
      <c r="AB389" s="2">
        <f t="shared" si="16"/>
      </c>
      <c r="AC389" s="2">
        <f t="shared" si="17"/>
      </c>
      <c r="AD389" s="2">
        <f t="shared" si="18"/>
      </c>
      <c r="AE389" s="2">
        <f t="shared" si="19"/>
      </c>
      <c r="AF389" s="2">
        <f t="shared" si="20"/>
      </c>
      <c r="AG389" s="2">
        <f t="shared" si="21"/>
      </c>
      <c r="AH389" s="2">
        <f t="shared" si="22"/>
      </c>
      <c r="AI389" s="2">
        <f t="shared" si="23"/>
      </c>
      <c r="AJ389" s="2">
        <f t="shared" si="24"/>
        <v>0</v>
      </c>
      <c r="AK389" s="2">
        <f t="shared" si="25"/>
        <v>0</v>
      </c>
      <c r="AL389" s="2">
        <f t="shared" si="26"/>
        <v>0</v>
      </c>
      <c r="AM389" s="2">
        <f t="shared" si="27"/>
        <v>0</v>
      </c>
      <c r="AN389" s="2">
        <f t="shared" si="28"/>
        <v>0</v>
      </c>
      <c r="AO389" s="2">
        <f t="shared" si="29"/>
      </c>
      <c r="AP389" s="2">
        <f t="shared" si="30"/>
      </c>
      <c r="AQ389" s="2">
        <f t="shared" si="31"/>
      </c>
    </row>
    <row r="390">
      <c r="A390" s="43">
        <f t="shared" si="3"/>
      </c>
      <c r="B390" s="44" t="n"/>
      <c r="C390" s="45" t="n"/>
      <c r="D390" s="46" t="n"/>
      <c r="E390" s="47" t="n"/>
      <c r="F390" s="47" t="n"/>
      <c r="G390" s="48">
        <f t="shared" si="4"/>
      </c>
      <c r="H390" s="43">
        <f t="shared" si="0"/>
      </c>
      <c r="I390" s="43">
        <f t="shared" si="5"/>
      </c>
      <c r="J390" s="43">
        <f t="shared" si="1"/>
      </c>
      <c r="K390" s="49">
        <f t="shared" si="2"/>
      </c>
      <c r="L390" s="45" t="n"/>
      <c r="M390" s="45" t="n"/>
      <c r="N390" s="45" t="n"/>
      <c r="O390" s="45" t="n"/>
      <c r="P390" s="50" t="n"/>
      <c r="R390" s="2">
        <f t="shared" si="6"/>
        <v>0</v>
      </c>
      <c r="S390" s="2">
        <f t="shared" si="7"/>
      </c>
      <c r="T390" s="2">
        <f t="shared" si="8"/>
      </c>
      <c r="U390" s="2">
        <f t="shared" si="9"/>
      </c>
      <c r="V390" s="2">
        <f t="shared" si="10"/>
      </c>
      <c r="W390" s="2">
        <f t="shared" si="11"/>
      </c>
      <c r="X390" s="2">
        <f t="shared" si="12"/>
      </c>
      <c r="Y390" s="2">
        <f t="shared" si="13"/>
        <v>0</v>
      </c>
      <c r="Z390" s="2">
        <f t="shared" si="14"/>
      </c>
      <c r="AA390" s="2">
        <f t="shared" si="15"/>
        <v>0</v>
      </c>
      <c r="AB390" s="2">
        <f t="shared" si="16"/>
      </c>
      <c r="AC390" s="2">
        <f t="shared" si="17"/>
      </c>
      <c r="AD390" s="2">
        <f t="shared" si="18"/>
      </c>
      <c r="AE390" s="2">
        <f t="shared" si="19"/>
      </c>
      <c r="AF390" s="2">
        <f t="shared" si="20"/>
      </c>
      <c r="AG390" s="2">
        <f t="shared" si="21"/>
      </c>
      <c r="AH390" s="2">
        <f t="shared" si="22"/>
      </c>
      <c r="AI390" s="2">
        <f t="shared" si="23"/>
      </c>
      <c r="AJ390" s="2">
        <f t="shared" si="24"/>
        <v>0</v>
      </c>
      <c r="AK390" s="2">
        <f t="shared" si="25"/>
        <v>0</v>
      </c>
      <c r="AL390" s="2">
        <f t="shared" si="26"/>
        <v>0</v>
      </c>
      <c r="AM390" s="2">
        <f t="shared" si="27"/>
        <v>0</v>
      </c>
      <c r="AN390" s="2">
        <f t="shared" si="28"/>
        <v>0</v>
      </c>
      <c r="AO390" s="2">
        <f t="shared" si="29"/>
      </c>
      <c r="AP390" s="2">
        <f t="shared" si="30"/>
      </c>
      <c r="AQ390" s="2">
        <f t="shared" si="31"/>
      </c>
    </row>
    <row r="391">
      <c r="A391" s="43">
        <f t="shared" si="3"/>
      </c>
      <c r="B391" s="44" t="n"/>
      <c r="C391" s="45" t="n"/>
      <c r="D391" s="46" t="n"/>
      <c r="E391" s="47" t="n"/>
      <c r="F391" s="47" t="n"/>
      <c r="G391" s="48">
        <f t="shared" si="4"/>
      </c>
      <c r="H391" s="43">
        <f t="shared" si="0"/>
      </c>
      <c r="I391" s="43">
        <f t="shared" si="5"/>
      </c>
      <c r="J391" s="43">
        <f t="shared" si="1"/>
      </c>
      <c r="K391" s="49">
        <f t="shared" si="2"/>
      </c>
      <c r="L391" s="45" t="n"/>
      <c r="M391" s="45" t="n"/>
      <c r="N391" s="45" t="n"/>
      <c r="O391" s="45" t="n"/>
      <c r="P391" s="50" t="n"/>
      <c r="R391" s="2">
        <f t="shared" si="6"/>
        <v>0</v>
      </c>
      <c r="S391" s="2">
        <f t="shared" si="7"/>
      </c>
      <c r="T391" s="2">
        <f t="shared" si="8"/>
      </c>
      <c r="U391" s="2">
        <f t="shared" si="9"/>
      </c>
      <c r="V391" s="2">
        <f t="shared" si="10"/>
      </c>
      <c r="W391" s="2">
        <f t="shared" si="11"/>
      </c>
      <c r="X391" s="2">
        <f t="shared" si="12"/>
      </c>
      <c r="Y391" s="2">
        <f t="shared" si="13"/>
        <v>0</v>
      </c>
      <c r="Z391" s="2">
        <f t="shared" si="14"/>
      </c>
      <c r="AA391" s="2">
        <f t="shared" si="15"/>
        <v>0</v>
      </c>
      <c r="AB391" s="2">
        <f t="shared" si="16"/>
      </c>
      <c r="AC391" s="2">
        <f t="shared" si="17"/>
      </c>
      <c r="AD391" s="2">
        <f t="shared" si="18"/>
      </c>
      <c r="AE391" s="2">
        <f t="shared" si="19"/>
      </c>
      <c r="AF391" s="2">
        <f t="shared" si="20"/>
      </c>
      <c r="AG391" s="2">
        <f t="shared" si="21"/>
      </c>
      <c r="AH391" s="2">
        <f t="shared" si="22"/>
      </c>
      <c r="AI391" s="2">
        <f t="shared" si="23"/>
      </c>
      <c r="AJ391" s="2">
        <f t="shared" si="24"/>
        <v>0</v>
      </c>
      <c r="AK391" s="2">
        <f t="shared" si="25"/>
        <v>0</v>
      </c>
      <c r="AL391" s="2">
        <f t="shared" si="26"/>
        <v>0</v>
      </c>
      <c r="AM391" s="2">
        <f t="shared" si="27"/>
        <v>0</v>
      </c>
      <c r="AN391" s="2">
        <f t="shared" si="28"/>
        <v>0</v>
      </c>
      <c r="AO391" s="2">
        <f t="shared" si="29"/>
      </c>
      <c r="AP391" s="2">
        <f t="shared" si="30"/>
      </c>
      <c r="AQ391" s="2">
        <f t="shared" si="31"/>
      </c>
    </row>
    <row r="392">
      <c r="A392" s="43">
        <f t="shared" si="3"/>
      </c>
      <c r="B392" s="44" t="n"/>
      <c r="C392" s="45" t="n"/>
      <c r="D392" s="46" t="n"/>
      <c r="E392" s="47" t="n"/>
      <c r="F392" s="47" t="n"/>
      <c r="G392" s="48">
        <f t="shared" si="4"/>
      </c>
      <c r="H392" s="43">
        <f t="shared" si="0"/>
      </c>
      <c r="I392" s="43">
        <f t="shared" si="5"/>
      </c>
      <c r="J392" s="43">
        <f t="shared" si="1"/>
      </c>
      <c r="K392" s="49">
        <f t="shared" si="2"/>
      </c>
      <c r="L392" s="45" t="n"/>
      <c r="M392" s="45" t="n"/>
      <c r="N392" s="45" t="n"/>
      <c r="O392" s="45" t="n"/>
      <c r="P392" s="50" t="n"/>
      <c r="R392" s="2">
        <f t="shared" si="6"/>
        <v>0</v>
      </c>
      <c r="S392" s="2">
        <f t="shared" si="7"/>
      </c>
      <c r="T392" s="2">
        <f t="shared" si="8"/>
      </c>
      <c r="U392" s="2">
        <f t="shared" si="9"/>
      </c>
      <c r="V392" s="2">
        <f t="shared" si="10"/>
      </c>
      <c r="W392" s="2">
        <f t="shared" si="11"/>
      </c>
      <c r="X392" s="2">
        <f t="shared" si="12"/>
      </c>
      <c r="Y392" s="2">
        <f t="shared" si="13"/>
        <v>0</v>
      </c>
      <c r="Z392" s="2">
        <f t="shared" si="14"/>
      </c>
      <c r="AA392" s="2">
        <f t="shared" si="15"/>
        <v>0</v>
      </c>
      <c r="AB392" s="2">
        <f t="shared" si="16"/>
      </c>
      <c r="AC392" s="2">
        <f t="shared" si="17"/>
      </c>
      <c r="AD392" s="2">
        <f t="shared" si="18"/>
      </c>
      <c r="AE392" s="2">
        <f t="shared" si="19"/>
      </c>
      <c r="AF392" s="2">
        <f t="shared" si="20"/>
      </c>
      <c r="AG392" s="2">
        <f t="shared" si="21"/>
      </c>
      <c r="AH392" s="2">
        <f t="shared" si="22"/>
      </c>
      <c r="AI392" s="2">
        <f t="shared" si="23"/>
      </c>
      <c r="AJ392" s="2">
        <f t="shared" si="24"/>
        <v>0</v>
      </c>
      <c r="AK392" s="2">
        <f t="shared" si="25"/>
        <v>0</v>
      </c>
      <c r="AL392" s="2">
        <f t="shared" si="26"/>
        <v>0</v>
      </c>
      <c r="AM392" s="2">
        <f t="shared" si="27"/>
        <v>0</v>
      </c>
      <c r="AN392" s="2">
        <f t="shared" si="28"/>
        <v>0</v>
      </c>
      <c r="AO392" s="2">
        <f t="shared" si="29"/>
      </c>
      <c r="AP392" s="2">
        <f t="shared" si="30"/>
      </c>
      <c r="AQ392" s="2">
        <f t="shared" si="31"/>
      </c>
    </row>
    <row r="393">
      <c r="A393" s="43">
        <f t="shared" si="3"/>
      </c>
      <c r="B393" s="44" t="n"/>
      <c r="C393" s="45" t="n"/>
      <c r="D393" s="46" t="n"/>
      <c r="E393" s="47" t="n"/>
      <c r="F393" s="47" t="n"/>
      <c r="G393" s="48">
        <f t="shared" si="4"/>
      </c>
      <c r="H393" s="43">
        <f t="shared" si="0"/>
      </c>
      <c r="I393" s="43">
        <f t="shared" si="5"/>
      </c>
      <c r="J393" s="43">
        <f t="shared" si="1"/>
      </c>
      <c r="K393" s="49">
        <f t="shared" si="2"/>
      </c>
      <c r="L393" s="45" t="n"/>
      <c r="M393" s="45" t="n"/>
      <c r="N393" s="45" t="n"/>
      <c r="O393" s="45" t="n"/>
      <c r="P393" s="50" t="n"/>
      <c r="R393" s="2">
        <f t="shared" si="6"/>
        <v>0</v>
      </c>
      <c r="S393" s="2">
        <f t="shared" si="7"/>
      </c>
      <c r="T393" s="2">
        <f t="shared" si="8"/>
      </c>
      <c r="U393" s="2">
        <f t="shared" si="9"/>
      </c>
      <c r="V393" s="2">
        <f t="shared" si="10"/>
      </c>
      <c r="W393" s="2">
        <f t="shared" si="11"/>
      </c>
      <c r="X393" s="2">
        <f t="shared" si="12"/>
      </c>
      <c r="Y393" s="2">
        <f t="shared" si="13"/>
        <v>0</v>
      </c>
      <c r="Z393" s="2">
        <f t="shared" si="14"/>
      </c>
      <c r="AA393" s="2">
        <f t="shared" si="15"/>
        <v>0</v>
      </c>
      <c r="AB393" s="2">
        <f t="shared" si="16"/>
      </c>
      <c r="AC393" s="2">
        <f t="shared" si="17"/>
      </c>
      <c r="AD393" s="2">
        <f t="shared" si="18"/>
      </c>
      <c r="AE393" s="2">
        <f t="shared" si="19"/>
      </c>
      <c r="AF393" s="2">
        <f t="shared" si="20"/>
      </c>
      <c r="AG393" s="2">
        <f t="shared" si="21"/>
      </c>
      <c r="AH393" s="2">
        <f t="shared" si="22"/>
      </c>
      <c r="AI393" s="2">
        <f t="shared" si="23"/>
      </c>
      <c r="AJ393" s="2">
        <f t="shared" si="24"/>
        <v>0</v>
      </c>
      <c r="AK393" s="2">
        <f t="shared" si="25"/>
        <v>0</v>
      </c>
      <c r="AL393" s="2">
        <f t="shared" si="26"/>
        <v>0</v>
      </c>
      <c r="AM393" s="2">
        <f t="shared" si="27"/>
        <v>0</v>
      </c>
      <c r="AN393" s="2">
        <f t="shared" si="28"/>
        <v>0</v>
      </c>
      <c r="AO393" s="2">
        <f t="shared" si="29"/>
      </c>
      <c r="AP393" s="2">
        <f t="shared" si="30"/>
      </c>
      <c r="AQ393" s="2">
        <f t="shared" si="31"/>
      </c>
    </row>
    <row r="394">
      <c r="A394" s="43">
        <f t="shared" si="3"/>
      </c>
      <c r="B394" s="44" t="n"/>
      <c r="C394" s="45" t="n"/>
      <c r="D394" s="46" t="n"/>
      <c r="E394" s="47" t="n"/>
      <c r="F394" s="47" t="n"/>
      <c r="G394" s="48">
        <f t="shared" si="4"/>
      </c>
      <c r="H394" s="43">
        <f t="shared" si="0"/>
      </c>
      <c r="I394" s="43">
        <f t="shared" si="5"/>
      </c>
      <c r="J394" s="43">
        <f t="shared" si="1"/>
      </c>
      <c r="K394" s="49">
        <f t="shared" si="2"/>
      </c>
      <c r="L394" s="45" t="n"/>
      <c r="M394" s="45" t="n"/>
      <c r="N394" s="45" t="n"/>
      <c r="O394" s="45" t="n"/>
      <c r="P394" s="50" t="n"/>
      <c r="R394" s="2">
        <f t="shared" si="6"/>
        <v>0</v>
      </c>
      <c r="S394" s="2">
        <f t="shared" si="7"/>
      </c>
      <c r="T394" s="2">
        <f t="shared" si="8"/>
      </c>
      <c r="U394" s="2">
        <f t="shared" si="9"/>
      </c>
      <c r="V394" s="2">
        <f t="shared" si="10"/>
      </c>
      <c r="W394" s="2">
        <f t="shared" si="11"/>
      </c>
      <c r="X394" s="2">
        <f t="shared" si="12"/>
      </c>
      <c r="Y394" s="2">
        <f t="shared" si="13"/>
        <v>0</v>
      </c>
      <c r="Z394" s="2">
        <f t="shared" si="14"/>
      </c>
      <c r="AA394" s="2">
        <f t="shared" si="15"/>
        <v>0</v>
      </c>
      <c r="AB394" s="2">
        <f t="shared" si="16"/>
      </c>
      <c r="AC394" s="2">
        <f t="shared" si="17"/>
      </c>
      <c r="AD394" s="2">
        <f t="shared" si="18"/>
      </c>
      <c r="AE394" s="2">
        <f t="shared" si="19"/>
      </c>
      <c r="AF394" s="2">
        <f t="shared" si="20"/>
      </c>
      <c r="AG394" s="2">
        <f t="shared" si="21"/>
      </c>
      <c r="AH394" s="2">
        <f t="shared" si="22"/>
      </c>
      <c r="AI394" s="2">
        <f t="shared" si="23"/>
      </c>
      <c r="AJ394" s="2">
        <f t="shared" si="24"/>
        <v>0</v>
      </c>
      <c r="AK394" s="2">
        <f t="shared" si="25"/>
        <v>0</v>
      </c>
      <c r="AL394" s="2">
        <f t="shared" si="26"/>
        <v>0</v>
      </c>
      <c r="AM394" s="2">
        <f t="shared" si="27"/>
        <v>0</v>
      </c>
      <c r="AN394" s="2">
        <f t="shared" si="28"/>
        <v>0</v>
      </c>
      <c r="AO394" s="2">
        <f t="shared" si="29"/>
      </c>
      <c r="AP394" s="2">
        <f t="shared" si="30"/>
      </c>
      <c r="AQ394" s="2">
        <f t="shared" si="31"/>
      </c>
    </row>
    <row r="395">
      <c r="A395" s="43">
        <f t="shared" si="3"/>
      </c>
      <c r="B395" s="44" t="n"/>
      <c r="C395" s="45" t="n"/>
      <c r="D395" s="46" t="n"/>
      <c r="E395" s="47" t="n"/>
      <c r="F395" s="47" t="n"/>
      <c r="G395" s="48">
        <f t="shared" si="4"/>
      </c>
      <c r="H395" s="43">
        <f t="shared" si="0"/>
      </c>
      <c r="I395" s="43">
        <f t="shared" si="5"/>
      </c>
      <c r="J395" s="43">
        <f t="shared" si="1"/>
      </c>
      <c r="K395" s="49">
        <f t="shared" si="2"/>
      </c>
      <c r="L395" s="45" t="n"/>
      <c r="M395" s="45" t="n"/>
      <c r="N395" s="45" t="n"/>
      <c r="O395" s="45" t="n"/>
      <c r="P395" s="50" t="n"/>
      <c r="R395" s="2">
        <f t="shared" si="6"/>
        <v>0</v>
      </c>
      <c r="S395" s="2">
        <f t="shared" si="7"/>
      </c>
      <c r="T395" s="2">
        <f t="shared" si="8"/>
      </c>
      <c r="U395" s="2">
        <f t="shared" si="9"/>
      </c>
      <c r="V395" s="2">
        <f t="shared" si="10"/>
      </c>
      <c r="W395" s="2">
        <f t="shared" si="11"/>
      </c>
      <c r="X395" s="2">
        <f t="shared" si="12"/>
      </c>
      <c r="Y395" s="2">
        <f t="shared" si="13"/>
        <v>0</v>
      </c>
      <c r="Z395" s="2">
        <f t="shared" si="14"/>
      </c>
      <c r="AA395" s="2">
        <f t="shared" si="15"/>
        <v>0</v>
      </c>
      <c r="AB395" s="2">
        <f t="shared" si="16"/>
      </c>
      <c r="AC395" s="2">
        <f t="shared" si="17"/>
      </c>
      <c r="AD395" s="2">
        <f t="shared" si="18"/>
      </c>
      <c r="AE395" s="2">
        <f t="shared" si="19"/>
      </c>
      <c r="AF395" s="2">
        <f t="shared" si="20"/>
      </c>
      <c r="AG395" s="2">
        <f t="shared" si="21"/>
      </c>
      <c r="AH395" s="2">
        <f t="shared" si="22"/>
      </c>
      <c r="AI395" s="2">
        <f t="shared" si="23"/>
      </c>
      <c r="AJ395" s="2">
        <f t="shared" si="24"/>
        <v>0</v>
      </c>
      <c r="AK395" s="2">
        <f t="shared" si="25"/>
        <v>0</v>
      </c>
      <c r="AL395" s="2">
        <f t="shared" si="26"/>
        <v>0</v>
      </c>
      <c r="AM395" s="2">
        <f t="shared" si="27"/>
        <v>0</v>
      </c>
      <c r="AN395" s="2">
        <f t="shared" si="28"/>
        <v>0</v>
      </c>
      <c r="AO395" s="2">
        <f t="shared" si="29"/>
      </c>
      <c r="AP395" s="2">
        <f t="shared" si="30"/>
      </c>
      <c r="AQ395" s="2">
        <f t="shared" si="31"/>
      </c>
    </row>
    <row r="396">
      <c r="A396" s="43">
        <f t="shared" si="3"/>
      </c>
      <c r="B396" s="44" t="n"/>
      <c r="C396" s="45" t="n"/>
      <c r="D396" s="46" t="n"/>
      <c r="E396" s="47" t="n"/>
      <c r="F396" s="47" t="n"/>
      <c r="G396" s="48">
        <f t="shared" si="4"/>
      </c>
      <c r="H396" s="43">
        <f t="shared" si="0"/>
      </c>
      <c r="I396" s="43">
        <f t="shared" si="5"/>
      </c>
      <c r="J396" s="43">
        <f t="shared" si="1"/>
      </c>
      <c r="K396" s="49">
        <f t="shared" si="2"/>
      </c>
      <c r="L396" s="45" t="n"/>
      <c r="M396" s="45" t="n"/>
      <c r="N396" s="45" t="n"/>
      <c r="O396" s="45" t="n"/>
      <c r="P396" s="50" t="n"/>
      <c r="R396" s="2">
        <f t="shared" si="6"/>
        <v>0</v>
      </c>
      <c r="S396" s="2">
        <f t="shared" si="7"/>
      </c>
      <c r="T396" s="2">
        <f t="shared" si="8"/>
      </c>
      <c r="U396" s="2">
        <f t="shared" si="9"/>
      </c>
      <c r="V396" s="2">
        <f t="shared" si="10"/>
      </c>
      <c r="W396" s="2">
        <f t="shared" si="11"/>
      </c>
      <c r="X396" s="2">
        <f t="shared" si="12"/>
      </c>
      <c r="Y396" s="2">
        <f t="shared" si="13"/>
        <v>0</v>
      </c>
      <c r="Z396" s="2">
        <f t="shared" si="14"/>
      </c>
      <c r="AA396" s="2">
        <f t="shared" si="15"/>
        <v>0</v>
      </c>
      <c r="AB396" s="2">
        <f t="shared" si="16"/>
      </c>
      <c r="AC396" s="2">
        <f t="shared" si="17"/>
      </c>
      <c r="AD396" s="2">
        <f t="shared" si="18"/>
      </c>
      <c r="AE396" s="2">
        <f t="shared" si="19"/>
      </c>
      <c r="AF396" s="2">
        <f t="shared" si="20"/>
      </c>
      <c r="AG396" s="2">
        <f t="shared" si="21"/>
      </c>
      <c r="AH396" s="2">
        <f t="shared" si="22"/>
      </c>
      <c r="AI396" s="2">
        <f t="shared" si="23"/>
      </c>
      <c r="AJ396" s="2">
        <f t="shared" si="24"/>
        <v>0</v>
      </c>
      <c r="AK396" s="2">
        <f t="shared" si="25"/>
        <v>0</v>
      </c>
      <c r="AL396" s="2">
        <f t="shared" si="26"/>
        <v>0</v>
      </c>
      <c r="AM396" s="2">
        <f t="shared" si="27"/>
        <v>0</v>
      </c>
      <c r="AN396" s="2">
        <f t="shared" si="28"/>
        <v>0</v>
      </c>
      <c r="AO396" s="2">
        <f t="shared" si="29"/>
      </c>
      <c r="AP396" s="2">
        <f t="shared" si="30"/>
      </c>
      <c r="AQ396" s="2">
        <f t="shared" si="31"/>
      </c>
    </row>
    <row r="397">
      <c r="A397" s="43">
        <f t="shared" si="3"/>
      </c>
      <c r="B397" s="44" t="n"/>
      <c r="C397" s="45" t="n"/>
      <c r="D397" s="46" t="n"/>
      <c r="E397" s="47" t="n"/>
      <c r="F397" s="47" t="n"/>
      <c r="G397" s="48">
        <f t="shared" si="4"/>
      </c>
      <c r="H397" s="43">
        <f t="shared" si="0"/>
      </c>
      <c r="I397" s="43">
        <f t="shared" si="5"/>
      </c>
      <c r="J397" s="43">
        <f t="shared" si="1"/>
      </c>
      <c r="K397" s="49">
        <f t="shared" si="2"/>
      </c>
      <c r="L397" s="45" t="n"/>
      <c r="M397" s="45" t="n"/>
      <c r="N397" s="45" t="n"/>
      <c r="O397" s="45" t="n"/>
      <c r="P397" s="50" t="n"/>
      <c r="R397" s="2">
        <f t="shared" si="6"/>
        <v>0</v>
      </c>
      <c r="S397" s="2">
        <f t="shared" si="7"/>
      </c>
      <c r="T397" s="2">
        <f t="shared" si="8"/>
      </c>
      <c r="U397" s="2">
        <f t="shared" si="9"/>
      </c>
      <c r="V397" s="2">
        <f t="shared" si="10"/>
      </c>
      <c r="W397" s="2">
        <f t="shared" si="11"/>
      </c>
      <c r="X397" s="2">
        <f t="shared" si="12"/>
      </c>
      <c r="Y397" s="2">
        <f t="shared" si="13"/>
        <v>0</v>
      </c>
      <c r="Z397" s="2">
        <f t="shared" si="14"/>
      </c>
      <c r="AA397" s="2">
        <f t="shared" si="15"/>
        <v>0</v>
      </c>
      <c r="AB397" s="2">
        <f t="shared" si="16"/>
      </c>
      <c r="AC397" s="2">
        <f t="shared" si="17"/>
      </c>
      <c r="AD397" s="2">
        <f t="shared" si="18"/>
      </c>
      <c r="AE397" s="2">
        <f t="shared" si="19"/>
      </c>
      <c r="AF397" s="2">
        <f t="shared" si="20"/>
      </c>
      <c r="AG397" s="2">
        <f t="shared" si="21"/>
      </c>
      <c r="AH397" s="2">
        <f t="shared" si="22"/>
      </c>
      <c r="AI397" s="2">
        <f t="shared" si="23"/>
      </c>
      <c r="AJ397" s="2">
        <f t="shared" si="24"/>
        <v>0</v>
      </c>
      <c r="AK397" s="2">
        <f t="shared" si="25"/>
        <v>0</v>
      </c>
      <c r="AL397" s="2">
        <f t="shared" si="26"/>
        <v>0</v>
      </c>
      <c r="AM397" s="2">
        <f t="shared" si="27"/>
        <v>0</v>
      </c>
      <c r="AN397" s="2">
        <f t="shared" si="28"/>
        <v>0</v>
      </c>
      <c r="AO397" s="2">
        <f t="shared" si="29"/>
      </c>
      <c r="AP397" s="2">
        <f t="shared" si="30"/>
      </c>
      <c r="AQ397" s="2">
        <f t="shared" si="31"/>
      </c>
    </row>
    <row r="398">
      <c r="A398" s="43">
        <f t="shared" si="3"/>
      </c>
      <c r="B398" s="44" t="n"/>
      <c r="C398" s="45" t="n"/>
      <c r="D398" s="46" t="n"/>
      <c r="E398" s="47" t="n"/>
      <c r="F398" s="47" t="n"/>
      <c r="G398" s="48">
        <f t="shared" si="4"/>
      </c>
      <c r="H398" s="43">
        <f t="shared" si="0"/>
      </c>
      <c r="I398" s="43">
        <f t="shared" si="5"/>
      </c>
      <c r="J398" s="43">
        <f t="shared" si="1"/>
      </c>
      <c r="K398" s="49">
        <f t="shared" si="2"/>
      </c>
      <c r="L398" s="45" t="n"/>
      <c r="M398" s="45" t="n"/>
      <c r="N398" s="45" t="n"/>
      <c r="O398" s="45" t="n"/>
      <c r="P398" s="50" t="n"/>
      <c r="R398" s="2">
        <f t="shared" si="6"/>
        <v>0</v>
      </c>
      <c r="S398" s="2">
        <f t="shared" si="7"/>
      </c>
      <c r="T398" s="2">
        <f t="shared" si="8"/>
      </c>
      <c r="U398" s="2">
        <f t="shared" si="9"/>
      </c>
      <c r="V398" s="2">
        <f t="shared" si="10"/>
      </c>
      <c r="W398" s="2">
        <f t="shared" si="11"/>
      </c>
      <c r="X398" s="2">
        <f t="shared" si="12"/>
      </c>
      <c r="Y398" s="2">
        <f t="shared" si="13"/>
        <v>0</v>
      </c>
      <c r="Z398" s="2">
        <f t="shared" si="14"/>
      </c>
      <c r="AA398" s="2">
        <f t="shared" si="15"/>
        <v>0</v>
      </c>
      <c r="AB398" s="2">
        <f t="shared" si="16"/>
      </c>
      <c r="AC398" s="2">
        <f t="shared" si="17"/>
      </c>
      <c r="AD398" s="2">
        <f t="shared" si="18"/>
      </c>
      <c r="AE398" s="2">
        <f t="shared" si="19"/>
      </c>
      <c r="AF398" s="2">
        <f t="shared" si="20"/>
      </c>
      <c r="AG398" s="2">
        <f t="shared" si="21"/>
      </c>
      <c r="AH398" s="2">
        <f t="shared" si="22"/>
      </c>
      <c r="AI398" s="2">
        <f t="shared" si="23"/>
      </c>
      <c r="AJ398" s="2">
        <f t="shared" si="24"/>
        <v>0</v>
      </c>
      <c r="AK398" s="2">
        <f t="shared" si="25"/>
        <v>0</v>
      </c>
      <c r="AL398" s="2">
        <f t="shared" si="26"/>
        <v>0</v>
      </c>
      <c r="AM398" s="2">
        <f t="shared" si="27"/>
        <v>0</v>
      </c>
      <c r="AN398" s="2">
        <f t="shared" si="28"/>
        <v>0</v>
      </c>
      <c r="AO398" s="2">
        <f t="shared" si="29"/>
      </c>
      <c r="AP398" s="2">
        <f t="shared" si="30"/>
      </c>
      <c r="AQ398" s="2">
        <f t="shared" si="31"/>
      </c>
    </row>
    <row r="399">
      <c r="A399" s="43">
        <f t="shared" si="3"/>
      </c>
      <c r="B399" s="44" t="n"/>
      <c r="C399" s="45" t="n"/>
      <c r="D399" s="46" t="n"/>
      <c r="E399" s="47" t="n"/>
      <c r="F399" s="47" t="n"/>
      <c r="G399" s="48">
        <f t="shared" si="4"/>
      </c>
      <c r="H399" s="43">
        <f t="shared" si="0"/>
      </c>
      <c r="I399" s="43">
        <f t="shared" si="5"/>
      </c>
      <c r="J399" s="43">
        <f t="shared" si="1"/>
      </c>
      <c r="K399" s="49">
        <f t="shared" si="2"/>
      </c>
      <c r="L399" s="45" t="n"/>
      <c r="M399" s="45" t="n"/>
      <c r="N399" s="45" t="n"/>
      <c r="O399" s="45" t="n"/>
      <c r="P399" s="50" t="n"/>
      <c r="R399" s="2">
        <f t="shared" si="6"/>
        <v>0</v>
      </c>
      <c r="S399" s="2">
        <f t="shared" si="7"/>
      </c>
      <c r="T399" s="2">
        <f t="shared" si="8"/>
      </c>
      <c r="U399" s="2">
        <f t="shared" si="9"/>
      </c>
      <c r="V399" s="2">
        <f t="shared" si="10"/>
      </c>
      <c r="W399" s="2">
        <f t="shared" si="11"/>
      </c>
      <c r="X399" s="2">
        <f t="shared" si="12"/>
      </c>
      <c r="Y399" s="2">
        <f t="shared" si="13"/>
        <v>0</v>
      </c>
      <c r="Z399" s="2">
        <f t="shared" si="14"/>
      </c>
      <c r="AA399" s="2">
        <f t="shared" si="15"/>
        <v>0</v>
      </c>
      <c r="AB399" s="2">
        <f t="shared" si="16"/>
      </c>
      <c r="AC399" s="2">
        <f t="shared" si="17"/>
      </c>
      <c r="AD399" s="2">
        <f t="shared" si="18"/>
      </c>
      <c r="AE399" s="2">
        <f t="shared" si="19"/>
      </c>
      <c r="AF399" s="2">
        <f t="shared" si="20"/>
      </c>
      <c r="AG399" s="2">
        <f t="shared" si="21"/>
      </c>
      <c r="AH399" s="2">
        <f t="shared" si="22"/>
      </c>
      <c r="AI399" s="2">
        <f t="shared" si="23"/>
      </c>
      <c r="AJ399" s="2">
        <f t="shared" si="24"/>
        <v>0</v>
      </c>
      <c r="AK399" s="2">
        <f t="shared" si="25"/>
        <v>0</v>
      </c>
      <c r="AL399" s="2">
        <f t="shared" si="26"/>
        <v>0</v>
      </c>
      <c r="AM399" s="2">
        <f t="shared" si="27"/>
        <v>0</v>
      </c>
      <c r="AN399" s="2">
        <f t="shared" si="28"/>
        <v>0</v>
      </c>
      <c r="AO399" s="2">
        <f t="shared" si="29"/>
      </c>
      <c r="AP399" s="2">
        <f t="shared" si="30"/>
      </c>
      <c r="AQ399" s="2">
        <f t="shared" si="31"/>
      </c>
    </row>
    <row r="400">
      <c r="A400" s="43">
        <f t="shared" si="3"/>
      </c>
      <c r="B400" s="44" t="n"/>
      <c r="C400" s="45" t="n"/>
      <c r="D400" s="46" t="n"/>
      <c r="E400" s="47" t="n"/>
      <c r="F400" s="47" t="n"/>
      <c r="G400" s="48">
        <f t="shared" si="4"/>
      </c>
      <c r="H400" s="43">
        <f t="shared" si="0"/>
      </c>
      <c r="I400" s="43">
        <f t="shared" si="5"/>
      </c>
      <c r="J400" s="43">
        <f t="shared" si="1"/>
      </c>
      <c r="K400" s="49">
        <f t="shared" si="2"/>
      </c>
      <c r="L400" s="45" t="n"/>
      <c r="M400" s="45" t="n"/>
      <c r="N400" s="45" t="n"/>
      <c r="O400" s="45" t="n"/>
      <c r="P400" s="50" t="n"/>
      <c r="R400" s="2">
        <f t="shared" si="6"/>
        <v>0</v>
      </c>
      <c r="S400" s="2">
        <f t="shared" si="7"/>
      </c>
      <c r="T400" s="2">
        <f t="shared" si="8"/>
      </c>
      <c r="U400" s="2">
        <f t="shared" si="9"/>
      </c>
      <c r="V400" s="2">
        <f t="shared" si="10"/>
      </c>
      <c r="W400" s="2">
        <f t="shared" si="11"/>
      </c>
      <c r="X400" s="2">
        <f t="shared" si="12"/>
      </c>
      <c r="Y400" s="2">
        <f t="shared" si="13"/>
        <v>0</v>
      </c>
      <c r="Z400" s="2">
        <f t="shared" si="14"/>
      </c>
      <c r="AA400" s="2">
        <f t="shared" si="15"/>
        <v>0</v>
      </c>
      <c r="AB400" s="2">
        <f t="shared" si="16"/>
      </c>
      <c r="AC400" s="2">
        <f t="shared" si="17"/>
      </c>
      <c r="AD400" s="2">
        <f t="shared" si="18"/>
      </c>
      <c r="AE400" s="2">
        <f t="shared" si="19"/>
      </c>
      <c r="AF400" s="2">
        <f t="shared" si="20"/>
      </c>
      <c r="AG400" s="2">
        <f t="shared" si="21"/>
      </c>
      <c r="AH400" s="2">
        <f t="shared" si="22"/>
      </c>
      <c r="AI400" s="2">
        <f t="shared" si="23"/>
      </c>
      <c r="AJ400" s="2">
        <f t="shared" si="24"/>
        <v>0</v>
      </c>
      <c r="AK400" s="2">
        <f t="shared" si="25"/>
        <v>0</v>
      </c>
      <c r="AL400" s="2">
        <f t="shared" si="26"/>
        <v>0</v>
      </c>
      <c r="AM400" s="2">
        <f t="shared" si="27"/>
        <v>0</v>
      </c>
      <c r="AN400" s="2">
        <f t="shared" si="28"/>
        <v>0</v>
      </c>
      <c r="AO400" s="2">
        <f t="shared" si="29"/>
      </c>
      <c r="AP400" s="2">
        <f t="shared" si="30"/>
      </c>
      <c r="AQ400" s="2">
        <f t="shared" si="31"/>
      </c>
    </row>
    <row r="401">
      <c r="A401" s="43">
        <f t="shared" si="3"/>
      </c>
      <c r="B401" s="44" t="n"/>
      <c r="C401" s="45" t="n"/>
      <c r="D401" s="46" t="n"/>
      <c r="E401" s="47" t="n"/>
      <c r="F401" s="47" t="n"/>
      <c r="G401" s="48">
        <f t="shared" si="4"/>
      </c>
      <c r="H401" s="43">
        <f t="shared" si="0"/>
      </c>
      <c r="I401" s="43">
        <f t="shared" si="5"/>
      </c>
      <c r="J401" s="43">
        <f t="shared" si="1"/>
      </c>
      <c r="K401" s="49">
        <f t="shared" si="2"/>
      </c>
      <c r="L401" s="45" t="n"/>
      <c r="M401" s="45" t="n"/>
      <c r="N401" s="45" t="n"/>
      <c r="O401" s="45" t="n"/>
      <c r="P401" s="50" t="n"/>
      <c r="R401" s="2">
        <f t="shared" si="6"/>
        <v>0</v>
      </c>
      <c r="S401" s="2">
        <f t="shared" si="7"/>
      </c>
      <c r="T401" s="2">
        <f t="shared" si="8"/>
      </c>
      <c r="U401" s="2">
        <f t="shared" si="9"/>
      </c>
      <c r="V401" s="2">
        <f t="shared" si="10"/>
      </c>
      <c r="W401" s="2">
        <f t="shared" si="11"/>
      </c>
      <c r="X401" s="2">
        <f t="shared" si="12"/>
      </c>
      <c r="Y401" s="2">
        <f t="shared" si="13"/>
        <v>0</v>
      </c>
      <c r="Z401" s="2">
        <f t="shared" si="14"/>
      </c>
      <c r="AA401" s="2">
        <f t="shared" si="15"/>
        <v>0</v>
      </c>
      <c r="AB401" s="2">
        <f t="shared" si="16"/>
      </c>
      <c r="AC401" s="2">
        <f t="shared" si="17"/>
      </c>
      <c r="AD401" s="2">
        <f t="shared" si="18"/>
      </c>
      <c r="AE401" s="2">
        <f t="shared" si="19"/>
      </c>
      <c r="AF401" s="2">
        <f t="shared" si="20"/>
      </c>
      <c r="AG401" s="2">
        <f t="shared" si="21"/>
      </c>
      <c r="AH401" s="2">
        <f t="shared" si="22"/>
      </c>
      <c r="AI401" s="2">
        <f t="shared" si="23"/>
      </c>
      <c r="AJ401" s="2">
        <f t="shared" si="24"/>
        <v>0</v>
      </c>
      <c r="AK401" s="2">
        <f t="shared" si="25"/>
        <v>0</v>
      </c>
      <c r="AL401" s="2">
        <f t="shared" si="26"/>
        <v>0</v>
      </c>
      <c r="AM401" s="2">
        <f t="shared" si="27"/>
        <v>0</v>
      </c>
      <c r="AN401" s="2">
        <f t="shared" si="28"/>
        <v>0</v>
      </c>
      <c r="AO401" s="2">
        <f t="shared" si="29"/>
      </c>
      <c r="AP401" s="2">
        <f t="shared" si="30"/>
      </c>
      <c r="AQ401" s="2">
        <f t="shared" si="31"/>
      </c>
    </row>
    <row r="402">
      <c r="A402" s="43">
        <f t="shared" si="3"/>
      </c>
      <c r="B402" s="44" t="n"/>
      <c r="C402" s="45" t="n"/>
      <c r="D402" s="46" t="n"/>
      <c r="E402" s="47" t="n"/>
      <c r="F402" s="47" t="n"/>
      <c r="G402" s="48">
        <f t="shared" si="4"/>
      </c>
      <c r="H402" s="43">
        <f t="shared" si="0"/>
      </c>
      <c r="I402" s="43">
        <f t="shared" si="5"/>
      </c>
      <c r="J402" s="43">
        <f t="shared" si="1"/>
      </c>
      <c r="K402" s="49">
        <f t="shared" si="2"/>
      </c>
      <c r="L402" s="45" t="n"/>
      <c r="M402" s="45" t="n"/>
      <c r="N402" s="45" t="n"/>
      <c r="O402" s="45" t="n"/>
      <c r="P402" s="50" t="n"/>
      <c r="R402" s="2">
        <f t="shared" si="6"/>
        <v>0</v>
      </c>
      <c r="S402" s="2">
        <f t="shared" si="7"/>
      </c>
      <c r="T402" s="2">
        <f t="shared" si="8"/>
      </c>
      <c r="U402" s="2">
        <f t="shared" si="9"/>
      </c>
      <c r="V402" s="2">
        <f t="shared" si="10"/>
      </c>
      <c r="W402" s="2">
        <f t="shared" si="11"/>
      </c>
      <c r="X402" s="2">
        <f t="shared" si="12"/>
      </c>
      <c r="Y402" s="2">
        <f t="shared" si="13"/>
        <v>0</v>
      </c>
      <c r="Z402" s="2">
        <f t="shared" si="14"/>
      </c>
      <c r="AA402" s="2">
        <f t="shared" si="15"/>
        <v>0</v>
      </c>
      <c r="AB402" s="2">
        <f t="shared" si="16"/>
      </c>
      <c r="AC402" s="2">
        <f t="shared" si="17"/>
      </c>
      <c r="AD402" s="2">
        <f t="shared" si="18"/>
      </c>
      <c r="AE402" s="2">
        <f t="shared" si="19"/>
      </c>
      <c r="AF402" s="2">
        <f t="shared" si="20"/>
      </c>
      <c r="AG402" s="2">
        <f t="shared" si="21"/>
      </c>
      <c r="AH402" s="2">
        <f t="shared" si="22"/>
      </c>
      <c r="AI402" s="2">
        <f t="shared" si="23"/>
      </c>
      <c r="AJ402" s="2">
        <f t="shared" si="24"/>
        <v>0</v>
      </c>
      <c r="AK402" s="2">
        <f t="shared" si="25"/>
        <v>0</v>
      </c>
      <c r="AL402" s="2">
        <f t="shared" si="26"/>
        <v>0</v>
      </c>
      <c r="AM402" s="2">
        <f t="shared" si="27"/>
        <v>0</v>
      </c>
      <c r="AN402" s="2">
        <f t="shared" si="28"/>
        <v>0</v>
      </c>
      <c r="AO402" s="2">
        <f t="shared" si="29"/>
      </c>
      <c r="AP402" s="2">
        <f t="shared" si="30"/>
      </c>
      <c r="AQ402" s="2">
        <f t="shared" si="31"/>
      </c>
    </row>
    <row r="403">
      <c r="A403" s="43">
        <f t="shared" si="3"/>
      </c>
      <c r="B403" s="44" t="n"/>
      <c r="C403" s="45" t="n"/>
      <c r="D403" s="46" t="n"/>
      <c r="E403" s="47" t="n"/>
      <c r="F403" s="47" t="n"/>
      <c r="G403" s="48">
        <f t="shared" si="4"/>
      </c>
      <c r="H403" s="43">
        <f t="shared" si="0"/>
      </c>
      <c r="I403" s="43">
        <f t="shared" si="5"/>
      </c>
      <c r="J403" s="43">
        <f t="shared" si="1"/>
      </c>
      <c r="K403" s="49">
        <f t="shared" si="2"/>
      </c>
      <c r="L403" s="45" t="n"/>
      <c r="M403" s="45" t="n"/>
      <c r="N403" s="45" t="n"/>
      <c r="O403" s="45" t="n"/>
      <c r="P403" s="50" t="n"/>
      <c r="R403" s="2">
        <f t="shared" si="6"/>
        <v>0</v>
      </c>
      <c r="S403" s="2">
        <f t="shared" si="7"/>
      </c>
      <c r="T403" s="2">
        <f t="shared" si="8"/>
      </c>
      <c r="U403" s="2">
        <f t="shared" si="9"/>
      </c>
      <c r="V403" s="2">
        <f t="shared" si="10"/>
      </c>
      <c r="W403" s="2">
        <f t="shared" si="11"/>
      </c>
      <c r="X403" s="2">
        <f t="shared" si="12"/>
      </c>
      <c r="Y403" s="2">
        <f t="shared" si="13"/>
        <v>0</v>
      </c>
      <c r="Z403" s="2">
        <f t="shared" si="14"/>
      </c>
      <c r="AA403" s="2">
        <f t="shared" si="15"/>
        <v>0</v>
      </c>
      <c r="AB403" s="2">
        <f t="shared" si="16"/>
      </c>
      <c r="AC403" s="2">
        <f t="shared" si="17"/>
      </c>
      <c r="AD403" s="2">
        <f t="shared" si="18"/>
      </c>
      <c r="AE403" s="2">
        <f t="shared" si="19"/>
      </c>
      <c r="AF403" s="2">
        <f t="shared" si="20"/>
      </c>
      <c r="AG403" s="2">
        <f t="shared" si="21"/>
      </c>
      <c r="AH403" s="2">
        <f t="shared" si="22"/>
      </c>
      <c r="AI403" s="2">
        <f t="shared" si="23"/>
      </c>
      <c r="AJ403" s="2">
        <f t="shared" si="24"/>
        <v>0</v>
      </c>
      <c r="AK403" s="2">
        <f t="shared" si="25"/>
        <v>0</v>
      </c>
      <c r="AL403" s="2">
        <f t="shared" si="26"/>
        <v>0</v>
      </c>
      <c r="AM403" s="2">
        <f t="shared" si="27"/>
        <v>0</v>
      </c>
      <c r="AN403" s="2">
        <f t="shared" si="28"/>
        <v>0</v>
      </c>
      <c r="AO403" s="2">
        <f t="shared" si="29"/>
      </c>
      <c r="AP403" s="2">
        <f t="shared" si="30"/>
      </c>
      <c r="AQ403" s="2">
        <f t="shared" si="31"/>
      </c>
    </row>
    <row r="404">
      <c r="A404" s="43">
        <f t="shared" si="3"/>
      </c>
      <c r="B404" s="44" t="n"/>
      <c r="C404" s="45" t="n"/>
      <c r="D404" s="46" t="n"/>
      <c r="E404" s="47" t="n"/>
      <c r="F404" s="47" t="n"/>
      <c r="G404" s="48">
        <f t="shared" si="4"/>
      </c>
      <c r="H404" s="43">
        <f t="shared" si="0"/>
      </c>
      <c r="I404" s="43">
        <f t="shared" si="5"/>
      </c>
      <c r="J404" s="43">
        <f t="shared" si="1"/>
      </c>
      <c r="K404" s="49">
        <f t="shared" si="2"/>
      </c>
      <c r="L404" s="45" t="n"/>
      <c r="M404" s="45" t="n"/>
      <c r="N404" s="45" t="n"/>
      <c r="O404" s="45" t="n"/>
      <c r="P404" s="50" t="n"/>
      <c r="R404" s="2">
        <f t="shared" si="6"/>
        <v>0</v>
      </c>
      <c r="S404" s="2">
        <f t="shared" si="7"/>
      </c>
      <c r="T404" s="2">
        <f t="shared" si="8"/>
      </c>
      <c r="U404" s="2">
        <f t="shared" si="9"/>
      </c>
      <c r="V404" s="2">
        <f t="shared" si="10"/>
      </c>
      <c r="W404" s="2">
        <f t="shared" si="11"/>
      </c>
      <c r="X404" s="2">
        <f t="shared" si="12"/>
      </c>
      <c r="Y404" s="2">
        <f t="shared" si="13"/>
        <v>0</v>
      </c>
      <c r="Z404" s="2">
        <f t="shared" si="14"/>
      </c>
      <c r="AA404" s="2">
        <f t="shared" si="15"/>
        <v>0</v>
      </c>
      <c r="AB404" s="2">
        <f t="shared" si="16"/>
      </c>
      <c r="AC404" s="2">
        <f t="shared" si="17"/>
      </c>
      <c r="AD404" s="2">
        <f t="shared" si="18"/>
      </c>
      <c r="AE404" s="2">
        <f t="shared" si="19"/>
      </c>
      <c r="AF404" s="2">
        <f t="shared" si="20"/>
      </c>
      <c r="AG404" s="2">
        <f t="shared" si="21"/>
      </c>
      <c r="AH404" s="2">
        <f t="shared" si="22"/>
      </c>
      <c r="AI404" s="2">
        <f t="shared" si="23"/>
      </c>
      <c r="AJ404" s="2">
        <f t="shared" si="24"/>
        <v>0</v>
      </c>
      <c r="AK404" s="2">
        <f t="shared" si="25"/>
        <v>0</v>
      </c>
      <c r="AL404" s="2">
        <f t="shared" si="26"/>
        <v>0</v>
      </c>
      <c r="AM404" s="2">
        <f t="shared" si="27"/>
        <v>0</v>
      </c>
      <c r="AN404" s="2">
        <f t="shared" si="28"/>
        <v>0</v>
      </c>
      <c r="AO404" s="2">
        <f t="shared" si="29"/>
      </c>
      <c r="AP404" s="2">
        <f t="shared" si="30"/>
      </c>
      <c r="AQ404" s="2">
        <f t="shared" si="31"/>
      </c>
    </row>
    <row r="405">
      <c r="A405" s="43">
        <f t="shared" si="3"/>
      </c>
      <c r="B405" s="44" t="n"/>
      <c r="C405" s="45" t="n"/>
      <c r="D405" s="46" t="n"/>
      <c r="E405" s="47" t="n"/>
      <c r="F405" s="47" t="n"/>
      <c r="G405" s="48">
        <f t="shared" si="4"/>
      </c>
      <c r="H405" s="43">
        <f t="shared" si="0"/>
      </c>
      <c r="I405" s="43">
        <f t="shared" si="5"/>
      </c>
      <c r="J405" s="43">
        <f t="shared" si="1"/>
      </c>
      <c r="K405" s="49">
        <f t="shared" si="2"/>
      </c>
      <c r="L405" s="45" t="n"/>
      <c r="M405" s="45" t="n"/>
      <c r="N405" s="45" t="n"/>
      <c r="O405" s="45" t="n"/>
      <c r="P405" s="50" t="n"/>
      <c r="R405" s="2">
        <f t="shared" si="6"/>
        <v>0</v>
      </c>
      <c r="S405" s="2">
        <f t="shared" si="7"/>
      </c>
      <c r="T405" s="2">
        <f t="shared" si="8"/>
      </c>
      <c r="U405" s="2">
        <f t="shared" si="9"/>
      </c>
      <c r="V405" s="2">
        <f t="shared" si="10"/>
      </c>
      <c r="W405" s="2">
        <f t="shared" si="11"/>
      </c>
      <c r="X405" s="2">
        <f t="shared" si="12"/>
      </c>
      <c r="Y405" s="2">
        <f t="shared" si="13"/>
        <v>0</v>
      </c>
      <c r="Z405" s="2">
        <f t="shared" si="14"/>
      </c>
      <c r="AA405" s="2">
        <f t="shared" si="15"/>
        <v>0</v>
      </c>
      <c r="AB405" s="2">
        <f t="shared" si="16"/>
      </c>
      <c r="AC405" s="2">
        <f t="shared" si="17"/>
      </c>
      <c r="AD405" s="2">
        <f t="shared" si="18"/>
      </c>
      <c r="AE405" s="2">
        <f t="shared" si="19"/>
      </c>
      <c r="AF405" s="2">
        <f t="shared" si="20"/>
      </c>
      <c r="AG405" s="2">
        <f t="shared" si="21"/>
      </c>
      <c r="AH405" s="2">
        <f t="shared" si="22"/>
      </c>
      <c r="AI405" s="2">
        <f t="shared" si="23"/>
      </c>
      <c r="AJ405" s="2">
        <f t="shared" si="24"/>
        <v>0</v>
      </c>
      <c r="AK405" s="2">
        <f t="shared" si="25"/>
        <v>0</v>
      </c>
      <c r="AL405" s="2">
        <f t="shared" si="26"/>
        <v>0</v>
      </c>
      <c r="AM405" s="2">
        <f t="shared" si="27"/>
        <v>0</v>
      </c>
      <c r="AN405" s="2">
        <f t="shared" si="28"/>
        <v>0</v>
      </c>
      <c r="AO405" s="2">
        <f t="shared" si="29"/>
      </c>
      <c r="AP405" s="2">
        <f t="shared" si="30"/>
      </c>
      <c r="AQ405" s="2">
        <f t="shared" si="31"/>
      </c>
    </row>
    <row r="406">
      <c r="A406" s="43">
        <f t="shared" si="3"/>
      </c>
      <c r="B406" s="44" t="n"/>
      <c r="C406" s="45" t="n"/>
      <c r="D406" s="46" t="n"/>
      <c r="E406" s="47" t="n"/>
      <c r="F406" s="47" t="n"/>
      <c r="G406" s="48">
        <f t="shared" si="4"/>
      </c>
      <c r="H406" s="43">
        <f t="shared" si="0"/>
      </c>
      <c r="I406" s="43">
        <f t="shared" si="5"/>
      </c>
      <c r="J406" s="43">
        <f t="shared" si="1"/>
      </c>
      <c r="K406" s="49">
        <f t="shared" si="2"/>
      </c>
      <c r="L406" s="45" t="n"/>
      <c r="M406" s="45" t="n"/>
      <c r="N406" s="45" t="n"/>
      <c r="O406" s="45" t="n"/>
      <c r="P406" s="50" t="n"/>
      <c r="R406" s="2">
        <f t="shared" si="6"/>
        <v>0</v>
      </c>
      <c r="S406" s="2">
        <f t="shared" si="7"/>
      </c>
      <c r="T406" s="2">
        <f t="shared" si="8"/>
      </c>
      <c r="U406" s="2">
        <f t="shared" si="9"/>
      </c>
      <c r="V406" s="2">
        <f t="shared" si="10"/>
      </c>
      <c r="W406" s="2">
        <f t="shared" si="11"/>
      </c>
      <c r="X406" s="2">
        <f t="shared" si="12"/>
      </c>
      <c r="Y406" s="2">
        <f t="shared" si="13"/>
        <v>0</v>
      </c>
      <c r="Z406" s="2">
        <f t="shared" si="14"/>
      </c>
      <c r="AA406" s="2">
        <f t="shared" si="15"/>
        <v>0</v>
      </c>
      <c r="AB406" s="2">
        <f t="shared" si="16"/>
      </c>
      <c r="AC406" s="2">
        <f t="shared" si="17"/>
      </c>
      <c r="AD406" s="2">
        <f t="shared" si="18"/>
      </c>
      <c r="AE406" s="2">
        <f t="shared" si="19"/>
      </c>
      <c r="AF406" s="2">
        <f t="shared" si="20"/>
      </c>
      <c r="AG406" s="2">
        <f t="shared" si="21"/>
      </c>
      <c r="AH406" s="2">
        <f t="shared" si="22"/>
      </c>
      <c r="AI406" s="2">
        <f t="shared" si="23"/>
      </c>
      <c r="AJ406" s="2">
        <f t="shared" si="24"/>
        <v>0</v>
      </c>
      <c r="AK406" s="2">
        <f t="shared" si="25"/>
        <v>0</v>
      </c>
      <c r="AL406" s="2">
        <f t="shared" si="26"/>
        <v>0</v>
      </c>
      <c r="AM406" s="2">
        <f t="shared" si="27"/>
        <v>0</v>
      </c>
      <c r="AN406" s="2">
        <f t="shared" si="28"/>
        <v>0</v>
      </c>
      <c r="AO406" s="2">
        <f t="shared" si="29"/>
      </c>
      <c r="AP406" s="2">
        <f t="shared" si="30"/>
      </c>
      <c r="AQ406" s="2">
        <f t="shared" si="31"/>
      </c>
    </row>
    <row r="407">
      <c r="A407" s="43">
        <f t="shared" si="3"/>
      </c>
      <c r="B407" s="44" t="n"/>
      <c r="C407" s="45" t="n"/>
      <c r="D407" s="46" t="n"/>
      <c r="E407" s="47" t="n"/>
      <c r="F407" s="47" t="n"/>
      <c r="G407" s="48">
        <f t="shared" si="4"/>
      </c>
      <c r="H407" s="43">
        <f t="shared" si="0"/>
      </c>
      <c r="I407" s="43">
        <f t="shared" si="5"/>
      </c>
      <c r="J407" s="43">
        <f t="shared" si="1"/>
      </c>
      <c r="K407" s="49">
        <f t="shared" si="2"/>
      </c>
      <c r="L407" s="45" t="n"/>
      <c r="M407" s="45" t="n"/>
      <c r="N407" s="45" t="n"/>
      <c r="O407" s="45" t="n"/>
      <c r="P407" s="50" t="n"/>
      <c r="R407" s="2">
        <f t="shared" si="6"/>
        <v>0</v>
      </c>
      <c r="S407" s="2">
        <f t="shared" si="7"/>
      </c>
      <c r="T407" s="2">
        <f t="shared" si="8"/>
      </c>
      <c r="U407" s="2">
        <f t="shared" si="9"/>
      </c>
      <c r="V407" s="2">
        <f t="shared" si="10"/>
      </c>
      <c r="W407" s="2">
        <f t="shared" si="11"/>
      </c>
      <c r="X407" s="2">
        <f t="shared" si="12"/>
      </c>
      <c r="Y407" s="2">
        <f t="shared" si="13"/>
        <v>0</v>
      </c>
      <c r="Z407" s="2">
        <f t="shared" si="14"/>
      </c>
      <c r="AA407" s="2">
        <f t="shared" si="15"/>
        <v>0</v>
      </c>
      <c r="AB407" s="2">
        <f t="shared" si="16"/>
      </c>
      <c r="AC407" s="2">
        <f t="shared" si="17"/>
      </c>
      <c r="AD407" s="2">
        <f t="shared" si="18"/>
      </c>
      <c r="AE407" s="2">
        <f t="shared" si="19"/>
      </c>
      <c r="AF407" s="2">
        <f t="shared" si="20"/>
      </c>
      <c r="AG407" s="2">
        <f t="shared" si="21"/>
      </c>
      <c r="AH407" s="2">
        <f t="shared" si="22"/>
      </c>
      <c r="AI407" s="2">
        <f t="shared" si="23"/>
      </c>
      <c r="AJ407" s="2">
        <f t="shared" si="24"/>
        <v>0</v>
      </c>
      <c r="AK407" s="2">
        <f t="shared" si="25"/>
        <v>0</v>
      </c>
      <c r="AL407" s="2">
        <f t="shared" si="26"/>
        <v>0</v>
      </c>
      <c r="AM407" s="2">
        <f t="shared" si="27"/>
        <v>0</v>
      </c>
      <c r="AN407" s="2">
        <f t="shared" si="28"/>
        <v>0</v>
      </c>
      <c r="AO407" s="2">
        <f t="shared" si="29"/>
      </c>
      <c r="AP407" s="2">
        <f t="shared" si="30"/>
      </c>
      <c r="AQ407" s="2">
        <f t="shared" si="31"/>
      </c>
    </row>
    <row r="408">
      <c r="A408" s="43">
        <f t="shared" si="3"/>
      </c>
      <c r="B408" s="44" t="n"/>
      <c r="C408" s="45" t="n"/>
      <c r="D408" s="46" t="n"/>
      <c r="E408" s="47" t="n"/>
      <c r="F408" s="47" t="n"/>
      <c r="G408" s="48">
        <f t="shared" si="4"/>
      </c>
      <c r="H408" s="43">
        <f t="shared" si="0"/>
      </c>
      <c r="I408" s="43">
        <f t="shared" si="5"/>
      </c>
      <c r="J408" s="43">
        <f t="shared" si="1"/>
      </c>
      <c r="K408" s="49">
        <f t="shared" si="2"/>
      </c>
      <c r="L408" s="45" t="n"/>
      <c r="M408" s="45" t="n"/>
      <c r="N408" s="45" t="n"/>
      <c r="O408" s="45" t="n"/>
      <c r="P408" s="50" t="n"/>
      <c r="R408" s="2">
        <f t="shared" si="6"/>
        <v>0</v>
      </c>
      <c r="S408" s="2">
        <f t="shared" si="7"/>
      </c>
      <c r="T408" s="2">
        <f t="shared" si="8"/>
      </c>
      <c r="U408" s="2">
        <f t="shared" si="9"/>
      </c>
      <c r="V408" s="2">
        <f t="shared" si="10"/>
      </c>
      <c r="W408" s="2">
        <f t="shared" si="11"/>
      </c>
      <c r="X408" s="2">
        <f t="shared" si="12"/>
      </c>
      <c r="Y408" s="2">
        <f t="shared" si="13"/>
        <v>0</v>
      </c>
      <c r="Z408" s="2">
        <f t="shared" si="14"/>
      </c>
      <c r="AA408" s="2">
        <f t="shared" si="15"/>
        <v>0</v>
      </c>
      <c r="AB408" s="2">
        <f t="shared" si="16"/>
      </c>
      <c r="AC408" s="2">
        <f t="shared" si="17"/>
      </c>
      <c r="AD408" s="2">
        <f t="shared" si="18"/>
      </c>
      <c r="AE408" s="2">
        <f t="shared" si="19"/>
      </c>
      <c r="AF408" s="2">
        <f t="shared" si="20"/>
      </c>
      <c r="AG408" s="2">
        <f t="shared" si="21"/>
      </c>
      <c r="AH408" s="2">
        <f t="shared" si="22"/>
      </c>
      <c r="AI408" s="2">
        <f t="shared" si="23"/>
      </c>
      <c r="AJ408" s="2">
        <f t="shared" si="24"/>
        <v>0</v>
      </c>
      <c r="AK408" s="2">
        <f t="shared" si="25"/>
        <v>0</v>
      </c>
      <c r="AL408" s="2">
        <f t="shared" si="26"/>
        <v>0</v>
      </c>
      <c r="AM408" s="2">
        <f t="shared" si="27"/>
        <v>0</v>
      </c>
      <c r="AN408" s="2">
        <f t="shared" si="28"/>
        <v>0</v>
      </c>
      <c r="AO408" s="2">
        <f t="shared" si="29"/>
      </c>
      <c r="AP408" s="2">
        <f t="shared" si="30"/>
      </c>
      <c r="AQ408" s="2">
        <f t="shared" si="31"/>
      </c>
    </row>
    <row r="409">
      <c r="A409" s="43">
        <f t="shared" si="3"/>
      </c>
      <c r="B409" s="44" t="n"/>
      <c r="C409" s="45" t="n"/>
      <c r="D409" s="46" t="n"/>
      <c r="E409" s="47" t="n"/>
      <c r="F409" s="47" t="n"/>
      <c r="G409" s="48">
        <f t="shared" si="4"/>
      </c>
      <c r="H409" s="43">
        <f t="shared" si="0"/>
      </c>
      <c r="I409" s="43">
        <f t="shared" si="5"/>
      </c>
      <c r="J409" s="43">
        <f t="shared" si="1"/>
      </c>
      <c r="K409" s="49">
        <f t="shared" si="2"/>
      </c>
      <c r="L409" s="45" t="n"/>
      <c r="M409" s="45" t="n"/>
      <c r="N409" s="45" t="n"/>
      <c r="O409" s="45" t="n"/>
      <c r="P409" s="50" t="n"/>
      <c r="R409" s="2">
        <f t="shared" si="6"/>
        <v>0</v>
      </c>
      <c r="S409" s="2">
        <f t="shared" si="7"/>
      </c>
      <c r="T409" s="2">
        <f t="shared" si="8"/>
      </c>
      <c r="U409" s="2">
        <f t="shared" si="9"/>
      </c>
      <c r="V409" s="2">
        <f t="shared" si="10"/>
      </c>
      <c r="W409" s="2">
        <f t="shared" si="11"/>
      </c>
      <c r="X409" s="2">
        <f t="shared" si="12"/>
      </c>
      <c r="Y409" s="2">
        <f t="shared" si="13"/>
        <v>0</v>
      </c>
      <c r="Z409" s="2">
        <f t="shared" si="14"/>
      </c>
      <c r="AA409" s="2">
        <f t="shared" si="15"/>
        <v>0</v>
      </c>
      <c r="AB409" s="2">
        <f t="shared" si="16"/>
      </c>
      <c r="AC409" s="2">
        <f t="shared" si="17"/>
      </c>
      <c r="AD409" s="2">
        <f t="shared" si="18"/>
      </c>
      <c r="AE409" s="2">
        <f t="shared" si="19"/>
      </c>
      <c r="AF409" s="2">
        <f t="shared" si="20"/>
      </c>
      <c r="AG409" s="2">
        <f t="shared" si="21"/>
      </c>
      <c r="AH409" s="2">
        <f t="shared" si="22"/>
      </c>
      <c r="AI409" s="2">
        <f t="shared" si="23"/>
      </c>
      <c r="AJ409" s="2">
        <f t="shared" si="24"/>
        <v>0</v>
      </c>
      <c r="AK409" s="2">
        <f t="shared" si="25"/>
        <v>0</v>
      </c>
      <c r="AL409" s="2">
        <f t="shared" si="26"/>
        <v>0</v>
      </c>
      <c r="AM409" s="2">
        <f t="shared" si="27"/>
        <v>0</v>
      </c>
      <c r="AN409" s="2">
        <f t="shared" si="28"/>
        <v>0</v>
      </c>
      <c r="AO409" s="2">
        <f t="shared" si="29"/>
      </c>
      <c r="AP409" s="2">
        <f t="shared" si="30"/>
      </c>
      <c r="AQ409" s="2">
        <f t="shared" si="31"/>
      </c>
    </row>
    <row r="410">
      <c r="A410" s="43">
        <f t="shared" si="3"/>
      </c>
      <c r="B410" s="44" t="n"/>
      <c r="C410" s="45" t="n"/>
      <c r="D410" s="46" t="n"/>
      <c r="E410" s="47" t="n"/>
      <c r="F410" s="47" t="n"/>
      <c r="G410" s="48">
        <f t="shared" si="4"/>
      </c>
      <c r="H410" s="43">
        <f t="shared" si="0"/>
      </c>
      <c r="I410" s="43">
        <f t="shared" si="5"/>
      </c>
      <c r="J410" s="43">
        <f t="shared" si="1"/>
      </c>
      <c r="K410" s="49">
        <f t="shared" si="2"/>
      </c>
      <c r="L410" s="45" t="n"/>
      <c r="M410" s="45" t="n"/>
      <c r="N410" s="45" t="n"/>
      <c r="O410" s="45" t="n"/>
      <c r="P410" s="50" t="n"/>
      <c r="R410" s="2">
        <f t="shared" si="6"/>
        <v>0</v>
      </c>
      <c r="S410" s="2">
        <f t="shared" si="7"/>
      </c>
      <c r="T410" s="2">
        <f t="shared" si="8"/>
      </c>
      <c r="U410" s="2">
        <f t="shared" si="9"/>
      </c>
      <c r="V410" s="2">
        <f t="shared" si="10"/>
      </c>
      <c r="W410" s="2">
        <f t="shared" si="11"/>
      </c>
      <c r="X410" s="2">
        <f t="shared" si="12"/>
      </c>
      <c r="Y410" s="2">
        <f t="shared" si="13"/>
        <v>0</v>
      </c>
      <c r="Z410" s="2">
        <f t="shared" si="14"/>
      </c>
      <c r="AA410" s="2">
        <f t="shared" si="15"/>
        <v>0</v>
      </c>
      <c r="AB410" s="2">
        <f t="shared" si="16"/>
      </c>
      <c r="AC410" s="2">
        <f t="shared" si="17"/>
      </c>
      <c r="AD410" s="2">
        <f t="shared" si="18"/>
      </c>
      <c r="AE410" s="2">
        <f t="shared" si="19"/>
      </c>
      <c r="AF410" s="2">
        <f t="shared" si="20"/>
      </c>
      <c r="AG410" s="2">
        <f t="shared" si="21"/>
      </c>
      <c r="AH410" s="2">
        <f t="shared" si="22"/>
      </c>
      <c r="AI410" s="2">
        <f t="shared" si="23"/>
      </c>
      <c r="AJ410" s="2">
        <f t="shared" si="24"/>
        <v>0</v>
      </c>
      <c r="AK410" s="2">
        <f t="shared" si="25"/>
        <v>0</v>
      </c>
      <c r="AL410" s="2">
        <f t="shared" si="26"/>
        <v>0</v>
      </c>
      <c r="AM410" s="2">
        <f t="shared" si="27"/>
        <v>0</v>
      </c>
      <c r="AN410" s="2">
        <f t="shared" si="28"/>
        <v>0</v>
      </c>
      <c r="AO410" s="2">
        <f t="shared" si="29"/>
      </c>
      <c r="AP410" s="2">
        <f t="shared" si="30"/>
      </c>
      <c r="AQ410" s="2">
        <f t="shared" si="31"/>
      </c>
    </row>
    <row r="411">
      <c r="A411" s="43">
        <f t="shared" si="3"/>
      </c>
      <c r="B411" s="44" t="n"/>
      <c r="C411" s="45" t="n"/>
      <c r="D411" s="46" t="n"/>
      <c r="E411" s="47" t="n"/>
      <c r="F411" s="47" t="n"/>
      <c r="G411" s="48">
        <f t="shared" si="4"/>
      </c>
      <c r="H411" s="43">
        <f t="shared" si="0"/>
      </c>
      <c r="I411" s="43">
        <f t="shared" si="5"/>
      </c>
      <c r="J411" s="43">
        <f t="shared" si="1"/>
      </c>
      <c r="K411" s="49">
        <f t="shared" si="2"/>
      </c>
      <c r="L411" s="45" t="n"/>
      <c r="M411" s="45" t="n"/>
      <c r="N411" s="45" t="n"/>
      <c r="O411" s="45" t="n"/>
      <c r="P411" s="50" t="n"/>
      <c r="R411" s="2">
        <f t="shared" si="6"/>
        <v>0</v>
      </c>
      <c r="S411" s="2">
        <f t="shared" si="7"/>
      </c>
      <c r="T411" s="2">
        <f t="shared" si="8"/>
      </c>
      <c r="U411" s="2">
        <f t="shared" si="9"/>
      </c>
      <c r="V411" s="2">
        <f t="shared" si="10"/>
      </c>
      <c r="W411" s="2">
        <f t="shared" si="11"/>
      </c>
      <c r="X411" s="2">
        <f t="shared" si="12"/>
      </c>
      <c r="Y411" s="2">
        <f t="shared" si="13"/>
        <v>0</v>
      </c>
      <c r="Z411" s="2">
        <f t="shared" si="14"/>
      </c>
      <c r="AA411" s="2">
        <f t="shared" si="15"/>
        <v>0</v>
      </c>
      <c r="AB411" s="2">
        <f t="shared" si="16"/>
      </c>
      <c r="AC411" s="2">
        <f t="shared" si="17"/>
      </c>
      <c r="AD411" s="2">
        <f t="shared" si="18"/>
      </c>
      <c r="AE411" s="2">
        <f t="shared" si="19"/>
      </c>
      <c r="AF411" s="2">
        <f t="shared" si="20"/>
      </c>
      <c r="AG411" s="2">
        <f t="shared" si="21"/>
      </c>
      <c r="AH411" s="2">
        <f t="shared" si="22"/>
      </c>
      <c r="AI411" s="2">
        <f t="shared" si="23"/>
      </c>
      <c r="AJ411" s="2">
        <f t="shared" si="24"/>
        <v>0</v>
      </c>
      <c r="AK411" s="2">
        <f t="shared" si="25"/>
        <v>0</v>
      </c>
      <c r="AL411" s="2">
        <f t="shared" si="26"/>
        <v>0</v>
      </c>
      <c r="AM411" s="2">
        <f t="shared" si="27"/>
        <v>0</v>
      </c>
      <c r="AN411" s="2">
        <f t="shared" si="28"/>
        <v>0</v>
      </c>
      <c r="AO411" s="2">
        <f t="shared" si="29"/>
      </c>
      <c r="AP411" s="2">
        <f t="shared" si="30"/>
      </c>
      <c r="AQ411" s="2">
        <f t="shared" si="31"/>
      </c>
    </row>
    <row r="412">
      <c r="A412" s="43">
        <f t="shared" si="3"/>
      </c>
      <c r="B412" s="44" t="n"/>
      <c r="C412" s="45" t="n"/>
      <c r="D412" s="46" t="n"/>
      <c r="E412" s="47" t="n"/>
      <c r="F412" s="47" t="n"/>
      <c r="G412" s="48">
        <f t="shared" si="4"/>
      </c>
      <c r="H412" s="43">
        <f t="shared" si="0"/>
      </c>
      <c r="I412" s="43">
        <f t="shared" si="5"/>
      </c>
      <c r="J412" s="43">
        <f t="shared" si="1"/>
      </c>
      <c r="K412" s="49">
        <f t="shared" si="2"/>
      </c>
      <c r="L412" s="45" t="n"/>
      <c r="M412" s="45" t="n"/>
      <c r="N412" s="45" t="n"/>
      <c r="O412" s="45" t="n"/>
      <c r="P412" s="50" t="n"/>
      <c r="R412" s="2">
        <f t="shared" si="6"/>
        <v>0</v>
      </c>
      <c r="S412" s="2">
        <f t="shared" si="7"/>
      </c>
      <c r="T412" s="2">
        <f t="shared" si="8"/>
      </c>
      <c r="U412" s="2">
        <f t="shared" si="9"/>
      </c>
      <c r="V412" s="2">
        <f t="shared" si="10"/>
      </c>
      <c r="W412" s="2">
        <f t="shared" si="11"/>
      </c>
      <c r="X412" s="2">
        <f t="shared" si="12"/>
      </c>
      <c r="Y412" s="2">
        <f t="shared" si="13"/>
        <v>0</v>
      </c>
      <c r="Z412" s="2">
        <f t="shared" si="14"/>
      </c>
      <c r="AA412" s="2">
        <f t="shared" si="15"/>
        <v>0</v>
      </c>
      <c r="AB412" s="2">
        <f t="shared" si="16"/>
      </c>
      <c r="AC412" s="2">
        <f t="shared" si="17"/>
      </c>
      <c r="AD412" s="2">
        <f t="shared" si="18"/>
      </c>
      <c r="AE412" s="2">
        <f t="shared" si="19"/>
      </c>
      <c r="AF412" s="2">
        <f t="shared" si="20"/>
      </c>
      <c r="AG412" s="2">
        <f t="shared" si="21"/>
      </c>
      <c r="AH412" s="2">
        <f t="shared" si="22"/>
      </c>
      <c r="AI412" s="2">
        <f t="shared" si="23"/>
      </c>
      <c r="AJ412" s="2">
        <f t="shared" si="24"/>
        <v>0</v>
      </c>
      <c r="AK412" s="2">
        <f t="shared" si="25"/>
        <v>0</v>
      </c>
      <c r="AL412" s="2">
        <f t="shared" si="26"/>
        <v>0</v>
      </c>
      <c r="AM412" s="2">
        <f t="shared" si="27"/>
        <v>0</v>
      </c>
      <c r="AN412" s="2">
        <f t="shared" si="28"/>
        <v>0</v>
      </c>
      <c r="AO412" s="2">
        <f t="shared" si="29"/>
      </c>
      <c r="AP412" s="2">
        <f t="shared" si="30"/>
      </c>
      <c r="AQ412" s="2">
        <f t="shared" si="31"/>
      </c>
    </row>
    <row r="413">
      <c r="A413" s="43">
        <f t="shared" si="3"/>
      </c>
      <c r="B413" s="44" t="n"/>
      <c r="C413" s="45" t="n"/>
      <c r="D413" s="46" t="n"/>
      <c r="E413" s="47" t="n"/>
      <c r="F413" s="47" t="n"/>
      <c r="G413" s="48">
        <f t="shared" si="4"/>
      </c>
      <c r="H413" s="43">
        <f t="shared" si="0"/>
      </c>
      <c r="I413" s="43">
        <f t="shared" si="5"/>
      </c>
      <c r="J413" s="43">
        <f t="shared" si="1"/>
      </c>
      <c r="K413" s="49">
        <f t="shared" si="2"/>
      </c>
      <c r="L413" s="45" t="n"/>
      <c r="M413" s="45" t="n"/>
      <c r="N413" s="45" t="n"/>
      <c r="O413" s="45" t="n"/>
      <c r="P413" s="50" t="n"/>
      <c r="R413" s="2">
        <f t="shared" si="6"/>
        <v>0</v>
      </c>
      <c r="S413" s="2">
        <f t="shared" si="7"/>
      </c>
      <c r="T413" s="2">
        <f t="shared" si="8"/>
      </c>
      <c r="U413" s="2">
        <f t="shared" si="9"/>
      </c>
      <c r="V413" s="2">
        <f t="shared" si="10"/>
      </c>
      <c r="W413" s="2">
        <f t="shared" si="11"/>
      </c>
      <c r="X413" s="2">
        <f t="shared" si="12"/>
      </c>
      <c r="Y413" s="2">
        <f t="shared" si="13"/>
        <v>0</v>
      </c>
      <c r="Z413" s="2">
        <f t="shared" si="14"/>
      </c>
      <c r="AA413" s="2">
        <f t="shared" si="15"/>
        <v>0</v>
      </c>
      <c r="AB413" s="2">
        <f t="shared" si="16"/>
      </c>
      <c r="AC413" s="2">
        <f t="shared" si="17"/>
      </c>
      <c r="AD413" s="2">
        <f t="shared" si="18"/>
      </c>
      <c r="AE413" s="2">
        <f t="shared" si="19"/>
      </c>
      <c r="AF413" s="2">
        <f t="shared" si="20"/>
      </c>
      <c r="AG413" s="2">
        <f t="shared" si="21"/>
      </c>
      <c r="AH413" s="2">
        <f t="shared" si="22"/>
      </c>
      <c r="AI413" s="2">
        <f t="shared" si="23"/>
      </c>
      <c r="AJ413" s="2">
        <f t="shared" si="24"/>
        <v>0</v>
      </c>
      <c r="AK413" s="2">
        <f t="shared" si="25"/>
        <v>0</v>
      </c>
      <c r="AL413" s="2">
        <f t="shared" si="26"/>
        <v>0</v>
      </c>
      <c r="AM413" s="2">
        <f t="shared" si="27"/>
        <v>0</v>
      </c>
      <c r="AN413" s="2">
        <f t="shared" si="28"/>
        <v>0</v>
      </c>
      <c r="AO413" s="2">
        <f t="shared" si="29"/>
      </c>
      <c r="AP413" s="2">
        <f t="shared" si="30"/>
      </c>
      <c r="AQ413" s="2">
        <f t="shared" si="31"/>
      </c>
    </row>
    <row r="414">
      <c r="A414" s="43">
        <f t="shared" si="3"/>
      </c>
      <c r="B414" s="44" t="n"/>
      <c r="C414" s="45" t="n"/>
      <c r="D414" s="46" t="n"/>
      <c r="E414" s="47" t="n"/>
      <c r="F414" s="47" t="n"/>
      <c r="G414" s="48">
        <f t="shared" si="4"/>
      </c>
      <c r="H414" s="43">
        <f t="shared" si="0"/>
      </c>
      <c r="I414" s="43">
        <f t="shared" si="5"/>
      </c>
      <c r="J414" s="43">
        <f t="shared" si="1"/>
      </c>
      <c r="K414" s="49">
        <f t="shared" si="2"/>
      </c>
      <c r="L414" s="45" t="n"/>
      <c r="M414" s="45" t="n"/>
      <c r="N414" s="45" t="n"/>
      <c r="O414" s="45" t="n"/>
      <c r="P414" s="50" t="n"/>
      <c r="R414" s="2">
        <f t="shared" si="6"/>
        <v>0</v>
      </c>
      <c r="S414" s="2">
        <f t="shared" si="7"/>
      </c>
      <c r="T414" s="2">
        <f t="shared" si="8"/>
      </c>
      <c r="U414" s="2">
        <f t="shared" si="9"/>
      </c>
      <c r="V414" s="2">
        <f t="shared" si="10"/>
      </c>
      <c r="W414" s="2">
        <f t="shared" si="11"/>
      </c>
      <c r="X414" s="2">
        <f t="shared" si="12"/>
      </c>
      <c r="Y414" s="2">
        <f t="shared" si="13"/>
        <v>0</v>
      </c>
      <c r="Z414" s="2">
        <f t="shared" si="14"/>
      </c>
      <c r="AA414" s="2">
        <f t="shared" si="15"/>
        <v>0</v>
      </c>
      <c r="AB414" s="2">
        <f t="shared" si="16"/>
      </c>
      <c r="AC414" s="2">
        <f t="shared" si="17"/>
      </c>
      <c r="AD414" s="2">
        <f t="shared" si="18"/>
      </c>
      <c r="AE414" s="2">
        <f t="shared" si="19"/>
      </c>
      <c r="AF414" s="2">
        <f t="shared" si="20"/>
      </c>
      <c r="AG414" s="2">
        <f t="shared" si="21"/>
      </c>
      <c r="AH414" s="2">
        <f t="shared" si="22"/>
      </c>
      <c r="AI414" s="2">
        <f t="shared" si="23"/>
      </c>
      <c r="AJ414" s="2">
        <f t="shared" si="24"/>
        <v>0</v>
      </c>
      <c r="AK414" s="2">
        <f t="shared" si="25"/>
        <v>0</v>
      </c>
      <c r="AL414" s="2">
        <f t="shared" si="26"/>
        <v>0</v>
      </c>
      <c r="AM414" s="2">
        <f t="shared" si="27"/>
        <v>0</v>
      </c>
      <c r="AN414" s="2">
        <f t="shared" si="28"/>
        <v>0</v>
      </c>
      <c r="AO414" s="2">
        <f t="shared" si="29"/>
      </c>
      <c r="AP414" s="2">
        <f t="shared" si="30"/>
      </c>
      <c r="AQ414" s="2">
        <f t="shared" si="31"/>
      </c>
    </row>
    <row r="415">
      <c r="A415" s="43">
        <f t="shared" si="3"/>
      </c>
      <c r="B415" s="44" t="n"/>
      <c r="C415" s="45" t="n"/>
      <c r="D415" s="46" t="n"/>
      <c r="E415" s="47" t="n"/>
      <c r="F415" s="47" t="n"/>
      <c r="G415" s="48">
        <f t="shared" si="4"/>
      </c>
      <c r="H415" s="43">
        <f t="shared" si="0"/>
      </c>
      <c r="I415" s="43">
        <f t="shared" si="5"/>
      </c>
      <c r="J415" s="43">
        <f t="shared" si="1"/>
      </c>
      <c r="K415" s="49">
        <f t="shared" si="2"/>
      </c>
      <c r="L415" s="45" t="n"/>
      <c r="M415" s="45" t="n"/>
      <c r="N415" s="45" t="n"/>
      <c r="O415" s="45" t="n"/>
      <c r="P415" s="50" t="n"/>
      <c r="R415" s="2">
        <f t="shared" si="6"/>
        <v>0</v>
      </c>
      <c r="S415" s="2">
        <f t="shared" si="7"/>
      </c>
      <c r="T415" s="2">
        <f t="shared" si="8"/>
      </c>
      <c r="U415" s="2">
        <f t="shared" si="9"/>
      </c>
      <c r="V415" s="2">
        <f t="shared" si="10"/>
      </c>
      <c r="W415" s="2">
        <f t="shared" si="11"/>
      </c>
      <c r="X415" s="2">
        <f t="shared" si="12"/>
      </c>
      <c r="Y415" s="2">
        <f t="shared" si="13"/>
        <v>0</v>
      </c>
      <c r="Z415" s="2">
        <f t="shared" si="14"/>
      </c>
      <c r="AA415" s="2">
        <f t="shared" si="15"/>
        <v>0</v>
      </c>
      <c r="AB415" s="2">
        <f t="shared" si="16"/>
      </c>
      <c r="AC415" s="2">
        <f t="shared" si="17"/>
      </c>
      <c r="AD415" s="2">
        <f t="shared" si="18"/>
      </c>
      <c r="AE415" s="2">
        <f t="shared" si="19"/>
      </c>
      <c r="AF415" s="2">
        <f t="shared" si="20"/>
      </c>
      <c r="AG415" s="2">
        <f t="shared" si="21"/>
      </c>
      <c r="AH415" s="2">
        <f t="shared" si="22"/>
      </c>
      <c r="AI415" s="2">
        <f t="shared" si="23"/>
      </c>
      <c r="AJ415" s="2">
        <f t="shared" si="24"/>
        <v>0</v>
      </c>
      <c r="AK415" s="2">
        <f t="shared" si="25"/>
        <v>0</v>
      </c>
      <c r="AL415" s="2">
        <f t="shared" si="26"/>
        <v>0</v>
      </c>
      <c r="AM415" s="2">
        <f t="shared" si="27"/>
        <v>0</v>
      </c>
      <c r="AN415" s="2">
        <f t="shared" si="28"/>
        <v>0</v>
      </c>
      <c r="AO415" s="2">
        <f t="shared" si="29"/>
      </c>
      <c r="AP415" s="2">
        <f t="shared" si="30"/>
      </c>
      <c r="AQ415" s="2">
        <f t="shared" si="31"/>
      </c>
    </row>
    <row r="416">
      <c r="A416" s="43">
        <f t="shared" si="3"/>
      </c>
      <c r="B416" s="44" t="n"/>
      <c r="C416" s="45" t="n"/>
      <c r="D416" s="46" t="n"/>
      <c r="E416" s="47" t="n"/>
      <c r="F416" s="47" t="n"/>
      <c r="G416" s="48">
        <f t="shared" si="4"/>
      </c>
      <c r="H416" s="43">
        <f t="shared" si="0"/>
      </c>
      <c r="I416" s="43">
        <f t="shared" si="5"/>
      </c>
      <c r="J416" s="43">
        <f t="shared" si="1"/>
      </c>
      <c r="K416" s="49">
        <f t="shared" si="2"/>
      </c>
      <c r="L416" s="45" t="n"/>
      <c r="M416" s="45" t="n"/>
      <c r="N416" s="45" t="n"/>
      <c r="O416" s="45" t="n"/>
      <c r="P416" s="50" t="n"/>
      <c r="R416" s="2">
        <f t="shared" si="6"/>
        <v>0</v>
      </c>
      <c r="S416" s="2">
        <f t="shared" si="7"/>
      </c>
      <c r="T416" s="2">
        <f t="shared" si="8"/>
      </c>
      <c r="U416" s="2">
        <f t="shared" si="9"/>
      </c>
      <c r="V416" s="2">
        <f t="shared" si="10"/>
      </c>
      <c r="W416" s="2">
        <f t="shared" si="11"/>
      </c>
      <c r="X416" s="2">
        <f t="shared" si="12"/>
      </c>
      <c r="Y416" s="2">
        <f t="shared" si="13"/>
        <v>0</v>
      </c>
      <c r="Z416" s="2">
        <f t="shared" si="14"/>
      </c>
      <c r="AA416" s="2">
        <f t="shared" si="15"/>
        <v>0</v>
      </c>
      <c r="AB416" s="2">
        <f t="shared" si="16"/>
      </c>
      <c r="AC416" s="2">
        <f t="shared" si="17"/>
      </c>
      <c r="AD416" s="2">
        <f t="shared" si="18"/>
      </c>
      <c r="AE416" s="2">
        <f t="shared" si="19"/>
      </c>
      <c r="AF416" s="2">
        <f t="shared" si="20"/>
      </c>
      <c r="AG416" s="2">
        <f t="shared" si="21"/>
      </c>
      <c r="AH416" s="2">
        <f t="shared" si="22"/>
      </c>
      <c r="AI416" s="2">
        <f t="shared" si="23"/>
      </c>
      <c r="AJ416" s="2">
        <f t="shared" si="24"/>
        <v>0</v>
      </c>
      <c r="AK416" s="2">
        <f t="shared" si="25"/>
        <v>0</v>
      </c>
      <c r="AL416" s="2">
        <f t="shared" si="26"/>
        <v>0</v>
      </c>
      <c r="AM416" s="2">
        <f t="shared" si="27"/>
        <v>0</v>
      </c>
      <c r="AN416" s="2">
        <f t="shared" si="28"/>
        <v>0</v>
      </c>
      <c r="AO416" s="2">
        <f t="shared" si="29"/>
      </c>
      <c r="AP416" s="2">
        <f t="shared" si="30"/>
      </c>
      <c r="AQ416" s="2">
        <f t="shared" si="31"/>
      </c>
    </row>
    <row r="417">
      <c r="A417" s="43">
        <f t="shared" si="3"/>
      </c>
      <c r="B417" s="44" t="n"/>
      <c r="C417" s="45" t="n"/>
      <c r="D417" s="46" t="n"/>
      <c r="E417" s="47" t="n"/>
      <c r="F417" s="47" t="n"/>
      <c r="G417" s="48">
        <f t="shared" si="4"/>
      </c>
      <c r="H417" s="43">
        <f t="shared" si="0"/>
      </c>
      <c r="I417" s="43">
        <f t="shared" si="5"/>
      </c>
      <c r="J417" s="43">
        <f t="shared" si="1"/>
      </c>
      <c r="K417" s="49">
        <f t="shared" si="2"/>
      </c>
      <c r="L417" s="45" t="n"/>
      <c r="M417" s="45" t="n"/>
      <c r="N417" s="45" t="n"/>
      <c r="O417" s="45" t="n"/>
      <c r="P417" s="50" t="n"/>
      <c r="R417" s="2">
        <f t="shared" si="6"/>
        <v>0</v>
      </c>
      <c r="S417" s="2">
        <f t="shared" si="7"/>
      </c>
      <c r="T417" s="2">
        <f t="shared" si="8"/>
      </c>
      <c r="U417" s="2">
        <f t="shared" si="9"/>
      </c>
      <c r="V417" s="2">
        <f t="shared" si="10"/>
      </c>
      <c r="W417" s="2">
        <f t="shared" si="11"/>
      </c>
      <c r="X417" s="2">
        <f t="shared" si="12"/>
      </c>
      <c r="Y417" s="2">
        <f t="shared" si="13"/>
        <v>0</v>
      </c>
      <c r="Z417" s="2">
        <f t="shared" si="14"/>
      </c>
      <c r="AA417" s="2">
        <f t="shared" si="15"/>
        <v>0</v>
      </c>
      <c r="AB417" s="2">
        <f t="shared" si="16"/>
      </c>
      <c r="AC417" s="2">
        <f t="shared" si="17"/>
      </c>
      <c r="AD417" s="2">
        <f t="shared" si="18"/>
      </c>
      <c r="AE417" s="2">
        <f t="shared" si="19"/>
      </c>
      <c r="AF417" s="2">
        <f t="shared" si="20"/>
      </c>
      <c r="AG417" s="2">
        <f t="shared" si="21"/>
      </c>
      <c r="AH417" s="2">
        <f t="shared" si="22"/>
      </c>
      <c r="AI417" s="2">
        <f t="shared" si="23"/>
      </c>
      <c r="AJ417" s="2">
        <f t="shared" si="24"/>
        <v>0</v>
      </c>
      <c r="AK417" s="2">
        <f t="shared" si="25"/>
        <v>0</v>
      </c>
      <c r="AL417" s="2">
        <f t="shared" si="26"/>
        <v>0</v>
      </c>
      <c r="AM417" s="2">
        <f t="shared" si="27"/>
        <v>0</v>
      </c>
      <c r="AN417" s="2">
        <f t="shared" si="28"/>
        <v>0</v>
      </c>
      <c r="AO417" s="2">
        <f t="shared" si="29"/>
      </c>
      <c r="AP417" s="2">
        <f t="shared" si="30"/>
      </c>
      <c r="AQ417" s="2">
        <f t="shared" si="31"/>
      </c>
    </row>
    <row r="418">
      <c r="A418" s="43">
        <f t="shared" si="3"/>
      </c>
      <c r="B418" s="44" t="n"/>
      <c r="C418" s="45" t="n"/>
      <c r="D418" s="46" t="n"/>
      <c r="E418" s="47" t="n"/>
      <c r="F418" s="47" t="n"/>
      <c r="G418" s="48">
        <f t="shared" si="4"/>
      </c>
      <c r="H418" s="43">
        <f t="shared" si="0"/>
      </c>
      <c r="I418" s="43">
        <f t="shared" si="5"/>
      </c>
      <c r="J418" s="43">
        <f t="shared" si="1"/>
      </c>
      <c r="K418" s="49">
        <f t="shared" si="2"/>
      </c>
      <c r="L418" s="45" t="n"/>
      <c r="M418" s="45" t="n"/>
      <c r="N418" s="45" t="n"/>
      <c r="O418" s="45" t="n"/>
      <c r="P418" s="50" t="n"/>
      <c r="R418" s="2">
        <f t="shared" si="6"/>
        <v>0</v>
      </c>
      <c r="S418" s="2">
        <f t="shared" si="7"/>
      </c>
      <c r="T418" s="2">
        <f t="shared" si="8"/>
      </c>
      <c r="U418" s="2">
        <f t="shared" si="9"/>
      </c>
      <c r="V418" s="2">
        <f t="shared" si="10"/>
      </c>
      <c r="W418" s="2">
        <f t="shared" si="11"/>
      </c>
      <c r="X418" s="2">
        <f t="shared" si="12"/>
      </c>
      <c r="Y418" s="2">
        <f t="shared" si="13"/>
        <v>0</v>
      </c>
      <c r="Z418" s="2">
        <f t="shared" si="14"/>
      </c>
      <c r="AA418" s="2">
        <f t="shared" si="15"/>
        <v>0</v>
      </c>
      <c r="AB418" s="2">
        <f t="shared" si="16"/>
      </c>
      <c r="AC418" s="2">
        <f t="shared" si="17"/>
      </c>
      <c r="AD418" s="2">
        <f t="shared" si="18"/>
      </c>
      <c r="AE418" s="2">
        <f t="shared" si="19"/>
      </c>
      <c r="AF418" s="2">
        <f t="shared" si="20"/>
      </c>
      <c r="AG418" s="2">
        <f t="shared" si="21"/>
      </c>
      <c r="AH418" s="2">
        <f t="shared" si="22"/>
      </c>
      <c r="AI418" s="2">
        <f t="shared" si="23"/>
      </c>
      <c r="AJ418" s="2">
        <f t="shared" si="24"/>
        <v>0</v>
      </c>
      <c r="AK418" s="2">
        <f t="shared" si="25"/>
        <v>0</v>
      </c>
      <c r="AL418" s="2">
        <f t="shared" si="26"/>
        <v>0</v>
      </c>
      <c r="AM418" s="2">
        <f t="shared" si="27"/>
        <v>0</v>
      </c>
      <c r="AN418" s="2">
        <f t="shared" si="28"/>
        <v>0</v>
      </c>
      <c r="AO418" s="2">
        <f t="shared" si="29"/>
      </c>
      <c r="AP418" s="2">
        <f t="shared" si="30"/>
      </c>
      <c r="AQ418" s="2">
        <f t="shared" si="31"/>
      </c>
    </row>
    <row r="419">
      <c r="A419" s="43">
        <f t="shared" si="3"/>
      </c>
      <c r="B419" s="44" t="n"/>
      <c r="C419" s="45" t="n"/>
      <c r="D419" s="46" t="n"/>
      <c r="E419" s="47" t="n"/>
      <c r="F419" s="47" t="n"/>
      <c r="G419" s="48">
        <f t="shared" si="4"/>
      </c>
      <c r="H419" s="43">
        <f t="shared" si="0"/>
      </c>
      <c r="I419" s="43">
        <f t="shared" si="5"/>
      </c>
      <c r="J419" s="43">
        <f t="shared" si="1"/>
      </c>
      <c r="K419" s="49">
        <f t="shared" si="2"/>
      </c>
      <c r="L419" s="45" t="n"/>
      <c r="M419" s="45" t="n"/>
      <c r="N419" s="45" t="n"/>
      <c r="O419" s="45" t="n"/>
      <c r="P419" s="50" t="n"/>
      <c r="R419" s="2">
        <f t="shared" si="6"/>
        <v>0</v>
      </c>
      <c r="S419" s="2">
        <f t="shared" si="7"/>
      </c>
      <c r="T419" s="2">
        <f t="shared" si="8"/>
      </c>
      <c r="U419" s="2">
        <f t="shared" si="9"/>
      </c>
      <c r="V419" s="2">
        <f t="shared" si="10"/>
      </c>
      <c r="W419" s="2">
        <f t="shared" si="11"/>
      </c>
      <c r="X419" s="2">
        <f t="shared" si="12"/>
      </c>
      <c r="Y419" s="2">
        <f t="shared" si="13"/>
        <v>0</v>
      </c>
      <c r="Z419" s="2">
        <f t="shared" si="14"/>
      </c>
      <c r="AA419" s="2">
        <f t="shared" si="15"/>
        <v>0</v>
      </c>
      <c r="AB419" s="2">
        <f t="shared" si="16"/>
      </c>
      <c r="AC419" s="2">
        <f t="shared" si="17"/>
      </c>
      <c r="AD419" s="2">
        <f t="shared" si="18"/>
      </c>
      <c r="AE419" s="2">
        <f t="shared" si="19"/>
      </c>
      <c r="AF419" s="2">
        <f t="shared" si="20"/>
      </c>
      <c r="AG419" s="2">
        <f t="shared" si="21"/>
      </c>
      <c r="AH419" s="2">
        <f t="shared" si="22"/>
      </c>
      <c r="AI419" s="2">
        <f t="shared" si="23"/>
      </c>
      <c r="AJ419" s="2">
        <f t="shared" si="24"/>
        <v>0</v>
      </c>
      <c r="AK419" s="2">
        <f t="shared" si="25"/>
        <v>0</v>
      </c>
      <c r="AL419" s="2">
        <f t="shared" si="26"/>
        <v>0</v>
      </c>
      <c r="AM419" s="2">
        <f t="shared" si="27"/>
        <v>0</v>
      </c>
      <c r="AN419" s="2">
        <f t="shared" si="28"/>
        <v>0</v>
      </c>
      <c r="AO419" s="2">
        <f t="shared" si="29"/>
      </c>
      <c r="AP419" s="2">
        <f t="shared" si="30"/>
      </c>
      <c r="AQ419" s="2">
        <f t="shared" si="31"/>
      </c>
    </row>
    <row r="420">
      <c r="A420" s="43">
        <f t="shared" si="3"/>
      </c>
      <c r="B420" s="44" t="n"/>
      <c r="C420" s="45" t="n"/>
      <c r="D420" s="46" t="n"/>
      <c r="E420" s="47" t="n"/>
      <c r="F420" s="47" t="n"/>
      <c r="G420" s="48">
        <f t="shared" si="4"/>
      </c>
      <c r="H420" s="43">
        <f t="shared" si="0"/>
      </c>
      <c r="I420" s="43">
        <f t="shared" si="5"/>
      </c>
      <c r="J420" s="43">
        <f t="shared" si="1"/>
      </c>
      <c r="K420" s="49">
        <f t="shared" si="2"/>
      </c>
      <c r="L420" s="45" t="n"/>
      <c r="M420" s="45" t="n"/>
      <c r="N420" s="45" t="n"/>
      <c r="O420" s="45" t="n"/>
      <c r="P420" s="50" t="n"/>
      <c r="R420" s="2">
        <f t="shared" si="6"/>
        <v>0</v>
      </c>
      <c r="S420" s="2">
        <f t="shared" si="7"/>
      </c>
      <c r="T420" s="2">
        <f t="shared" si="8"/>
      </c>
      <c r="U420" s="2">
        <f t="shared" si="9"/>
      </c>
      <c r="V420" s="2">
        <f t="shared" si="10"/>
      </c>
      <c r="W420" s="2">
        <f t="shared" si="11"/>
      </c>
      <c r="X420" s="2">
        <f t="shared" si="12"/>
      </c>
      <c r="Y420" s="2">
        <f t="shared" si="13"/>
        <v>0</v>
      </c>
      <c r="Z420" s="2">
        <f t="shared" si="14"/>
      </c>
      <c r="AA420" s="2">
        <f t="shared" si="15"/>
        <v>0</v>
      </c>
      <c r="AB420" s="2">
        <f t="shared" si="16"/>
      </c>
      <c r="AC420" s="2">
        <f t="shared" si="17"/>
      </c>
      <c r="AD420" s="2">
        <f t="shared" si="18"/>
      </c>
      <c r="AE420" s="2">
        <f t="shared" si="19"/>
      </c>
      <c r="AF420" s="2">
        <f t="shared" si="20"/>
      </c>
      <c r="AG420" s="2">
        <f t="shared" si="21"/>
      </c>
      <c r="AH420" s="2">
        <f t="shared" si="22"/>
      </c>
      <c r="AI420" s="2">
        <f t="shared" si="23"/>
      </c>
      <c r="AJ420" s="2">
        <f t="shared" si="24"/>
        <v>0</v>
      </c>
      <c r="AK420" s="2">
        <f t="shared" si="25"/>
        <v>0</v>
      </c>
      <c r="AL420" s="2">
        <f t="shared" si="26"/>
        <v>0</v>
      </c>
      <c r="AM420" s="2">
        <f t="shared" si="27"/>
        <v>0</v>
      </c>
      <c r="AN420" s="2">
        <f t="shared" si="28"/>
        <v>0</v>
      </c>
      <c r="AO420" s="2">
        <f t="shared" si="29"/>
      </c>
      <c r="AP420" s="2">
        <f t="shared" si="30"/>
      </c>
      <c r="AQ420" s="2">
        <f t="shared" si="31"/>
      </c>
    </row>
    <row r="421">
      <c r="A421" s="43">
        <f t="shared" si="3"/>
      </c>
      <c r="B421" s="44" t="n"/>
      <c r="C421" s="45" t="n"/>
      <c r="D421" s="46" t="n"/>
      <c r="E421" s="47" t="n"/>
      <c r="F421" s="47" t="n"/>
      <c r="G421" s="48">
        <f t="shared" si="4"/>
      </c>
      <c r="H421" s="43">
        <f t="shared" si="0"/>
      </c>
      <c r="I421" s="43">
        <f t="shared" si="5"/>
      </c>
      <c r="J421" s="43">
        <f t="shared" si="1"/>
      </c>
      <c r="K421" s="49">
        <f t="shared" si="2"/>
      </c>
      <c r="L421" s="45" t="n"/>
      <c r="M421" s="45" t="n"/>
      <c r="N421" s="45" t="n"/>
      <c r="O421" s="45" t="n"/>
      <c r="P421" s="50" t="n"/>
      <c r="R421" s="2">
        <f t="shared" si="6"/>
        <v>0</v>
      </c>
      <c r="S421" s="2">
        <f t="shared" si="7"/>
      </c>
      <c r="T421" s="2">
        <f t="shared" si="8"/>
      </c>
      <c r="U421" s="2">
        <f t="shared" si="9"/>
      </c>
      <c r="V421" s="2">
        <f t="shared" si="10"/>
      </c>
      <c r="W421" s="2">
        <f t="shared" si="11"/>
      </c>
      <c r="X421" s="2">
        <f t="shared" si="12"/>
      </c>
      <c r="Y421" s="2">
        <f t="shared" si="13"/>
        <v>0</v>
      </c>
      <c r="Z421" s="2">
        <f t="shared" si="14"/>
      </c>
      <c r="AA421" s="2">
        <f t="shared" si="15"/>
        <v>0</v>
      </c>
      <c r="AB421" s="2">
        <f t="shared" si="16"/>
      </c>
      <c r="AC421" s="2">
        <f t="shared" si="17"/>
      </c>
      <c r="AD421" s="2">
        <f t="shared" si="18"/>
      </c>
      <c r="AE421" s="2">
        <f t="shared" si="19"/>
      </c>
      <c r="AF421" s="2">
        <f t="shared" si="20"/>
      </c>
      <c r="AG421" s="2">
        <f t="shared" si="21"/>
      </c>
      <c r="AH421" s="2">
        <f t="shared" si="22"/>
      </c>
      <c r="AI421" s="2">
        <f t="shared" si="23"/>
      </c>
      <c r="AJ421" s="2">
        <f t="shared" si="24"/>
        <v>0</v>
      </c>
      <c r="AK421" s="2">
        <f t="shared" si="25"/>
        <v>0</v>
      </c>
      <c r="AL421" s="2">
        <f t="shared" si="26"/>
        <v>0</v>
      </c>
      <c r="AM421" s="2">
        <f t="shared" si="27"/>
        <v>0</v>
      </c>
      <c r="AN421" s="2">
        <f t="shared" si="28"/>
        <v>0</v>
      </c>
      <c r="AO421" s="2">
        <f t="shared" si="29"/>
      </c>
      <c r="AP421" s="2">
        <f t="shared" si="30"/>
      </c>
      <c r="AQ421" s="2">
        <f t="shared" si="31"/>
      </c>
    </row>
    <row r="422">
      <c r="A422" s="43">
        <f t="shared" si="3"/>
      </c>
      <c r="B422" s="44" t="n"/>
      <c r="C422" s="45" t="n"/>
      <c r="D422" s="46" t="n"/>
      <c r="E422" s="47" t="n"/>
      <c r="F422" s="47" t="n"/>
      <c r="G422" s="48">
        <f t="shared" si="4"/>
      </c>
      <c r="H422" s="43">
        <f t="shared" si="0"/>
      </c>
      <c r="I422" s="43">
        <f t="shared" si="5"/>
      </c>
      <c r="J422" s="43">
        <f t="shared" si="1"/>
      </c>
      <c r="K422" s="49">
        <f t="shared" si="2"/>
      </c>
      <c r="L422" s="45" t="n"/>
      <c r="M422" s="45" t="n"/>
      <c r="N422" s="45" t="n"/>
      <c r="O422" s="45" t="n"/>
      <c r="P422" s="50" t="n"/>
      <c r="R422" s="2">
        <f t="shared" si="6"/>
        <v>0</v>
      </c>
      <c r="S422" s="2">
        <f t="shared" si="7"/>
      </c>
      <c r="T422" s="2">
        <f t="shared" si="8"/>
      </c>
      <c r="U422" s="2">
        <f t="shared" si="9"/>
      </c>
      <c r="V422" s="2">
        <f t="shared" si="10"/>
      </c>
      <c r="W422" s="2">
        <f t="shared" si="11"/>
      </c>
      <c r="X422" s="2">
        <f t="shared" si="12"/>
      </c>
      <c r="Y422" s="2">
        <f t="shared" si="13"/>
        <v>0</v>
      </c>
      <c r="Z422" s="2">
        <f t="shared" si="14"/>
      </c>
      <c r="AA422" s="2">
        <f t="shared" si="15"/>
        <v>0</v>
      </c>
      <c r="AB422" s="2">
        <f t="shared" si="16"/>
      </c>
      <c r="AC422" s="2">
        <f t="shared" si="17"/>
      </c>
      <c r="AD422" s="2">
        <f t="shared" si="18"/>
      </c>
      <c r="AE422" s="2">
        <f t="shared" si="19"/>
      </c>
      <c r="AF422" s="2">
        <f t="shared" si="20"/>
      </c>
      <c r="AG422" s="2">
        <f t="shared" si="21"/>
      </c>
      <c r="AH422" s="2">
        <f t="shared" si="22"/>
      </c>
      <c r="AI422" s="2">
        <f t="shared" si="23"/>
      </c>
      <c r="AJ422" s="2">
        <f t="shared" si="24"/>
        <v>0</v>
      </c>
      <c r="AK422" s="2">
        <f t="shared" si="25"/>
        <v>0</v>
      </c>
      <c r="AL422" s="2">
        <f t="shared" si="26"/>
        <v>0</v>
      </c>
      <c r="AM422" s="2">
        <f t="shared" si="27"/>
        <v>0</v>
      </c>
      <c r="AN422" s="2">
        <f t="shared" si="28"/>
        <v>0</v>
      </c>
      <c r="AO422" s="2">
        <f t="shared" si="29"/>
      </c>
      <c r="AP422" s="2">
        <f t="shared" si="30"/>
      </c>
      <c r="AQ422" s="2">
        <f t="shared" si="31"/>
      </c>
    </row>
    <row r="423">
      <c r="A423" s="43">
        <f t="shared" si="3"/>
      </c>
      <c r="B423" s="44" t="n"/>
      <c r="C423" s="45" t="n"/>
      <c r="D423" s="46" t="n"/>
      <c r="E423" s="47" t="n"/>
      <c r="F423" s="47" t="n"/>
      <c r="G423" s="48">
        <f t="shared" si="4"/>
      </c>
      <c r="H423" s="43">
        <f t="shared" si="0"/>
      </c>
      <c r="I423" s="43">
        <f t="shared" si="5"/>
      </c>
      <c r="J423" s="43">
        <f t="shared" si="1"/>
      </c>
      <c r="K423" s="49">
        <f t="shared" si="2"/>
      </c>
      <c r="L423" s="45" t="n"/>
      <c r="M423" s="45" t="n"/>
      <c r="N423" s="45" t="n"/>
      <c r="O423" s="45" t="n"/>
      <c r="P423" s="50" t="n"/>
      <c r="R423" s="2">
        <f t="shared" si="6"/>
        <v>0</v>
      </c>
      <c r="S423" s="2">
        <f t="shared" si="7"/>
      </c>
      <c r="T423" s="2">
        <f t="shared" si="8"/>
      </c>
      <c r="U423" s="2">
        <f t="shared" si="9"/>
      </c>
      <c r="V423" s="2">
        <f t="shared" si="10"/>
      </c>
      <c r="W423" s="2">
        <f t="shared" si="11"/>
      </c>
      <c r="X423" s="2">
        <f t="shared" si="12"/>
      </c>
      <c r="Y423" s="2">
        <f t="shared" si="13"/>
        <v>0</v>
      </c>
      <c r="Z423" s="2">
        <f t="shared" si="14"/>
      </c>
      <c r="AA423" s="2">
        <f t="shared" si="15"/>
        <v>0</v>
      </c>
      <c r="AB423" s="2">
        <f t="shared" si="16"/>
      </c>
      <c r="AC423" s="2">
        <f t="shared" si="17"/>
      </c>
      <c r="AD423" s="2">
        <f t="shared" si="18"/>
      </c>
      <c r="AE423" s="2">
        <f t="shared" si="19"/>
      </c>
      <c r="AF423" s="2">
        <f t="shared" si="20"/>
      </c>
      <c r="AG423" s="2">
        <f t="shared" si="21"/>
      </c>
      <c r="AH423" s="2">
        <f t="shared" si="22"/>
      </c>
      <c r="AI423" s="2">
        <f t="shared" si="23"/>
      </c>
      <c r="AJ423" s="2">
        <f t="shared" si="24"/>
        <v>0</v>
      </c>
      <c r="AK423" s="2">
        <f t="shared" si="25"/>
        <v>0</v>
      </c>
      <c r="AL423" s="2">
        <f t="shared" si="26"/>
        <v>0</v>
      </c>
      <c r="AM423" s="2">
        <f t="shared" si="27"/>
        <v>0</v>
      </c>
      <c r="AN423" s="2">
        <f t="shared" si="28"/>
        <v>0</v>
      </c>
      <c r="AO423" s="2">
        <f t="shared" si="29"/>
      </c>
      <c r="AP423" s="2">
        <f t="shared" si="30"/>
      </c>
      <c r="AQ423" s="2">
        <f t="shared" si="31"/>
      </c>
    </row>
    <row r="424">
      <c r="A424" s="43">
        <f t="shared" si="3"/>
      </c>
      <c r="B424" s="44" t="n"/>
      <c r="C424" s="45" t="n"/>
      <c r="D424" s="46" t="n"/>
      <c r="E424" s="47" t="n"/>
      <c r="F424" s="47" t="n"/>
      <c r="G424" s="48">
        <f t="shared" si="4"/>
      </c>
      <c r="H424" s="43">
        <f t="shared" si="0"/>
      </c>
      <c r="I424" s="43">
        <f t="shared" si="5"/>
      </c>
      <c r="J424" s="43">
        <f t="shared" si="1"/>
      </c>
      <c r="K424" s="49">
        <f t="shared" si="2"/>
      </c>
      <c r="L424" s="45" t="n"/>
      <c r="M424" s="45" t="n"/>
      <c r="N424" s="45" t="n"/>
      <c r="O424" s="45" t="n"/>
      <c r="P424" s="50" t="n"/>
      <c r="R424" s="2">
        <f t="shared" si="6"/>
        <v>0</v>
      </c>
      <c r="S424" s="2">
        <f t="shared" si="7"/>
      </c>
      <c r="T424" s="2">
        <f t="shared" si="8"/>
      </c>
      <c r="U424" s="2">
        <f t="shared" si="9"/>
      </c>
      <c r="V424" s="2">
        <f t="shared" si="10"/>
      </c>
      <c r="W424" s="2">
        <f t="shared" si="11"/>
      </c>
      <c r="X424" s="2">
        <f t="shared" si="12"/>
      </c>
      <c r="Y424" s="2">
        <f t="shared" si="13"/>
        <v>0</v>
      </c>
      <c r="Z424" s="2">
        <f t="shared" si="14"/>
      </c>
      <c r="AA424" s="2">
        <f t="shared" si="15"/>
        <v>0</v>
      </c>
      <c r="AB424" s="2">
        <f t="shared" si="16"/>
      </c>
      <c r="AC424" s="2">
        <f t="shared" si="17"/>
      </c>
      <c r="AD424" s="2">
        <f t="shared" si="18"/>
      </c>
      <c r="AE424" s="2">
        <f t="shared" si="19"/>
      </c>
      <c r="AF424" s="2">
        <f t="shared" si="20"/>
      </c>
      <c r="AG424" s="2">
        <f t="shared" si="21"/>
      </c>
      <c r="AH424" s="2">
        <f t="shared" si="22"/>
      </c>
      <c r="AI424" s="2">
        <f t="shared" si="23"/>
      </c>
      <c r="AJ424" s="2">
        <f t="shared" si="24"/>
        <v>0</v>
      </c>
      <c r="AK424" s="2">
        <f t="shared" si="25"/>
        <v>0</v>
      </c>
      <c r="AL424" s="2">
        <f t="shared" si="26"/>
        <v>0</v>
      </c>
      <c r="AM424" s="2">
        <f t="shared" si="27"/>
        <v>0</v>
      </c>
      <c r="AN424" s="2">
        <f t="shared" si="28"/>
        <v>0</v>
      </c>
      <c r="AO424" s="2">
        <f t="shared" si="29"/>
      </c>
      <c r="AP424" s="2">
        <f t="shared" si="30"/>
      </c>
      <c r="AQ424" s="2">
        <f t="shared" si="31"/>
      </c>
    </row>
    <row r="425">
      <c r="A425" s="43">
        <f t="shared" si="3"/>
      </c>
      <c r="B425" s="44" t="n"/>
      <c r="C425" s="45" t="n"/>
      <c r="D425" s="46" t="n"/>
      <c r="E425" s="47" t="n"/>
      <c r="F425" s="47" t="n"/>
      <c r="G425" s="48">
        <f t="shared" si="4"/>
      </c>
      <c r="H425" s="43">
        <f t="shared" si="0"/>
      </c>
      <c r="I425" s="43">
        <f t="shared" si="5"/>
      </c>
      <c r="J425" s="43">
        <f t="shared" si="1"/>
      </c>
      <c r="K425" s="49">
        <f t="shared" si="2"/>
      </c>
      <c r="L425" s="45" t="n"/>
      <c r="M425" s="45" t="n"/>
      <c r="N425" s="45" t="n"/>
      <c r="O425" s="45" t="n"/>
      <c r="P425" s="50" t="n"/>
      <c r="R425" s="2">
        <f t="shared" si="6"/>
        <v>0</v>
      </c>
      <c r="S425" s="2">
        <f t="shared" si="7"/>
      </c>
      <c r="T425" s="2">
        <f t="shared" si="8"/>
      </c>
      <c r="U425" s="2">
        <f t="shared" si="9"/>
      </c>
      <c r="V425" s="2">
        <f t="shared" si="10"/>
      </c>
      <c r="W425" s="2">
        <f t="shared" si="11"/>
      </c>
      <c r="X425" s="2">
        <f t="shared" si="12"/>
      </c>
      <c r="Y425" s="2">
        <f t="shared" si="13"/>
        <v>0</v>
      </c>
      <c r="Z425" s="2">
        <f t="shared" si="14"/>
      </c>
      <c r="AA425" s="2">
        <f t="shared" si="15"/>
        <v>0</v>
      </c>
      <c r="AB425" s="2">
        <f t="shared" si="16"/>
      </c>
      <c r="AC425" s="2">
        <f t="shared" si="17"/>
      </c>
      <c r="AD425" s="2">
        <f t="shared" si="18"/>
      </c>
      <c r="AE425" s="2">
        <f t="shared" si="19"/>
      </c>
      <c r="AF425" s="2">
        <f t="shared" si="20"/>
      </c>
      <c r="AG425" s="2">
        <f t="shared" si="21"/>
      </c>
      <c r="AH425" s="2">
        <f t="shared" si="22"/>
      </c>
      <c r="AI425" s="2">
        <f t="shared" si="23"/>
      </c>
      <c r="AJ425" s="2">
        <f t="shared" si="24"/>
        <v>0</v>
      </c>
      <c r="AK425" s="2">
        <f t="shared" si="25"/>
        <v>0</v>
      </c>
      <c r="AL425" s="2">
        <f t="shared" si="26"/>
        <v>0</v>
      </c>
      <c r="AM425" s="2">
        <f t="shared" si="27"/>
        <v>0</v>
      </c>
      <c r="AN425" s="2">
        <f t="shared" si="28"/>
        <v>0</v>
      </c>
      <c r="AO425" s="2">
        <f t="shared" si="29"/>
      </c>
      <c r="AP425" s="2">
        <f t="shared" si="30"/>
      </c>
      <c r="AQ425" s="2">
        <f t="shared" si="31"/>
      </c>
    </row>
    <row r="426">
      <c r="A426" s="43">
        <f t="shared" si="3"/>
      </c>
      <c r="B426" s="44" t="n"/>
      <c r="C426" s="45" t="n"/>
      <c r="D426" s="46" t="n"/>
      <c r="E426" s="47" t="n"/>
      <c r="F426" s="47" t="n"/>
      <c r="G426" s="48">
        <f t="shared" si="4"/>
      </c>
      <c r="H426" s="43">
        <f t="shared" si="0"/>
      </c>
      <c r="I426" s="43">
        <f t="shared" si="5"/>
      </c>
      <c r="J426" s="43">
        <f t="shared" si="1"/>
      </c>
      <c r="K426" s="49">
        <f t="shared" si="2"/>
      </c>
      <c r="L426" s="45" t="n"/>
      <c r="M426" s="45" t="n"/>
      <c r="N426" s="45" t="n"/>
      <c r="O426" s="45" t="n"/>
      <c r="P426" s="50" t="n"/>
      <c r="R426" s="2">
        <f t="shared" si="6"/>
        <v>0</v>
      </c>
      <c r="S426" s="2">
        <f t="shared" si="7"/>
      </c>
      <c r="T426" s="2">
        <f t="shared" si="8"/>
      </c>
      <c r="U426" s="2">
        <f t="shared" si="9"/>
      </c>
      <c r="V426" s="2">
        <f t="shared" si="10"/>
      </c>
      <c r="W426" s="2">
        <f t="shared" si="11"/>
      </c>
      <c r="X426" s="2">
        <f t="shared" si="12"/>
      </c>
      <c r="Y426" s="2">
        <f t="shared" si="13"/>
        <v>0</v>
      </c>
      <c r="Z426" s="2">
        <f t="shared" si="14"/>
      </c>
      <c r="AA426" s="2">
        <f t="shared" si="15"/>
        <v>0</v>
      </c>
      <c r="AB426" s="2">
        <f t="shared" si="16"/>
      </c>
      <c r="AC426" s="2">
        <f t="shared" si="17"/>
      </c>
      <c r="AD426" s="2">
        <f t="shared" si="18"/>
      </c>
      <c r="AE426" s="2">
        <f t="shared" si="19"/>
      </c>
      <c r="AF426" s="2">
        <f t="shared" si="20"/>
      </c>
      <c r="AG426" s="2">
        <f t="shared" si="21"/>
      </c>
      <c r="AH426" s="2">
        <f t="shared" si="22"/>
      </c>
      <c r="AI426" s="2">
        <f t="shared" si="23"/>
      </c>
      <c r="AJ426" s="2">
        <f t="shared" si="24"/>
        <v>0</v>
      </c>
      <c r="AK426" s="2">
        <f t="shared" si="25"/>
        <v>0</v>
      </c>
      <c r="AL426" s="2">
        <f t="shared" si="26"/>
        <v>0</v>
      </c>
      <c r="AM426" s="2">
        <f t="shared" si="27"/>
        <v>0</v>
      </c>
      <c r="AN426" s="2">
        <f t="shared" si="28"/>
        <v>0</v>
      </c>
      <c r="AO426" s="2">
        <f t="shared" si="29"/>
      </c>
      <c r="AP426" s="2">
        <f t="shared" si="30"/>
      </c>
      <c r="AQ426" s="2">
        <f t="shared" si="31"/>
      </c>
    </row>
    <row r="427">
      <c r="A427" s="43">
        <f t="shared" si="3"/>
      </c>
      <c r="B427" s="44" t="n"/>
      <c r="C427" s="45" t="n"/>
      <c r="D427" s="46" t="n"/>
      <c r="E427" s="47" t="n"/>
      <c r="F427" s="47" t="n"/>
      <c r="G427" s="48">
        <f t="shared" si="4"/>
      </c>
      <c r="H427" s="43">
        <f t="shared" si="0"/>
      </c>
      <c r="I427" s="43">
        <f t="shared" si="5"/>
      </c>
      <c r="J427" s="43">
        <f t="shared" si="1"/>
      </c>
      <c r="K427" s="49">
        <f t="shared" si="2"/>
      </c>
      <c r="L427" s="45" t="n"/>
      <c r="M427" s="45" t="n"/>
      <c r="N427" s="45" t="n"/>
      <c r="O427" s="45" t="n"/>
      <c r="P427" s="50" t="n"/>
      <c r="R427" s="2">
        <f t="shared" si="6"/>
        <v>0</v>
      </c>
      <c r="S427" s="2">
        <f t="shared" si="7"/>
      </c>
      <c r="T427" s="2">
        <f t="shared" si="8"/>
      </c>
      <c r="U427" s="2">
        <f t="shared" si="9"/>
      </c>
      <c r="V427" s="2">
        <f t="shared" si="10"/>
      </c>
      <c r="W427" s="2">
        <f t="shared" si="11"/>
      </c>
      <c r="X427" s="2">
        <f t="shared" si="12"/>
      </c>
      <c r="Y427" s="2">
        <f t="shared" si="13"/>
        <v>0</v>
      </c>
      <c r="Z427" s="2">
        <f t="shared" si="14"/>
      </c>
      <c r="AA427" s="2">
        <f t="shared" si="15"/>
        <v>0</v>
      </c>
      <c r="AB427" s="2">
        <f t="shared" si="16"/>
      </c>
      <c r="AC427" s="2">
        <f t="shared" si="17"/>
      </c>
      <c r="AD427" s="2">
        <f t="shared" si="18"/>
      </c>
      <c r="AE427" s="2">
        <f t="shared" si="19"/>
      </c>
      <c r="AF427" s="2">
        <f t="shared" si="20"/>
      </c>
      <c r="AG427" s="2">
        <f t="shared" si="21"/>
      </c>
      <c r="AH427" s="2">
        <f t="shared" si="22"/>
      </c>
      <c r="AI427" s="2">
        <f t="shared" si="23"/>
      </c>
      <c r="AJ427" s="2">
        <f t="shared" si="24"/>
        <v>0</v>
      </c>
      <c r="AK427" s="2">
        <f t="shared" si="25"/>
        <v>0</v>
      </c>
      <c r="AL427" s="2">
        <f t="shared" si="26"/>
        <v>0</v>
      </c>
      <c r="AM427" s="2">
        <f t="shared" si="27"/>
        <v>0</v>
      </c>
      <c r="AN427" s="2">
        <f t="shared" si="28"/>
        <v>0</v>
      </c>
      <c r="AO427" s="2">
        <f t="shared" si="29"/>
      </c>
      <c r="AP427" s="2">
        <f t="shared" si="30"/>
      </c>
      <c r="AQ427" s="2">
        <f t="shared" si="31"/>
      </c>
    </row>
    <row r="428">
      <c r="A428" s="43">
        <f t="shared" si="3"/>
      </c>
      <c r="B428" s="44" t="n"/>
      <c r="C428" s="45" t="n"/>
      <c r="D428" s="46" t="n"/>
      <c r="E428" s="47" t="n"/>
      <c r="F428" s="47" t="n"/>
      <c r="G428" s="48">
        <f t="shared" si="4"/>
      </c>
      <c r="H428" s="43">
        <f t="shared" si="0"/>
      </c>
      <c r="I428" s="43">
        <f t="shared" si="5"/>
      </c>
      <c r="J428" s="43">
        <f t="shared" si="1"/>
      </c>
      <c r="K428" s="49">
        <f t="shared" si="2"/>
      </c>
      <c r="L428" s="45" t="n"/>
      <c r="M428" s="45" t="n"/>
      <c r="N428" s="45" t="n"/>
      <c r="O428" s="45" t="n"/>
      <c r="P428" s="50" t="n"/>
      <c r="R428" s="2">
        <f t="shared" si="6"/>
        <v>0</v>
      </c>
      <c r="S428" s="2">
        <f t="shared" si="7"/>
      </c>
      <c r="T428" s="2">
        <f t="shared" si="8"/>
      </c>
      <c r="U428" s="2">
        <f t="shared" si="9"/>
      </c>
      <c r="V428" s="2">
        <f t="shared" si="10"/>
      </c>
      <c r="W428" s="2">
        <f t="shared" si="11"/>
      </c>
      <c r="X428" s="2">
        <f t="shared" si="12"/>
      </c>
      <c r="Y428" s="2">
        <f t="shared" si="13"/>
        <v>0</v>
      </c>
      <c r="Z428" s="2">
        <f t="shared" si="14"/>
      </c>
      <c r="AA428" s="2">
        <f t="shared" si="15"/>
        <v>0</v>
      </c>
      <c r="AB428" s="2">
        <f t="shared" si="16"/>
      </c>
      <c r="AC428" s="2">
        <f t="shared" si="17"/>
      </c>
      <c r="AD428" s="2">
        <f t="shared" si="18"/>
      </c>
      <c r="AE428" s="2">
        <f t="shared" si="19"/>
      </c>
      <c r="AF428" s="2">
        <f t="shared" si="20"/>
      </c>
      <c r="AG428" s="2">
        <f t="shared" si="21"/>
      </c>
      <c r="AH428" s="2">
        <f t="shared" si="22"/>
      </c>
      <c r="AI428" s="2">
        <f t="shared" si="23"/>
      </c>
      <c r="AJ428" s="2">
        <f t="shared" si="24"/>
        <v>0</v>
      </c>
      <c r="AK428" s="2">
        <f t="shared" si="25"/>
        <v>0</v>
      </c>
      <c r="AL428" s="2">
        <f t="shared" si="26"/>
        <v>0</v>
      </c>
      <c r="AM428" s="2">
        <f t="shared" si="27"/>
        <v>0</v>
      </c>
      <c r="AN428" s="2">
        <f t="shared" si="28"/>
        <v>0</v>
      </c>
      <c r="AO428" s="2">
        <f t="shared" si="29"/>
      </c>
      <c r="AP428" s="2">
        <f t="shared" si="30"/>
      </c>
      <c r="AQ428" s="2">
        <f t="shared" si="31"/>
      </c>
    </row>
    <row r="429">
      <c r="A429" s="43">
        <f t="shared" si="3"/>
      </c>
      <c r="B429" s="44" t="n"/>
      <c r="C429" s="45" t="n"/>
      <c r="D429" s="46" t="n"/>
      <c r="E429" s="47" t="n"/>
      <c r="F429" s="47" t="n"/>
      <c r="G429" s="48">
        <f t="shared" si="4"/>
      </c>
      <c r="H429" s="43">
        <f t="shared" si="0"/>
      </c>
      <c r="I429" s="43">
        <f t="shared" si="5"/>
      </c>
      <c r="J429" s="43">
        <f t="shared" si="1"/>
      </c>
      <c r="K429" s="49">
        <f t="shared" si="2"/>
      </c>
      <c r="L429" s="45" t="n"/>
      <c r="M429" s="45" t="n"/>
      <c r="N429" s="45" t="n"/>
      <c r="O429" s="45" t="n"/>
      <c r="P429" s="50" t="n"/>
      <c r="R429" s="2">
        <f t="shared" si="6"/>
        <v>0</v>
      </c>
      <c r="S429" s="2">
        <f t="shared" si="7"/>
      </c>
      <c r="T429" s="2">
        <f t="shared" si="8"/>
      </c>
      <c r="U429" s="2">
        <f t="shared" si="9"/>
      </c>
      <c r="V429" s="2">
        <f t="shared" si="10"/>
      </c>
      <c r="W429" s="2">
        <f t="shared" si="11"/>
      </c>
      <c r="X429" s="2">
        <f t="shared" si="12"/>
      </c>
      <c r="Y429" s="2">
        <f t="shared" si="13"/>
        <v>0</v>
      </c>
      <c r="Z429" s="2">
        <f t="shared" si="14"/>
      </c>
      <c r="AA429" s="2">
        <f t="shared" si="15"/>
        <v>0</v>
      </c>
      <c r="AB429" s="2">
        <f t="shared" si="16"/>
      </c>
      <c r="AC429" s="2">
        <f t="shared" si="17"/>
      </c>
      <c r="AD429" s="2">
        <f t="shared" si="18"/>
      </c>
      <c r="AE429" s="2">
        <f t="shared" si="19"/>
      </c>
      <c r="AF429" s="2">
        <f t="shared" si="20"/>
      </c>
      <c r="AG429" s="2">
        <f t="shared" si="21"/>
      </c>
      <c r="AH429" s="2">
        <f t="shared" si="22"/>
      </c>
      <c r="AI429" s="2">
        <f t="shared" si="23"/>
      </c>
      <c r="AJ429" s="2">
        <f t="shared" si="24"/>
        <v>0</v>
      </c>
      <c r="AK429" s="2">
        <f t="shared" si="25"/>
        <v>0</v>
      </c>
      <c r="AL429" s="2">
        <f t="shared" si="26"/>
        <v>0</v>
      </c>
      <c r="AM429" s="2">
        <f t="shared" si="27"/>
        <v>0</v>
      </c>
      <c r="AN429" s="2">
        <f t="shared" si="28"/>
        <v>0</v>
      </c>
      <c r="AO429" s="2">
        <f t="shared" si="29"/>
      </c>
      <c r="AP429" s="2">
        <f t="shared" si="30"/>
      </c>
      <c r="AQ429" s="2">
        <f t="shared" si="31"/>
      </c>
    </row>
    <row r="430">
      <c r="A430" s="43">
        <f t="shared" si="3"/>
      </c>
      <c r="B430" s="44" t="n"/>
      <c r="C430" s="45" t="n"/>
      <c r="D430" s="46" t="n"/>
      <c r="E430" s="47" t="n"/>
      <c r="F430" s="47" t="n"/>
      <c r="G430" s="48">
        <f t="shared" si="4"/>
      </c>
      <c r="H430" s="43">
        <f t="shared" si="0"/>
      </c>
      <c r="I430" s="43">
        <f t="shared" si="5"/>
      </c>
      <c r="J430" s="43">
        <f t="shared" si="1"/>
      </c>
      <c r="K430" s="49">
        <f t="shared" si="2"/>
      </c>
      <c r="L430" s="45" t="n"/>
      <c r="M430" s="45" t="n"/>
      <c r="N430" s="45" t="n"/>
      <c r="O430" s="45" t="n"/>
      <c r="P430" s="50" t="n"/>
      <c r="R430" s="2">
        <f t="shared" si="6"/>
        <v>0</v>
      </c>
      <c r="S430" s="2">
        <f t="shared" si="7"/>
      </c>
      <c r="T430" s="2">
        <f t="shared" si="8"/>
      </c>
      <c r="U430" s="2">
        <f t="shared" si="9"/>
      </c>
      <c r="V430" s="2">
        <f t="shared" si="10"/>
      </c>
      <c r="W430" s="2">
        <f t="shared" si="11"/>
      </c>
      <c r="X430" s="2">
        <f t="shared" si="12"/>
      </c>
      <c r="Y430" s="2">
        <f t="shared" si="13"/>
        <v>0</v>
      </c>
      <c r="Z430" s="2">
        <f t="shared" si="14"/>
      </c>
      <c r="AA430" s="2">
        <f t="shared" si="15"/>
        <v>0</v>
      </c>
      <c r="AB430" s="2">
        <f t="shared" si="16"/>
      </c>
      <c r="AC430" s="2">
        <f t="shared" si="17"/>
      </c>
      <c r="AD430" s="2">
        <f t="shared" si="18"/>
      </c>
      <c r="AE430" s="2">
        <f t="shared" si="19"/>
      </c>
      <c r="AF430" s="2">
        <f t="shared" si="20"/>
      </c>
      <c r="AG430" s="2">
        <f t="shared" si="21"/>
      </c>
      <c r="AH430" s="2">
        <f t="shared" si="22"/>
      </c>
      <c r="AI430" s="2">
        <f t="shared" si="23"/>
      </c>
      <c r="AJ430" s="2">
        <f t="shared" si="24"/>
        <v>0</v>
      </c>
      <c r="AK430" s="2">
        <f t="shared" si="25"/>
        <v>0</v>
      </c>
      <c r="AL430" s="2">
        <f t="shared" si="26"/>
        <v>0</v>
      </c>
      <c r="AM430" s="2">
        <f t="shared" si="27"/>
        <v>0</v>
      </c>
      <c r="AN430" s="2">
        <f t="shared" si="28"/>
        <v>0</v>
      </c>
      <c r="AO430" s="2">
        <f t="shared" si="29"/>
      </c>
      <c r="AP430" s="2">
        <f t="shared" si="30"/>
      </c>
      <c r="AQ430" s="2">
        <f t="shared" si="31"/>
      </c>
    </row>
    <row r="431">
      <c r="A431" s="43">
        <f t="shared" si="3"/>
      </c>
      <c r="B431" s="44" t="n"/>
      <c r="C431" s="45" t="n"/>
      <c r="D431" s="46" t="n"/>
      <c r="E431" s="47" t="n"/>
      <c r="F431" s="47" t="n"/>
      <c r="G431" s="48">
        <f t="shared" si="4"/>
      </c>
      <c r="H431" s="43">
        <f t="shared" si="0"/>
      </c>
      <c r="I431" s="43">
        <f t="shared" si="5"/>
      </c>
      <c r="J431" s="43">
        <f t="shared" si="1"/>
      </c>
      <c r="K431" s="49">
        <f t="shared" si="2"/>
      </c>
      <c r="L431" s="45" t="n"/>
      <c r="M431" s="45" t="n"/>
      <c r="N431" s="45" t="n"/>
      <c r="O431" s="45" t="n"/>
      <c r="P431" s="50" t="n"/>
      <c r="R431" s="2">
        <f t="shared" si="6"/>
        <v>0</v>
      </c>
      <c r="S431" s="2">
        <f t="shared" si="7"/>
      </c>
      <c r="T431" s="2">
        <f t="shared" si="8"/>
      </c>
      <c r="U431" s="2">
        <f t="shared" si="9"/>
      </c>
      <c r="V431" s="2">
        <f t="shared" si="10"/>
      </c>
      <c r="W431" s="2">
        <f t="shared" si="11"/>
      </c>
      <c r="X431" s="2">
        <f t="shared" si="12"/>
      </c>
      <c r="Y431" s="2">
        <f t="shared" si="13"/>
        <v>0</v>
      </c>
      <c r="Z431" s="2">
        <f t="shared" si="14"/>
      </c>
      <c r="AA431" s="2">
        <f t="shared" si="15"/>
        <v>0</v>
      </c>
      <c r="AB431" s="2">
        <f t="shared" si="16"/>
      </c>
      <c r="AC431" s="2">
        <f t="shared" si="17"/>
      </c>
      <c r="AD431" s="2">
        <f t="shared" si="18"/>
      </c>
      <c r="AE431" s="2">
        <f t="shared" si="19"/>
      </c>
      <c r="AF431" s="2">
        <f t="shared" si="20"/>
      </c>
      <c r="AG431" s="2">
        <f t="shared" si="21"/>
      </c>
      <c r="AH431" s="2">
        <f t="shared" si="22"/>
      </c>
      <c r="AI431" s="2">
        <f t="shared" si="23"/>
      </c>
      <c r="AJ431" s="2">
        <f t="shared" si="24"/>
        <v>0</v>
      </c>
      <c r="AK431" s="2">
        <f t="shared" si="25"/>
        <v>0</v>
      </c>
      <c r="AL431" s="2">
        <f t="shared" si="26"/>
        <v>0</v>
      </c>
      <c r="AM431" s="2">
        <f t="shared" si="27"/>
        <v>0</v>
      </c>
      <c r="AN431" s="2">
        <f t="shared" si="28"/>
        <v>0</v>
      </c>
      <c r="AO431" s="2">
        <f t="shared" si="29"/>
      </c>
      <c r="AP431" s="2">
        <f t="shared" si="30"/>
      </c>
      <c r="AQ431" s="2">
        <f t="shared" si="31"/>
      </c>
    </row>
    <row r="432">
      <c r="A432" s="43">
        <f t="shared" si="3"/>
      </c>
      <c r="B432" s="44" t="n"/>
      <c r="C432" s="45" t="n"/>
      <c r="D432" s="46" t="n"/>
      <c r="E432" s="47" t="n"/>
      <c r="F432" s="47" t="n"/>
      <c r="G432" s="48">
        <f t="shared" si="4"/>
      </c>
      <c r="H432" s="43">
        <f t="shared" si="0"/>
      </c>
      <c r="I432" s="43">
        <f t="shared" si="5"/>
      </c>
      <c r="J432" s="43">
        <f t="shared" si="1"/>
      </c>
      <c r="K432" s="49">
        <f t="shared" si="2"/>
      </c>
      <c r="L432" s="45" t="n"/>
      <c r="M432" s="45" t="n"/>
      <c r="N432" s="45" t="n"/>
      <c r="O432" s="45" t="n"/>
      <c r="P432" s="50" t="n"/>
      <c r="R432" s="2">
        <f t="shared" si="6"/>
        <v>0</v>
      </c>
      <c r="S432" s="2">
        <f t="shared" si="7"/>
      </c>
      <c r="T432" s="2">
        <f t="shared" si="8"/>
      </c>
      <c r="U432" s="2">
        <f t="shared" si="9"/>
      </c>
      <c r="V432" s="2">
        <f t="shared" si="10"/>
      </c>
      <c r="W432" s="2">
        <f t="shared" si="11"/>
      </c>
      <c r="X432" s="2">
        <f t="shared" si="12"/>
      </c>
      <c r="Y432" s="2">
        <f t="shared" si="13"/>
        <v>0</v>
      </c>
      <c r="Z432" s="2">
        <f t="shared" si="14"/>
      </c>
      <c r="AA432" s="2">
        <f t="shared" si="15"/>
        <v>0</v>
      </c>
      <c r="AB432" s="2">
        <f t="shared" si="16"/>
      </c>
      <c r="AC432" s="2">
        <f t="shared" si="17"/>
      </c>
      <c r="AD432" s="2">
        <f t="shared" si="18"/>
      </c>
      <c r="AE432" s="2">
        <f t="shared" si="19"/>
      </c>
      <c r="AF432" s="2">
        <f t="shared" si="20"/>
      </c>
      <c r="AG432" s="2">
        <f t="shared" si="21"/>
      </c>
      <c r="AH432" s="2">
        <f t="shared" si="22"/>
      </c>
      <c r="AI432" s="2">
        <f t="shared" si="23"/>
      </c>
      <c r="AJ432" s="2">
        <f t="shared" si="24"/>
        <v>0</v>
      </c>
      <c r="AK432" s="2">
        <f t="shared" si="25"/>
        <v>0</v>
      </c>
      <c r="AL432" s="2">
        <f t="shared" si="26"/>
        <v>0</v>
      </c>
      <c r="AM432" s="2">
        <f t="shared" si="27"/>
        <v>0</v>
      </c>
      <c r="AN432" s="2">
        <f t="shared" si="28"/>
        <v>0</v>
      </c>
      <c r="AO432" s="2">
        <f t="shared" si="29"/>
      </c>
      <c r="AP432" s="2">
        <f t="shared" si="30"/>
      </c>
      <c r="AQ432" s="2">
        <f t="shared" si="31"/>
      </c>
    </row>
    <row r="433">
      <c r="A433" s="43">
        <f t="shared" si="3"/>
      </c>
      <c r="B433" s="44" t="n"/>
      <c r="C433" s="45" t="n"/>
      <c r="D433" s="46" t="n"/>
      <c r="E433" s="47" t="n"/>
      <c r="F433" s="47" t="n"/>
      <c r="G433" s="48">
        <f t="shared" si="4"/>
      </c>
      <c r="H433" s="43">
        <f t="shared" si="0"/>
      </c>
      <c r="I433" s="43">
        <f t="shared" si="5"/>
      </c>
      <c r="J433" s="43">
        <f t="shared" si="1"/>
      </c>
      <c r="K433" s="49">
        <f t="shared" si="2"/>
      </c>
      <c r="L433" s="45" t="n"/>
      <c r="M433" s="45" t="n"/>
      <c r="N433" s="45" t="n"/>
      <c r="O433" s="45" t="n"/>
      <c r="P433" s="50" t="n"/>
      <c r="R433" s="2">
        <f t="shared" si="6"/>
        <v>0</v>
      </c>
      <c r="S433" s="2">
        <f t="shared" si="7"/>
      </c>
      <c r="T433" s="2">
        <f t="shared" si="8"/>
      </c>
      <c r="U433" s="2">
        <f t="shared" si="9"/>
      </c>
      <c r="V433" s="2">
        <f t="shared" si="10"/>
      </c>
      <c r="W433" s="2">
        <f t="shared" si="11"/>
      </c>
      <c r="X433" s="2">
        <f t="shared" si="12"/>
      </c>
      <c r="Y433" s="2">
        <f t="shared" si="13"/>
        <v>0</v>
      </c>
      <c r="Z433" s="2">
        <f t="shared" si="14"/>
      </c>
      <c r="AA433" s="2">
        <f t="shared" si="15"/>
        <v>0</v>
      </c>
      <c r="AB433" s="2">
        <f t="shared" si="16"/>
      </c>
      <c r="AC433" s="2">
        <f t="shared" si="17"/>
      </c>
      <c r="AD433" s="2">
        <f t="shared" si="18"/>
      </c>
      <c r="AE433" s="2">
        <f t="shared" si="19"/>
      </c>
      <c r="AF433" s="2">
        <f t="shared" si="20"/>
      </c>
      <c r="AG433" s="2">
        <f t="shared" si="21"/>
      </c>
      <c r="AH433" s="2">
        <f t="shared" si="22"/>
      </c>
      <c r="AI433" s="2">
        <f t="shared" si="23"/>
      </c>
      <c r="AJ433" s="2">
        <f t="shared" si="24"/>
        <v>0</v>
      </c>
      <c r="AK433" s="2">
        <f t="shared" si="25"/>
        <v>0</v>
      </c>
      <c r="AL433" s="2">
        <f t="shared" si="26"/>
        <v>0</v>
      </c>
      <c r="AM433" s="2">
        <f t="shared" si="27"/>
        <v>0</v>
      </c>
      <c r="AN433" s="2">
        <f t="shared" si="28"/>
        <v>0</v>
      </c>
      <c r="AO433" s="2">
        <f t="shared" si="29"/>
      </c>
      <c r="AP433" s="2">
        <f t="shared" si="30"/>
      </c>
      <c r="AQ433" s="2">
        <f t="shared" si="31"/>
      </c>
    </row>
    <row r="434">
      <c r="A434" s="43">
        <f t="shared" si="3"/>
      </c>
      <c r="B434" s="44" t="n"/>
      <c r="C434" s="45" t="n"/>
      <c r="D434" s="46" t="n"/>
      <c r="E434" s="47" t="n"/>
      <c r="F434" s="47" t="n"/>
      <c r="G434" s="48">
        <f t="shared" si="4"/>
      </c>
      <c r="H434" s="43">
        <f t="shared" si="0"/>
      </c>
      <c r="I434" s="43">
        <f t="shared" si="5"/>
      </c>
      <c r="J434" s="43">
        <f t="shared" si="1"/>
      </c>
      <c r="K434" s="49">
        <f t="shared" si="2"/>
      </c>
      <c r="L434" s="45" t="n"/>
      <c r="M434" s="45" t="n"/>
      <c r="N434" s="45" t="n"/>
      <c r="O434" s="45" t="n"/>
      <c r="P434" s="50" t="n"/>
      <c r="R434" s="2">
        <f t="shared" si="6"/>
        <v>0</v>
      </c>
      <c r="S434" s="2">
        <f t="shared" si="7"/>
      </c>
      <c r="T434" s="2">
        <f t="shared" si="8"/>
      </c>
      <c r="U434" s="2">
        <f t="shared" si="9"/>
      </c>
      <c r="V434" s="2">
        <f t="shared" si="10"/>
      </c>
      <c r="W434" s="2">
        <f t="shared" si="11"/>
      </c>
      <c r="X434" s="2">
        <f t="shared" si="12"/>
      </c>
      <c r="Y434" s="2">
        <f t="shared" si="13"/>
        <v>0</v>
      </c>
      <c r="Z434" s="2">
        <f t="shared" si="14"/>
      </c>
      <c r="AA434" s="2">
        <f t="shared" si="15"/>
        <v>0</v>
      </c>
      <c r="AB434" s="2">
        <f t="shared" si="16"/>
      </c>
      <c r="AC434" s="2">
        <f t="shared" si="17"/>
      </c>
      <c r="AD434" s="2">
        <f t="shared" si="18"/>
      </c>
      <c r="AE434" s="2">
        <f t="shared" si="19"/>
      </c>
      <c r="AF434" s="2">
        <f t="shared" si="20"/>
      </c>
      <c r="AG434" s="2">
        <f t="shared" si="21"/>
      </c>
      <c r="AH434" s="2">
        <f t="shared" si="22"/>
      </c>
      <c r="AI434" s="2">
        <f t="shared" si="23"/>
      </c>
      <c r="AJ434" s="2">
        <f t="shared" si="24"/>
        <v>0</v>
      </c>
      <c r="AK434" s="2">
        <f t="shared" si="25"/>
        <v>0</v>
      </c>
      <c r="AL434" s="2">
        <f t="shared" si="26"/>
        <v>0</v>
      </c>
      <c r="AM434" s="2">
        <f t="shared" si="27"/>
        <v>0</v>
      </c>
      <c r="AN434" s="2">
        <f t="shared" si="28"/>
        <v>0</v>
      </c>
      <c r="AO434" s="2">
        <f t="shared" si="29"/>
      </c>
      <c r="AP434" s="2">
        <f t="shared" si="30"/>
      </c>
      <c r="AQ434" s="2">
        <f t="shared" si="31"/>
      </c>
    </row>
    <row r="435">
      <c r="A435" s="43">
        <f t="shared" si="3"/>
      </c>
      <c r="B435" s="44" t="n"/>
      <c r="C435" s="45" t="n"/>
      <c r="D435" s="46" t="n"/>
      <c r="E435" s="47" t="n"/>
      <c r="F435" s="47" t="n"/>
      <c r="G435" s="48">
        <f t="shared" si="4"/>
      </c>
      <c r="H435" s="43">
        <f t="shared" si="0"/>
      </c>
      <c r="I435" s="43">
        <f t="shared" si="5"/>
      </c>
      <c r="J435" s="43">
        <f t="shared" si="1"/>
      </c>
      <c r="K435" s="49">
        <f t="shared" si="2"/>
      </c>
      <c r="L435" s="45" t="n"/>
      <c r="M435" s="45" t="n"/>
      <c r="N435" s="45" t="n"/>
      <c r="O435" s="45" t="n"/>
      <c r="P435" s="50" t="n"/>
      <c r="R435" s="2">
        <f t="shared" si="6"/>
        <v>0</v>
      </c>
      <c r="S435" s="2">
        <f t="shared" si="7"/>
      </c>
      <c r="T435" s="2">
        <f t="shared" si="8"/>
      </c>
      <c r="U435" s="2">
        <f t="shared" si="9"/>
      </c>
      <c r="V435" s="2">
        <f t="shared" si="10"/>
      </c>
      <c r="W435" s="2">
        <f t="shared" si="11"/>
      </c>
      <c r="X435" s="2">
        <f t="shared" si="12"/>
      </c>
      <c r="Y435" s="2">
        <f t="shared" si="13"/>
        <v>0</v>
      </c>
      <c r="Z435" s="2">
        <f t="shared" si="14"/>
      </c>
      <c r="AA435" s="2">
        <f t="shared" si="15"/>
        <v>0</v>
      </c>
      <c r="AB435" s="2">
        <f t="shared" si="16"/>
      </c>
      <c r="AC435" s="2">
        <f t="shared" si="17"/>
      </c>
      <c r="AD435" s="2">
        <f t="shared" si="18"/>
      </c>
      <c r="AE435" s="2">
        <f t="shared" si="19"/>
      </c>
      <c r="AF435" s="2">
        <f t="shared" si="20"/>
      </c>
      <c r="AG435" s="2">
        <f t="shared" si="21"/>
      </c>
      <c r="AH435" s="2">
        <f t="shared" si="22"/>
      </c>
      <c r="AI435" s="2">
        <f t="shared" si="23"/>
      </c>
      <c r="AJ435" s="2">
        <f t="shared" si="24"/>
        <v>0</v>
      </c>
      <c r="AK435" s="2">
        <f t="shared" si="25"/>
        <v>0</v>
      </c>
      <c r="AL435" s="2">
        <f t="shared" si="26"/>
        <v>0</v>
      </c>
      <c r="AM435" s="2">
        <f t="shared" si="27"/>
        <v>0</v>
      </c>
      <c r="AN435" s="2">
        <f t="shared" si="28"/>
        <v>0</v>
      </c>
      <c r="AO435" s="2">
        <f t="shared" si="29"/>
      </c>
      <c r="AP435" s="2">
        <f t="shared" si="30"/>
      </c>
      <c r="AQ435" s="2">
        <f t="shared" si="31"/>
      </c>
    </row>
    <row r="436">
      <c r="A436" s="43">
        <f t="shared" si="3"/>
      </c>
      <c r="B436" s="44" t="n"/>
      <c r="C436" s="45" t="n"/>
      <c r="D436" s="46" t="n"/>
      <c r="E436" s="47" t="n"/>
      <c r="F436" s="47" t="n"/>
      <c r="G436" s="48">
        <f t="shared" si="4"/>
      </c>
      <c r="H436" s="43">
        <f t="shared" si="0"/>
      </c>
      <c r="I436" s="43">
        <f t="shared" si="5"/>
      </c>
      <c r="J436" s="43">
        <f t="shared" si="1"/>
      </c>
      <c r="K436" s="49">
        <f t="shared" si="2"/>
      </c>
      <c r="L436" s="45" t="n"/>
      <c r="M436" s="45" t="n"/>
      <c r="N436" s="45" t="n"/>
      <c r="O436" s="45" t="n"/>
      <c r="P436" s="50" t="n"/>
      <c r="R436" s="2">
        <f t="shared" si="6"/>
        <v>0</v>
      </c>
      <c r="S436" s="2">
        <f t="shared" si="7"/>
      </c>
      <c r="T436" s="2">
        <f t="shared" si="8"/>
      </c>
      <c r="U436" s="2">
        <f t="shared" si="9"/>
      </c>
      <c r="V436" s="2">
        <f t="shared" si="10"/>
      </c>
      <c r="W436" s="2">
        <f t="shared" si="11"/>
      </c>
      <c r="X436" s="2">
        <f t="shared" si="12"/>
      </c>
      <c r="Y436" s="2">
        <f t="shared" si="13"/>
        <v>0</v>
      </c>
      <c r="Z436" s="2">
        <f t="shared" si="14"/>
      </c>
      <c r="AA436" s="2">
        <f t="shared" si="15"/>
        <v>0</v>
      </c>
      <c r="AB436" s="2">
        <f t="shared" si="16"/>
      </c>
      <c r="AC436" s="2">
        <f t="shared" si="17"/>
      </c>
      <c r="AD436" s="2">
        <f t="shared" si="18"/>
      </c>
      <c r="AE436" s="2">
        <f t="shared" si="19"/>
      </c>
      <c r="AF436" s="2">
        <f t="shared" si="20"/>
      </c>
      <c r="AG436" s="2">
        <f t="shared" si="21"/>
      </c>
      <c r="AH436" s="2">
        <f t="shared" si="22"/>
      </c>
      <c r="AI436" s="2">
        <f t="shared" si="23"/>
      </c>
      <c r="AJ436" s="2">
        <f t="shared" si="24"/>
        <v>0</v>
      </c>
      <c r="AK436" s="2">
        <f t="shared" si="25"/>
        <v>0</v>
      </c>
      <c r="AL436" s="2">
        <f t="shared" si="26"/>
        <v>0</v>
      </c>
      <c r="AM436" s="2">
        <f t="shared" si="27"/>
        <v>0</v>
      </c>
      <c r="AN436" s="2">
        <f t="shared" si="28"/>
        <v>0</v>
      </c>
      <c r="AO436" s="2">
        <f t="shared" si="29"/>
      </c>
      <c r="AP436" s="2">
        <f t="shared" si="30"/>
      </c>
      <c r="AQ436" s="2">
        <f t="shared" si="31"/>
      </c>
    </row>
    <row r="437">
      <c r="A437" s="43">
        <f t="shared" si="3"/>
      </c>
      <c r="B437" s="44" t="n"/>
      <c r="C437" s="45" t="n"/>
      <c r="D437" s="46" t="n"/>
      <c r="E437" s="47" t="n"/>
      <c r="F437" s="47" t="n"/>
      <c r="G437" s="48">
        <f t="shared" si="4"/>
      </c>
      <c r="H437" s="43">
        <f t="shared" si="0"/>
      </c>
      <c r="I437" s="43">
        <f t="shared" si="5"/>
      </c>
      <c r="J437" s="43">
        <f t="shared" si="1"/>
      </c>
      <c r="K437" s="49">
        <f t="shared" si="2"/>
      </c>
      <c r="L437" s="45" t="n"/>
      <c r="M437" s="45" t="n"/>
      <c r="N437" s="45" t="n"/>
      <c r="O437" s="45" t="n"/>
      <c r="P437" s="50" t="n"/>
      <c r="R437" s="2">
        <f t="shared" si="6"/>
        <v>0</v>
      </c>
      <c r="S437" s="2">
        <f t="shared" si="7"/>
      </c>
      <c r="T437" s="2">
        <f t="shared" si="8"/>
      </c>
      <c r="U437" s="2">
        <f t="shared" si="9"/>
      </c>
      <c r="V437" s="2">
        <f t="shared" si="10"/>
      </c>
      <c r="W437" s="2">
        <f t="shared" si="11"/>
      </c>
      <c r="X437" s="2">
        <f t="shared" si="12"/>
      </c>
      <c r="Y437" s="2">
        <f t="shared" si="13"/>
        <v>0</v>
      </c>
      <c r="Z437" s="2">
        <f t="shared" si="14"/>
      </c>
      <c r="AA437" s="2">
        <f t="shared" si="15"/>
        <v>0</v>
      </c>
      <c r="AB437" s="2">
        <f t="shared" si="16"/>
      </c>
      <c r="AC437" s="2">
        <f t="shared" si="17"/>
      </c>
      <c r="AD437" s="2">
        <f t="shared" si="18"/>
      </c>
      <c r="AE437" s="2">
        <f t="shared" si="19"/>
      </c>
      <c r="AF437" s="2">
        <f t="shared" si="20"/>
      </c>
      <c r="AG437" s="2">
        <f t="shared" si="21"/>
      </c>
      <c r="AH437" s="2">
        <f t="shared" si="22"/>
      </c>
      <c r="AI437" s="2">
        <f t="shared" si="23"/>
      </c>
      <c r="AJ437" s="2">
        <f t="shared" si="24"/>
        <v>0</v>
      </c>
      <c r="AK437" s="2">
        <f t="shared" si="25"/>
        <v>0</v>
      </c>
      <c r="AL437" s="2">
        <f t="shared" si="26"/>
        <v>0</v>
      </c>
      <c r="AM437" s="2">
        <f t="shared" si="27"/>
        <v>0</v>
      </c>
      <c r="AN437" s="2">
        <f t="shared" si="28"/>
        <v>0</v>
      </c>
      <c r="AO437" s="2">
        <f t="shared" si="29"/>
      </c>
      <c r="AP437" s="2">
        <f t="shared" si="30"/>
      </c>
      <c r="AQ437" s="2">
        <f t="shared" si="31"/>
      </c>
    </row>
    <row r="438">
      <c r="A438" s="43">
        <f t="shared" si="3"/>
      </c>
      <c r="B438" s="44" t="n"/>
      <c r="C438" s="45" t="n"/>
      <c r="D438" s="46" t="n"/>
      <c r="E438" s="47" t="n"/>
      <c r="F438" s="47" t="n"/>
      <c r="G438" s="48">
        <f t="shared" si="4"/>
      </c>
      <c r="H438" s="43">
        <f t="shared" si="0"/>
      </c>
      <c r="I438" s="43">
        <f t="shared" si="5"/>
      </c>
      <c r="J438" s="43">
        <f t="shared" si="1"/>
      </c>
      <c r="K438" s="49">
        <f t="shared" si="2"/>
      </c>
      <c r="L438" s="45" t="n"/>
      <c r="M438" s="45" t="n"/>
      <c r="N438" s="45" t="n"/>
      <c r="O438" s="45" t="n"/>
      <c r="P438" s="50" t="n"/>
      <c r="R438" s="2">
        <f t="shared" si="6"/>
        <v>0</v>
      </c>
      <c r="S438" s="2">
        <f t="shared" si="7"/>
      </c>
      <c r="T438" s="2">
        <f t="shared" si="8"/>
      </c>
      <c r="U438" s="2">
        <f t="shared" si="9"/>
      </c>
      <c r="V438" s="2">
        <f t="shared" si="10"/>
      </c>
      <c r="W438" s="2">
        <f t="shared" si="11"/>
      </c>
      <c r="X438" s="2">
        <f t="shared" si="12"/>
      </c>
      <c r="Y438" s="2">
        <f t="shared" si="13"/>
        <v>0</v>
      </c>
      <c r="Z438" s="2">
        <f t="shared" si="14"/>
      </c>
      <c r="AA438" s="2">
        <f t="shared" si="15"/>
        <v>0</v>
      </c>
      <c r="AB438" s="2">
        <f t="shared" si="16"/>
      </c>
      <c r="AC438" s="2">
        <f t="shared" si="17"/>
      </c>
      <c r="AD438" s="2">
        <f t="shared" si="18"/>
      </c>
      <c r="AE438" s="2">
        <f t="shared" si="19"/>
      </c>
      <c r="AF438" s="2">
        <f t="shared" si="20"/>
      </c>
      <c r="AG438" s="2">
        <f t="shared" si="21"/>
      </c>
      <c r="AH438" s="2">
        <f t="shared" si="22"/>
      </c>
      <c r="AI438" s="2">
        <f t="shared" si="23"/>
      </c>
      <c r="AJ438" s="2">
        <f t="shared" si="24"/>
        <v>0</v>
      </c>
      <c r="AK438" s="2">
        <f t="shared" si="25"/>
        <v>0</v>
      </c>
      <c r="AL438" s="2">
        <f t="shared" si="26"/>
        <v>0</v>
      </c>
      <c r="AM438" s="2">
        <f t="shared" si="27"/>
        <v>0</v>
      </c>
      <c r="AN438" s="2">
        <f t="shared" si="28"/>
        <v>0</v>
      </c>
      <c r="AO438" s="2">
        <f t="shared" si="29"/>
      </c>
      <c r="AP438" s="2">
        <f t="shared" si="30"/>
      </c>
      <c r="AQ438" s="2">
        <f t="shared" si="31"/>
      </c>
    </row>
    <row r="439">
      <c r="A439" s="43">
        <f t="shared" si="3"/>
      </c>
      <c r="B439" s="44" t="n"/>
      <c r="C439" s="45" t="n"/>
      <c r="D439" s="46" t="n"/>
      <c r="E439" s="47" t="n"/>
      <c r="F439" s="47" t="n"/>
      <c r="G439" s="48">
        <f t="shared" si="4"/>
      </c>
      <c r="H439" s="43">
        <f t="shared" si="0"/>
      </c>
      <c r="I439" s="43">
        <f t="shared" si="5"/>
      </c>
      <c r="J439" s="43">
        <f t="shared" si="1"/>
      </c>
      <c r="K439" s="49">
        <f t="shared" si="2"/>
      </c>
      <c r="L439" s="45" t="n"/>
      <c r="M439" s="45" t="n"/>
      <c r="N439" s="45" t="n"/>
      <c r="O439" s="45" t="n"/>
      <c r="P439" s="50" t="n"/>
      <c r="R439" s="2">
        <f t="shared" si="6"/>
        <v>0</v>
      </c>
      <c r="S439" s="2">
        <f t="shared" si="7"/>
      </c>
      <c r="T439" s="2">
        <f t="shared" si="8"/>
      </c>
      <c r="U439" s="2">
        <f t="shared" si="9"/>
      </c>
      <c r="V439" s="2">
        <f t="shared" si="10"/>
      </c>
      <c r="W439" s="2">
        <f t="shared" si="11"/>
      </c>
      <c r="X439" s="2">
        <f t="shared" si="12"/>
      </c>
      <c r="Y439" s="2">
        <f t="shared" si="13"/>
        <v>0</v>
      </c>
      <c r="Z439" s="2">
        <f t="shared" si="14"/>
      </c>
      <c r="AA439" s="2">
        <f t="shared" si="15"/>
        <v>0</v>
      </c>
      <c r="AB439" s="2">
        <f t="shared" si="16"/>
      </c>
      <c r="AC439" s="2">
        <f t="shared" si="17"/>
      </c>
      <c r="AD439" s="2">
        <f t="shared" si="18"/>
      </c>
      <c r="AE439" s="2">
        <f t="shared" si="19"/>
      </c>
      <c r="AF439" s="2">
        <f t="shared" si="20"/>
      </c>
      <c r="AG439" s="2">
        <f t="shared" si="21"/>
      </c>
      <c r="AH439" s="2">
        <f t="shared" si="22"/>
      </c>
      <c r="AI439" s="2">
        <f t="shared" si="23"/>
      </c>
      <c r="AJ439" s="2">
        <f t="shared" si="24"/>
        <v>0</v>
      </c>
      <c r="AK439" s="2">
        <f t="shared" si="25"/>
        <v>0</v>
      </c>
      <c r="AL439" s="2">
        <f t="shared" si="26"/>
        <v>0</v>
      </c>
      <c r="AM439" s="2">
        <f t="shared" si="27"/>
        <v>0</v>
      </c>
      <c r="AN439" s="2">
        <f t="shared" si="28"/>
        <v>0</v>
      </c>
      <c r="AO439" s="2">
        <f t="shared" si="29"/>
      </c>
      <c r="AP439" s="2">
        <f t="shared" si="30"/>
      </c>
      <c r="AQ439" s="2">
        <f t="shared" si="31"/>
      </c>
    </row>
    <row r="440">
      <c r="A440" s="43">
        <f t="shared" si="3"/>
      </c>
      <c r="B440" s="44" t="n"/>
      <c r="C440" s="45" t="n"/>
      <c r="D440" s="46" t="n"/>
      <c r="E440" s="47" t="n"/>
      <c r="F440" s="47" t="n"/>
      <c r="G440" s="48">
        <f t="shared" si="4"/>
      </c>
      <c r="H440" s="43">
        <f t="shared" si="0"/>
      </c>
      <c r="I440" s="43">
        <f t="shared" si="5"/>
      </c>
      <c r="J440" s="43">
        <f t="shared" si="1"/>
      </c>
      <c r="K440" s="49">
        <f t="shared" si="2"/>
      </c>
      <c r="L440" s="45" t="n"/>
      <c r="M440" s="45" t="n"/>
      <c r="N440" s="45" t="n"/>
      <c r="O440" s="45" t="n"/>
      <c r="P440" s="50" t="n"/>
      <c r="R440" s="2">
        <f t="shared" si="6"/>
        <v>0</v>
      </c>
      <c r="S440" s="2">
        <f t="shared" si="7"/>
      </c>
      <c r="T440" s="2">
        <f t="shared" si="8"/>
      </c>
      <c r="U440" s="2">
        <f t="shared" si="9"/>
      </c>
      <c r="V440" s="2">
        <f t="shared" si="10"/>
      </c>
      <c r="W440" s="2">
        <f t="shared" si="11"/>
      </c>
      <c r="X440" s="2">
        <f t="shared" si="12"/>
      </c>
      <c r="Y440" s="2">
        <f t="shared" si="13"/>
        <v>0</v>
      </c>
      <c r="Z440" s="2">
        <f t="shared" si="14"/>
      </c>
      <c r="AA440" s="2">
        <f t="shared" si="15"/>
        <v>0</v>
      </c>
      <c r="AB440" s="2">
        <f t="shared" si="16"/>
      </c>
      <c r="AC440" s="2">
        <f t="shared" si="17"/>
      </c>
      <c r="AD440" s="2">
        <f t="shared" si="18"/>
      </c>
      <c r="AE440" s="2">
        <f t="shared" si="19"/>
      </c>
      <c r="AF440" s="2">
        <f t="shared" si="20"/>
      </c>
      <c r="AG440" s="2">
        <f t="shared" si="21"/>
      </c>
      <c r="AH440" s="2">
        <f t="shared" si="22"/>
      </c>
      <c r="AI440" s="2">
        <f t="shared" si="23"/>
      </c>
      <c r="AJ440" s="2">
        <f t="shared" si="24"/>
        <v>0</v>
      </c>
      <c r="AK440" s="2">
        <f t="shared" si="25"/>
        <v>0</v>
      </c>
      <c r="AL440" s="2">
        <f t="shared" si="26"/>
        <v>0</v>
      </c>
      <c r="AM440" s="2">
        <f t="shared" si="27"/>
        <v>0</v>
      </c>
      <c r="AN440" s="2">
        <f t="shared" si="28"/>
        <v>0</v>
      </c>
      <c r="AO440" s="2">
        <f t="shared" si="29"/>
      </c>
      <c r="AP440" s="2">
        <f t="shared" si="30"/>
      </c>
      <c r="AQ440" s="2">
        <f t="shared" si="31"/>
      </c>
    </row>
    <row r="441">
      <c r="A441" s="43">
        <f t="shared" si="3"/>
      </c>
      <c r="B441" s="44" t="n"/>
      <c r="C441" s="45" t="n"/>
      <c r="D441" s="46" t="n"/>
      <c r="E441" s="47" t="n"/>
      <c r="F441" s="47" t="n"/>
      <c r="G441" s="48">
        <f t="shared" si="4"/>
      </c>
      <c r="H441" s="43">
        <f t="shared" si="0"/>
      </c>
      <c r="I441" s="43">
        <f t="shared" si="5"/>
      </c>
      <c r="J441" s="43">
        <f t="shared" si="1"/>
      </c>
      <c r="K441" s="49">
        <f t="shared" si="2"/>
      </c>
      <c r="L441" s="45" t="n"/>
      <c r="M441" s="45" t="n"/>
      <c r="N441" s="45" t="n"/>
      <c r="O441" s="45" t="n"/>
      <c r="P441" s="50" t="n"/>
      <c r="R441" s="2">
        <f t="shared" si="6"/>
        <v>0</v>
      </c>
      <c r="S441" s="2">
        <f t="shared" si="7"/>
      </c>
      <c r="T441" s="2">
        <f t="shared" si="8"/>
      </c>
      <c r="U441" s="2">
        <f t="shared" si="9"/>
      </c>
      <c r="V441" s="2">
        <f t="shared" si="10"/>
      </c>
      <c r="W441" s="2">
        <f t="shared" si="11"/>
      </c>
      <c r="X441" s="2">
        <f t="shared" si="12"/>
      </c>
      <c r="Y441" s="2">
        <f t="shared" si="13"/>
        <v>0</v>
      </c>
      <c r="Z441" s="2">
        <f t="shared" si="14"/>
      </c>
      <c r="AA441" s="2">
        <f t="shared" si="15"/>
        <v>0</v>
      </c>
      <c r="AB441" s="2">
        <f t="shared" si="16"/>
      </c>
      <c r="AC441" s="2">
        <f t="shared" si="17"/>
      </c>
      <c r="AD441" s="2">
        <f t="shared" si="18"/>
      </c>
      <c r="AE441" s="2">
        <f t="shared" si="19"/>
      </c>
      <c r="AF441" s="2">
        <f t="shared" si="20"/>
      </c>
      <c r="AG441" s="2">
        <f t="shared" si="21"/>
      </c>
      <c r="AH441" s="2">
        <f t="shared" si="22"/>
      </c>
      <c r="AI441" s="2">
        <f t="shared" si="23"/>
      </c>
      <c r="AJ441" s="2">
        <f t="shared" si="24"/>
        <v>0</v>
      </c>
      <c r="AK441" s="2">
        <f t="shared" si="25"/>
        <v>0</v>
      </c>
      <c r="AL441" s="2">
        <f t="shared" si="26"/>
        <v>0</v>
      </c>
      <c r="AM441" s="2">
        <f t="shared" si="27"/>
        <v>0</v>
      </c>
      <c r="AN441" s="2">
        <f t="shared" si="28"/>
        <v>0</v>
      </c>
      <c r="AO441" s="2">
        <f t="shared" si="29"/>
      </c>
      <c r="AP441" s="2">
        <f t="shared" si="30"/>
      </c>
      <c r="AQ441" s="2">
        <f t="shared" si="31"/>
      </c>
    </row>
    <row r="442">
      <c r="A442" s="43">
        <f t="shared" si="3"/>
      </c>
      <c r="B442" s="44" t="n"/>
      <c r="C442" s="45" t="n"/>
      <c r="D442" s="46" t="n"/>
      <c r="E442" s="47" t="n"/>
      <c r="F442" s="47" t="n"/>
      <c r="G442" s="48">
        <f t="shared" si="4"/>
      </c>
      <c r="H442" s="43">
        <f t="shared" si="0"/>
      </c>
      <c r="I442" s="43">
        <f t="shared" si="5"/>
      </c>
      <c r="J442" s="43">
        <f t="shared" si="1"/>
      </c>
      <c r="K442" s="49">
        <f t="shared" si="2"/>
      </c>
      <c r="L442" s="45" t="n"/>
      <c r="M442" s="45" t="n"/>
      <c r="N442" s="45" t="n"/>
      <c r="O442" s="45" t="n"/>
      <c r="P442" s="50" t="n"/>
      <c r="R442" s="2">
        <f t="shared" si="6"/>
        <v>0</v>
      </c>
      <c r="S442" s="2">
        <f t="shared" si="7"/>
      </c>
      <c r="T442" s="2">
        <f t="shared" si="8"/>
      </c>
      <c r="U442" s="2">
        <f t="shared" si="9"/>
      </c>
      <c r="V442" s="2">
        <f t="shared" si="10"/>
      </c>
      <c r="W442" s="2">
        <f t="shared" si="11"/>
      </c>
      <c r="X442" s="2">
        <f t="shared" si="12"/>
      </c>
      <c r="Y442" s="2">
        <f t="shared" si="13"/>
        <v>0</v>
      </c>
      <c r="Z442" s="2">
        <f t="shared" si="14"/>
      </c>
      <c r="AA442" s="2">
        <f t="shared" si="15"/>
        <v>0</v>
      </c>
      <c r="AB442" s="2">
        <f t="shared" si="16"/>
      </c>
      <c r="AC442" s="2">
        <f t="shared" si="17"/>
      </c>
      <c r="AD442" s="2">
        <f t="shared" si="18"/>
      </c>
      <c r="AE442" s="2">
        <f t="shared" si="19"/>
      </c>
      <c r="AF442" s="2">
        <f t="shared" si="20"/>
      </c>
      <c r="AG442" s="2">
        <f t="shared" si="21"/>
      </c>
      <c r="AH442" s="2">
        <f t="shared" si="22"/>
      </c>
      <c r="AI442" s="2">
        <f t="shared" si="23"/>
      </c>
      <c r="AJ442" s="2">
        <f t="shared" si="24"/>
        <v>0</v>
      </c>
      <c r="AK442" s="2">
        <f t="shared" si="25"/>
        <v>0</v>
      </c>
      <c r="AL442" s="2">
        <f t="shared" si="26"/>
        <v>0</v>
      </c>
      <c r="AM442" s="2">
        <f t="shared" si="27"/>
        <v>0</v>
      </c>
      <c r="AN442" s="2">
        <f t="shared" si="28"/>
        <v>0</v>
      </c>
      <c r="AO442" s="2">
        <f t="shared" si="29"/>
      </c>
      <c r="AP442" s="2">
        <f t="shared" si="30"/>
      </c>
      <c r="AQ442" s="2">
        <f t="shared" si="31"/>
      </c>
    </row>
    <row r="443">
      <c r="A443" s="43">
        <f t="shared" si="3"/>
      </c>
      <c r="B443" s="44" t="n"/>
      <c r="C443" s="45" t="n"/>
      <c r="D443" s="46" t="n"/>
      <c r="E443" s="47" t="n"/>
      <c r="F443" s="47" t="n"/>
      <c r="G443" s="48">
        <f t="shared" si="4"/>
      </c>
      <c r="H443" s="43">
        <f t="shared" si="0"/>
      </c>
      <c r="I443" s="43">
        <f t="shared" si="5"/>
      </c>
      <c r="J443" s="43">
        <f t="shared" si="1"/>
      </c>
      <c r="K443" s="49">
        <f t="shared" si="2"/>
      </c>
      <c r="L443" s="45" t="n"/>
      <c r="M443" s="45" t="n"/>
      <c r="N443" s="45" t="n"/>
      <c r="O443" s="45" t="n"/>
      <c r="P443" s="50" t="n"/>
      <c r="R443" s="2">
        <f t="shared" si="6"/>
        <v>0</v>
      </c>
      <c r="S443" s="2">
        <f t="shared" si="7"/>
      </c>
      <c r="T443" s="2">
        <f t="shared" si="8"/>
      </c>
      <c r="U443" s="2">
        <f t="shared" si="9"/>
      </c>
      <c r="V443" s="2">
        <f t="shared" si="10"/>
      </c>
      <c r="W443" s="2">
        <f t="shared" si="11"/>
      </c>
      <c r="X443" s="2">
        <f t="shared" si="12"/>
      </c>
      <c r="Y443" s="2">
        <f t="shared" si="13"/>
        <v>0</v>
      </c>
      <c r="Z443" s="2">
        <f t="shared" si="14"/>
      </c>
      <c r="AA443" s="2">
        <f t="shared" si="15"/>
        <v>0</v>
      </c>
      <c r="AB443" s="2">
        <f t="shared" si="16"/>
      </c>
      <c r="AC443" s="2">
        <f t="shared" si="17"/>
      </c>
      <c r="AD443" s="2">
        <f t="shared" si="18"/>
      </c>
      <c r="AE443" s="2">
        <f t="shared" si="19"/>
      </c>
      <c r="AF443" s="2">
        <f t="shared" si="20"/>
      </c>
      <c r="AG443" s="2">
        <f t="shared" si="21"/>
      </c>
      <c r="AH443" s="2">
        <f t="shared" si="22"/>
      </c>
      <c r="AI443" s="2">
        <f t="shared" si="23"/>
      </c>
      <c r="AJ443" s="2">
        <f t="shared" si="24"/>
        <v>0</v>
      </c>
      <c r="AK443" s="2">
        <f t="shared" si="25"/>
        <v>0</v>
      </c>
      <c r="AL443" s="2">
        <f t="shared" si="26"/>
        <v>0</v>
      </c>
      <c r="AM443" s="2">
        <f t="shared" si="27"/>
        <v>0</v>
      </c>
      <c r="AN443" s="2">
        <f t="shared" si="28"/>
        <v>0</v>
      </c>
      <c r="AO443" s="2">
        <f t="shared" si="29"/>
      </c>
      <c r="AP443" s="2">
        <f t="shared" si="30"/>
      </c>
      <c r="AQ443" s="2">
        <f t="shared" si="31"/>
      </c>
    </row>
    <row r="444">
      <c r="A444" s="43">
        <f t="shared" si="3"/>
      </c>
      <c r="B444" s="44" t="n"/>
      <c r="C444" s="45" t="n"/>
      <c r="D444" s="46" t="n"/>
      <c r="E444" s="47" t="n"/>
      <c r="F444" s="47" t="n"/>
      <c r="G444" s="48">
        <f t="shared" si="4"/>
      </c>
      <c r="H444" s="43">
        <f t="shared" si="0"/>
      </c>
      <c r="I444" s="43">
        <f t="shared" si="5"/>
      </c>
      <c r="J444" s="43">
        <f t="shared" si="1"/>
      </c>
      <c r="K444" s="49">
        <f t="shared" si="2"/>
      </c>
      <c r="L444" s="45" t="n"/>
      <c r="M444" s="45" t="n"/>
      <c r="N444" s="45" t="n"/>
      <c r="O444" s="45" t="n"/>
      <c r="P444" s="50" t="n"/>
      <c r="R444" s="2">
        <f t="shared" si="6"/>
        <v>0</v>
      </c>
      <c r="S444" s="2">
        <f t="shared" si="7"/>
      </c>
      <c r="T444" s="2">
        <f t="shared" si="8"/>
      </c>
      <c r="U444" s="2">
        <f t="shared" si="9"/>
      </c>
      <c r="V444" s="2">
        <f t="shared" si="10"/>
      </c>
      <c r="W444" s="2">
        <f t="shared" si="11"/>
      </c>
      <c r="X444" s="2">
        <f t="shared" si="12"/>
      </c>
      <c r="Y444" s="2">
        <f t="shared" si="13"/>
        <v>0</v>
      </c>
      <c r="Z444" s="2">
        <f t="shared" si="14"/>
      </c>
      <c r="AA444" s="2">
        <f t="shared" si="15"/>
        <v>0</v>
      </c>
      <c r="AB444" s="2">
        <f t="shared" si="16"/>
      </c>
      <c r="AC444" s="2">
        <f t="shared" si="17"/>
      </c>
      <c r="AD444" s="2">
        <f t="shared" si="18"/>
      </c>
      <c r="AE444" s="2">
        <f t="shared" si="19"/>
      </c>
      <c r="AF444" s="2">
        <f t="shared" si="20"/>
      </c>
      <c r="AG444" s="2">
        <f t="shared" si="21"/>
      </c>
      <c r="AH444" s="2">
        <f t="shared" si="22"/>
      </c>
      <c r="AI444" s="2">
        <f t="shared" si="23"/>
      </c>
      <c r="AJ444" s="2">
        <f t="shared" si="24"/>
        <v>0</v>
      </c>
      <c r="AK444" s="2">
        <f t="shared" si="25"/>
        <v>0</v>
      </c>
      <c r="AL444" s="2">
        <f t="shared" si="26"/>
        <v>0</v>
      </c>
      <c r="AM444" s="2">
        <f t="shared" si="27"/>
        <v>0</v>
      </c>
      <c r="AN444" s="2">
        <f t="shared" si="28"/>
        <v>0</v>
      </c>
      <c r="AO444" s="2">
        <f t="shared" si="29"/>
      </c>
      <c r="AP444" s="2">
        <f t="shared" si="30"/>
      </c>
      <c r="AQ444" s="2">
        <f t="shared" si="31"/>
      </c>
    </row>
    <row r="445">
      <c r="A445" s="43">
        <f t="shared" si="3"/>
      </c>
      <c r="B445" s="44" t="n"/>
      <c r="C445" s="45" t="n"/>
      <c r="D445" s="46" t="n"/>
      <c r="E445" s="47" t="n"/>
      <c r="F445" s="47" t="n"/>
      <c r="G445" s="48">
        <f t="shared" si="4"/>
      </c>
      <c r="H445" s="43">
        <f t="shared" si="0"/>
      </c>
      <c r="I445" s="43">
        <f t="shared" si="5"/>
      </c>
      <c r="J445" s="43">
        <f t="shared" si="1"/>
      </c>
      <c r="K445" s="49">
        <f t="shared" si="2"/>
      </c>
      <c r="L445" s="45" t="n"/>
      <c r="M445" s="45" t="n"/>
      <c r="N445" s="45" t="n"/>
      <c r="O445" s="45" t="n"/>
      <c r="P445" s="50" t="n"/>
      <c r="R445" s="2">
        <f t="shared" si="6"/>
        <v>0</v>
      </c>
      <c r="S445" s="2">
        <f t="shared" si="7"/>
      </c>
      <c r="T445" s="2">
        <f t="shared" si="8"/>
      </c>
      <c r="U445" s="2">
        <f t="shared" si="9"/>
      </c>
      <c r="V445" s="2">
        <f t="shared" si="10"/>
      </c>
      <c r="W445" s="2">
        <f t="shared" si="11"/>
      </c>
      <c r="X445" s="2">
        <f t="shared" si="12"/>
      </c>
      <c r="Y445" s="2">
        <f t="shared" si="13"/>
        <v>0</v>
      </c>
      <c r="Z445" s="2">
        <f t="shared" si="14"/>
      </c>
      <c r="AA445" s="2">
        <f t="shared" si="15"/>
        <v>0</v>
      </c>
      <c r="AB445" s="2">
        <f t="shared" si="16"/>
      </c>
      <c r="AC445" s="2">
        <f t="shared" si="17"/>
      </c>
      <c r="AD445" s="2">
        <f t="shared" si="18"/>
      </c>
      <c r="AE445" s="2">
        <f t="shared" si="19"/>
      </c>
      <c r="AF445" s="2">
        <f t="shared" si="20"/>
      </c>
      <c r="AG445" s="2">
        <f t="shared" si="21"/>
      </c>
      <c r="AH445" s="2">
        <f t="shared" si="22"/>
      </c>
      <c r="AI445" s="2">
        <f t="shared" si="23"/>
      </c>
      <c r="AJ445" s="2">
        <f t="shared" si="24"/>
        <v>0</v>
      </c>
      <c r="AK445" s="2">
        <f t="shared" si="25"/>
        <v>0</v>
      </c>
      <c r="AL445" s="2">
        <f t="shared" si="26"/>
        <v>0</v>
      </c>
      <c r="AM445" s="2">
        <f t="shared" si="27"/>
        <v>0</v>
      </c>
      <c r="AN445" s="2">
        <f t="shared" si="28"/>
        <v>0</v>
      </c>
      <c r="AO445" s="2">
        <f t="shared" si="29"/>
      </c>
      <c r="AP445" s="2">
        <f t="shared" si="30"/>
      </c>
      <c r="AQ445" s="2">
        <f t="shared" si="31"/>
      </c>
    </row>
    <row r="446">
      <c r="A446" s="43">
        <f t="shared" si="3"/>
      </c>
      <c r="B446" s="44" t="n"/>
      <c r="C446" s="45" t="n"/>
      <c r="D446" s="46" t="n"/>
      <c r="E446" s="47" t="n"/>
      <c r="F446" s="47" t="n"/>
      <c r="G446" s="48">
        <f t="shared" si="4"/>
      </c>
      <c r="H446" s="43">
        <f t="shared" si="0"/>
      </c>
      <c r="I446" s="43">
        <f t="shared" si="5"/>
      </c>
      <c r="J446" s="43">
        <f t="shared" si="1"/>
      </c>
      <c r="K446" s="49">
        <f t="shared" si="2"/>
      </c>
      <c r="L446" s="45" t="n"/>
      <c r="M446" s="45" t="n"/>
      <c r="N446" s="45" t="n"/>
      <c r="O446" s="45" t="n"/>
      <c r="P446" s="50" t="n"/>
      <c r="R446" s="2">
        <f t="shared" si="6"/>
        <v>0</v>
      </c>
      <c r="S446" s="2">
        <f t="shared" si="7"/>
      </c>
      <c r="T446" s="2">
        <f t="shared" si="8"/>
      </c>
      <c r="U446" s="2">
        <f t="shared" si="9"/>
      </c>
      <c r="V446" s="2">
        <f t="shared" si="10"/>
      </c>
      <c r="W446" s="2">
        <f t="shared" si="11"/>
      </c>
      <c r="X446" s="2">
        <f t="shared" si="12"/>
      </c>
      <c r="Y446" s="2">
        <f t="shared" si="13"/>
        <v>0</v>
      </c>
      <c r="Z446" s="2">
        <f t="shared" si="14"/>
      </c>
      <c r="AA446" s="2">
        <f t="shared" si="15"/>
        <v>0</v>
      </c>
      <c r="AB446" s="2">
        <f t="shared" si="16"/>
      </c>
      <c r="AC446" s="2">
        <f t="shared" si="17"/>
      </c>
      <c r="AD446" s="2">
        <f t="shared" si="18"/>
      </c>
      <c r="AE446" s="2">
        <f t="shared" si="19"/>
      </c>
      <c r="AF446" s="2">
        <f t="shared" si="20"/>
      </c>
      <c r="AG446" s="2">
        <f t="shared" si="21"/>
      </c>
      <c r="AH446" s="2">
        <f t="shared" si="22"/>
      </c>
      <c r="AI446" s="2">
        <f t="shared" si="23"/>
      </c>
      <c r="AJ446" s="2">
        <f t="shared" si="24"/>
        <v>0</v>
      </c>
      <c r="AK446" s="2">
        <f t="shared" si="25"/>
        <v>0</v>
      </c>
      <c r="AL446" s="2">
        <f t="shared" si="26"/>
        <v>0</v>
      </c>
      <c r="AM446" s="2">
        <f t="shared" si="27"/>
        <v>0</v>
      </c>
      <c r="AN446" s="2">
        <f t="shared" si="28"/>
        <v>0</v>
      </c>
      <c r="AO446" s="2">
        <f t="shared" si="29"/>
      </c>
      <c r="AP446" s="2">
        <f t="shared" si="30"/>
      </c>
      <c r="AQ446" s="2">
        <f t="shared" si="31"/>
      </c>
    </row>
    <row r="447">
      <c r="A447" s="43">
        <f t="shared" si="3"/>
      </c>
      <c r="B447" s="44" t="n"/>
      <c r="C447" s="45" t="n"/>
      <c r="D447" s="46" t="n"/>
      <c r="E447" s="47" t="n"/>
      <c r="F447" s="47" t="n"/>
      <c r="G447" s="48">
        <f t="shared" si="4"/>
      </c>
      <c r="H447" s="43">
        <f t="shared" si="0"/>
      </c>
      <c r="I447" s="43">
        <f t="shared" si="5"/>
      </c>
      <c r="J447" s="43">
        <f t="shared" si="1"/>
      </c>
      <c r="K447" s="49">
        <f t="shared" si="2"/>
      </c>
      <c r="L447" s="45" t="n"/>
      <c r="M447" s="45" t="n"/>
      <c r="N447" s="45" t="n"/>
      <c r="O447" s="45" t="n"/>
      <c r="P447" s="50" t="n"/>
      <c r="R447" s="2">
        <f t="shared" si="6"/>
        <v>0</v>
      </c>
      <c r="S447" s="2">
        <f t="shared" si="7"/>
      </c>
      <c r="T447" s="2">
        <f t="shared" si="8"/>
      </c>
      <c r="U447" s="2">
        <f t="shared" si="9"/>
      </c>
      <c r="V447" s="2">
        <f t="shared" si="10"/>
      </c>
      <c r="W447" s="2">
        <f t="shared" si="11"/>
      </c>
      <c r="X447" s="2">
        <f t="shared" si="12"/>
      </c>
      <c r="Y447" s="2">
        <f t="shared" si="13"/>
        <v>0</v>
      </c>
      <c r="Z447" s="2">
        <f t="shared" si="14"/>
      </c>
      <c r="AA447" s="2">
        <f t="shared" si="15"/>
        <v>0</v>
      </c>
      <c r="AB447" s="2">
        <f t="shared" si="16"/>
      </c>
      <c r="AC447" s="2">
        <f t="shared" si="17"/>
      </c>
      <c r="AD447" s="2">
        <f t="shared" si="18"/>
      </c>
      <c r="AE447" s="2">
        <f t="shared" si="19"/>
      </c>
      <c r="AF447" s="2">
        <f t="shared" si="20"/>
      </c>
      <c r="AG447" s="2">
        <f t="shared" si="21"/>
      </c>
      <c r="AH447" s="2">
        <f t="shared" si="22"/>
      </c>
      <c r="AI447" s="2">
        <f t="shared" si="23"/>
      </c>
      <c r="AJ447" s="2">
        <f t="shared" si="24"/>
        <v>0</v>
      </c>
      <c r="AK447" s="2">
        <f t="shared" si="25"/>
        <v>0</v>
      </c>
      <c r="AL447" s="2">
        <f t="shared" si="26"/>
        <v>0</v>
      </c>
      <c r="AM447" s="2">
        <f t="shared" si="27"/>
        <v>0</v>
      </c>
      <c r="AN447" s="2">
        <f t="shared" si="28"/>
        <v>0</v>
      </c>
      <c r="AO447" s="2">
        <f t="shared" si="29"/>
      </c>
      <c r="AP447" s="2">
        <f t="shared" si="30"/>
      </c>
      <c r="AQ447" s="2">
        <f t="shared" si="31"/>
      </c>
    </row>
    <row r="448">
      <c r="A448" s="43">
        <f t="shared" si="3"/>
      </c>
      <c r="B448" s="44" t="n"/>
      <c r="C448" s="45" t="n"/>
      <c r="D448" s="46" t="n"/>
      <c r="E448" s="47" t="n"/>
      <c r="F448" s="47" t="n"/>
      <c r="G448" s="48">
        <f t="shared" si="4"/>
      </c>
      <c r="H448" s="43">
        <f t="shared" si="0"/>
      </c>
      <c r="I448" s="43">
        <f t="shared" si="5"/>
      </c>
      <c r="J448" s="43">
        <f t="shared" si="1"/>
      </c>
      <c r="K448" s="49">
        <f t="shared" si="2"/>
      </c>
      <c r="L448" s="45" t="n"/>
      <c r="M448" s="45" t="n"/>
      <c r="N448" s="45" t="n"/>
      <c r="O448" s="45" t="n"/>
      <c r="P448" s="50" t="n"/>
      <c r="R448" s="2">
        <f t="shared" si="6"/>
        <v>0</v>
      </c>
      <c r="S448" s="2">
        <f t="shared" si="7"/>
      </c>
      <c r="T448" s="2">
        <f t="shared" si="8"/>
      </c>
      <c r="U448" s="2">
        <f t="shared" si="9"/>
      </c>
      <c r="V448" s="2">
        <f t="shared" si="10"/>
      </c>
      <c r="W448" s="2">
        <f t="shared" si="11"/>
      </c>
      <c r="X448" s="2">
        <f t="shared" si="12"/>
      </c>
      <c r="Y448" s="2">
        <f t="shared" si="13"/>
        <v>0</v>
      </c>
      <c r="Z448" s="2">
        <f t="shared" si="14"/>
      </c>
      <c r="AA448" s="2">
        <f t="shared" si="15"/>
        <v>0</v>
      </c>
      <c r="AB448" s="2">
        <f t="shared" si="16"/>
      </c>
      <c r="AC448" s="2">
        <f t="shared" si="17"/>
      </c>
      <c r="AD448" s="2">
        <f t="shared" si="18"/>
      </c>
      <c r="AE448" s="2">
        <f t="shared" si="19"/>
      </c>
      <c r="AF448" s="2">
        <f t="shared" si="20"/>
      </c>
      <c r="AG448" s="2">
        <f t="shared" si="21"/>
      </c>
      <c r="AH448" s="2">
        <f t="shared" si="22"/>
      </c>
      <c r="AI448" s="2">
        <f t="shared" si="23"/>
      </c>
      <c r="AJ448" s="2">
        <f t="shared" si="24"/>
        <v>0</v>
      </c>
      <c r="AK448" s="2">
        <f t="shared" si="25"/>
        <v>0</v>
      </c>
      <c r="AL448" s="2">
        <f t="shared" si="26"/>
        <v>0</v>
      </c>
      <c r="AM448" s="2">
        <f t="shared" si="27"/>
        <v>0</v>
      </c>
      <c r="AN448" s="2">
        <f t="shared" si="28"/>
        <v>0</v>
      </c>
      <c r="AO448" s="2">
        <f t="shared" si="29"/>
      </c>
      <c r="AP448" s="2">
        <f t="shared" si="30"/>
      </c>
      <c r="AQ448" s="2">
        <f t="shared" si="31"/>
      </c>
    </row>
    <row r="449">
      <c r="A449" s="43">
        <f t="shared" si="3"/>
      </c>
      <c r="B449" s="44" t="n"/>
      <c r="C449" s="45" t="n"/>
      <c r="D449" s="46" t="n"/>
      <c r="E449" s="47" t="n"/>
      <c r="F449" s="47" t="n"/>
      <c r="G449" s="48">
        <f t="shared" si="4"/>
      </c>
      <c r="H449" s="43">
        <f t="shared" si="0"/>
      </c>
      <c r="I449" s="43">
        <f t="shared" si="5"/>
      </c>
      <c r="J449" s="43">
        <f t="shared" si="1"/>
      </c>
      <c r="K449" s="49">
        <f t="shared" si="2"/>
      </c>
      <c r="L449" s="45" t="n"/>
      <c r="M449" s="45" t="n"/>
      <c r="N449" s="45" t="n"/>
      <c r="O449" s="45" t="n"/>
      <c r="P449" s="50" t="n"/>
      <c r="R449" s="2">
        <f t="shared" si="6"/>
        <v>0</v>
      </c>
      <c r="S449" s="2">
        <f t="shared" si="7"/>
      </c>
      <c r="T449" s="2">
        <f t="shared" si="8"/>
      </c>
      <c r="U449" s="2">
        <f t="shared" si="9"/>
      </c>
      <c r="V449" s="2">
        <f t="shared" si="10"/>
      </c>
      <c r="W449" s="2">
        <f t="shared" si="11"/>
      </c>
      <c r="X449" s="2">
        <f t="shared" si="12"/>
      </c>
      <c r="Y449" s="2">
        <f t="shared" si="13"/>
        <v>0</v>
      </c>
      <c r="Z449" s="2">
        <f t="shared" si="14"/>
      </c>
      <c r="AA449" s="2">
        <f t="shared" si="15"/>
        <v>0</v>
      </c>
      <c r="AB449" s="2">
        <f t="shared" si="16"/>
      </c>
      <c r="AC449" s="2">
        <f t="shared" si="17"/>
      </c>
      <c r="AD449" s="2">
        <f t="shared" si="18"/>
      </c>
      <c r="AE449" s="2">
        <f t="shared" si="19"/>
      </c>
      <c r="AF449" s="2">
        <f t="shared" si="20"/>
      </c>
      <c r="AG449" s="2">
        <f t="shared" si="21"/>
      </c>
      <c r="AH449" s="2">
        <f t="shared" si="22"/>
      </c>
      <c r="AI449" s="2">
        <f t="shared" si="23"/>
      </c>
      <c r="AJ449" s="2">
        <f t="shared" si="24"/>
        <v>0</v>
      </c>
      <c r="AK449" s="2">
        <f t="shared" si="25"/>
        <v>0</v>
      </c>
      <c r="AL449" s="2">
        <f t="shared" si="26"/>
        <v>0</v>
      </c>
      <c r="AM449" s="2">
        <f t="shared" si="27"/>
        <v>0</v>
      </c>
      <c r="AN449" s="2">
        <f t="shared" si="28"/>
        <v>0</v>
      </c>
      <c r="AO449" s="2">
        <f t="shared" si="29"/>
      </c>
      <c r="AP449" s="2">
        <f t="shared" si="30"/>
      </c>
      <c r="AQ449" s="2">
        <f t="shared" si="31"/>
      </c>
    </row>
    <row r="450">
      <c r="A450" s="43">
        <f t="shared" si="3"/>
      </c>
      <c r="B450" s="44" t="n"/>
      <c r="C450" s="45" t="n"/>
      <c r="D450" s="46" t="n"/>
      <c r="E450" s="47" t="n"/>
      <c r="F450" s="47" t="n"/>
      <c r="G450" s="48">
        <f t="shared" si="4"/>
      </c>
      <c r="H450" s="43">
        <f t="shared" si="0"/>
      </c>
      <c r="I450" s="43">
        <f t="shared" si="5"/>
      </c>
      <c r="J450" s="43">
        <f t="shared" si="1"/>
      </c>
      <c r="K450" s="49">
        <f t="shared" si="2"/>
      </c>
      <c r="L450" s="45" t="n"/>
      <c r="M450" s="45" t="n"/>
      <c r="N450" s="45" t="n"/>
      <c r="O450" s="45" t="n"/>
      <c r="P450" s="50" t="n"/>
      <c r="R450" s="2">
        <f t="shared" si="6"/>
        <v>0</v>
      </c>
      <c r="S450" s="2">
        <f t="shared" si="7"/>
      </c>
      <c r="T450" s="2">
        <f t="shared" si="8"/>
      </c>
      <c r="U450" s="2">
        <f t="shared" si="9"/>
      </c>
      <c r="V450" s="2">
        <f t="shared" si="10"/>
      </c>
      <c r="W450" s="2">
        <f t="shared" si="11"/>
      </c>
      <c r="X450" s="2">
        <f t="shared" si="12"/>
      </c>
      <c r="Y450" s="2">
        <f t="shared" si="13"/>
        <v>0</v>
      </c>
      <c r="Z450" s="2">
        <f t="shared" si="14"/>
      </c>
      <c r="AA450" s="2">
        <f t="shared" si="15"/>
        <v>0</v>
      </c>
      <c r="AB450" s="2">
        <f t="shared" si="16"/>
      </c>
      <c r="AC450" s="2">
        <f t="shared" si="17"/>
      </c>
      <c r="AD450" s="2">
        <f t="shared" si="18"/>
      </c>
      <c r="AE450" s="2">
        <f t="shared" si="19"/>
      </c>
      <c r="AF450" s="2">
        <f t="shared" si="20"/>
      </c>
      <c r="AG450" s="2">
        <f t="shared" si="21"/>
      </c>
      <c r="AH450" s="2">
        <f t="shared" si="22"/>
      </c>
      <c r="AI450" s="2">
        <f t="shared" si="23"/>
      </c>
      <c r="AJ450" s="2">
        <f t="shared" si="24"/>
        <v>0</v>
      </c>
      <c r="AK450" s="2">
        <f t="shared" si="25"/>
        <v>0</v>
      </c>
      <c r="AL450" s="2">
        <f t="shared" si="26"/>
        <v>0</v>
      </c>
      <c r="AM450" s="2">
        <f t="shared" si="27"/>
        <v>0</v>
      </c>
      <c r="AN450" s="2">
        <f t="shared" si="28"/>
        <v>0</v>
      </c>
      <c r="AO450" s="2">
        <f t="shared" si="29"/>
      </c>
      <c r="AP450" s="2">
        <f t="shared" si="30"/>
      </c>
      <c r="AQ450" s="2">
        <f t="shared" si="31"/>
      </c>
    </row>
    <row r="451">
      <c r="A451" s="43">
        <f t="shared" si="3"/>
      </c>
      <c r="B451" s="44" t="n"/>
      <c r="C451" s="45" t="n"/>
      <c r="D451" s="46" t="n"/>
      <c r="E451" s="47" t="n"/>
      <c r="F451" s="47" t="n"/>
      <c r="G451" s="48">
        <f t="shared" si="4"/>
      </c>
      <c r="H451" s="43">
        <f t="shared" si="0"/>
      </c>
      <c r="I451" s="43">
        <f t="shared" si="5"/>
      </c>
      <c r="J451" s="43">
        <f t="shared" si="1"/>
      </c>
      <c r="K451" s="49">
        <f t="shared" si="2"/>
      </c>
      <c r="L451" s="45" t="n"/>
      <c r="M451" s="45" t="n"/>
      <c r="N451" s="45" t="n"/>
      <c r="O451" s="45" t="n"/>
      <c r="P451" s="50" t="n"/>
      <c r="R451" s="2">
        <f t="shared" si="6"/>
        <v>0</v>
      </c>
      <c r="S451" s="2">
        <f t="shared" si="7"/>
      </c>
      <c r="T451" s="2">
        <f t="shared" si="8"/>
      </c>
      <c r="U451" s="2">
        <f t="shared" si="9"/>
      </c>
      <c r="V451" s="2">
        <f t="shared" si="10"/>
      </c>
      <c r="W451" s="2">
        <f t="shared" si="11"/>
      </c>
      <c r="X451" s="2">
        <f t="shared" si="12"/>
      </c>
      <c r="Y451" s="2">
        <f t="shared" si="13"/>
        <v>0</v>
      </c>
      <c r="Z451" s="2">
        <f t="shared" si="14"/>
      </c>
      <c r="AA451" s="2">
        <f t="shared" si="15"/>
        <v>0</v>
      </c>
      <c r="AB451" s="2">
        <f t="shared" si="16"/>
      </c>
      <c r="AC451" s="2">
        <f t="shared" si="17"/>
      </c>
      <c r="AD451" s="2">
        <f t="shared" si="18"/>
      </c>
      <c r="AE451" s="2">
        <f t="shared" si="19"/>
      </c>
      <c r="AF451" s="2">
        <f t="shared" si="20"/>
      </c>
      <c r="AG451" s="2">
        <f t="shared" si="21"/>
      </c>
      <c r="AH451" s="2">
        <f t="shared" si="22"/>
      </c>
      <c r="AI451" s="2">
        <f t="shared" si="23"/>
      </c>
      <c r="AJ451" s="2">
        <f t="shared" si="24"/>
        <v>0</v>
      </c>
      <c r="AK451" s="2">
        <f t="shared" si="25"/>
        <v>0</v>
      </c>
      <c r="AL451" s="2">
        <f t="shared" si="26"/>
        <v>0</v>
      </c>
      <c r="AM451" s="2">
        <f t="shared" si="27"/>
        <v>0</v>
      </c>
      <c r="AN451" s="2">
        <f t="shared" si="28"/>
        <v>0</v>
      </c>
      <c r="AO451" s="2">
        <f t="shared" si="29"/>
      </c>
      <c r="AP451" s="2">
        <f t="shared" si="30"/>
      </c>
      <c r="AQ451" s="2">
        <f t="shared" si="31"/>
      </c>
    </row>
    <row r="452">
      <c r="A452" s="43">
        <f t="shared" si="3"/>
      </c>
      <c r="B452" s="44" t="n"/>
      <c r="C452" s="45" t="n"/>
      <c r="D452" s="46" t="n"/>
      <c r="E452" s="47" t="n"/>
      <c r="F452" s="47" t="n"/>
      <c r="G452" s="48">
        <f t="shared" si="4"/>
      </c>
      <c r="H452" s="43">
        <f t="shared" si="0"/>
      </c>
      <c r="I452" s="43">
        <f t="shared" si="5"/>
      </c>
      <c r="J452" s="43">
        <f t="shared" si="1"/>
      </c>
      <c r="K452" s="49">
        <f t="shared" si="2"/>
      </c>
      <c r="L452" s="45" t="n"/>
      <c r="M452" s="45" t="n"/>
      <c r="N452" s="45" t="n"/>
      <c r="O452" s="45" t="n"/>
      <c r="P452" s="50" t="n"/>
      <c r="R452" s="2">
        <f t="shared" si="6"/>
        <v>0</v>
      </c>
      <c r="S452" s="2">
        <f t="shared" si="7"/>
      </c>
      <c r="T452" s="2">
        <f t="shared" si="8"/>
      </c>
      <c r="U452" s="2">
        <f t="shared" si="9"/>
      </c>
      <c r="V452" s="2">
        <f t="shared" si="10"/>
      </c>
      <c r="W452" s="2">
        <f t="shared" si="11"/>
      </c>
      <c r="X452" s="2">
        <f t="shared" si="12"/>
      </c>
      <c r="Y452" s="2">
        <f t="shared" si="13"/>
        <v>0</v>
      </c>
      <c r="Z452" s="2">
        <f t="shared" si="14"/>
      </c>
      <c r="AA452" s="2">
        <f t="shared" si="15"/>
        <v>0</v>
      </c>
      <c r="AB452" s="2">
        <f t="shared" si="16"/>
      </c>
      <c r="AC452" s="2">
        <f t="shared" si="17"/>
      </c>
      <c r="AD452" s="2">
        <f t="shared" si="18"/>
      </c>
      <c r="AE452" s="2">
        <f t="shared" si="19"/>
      </c>
      <c r="AF452" s="2">
        <f t="shared" si="20"/>
      </c>
      <c r="AG452" s="2">
        <f t="shared" si="21"/>
      </c>
      <c r="AH452" s="2">
        <f t="shared" si="22"/>
      </c>
      <c r="AI452" s="2">
        <f t="shared" si="23"/>
      </c>
      <c r="AJ452" s="2">
        <f t="shared" si="24"/>
        <v>0</v>
      </c>
      <c r="AK452" s="2">
        <f t="shared" si="25"/>
        <v>0</v>
      </c>
      <c r="AL452" s="2">
        <f t="shared" si="26"/>
        <v>0</v>
      </c>
      <c r="AM452" s="2">
        <f t="shared" si="27"/>
        <v>0</v>
      </c>
      <c r="AN452" s="2">
        <f t="shared" si="28"/>
        <v>0</v>
      </c>
      <c r="AO452" s="2">
        <f t="shared" si="29"/>
      </c>
      <c r="AP452" s="2">
        <f t="shared" si="30"/>
      </c>
      <c r="AQ452" s="2">
        <f t="shared" si="31"/>
      </c>
    </row>
    <row r="453">
      <c r="A453" s="43">
        <f t="shared" si="3"/>
      </c>
      <c r="B453" s="44" t="n"/>
      <c r="C453" s="45" t="n"/>
      <c r="D453" s="46" t="n"/>
      <c r="E453" s="47" t="n"/>
      <c r="F453" s="47" t="n"/>
      <c r="G453" s="48">
        <f t="shared" si="4"/>
      </c>
      <c r="H453" s="43">
        <f t="shared" si="0"/>
      </c>
      <c r="I453" s="43">
        <f t="shared" si="5"/>
      </c>
      <c r="J453" s="43">
        <f t="shared" si="1"/>
      </c>
      <c r="K453" s="49">
        <f t="shared" si="2"/>
      </c>
      <c r="L453" s="45" t="n"/>
      <c r="M453" s="45" t="n"/>
      <c r="N453" s="45" t="n"/>
      <c r="O453" s="45" t="n"/>
      <c r="P453" s="50" t="n"/>
      <c r="R453" s="2">
        <f t="shared" si="6"/>
        <v>0</v>
      </c>
      <c r="S453" s="2">
        <f t="shared" si="7"/>
      </c>
      <c r="T453" s="2">
        <f t="shared" si="8"/>
      </c>
      <c r="U453" s="2">
        <f t="shared" si="9"/>
      </c>
      <c r="V453" s="2">
        <f t="shared" si="10"/>
      </c>
      <c r="W453" s="2">
        <f t="shared" si="11"/>
      </c>
      <c r="X453" s="2">
        <f t="shared" si="12"/>
      </c>
      <c r="Y453" s="2">
        <f t="shared" si="13"/>
        <v>0</v>
      </c>
      <c r="Z453" s="2">
        <f t="shared" si="14"/>
      </c>
      <c r="AA453" s="2">
        <f t="shared" si="15"/>
        <v>0</v>
      </c>
      <c r="AB453" s="2">
        <f t="shared" si="16"/>
      </c>
      <c r="AC453" s="2">
        <f t="shared" si="17"/>
      </c>
      <c r="AD453" s="2">
        <f t="shared" si="18"/>
      </c>
      <c r="AE453" s="2">
        <f t="shared" si="19"/>
      </c>
      <c r="AF453" s="2">
        <f t="shared" si="20"/>
      </c>
      <c r="AG453" s="2">
        <f t="shared" si="21"/>
      </c>
      <c r="AH453" s="2">
        <f t="shared" si="22"/>
      </c>
      <c r="AI453" s="2">
        <f t="shared" si="23"/>
      </c>
      <c r="AJ453" s="2">
        <f t="shared" si="24"/>
        <v>0</v>
      </c>
      <c r="AK453" s="2">
        <f t="shared" si="25"/>
        <v>0</v>
      </c>
      <c r="AL453" s="2">
        <f t="shared" si="26"/>
        <v>0</v>
      </c>
      <c r="AM453" s="2">
        <f t="shared" si="27"/>
        <v>0</v>
      </c>
      <c r="AN453" s="2">
        <f t="shared" si="28"/>
        <v>0</v>
      </c>
      <c r="AO453" s="2">
        <f t="shared" si="29"/>
      </c>
      <c r="AP453" s="2">
        <f t="shared" si="30"/>
      </c>
      <c r="AQ453" s="2">
        <f t="shared" si="31"/>
      </c>
    </row>
    <row r="454">
      <c r="A454" s="43">
        <f t="shared" si="3"/>
      </c>
      <c r="B454" s="44" t="n"/>
      <c r="C454" s="45" t="n"/>
      <c r="D454" s="46" t="n"/>
      <c r="E454" s="47" t="n"/>
      <c r="F454" s="47" t="n"/>
      <c r="G454" s="48">
        <f t="shared" si="4"/>
      </c>
      <c r="H454" s="43">
        <f t="shared" si="0"/>
      </c>
      <c r="I454" s="43">
        <f t="shared" si="5"/>
      </c>
      <c r="J454" s="43">
        <f t="shared" si="1"/>
      </c>
      <c r="K454" s="49">
        <f t="shared" si="2"/>
      </c>
      <c r="L454" s="45" t="n"/>
      <c r="M454" s="45" t="n"/>
      <c r="N454" s="45" t="n"/>
      <c r="O454" s="45" t="n"/>
      <c r="P454" s="50" t="n"/>
      <c r="R454" s="2">
        <f t="shared" si="6"/>
        <v>0</v>
      </c>
      <c r="S454" s="2">
        <f t="shared" si="7"/>
      </c>
      <c r="T454" s="2">
        <f t="shared" si="8"/>
      </c>
      <c r="U454" s="2">
        <f t="shared" si="9"/>
      </c>
      <c r="V454" s="2">
        <f t="shared" si="10"/>
      </c>
      <c r="W454" s="2">
        <f t="shared" si="11"/>
      </c>
      <c r="X454" s="2">
        <f t="shared" si="12"/>
      </c>
      <c r="Y454" s="2">
        <f t="shared" si="13"/>
        <v>0</v>
      </c>
      <c r="Z454" s="2">
        <f t="shared" si="14"/>
      </c>
      <c r="AA454" s="2">
        <f t="shared" si="15"/>
        <v>0</v>
      </c>
      <c r="AB454" s="2">
        <f t="shared" si="16"/>
      </c>
      <c r="AC454" s="2">
        <f t="shared" si="17"/>
      </c>
      <c r="AD454" s="2">
        <f t="shared" si="18"/>
      </c>
      <c r="AE454" s="2">
        <f t="shared" si="19"/>
      </c>
      <c r="AF454" s="2">
        <f t="shared" si="20"/>
      </c>
      <c r="AG454" s="2">
        <f t="shared" si="21"/>
      </c>
      <c r="AH454" s="2">
        <f t="shared" si="22"/>
      </c>
      <c r="AI454" s="2">
        <f t="shared" si="23"/>
      </c>
      <c r="AJ454" s="2">
        <f t="shared" si="24"/>
        <v>0</v>
      </c>
      <c r="AK454" s="2">
        <f t="shared" si="25"/>
        <v>0</v>
      </c>
      <c r="AL454" s="2">
        <f t="shared" si="26"/>
        <v>0</v>
      </c>
      <c r="AM454" s="2">
        <f t="shared" si="27"/>
        <v>0</v>
      </c>
      <c r="AN454" s="2">
        <f t="shared" si="28"/>
        <v>0</v>
      </c>
      <c r="AO454" s="2">
        <f t="shared" si="29"/>
      </c>
      <c r="AP454" s="2">
        <f t="shared" si="30"/>
      </c>
      <c r="AQ454" s="2">
        <f t="shared" si="31"/>
      </c>
    </row>
    <row r="455">
      <c r="A455" s="43">
        <f t="shared" si="3"/>
      </c>
      <c r="B455" s="44" t="n"/>
      <c r="C455" s="45" t="n"/>
      <c r="D455" s="46" t="n"/>
      <c r="E455" s="47" t="n"/>
      <c r="F455" s="47" t="n"/>
      <c r="G455" s="48">
        <f t="shared" si="4"/>
      </c>
      <c r="H455" s="43">
        <f t="shared" si="0"/>
      </c>
      <c r="I455" s="43">
        <f t="shared" si="5"/>
      </c>
      <c r="J455" s="43">
        <f t="shared" si="1"/>
      </c>
      <c r="K455" s="49">
        <f t="shared" si="2"/>
      </c>
      <c r="L455" s="45" t="n"/>
      <c r="M455" s="45" t="n"/>
      <c r="N455" s="45" t="n"/>
      <c r="O455" s="45" t="n"/>
      <c r="P455" s="50" t="n"/>
      <c r="R455" s="2">
        <f t="shared" si="6"/>
        <v>0</v>
      </c>
      <c r="S455" s="2">
        <f t="shared" si="7"/>
      </c>
      <c r="T455" s="2">
        <f t="shared" si="8"/>
      </c>
      <c r="U455" s="2">
        <f t="shared" si="9"/>
      </c>
      <c r="V455" s="2">
        <f t="shared" si="10"/>
      </c>
      <c r="W455" s="2">
        <f t="shared" si="11"/>
      </c>
      <c r="X455" s="2">
        <f t="shared" si="12"/>
      </c>
      <c r="Y455" s="2">
        <f t="shared" si="13"/>
        <v>0</v>
      </c>
      <c r="Z455" s="2">
        <f t="shared" si="14"/>
      </c>
      <c r="AA455" s="2">
        <f t="shared" si="15"/>
        <v>0</v>
      </c>
      <c r="AB455" s="2">
        <f t="shared" si="16"/>
      </c>
      <c r="AC455" s="2">
        <f t="shared" si="17"/>
      </c>
      <c r="AD455" s="2">
        <f t="shared" si="18"/>
      </c>
      <c r="AE455" s="2">
        <f t="shared" si="19"/>
      </c>
      <c r="AF455" s="2">
        <f t="shared" si="20"/>
      </c>
      <c r="AG455" s="2">
        <f t="shared" si="21"/>
      </c>
      <c r="AH455" s="2">
        <f t="shared" si="22"/>
      </c>
      <c r="AI455" s="2">
        <f t="shared" si="23"/>
      </c>
      <c r="AJ455" s="2">
        <f t="shared" si="24"/>
        <v>0</v>
      </c>
      <c r="AK455" s="2">
        <f t="shared" si="25"/>
        <v>0</v>
      </c>
      <c r="AL455" s="2">
        <f t="shared" si="26"/>
        <v>0</v>
      </c>
      <c r="AM455" s="2">
        <f t="shared" si="27"/>
        <v>0</v>
      </c>
      <c r="AN455" s="2">
        <f t="shared" si="28"/>
        <v>0</v>
      </c>
      <c r="AO455" s="2">
        <f t="shared" si="29"/>
      </c>
      <c r="AP455" s="2">
        <f t="shared" si="30"/>
      </c>
      <c r="AQ455" s="2">
        <f t="shared" si="31"/>
      </c>
    </row>
    <row r="456">
      <c r="A456" s="43">
        <f t="shared" si="3"/>
      </c>
      <c r="B456" s="44" t="n"/>
      <c r="C456" s="45" t="n"/>
      <c r="D456" s="46" t="n"/>
      <c r="E456" s="47" t="n"/>
      <c r="F456" s="47" t="n"/>
      <c r="G456" s="48">
        <f t="shared" si="4"/>
      </c>
      <c r="H456" s="43">
        <f t="shared" si="0"/>
      </c>
      <c r="I456" s="43">
        <f t="shared" si="5"/>
      </c>
      <c r="J456" s="43">
        <f t="shared" si="1"/>
      </c>
      <c r="K456" s="49">
        <f t="shared" si="2"/>
      </c>
      <c r="L456" s="45" t="n"/>
      <c r="M456" s="45" t="n"/>
      <c r="N456" s="45" t="n"/>
      <c r="O456" s="45" t="n"/>
      <c r="P456" s="50" t="n"/>
      <c r="R456" s="2">
        <f t="shared" si="6"/>
        <v>0</v>
      </c>
      <c r="S456" s="2">
        <f t="shared" si="7"/>
      </c>
      <c r="T456" s="2">
        <f t="shared" si="8"/>
      </c>
      <c r="U456" s="2">
        <f t="shared" si="9"/>
      </c>
      <c r="V456" s="2">
        <f t="shared" si="10"/>
      </c>
      <c r="W456" s="2">
        <f t="shared" si="11"/>
      </c>
      <c r="X456" s="2">
        <f t="shared" si="12"/>
      </c>
      <c r="Y456" s="2">
        <f t="shared" si="13"/>
        <v>0</v>
      </c>
      <c r="Z456" s="2">
        <f t="shared" si="14"/>
      </c>
      <c r="AA456" s="2">
        <f t="shared" si="15"/>
        <v>0</v>
      </c>
      <c r="AB456" s="2">
        <f t="shared" si="16"/>
      </c>
      <c r="AC456" s="2">
        <f t="shared" si="17"/>
      </c>
      <c r="AD456" s="2">
        <f t="shared" si="18"/>
      </c>
      <c r="AE456" s="2">
        <f t="shared" si="19"/>
      </c>
      <c r="AF456" s="2">
        <f t="shared" si="20"/>
      </c>
      <c r="AG456" s="2">
        <f t="shared" si="21"/>
      </c>
      <c r="AH456" s="2">
        <f t="shared" si="22"/>
      </c>
      <c r="AI456" s="2">
        <f t="shared" si="23"/>
      </c>
      <c r="AJ456" s="2">
        <f t="shared" si="24"/>
        <v>0</v>
      </c>
      <c r="AK456" s="2">
        <f t="shared" si="25"/>
        <v>0</v>
      </c>
      <c r="AL456" s="2">
        <f t="shared" si="26"/>
        <v>0</v>
      </c>
      <c r="AM456" s="2">
        <f t="shared" si="27"/>
        <v>0</v>
      </c>
      <c r="AN456" s="2">
        <f t="shared" si="28"/>
        <v>0</v>
      </c>
      <c r="AO456" s="2">
        <f t="shared" si="29"/>
      </c>
      <c r="AP456" s="2">
        <f t="shared" si="30"/>
      </c>
      <c r="AQ456" s="2">
        <f t="shared" si="31"/>
      </c>
    </row>
    <row r="457">
      <c r="A457" s="43">
        <f t="shared" si="3"/>
      </c>
      <c r="B457" s="44" t="n"/>
      <c r="C457" s="45" t="n"/>
      <c r="D457" s="46" t="n"/>
      <c r="E457" s="47" t="n"/>
      <c r="F457" s="47" t="n"/>
      <c r="G457" s="48">
        <f t="shared" si="4"/>
      </c>
      <c r="H457" s="43">
        <f t="shared" si="0"/>
      </c>
      <c r="I457" s="43">
        <f t="shared" si="5"/>
      </c>
      <c r="J457" s="43">
        <f t="shared" si="1"/>
      </c>
      <c r="K457" s="49">
        <f t="shared" si="2"/>
      </c>
      <c r="L457" s="45" t="n"/>
      <c r="M457" s="45" t="n"/>
      <c r="N457" s="45" t="n"/>
      <c r="O457" s="45" t="n"/>
      <c r="P457" s="50" t="n"/>
      <c r="R457" s="2">
        <f t="shared" si="6"/>
        <v>0</v>
      </c>
      <c r="S457" s="2">
        <f t="shared" si="7"/>
      </c>
      <c r="T457" s="2">
        <f t="shared" si="8"/>
      </c>
      <c r="U457" s="2">
        <f t="shared" si="9"/>
      </c>
      <c r="V457" s="2">
        <f t="shared" si="10"/>
      </c>
      <c r="W457" s="2">
        <f t="shared" si="11"/>
      </c>
      <c r="X457" s="2">
        <f t="shared" si="12"/>
      </c>
      <c r="Y457" s="2">
        <f t="shared" si="13"/>
        <v>0</v>
      </c>
      <c r="Z457" s="2">
        <f t="shared" si="14"/>
      </c>
      <c r="AA457" s="2">
        <f t="shared" si="15"/>
        <v>0</v>
      </c>
      <c r="AB457" s="2">
        <f t="shared" si="16"/>
      </c>
      <c r="AC457" s="2">
        <f t="shared" si="17"/>
      </c>
      <c r="AD457" s="2">
        <f t="shared" si="18"/>
      </c>
      <c r="AE457" s="2">
        <f t="shared" si="19"/>
      </c>
      <c r="AF457" s="2">
        <f t="shared" si="20"/>
      </c>
      <c r="AG457" s="2">
        <f t="shared" si="21"/>
      </c>
      <c r="AH457" s="2">
        <f t="shared" si="22"/>
      </c>
      <c r="AI457" s="2">
        <f t="shared" si="23"/>
      </c>
      <c r="AJ457" s="2">
        <f t="shared" si="24"/>
        <v>0</v>
      </c>
      <c r="AK457" s="2">
        <f t="shared" si="25"/>
        <v>0</v>
      </c>
      <c r="AL457" s="2">
        <f t="shared" si="26"/>
        <v>0</v>
      </c>
      <c r="AM457" s="2">
        <f t="shared" si="27"/>
        <v>0</v>
      </c>
      <c r="AN457" s="2">
        <f t="shared" si="28"/>
        <v>0</v>
      </c>
      <c r="AO457" s="2">
        <f t="shared" si="29"/>
      </c>
      <c r="AP457" s="2">
        <f t="shared" si="30"/>
      </c>
      <c r="AQ457" s="2">
        <f t="shared" si="31"/>
      </c>
    </row>
    <row r="458">
      <c r="A458" s="43">
        <f t="shared" si="3"/>
      </c>
      <c r="B458" s="44" t="n"/>
      <c r="C458" s="45" t="n"/>
      <c r="D458" s="46" t="n"/>
      <c r="E458" s="47" t="n"/>
      <c r="F458" s="47" t="n"/>
      <c r="G458" s="48">
        <f t="shared" si="4"/>
      </c>
      <c r="H458" s="43">
        <f t="shared" si="0"/>
      </c>
      <c r="I458" s="43">
        <f t="shared" si="5"/>
      </c>
      <c r="J458" s="43">
        <f t="shared" si="1"/>
      </c>
      <c r="K458" s="49">
        <f t="shared" si="2"/>
      </c>
      <c r="L458" s="45" t="n"/>
      <c r="M458" s="45" t="n"/>
      <c r="N458" s="45" t="n"/>
      <c r="O458" s="45" t="n"/>
      <c r="P458" s="50" t="n"/>
      <c r="R458" s="2">
        <f t="shared" si="6"/>
        <v>0</v>
      </c>
      <c r="S458" s="2">
        <f t="shared" si="7"/>
      </c>
      <c r="T458" s="2">
        <f t="shared" si="8"/>
      </c>
      <c r="U458" s="2">
        <f t="shared" si="9"/>
      </c>
      <c r="V458" s="2">
        <f t="shared" si="10"/>
      </c>
      <c r="W458" s="2">
        <f t="shared" si="11"/>
      </c>
      <c r="X458" s="2">
        <f t="shared" si="12"/>
      </c>
      <c r="Y458" s="2">
        <f t="shared" si="13"/>
        <v>0</v>
      </c>
      <c r="Z458" s="2">
        <f t="shared" si="14"/>
      </c>
      <c r="AA458" s="2">
        <f t="shared" si="15"/>
        <v>0</v>
      </c>
      <c r="AB458" s="2">
        <f t="shared" si="16"/>
      </c>
      <c r="AC458" s="2">
        <f t="shared" si="17"/>
      </c>
      <c r="AD458" s="2">
        <f t="shared" si="18"/>
      </c>
      <c r="AE458" s="2">
        <f t="shared" si="19"/>
      </c>
      <c r="AF458" s="2">
        <f t="shared" si="20"/>
      </c>
      <c r="AG458" s="2">
        <f t="shared" si="21"/>
      </c>
      <c r="AH458" s="2">
        <f t="shared" si="22"/>
      </c>
      <c r="AI458" s="2">
        <f t="shared" si="23"/>
      </c>
      <c r="AJ458" s="2">
        <f t="shared" si="24"/>
        <v>0</v>
      </c>
      <c r="AK458" s="2">
        <f t="shared" si="25"/>
        <v>0</v>
      </c>
      <c r="AL458" s="2">
        <f t="shared" si="26"/>
        <v>0</v>
      </c>
      <c r="AM458" s="2">
        <f t="shared" si="27"/>
        <v>0</v>
      </c>
      <c r="AN458" s="2">
        <f t="shared" si="28"/>
        <v>0</v>
      </c>
      <c r="AO458" s="2">
        <f t="shared" si="29"/>
      </c>
      <c r="AP458" s="2">
        <f t="shared" si="30"/>
      </c>
      <c r="AQ458" s="2">
        <f t="shared" si="31"/>
      </c>
    </row>
    <row r="459">
      <c r="A459" s="43">
        <f t="shared" si="3"/>
      </c>
      <c r="B459" s="44" t="n"/>
      <c r="C459" s="45" t="n"/>
      <c r="D459" s="46" t="n"/>
      <c r="E459" s="47" t="n"/>
      <c r="F459" s="47" t="n"/>
      <c r="G459" s="48">
        <f t="shared" si="4"/>
      </c>
      <c r="H459" s="43">
        <f t="shared" si="0"/>
      </c>
      <c r="I459" s="43">
        <f t="shared" si="5"/>
      </c>
      <c r="J459" s="43">
        <f t="shared" si="1"/>
      </c>
      <c r="K459" s="49">
        <f t="shared" si="2"/>
      </c>
      <c r="L459" s="45" t="n"/>
      <c r="M459" s="45" t="n"/>
      <c r="N459" s="45" t="n"/>
      <c r="O459" s="45" t="n"/>
      <c r="P459" s="50" t="n"/>
      <c r="R459" s="2">
        <f t="shared" si="6"/>
        <v>0</v>
      </c>
      <c r="S459" s="2">
        <f t="shared" si="7"/>
      </c>
      <c r="T459" s="2">
        <f t="shared" si="8"/>
      </c>
      <c r="U459" s="2">
        <f t="shared" si="9"/>
      </c>
      <c r="V459" s="2">
        <f t="shared" si="10"/>
      </c>
      <c r="W459" s="2">
        <f t="shared" si="11"/>
      </c>
      <c r="X459" s="2">
        <f t="shared" si="12"/>
      </c>
      <c r="Y459" s="2">
        <f t="shared" si="13"/>
        <v>0</v>
      </c>
      <c r="Z459" s="2">
        <f t="shared" si="14"/>
      </c>
      <c r="AA459" s="2">
        <f t="shared" si="15"/>
        <v>0</v>
      </c>
      <c r="AB459" s="2">
        <f t="shared" si="16"/>
      </c>
      <c r="AC459" s="2">
        <f t="shared" si="17"/>
      </c>
      <c r="AD459" s="2">
        <f t="shared" si="18"/>
      </c>
      <c r="AE459" s="2">
        <f t="shared" si="19"/>
      </c>
      <c r="AF459" s="2">
        <f t="shared" si="20"/>
      </c>
      <c r="AG459" s="2">
        <f t="shared" si="21"/>
      </c>
      <c r="AH459" s="2">
        <f t="shared" si="22"/>
      </c>
      <c r="AI459" s="2">
        <f t="shared" si="23"/>
      </c>
      <c r="AJ459" s="2">
        <f t="shared" si="24"/>
        <v>0</v>
      </c>
      <c r="AK459" s="2">
        <f t="shared" si="25"/>
        <v>0</v>
      </c>
      <c r="AL459" s="2">
        <f t="shared" si="26"/>
        <v>0</v>
      </c>
      <c r="AM459" s="2">
        <f t="shared" si="27"/>
        <v>0</v>
      </c>
      <c r="AN459" s="2">
        <f t="shared" si="28"/>
        <v>0</v>
      </c>
      <c r="AO459" s="2">
        <f t="shared" si="29"/>
      </c>
      <c r="AP459" s="2">
        <f t="shared" si="30"/>
      </c>
      <c r="AQ459" s="2">
        <f t="shared" si="31"/>
      </c>
    </row>
    <row r="460">
      <c r="A460" s="43">
        <f t="shared" si="3"/>
      </c>
      <c r="B460" s="44" t="n"/>
      <c r="C460" s="45" t="n"/>
      <c r="D460" s="46" t="n"/>
      <c r="E460" s="47" t="n"/>
      <c r="F460" s="47" t="n"/>
      <c r="G460" s="48">
        <f t="shared" si="4"/>
      </c>
      <c r="H460" s="43">
        <f t="shared" si="0"/>
      </c>
      <c r="I460" s="43">
        <f t="shared" si="5"/>
      </c>
      <c r="J460" s="43">
        <f t="shared" si="1"/>
      </c>
      <c r="K460" s="49">
        <f t="shared" si="2"/>
      </c>
      <c r="L460" s="45" t="n"/>
      <c r="M460" s="45" t="n"/>
      <c r="N460" s="45" t="n"/>
      <c r="O460" s="45" t="n"/>
      <c r="P460" s="50" t="n"/>
      <c r="R460" s="2">
        <f t="shared" si="6"/>
        <v>0</v>
      </c>
      <c r="S460" s="2">
        <f t="shared" si="7"/>
      </c>
      <c r="T460" s="2">
        <f t="shared" si="8"/>
      </c>
      <c r="U460" s="2">
        <f t="shared" si="9"/>
      </c>
      <c r="V460" s="2">
        <f t="shared" si="10"/>
      </c>
      <c r="W460" s="2">
        <f t="shared" si="11"/>
      </c>
      <c r="X460" s="2">
        <f t="shared" si="12"/>
      </c>
      <c r="Y460" s="2">
        <f t="shared" si="13"/>
        <v>0</v>
      </c>
      <c r="Z460" s="2">
        <f t="shared" si="14"/>
      </c>
      <c r="AA460" s="2">
        <f t="shared" si="15"/>
        <v>0</v>
      </c>
      <c r="AB460" s="2">
        <f t="shared" si="16"/>
      </c>
      <c r="AC460" s="2">
        <f t="shared" si="17"/>
      </c>
      <c r="AD460" s="2">
        <f t="shared" si="18"/>
      </c>
      <c r="AE460" s="2">
        <f t="shared" si="19"/>
      </c>
      <c r="AF460" s="2">
        <f t="shared" si="20"/>
      </c>
      <c r="AG460" s="2">
        <f t="shared" si="21"/>
      </c>
      <c r="AH460" s="2">
        <f t="shared" si="22"/>
      </c>
      <c r="AI460" s="2">
        <f t="shared" si="23"/>
      </c>
      <c r="AJ460" s="2">
        <f t="shared" si="24"/>
        <v>0</v>
      </c>
      <c r="AK460" s="2">
        <f t="shared" si="25"/>
        <v>0</v>
      </c>
      <c r="AL460" s="2">
        <f t="shared" si="26"/>
        <v>0</v>
      </c>
      <c r="AM460" s="2">
        <f t="shared" si="27"/>
        <v>0</v>
      </c>
      <c r="AN460" s="2">
        <f t="shared" si="28"/>
        <v>0</v>
      </c>
      <c r="AO460" s="2">
        <f t="shared" si="29"/>
      </c>
      <c r="AP460" s="2">
        <f t="shared" si="30"/>
      </c>
      <c r="AQ460" s="2">
        <f t="shared" si="31"/>
      </c>
    </row>
    <row r="461">
      <c r="A461" s="43">
        <f t="shared" si="3"/>
      </c>
      <c r="B461" s="44" t="n"/>
      <c r="C461" s="45" t="n"/>
      <c r="D461" s="46" t="n"/>
      <c r="E461" s="47" t="n"/>
      <c r="F461" s="47" t="n"/>
      <c r="G461" s="48">
        <f t="shared" si="4"/>
      </c>
      <c r="H461" s="43">
        <f t="shared" si="0"/>
      </c>
      <c r="I461" s="43">
        <f t="shared" si="5"/>
      </c>
      <c r="J461" s="43">
        <f t="shared" si="1"/>
      </c>
      <c r="K461" s="49">
        <f t="shared" si="2"/>
      </c>
      <c r="L461" s="45" t="n"/>
      <c r="M461" s="45" t="n"/>
      <c r="N461" s="45" t="n"/>
      <c r="O461" s="45" t="n"/>
      <c r="P461" s="50" t="n"/>
      <c r="R461" s="2">
        <f t="shared" si="6"/>
        <v>0</v>
      </c>
      <c r="S461" s="2">
        <f t="shared" si="7"/>
      </c>
      <c r="T461" s="2">
        <f t="shared" si="8"/>
      </c>
      <c r="U461" s="2">
        <f t="shared" si="9"/>
      </c>
      <c r="V461" s="2">
        <f t="shared" si="10"/>
      </c>
      <c r="W461" s="2">
        <f t="shared" si="11"/>
      </c>
      <c r="X461" s="2">
        <f t="shared" si="12"/>
      </c>
      <c r="Y461" s="2">
        <f t="shared" si="13"/>
        <v>0</v>
      </c>
      <c r="Z461" s="2">
        <f t="shared" si="14"/>
      </c>
      <c r="AA461" s="2">
        <f t="shared" si="15"/>
        <v>0</v>
      </c>
      <c r="AB461" s="2">
        <f t="shared" si="16"/>
      </c>
      <c r="AC461" s="2">
        <f t="shared" si="17"/>
      </c>
      <c r="AD461" s="2">
        <f t="shared" si="18"/>
      </c>
      <c r="AE461" s="2">
        <f t="shared" si="19"/>
      </c>
      <c r="AF461" s="2">
        <f t="shared" si="20"/>
      </c>
      <c r="AG461" s="2">
        <f t="shared" si="21"/>
      </c>
      <c r="AH461" s="2">
        <f t="shared" si="22"/>
      </c>
      <c r="AI461" s="2">
        <f t="shared" si="23"/>
      </c>
      <c r="AJ461" s="2">
        <f t="shared" si="24"/>
        <v>0</v>
      </c>
      <c r="AK461" s="2">
        <f t="shared" si="25"/>
        <v>0</v>
      </c>
      <c r="AL461" s="2">
        <f t="shared" si="26"/>
        <v>0</v>
      </c>
      <c r="AM461" s="2">
        <f t="shared" si="27"/>
        <v>0</v>
      </c>
      <c r="AN461" s="2">
        <f t="shared" si="28"/>
        <v>0</v>
      </c>
      <c r="AO461" s="2">
        <f t="shared" si="29"/>
      </c>
      <c r="AP461" s="2">
        <f t="shared" si="30"/>
      </c>
      <c r="AQ461" s="2">
        <f t="shared" si="31"/>
      </c>
    </row>
    <row r="462">
      <c r="A462" s="43">
        <f t="shared" si="3"/>
      </c>
      <c r="B462" s="44" t="n"/>
      <c r="C462" s="45" t="n"/>
      <c r="D462" s="46" t="n"/>
      <c r="E462" s="47" t="n"/>
      <c r="F462" s="47" t="n"/>
      <c r="G462" s="48">
        <f t="shared" si="4"/>
      </c>
      <c r="H462" s="43">
        <f t="shared" si="0"/>
      </c>
      <c r="I462" s="43">
        <f t="shared" si="5"/>
      </c>
      <c r="J462" s="43">
        <f t="shared" si="1"/>
      </c>
      <c r="K462" s="49">
        <f t="shared" si="2"/>
      </c>
      <c r="L462" s="45" t="n"/>
      <c r="M462" s="45" t="n"/>
      <c r="N462" s="45" t="n"/>
      <c r="O462" s="45" t="n"/>
      <c r="P462" s="50" t="n"/>
      <c r="R462" s="2">
        <f t="shared" si="6"/>
        <v>0</v>
      </c>
      <c r="S462" s="2">
        <f t="shared" si="7"/>
      </c>
      <c r="T462" s="2">
        <f t="shared" si="8"/>
      </c>
      <c r="U462" s="2">
        <f t="shared" si="9"/>
      </c>
      <c r="V462" s="2">
        <f t="shared" si="10"/>
      </c>
      <c r="W462" s="2">
        <f t="shared" si="11"/>
      </c>
      <c r="X462" s="2">
        <f t="shared" si="12"/>
      </c>
      <c r="Y462" s="2">
        <f t="shared" si="13"/>
        <v>0</v>
      </c>
      <c r="Z462" s="2">
        <f t="shared" si="14"/>
      </c>
      <c r="AA462" s="2">
        <f t="shared" si="15"/>
        <v>0</v>
      </c>
      <c r="AB462" s="2">
        <f t="shared" si="16"/>
      </c>
      <c r="AC462" s="2">
        <f t="shared" si="17"/>
      </c>
      <c r="AD462" s="2">
        <f t="shared" si="18"/>
      </c>
      <c r="AE462" s="2">
        <f t="shared" si="19"/>
      </c>
      <c r="AF462" s="2">
        <f t="shared" si="20"/>
      </c>
      <c r="AG462" s="2">
        <f t="shared" si="21"/>
      </c>
      <c r="AH462" s="2">
        <f t="shared" si="22"/>
      </c>
      <c r="AI462" s="2">
        <f t="shared" si="23"/>
      </c>
      <c r="AJ462" s="2">
        <f t="shared" si="24"/>
        <v>0</v>
      </c>
      <c r="AK462" s="2">
        <f t="shared" si="25"/>
        <v>0</v>
      </c>
      <c r="AL462" s="2">
        <f t="shared" si="26"/>
        <v>0</v>
      </c>
      <c r="AM462" s="2">
        <f t="shared" si="27"/>
        <v>0</v>
      </c>
      <c r="AN462" s="2">
        <f t="shared" si="28"/>
        <v>0</v>
      </c>
      <c r="AO462" s="2">
        <f t="shared" si="29"/>
      </c>
      <c r="AP462" s="2">
        <f t="shared" si="30"/>
      </c>
      <c r="AQ462" s="2">
        <f t="shared" si="31"/>
      </c>
    </row>
    <row r="463">
      <c r="A463" s="43">
        <f t="shared" si="3"/>
      </c>
      <c r="B463" s="44" t="n"/>
      <c r="C463" s="45" t="n"/>
      <c r="D463" s="46" t="n"/>
      <c r="E463" s="47" t="n"/>
      <c r="F463" s="47" t="n"/>
      <c r="G463" s="48">
        <f t="shared" si="4"/>
      </c>
      <c r="H463" s="43">
        <f t="shared" si="0"/>
      </c>
      <c r="I463" s="43">
        <f t="shared" si="5"/>
      </c>
      <c r="J463" s="43">
        <f t="shared" si="1"/>
      </c>
      <c r="K463" s="49">
        <f t="shared" si="2"/>
      </c>
      <c r="L463" s="45" t="n"/>
      <c r="M463" s="45" t="n"/>
      <c r="N463" s="45" t="n"/>
      <c r="O463" s="45" t="n"/>
      <c r="P463" s="50" t="n"/>
      <c r="R463" s="2">
        <f t="shared" si="6"/>
        <v>0</v>
      </c>
      <c r="S463" s="2">
        <f t="shared" si="7"/>
      </c>
      <c r="T463" s="2">
        <f t="shared" si="8"/>
      </c>
      <c r="U463" s="2">
        <f t="shared" si="9"/>
      </c>
      <c r="V463" s="2">
        <f t="shared" si="10"/>
      </c>
      <c r="W463" s="2">
        <f t="shared" si="11"/>
      </c>
      <c r="X463" s="2">
        <f t="shared" si="12"/>
      </c>
      <c r="Y463" s="2">
        <f t="shared" si="13"/>
        <v>0</v>
      </c>
      <c r="Z463" s="2">
        <f t="shared" si="14"/>
      </c>
      <c r="AA463" s="2">
        <f t="shared" si="15"/>
        <v>0</v>
      </c>
      <c r="AB463" s="2">
        <f t="shared" si="16"/>
      </c>
      <c r="AC463" s="2">
        <f t="shared" si="17"/>
      </c>
      <c r="AD463" s="2">
        <f t="shared" si="18"/>
      </c>
      <c r="AE463" s="2">
        <f t="shared" si="19"/>
      </c>
      <c r="AF463" s="2">
        <f t="shared" si="20"/>
      </c>
      <c r="AG463" s="2">
        <f t="shared" si="21"/>
      </c>
      <c r="AH463" s="2">
        <f t="shared" si="22"/>
      </c>
      <c r="AI463" s="2">
        <f t="shared" si="23"/>
      </c>
      <c r="AJ463" s="2">
        <f t="shared" si="24"/>
        <v>0</v>
      </c>
      <c r="AK463" s="2">
        <f t="shared" si="25"/>
        <v>0</v>
      </c>
      <c r="AL463" s="2">
        <f t="shared" si="26"/>
        <v>0</v>
      </c>
      <c r="AM463" s="2">
        <f t="shared" si="27"/>
        <v>0</v>
      </c>
      <c r="AN463" s="2">
        <f t="shared" si="28"/>
        <v>0</v>
      </c>
      <c r="AO463" s="2">
        <f t="shared" si="29"/>
      </c>
      <c r="AP463" s="2">
        <f t="shared" si="30"/>
      </c>
      <c r="AQ463" s="2">
        <f t="shared" si="31"/>
      </c>
    </row>
    <row r="464">
      <c r="A464" s="43">
        <f t="shared" si="3"/>
      </c>
      <c r="B464" s="44" t="n"/>
      <c r="C464" s="45" t="n"/>
      <c r="D464" s="46" t="n"/>
      <c r="E464" s="47" t="n"/>
      <c r="F464" s="47" t="n"/>
      <c r="G464" s="48">
        <f t="shared" si="4"/>
      </c>
      <c r="H464" s="43">
        <f t="shared" si="0"/>
      </c>
      <c r="I464" s="43">
        <f t="shared" si="5"/>
      </c>
      <c r="J464" s="43">
        <f t="shared" si="1"/>
      </c>
      <c r="K464" s="49">
        <f t="shared" si="2"/>
      </c>
      <c r="L464" s="45" t="n"/>
      <c r="M464" s="45" t="n"/>
      <c r="N464" s="45" t="n"/>
      <c r="O464" s="45" t="n"/>
      <c r="P464" s="50" t="n"/>
      <c r="R464" s="2">
        <f t="shared" si="6"/>
        <v>0</v>
      </c>
      <c r="S464" s="2">
        <f t="shared" si="7"/>
      </c>
      <c r="T464" s="2">
        <f t="shared" si="8"/>
      </c>
      <c r="U464" s="2">
        <f t="shared" si="9"/>
      </c>
      <c r="V464" s="2">
        <f t="shared" si="10"/>
      </c>
      <c r="W464" s="2">
        <f t="shared" si="11"/>
      </c>
      <c r="X464" s="2">
        <f t="shared" si="12"/>
      </c>
      <c r="Y464" s="2">
        <f t="shared" si="13"/>
        <v>0</v>
      </c>
      <c r="Z464" s="2">
        <f t="shared" si="14"/>
      </c>
      <c r="AA464" s="2">
        <f t="shared" si="15"/>
        <v>0</v>
      </c>
      <c r="AB464" s="2">
        <f t="shared" si="16"/>
      </c>
      <c r="AC464" s="2">
        <f t="shared" si="17"/>
      </c>
      <c r="AD464" s="2">
        <f t="shared" si="18"/>
      </c>
      <c r="AE464" s="2">
        <f t="shared" si="19"/>
      </c>
      <c r="AF464" s="2">
        <f t="shared" si="20"/>
      </c>
      <c r="AG464" s="2">
        <f t="shared" si="21"/>
      </c>
      <c r="AH464" s="2">
        <f t="shared" si="22"/>
      </c>
      <c r="AI464" s="2">
        <f t="shared" si="23"/>
      </c>
      <c r="AJ464" s="2">
        <f t="shared" si="24"/>
        <v>0</v>
      </c>
      <c r="AK464" s="2">
        <f t="shared" si="25"/>
        <v>0</v>
      </c>
      <c r="AL464" s="2">
        <f t="shared" si="26"/>
        <v>0</v>
      </c>
      <c r="AM464" s="2">
        <f t="shared" si="27"/>
        <v>0</v>
      </c>
      <c r="AN464" s="2">
        <f t="shared" si="28"/>
        <v>0</v>
      </c>
      <c r="AO464" s="2">
        <f t="shared" si="29"/>
      </c>
      <c r="AP464" s="2">
        <f t="shared" si="30"/>
      </c>
      <c r="AQ464" s="2">
        <f t="shared" si="31"/>
      </c>
    </row>
    <row r="465">
      <c r="A465" s="43">
        <f t="shared" si="3"/>
      </c>
      <c r="B465" s="44" t="n"/>
      <c r="C465" s="45" t="n"/>
      <c r="D465" s="46" t="n"/>
      <c r="E465" s="47" t="n"/>
      <c r="F465" s="47" t="n"/>
      <c r="G465" s="48">
        <f t="shared" si="4"/>
      </c>
      <c r="H465" s="43">
        <f t="shared" si="0"/>
      </c>
      <c r="I465" s="43">
        <f t="shared" si="5"/>
      </c>
      <c r="J465" s="43">
        <f t="shared" si="1"/>
      </c>
      <c r="K465" s="49">
        <f t="shared" si="2"/>
      </c>
      <c r="L465" s="45" t="n"/>
      <c r="M465" s="45" t="n"/>
      <c r="N465" s="45" t="n"/>
      <c r="O465" s="45" t="n"/>
      <c r="P465" s="50" t="n"/>
      <c r="R465" s="2">
        <f t="shared" si="6"/>
        <v>0</v>
      </c>
      <c r="S465" s="2">
        <f t="shared" si="7"/>
      </c>
      <c r="T465" s="2">
        <f t="shared" si="8"/>
      </c>
      <c r="U465" s="2">
        <f t="shared" si="9"/>
      </c>
      <c r="V465" s="2">
        <f t="shared" si="10"/>
      </c>
      <c r="W465" s="2">
        <f t="shared" si="11"/>
      </c>
      <c r="X465" s="2">
        <f t="shared" si="12"/>
      </c>
      <c r="Y465" s="2">
        <f t="shared" si="13"/>
        <v>0</v>
      </c>
      <c r="Z465" s="2">
        <f t="shared" si="14"/>
      </c>
      <c r="AA465" s="2">
        <f t="shared" si="15"/>
        <v>0</v>
      </c>
      <c r="AB465" s="2">
        <f t="shared" si="16"/>
      </c>
      <c r="AC465" s="2">
        <f t="shared" si="17"/>
      </c>
      <c r="AD465" s="2">
        <f t="shared" si="18"/>
      </c>
      <c r="AE465" s="2">
        <f t="shared" si="19"/>
      </c>
      <c r="AF465" s="2">
        <f t="shared" si="20"/>
      </c>
      <c r="AG465" s="2">
        <f t="shared" si="21"/>
      </c>
      <c r="AH465" s="2">
        <f t="shared" si="22"/>
      </c>
      <c r="AI465" s="2">
        <f t="shared" si="23"/>
      </c>
      <c r="AJ465" s="2">
        <f t="shared" si="24"/>
        <v>0</v>
      </c>
      <c r="AK465" s="2">
        <f t="shared" si="25"/>
        <v>0</v>
      </c>
      <c r="AL465" s="2">
        <f t="shared" si="26"/>
        <v>0</v>
      </c>
      <c r="AM465" s="2">
        <f t="shared" si="27"/>
        <v>0</v>
      </c>
      <c r="AN465" s="2">
        <f t="shared" si="28"/>
        <v>0</v>
      </c>
      <c r="AO465" s="2">
        <f t="shared" si="29"/>
      </c>
      <c r="AP465" s="2">
        <f t="shared" si="30"/>
      </c>
      <c r="AQ465" s="2">
        <f t="shared" si="31"/>
      </c>
    </row>
    <row r="466">
      <c r="A466" s="43">
        <f t="shared" si="3"/>
      </c>
      <c r="B466" s="44" t="n"/>
      <c r="C466" s="45" t="n"/>
      <c r="D466" s="46" t="n"/>
      <c r="E466" s="47" t="n"/>
      <c r="F466" s="47" t="n"/>
      <c r="G466" s="48">
        <f t="shared" si="4"/>
      </c>
      <c r="H466" s="43">
        <f t="shared" si="0"/>
      </c>
      <c r="I466" s="43">
        <f t="shared" si="5"/>
      </c>
      <c r="J466" s="43">
        <f t="shared" si="1"/>
      </c>
      <c r="K466" s="49">
        <f t="shared" si="2"/>
      </c>
      <c r="L466" s="45" t="n"/>
      <c r="M466" s="45" t="n"/>
      <c r="N466" s="45" t="n"/>
      <c r="O466" s="45" t="n"/>
      <c r="P466" s="50" t="n"/>
      <c r="R466" s="2">
        <f t="shared" si="6"/>
        <v>0</v>
      </c>
      <c r="S466" s="2">
        <f t="shared" si="7"/>
      </c>
      <c r="T466" s="2">
        <f t="shared" si="8"/>
      </c>
      <c r="U466" s="2">
        <f t="shared" si="9"/>
      </c>
      <c r="V466" s="2">
        <f t="shared" si="10"/>
      </c>
      <c r="W466" s="2">
        <f t="shared" si="11"/>
      </c>
      <c r="X466" s="2">
        <f t="shared" si="12"/>
      </c>
      <c r="Y466" s="2">
        <f t="shared" si="13"/>
        <v>0</v>
      </c>
      <c r="Z466" s="2">
        <f t="shared" si="14"/>
      </c>
      <c r="AA466" s="2">
        <f t="shared" si="15"/>
        <v>0</v>
      </c>
      <c r="AB466" s="2">
        <f t="shared" si="16"/>
      </c>
      <c r="AC466" s="2">
        <f t="shared" si="17"/>
      </c>
      <c r="AD466" s="2">
        <f t="shared" si="18"/>
      </c>
      <c r="AE466" s="2">
        <f t="shared" si="19"/>
      </c>
      <c r="AF466" s="2">
        <f t="shared" si="20"/>
      </c>
      <c r="AG466" s="2">
        <f t="shared" si="21"/>
      </c>
      <c r="AH466" s="2">
        <f t="shared" si="22"/>
      </c>
      <c r="AI466" s="2">
        <f t="shared" si="23"/>
      </c>
      <c r="AJ466" s="2">
        <f t="shared" si="24"/>
        <v>0</v>
      </c>
      <c r="AK466" s="2">
        <f t="shared" si="25"/>
        <v>0</v>
      </c>
      <c r="AL466" s="2">
        <f t="shared" si="26"/>
        <v>0</v>
      </c>
      <c r="AM466" s="2">
        <f t="shared" si="27"/>
        <v>0</v>
      </c>
      <c r="AN466" s="2">
        <f t="shared" si="28"/>
        <v>0</v>
      </c>
      <c r="AO466" s="2">
        <f t="shared" si="29"/>
      </c>
      <c r="AP466" s="2">
        <f t="shared" si="30"/>
      </c>
      <c r="AQ466" s="2">
        <f t="shared" si="31"/>
      </c>
    </row>
    <row r="467">
      <c r="A467" s="43">
        <f t="shared" si="3"/>
      </c>
      <c r="B467" s="44" t="n"/>
      <c r="C467" s="45" t="n"/>
      <c r="D467" s="46" t="n"/>
      <c r="E467" s="47" t="n"/>
      <c r="F467" s="47" t="n"/>
      <c r="G467" s="48">
        <f t="shared" si="4"/>
      </c>
      <c r="H467" s="43">
        <f t="shared" si="0"/>
      </c>
      <c r="I467" s="43">
        <f t="shared" si="5"/>
      </c>
      <c r="J467" s="43">
        <f t="shared" si="1"/>
      </c>
      <c r="K467" s="49">
        <f t="shared" si="2"/>
      </c>
      <c r="L467" s="45" t="n"/>
      <c r="M467" s="45" t="n"/>
      <c r="N467" s="45" t="n"/>
      <c r="O467" s="45" t="n"/>
      <c r="P467" s="50" t="n"/>
      <c r="R467" s="2">
        <f t="shared" si="6"/>
        <v>0</v>
      </c>
      <c r="S467" s="2">
        <f t="shared" si="7"/>
      </c>
      <c r="T467" s="2">
        <f t="shared" si="8"/>
      </c>
      <c r="U467" s="2">
        <f t="shared" si="9"/>
      </c>
      <c r="V467" s="2">
        <f t="shared" si="10"/>
      </c>
      <c r="W467" s="2">
        <f t="shared" si="11"/>
      </c>
      <c r="X467" s="2">
        <f t="shared" si="12"/>
      </c>
      <c r="Y467" s="2">
        <f t="shared" si="13"/>
        <v>0</v>
      </c>
      <c r="Z467" s="2">
        <f t="shared" si="14"/>
      </c>
      <c r="AA467" s="2">
        <f t="shared" si="15"/>
        <v>0</v>
      </c>
      <c r="AB467" s="2">
        <f t="shared" si="16"/>
      </c>
      <c r="AC467" s="2">
        <f t="shared" si="17"/>
      </c>
      <c r="AD467" s="2">
        <f t="shared" si="18"/>
      </c>
      <c r="AE467" s="2">
        <f t="shared" si="19"/>
      </c>
      <c r="AF467" s="2">
        <f t="shared" si="20"/>
      </c>
      <c r="AG467" s="2">
        <f t="shared" si="21"/>
      </c>
      <c r="AH467" s="2">
        <f t="shared" si="22"/>
      </c>
      <c r="AI467" s="2">
        <f t="shared" si="23"/>
      </c>
      <c r="AJ467" s="2">
        <f t="shared" si="24"/>
        <v>0</v>
      </c>
      <c r="AK467" s="2">
        <f t="shared" si="25"/>
        <v>0</v>
      </c>
      <c r="AL467" s="2">
        <f t="shared" si="26"/>
        <v>0</v>
      </c>
      <c r="AM467" s="2">
        <f t="shared" si="27"/>
        <v>0</v>
      </c>
      <c r="AN467" s="2">
        <f t="shared" si="28"/>
        <v>0</v>
      </c>
      <c r="AO467" s="2">
        <f t="shared" si="29"/>
      </c>
      <c r="AP467" s="2">
        <f t="shared" si="30"/>
      </c>
      <c r="AQ467" s="2">
        <f t="shared" si="31"/>
      </c>
    </row>
    <row r="468">
      <c r="A468" s="43">
        <f t="shared" si="3"/>
      </c>
      <c r="B468" s="44" t="n"/>
      <c r="C468" s="45" t="n"/>
      <c r="D468" s="46" t="n"/>
      <c r="E468" s="47" t="n"/>
      <c r="F468" s="47" t="n"/>
      <c r="G468" s="48">
        <f t="shared" si="4"/>
      </c>
      <c r="H468" s="43">
        <f t="shared" si="0"/>
      </c>
      <c r="I468" s="43">
        <f t="shared" si="5"/>
      </c>
      <c r="J468" s="43">
        <f t="shared" si="1"/>
      </c>
      <c r="K468" s="49">
        <f t="shared" si="2"/>
      </c>
      <c r="L468" s="45" t="n"/>
      <c r="M468" s="45" t="n"/>
      <c r="N468" s="45" t="n"/>
      <c r="O468" s="45" t="n"/>
      <c r="P468" s="50" t="n"/>
      <c r="R468" s="2">
        <f t="shared" si="6"/>
        <v>0</v>
      </c>
      <c r="S468" s="2">
        <f t="shared" si="7"/>
      </c>
      <c r="T468" s="2">
        <f t="shared" si="8"/>
      </c>
      <c r="U468" s="2">
        <f t="shared" si="9"/>
      </c>
      <c r="V468" s="2">
        <f t="shared" si="10"/>
      </c>
      <c r="W468" s="2">
        <f t="shared" si="11"/>
      </c>
      <c r="X468" s="2">
        <f t="shared" si="12"/>
      </c>
      <c r="Y468" s="2">
        <f t="shared" si="13"/>
        <v>0</v>
      </c>
      <c r="Z468" s="2">
        <f t="shared" si="14"/>
      </c>
      <c r="AA468" s="2">
        <f t="shared" si="15"/>
        <v>0</v>
      </c>
      <c r="AB468" s="2">
        <f t="shared" si="16"/>
      </c>
      <c r="AC468" s="2">
        <f t="shared" si="17"/>
      </c>
      <c r="AD468" s="2">
        <f t="shared" si="18"/>
      </c>
      <c r="AE468" s="2">
        <f t="shared" si="19"/>
      </c>
      <c r="AF468" s="2">
        <f t="shared" si="20"/>
      </c>
      <c r="AG468" s="2">
        <f t="shared" si="21"/>
      </c>
      <c r="AH468" s="2">
        <f t="shared" si="22"/>
      </c>
      <c r="AI468" s="2">
        <f t="shared" si="23"/>
      </c>
      <c r="AJ468" s="2">
        <f t="shared" si="24"/>
        <v>0</v>
      </c>
      <c r="AK468" s="2">
        <f t="shared" si="25"/>
        <v>0</v>
      </c>
      <c r="AL468" s="2">
        <f t="shared" si="26"/>
        <v>0</v>
      </c>
      <c r="AM468" s="2">
        <f t="shared" si="27"/>
        <v>0</v>
      </c>
      <c r="AN468" s="2">
        <f t="shared" si="28"/>
        <v>0</v>
      </c>
      <c r="AO468" s="2">
        <f t="shared" si="29"/>
      </c>
      <c r="AP468" s="2">
        <f t="shared" si="30"/>
      </c>
      <c r="AQ468" s="2">
        <f t="shared" si="31"/>
      </c>
    </row>
    <row r="469">
      <c r="A469" s="43">
        <f t="shared" si="3"/>
      </c>
      <c r="B469" s="44" t="n"/>
      <c r="C469" s="45" t="n"/>
      <c r="D469" s="46" t="n"/>
      <c r="E469" s="47" t="n"/>
      <c r="F469" s="47" t="n"/>
      <c r="G469" s="48">
        <f t="shared" si="4"/>
      </c>
      <c r="H469" s="43">
        <f t="shared" si="0"/>
      </c>
      <c r="I469" s="43">
        <f t="shared" si="5"/>
      </c>
      <c r="J469" s="43">
        <f t="shared" si="1"/>
      </c>
      <c r="K469" s="49">
        <f t="shared" si="2"/>
      </c>
      <c r="L469" s="45" t="n"/>
      <c r="M469" s="45" t="n"/>
      <c r="N469" s="45" t="n"/>
      <c r="O469" s="45" t="n"/>
      <c r="P469" s="50" t="n"/>
      <c r="R469" s="2">
        <f t="shared" si="6"/>
        <v>0</v>
      </c>
      <c r="S469" s="2">
        <f t="shared" si="7"/>
      </c>
      <c r="T469" s="2">
        <f t="shared" si="8"/>
      </c>
      <c r="U469" s="2">
        <f t="shared" si="9"/>
      </c>
      <c r="V469" s="2">
        <f t="shared" si="10"/>
      </c>
      <c r="W469" s="2">
        <f t="shared" si="11"/>
      </c>
      <c r="X469" s="2">
        <f t="shared" si="12"/>
      </c>
      <c r="Y469" s="2">
        <f t="shared" si="13"/>
        <v>0</v>
      </c>
      <c r="Z469" s="2">
        <f t="shared" si="14"/>
      </c>
      <c r="AA469" s="2">
        <f t="shared" si="15"/>
        <v>0</v>
      </c>
      <c r="AB469" s="2">
        <f t="shared" si="16"/>
      </c>
      <c r="AC469" s="2">
        <f t="shared" si="17"/>
      </c>
      <c r="AD469" s="2">
        <f t="shared" si="18"/>
      </c>
      <c r="AE469" s="2">
        <f t="shared" si="19"/>
      </c>
      <c r="AF469" s="2">
        <f t="shared" si="20"/>
      </c>
      <c r="AG469" s="2">
        <f t="shared" si="21"/>
      </c>
      <c r="AH469" s="2">
        <f t="shared" si="22"/>
      </c>
      <c r="AI469" s="2">
        <f t="shared" si="23"/>
      </c>
      <c r="AJ469" s="2">
        <f t="shared" si="24"/>
        <v>0</v>
      </c>
      <c r="AK469" s="2">
        <f t="shared" si="25"/>
        <v>0</v>
      </c>
      <c r="AL469" s="2">
        <f t="shared" si="26"/>
        <v>0</v>
      </c>
      <c r="AM469" s="2">
        <f t="shared" si="27"/>
        <v>0</v>
      </c>
      <c r="AN469" s="2">
        <f t="shared" si="28"/>
        <v>0</v>
      </c>
      <c r="AO469" s="2">
        <f t="shared" si="29"/>
      </c>
      <c r="AP469" s="2">
        <f t="shared" si="30"/>
      </c>
      <c r="AQ469" s="2">
        <f t="shared" si="31"/>
      </c>
    </row>
    <row r="470">
      <c r="A470" s="43">
        <f t="shared" si="3"/>
      </c>
      <c r="B470" s="44" t="n"/>
      <c r="C470" s="45" t="n"/>
      <c r="D470" s="46" t="n"/>
      <c r="E470" s="47" t="n"/>
      <c r="F470" s="47" t="n"/>
      <c r="G470" s="48">
        <f t="shared" si="4"/>
      </c>
      <c r="H470" s="43">
        <f t="shared" si="0"/>
      </c>
      <c r="I470" s="43">
        <f t="shared" si="5"/>
      </c>
      <c r="J470" s="43">
        <f t="shared" si="1"/>
      </c>
      <c r="K470" s="49">
        <f t="shared" si="2"/>
      </c>
      <c r="L470" s="45" t="n"/>
      <c r="M470" s="45" t="n"/>
      <c r="N470" s="45" t="n"/>
      <c r="O470" s="45" t="n"/>
      <c r="P470" s="50" t="n"/>
      <c r="R470" s="2">
        <f t="shared" si="6"/>
        <v>0</v>
      </c>
      <c r="S470" s="2">
        <f t="shared" si="7"/>
      </c>
      <c r="T470" s="2">
        <f t="shared" si="8"/>
      </c>
      <c r="U470" s="2">
        <f t="shared" si="9"/>
      </c>
      <c r="V470" s="2">
        <f t="shared" si="10"/>
      </c>
      <c r="W470" s="2">
        <f t="shared" si="11"/>
      </c>
      <c r="X470" s="2">
        <f t="shared" si="12"/>
      </c>
      <c r="Y470" s="2">
        <f t="shared" si="13"/>
        <v>0</v>
      </c>
      <c r="Z470" s="2">
        <f t="shared" si="14"/>
      </c>
      <c r="AA470" s="2">
        <f t="shared" si="15"/>
        <v>0</v>
      </c>
      <c r="AB470" s="2">
        <f t="shared" si="16"/>
      </c>
      <c r="AC470" s="2">
        <f t="shared" si="17"/>
      </c>
      <c r="AD470" s="2">
        <f t="shared" si="18"/>
      </c>
      <c r="AE470" s="2">
        <f t="shared" si="19"/>
      </c>
      <c r="AF470" s="2">
        <f t="shared" si="20"/>
      </c>
      <c r="AG470" s="2">
        <f t="shared" si="21"/>
      </c>
      <c r="AH470" s="2">
        <f t="shared" si="22"/>
      </c>
      <c r="AI470" s="2">
        <f t="shared" si="23"/>
      </c>
      <c r="AJ470" s="2">
        <f t="shared" si="24"/>
        <v>0</v>
      </c>
      <c r="AK470" s="2">
        <f t="shared" si="25"/>
        <v>0</v>
      </c>
      <c r="AL470" s="2">
        <f t="shared" si="26"/>
        <v>0</v>
      </c>
      <c r="AM470" s="2">
        <f t="shared" si="27"/>
        <v>0</v>
      </c>
      <c r="AN470" s="2">
        <f t="shared" si="28"/>
        <v>0</v>
      </c>
      <c r="AO470" s="2">
        <f t="shared" si="29"/>
      </c>
      <c r="AP470" s="2">
        <f t="shared" si="30"/>
      </c>
      <c r="AQ470" s="2">
        <f t="shared" si="31"/>
      </c>
    </row>
    <row r="471">
      <c r="A471" s="43">
        <f t="shared" si="3"/>
      </c>
      <c r="B471" s="44" t="n"/>
      <c r="C471" s="45" t="n"/>
      <c r="D471" s="46" t="n"/>
      <c r="E471" s="47" t="n"/>
      <c r="F471" s="47" t="n"/>
      <c r="G471" s="48">
        <f t="shared" si="4"/>
      </c>
      <c r="H471" s="43">
        <f t="shared" si="0"/>
      </c>
      <c r="I471" s="43">
        <f t="shared" si="5"/>
      </c>
      <c r="J471" s="43">
        <f t="shared" si="1"/>
      </c>
      <c r="K471" s="49">
        <f t="shared" si="2"/>
      </c>
      <c r="L471" s="45" t="n"/>
      <c r="M471" s="45" t="n"/>
      <c r="N471" s="45" t="n"/>
      <c r="O471" s="45" t="n"/>
      <c r="P471" s="50" t="n"/>
      <c r="R471" s="2">
        <f t="shared" si="6"/>
        <v>0</v>
      </c>
      <c r="S471" s="2">
        <f t="shared" si="7"/>
      </c>
      <c r="T471" s="2">
        <f t="shared" si="8"/>
      </c>
      <c r="U471" s="2">
        <f t="shared" si="9"/>
      </c>
      <c r="V471" s="2">
        <f t="shared" si="10"/>
      </c>
      <c r="W471" s="2">
        <f t="shared" si="11"/>
      </c>
      <c r="X471" s="2">
        <f t="shared" si="12"/>
      </c>
      <c r="Y471" s="2">
        <f t="shared" si="13"/>
        <v>0</v>
      </c>
      <c r="Z471" s="2">
        <f t="shared" si="14"/>
      </c>
      <c r="AA471" s="2">
        <f t="shared" si="15"/>
        <v>0</v>
      </c>
      <c r="AB471" s="2">
        <f t="shared" si="16"/>
      </c>
      <c r="AC471" s="2">
        <f t="shared" si="17"/>
      </c>
      <c r="AD471" s="2">
        <f t="shared" si="18"/>
      </c>
      <c r="AE471" s="2">
        <f t="shared" si="19"/>
      </c>
      <c r="AF471" s="2">
        <f t="shared" si="20"/>
      </c>
      <c r="AG471" s="2">
        <f t="shared" si="21"/>
      </c>
      <c r="AH471" s="2">
        <f t="shared" si="22"/>
      </c>
      <c r="AI471" s="2">
        <f t="shared" si="23"/>
      </c>
      <c r="AJ471" s="2">
        <f t="shared" si="24"/>
        <v>0</v>
      </c>
      <c r="AK471" s="2">
        <f t="shared" si="25"/>
        <v>0</v>
      </c>
      <c r="AL471" s="2">
        <f t="shared" si="26"/>
        <v>0</v>
      </c>
      <c r="AM471" s="2">
        <f t="shared" si="27"/>
        <v>0</v>
      </c>
      <c r="AN471" s="2">
        <f t="shared" si="28"/>
        <v>0</v>
      </c>
      <c r="AO471" s="2">
        <f t="shared" si="29"/>
      </c>
      <c r="AP471" s="2">
        <f t="shared" si="30"/>
      </c>
      <c r="AQ471" s="2">
        <f t="shared" si="31"/>
      </c>
    </row>
    <row r="472">
      <c r="A472" s="43">
        <f t="shared" si="3"/>
      </c>
      <c r="B472" s="44" t="n"/>
      <c r="C472" s="45" t="n"/>
      <c r="D472" s="46" t="n"/>
      <c r="E472" s="47" t="n"/>
      <c r="F472" s="47" t="n"/>
      <c r="G472" s="48">
        <f t="shared" si="4"/>
      </c>
      <c r="H472" s="43">
        <f t="shared" si="0"/>
      </c>
      <c r="I472" s="43">
        <f t="shared" si="5"/>
      </c>
      <c r="J472" s="43">
        <f t="shared" si="1"/>
      </c>
      <c r="K472" s="49">
        <f t="shared" si="2"/>
      </c>
      <c r="L472" s="45" t="n"/>
      <c r="M472" s="45" t="n"/>
      <c r="N472" s="45" t="n"/>
      <c r="O472" s="45" t="n"/>
      <c r="P472" s="50" t="n"/>
      <c r="R472" s="2">
        <f t="shared" si="6"/>
        <v>0</v>
      </c>
      <c r="S472" s="2">
        <f t="shared" si="7"/>
      </c>
      <c r="T472" s="2">
        <f t="shared" si="8"/>
      </c>
      <c r="U472" s="2">
        <f t="shared" si="9"/>
      </c>
      <c r="V472" s="2">
        <f t="shared" si="10"/>
      </c>
      <c r="W472" s="2">
        <f t="shared" si="11"/>
      </c>
      <c r="X472" s="2">
        <f t="shared" si="12"/>
      </c>
      <c r="Y472" s="2">
        <f t="shared" si="13"/>
        <v>0</v>
      </c>
      <c r="Z472" s="2">
        <f t="shared" si="14"/>
      </c>
      <c r="AA472" s="2">
        <f t="shared" si="15"/>
        <v>0</v>
      </c>
      <c r="AB472" s="2">
        <f t="shared" si="16"/>
      </c>
      <c r="AC472" s="2">
        <f t="shared" si="17"/>
      </c>
      <c r="AD472" s="2">
        <f t="shared" si="18"/>
      </c>
      <c r="AE472" s="2">
        <f t="shared" si="19"/>
      </c>
      <c r="AF472" s="2">
        <f t="shared" si="20"/>
      </c>
      <c r="AG472" s="2">
        <f t="shared" si="21"/>
      </c>
      <c r="AH472" s="2">
        <f t="shared" si="22"/>
      </c>
      <c r="AI472" s="2">
        <f t="shared" si="23"/>
      </c>
      <c r="AJ472" s="2">
        <f t="shared" si="24"/>
        <v>0</v>
      </c>
      <c r="AK472" s="2">
        <f t="shared" si="25"/>
        <v>0</v>
      </c>
      <c r="AL472" s="2">
        <f t="shared" si="26"/>
        <v>0</v>
      </c>
      <c r="AM472" s="2">
        <f t="shared" si="27"/>
        <v>0</v>
      </c>
      <c r="AN472" s="2">
        <f t="shared" si="28"/>
        <v>0</v>
      </c>
      <c r="AO472" s="2">
        <f t="shared" si="29"/>
      </c>
      <c r="AP472" s="2">
        <f t="shared" si="30"/>
      </c>
      <c r="AQ472" s="2">
        <f t="shared" si="31"/>
      </c>
    </row>
    <row r="473">
      <c r="A473" s="43">
        <f t="shared" si="3"/>
      </c>
      <c r="B473" s="44" t="n"/>
      <c r="C473" s="45" t="n"/>
      <c r="D473" s="46" t="n"/>
      <c r="E473" s="47" t="n"/>
      <c r="F473" s="47" t="n"/>
      <c r="G473" s="48">
        <f t="shared" si="4"/>
      </c>
      <c r="H473" s="43">
        <f t="shared" si="0"/>
      </c>
      <c r="I473" s="43">
        <f t="shared" si="5"/>
      </c>
      <c r="J473" s="43">
        <f t="shared" si="1"/>
      </c>
      <c r="K473" s="49">
        <f t="shared" si="2"/>
      </c>
      <c r="L473" s="45" t="n"/>
      <c r="M473" s="45" t="n"/>
      <c r="N473" s="45" t="n"/>
      <c r="O473" s="45" t="n"/>
      <c r="P473" s="50" t="n"/>
      <c r="R473" s="2">
        <f t="shared" si="6"/>
        <v>0</v>
      </c>
      <c r="S473" s="2">
        <f t="shared" si="7"/>
      </c>
      <c r="T473" s="2">
        <f t="shared" si="8"/>
      </c>
      <c r="U473" s="2">
        <f t="shared" si="9"/>
      </c>
      <c r="V473" s="2">
        <f t="shared" si="10"/>
      </c>
      <c r="W473" s="2">
        <f t="shared" si="11"/>
      </c>
      <c r="X473" s="2">
        <f t="shared" si="12"/>
      </c>
      <c r="Y473" s="2">
        <f t="shared" si="13"/>
        <v>0</v>
      </c>
      <c r="Z473" s="2">
        <f t="shared" si="14"/>
      </c>
      <c r="AA473" s="2">
        <f t="shared" si="15"/>
        <v>0</v>
      </c>
      <c r="AB473" s="2">
        <f t="shared" si="16"/>
      </c>
      <c r="AC473" s="2">
        <f t="shared" si="17"/>
      </c>
      <c r="AD473" s="2">
        <f t="shared" si="18"/>
      </c>
      <c r="AE473" s="2">
        <f t="shared" si="19"/>
      </c>
      <c r="AF473" s="2">
        <f t="shared" si="20"/>
      </c>
      <c r="AG473" s="2">
        <f t="shared" si="21"/>
      </c>
      <c r="AH473" s="2">
        <f t="shared" si="22"/>
      </c>
      <c r="AI473" s="2">
        <f t="shared" si="23"/>
      </c>
      <c r="AJ473" s="2">
        <f t="shared" si="24"/>
        <v>0</v>
      </c>
      <c r="AK473" s="2">
        <f t="shared" si="25"/>
        <v>0</v>
      </c>
      <c r="AL473" s="2">
        <f t="shared" si="26"/>
        <v>0</v>
      </c>
      <c r="AM473" s="2">
        <f t="shared" si="27"/>
        <v>0</v>
      </c>
      <c r="AN473" s="2">
        <f t="shared" si="28"/>
        <v>0</v>
      </c>
      <c r="AO473" s="2">
        <f t="shared" si="29"/>
      </c>
      <c r="AP473" s="2">
        <f t="shared" si="30"/>
      </c>
      <c r="AQ473" s="2">
        <f t="shared" si="31"/>
      </c>
    </row>
    <row r="474">
      <c r="A474" s="43">
        <f t="shared" si="3"/>
      </c>
      <c r="B474" s="44" t="n"/>
      <c r="C474" s="45" t="n"/>
      <c r="D474" s="46" t="n"/>
      <c r="E474" s="47" t="n"/>
      <c r="F474" s="47" t="n"/>
      <c r="G474" s="48">
        <f t="shared" si="4"/>
      </c>
      <c r="H474" s="43">
        <f t="shared" si="0"/>
      </c>
      <c r="I474" s="43">
        <f t="shared" si="5"/>
      </c>
      <c r="J474" s="43">
        <f t="shared" si="1"/>
      </c>
      <c r="K474" s="49">
        <f t="shared" si="2"/>
      </c>
      <c r="L474" s="45" t="n"/>
      <c r="M474" s="45" t="n"/>
      <c r="N474" s="45" t="n"/>
      <c r="O474" s="45" t="n"/>
      <c r="P474" s="50" t="n"/>
      <c r="R474" s="2">
        <f t="shared" si="6"/>
        <v>0</v>
      </c>
      <c r="S474" s="2">
        <f t="shared" si="7"/>
      </c>
      <c r="T474" s="2">
        <f t="shared" si="8"/>
      </c>
      <c r="U474" s="2">
        <f t="shared" si="9"/>
      </c>
      <c r="V474" s="2">
        <f t="shared" si="10"/>
      </c>
      <c r="W474" s="2">
        <f t="shared" si="11"/>
      </c>
      <c r="X474" s="2">
        <f t="shared" si="12"/>
      </c>
      <c r="Y474" s="2">
        <f t="shared" si="13"/>
        <v>0</v>
      </c>
      <c r="Z474" s="2">
        <f t="shared" si="14"/>
      </c>
      <c r="AA474" s="2">
        <f t="shared" si="15"/>
        <v>0</v>
      </c>
      <c r="AB474" s="2">
        <f t="shared" si="16"/>
      </c>
      <c r="AC474" s="2">
        <f t="shared" si="17"/>
      </c>
      <c r="AD474" s="2">
        <f t="shared" si="18"/>
      </c>
      <c r="AE474" s="2">
        <f t="shared" si="19"/>
      </c>
      <c r="AF474" s="2">
        <f t="shared" si="20"/>
      </c>
      <c r="AG474" s="2">
        <f t="shared" si="21"/>
      </c>
      <c r="AH474" s="2">
        <f t="shared" si="22"/>
      </c>
      <c r="AI474" s="2">
        <f t="shared" si="23"/>
      </c>
      <c r="AJ474" s="2">
        <f t="shared" si="24"/>
        <v>0</v>
      </c>
      <c r="AK474" s="2">
        <f t="shared" si="25"/>
        <v>0</v>
      </c>
      <c r="AL474" s="2">
        <f t="shared" si="26"/>
        <v>0</v>
      </c>
      <c r="AM474" s="2">
        <f t="shared" si="27"/>
        <v>0</v>
      </c>
      <c r="AN474" s="2">
        <f t="shared" si="28"/>
        <v>0</v>
      </c>
      <c r="AO474" s="2">
        <f t="shared" si="29"/>
      </c>
      <c r="AP474" s="2">
        <f t="shared" si="30"/>
      </c>
      <c r="AQ474" s="2">
        <f t="shared" si="31"/>
      </c>
    </row>
    <row r="475">
      <c r="A475" s="43">
        <f t="shared" si="3"/>
      </c>
      <c r="B475" s="44" t="n"/>
      <c r="C475" s="45" t="n"/>
      <c r="D475" s="46" t="n"/>
      <c r="E475" s="47" t="n"/>
      <c r="F475" s="47" t="n"/>
      <c r="G475" s="48">
        <f t="shared" si="4"/>
      </c>
      <c r="H475" s="43">
        <f t="shared" si="0"/>
      </c>
      <c r="I475" s="43">
        <f t="shared" si="5"/>
      </c>
      <c r="J475" s="43">
        <f t="shared" si="1"/>
      </c>
      <c r="K475" s="49">
        <f t="shared" si="2"/>
      </c>
      <c r="L475" s="45" t="n"/>
      <c r="M475" s="45" t="n"/>
      <c r="N475" s="45" t="n"/>
      <c r="O475" s="45" t="n"/>
      <c r="P475" s="50" t="n"/>
      <c r="R475" s="2">
        <f t="shared" si="6"/>
        <v>0</v>
      </c>
      <c r="S475" s="2">
        <f t="shared" si="7"/>
      </c>
      <c r="T475" s="2">
        <f t="shared" si="8"/>
      </c>
      <c r="U475" s="2">
        <f t="shared" si="9"/>
      </c>
      <c r="V475" s="2">
        <f t="shared" si="10"/>
      </c>
      <c r="W475" s="2">
        <f t="shared" si="11"/>
      </c>
      <c r="X475" s="2">
        <f t="shared" si="12"/>
      </c>
      <c r="Y475" s="2">
        <f t="shared" si="13"/>
        <v>0</v>
      </c>
      <c r="Z475" s="2">
        <f t="shared" si="14"/>
      </c>
      <c r="AA475" s="2">
        <f t="shared" si="15"/>
        <v>0</v>
      </c>
      <c r="AB475" s="2">
        <f t="shared" si="16"/>
      </c>
      <c r="AC475" s="2">
        <f t="shared" si="17"/>
      </c>
      <c r="AD475" s="2">
        <f t="shared" si="18"/>
      </c>
      <c r="AE475" s="2">
        <f t="shared" si="19"/>
      </c>
      <c r="AF475" s="2">
        <f t="shared" si="20"/>
      </c>
      <c r="AG475" s="2">
        <f t="shared" si="21"/>
      </c>
      <c r="AH475" s="2">
        <f t="shared" si="22"/>
      </c>
      <c r="AI475" s="2">
        <f t="shared" si="23"/>
      </c>
      <c r="AJ475" s="2">
        <f t="shared" si="24"/>
        <v>0</v>
      </c>
      <c r="AK475" s="2">
        <f t="shared" si="25"/>
        <v>0</v>
      </c>
      <c r="AL475" s="2">
        <f t="shared" si="26"/>
        <v>0</v>
      </c>
      <c r="AM475" s="2">
        <f t="shared" si="27"/>
        <v>0</v>
      </c>
      <c r="AN475" s="2">
        <f t="shared" si="28"/>
        <v>0</v>
      </c>
      <c r="AO475" s="2">
        <f t="shared" si="29"/>
      </c>
      <c r="AP475" s="2">
        <f t="shared" si="30"/>
      </c>
      <c r="AQ475" s="2">
        <f t="shared" si="31"/>
      </c>
    </row>
    <row r="476">
      <c r="A476" s="43">
        <f t="shared" si="3"/>
      </c>
      <c r="B476" s="44" t="n"/>
      <c r="C476" s="45" t="n"/>
      <c r="D476" s="46" t="n"/>
      <c r="E476" s="47" t="n"/>
      <c r="F476" s="47" t="n"/>
      <c r="G476" s="48">
        <f t="shared" si="4"/>
      </c>
      <c r="H476" s="43">
        <f t="shared" si="0"/>
      </c>
      <c r="I476" s="43">
        <f t="shared" si="5"/>
      </c>
      <c r="J476" s="43">
        <f t="shared" si="1"/>
      </c>
      <c r="K476" s="49">
        <f t="shared" si="2"/>
      </c>
      <c r="L476" s="45" t="n"/>
      <c r="M476" s="45" t="n"/>
      <c r="N476" s="45" t="n"/>
      <c r="O476" s="45" t="n"/>
      <c r="P476" s="50" t="n"/>
      <c r="R476" s="2">
        <f t="shared" si="6"/>
        <v>0</v>
      </c>
      <c r="S476" s="2">
        <f t="shared" si="7"/>
      </c>
      <c r="T476" s="2">
        <f t="shared" si="8"/>
      </c>
      <c r="U476" s="2">
        <f t="shared" si="9"/>
      </c>
      <c r="V476" s="2">
        <f t="shared" si="10"/>
      </c>
      <c r="W476" s="2">
        <f t="shared" si="11"/>
      </c>
      <c r="X476" s="2">
        <f t="shared" si="12"/>
      </c>
      <c r="Y476" s="2">
        <f t="shared" si="13"/>
        <v>0</v>
      </c>
      <c r="Z476" s="2">
        <f t="shared" si="14"/>
      </c>
      <c r="AA476" s="2">
        <f t="shared" si="15"/>
        <v>0</v>
      </c>
      <c r="AB476" s="2">
        <f t="shared" si="16"/>
      </c>
      <c r="AC476" s="2">
        <f t="shared" si="17"/>
      </c>
      <c r="AD476" s="2">
        <f t="shared" si="18"/>
      </c>
      <c r="AE476" s="2">
        <f t="shared" si="19"/>
      </c>
      <c r="AF476" s="2">
        <f t="shared" si="20"/>
      </c>
      <c r="AG476" s="2">
        <f t="shared" si="21"/>
      </c>
      <c r="AH476" s="2">
        <f t="shared" si="22"/>
      </c>
      <c r="AI476" s="2">
        <f t="shared" si="23"/>
      </c>
      <c r="AJ476" s="2">
        <f t="shared" si="24"/>
        <v>0</v>
      </c>
      <c r="AK476" s="2">
        <f t="shared" si="25"/>
        <v>0</v>
      </c>
      <c r="AL476" s="2">
        <f t="shared" si="26"/>
        <v>0</v>
      </c>
      <c r="AM476" s="2">
        <f t="shared" si="27"/>
        <v>0</v>
      </c>
      <c r="AN476" s="2">
        <f t="shared" si="28"/>
        <v>0</v>
      </c>
      <c r="AO476" s="2">
        <f t="shared" si="29"/>
      </c>
      <c r="AP476" s="2">
        <f t="shared" si="30"/>
      </c>
      <c r="AQ476" s="2">
        <f t="shared" si="31"/>
      </c>
    </row>
    <row r="477">
      <c r="A477" s="43">
        <f t="shared" si="3"/>
      </c>
      <c r="B477" s="44" t="n"/>
      <c r="C477" s="45" t="n"/>
      <c r="D477" s="46" t="n"/>
      <c r="E477" s="47" t="n"/>
      <c r="F477" s="47" t="n"/>
      <c r="G477" s="48">
        <f t="shared" si="4"/>
      </c>
      <c r="H477" s="43">
        <f t="shared" si="0"/>
      </c>
      <c r="I477" s="43">
        <f t="shared" si="5"/>
      </c>
      <c r="J477" s="43">
        <f t="shared" si="1"/>
      </c>
      <c r="K477" s="49">
        <f t="shared" si="2"/>
      </c>
      <c r="L477" s="45" t="n"/>
      <c r="M477" s="45" t="n"/>
      <c r="N477" s="45" t="n"/>
      <c r="O477" s="45" t="n"/>
      <c r="P477" s="50" t="n"/>
      <c r="R477" s="2">
        <f t="shared" si="6"/>
        <v>0</v>
      </c>
      <c r="S477" s="2">
        <f t="shared" si="7"/>
      </c>
      <c r="T477" s="2">
        <f t="shared" si="8"/>
      </c>
      <c r="U477" s="2">
        <f t="shared" si="9"/>
      </c>
      <c r="V477" s="2">
        <f t="shared" si="10"/>
      </c>
      <c r="W477" s="2">
        <f t="shared" si="11"/>
      </c>
      <c r="X477" s="2">
        <f t="shared" si="12"/>
      </c>
      <c r="Y477" s="2">
        <f t="shared" si="13"/>
        <v>0</v>
      </c>
      <c r="Z477" s="2">
        <f t="shared" si="14"/>
      </c>
      <c r="AA477" s="2">
        <f t="shared" si="15"/>
        <v>0</v>
      </c>
      <c r="AB477" s="2">
        <f t="shared" si="16"/>
      </c>
      <c r="AC477" s="2">
        <f t="shared" si="17"/>
      </c>
      <c r="AD477" s="2">
        <f t="shared" si="18"/>
      </c>
      <c r="AE477" s="2">
        <f t="shared" si="19"/>
      </c>
      <c r="AF477" s="2">
        <f t="shared" si="20"/>
      </c>
      <c r="AG477" s="2">
        <f t="shared" si="21"/>
      </c>
      <c r="AH477" s="2">
        <f t="shared" si="22"/>
      </c>
      <c r="AI477" s="2">
        <f t="shared" si="23"/>
      </c>
      <c r="AJ477" s="2">
        <f t="shared" si="24"/>
        <v>0</v>
      </c>
      <c r="AK477" s="2">
        <f t="shared" si="25"/>
        <v>0</v>
      </c>
      <c r="AL477" s="2">
        <f t="shared" si="26"/>
        <v>0</v>
      </c>
      <c r="AM477" s="2">
        <f t="shared" si="27"/>
        <v>0</v>
      </c>
      <c r="AN477" s="2">
        <f t="shared" si="28"/>
        <v>0</v>
      </c>
      <c r="AO477" s="2">
        <f t="shared" si="29"/>
      </c>
      <c r="AP477" s="2">
        <f t="shared" si="30"/>
      </c>
      <c r="AQ477" s="2">
        <f t="shared" si="31"/>
      </c>
    </row>
    <row r="478">
      <c r="A478" s="43">
        <f t="shared" si="3"/>
      </c>
      <c r="B478" s="44" t="n"/>
      <c r="C478" s="45" t="n"/>
      <c r="D478" s="46" t="n"/>
      <c r="E478" s="47" t="n"/>
      <c r="F478" s="47" t="n"/>
      <c r="G478" s="48">
        <f t="shared" si="4"/>
      </c>
      <c r="H478" s="43">
        <f t="shared" si="0"/>
      </c>
      <c r="I478" s="43">
        <f t="shared" si="5"/>
      </c>
      <c r="J478" s="43">
        <f t="shared" si="1"/>
      </c>
      <c r="K478" s="49">
        <f t="shared" si="2"/>
      </c>
      <c r="L478" s="45" t="n"/>
      <c r="M478" s="45" t="n"/>
      <c r="N478" s="45" t="n"/>
      <c r="O478" s="45" t="n"/>
      <c r="P478" s="50" t="n"/>
      <c r="R478" s="2">
        <f t="shared" si="6"/>
        <v>0</v>
      </c>
      <c r="S478" s="2">
        <f t="shared" si="7"/>
      </c>
      <c r="T478" s="2">
        <f t="shared" si="8"/>
      </c>
      <c r="U478" s="2">
        <f t="shared" si="9"/>
      </c>
      <c r="V478" s="2">
        <f t="shared" si="10"/>
      </c>
      <c r="W478" s="2">
        <f t="shared" si="11"/>
      </c>
      <c r="X478" s="2">
        <f t="shared" si="12"/>
      </c>
      <c r="Y478" s="2">
        <f t="shared" si="13"/>
        <v>0</v>
      </c>
      <c r="Z478" s="2">
        <f t="shared" si="14"/>
      </c>
      <c r="AA478" s="2">
        <f t="shared" si="15"/>
        <v>0</v>
      </c>
      <c r="AB478" s="2">
        <f t="shared" si="16"/>
      </c>
      <c r="AC478" s="2">
        <f t="shared" si="17"/>
      </c>
      <c r="AD478" s="2">
        <f t="shared" si="18"/>
      </c>
      <c r="AE478" s="2">
        <f t="shared" si="19"/>
      </c>
      <c r="AF478" s="2">
        <f t="shared" si="20"/>
      </c>
      <c r="AG478" s="2">
        <f t="shared" si="21"/>
      </c>
      <c r="AH478" s="2">
        <f t="shared" si="22"/>
      </c>
      <c r="AI478" s="2">
        <f t="shared" si="23"/>
      </c>
      <c r="AJ478" s="2">
        <f t="shared" si="24"/>
        <v>0</v>
      </c>
      <c r="AK478" s="2">
        <f t="shared" si="25"/>
        <v>0</v>
      </c>
      <c r="AL478" s="2">
        <f t="shared" si="26"/>
        <v>0</v>
      </c>
      <c r="AM478" s="2">
        <f t="shared" si="27"/>
        <v>0</v>
      </c>
      <c r="AN478" s="2">
        <f t="shared" si="28"/>
        <v>0</v>
      </c>
      <c r="AO478" s="2">
        <f t="shared" si="29"/>
      </c>
      <c r="AP478" s="2">
        <f t="shared" si="30"/>
      </c>
      <c r="AQ478" s="2">
        <f t="shared" si="31"/>
      </c>
    </row>
    <row r="479">
      <c r="A479" s="43">
        <f t="shared" si="3"/>
      </c>
      <c r="B479" s="44" t="n"/>
      <c r="C479" s="45" t="n"/>
      <c r="D479" s="46" t="n"/>
      <c r="E479" s="47" t="n"/>
      <c r="F479" s="47" t="n"/>
      <c r="G479" s="48">
        <f t="shared" si="4"/>
      </c>
      <c r="H479" s="43">
        <f t="shared" si="0"/>
      </c>
      <c r="I479" s="43">
        <f t="shared" si="5"/>
      </c>
      <c r="J479" s="43">
        <f t="shared" si="1"/>
      </c>
      <c r="K479" s="49">
        <f t="shared" si="2"/>
      </c>
      <c r="L479" s="45" t="n"/>
      <c r="M479" s="45" t="n"/>
      <c r="N479" s="45" t="n"/>
      <c r="O479" s="45" t="n"/>
      <c r="P479" s="50" t="n"/>
      <c r="R479" s="2">
        <f t="shared" si="6"/>
        <v>0</v>
      </c>
      <c r="S479" s="2">
        <f t="shared" si="7"/>
      </c>
      <c r="T479" s="2">
        <f t="shared" si="8"/>
      </c>
      <c r="U479" s="2">
        <f t="shared" si="9"/>
      </c>
      <c r="V479" s="2">
        <f t="shared" si="10"/>
      </c>
      <c r="W479" s="2">
        <f t="shared" si="11"/>
      </c>
      <c r="X479" s="2">
        <f t="shared" si="12"/>
      </c>
      <c r="Y479" s="2">
        <f t="shared" si="13"/>
        <v>0</v>
      </c>
      <c r="Z479" s="2">
        <f t="shared" si="14"/>
      </c>
      <c r="AA479" s="2">
        <f t="shared" si="15"/>
        <v>0</v>
      </c>
      <c r="AB479" s="2">
        <f t="shared" si="16"/>
      </c>
      <c r="AC479" s="2">
        <f t="shared" si="17"/>
      </c>
      <c r="AD479" s="2">
        <f t="shared" si="18"/>
      </c>
      <c r="AE479" s="2">
        <f t="shared" si="19"/>
      </c>
      <c r="AF479" s="2">
        <f t="shared" si="20"/>
      </c>
      <c r="AG479" s="2">
        <f t="shared" si="21"/>
      </c>
      <c r="AH479" s="2">
        <f t="shared" si="22"/>
      </c>
      <c r="AI479" s="2">
        <f t="shared" si="23"/>
      </c>
      <c r="AJ479" s="2">
        <f t="shared" si="24"/>
        <v>0</v>
      </c>
      <c r="AK479" s="2">
        <f t="shared" si="25"/>
        <v>0</v>
      </c>
      <c r="AL479" s="2">
        <f t="shared" si="26"/>
        <v>0</v>
      </c>
      <c r="AM479" s="2">
        <f t="shared" si="27"/>
        <v>0</v>
      </c>
      <c r="AN479" s="2">
        <f t="shared" si="28"/>
        <v>0</v>
      </c>
      <c r="AO479" s="2">
        <f t="shared" si="29"/>
      </c>
      <c r="AP479" s="2">
        <f t="shared" si="30"/>
      </c>
      <c r="AQ479" s="2">
        <f t="shared" si="31"/>
      </c>
    </row>
    <row r="480">
      <c r="A480" s="43">
        <f t="shared" si="3"/>
      </c>
      <c r="B480" s="44" t="n"/>
      <c r="C480" s="45" t="n"/>
      <c r="D480" s="46" t="n"/>
      <c r="E480" s="47" t="n"/>
      <c r="F480" s="47" t="n"/>
      <c r="G480" s="48">
        <f t="shared" si="4"/>
      </c>
      <c r="H480" s="43">
        <f t="shared" si="0"/>
      </c>
      <c r="I480" s="43">
        <f t="shared" si="5"/>
      </c>
      <c r="J480" s="43">
        <f t="shared" si="1"/>
      </c>
      <c r="K480" s="49">
        <f t="shared" si="2"/>
      </c>
      <c r="L480" s="45" t="n"/>
      <c r="M480" s="45" t="n"/>
      <c r="N480" s="45" t="n"/>
      <c r="O480" s="45" t="n"/>
      <c r="P480" s="50" t="n"/>
      <c r="R480" s="2">
        <f t="shared" si="6"/>
        <v>0</v>
      </c>
      <c r="S480" s="2">
        <f t="shared" si="7"/>
      </c>
      <c r="T480" s="2">
        <f t="shared" si="8"/>
      </c>
      <c r="U480" s="2">
        <f t="shared" si="9"/>
      </c>
      <c r="V480" s="2">
        <f t="shared" si="10"/>
      </c>
      <c r="W480" s="2">
        <f t="shared" si="11"/>
      </c>
      <c r="X480" s="2">
        <f t="shared" si="12"/>
      </c>
      <c r="Y480" s="2">
        <f t="shared" si="13"/>
        <v>0</v>
      </c>
      <c r="Z480" s="2">
        <f t="shared" si="14"/>
      </c>
      <c r="AA480" s="2">
        <f t="shared" si="15"/>
        <v>0</v>
      </c>
      <c r="AB480" s="2">
        <f t="shared" si="16"/>
      </c>
      <c r="AC480" s="2">
        <f t="shared" si="17"/>
      </c>
      <c r="AD480" s="2">
        <f t="shared" si="18"/>
      </c>
      <c r="AE480" s="2">
        <f t="shared" si="19"/>
      </c>
      <c r="AF480" s="2">
        <f t="shared" si="20"/>
      </c>
      <c r="AG480" s="2">
        <f t="shared" si="21"/>
      </c>
      <c r="AH480" s="2">
        <f t="shared" si="22"/>
      </c>
      <c r="AI480" s="2">
        <f t="shared" si="23"/>
      </c>
      <c r="AJ480" s="2">
        <f t="shared" si="24"/>
        <v>0</v>
      </c>
      <c r="AK480" s="2">
        <f t="shared" si="25"/>
        <v>0</v>
      </c>
      <c r="AL480" s="2">
        <f t="shared" si="26"/>
        <v>0</v>
      </c>
      <c r="AM480" s="2">
        <f t="shared" si="27"/>
        <v>0</v>
      </c>
      <c r="AN480" s="2">
        <f t="shared" si="28"/>
        <v>0</v>
      </c>
      <c r="AO480" s="2">
        <f t="shared" si="29"/>
      </c>
      <c r="AP480" s="2">
        <f t="shared" si="30"/>
      </c>
      <c r="AQ480" s="2">
        <f t="shared" si="31"/>
      </c>
    </row>
    <row r="481">
      <c r="A481" s="43">
        <f t="shared" si="3"/>
      </c>
      <c r="B481" s="44" t="n"/>
      <c r="C481" s="45" t="n"/>
      <c r="D481" s="46" t="n"/>
      <c r="E481" s="47" t="n"/>
      <c r="F481" s="47" t="n"/>
      <c r="G481" s="48">
        <f t="shared" si="4"/>
      </c>
      <c r="H481" s="43">
        <f t="shared" si="0"/>
      </c>
      <c r="I481" s="43">
        <f t="shared" si="5"/>
      </c>
      <c r="J481" s="43">
        <f t="shared" si="1"/>
      </c>
      <c r="K481" s="49">
        <f t="shared" si="2"/>
      </c>
      <c r="L481" s="45" t="n"/>
      <c r="M481" s="45" t="n"/>
      <c r="N481" s="45" t="n"/>
      <c r="O481" s="45" t="n"/>
      <c r="P481" s="50" t="n"/>
      <c r="R481" s="2">
        <f t="shared" si="6"/>
        <v>0</v>
      </c>
      <c r="S481" s="2">
        <f t="shared" si="7"/>
      </c>
      <c r="T481" s="2">
        <f t="shared" si="8"/>
      </c>
      <c r="U481" s="2">
        <f t="shared" si="9"/>
      </c>
      <c r="V481" s="2">
        <f t="shared" si="10"/>
      </c>
      <c r="W481" s="2">
        <f t="shared" si="11"/>
      </c>
      <c r="X481" s="2">
        <f t="shared" si="12"/>
      </c>
      <c r="Y481" s="2">
        <f t="shared" si="13"/>
        <v>0</v>
      </c>
      <c r="Z481" s="2">
        <f t="shared" si="14"/>
      </c>
      <c r="AA481" s="2">
        <f t="shared" si="15"/>
        <v>0</v>
      </c>
      <c r="AB481" s="2">
        <f t="shared" si="16"/>
      </c>
      <c r="AC481" s="2">
        <f t="shared" si="17"/>
      </c>
      <c r="AD481" s="2">
        <f t="shared" si="18"/>
      </c>
      <c r="AE481" s="2">
        <f t="shared" si="19"/>
      </c>
      <c r="AF481" s="2">
        <f t="shared" si="20"/>
      </c>
      <c r="AG481" s="2">
        <f t="shared" si="21"/>
      </c>
      <c r="AH481" s="2">
        <f t="shared" si="22"/>
      </c>
      <c r="AI481" s="2">
        <f t="shared" si="23"/>
      </c>
      <c r="AJ481" s="2">
        <f t="shared" si="24"/>
        <v>0</v>
      </c>
      <c r="AK481" s="2">
        <f t="shared" si="25"/>
        <v>0</v>
      </c>
      <c r="AL481" s="2">
        <f t="shared" si="26"/>
        <v>0</v>
      </c>
      <c r="AM481" s="2">
        <f t="shared" si="27"/>
        <v>0</v>
      </c>
      <c r="AN481" s="2">
        <f t="shared" si="28"/>
        <v>0</v>
      </c>
      <c r="AO481" s="2">
        <f t="shared" si="29"/>
      </c>
      <c r="AP481" s="2">
        <f t="shared" si="30"/>
      </c>
      <c r="AQ481" s="2">
        <f t="shared" si="31"/>
      </c>
    </row>
    <row r="482">
      <c r="A482" s="43">
        <f t="shared" si="3"/>
      </c>
      <c r="B482" s="44" t="n"/>
      <c r="C482" s="45" t="n"/>
      <c r="D482" s="46" t="n"/>
      <c r="E482" s="47" t="n"/>
      <c r="F482" s="47" t="n"/>
      <c r="G482" s="48">
        <f t="shared" si="4"/>
      </c>
      <c r="H482" s="43">
        <f t="shared" si="0"/>
      </c>
      <c r="I482" s="43">
        <f t="shared" si="5"/>
      </c>
      <c r="J482" s="43">
        <f t="shared" si="1"/>
      </c>
      <c r="K482" s="49">
        <f t="shared" si="2"/>
      </c>
      <c r="L482" s="45" t="n"/>
      <c r="M482" s="45" t="n"/>
      <c r="N482" s="45" t="n"/>
      <c r="O482" s="45" t="n"/>
      <c r="P482" s="50" t="n"/>
      <c r="R482" s="2">
        <f t="shared" si="6"/>
        <v>0</v>
      </c>
      <c r="S482" s="2">
        <f t="shared" si="7"/>
      </c>
      <c r="T482" s="2">
        <f t="shared" si="8"/>
      </c>
      <c r="U482" s="2">
        <f t="shared" si="9"/>
      </c>
      <c r="V482" s="2">
        <f t="shared" si="10"/>
      </c>
      <c r="W482" s="2">
        <f t="shared" si="11"/>
      </c>
      <c r="X482" s="2">
        <f t="shared" si="12"/>
      </c>
      <c r="Y482" s="2">
        <f t="shared" si="13"/>
        <v>0</v>
      </c>
      <c r="Z482" s="2">
        <f t="shared" si="14"/>
      </c>
      <c r="AA482" s="2">
        <f t="shared" si="15"/>
        <v>0</v>
      </c>
      <c r="AB482" s="2">
        <f t="shared" si="16"/>
      </c>
      <c r="AC482" s="2">
        <f t="shared" si="17"/>
      </c>
      <c r="AD482" s="2">
        <f t="shared" si="18"/>
      </c>
      <c r="AE482" s="2">
        <f t="shared" si="19"/>
      </c>
      <c r="AF482" s="2">
        <f t="shared" si="20"/>
      </c>
      <c r="AG482" s="2">
        <f t="shared" si="21"/>
      </c>
      <c r="AH482" s="2">
        <f t="shared" si="22"/>
      </c>
      <c r="AI482" s="2">
        <f t="shared" si="23"/>
      </c>
      <c r="AJ482" s="2">
        <f t="shared" si="24"/>
        <v>0</v>
      </c>
      <c r="AK482" s="2">
        <f t="shared" si="25"/>
        <v>0</v>
      </c>
      <c r="AL482" s="2">
        <f t="shared" si="26"/>
        <v>0</v>
      </c>
      <c r="AM482" s="2">
        <f t="shared" si="27"/>
        <v>0</v>
      </c>
      <c r="AN482" s="2">
        <f t="shared" si="28"/>
        <v>0</v>
      </c>
      <c r="AO482" s="2">
        <f t="shared" si="29"/>
      </c>
      <c r="AP482" s="2">
        <f t="shared" si="30"/>
      </c>
      <c r="AQ482" s="2">
        <f t="shared" si="31"/>
      </c>
    </row>
    <row r="483">
      <c r="A483" s="43">
        <f t="shared" si="3"/>
      </c>
      <c r="B483" s="44" t="n"/>
      <c r="C483" s="45" t="n"/>
      <c r="D483" s="46" t="n"/>
      <c r="E483" s="47" t="n"/>
      <c r="F483" s="47" t="n"/>
      <c r="G483" s="48">
        <f t="shared" si="4"/>
      </c>
      <c r="H483" s="43">
        <f t="shared" si="0"/>
      </c>
      <c r="I483" s="43">
        <f t="shared" si="5"/>
      </c>
      <c r="J483" s="43">
        <f t="shared" si="1"/>
      </c>
      <c r="K483" s="49">
        <f t="shared" si="2"/>
      </c>
      <c r="L483" s="45" t="n"/>
      <c r="M483" s="45" t="n"/>
      <c r="N483" s="45" t="n"/>
      <c r="O483" s="45" t="n"/>
      <c r="P483" s="50" t="n"/>
      <c r="R483" s="2">
        <f t="shared" si="6"/>
        <v>0</v>
      </c>
      <c r="S483" s="2">
        <f t="shared" si="7"/>
      </c>
      <c r="T483" s="2">
        <f t="shared" si="8"/>
      </c>
      <c r="U483" s="2">
        <f t="shared" si="9"/>
      </c>
      <c r="V483" s="2">
        <f t="shared" si="10"/>
      </c>
      <c r="W483" s="2">
        <f t="shared" si="11"/>
      </c>
      <c r="X483" s="2">
        <f t="shared" si="12"/>
      </c>
      <c r="Y483" s="2">
        <f t="shared" si="13"/>
        <v>0</v>
      </c>
      <c r="Z483" s="2">
        <f t="shared" si="14"/>
      </c>
      <c r="AA483" s="2">
        <f t="shared" si="15"/>
        <v>0</v>
      </c>
      <c r="AB483" s="2">
        <f t="shared" si="16"/>
      </c>
      <c r="AC483" s="2">
        <f t="shared" si="17"/>
      </c>
      <c r="AD483" s="2">
        <f t="shared" si="18"/>
      </c>
      <c r="AE483" s="2">
        <f t="shared" si="19"/>
      </c>
      <c r="AF483" s="2">
        <f t="shared" si="20"/>
      </c>
      <c r="AG483" s="2">
        <f t="shared" si="21"/>
      </c>
      <c r="AH483" s="2">
        <f t="shared" si="22"/>
      </c>
      <c r="AI483" s="2">
        <f t="shared" si="23"/>
      </c>
      <c r="AJ483" s="2">
        <f t="shared" si="24"/>
        <v>0</v>
      </c>
      <c r="AK483" s="2">
        <f t="shared" si="25"/>
        <v>0</v>
      </c>
      <c r="AL483" s="2">
        <f t="shared" si="26"/>
        <v>0</v>
      </c>
      <c r="AM483" s="2">
        <f t="shared" si="27"/>
        <v>0</v>
      </c>
      <c r="AN483" s="2">
        <f t="shared" si="28"/>
        <v>0</v>
      </c>
      <c r="AO483" s="2">
        <f t="shared" si="29"/>
      </c>
      <c r="AP483" s="2">
        <f t="shared" si="30"/>
      </c>
      <c r="AQ483" s="2">
        <f t="shared" si="31"/>
      </c>
    </row>
    <row r="484">
      <c r="A484" s="43">
        <f t="shared" si="3"/>
      </c>
      <c r="B484" s="44" t="n"/>
      <c r="C484" s="45" t="n"/>
      <c r="D484" s="46" t="n"/>
      <c r="E484" s="47" t="n"/>
      <c r="F484" s="47" t="n"/>
      <c r="G484" s="48">
        <f t="shared" si="4"/>
      </c>
      <c r="H484" s="43">
        <f t="shared" si="0"/>
      </c>
      <c r="I484" s="43">
        <f t="shared" si="5"/>
      </c>
      <c r="J484" s="43">
        <f t="shared" si="1"/>
      </c>
      <c r="K484" s="49">
        <f t="shared" si="2"/>
      </c>
      <c r="L484" s="45" t="n"/>
      <c r="M484" s="45" t="n"/>
      <c r="N484" s="45" t="n"/>
      <c r="O484" s="45" t="n"/>
      <c r="P484" s="50" t="n"/>
      <c r="R484" s="2">
        <f t="shared" si="6"/>
        <v>0</v>
      </c>
      <c r="S484" s="2">
        <f t="shared" si="7"/>
      </c>
      <c r="T484" s="2">
        <f t="shared" si="8"/>
      </c>
      <c r="U484" s="2">
        <f t="shared" si="9"/>
      </c>
      <c r="V484" s="2">
        <f t="shared" si="10"/>
      </c>
      <c r="W484" s="2">
        <f t="shared" si="11"/>
      </c>
      <c r="X484" s="2">
        <f t="shared" si="12"/>
      </c>
      <c r="Y484" s="2">
        <f t="shared" si="13"/>
        <v>0</v>
      </c>
      <c r="Z484" s="2">
        <f t="shared" si="14"/>
      </c>
      <c r="AA484" s="2">
        <f t="shared" si="15"/>
        <v>0</v>
      </c>
      <c r="AB484" s="2">
        <f t="shared" si="16"/>
      </c>
      <c r="AC484" s="2">
        <f t="shared" si="17"/>
      </c>
      <c r="AD484" s="2">
        <f t="shared" si="18"/>
      </c>
      <c r="AE484" s="2">
        <f t="shared" si="19"/>
      </c>
      <c r="AF484" s="2">
        <f t="shared" si="20"/>
      </c>
      <c r="AG484" s="2">
        <f t="shared" si="21"/>
      </c>
      <c r="AH484" s="2">
        <f t="shared" si="22"/>
      </c>
      <c r="AI484" s="2">
        <f t="shared" si="23"/>
      </c>
      <c r="AJ484" s="2">
        <f t="shared" si="24"/>
        <v>0</v>
      </c>
      <c r="AK484" s="2">
        <f t="shared" si="25"/>
        <v>0</v>
      </c>
      <c r="AL484" s="2">
        <f t="shared" si="26"/>
        <v>0</v>
      </c>
      <c r="AM484" s="2">
        <f t="shared" si="27"/>
        <v>0</v>
      </c>
      <c r="AN484" s="2">
        <f t="shared" si="28"/>
        <v>0</v>
      </c>
      <c r="AO484" s="2">
        <f t="shared" si="29"/>
      </c>
      <c r="AP484" s="2">
        <f t="shared" si="30"/>
      </c>
      <c r="AQ484" s="2">
        <f t="shared" si="31"/>
      </c>
    </row>
    <row r="485">
      <c r="A485" s="43">
        <f t="shared" si="3"/>
      </c>
      <c r="B485" s="44" t="n"/>
      <c r="C485" s="45" t="n"/>
      <c r="D485" s="46" t="n"/>
      <c r="E485" s="47" t="n"/>
      <c r="F485" s="47" t="n"/>
      <c r="G485" s="48">
        <f t="shared" si="4"/>
      </c>
      <c r="H485" s="43">
        <f t="shared" si="0"/>
      </c>
      <c r="I485" s="43">
        <f t="shared" si="5"/>
      </c>
      <c r="J485" s="43">
        <f t="shared" si="1"/>
      </c>
      <c r="K485" s="49">
        <f t="shared" si="2"/>
      </c>
      <c r="L485" s="45" t="n"/>
      <c r="M485" s="45" t="n"/>
      <c r="N485" s="45" t="n"/>
      <c r="O485" s="45" t="n"/>
      <c r="P485" s="50" t="n"/>
      <c r="R485" s="2">
        <f t="shared" si="6"/>
        <v>0</v>
      </c>
      <c r="S485" s="2">
        <f t="shared" si="7"/>
      </c>
      <c r="T485" s="2">
        <f t="shared" si="8"/>
      </c>
      <c r="U485" s="2">
        <f t="shared" si="9"/>
      </c>
      <c r="V485" s="2">
        <f t="shared" si="10"/>
      </c>
      <c r="W485" s="2">
        <f t="shared" si="11"/>
      </c>
      <c r="X485" s="2">
        <f t="shared" si="12"/>
      </c>
      <c r="Y485" s="2">
        <f t="shared" si="13"/>
        <v>0</v>
      </c>
      <c r="Z485" s="2">
        <f t="shared" si="14"/>
      </c>
      <c r="AA485" s="2">
        <f t="shared" si="15"/>
        <v>0</v>
      </c>
      <c r="AB485" s="2">
        <f t="shared" si="16"/>
      </c>
      <c r="AC485" s="2">
        <f t="shared" si="17"/>
      </c>
      <c r="AD485" s="2">
        <f t="shared" si="18"/>
      </c>
      <c r="AE485" s="2">
        <f t="shared" si="19"/>
      </c>
      <c r="AF485" s="2">
        <f t="shared" si="20"/>
      </c>
      <c r="AG485" s="2">
        <f t="shared" si="21"/>
      </c>
      <c r="AH485" s="2">
        <f t="shared" si="22"/>
      </c>
      <c r="AI485" s="2">
        <f t="shared" si="23"/>
      </c>
      <c r="AJ485" s="2">
        <f t="shared" si="24"/>
        <v>0</v>
      </c>
      <c r="AK485" s="2">
        <f t="shared" si="25"/>
        <v>0</v>
      </c>
      <c r="AL485" s="2">
        <f t="shared" si="26"/>
        <v>0</v>
      </c>
      <c r="AM485" s="2">
        <f t="shared" si="27"/>
        <v>0</v>
      </c>
      <c r="AN485" s="2">
        <f t="shared" si="28"/>
        <v>0</v>
      </c>
      <c r="AO485" s="2">
        <f t="shared" si="29"/>
      </c>
      <c r="AP485" s="2">
        <f t="shared" si="30"/>
      </c>
      <c r="AQ485" s="2">
        <f t="shared" si="31"/>
      </c>
    </row>
    <row r="486">
      <c r="A486" s="43">
        <f t="shared" si="3"/>
      </c>
      <c r="B486" s="44" t="n"/>
      <c r="C486" s="45" t="n"/>
      <c r="D486" s="46" t="n"/>
      <c r="E486" s="47" t="n"/>
      <c r="F486" s="47" t="n"/>
      <c r="G486" s="48">
        <f t="shared" si="4"/>
      </c>
      <c r="H486" s="43">
        <f t="shared" si="0"/>
      </c>
      <c r="I486" s="43">
        <f t="shared" si="5"/>
      </c>
      <c r="J486" s="43">
        <f t="shared" si="1"/>
      </c>
      <c r="K486" s="49">
        <f t="shared" si="2"/>
      </c>
      <c r="L486" s="45" t="n"/>
      <c r="M486" s="45" t="n"/>
      <c r="N486" s="45" t="n"/>
      <c r="O486" s="45" t="n"/>
      <c r="P486" s="50" t="n"/>
      <c r="R486" s="2">
        <f t="shared" si="6"/>
        <v>0</v>
      </c>
      <c r="S486" s="2">
        <f t="shared" si="7"/>
      </c>
      <c r="T486" s="2">
        <f t="shared" si="8"/>
      </c>
      <c r="U486" s="2">
        <f t="shared" si="9"/>
      </c>
      <c r="V486" s="2">
        <f t="shared" si="10"/>
      </c>
      <c r="W486" s="2">
        <f t="shared" si="11"/>
      </c>
      <c r="X486" s="2">
        <f t="shared" si="12"/>
      </c>
      <c r="Y486" s="2">
        <f t="shared" si="13"/>
        <v>0</v>
      </c>
      <c r="Z486" s="2">
        <f t="shared" si="14"/>
      </c>
      <c r="AA486" s="2">
        <f t="shared" si="15"/>
        <v>0</v>
      </c>
      <c r="AB486" s="2">
        <f t="shared" si="16"/>
      </c>
      <c r="AC486" s="2">
        <f t="shared" si="17"/>
      </c>
      <c r="AD486" s="2">
        <f t="shared" si="18"/>
      </c>
      <c r="AE486" s="2">
        <f t="shared" si="19"/>
      </c>
      <c r="AF486" s="2">
        <f t="shared" si="20"/>
      </c>
      <c r="AG486" s="2">
        <f t="shared" si="21"/>
      </c>
      <c r="AH486" s="2">
        <f t="shared" si="22"/>
      </c>
      <c r="AI486" s="2">
        <f t="shared" si="23"/>
      </c>
      <c r="AJ486" s="2">
        <f t="shared" si="24"/>
        <v>0</v>
      </c>
      <c r="AK486" s="2">
        <f t="shared" si="25"/>
        <v>0</v>
      </c>
      <c r="AL486" s="2">
        <f t="shared" si="26"/>
        <v>0</v>
      </c>
      <c r="AM486" s="2">
        <f t="shared" si="27"/>
        <v>0</v>
      </c>
      <c r="AN486" s="2">
        <f t="shared" si="28"/>
        <v>0</v>
      </c>
      <c r="AO486" s="2">
        <f t="shared" si="29"/>
      </c>
      <c r="AP486" s="2">
        <f t="shared" si="30"/>
      </c>
      <c r="AQ486" s="2">
        <f t="shared" si="31"/>
      </c>
    </row>
    <row r="487">
      <c r="A487" s="43">
        <f t="shared" si="3"/>
      </c>
      <c r="B487" s="44" t="n"/>
      <c r="C487" s="45" t="n"/>
      <c r="D487" s="46" t="n"/>
      <c r="E487" s="47" t="n"/>
      <c r="F487" s="47" t="n"/>
      <c r="G487" s="48">
        <f t="shared" si="4"/>
      </c>
      <c r="H487" s="43">
        <f t="shared" si="0"/>
      </c>
      <c r="I487" s="43">
        <f t="shared" si="5"/>
      </c>
      <c r="J487" s="43">
        <f t="shared" si="1"/>
      </c>
      <c r="K487" s="49">
        <f t="shared" si="2"/>
      </c>
      <c r="L487" s="45" t="n"/>
      <c r="M487" s="45" t="n"/>
      <c r="N487" s="45" t="n"/>
      <c r="O487" s="45" t="n"/>
      <c r="P487" s="50" t="n"/>
      <c r="R487" s="2">
        <f t="shared" si="6"/>
        <v>0</v>
      </c>
      <c r="S487" s="2">
        <f t="shared" si="7"/>
      </c>
      <c r="T487" s="2">
        <f t="shared" si="8"/>
      </c>
      <c r="U487" s="2">
        <f t="shared" si="9"/>
      </c>
      <c r="V487" s="2">
        <f t="shared" si="10"/>
      </c>
      <c r="W487" s="2">
        <f t="shared" si="11"/>
      </c>
      <c r="X487" s="2">
        <f t="shared" si="12"/>
      </c>
      <c r="Y487" s="2">
        <f t="shared" si="13"/>
        <v>0</v>
      </c>
      <c r="Z487" s="2">
        <f t="shared" si="14"/>
      </c>
      <c r="AA487" s="2">
        <f t="shared" si="15"/>
        <v>0</v>
      </c>
      <c r="AB487" s="2">
        <f t="shared" si="16"/>
      </c>
      <c r="AC487" s="2">
        <f t="shared" si="17"/>
      </c>
      <c r="AD487" s="2">
        <f t="shared" si="18"/>
      </c>
      <c r="AE487" s="2">
        <f t="shared" si="19"/>
      </c>
      <c r="AF487" s="2">
        <f t="shared" si="20"/>
      </c>
      <c r="AG487" s="2">
        <f t="shared" si="21"/>
      </c>
      <c r="AH487" s="2">
        <f t="shared" si="22"/>
      </c>
      <c r="AI487" s="2">
        <f t="shared" si="23"/>
      </c>
      <c r="AJ487" s="2">
        <f t="shared" si="24"/>
        <v>0</v>
      </c>
      <c r="AK487" s="2">
        <f t="shared" si="25"/>
        <v>0</v>
      </c>
      <c r="AL487" s="2">
        <f t="shared" si="26"/>
        <v>0</v>
      </c>
      <c r="AM487" s="2">
        <f t="shared" si="27"/>
        <v>0</v>
      </c>
      <c r="AN487" s="2">
        <f t="shared" si="28"/>
        <v>0</v>
      </c>
      <c r="AO487" s="2">
        <f t="shared" si="29"/>
      </c>
      <c r="AP487" s="2">
        <f t="shared" si="30"/>
      </c>
      <c r="AQ487" s="2">
        <f t="shared" si="31"/>
      </c>
    </row>
    <row r="488">
      <c r="A488" s="43">
        <f t="shared" si="3"/>
      </c>
      <c r="B488" s="44" t="n"/>
      <c r="C488" s="45" t="n"/>
      <c r="D488" s="46" t="n"/>
      <c r="E488" s="47" t="n"/>
      <c r="F488" s="47" t="n"/>
      <c r="G488" s="48">
        <f t="shared" si="4"/>
      </c>
      <c r="H488" s="43">
        <f t="shared" si="0"/>
      </c>
      <c r="I488" s="43">
        <f t="shared" si="5"/>
      </c>
      <c r="J488" s="43">
        <f t="shared" si="1"/>
      </c>
      <c r="K488" s="49">
        <f t="shared" si="2"/>
      </c>
      <c r="L488" s="45" t="n"/>
      <c r="M488" s="45" t="n"/>
      <c r="N488" s="45" t="n"/>
      <c r="O488" s="45" t="n"/>
      <c r="P488" s="50" t="n"/>
      <c r="R488" s="2">
        <f t="shared" si="6"/>
        <v>0</v>
      </c>
      <c r="S488" s="2">
        <f t="shared" si="7"/>
      </c>
      <c r="T488" s="2">
        <f t="shared" si="8"/>
      </c>
      <c r="U488" s="2">
        <f t="shared" si="9"/>
      </c>
      <c r="V488" s="2">
        <f t="shared" si="10"/>
      </c>
      <c r="W488" s="2">
        <f t="shared" si="11"/>
      </c>
      <c r="X488" s="2">
        <f t="shared" si="12"/>
      </c>
      <c r="Y488" s="2">
        <f t="shared" si="13"/>
        <v>0</v>
      </c>
      <c r="Z488" s="2">
        <f t="shared" si="14"/>
      </c>
      <c r="AA488" s="2">
        <f t="shared" si="15"/>
        <v>0</v>
      </c>
      <c r="AB488" s="2">
        <f t="shared" si="16"/>
      </c>
      <c r="AC488" s="2">
        <f t="shared" si="17"/>
      </c>
      <c r="AD488" s="2">
        <f t="shared" si="18"/>
      </c>
      <c r="AE488" s="2">
        <f t="shared" si="19"/>
      </c>
      <c r="AF488" s="2">
        <f t="shared" si="20"/>
      </c>
      <c r="AG488" s="2">
        <f t="shared" si="21"/>
      </c>
      <c r="AH488" s="2">
        <f t="shared" si="22"/>
      </c>
      <c r="AI488" s="2">
        <f t="shared" si="23"/>
      </c>
      <c r="AJ488" s="2">
        <f t="shared" si="24"/>
        <v>0</v>
      </c>
      <c r="AK488" s="2">
        <f t="shared" si="25"/>
        <v>0</v>
      </c>
      <c r="AL488" s="2">
        <f t="shared" si="26"/>
        <v>0</v>
      </c>
      <c r="AM488" s="2">
        <f t="shared" si="27"/>
        <v>0</v>
      </c>
      <c r="AN488" s="2">
        <f t="shared" si="28"/>
        <v>0</v>
      </c>
      <c r="AO488" s="2">
        <f t="shared" si="29"/>
      </c>
      <c r="AP488" s="2">
        <f t="shared" si="30"/>
      </c>
      <c r="AQ488" s="2">
        <f t="shared" si="31"/>
      </c>
    </row>
    <row r="489">
      <c r="A489" s="43">
        <f t="shared" si="3"/>
      </c>
      <c r="B489" s="44" t="n"/>
      <c r="C489" s="45" t="n"/>
      <c r="D489" s="46" t="n"/>
      <c r="E489" s="47" t="n"/>
      <c r="F489" s="47" t="n"/>
      <c r="G489" s="48">
        <f t="shared" si="4"/>
      </c>
      <c r="H489" s="43">
        <f t="shared" si="0"/>
      </c>
      <c r="I489" s="43">
        <f t="shared" si="5"/>
      </c>
      <c r="J489" s="43">
        <f t="shared" si="1"/>
      </c>
      <c r="K489" s="49">
        <f t="shared" si="2"/>
      </c>
      <c r="L489" s="45" t="n"/>
      <c r="M489" s="45" t="n"/>
      <c r="N489" s="45" t="n"/>
      <c r="O489" s="45" t="n"/>
      <c r="P489" s="50" t="n"/>
      <c r="R489" s="2">
        <f t="shared" si="6"/>
        <v>0</v>
      </c>
      <c r="S489" s="2">
        <f t="shared" si="7"/>
      </c>
      <c r="T489" s="2">
        <f t="shared" si="8"/>
      </c>
      <c r="U489" s="2">
        <f t="shared" si="9"/>
      </c>
      <c r="V489" s="2">
        <f t="shared" si="10"/>
      </c>
      <c r="W489" s="2">
        <f t="shared" si="11"/>
      </c>
      <c r="X489" s="2">
        <f t="shared" si="12"/>
      </c>
      <c r="Y489" s="2">
        <f t="shared" si="13"/>
        <v>0</v>
      </c>
      <c r="Z489" s="2">
        <f t="shared" si="14"/>
      </c>
      <c r="AA489" s="2">
        <f t="shared" si="15"/>
        <v>0</v>
      </c>
      <c r="AB489" s="2">
        <f t="shared" si="16"/>
      </c>
      <c r="AC489" s="2">
        <f t="shared" si="17"/>
      </c>
      <c r="AD489" s="2">
        <f t="shared" si="18"/>
      </c>
      <c r="AE489" s="2">
        <f t="shared" si="19"/>
      </c>
      <c r="AF489" s="2">
        <f t="shared" si="20"/>
      </c>
      <c r="AG489" s="2">
        <f t="shared" si="21"/>
      </c>
      <c r="AH489" s="2">
        <f t="shared" si="22"/>
      </c>
      <c r="AI489" s="2">
        <f t="shared" si="23"/>
      </c>
      <c r="AJ489" s="2">
        <f t="shared" si="24"/>
        <v>0</v>
      </c>
      <c r="AK489" s="2">
        <f t="shared" si="25"/>
        <v>0</v>
      </c>
      <c r="AL489" s="2">
        <f t="shared" si="26"/>
        <v>0</v>
      </c>
      <c r="AM489" s="2">
        <f t="shared" si="27"/>
        <v>0</v>
      </c>
      <c r="AN489" s="2">
        <f t="shared" si="28"/>
        <v>0</v>
      </c>
      <c r="AO489" s="2">
        <f t="shared" si="29"/>
      </c>
      <c r="AP489" s="2">
        <f t="shared" si="30"/>
      </c>
      <c r="AQ489" s="2">
        <f t="shared" si="31"/>
      </c>
    </row>
    <row r="490">
      <c r="A490" s="43">
        <f t="shared" si="3"/>
      </c>
      <c r="B490" s="44" t="n"/>
      <c r="C490" s="45" t="n"/>
      <c r="D490" s="46" t="n"/>
      <c r="E490" s="47" t="n"/>
      <c r="F490" s="47" t="n"/>
      <c r="G490" s="48">
        <f t="shared" si="4"/>
      </c>
      <c r="H490" s="43">
        <f t="shared" si="0"/>
      </c>
      <c r="I490" s="43">
        <f t="shared" si="5"/>
      </c>
      <c r="J490" s="43">
        <f t="shared" si="1"/>
      </c>
      <c r="K490" s="49">
        <f t="shared" si="2"/>
      </c>
      <c r="L490" s="45" t="n"/>
      <c r="M490" s="45" t="n"/>
      <c r="N490" s="45" t="n"/>
      <c r="O490" s="45" t="n"/>
      <c r="P490" s="50" t="n"/>
      <c r="R490" s="2">
        <f t="shared" si="6"/>
        <v>0</v>
      </c>
      <c r="S490" s="2">
        <f t="shared" si="7"/>
      </c>
      <c r="T490" s="2">
        <f t="shared" si="8"/>
      </c>
      <c r="U490" s="2">
        <f t="shared" si="9"/>
      </c>
      <c r="V490" s="2">
        <f t="shared" si="10"/>
      </c>
      <c r="W490" s="2">
        <f t="shared" si="11"/>
      </c>
      <c r="X490" s="2">
        <f t="shared" si="12"/>
      </c>
      <c r="Y490" s="2">
        <f t="shared" si="13"/>
        <v>0</v>
      </c>
      <c r="Z490" s="2">
        <f t="shared" si="14"/>
      </c>
      <c r="AA490" s="2">
        <f t="shared" si="15"/>
        <v>0</v>
      </c>
      <c r="AB490" s="2">
        <f t="shared" si="16"/>
      </c>
      <c r="AC490" s="2">
        <f t="shared" si="17"/>
      </c>
      <c r="AD490" s="2">
        <f t="shared" si="18"/>
      </c>
      <c r="AE490" s="2">
        <f t="shared" si="19"/>
      </c>
      <c r="AF490" s="2">
        <f t="shared" si="20"/>
      </c>
      <c r="AG490" s="2">
        <f t="shared" si="21"/>
      </c>
      <c r="AH490" s="2">
        <f t="shared" si="22"/>
      </c>
      <c r="AI490" s="2">
        <f t="shared" si="23"/>
      </c>
      <c r="AJ490" s="2">
        <f t="shared" si="24"/>
        <v>0</v>
      </c>
      <c r="AK490" s="2">
        <f t="shared" si="25"/>
        <v>0</v>
      </c>
      <c r="AL490" s="2">
        <f t="shared" si="26"/>
        <v>0</v>
      </c>
      <c r="AM490" s="2">
        <f t="shared" si="27"/>
        <v>0</v>
      </c>
      <c r="AN490" s="2">
        <f t="shared" si="28"/>
        <v>0</v>
      </c>
      <c r="AO490" s="2">
        <f t="shared" si="29"/>
      </c>
      <c r="AP490" s="2">
        <f t="shared" si="30"/>
      </c>
      <c r="AQ490" s="2">
        <f t="shared" si="31"/>
      </c>
    </row>
    <row r="491">
      <c r="A491" s="43">
        <f t="shared" si="3"/>
      </c>
      <c r="B491" s="44" t="n"/>
      <c r="C491" s="45" t="n"/>
      <c r="D491" s="46" t="n"/>
      <c r="E491" s="47" t="n"/>
      <c r="F491" s="47" t="n"/>
      <c r="G491" s="48">
        <f t="shared" si="4"/>
      </c>
      <c r="H491" s="43">
        <f t="shared" si="0"/>
      </c>
      <c r="I491" s="43">
        <f t="shared" si="5"/>
      </c>
      <c r="J491" s="43">
        <f t="shared" si="1"/>
      </c>
      <c r="K491" s="49">
        <f t="shared" si="2"/>
      </c>
      <c r="L491" s="45" t="n"/>
      <c r="M491" s="45" t="n"/>
      <c r="N491" s="45" t="n"/>
      <c r="O491" s="45" t="n"/>
      <c r="P491" s="50" t="n"/>
      <c r="R491" s="2">
        <f t="shared" si="6"/>
        <v>0</v>
      </c>
      <c r="S491" s="2">
        <f t="shared" si="7"/>
      </c>
      <c r="T491" s="2">
        <f t="shared" si="8"/>
      </c>
      <c r="U491" s="2">
        <f t="shared" si="9"/>
      </c>
      <c r="V491" s="2">
        <f t="shared" si="10"/>
      </c>
      <c r="W491" s="2">
        <f t="shared" si="11"/>
      </c>
      <c r="X491" s="2">
        <f t="shared" si="12"/>
      </c>
      <c r="Y491" s="2">
        <f t="shared" si="13"/>
        <v>0</v>
      </c>
      <c r="Z491" s="2">
        <f t="shared" si="14"/>
      </c>
      <c r="AA491" s="2">
        <f t="shared" si="15"/>
        <v>0</v>
      </c>
      <c r="AB491" s="2">
        <f t="shared" si="16"/>
      </c>
      <c r="AC491" s="2">
        <f t="shared" si="17"/>
      </c>
      <c r="AD491" s="2">
        <f t="shared" si="18"/>
      </c>
      <c r="AE491" s="2">
        <f t="shared" si="19"/>
      </c>
      <c r="AF491" s="2">
        <f t="shared" si="20"/>
      </c>
      <c r="AG491" s="2">
        <f t="shared" si="21"/>
      </c>
      <c r="AH491" s="2">
        <f t="shared" si="22"/>
      </c>
      <c r="AI491" s="2">
        <f t="shared" si="23"/>
      </c>
      <c r="AJ491" s="2">
        <f t="shared" si="24"/>
        <v>0</v>
      </c>
      <c r="AK491" s="2">
        <f t="shared" si="25"/>
        <v>0</v>
      </c>
      <c r="AL491" s="2">
        <f t="shared" si="26"/>
        <v>0</v>
      </c>
      <c r="AM491" s="2">
        <f t="shared" si="27"/>
        <v>0</v>
      </c>
      <c r="AN491" s="2">
        <f t="shared" si="28"/>
        <v>0</v>
      </c>
      <c r="AO491" s="2">
        <f t="shared" si="29"/>
      </c>
      <c r="AP491" s="2">
        <f t="shared" si="30"/>
      </c>
      <c r="AQ491" s="2">
        <f t="shared" si="31"/>
      </c>
    </row>
    <row r="492">
      <c r="A492" s="43">
        <f t="shared" si="3"/>
      </c>
      <c r="B492" s="44" t="n"/>
      <c r="C492" s="45" t="n"/>
      <c r="D492" s="46" t="n"/>
      <c r="E492" s="47" t="n"/>
      <c r="F492" s="47" t="n"/>
      <c r="G492" s="48">
        <f t="shared" si="4"/>
      </c>
      <c r="H492" s="43">
        <f t="shared" si="0"/>
      </c>
      <c r="I492" s="43">
        <f t="shared" si="5"/>
      </c>
      <c r="J492" s="43">
        <f t="shared" si="1"/>
      </c>
      <c r="K492" s="49">
        <f t="shared" si="2"/>
      </c>
      <c r="L492" s="45" t="n"/>
      <c r="M492" s="45" t="n"/>
      <c r="N492" s="45" t="n"/>
      <c r="O492" s="45" t="n"/>
      <c r="P492" s="50" t="n"/>
      <c r="R492" s="2">
        <f t="shared" si="6"/>
        <v>0</v>
      </c>
      <c r="S492" s="2">
        <f t="shared" si="7"/>
      </c>
      <c r="T492" s="2">
        <f t="shared" si="8"/>
      </c>
      <c r="U492" s="2">
        <f t="shared" si="9"/>
      </c>
      <c r="V492" s="2">
        <f t="shared" si="10"/>
      </c>
      <c r="W492" s="2">
        <f t="shared" si="11"/>
      </c>
      <c r="X492" s="2">
        <f t="shared" si="12"/>
      </c>
      <c r="Y492" s="2">
        <f t="shared" si="13"/>
        <v>0</v>
      </c>
      <c r="Z492" s="2">
        <f t="shared" si="14"/>
      </c>
      <c r="AA492" s="2">
        <f t="shared" si="15"/>
        <v>0</v>
      </c>
      <c r="AB492" s="2">
        <f t="shared" si="16"/>
      </c>
      <c r="AC492" s="2">
        <f t="shared" si="17"/>
      </c>
      <c r="AD492" s="2">
        <f t="shared" si="18"/>
      </c>
      <c r="AE492" s="2">
        <f t="shared" si="19"/>
      </c>
      <c r="AF492" s="2">
        <f t="shared" si="20"/>
      </c>
      <c r="AG492" s="2">
        <f t="shared" si="21"/>
      </c>
      <c r="AH492" s="2">
        <f t="shared" si="22"/>
      </c>
      <c r="AI492" s="2">
        <f t="shared" si="23"/>
      </c>
      <c r="AJ492" s="2">
        <f t="shared" si="24"/>
        <v>0</v>
      </c>
      <c r="AK492" s="2">
        <f t="shared" si="25"/>
        <v>0</v>
      </c>
      <c r="AL492" s="2">
        <f t="shared" si="26"/>
        <v>0</v>
      </c>
      <c r="AM492" s="2">
        <f t="shared" si="27"/>
        <v>0</v>
      </c>
      <c r="AN492" s="2">
        <f t="shared" si="28"/>
        <v>0</v>
      </c>
      <c r="AO492" s="2">
        <f t="shared" si="29"/>
      </c>
      <c r="AP492" s="2">
        <f t="shared" si="30"/>
      </c>
      <c r="AQ492" s="2">
        <f t="shared" si="31"/>
      </c>
    </row>
    <row r="493">
      <c r="A493" s="43">
        <f t="shared" si="3"/>
      </c>
      <c r="B493" s="44" t="n"/>
      <c r="C493" s="45" t="n"/>
      <c r="D493" s="46" t="n"/>
      <c r="E493" s="47" t="n"/>
      <c r="F493" s="47" t="n"/>
      <c r="G493" s="48">
        <f t="shared" si="4"/>
      </c>
      <c r="H493" s="43">
        <f t="shared" si="0"/>
      </c>
      <c r="I493" s="43">
        <f t="shared" si="5"/>
      </c>
      <c r="J493" s="43">
        <f t="shared" si="1"/>
      </c>
      <c r="K493" s="49">
        <f t="shared" si="2"/>
      </c>
      <c r="L493" s="45" t="n"/>
      <c r="M493" s="45" t="n"/>
      <c r="N493" s="45" t="n"/>
      <c r="O493" s="45" t="n"/>
      <c r="P493" s="50" t="n"/>
      <c r="R493" s="2">
        <f t="shared" si="6"/>
        <v>0</v>
      </c>
      <c r="S493" s="2">
        <f t="shared" si="7"/>
      </c>
      <c r="T493" s="2">
        <f t="shared" si="8"/>
      </c>
      <c r="U493" s="2">
        <f t="shared" si="9"/>
      </c>
      <c r="V493" s="2">
        <f t="shared" si="10"/>
      </c>
      <c r="W493" s="2">
        <f t="shared" si="11"/>
      </c>
      <c r="X493" s="2">
        <f t="shared" si="12"/>
      </c>
      <c r="Y493" s="2">
        <f t="shared" si="13"/>
        <v>0</v>
      </c>
      <c r="Z493" s="2">
        <f t="shared" si="14"/>
      </c>
      <c r="AA493" s="2">
        <f t="shared" si="15"/>
        <v>0</v>
      </c>
      <c r="AB493" s="2">
        <f t="shared" si="16"/>
      </c>
      <c r="AC493" s="2">
        <f t="shared" si="17"/>
      </c>
      <c r="AD493" s="2">
        <f t="shared" si="18"/>
      </c>
      <c r="AE493" s="2">
        <f t="shared" si="19"/>
      </c>
      <c r="AF493" s="2">
        <f t="shared" si="20"/>
      </c>
      <c r="AG493" s="2">
        <f t="shared" si="21"/>
      </c>
      <c r="AH493" s="2">
        <f t="shared" si="22"/>
      </c>
      <c r="AI493" s="2">
        <f t="shared" si="23"/>
      </c>
      <c r="AJ493" s="2">
        <f t="shared" si="24"/>
        <v>0</v>
      </c>
      <c r="AK493" s="2">
        <f t="shared" si="25"/>
        <v>0</v>
      </c>
      <c r="AL493" s="2">
        <f t="shared" si="26"/>
        <v>0</v>
      </c>
      <c r="AM493" s="2">
        <f t="shared" si="27"/>
        <v>0</v>
      </c>
      <c r="AN493" s="2">
        <f t="shared" si="28"/>
        <v>0</v>
      </c>
      <c r="AO493" s="2">
        <f t="shared" si="29"/>
      </c>
      <c r="AP493" s="2">
        <f t="shared" si="30"/>
      </c>
      <c r="AQ493" s="2">
        <f t="shared" si="31"/>
      </c>
    </row>
    <row r="494">
      <c r="A494" s="43">
        <f t="shared" si="3"/>
      </c>
      <c r="B494" s="44" t="n"/>
      <c r="C494" s="45" t="n"/>
      <c r="D494" s="46" t="n"/>
      <c r="E494" s="47" t="n"/>
      <c r="F494" s="47" t="n"/>
      <c r="G494" s="48">
        <f t="shared" si="4"/>
      </c>
      <c r="H494" s="43">
        <f t="shared" si="0"/>
      </c>
      <c r="I494" s="43">
        <f t="shared" si="5"/>
      </c>
      <c r="J494" s="43">
        <f t="shared" si="1"/>
      </c>
      <c r="K494" s="49">
        <f t="shared" si="2"/>
      </c>
      <c r="L494" s="45" t="n"/>
      <c r="M494" s="45" t="n"/>
      <c r="N494" s="45" t="n"/>
      <c r="O494" s="45" t="n"/>
      <c r="P494" s="50" t="n"/>
      <c r="R494" s="2">
        <f t="shared" si="6"/>
        <v>0</v>
      </c>
      <c r="S494" s="2">
        <f t="shared" si="7"/>
      </c>
      <c r="T494" s="2">
        <f t="shared" si="8"/>
      </c>
      <c r="U494" s="2">
        <f t="shared" si="9"/>
      </c>
      <c r="V494" s="2">
        <f t="shared" si="10"/>
      </c>
      <c r="W494" s="2">
        <f t="shared" si="11"/>
      </c>
      <c r="X494" s="2">
        <f t="shared" si="12"/>
      </c>
      <c r="Y494" s="2">
        <f t="shared" si="13"/>
        <v>0</v>
      </c>
      <c r="Z494" s="2">
        <f t="shared" si="14"/>
      </c>
      <c r="AA494" s="2">
        <f t="shared" si="15"/>
        <v>0</v>
      </c>
      <c r="AB494" s="2">
        <f t="shared" si="16"/>
      </c>
      <c r="AC494" s="2">
        <f t="shared" si="17"/>
      </c>
      <c r="AD494" s="2">
        <f t="shared" si="18"/>
      </c>
      <c r="AE494" s="2">
        <f t="shared" si="19"/>
      </c>
      <c r="AF494" s="2">
        <f t="shared" si="20"/>
      </c>
      <c r="AG494" s="2">
        <f t="shared" si="21"/>
      </c>
      <c r="AH494" s="2">
        <f t="shared" si="22"/>
      </c>
      <c r="AI494" s="2">
        <f t="shared" si="23"/>
      </c>
      <c r="AJ494" s="2">
        <f t="shared" si="24"/>
        <v>0</v>
      </c>
      <c r="AK494" s="2">
        <f t="shared" si="25"/>
        <v>0</v>
      </c>
      <c r="AL494" s="2">
        <f t="shared" si="26"/>
        <v>0</v>
      </c>
      <c r="AM494" s="2">
        <f t="shared" si="27"/>
        <v>0</v>
      </c>
      <c r="AN494" s="2">
        <f t="shared" si="28"/>
        <v>0</v>
      </c>
      <c r="AO494" s="2">
        <f t="shared" si="29"/>
      </c>
      <c r="AP494" s="2">
        <f t="shared" si="30"/>
      </c>
      <c r="AQ494" s="2">
        <f t="shared" si="31"/>
      </c>
    </row>
    <row r="495">
      <c r="A495" s="43">
        <f t="shared" si="3"/>
      </c>
      <c r="B495" s="44" t="n"/>
      <c r="C495" s="45" t="n"/>
      <c r="D495" s="46" t="n"/>
      <c r="E495" s="47" t="n"/>
      <c r="F495" s="47" t="n"/>
      <c r="G495" s="48">
        <f t="shared" si="4"/>
      </c>
      <c r="H495" s="43">
        <f t="shared" si="0"/>
      </c>
      <c r="I495" s="43">
        <f t="shared" si="5"/>
      </c>
      <c r="J495" s="43">
        <f t="shared" si="1"/>
      </c>
      <c r="K495" s="49">
        <f t="shared" si="2"/>
      </c>
      <c r="L495" s="45" t="n"/>
      <c r="M495" s="45" t="n"/>
      <c r="N495" s="45" t="n"/>
      <c r="O495" s="45" t="n"/>
      <c r="P495" s="50" t="n"/>
      <c r="R495" s="2">
        <f t="shared" si="6"/>
        <v>0</v>
      </c>
      <c r="S495" s="2">
        <f t="shared" si="7"/>
      </c>
      <c r="T495" s="2">
        <f t="shared" si="8"/>
      </c>
      <c r="U495" s="2">
        <f t="shared" si="9"/>
      </c>
      <c r="V495" s="2">
        <f t="shared" si="10"/>
      </c>
      <c r="W495" s="2">
        <f t="shared" si="11"/>
      </c>
      <c r="X495" s="2">
        <f t="shared" si="12"/>
      </c>
      <c r="Y495" s="2">
        <f t="shared" si="13"/>
        <v>0</v>
      </c>
      <c r="Z495" s="2">
        <f t="shared" si="14"/>
      </c>
      <c r="AA495" s="2">
        <f t="shared" si="15"/>
        <v>0</v>
      </c>
      <c r="AB495" s="2">
        <f t="shared" si="16"/>
      </c>
      <c r="AC495" s="2">
        <f t="shared" si="17"/>
      </c>
      <c r="AD495" s="2">
        <f t="shared" si="18"/>
      </c>
      <c r="AE495" s="2">
        <f t="shared" si="19"/>
      </c>
      <c r="AF495" s="2">
        <f t="shared" si="20"/>
      </c>
      <c r="AG495" s="2">
        <f t="shared" si="21"/>
      </c>
      <c r="AH495" s="2">
        <f t="shared" si="22"/>
      </c>
      <c r="AI495" s="2">
        <f t="shared" si="23"/>
      </c>
      <c r="AJ495" s="2">
        <f t="shared" si="24"/>
        <v>0</v>
      </c>
      <c r="AK495" s="2">
        <f t="shared" si="25"/>
        <v>0</v>
      </c>
      <c r="AL495" s="2">
        <f t="shared" si="26"/>
        <v>0</v>
      </c>
      <c r="AM495" s="2">
        <f t="shared" si="27"/>
        <v>0</v>
      </c>
      <c r="AN495" s="2">
        <f t="shared" si="28"/>
        <v>0</v>
      </c>
      <c r="AO495" s="2">
        <f t="shared" si="29"/>
      </c>
      <c r="AP495" s="2">
        <f t="shared" si="30"/>
      </c>
      <c r="AQ495" s="2">
        <f t="shared" si="31"/>
      </c>
    </row>
    <row r="496">
      <c r="A496" s="43">
        <f t="shared" si="3"/>
      </c>
      <c r="B496" s="44" t="n"/>
      <c r="C496" s="45" t="n"/>
      <c r="D496" s="46" t="n"/>
      <c r="E496" s="47" t="n"/>
      <c r="F496" s="47" t="n"/>
      <c r="G496" s="48">
        <f t="shared" si="4"/>
      </c>
      <c r="H496" s="43">
        <f t="shared" si="0"/>
      </c>
      <c r="I496" s="43">
        <f t="shared" si="5"/>
      </c>
      <c r="J496" s="43">
        <f t="shared" si="1"/>
      </c>
      <c r="K496" s="49">
        <f t="shared" si="2"/>
      </c>
      <c r="L496" s="45" t="n"/>
      <c r="M496" s="45" t="n"/>
      <c r="N496" s="45" t="n"/>
      <c r="O496" s="45" t="n"/>
      <c r="P496" s="50" t="n"/>
      <c r="R496" s="2">
        <f t="shared" si="6"/>
        <v>0</v>
      </c>
      <c r="S496" s="2">
        <f t="shared" si="7"/>
      </c>
      <c r="T496" s="2">
        <f t="shared" si="8"/>
      </c>
      <c r="U496" s="2">
        <f t="shared" si="9"/>
      </c>
      <c r="V496" s="2">
        <f t="shared" si="10"/>
      </c>
      <c r="W496" s="2">
        <f t="shared" si="11"/>
      </c>
      <c r="X496" s="2">
        <f t="shared" si="12"/>
      </c>
      <c r="Y496" s="2">
        <f t="shared" si="13"/>
        <v>0</v>
      </c>
      <c r="Z496" s="2">
        <f t="shared" si="14"/>
      </c>
      <c r="AA496" s="2">
        <f t="shared" si="15"/>
        <v>0</v>
      </c>
      <c r="AB496" s="2">
        <f t="shared" si="16"/>
      </c>
      <c r="AC496" s="2">
        <f t="shared" si="17"/>
      </c>
      <c r="AD496" s="2">
        <f t="shared" si="18"/>
      </c>
      <c r="AE496" s="2">
        <f t="shared" si="19"/>
      </c>
      <c r="AF496" s="2">
        <f t="shared" si="20"/>
      </c>
      <c r="AG496" s="2">
        <f t="shared" si="21"/>
      </c>
      <c r="AH496" s="2">
        <f t="shared" si="22"/>
      </c>
      <c r="AI496" s="2">
        <f t="shared" si="23"/>
      </c>
      <c r="AJ496" s="2">
        <f t="shared" si="24"/>
        <v>0</v>
      </c>
      <c r="AK496" s="2">
        <f t="shared" si="25"/>
        <v>0</v>
      </c>
      <c r="AL496" s="2">
        <f t="shared" si="26"/>
        <v>0</v>
      </c>
      <c r="AM496" s="2">
        <f t="shared" si="27"/>
        <v>0</v>
      </c>
      <c r="AN496" s="2">
        <f t="shared" si="28"/>
        <v>0</v>
      </c>
      <c r="AO496" s="2">
        <f t="shared" si="29"/>
      </c>
      <c r="AP496" s="2">
        <f t="shared" si="30"/>
      </c>
      <c r="AQ496" s="2">
        <f t="shared" si="31"/>
      </c>
    </row>
    <row r="497">
      <c r="A497" s="43">
        <f t="shared" si="3"/>
      </c>
      <c r="B497" s="44" t="n"/>
      <c r="C497" s="45" t="n"/>
      <c r="D497" s="46" t="n"/>
      <c r="E497" s="47" t="n"/>
      <c r="F497" s="47" t="n"/>
      <c r="G497" s="48">
        <f t="shared" si="4"/>
      </c>
      <c r="H497" s="43">
        <f t="shared" si="0"/>
      </c>
      <c r="I497" s="43">
        <f t="shared" si="5"/>
      </c>
      <c r="J497" s="43">
        <f t="shared" si="1"/>
      </c>
      <c r="K497" s="49">
        <f t="shared" si="2"/>
      </c>
      <c r="L497" s="45" t="n"/>
      <c r="M497" s="45" t="n"/>
      <c r="N497" s="45" t="n"/>
      <c r="O497" s="45" t="n"/>
      <c r="P497" s="50" t="n"/>
      <c r="R497" s="2">
        <f t="shared" si="6"/>
        <v>0</v>
      </c>
      <c r="S497" s="2">
        <f t="shared" si="7"/>
      </c>
      <c r="T497" s="2">
        <f t="shared" si="8"/>
      </c>
      <c r="U497" s="2">
        <f t="shared" si="9"/>
      </c>
      <c r="V497" s="2">
        <f t="shared" si="10"/>
      </c>
      <c r="W497" s="2">
        <f t="shared" si="11"/>
      </c>
      <c r="X497" s="2">
        <f t="shared" si="12"/>
      </c>
      <c r="Y497" s="2">
        <f t="shared" si="13"/>
        <v>0</v>
      </c>
      <c r="Z497" s="2">
        <f t="shared" si="14"/>
      </c>
      <c r="AA497" s="2">
        <f t="shared" si="15"/>
        <v>0</v>
      </c>
      <c r="AB497" s="2">
        <f t="shared" si="16"/>
      </c>
      <c r="AC497" s="2">
        <f t="shared" si="17"/>
      </c>
      <c r="AD497" s="2">
        <f t="shared" si="18"/>
      </c>
      <c r="AE497" s="2">
        <f t="shared" si="19"/>
      </c>
      <c r="AF497" s="2">
        <f t="shared" si="20"/>
      </c>
      <c r="AG497" s="2">
        <f t="shared" si="21"/>
      </c>
      <c r="AH497" s="2">
        <f t="shared" si="22"/>
      </c>
      <c r="AI497" s="2">
        <f t="shared" si="23"/>
      </c>
      <c r="AJ497" s="2">
        <f t="shared" si="24"/>
        <v>0</v>
      </c>
      <c r="AK497" s="2">
        <f t="shared" si="25"/>
        <v>0</v>
      </c>
      <c r="AL497" s="2">
        <f t="shared" si="26"/>
        <v>0</v>
      </c>
      <c r="AM497" s="2">
        <f t="shared" si="27"/>
        <v>0</v>
      </c>
      <c r="AN497" s="2">
        <f t="shared" si="28"/>
        <v>0</v>
      </c>
      <c r="AO497" s="2">
        <f t="shared" si="29"/>
      </c>
      <c r="AP497" s="2">
        <f t="shared" si="30"/>
      </c>
      <c r="AQ497" s="2">
        <f t="shared" si="31"/>
      </c>
    </row>
    <row r="498">
      <c r="A498" s="43">
        <f t="shared" si="3"/>
      </c>
      <c r="B498" s="44" t="n"/>
      <c r="C498" s="45" t="n"/>
      <c r="D498" s="46" t="n"/>
      <c r="E498" s="47" t="n"/>
      <c r="F498" s="47" t="n"/>
      <c r="G498" s="48">
        <f t="shared" si="4"/>
      </c>
      <c r="H498" s="43">
        <f t="shared" si="0"/>
      </c>
      <c r="I498" s="43">
        <f t="shared" si="5"/>
      </c>
      <c r="J498" s="43">
        <f t="shared" si="1"/>
      </c>
      <c r="K498" s="49">
        <f t="shared" si="2"/>
      </c>
      <c r="L498" s="45" t="n"/>
      <c r="M498" s="45" t="n"/>
      <c r="N498" s="45" t="n"/>
      <c r="O498" s="45" t="n"/>
      <c r="P498" s="50" t="n"/>
      <c r="R498" s="2">
        <f t="shared" si="6"/>
        <v>0</v>
      </c>
      <c r="S498" s="2">
        <f t="shared" si="7"/>
      </c>
      <c r="T498" s="2">
        <f t="shared" si="8"/>
      </c>
      <c r="U498" s="2">
        <f t="shared" si="9"/>
      </c>
      <c r="V498" s="2">
        <f t="shared" si="10"/>
      </c>
      <c r="W498" s="2">
        <f t="shared" si="11"/>
      </c>
      <c r="X498" s="2">
        <f t="shared" si="12"/>
      </c>
      <c r="Y498" s="2">
        <f t="shared" si="13"/>
        <v>0</v>
      </c>
      <c r="Z498" s="2">
        <f t="shared" si="14"/>
      </c>
      <c r="AA498" s="2">
        <f t="shared" si="15"/>
        <v>0</v>
      </c>
      <c r="AB498" s="2">
        <f t="shared" si="16"/>
      </c>
      <c r="AC498" s="2">
        <f t="shared" si="17"/>
      </c>
      <c r="AD498" s="2">
        <f t="shared" si="18"/>
      </c>
      <c r="AE498" s="2">
        <f t="shared" si="19"/>
      </c>
      <c r="AF498" s="2">
        <f t="shared" si="20"/>
      </c>
      <c r="AG498" s="2">
        <f t="shared" si="21"/>
      </c>
      <c r="AH498" s="2">
        <f t="shared" si="22"/>
      </c>
      <c r="AI498" s="2">
        <f t="shared" si="23"/>
      </c>
      <c r="AJ498" s="2">
        <f t="shared" si="24"/>
        <v>0</v>
      </c>
      <c r="AK498" s="2">
        <f t="shared" si="25"/>
        <v>0</v>
      </c>
      <c r="AL498" s="2">
        <f t="shared" si="26"/>
        <v>0</v>
      </c>
      <c r="AM498" s="2">
        <f t="shared" si="27"/>
        <v>0</v>
      </c>
      <c r="AN498" s="2">
        <f t="shared" si="28"/>
        <v>0</v>
      </c>
      <c r="AO498" s="2">
        <f t="shared" si="29"/>
      </c>
      <c r="AP498" s="2">
        <f t="shared" si="30"/>
      </c>
      <c r="AQ498" s="2">
        <f t="shared" si="31"/>
      </c>
    </row>
    <row r="499">
      <c r="A499" s="43">
        <f t="shared" si="3"/>
      </c>
      <c r="B499" s="44" t="n"/>
      <c r="C499" s="45" t="n"/>
      <c r="D499" s="46" t="n"/>
      <c r="E499" s="47" t="n"/>
      <c r="F499" s="47" t="n"/>
      <c r="G499" s="48">
        <f t="shared" si="4"/>
      </c>
      <c r="H499" s="43">
        <f t="shared" si="0"/>
      </c>
      <c r="I499" s="43">
        <f t="shared" si="5"/>
      </c>
      <c r="J499" s="43">
        <f t="shared" si="1"/>
      </c>
      <c r="K499" s="49">
        <f t="shared" si="2"/>
      </c>
      <c r="L499" s="45" t="n"/>
      <c r="M499" s="45" t="n"/>
      <c r="N499" s="45" t="n"/>
      <c r="O499" s="45" t="n"/>
      <c r="P499" s="50" t="n"/>
      <c r="R499" s="2">
        <f t="shared" si="6"/>
        <v>0</v>
      </c>
      <c r="S499" s="2">
        <f t="shared" si="7"/>
      </c>
      <c r="T499" s="2">
        <f t="shared" si="8"/>
      </c>
      <c r="U499" s="2">
        <f t="shared" si="9"/>
      </c>
      <c r="V499" s="2">
        <f t="shared" si="10"/>
      </c>
      <c r="W499" s="2">
        <f t="shared" si="11"/>
      </c>
      <c r="X499" s="2">
        <f t="shared" si="12"/>
      </c>
      <c r="Y499" s="2">
        <f t="shared" si="13"/>
        <v>0</v>
      </c>
      <c r="Z499" s="2">
        <f t="shared" si="14"/>
      </c>
      <c r="AA499" s="2">
        <f t="shared" si="15"/>
        <v>0</v>
      </c>
      <c r="AB499" s="2">
        <f t="shared" si="16"/>
      </c>
      <c r="AC499" s="2">
        <f t="shared" si="17"/>
      </c>
      <c r="AD499" s="2">
        <f t="shared" si="18"/>
      </c>
      <c r="AE499" s="2">
        <f t="shared" si="19"/>
      </c>
      <c r="AF499" s="2">
        <f t="shared" si="20"/>
      </c>
      <c r="AG499" s="2">
        <f t="shared" si="21"/>
      </c>
      <c r="AH499" s="2">
        <f t="shared" si="22"/>
      </c>
      <c r="AI499" s="2">
        <f t="shared" si="23"/>
      </c>
      <c r="AJ499" s="2">
        <f t="shared" si="24"/>
        <v>0</v>
      </c>
      <c r="AK499" s="2">
        <f t="shared" si="25"/>
        <v>0</v>
      </c>
      <c r="AL499" s="2">
        <f t="shared" si="26"/>
        <v>0</v>
      </c>
      <c r="AM499" s="2">
        <f t="shared" si="27"/>
        <v>0</v>
      </c>
      <c r="AN499" s="2">
        <f t="shared" si="28"/>
        <v>0</v>
      </c>
      <c r="AO499" s="2">
        <f t="shared" si="29"/>
      </c>
      <c r="AP499" s="2">
        <f t="shared" si="30"/>
      </c>
      <c r="AQ499" s="2">
        <f t="shared" si="31"/>
      </c>
    </row>
    <row r="500">
      <c r="A500" s="43">
        <f t="shared" si="3"/>
      </c>
      <c r="B500" s="44" t="n"/>
      <c r="C500" s="45" t="n"/>
      <c r="D500" s="46" t="n"/>
      <c r="E500" s="47" t="n"/>
      <c r="F500" s="47" t="n"/>
      <c r="G500" s="48">
        <f t="shared" si="4"/>
      </c>
      <c r="H500" s="43">
        <f t="shared" si="0"/>
      </c>
      <c r="I500" s="43">
        <f t="shared" si="5"/>
      </c>
      <c r="J500" s="43">
        <f t="shared" si="1"/>
      </c>
      <c r="K500" s="49">
        <f t="shared" si="2"/>
      </c>
      <c r="L500" s="45" t="n"/>
      <c r="M500" s="45" t="n"/>
      <c r="N500" s="45" t="n"/>
      <c r="O500" s="45" t="n"/>
      <c r="P500" s="50" t="n"/>
      <c r="R500" s="2">
        <f t="shared" si="6"/>
        <v>0</v>
      </c>
      <c r="S500" s="2">
        <f t="shared" si="7"/>
      </c>
      <c r="T500" s="2">
        <f t="shared" si="8"/>
      </c>
      <c r="U500" s="2">
        <f t="shared" si="9"/>
      </c>
      <c r="V500" s="2">
        <f t="shared" si="10"/>
      </c>
      <c r="W500" s="2">
        <f t="shared" si="11"/>
      </c>
      <c r="X500" s="2">
        <f t="shared" si="12"/>
      </c>
      <c r="Y500" s="2">
        <f t="shared" si="13"/>
        <v>0</v>
      </c>
      <c r="Z500" s="2">
        <f t="shared" si="14"/>
      </c>
      <c r="AA500" s="2">
        <f t="shared" si="15"/>
        <v>0</v>
      </c>
      <c r="AB500" s="2">
        <f t="shared" si="16"/>
      </c>
      <c r="AC500" s="2">
        <f t="shared" si="17"/>
      </c>
      <c r="AD500" s="2">
        <f t="shared" si="18"/>
      </c>
      <c r="AE500" s="2">
        <f t="shared" si="19"/>
      </c>
      <c r="AF500" s="2">
        <f t="shared" si="20"/>
      </c>
      <c r="AG500" s="2">
        <f t="shared" si="21"/>
      </c>
      <c r="AH500" s="2">
        <f t="shared" si="22"/>
      </c>
      <c r="AI500" s="2">
        <f t="shared" si="23"/>
      </c>
      <c r="AJ500" s="2">
        <f t="shared" si="24"/>
        <v>0</v>
      </c>
      <c r="AK500" s="2">
        <f t="shared" si="25"/>
        <v>0</v>
      </c>
      <c r="AL500" s="2">
        <f t="shared" si="26"/>
        <v>0</v>
      </c>
      <c r="AM500" s="2">
        <f t="shared" si="27"/>
        <v>0</v>
      </c>
      <c r="AN500" s="2">
        <f t="shared" si="28"/>
        <v>0</v>
      </c>
      <c r="AO500" s="2">
        <f t="shared" si="29"/>
      </c>
      <c r="AP500" s="2">
        <f t="shared" si="30"/>
      </c>
      <c r="AQ500" s="2">
        <f t="shared" si="31"/>
      </c>
    </row>
    <row r="501">
      <c r="A501" s="43">
        <f t="shared" si="3"/>
      </c>
      <c r="B501" s="44" t="n"/>
      <c r="C501" s="45" t="n"/>
      <c r="D501" s="46" t="n"/>
      <c r="E501" s="47" t="n"/>
      <c r="F501" s="47" t="n"/>
      <c r="G501" s="48">
        <f t="shared" si="4"/>
      </c>
      <c r="H501" s="43">
        <f t="shared" si="0"/>
      </c>
      <c r="I501" s="43">
        <f t="shared" si="5"/>
      </c>
      <c r="J501" s="43">
        <f t="shared" si="1"/>
      </c>
      <c r="K501" s="49">
        <f t="shared" si="2"/>
      </c>
      <c r="L501" s="45" t="n"/>
      <c r="M501" s="45" t="n"/>
      <c r="N501" s="45" t="n"/>
      <c r="O501" s="45" t="n"/>
      <c r="P501" s="50" t="n"/>
      <c r="R501" s="2">
        <f t="shared" si="6"/>
        <v>0</v>
      </c>
      <c r="S501" s="2">
        <f t="shared" si="7"/>
      </c>
      <c r="T501" s="2">
        <f t="shared" si="8"/>
      </c>
      <c r="U501" s="2">
        <f t="shared" si="9"/>
      </c>
      <c r="V501" s="2">
        <f t="shared" si="10"/>
      </c>
      <c r="W501" s="2">
        <f t="shared" si="11"/>
      </c>
      <c r="X501" s="2">
        <f t="shared" si="12"/>
      </c>
      <c r="Y501" s="2">
        <f t="shared" si="13"/>
        <v>0</v>
      </c>
      <c r="Z501" s="2">
        <f t="shared" si="14"/>
      </c>
      <c r="AA501" s="2">
        <f t="shared" si="15"/>
        <v>0</v>
      </c>
      <c r="AB501" s="2">
        <f t="shared" si="16"/>
      </c>
      <c r="AC501" s="2">
        <f t="shared" si="17"/>
      </c>
      <c r="AD501" s="2">
        <f t="shared" si="18"/>
      </c>
      <c r="AE501" s="2">
        <f t="shared" si="19"/>
      </c>
      <c r="AF501" s="2">
        <f t="shared" si="20"/>
      </c>
      <c r="AG501" s="2">
        <f t="shared" si="21"/>
      </c>
      <c r="AH501" s="2">
        <f t="shared" si="22"/>
      </c>
      <c r="AI501" s="2">
        <f t="shared" si="23"/>
      </c>
      <c r="AJ501" s="2">
        <f t="shared" si="24"/>
        <v>0</v>
      </c>
      <c r="AK501" s="2">
        <f t="shared" si="25"/>
        <v>0</v>
      </c>
      <c r="AL501" s="2">
        <f t="shared" si="26"/>
        <v>0</v>
      </c>
      <c r="AM501" s="2">
        <f t="shared" si="27"/>
        <v>0</v>
      </c>
      <c r="AN501" s="2">
        <f t="shared" si="28"/>
        <v>0</v>
      </c>
      <c r="AO501" s="2">
        <f t="shared" si="29"/>
      </c>
      <c r="AP501" s="2">
        <f t="shared" si="30"/>
      </c>
      <c r="AQ501" s="2">
        <f t="shared" si="31"/>
      </c>
    </row>
    <row r="502">
      <c r="A502" s="43">
        <f t="shared" si="3"/>
      </c>
      <c r="B502" s="44" t="n"/>
      <c r="C502" s="45" t="n"/>
      <c r="D502" s="46" t="n"/>
      <c r="E502" s="47" t="n"/>
      <c r="F502" s="47" t="n"/>
      <c r="G502" s="48">
        <f t="shared" si="4"/>
      </c>
      <c r="H502" s="43">
        <f t="shared" si="0"/>
      </c>
      <c r="I502" s="43">
        <f t="shared" si="5"/>
      </c>
      <c r="J502" s="43">
        <f t="shared" si="1"/>
      </c>
      <c r="K502" s="49">
        <f t="shared" si="2"/>
      </c>
      <c r="L502" s="45" t="n"/>
      <c r="M502" s="45" t="n"/>
      <c r="N502" s="45" t="n"/>
      <c r="O502" s="45" t="n"/>
      <c r="P502" s="50" t="n"/>
      <c r="R502" s="2">
        <f t="shared" si="6"/>
        <v>0</v>
      </c>
      <c r="S502" s="2">
        <f t="shared" si="7"/>
      </c>
      <c r="T502" s="2">
        <f t="shared" si="8"/>
      </c>
      <c r="U502" s="2">
        <f t="shared" si="9"/>
      </c>
      <c r="V502" s="2">
        <f t="shared" si="10"/>
      </c>
      <c r="W502" s="2">
        <f t="shared" si="11"/>
      </c>
      <c r="X502" s="2">
        <f t="shared" si="12"/>
      </c>
      <c r="Y502" s="2">
        <f t="shared" si="13"/>
        <v>0</v>
      </c>
      <c r="Z502" s="2">
        <f t="shared" si="14"/>
      </c>
      <c r="AA502" s="2">
        <f t="shared" si="15"/>
        <v>0</v>
      </c>
      <c r="AB502" s="2">
        <f t="shared" si="16"/>
      </c>
      <c r="AC502" s="2">
        <f t="shared" si="17"/>
      </c>
      <c r="AD502" s="2">
        <f t="shared" si="18"/>
      </c>
      <c r="AE502" s="2">
        <f t="shared" si="19"/>
      </c>
      <c r="AF502" s="2">
        <f t="shared" si="20"/>
      </c>
      <c r="AG502" s="2">
        <f t="shared" si="21"/>
      </c>
      <c r="AH502" s="2">
        <f t="shared" si="22"/>
      </c>
      <c r="AI502" s="2">
        <f t="shared" si="23"/>
      </c>
      <c r="AJ502" s="2">
        <f t="shared" si="24"/>
        <v>0</v>
      </c>
      <c r="AK502" s="2">
        <f t="shared" si="25"/>
        <v>0</v>
      </c>
      <c r="AL502" s="2">
        <f t="shared" si="26"/>
        <v>0</v>
      </c>
      <c r="AM502" s="2">
        <f t="shared" si="27"/>
        <v>0</v>
      </c>
      <c r="AN502" s="2">
        <f t="shared" si="28"/>
        <v>0</v>
      </c>
      <c r="AO502" s="2">
        <f t="shared" si="29"/>
      </c>
      <c r="AP502" s="2">
        <f t="shared" si="30"/>
      </c>
      <c r="AQ502" s="2">
        <f t="shared" si="31"/>
      </c>
    </row>
    <row r="503">
      <c r="A503" s="43">
        <f t="shared" si="3"/>
      </c>
      <c r="B503" s="44" t="n"/>
      <c r="C503" s="45" t="n"/>
      <c r="D503" s="46" t="n"/>
      <c r="E503" s="47" t="n"/>
      <c r="F503" s="47" t="n"/>
      <c r="G503" s="48">
        <f t="shared" si="4"/>
      </c>
      <c r="H503" s="43">
        <f t="shared" si="0"/>
      </c>
      <c r="I503" s="43">
        <f t="shared" si="5"/>
      </c>
      <c r="J503" s="43">
        <f t="shared" si="1"/>
      </c>
      <c r="K503" s="49">
        <f t="shared" si="2"/>
      </c>
      <c r="L503" s="45" t="n"/>
      <c r="M503" s="45" t="n"/>
      <c r="N503" s="45" t="n"/>
      <c r="O503" s="45" t="n"/>
      <c r="P503" s="50" t="n"/>
      <c r="R503" s="2">
        <f t="shared" si="6"/>
        <v>0</v>
      </c>
      <c r="S503" s="2">
        <f t="shared" si="7"/>
      </c>
      <c r="T503" s="2">
        <f t="shared" si="8"/>
      </c>
      <c r="U503" s="2">
        <f t="shared" si="9"/>
      </c>
      <c r="V503" s="2">
        <f t="shared" si="10"/>
      </c>
      <c r="W503" s="2">
        <f t="shared" si="11"/>
      </c>
      <c r="X503" s="2">
        <f t="shared" si="12"/>
      </c>
      <c r="Y503" s="2">
        <f t="shared" si="13"/>
        <v>0</v>
      </c>
      <c r="Z503" s="2">
        <f t="shared" si="14"/>
      </c>
      <c r="AA503" s="2">
        <f t="shared" si="15"/>
        <v>0</v>
      </c>
      <c r="AB503" s="2">
        <f t="shared" si="16"/>
      </c>
      <c r="AC503" s="2">
        <f t="shared" si="17"/>
      </c>
      <c r="AD503" s="2">
        <f t="shared" si="18"/>
      </c>
      <c r="AE503" s="2">
        <f t="shared" si="19"/>
      </c>
      <c r="AF503" s="2">
        <f t="shared" si="20"/>
      </c>
      <c r="AG503" s="2">
        <f t="shared" si="21"/>
      </c>
      <c r="AH503" s="2">
        <f t="shared" si="22"/>
      </c>
      <c r="AI503" s="2">
        <f t="shared" si="23"/>
      </c>
      <c r="AJ503" s="2">
        <f t="shared" si="24"/>
        <v>0</v>
      </c>
      <c r="AK503" s="2">
        <f t="shared" si="25"/>
        <v>0</v>
      </c>
      <c r="AL503" s="2">
        <f t="shared" si="26"/>
        <v>0</v>
      </c>
      <c r="AM503" s="2">
        <f t="shared" si="27"/>
        <v>0</v>
      </c>
      <c r="AN503" s="2">
        <f t="shared" si="28"/>
        <v>0</v>
      </c>
      <c r="AO503" s="2">
        <f t="shared" si="29"/>
      </c>
      <c r="AP503" s="2">
        <f t="shared" si="30"/>
      </c>
      <c r="AQ503" s="2">
        <f t="shared" si="31"/>
      </c>
    </row>
    <row r="504">
      <c r="A504" s="43">
        <f t="shared" si="3"/>
      </c>
      <c r="B504" s="44" t="n"/>
      <c r="C504" s="45" t="n"/>
      <c r="D504" s="46" t="n"/>
      <c r="E504" s="47" t="n"/>
      <c r="F504" s="47" t="n"/>
      <c r="G504" s="48">
        <f t="shared" si="4"/>
      </c>
      <c r="H504" s="43">
        <f t="shared" si="0"/>
      </c>
      <c r="I504" s="43">
        <f t="shared" si="5"/>
      </c>
      <c r="J504" s="43">
        <f t="shared" si="1"/>
      </c>
      <c r="K504" s="49">
        <f t="shared" si="2"/>
      </c>
      <c r="L504" s="45" t="n"/>
      <c r="M504" s="45" t="n"/>
      <c r="N504" s="45" t="n"/>
      <c r="O504" s="45" t="n"/>
      <c r="P504" s="50" t="n"/>
      <c r="R504" s="2">
        <f t="shared" si="6"/>
        <v>0</v>
      </c>
      <c r="S504" s="2">
        <f t="shared" si="7"/>
      </c>
      <c r="T504" s="2">
        <f t="shared" si="8"/>
      </c>
      <c r="U504" s="2">
        <f t="shared" si="9"/>
      </c>
      <c r="V504" s="2">
        <f t="shared" si="10"/>
      </c>
      <c r="W504" s="2">
        <f t="shared" si="11"/>
      </c>
      <c r="X504" s="2">
        <f t="shared" si="12"/>
      </c>
      <c r="Y504" s="2">
        <f t="shared" si="13"/>
        <v>0</v>
      </c>
      <c r="Z504" s="2">
        <f t="shared" si="14"/>
      </c>
      <c r="AA504" s="2">
        <f t="shared" si="15"/>
        <v>0</v>
      </c>
      <c r="AB504" s="2">
        <f t="shared" si="16"/>
      </c>
      <c r="AC504" s="2">
        <f t="shared" si="17"/>
      </c>
      <c r="AD504" s="2">
        <f t="shared" si="18"/>
      </c>
      <c r="AE504" s="2">
        <f t="shared" si="19"/>
      </c>
      <c r="AF504" s="2">
        <f t="shared" si="20"/>
      </c>
      <c r="AG504" s="2">
        <f t="shared" si="21"/>
      </c>
      <c r="AH504" s="2">
        <f t="shared" si="22"/>
      </c>
      <c r="AI504" s="2">
        <f t="shared" si="23"/>
      </c>
      <c r="AJ504" s="2">
        <f t="shared" si="24"/>
        <v>0</v>
      </c>
      <c r="AK504" s="2">
        <f t="shared" si="25"/>
        <v>0</v>
      </c>
      <c r="AL504" s="2">
        <f t="shared" si="26"/>
        <v>0</v>
      </c>
      <c r="AM504" s="2">
        <f t="shared" si="27"/>
        <v>0</v>
      </c>
      <c r="AN504" s="2">
        <f t="shared" si="28"/>
        <v>0</v>
      </c>
      <c r="AO504" s="2">
        <f t="shared" si="29"/>
      </c>
      <c r="AP504" s="2">
        <f t="shared" si="30"/>
      </c>
      <c r="AQ504" s="2">
        <f t="shared" si="31"/>
      </c>
    </row>
    <row r="505">
      <c r="A505" s="43">
        <f t="shared" si="3"/>
      </c>
      <c r="B505" s="44" t="n"/>
      <c r="C505" s="45" t="n"/>
      <c r="D505" s="46" t="n"/>
      <c r="E505" s="47" t="n"/>
      <c r="F505" s="47" t="n"/>
      <c r="G505" s="48">
        <f t="shared" si="4"/>
      </c>
      <c r="H505" s="43">
        <f t="shared" si="0"/>
      </c>
      <c r="I505" s="43">
        <f t="shared" si="5"/>
      </c>
      <c r="J505" s="43">
        <f t="shared" si="1"/>
      </c>
      <c r="K505" s="49">
        <f t="shared" si="2"/>
      </c>
      <c r="L505" s="45" t="n"/>
      <c r="M505" s="45" t="n"/>
      <c r="N505" s="45" t="n"/>
      <c r="O505" s="45" t="n"/>
      <c r="P505" s="50" t="n"/>
      <c r="R505" s="2">
        <f t="shared" si="6"/>
        <v>0</v>
      </c>
      <c r="S505" s="2">
        <f t="shared" si="7"/>
      </c>
      <c r="T505" s="2">
        <f t="shared" si="8"/>
      </c>
      <c r="U505" s="2">
        <f t="shared" si="9"/>
      </c>
      <c r="V505" s="2">
        <f t="shared" si="10"/>
      </c>
      <c r="W505" s="2">
        <f t="shared" si="11"/>
      </c>
      <c r="X505" s="2">
        <f t="shared" si="12"/>
      </c>
      <c r="Y505" s="2">
        <f t="shared" si="13"/>
        <v>0</v>
      </c>
      <c r="Z505" s="2">
        <f t="shared" si="14"/>
      </c>
      <c r="AA505" s="2">
        <f t="shared" si="15"/>
        <v>0</v>
      </c>
      <c r="AB505" s="2">
        <f t="shared" si="16"/>
      </c>
      <c r="AC505" s="2">
        <f t="shared" si="17"/>
      </c>
      <c r="AD505" s="2">
        <f t="shared" si="18"/>
      </c>
      <c r="AE505" s="2">
        <f t="shared" si="19"/>
      </c>
      <c r="AF505" s="2">
        <f t="shared" si="20"/>
      </c>
      <c r="AG505" s="2">
        <f t="shared" si="21"/>
      </c>
      <c r="AH505" s="2">
        <f t="shared" si="22"/>
      </c>
      <c r="AI505" s="2">
        <f t="shared" si="23"/>
      </c>
      <c r="AJ505" s="2">
        <f t="shared" si="24"/>
        <v>0</v>
      </c>
      <c r="AK505" s="2">
        <f t="shared" si="25"/>
        <v>0</v>
      </c>
      <c r="AL505" s="2">
        <f t="shared" si="26"/>
        <v>0</v>
      </c>
      <c r="AM505" s="2">
        <f t="shared" si="27"/>
        <v>0</v>
      </c>
      <c r="AN505" s="2">
        <f t="shared" si="28"/>
        <v>0</v>
      </c>
      <c r="AO505" s="2">
        <f t="shared" si="29"/>
      </c>
      <c r="AP505" s="2">
        <f t="shared" si="30"/>
      </c>
      <c r="AQ505" s="2">
        <f t="shared" si="31"/>
      </c>
    </row>
    <row r="506">
      <c r="A506" s="43">
        <f t="shared" si="3"/>
      </c>
      <c r="B506" s="44" t="n"/>
      <c r="C506" s="45" t="n"/>
      <c r="D506" s="46" t="n"/>
      <c r="E506" s="47" t="n"/>
      <c r="F506" s="47" t="n"/>
      <c r="G506" s="48">
        <f t="shared" si="4"/>
      </c>
      <c r="H506" s="43">
        <f t="shared" si="0"/>
      </c>
      <c r="I506" s="43">
        <f t="shared" si="5"/>
      </c>
      <c r="J506" s="43">
        <f t="shared" si="1"/>
      </c>
      <c r="K506" s="49">
        <f t="shared" si="2"/>
      </c>
      <c r="L506" s="45" t="n"/>
      <c r="M506" s="45" t="n"/>
      <c r="N506" s="45" t="n"/>
      <c r="O506" s="45" t="n"/>
      <c r="P506" s="50" t="n"/>
      <c r="R506" s="2">
        <f t="shared" si="6"/>
        <v>0</v>
      </c>
      <c r="S506" s="2">
        <f t="shared" si="7"/>
      </c>
      <c r="T506" s="2">
        <f t="shared" si="8"/>
      </c>
      <c r="U506" s="2">
        <f t="shared" si="9"/>
      </c>
      <c r="V506" s="2">
        <f t="shared" si="10"/>
      </c>
      <c r="W506" s="2">
        <f t="shared" si="11"/>
      </c>
      <c r="X506" s="2">
        <f t="shared" si="12"/>
      </c>
      <c r="Y506" s="2">
        <f t="shared" si="13"/>
        <v>0</v>
      </c>
      <c r="Z506" s="2">
        <f t="shared" si="14"/>
      </c>
      <c r="AA506" s="2">
        <f t="shared" si="15"/>
        <v>0</v>
      </c>
      <c r="AB506" s="2">
        <f t="shared" si="16"/>
      </c>
      <c r="AC506" s="2">
        <f t="shared" si="17"/>
      </c>
      <c r="AD506" s="2">
        <f t="shared" si="18"/>
      </c>
      <c r="AE506" s="2">
        <f t="shared" si="19"/>
      </c>
      <c r="AF506" s="2">
        <f t="shared" si="20"/>
      </c>
      <c r="AG506" s="2">
        <f t="shared" si="21"/>
      </c>
      <c r="AH506" s="2">
        <f t="shared" si="22"/>
      </c>
      <c r="AI506" s="2">
        <f t="shared" si="23"/>
      </c>
      <c r="AJ506" s="2">
        <f t="shared" si="24"/>
        <v>0</v>
      </c>
      <c r="AK506" s="2">
        <f t="shared" si="25"/>
        <v>0</v>
      </c>
      <c r="AL506" s="2">
        <f t="shared" si="26"/>
        <v>0</v>
      </c>
      <c r="AM506" s="2">
        <f t="shared" si="27"/>
        <v>0</v>
      </c>
      <c r="AN506" s="2">
        <f t="shared" si="28"/>
        <v>0</v>
      </c>
      <c r="AO506" s="2">
        <f t="shared" si="29"/>
      </c>
      <c r="AP506" s="2">
        <f t="shared" si="30"/>
      </c>
      <c r="AQ506" s="2">
        <f t="shared" si="31"/>
      </c>
    </row>
    <row r="507">
      <c r="A507" s="43">
        <f t="shared" si="3"/>
      </c>
      <c r="B507" s="44" t="n"/>
      <c r="C507" s="45" t="n"/>
      <c r="D507" s="46" t="n"/>
      <c r="E507" s="47" t="n"/>
      <c r="F507" s="47" t="n"/>
      <c r="G507" s="48">
        <f t="shared" si="4"/>
      </c>
      <c r="H507" s="43">
        <f t="shared" si="0"/>
      </c>
      <c r="I507" s="43">
        <f t="shared" si="5"/>
      </c>
      <c r="J507" s="43">
        <f t="shared" si="1"/>
      </c>
      <c r="K507" s="49">
        <f t="shared" si="2"/>
      </c>
      <c r="L507" s="45" t="n"/>
      <c r="M507" s="45" t="n"/>
      <c r="N507" s="45" t="n"/>
      <c r="O507" s="45" t="n"/>
      <c r="P507" s="50" t="n"/>
      <c r="R507" s="2">
        <f t="shared" si="6"/>
        <v>0</v>
      </c>
      <c r="S507" s="2">
        <f t="shared" si="7"/>
      </c>
      <c r="T507" s="2">
        <f t="shared" si="8"/>
      </c>
      <c r="U507" s="2">
        <f t="shared" si="9"/>
      </c>
      <c r="V507" s="2">
        <f t="shared" si="10"/>
      </c>
      <c r="W507" s="2">
        <f t="shared" si="11"/>
      </c>
      <c r="X507" s="2">
        <f t="shared" si="12"/>
      </c>
      <c r="Y507" s="2">
        <f t="shared" si="13"/>
        <v>0</v>
      </c>
      <c r="Z507" s="2">
        <f t="shared" si="14"/>
      </c>
      <c r="AA507" s="2">
        <f t="shared" si="15"/>
        <v>0</v>
      </c>
      <c r="AB507" s="2">
        <f t="shared" si="16"/>
      </c>
      <c r="AC507" s="2">
        <f t="shared" si="17"/>
      </c>
      <c r="AD507" s="2">
        <f t="shared" si="18"/>
      </c>
      <c r="AE507" s="2">
        <f t="shared" si="19"/>
      </c>
      <c r="AF507" s="2">
        <f t="shared" si="20"/>
      </c>
      <c r="AG507" s="2">
        <f t="shared" si="21"/>
      </c>
      <c r="AH507" s="2">
        <f t="shared" si="22"/>
      </c>
      <c r="AI507" s="2">
        <f t="shared" si="23"/>
      </c>
      <c r="AJ507" s="2">
        <f t="shared" si="24"/>
        <v>0</v>
      </c>
      <c r="AK507" s="2">
        <f t="shared" si="25"/>
        <v>0</v>
      </c>
      <c r="AL507" s="2">
        <f t="shared" si="26"/>
        <v>0</v>
      </c>
      <c r="AM507" s="2">
        <f t="shared" si="27"/>
        <v>0</v>
      </c>
      <c r="AN507" s="2">
        <f t="shared" si="28"/>
        <v>0</v>
      </c>
      <c r="AO507" s="2">
        <f t="shared" si="29"/>
      </c>
      <c r="AP507" s="2">
        <f t="shared" si="30"/>
      </c>
      <c r="AQ507" s="2">
        <f t="shared" si="31"/>
      </c>
    </row>
    <row r="508">
      <c r="A508" s="43">
        <f t="shared" si="3"/>
      </c>
      <c r="B508" s="44" t="n"/>
      <c r="C508" s="45" t="n"/>
      <c r="D508" s="46" t="n"/>
      <c r="E508" s="47" t="n"/>
      <c r="F508" s="47" t="n"/>
      <c r="G508" s="48">
        <f t="shared" si="4"/>
      </c>
      <c r="H508" s="43">
        <f t="shared" si="0"/>
      </c>
      <c r="I508" s="43">
        <f t="shared" si="5"/>
      </c>
      <c r="J508" s="43">
        <f t="shared" si="1"/>
      </c>
      <c r="K508" s="49">
        <f t="shared" si="2"/>
      </c>
      <c r="L508" s="45" t="n"/>
      <c r="M508" s="45" t="n"/>
      <c r="N508" s="45" t="n"/>
      <c r="O508" s="45" t="n"/>
      <c r="P508" s="50" t="n"/>
      <c r="R508" s="2">
        <f t="shared" si="6"/>
        <v>0</v>
      </c>
      <c r="S508" s="2">
        <f t="shared" si="7"/>
      </c>
      <c r="T508" s="2">
        <f t="shared" si="8"/>
      </c>
      <c r="U508" s="2">
        <f t="shared" si="9"/>
      </c>
      <c r="V508" s="2">
        <f t="shared" si="10"/>
      </c>
      <c r="W508" s="2">
        <f t="shared" si="11"/>
      </c>
      <c r="X508" s="2">
        <f t="shared" si="12"/>
      </c>
      <c r="Y508" s="2">
        <f t="shared" si="13"/>
        <v>0</v>
      </c>
      <c r="Z508" s="2">
        <f t="shared" si="14"/>
      </c>
      <c r="AA508" s="2">
        <f t="shared" si="15"/>
        <v>0</v>
      </c>
      <c r="AB508" s="2">
        <f t="shared" si="16"/>
      </c>
      <c r="AC508" s="2">
        <f t="shared" si="17"/>
      </c>
      <c r="AD508" s="2">
        <f t="shared" si="18"/>
      </c>
      <c r="AE508" s="2">
        <f t="shared" si="19"/>
      </c>
      <c r="AF508" s="2">
        <f t="shared" si="20"/>
      </c>
      <c r="AG508" s="2">
        <f t="shared" si="21"/>
      </c>
      <c r="AH508" s="2">
        <f t="shared" si="22"/>
      </c>
      <c r="AI508" s="2">
        <f t="shared" si="23"/>
      </c>
      <c r="AJ508" s="2">
        <f t="shared" si="24"/>
        <v>0</v>
      </c>
      <c r="AK508" s="2">
        <f t="shared" si="25"/>
        <v>0</v>
      </c>
      <c r="AL508" s="2">
        <f t="shared" si="26"/>
        <v>0</v>
      </c>
      <c r="AM508" s="2">
        <f t="shared" si="27"/>
        <v>0</v>
      </c>
      <c r="AN508" s="2">
        <f t="shared" si="28"/>
        <v>0</v>
      </c>
      <c r="AO508" s="2">
        <f t="shared" si="29"/>
      </c>
      <c r="AP508" s="2">
        <f t="shared" si="30"/>
      </c>
      <c r="AQ508" s="2">
        <f t="shared" si="31"/>
      </c>
    </row>
    <row r="509">
      <c r="A509" s="43">
        <f t="shared" si="3"/>
      </c>
      <c r="B509" s="44" t="n"/>
      <c r="C509" s="45" t="n"/>
      <c r="D509" s="46" t="n"/>
      <c r="E509" s="47" t="n"/>
      <c r="F509" s="47" t="n"/>
      <c r="G509" s="48">
        <f t="shared" si="4"/>
      </c>
      <c r="H509" s="43">
        <f t="shared" si="0"/>
      </c>
      <c r="I509" s="43">
        <f t="shared" si="5"/>
      </c>
      <c r="J509" s="43">
        <f t="shared" si="1"/>
      </c>
      <c r="K509" s="49">
        <f t="shared" si="2"/>
      </c>
      <c r="L509" s="45" t="n"/>
      <c r="M509" s="45" t="n"/>
      <c r="N509" s="45" t="n"/>
      <c r="O509" s="45" t="n"/>
      <c r="P509" s="50" t="n"/>
      <c r="R509" s="2">
        <f t="shared" si="6"/>
        <v>0</v>
      </c>
      <c r="S509" s="2">
        <f t="shared" si="7"/>
      </c>
      <c r="T509" s="2">
        <f t="shared" si="8"/>
      </c>
      <c r="U509" s="2">
        <f t="shared" si="9"/>
      </c>
      <c r="V509" s="2">
        <f t="shared" si="10"/>
      </c>
      <c r="W509" s="2">
        <f t="shared" si="11"/>
      </c>
      <c r="X509" s="2">
        <f t="shared" si="12"/>
      </c>
      <c r="Y509" s="2">
        <f t="shared" si="13"/>
        <v>0</v>
      </c>
      <c r="Z509" s="2">
        <f t="shared" si="14"/>
      </c>
      <c r="AA509" s="2">
        <f t="shared" si="15"/>
        <v>0</v>
      </c>
      <c r="AB509" s="2">
        <f t="shared" si="16"/>
      </c>
      <c r="AC509" s="2">
        <f t="shared" si="17"/>
      </c>
      <c r="AD509" s="2">
        <f t="shared" si="18"/>
      </c>
      <c r="AE509" s="2">
        <f t="shared" si="19"/>
      </c>
      <c r="AF509" s="2">
        <f t="shared" si="20"/>
      </c>
      <c r="AG509" s="2">
        <f t="shared" si="21"/>
      </c>
      <c r="AH509" s="2">
        <f t="shared" si="22"/>
      </c>
      <c r="AI509" s="2">
        <f t="shared" si="23"/>
      </c>
      <c r="AJ509" s="2">
        <f t="shared" si="24"/>
        <v>0</v>
      </c>
      <c r="AK509" s="2">
        <f t="shared" si="25"/>
        <v>0</v>
      </c>
      <c r="AL509" s="2">
        <f t="shared" si="26"/>
        <v>0</v>
      </c>
      <c r="AM509" s="2">
        <f t="shared" si="27"/>
        <v>0</v>
      </c>
      <c r="AN509" s="2">
        <f t="shared" si="28"/>
        <v>0</v>
      </c>
      <c r="AO509" s="2">
        <f t="shared" si="29"/>
      </c>
      <c r="AP509" s="2">
        <f t="shared" si="30"/>
      </c>
      <c r="AQ509" s="2">
        <f t="shared" si="31"/>
      </c>
    </row>
    <row r="510">
      <c r="A510" s="43">
        <f t="shared" si="3"/>
      </c>
      <c r="B510" s="44" t="n"/>
      <c r="C510" s="45" t="n"/>
      <c r="D510" s="46" t="n"/>
      <c r="E510" s="47" t="n"/>
      <c r="F510" s="47" t="n"/>
      <c r="G510" s="48">
        <f t="shared" si="4"/>
      </c>
      <c r="H510" s="43">
        <f t="shared" si="0"/>
      </c>
      <c r="I510" s="43">
        <f t="shared" si="5"/>
      </c>
      <c r="J510" s="43">
        <f t="shared" si="1"/>
      </c>
      <c r="K510" s="49">
        <f t="shared" si="2"/>
      </c>
      <c r="L510" s="45" t="n"/>
      <c r="M510" s="45" t="n"/>
      <c r="N510" s="45" t="n"/>
      <c r="O510" s="45" t="n"/>
      <c r="P510" s="50" t="n"/>
      <c r="R510" s="2">
        <f t="shared" si="6"/>
        <v>0</v>
      </c>
      <c r="S510" s="2">
        <f t="shared" si="7"/>
      </c>
      <c r="T510" s="2">
        <f t="shared" si="8"/>
      </c>
      <c r="U510" s="2">
        <f t="shared" si="9"/>
      </c>
      <c r="V510" s="2">
        <f t="shared" si="10"/>
      </c>
      <c r="W510" s="2">
        <f t="shared" si="11"/>
      </c>
      <c r="X510" s="2">
        <f t="shared" si="12"/>
      </c>
      <c r="Y510" s="2">
        <f t="shared" si="13"/>
        <v>0</v>
      </c>
      <c r="Z510" s="2">
        <f t="shared" si="14"/>
      </c>
      <c r="AA510" s="2">
        <f t="shared" si="15"/>
        <v>0</v>
      </c>
      <c r="AB510" s="2">
        <f t="shared" si="16"/>
      </c>
      <c r="AC510" s="2">
        <f t="shared" si="17"/>
      </c>
      <c r="AD510" s="2">
        <f t="shared" si="18"/>
      </c>
      <c r="AE510" s="2">
        <f t="shared" si="19"/>
      </c>
      <c r="AF510" s="2">
        <f t="shared" si="20"/>
      </c>
      <c r="AG510" s="2">
        <f t="shared" si="21"/>
      </c>
      <c r="AH510" s="2">
        <f t="shared" si="22"/>
      </c>
      <c r="AI510" s="2">
        <f t="shared" si="23"/>
      </c>
      <c r="AJ510" s="2">
        <f t="shared" si="24"/>
        <v>0</v>
      </c>
      <c r="AK510" s="2">
        <f t="shared" si="25"/>
        <v>0</v>
      </c>
      <c r="AL510" s="2">
        <f t="shared" si="26"/>
        <v>0</v>
      </c>
      <c r="AM510" s="2">
        <f t="shared" si="27"/>
        <v>0</v>
      </c>
      <c r="AN510" s="2">
        <f t="shared" si="28"/>
        <v>0</v>
      </c>
      <c r="AO510" s="2">
        <f t="shared" si="29"/>
      </c>
      <c r="AP510" s="2">
        <f t="shared" si="30"/>
      </c>
      <c r="AQ510" s="2">
        <f t="shared" si="31"/>
      </c>
    </row>
    <row r="511">
      <c r="A511" s="43">
        <f t="shared" si="3"/>
      </c>
      <c r="B511" s="44" t="n"/>
      <c r="C511" s="45" t="n"/>
      <c r="D511" s="46" t="n"/>
      <c r="E511" s="47" t="n"/>
      <c r="F511" s="47" t="n"/>
      <c r="G511" s="48">
        <f t="shared" si="4"/>
      </c>
      <c r="H511" s="43">
        <f t="shared" si="0"/>
      </c>
      <c r="I511" s="43">
        <f t="shared" si="5"/>
      </c>
      <c r="J511" s="43">
        <f t="shared" si="1"/>
      </c>
      <c r="K511" s="49">
        <f t="shared" si="2"/>
      </c>
      <c r="L511" s="45" t="n"/>
      <c r="M511" s="45" t="n"/>
      <c r="N511" s="45" t="n"/>
      <c r="O511" s="45" t="n"/>
      <c r="P511" s="50" t="n"/>
      <c r="R511" s="2">
        <f t="shared" si="6"/>
        <v>0</v>
      </c>
      <c r="S511" s="2">
        <f t="shared" si="7"/>
      </c>
      <c r="T511" s="2">
        <f t="shared" si="8"/>
      </c>
      <c r="U511" s="2">
        <f t="shared" si="9"/>
      </c>
      <c r="V511" s="2">
        <f t="shared" si="10"/>
      </c>
      <c r="W511" s="2">
        <f t="shared" si="11"/>
      </c>
      <c r="X511" s="2">
        <f t="shared" si="12"/>
      </c>
      <c r="Y511" s="2">
        <f t="shared" si="13"/>
        <v>0</v>
      </c>
      <c r="Z511" s="2">
        <f t="shared" si="14"/>
      </c>
      <c r="AA511" s="2">
        <f t="shared" si="15"/>
        <v>0</v>
      </c>
      <c r="AB511" s="2">
        <f t="shared" si="16"/>
      </c>
      <c r="AC511" s="2">
        <f t="shared" si="17"/>
      </c>
      <c r="AD511" s="2">
        <f t="shared" si="18"/>
      </c>
      <c r="AE511" s="2">
        <f t="shared" si="19"/>
      </c>
      <c r="AF511" s="2">
        <f t="shared" si="20"/>
      </c>
      <c r="AG511" s="2">
        <f t="shared" si="21"/>
      </c>
      <c r="AH511" s="2">
        <f t="shared" si="22"/>
      </c>
      <c r="AI511" s="2">
        <f t="shared" si="23"/>
      </c>
      <c r="AJ511" s="2">
        <f t="shared" si="24"/>
        <v>0</v>
      </c>
      <c r="AK511" s="2">
        <f t="shared" si="25"/>
        <v>0</v>
      </c>
      <c r="AL511" s="2">
        <f t="shared" si="26"/>
        <v>0</v>
      </c>
      <c r="AM511" s="2">
        <f t="shared" si="27"/>
        <v>0</v>
      </c>
      <c r="AN511" s="2">
        <f t="shared" si="28"/>
        <v>0</v>
      </c>
      <c r="AO511" s="2">
        <f t="shared" si="29"/>
      </c>
      <c r="AP511" s="2">
        <f t="shared" si="30"/>
      </c>
      <c r="AQ511" s="2">
        <f t="shared" si="31"/>
      </c>
    </row>
    <row r="512">
      <c r="A512" s="43">
        <f t="shared" si="3"/>
      </c>
      <c r="B512" s="44" t="n"/>
      <c r="C512" s="45" t="n"/>
      <c r="D512" s="46" t="n"/>
      <c r="E512" s="47" t="n"/>
      <c r="F512" s="47" t="n"/>
      <c r="G512" s="48">
        <f t="shared" si="4"/>
      </c>
      <c r="H512" s="43">
        <f t="shared" si="0"/>
      </c>
      <c r="I512" s="43">
        <f t="shared" si="5"/>
      </c>
      <c r="J512" s="43">
        <f t="shared" si="1"/>
      </c>
      <c r="K512" s="49">
        <f t="shared" si="2"/>
      </c>
      <c r="L512" s="45" t="n"/>
      <c r="M512" s="45" t="n"/>
      <c r="N512" s="45" t="n"/>
      <c r="O512" s="45" t="n"/>
      <c r="P512" s="50" t="n"/>
      <c r="R512" s="2">
        <f t="shared" si="6"/>
        <v>0</v>
      </c>
      <c r="S512" s="2">
        <f t="shared" si="7"/>
      </c>
      <c r="T512" s="2">
        <f t="shared" si="8"/>
      </c>
      <c r="U512" s="2">
        <f t="shared" si="9"/>
      </c>
      <c r="V512" s="2">
        <f t="shared" si="10"/>
      </c>
      <c r="W512" s="2">
        <f t="shared" si="11"/>
      </c>
      <c r="X512" s="2">
        <f t="shared" si="12"/>
      </c>
      <c r="Y512" s="2">
        <f t="shared" si="13"/>
        <v>0</v>
      </c>
      <c r="Z512" s="2">
        <f t="shared" si="14"/>
      </c>
      <c r="AA512" s="2">
        <f t="shared" si="15"/>
        <v>0</v>
      </c>
      <c r="AB512" s="2">
        <f t="shared" si="16"/>
      </c>
      <c r="AC512" s="2">
        <f t="shared" si="17"/>
      </c>
      <c r="AD512" s="2">
        <f t="shared" si="18"/>
      </c>
      <c r="AE512" s="2">
        <f t="shared" si="19"/>
      </c>
      <c r="AF512" s="2">
        <f t="shared" si="20"/>
      </c>
      <c r="AG512" s="2">
        <f t="shared" si="21"/>
      </c>
      <c r="AH512" s="2">
        <f t="shared" si="22"/>
      </c>
      <c r="AI512" s="2">
        <f t="shared" si="23"/>
      </c>
      <c r="AJ512" s="2">
        <f t="shared" si="24"/>
        <v>0</v>
      </c>
      <c r="AK512" s="2">
        <f t="shared" si="25"/>
        <v>0</v>
      </c>
      <c r="AL512" s="2">
        <f t="shared" si="26"/>
        <v>0</v>
      </c>
      <c r="AM512" s="2">
        <f t="shared" si="27"/>
        <v>0</v>
      </c>
      <c r="AN512" s="2">
        <f t="shared" si="28"/>
        <v>0</v>
      </c>
      <c r="AO512" s="2">
        <f t="shared" si="29"/>
      </c>
      <c r="AP512" s="2">
        <f t="shared" si="30"/>
      </c>
      <c r="AQ512" s="2">
        <f t="shared" si="31"/>
      </c>
    </row>
    <row r="513">
      <c r="A513" s="43">
        <f t="shared" si="3"/>
      </c>
      <c r="B513" s="44" t="n"/>
      <c r="C513" s="45" t="n"/>
      <c r="D513" s="46" t="n"/>
      <c r="E513" s="47" t="n"/>
      <c r="F513" s="47" t="n"/>
      <c r="G513" s="48">
        <f t="shared" si="4"/>
      </c>
      <c r="H513" s="43">
        <f t="shared" si="0"/>
      </c>
      <c r="I513" s="43">
        <f t="shared" si="5"/>
      </c>
      <c r="J513" s="43">
        <f t="shared" si="1"/>
      </c>
      <c r="K513" s="49">
        <f t="shared" si="2"/>
      </c>
      <c r="L513" s="45" t="n"/>
      <c r="M513" s="45" t="n"/>
      <c r="N513" s="45" t="n"/>
      <c r="O513" s="45" t="n"/>
      <c r="P513" s="50" t="n"/>
      <c r="R513" s="2">
        <f t="shared" si="6"/>
        <v>0</v>
      </c>
      <c r="S513" s="2">
        <f t="shared" si="7"/>
      </c>
      <c r="T513" s="2">
        <f t="shared" si="8"/>
      </c>
      <c r="U513" s="2">
        <f t="shared" si="9"/>
      </c>
      <c r="V513" s="2">
        <f t="shared" si="10"/>
      </c>
      <c r="W513" s="2">
        <f t="shared" si="11"/>
      </c>
      <c r="X513" s="2">
        <f t="shared" si="12"/>
      </c>
      <c r="Y513" s="2">
        <f t="shared" si="13"/>
        <v>0</v>
      </c>
      <c r="Z513" s="2">
        <f t="shared" si="14"/>
      </c>
      <c r="AA513" s="2">
        <f t="shared" si="15"/>
        <v>0</v>
      </c>
      <c r="AB513" s="2">
        <f t="shared" si="16"/>
      </c>
      <c r="AC513" s="2">
        <f t="shared" si="17"/>
      </c>
      <c r="AD513" s="2">
        <f t="shared" si="18"/>
      </c>
      <c r="AE513" s="2">
        <f t="shared" si="19"/>
      </c>
      <c r="AF513" s="2">
        <f t="shared" si="20"/>
      </c>
      <c r="AG513" s="2">
        <f t="shared" si="21"/>
      </c>
      <c r="AH513" s="2">
        <f t="shared" si="22"/>
      </c>
      <c r="AI513" s="2">
        <f t="shared" si="23"/>
      </c>
      <c r="AJ513" s="2">
        <f t="shared" si="24"/>
        <v>0</v>
      </c>
      <c r="AK513" s="2">
        <f t="shared" si="25"/>
        <v>0</v>
      </c>
      <c r="AL513" s="2">
        <f t="shared" si="26"/>
        <v>0</v>
      </c>
      <c r="AM513" s="2">
        <f t="shared" si="27"/>
        <v>0</v>
      </c>
      <c r="AN513" s="2">
        <f t="shared" si="28"/>
        <v>0</v>
      </c>
      <c r="AO513" s="2">
        <f t="shared" si="29"/>
      </c>
      <c r="AP513" s="2">
        <f t="shared" si="30"/>
      </c>
      <c r="AQ513" s="2">
        <f t="shared" si="31"/>
      </c>
    </row>
    <row r="514">
      <c r="A514" s="43">
        <f t="shared" si="3"/>
      </c>
      <c r="B514" s="44" t="n"/>
      <c r="C514" s="45" t="n"/>
      <c r="D514" s="46" t="n"/>
      <c r="E514" s="47" t="n"/>
      <c r="F514" s="47" t="n"/>
      <c r="G514" s="48">
        <f t="shared" si="4"/>
      </c>
      <c r="H514" s="43">
        <f t="shared" si="0"/>
      </c>
      <c r="I514" s="43">
        <f t="shared" si="5"/>
      </c>
      <c r="J514" s="43">
        <f t="shared" si="1"/>
      </c>
      <c r="K514" s="49">
        <f t="shared" si="2"/>
      </c>
      <c r="L514" s="45" t="n"/>
      <c r="M514" s="45" t="n"/>
      <c r="N514" s="45" t="n"/>
      <c r="O514" s="45" t="n"/>
      <c r="P514" s="50" t="n"/>
      <c r="R514" s="2">
        <f t="shared" si="6"/>
        <v>0</v>
      </c>
      <c r="S514" s="2">
        <f t="shared" si="7"/>
      </c>
      <c r="T514" s="2">
        <f t="shared" si="8"/>
      </c>
      <c r="U514" s="2">
        <f t="shared" si="9"/>
      </c>
      <c r="V514" s="2">
        <f t="shared" si="10"/>
      </c>
      <c r="W514" s="2">
        <f t="shared" si="11"/>
      </c>
      <c r="X514" s="2">
        <f t="shared" si="12"/>
      </c>
      <c r="Y514" s="2">
        <f t="shared" si="13"/>
        <v>0</v>
      </c>
      <c r="Z514" s="2">
        <f t="shared" si="14"/>
      </c>
      <c r="AA514" s="2">
        <f t="shared" si="15"/>
        <v>0</v>
      </c>
      <c r="AB514" s="2">
        <f t="shared" si="16"/>
      </c>
      <c r="AC514" s="2">
        <f t="shared" si="17"/>
      </c>
      <c r="AD514" s="2">
        <f t="shared" si="18"/>
      </c>
      <c r="AE514" s="2">
        <f t="shared" si="19"/>
      </c>
      <c r="AF514" s="2">
        <f t="shared" si="20"/>
      </c>
      <c r="AG514" s="2">
        <f t="shared" si="21"/>
      </c>
      <c r="AH514" s="2">
        <f t="shared" si="22"/>
      </c>
      <c r="AI514" s="2">
        <f t="shared" si="23"/>
      </c>
      <c r="AJ514" s="2">
        <f t="shared" si="24"/>
        <v>0</v>
      </c>
      <c r="AK514" s="2">
        <f t="shared" si="25"/>
        <v>0</v>
      </c>
      <c r="AL514" s="2">
        <f t="shared" si="26"/>
        <v>0</v>
      </c>
      <c r="AM514" s="2">
        <f t="shared" si="27"/>
        <v>0</v>
      </c>
      <c r="AN514" s="2">
        <f t="shared" si="28"/>
        <v>0</v>
      </c>
      <c r="AO514" s="2">
        <f t="shared" si="29"/>
      </c>
      <c r="AP514" s="2">
        <f t="shared" si="30"/>
      </c>
      <c r="AQ514" s="2">
        <f t="shared" si="31"/>
      </c>
    </row>
    <row r="515">
      <c r="A515" s="43">
        <f t="shared" si="3"/>
      </c>
      <c r="B515" s="44" t="n"/>
      <c r="C515" s="45" t="n"/>
      <c r="D515" s="46" t="n"/>
      <c r="E515" s="47" t="n"/>
      <c r="F515" s="47" t="n"/>
      <c r="G515" s="48">
        <f t="shared" si="4"/>
      </c>
      <c r="H515" s="43">
        <f t="shared" si="0"/>
      </c>
      <c r="I515" s="43">
        <f t="shared" si="5"/>
      </c>
      <c r="J515" s="43">
        <f t="shared" si="1"/>
      </c>
      <c r="K515" s="49">
        <f t="shared" si="2"/>
      </c>
      <c r="L515" s="45" t="n"/>
      <c r="M515" s="45" t="n"/>
      <c r="N515" s="45" t="n"/>
      <c r="O515" s="45" t="n"/>
      <c r="P515" s="50" t="n"/>
      <c r="R515" s="2">
        <f t="shared" si="6"/>
        <v>0</v>
      </c>
      <c r="S515" s="2">
        <f t="shared" si="7"/>
      </c>
      <c r="T515" s="2">
        <f t="shared" si="8"/>
      </c>
      <c r="U515" s="2">
        <f t="shared" si="9"/>
      </c>
      <c r="V515" s="2">
        <f t="shared" si="10"/>
      </c>
      <c r="W515" s="2">
        <f t="shared" si="11"/>
      </c>
      <c r="X515" s="2">
        <f t="shared" si="12"/>
      </c>
      <c r="Y515" s="2">
        <f t="shared" si="13"/>
        <v>0</v>
      </c>
      <c r="Z515" s="2">
        <f t="shared" si="14"/>
      </c>
      <c r="AA515" s="2">
        <f t="shared" si="15"/>
        <v>0</v>
      </c>
      <c r="AB515" s="2">
        <f t="shared" si="16"/>
      </c>
      <c r="AC515" s="2">
        <f t="shared" si="17"/>
      </c>
      <c r="AD515" s="2">
        <f t="shared" si="18"/>
      </c>
      <c r="AE515" s="2">
        <f t="shared" si="19"/>
      </c>
      <c r="AF515" s="2">
        <f t="shared" si="20"/>
      </c>
      <c r="AG515" s="2">
        <f t="shared" si="21"/>
      </c>
      <c r="AH515" s="2">
        <f t="shared" si="22"/>
      </c>
      <c r="AI515" s="2">
        <f t="shared" si="23"/>
      </c>
      <c r="AJ515" s="2">
        <f t="shared" si="24"/>
        <v>0</v>
      </c>
      <c r="AK515" s="2">
        <f t="shared" si="25"/>
        <v>0</v>
      </c>
      <c r="AL515" s="2">
        <f t="shared" si="26"/>
        <v>0</v>
      </c>
      <c r="AM515" s="2">
        <f t="shared" si="27"/>
        <v>0</v>
      </c>
      <c r="AN515" s="2">
        <f t="shared" si="28"/>
        <v>0</v>
      </c>
      <c r="AO515" s="2">
        <f t="shared" si="29"/>
      </c>
      <c r="AP515" s="2">
        <f t="shared" si="30"/>
      </c>
      <c r="AQ515" s="2">
        <f t="shared" si="31"/>
      </c>
    </row>
    <row r="516">
      <c r="A516" s="43">
        <f t="shared" si="3"/>
      </c>
      <c r="B516" s="44" t="n"/>
      <c r="C516" s="45" t="n"/>
      <c r="D516" s="46" t="n"/>
      <c r="E516" s="47" t="n"/>
      <c r="F516" s="47" t="n"/>
      <c r="G516" s="48">
        <f t="shared" si="4"/>
      </c>
      <c r="H516" s="43">
        <f t="shared" si="0"/>
      </c>
      <c r="I516" s="43">
        <f t="shared" si="5"/>
      </c>
      <c r="J516" s="43">
        <f t="shared" si="1"/>
      </c>
      <c r="K516" s="49">
        <f t="shared" si="2"/>
      </c>
      <c r="L516" s="45" t="n"/>
      <c r="M516" s="45" t="n"/>
      <c r="N516" s="45" t="n"/>
      <c r="O516" s="45" t="n"/>
      <c r="P516" s="50" t="n"/>
      <c r="R516" s="2">
        <f t="shared" si="6"/>
        <v>0</v>
      </c>
      <c r="S516" s="2">
        <f t="shared" si="7"/>
      </c>
      <c r="T516" s="2">
        <f t="shared" si="8"/>
      </c>
      <c r="U516" s="2">
        <f t="shared" si="9"/>
      </c>
      <c r="V516" s="2">
        <f t="shared" si="10"/>
      </c>
      <c r="W516" s="2">
        <f t="shared" si="11"/>
      </c>
      <c r="X516" s="2">
        <f t="shared" si="12"/>
      </c>
      <c r="Y516" s="2">
        <f t="shared" si="13"/>
        <v>0</v>
      </c>
      <c r="Z516" s="2">
        <f t="shared" si="14"/>
      </c>
      <c r="AA516" s="2">
        <f t="shared" si="15"/>
        <v>0</v>
      </c>
      <c r="AB516" s="2">
        <f t="shared" si="16"/>
      </c>
      <c r="AC516" s="2">
        <f t="shared" si="17"/>
      </c>
      <c r="AD516" s="2">
        <f t="shared" si="18"/>
      </c>
      <c r="AE516" s="2">
        <f t="shared" si="19"/>
      </c>
      <c r="AF516" s="2">
        <f t="shared" si="20"/>
      </c>
      <c r="AG516" s="2">
        <f t="shared" si="21"/>
      </c>
      <c r="AH516" s="2">
        <f t="shared" si="22"/>
      </c>
      <c r="AI516" s="2">
        <f t="shared" si="23"/>
      </c>
      <c r="AJ516" s="2">
        <f t="shared" si="24"/>
        <v>0</v>
      </c>
      <c r="AK516" s="2">
        <f t="shared" si="25"/>
        <v>0</v>
      </c>
      <c r="AL516" s="2">
        <f t="shared" si="26"/>
        <v>0</v>
      </c>
      <c r="AM516" s="2">
        <f t="shared" si="27"/>
        <v>0</v>
      </c>
      <c r="AN516" s="2">
        <f t="shared" si="28"/>
        <v>0</v>
      </c>
      <c r="AO516" s="2">
        <f t="shared" si="29"/>
      </c>
      <c r="AP516" s="2">
        <f t="shared" si="30"/>
      </c>
      <c r="AQ516" s="2">
        <f t="shared" si="31"/>
      </c>
    </row>
    <row r="517">
      <c r="A517" s="43">
        <f t="shared" si="3"/>
      </c>
      <c r="B517" s="44" t="n"/>
      <c r="C517" s="45" t="n"/>
      <c r="D517" s="46" t="n"/>
      <c r="E517" s="47" t="n"/>
      <c r="F517" s="47" t="n"/>
      <c r="G517" s="48">
        <f t="shared" si="4"/>
      </c>
      <c r="H517" s="43">
        <f t="shared" si="0"/>
      </c>
      <c r="I517" s="43">
        <f t="shared" si="5"/>
      </c>
      <c r="J517" s="43">
        <f t="shared" si="1"/>
      </c>
      <c r="K517" s="49">
        <f t="shared" si="2"/>
      </c>
      <c r="L517" s="45" t="n"/>
      <c r="M517" s="45" t="n"/>
      <c r="N517" s="45" t="n"/>
      <c r="O517" s="45" t="n"/>
      <c r="P517" s="50" t="n"/>
      <c r="R517" s="2">
        <f t="shared" si="6"/>
        <v>0</v>
      </c>
      <c r="S517" s="2">
        <f t="shared" si="7"/>
      </c>
      <c r="T517" s="2">
        <f t="shared" si="8"/>
      </c>
      <c r="U517" s="2">
        <f t="shared" si="9"/>
      </c>
      <c r="V517" s="2">
        <f t="shared" si="10"/>
      </c>
      <c r="W517" s="2">
        <f t="shared" si="11"/>
      </c>
      <c r="X517" s="2">
        <f t="shared" si="12"/>
      </c>
      <c r="Y517" s="2">
        <f t="shared" si="13"/>
        <v>0</v>
      </c>
      <c r="Z517" s="2">
        <f t="shared" si="14"/>
      </c>
      <c r="AA517" s="2">
        <f t="shared" si="15"/>
        <v>0</v>
      </c>
      <c r="AB517" s="2">
        <f t="shared" si="16"/>
      </c>
      <c r="AC517" s="2">
        <f t="shared" si="17"/>
      </c>
      <c r="AD517" s="2">
        <f t="shared" si="18"/>
      </c>
      <c r="AE517" s="2">
        <f t="shared" si="19"/>
      </c>
      <c r="AF517" s="2">
        <f t="shared" si="20"/>
      </c>
      <c r="AG517" s="2">
        <f t="shared" si="21"/>
      </c>
      <c r="AH517" s="2">
        <f t="shared" si="22"/>
      </c>
      <c r="AI517" s="2">
        <f t="shared" si="23"/>
      </c>
      <c r="AJ517" s="2">
        <f t="shared" si="24"/>
        <v>0</v>
      </c>
      <c r="AK517" s="2">
        <f t="shared" si="25"/>
        <v>0</v>
      </c>
      <c r="AL517" s="2">
        <f t="shared" si="26"/>
        <v>0</v>
      </c>
      <c r="AM517" s="2">
        <f t="shared" si="27"/>
        <v>0</v>
      </c>
      <c r="AN517" s="2">
        <f t="shared" si="28"/>
        <v>0</v>
      </c>
      <c r="AO517" s="2">
        <f t="shared" si="29"/>
      </c>
      <c r="AP517" s="2">
        <f t="shared" si="30"/>
      </c>
      <c r="AQ517" s="2">
        <f t="shared" si="31"/>
      </c>
    </row>
    <row r="518">
      <c r="A518" s="43">
        <f t="shared" si="3"/>
      </c>
      <c r="B518" s="44" t="n"/>
      <c r="C518" s="45" t="n"/>
      <c r="D518" s="46" t="n"/>
      <c r="E518" s="47" t="n"/>
      <c r="F518" s="47" t="n"/>
      <c r="G518" s="48">
        <f t="shared" si="4"/>
      </c>
      <c r="H518" s="43">
        <f t="shared" si="0"/>
      </c>
      <c r="I518" s="43">
        <f t="shared" si="5"/>
      </c>
      <c r="J518" s="43">
        <f t="shared" si="1"/>
      </c>
      <c r="K518" s="49">
        <f t="shared" si="2"/>
      </c>
      <c r="L518" s="45" t="n"/>
      <c r="M518" s="45" t="n"/>
      <c r="N518" s="45" t="n"/>
      <c r="O518" s="45" t="n"/>
      <c r="P518" s="50" t="n"/>
      <c r="R518" s="2">
        <f t="shared" si="6"/>
        <v>0</v>
      </c>
      <c r="S518" s="2">
        <f t="shared" si="7"/>
      </c>
      <c r="T518" s="2">
        <f t="shared" si="8"/>
      </c>
      <c r="U518" s="2">
        <f t="shared" si="9"/>
      </c>
      <c r="V518" s="2">
        <f t="shared" si="10"/>
      </c>
      <c r="W518" s="2">
        <f t="shared" si="11"/>
      </c>
      <c r="X518" s="2">
        <f t="shared" si="12"/>
      </c>
      <c r="Y518" s="2">
        <f t="shared" si="13"/>
        <v>0</v>
      </c>
      <c r="Z518" s="2">
        <f t="shared" si="14"/>
      </c>
      <c r="AA518" s="2">
        <f t="shared" si="15"/>
        <v>0</v>
      </c>
      <c r="AB518" s="2">
        <f t="shared" si="16"/>
      </c>
      <c r="AC518" s="2">
        <f t="shared" si="17"/>
      </c>
      <c r="AD518" s="2">
        <f t="shared" si="18"/>
      </c>
      <c r="AE518" s="2">
        <f t="shared" si="19"/>
      </c>
      <c r="AF518" s="2">
        <f t="shared" si="20"/>
      </c>
      <c r="AG518" s="2">
        <f t="shared" si="21"/>
      </c>
      <c r="AH518" s="2">
        <f t="shared" si="22"/>
      </c>
      <c r="AI518" s="2">
        <f t="shared" si="23"/>
      </c>
      <c r="AJ518" s="2">
        <f t="shared" si="24"/>
        <v>0</v>
      </c>
      <c r="AK518" s="2">
        <f t="shared" si="25"/>
        <v>0</v>
      </c>
      <c r="AL518" s="2">
        <f t="shared" si="26"/>
        <v>0</v>
      </c>
      <c r="AM518" s="2">
        <f t="shared" si="27"/>
        <v>0</v>
      </c>
      <c r="AN518" s="2">
        <f t="shared" si="28"/>
        <v>0</v>
      </c>
      <c r="AO518" s="2">
        <f t="shared" si="29"/>
      </c>
      <c r="AP518" s="2">
        <f t="shared" si="30"/>
      </c>
      <c r="AQ518" s="2">
        <f t="shared" si="31"/>
      </c>
    </row>
    <row r="519">
      <c r="A519" s="43">
        <f t="shared" si="3"/>
      </c>
      <c r="B519" s="44" t="n"/>
      <c r="C519" s="45" t="n"/>
      <c r="D519" s="46" t="n"/>
      <c r="E519" s="47" t="n"/>
      <c r="F519" s="47" t="n"/>
      <c r="G519" s="48">
        <f t="shared" si="4"/>
      </c>
      <c r="H519" s="43">
        <f t="shared" si="0"/>
      </c>
      <c r="I519" s="43">
        <f t="shared" si="5"/>
      </c>
      <c r="J519" s="43">
        <f t="shared" si="1"/>
      </c>
      <c r="K519" s="49">
        <f t="shared" si="2"/>
      </c>
      <c r="L519" s="45" t="n"/>
      <c r="M519" s="45" t="n"/>
      <c r="N519" s="45" t="n"/>
      <c r="O519" s="45" t="n"/>
      <c r="P519" s="50" t="n"/>
      <c r="R519" s="2">
        <f t="shared" si="6"/>
        <v>0</v>
      </c>
      <c r="S519" s="2">
        <f t="shared" si="7"/>
      </c>
      <c r="T519" s="2">
        <f t="shared" si="8"/>
      </c>
      <c r="U519" s="2">
        <f t="shared" si="9"/>
      </c>
      <c r="V519" s="2">
        <f t="shared" si="10"/>
      </c>
      <c r="W519" s="2">
        <f t="shared" si="11"/>
      </c>
      <c r="X519" s="2">
        <f t="shared" si="12"/>
      </c>
      <c r="Y519" s="2">
        <f t="shared" si="13"/>
        <v>0</v>
      </c>
      <c r="Z519" s="2">
        <f t="shared" si="14"/>
      </c>
      <c r="AA519" s="2">
        <f t="shared" si="15"/>
        <v>0</v>
      </c>
      <c r="AB519" s="2">
        <f t="shared" si="16"/>
      </c>
      <c r="AC519" s="2">
        <f t="shared" si="17"/>
      </c>
      <c r="AD519" s="2">
        <f t="shared" si="18"/>
      </c>
      <c r="AE519" s="2">
        <f t="shared" si="19"/>
      </c>
      <c r="AF519" s="2">
        <f t="shared" si="20"/>
      </c>
      <c r="AG519" s="2">
        <f t="shared" si="21"/>
      </c>
      <c r="AH519" s="2">
        <f t="shared" si="22"/>
      </c>
      <c r="AI519" s="2">
        <f t="shared" si="23"/>
      </c>
      <c r="AJ519" s="2">
        <f t="shared" si="24"/>
        <v>0</v>
      </c>
      <c r="AK519" s="2">
        <f t="shared" si="25"/>
        <v>0</v>
      </c>
      <c r="AL519" s="2">
        <f t="shared" si="26"/>
        <v>0</v>
      </c>
      <c r="AM519" s="2">
        <f t="shared" si="27"/>
        <v>0</v>
      </c>
      <c r="AN519" s="2">
        <f t="shared" si="28"/>
        <v>0</v>
      </c>
      <c r="AO519" s="2">
        <f t="shared" si="29"/>
      </c>
      <c r="AP519" s="2">
        <f t="shared" si="30"/>
      </c>
      <c r="AQ519" s="2">
        <f t="shared" si="31"/>
      </c>
    </row>
    <row r="520">
      <c r="A520" s="43">
        <f t="shared" si="3"/>
      </c>
      <c r="B520" s="44" t="n"/>
      <c r="C520" s="45" t="n"/>
      <c r="D520" s="46" t="n"/>
      <c r="E520" s="47" t="n"/>
      <c r="F520" s="47" t="n"/>
      <c r="G520" s="48">
        <f t="shared" si="4"/>
      </c>
      <c r="H520" s="43">
        <f t="shared" si="0"/>
      </c>
      <c r="I520" s="43">
        <f t="shared" si="5"/>
      </c>
      <c r="J520" s="43">
        <f t="shared" si="1"/>
      </c>
      <c r="K520" s="49">
        <f t="shared" si="2"/>
      </c>
      <c r="L520" s="45" t="n"/>
      <c r="M520" s="45" t="n"/>
      <c r="N520" s="45" t="n"/>
      <c r="O520" s="45" t="n"/>
      <c r="P520" s="50" t="n"/>
      <c r="R520" s="2">
        <f t="shared" si="6"/>
        <v>0</v>
      </c>
      <c r="S520" s="2">
        <f t="shared" si="7"/>
      </c>
      <c r="T520" s="2">
        <f t="shared" si="8"/>
      </c>
      <c r="U520" s="2">
        <f t="shared" si="9"/>
      </c>
      <c r="V520" s="2">
        <f t="shared" si="10"/>
      </c>
      <c r="W520" s="2">
        <f t="shared" si="11"/>
      </c>
      <c r="X520" s="2">
        <f t="shared" si="12"/>
      </c>
      <c r="Y520" s="2">
        <f t="shared" si="13"/>
        <v>0</v>
      </c>
      <c r="Z520" s="2">
        <f t="shared" si="14"/>
      </c>
      <c r="AA520" s="2">
        <f t="shared" si="15"/>
        <v>0</v>
      </c>
      <c r="AB520" s="2">
        <f t="shared" si="16"/>
      </c>
      <c r="AC520" s="2">
        <f t="shared" si="17"/>
      </c>
      <c r="AD520" s="2">
        <f t="shared" si="18"/>
      </c>
      <c r="AE520" s="2">
        <f t="shared" si="19"/>
      </c>
      <c r="AF520" s="2">
        <f t="shared" si="20"/>
      </c>
      <c r="AG520" s="2">
        <f t="shared" si="21"/>
      </c>
      <c r="AH520" s="2">
        <f t="shared" si="22"/>
      </c>
      <c r="AI520" s="2">
        <f t="shared" si="23"/>
      </c>
      <c r="AJ520" s="2">
        <f t="shared" si="24"/>
        <v>0</v>
      </c>
      <c r="AK520" s="2">
        <f t="shared" si="25"/>
        <v>0</v>
      </c>
      <c r="AL520" s="2">
        <f t="shared" si="26"/>
        <v>0</v>
      </c>
      <c r="AM520" s="2">
        <f t="shared" si="27"/>
        <v>0</v>
      </c>
      <c r="AN520" s="2">
        <f t="shared" si="28"/>
        <v>0</v>
      </c>
      <c r="AO520" s="2">
        <f t="shared" si="29"/>
      </c>
      <c r="AP520" s="2">
        <f t="shared" si="30"/>
      </c>
      <c r="AQ520" s="2">
        <f t="shared" si="31"/>
      </c>
    </row>
    <row r="521">
      <c r="A521" s="43">
        <f t="shared" si="3"/>
      </c>
      <c r="B521" s="44" t="n"/>
      <c r="C521" s="45" t="n"/>
      <c r="D521" s="46" t="n"/>
      <c r="E521" s="47" t="n"/>
      <c r="F521" s="47" t="n"/>
      <c r="G521" s="48">
        <f t="shared" si="4"/>
      </c>
      <c r="H521" s="43">
        <f t="shared" si="0"/>
      </c>
      <c r="I521" s="43">
        <f t="shared" si="5"/>
      </c>
      <c r="J521" s="43">
        <f t="shared" si="1"/>
      </c>
      <c r="K521" s="49">
        <f t="shared" si="2"/>
      </c>
      <c r="L521" s="45" t="n"/>
      <c r="M521" s="45" t="n"/>
      <c r="N521" s="45" t="n"/>
      <c r="O521" s="45" t="n"/>
      <c r="P521" s="50" t="n"/>
      <c r="R521" s="2">
        <f t="shared" si="6"/>
        <v>0</v>
      </c>
      <c r="S521" s="2">
        <f t="shared" si="7"/>
      </c>
      <c r="T521" s="2">
        <f t="shared" si="8"/>
      </c>
      <c r="U521" s="2">
        <f t="shared" si="9"/>
      </c>
      <c r="V521" s="2">
        <f t="shared" si="10"/>
      </c>
      <c r="W521" s="2">
        <f t="shared" si="11"/>
      </c>
      <c r="X521" s="2">
        <f t="shared" si="12"/>
      </c>
      <c r="Y521" s="2">
        <f t="shared" si="13"/>
        <v>0</v>
      </c>
      <c r="Z521" s="2">
        <f t="shared" si="14"/>
      </c>
      <c r="AA521" s="2">
        <f t="shared" si="15"/>
        <v>0</v>
      </c>
      <c r="AB521" s="2">
        <f t="shared" si="16"/>
      </c>
      <c r="AC521" s="2">
        <f t="shared" si="17"/>
      </c>
      <c r="AD521" s="2">
        <f t="shared" si="18"/>
      </c>
      <c r="AE521" s="2">
        <f t="shared" si="19"/>
      </c>
      <c r="AF521" s="2">
        <f t="shared" si="20"/>
      </c>
      <c r="AG521" s="2">
        <f t="shared" si="21"/>
      </c>
      <c r="AH521" s="2">
        <f t="shared" si="22"/>
      </c>
      <c r="AI521" s="2">
        <f t="shared" si="23"/>
      </c>
      <c r="AJ521" s="2">
        <f t="shared" si="24"/>
        <v>0</v>
      </c>
      <c r="AK521" s="2">
        <f t="shared" si="25"/>
        <v>0</v>
      </c>
      <c r="AL521" s="2">
        <f t="shared" si="26"/>
        <v>0</v>
      </c>
      <c r="AM521" s="2">
        <f t="shared" si="27"/>
        <v>0</v>
      </c>
      <c r="AN521" s="2">
        <f t="shared" si="28"/>
        <v>0</v>
      </c>
      <c r="AO521" s="2">
        <f t="shared" si="29"/>
      </c>
      <c r="AP521" s="2">
        <f t="shared" si="30"/>
      </c>
      <c r="AQ521" s="2">
        <f t="shared" si="31"/>
      </c>
    </row>
    <row r="522">
      <c r="A522" s="43">
        <f t="shared" si="3"/>
      </c>
      <c r="B522" s="44" t="n"/>
      <c r="C522" s="45" t="n"/>
      <c r="D522" s="46" t="n"/>
      <c r="E522" s="47" t="n"/>
      <c r="F522" s="47" t="n"/>
      <c r="G522" s="48">
        <f t="shared" si="4"/>
      </c>
      <c r="H522" s="43">
        <f t="shared" si="0"/>
      </c>
      <c r="I522" s="43">
        <f t="shared" si="5"/>
      </c>
      <c r="J522" s="43">
        <f t="shared" si="1"/>
      </c>
      <c r="K522" s="49">
        <f t="shared" si="2"/>
      </c>
      <c r="L522" s="45" t="n"/>
      <c r="M522" s="45" t="n"/>
      <c r="N522" s="45" t="n"/>
      <c r="O522" s="45" t="n"/>
      <c r="P522" s="50" t="n"/>
      <c r="R522" s="2">
        <f t="shared" si="6"/>
        <v>0</v>
      </c>
      <c r="S522" s="2">
        <f t="shared" si="7"/>
      </c>
      <c r="T522" s="2">
        <f t="shared" si="8"/>
      </c>
      <c r="U522" s="2">
        <f t="shared" si="9"/>
      </c>
      <c r="V522" s="2">
        <f t="shared" si="10"/>
      </c>
      <c r="W522" s="2">
        <f t="shared" si="11"/>
      </c>
      <c r="X522" s="2">
        <f t="shared" si="12"/>
      </c>
      <c r="Y522" s="2">
        <f t="shared" si="13"/>
        <v>0</v>
      </c>
      <c r="Z522" s="2">
        <f t="shared" si="14"/>
      </c>
      <c r="AA522" s="2">
        <f t="shared" si="15"/>
        <v>0</v>
      </c>
      <c r="AB522" s="2">
        <f t="shared" si="16"/>
      </c>
      <c r="AC522" s="2">
        <f t="shared" si="17"/>
      </c>
      <c r="AD522" s="2">
        <f t="shared" si="18"/>
      </c>
      <c r="AE522" s="2">
        <f t="shared" si="19"/>
      </c>
      <c r="AF522" s="2">
        <f t="shared" si="20"/>
      </c>
      <c r="AG522" s="2">
        <f t="shared" si="21"/>
      </c>
      <c r="AH522" s="2">
        <f t="shared" si="22"/>
      </c>
      <c r="AI522" s="2">
        <f t="shared" si="23"/>
      </c>
      <c r="AJ522" s="2">
        <f t="shared" si="24"/>
        <v>0</v>
      </c>
      <c r="AK522" s="2">
        <f t="shared" si="25"/>
        <v>0</v>
      </c>
      <c r="AL522" s="2">
        <f t="shared" si="26"/>
        <v>0</v>
      </c>
      <c r="AM522" s="2">
        <f t="shared" si="27"/>
        <v>0</v>
      </c>
      <c r="AN522" s="2">
        <f t="shared" si="28"/>
        <v>0</v>
      </c>
      <c r="AO522" s="2">
        <f t="shared" si="29"/>
      </c>
      <c r="AP522" s="2">
        <f t="shared" si="30"/>
      </c>
      <c r="AQ522" s="2">
        <f t="shared" si="31"/>
      </c>
    </row>
    <row r="523">
      <c r="A523" s="43">
        <f t="shared" si="3"/>
      </c>
      <c r="B523" s="44" t="n"/>
      <c r="C523" s="45" t="n"/>
      <c r="D523" s="46" t="n"/>
      <c r="E523" s="47" t="n"/>
      <c r="F523" s="47" t="n"/>
      <c r="G523" s="48">
        <f t="shared" si="4"/>
      </c>
      <c r="H523" s="43">
        <f t="shared" si="0"/>
      </c>
      <c r="I523" s="43">
        <f t="shared" si="5"/>
      </c>
      <c r="J523" s="43">
        <f t="shared" si="1"/>
      </c>
      <c r="K523" s="49">
        <f t="shared" si="2"/>
      </c>
      <c r="L523" s="45" t="n"/>
      <c r="M523" s="45" t="n"/>
      <c r="N523" s="45" t="n"/>
      <c r="O523" s="45" t="n"/>
      <c r="P523" s="50" t="n"/>
      <c r="R523" s="2">
        <f t="shared" si="6"/>
        <v>0</v>
      </c>
      <c r="S523" s="2">
        <f t="shared" si="7"/>
      </c>
      <c r="T523" s="2">
        <f t="shared" si="8"/>
      </c>
      <c r="U523" s="2">
        <f t="shared" si="9"/>
      </c>
      <c r="V523" s="2">
        <f t="shared" si="10"/>
      </c>
      <c r="W523" s="2">
        <f t="shared" si="11"/>
      </c>
      <c r="X523" s="2">
        <f t="shared" si="12"/>
      </c>
      <c r="Y523" s="2">
        <f t="shared" si="13"/>
        <v>0</v>
      </c>
      <c r="Z523" s="2">
        <f t="shared" si="14"/>
      </c>
      <c r="AA523" s="2">
        <f t="shared" si="15"/>
        <v>0</v>
      </c>
      <c r="AB523" s="2">
        <f t="shared" si="16"/>
      </c>
      <c r="AC523" s="2">
        <f t="shared" si="17"/>
      </c>
      <c r="AD523" s="2">
        <f t="shared" si="18"/>
      </c>
      <c r="AE523" s="2">
        <f t="shared" si="19"/>
      </c>
      <c r="AF523" s="2">
        <f t="shared" si="20"/>
      </c>
      <c r="AG523" s="2">
        <f t="shared" si="21"/>
      </c>
      <c r="AH523" s="2">
        <f t="shared" si="22"/>
      </c>
      <c r="AI523" s="2">
        <f t="shared" si="23"/>
      </c>
      <c r="AJ523" s="2">
        <f t="shared" si="24"/>
        <v>0</v>
      </c>
      <c r="AK523" s="2">
        <f t="shared" si="25"/>
        <v>0</v>
      </c>
      <c r="AL523" s="2">
        <f t="shared" si="26"/>
        <v>0</v>
      </c>
      <c r="AM523" s="2">
        <f t="shared" si="27"/>
        <v>0</v>
      </c>
      <c r="AN523" s="2">
        <f t="shared" si="28"/>
        <v>0</v>
      </c>
      <c r="AO523" s="2">
        <f t="shared" si="29"/>
      </c>
      <c r="AP523" s="2">
        <f t="shared" si="30"/>
      </c>
      <c r="AQ523" s="2">
        <f t="shared" si="31"/>
      </c>
    </row>
    <row r="524">
      <c r="A524" s="43">
        <f t="shared" si="3"/>
      </c>
      <c r="B524" s="44" t="n"/>
      <c r="C524" s="45" t="n"/>
      <c r="D524" s="46" t="n"/>
      <c r="E524" s="47" t="n"/>
      <c r="F524" s="47" t="n"/>
      <c r="G524" s="48">
        <f t="shared" si="4"/>
      </c>
      <c r="H524" s="43">
        <f t="shared" si="0"/>
      </c>
      <c r="I524" s="43">
        <f t="shared" si="5"/>
      </c>
      <c r="J524" s="43">
        <f t="shared" si="1"/>
      </c>
      <c r="K524" s="49">
        <f t="shared" si="2"/>
      </c>
      <c r="L524" s="45" t="n"/>
      <c r="M524" s="45" t="n"/>
      <c r="N524" s="45" t="n"/>
      <c r="O524" s="45" t="n"/>
      <c r="P524" s="50" t="n"/>
      <c r="R524" s="2">
        <f t="shared" si="6"/>
        <v>0</v>
      </c>
      <c r="S524" s="2">
        <f t="shared" si="7"/>
      </c>
      <c r="T524" s="2">
        <f t="shared" si="8"/>
      </c>
      <c r="U524" s="2">
        <f t="shared" si="9"/>
      </c>
      <c r="V524" s="2">
        <f t="shared" si="10"/>
      </c>
      <c r="W524" s="2">
        <f t="shared" si="11"/>
      </c>
      <c r="X524" s="2">
        <f t="shared" si="12"/>
      </c>
      <c r="Y524" s="2">
        <f t="shared" si="13"/>
        <v>0</v>
      </c>
      <c r="Z524" s="2">
        <f t="shared" si="14"/>
      </c>
      <c r="AA524" s="2">
        <f t="shared" si="15"/>
        <v>0</v>
      </c>
      <c r="AB524" s="2">
        <f t="shared" si="16"/>
      </c>
      <c r="AC524" s="2">
        <f t="shared" si="17"/>
      </c>
      <c r="AD524" s="2">
        <f t="shared" si="18"/>
      </c>
      <c r="AE524" s="2">
        <f t="shared" si="19"/>
      </c>
      <c r="AF524" s="2">
        <f t="shared" si="20"/>
      </c>
      <c r="AG524" s="2">
        <f t="shared" si="21"/>
      </c>
      <c r="AH524" s="2">
        <f t="shared" si="22"/>
      </c>
      <c r="AI524" s="2">
        <f t="shared" si="23"/>
      </c>
      <c r="AJ524" s="2">
        <f t="shared" si="24"/>
        <v>0</v>
      </c>
      <c r="AK524" s="2">
        <f t="shared" si="25"/>
        <v>0</v>
      </c>
      <c r="AL524" s="2">
        <f t="shared" si="26"/>
        <v>0</v>
      </c>
      <c r="AM524" s="2">
        <f t="shared" si="27"/>
        <v>0</v>
      </c>
      <c r="AN524" s="2">
        <f t="shared" si="28"/>
        <v>0</v>
      </c>
      <c r="AO524" s="2">
        <f t="shared" si="29"/>
      </c>
      <c r="AP524" s="2">
        <f t="shared" si="30"/>
      </c>
      <c r="AQ524" s="2">
        <f t="shared" si="31"/>
      </c>
    </row>
    <row r="525">
      <c r="A525" s="43">
        <f t="shared" si="3"/>
      </c>
      <c r="B525" s="44" t="n"/>
      <c r="C525" s="45" t="n"/>
      <c r="D525" s="46" t="n"/>
      <c r="E525" s="47" t="n"/>
      <c r="F525" s="47" t="n"/>
      <c r="G525" s="48">
        <f t="shared" si="4"/>
      </c>
      <c r="H525" s="43">
        <f t="shared" si="0"/>
      </c>
      <c r="I525" s="43">
        <f t="shared" si="5"/>
      </c>
      <c r="J525" s="43">
        <f t="shared" si="1"/>
      </c>
      <c r="K525" s="49">
        <f t="shared" si="2"/>
      </c>
      <c r="L525" s="45" t="n"/>
      <c r="M525" s="45" t="n"/>
      <c r="N525" s="45" t="n"/>
      <c r="O525" s="45" t="n"/>
      <c r="P525" s="50" t="n"/>
      <c r="R525" s="2">
        <f t="shared" si="6"/>
        <v>0</v>
      </c>
      <c r="S525" s="2">
        <f t="shared" si="7"/>
      </c>
      <c r="T525" s="2">
        <f t="shared" si="8"/>
      </c>
      <c r="U525" s="2">
        <f t="shared" si="9"/>
      </c>
      <c r="V525" s="2">
        <f t="shared" si="10"/>
      </c>
      <c r="W525" s="2">
        <f t="shared" si="11"/>
      </c>
      <c r="X525" s="2">
        <f t="shared" si="12"/>
      </c>
      <c r="Y525" s="2">
        <f t="shared" si="13"/>
        <v>0</v>
      </c>
      <c r="Z525" s="2">
        <f t="shared" si="14"/>
      </c>
      <c r="AA525" s="2">
        <f t="shared" si="15"/>
        <v>0</v>
      </c>
      <c r="AB525" s="2">
        <f t="shared" si="16"/>
      </c>
      <c r="AC525" s="2">
        <f t="shared" si="17"/>
      </c>
      <c r="AD525" s="2">
        <f t="shared" si="18"/>
      </c>
      <c r="AE525" s="2">
        <f t="shared" si="19"/>
      </c>
      <c r="AF525" s="2">
        <f t="shared" si="20"/>
      </c>
      <c r="AG525" s="2">
        <f t="shared" si="21"/>
      </c>
      <c r="AH525" s="2">
        <f t="shared" si="22"/>
      </c>
      <c r="AI525" s="2">
        <f t="shared" si="23"/>
      </c>
      <c r="AJ525" s="2">
        <f t="shared" si="24"/>
        <v>0</v>
      </c>
      <c r="AK525" s="2">
        <f t="shared" si="25"/>
        <v>0</v>
      </c>
      <c r="AL525" s="2">
        <f t="shared" si="26"/>
        <v>0</v>
      </c>
      <c r="AM525" s="2">
        <f t="shared" si="27"/>
        <v>0</v>
      </c>
      <c r="AN525" s="2">
        <f t="shared" si="28"/>
        <v>0</v>
      </c>
      <c r="AO525" s="2">
        <f t="shared" si="29"/>
      </c>
      <c r="AP525" s="2">
        <f t="shared" si="30"/>
      </c>
      <c r="AQ525" s="2">
        <f t="shared" si="31"/>
      </c>
    </row>
    <row r="526">
      <c r="A526" s="43">
        <f t="shared" si="3"/>
      </c>
      <c r="B526" s="44" t="n"/>
      <c r="C526" s="45" t="n"/>
      <c r="D526" s="46" t="n"/>
      <c r="E526" s="47" t="n"/>
      <c r="F526" s="47" t="n"/>
      <c r="G526" s="48">
        <f t="shared" si="4"/>
      </c>
      <c r="H526" s="43">
        <f t="shared" si="0"/>
      </c>
      <c r="I526" s="43">
        <f t="shared" si="5"/>
      </c>
      <c r="J526" s="43">
        <f t="shared" si="1"/>
      </c>
      <c r="K526" s="49">
        <f t="shared" si="2"/>
      </c>
      <c r="L526" s="45" t="n"/>
      <c r="M526" s="45" t="n"/>
      <c r="N526" s="45" t="n"/>
      <c r="O526" s="45" t="n"/>
      <c r="P526" s="50" t="n"/>
      <c r="R526" s="2">
        <f t="shared" si="6"/>
        <v>0</v>
      </c>
      <c r="S526" s="2">
        <f t="shared" si="7"/>
      </c>
      <c r="T526" s="2">
        <f t="shared" si="8"/>
      </c>
      <c r="U526" s="2">
        <f t="shared" si="9"/>
      </c>
      <c r="V526" s="2">
        <f t="shared" si="10"/>
      </c>
      <c r="W526" s="2">
        <f t="shared" si="11"/>
      </c>
      <c r="X526" s="2">
        <f t="shared" si="12"/>
      </c>
      <c r="Y526" s="2">
        <f t="shared" si="13"/>
        <v>0</v>
      </c>
      <c r="Z526" s="2">
        <f t="shared" si="14"/>
      </c>
      <c r="AA526" s="2">
        <f t="shared" si="15"/>
        <v>0</v>
      </c>
      <c r="AB526" s="2">
        <f t="shared" si="16"/>
      </c>
      <c r="AC526" s="2">
        <f t="shared" si="17"/>
      </c>
      <c r="AD526" s="2">
        <f t="shared" si="18"/>
      </c>
      <c r="AE526" s="2">
        <f t="shared" si="19"/>
      </c>
      <c r="AF526" s="2">
        <f t="shared" si="20"/>
      </c>
      <c r="AG526" s="2">
        <f t="shared" si="21"/>
      </c>
      <c r="AH526" s="2">
        <f t="shared" si="22"/>
      </c>
      <c r="AI526" s="2">
        <f t="shared" si="23"/>
      </c>
      <c r="AJ526" s="2">
        <f t="shared" si="24"/>
        <v>0</v>
      </c>
      <c r="AK526" s="2">
        <f t="shared" si="25"/>
        <v>0</v>
      </c>
      <c r="AL526" s="2">
        <f t="shared" si="26"/>
        <v>0</v>
      </c>
      <c r="AM526" s="2">
        <f t="shared" si="27"/>
        <v>0</v>
      </c>
      <c r="AN526" s="2">
        <f t="shared" si="28"/>
        <v>0</v>
      </c>
      <c r="AO526" s="2">
        <f t="shared" si="29"/>
      </c>
      <c r="AP526" s="2">
        <f t="shared" si="30"/>
      </c>
      <c r="AQ526" s="2">
        <f t="shared" si="31"/>
      </c>
    </row>
    <row r="527">
      <c r="A527" s="43">
        <f t="shared" si="3"/>
      </c>
      <c r="B527" s="44" t="n"/>
      <c r="C527" s="45" t="n"/>
      <c r="D527" s="46" t="n"/>
      <c r="E527" s="47" t="n"/>
      <c r="F527" s="47" t="n"/>
      <c r="G527" s="48">
        <f t="shared" si="4"/>
      </c>
      <c r="H527" s="43">
        <f t="shared" si="0"/>
      </c>
      <c r="I527" s="43">
        <f t="shared" si="5"/>
      </c>
      <c r="J527" s="43">
        <f t="shared" si="1"/>
      </c>
      <c r="K527" s="49">
        <f t="shared" si="2"/>
      </c>
      <c r="L527" s="45" t="n"/>
      <c r="M527" s="45" t="n"/>
      <c r="N527" s="45" t="n"/>
      <c r="O527" s="45" t="n"/>
      <c r="P527" s="50" t="n"/>
      <c r="R527" s="2">
        <f t="shared" si="6"/>
        <v>0</v>
      </c>
      <c r="S527" s="2">
        <f t="shared" si="7"/>
      </c>
      <c r="T527" s="2">
        <f t="shared" si="8"/>
      </c>
      <c r="U527" s="2">
        <f t="shared" si="9"/>
      </c>
      <c r="V527" s="2">
        <f t="shared" si="10"/>
      </c>
      <c r="W527" s="2">
        <f t="shared" si="11"/>
      </c>
      <c r="X527" s="2">
        <f t="shared" si="12"/>
      </c>
      <c r="Y527" s="2">
        <f t="shared" si="13"/>
        <v>0</v>
      </c>
      <c r="Z527" s="2">
        <f t="shared" si="14"/>
      </c>
      <c r="AA527" s="2">
        <f t="shared" si="15"/>
        <v>0</v>
      </c>
      <c r="AB527" s="2">
        <f t="shared" si="16"/>
      </c>
      <c r="AC527" s="2">
        <f t="shared" si="17"/>
      </c>
      <c r="AD527" s="2">
        <f t="shared" si="18"/>
      </c>
      <c r="AE527" s="2">
        <f t="shared" si="19"/>
      </c>
      <c r="AF527" s="2">
        <f t="shared" si="20"/>
      </c>
      <c r="AG527" s="2">
        <f t="shared" si="21"/>
      </c>
      <c r="AH527" s="2">
        <f t="shared" si="22"/>
      </c>
      <c r="AI527" s="2">
        <f t="shared" si="23"/>
      </c>
      <c r="AJ527" s="2">
        <f t="shared" si="24"/>
        <v>0</v>
      </c>
      <c r="AK527" s="2">
        <f t="shared" si="25"/>
        <v>0</v>
      </c>
      <c r="AL527" s="2">
        <f t="shared" si="26"/>
        <v>0</v>
      </c>
      <c r="AM527" s="2">
        <f t="shared" si="27"/>
        <v>0</v>
      </c>
      <c r="AN527" s="2">
        <f t="shared" si="28"/>
        <v>0</v>
      </c>
      <c r="AO527" s="2">
        <f t="shared" si="29"/>
      </c>
      <c r="AP527" s="2">
        <f t="shared" si="30"/>
      </c>
      <c r="AQ527" s="2">
        <f t="shared" si="31"/>
      </c>
    </row>
    <row r="528">
      <c r="A528" s="43">
        <f t="shared" si="3"/>
      </c>
      <c r="B528" s="44" t="n"/>
      <c r="C528" s="45" t="n"/>
      <c r="D528" s="46" t="n"/>
      <c r="E528" s="47" t="n"/>
      <c r="F528" s="47" t="n"/>
      <c r="G528" s="48">
        <f t="shared" si="4"/>
      </c>
      <c r="H528" s="43">
        <f t="shared" si="0"/>
      </c>
      <c r="I528" s="43">
        <f t="shared" si="5"/>
      </c>
      <c r="J528" s="43">
        <f t="shared" si="1"/>
      </c>
      <c r="K528" s="49">
        <f t="shared" si="2"/>
      </c>
      <c r="L528" s="45" t="n"/>
      <c r="M528" s="45" t="n"/>
      <c r="N528" s="45" t="n"/>
      <c r="O528" s="45" t="n"/>
      <c r="P528" s="50" t="n"/>
      <c r="R528" s="2">
        <f t="shared" si="6"/>
        <v>0</v>
      </c>
      <c r="S528" s="2">
        <f t="shared" si="7"/>
      </c>
      <c r="T528" s="2">
        <f t="shared" si="8"/>
      </c>
      <c r="U528" s="2">
        <f t="shared" si="9"/>
      </c>
      <c r="V528" s="2">
        <f t="shared" si="10"/>
      </c>
      <c r="W528" s="2">
        <f t="shared" si="11"/>
      </c>
      <c r="X528" s="2">
        <f t="shared" si="12"/>
      </c>
      <c r="Y528" s="2">
        <f t="shared" si="13"/>
        <v>0</v>
      </c>
      <c r="Z528" s="2">
        <f t="shared" si="14"/>
      </c>
      <c r="AA528" s="2">
        <f t="shared" si="15"/>
        <v>0</v>
      </c>
      <c r="AB528" s="2">
        <f t="shared" si="16"/>
      </c>
      <c r="AC528" s="2">
        <f t="shared" si="17"/>
      </c>
      <c r="AD528" s="2">
        <f t="shared" si="18"/>
      </c>
      <c r="AE528" s="2">
        <f t="shared" si="19"/>
      </c>
      <c r="AF528" s="2">
        <f t="shared" si="20"/>
      </c>
      <c r="AG528" s="2">
        <f t="shared" si="21"/>
      </c>
      <c r="AH528" s="2">
        <f t="shared" si="22"/>
      </c>
      <c r="AI528" s="2">
        <f t="shared" si="23"/>
      </c>
      <c r="AJ528" s="2">
        <f t="shared" si="24"/>
        <v>0</v>
      </c>
      <c r="AK528" s="2">
        <f t="shared" si="25"/>
        <v>0</v>
      </c>
      <c r="AL528" s="2">
        <f t="shared" si="26"/>
        <v>0</v>
      </c>
      <c r="AM528" s="2">
        <f t="shared" si="27"/>
        <v>0</v>
      </c>
      <c r="AN528" s="2">
        <f t="shared" si="28"/>
        <v>0</v>
      </c>
      <c r="AO528" s="2">
        <f t="shared" si="29"/>
      </c>
      <c r="AP528" s="2">
        <f t="shared" si="30"/>
      </c>
      <c r="AQ528" s="2">
        <f t="shared" si="31"/>
      </c>
    </row>
    <row r="529">
      <c r="A529" s="43">
        <f t="shared" si="3"/>
      </c>
      <c r="B529" s="44" t="n"/>
      <c r="C529" s="45" t="n"/>
      <c r="D529" s="46" t="n"/>
      <c r="E529" s="47" t="n"/>
      <c r="F529" s="47" t="n"/>
      <c r="G529" s="48">
        <f t="shared" si="4"/>
      </c>
      <c r="H529" s="43">
        <f t="shared" si="0"/>
      </c>
      <c r="I529" s="43">
        <f t="shared" si="5"/>
      </c>
      <c r="J529" s="43">
        <f t="shared" si="1"/>
      </c>
      <c r="K529" s="49">
        <f t="shared" si="2"/>
      </c>
      <c r="L529" s="45" t="n"/>
      <c r="M529" s="45" t="n"/>
      <c r="N529" s="45" t="n"/>
      <c r="O529" s="45" t="n"/>
      <c r="P529" s="50" t="n"/>
      <c r="R529" s="2">
        <f t="shared" si="6"/>
        <v>0</v>
      </c>
      <c r="S529" s="2">
        <f t="shared" si="7"/>
      </c>
      <c r="T529" s="2">
        <f t="shared" si="8"/>
      </c>
      <c r="U529" s="2">
        <f t="shared" si="9"/>
      </c>
      <c r="V529" s="2">
        <f t="shared" si="10"/>
      </c>
      <c r="W529" s="2">
        <f t="shared" si="11"/>
      </c>
      <c r="X529" s="2">
        <f t="shared" si="12"/>
      </c>
      <c r="Y529" s="2">
        <f t="shared" si="13"/>
        <v>0</v>
      </c>
      <c r="Z529" s="2">
        <f t="shared" si="14"/>
      </c>
      <c r="AA529" s="2">
        <f t="shared" si="15"/>
        <v>0</v>
      </c>
      <c r="AB529" s="2">
        <f t="shared" si="16"/>
      </c>
      <c r="AC529" s="2">
        <f t="shared" si="17"/>
      </c>
      <c r="AD529" s="2">
        <f t="shared" si="18"/>
      </c>
      <c r="AE529" s="2">
        <f t="shared" si="19"/>
      </c>
      <c r="AF529" s="2">
        <f t="shared" si="20"/>
      </c>
      <c r="AG529" s="2">
        <f t="shared" si="21"/>
      </c>
      <c r="AH529" s="2">
        <f t="shared" si="22"/>
      </c>
      <c r="AI529" s="2">
        <f t="shared" si="23"/>
      </c>
      <c r="AJ529" s="2">
        <f t="shared" si="24"/>
        <v>0</v>
      </c>
      <c r="AK529" s="2">
        <f t="shared" si="25"/>
        <v>0</v>
      </c>
      <c r="AL529" s="2">
        <f t="shared" si="26"/>
        <v>0</v>
      </c>
      <c r="AM529" s="2">
        <f t="shared" si="27"/>
        <v>0</v>
      </c>
      <c r="AN529" s="2">
        <f t="shared" si="28"/>
        <v>0</v>
      </c>
      <c r="AO529" s="2">
        <f t="shared" si="29"/>
      </c>
      <c r="AP529" s="2">
        <f t="shared" si="30"/>
      </c>
      <c r="AQ529" s="2">
        <f t="shared" si="31"/>
      </c>
    </row>
    <row r="530">
      <c r="A530" s="43">
        <f t="shared" si="3"/>
      </c>
      <c r="B530" s="44" t="n"/>
      <c r="C530" s="45" t="n"/>
      <c r="D530" s="46" t="n"/>
      <c r="E530" s="47" t="n"/>
      <c r="F530" s="47" t="n"/>
      <c r="G530" s="48">
        <f t="shared" si="4"/>
      </c>
      <c r="H530" s="43">
        <f t="shared" si="0"/>
      </c>
      <c r="I530" s="43">
        <f t="shared" si="5"/>
      </c>
      <c r="J530" s="43">
        <f t="shared" si="1"/>
      </c>
      <c r="K530" s="49">
        <f t="shared" si="2"/>
      </c>
      <c r="L530" s="45" t="n"/>
      <c r="M530" s="45" t="n"/>
      <c r="N530" s="45" t="n"/>
      <c r="O530" s="45" t="n"/>
      <c r="P530" s="50" t="n"/>
      <c r="R530" s="2">
        <f t="shared" si="6"/>
        <v>0</v>
      </c>
      <c r="S530" s="2">
        <f t="shared" si="7"/>
      </c>
      <c r="T530" s="2">
        <f t="shared" si="8"/>
      </c>
      <c r="U530" s="2">
        <f t="shared" si="9"/>
      </c>
      <c r="V530" s="2">
        <f t="shared" si="10"/>
      </c>
      <c r="W530" s="2">
        <f t="shared" si="11"/>
      </c>
      <c r="X530" s="2">
        <f t="shared" si="12"/>
      </c>
      <c r="Y530" s="2">
        <f t="shared" si="13"/>
        <v>0</v>
      </c>
      <c r="Z530" s="2">
        <f t="shared" si="14"/>
      </c>
      <c r="AA530" s="2">
        <f t="shared" si="15"/>
        <v>0</v>
      </c>
      <c r="AB530" s="2">
        <f t="shared" si="16"/>
      </c>
      <c r="AC530" s="2">
        <f t="shared" si="17"/>
      </c>
      <c r="AD530" s="2">
        <f t="shared" si="18"/>
      </c>
      <c r="AE530" s="2">
        <f t="shared" si="19"/>
      </c>
      <c r="AF530" s="2">
        <f t="shared" si="20"/>
      </c>
      <c r="AG530" s="2">
        <f t="shared" si="21"/>
      </c>
      <c r="AH530" s="2">
        <f t="shared" si="22"/>
      </c>
      <c r="AI530" s="2">
        <f t="shared" si="23"/>
      </c>
      <c r="AJ530" s="2">
        <f t="shared" si="24"/>
        <v>0</v>
      </c>
      <c r="AK530" s="2">
        <f t="shared" si="25"/>
        <v>0</v>
      </c>
      <c r="AL530" s="2">
        <f t="shared" si="26"/>
        <v>0</v>
      </c>
      <c r="AM530" s="2">
        <f t="shared" si="27"/>
        <v>0</v>
      </c>
      <c r="AN530" s="2">
        <f t="shared" si="28"/>
        <v>0</v>
      </c>
      <c r="AO530" s="2">
        <f t="shared" si="29"/>
      </c>
      <c r="AP530" s="2">
        <f t="shared" si="30"/>
      </c>
      <c r="AQ530" s="2">
        <f t="shared" si="31"/>
      </c>
    </row>
    <row r="531">
      <c r="A531" s="43">
        <f t="shared" si="3"/>
      </c>
      <c r="B531" s="44" t="n"/>
      <c r="C531" s="45" t="n"/>
      <c r="D531" s="46" t="n"/>
      <c r="E531" s="47" t="n"/>
      <c r="F531" s="47" t="n"/>
      <c r="G531" s="48">
        <f t="shared" si="4"/>
      </c>
      <c r="H531" s="43">
        <f t="shared" si="0"/>
      </c>
      <c r="I531" s="43">
        <f t="shared" si="5"/>
      </c>
      <c r="J531" s="43">
        <f t="shared" si="1"/>
      </c>
      <c r="K531" s="49">
        <f t="shared" si="2"/>
      </c>
      <c r="L531" s="45" t="n"/>
      <c r="M531" s="45" t="n"/>
      <c r="N531" s="45" t="n"/>
      <c r="O531" s="45" t="n"/>
      <c r="P531" s="50" t="n"/>
      <c r="R531" s="2">
        <f t="shared" si="6"/>
        <v>0</v>
      </c>
      <c r="S531" s="2">
        <f t="shared" si="7"/>
      </c>
      <c r="T531" s="2">
        <f t="shared" si="8"/>
      </c>
      <c r="U531" s="2">
        <f t="shared" si="9"/>
      </c>
      <c r="V531" s="2">
        <f t="shared" si="10"/>
      </c>
      <c r="W531" s="2">
        <f t="shared" si="11"/>
      </c>
      <c r="X531" s="2">
        <f t="shared" si="12"/>
      </c>
      <c r="Y531" s="2">
        <f t="shared" si="13"/>
        <v>0</v>
      </c>
      <c r="Z531" s="2">
        <f t="shared" si="14"/>
      </c>
      <c r="AA531" s="2">
        <f t="shared" si="15"/>
        <v>0</v>
      </c>
      <c r="AB531" s="2">
        <f t="shared" si="16"/>
      </c>
      <c r="AC531" s="2">
        <f t="shared" si="17"/>
      </c>
      <c r="AD531" s="2">
        <f t="shared" si="18"/>
      </c>
      <c r="AE531" s="2">
        <f t="shared" si="19"/>
      </c>
      <c r="AF531" s="2">
        <f t="shared" si="20"/>
      </c>
      <c r="AG531" s="2">
        <f t="shared" si="21"/>
      </c>
      <c r="AH531" s="2">
        <f t="shared" si="22"/>
      </c>
      <c r="AI531" s="2">
        <f t="shared" si="23"/>
      </c>
      <c r="AJ531" s="2">
        <f t="shared" si="24"/>
        <v>0</v>
      </c>
      <c r="AK531" s="2">
        <f t="shared" si="25"/>
        <v>0</v>
      </c>
      <c r="AL531" s="2">
        <f t="shared" si="26"/>
        <v>0</v>
      </c>
      <c r="AM531" s="2">
        <f t="shared" si="27"/>
        <v>0</v>
      </c>
      <c r="AN531" s="2">
        <f t="shared" si="28"/>
        <v>0</v>
      </c>
      <c r="AO531" s="2">
        <f t="shared" si="29"/>
      </c>
      <c r="AP531" s="2">
        <f t="shared" si="30"/>
      </c>
      <c r="AQ531" s="2">
        <f t="shared" si="31"/>
      </c>
    </row>
    <row r="532">
      <c r="A532" s="43">
        <f t="shared" si="3"/>
      </c>
      <c r="B532" s="44" t="n"/>
      <c r="C532" s="45" t="n"/>
      <c r="D532" s="46" t="n"/>
      <c r="E532" s="47" t="n"/>
      <c r="F532" s="47" t="n"/>
      <c r="G532" s="48">
        <f t="shared" si="4"/>
      </c>
      <c r="H532" s="43">
        <f t="shared" si="0"/>
      </c>
      <c r="I532" s="43">
        <f t="shared" si="5"/>
      </c>
      <c r="J532" s="43">
        <f t="shared" si="1"/>
      </c>
      <c r="K532" s="49">
        <f t="shared" si="2"/>
      </c>
      <c r="L532" s="45" t="n"/>
      <c r="M532" s="45" t="n"/>
      <c r="N532" s="45" t="n"/>
      <c r="O532" s="45" t="n"/>
      <c r="P532" s="50" t="n"/>
      <c r="R532" s="2">
        <f t="shared" si="6"/>
        <v>0</v>
      </c>
      <c r="S532" s="2">
        <f t="shared" si="7"/>
      </c>
      <c r="T532" s="2">
        <f t="shared" si="8"/>
      </c>
      <c r="U532" s="2">
        <f t="shared" si="9"/>
      </c>
      <c r="V532" s="2">
        <f t="shared" si="10"/>
      </c>
      <c r="W532" s="2">
        <f t="shared" si="11"/>
      </c>
      <c r="X532" s="2">
        <f t="shared" si="12"/>
      </c>
      <c r="Y532" s="2">
        <f t="shared" si="13"/>
        <v>0</v>
      </c>
      <c r="Z532" s="2">
        <f t="shared" si="14"/>
      </c>
      <c r="AA532" s="2">
        <f t="shared" si="15"/>
        <v>0</v>
      </c>
      <c r="AB532" s="2">
        <f t="shared" si="16"/>
      </c>
      <c r="AC532" s="2">
        <f t="shared" si="17"/>
      </c>
      <c r="AD532" s="2">
        <f t="shared" si="18"/>
      </c>
      <c r="AE532" s="2">
        <f t="shared" si="19"/>
      </c>
      <c r="AF532" s="2">
        <f t="shared" si="20"/>
      </c>
      <c r="AG532" s="2">
        <f t="shared" si="21"/>
      </c>
      <c r="AH532" s="2">
        <f t="shared" si="22"/>
      </c>
      <c r="AI532" s="2">
        <f t="shared" si="23"/>
      </c>
      <c r="AJ532" s="2">
        <f t="shared" si="24"/>
        <v>0</v>
      </c>
      <c r="AK532" s="2">
        <f t="shared" si="25"/>
        <v>0</v>
      </c>
      <c r="AL532" s="2">
        <f t="shared" si="26"/>
        <v>0</v>
      </c>
      <c r="AM532" s="2">
        <f t="shared" si="27"/>
        <v>0</v>
      </c>
      <c r="AN532" s="2">
        <f t="shared" si="28"/>
        <v>0</v>
      </c>
      <c r="AO532" s="2">
        <f t="shared" si="29"/>
      </c>
      <c r="AP532" s="2">
        <f t="shared" si="30"/>
      </c>
      <c r="AQ532" s="2">
        <f t="shared" si="31"/>
      </c>
    </row>
    <row r="533">
      <c r="A533" s="43">
        <f t="shared" si="3"/>
      </c>
      <c r="B533" s="44" t="n"/>
      <c r="C533" s="45" t="n"/>
      <c r="D533" s="46" t="n"/>
      <c r="E533" s="47" t="n"/>
      <c r="F533" s="47" t="n"/>
      <c r="G533" s="48">
        <f t="shared" si="4"/>
      </c>
      <c r="H533" s="43">
        <f t="shared" si="0"/>
      </c>
      <c r="I533" s="43">
        <f t="shared" si="5"/>
      </c>
      <c r="J533" s="43">
        <f t="shared" si="1"/>
      </c>
      <c r="K533" s="49">
        <f t="shared" si="2"/>
      </c>
      <c r="L533" s="45" t="n"/>
      <c r="M533" s="45" t="n"/>
      <c r="N533" s="45" t="n"/>
      <c r="O533" s="45" t="n"/>
      <c r="P533" s="50" t="n"/>
      <c r="R533" s="2">
        <f t="shared" si="6"/>
        <v>0</v>
      </c>
      <c r="S533" s="2">
        <f t="shared" si="7"/>
      </c>
      <c r="T533" s="2">
        <f t="shared" si="8"/>
      </c>
      <c r="U533" s="2">
        <f t="shared" si="9"/>
      </c>
      <c r="V533" s="2">
        <f t="shared" si="10"/>
      </c>
      <c r="W533" s="2">
        <f t="shared" si="11"/>
      </c>
      <c r="X533" s="2">
        <f t="shared" si="12"/>
      </c>
      <c r="Y533" s="2">
        <f t="shared" si="13"/>
        <v>0</v>
      </c>
      <c r="Z533" s="2">
        <f t="shared" si="14"/>
      </c>
      <c r="AA533" s="2">
        <f t="shared" si="15"/>
        <v>0</v>
      </c>
      <c r="AB533" s="2">
        <f t="shared" si="16"/>
      </c>
      <c r="AC533" s="2">
        <f t="shared" si="17"/>
      </c>
      <c r="AD533" s="2">
        <f t="shared" si="18"/>
      </c>
      <c r="AE533" s="2">
        <f t="shared" si="19"/>
      </c>
      <c r="AF533" s="2">
        <f t="shared" si="20"/>
      </c>
      <c r="AG533" s="2">
        <f t="shared" si="21"/>
      </c>
      <c r="AH533" s="2">
        <f t="shared" si="22"/>
      </c>
      <c r="AI533" s="2">
        <f t="shared" si="23"/>
      </c>
      <c r="AJ533" s="2">
        <f t="shared" si="24"/>
        <v>0</v>
      </c>
      <c r="AK533" s="2">
        <f t="shared" si="25"/>
        <v>0</v>
      </c>
      <c r="AL533" s="2">
        <f t="shared" si="26"/>
        <v>0</v>
      </c>
      <c r="AM533" s="2">
        <f t="shared" si="27"/>
        <v>0</v>
      </c>
      <c r="AN533" s="2">
        <f t="shared" si="28"/>
        <v>0</v>
      </c>
      <c r="AO533" s="2">
        <f t="shared" si="29"/>
      </c>
      <c r="AP533" s="2">
        <f t="shared" si="30"/>
      </c>
      <c r="AQ533" s="2">
        <f t="shared" si="31"/>
      </c>
    </row>
    <row r="534">
      <c r="A534" s="43">
        <f t="shared" si="3"/>
      </c>
      <c r="B534" s="44" t="n"/>
      <c r="C534" s="45" t="n"/>
      <c r="D534" s="46" t="n"/>
      <c r="E534" s="47" t="n"/>
      <c r="F534" s="47" t="n"/>
      <c r="G534" s="48">
        <f t="shared" si="4"/>
      </c>
      <c r="H534" s="43">
        <f t="shared" si="0"/>
      </c>
      <c r="I534" s="43">
        <f t="shared" si="5"/>
      </c>
      <c r="J534" s="43">
        <f t="shared" si="1"/>
      </c>
      <c r="K534" s="49">
        <f t="shared" si="2"/>
      </c>
      <c r="L534" s="45" t="n"/>
      <c r="M534" s="45" t="n"/>
      <c r="N534" s="45" t="n"/>
      <c r="O534" s="45" t="n"/>
      <c r="P534" s="50" t="n"/>
      <c r="R534" s="2">
        <f t="shared" si="6"/>
        <v>0</v>
      </c>
      <c r="S534" s="2">
        <f t="shared" si="7"/>
      </c>
      <c r="T534" s="2">
        <f t="shared" si="8"/>
      </c>
      <c r="U534" s="2">
        <f t="shared" si="9"/>
      </c>
      <c r="V534" s="2">
        <f t="shared" si="10"/>
      </c>
      <c r="W534" s="2">
        <f t="shared" si="11"/>
      </c>
      <c r="X534" s="2">
        <f t="shared" si="12"/>
      </c>
      <c r="Y534" s="2">
        <f t="shared" si="13"/>
        <v>0</v>
      </c>
      <c r="Z534" s="2">
        <f t="shared" si="14"/>
      </c>
      <c r="AA534" s="2">
        <f t="shared" si="15"/>
        <v>0</v>
      </c>
      <c r="AB534" s="2">
        <f t="shared" si="16"/>
      </c>
      <c r="AC534" s="2">
        <f t="shared" si="17"/>
      </c>
      <c r="AD534" s="2">
        <f t="shared" si="18"/>
      </c>
      <c r="AE534" s="2">
        <f t="shared" si="19"/>
      </c>
      <c r="AF534" s="2">
        <f t="shared" si="20"/>
      </c>
      <c r="AG534" s="2">
        <f t="shared" si="21"/>
      </c>
      <c r="AH534" s="2">
        <f t="shared" si="22"/>
      </c>
      <c r="AI534" s="2">
        <f t="shared" si="23"/>
      </c>
      <c r="AJ534" s="2">
        <f t="shared" si="24"/>
        <v>0</v>
      </c>
      <c r="AK534" s="2">
        <f t="shared" si="25"/>
        <v>0</v>
      </c>
      <c r="AL534" s="2">
        <f t="shared" si="26"/>
        <v>0</v>
      </c>
      <c r="AM534" s="2">
        <f t="shared" si="27"/>
        <v>0</v>
      </c>
      <c r="AN534" s="2">
        <f t="shared" si="28"/>
        <v>0</v>
      </c>
      <c r="AO534" s="2">
        <f t="shared" si="29"/>
      </c>
      <c r="AP534" s="2">
        <f t="shared" si="30"/>
      </c>
      <c r="AQ534" s="2">
        <f t="shared" si="31"/>
      </c>
    </row>
    <row r="535">
      <c r="A535" s="43">
        <f t="shared" si="3"/>
      </c>
      <c r="B535" s="44" t="n"/>
      <c r="C535" s="45" t="n"/>
      <c r="D535" s="46" t="n"/>
      <c r="E535" s="47" t="n"/>
      <c r="F535" s="47" t="n"/>
      <c r="G535" s="48">
        <f t="shared" si="4"/>
      </c>
      <c r="H535" s="43">
        <f t="shared" si="0"/>
      </c>
      <c r="I535" s="43">
        <f t="shared" si="5"/>
      </c>
      <c r="J535" s="43">
        <f t="shared" si="1"/>
      </c>
      <c r="K535" s="49">
        <f t="shared" si="2"/>
      </c>
      <c r="L535" s="45" t="n"/>
      <c r="M535" s="45" t="n"/>
      <c r="N535" s="45" t="n"/>
      <c r="O535" s="45" t="n"/>
      <c r="P535" s="50" t="n"/>
      <c r="R535" s="2">
        <f t="shared" si="6"/>
        <v>0</v>
      </c>
      <c r="S535" s="2">
        <f t="shared" si="7"/>
      </c>
      <c r="T535" s="2">
        <f t="shared" si="8"/>
      </c>
      <c r="U535" s="2">
        <f t="shared" si="9"/>
      </c>
      <c r="V535" s="2">
        <f t="shared" si="10"/>
      </c>
      <c r="W535" s="2">
        <f t="shared" si="11"/>
      </c>
      <c r="X535" s="2">
        <f t="shared" si="12"/>
      </c>
      <c r="Y535" s="2">
        <f t="shared" si="13"/>
        <v>0</v>
      </c>
      <c r="Z535" s="2">
        <f t="shared" si="14"/>
      </c>
      <c r="AA535" s="2">
        <f t="shared" si="15"/>
        <v>0</v>
      </c>
      <c r="AB535" s="2">
        <f t="shared" si="16"/>
      </c>
      <c r="AC535" s="2">
        <f t="shared" si="17"/>
      </c>
      <c r="AD535" s="2">
        <f t="shared" si="18"/>
      </c>
      <c r="AE535" s="2">
        <f t="shared" si="19"/>
      </c>
      <c r="AF535" s="2">
        <f t="shared" si="20"/>
      </c>
      <c r="AG535" s="2">
        <f t="shared" si="21"/>
      </c>
      <c r="AH535" s="2">
        <f t="shared" si="22"/>
      </c>
      <c r="AI535" s="2">
        <f t="shared" si="23"/>
      </c>
      <c r="AJ535" s="2">
        <f t="shared" si="24"/>
        <v>0</v>
      </c>
      <c r="AK535" s="2">
        <f t="shared" si="25"/>
        <v>0</v>
      </c>
      <c r="AL535" s="2">
        <f t="shared" si="26"/>
        <v>0</v>
      </c>
      <c r="AM535" s="2">
        <f t="shared" si="27"/>
        <v>0</v>
      </c>
      <c r="AN535" s="2">
        <f t="shared" si="28"/>
        <v>0</v>
      </c>
      <c r="AO535" s="2">
        <f t="shared" si="29"/>
      </c>
      <c r="AP535" s="2">
        <f t="shared" si="30"/>
      </c>
      <c r="AQ535" s="2">
        <f t="shared" si="31"/>
      </c>
    </row>
    <row r="536">
      <c r="A536" s="43">
        <f t="shared" si="3"/>
      </c>
      <c r="B536" s="44" t="n"/>
      <c r="C536" s="45" t="n"/>
      <c r="D536" s="46" t="n"/>
      <c r="E536" s="47" t="n"/>
      <c r="F536" s="47" t="n"/>
      <c r="G536" s="48">
        <f t="shared" si="4"/>
      </c>
      <c r="H536" s="43">
        <f t="shared" si="0"/>
      </c>
      <c r="I536" s="43">
        <f t="shared" si="5"/>
      </c>
      <c r="J536" s="43">
        <f t="shared" si="1"/>
      </c>
      <c r="K536" s="49">
        <f t="shared" si="2"/>
      </c>
      <c r="L536" s="45" t="n"/>
      <c r="M536" s="45" t="n"/>
      <c r="N536" s="45" t="n"/>
      <c r="O536" s="45" t="n"/>
      <c r="P536" s="50" t="n"/>
      <c r="R536" s="2">
        <f t="shared" si="6"/>
        <v>0</v>
      </c>
      <c r="S536" s="2">
        <f t="shared" si="7"/>
      </c>
      <c r="T536" s="2">
        <f t="shared" si="8"/>
      </c>
      <c r="U536" s="2">
        <f t="shared" si="9"/>
      </c>
      <c r="V536" s="2">
        <f t="shared" si="10"/>
      </c>
      <c r="W536" s="2">
        <f t="shared" si="11"/>
      </c>
      <c r="X536" s="2">
        <f t="shared" si="12"/>
      </c>
      <c r="Y536" s="2">
        <f t="shared" si="13"/>
        <v>0</v>
      </c>
      <c r="Z536" s="2">
        <f t="shared" si="14"/>
      </c>
      <c r="AA536" s="2">
        <f t="shared" si="15"/>
        <v>0</v>
      </c>
      <c r="AB536" s="2">
        <f t="shared" si="16"/>
      </c>
      <c r="AC536" s="2">
        <f t="shared" si="17"/>
      </c>
      <c r="AD536" s="2">
        <f t="shared" si="18"/>
      </c>
      <c r="AE536" s="2">
        <f t="shared" si="19"/>
      </c>
      <c r="AF536" s="2">
        <f t="shared" si="20"/>
      </c>
      <c r="AG536" s="2">
        <f t="shared" si="21"/>
      </c>
      <c r="AH536" s="2">
        <f t="shared" si="22"/>
      </c>
      <c r="AI536" s="2">
        <f t="shared" si="23"/>
      </c>
      <c r="AJ536" s="2">
        <f t="shared" si="24"/>
        <v>0</v>
      </c>
      <c r="AK536" s="2">
        <f t="shared" si="25"/>
        <v>0</v>
      </c>
      <c r="AL536" s="2">
        <f t="shared" si="26"/>
        <v>0</v>
      </c>
      <c r="AM536" s="2">
        <f t="shared" si="27"/>
        <v>0</v>
      </c>
      <c r="AN536" s="2">
        <f t="shared" si="28"/>
        <v>0</v>
      </c>
      <c r="AO536" s="2">
        <f t="shared" si="29"/>
      </c>
      <c r="AP536" s="2">
        <f t="shared" si="30"/>
      </c>
      <c r="AQ536" s="2">
        <f t="shared" si="31"/>
      </c>
    </row>
    <row r="537">
      <c r="A537" s="43">
        <f t="shared" si="3"/>
      </c>
      <c r="B537" s="44" t="n"/>
      <c r="C537" s="45" t="n"/>
      <c r="D537" s="46" t="n"/>
      <c r="E537" s="47" t="n"/>
      <c r="F537" s="47" t="n"/>
      <c r="G537" s="48">
        <f t="shared" si="4"/>
      </c>
      <c r="H537" s="43">
        <f t="shared" si="0"/>
      </c>
      <c r="I537" s="43">
        <f t="shared" si="5"/>
      </c>
      <c r="J537" s="43">
        <f t="shared" si="1"/>
      </c>
      <c r="K537" s="49">
        <f t="shared" si="2"/>
      </c>
      <c r="L537" s="45" t="n"/>
      <c r="M537" s="45" t="n"/>
      <c r="N537" s="45" t="n"/>
      <c r="O537" s="45" t="n"/>
      <c r="P537" s="50" t="n"/>
      <c r="R537" s="2">
        <f t="shared" si="6"/>
        <v>0</v>
      </c>
      <c r="S537" s="2">
        <f t="shared" si="7"/>
      </c>
      <c r="T537" s="2">
        <f t="shared" si="8"/>
      </c>
      <c r="U537" s="2">
        <f t="shared" si="9"/>
      </c>
      <c r="V537" s="2">
        <f t="shared" si="10"/>
      </c>
      <c r="W537" s="2">
        <f t="shared" si="11"/>
      </c>
      <c r="X537" s="2">
        <f t="shared" si="12"/>
      </c>
      <c r="Y537" s="2">
        <f t="shared" si="13"/>
        <v>0</v>
      </c>
      <c r="Z537" s="2">
        <f t="shared" si="14"/>
      </c>
      <c r="AA537" s="2">
        <f t="shared" si="15"/>
        <v>0</v>
      </c>
      <c r="AB537" s="2">
        <f t="shared" si="16"/>
      </c>
      <c r="AC537" s="2">
        <f t="shared" si="17"/>
      </c>
      <c r="AD537" s="2">
        <f t="shared" si="18"/>
      </c>
      <c r="AE537" s="2">
        <f t="shared" si="19"/>
      </c>
      <c r="AF537" s="2">
        <f t="shared" si="20"/>
      </c>
      <c r="AG537" s="2">
        <f t="shared" si="21"/>
      </c>
      <c r="AH537" s="2">
        <f t="shared" si="22"/>
      </c>
      <c r="AI537" s="2">
        <f t="shared" si="23"/>
      </c>
      <c r="AJ537" s="2">
        <f t="shared" si="24"/>
        <v>0</v>
      </c>
      <c r="AK537" s="2">
        <f t="shared" si="25"/>
        <v>0</v>
      </c>
      <c r="AL537" s="2">
        <f t="shared" si="26"/>
        <v>0</v>
      </c>
      <c r="AM537" s="2">
        <f t="shared" si="27"/>
        <v>0</v>
      </c>
      <c r="AN537" s="2">
        <f t="shared" si="28"/>
        <v>0</v>
      </c>
      <c r="AO537" s="2">
        <f t="shared" si="29"/>
      </c>
      <c r="AP537" s="2">
        <f t="shared" si="30"/>
      </c>
      <c r="AQ537" s="2">
        <f t="shared" si="31"/>
      </c>
    </row>
    <row r="538">
      <c r="A538" s="43">
        <f t="shared" si="3"/>
      </c>
      <c r="B538" s="44" t="n"/>
      <c r="C538" s="45" t="n"/>
      <c r="D538" s="46" t="n"/>
      <c r="E538" s="47" t="n"/>
      <c r="F538" s="47" t="n"/>
      <c r="G538" s="48">
        <f t="shared" si="4"/>
      </c>
      <c r="H538" s="43">
        <f t="shared" si="0"/>
      </c>
      <c r="I538" s="43">
        <f t="shared" si="5"/>
      </c>
      <c r="J538" s="43">
        <f t="shared" si="1"/>
      </c>
      <c r="K538" s="49">
        <f t="shared" si="2"/>
      </c>
      <c r="L538" s="45" t="n"/>
      <c r="M538" s="45" t="n"/>
      <c r="N538" s="45" t="n"/>
      <c r="O538" s="45" t="n"/>
      <c r="P538" s="50" t="n"/>
      <c r="R538" s="2">
        <f t="shared" si="6"/>
        <v>0</v>
      </c>
      <c r="S538" s="2">
        <f t="shared" si="7"/>
      </c>
      <c r="T538" s="2">
        <f t="shared" si="8"/>
      </c>
      <c r="U538" s="2">
        <f t="shared" si="9"/>
      </c>
      <c r="V538" s="2">
        <f t="shared" si="10"/>
      </c>
      <c r="W538" s="2">
        <f t="shared" si="11"/>
      </c>
      <c r="X538" s="2">
        <f t="shared" si="12"/>
      </c>
      <c r="Y538" s="2">
        <f t="shared" si="13"/>
        <v>0</v>
      </c>
      <c r="Z538" s="2">
        <f t="shared" si="14"/>
      </c>
      <c r="AA538" s="2">
        <f t="shared" si="15"/>
        <v>0</v>
      </c>
      <c r="AB538" s="2">
        <f t="shared" si="16"/>
      </c>
      <c r="AC538" s="2">
        <f t="shared" si="17"/>
      </c>
      <c r="AD538" s="2">
        <f t="shared" si="18"/>
      </c>
      <c r="AE538" s="2">
        <f t="shared" si="19"/>
      </c>
      <c r="AF538" s="2">
        <f t="shared" si="20"/>
      </c>
      <c r="AG538" s="2">
        <f t="shared" si="21"/>
      </c>
      <c r="AH538" s="2">
        <f t="shared" si="22"/>
      </c>
      <c r="AI538" s="2">
        <f t="shared" si="23"/>
      </c>
      <c r="AJ538" s="2">
        <f t="shared" si="24"/>
        <v>0</v>
      </c>
      <c r="AK538" s="2">
        <f t="shared" si="25"/>
        <v>0</v>
      </c>
      <c r="AL538" s="2">
        <f t="shared" si="26"/>
        <v>0</v>
      </c>
      <c r="AM538" s="2">
        <f t="shared" si="27"/>
        <v>0</v>
      </c>
      <c r="AN538" s="2">
        <f t="shared" si="28"/>
        <v>0</v>
      </c>
      <c r="AO538" s="2">
        <f t="shared" si="29"/>
      </c>
      <c r="AP538" s="2">
        <f t="shared" si="30"/>
      </c>
      <c r="AQ538" s="2">
        <f t="shared" si="31"/>
      </c>
    </row>
    <row r="539">
      <c r="A539" s="43">
        <f t="shared" si="3"/>
      </c>
      <c r="B539" s="44" t="n"/>
      <c r="C539" s="45" t="n"/>
      <c r="D539" s="46" t="n"/>
      <c r="E539" s="47" t="n"/>
      <c r="F539" s="47" t="n"/>
      <c r="G539" s="48">
        <f t="shared" si="4"/>
      </c>
      <c r="H539" s="43">
        <f t="shared" si="0"/>
      </c>
      <c r="I539" s="43">
        <f t="shared" si="5"/>
      </c>
      <c r="J539" s="43">
        <f t="shared" si="1"/>
      </c>
      <c r="K539" s="49">
        <f t="shared" si="2"/>
      </c>
      <c r="L539" s="45" t="n"/>
      <c r="M539" s="45" t="n"/>
      <c r="N539" s="45" t="n"/>
      <c r="O539" s="45" t="n"/>
      <c r="P539" s="50" t="n"/>
      <c r="R539" s="2">
        <f t="shared" si="6"/>
        <v>0</v>
      </c>
      <c r="S539" s="2">
        <f t="shared" si="7"/>
      </c>
      <c r="T539" s="2">
        <f t="shared" si="8"/>
      </c>
      <c r="U539" s="2">
        <f t="shared" si="9"/>
      </c>
      <c r="V539" s="2">
        <f t="shared" si="10"/>
      </c>
      <c r="W539" s="2">
        <f t="shared" si="11"/>
      </c>
      <c r="X539" s="2">
        <f t="shared" si="12"/>
      </c>
      <c r="Y539" s="2">
        <f t="shared" si="13"/>
        <v>0</v>
      </c>
      <c r="Z539" s="2">
        <f t="shared" si="14"/>
      </c>
      <c r="AA539" s="2">
        <f t="shared" si="15"/>
        <v>0</v>
      </c>
      <c r="AB539" s="2">
        <f t="shared" si="16"/>
      </c>
      <c r="AC539" s="2">
        <f t="shared" si="17"/>
      </c>
      <c r="AD539" s="2">
        <f t="shared" si="18"/>
      </c>
      <c r="AE539" s="2">
        <f t="shared" si="19"/>
      </c>
      <c r="AF539" s="2">
        <f t="shared" si="20"/>
      </c>
      <c r="AG539" s="2">
        <f t="shared" si="21"/>
      </c>
      <c r="AH539" s="2">
        <f t="shared" si="22"/>
      </c>
      <c r="AI539" s="2">
        <f t="shared" si="23"/>
      </c>
      <c r="AJ539" s="2">
        <f t="shared" si="24"/>
        <v>0</v>
      </c>
      <c r="AK539" s="2">
        <f t="shared" si="25"/>
        <v>0</v>
      </c>
      <c r="AL539" s="2">
        <f t="shared" si="26"/>
        <v>0</v>
      </c>
      <c r="AM539" s="2">
        <f t="shared" si="27"/>
        <v>0</v>
      </c>
      <c r="AN539" s="2">
        <f t="shared" si="28"/>
        <v>0</v>
      </c>
      <c r="AO539" s="2">
        <f t="shared" si="29"/>
      </c>
      <c r="AP539" s="2">
        <f t="shared" si="30"/>
      </c>
      <c r="AQ539" s="2">
        <f t="shared" si="31"/>
      </c>
    </row>
    <row r="540">
      <c r="A540" s="43">
        <f t="shared" si="3"/>
      </c>
      <c r="B540" s="44" t="n"/>
      <c r="C540" s="45" t="n"/>
      <c r="D540" s="46" t="n"/>
      <c r="E540" s="47" t="n"/>
      <c r="F540" s="47" t="n"/>
      <c r="G540" s="48">
        <f t="shared" si="4"/>
      </c>
      <c r="H540" s="43">
        <f t="shared" si="0"/>
      </c>
      <c r="I540" s="43">
        <f t="shared" si="5"/>
      </c>
      <c r="J540" s="43">
        <f t="shared" si="1"/>
      </c>
      <c r="K540" s="49">
        <f t="shared" si="2"/>
      </c>
      <c r="L540" s="45" t="n"/>
      <c r="M540" s="45" t="n"/>
      <c r="N540" s="45" t="n"/>
      <c r="O540" s="45" t="n"/>
      <c r="P540" s="50" t="n"/>
      <c r="R540" s="2">
        <f t="shared" si="6"/>
        <v>0</v>
      </c>
      <c r="S540" s="2">
        <f t="shared" si="7"/>
      </c>
      <c r="T540" s="2">
        <f t="shared" si="8"/>
      </c>
      <c r="U540" s="2">
        <f t="shared" si="9"/>
      </c>
      <c r="V540" s="2">
        <f t="shared" si="10"/>
      </c>
      <c r="W540" s="2">
        <f t="shared" si="11"/>
      </c>
      <c r="X540" s="2">
        <f t="shared" si="12"/>
      </c>
      <c r="Y540" s="2">
        <f t="shared" si="13"/>
        <v>0</v>
      </c>
      <c r="Z540" s="2">
        <f t="shared" si="14"/>
      </c>
      <c r="AA540" s="2">
        <f t="shared" si="15"/>
        <v>0</v>
      </c>
      <c r="AB540" s="2">
        <f t="shared" si="16"/>
      </c>
      <c r="AC540" s="2">
        <f t="shared" si="17"/>
      </c>
      <c r="AD540" s="2">
        <f t="shared" si="18"/>
      </c>
      <c r="AE540" s="2">
        <f t="shared" si="19"/>
      </c>
      <c r="AF540" s="2">
        <f t="shared" si="20"/>
      </c>
      <c r="AG540" s="2">
        <f t="shared" si="21"/>
      </c>
      <c r="AH540" s="2">
        <f t="shared" si="22"/>
      </c>
      <c r="AI540" s="2">
        <f t="shared" si="23"/>
      </c>
      <c r="AJ540" s="2">
        <f t="shared" si="24"/>
        <v>0</v>
      </c>
      <c r="AK540" s="2">
        <f t="shared" si="25"/>
        <v>0</v>
      </c>
      <c r="AL540" s="2">
        <f t="shared" si="26"/>
        <v>0</v>
      </c>
      <c r="AM540" s="2">
        <f t="shared" si="27"/>
        <v>0</v>
      </c>
      <c r="AN540" s="2">
        <f t="shared" si="28"/>
        <v>0</v>
      </c>
      <c r="AO540" s="2">
        <f t="shared" si="29"/>
      </c>
      <c r="AP540" s="2">
        <f t="shared" si="30"/>
      </c>
      <c r="AQ540" s="2">
        <f t="shared" si="31"/>
      </c>
    </row>
    <row r="541">
      <c r="A541" s="43">
        <f t="shared" si="3"/>
      </c>
      <c r="B541" s="44" t="n"/>
      <c r="C541" s="45" t="n"/>
      <c r="D541" s="46" t="n"/>
      <c r="E541" s="47" t="n"/>
      <c r="F541" s="47" t="n"/>
      <c r="G541" s="48">
        <f t="shared" si="4"/>
      </c>
      <c r="H541" s="43">
        <f t="shared" si="0"/>
      </c>
      <c r="I541" s="43">
        <f t="shared" si="5"/>
      </c>
      <c r="J541" s="43">
        <f t="shared" si="1"/>
      </c>
      <c r="K541" s="49">
        <f t="shared" si="2"/>
      </c>
      <c r="L541" s="45" t="n"/>
      <c r="M541" s="45" t="n"/>
      <c r="N541" s="45" t="n"/>
      <c r="O541" s="45" t="n"/>
      <c r="P541" s="50" t="n"/>
      <c r="R541" s="2">
        <f t="shared" si="6"/>
        <v>0</v>
      </c>
      <c r="S541" s="2">
        <f t="shared" si="7"/>
      </c>
      <c r="T541" s="2">
        <f t="shared" si="8"/>
      </c>
      <c r="U541" s="2">
        <f t="shared" si="9"/>
      </c>
      <c r="V541" s="2">
        <f t="shared" si="10"/>
      </c>
      <c r="W541" s="2">
        <f t="shared" si="11"/>
      </c>
      <c r="X541" s="2">
        <f t="shared" si="12"/>
      </c>
      <c r="Y541" s="2">
        <f t="shared" si="13"/>
        <v>0</v>
      </c>
      <c r="Z541" s="2">
        <f t="shared" si="14"/>
      </c>
      <c r="AA541" s="2">
        <f t="shared" si="15"/>
        <v>0</v>
      </c>
      <c r="AB541" s="2">
        <f t="shared" si="16"/>
      </c>
      <c r="AC541" s="2">
        <f t="shared" si="17"/>
      </c>
      <c r="AD541" s="2">
        <f t="shared" si="18"/>
      </c>
      <c r="AE541" s="2">
        <f t="shared" si="19"/>
      </c>
      <c r="AF541" s="2">
        <f t="shared" si="20"/>
      </c>
      <c r="AG541" s="2">
        <f t="shared" si="21"/>
      </c>
      <c r="AH541" s="2">
        <f t="shared" si="22"/>
      </c>
      <c r="AI541" s="2">
        <f t="shared" si="23"/>
      </c>
      <c r="AJ541" s="2">
        <f t="shared" si="24"/>
        <v>0</v>
      </c>
      <c r="AK541" s="2">
        <f t="shared" si="25"/>
        <v>0</v>
      </c>
      <c r="AL541" s="2">
        <f t="shared" si="26"/>
        <v>0</v>
      </c>
      <c r="AM541" s="2">
        <f t="shared" si="27"/>
        <v>0</v>
      </c>
      <c r="AN541" s="2">
        <f t="shared" si="28"/>
        <v>0</v>
      </c>
      <c r="AO541" s="2">
        <f t="shared" si="29"/>
      </c>
      <c r="AP541" s="2">
        <f t="shared" si="30"/>
      </c>
      <c r="AQ541" s="2">
        <f t="shared" si="31"/>
      </c>
    </row>
    <row r="542">
      <c r="A542" s="43">
        <f t="shared" si="3"/>
      </c>
      <c r="B542" s="44" t="n"/>
      <c r="C542" s="45" t="n"/>
      <c r="D542" s="46" t="n"/>
      <c r="E542" s="47" t="n"/>
      <c r="F542" s="47" t="n"/>
      <c r="G542" s="48">
        <f t="shared" si="4"/>
      </c>
      <c r="H542" s="43">
        <f t="shared" si="0"/>
      </c>
      <c r="I542" s="43">
        <f t="shared" si="5"/>
      </c>
      <c r="J542" s="43">
        <f t="shared" si="1"/>
      </c>
      <c r="K542" s="49">
        <f t="shared" si="2"/>
      </c>
      <c r="L542" s="45" t="n"/>
      <c r="M542" s="45" t="n"/>
      <c r="N542" s="45" t="n"/>
      <c r="O542" s="45" t="n"/>
      <c r="P542" s="50" t="n"/>
      <c r="R542" s="2">
        <f t="shared" si="6"/>
        <v>0</v>
      </c>
      <c r="S542" s="2">
        <f t="shared" si="7"/>
      </c>
      <c r="T542" s="2">
        <f t="shared" si="8"/>
      </c>
      <c r="U542" s="2">
        <f t="shared" si="9"/>
      </c>
      <c r="V542" s="2">
        <f t="shared" si="10"/>
      </c>
      <c r="W542" s="2">
        <f t="shared" si="11"/>
      </c>
      <c r="X542" s="2">
        <f t="shared" si="12"/>
      </c>
      <c r="Y542" s="2">
        <f t="shared" si="13"/>
        <v>0</v>
      </c>
      <c r="Z542" s="2">
        <f t="shared" si="14"/>
      </c>
      <c r="AA542" s="2">
        <f t="shared" si="15"/>
        <v>0</v>
      </c>
      <c r="AB542" s="2">
        <f t="shared" si="16"/>
      </c>
      <c r="AC542" s="2">
        <f t="shared" si="17"/>
      </c>
      <c r="AD542" s="2">
        <f t="shared" si="18"/>
      </c>
      <c r="AE542" s="2">
        <f t="shared" si="19"/>
      </c>
      <c r="AF542" s="2">
        <f t="shared" si="20"/>
      </c>
      <c r="AG542" s="2">
        <f t="shared" si="21"/>
      </c>
      <c r="AH542" s="2">
        <f t="shared" si="22"/>
      </c>
      <c r="AI542" s="2">
        <f t="shared" si="23"/>
      </c>
      <c r="AJ542" s="2">
        <f t="shared" si="24"/>
        <v>0</v>
      </c>
      <c r="AK542" s="2">
        <f t="shared" si="25"/>
        <v>0</v>
      </c>
      <c r="AL542" s="2">
        <f t="shared" si="26"/>
        <v>0</v>
      </c>
      <c r="AM542" s="2">
        <f t="shared" si="27"/>
        <v>0</v>
      </c>
      <c r="AN542" s="2">
        <f t="shared" si="28"/>
        <v>0</v>
      </c>
      <c r="AO542" s="2">
        <f t="shared" si="29"/>
      </c>
      <c r="AP542" s="2">
        <f t="shared" si="30"/>
      </c>
      <c r="AQ542" s="2">
        <f t="shared" si="31"/>
      </c>
    </row>
    <row r="543">
      <c r="A543" s="43">
        <f t="shared" si="3"/>
      </c>
      <c r="B543" s="44" t="n"/>
      <c r="C543" s="45" t="n"/>
      <c r="D543" s="46" t="n"/>
      <c r="E543" s="47" t="n"/>
      <c r="F543" s="47" t="n"/>
      <c r="G543" s="48">
        <f t="shared" si="4"/>
      </c>
      <c r="H543" s="43">
        <f t="shared" si="0"/>
      </c>
      <c r="I543" s="43">
        <f t="shared" si="5"/>
      </c>
      <c r="J543" s="43">
        <f t="shared" si="1"/>
      </c>
      <c r="K543" s="49">
        <f t="shared" si="2"/>
      </c>
      <c r="L543" s="45" t="n"/>
      <c r="M543" s="45" t="n"/>
      <c r="N543" s="45" t="n"/>
      <c r="O543" s="45" t="n"/>
      <c r="P543" s="50" t="n"/>
      <c r="R543" s="2">
        <f t="shared" si="6"/>
        <v>0</v>
      </c>
      <c r="S543" s="2">
        <f t="shared" si="7"/>
      </c>
      <c r="T543" s="2">
        <f t="shared" si="8"/>
      </c>
      <c r="U543" s="2">
        <f t="shared" si="9"/>
      </c>
      <c r="V543" s="2">
        <f t="shared" si="10"/>
      </c>
      <c r="W543" s="2">
        <f t="shared" si="11"/>
      </c>
      <c r="X543" s="2">
        <f t="shared" si="12"/>
      </c>
      <c r="Y543" s="2">
        <f t="shared" si="13"/>
        <v>0</v>
      </c>
      <c r="Z543" s="2">
        <f t="shared" si="14"/>
      </c>
      <c r="AA543" s="2">
        <f t="shared" si="15"/>
        <v>0</v>
      </c>
      <c r="AB543" s="2">
        <f t="shared" si="16"/>
      </c>
      <c r="AC543" s="2">
        <f t="shared" si="17"/>
      </c>
      <c r="AD543" s="2">
        <f t="shared" si="18"/>
      </c>
      <c r="AE543" s="2">
        <f t="shared" si="19"/>
      </c>
      <c r="AF543" s="2">
        <f t="shared" si="20"/>
      </c>
      <c r="AG543" s="2">
        <f t="shared" si="21"/>
      </c>
      <c r="AH543" s="2">
        <f t="shared" si="22"/>
      </c>
      <c r="AI543" s="2">
        <f t="shared" si="23"/>
      </c>
      <c r="AJ543" s="2">
        <f t="shared" si="24"/>
        <v>0</v>
      </c>
      <c r="AK543" s="2">
        <f t="shared" si="25"/>
        <v>0</v>
      </c>
      <c r="AL543" s="2">
        <f t="shared" si="26"/>
        <v>0</v>
      </c>
      <c r="AM543" s="2">
        <f t="shared" si="27"/>
        <v>0</v>
      </c>
      <c r="AN543" s="2">
        <f t="shared" si="28"/>
        <v>0</v>
      </c>
      <c r="AO543" s="2">
        <f t="shared" si="29"/>
      </c>
      <c r="AP543" s="2">
        <f t="shared" si="30"/>
      </c>
      <c r="AQ543" s="2">
        <f t="shared" si="31"/>
      </c>
    </row>
    <row r="544">
      <c r="A544" s="43">
        <f t="shared" si="3"/>
      </c>
      <c r="B544" s="44" t="n"/>
      <c r="C544" s="45" t="n"/>
      <c r="D544" s="46" t="n"/>
      <c r="E544" s="47" t="n"/>
      <c r="F544" s="47" t="n"/>
      <c r="G544" s="48">
        <f t="shared" si="4"/>
      </c>
      <c r="H544" s="43">
        <f t="shared" si="0"/>
      </c>
      <c r="I544" s="43">
        <f t="shared" si="5"/>
      </c>
      <c r="J544" s="43">
        <f t="shared" si="1"/>
      </c>
      <c r="K544" s="49">
        <f t="shared" si="2"/>
      </c>
      <c r="L544" s="45" t="n"/>
      <c r="M544" s="45" t="n"/>
      <c r="N544" s="45" t="n"/>
      <c r="O544" s="45" t="n"/>
      <c r="P544" s="50" t="n"/>
      <c r="R544" s="2">
        <f t="shared" si="6"/>
        <v>0</v>
      </c>
      <c r="S544" s="2">
        <f t="shared" si="7"/>
      </c>
      <c r="T544" s="2">
        <f t="shared" si="8"/>
      </c>
      <c r="U544" s="2">
        <f t="shared" si="9"/>
      </c>
      <c r="V544" s="2">
        <f t="shared" si="10"/>
      </c>
      <c r="W544" s="2">
        <f t="shared" si="11"/>
      </c>
      <c r="X544" s="2">
        <f t="shared" si="12"/>
      </c>
      <c r="Y544" s="2">
        <f t="shared" si="13"/>
        <v>0</v>
      </c>
      <c r="Z544" s="2">
        <f t="shared" si="14"/>
      </c>
      <c r="AA544" s="2">
        <f t="shared" si="15"/>
        <v>0</v>
      </c>
      <c r="AB544" s="2">
        <f t="shared" si="16"/>
      </c>
      <c r="AC544" s="2">
        <f t="shared" si="17"/>
      </c>
      <c r="AD544" s="2">
        <f t="shared" si="18"/>
      </c>
      <c r="AE544" s="2">
        <f t="shared" si="19"/>
      </c>
      <c r="AF544" s="2">
        <f t="shared" si="20"/>
      </c>
      <c r="AG544" s="2">
        <f t="shared" si="21"/>
      </c>
      <c r="AH544" s="2">
        <f t="shared" si="22"/>
      </c>
      <c r="AI544" s="2">
        <f t="shared" si="23"/>
      </c>
      <c r="AJ544" s="2">
        <f t="shared" si="24"/>
        <v>0</v>
      </c>
      <c r="AK544" s="2">
        <f t="shared" si="25"/>
        <v>0</v>
      </c>
      <c r="AL544" s="2">
        <f t="shared" si="26"/>
        <v>0</v>
      </c>
      <c r="AM544" s="2">
        <f t="shared" si="27"/>
        <v>0</v>
      </c>
      <c r="AN544" s="2">
        <f t="shared" si="28"/>
        <v>0</v>
      </c>
      <c r="AO544" s="2">
        <f t="shared" si="29"/>
      </c>
      <c r="AP544" s="2">
        <f t="shared" si="30"/>
      </c>
      <c r="AQ544" s="2">
        <f t="shared" si="31"/>
      </c>
    </row>
    <row r="545">
      <c r="A545" s="43">
        <f t="shared" si="3"/>
      </c>
      <c r="B545" s="44" t="n"/>
      <c r="C545" s="45" t="n"/>
      <c r="D545" s="46" t="n"/>
      <c r="E545" s="47" t="n"/>
      <c r="F545" s="47" t="n"/>
      <c r="G545" s="48">
        <f t="shared" si="4"/>
      </c>
      <c r="H545" s="43">
        <f t="shared" si="0"/>
      </c>
      <c r="I545" s="43">
        <f t="shared" si="5"/>
      </c>
      <c r="J545" s="43">
        <f t="shared" si="1"/>
      </c>
      <c r="K545" s="49">
        <f t="shared" si="2"/>
      </c>
      <c r="L545" s="45" t="n"/>
      <c r="M545" s="45" t="n"/>
      <c r="N545" s="45" t="n"/>
      <c r="O545" s="45" t="n"/>
      <c r="P545" s="50" t="n"/>
      <c r="R545" s="2">
        <f t="shared" si="6"/>
        <v>0</v>
      </c>
      <c r="S545" s="2">
        <f t="shared" si="7"/>
      </c>
      <c r="T545" s="2">
        <f t="shared" si="8"/>
      </c>
      <c r="U545" s="2">
        <f t="shared" si="9"/>
      </c>
      <c r="V545" s="2">
        <f t="shared" si="10"/>
      </c>
      <c r="W545" s="2">
        <f t="shared" si="11"/>
      </c>
      <c r="X545" s="2">
        <f t="shared" si="12"/>
      </c>
      <c r="Y545" s="2">
        <f t="shared" si="13"/>
        <v>0</v>
      </c>
      <c r="Z545" s="2">
        <f t="shared" si="14"/>
      </c>
      <c r="AA545" s="2">
        <f t="shared" si="15"/>
        <v>0</v>
      </c>
      <c r="AB545" s="2">
        <f t="shared" si="16"/>
      </c>
      <c r="AC545" s="2">
        <f t="shared" si="17"/>
      </c>
      <c r="AD545" s="2">
        <f t="shared" si="18"/>
      </c>
      <c r="AE545" s="2">
        <f t="shared" si="19"/>
      </c>
      <c r="AF545" s="2">
        <f t="shared" si="20"/>
      </c>
      <c r="AG545" s="2">
        <f t="shared" si="21"/>
      </c>
      <c r="AH545" s="2">
        <f t="shared" si="22"/>
      </c>
      <c r="AI545" s="2">
        <f t="shared" si="23"/>
      </c>
      <c r="AJ545" s="2">
        <f t="shared" si="24"/>
        <v>0</v>
      </c>
      <c r="AK545" s="2">
        <f t="shared" si="25"/>
        <v>0</v>
      </c>
      <c r="AL545" s="2">
        <f t="shared" si="26"/>
        <v>0</v>
      </c>
      <c r="AM545" s="2">
        <f t="shared" si="27"/>
        <v>0</v>
      </c>
      <c r="AN545" s="2">
        <f t="shared" si="28"/>
        <v>0</v>
      </c>
      <c r="AO545" s="2">
        <f t="shared" si="29"/>
      </c>
      <c r="AP545" s="2">
        <f t="shared" si="30"/>
      </c>
      <c r="AQ545" s="2">
        <f t="shared" si="31"/>
      </c>
    </row>
    <row r="546">
      <c r="A546" s="43">
        <f t="shared" si="3"/>
      </c>
      <c r="B546" s="44" t="n"/>
      <c r="C546" s="45" t="n"/>
      <c r="D546" s="46" t="n"/>
      <c r="E546" s="47" t="n"/>
      <c r="F546" s="47" t="n"/>
      <c r="G546" s="48">
        <f t="shared" si="4"/>
      </c>
      <c r="H546" s="43">
        <f t="shared" si="0"/>
      </c>
      <c r="I546" s="43">
        <f t="shared" si="5"/>
      </c>
      <c r="J546" s="43">
        <f t="shared" si="1"/>
      </c>
      <c r="K546" s="49">
        <f t="shared" si="2"/>
      </c>
      <c r="L546" s="45" t="n"/>
      <c r="M546" s="45" t="n"/>
      <c r="N546" s="45" t="n"/>
      <c r="O546" s="45" t="n"/>
      <c r="P546" s="50" t="n"/>
      <c r="R546" s="2">
        <f t="shared" si="6"/>
        <v>0</v>
      </c>
      <c r="S546" s="2">
        <f t="shared" si="7"/>
      </c>
      <c r="T546" s="2">
        <f t="shared" si="8"/>
      </c>
      <c r="U546" s="2">
        <f t="shared" si="9"/>
      </c>
      <c r="V546" s="2">
        <f t="shared" si="10"/>
      </c>
      <c r="W546" s="2">
        <f t="shared" si="11"/>
      </c>
      <c r="X546" s="2">
        <f t="shared" si="12"/>
      </c>
      <c r="Y546" s="2">
        <f t="shared" si="13"/>
        <v>0</v>
      </c>
      <c r="Z546" s="2">
        <f t="shared" si="14"/>
      </c>
      <c r="AA546" s="2">
        <f t="shared" si="15"/>
        <v>0</v>
      </c>
      <c r="AB546" s="2">
        <f t="shared" si="16"/>
      </c>
      <c r="AC546" s="2">
        <f t="shared" si="17"/>
      </c>
      <c r="AD546" s="2">
        <f t="shared" si="18"/>
      </c>
      <c r="AE546" s="2">
        <f t="shared" si="19"/>
      </c>
      <c r="AF546" s="2">
        <f t="shared" si="20"/>
      </c>
      <c r="AG546" s="2">
        <f t="shared" si="21"/>
      </c>
      <c r="AH546" s="2">
        <f t="shared" si="22"/>
      </c>
      <c r="AI546" s="2">
        <f t="shared" si="23"/>
      </c>
      <c r="AJ546" s="2">
        <f t="shared" si="24"/>
        <v>0</v>
      </c>
      <c r="AK546" s="2">
        <f t="shared" si="25"/>
        <v>0</v>
      </c>
      <c r="AL546" s="2">
        <f t="shared" si="26"/>
        <v>0</v>
      </c>
      <c r="AM546" s="2">
        <f t="shared" si="27"/>
        <v>0</v>
      </c>
      <c r="AN546" s="2">
        <f t="shared" si="28"/>
        <v>0</v>
      </c>
      <c r="AO546" s="2">
        <f t="shared" si="29"/>
      </c>
      <c r="AP546" s="2">
        <f t="shared" si="30"/>
      </c>
      <c r="AQ546" s="2">
        <f t="shared" si="31"/>
      </c>
    </row>
    <row r="547">
      <c r="A547" s="43">
        <f t="shared" si="3"/>
      </c>
      <c r="B547" s="44" t="n"/>
      <c r="C547" s="45" t="n"/>
      <c r="D547" s="46" t="n"/>
      <c r="E547" s="47" t="n"/>
      <c r="F547" s="47" t="n"/>
      <c r="G547" s="48">
        <f t="shared" si="4"/>
      </c>
      <c r="H547" s="43">
        <f t="shared" si="0"/>
      </c>
      <c r="I547" s="43">
        <f t="shared" si="5"/>
      </c>
      <c r="J547" s="43">
        <f t="shared" si="1"/>
      </c>
      <c r="K547" s="49">
        <f t="shared" si="2"/>
      </c>
      <c r="L547" s="45" t="n"/>
      <c r="M547" s="45" t="n"/>
      <c r="N547" s="45" t="n"/>
      <c r="O547" s="45" t="n"/>
      <c r="P547" s="50" t="n"/>
      <c r="R547" s="2">
        <f t="shared" si="6"/>
        <v>0</v>
      </c>
      <c r="S547" s="2">
        <f t="shared" si="7"/>
      </c>
      <c r="T547" s="2">
        <f t="shared" si="8"/>
      </c>
      <c r="U547" s="2">
        <f t="shared" si="9"/>
      </c>
      <c r="V547" s="2">
        <f t="shared" si="10"/>
      </c>
      <c r="W547" s="2">
        <f t="shared" si="11"/>
      </c>
      <c r="X547" s="2">
        <f t="shared" si="12"/>
      </c>
      <c r="Y547" s="2">
        <f t="shared" si="13"/>
        <v>0</v>
      </c>
      <c r="Z547" s="2">
        <f t="shared" si="14"/>
      </c>
      <c r="AA547" s="2">
        <f t="shared" si="15"/>
        <v>0</v>
      </c>
      <c r="AB547" s="2">
        <f t="shared" si="16"/>
      </c>
      <c r="AC547" s="2">
        <f t="shared" si="17"/>
      </c>
      <c r="AD547" s="2">
        <f t="shared" si="18"/>
      </c>
      <c r="AE547" s="2">
        <f t="shared" si="19"/>
      </c>
      <c r="AF547" s="2">
        <f t="shared" si="20"/>
      </c>
      <c r="AG547" s="2">
        <f t="shared" si="21"/>
      </c>
      <c r="AH547" s="2">
        <f t="shared" si="22"/>
      </c>
      <c r="AI547" s="2">
        <f t="shared" si="23"/>
      </c>
      <c r="AJ547" s="2">
        <f t="shared" si="24"/>
        <v>0</v>
      </c>
      <c r="AK547" s="2">
        <f t="shared" si="25"/>
        <v>0</v>
      </c>
      <c r="AL547" s="2">
        <f t="shared" si="26"/>
        <v>0</v>
      </c>
      <c r="AM547" s="2">
        <f t="shared" si="27"/>
        <v>0</v>
      </c>
      <c r="AN547" s="2">
        <f t="shared" si="28"/>
        <v>0</v>
      </c>
      <c r="AO547" s="2">
        <f t="shared" si="29"/>
      </c>
      <c r="AP547" s="2">
        <f t="shared" si="30"/>
      </c>
      <c r="AQ547" s="2">
        <f t="shared" si="31"/>
      </c>
    </row>
    <row r="548">
      <c r="A548" s="43">
        <f t="shared" si="3"/>
      </c>
      <c r="B548" s="44" t="n"/>
      <c r="C548" s="45" t="n"/>
      <c r="D548" s="46" t="n"/>
      <c r="E548" s="47" t="n"/>
      <c r="F548" s="47" t="n"/>
      <c r="G548" s="48">
        <f t="shared" si="4"/>
      </c>
      <c r="H548" s="43">
        <f t="shared" si="0"/>
      </c>
      <c r="I548" s="43">
        <f t="shared" si="5"/>
      </c>
      <c r="J548" s="43">
        <f t="shared" si="1"/>
      </c>
      <c r="K548" s="49">
        <f t="shared" si="2"/>
      </c>
      <c r="L548" s="45" t="n"/>
      <c r="M548" s="45" t="n"/>
      <c r="N548" s="45" t="n"/>
      <c r="O548" s="45" t="n"/>
      <c r="P548" s="50" t="n"/>
      <c r="R548" s="2">
        <f t="shared" si="6"/>
        <v>0</v>
      </c>
      <c r="S548" s="2">
        <f t="shared" si="7"/>
      </c>
      <c r="T548" s="2">
        <f t="shared" si="8"/>
      </c>
      <c r="U548" s="2">
        <f t="shared" si="9"/>
      </c>
      <c r="V548" s="2">
        <f t="shared" si="10"/>
      </c>
      <c r="W548" s="2">
        <f t="shared" si="11"/>
      </c>
      <c r="X548" s="2">
        <f t="shared" si="12"/>
      </c>
      <c r="Y548" s="2">
        <f t="shared" si="13"/>
        <v>0</v>
      </c>
      <c r="Z548" s="2">
        <f t="shared" si="14"/>
      </c>
      <c r="AA548" s="2">
        <f t="shared" si="15"/>
        <v>0</v>
      </c>
      <c r="AB548" s="2">
        <f t="shared" si="16"/>
      </c>
      <c r="AC548" s="2">
        <f t="shared" si="17"/>
      </c>
      <c r="AD548" s="2">
        <f t="shared" si="18"/>
      </c>
      <c r="AE548" s="2">
        <f t="shared" si="19"/>
      </c>
      <c r="AF548" s="2">
        <f t="shared" si="20"/>
      </c>
      <c r="AG548" s="2">
        <f t="shared" si="21"/>
      </c>
      <c r="AH548" s="2">
        <f t="shared" si="22"/>
      </c>
      <c r="AI548" s="2">
        <f t="shared" si="23"/>
      </c>
      <c r="AJ548" s="2">
        <f t="shared" si="24"/>
        <v>0</v>
      </c>
      <c r="AK548" s="2">
        <f t="shared" si="25"/>
        <v>0</v>
      </c>
      <c r="AL548" s="2">
        <f t="shared" si="26"/>
        <v>0</v>
      </c>
      <c r="AM548" s="2">
        <f t="shared" si="27"/>
        <v>0</v>
      </c>
      <c r="AN548" s="2">
        <f t="shared" si="28"/>
        <v>0</v>
      </c>
      <c r="AO548" s="2">
        <f t="shared" si="29"/>
      </c>
      <c r="AP548" s="2">
        <f t="shared" si="30"/>
      </c>
      <c r="AQ548" s="2">
        <f t="shared" si="31"/>
      </c>
    </row>
    <row r="549">
      <c r="A549" s="43">
        <f t="shared" si="3"/>
      </c>
      <c r="B549" s="44" t="n"/>
      <c r="C549" s="45" t="n"/>
      <c r="D549" s="46" t="n"/>
      <c r="E549" s="47" t="n"/>
      <c r="F549" s="47" t="n"/>
      <c r="G549" s="48">
        <f t="shared" si="4"/>
      </c>
      <c r="H549" s="43">
        <f t="shared" si="0"/>
      </c>
      <c r="I549" s="43">
        <f t="shared" si="5"/>
      </c>
      <c r="J549" s="43">
        <f t="shared" si="1"/>
      </c>
      <c r="K549" s="49">
        <f t="shared" si="2"/>
      </c>
      <c r="L549" s="45" t="n"/>
      <c r="M549" s="45" t="n"/>
      <c r="N549" s="45" t="n"/>
      <c r="O549" s="45" t="n"/>
      <c r="P549" s="50" t="n"/>
      <c r="R549" s="2">
        <f t="shared" si="6"/>
        <v>0</v>
      </c>
      <c r="S549" s="2">
        <f t="shared" si="7"/>
      </c>
      <c r="T549" s="2">
        <f t="shared" si="8"/>
      </c>
      <c r="U549" s="2">
        <f t="shared" si="9"/>
      </c>
      <c r="V549" s="2">
        <f t="shared" si="10"/>
      </c>
      <c r="W549" s="2">
        <f t="shared" si="11"/>
      </c>
      <c r="X549" s="2">
        <f t="shared" si="12"/>
      </c>
      <c r="Y549" s="2">
        <f t="shared" si="13"/>
        <v>0</v>
      </c>
      <c r="Z549" s="2">
        <f t="shared" si="14"/>
      </c>
      <c r="AA549" s="2">
        <f t="shared" si="15"/>
        <v>0</v>
      </c>
      <c r="AB549" s="2">
        <f t="shared" si="16"/>
      </c>
      <c r="AC549" s="2">
        <f t="shared" si="17"/>
      </c>
      <c r="AD549" s="2">
        <f t="shared" si="18"/>
      </c>
      <c r="AE549" s="2">
        <f t="shared" si="19"/>
      </c>
      <c r="AF549" s="2">
        <f t="shared" si="20"/>
      </c>
      <c r="AG549" s="2">
        <f t="shared" si="21"/>
      </c>
      <c r="AH549" s="2">
        <f t="shared" si="22"/>
      </c>
      <c r="AI549" s="2">
        <f t="shared" si="23"/>
      </c>
      <c r="AJ549" s="2">
        <f t="shared" si="24"/>
        <v>0</v>
      </c>
      <c r="AK549" s="2">
        <f t="shared" si="25"/>
        <v>0</v>
      </c>
      <c r="AL549" s="2">
        <f t="shared" si="26"/>
        <v>0</v>
      </c>
      <c r="AM549" s="2">
        <f t="shared" si="27"/>
        <v>0</v>
      </c>
      <c r="AN549" s="2">
        <f t="shared" si="28"/>
        <v>0</v>
      </c>
      <c r="AO549" s="2">
        <f t="shared" si="29"/>
      </c>
      <c r="AP549" s="2">
        <f t="shared" si="30"/>
      </c>
      <c r="AQ549" s="2">
        <f t="shared" si="31"/>
      </c>
    </row>
    <row r="550">
      <c r="A550" s="43">
        <f t="shared" si="3"/>
      </c>
      <c r="B550" s="44" t="n"/>
      <c r="C550" s="45" t="n"/>
      <c r="D550" s="46" t="n"/>
      <c r="E550" s="47" t="n"/>
      <c r="F550" s="47" t="n"/>
      <c r="G550" s="48">
        <f t="shared" si="4"/>
      </c>
      <c r="H550" s="43">
        <f t="shared" si="0"/>
      </c>
      <c r="I550" s="43">
        <f t="shared" si="5"/>
      </c>
      <c r="J550" s="43">
        <f t="shared" si="1"/>
      </c>
      <c r="K550" s="49">
        <f t="shared" si="2"/>
      </c>
      <c r="L550" s="45" t="n"/>
      <c r="M550" s="45" t="n"/>
      <c r="N550" s="45" t="n"/>
      <c r="O550" s="45" t="n"/>
      <c r="P550" s="50" t="n"/>
      <c r="R550" s="2">
        <f t="shared" si="6"/>
        <v>0</v>
      </c>
      <c r="S550" s="2">
        <f t="shared" si="7"/>
      </c>
      <c r="T550" s="2">
        <f t="shared" si="8"/>
      </c>
      <c r="U550" s="2">
        <f t="shared" si="9"/>
      </c>
      <c r="V550" s="2">
        <f t="shared" si="10"/>
      </c>
      <c r="W550" s="2">
        <f t="shared" si="11"/>
      </c>
      <c r="X550" s="2">
        <f t="shared" si="12"/>
      </c>
      <c r="Y550" s="2">
        <f t="shared" si="13"/>
        <v>0</v>
      </c>
      <c r="Z550" s="2">
        <f t="shared" si="14"/>
      </c>
      <c r="AA550" s="2">
        <f t="shared" si="15"/>
        <v>0</v>
      </c>
      <c r="AB550" s="2">
        <f t="shared" si="16"/>
      </c>
      <c r="AC550" s="2">
        <f t="shared" si="17"/>
      </c>
      <c r="AD550" s="2">
        <f t="shared" si="18"/>
      </c>
      <c r="AE550" s="2">
        <f t="shared" si="19"/>
      </c>
      <c r="AF550" s="2">
        <f t="shared" si="20"/>
      </c>
      <c r="AG550" s="2">
        <f t="shared" si="21"/>
      </c>
      <c r="AH550" s="2">
        <f t="shared" si="22"/>
      </c>
      <c r="AI550" s="2">
        <f t="shared" si="23"/>
      </c>
      <c r="AJ550" s="2">
        <f t="shared" si="24"/>
        <v>0</v>
      </c>
      <c r="AK550" s="2">
        <f t="shared" si="25"/>
        <v>0</v>
      </c>
      <c r="AL550" s="2">
        <f t="shared" si="26"/>
        <v>0</v>
      </c>
      <c r="AM550" s="2">
        <f t="shared" si="27"/>
        <v>0</v>
      </c>
      <c r="AN550" s="2">
        <f t="shared" si="28"/>
        <v>0</v>
      </c>
      <c r="AO550" s="2">
        <f t="shared" si="29"/>
      </c>
      <c r="AP550" s="2">
        <f t="shared" si="30"/>
      </c>
      <c r="AQ550" s="2">
        <f t="shared" si="31"/>
      </c>
    </row>
    <row r="551">
      <c r="A551" s="43">
        <f t="shared" si="3"/>
      </c>
      <c r="B551" s="44" t="n"/>
      <c r="C551" s="45" t="n"/>
      <c r="D551" s="46" t="n"/>
      <c r="E551" s="47" t="n"/>
      <c r="F551" s="47" t="n"/>
      <c r="G551" s="48">
        <f t="shared" si="4"/>
      </c>
      <c r="H551" s="43">
        <f t="shared" si="0"/>
      </c>
      <c r="I551" s="43">
        <f t="shared" si="5"/>
      </c>
      <c r="J551" s="43">
        <f t="shared" si="1"/>
      </c>
      <c r="K551" s="49">
        <f t="shared" si="2"/>
      </c>
      <c r="L551" s="45" t="n"/>
      <c r="M551" s="45" t="n"/>
      <c r="N551" s="45" t="n"/>
      <c r="O551" s="45" t="n"/>
      <c r="P551" s="50" t="n"/>
      <c r="R551" s="2">
        <f t="shared" si="6"/>
        <v>0</v>
      </c>
      <c r="S551" s="2">
        <f t="shared" si="7"/>
      </c>
      <c r="T551" s="2">
        <f t="shared" si="8"/>
      </c>
      <c r="U551" s="2">
        <f t="shared" si="9"/>
      </c>
      <c r="V551" s="2">
        <f t="shared" si="10"/>
      </c>
      <c r="W551" s="2">
        <f t="shared" si="11"/>
      </c>
      <c r="X551" s="2">
        <f t="shared" si="12"/>
      </c>
      <c r="Y551" s="2">
        <f t="shared" si="13"/>
        <v>0</v>
      </c>
      <c r="Z551" s="2">
        <f t="shared" si="14"/>
      </c>
      <c r="AA551" s="2">
        <f t="shared" si="15"/>
        <v>0</v>
      </c>
      <c r="AB551" s="2">
        <f t="shared" si="16"/>
      </c>
      <c r="AC551" s="2">
        <f t="shared" si="17"/>
      </c>
      <c r="AD551" s="2">
        <f t="shared" si="18"/>
      </c>
      <c r="AE551" s="2">
        <f t="shared" si="19"/>
      </c>
      <c r="AF551" s="2">
        <f t="shared" si="20"/>
      </c>
      <c r="AG551" s="2">
        <f t="shared" si="21"/>
      </c>
      <c r="AH551" s="2">
        <f t="shared" si="22"/>
      </c>
      <c r="AI551" s="2">
        <f t="shared" si="23"/>
      </c>
      <c r="AJ551" s="2">
        <f t="shared" si="24"/>
        <v>0</v>
      </c>
      <c r="AK551" s="2">
        <f t="shared" si="25"/>
        <v>0</v>
      </c>
      <c r="AL551" s="2">
        <f t="shared" si="26"/>
        <v>0</v>
      </c>
      <c r="AM551" s="2">
        <f t="shared" si="27"/>
        <v>0</v>
      </c>
      <c r="AN551" s="2">
        <f t="shared" si="28"/>
        <v>0</v>
      </c>
      <c r="AO551" s="2">
        <f t="shared" si="29"/>
      </c>
      <c r="AP551" s="2">
        <f t="shared" si="30"/>
      </c>
      <c r="AQ551" s="2">
        <f t="shared" si="31"/>
      </c>
    </row>
    <row r="552">
      <c r="A552" s="43">
        <f t="shared" si="3"/>
      </c>
      <c r="B552" s="44" t="n"/>
      <c r="C552" s="45" t="n"/>
      <c r="D552" s="46" t="n"/>
      <c r="E552" s="47" t="n"/>
      <c r="F552" s="47" t="n"/>
      <c r="G552" s="48">
        <f t="shared" si="4"/>
      </c>
      <c r="H552" s="43">
        <f t="shared" si="0"/>
      </c>
      <c r="I552" s="43">
        <f t="shared" si="5"/>
      </c>
      <c r="J552" s="43">
        <f t="shared" si="1"/>
      </c>
      <c r="K552" s="49">
        <f t="shared" si="2"/>
      </c>
      <c r="L552" s="45" t="n"/>
      <c r="M552" s="45" t="n"/>
      <c r="N552" s="45" t="n"/>
      <c r="O552" s="45" t="n"/>
      <c r="P552" s="50" t="n"/>
      <c r="R552" s="2">
        <f t="shared" si="6"/>
        <v>0</v>
      </c>
      <c r="S552" s="2">
        <f t="shared" si="7"/>
      </c>
      <c r="T552" s="2">
        <f t="shared" si="8"/>
      </c>
      <c r="U552" s="2">
        <f t="shared" si="9"/>
      </c>
      <c r="V552" s="2">
        <f t="shared" si="10"/>
      </c>
      <c r="W552" s="2">
        <f t="shared" si="11"/>
      </c>
      <c r="X552" s="2">
        <f t="shared" si="12"/>
      </c>
      <c r="Y552" s="2">
        <f t="shared" si="13"/>
        <v>0</v>
      </c>
      <c r="Z552" s="2">
        <f t="shared" si="14"/>
      </c>
      <c r="AA552" s="2">
        <f t="shared" si="15"/>
        <v>0</v>
      </c>
      <c r="AB552" s="2">
        <f t="shared" si="16"/>
      </c>
      <c r="AC552" s="2">
        <f t="shared" si="17"/>
      </c>
      <c r="AD552" s="2">
        <f t="shared" si="18"/>
      </c>
      <c r="AE552" s="2">
        <f t="shared" si="19"/>
      </c>
      <c r="AF552" s="2">
        <f t="shared" si="20"/>
      </c>
      <c r="AG552" s="2">
        <f t="shared" si="21"/>
      </c>
      <c r="AH552" s="2">
        <f t="shared" si="22"/>
      </c>
      <c r="AI552" s="2">
        <f t="shared" si="23"/>
      </c>
      <c r="AJ552" s="2">
        <f t="shared" si="24"/>
        <v>0</v>
      </c>
      <c r="AK552" s="2">
        <f t="shared" si="25"/>
        <v>0</v>
      </c>
      <c r="AL552" s="2">
        <f t="shared" si="26"/>
        <v>0</v>
      </c>
      <c r="AM552" s="2">
        <f t="shared" si="27"/>
        <v>0</v>
      </c>
      <c r="AN552" s="2">
        <f t="shared" si="28"/>
        <v>0</v>
      </c>
      <c r="AO552" s="2">
        <f t="shared" si="29"/>
      </c>
      <c r="AP552" s="2">
        <f t="shared" si="30"/>
      </c>
      <c r="AQ552" s="2">
        <f t="shared" si="31"/>
      </c>
    </row>
    <row r="553">
      <c r="A553" s="43">
        <f t="shared" si="3"/>
      </c>
      <c r="B553" s="44" t="n"/>
      <c r="C553" s="45" t="n"/>
      <c r="D553" s="46" t="n"/>
      <c r="E553" s="47" t="n"/>
      <c r="F553" s="47" t="n"/>
      <c r="G553" s="48">
        <f t="shared" si="4"/>
      </c>
      <c r="H553" s="43">
        <f t="shared" si="0"/>
      </c>
      <c r="I553" s="43">
        <f t="shared" si="5"/>
      </c>
      <c r="J553" s="43">
        <f t="shared" si="1"/>
      </c>
      <c r="K553" s="49">
        <f t="shared" si="2"/>
      </c>
      <c r="L553" s="45" t="n"/>
      <c r="M553" s="45" t="n"/>
      <c r="N553" s="45" t="n"/>
      <c r="O553" s="45" t="n"/>
      <c r="P553" s="50" t="n"/>
      <c r="R553" s="2">
        <f t="shared" si="6"/>
        <v>0</v>
      </c>
      <c r="S553" s="2">
        <f t="shared" si="7"/>
      </c>
      <c r="T553" s="2">
        <f t="shared" si="8"/>
      </c>
      <c r="U553" s="2">
        <f t="shared" si="9"/>
      </c>
      <c r="V553" s="2">
        <f t="shared" si="10"/>
      </c>
      <c r="W553" s="2">
        <f t="shared" si="11"/>
      </c>
      <c r="X553" s="2">
        <f t="shared" si="12"/>
      </c>
      <c r="Y553" s="2">
        <f t="shared" si="13"/>
        <v>0</v>
      </c>
      <c r="Z553" s="2">
        <f t="shared" si="14"/>
      </c>
      <c r="AA553" s="2">
        <f t="shared" si="15"/>
        <v>0</v>
      </c>
      <c r="AB553" s="2">
        <f t="shared" si="16"/>
      </c>
      <c r="AC553" s="2">
        <f t="shared" si="17"/>
      </c>
      <c r="AD553" s="2">
        <f t="shared" si="18"/>
      </c>
      <c r="AE553" s="2">
        <f t="shared" si="19"/>
      </c>
      <c r="AF553" s="2">
        <f t="shared" si="20"/>
      </c>
      <c r="AG553" s="2">
        <f t="shared" si="21"/>
      </c>
      <c r="AH553" s="2">
        <f t="shared" si="22"/>
      </c>
      <c r="AI553" s="2">
        <f t="shared" si="23"/>
      </c>
      <c r="AJ553" s="2">
        <f t="shared" si="24"/>
        <v>0</v>
      </c>
      <c r="AK553" s="2">
        <f t="shared" si="25"/>
        <v>0</v>
      </c>
      <c r="AL553" s="2">
        <f t="shared" si="26"/>
        <v>0</v>
      </c>
      <c r="AM553" s="2">
        <f t="shared" si="27"/>
        <v>0</v>
      </c>
      <c r="AN553" s="2">
        <f t="shared" si="28"/>
        <v>0</v>
      </c>
      <c r="AO553" s="2">
        <f t="shared" si="29"/>
      </c>
      <c r="AP553" s="2">
        <f t="shared" si="30"/>
      </c>
      <c r="AQ553" s="2">
        <f t="shared" si="31"/>
      </c>
    </row>
    <row r="554">
      <c r="A554" s="43">
        <f t="shared" si="3"/>
      </c>
      <c r="B554" s="44" t="n"/>
      <c r="C554" s="45" t="n"/>
      <c r="D554" s="46" t="n"/>
      <c r="E554" s="47" t="n"/>
      <c r="F554" s="47" t="n"/>
      <c r="G554" s="48">
        <f t="shared" si="4"/>
      </c>
      <c r="H554" s="43">
        <f t="shared" si="0"/>
      </c>
      <c r="I554" s="43">
        <f t="shared" si="5"/>
      </c>
      <c r="J554" s="43">
        <f t="shared" si="1"/>
      </c>
      <c r="K554" s="49">
        <f t="shared" si="2"/>
      </c>
      <c r="L554" s="45" t="n"/>
      <c r="M554" s="45" t="n"/>
      <c r="N554" s="45" t="n"/>
      <c r="O554" s="45" t="n"/>
      <c r="P554" s="50" t="n"/>
      <c r="R554" s="2">
        <f t="shared" si="6"/>
        <v>0</v>
      </c>
      <c r="S554" s="2">
        <f t="shared" si="7"/>
      </c>
      <c r="T554" s="2">
        <f t="shared" si="8"/>
      </c>
      <c r="U554" s="2">
        <f t="shared" si="9"/>
      </c>
      <c r="V554" s="2">
        <f t="shared" si="10"/>
      </c>
      <c r="W554" s="2">
        <f t="shared" si="11"/>
      </c>
      <c r="X554" s="2">
        <f t="shared" si="12"/>
      </c>
      <c r="Y554" s="2">
        <f t="shared" si="13"/>
        <v>0</v>
      </c>
      <c r="Z554" s="2">
        <f t="shared" si="14"/>
      </c>
      <c r="AA554" s="2">
        <f t="shared" si="15"/>
        <v>0</v>
      </c>
      <c r="AB554" s="2">
        <f t="shared" si="16"/>
      </c>
      <c r="AC554" s="2">
        <f t="shared" si="17"/>
      </c>
      <c r="AD554" s="2">
        <f t="shared" si="18"/>
      </c>
      <c r="AE554" s="2">
        <f t="shared" si="19"/>
      </c>
      <c r="AF554" s="2">
        <f t="shared" si="20"/>
      </c>
      <c r="AG554" s="2">
        <f t="shared" si="21"/>
      </c>
      <c r="AH554" s="2">
        <f t="shared" si="22"/>
      </c>
      <c r="AI554" s="2">
        <f t="shared" si="23"/>
      </c>
      <c r="AJ554" s="2">
        <f t="shared" si="24"/>
        <v>0</v>
      </c>
      <c r="AK554" s="2">
        <f t="shared" si="25"/>
        <v>0</v>
      </c>
      <c r="AL554" s="2">
        <f t="shared" si="26"/>
        <v>0</v>
      </c>
      <c r="AM554" s="2">
        <f t="shared" si="27"/>
        <v>0</v>
      </c>
      <c r="AN554" s="2">
        <f t="shared" si="28"/>
        <v>0</v>
      </c>
      <c r="AO554" s="2">
        <f t="shared" si="29"/>
      </c>
      <c r="AP554" s="2">
        <f t="shared" si="30"/>
      </c>
      <c r="AQ554" s="2">
        <f t="shared" si="31"/>
      </c>
    </row>
    <row r="555">
      <c r="A555" s="43">
        <f t="shared" si="3"/>
      </c>
      <c r="B555" s="44" t="n"/>
      <c r="C555" s="45" t="n"/>
      <c r="D555" s="46" t="n"/>
      <c r="E555" s="47" t="n"/>
      <c r="F555" s="47" t="n"/>
      <c r="G555" s="48">
        <f t="shared" si="4"/>
      </c>
      <c r="H555" s="43">
        <f t="shared" si="0"/>
      </c>
      <c r="I555" s="43">
        <f t="shared" si="5"/>
      </c>
      <c r="J555" s="43">
        <f t="shared" si="1"/>
      </c>
      <c r="K555" s="49">
        <f t="shared" si="2"/>
      </c>
      <c r="L555" s="45" t="n"/>
      <c r="M555" s="45" t="n"/>
      <c r="N555" s="45" t="n"/>
      <c r="O555" s="45" t="n"/>
      <c r="P555" s="50" t="n"/>
      <c r="R555" s="2">
        <f t="shared" si="6"/>
        <v>0</v>
      </c>
      <c r="S555" s="2">
        <f t="shared" si="7"/>
      </c>
      <c r="T555" s="2">
        <f t="shared" si="8"/>
      </c>
      <c r="U555" s="2">
        <f t="shared" si="9"/>
      </c>
      <c r="V555" s="2">
        <f t="shared" si="10"/>
      </c>
      <c r="W555" s="2">
        <f t="shared" si="11"/>
      </c>
      <c r="X555" s="2">
        <f t="shared" si="12"/>
      </c>
      <c r="Y555" s="2">
        <f t="shared" si="13"/>
        <v>0</v>
      </c>
      <c r="Z555" s="2">
        <f t="shared" si="14"/>
      </c>
      <c r="AA555" s="2">
        <f t="shared" si="15"/>
        <v>0</v>
      </c>
      <c r="AB555" s="2">
        <f t="shared" si="16"/>
      </c>
      <c r="AC555" s="2">
        <f t="shared" si="17"/>
      </c>
      <c r="AD555" s="2">
        <f t="shared" si="18"/>
      </c>
      <c r="AE555" s="2">
        <f t="shared" si="19"/>
      </c>
      <c r="AF555" s="2">
        <f t="shared" si="20"/>
      </c>
      <c r="AG555" s="2">
        <f t="shared" si="21"/>
      </c>
      <c r="AH555" s="2">
        <f t="shared" si="22"/>
      </c>
      <c r="AI555" s="2">
        <f t="shared" si="23"/>
      </c>
      <c r="AJ555" s="2">
        <f t="shared" si="24"/>
        <v>0</v>
      </c>
      <c r="AK555" s="2">
        <f t="shared" si="25"/>
        <v>0</v>
      </c>
      <c r="AL555" s="2">
        <f t="shared" si="26"/>
        <v>0</v>
      </c>
      <c r="AM555" s="2">
        <f t="shared" si="27"/>
        <v>0</v>
      </c>
      <c r="AN555" s="2">
        <f t="shared" si="28"/>
        <v>0</v>
      </c>
      <c r="AO555" s="2">
        <f t="shared" si="29"/>
      </c>
      <c r="AP555" s="2">
        <f t="shared" si="30"/>
      </c>
      <c r="AQ555" s="2">
        <f t="shared" si="31"/>
      </c>
    </row>
    <row r="556">
      <c r="A556" s="43">
        <f t="shared" si="3"/>
      </c>
      <c r="B556" s="44" t="n"/>
      <c r="C556" s="45" t="n"/>
      <c r="D556" s="46" t="n"/>
      <c r="E556" s="47" t="n"/>
      <c r="F556" s="47" t="n"/>
      <c r="G556" s="48">
        <f t="shared" si="4"/>
      </c>
      <c r="H556" s="43">
        <f t="shared" si="0"/>
      </c>
      <c r="I556" s="43">
        <f t="shared" si="5"/>
      </c>
      <c r="J556" s="43">
        <f t="shared" si="1"/>
      </c>
      <c r="K556" s="49">
        <f t="shared" si="2"/>
      </c>
      <c r="L556" s="45" t="n"/>
      <c r="M556" s="45" t="n"/>
      <c r="N556" s="45" t="n"/>
      <c r="O556" s="45" t="n"/>
      <c r="P556" s="50" t="n"/>
      <c r="R556" s="2">
        <f t="shared" si="6"/>
        <v>0</v>
      </c>
      <c r="S556" s="2">
        <f t="shared" si="7"/>
      </c>
      <c r="T556" s="2">
        <f t="shared" si="8"/>
      </c>
      <c r="U556" s="2">
        <f t="shared" si="9"/>
      </c>
      <c r="V556" s="2">
        <f t="shared" si="10"/>
      </c>
      <c r="W556" s="2">
        <f t="shared" si="11"/>
      </c>
      <c r="X556" s="2">
        <f t="shared" si="12"/>
      </c>
      <c r="Y556" s="2">
        <f t="shared" si="13"/>
        <v>0</v>
      </c>
      <c r="Z556" s="2">
        <f t="shared" si="14"/>
      </c>
      <c r="AA556" s="2">
        <f t="shared" si="15"/>
        <v>0</v>
      </c>
      <c r="AB556" s="2">
        <f t="shared" si="16"/>
      </c>
      <c r="AC556" s="2">
        <f t="shared" si="17"/>
      </c>
      <c r="AD556" s="2">
        <f t="shared" si="18"/>
      </c>
      <c r="AE556" s="2">
        <f t="shared" si="19"/>
      </c>
      <c r="AF556" s="2">
        <f t="shared" si="20"/>
      </c>
      <c r="AG556" s="2">
        <f t="shared" si="21"/>
      </c>
      <c r="AH556" s="2">
        <f t="shared" si="22"/>
      </c>
      <c r="AI556" s="2">
        <f t="shared" si="23"/>
      </c>
      <c r="AJ556" s="2">
        <f t="shared" si="24"/>
        <v>0</v>
      </c>
      <c r="AK556" s="2">
        <f t="shared" si="25"/>
        <v>0</v>
      </c>
      <c r="AL556" s="2">
        <f t="shared" si="26"/>
        <v>0</v>
      </c>
      <c r="AM556" s="2">
        <f t="shared" si="27"/>
        <v>0</v>
      </c>
      <c r="AN556" s="2">
        <f t="shared" si="28"/>
        <v>0</v>
      </c>
      <c r="AO556" s="2">
        <f t="shared" si="29"/>
      </c>
      <c r="AP556" s="2">
        <f t="shared" si="30"/>
      </c>
      <c r="AQ556" s="2">
        <f t="shared" si="31"/>
      </c>
    </row>
    <row r="557">
      <c r="A557" s="43">
        <f t="shared" si="3"/>
      </c>
      <c r="B557" s="44" t="n"/>
      <c r="C557" s="45" t="n"/>
      <c r="D557" s="46" t="n"/>
      <c r="E557" s="47" t="n"/>
      <c r="F557" s="47" t="n"/>
      <c r="G557" s="48">
        <f t="shared" si="4"/>
      </c>
      <c r="H557" s="43">
        <f t="shared" si="0"/>
      </c>
      <c r="I557" s="43">
        <f t="shared" si="5"/>
      </c>
      <c r="J557" s="43">
        <f t="shared" si="1"/>
      </c>
      <c r="K557" s="49">
        <f t="shared" si="2"/>
      </c>
      <c r="L557" s="45" t="n"/>
      <c r="M557" s="45" t="n"/>
      <c r="N557" s="45" t="n"/>
      <c r="O557" s="45" t="n"/>
      <c r="P557" s="50" t="n"/>
      <c r="R557" s="2">
        <f t="shared" si="6"/>
        <v>0</v>
      </c>
      <c r="S557" s="2">
        <f t="shared" si="7"/>
      </c>
      <c r="T557" s="2">
        <f t="shared" si="8"/>
      </c>
      <c r="U557" s="2">
        <f t="shared" si="9"/>
      </c>
      <c r="V557" s="2">
        <f t="shared" si="10"/>
      </c>
      <c r="W557" s="2">
        <f t="shared" si="11"/>
      </c>
      <c r="X557" s="2">
        <f t="shared" si="12"/>
      </c>
      <c r="Y557" s="2">
        <f t="shared" si="13"/>
        <v>0</v>
      </c>
      <c r="Z557" s="2">
        <f t="shared" si="14"/>
      </c>
      <c r="AA557" s="2">
        <f t="shared" si="15"/>
        <v>0</v>
      </c>
      <c r="AB557" s="2">
        <f t="shared" si="16"/>
      </c>
      <c r="AC557" s="2">
        <f t="shared" si="17"/>
      </c>
      <c r="AD557" s="2">
        <f t="shared" si="18"/>
      </c>
      <c r="AE557" s="2">
        <f t="shared" si="19"/>
      </c>
      <c r="AF557" s="2">
        <f t="shared" si="20"/>
      </c>
      <c r="AG557" s="2">
        <f t="shared" si="21"/>
      </c>
      <c r="AH557" s="2">
        <f t="shared" si="22"/>
      </c>
      <c r="AI557" s="2">
        <f t="shared" si="23"/>
      </c>
      <c r="AJ557" s="2">
        <f t="shared" si="24"/>
        <v>0</v>
      </c>
      <c r="AK557" s="2">
        <f t="shared" si="25"/>
        <v>0</v>
      </c>
      <c r="AL557" s="2">
        <f t="shared" si="26"/>
        <v>0</v>
      </c>
      <c r="AM557" s="2">
        <f t="shared" si="27"/>
        <v>0</v>
      </c>
      <c r="AN557" s="2">
        <f t="shared" si="28"/>
        <v>0</v>
      </c>
      <c r="AO557" s="2">
        <f t="shared" si="29"/>
      </c>
      <c r="AP557" s="2">
        <f t="shared" si="30"/>
      </c>
      <c r="AQ557" s="2">
        <f t="shared" si="31"/>
      </c>
    </row>
    <row r="558">
      <c r="A558" s="43">
        <f t="shared" si="3"/>
      </c>
      <c r="B558" s="44" t="n"/>
      <c r="C558" s="45" t="n"/>
      <c r="D558" s="46" t="n"/>
      <c r="E558" s="47" t="n"/>
      <c r="F558" s="47" t="n"/>
      <c r="G558" s="48">
        <f t="shared" si="4"/>
      </c>
      <c r="H558" s="43">
        <f t="shared" si="0"/>
      </c>
      <c r="I558" s="43">
        <f t="shared" si="5"/>
      </c>
      <c r="J558" s="43">
        <f t="shared" si="1"/>
      </c>
      <c r="K558" s="49">
        <f t="shared" si="2"/>
      </c>
      <c r="L558" s="45" t="n"/>
      <c r="M558" s="45" t="n"/>
      <c r="N558" s="45" t="n"/>
      <c r="O558" s="45" t="n"/>
      <c r="P558" s="50" t="n"/>
      <c r="R558" s="2">
        <f t="shared" si="6"/>
        <v>0</v>
      </c>
      <c r="S558" s="2">
        <f t="shared" si="7"/>
      </c>
      <c r="T558" s="2">
        <f t="shared" si="8"/>
      </c>
      <c r="U558" s="2">
        <f t="shared" si="9"/>
      </c>
      <c r="V558" s="2">
        <f t="shared" si="10"/>
      </c>
      <c r="W558" s="2">
        <f t="shared" si="11"/>
      </c>
      <c r="X558" s="2">
        <f t="shared" si="12"/>
      </c>
      <c r="Y558" s="2">
        <f t="shared" si="13"/>
        <v>0</v>
      </c>
      <c r="Z558" s="2">
        <f t="shared" si="14"/>
      </c>
      <c r="AA558" s="2">
        <f t="shared" si="15"/>
        <v>0</v>
      </c>
      <c r="AB558" s="2">
        <f t="shared" si="16"/>
      </c>
      <c r="AC558" s="2">
        <f t="shared" si="17"/>
      </c>
      <c r="AD558" s="2">
        <f t="shared" si="18"/>
      </c>
      <c r="AE558" s="2">
        <f t="shared" si="19"/>
      </c>
      <c r="AF558" s="2">
        <f t="shared" si="20"/>
      </c>
      <c r="AG558" s="2">
        <f t="shared" si="21"/>
      </c>
      <c r="AH558" s="2">
        <f t="shared" si="22"/>
      </c>
      <c r="AI558" s="2">
        <f t="shared" si="23"/>
      </c>
      <c r="AJ558" s="2">
        <f t="shared" si="24"/>
        <v>0</v>
      </c>
      <c r="AK558" s="2">
        <f t="shared" si="25"/>
        <v>0</v>
      </c>
      <c r="AL558" s="2">
        <f t="shared" si="26"/>
        <v>0</v>
      </c>
      <c r="AM558" s="2">
        <f t="shared" si="27"/>
        <v>0</v>
      </c>
      <c r="AN558" s="2">
        <f t="shared" si="28"/>
        <v>0</v>
      </c>
      <c r="AO558" s="2">
        <f t="shared" si="29"/>
      </c>
      <c r="AP558" s="2">
        <f t="shared" si="30"/>
      </c>
      <c r="AQ558" s="2">
        <f t="shared" si="31"/>
      </c>
    </row>
    <row r="559">
      <c r="A559" s="43">
        <f t="shared" si="3"/>
      </c>
      <c r="B559" s="44" t="n"/>
      <c r="C559" s="45" t="n"/>
      <c r="D559" s="46" t="n"/>
      <c r="E559" s="47" t="n"/>
      <c r="F559" s="47" t="n"/>
      <c r="G559" s="48">
        <f t="shared" si="4"/>
      </c>
      <c r="H559" s="43">
        <f t="shared" si="0"/>
      </c>
      <c r="I559" s="43">
        <f t="shared" si="5"/>
      </c>
      <c r="J559" s="43">
        <f t="shared" si="1"/>
      </c>
      <c r="K559" s="49">
        <f t="shared" si="2"/>
      </c>
      <c r="L559" s="45" t="n"/>
      <c r="M559" s="45" t="n"/>
      <c r="N559" s="45" t="n"/>
      <c r="O559" s="45" t="n"/>
      <c r="P559" s="50" t="n"/>
      <c r="R559" s="2">
        <f t="shared" si="6"/>
        <v>0</v>
      </c>
      <c r="S559" s="2">
        <f t="shared" si="7"/>
      </c>
      <c r="T559" s="2">
        <f t="shared" si="8"/>
      </c>
      <c r="U559" s="2">
        <f t="shared" si="9"/>
      </c>
      <c r="V559" s="2">
        <f t="shared" si="10"/>
      </c>
      <c r="W559" s="2">
        <f t="shared" si="11"/>
      </c>
      <c r="X559" s="2">
        <f t="shared" si="12"/>
      </c>
      <c r="Y559" s="2">
        <f t="shared" si="13"/>
        <v>0</v>
      </c>
      <c r="Z559" s="2">
        <f t="shared" si="14"/>
      </c>
      <c r="AA559" s="2">
        <f t="shared" si="15"/>
        <v>0</v>
      </c>
      <c r="AB559" s="2">
        <f t="shared" si="16"/>
      </c>
      <c r="AC559" s="2">
        <f t="shared" si="17"/>
      </c>
      <c r="AD559" s="2">
        <f t="shared" si="18"/>
      </c>
      <c r="AE559" s="2">
        <f t="shared" si="19"/>
      </c>
      <c r="AF559" s="2">
        <f t="shared" si="20"/>
      </c>
      <c r="AG559" s="2">
        <f t="shared" si="21"/>
      </c>
      <c r="AH559" s="2">
        <f t="shared" si="22"/>
      </c>
      <c r="AI559" s="2">
        <f t="shared" si="23"/>
      </c>
      <c r="AJ559" s="2">
        <f t="shared" si="24"/>
        <v>0</v>
      </c>
      <c r="AK559" s="2">
        <f t="shared" si="25"/>
        <v>0</v>
      </c>
      <c r="AL559" s="2">
        <f t="shared" si="26"/>
        <v>0</v>
      </c>
      <c r="AM559" s="2">
        <f t="shared" si="27"/>
        <v>0</v>
      </c>
      <c r="AN559" s="2">
        <f t="shared" si="28"/>
        <v>0</v>
      </c>
      <c r="AO559" s="2">
        <f t="shared" si="29"/>
      </c>
      <c r="AP559" s="2">
        <f t="shared" si="30"/>
      </c>
      <c r="AQ559" s="2">
        <f t="shared" si="31"/>
      </c>
    </row>
    <row r="560">
      <c r="A560" s="43">
        <f t="shared" si="3"/>
      </c>
      <c r="B560" s="44" t="n"/>
      <c r="C560" s="45" t="n"/>
      <c r="D560" s="46" t="n"/>
      <c r="E560" s="47" t="n"/>
      <c r="F560" s="47" t="n"/>
      <c r="G560" s="48">
        <f t="shared" si="4"/>
      </c>
      <c r="H560" s="43">
        <f t="shared" si="0"/>
      </c>
      <c r="I560" s="43">
        <f t="shared" si="5"/>
      </c>
      <c r="J560" s="43">
        <f t="shared" si="1"/>
      </c>
      <c r="K560" s="49">
        <f t="shared" si="2"/>
      </c>
      <c r="L560" s="45" t="n"/>
      <c r="M560" s="45" t="n"/>
      <c r="N560" s="45" t="n"/>
      <c r="O560" s="45" t="n"/>
      <c r="P560" s="50" t="n"/>
      <c r="R560" s="2">
        <f t="shared" si="6"/>
        <v>0</v>
      </c>
      <c r="S560" s="2">
        <f t="shared" si="7"/>
      </c>
      <c r="T560" s="2">
        <f t="shared" si="8"/>
      </c>
      <c r="U560" s="2">
        <f t="shared" si="9"/>
      </c>
      <c r="V560" s="2">
        <f t="shared" si="10"/>
      </c>
      <c r="W560" s="2">
        <f t="shared" si="11"/>
      </c>
      <c r="X560" s="2">
        <f t="shared" si="12"/>
      </c>
      <c r="Y560" s="2">
        <f t="shared" si="13"/>
        <v>0</v>
      </c>
      <c r="Z560" s="2">
        <f t="shared" si="14"/>
      </c>
      <c r="AA560" s="2">
        <f t="shared" si="15"/>
        <v>0</v>
      </c>
      <c r="AB560" s="2">
        <f t="shared" si="16"/>
      </c>
      <c r="AC560" s="2">
        <f t="shared" si="17"/>
      </c>
      <c r="AD560" s="2">
        <f t="shared" si="18"/>
      </c>
      <c r="AE560" s="2">
        <f t="shared" si="19"/>
      </c>
      <c r="AF560" s="2">
        <f t="shared" si="20"/>
      </c>
      <c r="AG560" s="2">
        <f t="shared" si="21"/>
      </c>
      <c r="AH560" s="2">
        <f t="shared" si="22"/>
      </c>
      <c r="AI560" s="2">
        <f t="shared" si="23"/>
      </c>
      <c r="AJ560" s="2">
        <f t="shared" si="24"/>
        <v>0</v>
      </c>
      <c r="AK560" s="2">
        <f t="shared" si="25"/>
        <v>0</v>
      </c>
      <c r="AL560" s="2">
        <f t="shared" si="26"/>
        <v>0</v>
      </c>
      <c r="AM560" s="2">
        <f t="shared" si="27"/>
        <v>0</v>
      </c>
      <c r="AN560" s="2">
        <f t="shared" si="28"/>
        <v>0</v>
      </c>
      <c r="AO560" s="2">
        <f t="shared" si="29"/>
      </c>
      <c r="AP560" s="2">
        <f t="shared" si="30"/>
      </c>
      <c r="AQ560" s="2">
        <f t="shared" si="31"/>
      </c>
    </row>
    <row r="561">
      <c r="A561" s="43">
        <f t="shared" si="3"/>
      </c>
      <c r="B561" s="44" t="n"/>
      <c r="C561" s="45" t="n"/>
      <c r="D561" s="46" t="n"/>
      <c r="E561" s="47" t="n"/>
      <c r="F561" s="47" t="n"/>
      <c r="G561" s="48">
        <f t="shared" si="4"/>
      </c>
      <c r="H561" s="43">
        <f t="shared" si="0"/>
      </c>
      <c r="I561" s="43">
        <f t="shared" si="5"/>
      </c>
      <c r="J561" s="43">
        <f t="shared" si="1"/>
      </c>
      <c r="K561" s="49">
        <f t="shared" si="2"/>
      </c>
      <c r="L561" s="45" t="n"/>
      <c r="M561" s="45" t="n"/>
      <c r="N561" s="45" t="n"/>
      <c r="O561" s="45" t="n"/>
      <c r="P561" s="50" t="n"/>
      <c r="R561" s="2">
        <f t="shared" si="6"/>
        <v>0</v>
      </c>
      <c r="S561" s="2">
        <f t="shared" si="7"/>
      </c>
      <c r="T561" s="2">
        <f t="shared" si="8"/>
      </c>
      <c r="U561" s="2">
        <f t="shared" si="9"/>
      </c>
      <c r="V561" s="2">
        <f t="shared" si="10"/>
      </c>
      <c r="W561" s="2">
        <f t="shared" si="11"/>
      </c>
      <c r="X561" s="2">
        <f t="shared" si="12"/>
      </c>
      <c r="Y561" s="2">
        <f t="shared" si="13"/>
        <v>0</v>
      </c>
      <c r="Z561" s="2">
        <f t="shared" si="14"/>
      </c>
      <c r="AA561" s="2">
        <f t="shared" si="15"/>
        <v>0</v>
      </c>
      <c r="AB561" s="2">
        <f t="shared" si="16"/>
      </c>
      <c r="AC561" s="2">
        <f t="shared" si="17"/>
      </c>
      <c r="AD561" s="2">
        <f t="shared" si="18"/>
      </c>
      <c r="AE561" s="2">
        <f t="shared" si="19"/>
      </c>
      <c r="AF561" s="2">
        <f t="shared" si="20"/>
      </c>
      <c r="AG561" s="2">
        <f t="shared" si="21"/>
      </c>
      <c r="AH561" s="2">
        <f t="shared" si="22"/>
      </c>
      <c r="AI561" s="2">
        <f t="shared" si="23"/>
      </c>
      <c r="AJ561" s="2">
        <f t="shared" si="24"/>
        <v>0</v>
      </c>
      <c r="AK561" s="2">
        <f t="shared" si="25"/>
        <v>0</v>
      </c>
      <c r="AL561" s="2">
        <f t="shared" si="26"/>
        <v>0</v>
      </c>
      <c r="AM561" s="2">
        <f t="shared" si="27"/>
        <v>0</v>
      </c>
      <c r="AN561" s="2">
        <f t="shared" si="28"/>
        <v>0</v>
      </c>
      <c r="AO561" s="2">
        <f t="shared" si="29"/>
      </c>
      <c r="AP561" s="2">
        <f t="shared" si="30"/>
      </c>
      <c r="AQ561" s="2">
        <f t="shared" si="31"/>
      </c>
    </row>
    <row r="562">
      <c r="A562" s="43">
        <f t="shared" si="3"/>
      </c>
      <c r="B562" s="44" t="n"/>
      <c r="C562" s="45" t="n"/>
      <c r="D562" s="46" t="n"/>
      <c r="E562" s="47" t="n"/>
      <c r="F562" s="47" t="n"/>
      <c r="G562" s="48">
        <f t="shared" si="4"/>
      </c>
      <c r="H562" s="43">
        <f t="shared" si="0"/>
      </c>
      <c r="I562" s="43">
        <f t="shared" si="5"/>
      </c>
      <c r="J562" s="43">
        <f t="shared" si="1"/>
      </c>
      <c r="K562" s="49">
        <f t="shared" si="2"/>
      </c>
      <c r="L562" s="45" t="n"/>
      <c r="M562" s="45" t="n"/>
      <c r="N562" s="45" t="n"/>
      <c r="O562" s="45" t="n"/>
      <c r="P562" s="50" t="n"/>
      <c r="R562" s="2">
        <f t="shared" si="6"/>
        <v>0</v>
      </c>
      <c r="S562" s="2">
        <f t="shared" si="7"/>
      </c>
      <c r="T562" s="2">
        <f t="shared" si="8"/>
      </c>
      <c r="U562" s="2">
        <f t="shared" si="9"/>
      </c>
      <c r="V562" s="2">
        <f t="shared" si="10"/>
      </c>
      <c r="W562" s="2">
        <f t="shared" si="11"/>
      </c>
      <c r="X562" s="2">
        <f t="shared" si="12"/>
      </c>
      <c r="Y562" s="2">
        <f t="shared" si="13"/>
        <v>0</v>
      </c>
      <c r="Z562" s="2">
        <f t="shared" si="14"/>
      </c>
      <c r="AA562" s="2">
        <f t="shared" si="15"/>
        <v>0</v>
      </c>
      <c r="AB562" s="2">
        <f t="shared" si="16"/>
      </c>
      <c r="AC562" s="2">
        <f t="shared" si="17"/>
      </c>
      <c r="AD562" s="2">
        <f t="shared" si="18"/>
      </c>
      <c r="AE562" s="2">
        <f t="shared" si="19"/>
      </c>
      <c r="AF562" s="2">
        <f t="shared" si="20"/>
      </c>
      <c r="AG562" s="2">
        <f t="shared" si="21"/>
      </c>
      <c r="AH562" s="2">
        <f t="shared" si="22"/>
      </c>
      <c r="AI562" s="2">
        <f t="shared" si="23"/>
      </c>
      <c r="AJ562" s="2">
        <f t="shared" si="24"/>
        <v>0</v>
      </c>
      <c r="AK562" s="2">
        <f t="shared" si="25"/>
        <v>0</v>
      </c>
      <c r="AL562" s="2">
        <f t="shared" si="26"/>
        <v>0</v>
      </c>
      <c r="AM562" s="2">
        <f t="shared" si="27"/>
        <v>0</v>
      </c>
      <c r="AN562" s="2">
        <f t="shared" si="28"/>
        <v>0</v>
      </c>
      <c r="AO562" s="2">
        <f t="shared" si="29"/>
      </c>
      <c r="AP562" s="2">
        <f t="shared" si="30"/>
      </c>
      <c r="AQ562" s="2">
        <f t="shared" si="31"/>
      </c>
    </row>
    <row r="563">
      <c r="A563" s="43">
        <f t="shared" si="3"/>
      </c>
      <c r="B563" s="44" t="n"/>
      <c r="C563" s="45" t="n"/>
      <c r="D563" s="46" t="n"/>
      <c r="E563" s="47" t="n"/>
      <c r="F563" s="47" t="n"/>
      <c r="G563" s="48">
        <f t="shared" si="4"/>
      </c>
      <c r="H563" s="43">
        <f t="shared" si="0"/>
      </c>
      <c r="I563" s="43">
        <f t="shared" si="5"/>
      </c>
      <c r="J563" s="43">
        <f t="shared" si="1"/>
      </c>
      <c r="K563" s="49">
        <f t="shared" si="2"/>
      </c>
      <c r="L563" s="45" t="n"/>
      <c r="M563" s="45" t="n"/>
      <c r="N563" s="45" t="n"/>
      <c r="O563" s="45" t="n"/>
      <c r="P563" s="50" t="n"/>
      <c r="R563" s="2">
        <f t="shared" si="6"/>
        <v>0</v>
      </c>
      <c r="S563" s="2">
        <f t="shared" si="7"/>
      </c>
      <c r="T563" s="2">
        <f t="shared" si="8"/>
      </c>
      <c r="U563" s="2">
        <f t="shared" si="9"/>
      </c>
      <c r="V563" s="2">
        <f t="shared" si="10"/>
      </c>
      <c r="W563" s="2">
        <f t="shared" si="11"/>
      </c>
      <c r="X563" s="2">
        <f t="shared" si="12"/>
      </c>
      <c r="Y563" s="2">
        <f t="shared" si="13"/>
        <v>0</v>
      </c>
      <c r="Z563" s="2">
        <f t="shared" si="14"/>
      </c>
      <c r="AA563" s="2">
        <f t="shared" si="15"/>
        <v>0</v>
      </c>
      <c r="AB563" s="2">
        <f t="shared" si="16"/>
      </c>
      <c r="AC563" s="2">
        <f t="shared" si="17"/>
      </c>
      <c r="AD563" s="2">
        <f t="shared" si="18"/>
      </c>
      <c r="AE563" s="2">
        <f t="shared" si="19"/>
      </c>
      <c r="AF563" s="2">
        <f t="shared" si="20"/>
      </c>
      <c r="AG563" s="2">
        <f t="shared" si="21"/>
      </c>
      <c r="AH563" s="2">
        <f t="shared" si="22"/>
      </c>
      <c r="AI563" s="2">
        <f t="shared" si="23"/>
      </c>
      <c r="AJ563" s="2">
        <f t="shared" si="24"/>
        <v>0</v>
      </c>
      <c r="AK563" s="2">
        <f t="shared" si="25"/>
        <v>0</v>
      </c>
      <c r="AL563" s="2">
        <f t="shared" si="26"/>
        <v>0</v>
      </c>
      <c r="AM563" s="2">
        <f t="shared" si="27"/>
        <v>0</v>
      </c>
      <c r="AN563" s="2">
        <f t="shared" si="28"/>
        <v>0</v>
      </c>
      <c r="AO563" s="2">
        <f t="shared" si="29"/>
      </c>
      <c r="AP563" s="2">
        <f t="shared" si="30"/>
      </c>
      <c r="AQ563" s="2">
        <f t="shared" si="31"/>
      </c>
    </row>
    <row r="564">
      <c r="A564" s="43">
        <f t="shared" si="3"/>
      </c>
      <c r="B564" s="44" t="n"/>
      <c r="C564" s="45" t="n"/>
      <c r="D564" s="46" t="n"/>
      <c r="E564" s="47" t="n"/>
      <c r="F564" s="47" t="n"/>
      <c r="G564" s="48">
        <f t="shared" si="4"/>
      </c>
      <c r="H564" s="43">
        <f t="shared" si="0"/>
      </c>
      <c r="I564" s="43">
        <f t="shared" si="5"/>
      </c>
      <c r="J564" s="43">
        <f t="shared" si="1"/>
      </c>
      <c r="K564" s="49">
        <f t="shared" si="2"/>
      </c>
      <c r="L564" s="45" t="n"/>
      <c r="M564" s="45" t="n"/>
      <c r="N564" s="45" t="n"/>
      <c r="O564" s="45" t="n"/>
      <c r="P564" s="50" t="n"/>
      <c r="R564" s="2">
        <f t="shared" si="6"/>
        <v>0</v>
      </c>
      <c r="S564" s="2">
        <f t="shared" si="7"/>
      </c>
      <c r="T564" s="2">
        <f t="shared" si="8"/>
      </c>
      <c r="U564" s="2">
        <f t="shared" si="9"/>
      </c>
      <c r="V564" s="2">
        <f t="shared" si="10"/>
      </c>
      <c r="W564" s="2">
        <f t="shared" si="11"/>
      </c>
      <c r="X564" s="2">
        <f t="shared" si="12"/>
      </c>
      <c r="Y564" s="2">
        <f t="shared" si="13"/>
        <v>0</v>
      </c>
      <c r="Z564" s="2">
        <f t="shared" si="14"/>
      </c>
      <c r="AA564" s="2">
        <f t="shared" si="15"/>
        <v>0</v>
      </c>
      <c r="AB564" s="2">
        <f t="shared" si="16"/>
      </c>
      <c r="AC564" s="2">
        <f t="shared" si="17"/>
      </c>
      <c r="AD564" s="2">
        <f t="shared" si="18"/>
      </c>
      <c r="AE564" s="2">
        <f t="shared" si="19"/>
      </c>
      <c r="AF564" s="2">
        <f t="shared" si="20"/>
      </c>
      <c r="AG564" s="2">
        <f t="shared" si="21"/>
      </c>
      <c r="AH564" s="2">
        <f t="shared" si="22"/>
      </c>
      <c r="AI564" s="2">
        <f t="shared" si="23"/>
      </c>
      <c r="AJ564" s="2">
        <f t="shared" si="24"/>
        <v>0</v>
      </c>
      <c r="AK564" s="2">
        <f t="shared" si="25"/>
        <v>0</v>
      </c>
      <c r="AL564" s="2">
        <f t="shared" si="26"/>
        <v>0</v>
      </c>
      <c r="AM564" s="2">
        <f t="shared" si="27"/>
        <v>0</v>
      </c>
      <c r="AN564" s="2">
        <f t="shared" si="28"/>
        <v>0</v>
      </c>
      <c r="AO564" s="2">
        <f t="shared" si="29"/>
      </c>
      <c r="AP564" s="2">
        <f t="shared" si="30"/>
      </c>
      <c r="AQ564" s="2">
        <f t="shared" si="31"/>
      </c>
    </row>
    <row r="565">
      <c r="A565" s="43">
        <f t="shared" si="3"/>
      </c>
      <c r="B565" s="44" t="n"/>
      <c r="C565" s="45" t="n"/>
      <c r="D565" s="46" t="n"/>
      <c r="E565" s="47" t="n"/>
      <c r="F565" s="47" t="n"/>
      <c r="G565" s="48">
        <f t="shared" si="4"/>
      </c>
      <c r="H565" s="43">
        <f t="shared" si="0"/>
      </c>
      <c r="I565" s="43">
        <f t="shared" si="5"/>
      </c>
      <c r="J565" s="43">
        <f t="shared" si="1"/>
      </c>
      <c r="K565" s="49">
        <f t="shared" si="2"/>
      </c>
      <c r="L565" s="45" t="n"/>
      <c r="M565" s="45" t="n"/>
      <c r="N565" s="45" t="n"/>
      <c r="O565" s="45" t="n"/>
      <c r="P565" s="50" t="n"/>
      <c r="R565" s="2">
        <f t="shared" si="6"/>
        <v>0</v>
      </c>
      <c r="S565" s="2">
        <f t="shared" si="7"/>
      </c>
      <c r="T565" s="2">
        <f t="shared" si="8"/>
      </c>
      <c r="U565" s="2">
        <f t="shared" si="9"/>
      </c>
      <c r="V565" s="2">
        <f t="shared" si="10"/>
      </c>
      <c r="W565" s="2">
        <f t="shared" si="11"/>
      </c>
      <c r="X565" s="2">
        <f t="shared" si="12"/>
      </c>
      <c r="Y565" s="2">
        <f t="shared" si="13"/>
        <v>0</v>
      </c>
      <c r="Z565" s="2">
        <f t="shared" si="14"/>
      </c>
      <c r="AA565" s="2">
        <f t="shared" si="15"/>
        <v>0</v>
      </c>
      <c r="AB565" s="2">
        <f t="shared" si="16"/>
      </c>
      <c r="AC565" s="2">
        <f t="shared" si="17"/>
      </c>
      <c r="AD565" s="2">
        <f t="shared" si="18"/>
      </c>
      <c r="AE565" s="2">
        <f t="shared" si="19"/>
      </c>
      <c r="AF565" s="2">
        <f t="shared" si="20"/>
      </c>
      <c r="AG565" s="2">
        <f t="shared" si="21"/>
      </c>
      <c r="AH565" s="2">
        <f t="shared" si="22"/>
      </c>
      <c r="AI565" s="2">
        <f t="shared" si="23"/>
      </c>
      <c r="AJ565" s="2">
        <f t="shared" si="24"/>
        <v>0</v>
      </c>
      <c r="AK565" s="2">
        <f t="shared" si="25"/>
        <v>0</v>
      </c>
      <c r="AL565" s="2">
        <f t="shared" si="26"/>
        <v>0</v>
      </c>
      <c r="AM565" s="2">
        <f t="shared" si="27"/>
        <v>0</v>
      </c>
      <c r="AN565" s="2">
        <f t="shared" si="28"/>
        <v>0</v>
      </c>
      <c r="AO565" s="2">
        <f t="shared" si="29"/>
      </c>
      <c r="AP565" s="2">
        <f t="shared" si="30"/>
      </c>
      <c r="AQ565" s="2">
        <f t="shared" si="31"/>
      </c>
    </row>
    <row r="566">
      <c r="A566" s="43">
        <f t="shared" si="3"/>
      </c>
      <c r="B566" s="44" t="n"/>
      <c r="C566" s="45" t="n"/>
      <c r="D566" s="46" t="n"/>
      <c r="E566" s="47" t="n"/>
      <c r="F566" s="47" t="n"/>
      <c r="G566" s="48">
        <f t="shared" si="4"/>
      </c>
      <c r="H566" s="43">
        <f t="shared" si="0"/>
      </c>
      <c r="I566" s="43">
        <f t="shared" si="5"/>
      </c>
      <c r="J566" s="43">
        <f t="shared" si="1"/>
      </c>
      <c r="K566" s="49">
        <f t="shared" si="2"/>
      </c>
      <c r="L566" s="45" t="n"/>
      <c r="M566" s="45" t="n"/>
      <c r="N566" s="45" t="n"/>
      <c r="O566" s="45" t="n"/>
      <c r="P566" s="50" t="n"/>
      <c r="R566" s="2">
        <f t="shared" si="6"/>
        <v>0</v>
      </c>
      <c r="S566" s="2">
        <f t="shared" si="7"/>
      </c>
      <c r="T566" s="2">
        <f t="shared" si="8"/>
      </c>
      <c r="U566" s="2">
        <f t="shared" si="9"/>
      </c>
      <c r="V566" s="2">
        <f t="shared" si="10"/>
      </c>
      <c r="W566" s="2">
        <f t="shared" si="11"/>
      </c>
      <c r="X566" s="2">
        <f t="shared" si="12"/>
      </c>
      <c r="Y566" s="2">
        <f t="shared" si="13"/>
        <v>0</v>
      </c>
      <c r="Z566" s="2">
        <f t="shared" si="14"/>
      </c>
      <c r="AA566" s="2">
        <f t="shared" si="15"/>
        <v>0</v>
      </c>
      <c r="AB566" s="2">
        <f t="shared" si="16"/>
      </c>
      <c r="AC566" s="2">
        <f t="shared" si="17"/>
      </c>
      <c r="AD566" s="2">
        <f t="shared" si="18"/>
      </c>
      <c r="AE566" s="2">
        <f t="shared" si="19"/>
      </c>
      <c r="AF566" s="2">
        <f t="shared" si="20"/>
      </c>
      <c r="AG566" s="2">
        <f t="shared" si="21"/>
      </c>
      <c r="AH566" s="2">
        <f t="shared" si="22"/>
      </c>
      <c r="AI566" s="2">
        <f t="shared" si="23"/>
      </c>
      <c r="AJ566" s="2">
        <f t="shared" si="24"/>
        <v>0</v>
      </c>
      <c r="AK566" s="2">
        <f t="shared" si="25"/>
        <v>0</v>
      </c>
      <c r="AL566" s="2">
        <f t="shared" si="26"/>
        <v>0</v>
      </c>
      <c r="AM566" s="2">
        <f t="shared" si="27"/>
        <v>0</v>
      </c>
      <c r="AN566" s="2">
        <f t="shared" si="28"/>
        <v>0</v>
      </c>
      <c r="AO566" s="2">
        <f t="shared" si="29"/>
      </c>
      <c r="AP566" s="2">
        <f t="shared" si="30"/>
      </c>
      <c r="AQ566" s="2">
        <f t="shared" si="31"/>
      </c>
    </row>
    <row r="567">
      <c r="A567" s="43">
        <f t="shared" si="3"/>
      </c>
      <c r="B567" s="44" t="n"/>
      <c r="C567" s="45" t="n"/>
      <c r="D567" s="46" t="n"/>
      <c r="E567" s="47" t="n"/>
      <c r="F567" s="47" t="n"/>
      <c r="G567" s="48">
        <f t="shared" si="4"/>
      </c>
      <c r="H567" s="43">
        <f t="shared" si="0"/>
      </c>
      <c r="I567" s="43">
        <f t="shared" si="5"/>
      </c>
      <c r="J567" s="43">
        <f t="shared" si="1"/>
      </c>
      <c r="K567" s="49">
        <f t="shared" si="2"/>
      </c>
      <c r="L567" s="45" t="n"/>
      <c r="M567" s="45" t="n"/>
      <c r="N567" s="45" t="n"/>
      <c r="O567" s="45" t="n"/>
      <c r="P567" s="50" t="n"/>
      <c r="R567" s="2">
        <f t="shared" si="6"/>
        <v>0</v>
      </c>
      <c r="S567" s="2">
        <f t="shared" si="7"/>
      </c>
      <c r="T567" s="2">
        <f t="shared" si="8"/>
      </c>
      <c r="U567" s="2">
        <f t="shared" si="9"/>
      </c>
      <c r="V567" s="2">
        <f t="shared" si="10"/>
      </c>
      <c r="W567" s="2">
        <f t="shared" si="11"/>
      </c>
      <c r="X567" s="2">
        <f t="shared" si="12"/>
      </c>
      <c r="Y567" s="2">
        <f t="shared" si="13"/>
        <v>0</v>
      </c>
      <c r="Z567" s="2">
        <f t="shared" si="14"/>
      </c>
      <c r="AA567" s="2">
        <f t="shared" si="15"/>
        <v>0</v>
      </c>
      <c r="AB567" s="2">
        <f t="shared" si="16"/>
      </c>
      <c r="AC567" s="2">
        <f t="shared" si="17"/>
      </c>
      <c r="AD567" s="2">
        <f t="shared" si="18"/>
      </c>
      <c r="AE567" s="2">
        <f t="shared" si="19"/>
      </c>
      <c r="AF567" s="2">
        <f t="shared" si="20"/>
      </c>
      <c r="AG567" s="2">
        <f t="shared" si="21"/>
      </c>
      <c r="AH567" s="2">
        <f t="shared" si="22"/>
      </c>
      <c r="AI567" s="2">
        <f t="shared" si="23"/>
      </c>
      <c r="AJ567" s="2">
        <f t="shared" si="24"/>
        <v>0</v>
      </c>
      <c r="AK567" s="2">
        <f t="shared" si="25"/>
        <v>0</v>
      </c>
      <c r="AL567" s="2">
        <f t="shared" si="26"/>
        <v>0</v>
      </c>
      <c r="AM567" s="2">
        <f t="shared" si="27"/>
        <v>0</v>
      </c>
      <c r="AN567" s="2">
        <f t="shared" si="28"/>
        <v>0</v>
      </c>
      <c r="AO567" s="2">
        <f t="shared" si="29"/>
      </c>
      <c r="AP567" s="2">
        <f t="shared" si="30"/>
      </c>
      <c r="AQ567" s="2">
        <f t="shared" si="31"/>
      </c>
    </row>
    <row r="568">
      <c r="A568" s="43">
        <f t="shared" si="3"/>
      </c>
      <c r="B568" s="44" t="n"/>
      <c r="C568" s="45" t="n"/>
      <c r="D568" s="46" t="n"/>
      <c r="E568" s="47" t="n"/>
      <c r="F568" s="47" t="n"/>
      <c r="G568" s="48">
        <f t="shared" si="4"/>
      </c>
      <c r="H568" s="43">
        <f t="shared" si="0"/>
      </c>
      <c r="I568" s="43">
        <f t="shared" si="5"/>
      </c>
      <c r="J568" s="43">
        <f t="shared" si="1"/>
      </c>
      <c r="K568" s="49">
        <f t="shared" si="2"/>
      </c>
      <c r="L568" s="45" t="n"/>
      <c r="M568" s="45" t="n"/>
      <c r="N568" s="45" t="n"/>
      <c r="O568" s="45" t="n"/>
      <c r="P568" s="50" t="n"/>
      <c r="R568" s="2">
        <f t="shared" si="6"/>
        <v>0</v>
      </c>
      <c r="S568" s="2">
        <f t="shared" si="7"/>
      </c>
      <c r="T568" s="2">
        <f t="shared" si="8"/>
      </c>
      <c r="U568" s="2">
        <f t="shared" si="9"/>
      </c>
      <c r="V568" s="2">
        <f t="shared" si="10"/>
      </c>
      <c r="W568" s="2">
        <f t="shared" si="11"/>
      </c>
      <c r="X568" s="2">
        <f t="shared" si="12"/>
      </c>
      <c r="Y568" s="2">
        <f t="shared" si="13"/>
        <v>0</v>
      </c>
      <c r="Z568" s="2">
        <f t="shared" si="14"/>
      </c>
      <c r="AA568" s="2">
        <f t="shared" si="15"/>
        <v>0</v>
      </c>
      <c r="AB568" s="2">
        <f t="shared" si="16"/>
      </c>
      <c r="AC568" s="2">
        <f t="shared" si="17"/>
      </c>
      <c r="AD568" s="2">
        <f t="shared" si="18"/>
      </c>
      <c r="AE568" s="2">
        <f t="shared" si="19"/>
      </c>
      <c r="AF568" s="2">
        <f t="shared" si="20"/>
      </c>
      <c r="AG568" s="2">
        <f t="shared" si="21"/>
      </c>
      <c r="AH568" s="2">
        <f t="shared" si="22"/>
      </c>
      <c r="AI568" s="2">
        <f t="shared" si="23"/>
      </c>
      <c r="AJ568" s="2">
        <f t="shared" si="24"/>
        <v>0</v>
      </c>
      <c r="AK568" s="2">
        <f t="shared" si="25"/>
        <v>0</v>
      </c>
      <c r="AL568" s="2">
        <f t="shared" si="26"/>
        <v>0</v>
      </c>
      <c r="AM568" s="2">
        <f t="shared" si="27"/>
        <v>0</v>
      </c>
      <c r="AN568" s="2">
        <f t="shared" si="28"/>
        <v>0</v>
      </c>
      <c r="AO568" s="2">
        <f t="shared" si="29"/>
      </c>
      <c r="AP568" s="2">
        <f t="shared" si="30"/>
      </c>
      <c r="AQ568" s="2">
        <f t="shared" si="31"/>
      </c>
    </row>
    <row r="569">
      <c r="A569" s="43">
        <f t="shared" si="3"/>
      </c>
      <c r="B569" s="44" t="n"/>
      <c r="C569" s="45" t="n"/>
      <c r="D569" s="46" t="n"/>
      <c r="E569" s="47" t="n"/>
      <c r="F569" s="47" t="n"/>
      <c r="G569" s="48">
        <f t="shared" si="4"/>
      </c>
      <c r="H569" s="43">
        <f t="shared" si="0"/>
      </c>
      <c r="I569" s="43">
        <f t="shared" si="5"/>
      </c>
      <c r="J569" s="43">
        <f t="shared" si="1"/>
      </c>
      <c r="K569" s="49">
        <f t="shared" si="2"/>
      </c>
      <c r="L569" s="45" t="n"/>
      <c r="M569" s="45" t="n"/>
      <c r="N569" s="45" t="n"/>
      <c r="O569" s="45" t="n"/>
      <c r="P569" s="50" t="n"/>
      <c r="R569" s="2">
        <f t="shared" si="6"/>
        <v>0</v>
      </c>
      <c r="S569" s="2">
        <f t="shared" si="7"/>
      </c>
      <c r="T569" s="2">
        <f t="shared" si="8"/>
      </c>
      <c r="U569" s="2">
        <f t="shared" si="9"/>
      </c>
      <c r="V569" s="2">
        <f t="shared" si="10"/>
      </c>
      <c r="W569" s="2">
        <f t="shared" si="11"/>
      </c>
      <c r="X569" s="2">
        <f t="shared" si="12"/>
      </c>
      <c r="Y569" s="2">
        <f t="shared" si="13"/>
        <v>0</v>
      </c>
      <c r="Z569" s="2">
        <f t="shared" si="14"/>
      </c>
      <c r="AA569" s="2">
        <f t="shared" si="15"/>
        <v>0</v>
      </c>
      <c r="AB569" s="2">
        <f t="shared" si="16"/>
      </c>
      <c r="AC569" s="2">
        <f t="shared" si="17"/>
      </c>
      <c r="AD569" s="2">
        <f t="shared" si="18"/>
      </c>
      <c r="AE569" s="2">
        <f t="shared" si="19"/>
      </c>
      <c r="AF569" s="2">
        <f t="shared" si="20"/>
      </c>
      <c r="AG569" s="2">
        <f t="shared" si="21"/>
      </c>
      <c r="AH569" s="2">
        <f t="shared" si="22"/>
      </c>
      <c r="AI569" s="2">
        <f t="shared" si="23"/>
      </c>
      <c r="AJ569" s="2">
        <f t="shared" si="24"/>
        <v>0</v>
      </c>
      <c r="AK569" s="2">
        <f t="shared" si="25"/>
        <v>0</v>
      </c>
      <c r="AL569" s="2">
        <f t="shared" si="26"/>
        <v>0</v>
      </c>
      <c r="AM569" s="2">
        <f t="shared" si="27"/>
        <v>0</v>
      </c>
      <c r="AN569" s="2">
        <f t="shared" si="28"/>
        <v>0</v>
      </c>
      <c r="AO569" s="2">
        <f t="shared" si="29"/>
      </c>
      <c r="AP569" s="2">
        <f t="shared" si="30"/>
      </c>
      <c r="AQ569" s="2">
        <f t="shared" si="31"/>
      </c>
    </row>
    <row r="570">
      <c r="A570" s="43">
        <f t="shared" si="3"/>
      </c>
      <c r="B570" s="44" t="n"/>
      <c r="C570" s="45" t="n"/>
      <c r="D570" s="46" t="n"/>
      <c r="E570" s="47" t="n"/>
      <c r="F570" s="47" t="n"/>
      <c r="G570" s="48">
        <f t="shared" si="4"/>
      </c>
      <c r="H570" s="43">
        <f t="shared" si="0"/>
      </c>
      <c r="I570" s="43">
        <f t="shared" si="5"/>
      </c>
      <c r="J570" s="43">
        <f t="shared" si="1"/>
      </c>
      <c r="K570" s="49">
        <f t="shared" si="2"/>
      </c>
      <c r="L570" s="45" t="n"/>
      <c r="M570" s="45" t="n"/>
      <c r="N570" s="45" t="n"/>
      <c r="O570" s="45" t="n"/>
      <c r="P570" s="50" t="n"/>
      <c r="R570" s="2">
        <f t="shared" si="6"/>
        <v>0</v>
      </c>
      <c r="S570" s="2">
        <f t="shared" si="7"/>
      </c>
      <c r="T570" s="2">
        <f t="shared" si="8"/>
      </c>
      <c r="U570" s="2">
        <f t="shared" si="9"/>
      </c>
      <c r="V570" s="2">
        <f t="shared" si="10"/>
      </c>
      <c r="W570" s="2">
        <f t="shared" si="11"/>
      </c>
      <c r="X570" s="2">
        <f t="shared" si="12"/>
      </c>
      <c r="Y570" s="2">
        <f t="shared" si="13"/>
        <v>0</v>
      </c>
      <c r="Z570" s="2">
        <f t="shared" si="14"/>
      </c>
      <c r="AA570" s="2">
        <f t="shared" si="15"/>
        <v>0</v>
      </c>
      <c r="AB570" s="2">
        <f t="shared" si="16"/>
      </c>
      <c r="AC570" s="2">
        <f t="shared" si="17"/>
      </c>
      <c r="AD570" s="2">
        <f t="shared" si="18"/>
      </c>
      <c r="AE570" s="2">
        <f t="shared" si="19"/>
      </c>
      <c r="AF570" s="2">
        <f t="shared" si="20"/>
      </c>
      <c r="AG570" s="2">
        <f t="shared" si="21"/>
      </c>
      <c r="AH570" s="2">
        <f t="shared" si="22"/>
      </c>
      <c r="AI570" s="2">
        <f t="shared" si="23"/>
      </c>
      <c r="AJ570" s="2">
        <f t="shared" si="24"/>
        <v>0</v>
      </c>
      <c r="AK570" s="2">
        <f t="shared" si="25"/>
        <v>0</v>
      </c>
      <c r="AL570" s="2">
        <f t="shared" si="26"/>
        <v>0</v>
      </c>
      <c r="AM570" s="2">
        <f t="shared" si="27"/>
        <v>0</v>
      </c>
      <c r="AN570" s="2">
        <f t="shared" si="28"/>
        <v>0</v>
      </c>
      <c r="AO570" s="2">
        <f t="shared" si="29"/>
      </c>
      <c r="AP570" s="2">
        <f t="shared" si="30"/>
      </c>
      <c r="AQ570" s="2">
        <f t="shared" si="31"/>
      </c>
    </row>
    <row r="571">
      <c r="A571" s="43">
        <f t="shared" si="3"/>
      </c>
      <c r="B571" s="44" t="n"/>
      <c r="C571" s="45" t="n"/>
      <c r="D571" s="46" t="n"/>
      <c r="E571" s="47" t="n"/>
      <c r="F571" s="47" t="n"/>
      <c r="G571" s="48">
        <f t="shared" si="4"/>
      </c>
      <c r="H571" s="43">
        <f t="shared" si="0"/>
      </c>
      <c r="I571" s="43">
        <f t="shared" si="5"/>
      </c>
      <c r="J571" s="43">
        <f t="shared" si="1"/>
      </c>
      <c r="K571" s="49">
        <f t="shared" si="2"/>
      </c>
      <c r="L571" s="45" t="n"/>
      <c r="M571" s="45" t="n"/>
      <c r="N571" s="45" t="n"/>
      <c r="O571" s="45" t="n"/>
      <c r="P571" s="50" t="n"/>
      <c r="R571" s="2">
        <f t="shared" si="6"/>
        <v>0</v>
      </c>
      <c r="S571" s="2">
        <f t="shared" si="7"/>
      </c>
      <c r="T571" s="2">
        <f t="shared" si="8"/>
      </c>
      <c r="U571" s="2">
        <f t="shared" si="9"/>
      </c>
      <c r="V571" s="2">
        <f t="shared" si="10"/>
      </c>
      <c r="W571" s="2">
        <f t="shared" si="11"/>
      </c>
      <c r="X571" s="2">
        <f t="shared" si="12"/>
      </c>
      <c r="Y571" s="2">
        <f t="shared" si="13"/>
        <v>0</v>
      </c>
      <c r="Z571" s="2">
        <f t="shared" si="14"/>
      </c>
      <c r="AA571" s="2">
        <f t="shared" si="15"/>
        <v>0</v>
      </c>
      <c r="AB571" s="2">
        <f t="shared" si="16"/>
      </c>
      <c r="AC571" s="2">
        <f t="shared" si="17"/>
      </c>
      <c r="AD571" s="2">
        <f t="shared" si="18"/>
      </c>
      <c r="AE571" s="2">
        <f t="shared" si="19"/>
      </c>
      <c r="AF571" s="2">
        <f t="shared" si="20"/>
      </c>
      <c r="AG571" s="2">
        <f t="shared" si="21"/>
      </c>
      <c r="AH571" s="2">
        <f t="shared" si="22"/>
      </c>
      <c r="AI571" s="2">
        <f t="shared" si="23"/>
      </c>
      <c r="AJ571" s="2">
        <f t="shared" si="24"/>
        <v>0</v>
      </c>
      <c r="AK571" s="2">
        <f t="shared" si="25"/>
        <v>0</v>
      </c>
      <c r="AL571" s="2">
        <f t="shared" si="26"/>
        <v>0</v>
      </c>
      <c r="AM571" s="2">
        <f t="shared" si="27"/>
        <v>0</v>
      </c>
      <c r="AN571" s="2">
        <f t="shared" si="28"/>
        <v>0</v>
      </c>
      <c r="AO571" s="2">
        <f t="shared" si="29"/>
      </c>
      <c r="AP571" s="2">
        <f t="shared" si="30"/>
      </c>
      <c r="AQ571" s="2">
        <f t="shared" si="31"/>
      </c>
    </row>
    <row r="572">
      <c r="A572" s="43">
        <f t="shared" si="3"/>
      </c>
      <c r="B572" s="44" t="n"/>
      <c r="C572" s="45" t="n"/>
      <c r="D572" s="46" t="n"/>
      <c r="E572" s="47" t="n"/>
      <c r="F572" s="47" t="n"/>
      <c r="G572" s="48">
        <f t="shared" si="4"/>
      </c>
      <c r="H572" s="43">
        <f t="shared" si="0"/>
      </c>
      <c r="I572" s="43">
        <f t="shared" si="5"/>
      </c>
      <c r="J572" s="43">
        <f t="shared" si="1"/>
      </c>
      <c r="K572" s="49">
        <f t="shared" si="2"/>
      </c>
      <c r="L572" s="45" t="n"/>
      <c r="M572" s="45" t="n"/>
      <c r="N572" s="45" t="n"/>
      <c r="O572" s="45" t="n"/>
      <c r="P572" s="50" t="n"/>
      <c r="R572" s="2">
        <f t="shared" si="6"/>
        <v>0</v>
      </c>
      <c r="S572" s="2">
        <f t="shared" si="7"/>
      </c>
      <c r="T572" s="2">
        <f t="shared" si="8"/>
      </c>
      <c r="U572" s="2">
        <f t="shared" si="9"/>
      </c>
      <c r="V572" s="2">
        <f t="shared" si="10"/>
      </c>
      <c r="W572" s="2">
        <f t="shared" si="11"/>
      </c>
      <c r="X572" s="2">
        <f t="shared" si="12"/>
      </c>
      <c r="Y572" s="2">
        <f t="shared" si="13"/>
        <v>0</v>
      </c>
      <c r="Z572" s="2">
        <f t="shared" si="14"/>
      </c>
      <c r="AA572" s="2">
        <f t="shared" si="15"/>
        <v>0</v>
      </c>
      <c r="AB572" s="2">
        <f t="shared" si="16"/>
      </c>
      <c r="AC572" s="2">
        <f t="shared" si="17"/>
      </c>
      <c r="AD572" s="2">
        <f t="shared" si="18"/>
      </c>
      <c r="AE572" s="2">
        <f t="shared" si="19"/>
      </c>
      <c r="AF572" s="2">
        <f t="shared" si="20"/>
      </c>
      <c r="AG572" s="2">
        <f t="shared" si="21"/>
      </c>
      <c r="AH572" s="2">
        <f t="shared" si="22"/>
      </c>
      <c r="AI572" s="2">
        <f t="shared" si="23"/>
      </c>
      <c r="AJ572" s="2">
        <f t="shared" si="24"/>
        <v>0</v>
      </c>
      <c r="AK572" s="2">
        <f t="shared" si="25"/>
        <v>0</v>
      </c>
      <c r="AL572" s="2">
        <f t="shared" si="26"/>
        <v>0</v>
      </c>
      <c r="AM572" s="2">
        <f t="shared" si="27"/>
        <v>0</v>
      </c>
      <c r="AN572" s="2">
        <f t="shared" si="28"/>
        <v>0</v>
      </c>
      <c r="AO572" s="2">
        <f t="shared" si="29"/>
      </c>
      <c r="AP572" s="2">
        <f t="shared" si="30"/>
      </c>
      <c r="AQ572" s="2">
        <f t="shared" si="31"/>
      </c>
    </row>
    <row r="573">
      <c r="A573" s="43">
        <f t="shared" si="3"/>
      </c>
      <c r="B573" s="44" t="n"/>
      <c r="C573" s="45" t="n"/>
      <c r="D573" s="46" t="n"/>
      <c r="E573" s="47" t="n"/>
      <c r="F573" s="47" t="n"/>
      <c r="G573" s="48">
        <f t="shared" si="4"/>
      </c>
      <c r="H573" s="43">
        <f t="shared" si="0"/>
      </c>
      <c r="I573" s="43">
        <f t="shared" si="5"/>
      </c>
      <c r="J573" s="43">
        <f t="shared" si="1"/>
      </c>
      <c r="K573" s="49">
        <f t="shared" si="2"/>
      </c>
      <c r="L573" s="45" t="n"/>
      <c r="M573" s="45" t="n"/>
      <c r="N573" s="45" t="n"/>
      <c r="O573" s="45" t="n"/>
      <c r="P573" s="50" t="n"/>
      <c r="R573" s="2">
        <f t="shared" si="6"/>
        <v>0</v>
      </c>
      <c r="S573" s="2">
        <f t="shared" si="7"/>
      </c>
      <c r="T573" s="2">
        <f t="shared" si="8"/>
      </c>
      <c r="U573" s="2">
        <f t="shared" si="9"/>
      </c>
      <c r="V573" s="2">
        <f t="shared" si="10"/>
      </c>
      <c r="W573" s="2">
        <f t="shared" si="11"/>
      </c>
      <c r="X573" s="2">
        <f t="shared" si="12"/>
      </c>
      <c r="Y573" s="2">
        <f t="shared" si="13"/>
        <v>0</v>
      </c>
      <c r="Z573" s="2">
        <f t="shared" si="14"/>
      </c>
      <c r="AA573" s="2">
        <f t="shared" si="15"/>
        <v>0</v>
      </c>
      <c r="AB573" s="2">
        <f t="shared" si="16"/>
      </c>
      <c r="AC573" s="2">
        <f t="shared" si="17"/>
      </c>
      <c r="AD573" s="2">
        <f t="shared" si="18"/>
      </c>
      <c r="AE573" s="2">
        <f t="shared" si="19"/>
      </c>
      <c r="AF573" s="2">
        <f t="shared" si="20"/>
      </c>
      <c r="AG573" s="2">
        <f t="shared" si="21"/>
      </c>
      <c r="AH573" s="2">
        <f t="shared" si="22"/>
      </c>
      <c r="AI573" s="2">
        <f t="shared" si="23"/>
      </c>
      <c r="AJ573" s="2">
        <f t="shared" si="24"/>
        <v>0</v>
      </c>
      <c r="AK573" s="2">
        <f t="shared" si="25"/>
        <v>0</v>
      </c>
      <c r="AL573" s="2">
        <f t="shared" si="26"/>
        <v>0</v>
      </c>
      <c r="AM573" s="2">
        <f t="shared" si="27"/>
        <v>0</v>
      </c>
      <c r="AN573" s="2">
        <f t="shared" si="28"/>
        <v>0</v>
      </c>
      <c r="AO573" s="2">
        <f t="shared" si="29"/>
      </c>
      <c r="AP573" s="2">
        <f t="shared" si="30"/>
      </c>
      <c r="AQ573" s="2">
        <f t="shared" si="31"/>
      </c>
    </row>
    <row r="574">
      <c r="A574" s="43">
        <f t="shared" si="3"/>
      </c>
      <c r="B574" s="44" t="n"/>
      <c r="C574" s="45" t="n"/>
      <c r="D574" s="46" t="n"/>
      <c r="E574" s="47" t="n"/>
      <c r="F574" s="47" t="n"/>
      <c r="G574" s="48">
        <f t="shared" si="4"/>
      </c>
      <c r="H574" s="43">
        <f t="shared" si="0"/>
      </c>
      <c r="I574" s="43">
        <f t="shared" si="5"/>
      </c>
      <c r="J574" s="43">
        <f t="shared" si="1"/>
      </c>
      <c r="K574" s="49">
        <f t="shared" si="2"/>
      </c>
      <c r="L574" s="45" t="n"/>
      <c r="M574" s="45" t="n"/>
      <c r="N574" s="45" t="n"/>
      <c r="O574" s="45" t="n"/>
      <c r="P574" s="50" t="n"/>
      <c r="R574" s="2">
        <f t="shared" si="6"/>
        <v>0</v>
      </c>
      <c r="S574" s="2">
        <f t="shared" si="7"/>
      </c>
      <c r="T574" s="2">
        <f t="shared" si="8"/>
      </c>
      <c r="U574" s="2">
        <f t="shared" si="9"/>
      </c>
      <c r="V574" s="2">
        <f t="shared" si="10"/>
      </c>
      <c r="W574" s="2">
        <f t="shared" si="11"/>
      </c>
      <c r="X574" s="2">
        <f t="shared" si="12"/>
      </c>
      <c r="Y574" s="2">
        <f t="shared" si="13"/>
        <v>0</v>
      </c>
      <c r="Z574" s="2">
        <f t="shared" si="14"/>
      </c>
      <c r="AA574" s="2">
        <f t="shared" si="15"/>
        <v>0</v>
      </c>
      <c r="AB574" s="2">
        <f t="shared" si="16"/>
      </c>
      <c r="AC574" s="2">
        <f t="shared" si="17"/>
      </c>
      <c r="AD574" s="2">
        <f t="shared" si="18"/>
      </c>
      <c r="AE574" s="2">
        <f t="shared" si="19"/>
      </c>
      <c r="AF574" s="2">
        <f t="shared" si="20"/>
      </c>
      <c r="AG574" s="2">
        <f t="shared" si="21"/>
      </c>
      <c r="AH574" s="2">
        <f t="shared" si="22"/>
      </c>
      <c r="AI574" s="2">
        <f t="shared" si="23"/>
      </c>
      <c r="AJ574" s="2">
        <f t="shared" si="24"/>
        <v>0</v>
      </c>
      <c r="AK574" s="2">
        <f t="shared" si="25"/>
        <v>0</v>
      </c>
      <c r="AL574" s="2">
        <f t="shared" si="26"/>
        <v>0</v>
      </c>
      <c r="AM574" s="2">
        <f t="shared" si="27"/>
        <v>0</v>
      </c>
      <c r="AN574" s="2">
        <f t="shared" si="28"/>
        <v>0</v>
      </c>
      <c r="AO574" s="2">
        <f t="shared" si="29"/>
      </c>
      <c r="AP574" s="2">
        <f t="shared" si="30"/>
      </c>
      <c r="AQ574" s="2">
        <f t="shared" si="31"/>
      </c>
    </row>
    <row r="575">
      <c r="A575" s="43">
        <f t="shared" si="3"/>
      </c>
      <c r="B575" s="44" t="n"/>
      <c r="C575" s="45" t="n"/>
      <c r="D575" s="46" t="n"/>
      <c r="E575" s="47" t="n"/>
      <c r="F575" s="47" t="n"/>
      <c r="G575" s="48">
        <f t="shared" si="4"/>
      </c>
      <c r="H575" s="43">
        <f t="shared" si="0"/>
      </c>
      <c r="I575" s="43">
        <f t="shared" si="5"/>
      </c>
      <c r="J575" s="43">
        <f t="shared" si="1"/>
      </c>
      <c r="K575" s="49">
        <f t="shared" si="2"/>
      </c>
      <c r="L575" s="45" t="n"/>
      <c r="M575" s="45" t="n"/>
      <c r="N575" s="45" t="n"/>
      <c r="O575" s="45" t="n"/>
      <c r="P575" s="50" t="n"/>
      <c r="R575" s="2">
        <f t="shared" si="6"/>
        <v>0</v>
      </c>
      <c r="S575" s="2">
        <f t="shared" si="7"/>
      </c>
      <c r="T575" s="2">
        <f t="shared" si="8"/>
      </c>
      <c r="U575" s="2">
        <f t="shared" si="9"/>
      </c>
      <c r="V575" s="2">
        <f t="shared" si="10"/>
      </c>
      <c r="W575" s="2">
        <f t="shared" si="11"/>
      </c>
      <c r="X575" s="2">
        <f t="shared" si="12"/>
      </c>
      <c r="Y575" s="2">
        <f t="shared" si="13"/>
        <v>0</v>
      </c>
      <c r="Z575" s="2">
        <f t="shared" si="14"/>
      </c>
      <c r="AA575" s="2">
        <f t="shared" si="15"/>
        <v>0</v>
      </c>
      <c r="AB575" s="2">
        <f t="shared" si="16"/>
      </c>
      <c r="AC575" s="2">
        <f t="shared" si="17"/>
      </c>
      <c r="AD575" s="2">
        <f t="shared" si="18"/>
      </c>
      <c r="AE575" s="2">
        <f t="shared" si="19"/>
      </c>
      <c r="AF575" s="2">
        <f t="shared" si="20"/>
      </c>
      <c r="AG575" s="2">
        <f t="shared" si="21"/>
      </c>
      <c r="AH575" s="2">
        <f t="shared" si="22"/>
      </c>
      <c r="AI575" s="2">
        <f t="shared" si="23"/>
      </c>
      <c r="AJ575" s="2">
        <f t="shared" si="24"/>
        <v>0</v>
      </c>
      <c r="AK575" s="2">
        <f t="shared" si="25"/>
        <v>0</v>
      </c>
      <c r="AL575" s="2">
        <f t="shared" si="26"/>
        <v>0</v>
      </c>
      <c r="AM575" s="2">
        <f t="shared" si="27"/>
        <v>0</v>
      </c>
      <c r="AN575" s="2">
        <f t="shared" si="28"/>
        <v>0</v>
      </c>
      <c r="AO575" s="2">
        <f t="shared" si="29"/>
      </c>
      <c r="AP575" s="2">
        <f t="shared" si="30"/>
      </c>
      <c r="AQ575" s="2">
        <f t="shared" si="31"/>
      </c>
    </row>
    <row r="576">
      <c r="A576" s="43">
        <f t="shared" si="3"/>
      </c>
      <c r="B576" s="44" t="n"/>
      <c r="C576" s="45" t="n"/>
      <c r="D576" s="46" t="n"/>
      <c r="E576" s="47" t="n"/>
      <c r="F576" s="47" t="n"/>
      <c r="G576" s="48">
        <f t="shared" si="4"/>
      </c>
      <c r="H576" s="43">
        <f t="shared" si="0"/>
      </c>
      <c r="I576" s="43">
        <f t="shared" si="5"/>
      </c>
      <c r="J576" s="43">
        <f t="shared" si="1"/>
      </c>
      <c r="K576" s="49">
        <f t="shared" si="2"/>
      </c>
      <c r="L576" s="45" t="n"/>
      <c r="M576" s="45" t="n"/>
      <c r="N576" s="45" t="n"/>
      <c r="O576" s="45" t="n"/>
      <c r="P576" s="50" t="n"/>
      <c r="R576" s="2">
        <f t="shared" si="6"/>
        <v>0</v>
      </c>
      <c r="S576" s="2">
        <f t="shared" si="7"/>
      </c>
      <c r="T576" s="2">
        <f t="shared" si="8"/>
      </c>
      <c r="U576" s="2">
        <f t="shared" si="9"/>
      </c>
      <c r="V576" s="2">
        <f t="shared" si="10"/>
      </c>
      <c r="W576" s="2">
        <f t="shared" si="11"/>
      </c>
      <c r="X576" s="2">
        <f t="shared" si="12"/>
      </c>
      <c r="Y576" s="2">
        <f t="shared" si="13"/>
        <v>0</v>
      </c>
      <c r="Z576" s="2">
        <f t="shared" si="14"/>
      </c>
      <c r="AA576" s="2">
        <f t="shared" si="15"/>
        <v>0</v>
      </c>
      <c r="AB576" s="2">
        <f t="shared" si="16"/>
      </c>
      <c r="AC576" s="2">
        <f t="shared" si="17"/>
      </c>
      <c r="AD576" s="2">
        <f t="shared" si="18"/>
      </c>
      <c r="AE576" s="2">
        <f t="shared" si="19"/>
      </c>
      <c r="AF576" s="2">
        <f t="shared" si="20"/>
      </c>
      <c r="AG576" s="2">
        <f t="shared" si="21"/>
      </c>
      <c r="AH576" s="2">
        <f t="shared" si="22"/>
      </c>
      <c r="AI576" s="2">
        <f t="shared" si="23"/>
      </c>
      <c r="AJ576" s="2">
        <f t="shared" si="24"/>
        <v>0</v>
      </c>
      <c r="AK576" s="2">
        <f t="shared" si="25"/>
        <v>0</v>
      </c>
      <c r="AL576" s="2">
        <f t="shared" si="26"/>
        <v>0</v>
      </c>
      <c r="AM576" s="2">
        <f t="shared" si="27"/>
        <v>0</v>
      </c>
      <c r="AN576" s="2">
        <f t="shared" si="28"/>
        <v>0</v>
      </c>
      <c r="AO576" s="2">
        <f t="shared" si="29"/>
      </c>
      <c r="AP576" s="2">
        <f t="shared" si="30"/>
      </c>
      <c r="AQ576" s="2">
        <f t="shared" si="31"/>
      </c>
    </row>
    <row r="577">
      <c r="A577" s="43">
        <f t="shared" si="3"/>
      </c>
      <c r="B577" s="44" t="n"/>
      <c r="C577" s="45" t="n"/>
      <c r="D577" s="46" t="n"/>
      <c r="E577" s="47" t="n"/>
      <c r="F577" s="47" t="n"/>
      <c r="G577" s="48">
        <f t="shared" si="4"/>
      </c>
      <c r="H577" s="43">
        <f t="shared" si="0"/>
      </c>
      <c r="I577" s="43">
        <f t="shared" si="5"/>
      </c>
      <c r="J577" s="43">
        <f t="shared" si="1"/>
      </c>
      <c r="K577" s="49">
        <f t="shared" si="2"/>
      </c>
      <c r="L577" s="45" t="n"/>
      <c r="M577" s="45" t="n"/>
      <c r="N577" s="45" t="n"/>
      <c r="O577" s="45" t="n"/>
      <c r="P577" s="50" t="n"/>
      <c r="R577" s="2">
        <f t="shared" si="6"/>
        <v>0</v>
      </c>
      <c r="S577" s="2">
        <f t="shared" si="7"/>
      </c>
      <c r="T577" s="2">
        <f t="shared" si="8"/>
      </c>
      <c r="U577" s="2">
        <f t="shared" si="9"/>
      </c>
      <c r="V577" s="2">
        <f t="shared" si="10"/>
      </c>
      <c r="W577" s="2">
        <f t="shared" si="11"/>
      </c>
      <c r="X577" s="2">
        <f t="shared" si="12"/>
      </c>
      <c r="Y577" s="2">
        <f t="shared" si="13"/>
        <v>0</v>
      </c>
      <c r="Z577" s="2">
        <f t="shared" si="14"/>
      </c>
      <c r="AA577" s="2">
        <f t="shared" si="15"/>
        <v>0</v>
      </c>
      <c r="AB577" s="2">
        <f t="shared" si="16"/>
      </c>
      <c r="AC577" s="2">
        <f t="shared" si="17"/>
      </c>
      <c r="AD577" s="2">
        <f t="shared" si="18"/>
      </c>
      <c r="AE577" s="2">
        <f t="shared" si="19"/>
      </c>
      <c r="AF577" s="2">
        <f t="shared" si="20"/>
      </c>
      <c r="AG577" s="2">
        <f t="shared" si="21"/>
      </c>
      <c r="AH577" s="2">
        <f t="shared" si="22"/>
      </c>
      <c r="AI577" s="2">
        <f t="shared" si="23"/>
      </c>
      <c r="AJ577" s="2">
        <f t="shared" si="24"/>
        <v>0</v>
      </c>
      <c r="AK577" s="2">
        <f t="shared" si="25"/>
        <v>0</v>
      </c>
      <c r="AL577" s="2">
        <f t="shared" si="26"/>
        <v>0</v>
      </c>
      <c r="AM577" s="2">
        <f t="shared" si="27"/>
        <v>0</v>
      </c>
      <c r="AN577" s="2">
        <f t="shared" si="28"/>
        <v>0</v>
      </c>
      <c r="AO577" s="2">
        <f t="shared" si="29"/>
      </c>
      <c r="AP577" s="2">
        <f t="shared" si="30"/>
      </c>
      <c r="AQ577" s="2">
        <f t="shared" si="31"/>
      </c>
    </row>
    <row r="578">
      <c r="A578" s="43">
        <f t="shared" si="3"/>
      </c>
      <c r="B578" s="44" t="n"/>
      <c r="C578" s="45" t="n"/>
      <c r="D578" s="46" t="n"/>
      <c r="E578" s="47" t="n"/>
      <c r="F578" s="47" t="n"/>
      <c r="G578" s="48">
        <f t="shared" si="4"/>
      </c>
      <c r="H578" s="43">
        <f t="shared" si="0"/>
      </c>
      <c r="I578" s="43">
        <f t="shared" si="5"/>
      </c>
      <c r="J578" s="43">
        <f t="shared" si="1"/>
      </c>
      <c r="K578" s="49">
        <f t="shared" si="2"/>
      </c>
      <c r="L578" s="45" t="n"/>
      <c r="M578" s="45" t="n"/>
      <c r="N578" s="45" t="n"/>
      <c r="O578" s="45" t="n"/>
      <c r="P578" s="50" t="n"/>
      <c r="R578" s="2">
        <f t="shared" si="6"/>
        <v>0</v>
      </c>
      <c r="S578" s="2">
        <f t="shared" si="7"/>
      </c>
      <c r="T578" s="2">
        <f t="shared" si="8"/>
      </c>
      <c r="U578" s="2">
        <f t="shared" si="9"/>
      </c>
      <c r="V578" s="2">
        <f t="shared" si="10"/>
      </c>
      <c r="W578" s="2">
        <f t="shared" si="11"/>
      </c>
      <c r="X578" s="2">
        <f t="shared" si="12"/>
      </c>
      <c r="Y578" s="2">
        <f t="shared" si="13"/>
        <v>0</v>
      </c>
      <c r="Z578" s="2">
        <f t="shared" si="14"/>
      </c>
      <c r="AA578" s="2">
        <f t="shared" si="15"/>
        <v>0</v>
      </c>
      <c r="AB578" s="2">
        <f t="shared" si="16"/>
      </c>
      <c r="AC578" s="2">
        <f t="shared" si="17"/>
      </c>
      <c r="AD578" s="2">
        <f t="shared" si="18"/>
      </c>
      <c r="AE578" s="2">
        <f t="shared" si="19"/>
      </c>
      <c r="AF578" s="2">
        <f t="shared" si="20"/>
      </c>
      <c r="AG578" s="2">
        <f t="shared" si="21"/>
      </c>
      <c r="AH578" s="2">
        <f t="shared" si="22"/>
      </c>
      <c r="AI578" s="2">
        <f t="shared" si="23"/>
      </c>
      <c r="AJ578" s="2">
        <f t="shared" si="24"/>
        <v>0</v>
      </c>
      <c r="AK578" s="2">
        <f t="shared" si="25"/>
        <v>0</v>
      </c>
      <c r="AL578" s="2">
        <f t="shared" si="26"/>
        <v>0</v>
      </c>
      <c r="AM578" s="2">
        <f t="shared" si="27"/>
        <v>0</v>
      </c>
      <c r="AN578" s="2">
        <f t="shared" si="28"/>
        <v>0</v>
      </c>
      <c r="AO578" s="2">
        <f t="shared" si="29"/>
      </c>
      <c r="AP578" s="2">
        <f t="shared" si="30"/>
      </c>
      <c r="AQ578" s="2">
        <f t="shared" si="31"/>
      </c>
    </row>
    <row r="579">
      <c r="A579" s="43">
        <f t="shared" si="3"/>
      </c>
      <c r="B579" s="44" t="n"/>
      <c r="C579" s="45" t="n"/>
      <c r="D579" s="46" t="n"/>
      <c r="E579" s="47" t="n"/>
      <c r="F579" s="47" t="n"/>
      <c r="G579" s="48">
        <f t="shared" si="4"/>
      </c>
      <c r="H579" s="43">
        <f t="shared" si="0"/>
      </c>
      <c r="I579" s="43">
        <f t="shared" si="5"/>
      </c>
      <c r="J579" s="43">
        <f t="shared" si="1"/>
      </c>
      <c r="K579" s="49">
        <f t="shared" si="2"/>
      </c>
      <c r="L579" s="45" t="n"/>
      <c r="M579" s="45" t="n"/>
      <c r="N579" s="45" t="n"/>
      <c r="O579" s="45" t="n"/>
      <c r="P579" s="50" t="n"/>
      <c r="R579" s="2">
        <f t="shared" si="6"/>
        <v>0</v>
      </c>
      <c r="S579" s="2">
        <f t="shared" si="7"/>
      </c>
      <c r="T579" s="2">
        <f t="shared" si="8"/>
      </c>
      <c r="U579" s="2">
        <f t="shared" si="9"/>
      </c>
      <c r="V579" s="2">
        <f t="shared" si="10"/>
      </c>
      <c r="W579" s="2">
        <f t="shared" si="11"/>
      </c>
      <c r="X579" s="2">
        <f t="shared" si="12"/>
      </c>
      <c r="Y579" s="2">
        <f t="shared" si="13"/>
        <v>0</v>
      </c>
      <c r="Z579" s="2">
        <f t="shared" si="14"/>
      </c>
      <c r="AA579" s="2">
        <f t="shared" si="15"/>
        <v>0</v>
      </c>
      <c r="AB579" s="2">
        <f t="shared" si="16"/>
      </c>
      <c r="AC579" s="2">
        <f t="shared" si="17"/>
      </c>
      <c r="AD579" s="2">
        <f t="shared" si="18"/>
      </c>
      <c r="AE579" s="2">
        <f t="shared" si="19"/>
      </c>
      <c r="AF579" s="2">
        <f t="shared" si="20"/>
      </c>
      <c r="AG579" s="2">
        <f t="shared" si="21"/>
      </c>
      <c r="AH579" s="2">
        <f t="shared" si="22"/>
      </c>
      <c r="AI579" s="2">
        <f t="shared" si="23"/>
      </c>
      <c r="AJ579" s="2">
        <f t="shared" si="24"/>
        <v>0</v>
      </c>
      <c r="AK579" s="2">
        <f t="shared" si="25"/>
        <v>0</v>
      </c>
      <c r="AL579" s="2">
        <f t="shared" si="26"/>
        <v>0</v>
      </c>
      <c r="AM579" s="2">
        <f t="shared" si="27"/>
        <v>0</v>
      </c>
      <c r="AN579" s="2">
        <f t="shared" si="28"/>
        <v>0</v>
      </c>
      <c r="AO579" s="2">
        <f t="shared" si="29"/>
      </c>
      <c r="AP579" s="2">
        <f t="shared" si="30"/>
      </c>
      <c r="AQ579" s="2">
        <f t="shared" si="31"/>
      </c>
    </row>
    <row r="580">
      <c r="A580" s="43">
        <f t="shared" si="3"/>
      </c>
      <c r="B580" s="44" t="n"/>
      <c r="C580" s="45" t="n"/>
      <c r="D580" s="46" t="n"/>
      <c r="E580" s="47" t="n"/>
      <c r="F580" s="47" t="n"/>
      <c r="G580" s="48">
        <f t="shared" si="4"/>
      </c>
      <c r="H580" s="43">
        <f t="shared" si="0"/>
      </c>
      <c r="I580" s="43">
        <f t="shared" si="5"/>
      </c>
      <c r="J580" s="43">
        <f t="shared" si="1"/>
      </c>
      <c r="K580" s="49">
        <f t="shared" si="2"/>
      </c>
      <c r="L580" s="45" t="n"/>
      <c r="M580" s="45" t="n"/>
      <c r="N580" s="45" t="n"/>
      <c r="O580" s="45" t="n"/>
      <c r="P580" s="50" t="n"/>
      <c r="R580" s="2">
        <f t="shared" si="6"/>
        <v>0</v>
      </c>
      <c r="S580" s="2">
        <f t="shared" si="7"/>
      </c>
      <c r="T580" s="2">
        <f t="shared" si="8"/>
      </c>
      <c r="U580" s="2">
        <f t="shared" si="9"/>
      </c>
      <c r="V580" s="2">
        <f t="shared" si="10"/>
      </c>
      <c r="W580" s="2">
        <f t="shared" si="11"/>
      </c>
      <c r="X580" s="2">
        <f t="shared" si="12"/>
      </c>
      <c r="Y580" s="2">
        <f t="shared" si="13"/>
        <v>0</v>
      </c>
      <c r="Z580" s="2">
        <f t="shared" si="14"/>
      </c>
      <c r="AA580" s="2">
        <f t="shared" si="15"/>
        <v>0</v>
      </c>
      <c r="AB580" s="2">
        <f t="shared" si="16"/>
      </c>
      <c r="AC580" s="2">
        <f t="shared" si="17"/>
      </c>
      <c r="AD580" s="2">
        <f t="shared" si="18"/>
      </c>
      <c r="AE580" s="2">
        <f t="shared" si="19"/>
      </c>
      <c r="AF580" s="2">
        <f t="shared" si="20"/>
      </c>
      <c r="AG580" s="2">
        <f t="shared" si="21"/>
      </c>
      <c r="AH580" s="2">
        <f t="shared" si="22"/>
      </c>
      <c r="AI580" s="2">
        <f t="shared" si="23"/>
      </c>
      <c r="AJ580" s="2">
        <f t="shared" si="24"/>
        <v>0</v>
      </c>
      <c r="AK580" s="2">
        <f t="shared" si="25"/>
        <v>0</v>
      </c>
      <c r="AL580" s="2">
        <f t="shared" si="26"/>
        <v>0</v>
      </c>
      <c r="AM580" s="2">
        <f t="shared" si="27"/>
        <v>0</v>
      </c>
      <c r="AN580" s="2">
        <f t="shared" si="28"/>
        <v>0</v>
      </c>
      <c r="AO580" s="2">
        <f t="shared" si="29"/>
      </c>
      <c r="AP580" s="2">
        <f t="shared" si="30"/>
      </c>
      <c r="AQ580" s="2">
        <f t="shared" si="31"/>
      </c>
    </row>
    <row r="581">
      <c r="A581" s="43">
        <f t="shared" si="3"/>
      </c>
      <c r="B581" s="44" t="n"/>
      <c r="C581" s="45" t="n"/>
      <c r="D581" s="46" t="n"/>
      <c r="E581" s="47" t="n"/>
      <c r="F581" s="47" t="n"/>
      <c r="G581" s="48">
        <f t="shared" si="4"/>
      </c>
      <c r="H581" s="43">
        <f t="shared" si="0"/>
      </c>
      <c r="I581" s="43">
        <f t="shared" si="5"/>
      </c>
      <c r="J581" s="43">
        <f t="shared" si="1"/>
      </c>
      <c r="K581" s="49">
        <f t="shared" si="2"/>
      </c>
      <c r="L581" s="45" t="n"/>
      <c r="M581" s="45" t="n"/>
      <c r="N581" s="45" t="n"/>
      <c r="O581" s="45" t="n"/>
      <c r="P581" s="50" t="n"/>
      <c r="R581" s="2">
        <f t="shared" si="6"/>
        <v>0</v>
      </c>
      <c r="S581" s="2">
        <f t="shared" si="7"/>
      </c>
      <c r="T581" s="2">
        <f t="shared" si="8"/>
      </c>
      <c r="U581" s="2">
        <f t="shared" si="9"/>
      </c>
      <c r="V581" s="2">
        <f t="shared" si="10"/>
      </c>
      <c r="W581" s="2">
        <f t="shared" si="11"/>
      </c>
      <c r="X581" s="2">
        <f t="shared" si="12"/>
      </c>
      <c r="Y581" s="2">
        <f t="shared" si="13"/>
        <v>0</v>
      </c>
      <c r="Z581" s="2">
        <f t="shared" si="14"/>
      </c>
      <c r="AA581" s="2">
        <f t="shared" si="15"/>
        <v>0</v>
      </c>
      <c r="AB581" s="2">
        <f t="shared" si="16"/>
      </c>
      <c r="AC581" s="2">
        <f t="shared" si="17"/>
      </c>
      <c r="AD581" s="2">
        <f t="shared" si="18"/>
      </c>
      <c r="AE581" s="2">
        <f t="shared" si="19"/>
      </c>
      <c r="AF581" s="2">
        <f t="shared" si="20"/>
      </c>
      <c r="AG581" s="2">
        <f t="shared" si="21"/>
      </c>
      <c r="AH581" s="2">
        <f t="shared" si="22"/>
      </c>
      <c r="AI581" s="2">
        <f t="shared" si="23"/>
      </c>
      <c r="AJ581" s="2">
        <f t="shared" si="24"/>
        <v>0</v>
      </c>
      <c r="AK581" s="2">
        <f t="shared" si="25"/>
        <v>0</v>
      </c>
      <c r="AL581" s="2">
        <f t="shared" si="26"/>
        <v>0</v>
      </c>
      <c r="AM581" s="2">
        <f t="shared" si="27"/>
        <v>0</v>
      </c>
      <c r="AN581" s="2">
        <f t="shared" si="28"/>
        <v>0</v>
      </c>
      <c r="AO581" s="2">
        <f t="shared" si="29"/>
      </c>
      <c r="AP581" s="2">
        <f t="shared" si="30"/>
      </c>
      <c r="AQ581" s="2">
        <f t="shared" si="31"/>
      </c>
    </row>
    <row r="582">
      <c r="A582" s="43">
        <f t="shared" si="3"/>
      </c>
      <c r="B582" s="44" t="n"/>
      <c r="C582" s="45" t="n"/>
      <c r="D582" s="46" t="n"/>
      <c r="E582" s="47" t="n"/>
      <c r="F582" s="47" t="n"/>
      <c r="G582" s="48">
        <f t="shared" si="4"/>
      </c>
      <c r="H582" s="43">
        <f t="shared" si="0"/>
      </c>
      <c r="I582" s="43">
        <f t="shared" si="5"/>
      </c>
      <c r="J582" s="43">
        <f t="shared" si="1"/>
      </c>
      <c r="K582" s="49">
        <f t="shared" si="2"/>
      </c>
      <c r="L582" s="45" t="n"/>
      <c r="M582" s="45" t="n"/>
      <c r="N582" s="45" t="n"/>
      <c r="O582" s="45" t="n"/>
      <c r="P582" s="50" t="n"/>
      <c r="R582" s="2">
        <f t="shared" si="6"/>
        <v>0</v>
      </c>
      <c r="S582" s="2">
        <f t="shared" si="7"/>
      </c>
      <c r="T582" s="2">
        <f t="shared" si="8"/>
      </c>
      <c r="U582" s="2">
        <f t="shared" si="9"/>
      </c>
      <c r="V582" s="2">
        <f t="shared" si="10"/>
      </c>
      <c r="W582" s="2">
        <f t="shared" si="11"/>
      </c>
      <c r="X582" s="2">
        <f t="shared" si="12"/>
      </c>
      <c r="Y582" s="2">
        <f t="shared" si="13"/>
        <v>0</v>
      </c>
      <c r="Z582" s="2">
        <f t="shared" si="14"/>
      </c>
      <c r="AA582" s="2">
        <f t="shared" si="15"/>
        <v>0</v>
      </c>
      <c r="AB582" s="2">
        <f t="shared" si="16"/>
      </c>
      <c r="AC582" s="2">
        <f t="shared" si="17"/>
      </c>
      <c r="AD582" s="2">
        <f t="shared" si="18"/>
      </c>
      <c r="AE582" s="2">
        <f t="shared" si="19"/>
      </c>
      <c r="AF582" s="2">
        <f t="shared" si="20"/>
      </c>
      <c r="AG582" s="2">
        <f t="shared" si="21"/>
      </c>
      <c r="AH582" s="2">
        <f t="shared" si="22"/>
      </c>
      <c r="AI582" s="2">
        <f t="shared" si="23"/>
      </c>
      <c r="AJ582" s="2">
        <f t="shared" si="24"/>
        <v>0</v>
      </c>
      <c r="AK582" s="2">
        <f t="shared" si="25"/>
        <v>0</v>
      </c>
      <c r="AL582" s="2">
        <f t="shared" si="26"/>
        <v>0</v>
      </c>
      <c r="AM582" s="2">
        <f t="shared" si="27"/>
        <v>0</v>
      </c>
      <c r="AN582" s="2">
        <f t="shared" si="28"/>
        <v>0</v>
      </c>
      <c r="AO582" s="2">
        <f t="shared" si="29"/>
      </c>
      <c r="AP582" s="2">
        <f t="shared" si="30"/>
      </c>
      <c r="AQ582" s="2">
        <f t="shared" si="31"/>
      </c>
    </row>
    <row r="583">
      <c r="A583" s="43">
        <f t="shared" si="3"/>
      </c>
      <c r="B583" s="44" t="n"/>
      <c r="C583" s="45" t="n"/>
      <c r="D583" s="46" t="n"/>
      <c r="E583" s="47" t="n"/>
      <c r="F583" s="47" t="n"/>
      <c r="G583" s="48">
        <f t="shared" si="4"/>
      </c>
      <c r="H583" s="43">
        <f t="shared" si="0"/>
      </c>
      <c r="I583" s="43">
        <f t="shared" si="5"/>
      </c>
      <c r="J583" s="43">
        <f t="shared" si="1"/>
      </c>
      <c r="K583" s="49">
        <f t="shared" si="2"/>
      </c>
      <c r="L583" s="45" t="n"/>
      <c r="M583" s="45" t="n"/>
      <c r="N583" s="45" t="n"/>
      <c r="O583" s="45" t="n"/>
      <c r="P583" s="50" t="n"/>
      <c r="R583" s="2">
        <f t="shared" si="6"/>
        <v>0</v>
      </c>
      <c r="S583" s="2">
        <f t="shared" si="7"/>
      </c>
      <c r="T583" s="2">
        <f t="shared" si="8"/>
      </c>
      <c r="U583" s="2">
        <f t="shared" si="9"/>
      </c>
      <c r="V583" s="2">
        <f t="shared" si="10"/>
      </c>
      <c r="W583" s="2">
        <f t="shared" si="11"/>
      </c>
      <c r="X583" s="2">
        <f t="shared" si="12"/>
      </c>
      <c r="Y583" s="2">
        <f t="shared" si="13"/>
        <v>0</v>
      </c>
      <c r="Z583" s="2">
        <f t="shared" si="14"/>
      </c>
      <c r="AA583" s="2">
        <f t="shared" si="15"/>
        <v>0</v>
      </c>
      <c r="AB583" s="2">
        <f t="shared" si="16"/>
      </c>
      <c r="AC583" s="2">
        <f t="shared" si="17"/>
      </c>
      <c r="AD583" s="2">
        <f t="shared" si="18"/>
      </c>
      <c r="AE583" s="2">
        <f t="shared" si="19"/>
      </c>
      <c r="AF583" s="2">
        <f t="shared" si="20"/>
      </c>
      <c r="AG583" s="2">
        <f t="shared" si="21"/>
      </c>
      <c r="AH583" s="2">
        <f t="shared" si="22"/>
      </c>
      <c r="AI583" s="2">
        <f t="shared" si="23"/>
      </c>
      <c r="AJ583" s="2">
        <f t="shared" si="24"/>
        <v>0</v>
      </c>
      <c r="AK583" s="2">
        <f t="shared" si="25"/>
        <v>0</v>
      </c>
      <c r="AL583" s="2">
        <f t="shared" si="26"/>
        <v>0</v>
      </c>
      <c r="AM583" s="2">
        <f t="shared" si="27"/>
        <v>0</v>
      </c>
      <c r="AN583" s="2">
        <f t="shared" si="28"/>
        <v>0</v>
      </c>
      <c r="AO583" s="2">
        <f t="shared" si="29"/>
      </c>
      <c r="AP583" s="2">
        <f t="shared" si="30"/>
      </c>
      <c r="AQ583" s="2">
        <f t="shared" si="31"/>
      </c>
    </row>
    <row r="584">
      <c r="A584" s="43">
        <f t="shared" si="3"/>
      </c>
      <c r="B584" s="44" t="n"/>
      <c r="C584" s="45" t="n"/>
      <c r="D584" s="46" t="n"/>
      <c r="E584" s="47" t="n"/>
      <c r="F584" s="47" t="n"/>
      <c r="G584" s="48">
        <f t="shared" si="4"/>
      </c>
      <c r="H584" s="43">
        <f t="shared" si="0"/>
      </c>
      <c r="I584" s="43">
        <f t="shared" si="5"/>
      </c>
      <c r="J584" s="43">
        <f t="shared" si="1"/>
      </c>
      <c r="K584" s="49">
        <f t="shared" si="2"/>
      </c>
      <c r="L584" s="45" t="n"/>
      <c r="M584" s="45" t="n"/>
      <c r="N584" s="45" t="n"/>
      <c r="O584" s="45" t="n"/>
      <c r="P584" s="50" t="n"/>
      <c r="R584" s="2">
        <f t="shared" si="6"/>
        <v>0</v>
      </c>
      <c r="S584" s="2">
        <f t="shared" si="7"/>
      </c>
      <c r="T584" s="2">
        <f t="shared" si="8"/>
      </c>
      <c r="U584" s="2">
        <f t="shared" si="9"/>
      </c>
      <c r="V584" s="2">
        <f t="shared" si="10"/>
      </c>
      <c r="W584" s="2">
        <f t="shared" si="11"/>
      </c>
      <c r="X584" s="2">
        <f t="shared" si="12"/>
      </c>
      <c r="Y584" s="2">
        <f t="shared" si="13"/>
        <v>0</v>
      </c>
      <c r="Z584" s="2">
        <f t="shared" si="14"/>
      </c>
      <c r="AA584" s="2">
        <f t="shared" si="15"/>
        <v>0</v>
      </c>
      <c r="AB584" s="2">
        <f t="shared" si="16"/>
      </c>
      <c r="AC584" s="2">
        <f t="shared" si="17"/>
      </c>
      <c r="AD584" s="2">
        <f t="shared" si="18"/>
      </c>
      <c r="AE584" s="2">
        <f t="shared" si="19"/>
      </c>
      <c r="AF584" s="2">
        <f t="shared" si="20"/>
      </c>
      <c r="AG584" s="2">
        <f t="shared" si="21"/>
      </c>
      <c r="AH584" s="2">
        <f t="shared" si="22"/>
      </c>
      <c r="AI584" s="2">
        <f t="shared" si="23"/>
      </c>
      <c r="AJ584" s="2">
        <f t="shared" si="24"/>
        <v>0</v>
      </c>
      <c r="AK584" s="2">
        <f t="shared" si="25"/>
        <v>0</v>
      </c>
      <c r="AL584" s="2">
        <f t="shared" si="26"/>
        <v>0</v>
      </c>
      <c r="AM584" s="2">
        <f t="shared" si="27"/>
        <v>0</v>
      </c>
      <c r="AN584" s="2">
        <f t="shared" si="28"/>
        <v>0</v>
      </c>
      <c r="AO584" s="2">
        <f t="shared" si="29"/>
      </c>
      <c r="AP584" s="2">
        <f t="shared" si="30"/>
      </c>
      <c r="AQ584" s="2">
        <f t="shared" si="31"/>
      </c>
    </row>
    <row r="585">
      <c r="A585" s="43">
        <f t="shared" si="3"/>
      </c>
      <c r="B585" s="44" t="n"/>
      <c r="C585" s="45" t="n"/>
      <c r="D585" s="46" t="n"/>
      <c r="E585" s="47" t="n"/>
      <c r="F585" s="47" t="n"/>
      <c r="G585" s="48">
        <f t="shared" si="4"/>
      </c>
      <c r="H585" s="43">
        <f t="shared" si="0"/>
      </c>
      <c r="I585" s="43">
        <f t="shared" si="5"/>
      </c>
      <c r="J585" s="43">
        <f t="shared" si="1"/>
      </c>
      <c r="K585" s="49">
        <f t="shared" si="2"/>
      </c>
      <c r="L585" s="45" t="n"/>
      <c r="M585" s="45" t="n"/>
      <c r="N585" s="45" t="n"/>
      <c r="O585" s="45" t="n"/>
      <c r="P585" s="50" t="n"/>
      <c r="R585" s="2">
        <f t="shared" si="6"/>
        <v>0</v>
      </c>
      <c r="S585" s="2">
        <f t="shared" si="7"/>
      </c>
      <c r="T585" s="2">
        <f t="shared" si="8"/>
      </c>
      <c r="U585" s="2">
        <f t="shared" si="9"/>
      </c>
      <c r="V585" s="2">
        <f t="shared" si="10"/>
      </c>
      <c r="W585" s="2">
        <f t="shared" si="11"/>
      </c>
      <c r="X585" s="2">
        <f t="shared" si="12"/>
      </c>
      <c r="Y585" s="2">
        <f t="shared" si="13"/>
        <v>0</v>
      </c>
      <c r="Z585" s="2">
        <f t="shared" si="14"/>
      </c>
      <c r="AA585" s="2">
        <f t="shared" si="15"/>
        <v>0</v>
      </c>
      <c r="AB585" s="2">
        <f t="shared" si="16"/>
      </c>
      <c r="AC585" s="2">
        <f t="shared" si="17"/>
      </c>
      <c r="AD585" s="2">
        <f t="shared" si="18"/>
      </c>
      <c r="AE585" s="2">
        <f t="shared" si="19"/>
      </c>
      <c r="AF585" s="2">
        <f t="shared" si="20"/>
      </c>
      <c r="AG585" s="2">
        <f t="shared" si="21"/>
      </c>
      <c r="AH585" s="2">
        <f t="shared" si="22"/>
      </c>
      <c r="AI585" s="2">
        <f t="shared" si="23"/>
      </c>
      <c r="AJ585" s="2">
        <f t="shared" si="24"/>
        <v>0</v>
      </c>
      <c r="AK585" s="2">
        <f t="shared" si="25"/>
        <v>0</v>
      </c>
      <c r="AL585" s="2">
        <f t="shared" si="26"/>
        <v>0</v>
      </c>
      <c r="AM585" s="2">
        <f t="shared" si="27"/>
        <v>0</v>
      </c>
      <c r="AN585" s="2">
        <f t="shared" si="28"/>
        <v>0</v>
      </c>
      <c r="AO585" s="2">
        <f t="shared" si="29"/>
      </c>
      <c r="AP585" s="2">
        <f t="shared" si="30"/>
      </c>
      <c r="AQ585" s="2">
        <f t="shared" si="31"/>
      </c>
    </row>
    <row r="586">
      <c r="A586" s="43">
        <f t="shared" si="3"/>
      </c>
      <c r="B586" s="44" t="n"/>
      <c r="C586" s="45" t="n"/>
      <c r="D586" s="46" t="n"/>
      <c r="E586" s="47" t="n"/>
      <c r="F586" s="47" t="n"/>
      <c r="G586" s="48">
        <f t="shared" si="4"/>
      </c>
      <c r="H586" s="43">
        <f t="shared" si="0"/>
      </c>
      <c r="I586" s="43">
        <f t="shared" si="5"/>
      </c>
      <c r="J586" s="43">
        <f t="shared" si="1"/>
      </c>
      <c r="K586" s="49">
        <f t="shared" si="2"/>
      </c>
      <c r="L586" s="45" t="n"/>
      <c r="M586" s="45" t="n"/>
      <c r="N586" s="45" t="n"/>
      <c r="O586" s="45" t="n"/>
      <c r="P586" s="50" t="n"/>
      <c r="R586" s="2">
        <f t="shared" si="6"/>
        <v>0</v>
      </c>
      <c r="S586" s="2">
        <f t="shared" si="7"/>
      </c>
      <c r="T586" s="2">
        <f t="shared" si="8"/>
      </c>
      <c r="U586" s="2">
        <f t="shared" si="9"/>
      </c>
      <c r="V586" s="2">
        <f t="shared" si="10"/>
      </c>
      <c r="W586" s="2">
        <f t="shared" si="11"/>
      </c>
      <c r="X586" s="2">
        <f t="shared" si="12"/>
      </c>
      <c r="Y586" s="2">
        <f t="shared" si="13"/>
        <v>0</v>
      </c>
      <c r="Z586" s="2">
        <f t="shared" si="14"/>
      </c>
      <c r="AA586" s="2">
        <f t="shared" si="15"/>
        <v>0</v>
      </c>
      <c r="AB586" s="2">
        <f t="shared" si="16"/>
      </c>
      <c r="AC586" s="2">
        <f t="shared" si="17"/>
      </c>
      <c r="AD586" s="2">
        <f t="shared" si="18"/>
      </c>
      <c r="AE586" s="2">
        <f t="shared" si="19"/>
      </c>
      <c r="AF586" s="2">
        <f t="shared" si="20"/>
      </c>
      <c r="AG586" s="2">
        <f t="shared" si="21"/>
      </c>
      <c r="AH586" s="2">
        <f t="shared" si="22"/>
      </c>
      <c r="AI586" s="2">
        <f t="shared" si="23"/>
      </c>
      <c r="AJ586" s="2">
        <f t="shared" si="24"/>
        <v>0</v>
      </c>
      <c r="AK586" s="2">
        <f t="shared" si="25"/>
        <v>0</v>
      </c>
      <c r="AL586" s="2">
        <f t="shared" si="26"/>
        <v>0</v>
      </c>
      <c r="AM586" s="2">
        <f t="shared" si="27"/>
        <v>0</v>
      </c>
      <c r="AN586" s="2">
        <f t="shared" si="28"/>
        <v>0</v>
      </c>
      <c r="AO586" s="2">
        <f t="shared" si="29"/>
      </c>
      <c r="AP586" s="2">
        <f t="shared" si="30"/>
      </c>
      <c r="AQ586" s="2">
        <f t="shared" si="31"/>
      </c>
    </row>
    <row r="587">
      <c r="A587" s="43">
        <f t="shared" si="3"/>
      </c>
      <c r="B587" s="44" t="n"/>
      <c r="C587" s="45" t="n"/>
      <c r="D587" s="46" t="n"/>
      <c r="E587" s="47" t="n"/>
      <c r="F587" s="47" t="n"/>
      <c r="G587" s="48">
        <f t="shared" si="4"/>
      </c>
      <c r="H587" s="43">
        <f t="shared" si="0"/>
      </c>
      <c r="I587" s="43">
        <f t="shared" si="5"/>
      </c>
      <c r="J587" s="43">
        <f t="shared" si="1"/>
      </c>
      <c r="K587" s="49">
        <f t="shared" si="2"/>
      </c>
      <c r="L587" s="45" t="n"/>
      <c r="M587" s="45" t="n"/>
      <c r="N587" s="45" t="n"/>
      <c r="O587" s="45" t="n"/>
      <c r="P587" s="50" t="n"/>
      <c r="R587" s="2">
        <f t="shared" si="6"/>
        <v>0</v>
      </c>
      <c r="S587" s="2">
        <f t="shared" si="7"/>
      </c>
      <c r="T587" s="2">
        <f t="shared" si="8"/>
      </c>
      <c r="U587" s="2">
        <f t="shared" si="9"/>
      </c>
      <c r="V587" s="2">
        <f t="shared" si="10"/>
      </c>
      <c r="W587" s="2">
        <f t="shared" si="11"/>
      </c>
      <c r="X587" s="2">
        <f t="shared" si="12"/>
      </c>
      <c r="Y587" s="2">
        <f t="shared" si="13"/>
        <v>0</v>
      </c>
      <c r="Z587" s="2">
        <f t="shared" si="14"/>
      </c>
      <c r="AA587" s="2">
        <f t="shared" si="15"/>
        <v>0</v>
      </c>
      <c r="AB587" s="2">
        <f t="shared" si="16"/>
      </c>
      <c r="AC587" s="2">
        <f t="shared" si="17"/>
      </c>
      <c r="AD587" s="2">
        <f t="shared" si="18"/>
      </c>
      <c r="AE587" s="2">
        <f t="shared" si="19"/>
      </c>
      <c r="AF587" s="2">
        <f t="shared" si="20"/>
      </c>
      <c r="AG587" s="2">
        <f t="shared" si="21"/>
      </c>
      <c r="AH587" s="2">
        <f t="shared" si="22"/>
      </c>
      <c r="AI587" s="2">
        <f t="shared" si="23"/>
      </c>
      <c r="AJ587" s="2">
        <f t="shared" si="24"/>
        <v>0</v>
      </c>
      <c r="AK587" s="2">
        <f t="shared" si="25"/>
        <v>0</v>
      </c>
      <c r="AL587" s="2">
        <f t="shared" si="26"/>
        <v>0</v>
      </c>
      <c r="AM587" s="2">
        <f t="shared" si="27"/>
        <v>0</v>
      </c>
      <c r="AN587" s="2">
        <f t="shared" si="28"/>
        <v>0</v>
      </c>
      <c r="AO587" s="2">
        <f t="shared" si="29"/>
      </c>
      <c r="AP587" s="2">
        <f t="shared" si="30"/>
      </c>
      <c r="AQ587" s="2">
        <f t="shared" si="31"/>
      </c>
    </row>
    <row r="588">
      <c r="A588" s="43">
        <f t="shared" si="3"/>
      </c>
      <c r="B588" s="44" t="n"/>
      <c r="C588" s="45" t="n"/>
      <c r="D588" s="46" t="n"/>
      <c r="E588" s="47" t="n"/>
      <c r="F588" s="47" t="n"/>
      <c r="G588" s="48">
        <f t="shared" si="4"/>
      </c>
      <c r="H588" s="43">
        <f t="shared" si="0"/>
      </c>
      <c r="I588" s="43">
        <f t="shared" si="5"/>
      </c>
      <c r="J588" s="43">
        <f t="shared" si="1"/>
      </c>
      <c r="K588" s="49">
        <f t="shared" si="2"/>
      </c>
      <c r="L588" s="45" t="n"/>
      <c r="M588" s="45" t="n"/>
      <c r="N588" s="45" t="n"/>
      <c r="O588" s="45" t="n"/>
      <c r="P588" s="50" t="n"/>
      <c r="R588" s="2">
        <f t="shared" si="6"/>
        <v>0</v>
      </c>
      <c r="S588" s="2">
        <f t="shared" si="7"/>
      </c>
      <c r="T588" s="2">
        <f t="shared" si="8"/>
      </c>
      <c r="U588" s="2">
        <f t="shared" si="9"/>
      </c>
      <c r="V588" s="2">
        <f t="shared" si="10"/>
      </c>
      <c r="W588" s="2">
        <f t="shared" si="11"/>
      </c>
      <c r="X588" s="2">
        <f t="shared" si="12"/>
      </c>
      <c r="Y588" s="2">
        <f t="shared" si="13"/>
        <v>0</v>
      </c>
      <c r="Z588" s="2">
        <f t="shared" si="14"/>
      </c>
      <c r="AA588" s="2">
        <f t="shared" si="15"/>
        <v>0</v>
      </c>
      <c r="AB588" s="2">
        <f t="shared" si="16"/>
      </c>
      <c r="AC588" s="2">
        <f t="shared" si="17"/>
      </c>
      <c r="AD588" s="2">
        <f t="shared" si="18"/>
      </c>
      <c r="AE588" s="2">
        <f t="shared" si="19"/>
      </c>
      <c r="AF588" s="2">
        <f t="shared" si="20"/>
      </c>
      <c r="AG588" s="2">
        <f t="shared" si="21"/>
      </c>
      <c r="AH588" s="2">
        <f t="shared" si="22"/>
      </c>
      <c r="AI588" s="2">
        <f t="shared" si="23"/>
      </c>
      <c r="AJ588" s="2">
        <f t="shared" si="24"/>
        <v>0</v>
      </c>
      <c r="AK588" s="2">
        <f t="shared" si="25"/>
        <v>0</v>
      </c>
      <c r="AL588" s="2">
        <f t="shared" si="26"/>
        <v>0</v>
      </c>
      <c r="AM588" s="2">
        <f t="shared" si="27"/>
        <v>0</v>
      </c>
      <c r="AN588" s="2">
        <f t="shared" si="28"/>
        <v>0</v>
      </c>
      <c r="AO588" s="2">
        <f t="shared" si="29"/>
      </c>
      <c r="AP588" s="2">
        <f t="shared" si="30"/>
      </c>
      <c r="AQ588" s="2">
        <f t="shared" si="31"/>
      </c>
    </row>
    <row r="589">
      <c r="A589" s="43">
        <f t="shared" si="3"/>
      </c>
      <c r="B589" s="44" t="n"/>
      <c r="C589" s="45" t="n"/>
      <c r="D589" s="46" t="n"/>
      <c r="E589" s="47" t="n"/>
      <c r="F589" s="47" t="n"/>
      <c r="G589" s="48">
        <f t="shared" si="4"/>
      </c>
      <c r="H589" s="43">
        <f t="shared" si="0"/>
      </c>
      <c r="I589" s="43">
        <f t="shared" si="5"/>
      </c>
      <c r="J589" s="43">
        <f t="shared" si="1"/>
      </c>
      <c r="K589" s="49">
        <f t="shared" si="2"/>
      </c>
      <c r="L589" s="45" t="n"/>
      <c r="M589" s="45" t="n"/>
      <c r="N589" s="45" t="n"/>
      <c r="O589" s="45" t="n"/>
      <c r="P589" s="50" t="n"/>
      <c r="R589" s="2">
        <f t="shared" si="6"/>
        <v>0</v>
      </c>
      <c r="S589" s="2">
        <f t="shared" si="7"/>
      </c>
      <c r="T589" s="2">
        <f t="shared" si="8"/>
      </c>
      <c r="U589" s="2">
        <f t="shared" si="9"/>
      </c>
      <c r="V589" s="2">
        <f t="shared" si="10"/>
      </c>
      <c r="W589" s="2">
        <f t="shared" si="11"/>
      </c>
      <c r="X589" s="2">
        <f t="shared" si="12"/>
      </c>
      <c r="Y589" s="2">
        <f t="shared" si="13"/>
        <v>0</v>
      </c>
      <c r="Z589" s="2">
        <f t="shared" si="14"/>
      </c>
      <c r="AA589" s="2">
        <f t="shared" si="15"/>
        <v>0</v>
      </c>
      <c r="AB589" s="2">
        <f t="shared" si="16"/>
      </c>
      <c r="AC589" s="2">
        <f t="shared" si="17"/>
      </c>
      <c r="AD589" s="2">
        <f t="shared" si="18"/>
      </c>
      <c r="AE589" s="2">
        <f t="shared" si="19"/>
      </c>
      <c r="AF589" s="2">
        <f t="shared" si="20"/>
      </c>
      <c r="AG589" s="2">
        <f t="shared" si="21"/>
      </c>
      <c r="AH589" s="2">
        <f t="shared" si="22"/>
      </c>
      <c r="AI589" s="2">
        <f t="shared" si="23"/>
      </c>
      <c r="AJ589" s="2">
        <f t="shared" si="24"/>
        <v>0</v>
      </c>
      <c r="AK589" s="2">
        <f t="shared" si="25"/>
        <v>0</v>
      </c>
      <c r="AL589" s="2">
        <f t="shared" si="26"/>
        <v>0</v>
      </c>
      <c r="AM589" s="2">
        <f t="shared" si="27"/>
        <v>0</v>
      </c>
      <c r="AN589" s="2">
        <f t="shared" si="28"/>
        <v>0</v>
      </c>
      <c r="AO589" s="2">
        <f t="shared" si="29"/>
      </c>
      <c r="AP589" s="2">
        <f t="shared" si="30"/>
      </c>
      <c r="AQ589" s="2">
        <f t="shared" si="31"/>
      </c>
    </row>
    <row r="590">
      <c r="A590" s="43">
        <f t="shared" si="3"/>
      </c>
      <c r="B590" s="44" t="n"/>
      <c r="C590" s="45" t="n"/>
      <c r="D590" s="46" t="n"/>
      <c r="E590" s="47" t="n"/>
      <c r="F590" s="47" t="n"/>
      <c r="G590" s="48">
        <f t="shared" si="4"/>
      </c>
      <c r="H590" s="43">
        <f t="shared" si="0"/>
      </c>
      <c r="I590" s="43">
        <f t="shared" si="5"/>
      </c>
      <c r="J590" s="43">
        <f t="shared" si="1"/>
      </c>
      <c r="K590" s="49">
        <f t="shared" si="2"/>
      </c>
      <c r="L590" s="45" t="n"/>
      <c r="M590" s="45" t="n"/>
      <c r="N590" s="45" t="n"/>
      <c r="O590" s="45" t="n"/>
      <c r="P590" s="50" t="n"/>
      <c r="R590" s="2">
        <f t="shared" si="6"/>
        <v>0</v>
      </c>
      <c r="S590" s="2">
        <f t="shared" si="7"/>
      </c>
      <c r="T590" s="2">
        <f t="shared" si="8"/>
      </c>
      <c r="U590" s="2">
        <f t="shared" si="9"/>
      </c>
      <c r="V590" s="2">
        <f t="shared" si="10"/>
      </c>
      <c r="W590" s="2">
        <f t="shared" si="11"/>
      </c>
      <c r="X590" s="2">
        <f t="shared" si="12"/>
      </c>
      <c r="Y590" s="2">
        <f t="shared" si="13"/>
        <v>0</v>
      </c>
      <c r="Z590" s="2">
        <f t="shared" si="14"/>
      </c>
      <c r="AA590" s="2">
        <f t="shared" si="15"/>
        <v>0</v>
      </c>
      <c r="AB590" s="2">
        <f t="shared" si="16"/>
      </c>
      <c r="AC590" s="2">
        <f t="shared" si="17"/>
      </c>
      <c r="AD590" s="2">
        <f t="shared" si="18"/>
      </c>
      <c r="AE590" s="2">
        <f t="shared" si="19"/>
      </c>
      <c r="AF590" s="2">
        <f t="shared" si="20"/>
      </c>
      <c r="AG590" s="2">
        <f t="shared" si="21"/>
      </c>
      <c r="AH590" s="2">
        <f t="shared" si="22"/>
      </c>
      <c r="AI590" s="2">
        <f t="shared" si="23"/>
      </c>
      <c r="AJ590" s="2">
        <f t="shared" si="24"/>
        <v>0</v>
      </c>
      <c r="AK590" s="2">
        <f t="shared" si="25"/>
        <v>0</v>
      </c>
      <c r="AL590" s="2">
        <f t="shared" si="26"/>
        <v>0</v>
      </c>
      <c r="AM590" s="2">
        <f t="shared" si="27"/>
        <v>0</v>
      </c>
      <c r="AN590" s="2">
        <f t="shared" si="28"/>
        <v>0</v>
      </c>
      <c r="AO590" s="2">
        <f t="shared" si="29"/>
      </c>
      <c r="AP590" s="2">
        <f t="shared" si="30"/>
      </c>
      <c r="AQ590" s="2">
        <f t="shared" si="31"/>
      </c>
    </row>
    <row r="591">
      <c r="A591" s="43">
        <f t="shared" si="3"/>
      </c>
      <c r="B591" s="44" t="n"/>
      <c r="C591" s="45" t="n"/>
      <c r="D591" s="46" t="n"/>
      <c r="E591" s="47" t="n"/>
      <c r="F591" s="47" t="n"/>
      <c r="G591" s="48">
        <f t="shared" si="4"/>
      </c>
      <c r="H591" s="43">
        <f t="shared" si="0"/>
      </c>
      <c r="I591" s="43">
        <f t="shared" si="5"/>
      </c>
      <c r="J591" s="43">
        <f t="shared" si="1"/>
      </c>
      <c r="K591" s="49">
        <f t="shared" si="2"/>
      </c>
      <c r="L591" s="45" t="n"/>
      <c r="M591" s="45" t="n"/>
      <c r="N591" s="45" t="n"/>
      <c r="O591" s="45" t="n"/>
      <c r="P591" s="50" t="n"/>
      <c r="R591" s="2">
        <f t="shared" si="6"/>
        <v>0</v>
      </c>
      <c r="S591" s="2">
        <f t="shared" si="7"/>
      </c>
      <c r="T591" s="2">
        <f t="shared" si="8"/>
      </c>
      <c r="U591" s="2">
        <f t="shared" si="9"/>
      </c>
      <c r="V591" s="2">
        <f t="shared" si="10"/>
      </c>
      <c r="W591" s="2">
        <f t="shared" si="11"/>
      </c>
      <c r="X591" s="2">
        <f t="shared" si="12"/>
      </c>
      <c r="Y591" s="2">
        <f t="shared" si="13"/>
        <v>0</v>
      </c>
      <c r="Z591" s="2">
        <f t="shared" si="14"/>
      </c>
      <c r="AA591" s="2">
        <f t="shared" si="15"/>
        <v>0</v>
      </c>
      <c r="AB591" s="2">
        <f t="shared" si="16"/>
      </c>
      <c r="AC591" s="2">
        <f t="shared" si="17"/>
      </c>
      <c r="AD591" s="2">
        <f t="shared" si="18"/>
      </c>
      <c r="AE591" s="2">
        <f t="shared" si="19"/>
      </c>
      <c r="AF591" s="2">
        <f t="shared" si="20"/>
      </c>
      <c r="AG591" s="2">
        <f t="shared" si="21"/>
      </c>
      <c r="AH591" s="2">
        <f t="shared" si="22"/>
      </c>
      <c r="AI591" s="2">
        <f t="shared" si="23"/>
      </c>
      <c r="AJ591" s="2">
        <f t="shared" si="24"/>
        <v>0</v>
      </c>
      <c r="AK591" s="2">
        <f t="shared" si="25"/>
        <v>0</v>
      </c>
      <c r="AL591" s="2">
        <f t="shared" si="26"/>
        <v>0</v>
      </c>
      <c r="AM591" s="2">
        <f t="shared" si="27"/>
        <v>0</v>
      </c>
      <c r="AN591" s="2">
        <f t="shared" si="28"/>
        <v>0</v>
      </c>
      <c r="AO591" s="2">
        <f t="shared" si="29"/>
      </c>
      <c r="AP591" s="2">
        <f t="shared" si="30"/>
      </c>
      <c r="AQ591" s="2">
        <f t="shared" si="31"/>
      </c>
    </row>
    <row r="592">
      <c r="A592" s="43">
        <f t="shared" si="3"/>
      </c>
      <c r="B592" s="44" t="n"/>
      <c r="C592" s="45" t="n"/>
      <c r="D592" s="46" t="n"/>
      <c r="E592" s="47" t="n"/>
      <c r="F592" s="47" t="n"/>
      <c r="G592" s="48">
        <f t="shared" si="4"/>
      </c>
      <c r="H592" s="43">
        <f t="shared" si="0"/>
      </c>
      <c r="I592" s="43">
        <f t="shared" si="5"/>
      </c>
      <c r="J592" s="43">
        <f t="shared" si="1"/>
      </c>
      <c r="K592" s="49">
        <f t="shared" si="2"/>
      </c>
      <c r="L592" s="45" t="n"/>
      <c r="M592" s="45" t="n"/>
      <c r="N592" s="45" t="n"/>
      <c r="O592" s="45" t="n"/>
      <c r="P592" s="50" t="n"/>
      <c r="R592" s="2">
        <f t="shared" si="6"/>
        <v>0</v>
      </c>
      <c r="S592" s="2">
        <f t="shared" si="7"/>
      </c>
      <c r="T592" s="2">
        <f t="shared" si="8"/>
      </c>
      <c r="U592" s="2">
        <f t="shared" si="9"/>
      </c>
      <c r="V592" s="2">
        <f t="shared" si="10"/>
      </c>
      <c r="W592" s="2">
        <f t="shared" si="11"/>
      </c>
      <c r="X592" s="2">
        <f t="shared" si="12"/>
      </c>
      <c r="Y592" s="2">
        <f t="shared" si="13"/>
        <v>0</v>
      </c>
      <c r="Z592" s="2">
        <f t="shared" si="14"/>
      </c>
      <c r="AA592" s="2">
        <f t="shared" si="15"/>
        <v>0</v>
      </c>
      <c r="AB592" s="2">
        <f t="shared" si="16"/>
      </c>
      <c r="AC592" s="2">
        <f t="shared" si="17"/>
      </c>
      <c r="AD592" s="2">
        <f t="shared" si="18"/>
      </c>
      <c r="AE592" s="2">
        <f t="shared" si="19"/>
      </c>
      <c r="AF592" s="2">
        <f t="shared" si="20"/>
      </c>
      <c r="AG592" s="2">
        <f t="shared" si="21"/>
      </c>
      <c r="AH592" s="2">
        <f t="shared" si="22"/>
      </c>
      <c r="AI592" s="2">
        <f t="shared" si="23"/>
      </c>
      <c r="AJ592" s="2">
        <f t="shared" si="24"/>
        <v>0</v>
      </c>
      <c r="AK592" s="2">
        <f t="shared" si="25"/>
        <v>0</v>
      </c>
      <c r="AL592" s="2">
        <f t="shared" si="26"/>
        <v>0</v>
      </c>
      <c r="AM592" s="2">
        <f t="shared" si="27"/>
        <v>0</v>
      </c>
      <c r="AN592" s="2">
        <f t="shared" si="28"/>
        <v>0</v>
      </c>
      <c r="AO592" s="2">
        <f t="shared" si="29"/>
      </c>
      <c r="AP592" s="2">
        <f t="shared" si="30"/>
      </c>
      <c r="AQ592" s="2">
        <f t="shared" si="31"/>
      </c>
    </row>
    <row r="593">
      <c r="A593" s="43">
        <f t="shared" si="3"/>
      </c>
      <c r="B593" s="44" t="n"/>
      <c r="C593" s="45" t="n"/>
      <c r="D593" s="46" t="n"/>
      <c r="E593" s="47" t="n"/>
      <c r="F593" s="47" t="n"/>
      <c r="G593" s="48">
        <f t="shared" si="4"/>
      </c>
      <c r="H593" s="43">
        <f t="shared" si="0"/>
      </c>
      <c r="I593" s="43">
        <f t="shared" si="5"/>
      </c>
      <c r="J593" s="43">
        <f t="shared" si="1"/>
      </c>
      <c r="K593" s="49">
        <f t="shared" si="2"/>
      </c>
      <c r="L593" s="45" t="n"/>
      <c r="M593" s="45" t="n"/>
      <c r="N593" s="45" t="n"/>
      <c r="O593" s="45" t="n"/>
      <c r="P593" s="50" t="n"/>
      <c r="R593" s="2">
        <f t="shared" si="6"/>
        <v>0</v>
      </c>
      <c r="S593" s="2">
        <f t="shared" si="7"/>
      </c>
      <c r="T593" s="2">
        <f t="shared" si="8"/>
      </c>
      <c r="U593" s="2">
        <f t="shared" si="9"/>
      </c>
      <c r="V593" s="2">
        <f t="shared" si="10"/>
      </c>
      <c r="W593" s="2">
        <f t="shared" si="11"/>
      </c>
      <c r="X593" s="2">
        <f t="shared" si="12"/>
      </c>
      <c r="Y593" s="2">
        <f t="shared" si="13"/>
        <v>0</v>
      </c>
      <c r="Z593" s="2">
        <f t="shared" si="14"/>
      </c>
      <c r="AA593" s="2">
        <f t="shared" si="15"/>
        <v>0</v>
      </c>
      <c r="AB593" s="2">
        <f t="shared" si="16"/>
      </c>
      <c r="AC593" s="2">
        <f t="shared" si="17"/>
      </c>
      <c r="AD593" s="2">
        <f t="shared" si="18"/>
      </c>
      <c r="AE593" s="2">
        <f t="shared" si="19"/>
      </c>
      <c r="AF593" s="2">
        <f t="shared" si="20"/>
      </c>
      <c r="AG593" s="2">
        <f t="shared" si="21"/>
      </c>
      <c r="AH593" s="2">
        <f t="shared" si="22"/>
      </c>
      <c r="AI593" s="2">
        <f t="shared" si="23"/>
      </c>
      <c r="AJ593" s="2">
        <f t="shared" si="24"/>
        <v>0</v>
      </c>
      <c r="AK593" s="2">
        <f t="shared" si="25"/>
        <v>0</v>
      </c>
      <c r="AL593" s="2">
        <f t="shared" si="26"/>
        <v>0</v>
      </c>
      <c r="AM593" s="2">
        <f t="shared" si="27"/>
        <v>0</v>
      </c>
      <c r="AN593" s="2">
        <f t="shared" si="28"/>
        <v>0</v>
      </c>
      <c r="AO593" s="2">
        <f t="shared" si="29"/>
      </c>
      <c r="AP593" s="2">
        <f t="shared" si="30"/>
      </c>
      <c r="AQ593" s="2">
        <f t="shared" si="31"/>
      </c>
    </row>
    <row r="594">
      <c r="A594" s="43">
        <f t="shared" si="3"/>
      </c>
      <c r="B594" s="44" t="n"/>
      <c r="C594" s="45" t="n"/>
      <c r="D594" s="46" t="n"/>
      <c r="E594" s="47" t="n"/>
      <c r="F594" s="47" t="n"/>
      <c r="G594" s="48">
        <f t="shared" si="4"/>
      </c>
      <c r="H594" s="43">
        <f t="shared" si="0"/>
      </c>
      <c r="I594" s="43">
        <f t="shared" si="5"/>
      </c>
      <c r="J594" s="43">
        <f t="shared" si="1"/>
      </c>
      <c r="K594" s="49">
        <f t="shared" si="2"/>
      </c>
      <c r="L594" s="45" t="n"/>
      <c r="M594" s="45" t="n"/>
      <c r="N594" s="45" t="n"/>
      <c r="O594" s="45" t="n"/>
      <c r="P594" s="50" t="n"/>
      <c r="R594" s="2">
        <f t="shared" si="6"/>
        <v>0</v>
      </c>
      <c r="S594" s="2">
        <f t="shared" si="7"/>
      </c>
      <c r="T594" s="2">
        <f t="shared" si="8"/>
      </c>
      <c r="U594" s="2">
        <f t="shared" si="9"/>
      </c>
      <c r="V594" s="2">
        <f t="shared" si="10"/>
      </c>
      <c r="W594" s="2">
        <f t="shared" si="11"/>
      </c>
      <c r="X594" s="2">
        <f t="shared" si="12"/>
      </c>
      <c r="Y594" s="2">
        <f t="shared" si="13"/>
        <v>0</v>
      </c>
      <c r="Z594" s="2">
        <f t="shared" si="14"/>
      </c>
      <c r="AA594" s="2">
        <f t="shared" si="15"/>
        <v>0</v>
      </c>
      <c r="AB594" s="2">
        <f t="shared" si="16"/>
      </c>
      <c r="AC594" s="2">
        <f t="shared" si="17"/>
      </c>
      <c r="AD594" s="2">
        <f t="shared" si="18"/>
      </c>
      <c r="AE594" s="2">
        <f t="shared" si="19"/>
      </c>
      <c r="AF594" s="2">
        <f t="shared" si="20"/>
      </c>
      <c r="AG594" s="2">
        <f t="shared" si="21"/>
      </c>
      <c r="AH594" s="2">
        <f t="shared" si="22"/>
      </c>
      <c r="AI594" s="2">
        <f t="shared" si="23"/>
      </c>
      <c r="AJ594" s="2">
        <f t="shared" si="24"/>
        <v>0</v>
      </c>
      <c r="AK594" s="2">
        <f t="shared" si="25"/>
        <v>0</v>
      </c>
      <c r="AL594" s="2">
        <f t="shared" si="26"/>
        <v>0</v>
      </c>
      <c r="AM594" s="2">
        <f t="shared" si="27"/>
        <v>0</v>
      </c>
      <c r="AN594" s="2">
        <f t="shared" si="28"/>
        <v>0</v>
      </c>
      <c r="AO594" s="2">
        <f t="shared" si="29"/>
      </c>
      <c r="AP594" s="2">
        <f t="shared" si="30"/>
      </c>
      <c r="AQ594" s="2">
        <f t="shared" si="31"/>
      </c>
    </row>
    <row r="595">
      <c r="A595" s="43">
        <f t="shared" si="3"/>
      </c>
      <c r="B595" s="44" t="n"/>
      <c r="C595" s="45" t="n"/>
      <c r="D595" s="46" t="n"/>
      <c r="E595" s="47" t="n"/>
      <c r="F595" s="47" t="n"/>
      <c r="G595" s="48">
        <f t="shared" si="4"/>
      </c>
      <c r="H595" s="43">
        <f t="shared" si="0"/>
      </c>
      <c r="I595" s="43">
        <f t="shared" si="5"/>
      </c>
      <c r="J595" s="43">
        <f t="shared" si="1"/>
      </c>
      <c r="K595" s="49">
        <f t="shared" si="2"/>
      </c>
      <c r="L595" s="45" t="n"/>
      <c r="M595" s="45" t="n"/>
      <c r="N595" s="45" t="n"/>
      <c r="O595" s="45" t="n"/>
      <c r="P595" s="50" t="n"/>
      <c r="R595" s="2">
        <f t="shared" si="6"/>
        <v>0</v>
      </c>
      <c r="S595" s="2">
        <f t="shared" si="7"/>
      </c>
      <c r="T595" s="2">
        <f t="shared" si="8"/>
      </c>
      <c r="U595" s="2">
        <f t="shared" si="9"/>
      </c>
      <c r="V595" s="2">
        <f t="shared" si="10"/>
      </c>
      <c r="W595" s="2">
        <f t="shared" si="11"/>
      </c>
      <c r="X595" s="2">
        <f t="shared" si="12"/>
      </c>
      <c r="Y595" s="2">
        <f t="shared" si="13"/>
        <v>0</v>
      </c>
      <c r="Z595" s="2">
        <f t="shared" si="14"/>
      </c>
      <c r="AA595" s="2">
        <f t="shared" si="15"/>
        <v>0</v>
      </c>
      <c r="AB595" s="2">
        <f t="shared" si="16"/>
      </c>
      <c r="AC595" s="2">
        <f t="shared" si="17"/>
      </c>
      <c r="AD595" s="2">
        <f t="shared" si="18"/>
      </c>
      <c r="AE595" s="2">
        <f t="shared" si="19"/>
      </c>
      <c r="AF595" s="2">
        <f t="shared" si="20"/>
      </c>
      <c r="AG595" s="2">
        <f t="shared" si="21"/>
      </c>
      <c r="AH595" s="2">
        <f t="shared" si="22"/>
      </c>
      <c r="AI595" s="2">
        <f t="shared" si="23"/>
      </c>
      <c r="AJ595" s="2">
        <f t="shared" si="24"/>
        <v>0</v>
      </c>
      <c r="AK595" s="2">
        <f t="shared" si="25"/>
        <v>0</v>
      </c>
      <c r="AL595" s="2">
        <f t="shared" si="26"/>
        <v>0</v>
      </c>
      <c r="AM595" s="2">
        <f t="shared" si="27"/>
        <v>0</v>
      </c>
      <c r="AN595" s="2">
        <f t="shared" si="28"/>
        <v>0</v>
      </c>
      <c r="AO595" s="2">
        <f t="shared" si="29"/>
      </c>
      <c r="AP595" s="2">
        <f t="shared" si="30"/>
      </c>
      <c r="AQ595" s="2">
        <f t="shared" si="31"/>
      </c>
    </row>
    <row r="596">
      <c r="A596" s="43">
        <f t="shared" si="3"/>
      </c>
      <c r="B596" s="44" t="n"/>
      <c r="C596" s="45" t="n"/>
      <c r="D596" s="46" t="n"/>
      <c r="E596" s="47" t="n"/>
      <c r="F596" s="47" t="n"/>
      <c r="G596" s="48">
        <f t="shared" si="4"/>
      </c>
      <c r="H596" s="43">
        <f t="shared" si="0"/>
      </c>
      <c r="I596" s="43">
        <f t="shared" si="5"/>
      </c>
      <c r="J596" s="43">
        <f t="shared" si="1"/>
      </c>
      <c r="K596" s="49">
        <f t="shared" si="2"/>
      </c>
      <c r="L596" s="45" t="n"/>
      <c r="M596" s="45" t="n"/>
      <c r="N596" s="45" t="n"/>
      <c r="O596" s="45" t="n"/>
      <c r="P596" s="50" t="n"/>
      <c r="R596" s="2">
        <f t="shared" si="6"/>
        <v>0</v>
      </c>
      <c r="S596" s="2">
        <f t="shared" si="7"/>
      </c>
      <c r="T596" s="2">
        <f t="shared" si="8"/>
      </c>
      <c r="U596" s="2">
        <f t="shared" si="9"/>
      </c>
      <c r="V596" s="2">
        <f t="shared" si="10"/>
      </c>
      <c r="W596" s="2">
        <f t="shared" si="11"/>
      </c>
      <c r="X596" s="2">
        <f t="shared" si="12"/>
      </c>
      <c r="Y596" s="2">
        <f t="shared" si="13"/>
        <v>0</v>
      </c>
      <c r="Z596" s="2">
        <f t="shared" si="14"/>
      </c>
      <c r="AA596" s="2">
        <f t="shared" si="15"/>
        <v>0</v>
      </c>
      <c r="AB596" s="2">
        <f t="shared" si="16"/>
      </c>
      <c r="AC596" s="2">
        <f t="shared" si="17"/>
      </c>
      <c r="AD596" s="2">
        <f t="shared" si="18"/>
      </c>
      <c r="AE596" s="2">
        <f t="shared" si="19"/>
      </c>
      <c r="AF596" s="2">
        <f t="shared" si="20"/>
      </c>
      <c r="AG596" s="2">
        <f t="shared" si="21"/>
      </c>
      <c r="AH596" s="2">
        <f t="shared" si="22"/>
      </c>
      <c r="AI596" s="2">
        <f t="shared" si="23"/>
      </c>
      <c r="AJ596" s="2">
        <f t="shared" si="24"/>
        <v>0</v>
      </c>
      <c r="AK596" s="2">
        <f t="shared" si="25"/>
        <v>0</v>
      </c>
      <c r="AL596" s="2">
        <f t="shared" si="26"/>
        <v>0</v>
      </c>
      <c r="AM596" s="2">
        <f t="shared" si="27"/>
        <v>0</v>
      </c>
      <c r="AN596" s="2">
        <f t="shared" si="28"/>
        <v>0</v>
      </c>
      <c r="AO596" s="2">
        <f t="shared" si="29"/>
      </c>
      <c r="AP596" s="2">
        <f t="shared" si="30"/>
      </c>
      <c r="AQ596" s="2">
        <f t="shared" si="31"/>
      </c>
    </row>
    <row r="597">
      <c r="A597" s="43">
        <f t="shared" si="3"/>
      </c>
      <c r="B597" s="44" t="n"/>
      <c r="C597" s="45" t="n"/>
      <c r="D597" s="46" t="n"/>
      <c r="E597" s="47" t="n"/>
      <c r="F597" s="47" t="n"/>
      <c r="G597" s="48">
        <f t="shared" si="4"/>
      </c>
      <c r="H597" s="43">
        <f t="shared" si="0"/>
      </c>
      <c r="I597" s="43">
        <f t="shared" si="5"/>
      </c>
      <c r="J597" s="43">
        <f t="shared" si="1"/>
      </c>
      <c r="K597" s="49">
        <f t="shared" si="2"/>
      </c>
      <c r="L597" s="45" t="n"/>
      <c r="M597" s="45" t="n"/>
      <c r="N597" s="45" t="n"/>
      <c r="O597" s="45" t="n"/>
      <c r="P597" s="50" t="n"/>
      <c r="R597" s="2">
        <f t="shared" si="6"/>
        <v>0</v>
      </c>
      <c r="S597" s="2">
        <f t="shared" si="7"/>
      </c>
      <c r="T597" s="2">
        <f t="shared" si="8"/>
      </c>
      <c r="U597" s="2">
        <f t="shared" si="9"/>
      </c>
      <c r="V597" s="2">
        <f t="shared" si="10"/>
      </c>
      <c r="W597" s="2">
        <f t="shared" si="11"/>
      </c>
      <c r="X597" s="2">
        <f t="shared" si="12"/>
      </c>
      <c r="Y597" s="2">
        <f t="shared" si="13"/>
        <v>0</v>
      </c>
      <c r="Z597" s="2">
        <f t="shared" si="14"/>
      </c>
      <c r="AA597" s="2">
        <f t="shared" si="15"/>
        <v>0</v>
      </c>
      <c r="AB597" s="2">
        <f t="shared" si="16"/>
      </c>
      <c r="AC597" s="2">
        <f t="shared" si="17"/>
      </c>
      <c r="AD597" s="2">
        <f t="shared" si="18"/>
      </c>
      <c r="AE597" s="2">
        <f t="shared" si="19"/>
      </c>
      <c r="AF597" s="2">
        <f t="shared" si="20"/>
      </c>
      <c r="AG597" s="2">
        <f t="shared" si="21"/>
      </c>
      <c r="AH597" s="2">
        <f t="shared" si="22"/>
      </c>
      <c r="AI597" s="2">
        <f t="shared" si="23"/>
      </c>
      <c r="AJ597" s="2">
        <f t="shared" si="24"/>
        <v>0</v>
      </c>
      <c r="AK597" s="2">
        <f t="shared" si="25"/>
        <v>0</v>
      </c>
      <c r="AL597" s="2">
        <f t="shared" si="26"/>
        <v>0</v>
      </c>
      <c r="AM597" s="2">
        <f t="shared" si="27"/>
        <v>0</v>
      </c>
      <c r="AN597" s="2">
        <f t="shared" si="28"/>
        <v>0</v>
      </c>
      <c r="AO597" s="2">
        <f t="shared" si="29"/>
      </c>
      <c r="AP597" s="2">
        <f t="shared" si="30"/>
      </c>
      <c r="AQ597" s="2">
        <f t="shared" si="31"/>
      </c>
    </row>
    <row r="598">
      <c r="A598" s="43">
        <f t="shared" si="3"/>
      </c>
      <c r="B598" s="44" t="n"/>
      <c r="C598" s="45" t="n"/>
      <c r="D598" s="46" t="n"/>
      <c r="E598" s="47" t="n"/>
      <c r="F598" s="47" t="n"/>
      <c r="G598" s="48">
        <f t="shared" si="4"/>
      </c>
      <c r="H598" s="43">
        <f t="shared" si="0"/>
      </c>
      <c r="I598" s="43">
        <f t="shared" si="5"/>
      </c>
      <c r="J598" s="43">
        <f t="shared" si="1"/>
      </c>
      <c r="K598" s="49">
        <f t="shared" si="2"/>
      </c>
      <c r="L598" s="45" t="n"/>
      <c r="M598" s="45" t="n"/>
      <c r="N598" s="45" t="n"/>
      <c r="O598" s="45" t="n"/>
      <c r="P598" s="50" t="n"/>
      <c r="R598" s="2">
        <f t="shared" si="6"/>
        <v>0</v>
      </c>
      <c r="S598" s="2">
        <f t="shared" si="7"/>
      </c>
      <c r="T598" s="2">
        <f t="shared" si="8"/>
      </c>
      <c r="U598" s="2">
        <f t="shared" si="9"/>
      </c>
      <c r="V598" s="2">
        <f t="shared" si="10"/>
      </c>
      <c r="W598" s="2">
        <f t="shared" si="11"/>
      </c>
      <c r="X598" s="2">
        <f t="shared" si="12"/>
      </c>
      <c r="Y598" s="2">
        <f t="shared" si="13"/>
        <v>0</v>
      </c>
      <c r="Z598" s="2">
        <f t="shared" si="14"/>
      </c>
      <c r="AA598" s="2">
        <f t="shared" si="15"/>
        <v>0</v>
      </c>
      <c r="AB598" s="2">
        <f t="shared" si="16"/>
      </c>
      <c r="AC598" s="2">
        <f t="shared" si="17"/>
      </c>
      <c r="AD598" s="2">
        <f t="shared" si="18"/>
      </c>
      <c r="AE598" s="2">
        <f t="shared" si="19"/>
      </c>
      <c r="AF598" s="2">
        <f t="shared" si="20"/>
      </c>
      <c r="AG598" s="2">
        <f t="shared" si="21"/>
      </c>
      <c r="AH598" s="2">
        <f t="shared" si="22"/>
      </c>
      <c r="AI598" s="2">
        <f t="shared" si="23"/>
      </c>
      <c r="AJ598" s="2">
        <f t="shared" si="24"/>
        <v>0</v>
      </c>
      <c r="AK598" s="2">
        <f t="shared" si="25"/>
        <v>0</v>
      </c>
      <c r="AL598" s="2">
        <f t="shared" si="26"/>
        <v>0</v>
      </c>
      <c r="AM598" s="2">
        <f t="shared" si="27"/>
        <v>0</v>
      </c>
      <c r="AN598" s="2">
        <f t="shared" si="28"/>
        <v>0</v>
      </c>
      <c r="AO598" s="2">
        <f t="shared" si="29"/>
      </c>
      <c r="AP598" s="2">
        <f t="shared" si="30"/>
      </c>
      <c r="AQ598" s="2">
        <f t="shared" si="31"/>
      </c>
    </row>
    <row r="599">
      <c r="A599" s="43">
        <f t="shared" si="3"/>
      </c>
      <c r="B599" s="44" t="n"/>
      <c r="C599" s="45" t="n"/>
      <c r="D599" s="46" t="n"/>
      <c r="E599" s="47" t="n"/>
      <c r="F599" s="47" t="n"/>
      <c r="G599" s="48">
        <f t="shared" si="4"/>
      </c>
      <c r="H599" s="43">
        <f t="shared" si="0"/>
      </c>
      <c r="I599" s="43">
        <f t="shared" si="5"/>
      </c>
      <c r="J599" s="43">
        <f t="shared" si="1"/>
      </c>
      <c r="K599" s="49">
        <f t="shared" si="2"/>
      </c>
      <c r="L599" s="45" t="n"/>
      <c r="M599" s="45" t="n"/>
      <c r="N599" s="45" t="n"/>
      <c r="O599" s="45" t="n"/>
      <c r="P599" s="50" t="n"/>
      <c r="R599" s="2">
        <f t="shared" si="6"/>
        <v>0</v>
      </c>
      <c r="S599" s="2">
        <f t="shared" si="7"/>
      </c>
      <c r="T599" s="2">
        <f t="shared" si="8"/>
      </c>
      <c r="U599" s="2">
        <f t="shared" si="9"/>
      </c>
      <c r="V599" s="2">
        <f t="shared" si="10"/>
      </c>
      <c r="W599" s="2">
        <f t="shared" si="11"/>
      </c>
      <c r="X599" s="2">
        <f t="shared" si="12"/>
      </c>
      <c r="Y599" s="2">
        <f t="shared" si="13"/>
        <v>0</v>
      </c>
      <c r="Z599" s="2">
        <f t="shared" si="14"/>
      </c>
      <c r="AA599" s="2">
        <f t="shared" si="15"/>
        <v>0</v>
      </c>
      <c r="AB599" s="2">
        <f t="shared" si="16"/>
      </c>
      <c r="AC599" s="2">
        <f t="shared" si="17"/>
      </c>
      <c r="AD599" s="2">
        <f t="shared" si="18"/>
      </c>
      <c r="AE599" s="2">
        <f t="shared" si="19"/>
      </c>
      <c r="AF599" s="2">
        <f t="shared" si="20"/>
      </c>
      <c r="AG599" s="2">
        <f t="shared" si="21"/>
      </c>
      <c r="AH599" s="2">
        <f t="shared" si="22"/>
      </c>
      <c r="AI599" s="2">
        <f t="shared" si="23"/>
      </c>
      <c r="AJ599" s="2">
        <f t="shared" si="24"/>
        <v>0</v>
      </c>
      <c r="AK599" s="2">
        <f t="shared" si="25"/>
        <v>0</v>
      </c>
      <c r="AL599" s="2">
        <f t="shared" si="26"/>
        <v>0</v>
      </c>
      <c r="AM599" s="2">
        <f t="shared" si="27"/>
        <v>0</v>
      </c>
      <c r="AN599" s="2">
        <f t="shared" si="28"/>
        <v>0</v>
      </c>
      <c r="AO599" s="2">
        <f t="shared" si="29"/>
      </c>
      <c r="AP599" s="2">
        <f t="shared" si="30"/>
      </c>
      <c r="AQ599" s="2">
        <f t="shared" si="31"/>
      </c>
    </row>
    <row r="600">
      <c r="A600" s="43">
        <f t="shared" si="3"/>
      </c>
      <c r="B600" s="44" t="n"/>
      <c r="C600" s="45" t="n"/>
      <c r="D600" s="46" t="n"/>
      <c r="E600" s="47" t="n"/>
      <c r="F600" s="47" t="n"/>
      <c r="G600" s="48">
        <f t="shared" si="4"/>
      </c>
      <c r="H600" s="43">
        <f t="shared" si="0"/>
      </c>
      <c r="I600" s="43">
        <f t="shared" si="5"/>
      </c>
      <c r="J600" s="43">
        <f t="shared" si="1"/>
      </c>
      <c r="K600" s="49">
        <f t="shared" si="2"/>
      </c>
      <c r="L600" s="45" t="n"/>
      <c r="M600" s="45" t="n"/>
      <c r="N600" s="45" t="n"/>
      <c r="O600" s="45" t="n"/>
      <c r="P600" s="50" t="n"/>
      <c r="R600" s="2">
        <f t="shared" si="6"/>
        <v>0</v>
      </c>
      <c r="S600" s="2">
        <f t="shared" si="7"/>
      </c>
      <c r="T600" s="2">
        <f t="shared" si="8"/>
      </c>
      <c r="U600" s="2">
        <f t="shared" si="9"/>
      </c>
      <c r="V600" s="2">
        <f t="shared" si="10"/>
      </c>
      <c r="W600" s="2">
        <f t="shared" si="11"/>
      </c>
      <c r="X600" s="2">
        <f t="shared" si="12"/>
      </c>
      <c r="Y600" s="2">
        <f t="shared" si="13"/>
        <v>0</v>
      </c>
      <c r="Z600" s="2">
        <f t="shared" si="14"/>
      </c>
      <c r="AA600" s="2">
        <f t="shared" si="15"/>
        <v>0</v>
      </c>
      <c r="AB600" s="2">
        <f t="shared" si="16"/>
      </c>
      <c r="AC600" s="2">
        <f t="shared" si="17"/>
      </c>
      <c r="AD600" s="2">
        <f t="shared" si="18"/>
      </c>
      <c r="AE600" s="2">
        <f t="shared" si="19"/>
      </c>
      <c r="AF600" s="2">
        <f t="shared" si="20"/>
      </c>
      <c r="AG600" s="2">
        <f t="shared" si="21"/>
      </c>
      <c r="AH600" s="2">
        <f t="shared" si="22"/>
      </c>
      <c r="AI600" s="2">
        <f t="shared" si="23"/>
      </c>
      <c r="AJ600" s="2">
        <f t="shared" si="24"/>
        <v>0</v>
      </c>
      <c r="AK600" s="2">
        <f t="shared" si="25"/>
        <v>0</v>
      </c>
      <c r="AL600" s="2">
        <f t="shared" si="26"/>
        <v>0</v>
      </c>
      <c r="AM600" s="2">
        <f t="shared" si="27"/>
        <v>0</v>
      </c>
      <c r="AN600" s="2">
        <f t="shared" si="28"/>
        <v>0</v>
      </c>
      <c r="AO600" s="2">
        <f t="shared" si="29"/>
      </c>
      <c r="AP600" s="2">
        <f t="shared" si="30"/>
      </c>
      <c r="AQ600" s="2">
        <f t="shared" si="31"/>
      </c>
    </row>
    <row r="601">
      <c r="A601" s="43">
        <f t="shared" si="3"/>
      </c>
      <c r="B601" s="44" t="n"/>
      <c r="C601" s="45" t="n"/>
      <c r="D601" s="46" t="n"/>
      <c r="E601" s="47" t="n"/>
      <c r="F601" s="47" t="n"/>
      <c r="G601" s="48">
        <f t="shared" si="4"/>
      </c>
      <c r="H601" s="43">
        <f t="shared" si="0"/>
      </c>
      <c r="I601" s="43">
        <f t="shared" si="5"/>
      </c>
      <c r="J601" s="43">
        <f t="shared" si="1"/>
      </c>
      <c r="K601" s="49">
        <f t="shared" si="2"/>
      </c>
      <c r="L601" s="45" t="n"/>
      <c r="M601" s="45" t="n"/>
      <c r="N601" s="45" t="n"/>
      <c r="O601" s="45" t="n"/>
      <c r="P601" s="50" t="n"/>
      <c r="R601" s="2">
        <f t="shared" si="6"/>
        <v>0</v>
      </c>
      <c r="S601" s="2">
        <f t="shared" si="7"/>
      </c>
      <c r="T601" s="2">
        <f t="shared" si="8"/>
      </c>
      <c r="U601" s="2">
        <f t="shared" si="9"/>
      </c>
      <c r="V601" s="2">
        <f t="shared" si="10"/>
      </c>
      <c r="W601" s="2">
        <f t="shared" si="11"/>
      </c>
      <c r="X601" s="2">
        <f t="shared" si="12"/>
      </c>
      <c r="Y601" s="2">
        <f t="shared" si="13"/>
        <v>0</v>
      </c>
      <c r="Z601" s="2">
        <f t="shared" si="14"/>
      </c>
      <c r="AA601" s="2">
        <f t="shared" si="15"/>
        <v>0</v>
      </c>
      <c r="AB601" s="2">
        <f t="shared" si="16"/>
      </c>
      <c r="AC601" s="2">
        <f t="shared" si="17"/>
      </c>
      <c r="AD601" s="2">
        <f t="shared" si="18"/>
      </c>
      <c r="AE601" s="2">
        <f t="shared" si="19"/>
      </c>
      <c r="AF601" s="2">
        <f t="shared" si="20"/>
      </c>
      <c r="AG601" s="2">
        <f t="shared" si="21"/>
      </c>
      <c r="AH601" s="2">
        <f t="shared" si="22"/>
      </c>
      <c r="AI601" s="2">
        <f t="shared" si="23"/>
      </c>
      <c r="AJ601" s="2">
        <f t="shared" si="24"/>
        <v>0</v>
      </c>
      <c r="AK601" s="2">
        <f t="shared" si="25"/>
        <v>0</v>
      </c>
      <c r="AL601" s="2">
        <f t="shared" si="26"/>
        <v>0</v>
      </c>
      <c r="AM601" s="2">
        <f t="shared" si="27"/>
        <v>0</v>
      </c>
      <c r="AN601" s="2">
        <f t="shared" si="28"/>
        <v>0</v>
      </c>
      <c r="AO601" s="2">
        <f t="shared" si="29"/>
      </c>
      <c r="AP601" s="2">
        <f t="shared" si="30"/>
      </c>
      <c r="AQ601" s="2">
        <f t="shared" si="31"/>
      </c>
    </row>
    <row r="602">
      <c r="A602" s="43">
        <f t="shared" si="3"/>
      </c>
      <c r="B602" s="44" t="n"/>
      <c r="C602" s="45" t="n"/>
      <c r="D602" s="46" t="n"/>
      <c r="E602" s="47" t="n"/>
      <c r="F602" s="47" t="n"/>
      <c r="G602" s="48">
        <f t="shared" si="4"/>
      </c>
      <c r="H602" s="43">
        <f t="shared" si="0"/>
      </c>
      <c r="I602" s="43">
        <f t="shared" si="5"/>
      </c>
      <c r="J602" s="43">
        <f t="shared" si="1"/>
      </c>
      <c r="K602" s="49">
        <f t="shared" si="2"/>
      </c>
      <c r="L602" s="45" t="n"/>
      <c r="M602" s="45" t="n"/>
      <c r="N602" s="45" t="n"/>
      <c r="O602" s="45" t="n"/>
      <c r="P602" s="50" t="n"/>
      <c r="R602" s="2">
        <f t="shared" si="6"/>
        <v>0</v>
      </c>
      <c r="S602" s="2">
        <f t="shared" si="7"/>
      </c>
      <c r="T602" s="2">
        <f t="shared" si="8"/>
      </c>
      <c r="U602" s="2">
        <f t="shared" si="9"/>
      </c>
      <c r="V602" s="2">
        <f t="shared" si="10"/>
      </c>
      <c r="W602" s="2">
        <f t="shared" si="11"/>
      </c>
      <c r="X602" s="2">
        <f t="shared" si="12"/>
      </c>
      <c r="Y602" s="2">
        <f t="shared" si="13"/>
        <v>0</v>
      </c>
      <c r="Z602" s="2">
        <f t="shared" si="14"/>
      </c>
      <c r="AA602" s="2">
        <f t="shared" si="15"/>
        <v>0</v>
      </c>
      <c r="AB602" s="2">
        <f t="shared" si="16"/>
      </c>
      <c r="AC602" s="2">
        <f t="shared" si="17"/>
      </c>
      <c r="AD602" s="2">
        <f t="shared" si="18"/>
      </c>
      <c r="AE602" s="2">
        <f t="shared" si="19"/>
      </c>
      <c r="AF602" s="2">
        <f t="shared" si="20"/>
      </c>
      <c r="AG602" s="2">
        <f t="shared" si="21"/>
      </c>
      <c r="AH602" s="2">
        <f t="shared" si="22"/>
      </c>
      <c r="AI602" s="2">
        <f t="shared" si="23"/>
      </c>
      <c r="AJ602" s="2">
        <f t="shared" si="24"/>
        <v>0</v>
      </c>
      <c r="AK602" s="2">
        <f t="shared" si="25"/>
        <v>0</v>
      </c>
      <c r="AL602" s="2">
        <f t="shared" si="26"/>
        <v>0</v>
      </c>
      <c r="AM602" s="2">
        <f t="shared" si="27"/>
        <v>0</v>
      </c>
      <c r="AN602" s="2">
        <f t="shared" si="28"/>
        <v>0</v>
      </c>
      <c r="AO602" s="2">
        <f t="shared" si="29"/>
      </c>
      <c r="AP602" s="2">
        <f t="shared" si="30"/>
      </c>
      <c r="AQ602" s="2">
        <f t="shared" si="31"/>
      </c>
    </row>
    <row r="603">
      <c r="A603" s="43">
        <f t="shared" si="3"/>
      </c>
      <c r="B603" s="44" t="n"/>
      <c r="C603" s="45" t="n"/>
      <c r="D603" s="46" t="n"/>
      <c r="E603" s="47" t="n"/>
      <c r="F603" s="47" t="n"/>
      <c r="G603" s="48">
        <f t="shared" si="4"/>
      </c>
      <c r="H603" s="43">
        <f t="shared" si="0"/>
      </c>
      <c r="I603" s="43">
        <f t="shared" si="5"/>
      </c>
      <c r="J603" s="43">
        <f t="shared" si="1"/>
      </c>
      <c r="K603" s="49">
        <f t="shared" si="2"/>
      </c>
      <c r="L603" s="45" t="n"/>
      <c r="M603" s="45" t="n"/>
      <c r="N603" s="45" t="n"/>
      <c r="O603" s="45" t="n"/>
      <c r="P603" s="50" t="n"/>
      <c r="R603" s="2">
        <f t="shared" si="6"/>
        <v>0</v>
      </c>
      <c r="S603" s="2">
        <f t="shared" si="7"/>
      </c>
      <c r="T603" s="2">
        <f t="shared" si="8"/>
      </c>
      <c r="U603" s="2">
        <f t="shared" si="9"/>
      </c>
      <c r="V603" s="2">
        <f t="shared" si="10"/>
      </c>
      <c r="W603" s="2">
        <f t="shared" si="11"/>
      </c>
      <c r="X603" s="2">
        <f t="shared" si="12"/>
      </c>
      <c r="Y603" s="2">
        <f t="shared" si="13"/>
        <v>0</v>
      </c>
      <c r="Z603" s="2">
        <f t="shared" si="14"/>
      </c>
      <c r="AA603" s="2">
        <f t="shared" si="15"/>
        <v>0</v>
      </c>
      <c r="AB603" s="2">
        <f t="shared" si="16"/>
      </c>
      <c r="AC603" s="2">
        <f t="shared" si="17"/>
      </c>
      <c r="AD603" s="2">
        <f t="shared" si="18"/>
      </c>
      <c r="AE603" s="2">
        <f t="shared" si="19"/>
      </c>
      <c r="AF603" s="2">
        <f t="shared" si="20"/>
      </c>
      <c r="AG603" s="2">
        <f t="shared" si="21"/>
      </c>
      <c r="AH603" s="2">
        <f t="shared" si="22"/>
      </c>
      <c r="AI603" s="2">
        <f t="shared" si="23"/>
      </c>
      <c r="AJ603" s="2">
        <f t="shared" si="24"/>
        <v>0</v>
      </c>
      <c r="AK603" s="2">
        <f t="shared" si="25"/>
        <v>0</v>
      </c>
      <c r="AL603" s="2">
        <f t="shared" si="26"/>
        <v>0</v>
      </c>
      <c r="AM603" s="2">
        <f t="shared" si="27"/>
        <v>0</v>
      </c>
      <c r="AN603" s="2">
        <f t="shared" si="28"/>
        <v>0</v>
      </c>
      <c r="AO603" s="2">
        <f t="shared" si="29"/>
      </c>
      <c r="AP603" s="2">
        <f t="shared" si="30"/>
      </c>
      <c r="AQ603" s="2">
        <f t="shared" si="31"/>
      </c>
    </row>
    <row r="604">
      <c r="A604" s="43">
        <f t="shared" si="3"/>
      </c>
      <c r="B604" s="44" t="n"/>
      <c r="C604" s="45" t="n"/>
      <c r="D604" s="46" t="n"/>
      <c r="E604" s="47" t="n"/>
      <c r="F604" s="47" t="n"/>
      <c r="G604" s="48">
        <f t="shared" si="4"/>
      </c>
      <c r="H604" s="43">
        <f t="shared" si="0"/>
      </c>
      <c r="I604" s="43">
        <f t="shared" si="5"/>
      </c>
      <c r="J604" s="43">
        <f t="shared" si="1"/>
      </c>
      <c r="K604" s="49">
        <f t="shared" si="2"/>
      </c>
      <c r="L604" s="45" t="n"/>
      <c r="M604" s="45" t="n"/>
      <c r="N604" s="45" t="n"/>
      <c r="O604" s="45" t="n"/>
      <c r="P604" s="50" t="n"/>
      <c r="R604" s="2">
        <f t="shared" si="6"/>
        <v>0</v>
      </c>
      <c r="S604" s="2">
        <f t="shared" si="7"/>
      </c>
      <c r="T604" s="2">
        <f t="shared" si="8"/>
      </c>
      <c r="U604" s="2">
        <f t="shared" si="9"/>
      </c>
      <c r="V604" s="2">
        <f t="shared" si="10"/>
      </c>
      <c r="W604" s="2">
        <f t="shared" si="11"/>
      </c>
      <c r="X604" s="2">
        <f t="shared" si="12"/>
      </c>
      <c r="Y604" s="2">
        <f t="shared" si="13"/>
        <v>0</v>
      </c>
      <c r="Z604" s="2">
        <f t="shared" si="14"/>
      </c>
      <c r="AA604" s="2">
        <f t="shared" si="15"/>
        <v>0</v>
      </c>
      <c r="AB604" s="2">
        <f t="shared" si="16"/>
      </c>
      <c r="AC604" s="2">
        <f t="shared" si="17"/>
      </c>
      <c r="AD604" s="2">
        <f t="shared" si="18"/>
      </c>
      <c r="AE604" s="2">
        <f t="shared" si="19"/>
      </c>
      <c r="AF604" s="2">
        <f t="shared" si="20"/>
      </c>
      <c r="AG604" s="2">
        <f t="shared" si="21"/>
      </c>
      <c r="AH604" s="2">
        <f t="shared" si="22"/>
      </c>
      <c r="AI604" s="2">
        <f t="shared" si="23"/>
      </c>
      <c r="AJ604" s="2">
        <f t="shared" si="24"/>
        <v>0</v>
      </c>
      <c r="AK604" s="2">
        <f t="shared" si="25"/>
        <v>0</v>
      </c>
      <c r="AL604" s="2">
        <f t="shared" si="26"/>
        <v>0</v>
      </c>
      <c r="AM604" s="2">
        <f t="shared" si="27"/>
        <v>0</v>
      </c>
      <c r="AN604" s="2">
        <f t="shared" si="28"/>
        <v>0</v>
      </c>
      <c r="AO604" s="2">
        <f t="shared" si="29"/>
      </c>
      <c r="AP604" s="2">
        <f t="shared" si="30"/>
      </c>
      <c r="AQ604" s="2">
        <f t="shared" si="31"/>
      </c>
    </row>
    <row r="605">
      <c r="A605" s="43">
        <f t="shared" si="3"/>
      </c>
      <c r="B605" s="44" t="n"/>
      <c r="C605" s="45" t="n"/>
      <c r="D605" s="46" t="n"/>
      <c r="E605" s="47" t="n"/>
      <c r="F605" s="47" t="n"/>
      <c r="G605" s="48">
        <f t="shared" si="4"/>
      </c>
      <c r="H605" s="43">
        <f t="shared" si="0"/>
      </c>
      <c r="I605" s="43">
        <f t="shared" si="5"/>
      </c>
      <c r="J605" s="43">
        <f t="shared" si="1"/>
      </c>
      <c r="K605" s="49">
        <f t="shared" si="2"/>
      </c>
      <c r="L605" s="45" t="n"/>
      <c r="M605" s="45" t="n"/>
      <c r="N605" s="45" t="n"/>
      <c r="O605" s="45" t="n"/>
      <c r="P605" s="50" t="n"/>
      <c r="R605" s="2">
        <f t="shared" si="6"/>
        <v>0</v>
      </c>
      <c r="S605" s="2">
        <f t="shared" si="7"/>
      </c>
      <c r="T605" s="2">
        <f t="shared" si="8"/>
      </c>
      <c r="U605" s="2">
        <f t="shared" si="9"/>
      </c>
      <c r="V605" s="2">
        <f t="shared" si="10"/>
      </c>
      <c r="W605" s="2">
        <f t="shared" si="11"/>
      </c>
      <c r="X605" s="2">
        <f t="shared" si="12"/>
      </c>
      <c r="Y605" s="2">
        <f t="shared" si="13"/>
        <v>0</v>
      </c>
      <c r="Z605" s="2">
        <f t="shared" si="14"/>
      </c>
      <c r="AA605" s="2">
        <f t="shared" si="15"/>
        <v>0</v>
      </c>
      <c r="AB605" s="2">
        <f t="shared" si="16"/>
      </c>
      <c r="AC605" s="2">
        <f t="shared" si="17"/>
      </c>
      <c r="AD605" s="2">
        <f t="shared" si="18"/>
      </c>
      <c r="AE605" s="2">
        <f t="shared" si="19"/>
      </c>
      <c r="AF605" s="2">
        <f t="shared" si="20"/>
      </c>
      <c r="AG605" s="2">
        <f t="shared" si="21"/>
      </c>
      <c r="AH605" s="2">
        <f t="shared" si="22"/>
      </c>
      <c r="AI605" s="2">
        <f t="shared" si="23"/>
      </c>
      <c r="AJ605" s="2">
        <f t="shared" si="24"/>
        <v>0</v>
      </c>
      <c r="AK605" s="2">
        <f t="shared" si="25"/>
        <v>0</v>
      </c>
      <c r="AL605" s="2">
        <f t="shared" si="26"/>
        <v>0</v>
      </c>
      <c r="AM605" s="2">
        <f t="shared" si="27"/>
        <v>0</v>
      </c>
      <c r="AN605" s="2">
        <f t="shared" si="28"/>
        <v>0</v>
      </c>
      <c r="AO605" s="2">
        <f t="shared" si="29"/>
      </c>
      <c r="AP605" s="2">
        <f t="shared" si="30"/>
      </c>
      <c r="AQ605" s="2">
        <f t="shared" si="31"/>
      </c>
    </row>
    <row r="606">
      <c r="A606" s="43">
        <f t="shared" si="3"/>
      </c>
      <c r="B606" s="44" t="n"/>
      <c r="C606" s="45" t="n"/>
      <c r="D606" s="46" t="n"/>
      <c r="E606" s="47" t="n"/>
      <c r="F606" s="47" t="n"/>
      <c r="G606" s="48">
        <f t="shared" si="4"/>
      </c>
      <c r="H606" s="43">
        <f t="shared" si="0"/>
      </c>
      <c r="I606" s="43">
        <f t="shared" si="5"/>
      </c>
      <c r="J606" s="43">
        <f t="shared" si="1"/>
      </c>
      <c r="K606" s="49">
        <f t="shared" si="2"/>
      </c>
      <c r="L606" s="45" t="n"/>
      <c r="M606" s="45" t="n"/>
      <c r="N606" s="45" t="n"/>
      <c r="O606" s="45" t="n"/>
      <c r="P606" s="50" t="n"/>
      <c r="R606" s="2">
        <f t="shared" si="6"/>
        <v>0</v>
      </c>
      <c r="S606" s="2">
        <f t="shared" si="7"/>
      </c>
      <c r="T606" s="2">
        <f t="shared" si="8"/>
      </c>
      <c r="U606" s="2">
        <f t="shared" si="9"/>
      </c>
      <c r="V606" s="2">
        <f t="shared" si="10"/>
      </c>
      <c r="W606" s="2">
        <f t="shared" si="11"/>
      </c>
      <c r="X606" s="2">
        <f t="shared" si="12"/>
      </c>
      <c r="Y606" s="2">
        <f t="shared" si="13"/>
        <v>0</v>
      </c>
      <c r="Z606" s="2">
        <f t="shared" si="14"/>
      </c>
      <c r="AA606" s="2">
        <f t="shared" si="15"/>
        <v>0</v>
      </c>
      <c r="AB606" s="2">
        <f t="shared" si="16"/>
      </c>
      <c r="AC606" s="2">
        <f t="shared" si="17"/>
      </c>
      <c r="AD606" s="2">
        <f t="shared" si="18"/>
      </c>
      <c r="AE606" s="2">
        <f t="shared" si="19"/>
      </c>
      <c r="AF606" s="2">
        <f t="shared" si="20"/>
      </c>
      <c r="AG606" s="2">
        <f t="shared" si="21"/>
      </c>
      <c r="AH606" s="2">
        <f t="shared" si="22"/>
      </c>
      <c r="AI606" s="2">
        <f t="shared" si="23"/>
      </c>
      <c r="AJ606" s="2">
        <f t="shared" si="24"/>
        <v>0</v>
      </c>
      <c r="AK606" s="2">
        <f t="shared" si="25"/>
        <v>0</v>
      </c>
      <c r="AL606" s="2">
        <f t="shared" si="26"/>
        <v>0</v>
      </c>
      <c r="AM606" s="2">
        <f t="shared" si="27"/>
        <v>0</v>
      </c>
      <c r="AN606" s="2">
        <f t="shared" si="28"/>
        <v>0</v>
      </c>
      <c r="AO606" s="2">
        <f t="shared" si="29"/>
      </c>
      <c r="AP606" s="2">
        <f t="shared" si="30"/>
      </c>
      <c r="AQ606" s="2">
        <f t="shared" si="31"/>
      </c>
    </row>
    <row r="607">
      <c r="A607" s="43">
        <f t="shared" si="3"/>
      </c>
      <c r="B607" s="44" t="n"/>
      <c r="C607" s="45" t="n"/>
      <c r="D607" s="46" t="n"/>
      <c r="E607" s="47" t="n"/>
      <c r="F607" s="47" t="n"/>
      <c r="G607" s="48">
        <f t="shared" si="4"/>
      </c>
      <c r="H607" s="43">
        <f t="shared" si="0"/>
      </c>
      <c r="I607" s="43">
        <f t="shared" si="5"/>
      </c>
      <c r="J607" s="43">
        <f t="shared" si="1"/>
      </c>
      <c r="K607" s="49">
        <f t="shared" si="2"/>
      </c>
      <c r="L607" s="45" t="n"/>
      <c r="M607" s="45" t="n"/>
      <c r="N607" s="45" t="n"/>
      <c r="O607" s="45" t="n"/>
      <c r="P607" s="50" t="n"/>
      <c r="R607" s="2">
        <f t="shared" si="6"/>
        <v>0</v>
      </c>
      <c r="S607" s="2">
        <f t="shared" si="7"/>
      </c>
      <c r="T607" s="2">
        <f t="shared" si="8"/>
      </c>
      <c r="U607" s="2">
        <f t="shared" si="9"/>
      </c>
      <c r="V607" s="2">
        <f t="shared" si="10"/>
      </c>
      <c r="W607" s="2">
        <f t="shared" si="11"/>
      </c>
      <c r="X607" s="2">
        <f t="shared" si="12"/>
      </c>
      <c r="Y607" s="2">
        <f t="shared" si="13"/>
        <v>0</v>
      </c>
      <c r="Z607" s="2">
        <f t="shared" si="14"/>
      </c>
      <c r="AA607" s="2">
        <f t="shared" si="15"/>
        <v>0</v>
      </c>
      <c r="AB607" s="2">
        <f t="shared" si="16"/>
      </c>
      <c r="AC607" s="2">
        <f t="shared" si="17"/>
      </c>
      <c r="AD607" s="2">
        <f t="shared" si="18"/>
      </c>
      <c r="AE607" s="2">
        <f t="shared" si="19"/>
      </c>
      <c r="AF607" s="2">
        <f t="shared" si="20"/>
      </c>
      <c r="AG607" s="2">
        <f t="shared" si="21"/>
      </c>
      <c r="AH607" s="2">
        <f t="shared" si="22"/>
      </c>
      <c r="AI607" s="2">
        <f t="shared" si="23"/>
      </c>
      <c r="AJ607" s="2">
        <f t="shared" si="24"/>
        <v>0</v>
      </c>
      <c r="AK607" s="2">
        <f t="shared" si="25"/>
        <v>0</v>
      </c>
      <c r="AL607" s="2">
        <f t="shared" si="26"/>
        <v>0</v>
      </c>
      <c r="AM607" s="2">
        <f t="shared" si="27"/>
        <v>0</v>
      </c>
      <c r="AN607" s="2">
        <f t="shared" si="28"/>
        <v>0</v>
      </c>
      <c r="AO607" s="2">
        <f t="shared" si="29"/>
      </c>
      <c r="AP607" s="2">
        <f t="shared" si="30"/>
      </c>
      <c r="AQ607" s="2">
        <f t="shared" si="31"/>
      </c>
    </row>
    <row r="608">
      <c r="A608" s="43">
        <f t="shared" si="3"/>
      </c>
      <c r="B608" s="44" t="n"/>
      <c r="C608" s="45" t="n"/>
      <c r="D608" s="46" t="n"/>
      <c r="E608" s="47" t="n"/>
      <c r="F608" s="47" t="n"/>
      <c r="G608" s="48">
        <f t="shared" si="4"/>
      </c>
      <c r="H608" s="43">
        <f t="shared" si="0"/>
      </c>
      <c r="I608" s="43">
        <f t="shared" si="5"/>
      </c>
      <c r="J608" s="43">
        <f t="shared" si="1"/>
      </c>
      <c r="K608" s="49">
        <f t="shared" si="2"/>
      </c>
      <c r="L608" s="45" t="n"/>
      <c r="M608" s="45" t="n"/>
      <c r="N608" s="45" t="n"/>
      <c r="O608" s="45" t="n"/>
      <c r="P608" s="50" t="n"/>
      <c r="R608" s="2">
        <f t="shared" si="6"/>
        <v>0</v>
      </c>
      <c r="S608" s="2">
        <f t="shared" si="7"/>
      </c>
      <c r="T608" s="2">
        <f t="shared" si="8"/>
      </c>
      <c r="U608" s="2">
        <f t="shared" si="9"/>
      </c>
      <c r="V608" s="2">
        <f t="shared" si="10"/>
      </c>
      <c r="W608" s="2">
        <f t="shared" si="11"/>
      </c>
      <c r="X608" s="2">
        <f t="shared" si="12"/>
      </c>
      <c r="Y608" s="2">
        <f t="shared" si="13"/>
        <v>0</v>
      </c>
      <c r="Z608" s="2">
        <f t="shared" si="14"/>
      </c>
      <c r="AA608" s="2">
        <f t="shared" si="15"/>
        <v>0</v>
      </c>
      <c r="AB608" s="2">
        <f t="shared" si="16"/>
      </c>
      <c r="AC608" s="2">
        <f t="shared" si="17"/>
      </c>
      <c r="AD608" s="2">
        <f t="shared" si="18"/>
      </c>
      <c r="AE608" s="2">
        <f t="shared" si="19"/>
      </c>
      <c r="AF608" s="2">
        <f t="shared" si="20"/>
      </c>
      <c r="AG608" s="2">
        <f t="shared" si="21"/>
      </c>
      <c r="AH608" s="2">
        <f t="shared" si="22"/>
      </c>
      <c r="AI608" s="2">
        <f t="shared" si="23"/>
      </c>
      <c r="AJ608" s="2">
        <f t="shared" si="24"/>
        <v>0</v>
      </c>
      <c r="AK608" s="2">
        <f t="shared" si="25"/>
        <v>0</v>
      </c>
      <c r="AL608" s="2">
        <f t="shared" si="26"/>
        <v>0</v>
      </c>
      <c r="AM608" s="2">
        <f t="shared" si="27"/>
        <v>0</v>
      </c>
      <c r="AN608" s="2">
        <f t="shared" si="28"/>
        <v>0</v>
      </c>
      <c r="AO608" s="2">
        <f t="shared" si="29"/>
      </c>
      <c r="AP608" s="2">
        <f t="shared" si="30"/>
      </c>
      <c r="AQ608" s="2">
        <f t="shared" si="31"/>
      </c>
    </row>
    <row r="609">
      <c r="A609" s="43">
        <f t="shared" si="3"/>
      </c>
      <c r="B609" s="44" t="n"/>
      <c r="C609" s="45" t="n"/>
      <c r="D609" s="46" t="n"/>
      <c r="E609" s="47" t="n"/>
      <c r="F609" s="47" t="n"/>
      <c r="G609" s="48">
        <f t="shared" si="4"/>
      </c>
      <c r="H609" s="43">
        <f t="shared" si="0"/>
      </c>
      <c r="I609" s="43">
        <f t="shared" si="5"/>
      </c>
      <c r="J609" s="43">
        <f t="shared" si="1"/>
      </c>
      <c r="K609" s="49">
        <f t="shared" si="2"/>
      </c>
      <c r="L609" s="45" t="n"/>
      <c r="M609" s="45" t="n"/>
      <c r="N609" s="45" t="n"/>
      <c r="O609" s="45" t="n"/>
      <c r="P609" s="50" t="n"/>
      <c r="R609" s="2">
        <f t="shared" si="6"/>
        <v>0</v>
      </c>
      <c r="S609" s="2">
        <f t="shared" si="7"/>
      </c>
      <c r="T609" s="2">
        <f t="shared" si="8"/>
      </c>
      <c r="U609" s="2">
        <f t="shared" si="9"/>
      </c>
      <c r="V609" s="2">
        <f t="shared" si="10"/>
      </c>
      <c r="W609" s="2">
        <f t="shared" si="11"/>
      </c>
      <c r="X609" s="2">
        <f t="shared" si="12"/>
      </c>
      <c r="Y609" s="2">
        <f t="shared" si="13"/>
        <v>0</v>
      </c>
      <c r="Z609" s="2">
        <f t="shared" si="14"/>
      </c>
      <c r="AA609" s="2">
        <f t="shared" si="15"/>
        <v>0</v>
      </c>
      <c r="AB609" s="2">
        <f t="shared" si="16"/>
      </c>
      <c r="AC609" s="2">
        <f t="shared" si="17"/>
      </c>
      <c r="AD609" s="2">
        <f t="shared" si="18"/>
      </c>
      <c r="AE609" s="2">
        <f t="shared" si="19"/>
      </c>
      <c r="AF609" s="2">
        <f t="shared" si="20"/>
      </c>
      <c r="AG609" s="2">
        <f t="shared" si="21"/>
      </c>
      <c r="AH609" s="2">
        <f t="shared" si="22"/>
      </c>
      <c r="AI609" s="2">
        <f t="shared" si="23"/>
      </c>
      <c r="AJ609" s="2">
        <f t="shared" si="24"/>
        <v>0</v>
      </c>
      <c r="AK609" s="2">
        <f t="shared" si="25"/>
        <v>0</v>
      </c>
      <c r="AL609" s="2">
        <f t="shared" si="26"/>
        <v>0</v>
      </c>
      <c r="AM609" s="2">
        <f t="shared" si="27"/>
        <v>0</v>
      </c>
      <c r="AN609" s="2">
        <f t="shared" si="28"/>
        <v>0</v>
      </c>
      <c r="AO609" s="2">
        <f t="shared" si="29"/>
      </c>
      <c r="AP609" s="2">
        <f t="shared" si="30"/>
      </c>
      <c r="AQ609" s="2">
        <f t="shared" si="31"/>
      </c>
    </row>
    <row r="610">
      <c r="A610" s="43">
        <f t="shared" si="3"/>
      </c>
      <c r="B610" s="44" t="n"/>
      <c r="C610" s="45" t="n"/>
      <c r="D610" s="46" t="n"/>
      <c r="E610" s="47" t="n"/>
      <c r="F610" s="47" t="n"/>
      <c r="G610" s="48">
        <f t="shared" si="4"/>
      </c>
      <c r="H610" s="43">
        <f t="shared" si="0"/>
      </c>
      <c r="I610" s="43">
        <f t="shared" si="5"/>
      </c>
      <c r="J610" s="43">
        <f t="shared" si="1"/>
      </c>
      <c r="K610" s="49">
        <f t="shared" si="2"/>
      </c>
      <c r="L610" s="45" t="n"/>
      <c r="M610" s="45" t="n"/>
      <c r="N610" s="45" t="n"/>
      <c r="O610" s="45" t="n"/>
      <c r="P610" s="50" t="n"/>
      <c r="R610" s="2">
        <f t="shared" si="6"/>
        <v>0</v>
      </c>
      <c r="S610" s="2">
        <f t="shared" si="7"/>
      </c>
      <c r="T610" s="2">
        <f t="shared" si="8"/>
      </c>
      <c r="U610" s="2">
        <f t="shared" si="9"/>
      </c>
      <c r="V610" s="2">
        <f t="shared" si="10"/>
      </c>
      <c r="W610" s="2">
        <f t="shared" si="11"/>
      </c>
      <c r="X610" s="2">
        <f t="shared" si="12"/>
      </c>
      <c r="Y610" s="2">
        <f t="shared" si="13"/>
        <v>0</v>
      </c>
      <c r="Z610" s="2">
        <f t="shared" si="14"/>
      </c>
      <c r="AA610" s="2">
        <f t="shared" si="15"/>
        <v>0</v>
      </c>
      <c r="AB610" s="2">
        <f t="shared" si="16"/>
      </c>
      <c r="AC610" s="2">
        <f t="shared" si="17"/>
      </c>
      <c r="AD610" s="2">
        <f t="shared" si="18"/>
      </c>
      <c r="AE610" s="2">
        <f t="shared" si="19"/>
      </c>
      <c r="AF610" s="2">
        <f t="shared" si="20"/>
      </c>
      <c r="AG610" s="2">
        <f t="shared" si="21"/>
      </c>
      <c r="AH610" s="2">
        <f t="shared" si="22"/>
      </c>
      <c r="AI610" s="2">
        <f t="shared" si="23"/>
      </c>
      <c r="AJ610" s="2">
        <f t="shared" si="24"/>
        <v>0</v>
      </c>
      <c r="AK610" s="2">
        <f t="shared" si="25"/>
        <v>0</v>
      </c>
      <c r="AL610" s="2">
        <f t="shared" si="26"/>
        <v>0</v>
      </c>
      <c r="AM610" s="2">
        <f t="shared" si="27"/>
        <v>0</v>
      </c>
      <c r="AN610" s="2">
        <f t="shared" si="28"/>
        <v>0</v>
      </c>
      <c r="AO610" s="2">
        <f t="shared" si="29"/>
      </c>
      <c r="AP610" s="2">
        <f t="shared" si="30"/>
      </c>
      <c r="AQ610" s="2">
        <f t="shared" si="31"/>
      </c>
    </row>
    <row r="611">
      <c r="A611" s="43">
        <f t="shared" si="3"/>
      </c>
      <c r="B611" s="44" t="n"/>
      <c r="C611" s="45" t="n"/>
      <c r="D611" s="46" t="n"/>
      <c r="E611" s="47" t="n"/>
      <c r="F611" s="47" t="n"/>
      <c r="G611" s="48">
        <f t="shared" si="4"/>
      </c>
      <c r="H611" s="43">
        <f t="shared" si="0"/>
      </c>
      <c r="I611" s="43">
        <f t="shared" si="5"/>
      </c>
      <c r="J611" s="43">
        <f t="shared" si="1"/>
      </c>
      <c r="K611" s="49">
        <f t="shared" si="2"/>
      </c>
      <c r="L611" s="45" t="n"/>
      <c r="M611" s="45" t="n"/>
      <c r="N611" s="45" t="n"/>
      <c r="O611" s="45" t="n"/>
      <c r="P611" s="50" t="n"/>
      <c r="R611" s="2">
        <f t="shared" si="6"/>
        <v>0</v>
      </c>
      <c r="S611" s="2">
        <f t="shared" si="7"/>
      </c>
      <c r="T611" s="2">
        <f t="shared" si="8"/>
      </c>
      <c r="U611" s="2">
        <f t="shared" si="9"/>
      </c>
      <c r="V611" s="2">
        <f t="shared" si="10"/>
      </c>
      <c r="W611" s="2">
        <f t="shared" si="11"/>
      </c>
      <c r="X611" s="2">
        <f t="shared" si="12"/>
      </c>
      <c r="Y611" s="2">
        <f t="shared" si="13"/>
        <v>0</v>
      </c>
      <c r="Z611" s="2">
        <f t="shared" si="14"/>
      </c>
      <c r="AA611" s="2">
        <f t="shared" si="15"/>
        <v>0</v>
      </c>
      <c r="AB611" s="2">
        <f t="shared" si="16"/>
      </c>
      <c r="AC611" s="2">
        <f t="shared" si="17"/>
      </c>
      <c r="AD611" s="2">
        <f t="shared" si="18"/>
      </c>
      <c r="AE611" s="2">
        <f t="shared" si="19"/>
      </c>
      <c r="AF611" s="2">
        <f t="shared" si="20"/>
      </c>
      <c r="AG611" s="2">
        <f t="shared" si="21"/>
      </c>
      <c r="AH611" s="2">
        <f t="shared" si="22"/>
      </c>
      <c r="AI611" s="2">
        <f t="shared" si="23"/>
      </c>
      <c r="AJ611" s="2">
        <f t="shared" si="24"/>
        <v>0</v>
      </c>
      <c r="AK611" s="2">
        <f t="shared" si="25"/>
        <v>0</v>
      </c>
      <c r="AL611" s="2">
        <f t="shared" si="26"/>
        <v>0</v>
      </c>
      <c r="AM611" s="2">
        <f t="shared" si="27"/>
        <v>0</v>
      </c>
      <c r="AN611" s="2">
        <f t="shared" si="28"/>
        <v>0</v>
      </c>
      <c r="AO611" s="2">
        <f t="shared" si="29"/>
      </c>
      <c r="AP611" s="2">
        <f t="shared" si="30"/>
      </c>
      <c r="AQ611" s="2">
        <f t="shared" si="31"/>
      </c>
    </row>
    <row r="612">
      <c r="A612" s="43">
        <f t="shared" si="3"/>
      </c>
      <c r="B612" s="44" t="n"/>
      <c r="C612" s="45" t="n"/>
      <c r="D612" s="46" t="n"/>
      <c r="E612" s="47" t="n"/>
      <c r="F612" s="47" t="n"/>
      <c r="G612" s="48">
        <f t="shared" si="4"/>
      </c>
      <c r="H612" s="43">
        <f t="shared" si="0"/>
      </c>
      <c r="I612" s="43">
        <f t="shared" si="5"/>
      </c>
      <c r="J612" s="43">
        <f t="shared" si="1"/>
      </c>
      <c r="K612" s="49">
        <f t="shared" si="2"/>
      </c>
      <c r="L612" s="45" t="n"/>
      <c r="M612" s="45" t="n"/>
      <c r="N612" s="45" t="n"/>
      <c r="O612" s="45" t="n"/>
      <c r="P612" s="50" t="n"/>
      <c r="R612" s="2">
        <f t="shared" si="6"/>
        <v>0</v>
      </c>
      <c r="S612" s="2">
        <f t="shared" si="7"/>
      </c>
      <c r="T612" s="2">
        <f t="shared" si="8"/>
      </c>
      <c r="U612" s="2">
        <f t="shared" si="9"/>
      </c>
      <c r="V612" s="2">
        <f t="shared" si="10"/>
      </c>
      <c r="W612" s="2">
        <f t="shared" si="11"/>
      </c>
      <c r="X612" s="2">
        <f t="shared" si="12"/>
      </c>
      <c r="Y612" s="2">
        <f t="shared" si="13"/>
        <v>0</v>
      </c>
      <c r="Z612" s="2">
        <f t="shared" si="14"/>
      </c>
      <c r="AA612" s="2">
        <f t="shared" si="15"/>
        <v>0</v>
      </c>
      <c r="AB612" s="2">
        <f t="shared" si="16"/>
      </c>
      <c r="AC612" s="2">
        <f t="shared" si="17"/>
      </c>
      <c r="AD612" s="2">
        <f t="shared" si="18"/>
      </c>
      <c r="AE612" s="2">
        <f t="shared" si="19"/>
      </c>
      <c r="AF612" s="2">
        <f t="shared" si="20"/>
      </c>
      <c r="AG612" s="2">
        <f t="shared" si="21"/>
      </c>
      <c r="AH612" s="2">
        <f t="shared" si="22"/>
      </c>
      <c r="AI612" s="2">
        <f t="shared" si="23"/>
      </c>
      <c r="AJ612" s="2">
        <f t="shared" si="24"/>
        <v>0</v>
      </c>
      <c r="AK612" s="2">
        <f t="shared" si="25"/>
        <v>0</v>
      </c>
      <c r="AL612" s="2">
        <f t="shared" si="26"/>
        <v>0</v>
      </c>
      <c r="AM612" s="2">
        <f t="shared" si="27"/>
        <v>0</v>
      </c>
      <c r="AN612" s="2">
        <f t="shared" si="28"/>
        <v>0</v>
      </c>
      <c r="AO612" s="2">
        <f t="shared" si="29"/>
      </c>
      <c r="AP612" s="2">
        <f t="shared" si="30"/>
      </c>
      <c r="AQ612" s="2">
        <f t="shared" si="31"/>
      </c>
    </row>
    <row r="613">
      <c r="A613" s="43">
        <f t="shared" si="3"/>
      </c>
      <c r="B613" s="44" t="n"/>
      <c r="C613" s="45" t="n"/>
      <c r="D613" s="46" t="n"/>
      <c r="E613" s="47" t="n"/>
      <c r="F613" s="47" t="n"/>
      <c r="G613" s="48">
        <f t="shared" si="4"/>
      </c>
      <c r="H613" s="43">
        <f t="shared" si="0"/>
      </c>
      <c r="I613" s="43">
        <f t="shared" si="5"/>
      </c>
      <c r="J613" s="43">
        <f t="shared" si="1"/>
      </c>
      <c r="K613" s="49">
        <f t="shared" si="2"/>
      </c>
      <c r="L613" s="45" t="n"/>
      <c r="M613" s="45" t="n"/>
      <c r="N613" s="45" t="n"/>
      <c r="O613" s="45" t="n"/>
      <c r="P613" s="50" t="n"/>
      <c r="R613" s="2">
        <f t="shared" si="6"/>
        <v>0</v>
      </c>
      <c r="S613" s="2">
        <f t="shared" si="7"/>
      </c>
      <c r="T613" s="2">
        <f t="shared" si="8"/>
      </c>
      <c r="U613" s="2">
        <f t="shared" si="9"/>
      </c>
      <c r="V613" s="2">
        <f t="shared" si="10"/>
      </c>
      <c r="W613" s="2">
        <f t="shared" si="11"/>
      </c>
      <c r="X613" s="2">
        <f t="shared" si="12"/>
      </c>
      <c r="Y613" s="2">
        <f t="shared" si="13"/>
        <v>0</v>
      </c>
      <c r="Z613" s="2">
        <f t="shared" si="14"/>
      </c>
      <c r="AA613" s="2">
        <f t="shared" si="15"/>
        <v>0</v>
      </c>
      <c r="AB613" s="2">
        <f t="shared" si="16"/>
      </c>
      <c r="AC613" s="2">
        <f t="shared" si="17"/>
      </c>
      <c r="AD613" s="2">
        <f t="shared" si="18"/>
      </c>
      <c r="AE613" s="2">
        <f t="shared" si="19"/>
      </c>
      <c r="AF613" s="2">
        <f t="shared" si="20"/>
      </c>
      <c r="AG613" s="2">
        <f t="shared" si="21"/>
      </c>
      <c r="AH613" s="2">
        <f t="shared" si="22"/>
      </c>
      <c r="AI613" s="2">
        <f t="shared" si="23"/>
      </c>
      <c r="AJ613" s="2">
        <f t="shared" si="24"/>
        <v>0</v>
      </c>
      <c r="AK613" s="2">
        <f t="shared" si="25"/>
        <v>0</v>
      </c>
      <c r="AL613" s="2">
        <f t="shared" si="26"/>
        <v>0</v>
      </c>
      <c r="AM613" s="2">
        <f t="shared" si="27"/>
        <v>0</v>
      </c>
      <c r="AN613" s="2">
        <f t="shared" si="28"/>
        <v>0</v>
      </c>
      <c r="AO613" s="2">
        <f t="shared" si="29"/>
      </c>
      <c r="AP613" s="2">
        <f t="shared" si="30"/>
      </c>
      <c r="AQ613" s="2">
        <f t="shared" si="31"/>
      </c>
    </row>
    <row r="614">
      <c r="A614" s="43">
        <f t="shared" si="3"/>
      </c>
      <c r="B614" s="44" t="n"/>
      <c r="C614" s="45" t="n"/>
      <c r="D614" s="46" t="n"/>
      <c r="E614" s="47" t="n"/>
      <c r="F614" s="47" t="n"/>
      <c r="G614" s="48">
        <f t="shared" si="4"/>
      </c>
      <c r="H614" s="43">
        <f t="shared" si="0"/>
      </c>
      <c r="I614" s="43">
        <f t="shared" si="5"/>
      </c>
      <c r="J614" s="43">
        <f t="shared" si="1"/>
      </c>
      <c r="K614" s="49">
        <f t="shared" si="2"/>
      </c>
      <c r="L614" s="45" t="n"/>
      <c r="M614" s="45" t="n"/>
      <c r="N614" s="45" t="n"/>
      <c r="O614" s="45" t="n"/>
      <c r="P614" s="50" t="n"/>
      <c r="R614" s="2">
        <f t="shared" si="6"/>
        <v>0</v>
      </c>
      <c r="S614" s="2">
        <f t="shared" si="7"/>
      </c>
      <c r="T614" s="2">
        <f t="shared" si="8"/>
      </c>
      <c r="U614" s="2">
        <f t="shared" si="9"/>
      </c>
      <c r="V614" s="2">
        <f t="shared" si="10"/>
      </c>
      <c r="W614" s="2">
        <f t="shared" si="11"/>
      </c>
      <c r="X614" s="2">
        <f t="shared" si="12"/>
      </c>
      <c r="Y614" s="2">
        <f t="shared" si="13"/>
        <v>0</v>
      </c>
      <c r="Z614" s="2">
        <f t="shared" si="14"/>
      </c>
      <c r="AA614" s="2">
        <f t="shared" si="15"/>
        <v>0</v>
      </c>
      <c r="AB614" s="2">
        <f t="shared" si="16"/>
      </c>
      <c r="AC614" s="2">
        <f t="shared" si="17"/>
      </c>
      <c r="AD614" s="2">
        <f t="shared" si="18"/>
      </c>
      <c r="AE614" s="2">
        <f t="shared" si="19"/>
      </c>
      <c r="AF614" s="2">
        <f t="shared" si="20"/>
      </c>
      <c r="AG614" s="2">
        <f t="shared" si="21"/>
      </c>
      <c r="AH614" s="2">
        <f t="shared" si="22"/>
      </c>
      <c r="AI614" s="2">
        <f t="shared" si="23"/>
      </c>
      <c r="AJ614" s="2">
        <f t="shared" si="24"/>
        <v>0</v>
      </c>
      <c r="AK614" s="2">
        <f t="shared" si="25"/>
        <v>0</v>
      </c>
      <c r="AL614" s="2">
        <f t="shared" si="26"/>
        <v>0</v>
      </c>
      <c r="AM614" s="2">
        <f t="shared" si="27"/>
        <v>0</v>
      </c>
      <c r="AN614" s="2">
        <f t="shared" si="28"/>
        <v>0</v>
      </c>
      <c r="AO614" s="2">
        <f t="shared" si="29"/>
      </c>
      <c r="AP614" s="2">
        <f t="shared" si="30"/>
      </c>
      <c r="AQ614" s="2">
        <f t="shared" si="31"/>
      </c>
    </row>
    <row r="615">
      <c r="A615" s="43">
        <f t="shared" si="3"/>
      </c>
      <c r="B615" s="44" t="n"/>
      <c r="C615" s="45" t="n"/>
      <c r="D615" s="46" t="n"/>
      <c r="E615" s="47" t="n"/>
      <c r="F615" s="47" t="n"/>
      <c r="G615" s="48">
        <f t="shared" si="4"/>
      </c>
      <c r="H615" s="43">
        <f t="shared" si="0"/>
      </c>
      <c r="I615" s="43">
        <f t="shared" si="5"/>
      </c>
      <c r="J615" s="43">
        <f t="shared" si="1"/>
      </c>
      <c r="K615" s="49">
        <f t="shared" si="2"/>
      </c>
      <c r="L615" s="45" t="n"/>
      <c r="M615" s="45" t="n"/>
      <c r="N615" s="45" t="n"/>
      <c r="O615" s="45" t="n"/>
      <c r="P615" s="50" t="n"/>
      <c r="R615" s="2">
        <f t="shared" si="6"/>
        <v>0</v>
      </c>
      <c r="S615" s="2">
        <f t="shared" si="7"/>
      </c>
      <c r="T615" s="2">
        <f t="shared" si="8"/>
      </c>
      <c r="U615" s="2">
        <f t="shared" si="9"/>
      </c>
      <c r="V615" s="2">
        <f t="shared" si="10"/>
      </c>
      <c r="W615" s="2">
        <f t="shared" si="11"/>
      </c>
      <c r="X615" s="2">
        <f t="shared" si="12"/>
      </c>
      <c r="Y615" s="2">
        <f t="shared" si="13"/>
        <v>0</v>
      </c>
      <c r="Z615" s="2">
        <f t="shared" si="14"/>
      </c>
      <c r="AA615" s="2">
        <f t="shared" si="15"/>
        <v>0</v>
      </c>
      <c r="AB615" s="2">
        <f t="shared" si="16"/>
      </c>
      <c r="AC615" s="2">
        <f t="shared" si="17"/>
      </c>
      <c r="AD615" s="2">
        <f t="shared" si="18"/>
      </c>
      <c r="AE615" s="2">
        <f t="shared" si="19"/>
      </c>
      <c r="AF615" s="2">
        <f t="shared" si="20"/>
      </c>
      <c r="AG615" s="2">
        <f t="shared" si="21"/>
      </c>
      <c r="AH615" s="2">
        <f t="shared" si="22"/>
      </c>
      <c r="AI615" s="2">
        <f t="shared" si="23"/>
      </c>
      <c r="AJ615" s="2">
        <f t="shared" si="24"/>
        <v>0</v>
      </c>
      <c r="AK615" s="2">
        <f t="shared" si="25"/>
        <v>0</v>
      </c>
      <c r="AL615" s="2">
        <f t="shared" si="26"/>
        <v>0</v>
      </c>
      <c r="AM615" s="2">
        <f t="shared" si="27"/>
        <v>0</v>
      </c>
      <c r="AN615" s="2">
        <f t="shared" si="28"/>
        <v>0</v>
      </c>
      <c r="AO615" s="2">
        <f t="shared" si="29"/>
      </c>
      <c r="AP615" s="2">
        <f t="shared" si="30"/>
      </c>
      <c r="AQ615" s="2">
        <f t="shared" si="31"/>
      </c>
    </row>
    <row r="616">
      <c r="A616" s="43">
        <f t="shared" si="3"/>
      </c>
      <c r="B616" s="44" t="n"/>
      <c r="C616" s="45" t="n"/>
      <c r="D616" s="46" t="n"/>
      <c r="E616" s="47" t="n"/>
      <c r="F616" s="47" t="n"/>
      <c r="G616" s="48">
        <f t="shared" si="4"/>
      </c>
      <c r="H616" s="43">
        <f t="shared" si="0"/>
      </c>
      <c r="I616" s="43">
        <f t="shared" si="5"/>
      </c>
      <c r="J616" s="43">
        <f t="shared" si="1"/>
      </c>
      <c r="K616" s="49">
        <f t="shared" si="2"/>
      </c>
      <c r="L616" s="45" t="n"/>
      <c r="M616" s="45" t="n"/>
      <c r="N616" s="45" t="n"/>
      <c r="O616" s="45" t="n"/>
      <c r="P616" s="50" t="n"/>
      <c r="R616" s="2">
        <f t="shared" si="6"/>
        <v>0</v>
      </c>
      <c r="S616" s="2">
        <f t="shared" si="7"/>
      </c>
      <c r="T616" s="2">
        <f t="shared" si="8"/>
      </c>
      <c r="U616" s="2">
        <f t="shared" si="9"/>
      </c>
      <c r="V616" s="2">
        <f t="shared" si="10"/>
      </c>
      <c r="W616" s="2">
        <f t="shared" si="11"/>
      </c>
      <c r="X616" s="2">
        <f t="shared" si="12"/>
      </c>
      <c r="Y616" s="2">
        <f t="shared" si="13"/>
        <v>0</v>
      </c>
      <c r="Z616" s="2">
        <f t="shared" si="14"/>
      </c>
      <c r="AA616" s="2">
        <f t="shared" si="15"/>
        <v>0</v>
      </c>
      <c r="AB616" s="2">
        <f t="shared" si="16"/>
      </c>
      <c r="AC616" s="2">
        <f t="shared" si="17"/>
      </c>
      <c r="AD616" s="2">
        <f t="shared" si="18"/>
      </c>
      <c r="AE616" s="2">
        <f t="shared" si="19"/>
      </c>
      <c r="AF616" s="2">
        <f t="shared" si="20"/>
      </c>
      <c r="AG616" s="2">
        <f t="shared" si="21"/>
      </c>
      <c r="AH616" s="2">
        <f t="shared" si="22"/>
      </c>
      <c r="AI616" s="2">
        <f t="shared" si="23"/>
      </c>
      <c r="AJ616" s="2">
        <f t="shared" si="24"/>
        <v>0</v>
      </c>
      <c r="AK616" s="2">
        <f t="shared" si="25"/>
        <v>0</v>
      </c>
      <c r="AL616" s="2">
        <f t="shared" si="26"/>
        <v>0</v>
      </c>
      <c r="AM616" s="2">
        <f t="shared" si="27"/>
        <v>0</v>
      </c>
      <c r="AN616" s="2">
        <f t="shared" si="28"/>
        <v>0</v>
      </c>
      <c r="AO616" s="2">
        <f t="shared" si="29"/>
      </c>
      <c r="AP616" s="2">
        <f t="shared" si="30"/>
      </c>
      <c r="AQ616" s="2">
        <f t="shared" si="31"/>
      </c>
    </row>
    <row r="617">
      <c r="A617" s="43">
        <f t="shared" si="3"/>
      </c>
      <c r="B617" s="44" t="n"/>
      <c r="C617" s="45" t="n"/>
      <c r="D617" s="46" t="n"/>
      <c r="E617" s="47" t="n"/>
      <c r="F617" s="47" t="n"/>
      <c r="G617" s="48">
        <f t="shared" si="4"/>
      </c>
      <c r="H617" s="43">
        <f t="shared" si="0"/>
      </c>
      <c r="I617" s="43">
        <f t="shared" si="5"/>
      </c>
      <c r="J617" s="43">
        <f t="shared" si="1"/>
      </c>
      <c r="K617" s="49">
        <f t="shared" si="2"/>
      </c>
      <c r="L617" s="45" t="n"/>
      <c r="M617" s="45" t="n"/>
      <c r="N617" s="45" t="n"/>
      <c r="O617" s="45" t="n"/>
      <c r="P617" s="50" t="n"/>
      <c r="R617" s="2">
        <f t="shared" si="6"/>
        <v>0</v>
      </c>
      <c r="S617" s="2">
        <f t="shared" si="7"/>
      </c>
      <c r="T617" s="2">
        <f t="shared" si="8"/>
      </c>
      <c r="U617" s="2">
        <f t="shared" si="9"/>
      </c>
      <c r="V617" s="2">
        <f t="shared" si="10"/>
      </c>
      <c r="W617" s="2">
        <f t="shared" si="11"/>
      </c>
      <c r="X617" s="2">
        <f t="shared" si="12"/>
      </c>
      <c r="Y617" s="2">
        <f t="shared" si="13"/>
        <v>0</v>
      </c>
      <c r="Z617" s="2">
        <f t="shared" si="14"/>
      </c>
      <c r="AA617" s="2">
        <f t="shared" si="15"/>
        <v>0</v>
      </c>
      <c r="AB617" s="2">
        <f t="shared" si="16"/>
      </c>
      <c r="AC617" s="2">
        <f t="shared" si="17"/>
      </c>
      <c r="AD617" s="2">
        <f t="shared" si="18"/>
      </c>
      <c r="AE617" s="2">
        <f t="shared" si="19"/>
      </c>
      <c r="AF617" s="2">
        <f t="shared" si="20"/>
      </c>
      <c r="AG617" s="2">
        <f t="shared" si="21"/>
      </c>
      <c r="AH617" s="2">
        <f t="shared" si="22"/>
      </c>
      <c r="AI617" s="2">
        <f t="shared" si="23"/>
      </c>
      <c r="AJ617" s="2">
        <f t="shared" si="24"/>
        <v>0</v>
      </c>
      <c r="AK617" s="2">
        <f t="shared" si="25"/>
        <v>0</v>
      </c>
      <c r="AL617" s="2">
        <f t="shared" si="26"/>
        <v>0</v>
      </c>
      <c r="AM617" s="2">
        <f t="shared" si="27"/>
        <v>0</v>
      </c>
      <c r="AN617" s="2">
        <f t="shared" si="28"/>
        <v>0</v>
      </c>
      <c r="AO617" s="2">
        <f t="shared" si="29"/>
      </c>
      <c r="AP617" s="2">
        <f t="shared" si="30"/>
      </c>
      <c r="AQ617" s="2">
        <f t="shared" si="31"/>
      </c>
    </row>
    <row r="618">
      <c r="A618" s="43">
        <f t="shared" si="3"/>
      </c>
      <c r="B618" s="44" t="n"/>
      <c r="C618" s="45" t="n"/>
      <c r="D618" s="46" t="n"/>
      <c r="E618" s="47" t="n"/>
      <c r="F618" s="47" t="n"/>
      <c r="G618" s="48">
        <f t="shared" si="4"/>
      </c>
      <c r="H618" s="43">
        <f t="shared" si="0"/>
      </c>
      <c r="I618" s="43">
        <f t="shared" si="5"/>
      </c>
      <c r="J618" s="43">
        <f t="shared" si="1"/>
      </c>
      <c r="K618" s="49">
        <f t="shared" si="2"/>
      </c>
      <c r="L618" s="45" t="n"/>
      <c r="M618" s="45" t="n"/>
      <c r="N618" s="45" t="n"/>
      <c r="O618" s="45" t="n"/>
      <c r="P618" s="50" t="n"/>
      <c r="R618" s="2">
        <f t="shared" si="6"/>
        <v>0</v>
      </c>
      <c r="S618" s="2">
        <f t="shared" si="7"/>
      </c>
      <c r="T618" s="2">
        <f t="shared" si="8"/>
      </c>
      <c r="U618" s="2">
        <f t="shared" si="9"/>
      </c>
      <c r="V618" s="2">
        <f t="shared" si="10"/>
      </c>
      <c r="W618" s="2">
        <f t="shared" si="11"/>
      </c>
      <c r="X618" s="2">
        <f t="shared" si="12"/>
      </c>
      <c r="Y618" s="2">
        <f t="shared" si="13"/>
        <v>0</v>
      </c>
      <c r="Z618" s="2">
        <f t="shared" si="14"/>
      </c>
      <c r="AA618" s="2">
        <f t="shared" si="15"/>
        <v>0</v>
      </c>
      <c r="AB618" s="2">
        <f t="shared" si="16"/>
      </c>
      <c r="AC618" s="2">
        <f t="shared" si="17"/>
      </c>
      <c r="AD618" s="2">
        <f t="shared" si="18"/>
      </c>
      <c r="AE618" s="2">
        <f t="shared" si="19"/>
      </c>
      <c r="AF618" s="2">
        <f t="shared" si="20"/>
      </c>
      <c r="AG618" s="2">
        <f t="shared" si="21"/>
      </c>
      <c r="AH618" s="2">
        <f t="shared" si="22"/>
      </c>
      <c r="AI618" s="2">
        <f t="shared" si="23"/>
      </c>
      <c r="AJ618" s="2">
        <f t="shared" si="24"/>
        <v>0</v>
      </c>
      <c r="AK618" s="2">
        <f t="shared" si="25"/>
        <v>0</v>
      </c>
      <c r="AL618" s="2">
        <f t="shared" si="26"/>
        <v>0</v>
      </c>
      <c r="AM618" s="2">
        <f t="shared" si="27"/>
        <v>0</v>
      </c>
      <c r="AN618" s="2">
        <f t="shared" si="28"/>
        <v>0</v>
      </c>
      <c r="AO618" s="2">
        <f t="shared" si="29"/>
      </c>
      <c r="AP618" s="2">
        <f t="shared" si="30"/>
      </c>
      <c r="AQ618" s="2">
        <f t="shared" si="31"/>
      </c>
    </row>
    <row r="619">
      <c r="A619" s="43">
        <f t="shared" si="3"/>
      </c>
      <c r="B619" s="44" t="n"/>
      <c r="C619" s="45" t="n"/>
      <c r="D619" s="46" t="n"/>
      <c r="E619" s="47" t="n"/>
      <c r="F619" s="47" t="n"/>
      <c r="G619" s="48">
        <f t="shared" si="4"/>
      </c>
      <c r="H619" s="43">
        <f t="shared" si="0"/>
      </c>
      <c r="I619" s="43">
        <f t="shared" si="5"/>
      </c>
      <c r="J619" s="43">
        <f t="shared" si="1"/>
      </c>
      <c r="K619" s="49">
        <f t="shared" si="2"/>
      </c>
      <c r="L619" s="45" t="n"/>
      <c r="M619" s="45" t="n"/>
      <c r="N619" s="45" t="n"/>
      <c r="O619" s="45" t="n"/>
      <c r="P619" s="50" t="n"/>
      <c r="R619" s="2">
        <f t="shared" si="6"/>
        <v>0</v>
      </c>
      <c r="S619" s="2">
        <f t="shared" si="7"/>
      </c>
      <c r="T619" s="2">
        <f t="shared" si="8"/>
      </c>
      <c r="U619" s="2">
        <f t="shared" si="9"/>
      </c>
      <c r="V619" s="2">
        <f t="shared" si="10"/>
      </c>
      <c r="W619" s="2">
        <f t="shared" si="11"/>
      </c>
      <c r="X619" s="2">
        <f t="shared" si="12"/>
      </c>
      <c r="Y619" s="2">
        <f t="shared" si="13"/>
        <v>0</v>
      </c>
      <c r="Z619" s="2">
        <f t="shared" si="14"/>
      </c>
      <c r="AA619" s="2">
        <f t="shared" si="15"/>
        <v>0</v>
      </c>
      <c r="AB619" s="2">
        <f t="shared" si="16"/>
      </c>
      <c r="AC619" s="2">
        <f t="shared" si="17"/>
      </c>
      <c r="AD619" s="2">
        <f t="shared" si="18"/>
      </c>
      <c r="AE619" s="2">
        <f t="shared" si="19"/>
      </c>
      <c r="AF619" s="2">
        <f t="shared" si="20"/>
      </c>
      <c r="AG619" s="2">
        <f t="shared" si="21"/>
      </c>
      <c r="AH619" s="2">
        <f t="shared" si="22"/>
      </c>
      <c r="AI619" s="2">
        <f t="shared" si="23"/>
      </c>
      <c r="AJ619" s="2">
        <f t="shared" si="24"/>
        <v>0</v>
      </c>
      <c r="AK619" s="2">
        <f t="shared" si="25"/>
        <v>0</v>
      </c>
      <c r="AL619" s="2">
        <f t="shared" si="26"/>
        <v>0</v>
      </c>
      <c r="AM619" s="2">
        <f t="shared" si="27"/>
        <v>0</v>
      </c>
      <c r="AN619" s="2">
        <f t="shared" si="28"/>
        <v>0</v>
      </c>
      <c r="AO619" s="2">
        <f t="shared" si="29"/>
      </c>
      <c r="AP619" s="2">
        <f t="shared" si="30"/>
      </c>
      <c r="AQ619" s="2">
        <f t="shared" si="31"/>
      </c>
    </row>
    <row r="620">
      <c r="A620" s="43">
        <f t="shared" si="3"/>
      </c>
      <c r="B620" s="44" t="n"/>
      <c r="C620" s="45" t="n"/>
      <c r="D620" s="46" t="n"/>
      <c r="E620" s="47" t="n"/>
      <c r="F620" s="47" t="n"/>
      <c r="G620" s="48">
        <f t="shared" si="4"/>
      </c>
      <c r="H620" s="43">
        <f t="shared" si="0"/>
      </c>
      <c r="I620" s="43">
        <f t="shared" si="5"/>
      </c>
      <c r="J620" s="43">
        <f t="shared" si="1"/>
      </c>
      <c r="K620" s="49">
        <f t="shared" si="2"/>
      </c>
      <c r="L620" s="45" t="n"/>
      <c r="M620" s="45" t="n"/>
      <c r="N620" s="45" t="n"/>
      <c r="O620" s="45" t="n"/>
      <c r="P620" s="50" t="n"/>
      <c r="R620" s="2">
        <f t="shared" si="6"/>
        <v>0</v>
      </c>
      <c r="S620" s="2">
        <f t="shared" si="7"/>
      </c>
      <c r="T620" s="2">
        <f t="shared" si="8"/>
      </c>
      <c r="U620" s="2">
        <f t="shared" si="9"/>
      </c>
      <c r="V620" s="2">
        <f t="shared" si="10"/>
      </c>
      <c r="W620" s="2">
        <f t="shared" si="11"/>
      </c>
      <c r="X620" s="2">
        <f t="shared" si="12"/>
      </c>
      <c r="Y620" s="2">
        <f t="shared" si="13"/>
        <v>0</v>
      </c>
      <c r="Z620" s="2">
        <f t="shared" si="14"/>
      </c>
      <c r="AA620" s="2">
        <f t="shared" si="15"/>
        <v>0</v>
      </c>
      <c r="AB620" s="2">
        <f t="shared" si="16"/>
      </c>
      <c r="AC620" s="2">
        <f t="shared" si="17"/>
      </c>
      <c r="AD620" s="2">
        <f t="shared" si="18"/>
      </c>
      <c r="AE620" s="2">
        <f t="shared" si="19"/>
      </c>
      <c r="AF620" s="2">
        <f t="shared" si="20"/>
      </c>
      <c r="AG620" s="2">
        <f t="shared" si="21"/>
      </c>
      <c r="AH620" s="2">
        <f t="shared" si="22"/>
      </c>
      <c r="AI620" s="2">
        <f t="shared" si="23"/>
      </c>
      <c r="AJ620" s="2">
        <f t="shared" si="24"/>
        <v>0</v>
      </c>
      <c r="AK620" s="2">
        <f t="shared" si="25"/>
        <v>0</v>
      </c>
      <c r="AL620" s="2">
        <f t="shared" si="26"/>
        <v>0</v>
      </c>
      <c r="AM620" s="2">
        <f t="shared" si="27"/>
        <v>0</v>
      </c>
      <c r="AN620" s="2">
        <f t="shared" si="28"/>
        <v>0</v>
      </c>
      <c r="AO620" s="2">
        <f t="shared" si="29"/>
      </c>
      <c r="AP620" s="2">
        <f t="shared" si="30"/>
      </c>
      <c r="AQ620" s="2">
        <f t="shared" si="31"/>
      </c>
    </row>
    <row r="621">
      <c r="A621" s="43">
        <f t="shared" si="3"/>
      </c>
      <c r="B621" s="44" t="n"/>
      <c r="C621" s="45" t="n"/>
      <c r="D621" s="46" t="n"/>
      <c r="E621" s="47" t="n"/>
      <c r="F621" s="47" t="n"/>
      <c r="G621" s="48">
        <f t="shared" si="4"/>
      </c>
      <c r="H621" s="43">
        <f t="shared" si="0"/>
      </c>
      <c r="I621" s="43">
        <f t="shared" si="5"/>
      </c>
      <c r="J621" s="43">
        <f t="shared" si="1"/>
      </c>
      <c r="K621" s="49">
        <f t="shared" si="2"/>
      </c>
      <c r="L621" s="45" t="n"/>
      <c r="M621" s="45" t="n"/>
      <c r="N621" s="45" t="n"/>
      <c r="O621" s="45" t="n"/>
      <c r="P621" s="50" t="n"/>
      <c r="R621" s="2">
        <f t="shared" si="6"/>
        <v>0</v>
      </c>
      <c r="S621" s="2">
        <f t="shared" si="7"/>
      </c>
      <c r="T621" s="2">
        <f t="shared" si="8"/>
      </c>
      <c r="U621" s="2">
        <f t="shared" si="9"/>
      </c>
      <c r="V621" s="2">
        <f t="shared" si="10"/>
      </c>
      <c r="W621" s="2">
        <f t="shared" si="11"/>
      </c>
      <c r="X621" s="2">
        <f t="shared" si="12"/>
      </c>
      <c r="Y621" s="2">
        <f t="shared" si="13"/>
        <v>0</v>
      </c>
      <c r="Z621" s="2">
        <f t="shared" si="14"/>
      </c>
      <c r="AA621" s="2">
        <f t="shared" si="15"/>
        <v>0</v>
      </c>
      <c r="AB621" s="2">
        <f t="shared" si="16"/>
      </c>
      <c r="AC621" s="2">
        <f t="shared" si="17"/>
      </c>
      <c r="AD621" s="2">
        <f t="shared" si="18"/>
      </c>
      <c r="AE621" s="2">
        <f t="shared" si="19"/>
      </c>
      <c r="AF621" s="2">
        <f t="shared" si="20"/>
      </c>
      <c r="AG621" s="2">
        <f t="shared" si="21"/>
      </c>
      <c r="AH621" s="2">
        <f t="shared" si="22"/>
      </c>
      <c r="AI621" s="2">
        <f t="shared" si="23"/>
      </c>
      <c r="AJ621" s="2">
        <f t="shared" si="24"/>
        <v>0</v>
      </c>
      <c r="AK621" s="2">
        <f t="shared" si="25"/>
        <v>0</v>
      </c>
      <c r="AL621" s="2">
        <f t="shared" si="26"/>
        <v>0</v>
      </c>
      <c r="AM621" s="2">
        <f t="shared" si="27"/>
        <v>0</v>
      </c>
      <c r="AN621" s="2">
        <f t="shared" si="28"/>
        <v>0</v>
      </c>
      <c r="AO621" s="2">
        <f t="shared" si="29"/>
      </c>
      <c r="AP621" s="2">
        <f t="shared" si="30"/>
      </c>
      <c r="AQ621" s="2">
        <f t="shared" si="31"/>
      </c>
    </row>
    <row r="622">
      <c r="A622" s="43">
        <f t="shared" si="3"/>
      </c>
      <c r="B622" s="44" t="n"/>
      <c r="C622" s="45" t="n"/>
      <c r="D622" s="46" t="n"/>
      <c r="E622" s="47" t="n"/>
      <c r="F622" s="47" t="n"/>
      <c r="G622" s="48">
        <f t="shared" si="4"/>
      </c>
      <c r="H622" s="43">
        <f t="shared" si="0"/>
      </c>
      <c r="I622" s="43">
        <f t="shared" si="5"/>
      </c>
      <c r="J622" s="43">
        <f t="shared" si="1"/>
      </c>
      <c r="K622" s="49">
        <f t="shared" si="2"/>
      </c>
      <c r="L622" s="45" t="n"/>
      <c r="M622" s="45" t="n"/>
      <c r="N622" s="45" t="n"/>
      <c r="O622" s="45" t="n"/>
      <c r="P622" s="50" t="n"/>
      <c r="R622" s="2">
        <f t="shared" si="6"/>
        <v>0</v>
      </c>
      <c r="S622" s="2">
        <f t="shared" si="7"/>
      </c>
      <c r="T622" s="2">
        <f t="shared" si="8"/>
      </c>
      <c r="U622" s="2">
        <f t="shared" si="9"/>
      </c>
      <c r="V622" s="2">
        <f t="shared" si="10"/>
      </c>
      <c r="W622" s="2">
        <f t="shared" si="11"/>
      </c>
      <c r="X622" s="2">
        <f t="shared" si="12"/>
      </c>
      <c r="Y622" s="2">
        <f t="shared" si="13"/>
        <v>0</v>
      </c>
      <c r="Z622" s="2">
        <f t="shared" si="14"/>
      </c>
      <c r="AA622" s="2">
        <f t="shared" si="15"/>
        <v>0</v>
      </c>
      <c r="AB622" s="2">
        <f t="shared" si="16"/>
      </c>
      <c r="AC622" s="2">
        <f t="shared" si="17"/>
      </c>
      <c r="AD622" s="2">
        <f t="shared" si="18"/>
      </c>
      <c r="AE622" s="2">
        <f t="shared" si="19"/>
      </c>
      <c r="AF622" s="2">
        <f t="shared" si="20"/>
      </c>
      <c r="AG622" s="2">
        <f t="shared" si="21"/>
      </c>
      <c r="AH622" s="2">
        <f t="shared" si="22"/>
      </c>
      <c r="AI622" s="2">
        <f t="shared" si="23"/>
      </c>
      <c r="AJ622" s="2">
        <f t="shared" si="24"/>
        <v>0</v>
      </c>
      <c r="AK622" s="2">
        <f t="shared" si="25"/>
        <v>0</v>
      </c>
      <c r="AL622" s="2">
        <f t="shared" si="26"/>
        <v>0</v>
      </c>
      <c r="AM622" s="2">
        <f t="shared" si="27"/>
        <v>0</v>
      </c>
      <c r="AN622" s="2">
        <f t="shared" si="28"/>
        <v>0</v>
      </c>
      <c r="AO622" s="2">
        <f t="shared" si="29"/>
      </c>
      <c r="AP622" s="2">
        <f t="shared" si="30"/>
      </c>
      <c r="AQ622" s="2">
        <f t="shared" si="31"/>
      </c>
    </row>
    <row r="623">
      <c r="A623" s="43">
        <f t="shared" si="3"/>
      </c>
      <c r="B623" s="44" t="n"/>
      <c r="C623" s="45" t="n"/>
      <c r="D623" s="46" t="n"/>
      <c r="E623" s="47" t="n"/>
      <c r="F623" s="47" t="n"/>
      <c r="G623" s="48">
        <f t="shared" si="4"/>
      </c>
      <c r="H623" s="43">
        <f t="shared" si="0"/>
      </c>
      <c r="I623" s="43">
        <f t="shared" si="5"/>
      </c>
      <c r="J623" s="43">
        <f t="shared" si="1"/>
      </c>
      <c r="K623" s="49">
        <f t="shared" si="2"/>
      </c>
      <c r="L623" s="45" t="n"/>
      <c r="M623" s="45" t="n"/>
      <c r="N623" s="45" t="n"/>
      <c r="O623" s="45" t="n"/>
      <c r="P623" s="50" t="n"/>
      <c r="R623" s="2">
        <f t="shared" si="6"/>
        <v>0</v>
      </c>
      <c r="S623" s="2">
        <f t="shared" si="7"/>
      </c>
      <c r="T623" s="2">
        <f t="shared" si="8"/>
      </c>
      <c r="U623" s="2">
        <f t="shared" si="9"/>
      </c>
      <c r="V623" s="2">
        <f t="shared" si="10"/>
      </c>
      <c r="W623" s="2">
        <f t="shared" si="11"/>
      </c>
      <c r="X623" s="2">
        <f t="shared" si="12"/>
      </c>
      <c r="Y623" s="2">
        <f t="shared" si="13"/>
        <v>0</v>
      </c>
      <c r="Z623" s="2">
        <f t="shared" si="14"/>
      </c>
      <c r="AA623" s="2">
        <f t="shared" si="15"/>
        <v>0</v>
      </c>
      <c r="AB623" s="2">
        <f t="shared" si="16"/>
      </c>
      <c r="AC623" s="2">
        <f t="shared" si="17"/>
      </c>
      <c r="AD623" s="2">
        <f t="shared" si="18"/>
      </c>
      <c r="AE623" s="2">
        <f t="shared" si="19"/>
      </c>
      <c r="AF623" s="2">
        <f t="shared" si="20"/>
      </c>
      <c r="AG623" s="2">
        <f t="shared" si="21"/>
      </c>
      <c r="AH623" s="2">
        <f t="shared" si="22"/>
      </c>
      <c r="AI623" s="2">
        <f t="shared" si="23"/>
      </c>
      <c r="AJ623" s="2">
        <f t="shared" si="24"/>
        <v>0</v>
      </c>
      <c r="AK623" s="2">
        <f t="shared" si="25"/>
        <v>0</v>
      </c>
      <c r="AL623" s="2">
        <f t="shared" si="26"/>
        <v>0</v>
      </c>
      <c r="AM623" s="2">
        <f t="shared" si="27"/>
        <v>0</v>
      </c>
      <c r="AN623" s="2">
        <f t="shared" si="28"/>
        <v>0</v>
      </c>
      <c r="AO623" s="2">
        <f t="shared" si="29"/>
      </c>
      <c r="AP623" s="2">
        <f t="shared" si="30"/>
      </c>
      <c r="AQ623" s="2">
        <f t="shared" si="31"/>
      </c>
    </row>
    <row r="624">
      <c r="A624" s="43">
        <f t="shared" si="3"/>
      </c>
      <c r="B624" s="44" t="n"/>
      <c r="C624" s="45" t="n"/>
      <c r="D624" s="46" t="n"/>
      <c r="E624" s="47" t="n"/>
      <c r="F624" s="47" t="n"/>
      <c r="G624" s="48">
        <f t="shared" si="4"/>
      </c>
      <c r="H624" s="43">
        <f t="shared" si="0"/>
      </c>
      <c r="I624" s="43">
        <f t="shared" si="5"/>
      </c>
      <c r="J624" s="43">
        <f t="shared" si="1"/>
      </c>
      <c r="K624" s="49">
        <f t="shared" si="2"/>
      </c>
      <c r="L624" s="45" t="n"/>
      <c r="M624" s="45" t="n"/>
      <c r="N624" s="45" t="n"/>
      <c r="O624" s="45" t="n"/>
      <c r="P624" s="50" t="n"/>
      <c r="R624" s="2">
        <f t="shared" si="6"/>
        <v>0</v>
      </c>
      <c r="S624" s="2">
        <f t="shared" si="7"/>
      </c>
      <c r="T624" s="2">
        <f t="shared" si="8"/>
      </c>
      <c r="U624" s="2">
        <f t="shared" si="9"/>
      </c>
      <c r="V624" s="2">
        <f t="shared" si="10"/>
      </c>
      <c r="W624" s="2">
        <f t="shared" si="11"/>
      </c>
      <c r="X624" s="2">
        <f t="shared" si="12"/>
      </c>
      <c r="Y624" s="2">
        <f t="shared" si="13"/>
        <v>0</v>
      </c>
      <c r="Z624" s="2">
        <f t="shared" si="14"/>
      </c>
      <c r="AA624" s="2">
        <f t="shared" si="15"/>
        <v>0</v>
      </c>
      <c r="AB624" s="2">
        <f t="shared" si="16"/>
      </c>
      <c r="AC624" s="2">
        <f t="shared" si="17"/>
      </c>
      <c r="AD624" s="2">
        <f t="shared" si="18"/>
      </c>
      <c r="AE624" s="2">
        <f t="shared" si="19"/>
      </c>
      <c r="AF624" s="2">
        <f t="shared" si="20"/>
      </c>
      <c r="AG624" s="2">
        <f t="shared" si="21"/>
      </c>
      <c r="AH624" s="2">
        <f t="shared" si="22"/>
      </c>
      <c r="AI624" s="2">
        <f t="shared" si="23"/>
      </c>
      <c r="AJ624" s="2">
        <f t="shared" si="24"/>
        <v>0</v>
      </c>
      <c r="AK624" s="2">
        <f t="shared" si="25"/>
        <v>0</v>
      </c>
      <c r="AL624" s="2">
        <f t="shared" si="26"/>
        <v>0</v>
      </c>
      <c r="AM624" s="2">
        <f t="shared" si="27"/>
        <v>0</v>
      </c>
      <c r="AN624" s="2">
        <f t="shared" si="28"/>
        <v>0</v>
      </c>
      <c r="AO624" s="2">
        <f t="shared" si="29"/>
      </c>
      <c r="AP624" s="2">
        <f t="shared" si="30"/>
      </c>
      <c r="AQ624" s="2">
        <f t="shared" si="31"/>
      </c>
    </row>
    <row r="625">
      <c r="A625" s="43">
        <f t="shared" si="3"/>
      </c>
      <c r="B625" s="44" t="n"/>
      <c r="C625" s="45" t="n"/>
      <c r="D625" s="46" t="n"/>
      <c r="E625" s="47" t="n"/>
      <c r="F625" s="47" t="n"/>
      <c r="G625" s="48">
        <f t="shared" si="4"/>
      </c>
      <c r="H625" s="43">
        <f t="shared" si="0"/>
      </c>
      <c r="I625" s="43">
        <f t="shared" si="5"/>
      </c>
      <c r="J625" s="43">
        <f t="shared" si="1"/>
      </c>
      <c r="K625" s="49">
        <f t="shared" si="2"/>
      </c>
      <c r="L625" s="45" t="n"/>
      <c r="M625" s="45" t="n"/>
      <c r="N625" s="45" t="n"/>
      <c r="O625" s="45" t="n"/>
      <c r="P625" s="50" t="n"/>
      <c r="R625" s="2">
        <f t="shared" si="6"/>
        <v>0</v>
      </c>
      <c r="S625" s="2">
        <f t="shared" si="7"/>
      </c>
      <c r="T625" s="2">
        <f t="shared" si="8"/>
      </c>
      <c r="U625" s="2">
        <f t="shared" si="9"/>
      </c>
      <c r="V625" s="2">
        <f t="shared" si="10"/>
      </c>
      <c r="W625" s="2">
        <f t="shared" si="11"/>
      </c>
      <c r="X625" s="2">
        <f t="shared" si="12"/>
      </c>
      <c r="Y625" s="2">
        <f t="shared" si="13"/>
        <v>0</v>
      </c>
      <c r="Z625" s="2">
        <f t="shared" si="14"/>
      </c>
      <c r="AA625" s="2">
        <f t="shared" si="15"/>
        <v>0</v>
      </c>
      <c r="AB625" s="2">
        <f t="shared" si="16"/>
      </c>
      <c r="AC625" s="2">
        <f t="shared" si="17"/>
      </c>
      <c r="AD625" s="2">
        <f t="shared" si="18"/>
      </c>
      <c r="AE625" s="2">
        <f t="shared" si="19"/>
      </c>
      <c r="AF625" s="2">
        <f t="shared" si="20"/>
      </c>
      <c r="AG625" s="2">
        <f t="shared" si="21"/>
      </c>
      <c r="AH625" s="2">
        <f t="shared" si="22"/>
      </c>
      <c r="AI625" s="2">
        <f t="shared" si="23"/>
      </c>
      <c r="AJ625" s="2">
        <f t="shared" si="24"/>
        <v>0</v>
      </c>
      <c r="AK625" s="2">
        <f t="shared" si="25"/>
        <v>0</v>
      </c>
      <c r="AL625" s="2">
        <f t="shared" si="26"/>
        <v>0</v>
      </c>
      <c r="AM625" s="2">
        <f t="shared" si="27"/>
        <v>0</v>
      </c>
      <c r="AN625" s="2">
        <f t="shared" si="28"/>
        <v>0</v>
      </c>
      <c r="AO625" s="2">
        <f t="shared" si="29"/>
      </c>
      <c r="AP625" s="2">
        <f t="shared" si="30"/>
      </c>
      <c r="AQ625" s="2">
        <f t="shared" si="31"/>
      </c>
    </row>
    <row r="626">
      <c r="A626" s="43">
        <f t="shared" si="3"/>
      </c>
      <c r="B626" s="44" t="n"/>
      <c r="C626" s="45" t="n"/>
      <c r="D626" s="46" t="n"/>
      <c r="E626" s="47" t="n"/>
      <c r="F626" s="47" t="n"/>
      <c r="G626" s="48">
        <f t="shared" si="4"/>
      </c>
      <c r="H626" s="43">
        <f t="shared" si="0"/>
      </c>
      <c r="I626" s="43">
        <f t="shared" si="5"/>
      </c>
      <c r="J626" s="43">
        <f t="shared" si="1"/>
      </c>
      <c r="K626" s="49">
        <f t="shared" si="2"/>
      </c>
      <c r="L626" s="45" t="n"/>
      <c r="M626" s="45" t="n"/>
      <c r="N626" s="45" t="n"/>
      <c r="O626" s="45" t="n"/>
      <c r="P626" s="50" t="n"/>
      <c r="R626" s="2">
        <f t="shared" si="6"/>
        <v>0</v>
      </c>
      <c r="S626" s="2">
        <f t="shared" si="7"/>
      </c>
      <c r="T626" s="2">
        <f t="shared" si="8"/>
      </c>
      <c r="U626" s="2">
        <f t="shared" si="9"/>
      </c>
      <c r="V626" s="2">
        <f t="shared" si="10"/>
      </c>
      <c r="W626" s="2">
        <f t="shared" si="11"/>
      </c>
      <c r="X626" s="2">
        <f t="shared" si="12"/>
      </c>
      <c r="Y626" s="2">
        <f t="shared" si="13"/>
        <v>0</v>
      </c>
      <c r="Z626" s="2">
        <f t="shared" si="14"/>
      </c>
      <c r="AA626" s="2">
        <f t="shared" si="15"/>
        <v>0</v>
      </c>
      <c r="AB626" s="2">
        <f t="shared" si="16"/>
      </c>
      <c r="AC626" s="2">
        <f t="shared" si="17"/>
      </c>
      <c r="AD626" s="2">
        <f t="shared" si="18"/>
      </c>
      <c r="AE626" s="2">
        <f t="shared" si="19"/>
      </c>
      <c r="AF626" s="2">
        <f t="shared" si="20"/>
      </c>
      <c r="AG626" s="2">
        <f t="shared" si="21"/>
      </c>
      <c r="AH626" s="2">
        <f t="shared" si="22"/>
      </c>
      <c r="AI626" s="2">
        <f t="shared" si="23"/>
      </c>
      <c r="AJ626" s="2">
        <f t="shared" si="24"/>
        <v>0</v>
      </c>
      <c r="AK626" s="2">
        <f t="shared" si="25"/>
        <v>0</v>
      </c>
      <c r="AL626" s="2">
        <f t="shared" si="26"/>
        <v>0</v>
      </c>
      <c r="AM626" s="2">
        <f t="shared" si="27"/>
        <v>0</v>
      </c>
      <c r="AN626" s="2">
        <f t="shared" si="28"/>
        <v>0</v>
      </c>
      <c r="AO626" s="2">
        <f t="shared" si="29"/>
      </c>
      <c r="AP626" s="2">
        <f t="shared" si="30"/>
      </c>
      <c r="AQ626" s="2">
        <f t="shared" si="31"/>
      </c>
    </row>
    <row r="627">
      <c r="A627" s="43">
        <f t="shared" si="3"/>
      </c>
      <c r="B627" s="44" t="n"/>
      <c r="C627" s="45" t="n"/>
      <c r="D627" s="46" t="n"/>
      <c r="E627" s="47" t="n"/>
      <c r="F627" s="47" t="n"/>
      <c r="G627" s="48">
        <f t="shared" si="4"/>
      </c>
      <c r="H627" s="43">
        <f t="shared" si="0"/>
      </c>
      <c r="I627" s="43">
        <f t="shared" si="5"/>
      </c>
      <c r="J627" s="43">
        <f t="shared" si="1"/>
      </c>
      <c r="K627" s="49">
        <f t="shared" si="2"/>
      </c>
      <c r="L627" s="45" t="n"/>
      <c r="M627" s="45" t="n"/>
      <c r="N627" s="45" t="n"/>
      <c r="O627" s="45" t="n"/>
      <c r="P627" s="50" t="n"/>
      <c r="R627" s="2">
        <f t="shared" si="6"/>
        <v>0</v>
      </c>
      <c r="S627" s="2">
        <f t="shared" si="7"/>
      </c>
      <c r="T627" s="2">
        <f t="shared" si="8"/>
      </c>
      <c r="U627" s="2">
        <f t="shared" si="9"/>
      </c>
      <c r="V627" s="2">
        <f t="shared" si="10"/>
      </c>
      <c r="W627" s="2">
        <f t="shared" si="11"/>
      </c>
      <c r="X627" s="2">
        <f t="shared" si="12"/>
      </c>
      <c r="Y627" s="2">
        <f t="shared" si="13"/>
        <v>0</v>
      </c>
      <c r="Z627" s="2">
        <f t="shared" si="14"/>
      </c>
      <c r="AA627" s="2">
        <f t="shared" si="15"/>
        <v>0</v>
      </c>
      <c r="AB627" s="2">
        <f t="shared" si="16"/>
      </c>
      <c r="AC627" s="2">
        <f t="shared" si="17"/>
      </c>
      <c r="AD627" s="2">
        <f t="shared" si="18"/>
      </c>
      <c r="AE627" s="2">
        <f t="shared" si="19"/>
      </c>
      <c r="AF627" s="2">
        <f t="shared" si="20"/>
      </c>
      <c r="AG627" s="2">
        <f t="shared" si="21"/>
      </c>
      <c r="AH627" s="2">
        <f t="shared" si="22"/>
      </c>
      <c r="AI627" s="2">
        <f t="shared" si="23"/>
      </c>
      <c r="AJ627" s="2">
        <f t="shared" si="24"/>
        <v>0</v>
      </c>
      <c r="AK627" s="2">
        <f t="shared" si="25"/>
        <v>0</v>
      </c>
      <c r="AL627" s="2">
        <f t="shared" si="26"/>
        <v>0</v>
      </c>
      <c r="AM627" s="2">
        <f t="shared" si="27"/>
        <v>0</v>
      </c>
      <c r="AN627" s="2">
        <f t="shared" si="28"/>
        <v>0</v>
      </c>
      <c r="AO627" s="2">
        <f t="shared" si="29"/>
      </c>
      <c r="AP627" s="2">
        <f t="shared" si="30"/>
      </c>
      <c r="AQ627" s="2">
        <f t="shared" si="31"/>
      </c>
    </row>
    <row r="628">
      <c r="A628" s="43">
        <f t="shared" si="3"/>
      </c>
      <c r="B628" s="44" t="n"/>
      <c r="C628" s="45" t="n"/>
      <c r="D628" s="46" t="n"/>
      <c r="E628" s="47" t="n"/>
      <c r="F628" s="47" t="n"/>
      <c r="G628" s="48">
        <f t="shared" si="4"/>
      </c>
      <c r="H628" s="43">
        <f t="shared" si="0"/>
      </c>
      <c r="I628" s="43">
        <f t="shared" si="5"/>
      </c>
      <c r="J628" s="43">
        <f t="shared" si="1"/>
      </c>
      <c r="K628" s="49">
        <f t="shared" si="2"/>
      </c>
      <c r="L628" s="45" t="n"/>
      <c r="M628" s="45" t="n"/>
      <c r="N628" s="45" t="n"/>
      <c r="O628" s="45" t="n"/>
      <c r="P628" s="50" t="n"/>
      <c r="R628" s="2">
        <f t="shared" si="6"/>
        <v>0</v>
      </c>
      <c r="S628" s="2">
        <f t="shared" si="7"/>
      </c>
      <c r="T628" s="2">
        <f t="shared" si="8"/>
      </c>
      <c r="U628" s="2">
        <f t="shared" si="9"/>
      </c>
      <c r="V628" s="2">
        <f t="shared" si="10"/>
      </c>
      <c r="W628" s="2">
        <f t="shared" si="11"/>
      </c>
      <c r="X628" s="2">
        <f t="shared" si="12"/>
      </c>
      <c r="Y628" s="2">
        <f t="shared" si="13"/>
        <v>0</v>
      </c>
      <c r="Z628" s="2">
        <f t="shared" si="14"/>
      </c>
      <c r="AA628" s="2">
        <f t="shared" si="15"/>
        <v>0</v>
      </c>
      <c r="AB628" s="2">
        <f t="shared" si="16"/>
      </c>
      <c r="AC628" s="2">
        <f t="shared" si="17"/>
      </c>
      <c r="AD628" s="2">
        <f t="shared" si="18"/>
      </c>
      <c r="AE628" s="2">
        <f t="shared" si="19"/>
      </c>
      <c r="AF628" s="2">
        <f t="shared" si="20"/>
      </c>
      <c r="AG628" s="2">
        <f t="shared" si="21"/>
      </c>
      <c r="AH628" s="2">
        <f t="shared" si="22"/>
      </c>
      <c r="AI628" s="2">
        <f t="shared" si="23"/>
      </c>
      <c r="AJ628" s="2">
        <f t="shared" si="24"/>
        <v>0</v>
      </c>
      <c r="AK628" s="2">
        <f t="shared" si="25"/>
        <v>0</v>
      </c>
      <c r="AL628" s="2">
        <f t="shared" si="26"/>
        <v>0</v>
      </c>
      <c r="AM628" s="2">
        <f t="shared" si="27"/>
        <v>0</v>
      </c>
      <c r="AN628" s="2">
        <f t="shared" si="28"/>
        <v>0</v>
      </c>
      <c r="AO628" s="2">
        <f t="shared" si="29"/>
      </c>
      <c r="AP628" s="2">
        <f t="shared" si="30"/>
      </c>
      <c r="AQ628" s="2">
        <f t="shared" si="31"/>
      </c>
    </row>
    <row r="629">
      <c r="A629" s="43">
        <f t="shared" si="3"/>
      </c>
      <c r="B629" s="44" t="n"/>
      <c r="C629" s="45" t="n"/>
      <c r="D629" s="46" t="n"/>
      <c r="E629" s="47" t="n"/>
      <c r="F629" s="47" t="n"/>
      <c r="G629" s="48">
        <f t="shared" si="4"/>
      </c>
      <c r="H629" s="43">
        <f t="shared" si="0"/>
      </c>
      <c r="I629" s="43">
        <f t="shared" si="5"/>
      </c>
      <c r="J629" s="43">
        <f t="shared" si="1"/>
      </c>
      <c r="K629" s="49">
        <f t="shared" si="2"/>
      </c>
      <c r="L629" s="45" t="n"/>
      <c r="M629" s="45" t="n"/>
      <c r="N629" s="45" t="n"/>
      <c r="O629" s="45" t="n"/>
      <c r="P629" s="50" t="n"/>
      <c r="R629" s="2">
        <f t="shared" si="6"/>
        <v>0</v>
      </c>
      <c r="S629" s="2">
        <f t="shared" si="7"/>
      </c>
      <c r="T629" s="2">
        <f t="shared" si="8"/>
      </c>
      <c r="U629" s="2">
        <f t="shared" si="9"/>
      </c>
      <c r="V629" s="2">
        <f t="shared" si="10"/>
      </c>
      <c r="W629" s="2">
        <f t="shared" si="11"/>
      </c>
      <c r="X629" s="2">
        <f t="shared" si="12"/>
      </c>
      <c r="Y629" s="2">
        <f t="shared" si="13"/>
        <v>0</v>
      </c>
      <c r="Z629" s="2">
        <f t="shared" si="14"/>
      </c>
      <c r="AA629" s="2">
        <f t="shared" si="15"/>
        <v>0</v>
      </c>
      <c r="AB629" s="2">
        <f t="shared" si="16"/>
      </c>
      <c r="AC629" s="2">
        <f t="shared" si="17"/>
      </c>
      <c r="AD629" s="2">
        <f t="shared" si="18"/>
      </c>
      <c r="AE629" s="2">
        <f t="shared" si="19"/>
      </c>
      <c r="AF629" s="2">
        <f t="shared" si="20"/>
      </c>
      <c r="AG629" s="2">
        <f t="shared" si="21"/>
      </c>
      <c r="AH629" s="2">
        <f t="shared" si="22"/>
      </c>
      <c r="AI629" s="2">
        <f t="shared" si="23"/>
      </c>
      <c r="AJ629" s="2">
        <f t="shared" si="24"/>
        <v>0</v>
      </c>
      <c r="AK629" s="2">
        <f t="shared" si="25"/>
        <v>0</v>
      </c>
      <c r="AL629" s="2">
        <f t="shared" si="26"/>
        <v>0</v>
      </c>
      <c r="AM629" s="2">
        <f t="shared" si="27"/>
        <v>0</v>
      </c>
      <c r="AN629" s="2">
        <f t="shared" si="28"/>
        <v>0</v>
      </c>
      <c r="AO629" s="2">
        <f t="shared" si="29"/>
      </c>
      <c r="AP629" s="2">
        <f t="shared" si="30"/>
      </c>
      <c r="AQ629" s="2">
        <f t="shared" si="31"/>
      </c>
    </row>
    <row r="630">
      <c r="A630" s="43">
        <f t="shared" si="3"/>
      </c>
      <c r="B630" s="44" t="n"/>
      <c r="C630" s="45" t="n"/>
      <c r="D630" s="46" t="n"/>
      <c r="E630" s="47" t="n"/>
      <c r="F630" s="47" t="n"/>
      <c r="G630" s="48">
        <f t="shared" si="4"/>
      </c>
      <c r="H630" s="43">
        <f t="shared" si="0"/>
      </c>
      <c r="I630" s="43">
        <f t="shared" si="5"/>
      </c>
      <c r="J630" s="43">
        <f t="shared" si="1"/>
      </c>
      <c r="K630" s="49">
        <f t="shared" si="2"/>
      </c>
      <c r="L630" s="45" t="n"/>
      <c r="M630" s="45" t="n"/>
      <c r="N630" s="45" t="n"/>
      <c r="O630" s="45" t="n"/>
      <c r="P630" s="50" t="n"/>
      <c r="R630" s="2">
        <f t="shared" si="6"/>
        <v>0</v>
      </c>
      <c r="S630" s="2">
        <f t="shared" si="7"/>
      </c>
      <c r="T630" s="2">
        <f t="shared" si="8"/>
      </c>
      <c r="U630" s="2">
        <f t="shared" si="9"/>
      </c>
      <c r="V630" s="2">
        <f t="shared" si="10"/>
      </c>
      <c r="W630" s="2">
        <f t="shared" si="11"/>
      </c>
      <c r="X630" s="2">
        <f t="shared" si="12"/>
      </c>
      <c r="Y630" s="2">
        <f t="shared" si="13"/>
        <v>0</v>
      </c>
      <c r="Z630" s="2">
        <f t="shared" si="14"/>
      </c>
      <c r="AA630" s="2">
        <f t="shared" si="15"/>
        <v>0</v>
      </c>
      <c r="AB630" s="2">
        <f t="shared" si="16"/>
      </c>
      <c r="AC630" s="2">
        <f t="shared" si="17"/>
      </c>
      <c r="AD630" s="2">
        <f t="shared" si="18"/>
      </c>
      <c r="AE630" s="2">
        <f t="shared" si="19"/>
      </c>
      <c r="AF630" s="2">
        <f t="shared" si="20"/>
      </c>
      <c r="AG630" s="2">
        <f t="shared" si="21"/>
      </c>
      <c r="AH630" s="2">
        <f t="shared" si="22"/>
      </c>
      <c r="AI630" s="2">
        <f t="shared" si="23"/>
      </c>
      <c r="AJ630" s="2">
        <f t="shared" si="24"/>
        <v>0</v>
      </c>
      <c r="AK630" s="2">
        <f t="shared" si="25"/>
        <v>0</v>
      </c>
      <c r="AL630" s="2">
        <f t="shared" si="26"/>
        <v>0</v>
      </c>
      <c r="AM630" s="2">
        <f t="shared" si="27"/>
        <v>0</v>
      </c>
      <c r="AN630" s="2">
        <f t="shared" si="28"/>
        <v>0</v>
      </c>
      <c r="AO630" s="2">
        <f t="shared" si="29"/>
      </c>
      <c r="AP630" s="2">
        <f t="shared" si="30"/>
      </c>
      <c r="AQ630" s="2">
        <f t="shared" si="31"/>
      </c>
    </row>
    <row r="631">
      <c r="A631" s="43">
        <f t="shared" si="3"/>
      </c>
      <c r="B631" s="44" t="n"/>
      <c r="C631" s="45" t="n"/>
      <c r="D631" s="46" t="n"/>
      <c r="E631" s="47" t="n"/>
      <c r="F631" s="47" t="n"/>
      <c r="G631" s="48">
        <f t="shared" si="4"/>
      </c>
      <c r="H631" s="43">
        <f t="shared" si="0"/>
      </c>
      <c r="I631" s="43">
        <f t="shared" si="5"/>
      </c>
      <c r="J631" s="43">
        <f t="shared" si="1"/>
      </c>
      <c r="K631" s="49">
        <f t="shared" si="2"/>
      </c>
      <c r="L631" s="45" t="n"/>
      <c r="M631" s="45" t="n"/>
      <c r="N631" s="45" t="n"/>
      <c r="O631" s="45" t="n"/>
      <c r="P631" s="50" t="n"/>
      <c r="R631" s="2">
        <f t="shared" si="6"/>
        <v>0</v>
      </c>
      <c r="S631" s="2">
        <f t="shared" si="7"/>
      </c>
      <c r="T631" s="2">
        <f t="shared" si="8"/>
      </c>
      <c r="U631" s="2">
        <f t="shared" si="9"/>
      </c>
      <c r="V631" s="2">
        <f t="shared" si="10"/>
      </c>
      <c r="W631" s="2">
        <f t="shared" si="11"/>
      </c>
      <c r="X631" s="2">
        <f t="shared" si="12"/>
      </c>
      <c r="Y631" s="2">
        <f t="shared" si="13"/>
        <v>0</v>
      </c>
      <c r="Z631" s="2">
        <f t="shared" si="14"/>
      </c>
      <c r="AA631" s="2">
        <f t="shared" si="15"/>
        <v>0</v>
      </c>
      <c r="AB631" s="2">
        <f t="shared" si="16"/>
      </c>
      <c r="AC631" s="2">
        <f t="shared" si="17"/>
      </c>
      <c r="AD631" s="2">
        <f t="shared" si="18"/>
      </c>
      <c r="AE631" s="2">
        <f t="shared" si="19"/>
      </c>
      <c r="AF631" s="2">
        <f t="shared" si="20"/>
      </c>
      <c r="AG631" s="2">
        <f t="shared" si="21"/>
      </c>
      <c r="AH631" s="2">
        <f t="shared" si="22"/>
      </c>
      <c r="AI631" s="2">
        <f t="shared" si="23"/>
      </c>
      <c r="AJ631" s="2">
        <f t="shared" si="24"/>
        <v>0</v>
      </c>
      <c r="AK631" s="2">
        <f t="shared" si="25"/>
        <v>0</v>
      </c>
      <c r="AL631" s="2">
        <f t="shared" si="26"/>
        <v>0</v>
      </c>
      <c r="AM631" s="2">
        <f t="shared" si="27"/>
        <v>0</v>
      </c>
      <c r="AN631" s="2">
        <f t="shared" si="28"/>
        <v>0</v>
      </c>
      <c r="AO631" s="2">
        <f t="shared" si="29"/>
      </c>
      <c r="AP631" s="2">
        <f t="shared" si="30"/>
      </c>
      <c r="AQ631" s="2">
        <f t="shared" si="31"/>
      </c>
    </row>
    <row r="632">
      <c r="A632" s="43">
        <f t="shared" si="3"/>
      </c>
      <c r="B632" s="44" t="n"/>
      <c r="C632" s="45" t="n"/>
      <c r="D632" s="46" t="n"/>
      <c r="E632" s="47" t="n"/>
      <c r="F632" s="47" t="n"/>
      <c r="G632" s="48">
        <f t="shared" si="4"/>
      </c>
      <c r="H632" s="43">
        <f t="shared" si="0"/>
      </c>
      <c r="I632" s="43">
        <f t="shared" si="5"/>
      </c>
      <c r="J632" s="43">
        <f t="shared" si="1"/>
      </c>
      <c r="K632" s="49">
        <f t="shared" si="2"/>
      </c>
      <c r="L632" s="45" t="n"/>
      <c r="M632" s="45" t="n"/>
      <c r="N632" s="45" t="n"/>
      <c r="O632" s="45" t="n"/>
      <c r="P632" s="50" t="n"/>
      <c r="R632" s="2">
        <f t="shared" si="6"/>
        <v>0</v>
      </c>
      <c r="S632" s="2">
        <f t="shared" si="7"/>
      </c>
      <c r="T632" s="2">
        <f t="shared" si="8"/>
      </c>
      <c r="U632" s="2">
        <f t="shared" si="9"/>
      </c>
      <c r="V632" s="2">
        <f t="shared" si="10"/>
      </c>
      <c r="W632" s="2">
        <f t="shared" si="11"/>
      </c>
      <c r="X632" s="2">
        <f t="shared" si="12"/>
      </c>
      <c r="Y632" s="2">
        <f t="shared" si="13"/>
        <v>0</v>
      </c>
      <c r="Z632" s="2">
        <f t="shared" si="14"/>
      </c>
      <c r="AA632" s="2">
        <f t="shared" si="15"/>
        <v>0</v>
      </c>
      <c r="AB632" s="2">
        <f t="shared" si="16"/>
      </c>
      <c r="AC632" s="2">
        <f t="shared" si="17"/>
      </c>
      <c r="AD632" s="2">
        <f t="shared" si="18"/>
      </c>
      <c r="AE632" s="2">
        <f t="shared" si="19"/>
      </c>
      <c r="AF632" s="2">
        <f t="shared" si="20"/>
      </c>
      <c r="AG632" s="2">
        <f t="shared" si="21"/>
      </c>
      <c r="AH632" s="2">
        <f t="shared" si="22"/>
      </c>
      <c r="AI632" s="2">
        <f t="shared" si="23"/>
      </c>
      <c r="AJ632" s="2">
        <f t="shared" si="24"/>
        <v>0</v>
      </c>
      <c r="AK632" s="2">
        <f t="shared" si="25"/>
        <v>0</v>
      </c>
      <c r="AL632" s="2">
        <f t="shared" si="26"/>
        <v>0</v>
      </c>
      <c r="AM632" s="2">
        <f t="shared" si="27"/>
        <v>0</v>
      </c>
      <c r="AN632" s="2">
        <f t="shared" si="28"/>
        <v>0</v>
      </c>
      <c r="AO632" s="2">
        <f t="shared" si="29"/>
      </c>
      <c r="AP632" s="2">
        <f t="shared" si="30"/>
      </c>
      <c r="AQ632" s="2">
        <f t="shared" si="31"/>
      </c>
    </row>
    <row r="633">
      <c r="A633" s="43">
        <f t="shared" si="3"/>
      </c>
      <c r="B633" s="44" t="n"/>
      <c r="C633" s="45" t="n"/>
      <c r="D633" s="46" t="n"/>
      <c r="E633" s="47" t="n"/>
      <c r="F633" s="47" t="n"/>
      <c r="G633" s="48">
        <f t="shared" si="4"/>
      </c>
      <c r="H633" s="43">
        <f t="shared" si="0"/>
      </c>
      <c r="I633" s="43">
        <f t="shared" si="5"/>
      </c>
      <c r="J633" s="43">
        <f t="shared" si="1"/>
      </c>
      <c r="K633" s="49">
        <f t="shared" si="2"/>
      </c>
      <c r="L633" s="45" t="n"/>
      <c r="M633" s="45" t="n"/>
      <c r="N633" s="45" t="n"/>
      <c r="O633" s="45" t="n"/>
      <c r="P633" s="50" t="n"/>
      <c r="R633" s="2">
        <f t="shared" si="6"/>
        <v>0</v>
      </c>
      <c r="S633" s="2">
        <f t="shared" si="7"/>
      </c>
      <c r="T633" s="2">
        <f t="shared" si="8"/>
      </c>
      <c r="U633" s="2">
        <f t="shared" si="9"/>
      </c>
      <c r="V633" s="2">
        <f t="shared" si="10"/>
      </c>
      <c r="W633" s="2">
        <f t="shared" si="11"/>
      </c>
      <c r="X633" s="2">
        <f t="shared" si="12"/>
      </c>
      <c r="Y633" s="2">
        <f t="shared" si="13"/>
        <v>0</v>
      </c>
      <c r="Z633" s="2">
        <f t="shared" si="14"/>
      </c>
      <c r="AA633" s="2">
        <f t="shared" si="15"/>
        <v>0</v>
      </c>
      <c r="AB633" s="2">
        <f t="shared" si="16"/>
      </c>
      <c r="AC633" s="2">
        <f t="shared" si="17"/>
      </c>
      <c r="AD633" s="2">
        <f t="shared" si="18"/>
      </c>
      <c r="AE633" s="2">
        <f t="shared" si="19"/>
      </c>
      <c r="AF633" s="2">
        <f t="shared" si="20"/>
      </c>
      <c r="AG633" s="2">
        <f t="shared" si="21"/>
      </c>
      <c r="AH633" s="2">
        <f t="shared" si="22"/>
      </c>
      <c r="AI633" s="2">
        <f t="shared" si="23"/>
      </c>
      <c r="AJ633" s="2">
        <f t="shared" si="24"/>
        <v>0</v>
      </c>
      <c r="AK633" s="2">
        <f t="shared" si="25"/>
        <v>0</v>
      </c>
      <c r="AL633" s="2">
        <f t="shared" si="26"/>
        <v>0</v>
      </c>
      <c r="AM633" s="2">
        <f t="shared" si="27"/>
        <v>0</v>
      </c>
      <c r="AN633" s="2">
        <f t="shared" si="28"/>
        <v>0</v>
      </c>
      <c r="AO633" s="2">
        <f t="shared" si="29"/>
      </c>
      <c r="AP633" s="2">
        <f t="shared" si="30"/>
      </c>
      <c r="AQ633" s="2">
        <f t="shared" si="31"/>
      </c>
    </row>
    <row r="634">
      <c r="A634" s="43">
        <f t="shared" si="3"/>
      </c>
      <c r="B634" s="44" t="n"/>
      <c r="C634" s="45" t="n"/>
      <c r="D634" s="46" t="n"/>
      <c r="E634" s="47" t="n"/>
      <c r="F634" s="47" t="n"/>
      <c r="G634" s="48">
        <f t="shared" si="4"/>
      </c>
      <c r="H634" s="43">
        <f t="shared" si="0"/>
      </c>
      <c r="I634" s="43">
        <f t="shared" si="5"/>
      </c>
      <c r="J634" s="43">
        <f t="shared" si="1"/>
      </c>
      <c r="K634" s="49">
        <f t="shared" si="2"/>
      </c>
      <c r="L634" s="45" t="n"/>
      <c r="M634" s="45" t="n"/>
      <c r="N634" s="45" t="n"/>
      <c r="O634" s="45" t="n"/>
      <c r="P634" s="50" t="n"/>
      <c r="R634" s="2">
        <f t="shared" si="6"/>
        <v>0</v>
      </c>
      <c r="S634" s="2">
        <f t="shared" si="7"/>
      </c>
      <c r="T634" s="2">
        <f t="shared" si="8"/>
      </c>
      <c r="U634" s="2">
        <f t="shared" si="9"/>
      </c>
      <c r="V634" s="2">
        <f t="shared" si="10"/>
      </c>
      <c r="W634" s="2">
        <f t="shared" si="11"/>
      </c>
      <c r="X634" s="2">
        <f t="shared" si="12"/>
      </c>
      <c r="Y634" s="2">
        <f t="shared" si="13"/>
        <v>0</v>
      </c>
      <c r="Z634" s="2">
        <f t="shared" si="14"/>
      </c>
      <c r="AA634" s="2">
        <f t="shared" si="15"/>
        <v>0</v>
      </c>
      <c r="AB634" s="2">
        <f t="shared" si="16"/>
      </c>
      <c r="AC634" s="2">
        <f t="shared" si="17"/>
      </c>
      <c r="AD634" s="2">
        <f t="shared" si="18"/>
      </c>
      <c r="AE634" s="2">
        <f t="shared" si="19"/>
      </c>
      <c r="AF634" s="2">
        <f t="shared" si="20"/>
      </c>
      <c r="AG634" s="2">
        <f t="shared" si="21"/>
      </c>
      <c r="AH634" s="2">
        <f t="shared" si="22"/>
      </c>
      <c r="AI634" s="2">
        <f t="shared" si="23"/>
      </c>
      <c r="AJ634" s="2">
        <f t="shared" si="24"/>
        <v>0</v>
      </c>
      <c r="AK634" s="2">
        <f t="shared" si="25"/>
        <v>0</v>
      </c>
      <c r="AL634" s="2">
        <f t="shared" si="26"/>
        <v>0</v>
      </c>
      <c r="AM634" s="2">
        <f t="shared" si="27"/>
        <v>0</v>
      </c>
      <c r="AN634" s="2">
        <f t="shared" si="28"/>
        <v>0</v>
      </c>
      <c r="AO634" s="2">
        <f t="shared" si="29"/>
      </c>
      <c r="AP634" s="2">
        <f t="shared" si="30"/>
      </c>
      <c r="AQ634" s="2">
        <f t="shared" si="31"/>
      </c>
    </row>
    <row r="635">
      <c r="A635" s="43">
        <f t="shared" si="3"/>
      </c>
      <c r="B635" s="44" t="n"/>
      <c r="C635" s="45" t="n"/>
      <c r="D635" s="46" t="n"/>
      <c r="E635" s="47" t="n"/>
      <c r="F635" s="47" t="n"/>
      <c r="G635" s="48">
        <f t="shared" si="4"/>
      </c>
      <c r="H635" s="43">
        <f t="shared" si="0"/>
      </c>
      <c r="I635" s="43">
        <f t="shared" si="5"/>
      </c>
      <c r="J635" s="43">
        <f t="shared" si="1"/>
      </c>
      <c r="K635" s="49">
        <f t="shared" si="2"/>
      </c>
      <c r="L635" s="45" t="n"/>
      <c r="M635" s="45" t="n"/>
      <c r="N635" s="45" t="n"/>
      <c r="O635" s="45" t="n"/>
      <c r="P635" s="50" t="n"/>
      <c r="R635" s="2">
        <f t="shared" si="6"/>
        <v>0</v>
      </c>
      <c r="S635" s="2">
        <f t="shared" si="7"/>
      </c>
      <c r="T635" s="2">
        <f t="shared" si="8"/>
      </c>
      <c r="U635" s="2">
        <f t="shared" si="9"/>
      </c>
      <c r="V635" s="2">
        <f t="shared" si="10"/>
      </c>
      <c r="W635" s="2">
        <f t="shared" si="11"/>
      </c>
      <c r="X635" s="2">
        <f t="shared" si="12"/>
      </c>
      <c r="Y635" s="2">
        <f t="shared" si="13"/>
        <v>0</v>
      </c>
      <c r="Z635" s="2">
        <f t="shared" si="14"/>
      </c>
      <c r="AA635" s="2">
        <f t="shared" si="15"/>
        <v>0</v>
      </c>
      <c r="AB635" s="2">
        <f t="shared" si="16"/>
      </c>
      <c r="AC635" s="2">
        <f t="shared" si="17"/>
      </c>
      <c r="AD635" s="2">
        <f t="shared" si="18"/>
      </c>
      <c r="AE635" s="2">
        <f t="shared" si="19"/>
      </c>
      <c r="AF635" s="2">
        <f t="shared" si="20"/>
      </c>
      <c r="AG635" s="2">
        <f t="shared" si="21"/>
      </c>
      <c r="AH635" s="2">
        <f t="shared" si="22"/>
      </c>
      <c r="AI635" s="2">
        <f t="shared" si="23"/>
      </c>
      <c r="AJ635" s="2">
        <f t="shared" si="24"/>
        <v>0</v>
      </c>
      <c r="AK635" s="2">
        <f t="shared" si="25"/>
        <v>0</v>
      </c>
      <c r="AL635" s="2">
        <f t="shared" si="26"/>
        <v>0</v>
      </c>
      <c r="AM635" s="2">
        <f t="shared" si="27"/>
        <v>0</v>
      </c>
      <c r="AN635" s="2">
        <f t="shared" si="28"/>
        <v>0</v>
      </c>
      <c r="AO635" s="2">
        <f t="shared" si="29"/>
      </c>
      <c r="AP635" s="2">
        <f t="shared" si="30"/>
      </c>
      <c r="AQ635" s="2">
        <f t="shared" si="31"/>
      </c>
    </row>
    <row r="636">
      <c r="A636" s="43">
        <f t="shared" si="3"/>
      </c>
      <c r="B636" s="44" t="n"/>
      <c r="C636" s="45" t="n"/>
      <c r="D636" s="46" t="n"/>
      <c r="E636" s="47" t="n"/>
      <c r="F636" s="47" t="n"/>
      <c r="G636" s="48">
        <f t="shared" si="4"/>
      </c>
      <c r="H636" s="43">
        <f t="shared" si="0"/>
      </c>
      <c r="I636" s="43">
        <f t="shared" si="5"/>
      </c>
      <c r="J636" s="43">
        <f t="shared" si="1"/>
      </c>
      <c r="K636" s="49">
        <f t="shared" si="2"/>
      </c>
      <c r="L636" s="45" t="n"/>
      <c r="M636" s="45" t="n"/>
      <c r="N636" s="45" t="n"/>
      <c r="O636" s="45" t="n"/>
      <c r="P636" s="50" t="n"/>
      <c r="R636" s="2">
        <f t="shared" si="6"/>
        <v>0</v>
      </c>
      <c r="S636" s="2">
        <f t="shared" si="7"/>
      </c>
      <c r="T636" s="2">
        <f t="shared" si="8"/>
      </c>
      <c r="U636" s="2">
        <f t="shared" si="9"/>
      </c>
      <c r="V636" s="2">
        <f t="shared" si="10"/>
      </c>
      <c r="W636" s="2">
        <f t="shared" si="11"/>
      </c>
      <c r="X636" s="2">
        <f t="shared" si="12"/>
      </c>
      <c r="Y636" s="2">
        <f t="shared" si="13"/>
        <v>0</v>
      </c>
      <c r="Z636" s="2">
        <f t="shared" si="14"/>
      </c>
      <c r="AA636" s="2">
        <f t="shared" si="15"/>
        <v>0</v>
      </c>
      <c r="AB636" s="2">
        <f t="shared" si="16"/>
      </c>
      <c r="AC636" s="2">
        <f t="shared" si="17"/>
      </c>
      <c r="AD636" s="2">
        <f t="shared" si="18"/>
      </c>
      <c r="AE636" s="2">
        <f t="shared" si="19"/>
      </c>
      <c r="AF636" s="2">
        <f t="shared" si="20"/>
      </c>
      <c r="AG636" s="2">
        <f t="shared" si="21"/>
      </c>
      <c r="AH636" s="2">
        <f t="shared" si="22"/>
      </c>
      <c r="AI636" s="2">
        <f t="shared" si="23"/>
      </c>
      <c r="AJ636" s="2">
        <f t="shared" si="24"/>
        <v>0</v>
      </c>
      <c r="AK636" s="2">
        <f t="shared" si="25"/>
        <v>0</v>
      </c>
      <c r="AL636" s="2">
        <f t="shared" si="26"/>
        <v>0</v>
      </c>
      <c r="AM636" s="2">
        <f t="shared" si="27"/>
        <v>0</v>
      </c>
      <c r="AN636" s="2">
        <f t="shared" si="28"/>
        <v>0</v>
      </c>
      <c r="AO636" s="2">
        <f t="shared" si="29"/>
      </c>
      <c r="AP636" s="2">
        <f t="shared" si="30"/>
      </c>
      <c r="AQ636" s="2">
        <f t="shared" si="31"/>
      </c>
    </row>
    <row r="637">
      <c r="A637" s="43">
        <f t="shared" si="3"/>
      </c>
      <c r="B637" s="44" t="n"/>
      <c r="C637" s="45" t="n"/>
      <c r="D637" s="46" t="n"/>
      <c r="E637" s="47" t="n"/>
      <c r="F637" s="47" t="n"/>
      <c r="G637" s="48">
        <f t="shared" si="4"/>
      </c>
      <c r="H637" s="43">
        <f t="shared" si="0"/>
      </c>
      <c r="I637" s="43">
        <f t="shared" si="5"/>
      </c>
      <c r="J637" s="43">
        <f t="shared" si="1"/>
      </c>
      <c r="K637" s="49">
        <f t="shared" si="2"/>
      </c>
      <c r="L637" s="45" t="n"/>
      <c r="M637" s="45" t="n"/>
      <c r="N637" s="45" t="n"/>
      <c r="O637" s="45" t="n"/>
      <c r="P637" s="50" t="n"/>
      <c r="R637" s="2">
        <f t="shared" si="6"/>
        <v>0</v>
      </c>
      <c r="S637" s="2">
        <f t="shared" si="7"/>
      </c>
      <c r="T637" s="2">
        <f t="shared" si="8"/>
      </c>
      <c r="U637" s="2">
        <f t="shared" si="9"/>
      </c>
      <c r="V637" s="2">
        <f t="shared" si="10"/>
      </c>
      <c r="W637" s="2">
        <f t="shared" si="11"/>
      </c>
      <c r="X637" s="2">
        <f t="shared" si="12"/>
      </c>
      <c r="Y637" s="2">
        <f t="shared" si="13"/>
        <v>0</v>
      </c>
      <c r="Z637" s="2">
        <f t="shared" si="14"/>
      </c>
      <c r="AA637" s="2">
        <f t="shared" si="15"/>
        <v>0</v>
      </c>
      <c r="AB637" s="2">
        <f t="shared" si="16"/>
      </c>
      <c r="AC637" s="2">
        <f t="shared" si="17"/>
      </c>
      <c r="AD637" s="2">
        <f t="shared" si="18"/>
      </c>
      <c r="AE637" s="2">
        <f t="shared" si="19"/>
      </c>
      <c r="AF637" s="2">
        <f t="shared" si="20"/>
      </c>
      <c r="AG637" s="2">
        <f t="shared" si="21"/>
      </c>
      <c r="AH637" s="2">
        <f t="shared" si="22"/>
      </c>
      <c r="AI637" s="2">
        <f t="shared" si="23"/>
      </c>
      <c r="AJ637" s="2">
        <f t="shared" si="24"/>
        <v>0</v>
      </c>
      <c r="AK637" s="2">
        <f t="shared" si="25"/>
        <v>0</v>
      </c>
      <c r="AL637" s="2">
        <f t="shared" si="26"/>
        <v>0</v>
      </c>
      <c r="AM637" s="2">
        <f t="shared" si="27"/>
        <v>0</v>
      </c>
      <c r="AN637" s="2">
        <f t="shared" si="28"/>
        <v>0</v>
      </c>
      <c r="AO637" s="2">
        <f t="shared" si="29"/>
      </c>
      <c r="AP637" s="2">
        <f t="shared" si="30"/>
      </c>
      <c r="AQ637" s="2">
        <f t="shared" si="31"/>
      </c>
    </row>
    <row r="638">
      <c r="A638" s="43">
        <f t="shared" si="3"/>
      </c>
      <c r="B638" s="44" t="n"/>
      <c r="C638" s="45" t="n"/>
      <c r="D638" s="46" t="n"/>
      <c r="E638" s="47" t="n"/>
      <c r="F638" s="47" t="n"/>
      <c r="G638" s="48">
        <f t="shared" si="4"/>
      </c>
      <c r="H638" s="43">
        <f t="shared" si="0"/>
      </c>
      <c r="I638" s="43">
        <f t="shared" si="5"/>
      </c>
      <c r="J638" s="43">
        <f t="shared" si="1"/>
      </c>
      <c r="K638" s="49">
        <f t="shared" si="2"/>
      </c>
      <c r="L638" s="45" t="n"/>
      <c r="M638" s="45" t="n"/>
      <c r="N638" s="45" t="n"/>
      <c r="O638" s="45" t="n"/>
      <c r="P638" s="50" t="n"/>
      <c r="R638" s="2">
        <f t="shared" si="6"/>
        <v>0</v>
      </c>
      <c r="S638" s="2">
        <f t="shared" si="7"/>
      </c>
      <c r="T638" s="2">
        <f t="shared" si="8"/>
      </c>
      <c r="U638" s="2">
        <f t="shared" si="9"/>
      </c>
      <c r="V638" s="2">
        <f t="shared" si="10"/>
      </c>
      <c r="W638" s="2">
        <f t="shared" si="11"/>
      </c>
      <c r="X638" s="2">
        <f t="shared" si="12"/>
      </c>
      <c r="Y638" s="2">
        <f t="shared" si="13"/>
        <v>0</v>
      </c>
      <c r="Z638" s="2">
        <f t="shared" si="14"/>
      </c>
      <c r="AA638" s="2">
        <f t="shared" si="15"/>
        <v>0</v>
      </c>
      <c r="AB638" s="2">
        <f t="shared" si="16"/>
      </c>
      <c r="AC638" s="2">
        <f t="shared" si="17"/>
      </c>
      <c r="AD638" s="2">
        <f t="shared" si="18"/>
      </c>
      <c r="AE638" s="2">
        <f t="shared" si="19"/>
      </c>
      <c r="AF638" s="2">
        <f t="shared" si="20"/>
      </c>
      <c r="AG638" s="2">
        <f t="shared" si="21"/>
      </c>
      <c r="AH638" s="2">
        <f t="shared" si="22"/>
      </c>
      <c r="AI638" s="2">
        <f t="shared" si="23"/>
      </c>
      <c r="AJ638" s="2">
        <f t="shared" si="24"/>
        <v>0</v>
      </c>
      <c r="AK638" s="2">
        <f t="shared" si="25"/>
        <v>0</v>
      </c>
      <c r="AL638" s="2">
        <f t="shared" si="26"/>
        <v>0</v>
      </c>
      <c r="AM638" s="2">
        <f t="shared" si="27"/>
        <v>0</v>
      </c>
      <c r="AN638" s="2">
        <f t="shared" si="28"/>
        <v>0</v>
      </c>
      <c r="AO638" s="2">
        <f t="shared" si="29"/>
      </c>
      <c r="AP638" s="2">
        <f t="shared" si="30"/>
      </c>
      <c r="AQ638" s="2">
        <f t="shared" si="31"/>
      </c>
    </row>
    <row r="639">
      <c r="A639" s="43">
        <f t="shared" si="3"/>
      </c>
      <c r="B639" s="44" t="n"/>
      <c r="C639" s="45" t="n"/>
      <c r="D639" s="46" t="n"/>
      <c r="E639" s="47" t="n"/>
      <c r="F639" s="47" t="n"/>
      <c r="G639" s="48">
        <f t="shared" si="4"/>
      </c>
      <c r="H639" s="43">
        <f t="shared" si="0"/>
      </c>
      <c r="I639" s="43">
        <f t="shared" si="5"/>
      </c>
      <c r="J639" s="43">
        <f t="shared" si="1"/>
      </c>
      <c r="K639" s="49">
        <f t="shared" si="2"/>
      </c>
      <c r="L639" s="45" t="n"/>
      <c r="M639" s="45" t="n"/>
      <c r="N639" s="45" t="n"/>
      <c r="O639" s="45" t="n"/>
      <c r="P639" s="50" t="n"/>
      <c r="R639" s="2">
        <f t="shared" si="6"/>
        <v>0</v>
      </c>
      <c r="S639" s="2">
        <f t="shared" si="7"/>
      </c>
      <c r="T639" s="2">
        <f t="shared" si="8"/>
      </c>
      <c r="U639" s="2">
        <f t="shared" si="9"/>
      </c>
      <c r="V639" s="2">
        <f t="shared" si="10"/>
      </c>
      <c r="W639" s="2">
        <f t="shared" si="11"/>
      </c>
      <c r="X639" s="2">
        <f t="shared" si="12"/>
      </c>
      <c r="Y639" s="2">
        <f t="shared" si="13"/>
        <v>0</v>
      </c>
      <c r="Z639" s="2">
        <f t="shared" si="14"/>
      </c>
      <c r="AA639" s="2">
        <f t="shared" si="15"/>
        <v>0</v>
      </c>
      <c r="AB639" s="2">
        <f t="shared" si="16"/>
      </c>
      <c r="AC639" s="2">
        <f t="shared" si="17"/>
      </c>
      <c r="AD639" s="2">
        <f t="shared" si="18"/>
      </c>
      <c r="AE639" s="2">
        <f t="shared" si="19"/>
      </c>
      <c r="AF639" s="2">
        <f t="shared" si="20"/>
      </c>
      <c r="AG639" s="2">
        <f t="shared" si="21"/>
      </c>
      <c r="AH639" s="2">
        <f t="shared" si="22"/>
      </c>
      <c r="AI639" s="2">
        <f t="shared" si="23"/>
      </c>
      <c r="AJ639" s="2">
        <f t="shared" si="24"/>
        <v>0</v>
      </c>
      <c r="AK639" s="2">
        <f t="shared" si="25"/>
        <v>0</v>
      </c>
      <c r="AL639" s="2">
        <f t="shared" si="26"/>
        <v>0</v>
      </c>
      <c r="AM639" s="2">
        <f t="shared" si="27"/>
        <v>0</v>
      </c>
      <c r="AN639" s="2">
        <f t="shared" si="28"/>
        <v>0</v>
      </c>
      <c r="AO639" s="2">
        <f t="shared" si="29"/>
      </c>
      <c r="AP639" s="2">
        <f t="shared" si="30"/>
      </c>
      <c r="AQ639" s="2">
        <f t="shared" si="31"/>
      </c>
    </row>
    <row r="640">
      <c r="A640" s="43">
        <f t="shared" si="3"/>
      </c>
      <c r="B640" s="44" t="n"/>
      <c r="C640" s="45" t="n"/>
      <c r="D640" s="46" t="n"/>
      <c r="E640" s="47" t="n"/>
      <c r="F640" s="47" t="n"/>
      <c r="G640" s="48">
        <f t="shared" si="4"/>
      </c>
      <c r="H640" s="43">
        <f t="shared" si="0"/>
      </c>
      <c r="I640" s="43">
        <f t="shared" si="5"/>
      </c>
      <c r="J640" s="43">
        <f t="shared" si="1"/>
      </c>
      <c r="K640" s="49">
        <f t="shared" si="2"/>
      </c>
      <c r="L640" s="45" t="n"/>
      <c r="M640" s="45" t="n"/>
      <c r="N640" s="45" t="n"/>
      <c r="O640" s="45" t="n"/>
      <c r="P640" s="50" t="n"/>
      <c r="R640" s="2">
        <f t="shared" si="6"/>
        <v>0</v>
      </c>
      <c r="S640" s="2">
        <f t="shared" si="7"/>
      </c>
      <c r="T640" s="2">
        <f t="shared" si="8"/>
      </c>
      <c r="U640" s="2">
        <f t="shared" si="9"/>
      </c>
      <c r="V640" s="2">
        <f t="shared" si="10"/>
      </c>
      <c r="W640" s="2">
        <f t="shared" si="11"/>
      </c>
      <c r="X640" s="2">
        <f t="shared" si="12"/>
      </c>
      <c r="Y640" s="2">
        <f t="shared" si="13"/>
        <v>0</v>
      </c>
      <c r="Z640" s="2">
        <f t="shared" si="14"/>
      </c>
      <c r="AA640" s="2">
        <f t="shared" si="15"/>
        <v>0</v>
      </c>
      <c r="AB640" s="2">
        <f t="shared" si="16"/>
      </c>
      <c r="AC640" s="2">
        <f t="shared" si="17"/>
      </c>
      <c r="AD640" s="2">
        <f t="shared" si="18"/>
      </c>
      <c r="AE640" s="2">
        <f t="shared" si="19"/>
      </c>
      <c r="AF640" s="2">
        <f t="shared" si="20"/>
      </c>
      <c r="AG640" s="2">
        <f t="shared" si="21"/>
      </c>
      <c r="AH640" s="2">
        <f t="shared" si="22"/>
      </c>
      <c r="AI640" s="2">
        <f t="shared" si="23"/>
      </c>
      <c r="AJ640" s="2">
        <f t="shared" si="24"/>
        <v>0</v>
      </c>
      <c r="AK640" s="2">
        <f t="shared" si="25"/>
        <v>0</v>
      </c>
      <c r="AL640" s="2">
        <f t="shared" si="26"/>
        <v>0</v>
      </c>
      <c r="AM640" s="2">
        <f t="shared" si="27"/>
        <v>0</v>
      </c>
      <c r="AN640" s="2">
        <f t="shared" si="28"/>
        <v>0</v>
      </c>
      <c r="AO640" s="2">
        <f t="shared" si="29"/>
      </c>
      <c r="AP640" s="2">
        <f t="shared" si="30"/>
      </c>
      <c r="AQ640" s="2">
        <f t="shared" si="31"/>
      </c>
    </row>
    <row r="641">
      <c r="A641" s="43">
        <f t="shared" si="3"/>
      </c>
      <c r="B641" s="44" t="n"/>
      <c r="C641" s="45" t="n"/>
      <c r="D641" s="46" t="n"/>
      <c r="E641" s="47" t="n"/>
      <c r="F641" s="47" t="n"/>
      <c r="G641" s="48">
        <f t="shared" si="4"/>
      </c>
      <c r="H641" s="43">
        <f t="shared" si="0"/>
      </c>
      <c r="I641" s="43">
        <f t="shared" si="5"/>
      </c>
      <c r="J641" s="43">
        <f t="shared" si="1"/>
      </c>
      <c r="K641" s="49">
        <f t="shared" si="2"/>
      </c>
      <c r="L641" s="45" t="n"/>
      <c r="M641" s="45" t="n"/>
      <c r="N641" s="45" t="n"/>
      <c r="O641" s="45" t="n"/>
      <c r="P641" s="50" t="n"/>
      <c r="R641" s="2">
        <f t="shared" si="6"/>
        <v>0</v>
      </c>
      <c r="S641" s="2">
        <f t="shared" si="7"/>
      </c>
      <c r="T641" s="2">
        <f t="shared" si="8"/>
      </c>
      <c r="U641" s="2">
        <f t="shared" si="9"/>
      </c>
      <c r="V641" s="2">
        <f t="shared" si="10"/>
      </c>
      <c r="W641" s="2">
        <f t="shared" si="11"/>
      </c>
      <c r="X641" s="2">
        <f t="shared" si="12"/>
      </c>
      <c r="Y641" s="2">
        <f t="shared" si="13"/>
        <v>0</v>
      </c>
      <c r="Z641" s="2">
        <f t="shared" si="14"/>
      </c>
      <c r="AA641" s="2">
        <f t="shared" si="15"/>
        <v>0</v>
      </c>
      <c r="AB641" s="2">
        <f t="shared" si="16"/>
      </c>
      <c r="AC641" s="2">
        <f t="shared" si="17"/>
      </c>
      <c r="AD641" s="2">
        <f t="shared" si="18"/>
      </c>
      <c r="AE641" s="2">
        <f t="shared" si="19"/>
      </c>
      <c r="AF641" s="2">
        <f t="shared" si="20"/>
      </c>
      <c r="AG641" s="2">
        <f t="shared" si="21"/>
      </c>
      <c r="AH641" s="2">
        <f t="shared" si="22"/>
      </c>
      <c r="AI641" s="2">
        <f t="shared" si="23"/>
      </c>
      <c r="AJ641" s="2">
        <f t="shared" si="24"/>
        <v>0</v>
      </c>
      <c r="AK641" s="2">
        <f t="shared" si="25"/>
        <v>0</v>
      </c>
      <c r="AL641" s="2">
        <f t="shared" si="26"/>
        <v>0</v>
      </c>
      <c r="AM641" s="2">
        <f t="shared" si="27"/>
        <v>0</v>
      </c>
      <c r="AN641" s="2">
        <f t="shared" si="28"/>
        <v>0</v>
      </c>
      <c r="AO641" s="2">
        <f t="shared" si="29"/>
      </c>
      <c r="AP641" s="2">
        <f t="shared" si="30"/>
      </c>
      <c r="AQ641" s="2">
        <f t="shared" si="31"/>
      </c>
    </row>
    <row r="642">
      <c r="A642" s="43">
        <f t="shared" si="3"/>
      </c>
      <c r="B642" s="44" t="n"/>
      <c r="C642" s="45" t="n"/>
      <c r="D642" s="46" t="n"/>
      <c r="E642" s="47" t="n"/>
      <c r="F642" s="47" t="n"/>
      <c r="G642" s="48">
        <f t="shared" si="4"/>
      </c>
      <c r="H642" s="43">
        <f t="shared" si="0"/>
      </c>
      <c r="I642" s="43">
        <f t="shared" si="5"/>
      </c>
      <c r="J642" s="43">
        <f t="shared" si="1"/>
      </c>
      <c r="K642" s="49">
        <f t="shared" si="2"/>
      </c>
      <c r="L642" s="45" t="n"/>
      <c r="M642" s="45" t="n"/>
      <c r="N642" s="45" t="n"/>
      <c r="O642" s="45" t="n"/>
      <c r="P642" s="50" t="n"/>
      <c r="R642" s="2">
        <f t="shared" si="6"/>
        <v>0</v>
      </c>
      <c r="S642" s="2">
        <f t="shared" si="7"/>
      </c>
      <c r="T642" s="2">
        <f t="shared" si="8"/>
      </c>
      <c r="U642" s="2">
        <f t="shared" si="9"/>
      </c>
      <c r="V642" s="2">
        <f t="shared" si="10"/>
      </c>
      <c r="W642" s="2">
        <f t="shared" si="11"/>
      </c>
      <c r="X642" s="2">
        <f t="shared" si="12"/>
      </c>
      <c r="Y642" s="2">
        <f t="shared" si="13"/>
        <v>0</v>
      </c>
      <c r="Z642" s="2">
        <f t="shared" si="14"/>
      </c>
      <c r="AA642" s="2">
        <f t="shared" si="15"/>
        <v>0</v>
      </c>
      <c r="AB642" s="2">
        <f t="shared" si="16"/>
      </c>
      <c r="AC642" s="2">
        <f t="shared" si="17"/>
      </c>
      <c r="AD642" s="2">
        <f t="shared" si="18"/>
      </c>
      <c r="AE642" s="2">
        <f t="shared" si="19"/>
      </c>
      <c r="AF642" s="2">
        <f t="shared" si="20"/>
      </c>
      <c r="AG642" s="2">
        <f t="shared" si="21"/>
      </c>
      <c r="AH642" s="2">
        <f t="shared" si="22"/>
      </c>
      <c r="AI642" s="2">
        <f t="shared" si="23"/>
      </c>
      <c r="AJ642" s="2">
        <f t="shared" si="24"/>
        <v>0</v>
      </c>
      <c r="AK642" s="2">
        <f t="shared" si="25"/>
        <v>0</v>
      </c>
      <c r="AL642" s="2">
        <f t="shared" si="26"/>
        <v>0</v>
      </c>
      <c r="AM642" s="2">
        <f t="shared" si="27"/>
        <v>0</v>
      </c>
      <c r="AN642" s="2">
        <f t="shared" si="28"/>
        <v>0</v>
      </c>
      <c r="AO642" s="2">
        <f t="shared" si="29"/>
      </c>
      <c r="AP642" s="2">
        <f t="shared" si="30"/>
      </c>
      <c r="AQ642" s="2">
        <f t="shared" si="31"/>
      </c>
    </row>
    <row r="643">
      <c r="A643" s="43">
        <f t="shared" si="3"/>
      </c>
      <c r="B643" s="44" t="n"/>
      <c r="C643" s="45" t="n"/>
      <c r="D643" s="46" t="n"/>
      <c r="E643" s="47" t="n"/>
      <c r="F643" s="47" t="n"/>
      <c r="G643" s="48">
        <f t="shared" si="4"/>
      </c>
      <c r="H643" s="43">
        <f t="shared" si="0"/>
      </c>
      <c r="I643" s="43">
        <f t="shared" si="5"/>
      </c>
      <c r="J643" s="43">
        <f t="shared" si="1"/>
      </c>
      <c r="K643" s="49">
        <f t="shared" si="2"/>
      </c>
      <c r="L643" s="45" t="n"/>
      <c r="M643" s="45" t="n"/>
      <c r="N643" s="45" t="n"/>
      <c r="O643" s="45" t="n"/>
      <c r="P643" s="50" t="n"/>
      <c r="R643" s="2">
        <f t="shared" si="6"/>
        <v>0</v>
      </c>
      <c r="S643" s="2">
        <f t="shared" si="7"/>
      </c>
      <c r="T643" s="2">
        <f t="shared" si="8"/>
      </c>
      <c r="U643" s="2">
        <f t="shared" si="9"/>
      </c>
      <c r="V643" s="2">
        <f t="shared" si="10"/>
      </c>
      <c r="W643" s="2">
        <f t="shared" si="11"/>
      </c>
      <c r="X643" s="2">
        <f t="shared" si="12"/>
      </c>
      <c r="Y643" s="2">
        <f t="shared" si="13"/>
        <v>0</v>
      </c>
      <c r="Z643" s="2">
        <f t="shared" si="14"/>
      </c>
      <c r="AA643" s="2">
        <f t="shared" si="15"/>
        <v>0</v>
      </c>
      <c r="AB643" s="2">
        <f t="shared" si="16"/>
      </c>
      <c r="AC643" s="2">
        <f t="shared" si="17"/>
      </c>
      <c r="AD643" s="2">
        <f t="shared" si="18"/>
      </c>
      <c r="AE643" s="2">
        <f t="shared" si="19"/>
      </c>
      <c r="AF643" s="2">
        <f t="shared" si="20"/>
      </c>
      <c r="AG643" s="2">
        <f t="shared" si="21"/>
      </c>
      <c r="AH643" s="2">
        <f t="shared" si="22"/>
      </c>
      <c r="AI643" s="2">
        <f t="shared" si="23"/>
      </c>
      <c r="AJ643" s="2">
        <f t="shared" si="24"/>
        <v>0</v>
      </c>
      <c r="AK643" s="2">
        <f t="shared" si="25"/>
        <v>0</v>
      </c>
      <c r="AL643" s="2">
        <f t="shared" si="26"/>
        <v>0</v>
      </c>
      <c r="AM643" s="2">
        <f t="shared" si="27"/>
        <v>0</v>
      </c>
      <c r="AN643" s="2">
        <f t="shared" si="28"/>
        <v>0</v>
      </c>
      <c r="AO643" s="2">
        <f t="shared" si="29"/>
      </c>
      <c r="AP643" s="2">
        <f t="shared" si="30"/>
      </c>
      <c r="AQ643" s="2">
        <f t="shared" si="31"/>
      </c>
    </row>
    <row r="644">
      <c r="A644" s="43">
        <f t="shared" si="3"/>
      </c>
      <c r="B644" s="44" t="n"/>
      <c r="C644" s="45" t="n"/>
      <c r="D644" s="46" t="n"/>
      <c r="E644" s="47" t="n"/>
      <c r="F644" s="47" t="n"/>
      <c r="G644" s="48">
        <f t="shared" si="4"/>
      </c>
      <c r="H644" s="43">
        <f t="shared" si="0"/>
      </c>
      <c r="I644" s="43">
        <f t="shared" si="5"/>
      </c>
      <c r="J644" s="43">
        <f t="shared" si="1"/>
      </c>
      <c r="K644" s="49">
        <f t="shared" si="2"/>
      </c>
      <c r="L644" s="45" t="n"/>
      <c r="M644" s="45" t="n"/>
      <c r="N644" s="45" t="n"/>
      <c r="O644" s="45" t="n"/>
      <c r="P644" s="50" t="n"/>
      <c r="R644" s="2">
        <f t="shared" si="6"/>
        <v>0</v>
      </c>
      <c r="S644" s="2">
        <f t="shared" si="7"/>
      </c>
      <c r="T644" s="2">
        <f t="shared" si="8"/>
      </c>
      <c r="U644" s="2">
        <f t="shared" si="9"/>
      </c>
      <c r="V644" s="2">
        <f t="shared" si="10"/>
      </c>
      <c r="W644" s="2">
        <f t="shared" si="11"/>
      </c>
      <c r="X644" s="2">
        <f t="shared" si="12"/>
      </c>
      <c r="Y644" s="2">
        <f t="shared" si="13"/>
        <v>0</v>
      </c>
      <c r="Z644" s="2">
        <f t="shared" si="14"/>
      </c>
      <c r="AA644" s="2">
        <f t="shared" si="15"/>
        <v>0</v>
      </c>
      <c r="AB644" s="2">
        <f t="shared" si="16"/>
      </c>
      <c r="AC644" s="2">
        <f t="shared" si="17"/>
      </c>
      <c r="AD644" s="2">
        <f t="shared" si="18"/>
      </c>
      <c r="AE644" s="2">
        <f t="shared" si="19"/>
      </c>
      <c r="AF644" s="2">
        <f t="shared" si="20"/>
      </c>
      <c r="AG644" s="2">
        <f t="shared" si="21"/>
      </c>
      <c r="AH644" s="2">
        <f t="shared" si="22"/>
      </c>
      <c r="AI644" s="2">
        <f t="shared" si="23"/>
      </c>
      <c r="AJ644" s="2">
        <f t="shared" si="24"/>
        <v>0</v>
      </c>
      <c r="AK644" s="2">
        <f t="shared" si="25"/>
        <v>0</v>
      </c>
      <c r="AL644" s="2">
        <f t="shared" si="26"/>
        <v>0</v>
      </c>
      <c r="AM644" s="2">
        <f t="shared" si="27"/>
        <v>0</v>
      </c>
      <c r="AN644" s="2">
        <f t="shared" si="28"/>
        <v>0</v>
      </c>
      <c r="AO644" s="2">
        <f t="shared" si="29"/>
      </c>
      <c r="AP644" s="2">
        <f t="shared" si="30"/>
      </c>
      <c r="AQ644" s="2">
        <f t="shared" si="31"/>
      </c>
    </row>
    <row r="645">
      <c r="A645" s="43">
        <f t="shared" si="3"/>
      </c>
      <c r="B645" s="44" t="n"/>
      <c r="C645" s="45" t="n"/>
      <c r="D645" s="46" t="n"/>
      <c r="E645" s="47" t="n"/>
      <c r="F645" s="47" t="n"/>
      <c r="G645" s="48">
        <f t="shared" si="4"/>
      </c>
      <c r="H645" s="43">
        <f t="shared" si="0"/>
      </c>
      <c r="I645" s="43">
        <f t="shared" si="5"/>
      </c>
      <c r="J645" s="43">
        <f t="shared" si="1"/>
      </c>
      <c r="K645" s="49">
        <f t="shared" si="2"/>
      </c>
      <c r="L645" s="45" t="n"/>
      <c r="M645" s="45" t="n"/>
      <c r="N645" s="45" t="n"/>
      <c r="O645" s="45" t="n"/>
      <c r="P645" s="50" t="n"/>
      <c r="R645" s="2">
        <f t="shared" si="6"/>
        <v>0</v>
      </c>
      <c r="S645" s="2">
        <f t="shared" si="7"/>
      </c>
      <c r="T645" s="2">
        <f t="shared" si="8"/>
      </c>
      <c r="U645" s="2">
        <f t="shared" si="9"/>
      </c>
      <c r="V645" s="2">
        <f t="shared" si="10"/>
      </c>
      <c r="W645" s="2">
        <f t="shared" si="11"/>
      </c>
      <c r="X645" s="2">
        <f t="shared" si="12"/>
      </c>
      <c r="Y645" s="2">
        <f t="shared" si="13"/>
        <v>0</v>
      </c>
      <c r="Z645" s="2">
        <f t="shared" si="14"/>
      </c>
      <c r="AA645" s="2">
        <f t="shared" si="15"/>
        <v>0</v>
      </c>
      <c r="AB645" s="2">
        <f t="shared" si="16"/>
      </c>
      <c r="AC645" s="2">
        <f t="shared" si="17"/>
      </c>
      <c r="AD645" s="2">
        <f t="shared" si="18"/>
      </c>
      <c r="AE645" s="2">
        <f t="shared" si="19"/>
      </c>
      <c r="AF645" s="2">
        <f t="shared" si="20"/>
      </c>
      <c r="AG645" s="2">
        <f t="shared" si="21"/>
      </c>
      <c r="AH645" s="2">
        <f t="shared" si="22"/>
      </c>
      <c r="AI645" s="2">
        <f t="shared" si="23"/>
      </c>
      <c r="AJ645" s="2">
        <f t="shared" si="24"/>
        <v>0</v>
      </c>
      <c r="AK645" s="2">
        <f t="shared" si="25"/>
        <v>0</v>
      </c>
      <c r="AL645" s="2">
        <f t="shared" si="26"/>
        <v>0</v>
      </c>
      <c r="AM645" s="2">
        <f t="shared" si="27"/>
        <v>0</v>
      </c>
      <c r="AN645" s="2">
        <f t="shared" si="28"/>
        <v>0</v>
      </c>
      <c r="AO645" s="2">
        <f t="shared" si="29"/>
      </c>
      <c r="AP645" s="2">
        <f t="shared" si="30"/>
      </c>
      <c r="AQ645" s="2">
        <f t="shared" si="31"/>
      </c>
    </row>
    <row r="646">
      <c r="A646" s="43">
        <f t="shared" si="3"/>
      </c>
      <c r="B646" s="44" t="n"/>
      <c r="C646" s="45" t="n"/>
      <c r="D646" s="46" t="n"/>
      <c r="E646" s="47" t="n"/>
      <c r="F646" s="47" t="n"/>
      <c r="G646" s="48">
        <f t="shared" si="4"/>
      </c>
      <c r="H646" s="43">
        <f t="shared" si="0"/>
      </c>
      <c r="I646" s="43">
        <f t="shared" si="5"/>
      </c>
      <c r="J646" s="43">
        <f t="shared" si="1"/>
      </c>
      <c r="K646" s="49">
        <f t="shared" si="2"/>
      </c>
      <c r="L646" s="45" t="n"/>
      <c r="M646" s="45" t="n"/>
      <c r="N646" s="45" t="n"/>
      <c r="O646" s="45" t="n"/>
      <c r="P646" s="50" t="n"/>
      <c r="R646" s="2">
        <f t="shared" si="6"/>
        <v>0</v>
      </c>
      <c r="S646" s="2">
        <f t="shared" si="7"/>
      </c>
      <c r="T646" s="2">
        <f t="shared" si="8"/>
      </c>
      <c r="U646" s="2">
        <f t="shared" si="9"/>
      </c>
      <c r="V646" s="2">
        <f t="shared" si="10"/>
      </c>
      <c r="W646" s="2">
        <f t="shared" si="11"/>
      </c>
      <c r="X646" s="2">
        <f t="shared" si="12"/>
      </c>
      <c r="Y646" s="2">
        <f t="shared" si="13"/>
        <v>0</v>
      </c>
      <c r="Z646" s="2">
        <f t="shared" si="14"/>
      </c>
      <c r="AA646" s="2">
        <f t="shared" si="15"/>
        <v>0</v>
      </c>
      <c r="AB646" s="2">
        <f t="shared" si="16"/>
      </c>
      <c r="AC646" s="2">
        <f t="shared" si="17"/>
      </c>
      <c r="AD646" s="2">
        <f t="shared" si="18"/>
      </c>
      <c r="AE646" s="2">
        <f t="shared" si="19"/>
      </c>
      <c r="AF646" s="2">
        <f t="shared" si="20"/>
      </c>
      <c r="AG646" s="2">
        <f t="shared" si="21"/>
      </c>
      <c r="AH646" s="2">
        <f t="shared" si="22"/>
      </c>
      <c r="AI646" s="2">
        <f t="shared" si="23"/>
      </c>
      <c r="AJ646" s="2">
        <f t="shared" si="24"/>
        <v>0</v>
      </c>
      <c r="AK646" s="2">
        <f t="shared" si="25"/>
        <v>0</v>
      </c>
      <c r="AL646" s="2">
        <f t="shared" si="26"/>
        <v>0</v>
      </c>
      <c r="AM646" s="2">
        <f t="shared" si="27"/>
        <v>0</v>
      </c>
      <c r="AN646" s="2">
        <f t="shared" si="28"/>
        <v>0</v>
      </c>
      <c r="AO646" s="2">
        <f t="shared" si="29"/>
      </c>
      <c r="AP646" s="2">
        <f t="shared" si="30"/>
      </c>
      <c r="AQ646" s="2">
        <f t="shared" si="31"/>
      </c>
    </row>
    <row r="647">
      <c r="A647" s="43">
        <f t="shared" si="3"/>
      </c>
      <c r="B647" s="44" t="n"/>
      <c r="C647" s="45" t="n"/>
      <c r="D647" s="46" t="n"/>
      <c r="E647" s="47" t="n"/>
      <c r="F647" s="47" t="n"/>
      <c r="G647" s="48">
        <f t="shared" si="4"/>
      </c>
      <c r="H647" s="43">
        <f t="shared" si="0"/>
      </c>
      <c r="I647" s="43">
        <f t="shared" si="5"/>
      </c>
      <c r="J647" s="43">
        <f t="shared" si="1"/>
      </c>
      <c r="K647" s="49">
        <f t="shared" si="2"/>
      </c>
      <c r="L647" s="45" t="n"/>
      <c r="M647" s="45" t="n"/>
      <c r="N647" s="45" t="n"/>
      <c r="O647" s="45" t="n"/>
      <c r="P647" s="50" t="n"/>
      <c r="R647" s="2">
        <f t="shared" si="6"/>
        <v>0</v>
      </c>
      <c r="S647" s="2">
        <f t="shared" si="7"/>
      </c>
      <c r="T647" s="2">
        <f t="shared" si="8"/>
      </c>
      <c r="U647" s="2">
        <f t="shared" si="9"/>
      </c>
      <c r="V647" s="2">
        <f t="shared" si="10"/>
      </c>
      <c r="W647" s="2">
        <f t="shared" si="11"/>
      </c>
      <c r="X647" s="2">
        <f t="shared" si="12"/>
      </c>
      <c r="Y647" s="2">
        <f t="shared" si="13"/>
        <v>0</v>
      </c>
      <c r="Z647" s="2">
        <f t="shared" si="14"/>
      </c>
      <c r="AA647" s="2">
        <f t="shared" si="15"/>
        <v>0</v>
      </c>
      <c r="AB647" s="2">
        <f t="shared" si="16"/>
      </c>
      <c r="AC647" s="2">
        <f t="shared" si="17"/>
      </c>
      <c r="AD647" s="2">
        <f t="shared" si="18"/>
      </c>
      <c r="AE647" s="2">
        <f t="shared" si="19"/>
      </c>
      <c r="AF647" s="2">
        <f t="shared" si="20"/>
      </c>
      <c r="AG647" s="2">
        <f t="shared" si="21"/>
      </c>
      <c r="AH647" s="2">
        <f t="shared" si="22"/>
      </c>
      <c r="AI647" s="2">
        <f t="shared" si="23"/>
      </c>
      <c r="AJ647" s="2">
        <f t="shared" si="24"/>
        <v>0</v>
      </c>
      <c r="AK647" s="2">
        <f t="shared" si="25"/>
        <v>0</v>
      </c>
      <c r="AL647" s="2">
        <f t="shared" si="26"/>
        <v>0</v>
      </c>
      <c r="AM647" s="2">
        <f t="shared" si="27"/>
        <v>0</v>
      </c>
      <c r="AN647" s="2">
        <f t="shared" si="28"/>
        <v>0</v>
      </c>
      <c r="AO647" s="2">
        <f t="shared" si="29"/>
      </c>
      <c r="AP647" s="2">
        <f t="shared" si="30"/>
      </c>
      <c r="AQ647" s="2">
        <f t="shared" si="31"/>
      </c>
    </row>
    <row r="648">
      <c r="A648" s="43">
        <f t="shared" si="3"/>
      </c>
      <c r="B648" s="44" t="n"/>
      <c r="C648" s="45" t="n"/>
      <c r="D648" s="46" t="n"/>
      <c r="E648" s="47" t="n"/>
      <c r="F648" s="47" t="n"/>
      <c r="G648" s="48">
        <f t="shared" si="4"/>
      </c>
      <c r="H648" s="43">
        <f t="shared" si="0"/>
      </c>
      <c r="I648" s="43">
        <f t="shared" si="5"/>
      </c>
      <c r="J648" s="43">
        <f t="shared" si="1"/>
      </c>
      <c r="K648" s="49">
        <f t="shared" si="2"/>
      </c>
      <c r="L648" s="45" t="n"/>
      <c r="M648" s="45" t="n"/>
      <c r="N648" s="45" t="n"/>
      <c r="O648" s="45" t="n"/>
      <c r="P648" s="50" t="n"/>
      <c r="R648" s="2">
        <f t="shared" si="6"/>
        <v>0</v>
      </c>
      <c r="S648" s="2">
        <f t="shared" si="7"/>
      </c>
      <c r="T648" s="2">
        <f t="shared" si="8"/>
      </c>
      <c r="U648" s="2">
        <f t="shared" si="9"/>
      </c>
      <c r="V648" s="2">
        <f t="shared" si="10"/>
      </c>
      <c r="W648" s="2">
        <f t="shared" si="11"/>
      </c>
      <c r="X648" s="2">
        <f t="shared" si="12"/>
      </c>
      <c r="Y648" s="2">
        <f t="shared" si="13"/>
        <v>0</v>
      </c>
      <c r="Z648" s="2">
        <f t="shared" si="14"/>
      </c>
      <c r="AA648" s="2">
        <f t="shared" si="15"/>
        <v>0</v>
      </c>
      <c r="AB648" s="2">
        <f t="shared" si="16"/>
      </c>
      <c r="AC648" s="2">
        <f t="shared" si="17"/>
      </c>
      <c r="AD648" s="2">
        <f t="shared" si="18"/>
      </c>
      <c r="AE648" s="2">
        <f t="shared" si="19"/>
      </c>
      <c r="AF648" s="2">
        <f t="shared" si="20"/>
      </c>
      <c r="AG648" s="2">
        <f t="shared" si="21"/>
      </c>
      <c r="AH648" s="2">
        <f t="shared" si="22"/>
      </c>
      <c r="AI648" s="2">
        <f t="shared" si="23"/>
      </c>
      <c r="AJ648" s="2">
        <f t="shared" si="24"/>
        <v>0</v>
      </c>
      <c r="AK648" s="2">
        <f t="shared" si="25"/>
        <v>0</v>
      </c>
      <c r="AL648" s="2">
        <f t="shared" si="26"/>
        <v>0</v>
      </c>
      <c r="AM648" s="2">
        <f t="shared" si="27"/>
        <v>0</v>
      </c>
      <c r="AN648" s="2">
        <f t="shared" si="28"/>
        <v>0</v>
      </c>
      <c r="AO648" s="2">
        <f t="shared" si="29"/>
      </c>
      <c r="AP648" s="2">
        <f t="shared" si="30"/>
      </c>
      <c r="AQ648" s="2">
        <f t="shared" si="31"/>
      </c>
    </row>
    <row r="649">
      <c r="A649" s="43">
        <f t="shared" si="3"/>
      </c>
      <c r="B649" s="44" t="n"/>
      <c r="C649" s="45" t="n"/>
      <c r="D649" s="46" t="n"/>
      <c r="E649" s="47" t="n"/>
      <c r="F649" s="47" t="n"/>
      <c r="G649" s="48">
        <f t="shared" si="4"/>
      </c>
      <c r="H649" s="43">
        <f t="shared" si="0"/>
      </c>
      <c r="I649" s="43">
        <f t="shared" si="5"/>
      </c>
      <c r="J649" s="43">
        <f t="shared" si="1"/>
      </c>
      <c r="K649" s="49">
        <f t="shared" si="2"/>
      </c>
      <c r="L649" s="45" t="n"/>
      <c r="M649" s="45" t="n"/>
      <c r="N649" s="45" t="n"/>
      <c r="O649" s="45" t="n"/>
      <c r="P649" s="50" t="n"/>
      <c r="R649" s="2">
        <f t="shared" si="6"/>
        <v>0</v>
      </c>
      <c r="S649" s="2">
        <f t="shared" si="7"/>
      </c>
      <c r="T649" s="2">
        <f t="shared" si="8"/>
      </c>
      <c r="U649" s="2">
        <f t="shared" si="9"/>
      </c>
      <c r="V649" s="2">
        <f t="shared" si="10"/>
      </c>
      <c r="W649" s="2">
        <f t="shared" si="11"/>
      </c>
      <c r="X649" s="2">
        <f t="shared" si="12"/>
      </c>
      <c r="Y649" s="2">
        <f t="shared" si="13"/>
        <v>0</v>
      </c>
      <c r="Z649" s="2">
        <f t="shared" si="14"/>
      </c>
      <c r="AA649" s="2">
        <f t="shared" si="15"/>
        <v>0</v>
      </c>
      <c r="AB649" s="2">
        <f t="shared" si="16"/>
      </c>
      <c r="AC649" s="2">
        <f t="shared" si="17"/>
      </c>
      <c r="AD649" s="2">
        <f t="shared" si="18"/>
      </c>
      <c r="AE649" s="2">
        <f t="shared" si="19"/>
      </c>
      <c r="AF649" s="2">
        <f t="shared" si="20"/>
      </c>
      <c r="AG649" s="2">
        <f t="shared" si="21"/>
      </c>
      <c r="AH649" s="2">
        <f t="shared" si="22"/>
      </c>
      <c r="AI649" s="2">
        <f t="shared" si="23"/>
      </c>
      <c r="AJ649" s="2">
        <f t="shared" si="24"/>
        <v>0</v>
      </c>
      <c r="AK649" s="2">
        <f t="shared" si="25"/>
        <v>0</v>
      </c>
      <c r="AL649" s="2">
        <f t="shared" si="26"/>
        <v>0</v>
      </c>
      <c r="AM649" s="2">
        <f t="shared" si="27"/>
        <v>0</v>
      </c>
      <c r="AN649" s="2">
        <f t="shared" si="28"/>
        <v>0</v>
      </c>
      <c r="AO649" s="2">
        <f t="shared" si="29"/>
      </c>
      <c r="AP649" s="2">
        <f t="shared" si="30"/>
      </c>
      <c r="AQ649" s="2">
        <f t="shared" si="31"/>
      </c>
    </row>
    <row r="650">
      <c r="A650" s="43">
        <f t="shared" si="3"/>
      </c>
      <c r="B650" s="44" t="n"/>
      <c r="C650" s="45" t="n"/>
      <c r="D650" s="46" t="n"/>
      <c r="E650" s="47" t="n"/>
      <c r="F650" s="47" t="n"/>
      <c r="G650" s="48">
        <f t="shared" si="4"/>
      </c>
      <c r="H650" s="43">
        <f t="shared" si="0"/>
      </c>
      <c r="I650" s="43">
        <f t="shared" si="5"/>
      </c>
      <c r="J650" s="43">
        <f t="shared" si="1"/>
      </c>
      <c r="K650" s="49">
        <f t="shared" si="2"/>
      </c>
      <c r="L650" s="45" t="n"/>
      <c r="M650" s="45" t="n"/>
      <c r="N650" s="45" t="n"/>
      <c r="O650" s="45" t="n"/>
      <c r="P650" s="50" t="n"/>
      <c r="R650" s="2">
        <f t="shared" si="6"/>
        <v>0</v>
      </c>
      <c r="S650" s="2">
        <f t="shared" si="7"/>
      </c>
      <c r="T650" s="2">
        <f t="shared" si="8"/>
      </c>
      <c r="U650" s="2">
        <f t="shared" si="9"/>
      </c>
      <c r="V650" s="2">
        <f t="shared" si="10"/>
      </c>
      <c r="W650" s="2">
        <f t="shared" si="11"/>
      </c>
      <c r="X650" s="2">
        <f t="shared" si="12"/>
      </c>
      <c r="Y650" s="2">
        <f t="shared" si="13"/>
        <v>0</v>
      </c>
      <c r="Z650" s="2">
        <f t="shared" si="14"/>
      </c>
      <c r="AA650" s="2">
        <f t="shared" si="15"/>
        <v>0</v>
      </c>
      <c r="AB650" s="2">
        <f t="shared" si="16"/>
      </c>
      <c r="AC650" s="2">
        <f t="shared" si="17"/>
      </c>
      <c r="AD650" s="2">
        <f t="shared" si="18"/>
      </c>
      <c r="AE650" s="2">
        <f t="shared" si="19"/>
      </c>
      <c r="AF650" s="2">
        <f t="shared" si="20"/>
      </c>
      <c r="AG650" s="2">
        <f t="shared" si="21"/>
      </c>
      <c r="AH650" s="2">
        <f t="shared" si="22"/>
      </c>
      <c r="AI650" s="2">
        <f t="shared" si="23"/>
      </c>
      <c r="AJ650" s="2">
        <f t="shared" si="24"/>
        <v>0</v>
      </c>
      <c r="AK650" s="2">
        <f t="shared" si="25"/>
        <v>0</v>
      </c>
      <c r="AL650" s="2">
        <f t="shared" si="26"/>
        <v>0</v>
      </c>
      <c r="AM650" s="2">
        <f t="shared" si="27"/>
        <v>0</v>
      </c>
      <c r="AN650" s="2">
        <f t="shared" si="28"/>
        <v>0</v>
      </c>
      <c r="AO650" s="2">
        <f t="shared" si="29"/>
      </c>
      <c r="AP650" s="2">
        <f t="shared" si="30"/>
      </c>
      <c r="AQ650" s="2">
        <f t="shared" si="31"/>
      </c>
    </row>
    <row r="651">
      <c r="A651" s="43">
        <f t="shared" si="3"/>
      </c>
      <c r="B651" s="44" t="n"/>
      <c r="C651" s="45" t="n"/>
      <c r="D651" s="46" t="n"/>
      <c r="E651" s="47" t="n"/>
      <c r="F651" s="47" t="n"/>
      <c r="G651" s="48">
        <f t="shared" si="4"/>
      </c>
      <c r="H651" s="43">
        <f t="shared" si="0"/>
      </c>
      <c r="I651" s="43">
        <f t="shared" si="5"/>
      </c>
      <c r="J651" s="43">
        <f t="shared" si="1"/>
      </c>
      <c r="K651" s="49">
        <f t="shared" si="2"/>
      </c>
      <c r="L651" s="45" t="n"/>
      <c r="M651" s="45" t="n"/>
      <c r="N651" s="45" t="n"/>
      <c r="O651" s="45" t="n"/>
      <c r="P651" s="50" t="n"/>
      <c r="R651" s="2">
        <f t="shared" si="6"/>
        <v>0</v>
      </c>
      <c r="S651" s="2">
        <f t="shared" si="7"/>
      </c>
      <c r="T651" s="2">
        <f t="shared" si="8"/>
      </c>
      <c r="U651" s="2">
        <f t="shared" si="9"/>
      </c>
      <c r="V651" s="2">
        <f t="shared" si="10"/>
      </c>
      <c r="W651" s="2">
        <f t="shared" si="11"/>
      </c>
      <c r="X651" s="2">
        <f t="shared" si="12"/>
      </c>
      <c r="Y651" s="2">
        <f t="shared" si="13"/>
        <v>0</v>
      </c>
      <c r="Z651" s="2">
        <f t="shared" si="14"/>
      </c>
      <c r="AA651" s="2">
        <f t="shared" si="15"/>
        <v>0</v>
      </c>
      <c r="AB651" s="2">
        <f t="shared" si="16"/>
      </c>
      <c r="AC651" s="2">
        <f t="shared" si="17"/>
      </c>
      <c r="AD651" s="2">
        <f t="shared" si="18"/>
      </c>
      <c r="AE651" s="2">
        <f t="shared" si="19"/>
      </c>
      <c r="AF651" s="2">
        <f t="shared" si="20"/>
      </c>
      <c r="AG651" s="2">
        <f t="shared" si="21"/>
      </c>
      <c r="AH651" s="2">
        <f t="shared" si="22"/>
      </c>
      <c r="AI651" s="2">
        <f t="shared" si="23"/>
      </c>
      <c r="AJ651" s="2">
        <f t="shared" si="24"/>
        <v>0</v>
      </c>
      <c r="AK651" s="2">
        <f t="shared" si="25"/>
        <v>0</v>
      </c>
      <c r="AL651" s="2">
        <f t="shared" si="26"/>
        <v>0</v>
      </c>
      <c r="AM651" s="2">
        <f t="shared" si="27"/>
        <v>0</v>
      </c>
      <c r="AN651" s="2">
        <f t="shared" si="28"/>
        <v>0</v>
      </c>
      <c r="AO651" s="2">
        <f t="shared" si="29"/>
      </c>
      <c r="AP651" s="2">
        <f t="shared" si="30"/>
      </c>
      <c r="AQ651" s="2">
        <f t="shared" si="31"/>
      </c>
    </row>
    <row r="652">
      <c r="A652" s="43">
        <f t="shared" si="3"/>
      </c>
      <c r="B652" s="44" t="n"/>
      <c r="C652" s="45" t="n"/>
      <c r="D652" s="46" t="n"/>
      <c r="E652" s="47" t="n"/>
      <c r="F652" s="47" t="n"/>
      <c r="G652" s="48">
        <f t="shared" si="4"/>
      </c>
      <c r="H652" s="43">
        <f t="shared" si="0"/>
      </c>
      <c r="I652" s="43">
        <f t="shared" si="5"/>
      </c>
      <c r="J652" s="43">
        <f t="shared" si="1"/>
      </c>
      <c r="K652" s="49">
        <f t="shared" si="2"/>
      </c>
      <c r="L652" s="45" t="n"/>
      <c r="M652" s="45" t="n"/>
      <c r="N652" s="45" t="n"/>
      <c r="O652" s="45" t="n"/>
      <c r="P652" s="50" t="n"/>
      <c r="R652" s="2">
        <f t="shared" si="6"/>
        <v>0</v>
      </c>
      <c r="S652" s="2">
        <f t="shared" si="7"/>
      </c>
      <c r="T652" s="2">
        <f t="shared" si="8"/>
      </c>
      <c r="U652" s="2">
        <f t="shared" si="9"/>
      </c>
      <c r="V652" s="2">
        <f t="shared" si="10"/>
      </c>
      <c r="W652" s="2">
        <f t="shared" si="11"/>
      </c>
      <c r="X652" s="2">
        <f t="shared" si="12"/>
      </c>
      <c r="Y652" s="2">
        <f t="shared" si="13"/>
        <v>0</v>
      </c>
      <c r="Z652" s="2">
        <f t="shared" si="14"/>
      </c>
      <c r="AA652" s="2">
        <f t="shared" si="15"/>
        <v>0</v>
      </c>
      <c r="AB652" s="2">
        <f t="shared" si="16"/>
      </c>
      <c r="AC652" s="2">
        <f t="shared" si="17"/>
      </c>
      <c r="AD652" s="2">
        <f t="shared" si="18"/>
      </c>
      <c r="AE652" s="2">
        <f t="shared" si="19"/>
      </c>
      <c r="AF652" s="2">
        <f t="shared" si="20"/>
      </c>
      <c r="AG652" s="2">
        <f t="shared" si="21"/>
      </c>
      <c r="AH652" s="2">
        <f t="shared" si="22"/>
      </c>
      <c r="AI652" s="2">
        <f t="shared" si="23"/>
      </c>
      <c r="AJ652" s="2">
        <f t="shared" si="24"/>
        <v>0</v>
      </c>
      <c r="AK652" s="2">
        <f t="shared" si="25"/>
        <v>0</v>
      </c>
      <c r="AL652" s="2">
        <f t="shared" si="26"/>
        <v>0</v>
      </c>
      <c r="AM652" s="2">
        <f t="shared" si="27"/>
        <v>0</v>
      </c>
      <c r="AN652" s="2">
        <f t="shared" si="28"/>
        <v>0</v>
      </c>
      <c r="AO652" s="2">
        <f t="shared" si="29"/>
      </c>
      <c r="AP652" s="2">
        <f t="shared" si="30"/>
      </c>
      <c r="AQ652" s="2">
        <f t="shared" si="31"/>
      </c>
    </row>
    <row r="653">
      <c r="A653" s="43">
        <f t="shared" si="3"/>
      </c>
      <c r="B653" s="44" t="n"/>
      <c r="C653" s="45" t="n"/>
      <c r="D653" s="46" t="n"/>
      <c r="E653" s="47" t="n"/>
      <c r="F653" s="47" t="n"/>
      <c r="G653" s="48">
        <f t="shared" si="4"/>
      </c>
      <c r="H653" s="43">
        <f t="shared" si="0"/>
      </c>
      <c r="I653" s="43">
        <f t="shared" si="5"/>
      </c>
      <c r="J653" s="43">
        <f t="shared" si="1"/>
      </c>
      <c r="K653" s="49">
        <f t="shared" si="2"/>
      </c>
      <c r="L653" s="45" t="n"/>
      <c r="M653" s="45" t="n"/>
      <c r="N653" s="45" t="n"/>
      <c r="O653" s="45" t="n"/>
      <c r="P653" s="50" t="n"/>
      <c r="R653" s="2">
        <f t="shared" si="6"/>
        <v>0</v>
      </c>
      <c r="S653" s="2">
        <f t="shared" si="7"/>
      </c>
      <c r="T653" s="2">
        <f t="shared" si="8"/>
      </c>
      <c r="U653" s="2">
        <f t="shared" si="9"/>
      </c>
      <c r="V653" s="2">
        <f t="shared" si="10"/>
      </c>
      <c r="W653" s="2">
        <f t="shared" si="11"/>
      </c>
      <c r="X653" s="2">
        <f t="shared" si="12"/>
      </c>
      <c r="Y653" s="2">
        <f t="shared" si="13"/>
        <v>0</v>
      </c>
      <c r="Z653" s="2">
        <f t="shared" si="14"/>
      </c>
      <c r="AA653" s="2">
        <f t="shared" si="15"/>
        <v>0</v>
      </c>
      <c r="AB653" s="2">
        <f t="shared" si="16"/>
      </c>
      <c r="AC653" s="2">
        <f t="shared" si="17"/>
      </c>
      <c r="AD653" s="2">
        <f t="shared" si="18"/>
      </c>
      <c r="AE653" s="2">
        <f t="shared" si="19"/>
      </c>
      <c r="AF653" s="2">
        <f t="shared" si="20"/>
      </c>
      <c r="AG653" s="2">
        <f t="shared" si="21"/>
      </c>
      <c r="AH653" s="2">
        <f t="shared" si="22"/>
      </c>
      <c r="AI653" s="2">
        <f t="shared" si="23"/>
      </c>
      <c r="AJ653" s="2">
        <f t="shared" si="24"/>
        <v>0</v>
      </c>
      <c r="AK653" s="2">
        <f t="shared" si="25"/>
        <v>0</v>
      </c>
      <c r="AL653" s="2">
        <f t="shared" si="26"/>
        <v>0</v>
      </c>
      <c r="AM653" s="2">
        <f t="shared" si="27"/>
        <v>0</v>
      </c>
      <c r="AN653" s="2">
        <f t="shared" si="28"/>
        <v>0</v>
      </c>
      <c r="AO653" s="2">
        <f t="shared" si="29"/>
      </c>
      <c r="AP653" s="2">
        <f t="shared" si="30"/>
      </c>
      <c r="AQ653" s="2">
        <f t="shared" si="31"/>
      </c>
    </row>
    <row r="654">
      <c r="A654" s="43">
        <f t="shared" si="3"/>
      </c>
      <c r="B654" s="44" t="n"/>
      <c r="C654" s="45" t="n"/>
      <c r="D654" s="46" t="n"/>
      <c r="E654" s="47" t="n"/>
      <c r="F654" s="47" t="n"/>
      <c r="G654" s="48">
        <f t="shared" si="4"/>
      </c>
      <c r="H654" s="43">
        <f t="shared" si="0"/>
      </c>
      <c r="I654" s="43">
        <f t="shared" si="5"/>
      </c>
      <c r="J654" s="43">
        <f t="shared" si="1"/>
      </c>
      <c r="K654" s="49">
        <f t="shared" si="2"/>
      </c>
      <c r="L654" s="45" t="n"/>
      <c r="M654" s="45" t="n"/>
      <c r="N654" s="45" t="n"/>
      <c r="O654" s="45" t="n"/>
      <c r="P654" s="50" t="n"/>
      <c r="R654" s="2">
        <f t="shared" si="6"/>
        <v>0</v>
      </c>
      <c r="S654" s="2">
        <f t="shared" si="7"/>
      </c>
      <c r="T654" s="2">
        <f t="shared" si="8"/>
      </c>
      <c r="U654" s="2">
        <f t="shared" si="9"/>
      </c>
      <c r="V654" s="2">
        <f t="shared" si="10"/>
      </c>
      <c r="W654" s="2">
        <f t="shared" si="11"/>
      </c>
      <c r="X654" s="2">
        <f t="shared" si="12"/>
      </c>
      <c r="Y654" s="2">
        <f t="shared" si="13"/>
        <v>0</v>
      </c>
      <c r="Z654" s="2">
        <f t="shared" si="14"/>
      </c>
      <c r="AA654" s="2">
        <f t="shared" si="15"/>
        <v>0</v>
      </c>
      <c r="AB654" s="2">
        <f t="shared" si="16"/>
      </c>
      <c r="AC654" s="2">
        <f t="shared" si="17"/>
      </c>
      <c r="AD654" s="2">
        <f t="shared" si="18"/>
      </c>
      <c r="AE654" s="2">
        <f t="shared" si="19"/>
      </c>
      <c r="AF654" s="2">
        <f t="shared" si="20"/>
      </c>
      <c r="AG654" s="2">
        <f t="shared" si="21"/>
      </c>
      <c r="AH654" s="2">
        <f t="shared" si="22"/>
      </c>
      <c r="AI654" s="2">
        <f t="shared" si="23"/>
      </c>
      <c r="AJ654" s="2">
        <f t="shared" si="24"/>
        <v>0</v>
      </c>
      <c r="AK654" s="2">
        <f t="shared" si="25"/>
        <v>0</v>
      </c>
      <c r="AL654" s="2">
        <f t="shared" si="26"/>
        <v>0</v>
      </c>
      <c r="AM654" s="2">
        <f t="shared" si="27"/>
        <v>0</v>
      </c>
      <c r="AN654" s="2">
        <f t="shared" si="28"/>
        <v>0</v>
      </c>
      <c r="AO654" s="2">
        <f t="shared" si="29"/>
      </c>
      <c r="AP654" s="2">
        <f t="shared" si="30"/>
      </c>
      <c r="AQ654" s="2">
        <f t="shared" si="31"/>
      </c>
    </row>
    <row r="655">
      <c r="A655" s="43">
        <f t="shared" si="3"/>
      </c>
      <c r="B655" s="44" t="n"/>
      <c r="C655" s="45" t="n"/>
      <c r="D655" s="46" t="n"/>
      <c r="E655" s="47" t="n"/>
      <c r="F655" s="47" t="n"/>
      <c r="G655" s="48">
        <f t="shared" si="4"/>
      </c>
      <c r="H655" s="43">
        <f t="shared" si="0"/>
      </c>
      <c r="I655" s="43">
        <f t="shared" si="5"/>
      </c>
      <c r="J655" s="43">
        <f t="shared" si="1"/>
      </c>
      <c r="K655" s="49">
        <f t="shared" si="2"/>
      </c>
      <c r="L655" s="45" t="n"/>
      <c r="M655" s="45" t="n"/>
      <c r="N655" s="45" t="n"/>
      <c r="O655" s="45" t="n"/>
      <c r="P655" s="50" t="n"/>
      <c r="R655" s="2">
        <f t="shared" si="6"/>
        <v>0</v>
      </c>
      <c r="S655" s="2">
        <f t="shared" si="7"/>
      </c>
      <c r="T655" s="2">
        <f t="shared" si="8"/>
      </c>
      <c r="U655" s="2">
        <f t="shared" si="9"/>
      </c>
      <c r="V655" s="2">
        <f t="shared" si="10"/>
      </c>
      <c r="W655" s="2">
        <f t="shared" si="11"/>
      </c>
      <c r="X655" s="2">
        <f t="shared" si="12"/>
      </c>
      <c r="Y655" s="2">
        <f t="shared" si="13"/>
        <v>0</v>
      </c>
      <c r="Z655" s="2">
        <f t="shared" si="14"/>
      </c>
      <c r="AA655" s="2">
        <f t="shared" si="15"/>
        <v>0</v>
      </c>
      <c r="AB655" s="2">
        <f t="shared" si="16"/>
      </c>
      <c r="AC655" s="2">
        <f t="shared" si="17"/>
      </c>
      <c r="AD655" s="2">
        <f t="shared" si="18"/>
      </c>
      <c r="AE655" s="2">
        <f t="shared" si="19"/>
      </c>
      <c r="AF655" s="2">
        <f t="shared" si="20"/>
      </c>
      <c r="AG655" s="2">
        <f t="shared" si="21"/>
      </c>
      <c r="AH655" s="2">
        <f t="shared" si="22"/>
      </c>
      <c r="AI655" s="2">
        <f t="shared" si="23"/>
      </c>
      <c r="AJ655" s="2">
        <f t="shared" si="24"/>
        <v>0</v>
      </c>
      <c r="AK655" s="2">
        <f t="shared" si="25"/>
        <v>0</v>
      </c>
      <c r="AL655" s="2">
        <f t="shared" si="26"/>
        <v>0</v>
      </c>
      <c r="AM655" s="2">
        <f t="shared" si="27"/>
        <v>0</v>
      </c>
      <c r="AN655" s="2">
        <f t="shared" si="28"/>
        <v>0</v>
      </c>
      <c r="AO655" s="2">
        <f t="shared" si="29"/>
      </c>
      <c r="AP655" s="2">
        <f t="shared" si="30"/>
      </c>
      <c r="AQ655" s="2">
        <f t="shared" si="31"/>
      </c>
    </row>
    <row r="656">
      <c r="A656" s="43">
        <f t="shared" si="3"/>
      </c>
      <c r="B656" s="44" t="n"/>
      <c r="C656" s="45" t="n"/>
      <c r="D656" s="46" t="n"/>
      <c r="E656" s="47" t="n"/>
      <c r="F656" s="47" t="n"/>
      <c r="G656" s="48">
        <f t="shared" si="4"/>
      </c>
      <c r="H656" s="43">
        <f t="shared" si="0"/>
      </c>
      <c r="I656" s="43">
        <f t="shared" si="5"/>
      </c>
      <c r="J656" s="43">
        <f t="shared" si="1"/>
      </c>
      <c r="K656" s="49">
        <f t="shared" si="2"/>
      </c>
      <c r="L656" s="45" t="n"/>
      <c r="M656" s="45" t="n"/>
      <c r="N656" s="45" t="n"/>
      <c r="O656" s="45" t="n"/>
      <c r="P656" s="50" t="n"/>
      <c r="R656" s="2">
        <f t="shared" si="6"/>
        <v>0</v>
      </c>
      <c r="S656" s="2">
        <f t="shared" si="7"/>
      </c>
      <c r="T656" s="2">
        <f t="shared" si="8"/>
      </c>
      <c r="U656" s="2">
        <f t="shared" si="9"/>
      </c>
      <c r="V656" s="2">
        <f t="shared" si="10"/>
      </c>
      <c r="W656" s="2">
        <f t="shared" si="11"/>
      </c>
      <c r="X656" s="2">
        <f t="shared" si="12"/>
      </c>
      <c r="Y656" s="2">
        <f t="shared" si="13"/>
        <v>0</v>
      </c>
      <c r="Z656" s="2">
        <f t="shared" si="14"/>
      </c>
      <c r="AA656" s="2">
        <f t="shared" si="15"/>
        <v>0</v>
      </c>
      <c r="AB656" s="2">
        <f t="shared" si="16"/>
      </c>
      <c r="AC656" s="2">
        <f t="shared" si="17"/>
      </c>
      <c r="AD656" s="2">
        <f t="shared" si="18"/>
      </c>
      <c r="AE656" s="2">
        <f t="shared" si="19"/>
      </c>
      <c r="AF656" s="2">
        <f t="shared" si="20"/>
      </c>
      <c r="AG656" s="2">
        <f t="shared" si="21"/>
      </c>
      <c r="AH656" s="2">
        <f t="shared" si="22"/>
      </c>
      <c r="AI656" s="2">
        <f t="shared" si="23"/>
      </c>
      <c r="AJ656" s="2">
        <f t="shared" si="24"/>
        <v>0</v>
      </c>
      <c r="AK656" s="2">
        <f t="shared" si="25"/>
        <v>0</v>
      </c>
      <c r="AL656" s="2">
        <f t="shared" si="26"/>
        <v>0</v>
      </c>
      <c r="AM656" s="2">
        <f t="shared" si="27"/>
        <v>0</v>
      </c>
      <c r="AN656" s="2">
        <f t="shared" si="28"/>
        <v>0</v>
      </c>
      <c r="AO656" s="2">
        <f t="shared" si="29"/>
      </c>
      <c r="AP656" s="2">
        <f t="shared" si="30"/>
      </c>
      <c r="AQ656" s="2">
        <f t="shared" si="31"/>
      </c>
    </row>
    <row r="657">
      <c r="A657" s="43">
        <f t="shared" si="3"/>
      </c>
      <c r="B657" s="44" t="n"/>
      <c r="C657" s="45" t="n"/>
      <c r="D657" s="46" t="n"/>
      <c r="E657" s="47" t="n"/>
      <c r="F657" s="47" t="n"/>
      <c r="G657" s="48">
        <f t="shared" si="4"/>
      </c>
      <c r="H657" s="43">
        <f t="shared" si="0"/>
      </c>
      <c r="I657" s="43">
        <f t="shared" si="5"/>
      </c>
      <c r="J657" s="43">
        <f t="shared" si="1"/>
      </c>
      <c r="K657" s="49">
        <f t="shared" si="2"/>
      </c>
      <c r="L657" s="45" t="n"/>
      <c r="M657" s="45" t="n"/>
      <c r="N657" s="45" t="n"/>
      <c r="O657" s="45" t="n"/>
      <c r="P657" s="50" t="n"/>
      <c r="R657" s="2">
        <f t="shared" si="6"/>
        <v>0</v>
      </c>
      <c r="S657" s="2">
        <f t="shared" si="7"/>
      </c>
      <c r="T657" s="2">
        <f t="shared" si="8"/>
      </c>
      <c r="U657" s="2">
        <f t="shared" si="9"/>
      </c>
      <c r="V657" s="2">
        <f t="shared" si="10"/>
      </c>
      <c r="W657" s="2">
        <f t="shared" si="11"/>
      </c>
      <c r="X657" s="2">
        <f t="shared" si="12"/>
      </c>
      <c r="Y657" s="2">
        <f t="shared" si="13"/>
        <v>0</v>
      </c>
      <c r="Z657" s="2">
        <f t="shared" si="14"/>
      </c>
      <c r="AA657" s="2">
        <f t="shared" si="15"/>
        <v>0</v>
      </c>
      <c r="AB657" s="2">
        <f t="shared" si="16"/>
      </c>
      <c r="AC657" s="2">
        <f t="shared" si="17"/>
      </c>
      <c r="AD657" s="2">
        <f t="shared" si="18"/>
      </c>
      <c r="AE657" s="2">
        <f t="shared" si="19"/>
      </c>
      <c r="AF657" s="2">
        <f t="shared" si="20"/>
      </c>
      <c r="AG657" s="2">
        <f t="shared" si="21"/>
      </c>
      <c r="AH657" s="2">
        <f t="shared" si="22"/>
      </c>
      <c r="AI657" s="2">
        <f t="shared" si="23"/>
      </c>
      <c r="AJ657" s="2">
        <f t="shared" si="24"/>
        <v>0</v>
      </c>
      <c r="AK657" s="2">
        <f t="shared" si="25"/>
        <v>0</v>
      </c>
      <c r="AL657" s="2">
        <f t="shared" si="26"/>
        <v>0</v>
      </c>
      <c r="AM657" s="2">
        <f t="shared" si="27"/>
        <v>0</v>
      </c>
      <c r="AN657" s="2">
        <f t="shared" si="28"/>
        <v>0</v>
      </c>
      <c r="AO657" s="2">
        <f t="shared" si="29"/>
      </c>
      <c r="AP657" s="2">
        <f t="shared" si="30"/>
      </c>
      <c r="AQ657" s="2">
        <f t="shared" si="31"/>
      </c>
    </row>
    <row r="658">
      <c r="A658" s="43">
        <f t="shared" si="3"/>
      </c>
      <c r="B658" s="44" t="n"/>
      <c r="C658" s="45" t="n"/>
      <c r="D658" s="46" t="n"/>
      <c r="E658" s="47" t="n"/>
      <c r="F658" s="47" t="n"/>
      <c r="G658" s="48">
        <f t="shared" si="4"/>
      </c>
      <c r="H658" s="43">
        <f t="shared" si="0"/>
      </c>
      <c r="I658" s="43">
        <f t="shared" si="5"/>
      </c>
      <c r="J658" s="43">
        <f t="shared" si="1"/>
      </c>
      <c r="K658" s="49">
        <f t="shared" si="2"/>
      </c>
      <c r="L658" s="45" t="n"/>
      <c r="M658" s="45" t="n"/>
      <c r="N658" s="45" t="n"/>
      <c r="O658" s="45" t="n"/>
      <c r="P658" s="50" t="n"/>
      <c r="R658" s="2">
        <f t="shared" si="6"/>
        <v>0</v>
      </c>
      <c r="S658" s="2">
        <f t="shared" si="7"/>
      </c>
      <c r="T658" s="2">
        <f t="shared" si="8"/>
      </c>
      <c r="U658" s="2">
        <f t="shared" si="9"/>
      </c>
      <c r="V658" s="2">
        <f t="shared" si="10"/>
      </c>
      <c r="W658" s="2">
        <f t="shared" si="11"/>
      </c>
      <c r="X658" s="2">
        <f t="shared" si="12"/>
      </c>
      <c r="Y658" s="2">
        <f t="shared" si="13"/>
        <v>0</v>
      </c>
      <c r="Z658" s="2">
        <f t="shared" si="14"/>
      </c>
      <c r="AA658" s="2">
        <f t="shared" si="15"/>
        <v>0</v>
      </c>
      <c r="AB658" s="2">
        <f t="shared" si="16"/>
      </c>
      <c r="AC658" s="2">
        <f t="shared" si="17"/>
      </c>
      <c r="AD658" s="2">
        <f t="shared" si="18"/>
      </c>
      <c r="AE658" s="2">
        <f t="shared" si="19"/>
      </c>
      <c r="AF658" s="2">
        <f t="shared" si="20"/>
      </c>
      <c r="AG658" s="2">
        <f t="shared" si="21"/>
      </c>
      <c r="AH658" s="2">
        <f t="shared" si="22"/>
      </c>
      <c r="AI658" s="2">
        <f t="shared" si="23"/>
      </c>
      <c r="AJ658" s="2">
        <f t="shared" si="24"/>
        <v>0</v>
      </c>
      <c r="AK658" s="2">
        <f t="shared" si="25"/>
        <v>0</v>
      </c>
      <c r="AL658" s="2">
        <f t="shared" si="26"/>
        <v>0</v>
      </c>
      <c r="AM658" s="2">
        <f t="shared" si="27"/>
        <v>0</v>
      </c>
      <c r="AN658" s="2">
        <f t="shared" si="28"/>
        <v>0</v>
      </c>
      <c r="AO658" s="2">
        <f t="shared" si="29"/>
      </c>
      <c r="AP658" s="2">
        <f t="shared" si="30"/>
      </c>
      <c r="AQ658" s="2">
        <f t="shared" si="31"/>
      </c>
    </row>
    <row r="659">
      <c r="A659" s="43">
        <f t="shared" si="3"/>
      </c>
      <c r="B659" s="44" t="n"/>
      <c r="C659" s="45" t="n"/>
      <c r="D659" s="46" t="n"/>
      <c r="E659" s="47" t="n"/>
      <c r="F659" s="47" t="n"/>
      <c r="G659" s="48">
        <f t="shared" si="4"/>
      </c>
      <c r="H659" s="43">
        <f t="shared" si="0"/>
      </c>
      <c r="I659" s="43">
        <f t="shared" si="5"/>
      </c>
      <c r="J659" s="43">
        <f t="shared" si="1"/>
      </c>
      <c r="K659" s="49">
        <f t="shared" si="2"/>
      </c>
      <c r="L659" s="45" t="n"/>
      <c r="M659" s="45" t="n"/>
      <c r="N659" s="45" t="n"/>
      <c r="O659" s="45" t="n"/>
      <c r="P659" s="50" t="n"/>
      <c r="R659" s="2">
        <f t="shared" si="6"/>
        <v>0</v>
      </c>
      <c r="S659" s="2">
        <f t="shared" si="7"/>
      </c>
      <c r="T659" s="2">
        <f t="shared" si="8"/>
      </c>
      <c r="U659" s="2">
        <f t="shared" si="9"/>
      </c>
      <c r="V659" s="2">
        <f t="shared" si="10"/>
      </c>
      <c r="W659" s="2">
        <f t="shared" si="11"/>
      </c>
      <c r="X659" s="2">
        <f t="shared" si="12"/>
      </c>
      <c r="Y659" s="2">
        <f t="shared" si="13"/>
        <v>0</v>
      </c>
      <c r="Z659" s="2">
        <f t="shared" si="14"/>
      </c>
      <c r="AA659" s="2">
        <f t="shared" si="15"/>
        <v>0</v>
      </c>
      <c r="AB659" s="2">
        <f t="shared" si="16"/>
      </c>
      <c r="AC659" s="2">
        <f t="shared" si="17"/>
      </c>
      <c r="AD659" s="2">
        <f t="shared" si="18"/>
      </c>
      <c r="AE659" s="2">
        <f t="shared" si="19"/>
      </c>
      <c r="AF659" s="2">
        <f t="shared" si="20"/>
      </c>
      <c r="AG659" s="2">
        <f t="shared" si="21"/>
      </c>
      <c r="AH659" s="2">
        <f t="shared" si="22"/>
      </c>
      <c r="AI659" s="2">
        <f t="shared" si="23"/>
      </c>
      <c r="AJ659" s="2">
        <f t="shared" si="24"/>
        <v>0</v>
      </c>
      <c r="AK659" s="2">
        <f t="shared" si="25"/>
        <v>0</v>
      </c>
      <c r="AL659" s="2">
        <f t="shared" si="26"/>
        <v>0</v>
      </c>
      <c r="AM659" s="2">
        <f t="shared" si="27"/>
        <v>0</v>
      </c>
      <c r="AN659" s="2">
        <f t="shared" si="28"/>
        <v>0</v>
      </c>
      <c r="AO659" s="2">
        <f t="shared" si="29"/>
      </c>
      <c r="AP659" s="2">
        <f t="shared" si="30"/>
      </c>
      <c r="AQ659" s="2">
        <f t="shared" si="31"/>
      </c>
    </row>
    <row r="660">
      <c r="A660" s="43">
        <f t="shared" si="3"/>
      </c>
      <c r="B660" s="44" t="n"/>
      <c r="C660" s="45" t="n"/>
      <c r="D660" s="46" t="n"/>
      <c r="E660" s="47" t="n"/>
      <c r="F660" s="47" t="n"/>
      <c r="G660" s="48">
        <f t="shared" si="4"/>
      </c>
      <c r="H660" s="43">
        <f t="shared" si="0"/>
      </c>
      <c r="I660" s="43">
        <f t="shared" si="5"/>
      </c>
      <c r="J660" s="43">
        <f t="shared" si="1"/>
      </c>
      <c r="K660" s="49">
        <f t="shared" si="2"/>
      </c>
      <c r="L660" s="45" t="n"/>
      <c r="M660" s="45" t="n"/>
      <c r="N660" s="45" t="n"/>
      <c r="O660" s="45" t="n"/>
      <c r="P660" s="50" t="n"/>
      <c r="R660" s="2">
        <f t="shared" si="6"/>
        <v>0</v>
      </c>
      <c r="S660" s="2">
        <f t="shared" si="7"/>
      </c>
      <c r="T660" s="2">
        <f t="shared" si="8"/>
      </c>
      <c r="U660" s="2">
        <f t="shared" si="9"/>
      </c>
      <c r="V660" s="2">
        <f t="shared" si="10"/>
      </c>
      <c r="W660" s="2">
        <f t="shared" si="11"/>
      </c>
      <c r="X660" s="2">
        <f t="shared" si="12"/>
      </c>
      <c r="Y660" s="2">
        <f t="shared" si="13"/>
        <v>0</v>
      </c>
      <c r="Z660" s="2">
        <f t="shared" si="14"/>
      </c>
      <c r="AA660" s="2">
        <f t="shared" si="15"/>
        <v>0</v>
      </c>
      <c r="AB660" s="2">
        <f t="shared" si="16"/>
      </c>
      <c r="AC660" s="2">
        <f t="shared" si="17"/>
      </c>
      <c r="AD660" s="2">
        <f t="shared" si="18"/>
      </c>
      <c r="AE660" s="2">
        <f t="shared" si="19"/>
      </c>
      <c r="AF660" s="2">
        <f t="shared" si="20"/>
      </c>
      <c r="AG660" s="2">
        <f t="shared" si="21"/>
      </c>
      <c r="AH660" s="2">
        <f t="shared" si="22"/>
      </c>
      <c r="AI660" s="2">
        <f t="shared" si="23"/>
      </c>
      <c r="AJ660" s="2">
        <f t="shared" si="24"/>
        <v>0</v>
      </c>
      <c r="AK660" s="2">
        <f t="shared" si="25"/>
        <v>0</v>
      </c>
      <c r="AL660" s="2">
        <f t="shared" si="26"/>
        <v>0</v>
      </c>
      <c r="AM660" s="2">
        <f t="shared" si="27"/>
        <v>0</v>
      </c>
      <c r="AN660" s="2">
        <f t="shared" si="28"/>
        <v>0</v>
      </c>
      <c r="AO660" s="2">
        <f t="shared" si="29"/>
      </c>
      <c r="AP660" s="2">
        <f t="shared" si="30"/>
      </c>
      <c r="AQ660" s="2">
        <f t="shared" si="31"/>
      </c>
    </row>
    <row r="661">
      <c r="A661" s="43">
        <f t="shared" si="3"/>
      </c>
      <c r="B661" s="44" t="n"/>
      <c r="C661" s="45" t="n"/>
      <c r="D661" s="46" t="n"/>
      <c r="E661" s="47" t="n"/>
      <c r="F661" s="47" t="n"/>
      <c r="G661" s="48">
        <f t="shared" si="4"/>
      </c>
      <c r="H661" s="43">
        <f t="shared" si="0"/>
      </c>
      <c r="I661" s="43">
        <f t="shared" si="5"/>
      </c>
      <c r="J661" s="43">
        <f t="shared" si="1"/>
      </c>
      <c r="K661" s="49">
        <f t="shared" si="2"/>
      </c>
      <c r="L661" s="45" t="n"/>
      <c r="M661" s="45" t="n"/>
      <c r="N661" s="45" t="n"/>
      <c r="O661" s="45" t="n"/>
      <c r="P661" s="50" t="n"/>
      <c r="R661" s="2">
        <f t="shared" si="6"/>
        <v>0</v>
      </c>
      <c r="S661" s="2">
        <f t="shared" si="7"/>
      </c>
      <c r="T661" s="2">
        <f t="shared" si="8"/>
      </c>
      <c r="U661" s="2">
        <f t="shared" si="9"/>
      </c>
      <c r="V661" s="2">
        <f t="shared" si="10"/>
      </c>
      <c r="W661" s="2">
        <f t="shared" si="11"/>
      </c>
      <c r="X661" s="2">
        <f t="shared" si="12"/>
      </c>
      <c r="Y661" s="2">
        <f t="shared" si="13"/>
        <v>0</v>
      </c>
      <c r="Z661" s="2">
        <f t="shared" si="14"/>
      </c>
      <c r="AA661" s="2">
        <f t="shared" si="15"/>
        <v>0</v>
      </c>
      <c r="AB661" s="2">
        <f t="shared" si="16"/>
      </c>
      <c r="AC661" s="2">
        <f t="shared" si="17"/>
      </c>
      <c r="AD661" s="2">
        <f t="shared" si="18"/>
      </c>
      <c r="AE661" s="2">
        <f t="shared" si="19"/>
      </c>
      <c r="AF661" s="2">
        <f t="shared" si="20"/>
      </c>
      <c r="AG661" s="2">
        <f t="shared" si="21"/>
      </c>
      <c r="AH661" s="2">
        <f t="shared" si="22"/>
      </c>
      <c r="AI661" s="2">
        <f t="shared" si="23"/>
      </c>
      <c r="AJ661" s="2">
        <f t="shared" si="24"/>
        <v>0</v>
      </c>
      <c r="AK661" s="2">
        <f t="shared" si="25"/>
        <v>0</v>
      </c>
      <c r="AL661" s="2">
        <f t="shared" si="26"/>
        <v>0</v>
      </c>
      <c r="AM661" s="2">
        <f t="shared" si="27"/>
        <v>0</v>
      </c>
      <c r="AN661" s="2">
        <f t="shared" si="28"/>
        <v>0</v>
      </c>
      <c r="AO661" s="2">
        <f t="shared" si="29"/>
      </c>
      <c r="AP661" s="2">
        <f t="shared" si="30"/>
      </c>
      <c r="AQ661" s="2">
        <f t="shared" si="31"/>
      </c>
    </row>
    <row r="662">
      <c r="A662" s="43">
        <f t="shared" si="3"/>
      </c>
      <c r="B662" s="44" t="n"/>
      <c r="C662" s="45" t="n"/>
      <c r="D662" s="46" t="n"/>
      <c r="E662" s="47" t="n"/>
      <c r="F662" s="47" t="n"/>
      <c r="G662" s="48">
        <f t="shared" si="4"/>
      </c>
      <c r="H662" s="43">
        <f t="shared" si="0"/>
      </c>
      <c r="I662" s="43">
        <f t="shared" si="5"/>
      </c>
      <c r="J662" s="43">
        <f t="shared" si="1"/>
      </c>
      <c r="K662" s="49">
        <f t="shared" si="2"/>
      </c>
      <c r="L662" s="45" t="n"/>
      <c r="M662" s="45" t="n"/>
      <c r="N662" s="45" t="n"/>
      <c r="O662" s="45" t="n"/>
      <c r="P662" s="50" t="n"/>
      <c r="R662" s="2">
        <f t="shared" si="6"/>
        <v>0</v>
      </c>
      <c r="S662" s="2">
        <f t="shared" si="7"/>
      </c>
      <c r="T662" s="2">
        <f t="shared" si="8"/>
      </c>
      <c r="U662" s="2">
        <f t="shared" si="9"/>
      </c>
      <c r="V662" s="2">
        <f t="shared" si="10"/>
      </c>
      <c r="W662" s="2">
        <f t="shared" si="11"/>
      </c>
      <c r="X662" s="2">
        <f t="shared" si="12"/>
      </c>
      <c r="Y662" s="2">
        <f t="shared" si="13"/>
        <v>0</v>
      </c>
      <c r="Z662" s="2">
        <f t="shared" si="14"/>
      </c>
      <c r="AA662" s="2">
        <f t="shared" si="15"/>
        <v>0</v>
      </c>
      <c r="AB662" s="2">
        <f t="shared" si="16"/>
      </c>
      <c r="AC662" s="2">
        <f t="shared" si="17"/>
      </c>
      <c r="AD662" s="2">
        <f t="shared" si="18"/>
      </c>
      <c r="AE662" s="2">
        <f t="shared" si="19"/>
      </c>
      <c r="AF662" s="2">
        <f t="shared" si="20"/>
      </c>
      <c r="AG662" s="2">
        <f t="shared" si="21"/>
      </c>
      <c r="AH662" s="2">
        <f t="shared" si="22"/>
      </c>
      <c r="AI662" s="2">
        <f t="shared" si="23"/>
      </c>
      <c r="AJ662" s="2">
        <f t="shared" si="24"/>
        <v>0</v>
      </c>
      <c r="AK662" s="2">
        <f t="shared" si="25"/>
        <v>0</v>
      </c>
      <c r="AL662" s="2">
        <f t="shared" si="26"/>
        <v>0</v>
      </c>
      <c r="AM662" s="2">
        <f t="shared" si="27"/>
        <v>0</v>
      </c>
      <c r="AN662" s="2">
        <f t="shared" si="28"/>
        <v>0</v>
      </c>
      <c r="AO662" s="2">
        <f t="shared" si="29"/>
      </c>
      <c r="AP662" s="2">
        <f t="shared" si="30"/>
      </c>
      <c r="AQ662" s="2">
        <f t="shared" si="31"/>
      </c>
    </row>
    <row r="663">
      <c r="A663" s="43">
        <f t="shared" si="3"/>
      </c>
      <c r="B663" s="44" t="n"/>
      <c r="C663" s="45" t="n"/>
      <c r="D663" s="46" t="n"/>
      <c r="E663" s="47" t="n"/>
      <c r="F663" s="47" t="n"/>
      <c r="G663" s="48">
        <f t="shared" si="4"/>
      </c>
      <c r="H663" s="43">
        <f t="shared" si="0"/>
      </c>
      <c r="I663" s="43">
        <f t="shared" si="5"/>
      </c>
      <c r="J663" s="43">
        <f t="shared" si="1"/>
      </c>
      <c r="K663" s="49">
        <f t="shared" si="2"/>
      </c>
      <c r="L663" s="45" t="n"/>
      <c r="M663" s="45" t="n"/>
      <c r="N663" s="45" t="n"/>
      <c r="O663" s="45" t="n"/>
      <c r="P663" s="50" t="n"/>
      <c r="R663" s="2">
        <f t="shared" si="6"/>
        <v>0</v>
      </c>
      <c r="S663" s="2">
        <f t="shared" si="7"/>
      </c>
      <c r="T663" s="2">
        <f t="shared" si="8"/>
      </c>
      <c r="U663" s="2">
        <f t="shared" si="9"/>
      </c>
      <c r="V663" s="2">
        <f t="shared" si="10"/>
      </c>
      <c r="W663" s="2">
        <f t="shared" si="11"/>
      </c>
      <c r="X663" s="2">
        <f t="shared" si="12"/>
      </c>
      <c r="Y663" s="2">
        <f t="shared" si="13"/>
        <v>0</v>
      </c>
      <c r="Z663" s="2">
        <f t="shared" si="14"/>
      </c>
      <c r="AA663" s="2">
        <f t="shared" si="15"/>
        <v>0</v>
      </c>
      <c r="AB663" s="2">
        <f t="shared" si="16"/>
      </c>
      <c r="AC663" s="2">
        <f t="shared" si="17"/>
      </c>
      <c r="AD663" s="2">
        <f t="shared" si="18"/>
      </c>
      <c r="AE663" s="2">
        <f t="shared" si="19"/>
      </c>
      <c r="AF663" s="2">
        <f t="shared" si="20"/>
      </c>
      <c r="AG663" s="2">
        <f t="shared" si="21"/>
      </c>
      <c r="AH663" s="2">
        <f t="shared" si="22"/>
      </c>
      <c r="AI663" s="2">
        <f t="shared" si="23"/>
      </c>
      <c r="AJ663" s="2">
        <f t="shared" si="24"/>
        <v>0</v>
      </c>
      <c r="AK663" s="2">
        <f t="shared" si="25"/>
        <v>0</v>
      </c>
      <c r="AL663" s="2">
        <f t="shared" si="26"/>
        <v>0</v>
      </c>
      <c r="AM663" s="2">
        <f t="shared" si="27"/>
        <v>0</v>
      </c>
      <c r="AN663" s="2">
        <f t="shared" si="28"/>
        <v>0</v>
      </c>
      <c r="AO663" s="2">
        <f t="shared" si="29"/>
      </c>
      <c r="AP663" s="2">
        <f t="shared" si="30"/>
      </c>
      <c r="AQ663" s="2">
        <f t="shared" si="31"/>
      </c>
    </row>
    <row r="664">
      <c r="A664" s="43">
        <f t="shared" si="3"/>
      </c>
      <c r="B664" s="44" t="n"/>
      <c r="C664" s="45" t="n"/>
      <c r="D664" s="46" t="n"/>
      <c r="E664" s="47" t="n"/>
      <c r="F664" s="47" t="n"/>
      <c r="G664" s="48">
        <f t="shared" si="4"/>
      </c>
      <c r="H664" s="43">
        <f t="shared" si="0"/>
      </c>
      <c r="I664" s="43">
        <f t="shared" si="5"/>
      </c>
      <c r="J664" s="43">
        <f t="shared" si="1"/>
      </c>
      <c r="K664" s="49">
        <f t="shared" si="2"/>
      </c>
      <c r="L664" s="45" t="n"/>
      <c r="M664" s="45" t="n"/>
      <c r="N664" s="45" t="n"/>
      <c r="O664" s="45" t="n"/>
      <c r="P664" s="50" t="n"/>
      <c r="R664" s="2">
        <f t="shared" si="6"/>
        <v>0</v>
      </c>
      <c r="S664" s="2">
        <f t="shared" si="7"/>
      </c>
      <c r="T664" s="2">
        <f t="shared" si="8"/>
      </c>
      <c r="U664" s="2">
        <f t="shared" si="9"/>
      </c>
      <c r="V664" s="2">
        <f t="shared" si="10"/>
      </c>
      <c r="W664" s="2">
        <f t="shared" si="11"/>
      </c>
      <c r="X664" s="2">
        <f t="shared" si="12"/>
      </c>
      <c r="Y664" s="2">
        <f t="shared" si="13"/>
        <v>0</v>
      </c>
      <c r="Z664" s="2">
        <f t="shared" si="14"/>
      </c>
      <c r="AA664" s="2">
        <f t="shared" si="15"/>
        <v>0</v>
      </c>
      <c r="AB664" s="2">
        <f t="shared" si="16"/>
      </c>
      <c r="AC664" s="2">
        <f t="shared" si="17"/>
      </c>
      <c r="AD664" s="2">
        <f t="shared" si="18"/>
      </c>
      <c r="AE664" s="2">
        <f t="shared" si="19"/>
      </c>
      <c r="AF664" s="2">
        <f t="shared" si="20"/>
      </c>
      <c r="AG664" s="2">
        <f t="shared" si="21"/>
      </c>
      <c r="AH664" s="2">
        <f t="shared" si="22"/>
      </c>
      <c r="AI664" s="2">
        <f t="shared" si="23"/>
      </c>
      <c r="AJ664" s="2">
        <f t="shared" si="24"/>
        <v>0</v>
      </c>
      <c r="AK664" s="2">
        <f t="shared" si="25"/>
        <v>0</v>
      </c>
      <c r="AL664" s="2">
        <f t="shared" si="26"/>
        <v>0</v>
      </c>
      <c r="AM664" s="2">
        <f t="shared" si="27"/>
        <v>0</v>
      </c>
      <c r="AN664" s="2">
        <f t="shared" si="28"/>
        <v>0</v>
      </c>
      <c r="AO664" s="2">
        <f t="shared" si="29"/>
      </c>
      <c r="AP664" s="2">
        <f t="shared" si="30"/>
      </c>
      <c r="AQ664" s="2">
        <f t="shared" si="31"/>
      </c>
    </row>
    <row r="665">
      <c r="A665" s="43">
        <f t="shared" si="3"/>
      </c>
      <c r="B665" s="44" t="n"/>
      <c r="C665" s="45" t="n"/>
      <c r="D665" s="46" t="n"/>
      <c r="E665" s="47" t="n"/>
      <c r="F665" s="47" t="n"/>
      <c r="G665" s="48">
        <f t="shared" si="4"/>
      </c>
      <c r="H665" s="43">
        <f t="shared" si="0"/>
      </c>
      <c r="I665" s="43">
        <f t="shared" si="5"/>
      </c>
      <c r="J665" s="43">
        <f t="shared" si="1"/>
      </c>
      <c r="K665" s="49">
        <f t="shared" si="2"/>
      </c>
      <c r="L665" s="45" t="n"/>
      <c r="M665" s="45" t="n"/>
      <c r="N665" s="45" t="n"/>
      <c r="O665" s="45" t="n"/>
      <c r="P665" s="50" t="n"/>
      <c r="R665" s="2">
        <f t="shared" si="6"/>
        <v>0</v>
      </c>
      <c r="S665" s="2">
        <f t="shared" si="7"/>
      </c>
      <c r="T665" s="2">
        <f t="shared" si="8"/>
      </c>
      <c r="U665" s="2">
        <f t="shared" si="9"/>
      </c>
      <c r="V665" s="2">
        <f t="shared" si="10"/>
      </c>
      <c r="W665" s="2">
        <f t="shared" si="11"/>
      </c>
      <c r="X665" s="2">
        <f t="shared" si="12"/>
      </c>
      <c r="Y665" s="2">
        <f t="shared" si="13"/>
        <v>0</v>
      </c>
      <c r="Z665" s="2">
        <f t="shared" si="14"/>
      </c>
      <c r="AA665" s="2">
        <f t="shared" si="15"/>
        <v>0</v>
      </c>
      <c r="AB665" s="2">
        <f t="shared" si="16"/>
      </c>
      <c r="AC665" s="2">
        <f t="shared" si="17"/>
      </c>
      <c r="AD665" s="2">
        <f t="shared" si="18"/>
      </c>
      <c r="AE665" s="2">
        <f t="shared" si="19"/>
      </c>
      <c r="AF665" s="2">
        <f t="shared" si="20"/>
      </c>
      <c r="AG665" s="2">
        <f t="shared" si="21"/>
      </c>
      <c r="AH665" s="2">
        <f t="shared" si="22"/>
      </c>
      <c r="AI665" s="2">
        <f t="shared" si="23"/>
      </c>
      <c r="AJ665" s="2">
        <f t="shared" si="24"/>
        <v>0</v>
      </c>
      <c r="AK665" s="2">
        <f t="shared" si="25"/>
        <v>0</v>
      </c>
      <c r="AL665" s="2">
        <f t="shared" si="26"/>
        <v>0</v>
      </c>
      <c r="AM665" s="2">
        <f t="shared" si="27"/>
        <v>0</v>
      </c>
      <c r="AN665" s="2">
        <f t="shared" si="28"/>
        <v>0</v>
      </c>
      <c r="AO665" s="2">
        <f t="shared" si="29"/>
      </c>
      <c r="AP665" s="2">
        <f t="shared" si="30"/>
      </c>
      <c r="AQ665" s="2">
        <f t="shared" si="31"/>
      </c>
    </row>
    <row r="666">
      <c r="A666" s="43">
        <f t="shared" si="3"/>
      </c>
      <c r="B666" s="44" t="n"/>
      <c r="C666" s="45" t="n"/>
      <c r="D666" s="46" t="n"/>
      <c r="E666" s="47" t="n"/>
      <c r="F666" s="47" t="n"/>
      <c r="G666" s="48">
        <f t="shared" si="4"/>
      </c>
      <c r="H666" s="43">
        <f t="shared" si="0"/>
      </c>
      <c r="I666" s="43">
        <f t="shared" si="5"/>
      </c>
      <c r="J666" s="43">
        <f t="shared" si="1"/>
      </c>
      <c r="K666" s="49">
        <f t="shared" si="2"/>
      </c>
      <c r="L666" s="45" t="n"/>
      <c r="M666" s="45" t="n"/>
      <c r="N666" s="45" t="n"/>
      <c r="O666" s="45" t="n"/>
      <c r="P666" s="50" t="n"/>
      <c r="R666" s="2">
        <f t="shared" si="6"/>
        <v>0</v>
      </c>
      <c r="S666" s="2">
        <f t="shared" si="7"/>
      </c>
      <c r="T666" s="2">
        <f t="shared" si="8"/>
      </c>
      <c r="U666" s="2">
        <f t="shared" si="9"/>
      </c>
      <c r="V666" s="2">
        <f t="shared" si="10"/>
      </c>
      <c r="W666" s="2">
        <f t="shared" si="11"/>
      </c>
      <c r="X666" s="2">
        <f t="shared" si="12"/>
      </c>
      <c r="Y666" s="2">
        <f t="shared" si="13"/>
        <v>0</v>
      </c>
      <c r="Z666" s="2">
        <f t="shared" si="14"/>
      </c>
      <c r="AA666" s="2">
        <f t="shared" si="15"/>
        <v>0</v>
      </c>
      <c r="AB666" s="2">
        <f t="shared" si="16"/>
      </c>
      <c r="AC666" s="2">
        <f t="shared" si="17"/>
      </c>
      <c r="AD666" s="2">
        <f t="shared" si="18"/>
      </c>
      <c r="AE666" s="2">
        <f t="shared" si="19"/>
      </c>
      <c r="AF666" s="2">
        <f t="shared" si="20"/>
      </c>
      <c r="AG666" s="2">
        <f t="shared" si="21"/>
      </c>
      <c r="AH666" s="2">
        <f t="shared" si="22"/>
      </c>
      <c r="AI666" s="2">
        <f t="shared" si="23"/>
      </c>
      <c r="AJ666" s="2">
        <f t="shared" si="24"/>
        <v>0</v>
      </c>
      <c r="AK666" s="2">
        <f t="shared" si="25"/>
        <v>0</v>
      </c>
      <c r="AL666" s="2">
        <f t="shared" si="26"/>
        <v>0</v>
      </c>
      <c r="AM666" s="2">
        <f t="shared" si="27"/>
        <v>0</v>
      </c>
      <c r="AN666" s="2">
        <f t="shared" si="28"/>
        <v>0</v>
      </c>
      <c r="AO666" s="2">
        <f t="shared" si="29"/>
      </c>
      <c r="AP666" s="2">
        <f t="shared" si="30"/>
      </c>
      <c r="AQ666" s="2">
        <f t="shared" si="31"/>
      </c>
    </row>
    <row r="667">
      <c r="A667" s="43">
        <f t="shared" si="3"/>
      </c>
      <c r="B667" s="44" t="n"/>
      <c r="C667" s="45" t="n"/>
      <c r="D667" s="46" t="n"/>
      <c r="E667" s="47" t="n"/>
      <c r="F667" s="47" t="n"/>
      <c r="G667" s="48">
        <f t="shared" si="4"/>
      </c>
      <c r="H667" s="43">
        <f t="shared" si="0"/>
      </c>
      <c r="I667" s="43">
        <f t="shared" si="5"/>
      </c>
      <c r="J667" s="43">
        <f t="shared" si="1"/>
      </c>
      <c r="K667" s="49">
        <f t="shared" si="2"/>
      </c>
      <c r="L667" s="45" t="n"/>
      <c r="M667" s="45" t="n"/>
      <c r="N667" s="45" t="n"/>
      <c r="O667" s="45" t="n"/>
      <c r="P667" s="50" t="n"/>
      <c r="R667" s="2">
        <f t="shared" si="6"/>
        <v>0</v>
      </c>
      <c r="S667" s="2">
        <f t="shared" si="7"/>
      </c>
      <c r="T667" s="2">
        <f t="shared" si="8"/>
      </c>
      <c r="U667" s="2">
        <f t="shared" si="9"/>
      </c>
      <c r="V667" s="2">
        <f t="shared" si="10"/>
      </c>
      <c r="W667" s="2">
        <f t="shared" si="11"/>
      </c>
      <c r="X667" s="2">
        <f t="shared" si="12"/>
      </c>
      <c r="Y667" s="2">
        <f t="shared" si="13"/>
        <v>0</v>
      </c>
      <c r="Z667" s="2">
        <f t="shared" si="14"/>
      </c>
      <c r="AA667" s="2">
        <f t="shared" si="15"/>
        <v>0</v>
      </c>
      <c r="AB667" s="2">
        <f t="shared" si="16"/>
      </c>
      <c r="AC667" s="2">
        <f t="shared" si="17"/>
      </c>
      <c r="AD667" s="2">
        <f t="shared" si="18"/>
      </c>
      <c r="AE667" s="2">
        <f t="shared" si="19"/>
      </c>
      <c r="AF667" s="2">
        <f t="shared" si="20"/>
      </c>
      <c r="AG667" s="2">
        <f t="shared" si="21"/>
      </c>
      <c r="AH667" s="2">
        <f t="shared" si="22"/>
      </c>
      <c r="AI667" s="2">
        <f t="shared" si="23"/>
      </c>
      <c r="AJ667" s="2">
        <f t="shared" si="24"/>
        <v>0</v>
      </c>
      <c r="AK667" s="2">
        <f t="shared" si="25"/>
        <v>0</v>
      </c>
      <c r="AL667" s="2">
        <f t="shared" si="26"/>
        <v>0</v>
      </c>
      <c r="AM667" s="2">
        <f t="shared" si="27"/>
        <v>0</v>
      </c>
      <c r="AN667" s="2">
        <f t="shared" si="28"/>
        <v>0</v>
      </c>
      <c r="AO667" s="2">
        <f t="shared" si="29"/>
      </c>
      <c r="AP667" s="2">
        <f t="shared" si="30"/>
      </c>
      <c r="AQ667" s="2">
        <f t="shared" si="31"/>
      </c>
    </row>
    <row r="668">
      <c r="A668" s="43">
        <f t="shared" si="3"/>
      </c>
      <c r="B668" s="44" t="n"/>
      <c r="C668" s="45" t="n"/>
      <c r="D668" s="46" t="n"/>
      <c r="E668" s="47" t="n"/>
      <c r="F668" s="47" t="n"/>
      <c r="G668" s="48">
        <f t="shared" si="4"/>
      </c>
      <c r="H668" s="43">
        <f t="shared" si="0"/>
      </c>
      <c r="I668" s="43">
        <f t="shared" si="5"/>
      </c>
      <c r="J668" s="43">
        <f t="shared" si="1"/>
      </c>
      <c r="K668" s="49">
        <f t="shared" si="2"/>
      </c>
      <c r="L668" s="45" t="n"/>
      <c r="M668" s="45" t="n"/>
      <c r="N668" s="45" t="n"/>
      <c r="O668" s="45" t="n"/>
      <c r="P668" s="50" t="n"/>
      <c r="R668" s="2">
        <f t="shared" si="6"/>
        <v>0</v>
      </c>
      <c r="S668" s="2">
        <f t="shared" si="7"/>
      </c>
      <c r="T668" s="2">
        <f t="shared" si="8"/>
      </c>
      <c r="U668" s="2">
        <f t="shared" si="9"/>
      </c>
      <c r="V668" s="2">
        <f t="shared" si="10"/>
      </c>
      <c r="W668" s="2">
        <f t="shared" si="11"/>
      </c>
      <c r="X668" s="2">
        <f t="shared" si="12"/>
      </c>
      <c r="Y668" s="2">
        <f t="shared" si="13"/>
        <v>0</v>
      </c>
      <c r="Z668" s="2">
        <f t="shared" si="14"/>
      </c>
      <c r="AA668" s="2">
        <f t="shared" si="15"/>
        <v>0</v>
      </c>
      <c r="AB668" s="2">
        <f t="shared" si="16"/>
      </c>
      <c r="AC668" s="2">
        <f t="shared" si="17"/>
      </c>
      <c r="AD668" s="2">
        <f t="shared" si="18"/>
      </c>
      <c r="AE668" s="2">
        <f t="shared" si="19"/>
      </c>
      <c r="AF668" s="2">
        <f t="shared" si="20"/>
      </c>
      <c r="AG668" s="2">
        <f t="shared" si="21"/>
      </c>
      <c r="AH668" s="2">
        <f t="shared" si="22"/>
      </c>
      <c r="AI668" s="2">
        <f t="shared" si="23"/>
      </c>
      <c r="AJ668" s="2">
        <f t="shared" si="24"/>
        <v>0</v>
      </c>
      <c r="AK668" s="2">
        <f t="shared" si="25"/>
        <v>0</v>
      </c>
      <c r="AL668" s="2">
        <f t="shared" si="26"/>
        <v>0</v>
      </c>
      <c r="AM668" s="2">
        <f t="shared" si="27"/>
        <v>0</v>
      </c>
      <c r="AN668" s="2">
        <f t="shared" si="28"/>
        <v>0</v>
      </c>
      <c r="AO668" s="2">
        <f t="shared" si="29"/>
      </c>
      <c r="AP668" s="2">
        <f t="shared" si="30"/>
      </c>
      <c r="AQ668" s="2">
        <f t="shared" si="31"/>
      </c>
    </row>
    <row r="669">
      <c r="A669" s="43">
        <f t="shared" si="3"/>
      </c>
      <c r="B669" s="44" t="n"/>
      <c r="C669" s="45" t="n"/>
      <c r="D669" s="46" t="n"/>
      <c r="E669" s="47" t="n"/>
      <c r="F669" s="47" t="n"/>
      <c r="G669" s="48">
        <f t="shared" si="4"/>
      </c>
      <c r="H669" s="43">
        <f t="shared" si="0"/>
      </c>
      <c r="I669" s="43">
        <f t="shared" si="5"/>
      </c>
      <c r="J669" s="43">
        <f t="shared" si="1"/>
      </c>
      <c r="K669" s="49">
        <f t="shared" si="2"/>
      </c>
      <c r="L669" s="45" t="n"/>
      <c r="M669" s="45" t="n"/>
      <c r="N669" s="45" t="n"/>
      <c r="O669" s="45" t="n"/>
      <c r="P669" s="50" t="n"/>
      <c r="R669" s="2">
        <f t="shared" si="6"/>
        <v>0</v>
      </c>
      <c r="S669" s="2">
        <f t="shared" si="7"/>
      </c>
      <c r="T669" s="2">
        <f t="shared" si="8"/>
      </c>
      <c r="U669" s="2">
        <f t="shared" si="9"/>
      </c>
      <c r="V669" s="2">
        <f t="shared" si="10"/>
      </c>
      <c r="W669" s="2">
        <f t="shared" si="11"/>
      </c>
      <c r="X669" s="2">
        <f t="shared" si="12"/>
      </c>
      <c r="Y669" s="2">
        <f t="shared" si="13"/>
        <v>0</v>
      </c>
      <c r="Z669" s="2">
        <f t="shared" si="14"/>
      </c>
      <c r="AA669" s="2">
        <f t="shared" si="15"/>
        <v>0</v>
      </c>
      <c r="AB669" s="2">
        <f t="shared" si="16"/>
      </c>
      <c r="AC669" s="2">
        <f t="shared" si="17"/>
      </c>
      <c r="AD669" s="2">
        <f t="shared" si="18"/>
      </c>
      <c r="AE669" s="2">
        <f t="shared" si="19"/>
      </c>
      <c r="AF669" s="2">
        <f t="shared" si="20"/>
      </c>
      <c r="AG669" s="2">
        <f t="shared" si="21"/>
      </c>
      <c r="AH669" s="2">
        <f t="shared" si="22"/>
      </c>
      <c r="AI669" s="2">
        <f t="shared" si="23"/>
      </c>
      <c r="AJ669" s="2">
        <f t="shared" si="24"/>
        <v>0</v>
      </c>
      <c r="AK669" s="2">
        <f t="shared" si="25"/>
        <v>0</v>
      </c>
      <c r="AL669" s="2">
        <f t="shared" si="26"/>
        <v>0</v>
      </c>
      <c r="AM669" s="2">
        <f t="shared" si="27"/>
        <v>0</v>
      </c>
      <c r="AN669" s="2">
        <f t="shared" si="28"/>
        <v>0</v>
      </c>
      <c r="AO669" s="2">
        <f t="shared" si="29"/>
      </c>
      <c r="AP669" s="2">
        <f t="shared" si="30"/>
      </c>
      <c r="AQ669" s="2">
        <f t="shared" si="31"/>
      </c>
    </row>
    <row r="670">
      <c r="A670" s="43">
        <f t="shared" si="3"/>
      </c>
      <c r="B670" s="44" t="n"/>
      <c r="C670" s="45" t="n"/>
      <c r="D670" s="46" t="n"/>
      <c r="E670" s="47" t="n"/>
      <c r="F670" s="47" t="n"/>
      <c r="G670" s="48">
        <f t="shared" si="4"/>
      </c>
      <c r="H670" s="43">
        <f t="shared" si="0"/>
      </c>
      <c r="I670" s="43">
        <f t="shared" si="5"/>
      </c>
      <c r="J670" s="43">
        <f t="shared" si="1"/>
      </c>
      <c r="K670" s="49">
        <f t="shared" si="2"/>
      </c>
      <c r="L670" s="45" t="n"/>
      <c r="M670" s="45" t="n"/>
      <c r="N670" s="45" t="n"/>
      <c r="O670" s="45" t="n"/>
      <c r="P670" s="50" t="n"/>
      <c r="R670" s="2">
        <f t="shared" si="6"/>
        <v>0</v>
      </c>
      <c r="S670" s="2">
        <f t="shared" si="7"/>
      </c>
      <c r="T670" s="2">
        <f t="shared" si="8"/>
      </c>
      <c r="U670" s="2">
        <f t="shared" si="9"/>
      </c>
      <c r="V670" s="2">
        <f t="shared" si="10"/>
      </c>
      <c r="W670" s="2">
        <f t="shared" si="11"/>
      </c>
      <c r="X670" s="2">
        <f t="shared" si="12"/>
      </c>
      <c r="Y670" s="2">
        <f t="shared" si="13"/>
        <v>0</v>
      </c>
      <c r="Z670" s="2">
        <f t="shared" si="14"/>
      </c>
      <c r="AA670" s="2">
        <f t="shared" si="15"/>
        <v>0</v>
      </c>
      <c r="AB670" s="2">
        <f t="shared" si="16"/>
      </c>
      <c r="AC670" s="2">
        <f t="shared" si="17"/>
      </c>
      <c r="AD670" s="2">
        <f t="shared" si="18"/>
      </c>
      <c r="AE670" s="2">
        <f t="shared" si="19"/>
      </c>
      <c r="AF670" s="2">
        <f t="shared" si="20"/>
      </c>
      <c r="AG670" s="2">
        <f t="shared" si="21"/>
      </c>
      <c r="AH670" s="2">
        <f t="shared" si="22"/>
      </c>
      <c r="AI670" s="2">
        <f t="shared" si="23"/>
      </c>
      <c r="AJ670" s="2">
        <f t="shared" si="24"/>
        <v>0</v>
      </c>
      <c r="AK670" s="2">
        <f t="shared" si="25"/>
        <v>0</v>
      </c>
      <c r="AL670" s="2">
        <f t="shared" si="26"/>
        <v>0</v>
      </c>
      <c r="AM670" s="2">
        <f t="shared" si="27"/>
        <v>0</v>
      </c>
      <c r="AN670" s="2">
        <f t="shared" si="28"/>
        <v>0</v>
      </c>
      <c r="AO670" s="2">
        <f t="shared" si="29"/>
      </c>
      <c r="AP670" s="2">
        <f t="shared" si="30"/>
      </c>
      <c r="AQ670" s="2">
        <f t="shared" si="31"/>
      </c>
    </row>
    <row r="671">
      <c r="A671" s="43">
        <f t="shared" si="3"/>
      </c>
      <c r="B671" s="44" t="n"/>
      <c r="C671" s="45" t="n"/>
      <c r="D671" s="46" t="n"/>
      <c r="E671" s="47" t="n"/>
      <c r="F671" s="47" t="n"/>
      <c r="G671" s="48">
        <f t="shared" si="4"/>
      </c>
      <c r="H671" s="43">
        <f t="shared" si="0"/>
      </c>
      <c r="I671" s="43">
        <f t="shared" si="5"/>
      </c>
      <c r="J671" s="43">
        <f t="shared" si="1"/>
      </c>
      <c r="K671" s="49">
        <f t="shared" si="2"/>
      </c>
      <c r="L671" s="45" t="n"/>
      <c r="M671" s="45" t="n"/>
      <c r="N671" s="45" t="n"/>
      <c r="O671" s="45" t="n"/>
      <c r="P671" s="50" t="n"/>
      <c r="R671" s="2">
        <f t="shared" si="6"/>
        <v>0</v>
      </c>
      <c r="S671" s="2">
        <f t="shared" si="7"/>
      </c>
      <c r="T671" s="2">
        <f t="shared" si="8"/>
      </c>
      <c r="U671" s="2">
        <f t="shared" si="9"/>
      </c>
      <c r="V671" s="2">
        <f t="shared" si="10"/>
      </c>
      <c r="W671" s="2">
        <f t="shared" si="11"/>
      </c>
      <c r="X671" s="2">
        <f t="shared" si="12"/>
      </c>
      <c r="Y671" s="2">
        <f t="shared" si="13"/>
        <v>0</v>
      </c>
      <c r="Z671" s="2">
        <f t="shared" si="14"/>
      </c>
      <c r="AA671" s="2">
        <f t="shared" si="15"/>
        <v>0</v>
      </c>
      <c r="AB671" s="2">
        <f t="shared" si="16"/>
      </c>
      <c r="AC671" s="2">
        <f t="shared" si="17"/>
      </c>
      <c r="AD671" s="2">
        <f t="shared" si="18"/>
      </c>
      <c r="AE671" s="2">
        <f t="shared" si="19"/>
      </c>
      <c r="AF671" s="2">
        <f t="shared" si="20"/>
      </c>
      <c r="AG671" s="2">
        <f t="shared" si="21"/>
      </c>
      <c r="AH671" s="2">
        <f t="shared" si="22"/>
      </c>
      <c r="AI671" s="2">
        <f t="shared" si="23"/>
      </c>
      <c r="AJ671" s="2">
        <f t="shared" si="24"/>
        <v>0</v>
      </c>
      <c r="AK671" s="2">
        <f t="shared" si="25"/>
        <v>0</v>
      </c>
      <c r="AL671" s="2">
        <f t="shared" si="26"/>
        <v>0</v>
      </c>
      <c r="AM671" s="2">
        <f t="shared" si="27"/>
        <v>0</v>
      </c>
      <c r="AN671" s="2">
        <f t="shared" si="28"/>
        <v>0</v>
      </c>
      <c r="AO671" s="2">
        <f t="shared" si="29"/>
      </c>
      <c r="AP671" s="2">
        <f t="shared" si="30"/>
      </c>
      <c r="AQ671" s="2">
        <f t="shared" si="31"/>
      </c>
    </row>
    <row r="672">
      <c r="A672" s="43">
        <f t="shared" si="3"/>
      </c>
      <c r="B672" s="44" t="n"/>
      <c r="C672" s="45" t="n"/>
      <c r="D672" s="46" t="n"/>
      <c r="E672" s="47" t="n"/>
      <c r="F672" s="47" t="n"/>
      <c r="G672" s="48">
        <f t="shared" si="4"/>
      </c>
      <c r="H672" s="43">
        <f t="shared" si="0"/>
      </c>
      <c r="I672" s="43">
        <f t="shared" si="5"/>
      </c>
      <c r="J672" s="43">
        <f t="shared" si="1"/>
      </c>
      <c r="K672" s="49">
        <f t="shared" si="2"/>
      </c>
      <c r="L672" s="45" t="n"/>
      <c r="M672" s="45" t="n"/>
      <c r="N672" s="45" t="n"/>
      <c r="O672" s="45" t="n"/>
      <c r="P672" s="50" t="n"/>
      <c r="R672" s="2">
        <f t="shared" si="6"/>
        <v>0</v>
      </c>
      <c r="S672" s="2">
        <f t="shared" si="7"/>
      </c>
      <c r="T672" s="2">
        <f t="shared" si="8"/>
      </c>
      <c r="U672" s="2">
        <f t="shared" si="9"/>
      </c>
      <c r="V672" s="2">
        <f t="shared" si="10"/>
      </c>
      <c r="W672" s="2">
        <f t="shared" si="11"/>
      </c>
      <c r="X672" s="2">
        <f t="shared" si="12"/>
      </c>
      <c r="Y672" s="2">
        <f t="shared" si="13"/>
        <v>0</v>
      </c>
      <c r="Z672" s="2">
        <f t="shared" si="14"/>
      </c>
      <c r="AA672" s="2">
        <f t="shared" si="15"/>
        <v>0</v>
      </c>
      <c r="AB672" s="2">
        <f t="shared" si="16"/>
      </c>
      <c r="AC672" s="2">
        <f t="shared" si="17"/>
      </c>
      <c r="AD672" s="2">
        <f t="shared" si="18"/>
      </c>
      <c r="AE672" s="2">
        <f t="shared" si="19"/>
      </c>
      <c r="AF672" s="2">
        <f t="shared" si="20"/>
      </c>
      <c r="AG672" s="2">
        <f t="shared" si="21"/>
      </c>
      <c r="AH672" s="2">
        <f t="shared" si="22"/>
      </c>
      <c r="AI672" s="2">
        <f t="shared" si="23"/>
      </c>
      <c r="AJ672" s="2">
        <f t="shared" si="24"/>
        <v>0</v>
      </c>
      <c r="AK672" s="2">
        <f t="shared" si="25"/>
        <v>0</v>
      </c>
      <c r="AL672" s="2">
        <f t="shared" si="26"/>
        <v>0</v>
      </c>
      <c r="AM672" s="2">
        <f t="shared" si="27"/>
        <v>0</v>
      </c>
      <c r="AN672" s="2">
        <f t="shared" si="28"/>
        <v>0</v>
      </c>
      <c r="AO672" s="2">
        <f t="shared" si="29"/>
      </c>
      <c r="AP672" s="2">
        <f t="shared" si="30"/>
      </c>
      <c r="AQ672" s="2">
        <f t="shared" si="31"/>
      </c>
    </row>
    <row r="673">
      <c r="A673" s="43">
        <f t="shared" si="3"/>
      </c>
      <c r="B673" s="44" t="n"/>
      <c r="C673" s="45" t="n"/>
      <c r="D673" s="46" t="n"/>
      <c r="E673" s="47" t="n"/>
      <c r="F673" s="47" t="n"/>
      <c r="G673" s="48">
        <f t="shared" si="4"/>
      </c>
      <c r="H673" s="43">
        <f t="shared" si="0"/>
      </c>
      <c r="I673" s="43">
        <f t="shared" si="5"/>
      </c>
      <c r="J673" s="43">
        <f t="shared" si="1"/>
      </c>
      <c r="K673" s="49">
        <f t="shared" si="2"/>
      </c>
      <c r="L673" s="45" t="n"/>
      <c r="M673" s="45" t="n"/>
      <c r="N673" s="45" t="n"/>
      <c r="O673" s="45" t="n"/>
      <c r="P673" s="50" t="n"/>
      <c r="R673" s="2">
        <f t="shared" si="6"/>
        <v>0</v>
      </c>
      <c r="S673" s="2">
        <f t="shared" si="7"/>
      </c>
      <c r="T673" s="2">
        <f t="shared" si="8"/>
      </c>
      <c r="U673" s="2">
        <f t="shared" si="9"/>
      </c>
      <c r="V673" s="2">
        <f t="shared" si="10"/>
      </c>
      <c r="W673" s="2">
        <f t="shared" si="11"/>
      </c>
      <c r="X673" s="2">
        <f t="shared" si="12"/>
      </c>
      <c r="Y673" s="2">
        <f t="shared" si="13"/>
        <v>0</v>
      </c>
      <c r="Z673" s="2">
        <f t="shared" si="14"/>
      </c>
      <c r="AA673" s="2">
        <f t="shared" si="15"/>
        <v>0</v>
      </c>
      <c r="AB673" s="2">
        <f t="shared" si="16"/>
      </c>
      <c r="AC673" s="2">
        <f t="shared" si="17"/>
      </c>
      <c r="AD673" s="2">
        <f t="shared" si="18"/>
      </c>
      <c r="AE673" s="2">
        <f t="shared" si="19"/>
      </c>
      <c r="AF673" s="2">
        <f t="shared" si="20"/>
      </c>
      <c r="AG673" s="2">
        <f t="shared" si="21"/>
      </c>
      <c r="AH673" s="2">
        <f t="shared" si="22"/>
      </c>
      <c r="AI673" s="2">
        <f t="shared" si="23"/>
      </c>
      <c r="AJ673" s="2">
        <f t="shared" si="24"/>
        <v>0</v>
      </c>
      <c r="AK673" s="2">
        <f t="shared" si="25"/>
        <v>0</v>
      </c>
      <c r="AL673" s="2">
        <f t="shared" si="26"/>
        <v>0</v>
      </c>
      <c r="AM673" s="2">
        <f t="shared" si="27"/>
        <v>0</v>
      </c>
      <c r="AN673" s="2">
        <f t="shared" si="28"/>
        <v>0</v>
      </c>
      <c r="AO673" s="2">
        <f t="shared" si="29"/>
      </c>
      <c r="AP673" s="2">
        <f t="shared" si="30"/>
      </c>
      <c r="AQ673" s="2">
        <f t="shared" si="31"/>
      </c>
    </row>
    <row r="674">
      <c r="A674" s="43">
        <f t="shared" si="3"/>
      </c>
      <c r="B674" s="44" t="n"/>
      <c r="C674" s="45" t="n"/>
      <c r="D674" s="46" t="n"/>
      <c r="E674" s="47" t="n"/>
      <c r="F674" s="47" t="n"/>
      <c r="G674" s="48">
        <f t="shared" si="4"/>
      </c>
      <c r="H674" s="43">
        <f t="shared" si="0"/>
      </c>
      <c r="I674" s="43">
        <f t="shared" si="5"/>
      </c>
      <c r="J674" s="43">
        <f t="shared" si="1"/>
      </c>
      <c r="K674" s="49">
        <f t="shared" si="2"/>
      </c>
      <c r="L674" s="45" t="n"/>
      <c r="M674" s="45" t="n"/>
      <c r="N674" s="45" t="n"/>
      <c r="O674" s="45" t="n"/>
      <c r="P674" s="50" t="n"/>
      <c r="R674" s="2">
        <f t="shared" si="6"/>
        <v>0</v>
      </c>
      <c r="S674" s="2">
        <f t="shared" si="7"/>
      </c>
      <c r="T674" s="2">
        <f t="shared" si="8"/>
      </c>
      <c r="U674" s="2">
        <f t="shared" si="9"/>
      </c>
      <c r="V674" s="2">
        <f t="shared" si="10"/>
      </c>
      <c r="W674" s="2">
        <f t="shared" si="11"/>
      </c>
      <c r="X674" s="2">
        <f t="shared" si="12"/>
      </c>
      <c r="Y674" s="2">
        <f t="shared" si="13"/>
        <v>0</v>
      </c>
      <c r="Z674" s="2">
        <f t="shared" si="14"/>
      </c>
      <c r="AA674" s="2">
        <f t="shared" si="15"/>
        <v>0</v>
      </c>
      <c r="AB674" s="2">
        <f t="shared" si="16"/>
      </c>
      <c r="AC674" s="2">
        <f t="shared" si="17"/>
      </c>
      <c r="AD674" s="2">
        <f t="shared" si="18"/>
      </c>
      <c r="AE674" s="2">
        <f t="shared" si="19"/>
      </c>
      <c r="AF674" s="2">
        <f t="shared" si="20"/>
      </c>
      <c r="AG674" s="2">
        <f t="shared" si="21"/>
      </c>
      <c r="AH674" s="2">
        <f t="shared" si="22"/>
      </c>
      <c r="AI674" s="2">
        <f t="shared" si="23"/>
      </c>
      <c r="AJ674" s="2">
        <f t="shared" si="24"/>
        <v>0</v>
      </c>
      <c r="AK674" s="2">
        <f t="shared" si="25"/>
        <v>0</v>
      </c>
      <c r="AL674" s="2">
        <f t="shared" si="26"/>
        <v>0</v>
      </c>
      <c r="AM674" s="2">
        <f t="shared" si="27"/>
        <v>0</v>
      </c>
      <c r="AN674" s="2">
        <f t="shared" si="28"/>
        <v>0</v>
      </c>
      <c r="AO674" s="2">
        <f t="shared" si="29"/>
      </c>
      <c r="AP674" s="2">
        <f t="shared" si="30"/>
      </c>
      <c r="AQ674" s="2">
        <f t="shared" si="31"/>
      </c>
    </row>
    <row r="675">
      <c r="A675" s="43">
        <f t="shared" si="3"/>
      </c>
      <c r="B675" s="44" t="n"/>
      <c r="C675" s="45" t="n"/>
      <c r="D675" s="46" t="n"/>
      <c r="E675" s="47" t="n"/>
      <c r="F675" s="47" t="n"/>
      <c r="G675" s="48">
        <f t="shared" si="4"/>
      </c>
      <c r="H675" s="43">
        <f t="shared" si="0"/>
      </c>
      <c r="I675" s="43">
        <f t="shared" si="5"/>
      </c>
      <c r="J675" s="43">
        <f t="shared" si="1"/>
      </c>
      <c r="K675" s="49">
        <f t="shared" si="2"/>
      </c>
      <c r="L675" s="45" t="n"/>
      <c r="M675" s="45" t="n"/>
      <c r="N675" s="45" t="n"/>
      <c r="O675" s="45" t="n"/>
      <c r="P675" s="50" t="n"/>
      <c r="R675" s="2">
        <f t="shared" si="6"/>
        <v>0</v>
      </c>
      <c r="S675" s="2">
        <f t="shared" si="7"/>
      </c>
      <c r="T675" s="2">
        <f t="shared" si="8"/>
      </c>
      <c r="U675" s="2">
        <f t="shared" si="9"/>
      </c>
      <c r="V675" s="2">
        <f t="shared" si="10"/>
      </c>
      <c r="W675" s="2">
        <f t="shared" si="11"/>
      </c>
      <c r="X675" s="2">
        <f t="shared" si="12"/>
      </c>
      <c r="Y675" s="2">
        <f t="shared" si="13"/>
        <v>0</v>
      </c>
      <c r="Z675" s="2">
        <f t="shared" si="14"/>
      </c>
      <c r="AA675" s="2">
        <f t="shared" si="15"/>
        <v>0</v>
      </c>
      <c r="AB675" s="2">
        <f t="shared" si="16"/>
      </c>
      <c r="AC675" s="2">
        <f t="shared" si="17"/>
      </c>
      <c r="AD675" s="2">
        <f t="shared" si="18"/>
      </c>
      <c r="AE675" s="2">
        <f t="shared" si="19"/>
      </c>
      <c r="AF675" s="2">
        <f t="shared" si="20"/>
      </c>
      <c r="AG675" s="2">
        <f t="shared" si="21"/>
      </c>
      <c r="AH675" s="2">
        <f t="shared" si="22"/>
      </c>
      <c r="AI675" s="2">
        <f t="shared" si="23"/>
      </c>
      <c r="AJ675" s="2">
        <f t="shared" si="24"/>
        <v>0</v>
      </c>
      <c r="AK675" s="2">
        <f t="shared" si="25"/>
        <v>0</v>
      </c>
      <c r="AL675" s="2">
        <f t="shared" si="26"/>
        <v>0</v>
      </c>
      <c r="AM675" s="2">
        <f t="shared" si="27"/>
        <v>0</v>
      </c>
      <c r="AN675" s="2">
        <f t="shared" si="28"/>
        <v>0</v>
      </c>
      <c r="AO675" s="2">
        <f t="shared" si="29"/>
      </c>
      <c r="AP675" s="2">
        <f t="shared" si="30"/>
      </c>
      <c r="AQ675" s="2">
        <f t="shared" si="31"/>
      </c>
    </row>
    <row r="676">
      <c r="A676" s="43">
        <f t="shared" si="3"/>
      </c>
      <c r="B676" s="44" t="n"/>
      <c r="C676" s="45" t="n"/>
      <c r="D676" s="46" t="n"/>
      <c r="E676" s="47" t="n"/>
      <c r="F676" s="47" t="n"/>
      <c r="G676" s="48">
        <f t="shared" si="4"/>
      </c>
      <c r="H676" s="43">
        <f t="shared" si="0"/>
      </c>
      <c r="I676" s="43">
        <f t="shared" si="5"/>
      </c>
      <c r="J676" s="43">
        <f t="shared" si="1"/>
      </c>
      <c r="K676" s="49">
        <f t="shared" si="2"/>
      </c>
      <c r="L676" s="45" t="n"/>
      <c r="M676" s="45" t="n"/>
      <c r="N676" s="45" t="n"/>
      <c r="O676" s="45" t="n"/>
      <c r="P676" s="50" t="n"/>
      <c r="R676" s="2">
        <f t="shared" si="6"/>
        <v>0</v>
      </c>
      <c r="S676" s="2">
        <f t="shared" si="7"/>
      </c>
      <c r="T676" s="2">
        <f t="shared" si="8"/>
      </c>
      <c r="U676" s="2">
        <f t="shared" si="9"/>
      </c>
      <c r="V676" s="2">
        <f t="shared" si="10"/>
      </c>
      <c r="W676" s="2">
        <f t="shared" si="11"/>
      </c>
      <c r="X676" s="2">
        <f t="shared" si="12"/>
      </c>
      <c r="Y676" s="2">
        <f t="shared" si="13"/>
        <v>0</v>
      </c>
      <c r="Z676" s="2">
        <f t="shared" si="14"/>
      </c>
      <c r="AA676" s="2">
        <f t="shared" si="15"/>
        <v>0</v>
      </c>
      <c r="AB676" s="2">
        <f t="shared" si="16"/>
      </c>
      <c r="AC676" s="2">
        <f t="shared" si="17"/>
      </c>
      <c r="AD676" s="2">
        <f t="shared" si="18"/>
      </c>
      <c r="AE676" s="2">
        <f t="shared" si="19"/>
      </c>
      <c r="AF676" s="2">
        <f t="shared" si="20"/>
      </c>
      <c r="AG676" s="2">
        <f t="shared" si="21"/>
      </c>
      <c r="AH676" s="2">
        <f t="shared" si="22"/>
      </c>
      <c r="AI676" s="2">
        <f t="shared" si="23"/>
      </c>
      <c r="AJ676" s="2">
        <f t="shared" si="24"/>
        <v>0</v>
      </c>
      <c r="AK676" s="2">
        <f t="shared" si="25"/>
        <v>0</v>
      </c>
      <c r="AL676" s="2">
        <f t="shared" si="26"/>
        <v>0</v>
      </c>
      <c r="AM676" s="2">
        <f t="shared" si="27"/>
        <v>0</v>
      </c>
      <c r="AN676" s="2">
        <f t="shared" si="28"/>
        <v>0</v>
      </c>
      <c r="AO676" s="2">
        <f t="shared" si="29"/>
      </c>
      <c r="AP676" s="2">
        <f t="shared" si="30"/>
      </c>
      <c r="AQ676" s="2">
        <f t="shared" si="31"/>
      </c>
    </row>
    <row r="677">
      <c r="A677" s="43">
        <f t="shared" si="3"/>
      </c>
      <c r="B677" s="44" t="n"/>
      <c r="C677" s="45" t="n"/>
      <c r="D677" s="46" t="n"/>
      <c r="E677" s="47" t="n"/>
      <c r="F677" s="47" t="n"/>
      <c r="G677" s="48">
        <f t="shared" si="4"/>
      </c>
      <c r="H677" s="43">
        <f t="shared" si="0"/>
      </c>
      <c r="I677" s="43">
        <f t="shared" si="5"/>
      </c>
      <c r="J677" s="43">
        <f t="shared" si="1"/>
      </c>
      <c r="K677" s="49">
        <f t="shared" si="2"/>
      </c>
      <c r="L677" s="45" t="n"/>
      <c r="M677" s="45" t="n"/>
      <c r="N677" s="45" t="n"/>
      <c r="O677" s="45" t="n"/>
      <c r="P677" s="50" t="n"/>
      <c r="R677" s="2">
        <f t="shared" si="6"/>
        <v>0</v>
      </c>
      <c r="S677" s="2">
        <f t="shared" si="7"/>
      </c>
      <c r="T677" s="2">
        <f t="shared" si="8"/>
      </c>
      <c r="U677" s="2">
        <f t="shared" si="9"/>
      </c>
      <c r="V677" s="2">
        <f t="shared" si="10"/>
      </c>
      <c r="W677" s="2">
        <f t="shared" si="11"/>
      </c>
      <c r="X677" s="2">
        <f t="shared" si="12"/>
      </c>
      <c r="Y677" s="2">
        <f t="shared" si="13"/>
        <v>0</v>
      </c>
      <c r="Z677" s="2">
        <f t="shared" si="14"/>
      </c>
      <c r="AA677" s="2">
        <f t="shared" si="15"/>
        <v>0</v>
      </c>
      <c r="AB677" s="2">
        <f t="shared" si="16"/>
      </c>
      <c r="AC677" s="2">
        <f t="shared" si="17"/>
      </c>
      <c r="AD677" s="2">
        <f t="shared" si="18"/>
      </c>
      <c r="AE677" s="2">
        <f t="shared" si="19"/>
      </c>
      <c r="AF677" s="2">
        <f t="shared" si="20"/>
      </c>
      <c r="AG677" s="2">
        <f t="shared" si="21"/>
      </c>
      <c r="AH677" s="2">
        <f t="shared" si="22"/>
      </c>
      <c r="AI677" s="2">
        <f t="shared" si="23"/>
      </c>
      <c r="AJ677" s="2">
        <f t="shared" si="24"/>
        <v>0</v>
      </c>
      <c r="AK677" s="2">
        <f t="shared" si="25"/>
        <v>0</v>
      </c>
      <c r="AL677" s="2">
        <f t="shared" si="26"/>
        <v>0</v>
      </c>
      <c r="AM677" s="2">
        <f t="shared" si="27"/>
        <v>0</v>
      </c>
      <c r="AN677" s="2">
        <f t="shared" si="28"/>
        <v>0</v>
      </c>
      <c r="AO677" s="2">
        <f t="shared" si="29"/>
      </c>
      <c r="AP677" s="2">
        <f t="shared" si="30"/>
      </c>
      <c r="AQ677" s="2">
        <f t="shared" si="31"/>
      </c>
    </row>
    <row r="678">
      <c r="A678" s="43">
        <f t="shared" si="3"/>
      </c>
      <c r="B678" s="44" t="n"/>
      <c r="C678" s="45" t="n"/>
      <c r="D678" s="46" t="n"/>
      <c r="E678" s="47" t="n"/>
      <c r="F678" s="47" t="n"/>
      <c r="G678" s="48">
        <f t="shared" si="4"/>
      </c>
      <c r="H678" s="43">
        <f t="shared" si="0"/>
      </c>
      <c r="I678" s="43">
        <f t="shared" si="5"/>
      </c>
      <c r="J678" s="43">
        <f t="shared" si="1"/>
      </c>
      <c r="K678" s="49">
        <f t="shared" si="2"/>
      </c>
      <c r="L678" s="45" t="n"/>
      <c r="M678" s="45" t="n"/>
      <c r="N678" s="45" t="n"/>
      <c r="O678" s="45" t="n"/>
      <c r="P678" s="50" t="n"/>
      <c r="R678" s="2">
        <f t="shared" si="6"/>
        <v>0</v>
      </c>
      <c r="S678" s="2">
        <f t="shared" si="7"/>
      </c>
      <c r="T678" s="2">
        <f t="shared" si="8"/>
      </c>
      <c r="U678" s="2">
        <f t="shared" si="9"/>
      </c>
      <c r="V678" s="2">
        <f t="shared" si="10"/>
      </c>
      <c r="W678" s="2">
        <f t="shared" si="11"/>
      </c>
      <c r="X678" s="2">
        <f t="shared" si="12"/>
      </c>
      <c r="Y678" s="2">
        <f t="shared" si="13"/>
        <v>0</v>
      </c>
      <c r="Z678" s="2">
        <f t="shared" si="14"/>
      </c>
      <c r="AA678" s="2">
        <f t="shared" si="15"/>
        <v>0</v>
      </c>
      <c r="AB678" s="2">
        <f t="shared" si="16"/>
      </c>
      <c r="AC678" s="2">
        <f t="shared" si="17"/>
      </c>
      <c r="AD678" s="2">
        <f t="shared" si="18"/>
      </c>
      <c r="AE678" s="2">
        <f t="shared" si="19"/>
      </c>
      <c r="AF678" s="2">
        <f t="shared" si="20"/>
      </c>
      <c r="AG678" s="2">
        <f t="shared" si="21"/>
      </c>
      <c r="AH678" s="2">
        <f t="shared" si="22"/>
      </c>
      <c r="AI678" s="2">
        <f t="shared" si="23"/>
      </c>
      <c r="AJ678" s="2">
        <f t="shared" si="24"/>
        <v>0</v>
      </c>
      <c r="AK678" s="2">
        <f t="shared" si="25"/>
        <v>0</v>
      </c>
      <c r="AL678" s="2">
        <f t="shared" si="26"/>
        <v>0</v>
      </c>
      <c r="AM678" s="2">
        <f t="shared" si="27"/>
        <v>0</v>
      </c>
      <c r="AN678" s="2">
        <f t="shared" si="28"/>
        <v>0</v>
      </c>
      <c r="AO678" s="2">
        <f t="shared" si="29"/>
      </c>
      <c r="AP678" s="2">
        <f t="shared" si="30"/>
      </c>
      <c r="AQ678" s="2">
        <f t="shared" si="31"/>
      </c>
    </row>
    <row r="679">
      <c r="A679" s="43">
        <f t="shared" si="3"/>
      </c>
      <c r="B679" s="44" t="n"/>
      <c r="C679" s="45" t="n"/>
      <c r="D679" s="46" t="n"/>
      <c r="E679" s="47" t="n"/>
      <c r="F679" s="47" t="n"/>
      <c r="G679" s="48">
        <f t="shared" si="4"/>
      </c>
      <c r="H679" s="43">
        <f t="shared" si="0"/>
      </c>
      <c r="I679" s="43">
        <f t="shared" si="5"/>
      </c>
      <c r="J679" s="43">
        <f t="shared" si="1"/>
      </c>
      <c r="K679" s="49">
        <f t="shared" si="2"/>
      </c>
      <c r="L679" s="45" t="n"/>
      <c r="M679" s="45" t="n"/>
      <c r="N679" s="45" t="n"/>
      <c r="O679" s="45" t="n"/>
      <c r="P679" s="50" t="n"/>
      <c r="R679" s="2">
        <f t="shared" si="6"/>
        <v>0</v>
      </c>
      <c r="S679" s="2">
        <f t="shared" si="7"/>
      </c>
      <c r="T679" s="2">
        <f t="shared" si="8"/>
      </c>
      <c r="U679" s="2">
        <f t="shared" si="9"/>
      </c>
      <c r="V679" s="2">
        <f t="shared" si="10"/>
      </c>
      <c r="W679" s="2">
        <f t="shared" si="11"/>
      </c>
      <c r="X679" s="2">
        <f t="shared" si="12"/>
      </c>
      <c r="Y679" s="2">
        <f t="shared" si="13"/>
        <v>0</v>
      </c>
      <c r="Z679" s="2">
        <f t="shared" si="14"/>
      </c>
      <c r="AA679" s="2">
        <f t="shared" si="15"/>
        <v>0</v>
      </c>
      <c r="AB679" s="2">
        <f t="shared" si="16"/>
      </c>
      <c r="AC679" s="2">
        <f t="shared" si="17"/>
      </c>
      <c r="AD679" s="2">
        <f t="shared" si="18"/>
      </c>
      <c r="AE679" s="2">
        <f t="shared" si="19"/>
      </c>
      <c r="AF679" s="2">
        <f t="shared" si="20"/>
      </c>
      <c r="AG679" s="2">
        <f t="shared" si="21"/>
      </c>
      <c r="AH679" s="2">
        <f t="shared" si="22"/>
      </c>
      <c r="AI679" s="2">
        <f t="shared" si="23"/>
      </c>
      <c r="AJ679" s="2">
        <f t="shared" si="24"/>
        <v>0</v>
      </c>
      <c r="AK679" s="2">
        <f t="shared" si="25"/>
        <v>0</v>
      </c>
      <c r="AL679" s="2">
        <f t="shared" si="26"/>
        <v>0</v>
      </c>
      <c r="AM679" s="2">
        <f t="shared" si="27"/>
        <v>0</v>
      </c>
      <c r="AN679" s="2">
        <f t="shared" si="28"/>
        <v>0</v>
      </c>
      <c r="AO679" s="2">
        <f t="shared" si="29"/>
      </c>
      <c r="AP679" s="2">
        <f t="shared" si="30"/>
      </c>
      <c r="AQ679" s="2">
        <f t="shared" si="31"/>
      </c>
    </row>
    <row r="680">
      <c r="A680" s="43">
        <f t="shared" si="3"/>
      </c>
      <c r="B680" s="44" t="n"/>
      <c r="C680" s="45" t="n"/>
      <c r="D680" s="46" t="n"/>
      <c r="E680" s="47" t="n"/>
      <c r="F680" s="47" t="n"/>
      <c r="G680" s="48">
        <f t="shared" si="4"/>
      </c>
      <c r="H680" s="43">
        <f t="shared" si="0"/>
      </c>
      <c r="I680" s="43">
        <f t="shared" si="5"/>
      </c>
      <c r="J680" s="43">
        <f t="shared" si="1"/>
      </c>
      <c r="K680" s="49">
        <f t="shared" si="2"/>
      </c>
      <c r="L680" s="45" t="n"/>
      <c r="M680" s="45" t="n"/>
      <c r="N680" s="45" t="n"/>
      <c r="O680" s="45" t="n"/>
      <c r="P680" s="50" t="n"/>
      <c r="R680" s="2">
        <f t="shared" si="6"/>
        <v>0</v>
      </c>
      <c r="S680" s="2">
        <f t="shared" si="7"/>
      </c>
      <c r="T680" s="2">
        <f t="shared" si="8"/>
      </c>
      <c r="U680" s="2">
        <f t="shared" si="9"/>
      </c>
      <c r="V680" s="2">
        <f t="shared" si="10"/>
      </c>
      <c r="W680" s="2">
        <f t="shared" si="11"/>
      </c>
      <c r="X680" s="2">
        <f t="shared" si="12"/>
      </c>
      <c r="Y680" s="2">
        <f t="shared" si="13"/>
        <v>0</v>
      </c>
      <c r="Z680" s="2">
        <f t="shared" si="14"/>
      </c>
      <c r="AA680" s="2">
        <f t="shared" si="15"/>
        <v>0</v>
      </c>
      <c r="AB680" s="2">
        <f t="shared" si="16"/>
      </c>
      <c r="AC680" s="2">
        <f t="shared" si="17"/>
      </c>
      <c r="AD680" s="2">
        <f t="shared" si="18"/>
      </c>
      <c r="AE680" s="2">
        <f t="shared" si="19"/>
      </c>
      <c r="AF680" s="2">
        <f t="shared" si="20"/>
      </c>
      <c r="AG680" s="2">
        <f t="shared" si="21"/>
      </c>
      <c r="AH680" s="2">
        <f t="shared" si="22"/>
      </c>
      <c r="AI680" s="2">
        <f t="shared" si="23"/>
      </c>
      <c r="AJ680" s="2">
        <f t="shared" si="24"/>
        <v>0</v>
      </c>
      <c r="AK680" s="2">
        <f t="shared" si="25"/>
        <v>0</v>
      </c>
      <c r="AL680" s="2">
        <f t="shared" si="26"/>
        <v>0</v>
      </c>
      <c r="AM680" s="2">
        <f t="shared" si="27"/>
        <v>0</v>
      </c>
      <c r="AN680" s="2">
        <f t="shared" si="28"/>
        <v>0</v>
      </c>
      <c r="AO680" s="2">
        <f t="shared" si="29"/>
      </c>
      <c r="AP680" s="2">
        <f t="shared" si="30"/>
      </c>
      <c r="AQ680" s="2">
        <f t="shared" si="31"/>
      </c>
    </row>
    <row r="681">
      <c r="A681" s="43">
        <f t="shared" si="3"/>
      </c>
      <c r="B681" s="44" t="n"/>
      <c r="C681" s="45" t="n"/>
      <c r="D681" s="46" t="n"/>
      <c r="E681" s="47" t="n"/>
      <c r="F681" s="47" t="n"/>
      <c r="G681" s="48">
        <f t="shared" si="4"/>
      </c>
      <c r="H681" s="43">
        <f t="shared" si="0"/>
      </c>
      <c r="I681" s="43">
        <f t="shared" si="5"/>
      </c>
      <c r="J681" s="43">
        <f t="shared" si="1"/>
      </c>
      <c r="K681" s="49">
        <f t="shared" si="2"/>
      </c>
      <c r="L681" s="45" t="n"/>
      <c r="M681" s="45" t="n"/>
      <c r="N681" s="45" t="n"/>
      <c r="O681" s="45" t="n"/>
      <c r="P681" s="50" t="n"/>
      <c r="R681" s="2">
        <f t="shared" si="6"/>
        <v>0</v>
      </c>
      <c r="S681" s="2">
        <f t="shared" si="7"/>
      </c>
      <c r="T681" s="2">
        <f t="shared" si="8"/>
      </c>
      <c r="U681" s="2">
        <f t="shared" si="9"/>
      </c>
      <c r="V681" s="2">
        <f t="shared" si="10"/>
      </c>
      <c r="W681" s="2">
        <f t="shared" si="11"/>
      </c>
      <c r="X681" s="2">
        <f t="shared" si="12"/>
      </c>
      <c r="Y681" s="2">
        <f t="shared" si="13"/>
        <v>0</v>
      </c>
      <c r="Z681" s="2">
        <f t="shared" si="14"/>
      </c>
      <c r="AA681" s="2">
        <f t="shared" si="15"/>
        <v>0</v>
      </c>
      <c r="AB681" s="2">
        <f t="shared" si="16"/>
      </c>
      <c r="AC681" s="2">
        <f t="shared" si="17"/>
      </c>
      <c r="AD681" s="2">
        <f t="shared" si="18"/>
      </c>
      <c r="AE681" s="2">
        <f t="shared" si="19"/>
      </c>
      <c r="AF681" s="2">
        <f t="shared" si="20"/>
      </c>
      <c r="AG681" s="2">
        <f t="shared" si="21"/>
      </c>
      <c r="AH681" s="2">
        <f t="shared" si="22"/>
      </c>
      <c r="AI681" s="2">
        <f t="shared" si="23"/>
      </c>
      <c r="AJ681" s="2">
        <f t="shared" si="24"/>
        <v>0</v>
      </c>
      <c r="AK681" s="2">
        <f t="shared" si="25"/>
        <v>0</v>
      </c>
      <c r="AL681" s="2">
        <f t="shared" si="26"/>
        <v>0</v>
      </c>
      <c r="AM681" s="2">
        <f t="shared" si="27"/>
        <v>0</v>
      </c>
      <c r="AN681" s="2">
        <f t="shared" si="28"/>
        <v>0</v>
      </c>
      <c r="AO681" s="2">
        <f t="shared" si="29"/>
      </c>
      <c r="AP681" s="2">
        <f t="shared" si="30"/>
      </c>
      <c r="AQ681" s="2">
        <f t="shared" si="31"/>
      </c>
    </row>
    <row r="682">
      <c r="A682" s="43">
        <f t="shared" si="3"/>
      </c>
      <c r="B682" s="44" t="n"/>
      <c r="C682" s="45" t="n"/>
      <c r="D682" s="46" t="n"/>
      <c r="E682" s="47" t="n"/>
      <c r="F682" s="47" t="n"/>
      <c r="G682" s="48">
        <f t="shared" si="4"/>
      </c>
      <c r="H682" s="43">
        <f t="shared" si="0"/>
      </c>
      <c r="I682" s="43">
        <f t="shared" si="5"/>
      </c>
      <c r="J682" s="43">
        <f t="shared" si="1"/>
      </c>
      <c r="K682" s="49">
        <f t="shared" si="2"/>
      </c>
      <c r="L682" s="45" t="n"/>
      <c r="M682" s="45" t="n"/>
      <c r="N682" s="45" t="n"/>
      <c r="O682" s="45" t="n"/>
      <c r="P682" s="50" t="n"/>
      <c r="R682" s="2">
        <f t="shared" si="6"/>
        <v>0</v>
      </c>
      <c r="S682" s="2">
        <f t="shared" si="7"/>
      </c>
      <c r="T682" s="2">
        <f t="shared" si="8"/>
      </c>
      <c r="U682" s="2">
        <f t="shared" si="9"/>
      </c>
      <c r="V682" s="2">
        <f t="shared" si="10"/>
      </c>
      <c r="W682" s="2">
        <f t="shared" si="11"/>
      </c>
      <c r="X682" s="2">
        <f t="shared" si="12"/>
      </c>
      <c r="Y682" s="2">
        <f t="shared" si="13"/>
        <v>0</v>
      </c>
      <c r="Z682" s="2">
        <f t="shared" si="14"/>
      </c>
      <c r="AA682" s="2">
        <f t="shared" si="15"/>
        <v>0</v>
      </c>
      <c r="AB682" s="2">
        <f t="shared" si="16"/>
      </c>
      <c r="AC682" s="2">
        <f t="shared" si="17"/>
      </c>
      <c r="AD682" s="2">
        <f t="shared" si="18"/>
      </c>
      <c r="AE682" s="2">
        <f t="shared" si="19"/>
      </c>
      <c r="AF682" s="2">
        <f t="shared" si="20"/>
      </c>
      <c r="AG682" s="2">
        <f t="shared" si="21"/>
      </c>
      <c r="AH682" s="2">
        <f t="shared" si="22"/>
      </c>
      <c r="AI682" s="2">
        <f t="shared" si="23"/>
      </c>
      <c r="AJ682" s="2">
        <f t="shared" si="24"/>
        <v>0</v>
      </c>
      <c r="AK682" s="2">
        <f t="shared" si="25"/>
        <v>0</v>
      </c>
      <c r="AL682" s="2">
        <f t="shared" si="26"/>
        <v>0</v>
      </c>
      <c r="AM682" s="2">
        <f t="shared" si="27"/>
        <v>0</v>
      </c>
      <c r="AN682" s="2">
        <f t="shared" si="28"/>
        <v>0</v>
      </c>
      <c r="AO682" s="2">
        <f t="shared" si="29"/>
      </c>
      <c r="AP682" s="2">
        <f t="shared" si="30"/>
      </c>
      <c r="AQ682" s="2">
        <f t="shared" si="31"/>
      </c>
    </row>
    <row r="683">
      <c r="A683" s="43">
        <f t="shared" si="3"/>
      </c>
      <c r="B683" s="44" t="n"/>
      <c r="C683" s="45" t="n"/>
      <c r="D683" s="46" t="n"/>
      <c r="E683" s="47" t="n"/>
      <c r="F683" s="47" t="n"/>
      <c r="G683" s="48">
        <f t="shared" si="4"/>
      </c>
      <c r="H683" s="43">
        <f t="shared" si="0"/>
      </c>
      <c r="I683" s="43">
        <f t="shared" si="5"/>
      </c>
      <c r="J683" s="43">
        <f t="shared" si="1"/>
      </c>
      <c r="K683" s="49">
        <f t="shared" si="2"/>
      </c>
      <c r="L683" s="45" t="n"/>
      <c r="M683" s="45" t="n"/>
      <c r="N683" s="45" t="n"/>
      <c r="O683" s="45" t="n"/>
      <c r="P683" s="50" t="n"/>
      <c r="R683" s="2">
        <f t="shared" si="6"/>
        <v>0</v>
      </c>
      <c r="S683" s="2">
        <f t="shared" si="7"/>
      </c>
      <c r="T683" s="2">
        <f t="shared" si="8"/>
      </c>
      <c r="U683" s="2">
        <f t="shared" si="9"/>
      </c>
      <c r="V683" s="2">
        <f t="shared" si="10"/>
      </c>
      <c r="W683" s="2">
        <f t="shared" si="11"/>
      </c>
      <c r="X683" s="2">
        <f t="shared" si="12"/>
      </c>
      <c r="Y683" s="2">
        <f t="shared" si="13"/>
        <v>0</v>
      </c>
      <c r="Z683" s="2">
        <f t="shared" si="14"/>
      </c>
      <c r="AA683" s="2">
        <f t="shared" si="15"/>
        <v>0</v>
      </c>
      <c r="AB683" s="2">
        <f t="shared" si="16"/>
      </c>
      <c r="AC683" s="2">
        <f t="shared" si="17"/>
      </c>
      <c r="AD683" s="2">
        <f t="shared" si="18"/>
      </c>
      <c r="AE683" s="2">
        <f t="shared" si="19"/>
      </c>
      <c r="AF683" s="2">
        <f t="shared" si="20"/>
      </c>
      <c r="AG683" s="2">
        <f t="shared" si="21"/>
      </c>
      <c r="AH683" s="2">
        <f t="shared" si="22"/>
      </c>
      <c r="AI683" s="2">
        <f t="shared" si="23"/>
      </c>
      <c r="AJ683" s="2">
        <f t="shared" si="24"/>
        <v>0</v>
      </c>
      <c r="AK683" s="2">
        <f t="shared" si="25"/>
        <v>0</v>
      </c>
      <c r="AL683" s="2">
        <f t="shared" si="26"/>
        <v>0</v>
      </c>
      <c r="AM683" s="2">
        <f t="shared" si="27"/>
        <v>0</v>
      </c>
      <c r="AN683" s="2">
        <f t="shared" si="28"/>
        <v>0</v>
      </c>
      <c r="AO683" s="2">
        <f t="shared" si="29"/>
      </c>
      <c r="AP683" s="2">
        <f t="shared" si="30"/>
      </c>
      <c r="AQ683" s="2">
        <f t="shared" si="31"/>
      </c>
    </row>
    <row r="684">
      <c r="A684" s="43">
        <f t="shared" si="3"/>
      </c>
      <c r="B684" s="44" t="n"/>
      <c r="C684" s="45" t="n"/>
      <c r="D684" s="46" t="n"/>
      <c r="E684" s="47" t="n"/>
      <c r="F684" s="47" t="n"/>
      <c r="G684" s="48">
        <f t="shared" si="4"/>
      </c>
      <c r="H684" s="43">
        <f t="shared" si="0"/>
      </c>
      <c r="I684" s="43">
        <f t="shared" si="5"/>
      </c>
      <c r="J684" s="43">
        <f t="shared" si="1"/>
      </c>
      <c r="K684" s="49">
        <f t="shared" si="2"/>
      </c>
      <c r="L684" s="45" t="n"/>
      <c r="M684" s="45" t="n"/>
      <c r="N684" s="45" t="n"/>
      <c r="O684" s="45" t="n"/>
      <c r="P684" s="50" t="n"/>
      <c r="R684" s="2">
        <f t="shared" si="6"/>
        <v>0</v>
      </c>
      <c r="S684" s="2">
        <f t="shared" si="7"/>
      </c>
      <c r="T684" s="2">
        <f t="shared" si="8"/>
      </c>
      <c r="U684" s="2">
        <f t="shared" si="9"/>
      </c>
      <c r="V684" s="2">
        <f t="shared" si="10"/>
      </c>
      <c r="W684" s="2">
        <f t="shared" si="11"/>
      </c>
      <c r="X684" s="2">
        <f t="shared" si="12"/>
      </c>
      <c r="Y684" s="2">
        <f t="shared" si="13"/>
        <v>0</v>
      </c>
      <c r="Z684" s="2">
        <f t="shared" si="14"/>
      </c>
      <c r="AA684" s="2">
        <f t="shared" si="15"/>
        <v>0</v>
      </c>
      <c r="AB684" s="2">
        <f t="shared" si="16"/>
      </c>
      <c r="AC684" s="2">
        <f t="shared" si="17"/>
      </c>
      <c r="AD684" s="2">
        <f t="shared" si="18"/>
      </c>
      <c r="AE684" s="2">
        <f t="shared" si="19"/>
      </c>
      <c r="AF684" s="2">
        <f t="shared" si="20"/>
      </c>
      <c r="AG684" s="2">
        <f t="shared" si="21"/>
      </c>
      <c r="AH684" s="2">
        <f t="shared" si="22"/>
      </c>
      <c r="AI684" s="2">
        <f t="shared" si="23"/>
      </c>
      <c r="AJ684" s="2">
        <f t="shared" si="24"/>
        <v>0</v>
      </c>
      <c r="AK684" s="2">
        <f t="shared" si="25"/>
        <v>0</v>
      </c>
      <c r="AL684" s="2">
        <f t="shared" si="26"/>
        <v>0</v>
      </c>
      <c r="AM684" s="2">
        <f t="shared" si="27"/>
        <v>0</v>
      </c>
      <c r="AN684" s="2">
        <f t="shared" si="28"/>
        <v>0</v>
      </c>
      <c r="AO684" s="2">
        <f t="shared" si="29"/>
      </c>
      <c r="AP684" s="2">
        <f t="shared" si="30"/>
      </c>
      <c r="AQ684" s="2">
        <f t="shared" si="31"/>
      </c>
    </row>
    <row r="685">
      <c r="A685" s="43">
        <f t="shared" si="3"/>
      </c>
      <c r="B685" s="44" t="n"/>
      <c r="C685" s="45" t="n"/>
      <c r="D685" s="46" t="n"/>
      <c r="E685" s="47" t="n"/>
      <c r="F685" s="47" t="n"/>
      <c r="G685" s="48">
        <f t="shared" si="4"/>
      </c>
      <c r="H685" s="43">
        <f t="shared" si="0"/>
      </c>
      <c r="I685" s="43">
        <f t="shared" si="5"/>
      </c>
      <c r="J685" s="43">
        <f t="shared" si="1"/>
      </c>
      <c r="K685" s="49">
        <f t="shared" si="2"/>
      </c>
      <c r="L685" s="45" t="n"/>
      <c r="M685" s="45" t="n"/>
      <c r="N685" s="45" t="n"/>
      <c r="O685" s="45" t="n"/>
      <c r="P685" s="50" t="n"/>
      <c r="R685" s="2">
        <f t="shared" si="6"/>
        <v>0</v>
      </c>
      <c r="S685" s="2">
        <f t="shared" si="7"/>
      </c>
      <c r="T685" s="2">
        <f t="shared" si="8"/>
      </c>
      <c r="U685" s="2">
        <f t="shared" si="9"/>
      </c>
      <c r="V685" s="2">
        <f t="shared" si="10"/>
      </c>
      <c r="W685" s="2">
        <f t="shared" si="11"/>
      </c>
      <c r="X685" s="2">
        <f t="shared" si="12"/>
      </c>
      <c r="Y685" s="2">
        <f t="shared" si="13"/>
        <v>0</v>
      </c>
      <c r="Z685" s="2">
        <f t="shared" si="14"/>
      </c>
      <c r="AA685" s="2">
        <f t="shared" si="15"/>
        <v>0</v>
      </c>
      <c r="AB685" s="2">
        <f t="shared" si="16"/>
      </c>
      <c r="AC685" s="2">
        <f t="shared" si="17"/>
      </c>
      <c r="AD685" s="2">
        <f t="shared" si="18"/>
      </c>
      <c r="AE685" s="2">
        <f t="shared" si="19"/>
      </c>
      <c r="AF685" s="2">
        <f t="shared" si="20"/>
      </c>
      <c r="AG685" s="2">
        <f t="shared" si="21"/>
      </c>
      <c r="AH685" s="2">
        <f t="shared" si="22"/>
      </c>
      <c r="AI685" s="2">
        <f t="shared" si="23"/>
      </c>
      <c r="AJ685" s="2">
        <f t="shared" si="24"/>
        <v>0</v>
      </c>
      <c r="AK685" s="2">
        <f t="shared" si="25"/>
        <v>0</v>
      </c>
      <c r="AL685" s="2">
        <f t="shared" si="26"/>
        <v>0</v>
      </c>
      <c r="AM685" s="2">
        <f t="shared" si="27"/>
        <v>0</v>
      </c>
      <c r="AN685" s="2">
        <f t="shared" si="28"/>
        <v>0</v>
      </c>
      <c r="AO685" s="2">
        <f t="shared" si="29"/>
      </c>
      <c r="AP685" s="2">
        <f t="shared" si="30"/>
      </c>
      <c r="AQ685" s="2">
        <f t="shared" si="31"/>
      </c>
    </row>
    <row r="686">
      <c r="A686" s="43">
        <f t="shared" si="3"/>
      </c>
      <c r="B686" s="44" t="n"/>
      <c r="C686" s="45" t="n"/>
      <c r="D686" s="46" t="n"/>
      <c r="E686" s="47" t="n"/>
      <c r="F686" s="47" t="n"/>
      <c r="G686" s="48">
        <f t="shared" si="4"/>
      </c>
      <c r="H686" s="43">
        <f t="shared" si="0"/>
      </c>
      <c r="I686" s="43">
        <f t="shared" si="5"/>
      </c>
      <c r="J686" s="43">
        <f t="shared" si="1"/>
      </c>
      <c r="K686" s="49">
        <f t="shared" si="2"/>
      </c>
      <c r="L686" s="45" t="n"/>
      <c r="M686" s="45" t="n"/>
      <c r="N686" s="45" t="n"/>
      <c r="O686" s="45" t="n"/>
      <c r="P686" s="50" t="n"/>
      <c r="R686" s="2">
        <f t="shared" si="6"/>
        <v>0</v>
      </c>
      <c r="S686" s="2">
        <f t="shared" si="7"/>
      </c>
      <c r="T686" s="2">
        <f t="shared" si="8"/>
      </c>
      <c r="U686" s="2">
        <f t="shared" si="9"/>
      </c>
      <c r="V686" s="2">
        <f t="shared" si="10"/>
      </c>
      <c r="W686" s="2">
        <f t="shared" si="11"/>
      </c>
      <c r="X686" s="2">
        <f t="shared" si="12"/>
      </c>
      <c r="Y686" s="2">
        <f t="shared" si="13"/>
        <v>0</v>
      </c>
      <c r="Z686" s="2">
        <f t="shared" si="14"/>
      </c>
      <c r="AA686" s="2">
        <f t="shared" si="15"/>
        <v>0</v>
      </c>
      <c r="AB686" s="2">
        <f t="shared" si="16"/>
      </c>
      <c r="AC686" s="2">
        <f t="shared" si="17"/>
      </c>
      <c r="AD686" s="2">
        <f t="shared" si="18"/>
      </c>
      <c r="AE686" s="2">
        <f t="shared" si="19"/>
      </c>
      <c r="AF686" s="2">
        <f t="shared" si="20"/>
      </c>
      <c r="AG686" s="2">
        <f t="shared" si="21"/>
      </c>
      <c r="AH686" s="2">
        <f t="shared" si="22"/>
      </c>
      <c r="AI686" s="2">
        <f t="shared" si="23"/>
      </c>
      <c r="AJ686" s="2">
        <f t="shared" si="24"/>
        <v>0</v>
      </c>
      <c r="AK686" s="2">
        <f t="shared" si="25"/>
        <v>0</v>
      </c>
      <c r="AL686" s="2">
        <f t="shared" si="26"/>
        <v>0</v>
      </c>
      <c r="AM686" s="2">
        <f t="shared" si="27"/>
        <v>0</v>
      </c>
      <c r="AN686" s="2">
        <f t="shared" si="28"/>
        <v>0</v>
      </c>
      <c r="AO686" s="2">
        <f t="shared" si="29"/>
      </c>
      <c r="AP686" s="2">
        <f t="shared" si="30"/>
      </c>
      <c r="AQ686" s="2">
        <f t="shared" si="31"/>
      </c>
    </row>
    <row r="687">
      <c r="A687" s="43">
        <f t="shared" si="3"/>
      </c>
      <c r="B687" s="44" t="n"/>
      <c r="C687" s="45" t="n"/>
      <c r="D687" s="46" t="n"/>
      <c r="E687" s="47" t="n"/>
      <c r="F687" s="47" t="n"/>
      <c r="G687" s="48">
        <f t="shared" si="4"/>
      </c>
      <c r="H687" s="43">
        <f t="shared" si="0"/>
      </c>
      <c r="I687" s="43">
        <f t="shared" si="5"/>
      </c>
      <c r="J687" s="43">
        <f t="shared" si="1"/>
      </c>
      <c r="K687" s="49">
        <f t="shared" si="2"/>
      </c>
      <c r="L687" s="45" t="n"/>
      <c r="M687" s="45" t="n"/>
      <c r="N687" s="45" t="n"/>
      <c r="O687" s="45" t="n"/>
      <c r="P687" s="50" t="n"/>
      <c r="R687" s="2">
        <f t="shared" si="6"/>
        <v>0</v>
      </c>
      <c r="S687" s="2">
        <f t="shared" si="7"/>
      </c>
      <c r="T687" s="2">
        <f t="shared" si="8"/>
      </c>
      <c r="U687" s="2">
        <f t="shared" si="9"/>
      </c>
      <c r="V687" s="2">
        <f t="shared" si="10"/>
      </c>
      <c r="W687" s="2">
        <f t="shared" si="11"/>
      </c>
      <c r="X687" s="2">
        <f t="shared" si="12"/>
      </c>
      <c r="Y687" s="2">
        <f t="shared" si="13"/>
        <v>0</v>
      </c>
      <c r="Z687" s="2">
        <f t="shared" si="14"/>
      </c>
      <c r="AA687" s="2">
        <f t="shared" si="15"/>
        <v>0</v>
      </c>
      <c r="AB687" s="2">
        <f t="shared" si="16"/>
      </c>
      <c r="AC687" s="2">
        <f t="shared" si="17"/>
      </c>
      <c r="AD687" s="2">
        <f t="shared" si="18"/>
      </c>
      <c r="AE687" s="2">
        <f t="shared" si="19"/>
      </c>
      <c r="AF687" s="2">
        <f t="shared" si="20"/>
      </c>
      <c r="AG687" s="2">
        <f t="shared" si="21"/>
      </c>
      <c r="AH687" s="2">
        <f t="shared" si="22"/>
      </c>
      <c r="AI687" s="2">
        <f t="shared" si="23"/>
      </c>
      <c r="AJ687" s="2">
        <f t="shared" si="24"/>
        <v>0</v>
      </c>
      <c r="AK687" s="2">
        <f t="shared" si="25"/>
        <v>0</v>
      </c>
      <c r="AL687" s="2">
        <f t="shared" si="26"/>
        <v>0</v>
      </c>
      <c r="AM687" s="2">
        <f t="shared" si="27"/>
        <v>0</v>
      </c>
      <c r="AN687" s="2">
        <f t="shared" si="28"/>
        <v>0</v>
      </c>
      <c r="AO687" s="2">
        <f t="shared" si="29"/>
      </c>
      <c r="AP687" s="2">
        <f t="shared" si="30"/>
      </c>
      <c r="AQ687" s="2">
        <f t="shared" si="31"/>
      </c>
    </row>
    <row r="688">
      <c r="A688" s="43">
        <f t="shared" si="3"/>
      </c>
      <c r="B688" s="44" t="n"/>
      <c r="C688" s="45" t="n"/>
      <c r="D688" s="46" t="n"/>
      <c r="E688" s="47" t="n"/>
      <c r="F688" s="47" t="n"/>
      <c r="G688" s="48">
        <f t="shared" si="4"/>
      </c>
      <c r="H688" s="43">
        <f t="shared" si="0"/>
      </c>
      <c r="I688" s="43">
        <f t="shared" si="5"/>
      </c>
      <c r="J688" s="43">
        <f t="shared" si="1"/>
      </c>
      <c r="K688" s="49">
        <f t="shared" si="2"/>
      </c>
      <c r="L688" s="45" t="n"/>
      <c r="M688" s="45" t="n"/>
      <c r="N688" s="45" t="n"/>
      <c r="O688" s="45" t="n"/>
      <c r="P688" s="50" t="n"/>
      <c r="R688" s="2">
        <f t="shared" si="6"/>
        <v>0</v>
      </c>
      <c r="S688" s="2">
        <f t="shared" si="7"/>
      </c>
      <c r="T688" s="2">
        <f t="shared" si="8"/>
      </c>
      <c r="U688" s="2">
        <f t="shared" si="9"/>
      </c>
      <c r="V688" s="2">
        <f t="shared" si="10"/>
      </c>
      <c r="W688" s="2">
        <f t="shared" si="11"/>
      </c>
      <c r="X688" s="2">
        <f t="shared" si="12"/>
      </c>
      <c r="Y688" s="2">
        <f t="shared" si="13"/>
        <v>0</v>
      </c>
      <c r="Z688" s="2">
        <f t="shared" si="14"/>
      </c>
      <c r="AA688" s="2">
        <f t="shared" si="15"/>
        <v>0</v>
      </c>
      <c r="AB688" s="2">
        <f t="shared" si="16"/>
      </c>
      <c r="AC688" s="2">
        <f t="shared" si="17"/>
      </c>
      <c r="AD688" s="2">
        <f t="shared" si="18"/>
      </c>
      <c r="AE688" s="2">
        <f t="shared" si="19"/>
      </c>
      <c r="AF688" s="2">
        <f t="shared" si="20"/>
      </c>
      <c r="AG688" s="2">
        <f t="shared" si="21"/>
      </c>
      <c r="AH688" s="2">
        <f t="shared" si="22"/>
      </c>
      <c r="AI688" s="2">
        <f t="shared" si="23"/>
      </c>
      <c r="AJ688" s="2">
        <f t="shared" si="24"/>
        <v>0</v>
      </c>
      <c r="AK688" s="2">
        <f t="shared" si="25"/>
        <v>0</v>
      </c>
      <c r="AL688" s="2">
        <f t="shared" si="26"/>
        <v>0</v>
      </c>
      <c r="AM688" s="2">
        <f t="shared" si="27"/>
        <v>0</v>
      </c>
      <c r="AN688" s="2">
        <f t="shared" si="28"/>
        <v>0</v>
      </c>
      <c r="AO688" s="2">
        <f t="shared" si="29"/>
      </c>
      <c r="AP688" s="2">
        <f t="shared" si="30"/>
      </c>
      <c r="AQ688" s="2">
        <f t="shared" si="31"/>
      </c>
    </row>
    <row r="689">
      <c r="A689" s="43">
        <f t="shared" si="3"/>
      </c>
      <c r="B689" s="44" t="n"/>
      <c r="C689" s="45" t="n"/>
      <c r="D689" s="46" t="n"/>
      <c r="E689" s="47" t="n"/>
      <c r="F689" s="47" t="n"/>
      <c r="G689" s="48">
        <f t="shared" si="4"/>
      </c>
      <c r="H689" s="43">
        <f t="shared" si="0"/>
      </c>
      <c r="I689" s="43">
        <f t="shared" si="5"/>
      </c>
      <c r="J689" s="43">
        <f t="shared" si="1"/>
      </c>
      <c r="K689" s="49">
        <f t="shared" si="2"/>
      </c>
      <c r="L689" s="45" t="n"/>
      <c r="M689" s="45" t="n"/>
      <c r="N689" s="45" t="n"/>
      <c r="O689" s="45" t="n"/>
      <c r="P689" s="50" t="n"/>
      <c r="R689" s="2">
        <f t="shared" si="6"/>
        <v>0</v>
      </c>
      <c r="S689" s="2">
        <f t="shared" si="7"/>
      </c>
      <c r="T689" s="2">
        <f t="shared" si="8"/>
      </c>
      <c r="U689" s="2">
        <f t="shared" si="9"/>
      </c>
      <c r="V689" s="2">
        <f t="shared" si="10"/>
      </c>
      <c r="W689" s="2">
        <f t="shared" si="11"/>
      </c>
      <c r="X689" s="2">
        <f t="shared" si="12"/>
      </c>
      <c r="Y689" s="2">
        <f t="shared" si="13"/>
        <v>0</v>
      </c>
      <c r="Z689" s="2">
        <f t="shared" si="14"/>
      </c>
      <c r="AA689" s="2">
        <f t="shared" si="15"/>
        <v>0</v>
      </c>
      <c r="AB689" s="2">
        <f t="shared" si="16"/>
      </c>
      <c r="AC689" s="2">
        <f t="shared" si="17"/>
      </c>
      <c r="AD689" s="2">
        <f t="shared" si="18"/>
      </c>
      <c r="AE689" s="2">
        <f t="shared" si="19"/>
      </c>
      <c r="AF689" s="2">
        <f t="shared" si="20"/>
      </c>
      <c r="AG689" s="2">
        <f t="shared" si="21"/>
      </c>
      <c r="AH689" s="2">
        <f t="shared" si="22"/>
      </c>
      <c r="AI689" s="2">
        <f t="shared" si="23"/>
      </c>
      <c r="AJ689" s="2">
        <f t="shared" si="24"/>
        <v>0</v>
      </c>
      <c r="AK689" s="2">
        <f t="shared" si="25"/>
        <v>0</v>
      </c>
      <c r="AL689" s="2">
        <f t="shared" si="26"/>
        <v>0</v>
      </c>
      <c r="AM689" s="2">
        <f t="shared" si="27"/>
        <v>0</v>
      </c>
      <c r="AN689" s="2">
        <f t="shared" si="28"/>
        <v>0</v>
      </c>
      <c r="AO689" s="2">
        <f t="shared" si="29"/>
      </c>
      <c r="AP689" s="2">
        <f t="shared" si="30"/>
      </c>
      <c r="AQ689" s="2">
        <f t="shared" si="31"/>
      </c>
    </row>
    <row r="690">
      <c r="A690" s="43">
        <f t="shared" si="3"/>
      </c>
      <c r="B690" s="44" t="n"/>
      <c r="C690" s="45" t="n"/>
      <c r="D690" s="46" t="n"/>
      <c r="E690" s="47" t="n"/>
      <c r="F690" s="47" t="n"/>
      <c r="G690" s="48">
        <f t="shared" si="4"/>
      </c>
      <c r="H690" s="43">
        <f t="shared" si="0"/>
      </c>
      <c r="I690" s="43">
        <f t="shared" si="5"/>
      </c>
      <c r="J690" s="43">
        <f t="shared" si="1"/>
      </c>
      <c r="K690" s="49">
        <f t="shared" si="2"/>
      </c>
      <c r="L690" s="45" t="n"/>
      <c r="M690" s="45" t="n"/>
      <c r="N690" s="45" t="n"/>
      <c r="O690" s="45" t="n"/>
      <c r="P690" s="50" t="n"/>
      <c r="R690" s="2">
        <f t="shared" si="6"/>
        <v>0</v>
      </c>
      <c r="S690" s="2">
        <f t="shared" si="7"/>
      </c>
      <c r="T690" s="2">
        <f t="shared" si="8"/>
      </c>
      <c r="U690" s="2">
        <f t="shared" si="9"/>
      </c>
      <c r="V690" s="2">
        <f t="shared" si="10"/>
      </c>
      <c r="W690" s="2">
        <f t="shared" si="11"/>
      </c>
      <c r="X690" s="2">
        <f t="shared" si="12"/>
      </c>
      <c r="Y690" s="2">
        <f t="shared" si="13"/>
        <v>0</v>
      </c>
      <c r="Z690" s="2">
        <f t="shared" si="14"/>
      </c>
      <c r="AA690" s="2">
        <f t="shared" si="15"/>
        <v>0</v>
      </c>
      <c r="AB690" s="2">
        <f t="shared" si="16"/>
      </c>
      <c r="AC690" s="2">
        <f t="shared" si="17"/>
      </c>
      <c r="AD690" s="2">
        <f t="shared" si="18"/>
      </c>
      <c r="AE690" s="2">
        <f t="shared" si="19"/>
      </c>
      <c r="AF690" s="2">
        <f t="shared" si="20"/>
      </c>
      <c r="AG690" s="2">
        <f t="shared" si="21"/>
      </c>
      <c r="AH690" s="2">
        <f t="shared" si="22"/>
      </c>
      <c r="AI690" s="2">
        <f t="shared" si="23"/>
      </c>
      <c r="AJ690" s="2">
        <f t="shared" si="24"/>
        <v>0</v>
      </c>
      <c r="AK690" s="2">
        <f t="shared" si="25"/>
        <v>0</v>
      </c>
      <c r="AL690" s="2">
        <f t="shared" si="26"/>
        <v>0</v>
      </c>
      <c r="AM690" s="2">
        <f t="shared" si="27"/>
        <v>0</v>
      </c>
      <c r="AN690" s="2">
        <f t="shared" si="28"/>
        <v>0</v>
      </c>
      <c r="AO690" s="2">
        <f t="shared" si="29"/>
      </c>
      <c r="AP690" s="2">
        <f t="shared" si="30"/>
      </c>
      <c r="AQ690" s="2">
        <f t="shared" si="31"/>
      </c>
    </row>
    <row r="691">
      <c r="A691" s="43">
        <f t="shared" si="3"/>
      </c>
      <c r="B691" s="44" t="n"/>
      <c r="C691" s="45" t="n"/>
      <c r="D691" s="46" t="n"/>
      <c r="E691" s="47" t="n"/>
      <c r="F691" s="47" t="n"/>
      <c r="G691" s="48">
        <f t="shared" si="4"/>
      </c>
      <c r="H691" s="43">
        <f t="shared" si="0"/>
      </c>
      <c r="I691" s="43">
        <f t="shared" si="5"/>
      </c>
      <c r="J691" s="43">
        <f t="shared" si="1"/>
      </c>
      <c r="K691" s="49">
        <f t="shared" si="2"/>
      </c>
      <c r="L691" s="45" t="n"/>
      <c r="M691" s="45" t="n"/>
      <c r="N691" s="45" t="n"/>
      <c r="O691" s="45" t="n"/>
      <c r="P691" s="50" t="n"/>
      <c r="R691" s="2">
        <f t="shared" si="6"/>
        <v>0</v>
      </c>
      <c r="S691" s="2">
        <f t="shared" si="7"/>
      </c>
      <c r="T691" s="2">
        <f t="shared" si="8"/>
      </c>
      <c r="U691" s="2">
        <f t="shared" si="9"/>
      </c>
      <c r="V691" s="2">
        <f t="shared" si="10"/>
      </c>
      <c r="W691" s="2">
        <f t="shared" si="11"/>
      </c>
      <c r="X691" s="2">
        <f t="shared" si="12"/>
      </c>
      <c r="Y691" s="2">
        <f t="shared" si="13"/>
        <v>0</v>
      </c>
      <c r="Z691" s="2">
        <f t="shared" si="14"/>
      </c>
      <c r="AA691" s="2">
        <f t="shared" si="15"/>
        <v>0</v>
      </c>
      <c r="AB691" s="2">
        <f t="shared" si="16"/>
      </c>
      <c r="AC691" s="2">
        <f t="shared" si="17"/>
      </c>
      <c r="AD691" s="2">
        <f t="shared" si="18"/>
      </c>
      <c r="AE691" s="2">
        <f t="shared" si="19"/>
      </c>
      <c r="AF691" s="2">
        <f t="shared" si="20"/>
      </c>
      <c r="AG691" s="2">
        <f t="shared" si="21"/>
      </c>
      <c r="AH691" s="2">
        <f t="shared" si="22"/>
      </c>
      <c r="AI691" s="2">
        <f t="shared" si="23"/>
      </c>
      <c r="AJ691" s="2">
        <f t="shared" si="24"/>
        <v>0</v>
      </c>
      <c r="AK691" s="2">
        <f t="shared" si="25"/>
        <v>0</v>
      </c>
      <c r="AL691" s="2">
        <f t="shared" si="26"/>
        <v>0</v>
      </c>
      <c r="AM691" s="2">
        <f t="shared" si="27"/>
        <v>0</v>
      </c>
      <c r="AN691" s="2">
        <f t="shared" si="28"/>
        <v>0</v>
      </c>
      <c r="AO691" s="2">
        <f t="shared" si="29"/>
      </c>
      <c r="AP691" s="2">
        <f t="shared" si="30"/>
      </c>
      <c r="AQ691" s="2">
        <f t="shared" si="31"/>
      </c>
    </row>
    <row r="692">
      <c r="A692" s="43">
        <f t="shared" si="3"/>
      </c>
      <c r="B692" s="44" t="n"/>
      <c r="C692" s="45" t="n"/>
      <c r="D692" s="46" t="n"/>
      <c r="E692" s="47" t="n"/>
      <c r="F692" s="47" t="n"/>
      <c r="G692" s="48">
        <f t="shared" si="4"/>
      </c>
      <c r="H692" s="43">
        <f t="shared" si="0"/>
      </c>
      <c r="I692" s="43">
        <f t="shared" si="5"/>
      </c>
      <c r="J692" s="43">
        <f t="shared" si="1"/>
      </c>
      <c r="K692" s="49">
        <f t="shared" si="2"/>
      </c>
      <c r="L692" s="45" t="n"/>
      <c r="M692" s="45" t="n"/>
      <c r="N692" s="45" t="n"/>
      <c r="O692" s="45" t="n"/>
      <c r="P692" s="50" t="n"/>
      <c r="R692" s="2">
        <f t="shared" si="6"/>
        <v>0</v>
      </c>
      <c r="S692" s="2">
        <f t="shared" si="7"/>
      </c>
      <c r="T692" s="2">
        <f t="shared" si="8"/>
      </c>
      <c r="U692" s="2">
        <f t="shared" si="9"/>
      </c>
      <c r="V692" s="2">
        <f t="shared" si="10"/>
      </c>
      <c r="W692" s="2">
        <f t="shared" si="11"/>
      </c>
      <c r="X692" s="2">
        <f t="shared" si="12"/>
      </c>
      <c r="Y692" s="2">
        <f t="shared" si="13"/>
        <v>0</v>
      </c>
      <c r="Z692" s="2">
        <f t="shared" si="14"/>
      </c>
      <c r="AA692" s="2">
        <f t="shared" si="15"/>
        <v>0</v>
      </c>
      <c r="AB692" s="2">
        <f t="shared" si="16"/>
      </c>
      <c r="AC692" s="2">
        <f t="shared" si="17"/>
      </c>
      <c r="AD692" s="2">
        <f t="shared" si="18"/>
      </c>
      <c r="AE692" s="2">
        <f t="shared" si="19"/>
      </c>
      <c r="AF692" s="2">
        <f t="shared" si="20"/>
      </c>
      <c r="AG692" s="2">
        <f t="shared" si="21"/>
      </c>
      <c r="AH692" s="2">
        <f t="shared" si="22"/>
      </c>
      <c r="AI692" s="2">
        <f t="shared" si="23"/>
      </c>
      <c r="AJ692" s="2">
        <f t="shared" si="24"/>
        <v>0</v>
      </c>
      <c r="AK692" s="2">
        <f t="shared" si="25"/>
        <v>0</v>
      </c>
      <c r="AL692" s="2">
        <f t="shared" si="26"/>
        <v>0</v>
      </c>
      <c r="AM692" s="2">
        <f t="shared" si="27"/>
        <v>0</v>
      </c>
      <c r="AN692" s="2">
        <f t="shared" si="28"/>
        <v>0</v>
      </c>
      <c r="AO692" s="2">
        <f t="shared" si="29"/>
      </c>
      <c r="AP692" s="2">
        <f t="shared" si="30"/>
      </c>
      <c r="AQ692" s="2">
        <f t="shared" si="31"/>
      </c>
    </row>
    <row r="693">
      <c r="A693" s="43">
        <f t="shared" si="3"/>
      </c>
      <c r="B693" s="44" t="n"/>
      <c r="C693" s="45" t="n"/>
      <c r="D693" s="46" t="n"/>
      <c r="E693" s="47" t="n"/>
      <c r="F693" s="47" t="n"/>
      <c r="G693" s="48">
        <f t="shared" si="4"/>
      </c>
      <c r="H693" s="43">
        <f t="shared" si="0"/>
      </c>
      <c r="I693" s="43">
        <f t="shared" si="5"/>
      </c>
      <c r="J693" s="43">
        <f t="shared" si="1"/>
      </c>
      <c r="K693" s="49">
        <f t="shared" si="2"/>
      </c>
      <c r="L693" s="45" t="n"/>
      <c r="M693" s="45" t="n"/>
      <c r="N693" s="45" t="n"/>
      <c r="O693" s="45" t="n"/>
      <c r="P693" s="50" t="n"/>
      <c r="R693" s="2">
        <f t="shared" si="6"/>
        <v>0</v>
      </c>
      <c r="S693" s="2">
        <f t="shared" si="7"/>
      </c>
      <c r="T693" s="2">
        <f t="shared" si="8"/>
      </c>
      <c r="U693" s="2">
        <f t="shared" si="9"/>
      </c>
      <c r="V693" s="2">
        <f t="shared" si="10"/>
      </c>
      <c r="W693" s="2">
        <f t="shared" si="11"/>
      </c>
      <c r="X693" s="2">
        <f t="shared" si="12"/>
      </c>
      <c r="Y693" s="2">
        <f t="shared" si="13"/>
        <v>0</v>
      </c>
      <c r="Z693" s="2">
        <f t="shared" si="14"/>
      </c>
      <c r="AA693" s="2">
        <f t="shared" si="15"/>
        <v>0</v>
      </c>
      <c r="AB693" s="2">
        <f t="shared" si="16"/>
      </c>
      <c r="AC693" s="2">
        <f t="shared" si="17"/>
      </c>
      <c r="AD693" s="2">
        <f t="shared" si="18"/>
      </c>
      <c r="AE693" s="2">
        <f t="shared" si="19"/>
      </c>
      <c r="AF693" s="2">
        <f t="shared" si="20"/>
      </c>
      <c r="AG693" s="2">
        <f t="shared" si="21"/>
      </c>
      <c r="AH693" s="2">
        <f t="shared" si="22"/>
      </c>
      <c r="AI693" s="2">
        <f t="shared" si="23"/>
      </c>
      <c r="AJ693" s="2">
        <f t="shared" si="24"/>
        <v>0</v>
      </c>
      <c r="AK693" s="2">
        <f t="shared" si="25"/>
        <v>0</v>
      </c>
      <c r="AL693" s="2">
        <f t="shared" si="26"/>
        <v>0</v>
      </c>
      <c r="AM693" s="2">
        <f t="shared" si="27"/>
        <v>0</v>
      </c>
      <c r="AN693" s="2">
        <f t="shared" si="28"/>
        <v>0</v>
      </c>
      <c r="AO693" s="2">
        <f t="shared" si="29"/>
      </c>
      <c r="AP693" s="2">
        <f t="shared" si="30"/>
      </c>
      <c r="AQ693" s="2">
        <f t="shared" si="31"/>
      </c>
    </row>
    <row r="694">
      <c r="A694" s="43">
        <f t="shared" si="3"/>
      </c>
      <c r="B694" s="44" t="n"/>
      <c r="C694" s="45" t="n"/>
      <c r="D694" s="46" t="n"/>
      <c r="E694" s="47" t="n"/>
      <c r="F694" s="47" t="n"/>
      <c r="G694" s="48">
        <f t="shared" si="4"/>
      </c>
      <c r="H694" s="43">
        <f t="shared" si="0"/>
      </c>
      <c r="I694" s="43">
        <f t="shared" si="5"/>
      </c>
      <c r="J694" s="43">
        <f t="shared" si="1"/>
      </c>
      <c r="K694" s="49">
        <f t="shared" si="2"/>
      </c>
      <c r="L694" s="45" t="n"/>
      <c r="M694" s="45" t="n"/>
      <c r="N694" s="45" t="n"/>
      <c r="O694" s="45" t="n"/>
      <c r="P694" s="50" t="n"/>
      <c r="R694" s="2">
        <f t="shared" si="6"/>
        <v>0</v>
      </c>
      <c r="S694" s="2">
        <f t="shared" si="7"/>
      </c>
      <c r="T694" s="2">
        <f t="shared" si="8"/>
      </c>
      <c r="U694" s="2">
        <f t="shared" si="9"/>
      </c>
      <c r="V694" s="2">
        <f t="shared" si="10"/>
      </c>
      <c r="W694" s="2">
        <f t="shared" si="11"/>
      </c>
      <c r="X694" s="2">
        <f t="shared" si="12"/>
      </c>
      <c r="Y694" s="2">
        <f t="shared" si="13"/>
        <v>0</v>
      </c>
      <c r="Z694" s="2">
        <f t="shared" si="14"/>
      </c>
      <c r="AA694" s="2">
        <f t="shared" si="15"/>
        <v>0</v>
      </c>
      <c r="AB694" s="2">
        <f t="shared" si="16"/>
      </c>
      <c r="AC694" s="2">
        <f t="shared" si="17"/>
      </c>
      <c r="AD694" s="2">
        <f t="shared" si="18"/>
      </c>
      <c r="AE694" s="2">
        <f t="shared" si="19"/>
      </c>
      <c r="AF694" s="2">
        <f t="shared" si="20"/>
      </c>
      <c r="AG694" s="2">
        <f t="shared" si="21"/>
      </c>
      <c r="AH694" s="2">
        <f t="shared" si="22"/>
      </c>
      <c r="AI694" s="2">
        <f t="shared" si="23"/>
      </c>
      <c r="AJ694" s="2">
        <f t="shared" si="24"/>
        <v>0</v>
      </c>
      <c r="AK694" s="2">
        <f t="shared" si="25"/>
        <v>0</v>
      </c>
      <c r="AL694" s="2">
        <f t="shared" si="26"/>
        <v>0</v>
      </c>
      <c r="AM694" s="2">
        <f t="shared" si="27"/>
        <v>0</v>
      </c>
      <c r="AN694" s="2">
        <f t="shared" si="28"/>
        <v>0</v>
      </c>
      <c r="AO694" s="2">
        <f t="shared" si="29"/>
      </c>
      <c r="AP694" s="2">
        <f t="shared" si="30"/>
      </c>
      <c r="AQ694" s="2">
        <f t="shared" si="31"/>
      </c>
    </row>
    <row r="695">
      <c r="A695" s="43">
        <f t="shared" si="3"/>
      </c>
      <c r="B695" s="44" t="n"/>
      <c r="C695" s="45" t="n"/>
      <c r="D695" s="46" t="n"/>
      <c r="E695" s="47" t="n"/>
      <c r="F695" s="47" t="n"/>
      <c r="G695" s="48">
        <f t="shared" si="4"/>
      </c>
      <c r="H695" s="43">
        <f t="shared" si="0"/>
      </c>
      <c r="I695" s="43">
        <f t="shared" si="5"/>
      </c>
      <c r="J695" s="43">
        <f t="shared" si="1"/>
      </c>
      <c r="K695" s="49">
        <f t="shared" si="2"/>
      </c>
      <c r="L695" s="45" t="n"/>
      <c r="M695" s="45" t="n"/>
      <c r="N695" s="45" t="n"/>
      <c r="O695" s="45" t="n"/>
      <c r="P695" s="50" t="n"/>
      <c r="R695" s="2">
        <f t="shared" si="6"/>
        <v>0</v>
      </c>
      <c r="S695" s="2">
        <f t="shared" si="7"/>
      </c>
      <c r="T695" s="2">
        <f t="shared" si="8"/>
      </c>
      <c r="U695" s="2">
        <f t="shared" si="9"/>
      </c>
      <c r="V695" s="2">
        <f t="shared" si="10"/>
      </c>
      <c r="W695" s="2">
        <f t="shared" si="11"/>
      </c>
      <c r="X695" s="2">
        <f t="shared" si="12"/>
      </c>
      <c r="Y695" s="2">
        <f t="shared" si="13"/>
        <v>0</v>
      </c>
      <c r="Z695" s="2">
        <f t="shared" si="14"/>
      </c>
      <c r="AA695" s="2">
        <f t="shared" si="15"/>
        <v>0</v>
      </c>
      <c r="AB695" s="2">
        <f t="shared" si="16"/>
      </c>
      <c r="AC695" s="2">
        <f t="shared" si="17"/>
      </c>
      <c r="AD695" s="2">
        <f t="shared" si="18"/>
      </c>
      <c r="AE695" s="2">
        <f t="shared" si="19"/>
      </c>
      <c r="AF695" s="2">
        <f t="shared" si="20"/>
      </c>
      <c r="AG695" s="2">
        <f t="shared" si="21"/>
      </c>
      <c r="AH695" s="2">
        <f t="shared" si="22"/>
      </c>
      <c r="AI695" s="2">
        <f t="shared" si="23"/>
      </c>
      <c r="AJ695" s="2">
        <f t="shared" si="24"/>
        <v>0</v>
      </c>
      <c r="AK695" s="2">
        <f t="shared" si="25"/>
        <v>0</v>
      </c>
      <c r="AL695" s="2">
        <f t="shared" si="26"/>
        <v>0</v>
      </c>
      <c r="AM695" s="2">
        <f t="shared" si="27"/>
        <v>0</v>
      </c>
      <c r="AN695" s="2">
        <f t="shared" si="28"/>
        <v>0</v>
      </c>
      <c r="AO695" s="2">
        <f t="shared" si="29"/>
      </c>
      <c r="AP695" s="2">
        <f t="shared" si="30"/>
      </c>
      <c r="AQ695" s="2">
        <f t="shared" si="31"/>
      </c>
    </row>
    <row r="696">
      <c r="A696" s="43">
        <f t="shared" si="3"/>
      </c>
      <c r="B696" s="44" t="n"/>
      <c r="C696" s="45" t="n"/>
      <c r="D696" s="46" t="n"/>
      <c r="E696" s="47" t="n"/>
      <c r="F696" s="47" t="n"/>
      <c r="G696" s="48">
        <f t="shared" si="4"/>
      </c>
      <c r="H696" s="43">
        <f t="shared" si="0"/>
      </c>
      <c r="I696" s="43">
        <f t="shared" si="5"/>
      </c>
      <c r="J696" s="43">
        <f t="shared" si="1"/>
      </c>
      <c r="K696" s="49">
        <f t="shared" si="2"/>
      </c>
      <c r="L696" s="45" t="n"/>
      <c r="M696" s="45" t="n"/>
      <c r="N696" s="45" t="n"/>
      <c r="O696" s="45" t="n"/>
      <c r="P696" s="50" t="n"/>
      <c r="R696" s="2">
        <f t="shared" si="6"/>
        <v>0</v>
      </c>
      <c r="S696" s="2">
        <f t="shared" si="7"/>
      </c>
      <c r="T696" s="2">
        <f t="shared" si="8"/>
      </c>
      <c r="U696" s="2">
        <f t="shared" si="9"/>
      </c>
      <c r="V696" s="2">
        <f t="shared" si="10"/>
      </c>
      <c r="W696" s="2">
        <f t="shared" si="11"/>
      </c>
      <c r="X696" s="2">
        <f t="shared" si="12"/>
      </c>
      <c r="Y696" s="2">
        <f t="shared" si="13"/>
        <v>0</v>
      </c>
      <c r="Z696" s="2">
        <f t="shared" si="14"/>
      </c>
      <c r="AA696" s="2">
        <f t="shared" si="15"/>
        <v>0</v>
      </c>
      <c r="AB696" s="2">
        <f t="shared" si="16"/>
      </c>
      <c r="AC696" s="2">
        <f t="shared" si="17"/>
      </c>
      <c r="AD696" s="2">
        <f t="shared" si="18"/>
      </c>
      <c r="AE696" s="2">
        <f t="shared" si="19"/>
      </c>
      <c r="AF696" s="2">
        <f t="shared" si="20"/>
      </c>
      <c r="AG696" s="2">
        <f t="shared" si="21"/>
      </c>
      <c r="AH696" s="2">
        <f t="shared" si="22"/>
      </c>
      <c r="AI696" s="2">
        <f t="shared" si="23"/>
      </c>
      <c r="AJ696" s="2">
        <f t="shared" si="24"/>
        <v>0</v>
      </c>
      <c r="AK696" s="2">
        <f t="shared" si="25"/>
        <v>0</v>
      </c>
      <c r="AL696" s="2">
        <f t="shared" si="26"/>
        <v>0</v>
      </c>
      <c r="AM696" s="2">
        <f t="shared" si="27"/>
        <v>0</v>
      </c>
      <c r="AN696" s="2">
        <f t="shared" si="28"/>
        <v>0</v>
      </c>
      <c r="AO696" s="2">
        <f t="shared" si="29"/>
      </c>
      <c r="AP696" s="2">
        <f t="shared" si="30"/>
      </c>
      <c r="AQ696" s="2">
        <f t="shared" si="31"/>
      </c>
    </row>
    <row r="697">
      <c r="A697" s="43">
        <f t="shared" si="3"/>
      </c>
      <c r="B697" s="44" t="n"/>
      <c r="C697" s="45" t="n"/>
      <c r="D697" s="46" t="n"/>
      <c r="E697" s="47" t="n"/>
      <c r="F697" s="47" t="n"/>
      <c r="G697" s="48">
        <f t="shared" si="4"/>
      </c>
      <c r="H697" s="43">
        <f t="shared" si="0"/>
      </c>
      <c r="I697" s="43">
        <f t="shared" si="5"/>
      </c>
      <c r="J697" s="43">
        <f t="shared" si="1"/>
      </c>
      <c r="K697" s="49">
        <f t="shared" si="2"/>
      </c>
      <c r="L697" s="45" t="n"/>
      <c r="M697" s="45" t="n"/>
      <c r="N697" s="45" t="n"/>
      <c r="O697" s="45" t="n"/>
      <c r="P697" s="50" t="n"/>
      <c r="R697" s="2">
        <f t="shared" si="6"/>
        <v>0</v>
      </c>
      <c r="S697" s="2">
        <f t="shared" si="7"/>
      </c>
      <c r="T697" s="2">
        <f t="shared" si="8"/>
      </c>
      <c r="U697" s="2">
        <f t="shared" si="9"/>
      </c>
      <c r="V697" s="2">
        <f t="shared" si="10"/>
      </c>
      <c r="W697" s="2">
        <f t="shared" si="11"/>
      </c>
      <c r="X697" s="2">
        <f t="shared" si="12"/>
      </c>
      <c r="Y697" s="2">
        <f t="shared" si="13"/>
        <v>0</v>
      </c>
      <c r="Z697" s="2">
        <f t="shared" si="14"/>
      </c>
      <c r="AA697" s="2">
        <f t="shared" si="15"/>
        <v>0</v>
      </c>
      <c r="AB697" s="2">
        <f t="shared" si="16"/>
      </c>
      <c r="AC697" s="2">
        <f t="shared" si="17"/>
      </c>
      <c r="AD697" s="2">
        <f t="shared" si="18"/>
      </c>
      <c r="AE697" s="2">
        <f t="shared" si="19"/>
      </c>
      <c r="AF697" s="2">
        <f t="shared" si="20"/>
      </c>
      <c r="AG697" s="2">
        <f t="shared" si="21"/>
      </c>
      <c r="AH697" s="2">
        <f t="shared" si="22"/>
      </c>
      <c r="AI697" s="2">
        <f t="shared" si="23"/>
      </c>
      <c r="AJ697" s="2">
        <f t="shared" si="24"/>
        <v>0</v>
      </c>
      <c r="AK697" s="2">
        <f t="shared" si="25"/>
        <v>0</v>
      </c>
      <c r="AL697" s="2">
        <f t="shared" si="26"/>
        <v>0</v>
      </c>
      <c r="AM697" s="2">
        <f t="shared" si="27"/>
        <v>0</v>
      </c>
      <c r="AN697" s="2">
        <f t="shared" si="28"/>
        <v>0</v>
      </c>
      <c r="AO697" s="2">
        <f t="shared" si="29"/>
      </c>
      <c r="AP697" s="2">
        <f t="shared" si="30"/>
      </c>
      <c r="AQ697" s="2">
        <f t="shared" si="31"/>
      </c>
    </row>
    <row r="698">
      <c r="A698" s="43">
        <f t="shared" si="3"/>
      </c>
      <c r="B698" s="44" t="n"/>
      <c r="C698" s="45" t="n"/>
      <c r="D698" s="46" t="n"/>
      <c r="E698" s="47" t="n"/>
      <c r="F698" s="47" t="n"/>
      <c r="G698" s="48">
        <f t="shared" si="4"/>
      </c>
      <c r="H698" s="43">
        <f t="shared" si="0"/>
      </c>
      <c r="I698" s="43">
        <f t="shared" si="5"/>
      </c>
      <c r="J698" s="43">
        <f t="shared" si="1"/>
      </c>
      <c r="K698" s="49">
        <f t="shared" si="2"/>
      </c>
      <c r="L698" s="45" t="n"/>
      <c r="M698" s="45" t="n"/>
      <c r="N698" s="45" t="n"/>
      <c r="O698" s="45" t="n"/>
      <c r="P698" s="50" t="n"/>
      <c r="R698" s="2">
        <f t="shared" si="6"/>
        <v>0</v>
      </c>
      <c r="S698" s="2">
        <f t="shared" si="7"/>
      </c>
      <c r="T698" s="2">
        <f t="shared" si="8"/>
      </c>
      <c r="U698" s="2">
        <f t="shared" si="9"/>
      </c>
      <c r="V698" s="2">
        <f t="shared" si="10"/>
      </c>
      <c r="W698" s="2">
        <f t="shared" si="11"/>
      </c>
      <c r="X698" s="2">
        <f t="shared" si="12"/>
      </c>
      <c r="Y698" s="2">
        <f t="shared" si="13"/>
        <v>0</v>
      </c>
      <c r="Z698" s="2">
        <f t="shared" si="14"/>
      </c>
      <c r="AA698" s="2">
        <f t="shared" si="15"/>
        <v>0</v>
      </c>
      <c r="AB698" s="2">
        <f t="shared" si="16"/>
      </c>
      <c r="AC698" s="2">
        <f t="shared" si="17"/>
      </c>
      <c r="AD698" s="2">
        <f t="shared" si="18"/>
      </c>
      <c r="AE698" s="2">
        <f t="shared" si="19"/>
      </c>
      <c r="AF698" s="2">
        <f t="shared" si="20"/>
      </c>
      <c r="AG698" s="2">
        <f t="shared" si="21"/>
      </c>
      <c r="AH698" s="2">
        <f t="shared" si="22"/>
      </c>
      <c r="AI698" s="2">
        <f t="shared" si="23"/>
      </c>
      <c r="AJ698" s="2">
        <f t="shared" si="24"/>
        <v>0</v>
      </c>
      <c r="AK698" s="2">
        <f t="shared" si="25"/>
        <v>0</v>
      </c>
      <c r="AL698" s="2">
        <f t="shared" si="26"/>
        <v>0</v>
      </c>
      <c r="AM698" s="2">
        <f t="shared" si="27"/>
        <v>0</v>
      </c>
      <c r="AN698" s="2">
        <f t="shared" si="28"/>
        <v>0</v>
      </c>
      <c r="AO698" s="2">
        <f t="shared" si="29"/>
      </c>
      <c r="AP698" s="2">
        <f t="shared" si="30"/>
      </c>
      <c r="AQ698" s="2">
        <f t="shared" si="31"/>
      </c>
    </row>
    <row r="699">
      <c r="A699" s="43">
        <f t="shared" si="3"/>
      </c>
      <c r="B699" s="44" t="n"/>
      <c r="C699" s="45" t="n"/>
      <c r="D699" s="46" t="n"/>
      <c r="E699" s="47" t="n"/>
      <c r="F699" s="47" t="n"/>
      <c r="G699" s="48">
        <f t="shared" si="4"/>
      </c>
      <c r="H699" s="43">
        <f t="shared" si="0"/>
      </c>
      <c r="I699" s="43">
        <f t="shared" si="5"/>
      </c>
      <c r="J699" s="43">
        <f t="shared" si="1"/>
      </c>
      <c r="K699" s="49">
        <f t="shared" si="2"/>
      </c>
      <c r="L699" s="45" t="n"/>
      <c r="M699" s="45" t="n"/>
      <c r="N699" s="45" t="n"/>
      <c r="O699" s="45" t="n"/>
      <c r="P699" s="50" t="n"/>
      <c r="R699" s="2">
        <f t="shared" si="6"/>
        <v>0</v>
      </c>
      <c r="S699" s="2">
        <f t="shared" si="7"/>
      </c>
      <c r="T699" s="2">
        <f t="shared" si="8"/>
      </c>
      <c r="U699" s="2">
        <f t="shared" si="9"/>
      </c>
      <c r="V699" s="2">
        <f t="shared" si="10"/>
      </c>
      <c r="W699" s="2">
        <f t="shared" si="11"/>
      </c>
      <c r="X699" s="2">
        <f t="shared" si="12"/>
      </c>
      <c r="Y699" s="2">
        <f t="shared" si="13"/>
        <v>0</v>
      </c>
      <c r="Z699" s="2">
        <f t="shared" si="14"/>
      </c>
      <c r="AA699" s="2">
        <f t="shared" si="15"/>
        <v>0</v>
      </c>
      <c r="AB699" s="2">
        <f t="shared" si="16"/>
      </c>
      <c r="AC699" s="2">
        <f t="shared" si="17"/>
      </c>
      <c r="AD699" s="2">
        <f t="shared" si="18"/>
      </c>
      <c r="AE699" s="2">
        <f t="shared" si="19"/>
      </c>
      <c r="AF699" s="2">
        <f t="shared" si="20"/>
      </c>
      <c r="AG699" s="2">
        <f t="shared" si="21"/>
      </c>
      <c r="AH699" s="2">
        <f t="shared" si="22"/>
      </c>
      <c r="AI699" s="2">
        <f t="shared" si="23"/>
      </c>
      <c r="AJ699" s="2">
        <f t="shared" si="24"/>
        <v>0</v>
      </c>
      <c r="AK699" s="2">
        <f t="shared" si="25"/>
        <v>0</v>
      </c>
      <c r="AL699" s="2">
        <f t="shared" si="26"/>
        <v>0</v>
      </c>
      <c r="AM699" s="2">
        <f t="shared" si="27"/>
        <v>0</v>
      </c>
      <c r="AN699" s="2">
        <f t="shared" si="28"/>
        <v>0</v>
      </c>
      <c r="AO699" s="2">
        <f t="shared" si="29"/>
      </c>
      <c r="AP699" s="2">
        <f t="shared" si="30"/>
      </c>
      <c r="AQ699" s="2">
        <f t="shared" si="31"/>
      </c>
    </row>
    <row r="700">
      <c r="A700" s="43">
        <f t="shared" si="3"/>
      </c>
      <c r="B700" s="44" t="n"/>
      <c r="C700" s="45" t="n"/>
      <c r="D700" s="46" t="n"/>
      <c r="E700" s="47" t="n"/>
      <c r="F700" s="47" t="n"/>
      <c r="G700" s="48">
        <f t="shared" si="4"/>
      </c>
      <c r="H700" s="43">
        <f t="shared" si="0"/>
      </c>
      <c r="I700" s="43">
        <f t="shared" si="5"/>
      </c>
      <c r="J700" s="43">
        <f t="shared" si="1"/>
      </c>
      <c r="K700" s="49">
        <f t="shared" si="2"/>
      </c>
      <c r="L700" s="45" t="n"/>
      <c r="M700" s="45" t="n"/>
      <c r="N700" s="45" t="n"/>
      <c r="O700" s="45" t="n"/>
      <c r="P700" s="50" t="n"/>
      <c r="R700" s="2">
        <f t="shared" si="6"/>
        <v>0</v>
      </c>
      <c r="S700" s="2">
        <f t="shared" si="7"/>
      </c>
      <c r="T700" s="2">
        <f t="shared" si="8"/>
      </c>
      <c r="U700" s="2">
        <f t="shared" si="9"/>
      </c>
      <c r="V700" s="2">
        <f t="shared" si="10"/>
      </c>
      <c r="W700" s="2">
        <f t="shared" si="11"/>
      </c>
      <c r="X700" s="2">
        <f t="shared" si="12"/>
      </c>
      <c r="Y700" s="2">
        <f t="shared" si="13"/>
        <v>0</v>
      </c>
      <c r="Z700" s="2">
        <f t="shared" si="14"/>
      </c>
      <c r="AA700" s="2">
        <f t="shared" si="15"/>
        <v>0</v>
      </c>
      <c r="AB700" s="2">
        <f t="shared" si="16"/>
      </c>
      <c r="AC700" s="2">
        <f t="shared" si="17"/>
      </c>
      <c r="AD700" s="2">
        <f t="shared" si="18"/>
      </c>
      <c r="AE700" s="2">
        <f t="shared" si="19"/>
      </c>
      <c r="AF700" s="2">
        <f t="shared" si="20"/>
      </c>
      <c r="AG700" s="2">
        <f t="shared" si="21"/>
      </c>
      <c r="AH700" s="2">
        <f t="shared" si="22"/>
      </c>
      <c r="AI700" s="2">
        <f t="shared" si="23"/>
      </c>
      <c r="AJ700" s="2">
        <f t="shared" si="24"/>
        <v>0</v>
      </c>
      <c r="AK700" s="2">
        <f t="shared" si="25"/>
        <v>0</v>
      </c>
      <c r="AL700" s="2">
        <f t="shared" si="26"/>
        <v>0</v>
      </c>
      <c r="AM700" s="2">
        <f t="shared" si="27"/>
        <v>0</v>
      </c>
      <c r="AN700" s="2">
        <f t="shared" si="28"/>
        <v>0</v>
      </c>
      <c r="AO700" s="2">
        <f t="shared" si="29"/>
      </c>
      <c r="AP700" s="2">
        <f t="shared" si="30"/>
      </c>
      <c r="AQ700" s="2">
        <f t="shared" si="31"/>
      </c>
    </row>
    <row r="701">
      <c r="A701" s="43">
        <f t="shared" si="3"/>
      </c>
      <c r="B701" s="44" t="n"/>
      <c r="C701" s="45" t="n"/>
      <c r="D701" s="46" t="n"/>
      <c r="E701" s="47" t="n"/>
      <c r="F701" s="47" t="n"/>
      <c r="G701" s="48">
        <f t="shared" si="4"/>
      </c>
      <c r="H701" s="43">
        <f t="shared" si="0"/>
      </c>
      <c r="I701" s="43">
        <f t="shared" si="5"/>
      </c>
      <c r="J701" s="43">
        <f t="shared" si="1"/>
      </c>
      <c r="K701" s="49">
        <f t="shared" si="2"/>
      </c>
      <c r="L701" s="45" t="n"/>
      <c r="M701" s="45" t="n"/>
      <c r="N701" s="45" t="n"/>
      <c r="O701" s="45" t="n"/>
      <c r="P701" s="50" t="n"/>
      <c r="R701" s="2">
        <f t="shared" si="6"/>
        <v>0</v>
      </c>
      <c r="S701" s="2">
        <f t="shared" si="7"/>
      </c>
      <c r="T701" s="2">
        <f t="shared" si="8"/>
      </c>
      <c r="U701" s="2">
        <f t="shared" si="9"/>
      </c>
      <c r="V701" s="2">
        <f t="shared" si="10"/>
      </c>
      <c r="W701" s="2">
        <f t="shared" si="11"/>
      </c>
      <c r="X701" s="2">
        <f t="shared" si="12"/>
      </c>
      <c r="Y701" s="2">
        <f t="shared" si="13"/>
        <v>0</v>
      </c>
      <c r="Z701" s="2">
        <f t="shared" si="14"/>
      </c>
      <c r="AA701" s="2">
        <f t="shared" si="15"/>
        <v>0</v>
      </c>
      <c r="AB701" s="2">
        <f t="shared" si="16"/>
      </c>
      <c r="AC701" s="2">
        <f t="shared" si="17"/>
      </c>
      <c r="AD701" s="2">
        <f t="shared" si="18"/>
      </c>
      <c r="AE701" s="2">
        <f t="shared" si="19"/>
      </c>
      <c r="AF701" s="2">
        <f t="shared" si="20"/>
      </c>
      <c r="AG701" s="2">
        <f t="shared" si="21"/>
      </c>
      <c r="AH701" s="2">
        <f t="shared" si="22"/>
      </c>
      <c r="AI701" s="2">
        <f t="shared" si="23"/>
      </c>
      <c r="AJ701" s="2">
        <f t="shared" si="24"/>
        <v>0</v>
      </c>
      <c r="AK701" s="2">
        <f t="shared" si="25"/>
        <v>0</v>
      </c>
      <c r="AL701" s="2">
        <f t="shared" si="26"/>
        <v>0</v>
      </c>
      <c r="AM701" s="2">
        <f t="shared" si="27"/>
        <v>0</v>
      </c>
      <c r="AN701" s="2">
        <f t="shared" si="28"/>
        <v>0</v>
      </c>
      <c r="AO701" s="2">
        <f t="shared" si="29"/>
      </c>
      <c r="AP701" s="2">
        <f t="shared" si="30"/>
      </c>
      <c r="AQ701" s="2">
        <f t="shared" si="31"/>
      </c>
    </row>
    <row r="702">
      <c r="A702" s="43">
        <f t="shared" si="3"/>
      </c>
      <c r="B702" s="44" t="n"/>
      <c r="C702" s="45" t="n"/>
      <c r="D702" s="46" t="n"/>
      <c r="E702" s="47" t="n"/>
      <c r="F702" s="47" t="n"/>
      <c r="G702" s="48">
        <f t="shared" si="4"/>
      </c>
      <c r="H702" s="43">
        <f t="shared" si="0"/>
      </c>
      <c r="I702" s="43">
        <f t="shared" si="5"/>
      </c>
      <c r="J702" s="43">
        <f t="shared" si="1"/>
      </c>
      <c r="K702" s="49">
        <f t="shared" si="2"/>
      </c>
      <c r="L702" s="45" t="n"/>
      <c r="M702" s="45" t="n"/>
      <c r="N702" s="45" t="n"/>
      <c r="O702" s="45" t="n"/>
      <c r="P702" s="50" t="n"/>
      <c r="R702" s="2">
        <f t="shared" si="6"/>
        <v>0</v>
      </c>
      <c r="S702" s="2">
        <f t="shared" si="7"/>
      </c>
      <c r="T702" s="2">
        <f t="shared" si="8"/>
      </c>
      <c r="U702" s="2">
        <f t="shared" si="9"/>
      </c>
      <c r="V702" s="2">
        <f t="shared" si="10"/>
      </c>
      <c r="W702" s="2">
        <f t="shared" si="11"/>
      </c>
      <c r="X702" s="2">
        <f t="shared" si="12"/>
      </c>
      <c r="Y702" s="2">
        <f t="shared" si="13"/>
        <v>0</v>
      </c>
      <c r="Z702" s="2">
        <f t="shared" si="14"/>
      </c>
      <c r="AA702" s="2">
        <f t="shared" si="15"/>
        <v>0</v>
      </c>
      <c r="AB702" s="2">
        <f t="shared" si="16"/>
      </c>
      <c r="AC702" s="2">
        <f t="shared" si="17"/>
      </c>
      <c r="AD702" s="2">
        <f t="shared" si="18"/>
      </c>
      <c r="AE702" s="2">
        <f t="shared" si="19"/>
      </c>
      <c r="AF702" s="2">
        <f t="shared" si="20"/>
      </c>
      <c r="AG702" s="2">
        <f t="shared" si="21"/>
      </c>
      <c r="AH702" s="2">
        <f t="shared" si="22"/>
      </c>
      <c r="AI702" s="2">
        <f t="shared" si="23"/>
      </c>
      <c r="AJ702" s="2">
        <f t="shared" si="24"/>
        <v>0</v>
      </c>
      <c r="AK702" s="2">
        <f t="shared" si="25"/>
        <v>0</v>
      </c>
      <c r="AL702" s="2">
        <f t="shared" si="26"/>
        <v>0</v>
      </c>
      <c r="AM702" s="2">
        <f t="shared" si="27"/>
        <v>0</v>
      </c>
      <c r="AN702" s="2">
        <f t="shared" si="28"/>
        <v>0</v>
      </c>
      <c r="AO702" s="2">
        <f t="shared" si="29"/>
      </c>
      <c r="AP702" s="2">
        <f t="shared" si="30"/>
      </c>
      <c r="AQ702" s="2">
        <f t="shared" si="31"/>
      </c>
    </row>
    <row r="703">
      <c r="A703" s="43">
        <f t="shared" si="3"/>
      </c>
      <c r="B703" s="44" t="n"/>
      <c r="C703" s="45" t="n"/>
      <c r="D703" s="46" t="n"/>
      <c r="E703" s="47" t="n"/>
      <c r="F703" s="47" t="n"/>
      <c r="G703" s="48">
        <f t="shared" si="4"/>
      </c>
      <c r="H703" s="43">
        <f t="shared" si="0"/>
      </c>
      <c r="I703" s="43">
        <f t="shared" si="5"/>
      </c>
      <c r="J703" s="43">
        <f t="shared" si="1"/>
      </c>
      <c r="K703" s="49">
        <f t="shared" si="2"/>
      </c>
      <c r="L703" s="45" t="n"/>
      <c r="M703" s="45" t="n"/>
      <c r="N703" s="45" t="n"/>
      <c r="O703" s="45" t="n"/>
      <c r="P703" s="50" t="n"/>
      <c r="R703" s="2">
        <f t="shared" si="6"/>
        <v>0</v>
      </c>
      <c r="S703" s="2">
        <f t="shared" si="7"/>
      </c>
      <c r="T703" s="2">
        <f t="shared" si="8"/>
      </c>
      <c r="U703" s="2">
        <f t="shared" si="9"/>
      </c>
      <c r="V703" s="2">
        <f t="shared" si="10"/>
      </c>
      <c r="W703" s="2">
        <f t="shared" si="11"/>
      </c>
      <c r="X703" s="2">
        <f t="shared" si="12"/>
      </c>
      <c r="Y703" s="2">
        <f t="shared" si="13"/>
        <v>0</v>
      </c>
      <c r="Z703" s="2">
        <f t="shared" si="14"/>
      </c>
      <c r="AA703" s="2">
        <f t="shared" si="15"/>
        <v>0</v>
      </c>
      <c r="AB703" s="2">
        <f t="shared" si="16"/>
      </c>
      <c r="AC703" s="2">
        <f t="shared" si="17"/>
      </c>
      <c r="AD703" s="2">
        <f t="shared" si="18"/>
      </c>
      <c r="AE703" s="2">
        <f t="shared" si="19"/>
      </c>
      <c r="AF703" s="2">
        <f t="shared" si="20"/>
      </c>
      <c r="AG703" s="2">
        <f t="shared" si="21"/>
      </c>
      <c r="AH703" s="2">
        <f t="shared" si="22"/>
      </c>
      <c r="AI703" s="2">
        <f t="shared" si="23"/>
      </c>
      <c r="AJ703" s="2">
        <f t="shared" si="24"/>
        <v>0</v>
      </c>
      <c r="AK703" s="2">
        <f t="shared" si="25"/>
        <v>0</v>
      </c>
      <c r="AL703" s="2">
        <f t="shared" si="26"/>
        <v>0</v>
      </c>
      <c r="AM703" s="2">
        <f t="shared" si="27"/>
        <v>0</v>
      </c>
      <c r="AN703" s="2">
        <f t="shared" si="28"/>
        <v>0</v>
      </c>
      <c r="AO703" s="2">
        <f t="shared" si="29"/>
      </c>
      <c r="AP703" s="2">
        <f t="shared" si="30"/>
      </c>
      <c r="AQ703" s="2">
        <f t="shared" si="31"/>
      </c>
    </row>
    <row r="704">
      <c r="A704" s="43">
        <f t="shared" si="3"/>
      </c>
      <c r="B704" s="44" t="n"/>
      <c r="C704" s="45" t="n"/>
      <c r="D704" s="46" t="n"/>
      <c r="E704" s="47" t="n"/>
      <c r="F704" s="47" t="n"/>
      <c r="G704" s="48">
        <f t="shared" si="4"/>
      </c>
      <c r="H704" s="43">
        <f t="shared" si="0"/>
      </c>
      <c r="I704" s="43">
        <f t="shared" si="5"/>
      </c>
      <c r="J704" s="43">
        <f t="shared" si="1"/>
      </c>
      <c r="K704" s="49">
        <f t="shared" si="2"/>
      </c>
      <c r="L704" s="45" t="n"/>
      <c r="M704" s="45" t="n"/>
      <c r="N704" s="45" t="n"/>
      <c r="O704" s="45" t="n"/>
      <c r="P704" s="50" t="n"/>
      <c r="R704" s="2">
        <f t="shared" si="6"/>
        <v>0</v>
      </c>
      <c r="S704" s="2">
        <f t="shared" si="7"/>
      </c>
      <c r="T704" s="2">
        <f t="shared" si="8"/>
      </c>
      <c r="U704" s="2">
        <f t="shared" si="9"/>
      </c>
      <c r="V704" s="2">
        <f t="shared" si="10"/>
      </c>
      <c r="W704" s="2">
        <f t="shared" si="11"/>
      </c>
      <c r="X704" s="2">
        <f t="shared" si="12"/>
      </c>
      <c r="Y704" s="2">
        <f t="shared" si="13"/>
        <v>0</v>
      </c>
      <c r="Z704" s="2">
        <f t="shared" si="14"/>
      </c>
      <c r="AA704" s="2">
        <f t="shared" si="15"/>
        <v>0</v>
      </c>
      <c r="AB704" s="2">
        <f t="shared" si="16"/>
      </c>
      <c r="AC704" s="2">
        <f t="shared" si="17"/>
      </c>
      <c r="AD704" s="2">
        <f t="shared" si="18"/>
      </c>
      <c r="AE704" s="2">
        <f t="shared" si="19"/>
      </c>
      <c r="AF704" s="2">
        <f t="shared" si="20"/>
      </c>
      <c r="AG704" s="2">
        <f t="shared" si="21"/>
      </c>
      <c r="AH704" s="2">
        <f t="shared" si="22"/>
      </c>
      <c r="AI704" s="2">
        <f t="shared" si="23"/>
      </c>
      <c r="AJ704" s="2">
        <f t="shared" si="24"/>
        <v>0</v>
      </c>
      <c r="AK704" s="2">
        <f t="shared" si="25"/>
        <v>0</v>
      </c>
      <c r="AL704" s="2">
        <f t="shared" si="26"/>
        <v>0</v>
      </c>
      <c r="AM704" s="2">
        <f t="shared" si="27"/>
        <v>0</v>
      </c>
      <c r="AN704" s="2">
        <f t="shared" si="28"/>
        <v>0</v>
      </c>
      <c r="AO704" s="2">
        <f t="shared" si="29"/>
      </c>
      <c r="AP704" s="2">
        <f t="shared" si="30"/>
      </c>
      <c r="AQ704" s="2">
        <f t="shared" si="31"/>
      </c>
    </row>
    <row r="705">
      <c r="A705" s="43">
        <f t="shared" si="3"/>
      </c>
      <c r="B705" s="44" t="n"/>
      <c r="C705" s="45" t="n"/>
      <c r="D705" s="46" t="n"/>
      <c r="E705" s="47" t="n"/>
      <c r="F705" s="47" t="n"/>
      <c r="G705" s="48">
        <f t="shared" si="4"/>
      </c>
      <c r="H705" s="43">
        <f t="shared" si="0"/>
      </c>
      <c r="I705" s="43">
        <f t="shared" si="5"/>
      </c>
      <c r="J705" s="43">
        <f t="shared" si="1"/>
      </c>
      <c r="K705" s="49">
        <f t="shared" si="2"/>
      </c>
      <c r="L705" s="45" t="n"/>
      <c r="M705" s="45" t="n"/>
      <c r="N705" s="45" t="n"/>
      <c r="O705" s="45" t="n"/>
      <c r="P705" s="50" t="n"/>
      <c r="R705" s="2">
        <f t="shared" si="6"/>
        <v>0</v>
      </c>
      <c r="S705" s="2">
        <f t="shared" si="7"/>
      </c>
      <c r="T705" s="2">
        <f t="shared" si="8"/>
      </c>
      <c r="U705" s="2">
        <f t="shared" si="9"/>
      </c>
      <c r="V705" s="2">
        <f t="shared" si="10"/>
      </c>
      <c r="W705" s="2">
        <f t="shared" si="11"/>
      </c>
      <c r="X705" s="2">
        <f t="shared" si="12"/>
      </c>
      <c r="Y705" s="2">
        <f t="shared" si="13"/>
        <v>0</v>
      </c>
      <c r="Z705" s="2">
        <f t="shared" si="14"/>
      </c>
      <c r="AA705" s="2">
        <f t="shared" si="15"/>
        <v>0</v>
      </c>
      <c r="AB705" s="2">
        <f t="shared" si="16"/>
      </c>
      <c r="AC705" s="2">
        <f t="shared" si="17"/>
      </c>
      <c r="AD705" s="2">
        <f t="shared" si="18"/>
      </c>
      <c r="AE705" s="2">
        <f t="shared" si="19"/>
      </c>
      <c r="AF705" s="2">
        <f t="shared" si="20"/>
      </c>
      <c r="AG705" s="2">
        <f t="shared" si="21"/>
      </c>
      <c r="AH705" s="2">
        <f t="shared" si="22"/>
      </c>
      <c r="AI705" s="2">
        <f t="shared" si="23"/>
      </c>
      <c r="AJ705" s="2">
        <f t="shared" si="24"/>
        <v>0</v>
      </c>
      <c r="AK705" s="2">
        <f t="shared" si="25"/>
        <v>0</v>
      </c>
      <c r="AL705" s="2">
        <f t="shared" si="26"/>
        <v>0</v>
      </c>
      <c r="AM705" s="2">
        <f t="shared" si="27"/>
        <v>0</v>
      </c>
      <c r="AN705" s="2">
        <f t="shared" si="28"/>
        <v>0</v>
      </c>
      <c r="AO705" s="2">
        <f t="shared" si="29"/>
      </c>
      <c r="AP705" s="2">
        <f t="shared" si="30"/>
      </c>
      <c r="AQ705" s="2">
        <f t="shared" si="31"/>
      </c>
    </row>
    <row r="706">
      <c r="A706" s="43">
        <f t="shared" si="3"/>
      </c>
      <c r="B706" s="44" t="n"/>
      <c r="C706" s="45" t="n"/>
      <c r="D706" s="46" t="n"/>
      <c r="E706" s="47" t="n"/>
      <c r="F706" s="47" t="n"/>
      <c r="G706" s="48">
        <f t="shared" si="4"/>
      </c>
      <c r="H706" s="43">
        <f t="shared" si="0"/>
      </c>
      <c r="I706" s="43">
        <f t="shared" si="5"/>
      </c>
      <c r="J706" s="43">
        <f t="shared" si="1"/>
      </c>
      <c r="K706" s="49">
        <f t="shared" si="2"/>
      </c>
      <c r="L706" s="45" t="n"/>
      <c r="M706" s="45" t="n"/>
      <c r="N706" s="45" t="n"/>
      <c r="O706" s="45" t="n"/>
      <c r="P706" s="50" t="n"/>
      <c r="R706" s="2">
        <f t="shared" si="6"/>
        <v>0</v>
      </c>
      <c r="S706" s="2">
        <f t="shared" si="7"/>
      </c>
      <c r="T706" s="2">
        <f t="shared" si="8"/>
      </c>
      <c r="U706" s="2">
        <f t="shared" si="9"/>
      </c>
      <c r="V706" s="2">
        <f t="shared" si="10"/>
      </c>
      <c r="W706" s="2">
        <f t="shared" si="11"/>
      </c>
      <c r="X706" s="2">
        <f t="shared" si="12"/>
      </c>
      <c r="Y706" s="2">
        <f t="shared" si="13"/>
        <v>0</v>
      </c>
      <c r="Z706" s="2">
        <f t="shared" si="14"/>
      </c>
      <c r="AA706" s="2">
        <f t="shared" si="15"/>
        <v>0</v>
      </c>
      <c r="AB706" s="2">
        <f t="shared" si="16"/>
      </c>
      <c r="AC706" s="2">
        <f t="shared" si="17"/>
      </c>
      <c r="AD706" s="2">
        <f t="shared" si="18"/>
      </c>
      <c r="AE706" s="2">
        <f t="shared" si="19"/>
      </c>
      <c r="AF706" s="2">
        <f t="shared" si="20"/>
      </c>
      <c r="AG706" s="2">
        <f t="shared" si="21"/>
      </c>
      <c r="AH706" s="2">
        <f t="shared" si="22"/>
      </c>
      <c r="AI706" s="2">
        <f t="shared" si="23"/>
      </c>
      <c r="AJ706" s="2">
        <f t="shared" si="24"/>
        <v>0</v>
      </c>
      <c r="AK706" s="2">
        <f t="shared" si="25"/>
        <v>0</v>
      </c>
      <c r="AL706" s="2">
        <f t="shared" si="26"/>
        <v>0</v>
      </c>
      <c r="AM706" s="2">
        <f t="shared" si="27"/>
        <v>0</v>
      </c>
      <c r="AN706" s="2">
        <f t="shared" si="28"/>
        <v>0</v>
      </c>
      <c r="AO706" s="2">
        <f t="shared" si="29"/>
      </c>
      <c r="AP706" s="2">
        <f t="shared" si="30"/>
      </c>
      <c r="AQ706" s="2">
        <f t="shared" si="31"/>
      </c>
    </row>
    <row r="707">
      <c r="A707" s="43">
        <f t="shared" si="3"/>
      </c>
      <c r="B707" s="44" t="n"/>
      <c r="C707" s="45" t="n"/>
      <c r="D707" s="46" t="n"/>
      <c r="E707" s="47" t="n"/>
      <c r="F707" s="47" t="n"/>
      <c r="G707" s="48">
        <f t="shared" si="4"/>
      </c>
      <c r="H707" s="43">
        <f t="shared" si="0"/>
      </c>
      <c r="I707" s="43">
        <f t="shared" si="5"/>
      </c>
      <c r="J707" s="43">
        <f t="shared" si="1"/>
      </c>
      <c r="K707" s="49">
        <f t="shared" si="2"/>
      </c>
      <c r="L707" s="45" t="n"/>
      <c r="M707" s="45" t="n"/>
      <c r="N707" s="45" t="n"/>
      <c r="O707" s="45" t="n"/>
      <c r="P707" s="50" t="n"/>
      <c r="R707" s="2">
        <f t="shared" si="6"/>
        <v>0</v>
      </c>
      <c r="S707" s="2">
        <f t="shared" si="7"/>
      </c>
      <c r="T707" s="2">
        <f t="shared" si="8"/>
      </c>
      <c r="U707" s="2">
        <f t="shared" si="9"/>
      </c>
      <c r="V707" s="2">
        <f t="shared" si="10"/>
      </c>
      <c r="W707" s="2">
        <f t="shared" si="11"/>
      </c>
      <c r="X707" s="2">
        <f t="shared" si="12"/>
      </c>
      <c r="Y707" s="2">
        <f t="shared" si="13"/>
        <v>0</v>
      </c>
      <c r="Z707" s="2">
        <f t="shared" si="14"/>
      </c>
      <c r="AA707" s="2">
        <f t="shared" si="15"/>
        <v>0</v>
      </c>
      <c r="AB707" s="2">
        <f t="shared" si="16"/>
      </c>
      <c r="AC707" s="2">
        <f t="shared" si="17"/>
      </c>
      <c r="AD707" s="2">
        <f t="shared" si="18"/>
      </c>
      <c r="AE707" s="2">
        <f t="shared" si="19"/>
      </c>
      <c r="AF707" s="2">
        <f t="shared" si="20"/>
      </c>
      <c r="AG707" s="2">
        <f t="shared" si="21"/>
      </c>
      <c r="AH707" s="2">
        <f t="shared" si="22"/>
      </c>
      <c r="AI707" s="2">
        <f t="shared" si="23"/>
      </c>
      <c r="AJ707" s="2">
        <f t="shared" si="24"/>
        <v>0</v>
      </c>
      <c r="AK707" s="2">
        <f t="shared" si="25"/>
        <v>0</v>
      </c>
      <c r="AL707" s="2">
        <f t="shared" si="26"/>
        <v>0</v>
      </c>
      <c r="AM707" s="2">
        <f t="shared" si="27"/>
        <v>0</v>
      </c>
      <c r="AN707" s="2">
        <f t="shared" si="28"/>
        <v>0</v>
      </c>
      <c r="AO707" s="2">
        <f t="shared" si="29"/>
      </c>
      <c r="AP707" s="2">
        <f t="shared" si="30"/>
      </c>
      <c r="AQ707" s="2">
        <f t="shared" si="31"/>
      </c>
    </row>
    <row r="708">
      <c r="A708" s="43">
        <f t="shared" si="3"/>
      </c>
      <c r="B708" s="44" t="n"/>
      <c r="C708" s="45" t="n"/>
      <c r="D708" s="46" t="n"/>
      <c r="E708" s="47" t="n"/>
      <c r="F708" s="47" t="n"/>
      <c r="G708" s="48">
        <f t="shared" si="4"/>
      </c>
      <c r="H708" s="43">
        <f t="shared" si="0"/>
      </c>
      <c r="I708" s="43">
        <f t="shared" si="5"/>
      </c>
      <c r="J708" s="43">
        <f t="shared" si="1"/>
      </c>
      <c r="K708" s="49">
        <f t="shared" si="2"/>
      </c>
      <c r="L708" s="45" t="n"/>
      <c r="M708" s="45" t="n"/>
      <c r="N708" s="45" t="n"/>
      <c r="O708" s="45" t="n"/>
      <c r="P708" s="50" t="n"/>
      <c r="R708" s="2">
        <f t="shared" si="6"/>
        <v>0</v>
      </c>
      <c r="S708" s="2">
        <f t="shared" si="7"/>
      </c>
      <c r="T708" s="2">
        <f t="shared" si="8"/>
      </c>
      <c r="U708" s="2">
        <f t="shared" si="9"/>
      </c>
      <c r="V708" s="2">
        <f t="shared" si="10"/>
      </c>
      <c r="W708" s="2">
        <f t="shared" si="11"/>
      </c>
      <c r="X708" s="2">
        <f t="shared" si="12"/>
      </c>
      <c r="Y708" s="2">
        <f t="shared" si="13"/>
        <v>0</v>
      </c>
      <c r="Z708" s="2">
        <f t="shared" si="14"/>
      </c>
      <c r="AA708" s="2">
        <f t="shared" si="15"/>
        <v>0</v>
      </c>
      <c r="AB708" s="2">
        <f t="shared" si="16"/>
      </c>
      <c r="AC708" s="2">
        <f t="shared" si="17"/>
      </c>
      <c r="AD708" s="2">
        <f t="shared" si="18"/>
      </c>
      <c r="AE708" s="2">
        <f t="shared" si="19"/>
      </c>
      <c r="AF708" s="2">
        <f t="shared" si="20"/>
      </c>
      <c r="AG708" s="2">
        <f t="shared" si="21"/>
      </c>
      <c r="AH708" s="2">
        <f t="shared" si="22"/>
      </c>
      <c r="AI708" s="2">
        <f t="shared" si="23"/>
      </c>
      <c r="AJ708" s="2">
        <f t="shared" si="24"/>
        <v>0</v>
      </c>
      <c r="AK708" s="2">
        <f t="shared" si="25"/>
        <v>0</v>
      </c>
      <c r="AL708" s="2">
        <f t="shared" si="26"/>
        <v>0</v>
      </c>
      <c r="AM708" s="2">
        <f t="shared" si="27"/>
        <v>0</v>
      </c>
      <c r="AN708" s="2">
        <f t="shared" si="28"/>
        <v>0</v>
      </c>
      <c r="AO708" s="2">
        <f t="shared" si="29"/>
      </c>
      <c r="AP708" s="2">
        <f t="shared" si="30"/>
      </c>
      <c r="AQ708" s="2">
        <f t="shared" si="31"/>
      </c>
    </row>
    <row r="709">
      <c r="A709" s="43">
        <f t="shared" si="3"/>
      </c>
      <c r="B709" s="44" t="n"/>
      <c r="C709" s="45" t="n"/>
      <c r="D709" s="46" t="n"/>
      <c r="E709" s="47" t="n"/>
      <c r="F709" s="47" t="n"/>
      <c r="G709" s="48">
        <f t="shared" si="4"/>
      </c>
      <c r="H709" s="43">
        <f t="shared" si="0"/>
      </c>
      <c r="I709" s="43">
        <f t="shared" si="5"/>
      </c>
      <c r="J709" s="43">
        <f t="shared" si="1"/>
      </c>
      <c r="K709" s="49">
        <f t="shared" si="2"/>
      </c>
      <c r="L709" s="45" t="n"/>
      <c r="M709" s="45" t="n"/>
      <c r="N709" s="45" t="n"/>
      <c r="O709" s="45" t="n"/>
      <c r="P709" s="50" t="n"/>
      <c r="R709" s="2">
        <f t="shared" si="6"/>
        <v>0</v>
      </c>
      <c r="S709" s="2">
        <f t="shared" si="7"/>
      </c>
      <c r="T709" s="2">
        <f t="shared" si="8"/>
      </c>
      <c r="U709" s="2">
        <f t="shared" si="9"/>
      </c>
      <c r="V709" s="2">
        <f t="shared" si="10"/>
      </c>
      <c r="W709" s="2">
        <f t="shared" si="11"/>
      </c>
      <c r="X709" s="2">
        <f t="shared" si="12"/>
      </c>
      <c r="Y709" s="2">
        <f t="shared" si="13"/>
        <v>0</v>
      </c>
      <c r="Z709" s="2">
        <f t="shared" si="14"/>
      </c>
      <c r="AA709" s="2">
        <f t="shared" si="15"/>
        <v>0</v>
      </c>
      <c r="AB709" s="2">
        <f t="shared" si="16"/>
      </c>
      <c r="AC709" s="2">
        <f t="shared" si="17"/>
      </c>
      <c r="AD709" s="2">
        <f t="shared" si="18"/>
      </c>
      <c r="AE709" s="2">
        <f t="shared" si="19"/>
      </c>
      <c r="AF709" s="2">
        <f t="shared" si="20"/>
      </c>
      <c r="AG709" s="2">
        <f t="shared" si="21"/>
      </c>
      <c r="AH709" s="2">
        <f t="shared" si="22"/>
      </c>
      <c r="AI709" s="2">
        <f t="shared" si="23"/>
      </c>
      <c r="AJ709" s="2">
        <f t="shared" si="24"/>
        <v>0</v>
      </c>
      <c r="AK709" s="2">
        <f t="shared" si="25"/>
        <v>0</v>
      </c>
      <c r="AL709" s="2">
        <f t="shared" si="26"/>
        <v>0</v>
      </c>
      <c r="AM709" s="2">
        <f t="shared" si="27"/>
        <v>0</v>
      </c>
      <c r="AN709" s="2">
        <f t="shared" si="28"/>
        <v>0</v>
      </c>
      <c r="AO709" s="2">
        <f t="shared" si="29"/>
      </c>
      <c r="AP709" s="2">
        <f t="shared" si="30"/>
      </c>
      <c r="AQ709" s="2">
        <f t="shared" si="31"/>
      </c>
    </row>
    <row r="710">
      <c r="A710" s="43">
        <f t="shared" si="3"/>
      </c>
      <c r="B710" s="44" t="n"/>
      <c r="C710" s="45" t="n"/>
      <c r="D710" s="46" t="n"/>
      <c r="E710" s="47" t="n"/>
      <c r="F710" s="47" t="n"/>
      <c r="G710" s="48">
        <f t="shared" si="4"/>
      </c>
      <c r="H710" s="43">
        <f t="shared" si="0"/>
      </c>
      <c r="I710" s="43">
        <f t="shared" si="5"/>
      </c>
      <c r="J710" s="43">
        <f t="shared" si="1"/>
      </c>
      <c r="K710" s="49">
        <f t="shared" si="2"/>
      </c>
      <c r="L710" s="45" t="n"/>
      <c r="M710" s="45" t="n"/>
      <c r="N710" s="45" t="n"/>
      <c r="O710" s="45" t="n"/>
      <c r="P710" s="50" t="n"/>
      <c r="R710" s="2">
        <f t="shared" si="6"/>
        <v>0</v>
      </c>
      <c r="S710" s="2">
        <f t="shared" si="7"/>
      </c>
      <c r="T710" s="2">
        <f t="shared" si="8"/>
      </c>
      <c r="U710" s="2">
        <f t="shared" si="9"/>
      </c>
      <c r="V710" s="2">
        <f t="shared" si="10"/>
      </c>
      <c r="W710" s="2">
        <f t="shared" si="11"/>
      </c>
      <c r="X710" s="2">
        <f t="shared" si="12"/>
      </c>
      <c r="Y710" s="2">
        <f t="shared" si="13"/>
        <v>0</v>
      </c>
      <c r="Z710" s="2">
        <f t="shared" si="14"/>
      </c>
      <c r="AA710" s="2">
        <f t="shared" si="15"/>
        <v>0</v>
      </c>
      <c r="AB710" s="2">
        <f t="shared" si="16"/>
      </c>
      <c r="AC710" s="2">
        <f t="shared" si="17"/>
      </c>
      <c r="AD710" s="2">
        <f t="shared" si="18"/>
      </c>
      <c r="AE710" s="2">
        <f t="shared" si="19"/>
      </c>
      <c r="AF710" s="2">
        <f t="shared" si="20"/>
      </c>
      <c r="AG710" s="2">
        <f t="shared" si="21"/>
      </c>
      <c r="AH710" s="2">
        <f t="shared" si="22"/>
      </c>
      <c r="AI710" s="2">
        <f t="shared" si="23"/>
      </c>
      <c r="AJ710" s="2">
        <f t="shared" si="24"/>
        <v>0</v>
      </c>
      <c r="AK710" s="2">
        <f t="shared" si="25"/>
        <v>0</v>
      </c>
      <c r="AL710" s="2">
        <f t="shared" si="26"/>
        <v>0</v>
      </c>
      <c r="AM710" s="2">
        <f t="shared" si="27"/>
        <v>0</v>
      </c>
      <c r="AN710" s="2">
        <f t="shared" si="28"/>
        <v>0</v>
      </c>
      <c r="AO710" s="2">
        <f t="shared" si="29"/>
      </c>
      <c r="AP710" s="2">
        <f t="shared" si="30"/>
      </c>
      <c r="AQ710" s="2">
        <f t="shared" si="31"/>
      </c>
    </row>
    <row r="711">
      <c r="A711" s="43">
        <f t="shared" si="3"/>
      </c>
      <c r="B711" s="44" t="n"/>
      <c r="C711" s="45" t="n"/>
      <c r="D711" s="46" t="n"/>
      <c r="E711" s="47" t="n"/>
      <c r="F711" s="47" t="n"/>
      <c r="G711" s="48">
        <f t="shared" si="4"/>
      </c>
      <c r="H711" s="43">
        <f t="shared" si="0"/>
      </c>
      <c r="I711" s="43">
        <f t="shared" si="5"/>
      </c>
      <c r="J711" s="43">
        <f t="shared" si="1"/>
      </c>
      <c r="K711" s="49">
        <f t="shared" si="2"/>
      </c>
      <c r="L711" s="45" t="n"/>
      <c r="M711" s="45" t="n"/>
      <c r="N711" s="45" t="n"/>
      <c r="O711" s="45" t="n"/>
      <c r="P711" s="50" t="n"/>
      <c r="R711" s="2">
        <f t="shared" si="6"/>
        <v>0</v>
      </c>
      <c r="S711" s="2">
        <f t="shared" si="7"/>
      </c>
      <c r="T711" s="2">
        <f t="shared" si="8"/>
      </c>
      <c r="U711" s="2">
        <f t="shared" si="9"/>
      </c>
      <c r="V711" s="2">
        <f t="shared" si="10"/>
      </c>
      <c r="W711" s="2">
        <f t="shared" si="11"/>
      </c>
      <c r="X711" s="2">
        <f t="shared" si="12"/>
      </c>
      <c r="Y711" s="2">
        <f t="shared" si="13"/>
        <v>0</v>
      </c>
      <c r="Z711" s="2">
        <f t="shared" si="14"/>
      </c>
      <c r="AA711" s="2">
        <f t="shared" si="15"/>
        <v>0</v>
      </c>
      <c r="AB711" s="2">
        <f t="shared" si="16"/>
      </c>
      <c r="AC711" s="2">
        <f t="shared" si="17"/>
      </c>
      <c r="AD711" s="2">
        <f t="shared" si="18"/>
      </c>
      <c r="AE711" s="2">
        <f t="shared" si="19"/>
      </c>
      <c r="AF711" s="2">
        <f t="shared" si="20"/>
      </c>
      <c r="AG711" s="2">
        <f t="shared" si="21"/>
      </c>
      <c r="AH711" s="2">
        <f t="shared" si="22"/>
      </c>
      <c r="AI711" s="2">
        <f t="shared" si="23"/>
      </c>
      <c r="AJ711" s="2">
        <f t="shared" si="24"/>
        <v>0</v>
      </c>
      <c r="AK711" s="2">
        <f t="shared" si="25"/>
        <v>0</v>
      </c>
      <c r="AL711" s="2">
        <f t="shared" si="26"/>
        <v>0</v>
      </c>
      <c r="AM711" s="2">
        <f t="shared" si="27"/>
        <v>0</v>
      </c>
      <c r="AN711" s="2">
        <f t="shared" si="28"/>
        <v>0</v>
      </c>
      <c r="AO711" s="2">
        <f t="shared" si="29"/>
      </c>
      <c r="AP711" s="2">
        <f t="shared" si="30"/>
      </c>
      <c r="AQ711" s="2">
        <f t="shared" si="31"/>
      </c>
    </row>
    <row r="712">
      <c r="A712" s="43">
        <f t="shared" si="3"/>
      </c>
      <c r="B712" s="44" t="n"/>
      <c r="C712" s="45" t="n"/>
      <c r="D712" s="46" t="n"/>
      <c r="E712" s="47" t="n"/>
      <c r="F712" s="47" t="n"/>
      <c r="G712" s="48">
        <f t="shared" si="4"/>
      </c>
      <c r="H712" s="43">
        <f t="shared" si="0"/>
      </c>
      <c r="I712" s="43">
        <f t="shared" si="5"/>
      </c>
      <c r="J712" s="43">
        <f t="shared" si="1"/>
      </c>
      <c r="K712" s="49">
        <f t="shared" si="2"/>
      </c>
      <c r="L712" s="45" t="n"/>
      <c r="M712" s="45" t="n"/>
      <c r="N712" s="45" t="n"/>
      <c r="O712" s="45" t="n"/>
      <c r="P712" s="50" t="n"/>
      <c r="R712" s="2">
        <f t="shared" si="6"/>
        <v>0</v>
      </c>
      <c r="S712" s="2">
        <f t="shared" si="7"/>
      </c>
      <c r="T712" s="2">
        <f t="shared" si="8"/>
      </c>
      <c r="U712" s="2">
        <f t="shared" si="9"/>
      </c>
      <c r="V712" s="2">
        <f t="shared" si="10"/>
      </c>
      <c r="W712" s="2">
        <f t="shared" si="11"/>
      </c>
      <c r="X712" s="2">
        <f t="shared" si="12"/>
      </c>
      <c r="Y712" s="2">
        <f t="shared" si="13"/>
        <v>0</v>
      </c>
      <c r="Z712" s="2">
        <f t="shared" si="14"/>
      </c>
      <c r="AA712" s="2">
        <f t="shared" si="15"/>
        <v>0</v>
      </c>
      <c r="AB712" s="2">
        <f t="shared" si="16"/>
      </c>
      <c r="AC712" s="2">
        <f t="shared" si="17"/>
      </c>
      <c r="AD712" s="2">
        <f t="shared" si="18"/>
      </c>
      <c r="AE712" s="2">
        <f t="shared" si="19"/>
      </c>
      <c r="AF712" s="2">
        <f t="shared" si="20"/>
      </c>
      <c r="AG712" s="2">
        <f t="shared" si="21"/>
      </c>
      <c r="AH712" s="2">
        <f t="shared" si="22"/>
      </c>
      <c r="AI712" s="2">
        <f t="shared" si="23"/>
      </c>
      <c r="AJ712" s="2">
        <f t="shared" si="24"/>
        <v>0</v>
      </c>
      <c r="AK712" s="2">
        <f t="shared" si="25"/>
        <v>0</v>
      </c>
      <c r="AL712" s="2">
        <f t="shared" si="26"/>
        <v>0</v>
      </c>
      <c r="AM712" s="2">
        <f t="shared" si="27"/>
        <v>0</v>
      </c>
      <c r="AN712" s="2">
        <f t="shared" si="28"/>
        <v>0</v>
      </c>
      <c r="AO712" s="2">
        <f t="shared" si="29"/>
      </c>
      <c r="AP712" s="2">
        <f t="shared" si="30"/>
      </c>
      <c r="AQ712" s="2">
        <f t="shared" si="31"/>
      </c>
    </row>
    <row r="713">
      <c r="A713" s="43">
        <f t="shared" si="3"/>
      </c>
      <c r="B713" s="44" t="n"/>
      <c r="C713" s="45" t="n"/>
      <c r="D713" s="46" t="n"/>
      <c r="E713" s="47" t="n"/>
      <c r="F713" s="47" t="n"/>
      <c r="G713" s="48">
        <f t="shared" si="4"/>
      </c>
      <c r="H713" s="43">
        <f t="shared" si="0"/>
      </c>
      <c r="I713" s="43">
        <f t="shared" si="5"/>
      </c>
      <c r="J713" s="43">
        <f t="shared" si="1"/>
      </c>
      <c r="K713" s="49">
        <f t="shared" si="2"/>
      </c>
      <c r="L713" s="45" t="n"/>
      <c r="M713" s="45" t="n"/>
      <c r="N713" s="45" t="n"/>
      <c r="O713" s="45" t="n"/>
      <c r="P713" s="50" t="n"/>
      <c r="R713" s="2">
        <f t="shared" si="6"/>
        <v>0</v>
      </c>
      <c r="S713" s="2">
        <f t="shared" si="7"/>
      </c>
      <c r="T713" s="2">
        <f t="shared" si="8"/>
      </c>
      <c r="U713" s="2">
        <f t="shared" si="9"/>
      </c>
      <c r="V713" s="2">
        <f t="shared" si="10"/>
      </c>
      <c r="W713" s="2">
        <f t="shared" si="11"/>
      </c>
      <c r="X713" s="2">
        <f t="shared" si="12"/>
      </c>
      <c r="Y713" s="2">
        <f t="shared" si="13"/>
        <v>0</v>
      </c>
      <c r="Z713" s="2">
        <f t="shared" si="14"/>
      </c>
      <c r="AA713" s="2">
        <f t="shared" si="15"/>
        <v>0</v>
      </c>
      <c r="AB713" s="2">
        <f t="shared" si="16"/>
      </c>
      <c r="AC713" s="2">
        <f t="shared" si="17"/>
      </c>
      <c r="AD713" s="2">
        <f t="shared" si="18"/>
      </c>
      <c r="AE713" s="2">
        <f t="shared" si="19"/>
      </c>
      <c r="AF713" s="2">
        <f t="shared" si="20"/>
      </c>
      <c r="AG713" s="2">
        <f t="shared" si="21"/>
      </c>
      <c r="AH713" s="2">
        <f t="shared" si="22"/>
      </c>
      <c r="AI713" s="2">
        <f t="shared" si="23"/>
      </c>
      <c r="AJ713" s="2">
        <f t="shared" si="24"/>
        <v>0</v>
      </c>
      <c r="AK713" s="2">
        <f t="shared" si="25"/>
        <v>0</v>
      </c>
      <c r="AL713" s="2">
        <f t="shared" si="26"/>
        <v>0</v>
      </c>
      <c r="AM713" s="2">
        <f t="shared" si="27"/>
        <v>0</v>
      </c>
      <c r="AN713" s="2">
        <f t="shared" si="28"/>
        <v>0</v>
      </c>
      <c r="AO713" s="2">
        <f t="shared" si="29"/>
      </c>
      <c r="AP713" s="2">
        <f t="shared" si="30"/>
      </c>
      <c r="AQ713" s="2">
        <f t="shared" si="31"/>
      </c>
    </row>
    <row r="714">
      <c r="A714" s="43">
        <f t="shared" si="3"/>
      </c>
      <c r="B714" s="44" t="n"/>
      <c r="C714" s="45" t="n"/>
      <c r="D714" s="46" t="n"/>
      <c r="E714" s="47" t="n"/>
      <c r="F714" s="47" t="n"/>
      <c r="G714" s="48">
        <f t="shared" si="4"/>
      </c>
      <c r="H714" s="43">
        <f t="shared" si="0"/>
      </c>
      <c r="I714" s="43">
        <f t="shared" si="5"/>
      </c>
      <c r="J714" s="43">
        <f t="shared" si="1"/>
      </c>
      <c r="K714" s="49">
        <f t="shared" si="2"/>
      </c>
      <c r="L714" s="45" t="n"/>
      <c r="M714" s="45" t="n"/>
      <c r="N714" s="45" t="n"/>
      <c r="O714" s="45" t="n"/>
      <c r="P714" s="50" t="n"/>
      <c r="R714" s="2">
        <f t="shared" si="6"/>
        <v>0</v>
      </c>
      <c r="S714" s="2">
        <f t="shared" si="7"/>
      </c>
      <c r="T714" s="2">
        <f t="shared" si="8"/>
      </c>
      <c r="U714" s="2">
        <f t="shared" si="9"/>
      </c>
      <c r="V714" s="2">
        <f t="shared" si="10"/>
      </c>
      <c r="W714" s="2">
        <f t="shared" si="11"/>
      </c>
      <c r="X714" s="2">
        <f t="shared" si="12"/>
      </c>
      <c r="Y714" s="2">
        <f t="shared" si="13"/>
        <v>0</v>
      </c>
      <c r="Z714" s="2">
        <f t="shared" si="14"/>
      </c>
      <c r="AA714" s="2">
        <f t="shared" si="15"/>
        <v>0</v>
      </c>
      <c r="AB714" s="2">
        <f t="shared" si="16"/>
      </c>
      <c r="AC714" s="2">
        <f t="shared" si="17"/>
      </c>
      <c r="AD714" s="2">
        <f t="shared" si="18"/>
      </c>
      <c r="AE714" s="2">
        <f t="shared" si="19"/>
      </c>
      <c r="AF714" s="2">
        <f t="shared" si="20"/>
      </c>
      <c r="AG714" s="2">
        <f t="shared" si="21"/>
      </c>
      <c r="AH714" s="2">
        <f t="shared" si="22"/>
      </c>
      <c r="AI714" s="2">
        <f t="shared" si="23"/>
      </c>
      <c r="AJ714" s="2">
        <f t="shared" si="24"/>
        <v>0</v>
      </c>
      <c r="AK714" s="2">
        <f t="shared" si="25"/>
        <v>0</v>
      </c>
      <c r="AL714" s="2">
        <f t="shared" si="26"/>
        <v>0</v>
      </c>
      <c r="AM714" s="2">
        <f t="shared" si="27"/>
        <v>0</v>
      </c>
      <c r="AN714" s="2">
        <f t="shared" si="28"/>
        <v>0</v>
      </c>
      <c r="AO714" s="2">
        <f t="shared" si="29"/>
      </c>
      <c r="AP714" s="2">
        <f t="shared" si="30"/>
      </c>
      <c r="AQ714" s="2">
        <f t="shared" si="31"/>
      </c>
    </row>
    <row r="715">
      <c r="A715" s="43">
        <f t="shared" si="3"/>
      </c>
      <c r="B715" s="44" t="n"/>
      <c r="C715" s="45" t="n"/>
      <c r="D715" s="46" t="n"/>
      <c r="E715" s="47" t="n"/>
      <c r="F715" s="47" t="n"/>
      <c r="G715" s="48">
        <f t="shared" si="4"/>
      </c>
      <c r="H715" s="43">
        <f t="shared" si="0"/>
      </c>
      <c r="I715" s="43">
        <f t="shared" si="5"/>
      </c>
      <c r="J715" s="43">
        <f t="shared" si="1"/>
      </c>
      <c r="K715" s="49">
        <f t="shared" si="2"/>
      </c>
      <c r="L715" s="45" t="n"/>
      <c r="M715" s="45" t="n"/>
      <c r="N715" s="45" t="n"/>
      <c r="O715" s="45" t="n"/>
      <c r="P715" s="50" t="n"/>
      <c r="R715" s="2">
        <f t="shared" si="6"/>
        <v>0</v>
      </c>
      <c r="S715" s="2">
        <f t="shared" si="7"/>
      </c>
      <c r="T715" s="2">
        <f t="shared" si="8"/>
      </c>
      <c r="U715" s="2">
        <f t="shared" si="9"/>
      </c>
      <c r="V715" s="2">
        <f t="shared" si="10"/>
      </c>
      <c r="W715" s="2">
        <f t="shared" si="11"/>
      </c>
      <c r="X715" s="2">
        <f t="shared" si="12"/>
      </c>
      <c r="Y715" s="2">
        <f t="shared" si="13"/>
        <v>0</v>
      </c>
      <c r="Z715" s="2">
        <f t="shared" si="14"/>
      </c>
      <c r="AA715" s="2">
        <f t="shared" si="15"/>
        <v>0</v>
      </c>
      <c r="AB715" s="2">
        <f t="shared" si="16"/>
      </c>
      <c r="AC715" s="2">
        <f t="shared" si="17"/>
      </c>
      <c r="AD715" s="2">
        <f t="shared" si="18"/>
      </c>
      <c r="AE715" s="2">
        <f t="shared" si="19"/>
      </c>
      <c r="AF715" s="2">
        <f t="shared" si="20"/>
      </c>
      <c r="AG715" s="2">
        <f t="shared" si="21"/>
      </c>
      <c r="AH715" s="2">
        <f t="shared" si="22"/>
      </c>
      <c r="AI715" s="2">
        <f t="shared" si="23"/>
      </c>
      <c r="AJ715" s="2">
        <f t="shared" si="24"/>
        <v>0</v>
      </c>
      <c r="AK715" s="2">
        <f t="shared" si="25"/>
        <v>0</v>
      </c>
      <c r="AL715" s="2">
        <f t="shared" si="26"/>
        <v>0</v>
      </c>
      <c r="AM715" s="2">
        <f t="shared" si="27"/>
        <v>0</v>
      </c>
      <c r="AN715" s="2">
        <f t="shared" si="28"/>
        <v>0</v>
      </c>
      <c r="AO715" s="2">
        <f t="shared" si="29"/>
      </c>
      <c r="AP715" s="2">
        <f t="shared" si="30"/>
      </c>
      <c r="AQ715" s="2">
        <f t="shared" si="31"/>
      </c>
    </row>
    <row r="716">
      <c r="A716" s="43">
        <f t="shared" si="3"/>
      </c>
      <c r="B716" s="44" t="n"/>
      <c r="C716" s="45" t="n"/>
      <c r="D716" s="46" t="n"/>
      <c r="E716" s="47" t="n"/>
      <c r="F716" s="47" t="n"/>
      <c r="G716" s="48">
        <f t="shared" si="4"/>
      </c>
      <c r="H716" s="43">
        <f t="shared" si="0"/>
      </c>
      <c r="I716" s="43">
        <f t="shared" si="5"/>
      </c>
      <c r="J716" s="43">
        <f t="shared" si="1"/>
      </c>
      <c r="K716" s="49">
        <f t="shared" si="2"/>
      </c>
      <c r="L716" s="45" t="n"/>
      <c r="M716" s="45" t="n"/>
      <c r="N716" s="45" t="n"/>
      <c r="O716" s="45" t="n"/>
      <c r="P716" s="50" t="n"/>
      <c r="R716" s="2">
        <f t="shared" si="6"/>
        <v>0</v>
      </c>
      <c r="S716" s="2">
        <f t="shared" si="7"/>
      </c>
      <c r="T716" s="2">
        <f t="shared" si="8"/>
      </c>
      <c r="U716" s="2">
        <f t="shared" si="9"/>
      </c>
      <c r="V716" s="2">
        <f t="shared" si="10"/>
      </c>
      <c r="W716" s="2">
        <f t="shared" si="11"/>
      </c>
      <c r="X716" s="2">
        <f t="shared" si="12"/>
      </c>
      <c r="Y716" s="2">
        <f t="shared" si="13"/>
        <v>0</v>
      </c>
      <c r="Z716" s="2">
        <f t="shared" si="14"/>
      </c>
      <c r="AA716" s="2">
        <f t="shared" si="15"/>
        <v>0</v>
      </c>
      <c r="AB716" s="2">
        <f t="shared" si="16"/>
      </c>
      <c r="AC716" s="2">
        <f t="shared" si="17"/>
      </c>
      <c r="AD716" s="2">
        <f t="shared" si="18"/>
      </c>
      <c r="AE716" s="2">
        <f t="shared" si="19"/>
      </c>
      <c r="AF716" s="2">
        <f t="shared" si="20"/>
      </c>
      <c r="AG716" s="2">
        <f t="shared" si="21"/>
      </c>
      <c r="AH716" s="2">
        <f t="shared" si="22"/>
      </c>
      <c r="AI716" s="2">
        <f t="shared" si="23"/>
      </c>
      <c r="AJ716" s="2">
        <f t="shared" si="24"/>
        <v>0</v>
      </c>
      <c r="AK716" s="2">
        <f t="shared" si="25"/>
        <v>0</v>
      </c>
      <c r="AL716" s="2">
        <f t="shared" si="26"/>
        <v>0</v>
      </c>
      <c r="AM716" s="2">
        <f t="shared" si="27"/>
        <v>0</v>
      </c>
      <c r="AN716" s="2">
        <f t="shared" si="28"/>
        <v>0</v>
      </c>
      <c r="AO716" s="2">
        <f t="shared" si="29"/>
      </c>
      <c r="AP716" s="2">
        <f t="shared" si="30"/>
      </c>
      <c r="AQ716" s="2">
        <f t="shared" si="31"/>
      </c>
    </row>
    <row r="717">
      <c r="A717" s="43">
        <f t="shared" si="3"/>
      </c>
      <c r="B717" s="44" t="n"/>
      <c r="C717" s="45" t="n"/>
      <c r="D717" s="46" t="n"/>
      <c r="E717" s="47" t="n"/>
      <c r="F717" s="47" t="n"/>
      <c r="G717" s="48">
        <f t="shared" si="4"/>
      </c>
      <c r="H717" s="43">
        <f t="shared" si="0"/>
      </c>
      <c r="I717" s="43">
        <f t="shared" si="5"/>
      </c>
      <c r="J717" s="43">
        <f t="shared" si="1"/>
      </c>
      <c r="K717" s="49">
        <f t="shared" si="2"/>
      </c>
      <c r="L717" s="45" t="n"/>
      <c r="M717" s="45" t="n"/>
      <c r="N717" s="45" t="n"/>
      <c r="O717" s="45" t="n"/>
      <c r="P717" s="50" t="n"/>
      <c r="R717" s="2">
        <f t="shared" si="6"/>
        <v>0</v>
      </c>
      <c r="S717" s="2">
        <f t="shared" si="7"/>
      </c>
      <c r="T717" s="2">
        <f t="shared" si="8"/>
      </c>
      <c r="U717" s="2">
        <f t="shared" si="9"/>
      </c>
      <c r="V717" s="2">
        <f t="shared" si="10"/>
      </c>
      <c r="W717" s="2">
        <f t="shared" si="11"/>
      </c>
      <c r="X717" s="2">
        <f t="shared" si="12"/>
      </c>
      <c r="Y717" s="2">
        <f t="shared" si="13"/>
        <v>0</v>
      </c>
      <c r="Z717" s="2">
        <f t="shared" si="14"/>
      </c>
      <c r="AA717" s="2">
        <f t="shared" si="15"/>
        <v>0</v>
      </c>
      <c r="AB717" s="2">
        <f t="shared" si="16"/>
      </c>
      <c r="AC717" s="2">
        <f t="shared" si="17"/>
      </c>
      <c r="AD717" s="2">
        <f t="shared" si="18"/>
      </c>
      <c r="AE717" s="2">
        <f t="shared" si="19"/>
      </c>
      <c r="AF717" s="2">
        <f t="shared" si="20"/>
      </c>
      <c r="AG717" s="2">
        <f t="shared" si="21"/>
      </c>
      <c r="AH717" s="2">
        <f t="shared" si="22"/>
      </c>
      <c r="AI717" s="2">
        <f t="shared" si="23"/>
      </c>
      <c r="AJ717" s="2">
        <f t="shared" si="24"/>
        <v>0</v>
      </c>
      <c r="AK717" s="2">
        <f t="shared" si="25"/>
        <v>0</v>
      </c>
      <c r="AL717" s="2">
        <f t="shared" si="26"/>
        <v>0</v>
      </c>
      <c r="AM717" s="2">
        <f t="shared" si="27"/>
        <v>0</v>
      </c>
      <c r="AN717" s="2">
        <f t="shared" si="28"/>
        <v>0</v>
      </c>
      <c r="AO717" s="2">
        <f t="shared" si="29"/>
      </c>
      <c r="AP717" s="2">
        <f t="shared" si="30"/>
      </c>
      <c r="AQ717" s="2">
        <f t="shared" si="31"/>
      </c>
    </row>
    <row r="718">
      <c r="A718" s="43">
        <f t="shared" si="3"/>
      </c>
      <c r="B718" s="44" t="n"/>
      <c r="C718" s="45" t="n"/>
      <c r="D718" s="46" t="n"/>
      <c r="E718" s="47" t="n"/>
      <c r="F718" s="47" t="n"/>
      <c r="G718" s="48">
        <f t="shared" si="4"/>
      </c>
      <c r="H718" s="43">
        <f t="shared" si="0"/>
      </c>
      <c r="I718" s="43">
        <f t="shared" si="5"/>
      </c>
      <c r="J718" s="43">
        <f t="shared" si="1"/>
      </c>
      <c r="K718" s="49">
        <f t="shared" si="2"/>
      </c>
      <c r="L718" s="45" t="n"/>
      <c r="M718" s="45" t="n"/>
      <c r="N718" s="45" t="n"/>
      <c r="O718" s="45" t="n"/>
      <c r="P718" s="50" t="n"/>
      <c r="R718" s="2">
        <f t="shared" si="6"/>
        <v>0</v>
      </c>
      <c r="S718" s="2">
        <f t="shared" si="7"/>
      </c>
      <c r="T718" s="2">
        <f t="shared" si="8"/>
      </c>
      <c r="U718" s="2">
        <f t="shared" si="9"/>
      </c>
      <c r="V718" s="2">
        <f t="shared" si="10"/>
      </c>
      <c r="W718" s="2">
        <f t="shared" si="11"/>
      </c>
      <c r="X718" s="2">
        <f t="shared" si="12"/>
      </c>
      <c r="Y718" s="2">
        <f t="shared" si="13"/>
        <v>0</v>
      </c>
      <c r="Z718" s="2">
        <f t="shared" si="14"/>
      </c>
      <c r="AA718" s="2">
        <f t="shared" si="15"/>
        <v>0</v>
      </c>
      <c r="AB718" s="2">
        <f t="shared" si="16"/>
      </c>
      <c r="AC718" s="2">
        <f t="shared" si="17"/>
      </c>
      <c r="AD718" s="2">
        <f t="shared" si="18"/>
      </c>
      <c r="AE718" s="2">
        <f t="shared" si="19"/>
      </c>
      <c r="AF718" s="2">
        <f t="shared" si="20"/>
      </c>
      <c r="AG718" s="2">
        <f t="shared" si="21"/>
      </c>
      <c r="AH718" s="2">
        <f t="shared" si="22"/>
      </c>
      <c r="AI718" s="2">
        <f t="shared" si="23"/>
      </c>
      <c r="AJ718" s="2">
        <f t="shared" si="24"/>
        <v>0</v>
      </c>
      <c r="AK718" s="2">
        <f t="shared" si="25"/>
        <v>0</v>
      </c>
      <c r="AL718" s="2">
        <f t="shared" si="26"/>
        <v>0</v>
      </c>
      <c r="AM718" s="2">
        <f t="shared" si="27"/>
        <v>0</v>
      </c>
      <c r="AN718" s="2">
        <f t="shared" si="28"/>
        <v>0</v>
      </c>
      <c r="AO718" s="2">
        <f t="shared" si="29"/>
      </c>
      <c r="AP718" s="2">
        <f t="shared" si="30"/>
      </c>
      <c r="AQ718" s="2">
        <f t="shared" si="31"/>
      </c>
    </row>
    <row r="719">
      <c r="A719" s="43">
        <f t="shared" si="3"/>
      </c>
      <c r="B719" s="44" t="n"/>
      <c r="C719" s="45" t="n"/>
      <c r="D719" s="46" t="n"/>
      <c r="E719" s="47" t="n"/>
      <c r="F719" s="47" t="n"/>
      <c r="G719" s="48">
        <f t="shared" si="4"/>
      </c>
      <c r="H719" s="43">
        <f t="shared" si="0"/>
      </c>
      <c r="I719" s="43">
        <f t="shared" si="5"/>
      </c>
      <c r="J719" s="43">
        <f t="shared" si="1"/>
      </c>
      <c r="K719" s="49">
        <f t="shared" si="2"/>
      </c>
      <c r="L719" s="45" t="n"/>
      <c r="M719" s="45" t="n"/>
      <c r="N719" s="45" t="n"/>
      <c r="O719" s="45" t="n"/>
      <c r="P719" s="50" t="n"/>
      <c r="R719" s="2">
        <f t="shared" si="6"/>
        <v>0</v>
      </c>
      <c r="S719" s="2">
        <f t="shared" si="7"/>
      </c>
      <c r="T719" s="2">
        <f t="shared" si="8"/>
      </c>
      <c r="U719" s="2">
        <f t="shared" si="9"/>
      </c>
      <c r="V719" s="2">
        <f t="shared" si="10"/>
      </c>
      <c r="W719" s="2">
        <f t="shared" si="11"/>
      </c>
      <c r="X719" s="2">
        <f t="shared" si="12"/>
      </c>
      <c r="Y719" s="2">
        <f t="shared" si="13"/>
        <v>0</v>
      </c>
      <c r="Z719" s="2">
        <f t="shared" si="14"/>
      </c>
      <c r="AA719" s="2">
        <f t="shared" si="15"/>
        <v>0</v>
      </c>
      <c r="AB719" s="2">
        <f t="shared" si="16"/>
      </c>
      <c r="AC719" s="2">
        <f t="shared" si="17"/>
      </c>
      <c r="AD719" s="2">
        <f t="shared" si="18"/>
      </c>
      <c r="AE719" s="2">
        <f t="shared" si="19"/>
      </c>
      <c r="AF719" s="2">
        <f t="shared" si="20"/>
      </c>
      <c r="AG719" s="2">
        <f t="shared" si="21"/>
      </c>
      <c r="AH719" s="2">
        <f t="shared" si="22"/>
      </c>
      <c r="AI719" s="2">
        <f t="shared" si="23"/>
      </c>
      <c r="AJ719" s="2">
        <f t="shared" si="24"/>
        <v>0</v>
      </c>
      <c r="AK719" s="2">
        <f t="shared" si="25"/>
        <v>0</v>
      </c>
      <c r="AL719" s="2">
        <f t="shared" si="26"/>
        <v>0</v>
      </c>
      <c r="AM719" s="2">
        <f t="shared" si="27"/>
        <v>0</v>
      </c>
      <c r="AN719" s="2">
        <f t="shared" si="28"/>
        <v>0</v>
      </c>
      <c r="AO719" s="2">
        <f t="shared" si="29"/>
      </c>
      <c r="AP719" s="2">
        <f t="shared" si="30"/>
      </c>
      <c r="AQ719" s="2">
        <f t="shared" si="31"/>
      </c>
    </row>
    <row r="720">
      <c r="A720" s="43">
        <f t="shared" si="3"/>
      </c>
      <c r="B720" s="44" t="n"/>
      <c r="C720" s="45" t="n"/>
      <c r="D720" s="46" t="n"/>
      <c r="E720" s="47" t="n"/>
      <c r="F720" s="47" t="n"/>
      <c r="G720" s="48">
        <f t="shared" si="4"/>
      </c>
      <c r="H720" s="43">
        <f t="shared" si="0"/>
      </c>
      <c r="I720" s="43">
        <f t="shared" si="5"/>
      </c>
      <c r="J720" s="43">
        <f t="shared" si="1"/>
      </c>
      <c r="K720" s="49">
        <f t="shared" si="2"/>
      </c>
      <c r="L720" s="45" t="n"/>
      <c r="M720" s="45" t="n"/>
      <c r="N720" s="45" t="n"/>
      <c r="O720" s="45" t="n"/>
      <c r="P720" s="50" t="n"/>
      <c r="R720" s="2">
        <f t="shared" si="6"/>
        <v>0</v>
      </c>
      <c r="S720" s="2">
        <f t="shared" si="7"/>
      </c>
      <c r="T720" s="2">
        <f t="shared" si="8"/>
      </c>
      <c r="U720" s="2">
        <f t="shared" si="9"/>
      </c>
      <c r="V720" s="2">
        <f t="shared" si="10"/>
      </c>
      <c r="W720" s="2">
        <f t="shared" si="11"/>
      </c>
      <c r="X720" s="2">
        <f t="shared" si="12"/>
      </c>
      <c r="Y720" s="2">
        <f t="shared" si="13"/>
        <v>0</v>
      </c>
      <c r="Z720" s="2">
        <f t="shared" si="14"/>
      </c>
      <c r="AA720" s="2">
        <f t="shared" si="15"/>
        <v>0</v>
      </c>
      <c r="AB720" s="2">
        <f t="shared" si="16"/>
      </c>
      <c r="AC720" s="2">
        <f t="shared" si="17"/>
      </c>
      <c r="AD720" s="2">
        <f t="shared" si="18"/>
      </c>
      <c r="AE720" s="2">
        <f t="shared" si="19"/>
      </c>
      <c r="AF720" s="2">
        <f t="shared" si="20"/>
      </c>
      <c r="AG720" s="2">
        <f t="shared" si="21"/>
      </c>
      <c r="AH720" s="2">
        <f t="shared" si="22"/>
      </c>
      <c r="AI720" s="2">
        <f t="shared" si="23"/>
      </c>
      <c r="AJ720" s="2">
        <f t="shared" si="24"/>
        <v>0</v>
      </c>
      <c r="AK720" s="2">
        <f t="shared" si="25"/>
        <v>0</v>
      </c>
      <c r="AL720" s="2">
        <f t="shared" si="26"/>
        <v>0</v>
      </c>
      <c r="AM720" s="2">
        <f t="shared" si="27"/>
        <v>0</v>
      </c>
      <c r="AN720" s="2">
        <f t="shared" si="28"/>
        <v>0</v>
      </c>
      <c r="AO720" s="2">
        <f t="shared" si="29"/>
      </c>
      <c r="AP720" s="2">
        <f t="shared" si="30"/>
      </c>
      <c r="AQ720" s="2">
        <f t="shared" si="31"/>
      </c>
    </row>
    <row r="721">
      <c r="A721" s="43">
        <f t="shared" si="3"/>
      </c>
      <c r="B721" s="44" t="n"/>
      <c r="C721" s="45" t="n"/>
      <c r="D721" s="46" t="n"/>
      <c r="E721" s="47" t="n"/>
      <c r="F721" s="47" t="n"/>
      <c r="G721" s="48">
        <f t="shared" si="4"/>
      </c>
      <c r="H721" s="43">
        <f t="shared" si="0"/>
      </c>
      <c r="I721" s="43">
        <f t="shared" si="5"/>
      </c>
      <c r="J721" s="43">
        <f t="shared" si="1"/>
      </c>
      <c r="K721" s="49">
        <f t="shared" si="2"/>
      </c>
      <c r="L721" s="45" t="n"/>
      <c r="M721" s="45" t="n"/>
      <c r="N721" s="45" t="n"/>
      <c r="O721" s="45" t="n"/>
      <c r="P721" s="50" t="n"/>
      <c r="R721" s="2">
        <f t="shared" si="6"/>
        <v>0</v>
      </c>
      <c r="S721" s="2">
        <f t="shared" si="7"/>
      </c>
      <c r="T721" s="2">
        <f t="shared" si="8"/>
      </c>
      <c r="U721" s="2">
        <f t="shared" si="9"/>
      </c>
      <c r="V721" s="2">
        <f t="shared" si="10"/>
      </c>
      <c r="W721" s="2">
        <f t="shared" si="11"/>
      </c>
      <c r="X721" s="2">
        <f t="shared" si="12"/>
      </c>
      <c r="Y721" s="2">
        <f t="shared" si="13"/>
        <v>0</v>
      </c>
      <c r="Z721" s="2">
        <f t="shared" si="14"/>
      </c>
      <c r="AA721" s="2">
        <f t="shared" si="15"/>
        <v>0</v>
      </c>
      <c r="AB721" s="2">
        <f t="shared" si="16"/>
      </c>
      <c r="AC721" s="2">
        <f t="shared" si="17"/>
      </c>
      <c r="AD721" s="2">
        <f t="shared" si="18"/>
      </c>
      <c r="AE721" s="2">
        <f t="shared" si="19"/>
      </c>
      <c r="AF721" s="2">
        <f t="shared" si="20"/>
      </c>
      <c r="AG721" s="2">
        <f t="shared" si="21"/>
      </c>
      <c r="AH721" s="2">
        <f t="shared" si="22"/>
      </c>
      <c r="AI721" s="2">
        <f t="shared" si="23"/>
      </c>
      <c r="AJ721" s="2">
        <f t="shared" si="24"/>
        <v>0</v>
      </c>
      <c r="AK721" s="2">
        <f t="shared" si="25"/>
        <v>0</v>
      </c>
      <c r="AL721" s="2">
        <f t="shared" si="26"/>
        <v>0</v>
      </c>
      <c r="AM721" s="2">
        <f t="shared" si="27"/>
        <v>0</v>
      </c>
      <c r="AN721" s="2">
        <f t="shared" si="28"/>
        <v>0</v>
      </c>
      <c r="AO721" s="2">
        <f t="shared" si="29"/>
      </c>
      <c r="AP721" s="2">
        <f t="shared" si="30"/>
      </c>
      <c r="AQ721" s="2">
        <f t="shared" si="31"/>
      </c>
    </row>
    <row r="722">
      <c r="A722" s="43">
        <f t="shared" si="3"/>
      </c>
      <c r="B722" s="44" t="n"/>
      <c r="C722" s="45" t="n"/>
      <c r="D722" s="46" t="n"/>
      <c r="E722" s="47" t="n"/>
      <c r="F722" s="47" t="n"/>
      <c r="G722" s="48">
        <f t="shared" si="4"/>
      </c>
      <c r="H722" s="43">
        <f t="shared" si="0"/>
      </c>
      <c r="I722" s="43">
        <f t="shared" si="5"/>
      </c>
      <c r="J722" s="43">
        <f t="shared" si="1"/>
      </c>
      <c r="K722" s="49">
        <f t="shared" si="2"/>
      </c>
      <c r="L722" s="45" t="n"/>
      <c r="M722" s="45" t="n"/>
      <c r="N722" s="45" t="n"/>
      <c r="O722" s="45" t="n"/>
      <c r="P722" s="50" t="n"/>
      <c r="R722" s="2">
        <f t="shared" si="6"/>
        <v>0</v>
      </c>
      <c r="S722" s="2">
        <f t="shared" si="7"/>
      </c>
      <c r="T722" s="2">
        <f t="shared" si="8"/>
      </c>
      <c r="U722" s="2">
        <f t="shared" si="9"/>
      </c>
      <c r="V722" s="2">
        <f t="shared" si="10"/>
      </c>
      <c r="W722" s="2">
        <f t="shared" si="11"/>
      </c>
      <c r="X722" s="2">
        <f t="shared" si="12"/>
      </c>
      <c r="Y722" s="2">
        <f t="shared" si="13"/>
        <v>0</v>
      </c>
      <c r="Z722" s="2">
        <f t="shared" si="14"/>
      </c>
      <c r="AA722" s="2">
        <f t="shared" si="15"/>
        <v>0</v>
      </c>
      <c r="AB722" s="2">
        <f t="shared" si="16"/>
      </c>
      <c r="AC722" s="2">
        <f t="shared" si="17"/>
      </c>
      <c r="AD722" s="2">
        <f t="shared" si="18"/>
      </c>
      <c r="AE722" s="2">
        <f t="shared" si="19"/>
      </c>
      <c r="AF722" s="2">
        <f t="shared" si="20"/>
      </c>
      <c r="AG722" s="2">
        <f t="shared" si="21"/>
      </c>
      <c r="AH722" s="2">
        <f t="shared" si="22"/>
      </c>
      <c r="AI722" s="2">
        <f t="shared" si="23"/>
      </c>
      <c r="AJ722" s="2">
        <f t="shared" si="24"/>
        <v>0</v>
      </c>
      <c r="AK722" s="2">
        <f t="shared" si="25"/>
        <v>0</v>
      </c>
      <c r="AL722" s="2">
        <f t="shared" si="26"/>
        <v>0</v>
      </c>
      <c r="AM722" s="2">
        <f t="shared" si="27"/>
        <v>0</v>
      </c>
      <c r="AN722" s="2">
        <f t="shared" si="28"/>
        <v>0</v>
      </c>
      <c r="AO722" s="2">
        <f t="shared" si="29"/>
      </c>
      <c r="AP722" s="2">
        <f t="shared" si="30"/>
      </c>
      <c r="AQ722" s="2">
        <f t="shared" si="31"/>
      </c>
    </row>
    <row r="723">
      <c r="A723" s="43">
        <f t="shared" si="3"/>
      </c>
      <c r="B723" s="44" t="n"/>
      <c r="C723" s="45" t="n"/>
      <c r="D723" s="46" t="n"/>
      <c r="E723" s="47" t="n"/>
      <c r="F723" s="47" t="n"/>
      <c r="G723" s="48">
        <f t="shared" si="4"/>
      </c>
      <c r="H723" s="43">
        <f t="shared" si="0"/>
      </c>
      <c r="I723" s="43">
        <f t="shared" si="5"/>
      </c>
      <c r="J723" s="43">
        <f t="shared" si="1"/>
      </c>
      <c r="K723" s="49">
        <f t="shared" si="2"/>
      </c>
      <c r="L723" s="45" t="n"/>
      <c r="M723" s="45" t="n"/>
      <c r="N723" s="45" t="n"/>
      <c r="O723" s="45" t="n"/>
      <c r="P723" s="50" t="n"/>
      <c r="R723" s="2">
        <f t="shared" si="6"/>
        <v>0</v>
      </c>
      <c r="S723" s="2">
        <f t="shared" si="7"/>
      </c>
      <c r="T723" s="2">
        <f t="shared" si="8"/>
      </c>
      <c r="U723" s="2">
        <f t="shared" si="9"/>
      </c>
      <c r="V723" s="2">
        <f t="shared" si="10"/>
      </c>
      <c r="W723" s="2">
        <f t="shared" si="11"/>
      </c>
      <c r="X723" s="2">
        <f t="shared" si="12"/>
      </c>
      <c r="Y723" s="2">
        <f t="shared" si="13"/>
        <v>0</v>
      </c>
      <c r="Z723" s="2">
        <f t="shared" si="14"/>
      </c>
      <c r="AA723" s="2">
        <f t="shared" si="15"/>
        <v>0</v>
      </c>
      <c r="AB723" s="2">
        <f t="shared" si="16"/>
      </c>
      <c r="AC723" s="2">
        <f t="shared" si="17"/>
      </c>
      <c r="AD723" s="2">
        <f t="shared" si="18"/>
      </c>
      <c r="AE723" s="2">
        <f t="shared" si="19"/>
      </c>
      <c r="AF723" s="2">
        <f t="shared" si="20"/>
      </c>
      <c r="AG723" s="2">
        <f t="shared" si="21"/>
      </c>
      <c r="AH723" s="2">
        <f t="shared" si="22"/>
      </c>
      <c r="AI723" s="2">
        <f t="shared" si="23"/>
      </c>
      <c r="AJ723" s="2">
        <f t="shared" si="24"/>
        <v>0</v>
      </c>
      <c r="AK723" s="2">
        <f t="shared" si="25"/>
        <v>0</v>
      </c>
      <c r="AL723" s="2">
        <f t="shared" si="26"/>
        <v>0</v>
      </c>
      <c r="AM723" s="2">
        <f t="shared" si="27"/>
        <v>0</v>
      </c>
      <c r="AN723" s="2">
        <f t="shared" si="28"/>
        <v>0</v>
      </c>
      <c r="AO723" s="2">
        <f t="shared" si="29"/>
      </c>
      <c r="AP723" s="2">
        <f t="shared" si="30"/>
      </c>
      <c r="AQ723" s="2">
        <f t="shared" si="31"/>
      </c>
    </row>
    <row r="724">
      <c r="A724" s="43">
        <f t="shared" si="3"/>
      </c>
      <c r="B724" s="44" t="n"/>
      <c r="C724" s="45" t="n"/>
      <c r="D724" s="46" t="n"/>
      <c r="E724" s="47" t="n"/>
      <c r="F724" s="47" t="n"/>
      <c r="G724" s="48">
        <f t="shared" si="4"/>
      </c>
      <c r="H724" s="43">
        <f t="shared" si="0"/>
      </c>
      <c r="I724" s="43">
        <f t="shared" si="5"/>
      </c>
      <c r="J724" s="43">
        <f t="shared" si="1"/>
      </c>
      <c r="K724" s="49">
        <f t="shared" si="2"/>
      </c>
      <c r="L724" s="45" t="n"/>
      <c r="M724" s="45" t="n"/>
      <c r="N724" s="45" t="n"/>
      <c r="O724" s="45" t="n"/>
      <c r="P724" s="50" t="n"/>
      <c r="R724" s="2">
        <f t="shared" si="6"/>
        <v>0</v>
      </c>
      <c r="S724" s="2">
        <f t="shared" si="7"/>
      </c>
      <c r="T724" s="2">
        <f t="shared" si="8"/>
      </c>
      <c r="U724" s="2">
        <f t="shared" si="9"/>
      </c>
      <c r="V724" s="2">
        <f t="shared" si="10"/>
      </c>
      <c r="W724" s="2">
        <f t="shared" si="11"/>
      </c>
      <c r="X724" s="2">
        <f t="shared" si="12"/>
      </c>
      <c r="Y724" s="2">
        <f t="shared" si="13"/>
        <v>0</v>
      </c>
      <c r="Z724" s="2">
        <f t="shared" si="14"/>
      </c>
      <c r="AA724" s="2">
        <f t="shared" si="15"/>
        <v>0</v>
      </c>
      <c r="AB724" s="2">
        <f t="shared" si="16"/>
      </c>
      <c r="AC724" s="2">
        <f t="shared" si="17"/>
      </c>
      <c r="AD724" s="2">
        <f t="shared" si="18"/>
      </c>
      <c r="AE724" s="2">
        <f t="shared" si="19"/>
      </c>
      <c r="AF724" s="2">
        <f t="shared" si="20"/>
      </c>
      <c r="AG724" s="2">
        <f t="shared" si="21"/>
      </c>
      <c r="AH724" s="2">
        <f t="shared" si="22"/>
      </c>
      <c r="AI724" s="2">
        <f t="shared" si="23"/>
      </c>
      <c r="AJ724" s="2">
        <f t="shared" si="24"/>
        <v>0</v>
      </c>
      <c r="AK724" s="2">
        <f t="shared" si="25"/>
        <v>0</v>
      </c>
      <c r="AL724" s="2">
        <f t="shared" si="26"/>
        <v>0</v>
      </c>
      <c r="AM724" s="2">
        <f t="shared" si="27"/>
        <v>0</v>
      </c>
      <c r="AN724" s="2">
        <f t="shared" si="28"/>
        <v>0</v>
      </c>
      <c r="AO724" s="2">
        <f t="shared" si="29"/>
      </c>
      <c r="AP724" s="2">
        <f t="shared" si="30"/>
      </c>
      <c r="AQ724" s="2">
        <f t="shared" si="31"/>
      </c>
    </row>
    <row r="725">
      <c r="A725" s="43">
        <f t="shared" si="3"/>
      </c>
      <c r="B725" s="44" t="n"/>
      <c r="C725" s="45" t="n"/>
      <c r="D725" s="46" t="n"/>
      <c r="E725" s="47" t="n"/>
      <c r="F725" s="47" t="n"/>
      <c r="G725" s="48">
        <f t="shared" si="4"/>
      </c>
      <c r="H725" s="43">
        <f t="shared" si="0"/>
      </c>
      <c r="I725" s="43">
        <f t="shared" si="5"/>
      </c>
      <c r="J725" s="43">
        <f t="shared" si="1"/>
      </c>
      <c r="K725" s="49">
        <f t="shared" si="2"/>
      </c>
      <c r="L725" s="45" t="n"/>
      <c r="M725" s="45" t="n"/>
      <c r="N725" s="45" t="n"/>
      <c r="O725" s="45" t="n"/>
      <c r="P725" s="50" t="n"/>
      <c r="R725" s="2">
        <f t="shared" si="6"/>
        <v>0</v>
      </c>
      <c r="S725" s="2">
        <f t="shared" si="7"/>
      </c>
      <c r="T725" s="2">
        <f t="shared" si="8"/>
      </c>
      <c r="U725" s="2">
        <f t="shared" si="9"/>
      </c>
      <c r="V725" s="2">
        <f t="shared" si="10"/>
      </c>
      <c r="W725" s="2">
        <f t="shared" si="11"/>
      </c>
      <c r="X725" s="2">
        <f t="shared" si="12"/>
      </c>
      <c r="Y725" s="2">
        <f t="shared" si="13"/>
        <v>0</v>
      </c>
      <c r="Z725" s="2">
        <f t="shared" si="14"/>
      </c>
      <c r="AA725" s="2">
        <f t="shared" si="15"/>
        <v>0</v>
      </c>
      <c r="AB725" s="2">
        <f t="shared" si="16"/>
      </c>
      <c r="AC725" s="2">
        <f t="shared" si="17"/>
      </c>
      <c r="AD725" s="2">
        <f t="shared" si="18"/>
      </c>
      <c r="AE725" s="2">
        <f t="shared" si="19"/>
      </c>
      <c r="AF725" s="2">
        <f t="shared" si="20"/>
      </c>
      <c r="AG725" s="2">
        <f t="shared" si="21"/>
      </c>
      <c r="AH725" s="2">
        <f t="shared" si="22"/>
      </c>
      <c r="AI725" s="2">
        <f t="shared" si="23"/>
      </c>
      <c r="AJ725" s="2">
        <f t="shared" si="24"/>
        <v>0</v>
      </c>
      <c r="AK725" s="2">
        <f t="shared" si="25"/>
        <v>0</v>
      </c>
      <c r="AL725" s="2">
        <f t="shared" si="26"/>
        <v>0</v>
      </c>
      <c r="AM725" s="2">
        <f t="shared" si="27"/>
        <v>0</v>
      </c>
      <c r="AN725" s="2">
        <f t="shared" si="28"/>
        <v>0</v>
      </c>
      <c r="AO725" s="2">
        <f t="shared" si="29"/>
      </c>
      <c r="AP725" s="2">
        <f t="shared" si="30"/>
      </c>
      <c r="AQ725" s="2">
        <f t="shared" si="31"/>
      </c>
    </row>
    <row r="726">
      <c r="A726" s="43">
        <f t="shared" si="3"/>
      </c>
      <c r="B726" s="44" t="n"/>
      <c r="C726" s="45" t="n"/>
      <c r="D726" s="46" t="n"/>
      <c r="E726" s="47" t="n"/>
      <c r="F726" s="47" t="n"/>
      <c r="G726" s="48">
        <f t="shared" si="4"/>
      </c>
      <c r="H726" s="43">
        <f t="shared" si="0"/>
      </c>
      <c r="I726" s="43">
        <f t="shared" si="5"/>
      </c>
      <c r="J726" s="43">
        <f t="shared" si="1"/>
      </c>
      <c r="K726" s="49">
        <f t="shared" si="2"/>
      </c>
      <c r="L726" s="45" t="n"/>
      <c r="M726" s="45" t="n"/>
      <c r="N726" s="45" t="n"/>
      <c r="O726" s="45" t="n"/>
      <c r="P726" s="50" t="n"/>
      <c r="R726" s="2">
        <f t="shared" si="6"/>
        <v>0</v>
      </c>
      <c r="S726" s="2">
        <f t="shared" si="7"/>
      </c>
      <c r="T726" s="2">
        <f t="shared" si="8"/>
      </c>
      <c r="U726" s="2">
        <f t="shared" si="9"/>
      </c>
      <c r="V726" s="2">
        <f t="shared" si="10"/>
      </c>
      <c r="W726" s="2">
        <f t="shared" si="11"/>
      </c>
      <c r="X726" s="2">
        <f t="shared" si="12"/>
      </c>
      <c r="Y726" s="2">
        <f t="shared" si="13"/>
        <v>0</v>
      </c>
      <c r="Z726" s="2">
        <f t="shared" si="14"/>
      </c>
      <c r="AA726" s="2">
        <f t="shared" si="15"/>
        <v>0</v>
      </c>
      <c r="AB726" s="2">
        <f t="shared" si="16"/>
      </c>
      <c r="AC726" s="2">
        <f t="shared" si="17"/>
      </c>
      <c r="AD726" s="2">
        <f t="shared" si="18"/>
      </c>
      <c r="AE726" s="2">
        <f t="shared" si="19"/>
      </c>
      <c r="AF726" s="2">
        <f t="shared" si="20"/>
      </c>
      <c r="AG726" s="2">
        <f t="shared" si="21"/>
      </c>
      <c r="AH726" s="2">
        <f t="shared" si="22"/>
      </c>
      <c r="AI726" s="2">
        <f t="shared" si="23"/>
      </c>
      <c r="AJ726" s="2">
        <f t="shared" si="24"/>
        <v>0</v>
      </c>
      <c r="AK726" s="2">
        <f t="shared" si="25"/>
        <v>0</v>
      </c>
      <c r="AL726" s="2">
        <f t="shared" si="26"/>
        <v>0</v>
      </c>
      <c r="AM726" s="2">
        <f t="shared" si="27"/>
        <v>0</v>
      </c>
      <c r="AN726" s="2">
        <f t="shared" si="28"/>
        <v>0</v>
      </c>
      <c r="AO726" s="2">
        <f t="shared" si="29"/>
      </c>
      <c r="AP726" s="2">
        <f t="shared" si="30"/>
      </c>
      <c r="AQ726" s="2">
        <f t="shared" si="31"/>
      </c>
    </row>
    <row r="727">
      <c r="A727" s="43">
        <f t="shared" si="3"/>
      </c>
      <c r="B727" s="44" t="n"/>
      <c r="C727" s="45" t="n"/>
      <c r="D727" s="46" t="n"/>
      <c r="E727" s="47" t="n"/>
      <c r="F727" s="47" t="n"/>
      <c r="G727" s="48">
        <f t="shared" si="4"/>
      </c>
      <c r="H727" s="43">
        <f t="shared" si="0"/>
      </c>
      <c r="I727" s="43">
        <f t="shared" si="5"/>
      </c>
      <c r="J727" s="43">
        <f t="shared" si="1"/>
      </c>
      <c r="K727" s="49">
        <f t="shared" si="2"/>
      </c>
      <c r="L727" s="45" t="n"/>
      <c r="M727" s="45" t="n"/>
      <c r="N727" s="45" t="n"/>
      <c r="O727" s="45" t="n"/>
      <c r="P727" s="50" t="n"/>
      <c r="R727" s="2">
        <f t="shared" si="6"/>
        <v>0</v>
      </c>
      <c r="S727" s="2">
        <f t="shared" si="7"/>
      </c>
      <c r="T727" s="2">
        <f t="shared" si="8"/>
      </c>
      <c r="U727" s="2">
        <f t="shared" si="9"/>
      </c>
      <c r="V727" s="2">
        <f t="shared" si="10"/>
      </c>
      <c r="W727" s="2">
        <f t="shared" si="11"/>
      </c>
      <c r="X727" s="2">
        <f t="shared" si="12"/>
      </c>
      <c r="Y727" s="2">
        <f t="shared" si="13"/>
        <v>0</v>
      </c>
      <c r="Z727" s="2">
        <f t="shared" si="14"/>
      </c>
      <c r="AA727" s="2">
        <f t="shared" si="15"/>
        <v>0</v>
      </c>
      <c r="AB727" s="2">
        <f t="shared" si="16"/>
      </c>
      <c r="AC727" s="2">
        <f t="shared" si="17"/>
      </c>
      <c r="AD727" s="2">
        <f t="shared" si="18"/>
      </c>
      <c r="AE727" s="2">
        <f t="shared" si="19"/>
      </c>
      <c r="AF727" s="2">
        <f t="shared" si="20"/>
      </c>
      <c r="AG727" s="2">
        <f t="shared" si="21"/>
      </c>
      <c r="AH727" s="2">
        <f t="shared" si="22"/>
      </c>
      <c r="AI727" s="2">
        <f t="shared" si="23"/>
      </c>
      <c r="AJ727" s="2">
        <f t="shared" si="24"/>
        <v>0</v>
      </c>
      <c r="AK727" s="2">
        <f t="shared" si="25"/>
        <v>0</v>
      </c>
      <c r="AL727" s="2">
        <f t="shared" si="26"/>
        <v>0</v>
      </c>
      <c r="AM727" s="2">
        <f t="shared" si="27"/>
        <v>0</v>
      </c>
      <c r="AN727" s="2">
        <f t="shared" si="28"/>
        <v>0</v>
      </c>
      <c r="AO727" s="2">
        <f t="shared" si="29"/>
      </c>
      <c r="AP727" s="2">
        <f t="shared" si="30"/>
      </c>
      <c r="AQ727" s="2">
        <f t="shared" si="31"/>
      </c>
    </row>
    <row r="728">
      <c r="A728" s="43">
        <f t="shared" si="3"/>
      </c>
      <c r="B728" s="44" t="n"/>
      <c r="C728" s="45" t="n"/>
      <c r="D728" s="46" t="n"/>
      <c r="E728" s="47" t="n"/>
      <c r="F728" s="47" t="n"/>
      <c r="G728" s="48">
        <f t="shared" si="4"/>
      </c>
      <c r="H728" s="43">
        <f t="shared" si="0"/>
      </c>
      <c r="I728" s="43">
        <f t="shared" si="5"/>
      </c>
      <c r="J728" s="43">
        <f t="shared" si="1"/>
      </c>
      <c r="K728" s="49">
        <f t="shared" si="2"/>
      </c>
      <c r="L728" s="45" t="n"/>
      <c r="M728" s="45" t="n"/>
      <c r="N728" s="45" t="n"/>
      <c r="O728" s="45" t="n"/>
      <c r="P728" s="50" t="n"/>
      <c r="R728" s="2">
        <f t="shared" si="6"/>
        <v>0</v>
      </c>
      <c r="S728" s="2">
        <f t="shared" si="7"/>
      </c>
      <c r="T728" s="2">
        <f t="shared" si="8"/>
      </c>
      <c r="U728" s="2">
        <f t="shared" si="9"/>
      </c>
      <c r="V728" s="2">
        <f t="shared" si="10"/>
      </c>
      <c r="W728" s="2">
        <f t="shared" si="11"/>
      </c>
      <c r="X728" s="2">
        <f t="shared" si="12"/>
      </c>
      <c r="Y728" s="2">
        <f t="shared" si="13"/>
        <v>0</v>
      </c>
      <c r="Z728" s="2">
        <f t="shared" si="14"/>
      </c>
      <c r="AA728" s="2">
        <f t="shared" si="15"/>
        <v>0</v>
      </c>
      <c r="AB728" s="2">
        <f t="shared" si="16"/>
      </c>
      <c r="AC728" s="2">
        <f t="shared" si="17"/>
      </c>
      <c r="AD728" s="2">
        <f t="shared" si="18"/>
      </c>
      <c r="AE728" s="2">
        <f t="shared" si="19"/>
      </c>
      <c r="AF728" s="2">
        <f t="shared" si="20"/>
      </c>
      <c r="AG728" s="2">
        <f t="shared" si="21"/>
      </c>
      <c r="AH728" s="2">
        <f t="shared" si="22"/>
      </c>
      <c r="AI728" s="2">
        <f t="shared" si="23"/>
      </c>
      <c r="AJ728" s="2">
        <f t="shared" si="24"/>
        <v>0</v>
      </c>
      <c r="AK728" s="2">
        <f t="shared" si="25"/>
        <v>0</v>
      </c>
      <c r="AL728" s="2">
        <f t="shared" si="26"/>
        <v>0</v>
      </c>
      <c r="AM728" s="2">
        <f t="shared" si="27"/>
        <v>0</v>
      </c>
      <c r="AN728" s="2">
        <f t="shared" si="28"/>
        <v>0</v>
      </c>
      <c r="AO728" s="2">
        <f t="shared" si="29"/>
      </c>
      <c r="AP728" s="2">
        <f t="shared" si="30"/>
      </c>
      <c r="AQ728" s="2">
        <f t="shared" si="31"/>
      </c>
    </row>
    <row r="729">
      <c r="A729" s="43">
        <f t="shared" si="3"/>
      </c>
      <c r="B729" s="44" t="n"/>
      <c r="C729" s="45" t="n"/>
      <c r="D729" s="46" t="n"/>
      <c r="E729" s="47" t="n"/>
      <c r="F729" s="47" t="n"/>
      <c r="G729" s="48">
        <f t="shared" si="4"/>
      </c>
      <c r="H729" s="43">
        <f t="shared" si="0"/>
      </c>
      <c r="I729" s="43">
        <f t="shared" si="5"/>
      </c>
      <c r="J729" s="43">
        <f t="shared" si="1"/>
      </c>
      <c r="K729" s="49">
        <f t="shared" si="2"/>
      </c>
      <c r="L729" s="45" t="n"/>
      <c r="M729" s="45" t="n"/>
      <c r="N729" s="45" t="n"/>
      <c r="O729" s="45" t="n"/>
      <c r="P729" s="50" t="n"/>
      <c r="R729" s="2">
        <f t="shared" si="6"/>
        <v>0</v>
      </c>
      <c r="S729" s="2">
        <f t="shared" si="7"/>
      </c>
      <c r="T729" s="2">
        <f t="shared" si="8"/>
      </c>
      <c r="U729" s="2">
        <f t="shared" si="9"/>
      </c>
      <c r="V729" s="2">
        <f t="shared" si="10"/>
      </c>
      <c r="W729" s="2">
        <f t="shared" si="11"/>
      </c>
      <c r="X729" s="2">
        <f t="shared" si="12"/>
      </c>
      <c r="Y729" s="2">
        <f t="shared" si="13"/>
        <v>0</v>
      </c>
      <c r="Z729" s="2">
        <f t="shared" si="14"/>
      </c>
      <c r="AA729" s="2">
        <f t="shared" si="15"/>
        <v>0</v>
      </c>
      <c r="AB729" s="2">
        <f t="shared" si="16"/>
      </c>
      <c r="AC729" s="2">
        <f t="shared" si="17"/>
      </c>
      <c r="AD729" s="2">
        <f t="shared" si="18"/>
      </c>
      <c r="AE729" s="2">
        <f t="shared" si="19"/>
      </c>
      <c r="AF729" s="2">
        <f t="shared" si="20"/>
      </c>
      <c r="AG729" s="2">
        <f t="shared" si="21"/>
      </c>
      <c r="AH729" s="2">
        <f t="shared" si="22"/>
      </c>
      <c r="AI729" s="2">
        <f t="shared" si="23"/>
      </c>
      <c r="AJ729" s="2">
        <f t="shared" si="24"/>
        <v>0</v>
      </c>
      <c r="AK729" s="2">
        <f t="shared" si="25"/>
        <v>0</v>
      </c>
      <c r="AL729" s="2">
        <f t="shared" si="26"/>
        <v>0</v>
      </c>
      <c r="AM729" s="2">
        <f t="shared" si="27"/>
        <v>0</v>
      </c>
      <c r="AN729" s="2">
        <f t="shared" si="28"/>
        <v>0</v>
      </c>
      <c r="AO729" s="2">
        <f t="shared" si="29"/>
      </c>
      <c r="AP729" s="2">
        <f t="shared" si="30"/>
      </c>
      <c r="AQ729" s="2">
        <f t="shared" si="31"/>
      </c>
    </row>
    <row r="730">
      <c r="A730" s="43">
        <f t="shared" si="3"/>
      </c>
      <c r="B730" s="44" t="n"/>
      <c r="C730" s="45" t="n"/>
      <c r="D730" s="46" t="n"/>
      <c r="E730" s="47" t="n"/>
      <c r="F730" s="47" t="n"/>
      <c r="G730" s="48">
        <f t="shared" si="4"/>
      </c>
      <c r="H730" s="43">
        <f t="shared" si="0"/>
      </c>
      <c r="I730" s="43">
        <f t="shared" si="5"/>
      </c>
      <c r="J730" s="43">
        <f t="shared" si="1"/>
      </c>
      <c r="K730" s="49">
        <f t="shared" si="2"/>
      </c>
      <c r="L730" s="45" t="n"/>
      <c r="M730" s="45" t="n"/>
      <c r="N730" s="45" t="n"/>
      <c r="O730" s="45" t="n"/>
      <c r="P730" s="50" t="n"/>
      <c r="R730" s="2">
        <f t="shared" si="6"/>
        <v>0</v>
      </c>
      <c r="S730" s="2">
        <f t="shared" si="7"/>
      </c>
      <c r="T730" s="2">
        <f t="shared" si="8"/>
      </c>
      <c r="U730" s="2">
        <f t="shared" si="9"/>
      </c>
      <c r="V730" s="2">
        <f t="shared" si="10"/>
      </c>
      <c r="W730" s="2">
        <f t="shared" si="11"/>
      </c>
      <c r="X730" s="2">
        <f t="shared" si="12"/>
      </c>
      <c r="Y730" s="2">
        <f t="shared" si="13"/>
        <v>0</v>
      </c>
      <c r="Z730" s="2">
        <f t="shared" si="14"/>
      </c>
      <c r="AA730" s="2">
        <f t="shared" si="15"/>
        <v>0</v>
      </c>
      <c r="AB730" s="2">
        <f t="shared" si="16"/>
      </c>
      <c r="AC730" s="2">
        <f t="shared" si="17"/>
      </c>
      <c r="AD730" s="2">
        <f t="shared" si="18"/>
      </c>
      <c r="AE730" s="2">
        <f t="shared" si="19"/>
      </c>
      <c r="AF730" s="2">
        <f t="shared" si="20"/>
      </c>
      <c r="AG730" s="2">
        <f t="shared" si="21"/>
      </c>
      <c r="AH730" s="2">
        <f t="shared" si="22"/>
      </c>
      <c r="AI730" s="2">
        <f t="shared" si="23"/>
      </c>
      <c r="AJ730" s="2">
        <f t="shared" si="24"/>
        <v>0</v>
      </c>
      <c r="AK730" s="2">
        <f t="shared" si="25"/>
        <v>0</v>
      </c>
      <c r="AL730" s="2">
        <f t="shared" si="26"/>
        <v>0</v>
      </c>
      <c r="AM730" s="2">
        <f t="shared" si="27"/>
        <v>0</v>
      </c>
      <c r="AN730" s="2">
        <f t="shared" si="28"/>
        <v>0</v>
      </c>
      <c r="AO730" s="2">
        <f t="shared" si="29"/>
      </c>
      <c r="AP730" s="2">
        <f t="shared" si="30"/>
      </c>
      <c r="AQ730" s="2">
        <f t="shared" si="31"/>
      </c>
    </row>
    <row r="731">
      <c r="A731" s="43">
        <f t="shared" si="3"/>
      </c>
      <c r="B731" s="44" t="n"/>
      <c r="C731" s="45" t="n"/>
      <c r="D731" s="46" t="n"/>
      <c r="E731" s="47" t="n"/>
      <c r="F731" s="47" t="n"/>
      <c r="G731" s="48">
        <f t="shared" si="4"/>
      </c>
      <c r="H731" s="43">
        <f t="shared" si="0"/>
      </c>
      <c r="I731" s="43">
        <f t="shared" si="5"/>
      </c>
      <c r="J731" s="43">
        <f t="shared" si="1"/>
      </c>
      <c r="K731" s="49">
        <f t="shared" si="2"/>
      </c>
      <c r="L731" s="45" t="n"/>
      <c r="M731" s="45" t="n"/>
      <c r="N731" s="45" t="n"/>
      <c r="O731" s="45" t="n"/>
      <c r="P731" s="50" t="n"/>
      <c r="R731" s="2">
        <f t="shared" si="6"/>
        <v>0</v>
      </c>
      <c r="S731" s="2">
        <f t="shared" si="7"/>
      </c>
      <c r="T731" s="2">
        <f t="shared" si="8"/>
      </c>
      <c r="U731" s="2">
        <f t="shared" si="9"/>
      </c>
      <c r="V731" s="2">
        <f t="shared" si="10"/>
      </c>
      <c r="W731" s="2">
        <f t="shared" si="11"/>
      </c>
      <c r="X731" s="2">
        <f t="shared" si="12"/>
      </c>
      <c r="Y731" s="2">
        <f t="shared" si="13"/>
        <v>0</v>
      </c>
      <c r="Z731" s="2">
        <f t="shared" si="14"/>
      </c>
      <c r="AA731" s="2">
        <f t="shared" si="15"/>
        <v>0</v>
      </c>
      <c r="AB731" s="2">
        <f t="shared" si="16"/>
      </c>
      <c r="AC731" s="2">
        <f t="shared" si="17"/>
      </c>
      <c r="AD731" s="2">
        <f t="shared" si="18"/>
      </c>
      <c r="AE731" s="2">
        <f t="shared" si="19"/>
      </c>
      <c r="AF731" s="2">
        <f t="shared" si="20"/>
      </c>
      <c r="AG731" s="2">
        <f t="shared" si="21"/>
      </c>
      <c r="AH731" s="2">
        <f t="shared" si="22"/>
      </c>
      <c r="AI731" s="2">
        <f t="shared" si="23"/>
      </c>
      <c r="AJ731" s="2">
        <f t="shared" si="24"/>
        <v>0</v>
      </c>
      <c r="AK731" s="2">
        <f t="shared" si="25"/>
        <v>0</v>
      </c>
      <c r="AL731" s="2">
        <f t="shared" si="26"/>
        <v>0</v>
      </c>
      <c r="AM731" s="2">
        <f t="shared" si="27"/>
        <v>0</v>
      </c>
      <c r="AN731" s="2">
        <f t="shared" si="28"/>
        <v>0</v>
      </c>
      <c r="AO731" s="2">
        <f t="shared" si="29"/>
      </c>
      <c r="AP731" s="2">
        <f t="shared" si="30"/>
      </c>
      <c r="AQ731" s="2">
        <f t="shared" si="31"/>
      </c>
    </row>
    <row r="732">
      <c r="A732" s="43">
        <f t="shared" si="3"/>
      </c>
      <c r="B732" s="44" t="n"/>
      <c r="C732" s="45" t="n"/>
      <c r="D732" s="46" t="n"/>
      <c r="E732" s="47" t="n"/>
      <c r="F732" s="47" t="n"/>
      <c r="G732" s="48">
        <f t="shared" si="4"/>
      </c>
      <c r="H732" s="43">
        <f t="shared" si="0"/>
      </c>
      <c r="I732" s="43">
        <f t="shared" si="5"/>
      </c>
      <c r="J732" s="43">
        <f t="shared" si="1"/>
      </c>
      <c r="K732" s="49">
        <f t="shared" si="2"/>
      </c>
      <c r="L732" s="45" t="n"/>
      <c r="M732" s="45" t="n"/>
      <c r="N732" s="45" t="n"/>
      <c r="O732" s="45" t="n"/>
      <c r="P732" s="50" t="n"/>
      <c r="R732" s="2">
        <f t="shared" si="6"/>
        <v>0</v>
      </c>
      <c r="S732" s="2">
        <f t="shared" si="7"/>
      </c>
      <c r="T732" s="2">
        <f t="shared" si="8"/>
      </c>
      <c r="U732" s="2">
        <f t="shared" si="9"/>
      </c>
      <c r="V732" s="2">
        <f t="shared" si="10"/>
      </c>
      <c r="W732" s="2">
        <f t="shared" si="11"/>
      </c>
      <c r="X732" s="2">
        <f t="shared" si="12"/>
      </c>
      <c r="Y732" s="2">
        <f t="shared" si="13"/>
        <v>0</v>
      </c>
      <c r="Z732" s="2">
        <f t="shared" si="14"/>
      </c>
      <c r="AA732" s="2">
        <f t="shared" si="15"/>
        <v>0</v>
      </c>
      <c r="AB732" s="2">
        <f t="shared" si="16"/>
      </c>
      <c r="AC732" s="2">
        <f t="shared" si="17"/>
      </c>
      <c r="AD732" s="2">
        <f t="shared" si="18"/>
      </c>
      <c r="AE732" s="2">
        <f t="shared" si="19"/>
      </c>
      <c r="AF732" s="2">
        <f t="shared" si="20"/>
      </c>
      <c r="AG732" s="2">
        <f t="shared" si="21"/>
      </c>
      <c r="AH732" s="2">
        <f t="shared" si="22"/>
      </c>
      <c r="AI732" s="2">
        <f t="shared" si="23"/>
      </c>
      <c r="AJ732" s="2">
        <f t="shared" si="24"/>
        <v>0</v>
      </c>
      <c r="AK732" s="2">
        <f t="shared" si="25"/>
        <v>0</v>
      </c>
      <c r="AL732" s="2">
        <f t="shared" si="26"/>
        <v>0</v>
      </c>
      <c r="AM732" s="2">
        <f t="shared" si="27"/>
        <v>0</v>
      </c>
      <c r="AN732" s="2">
        <f t="shared" si="28"/>
        <v>0</v>
      </c>
      <c r="AO732" s="2">
        <f t="shared" si="29"/>
      </c>
      <c r="AP732" s="2">
        <f t="shared" si="30"/>
      </c>
      <c r="AQ732" s="2">
        <f t="shared" si="31"/>
      </c>
    </row>
    <row r="733">
      <c r="A733" s="43">
        <f t="shared" si="3"/>
      </c>
      <c r="B733" s="44" t="n"/>
      <c r="C733" s="45" t="n"/>
      <c r="D733" s="46" t="n"/>
      <c r="E733" s="47" t="n"/>
      <c r="F733" s="47" t="n"/>
      <c r="G733" s="48">
        <f t="shared" si="4"/>
      </c>
      <c r="H733" s="43">
        <f t="shared" si="0"/>
      </c>
      <c r="I733" s="43">
        <f t="shared" si="5"/>
      </c>
      <c r="J733" s="43">
        <f t="shared" si="1"/>
      </c>
      <c r="K733" s="49">
        <f t="shared" si="2"/>
      </c>
      <c r="L733" s="45" t="n"/>
      <c r="M733" s="45" t="n"/>
      <c r="N733" s="45" t="n"/>
      <c r="O733" s="45" t="n"/>
      <c r="P733" s="50" t="n"/>
      <c r="R733" s="2">
        <f t="shared" si="6"/>
        <v>0</v>
      </c>
      <c r="S733" s="2">
        <f t="shared" si="7"/>
      </c>
      <c r="T733" s="2">
        <f t="shared" si="8"/>
      </c>
      <c r="U733" s="2">
        <f t="shared" si="9"/>
      </c>
      <c r="V733" s="2">
        <f t="shared" si="10"/>
      </c>
      <c r="W733" s="2">
        <f t="shared" si="11"/>
      </c>
      <c r="X733" s="2">
        <f t="shared" si="12"/>
      </c>
      <c r="Y733" s="2">
        <f t="shared" si="13"/>
        <v>0</v>
      </c>
      <c r="Z733" s="2">
        <f t="shared" si="14"/>
      </c>
      <c r="AA733" s="2">
        <f t="shared" si="15"/>
        <v>0</v>
      </c>
      <c r="AB733" s="2">
        <f t="shared" si="16"/>
      </c>
      <c r="AC733" s="2">
        <f t="shared" si="17"/>
      </c>
      <c r="AD733" s="2">
        <f t="shared" si="18"/>
      </c>
      <c r="AE733" s="2">
        <f t="shared" si="19"/>
      </c>
      <c r="AF733" s="2">
        <f t="shared" si="20"/>
      </c>
      <c r="AG733" s="2">
        <f t="shared" si="21"/>
      </c>
      <c r="AH733" s="2">
        <f t="shared" si="22"/>
      </c>
      <c r="AI733" s="2">
        <f t="shared" si="23"/>
      </c>
      <c r="AJ733" s="2">
        <f t="shared" si="24"/>
        <v>0</v>
      </c>
      <c r="AK733" s="2">
        <f t="shared" si="25"/>
        <v>0</v>
      </c>
      <c r="AL733" s="2">
        <f t="shared" si="26"/>
        <v>0</v>
      </c>
      <c r="AM733" s="2">
        <f t="shared" si="27"/>
        <v>0</v>
      </c>
      <c r="AN733" s="2">
        <f t="shared" si="28"/>
        <v>0</v>
      </c>
      <c r="AO733" s="2">
        <f t="shared" si="29"/>
      </c>
      <c r="AP733" s="2">
        <f t="shared" si="30"/>
      </c>
      <c r="AQ733" s="2">
        <f t="shared" si="31"/>
      </c>
    </row>
    <row r="734">
      <c r="A734" s="43">
        <f t="shared" si="3"/>
      </c>
      <c r="B734" s="44" t="n"/>
      <c r="C734" s="45" t="n"/>
      <c r="D734" s="46" t="n"/>
      <c r="E734" s="47" t="n"/>
      <c r="F734" s="47" t="n"/>
      <c r="G734" s="48">
        <f t="shared" si="4"/>
      </c>
      <c r="H734" s="43">
        <f t="shared" si="0"/>
      </c>
      <c r="I734" s="43">
        <f t="shared" si="5"/>
      </c>
      <c r="J734" s="43">
        <f t="shared" si="1"/>
      </c>
      <c r="K734" s="49">
        <f t="shared" si="2"/>
      </c>
      <c r="L734" s="45" t="n"/>
      <c r="M734" s="45" t="n"/>
      <c r="N734" s="45" t="n"/>
      <c r="O734" s="45" t="n"/>
      <c r="P734" s="50" t="n"/>
      <c r="R734" s="2">
        <f t="shared" si="6"/>
        <v>0</v>
      </c>
      <c r="S734" s="2">
        <f t="shared" si="7"/>
      </c>
      <c r="T734" s="2">
        <f t="shared" si="8"/>
      </c>
      <c r="U734" s="2">
        <f t="shared" si="9"/>
      </c>
      <c r="V734" s="2">
        <f t="shared" si="10"/>
      </c>
      <c r="W734" s="2">
        <f t="shared" si="11"/>
      </c>
      <c r="X734" s="2">
        <f t="shared" si="12"/>
      </c>
      <c r="Y734" s="2">
        <f t="shared" si="13"/>
        <v>0</v>
      </c>
      <c r="Z734" s="2">
        <f t="shared" si="14"/>
      </c>
      <c r="AA734" s="2">
        <f t="shared" si="15"/>
        <v>0</v>
      </c>
      <c r="AB734" s="2">
        <f t="shared" si="16"/>
      </c>
      <c r="AC734" s="2">
        <f t="shared" si="17"/>
      </c>
      <c r="AD734" s="2">
        <f t="shared" si="18"/>
      </c>
      <c r="AE734" s="2">
        <f t="shared" si="19"/>
      </c>
      <c r="AF734" s="2">
        <f t="shared" si="20"/>
      </c>
      <c r="AG734" s="2">
        <f t="shared" si="21"/>
      </c>
      <c r="AH734" s="2">
        <f t="shared" si="22"/>
      </c>
      <c r="AI734" s="2">
        <f t="shared" si="23"/>
      </c>
      <c r="AJ734" s="2">
        <f t="shared" si="24"/>
        <v>0</v>
      </c>
      <c r="AK734" s="2">
        <f t="shared" si="25"/>
        <v>0</v>
      </c>
      <c r="AL734" s="2">
        <f t="shared" si="26"/>
        <v>0</v>
      </c>
      <c r="AM734" s="2">
        <f t="shared" si="27"/>
        <v>0</v>
      </c>
      <c r="AN734" s="2">
        <f t="shared" si="28"/>
        <v>0</v>
      </c>
      <c r="AO734" s="2">
        <f t="shared" si="29"/>
      </c>
      <c r="AP734" s="2">
        <f t="shared" si="30"/>
      </c>
      <c r="AQ734" s="2">
        <f t="shared" si="31"/>
      </c>
    </row>
    <row r="735">
      <c r="A735" s="43">
        <f t="shared" si="3"/>
      </c>
      <c r="B735" s="44" t="n"/>
      <c r="C735" s="45" t="n"/>
      <c r="D735" s="46" t="n"/>
      <c r="E735" s="47" t="n"/>
      <c r="F735" s="47" t="n"/>
      <c r="G735" s="48">
        <f t="shared" si="4"/>
      </c>
      <c r="H735" s="43">
        <f t="shared" si="0"/>
      </c>
      <c r="I735" s="43">
        <f t="shared" si="5"/>
      </c>
      <c r="J735" s="43">
        <f t="shared" si="1"/>
      </c>
      <c r="K735" s="49">
        <f t="shared" si="2"/>
      </c>
      <c r="L735" s="45" t="n"/>
      <c r="M735" s="45" t="n"/>
      <c r="N735" s="45" t="n"/>
      <c r="O735" s="45" t="n"/>
      <c r="P735" s="50" t="n"/>
      <c r="R735" s="2">
        <f t="shared" si="6"/>
        <v>0</v>
      </c>
      <c r="S735" s="2">
        <f t="shared" si="7"/>
      </c>
      <c r="T735" s="2">
        <f t="shared" si="8"/>
      </c>
      <c r="U735" s="2">
        <f t="shared" si="9"/>
      </c>
      <c r="V735" s="2">
        <f t="shared" si="10"/>
      </c>
      <c r="W735" s="2">
        <f t="shared" si="11"/>
      </c>
      <c r="X735" s="2">
        <f t="shared" si="12"/>
      </c>
      <c r="Y735" s="2">
        <f t="shared" si="13"/>
        <v>0</v>
      </c>
      <c r="Z735" s="2">
        <f t="shared" si="14"/>
      </c>
      <c r="AA735" s="2">
        <f t="shared" si="15"/>
        <v>0</v>
      </c>
      <c r="AB735" s="2">
        <f t="shared" si="16"/>
      </c>
      <c r="AC735" s="2">
        <f t="shared" si="17"/>
      </c>
      <c r="AD735" s="2">
        <f t="shared" si="18"/>
      </c>
      <c r="AE735" s="2">
        <f t="shared" si="19"/>
      </c>
      <c r="AF735" s="2">
        <f t="shared" si="20"/>
      </c>
      <c r="AG735" s="2">
        <f t="shared" si="21"/>
      </c>
      <c r="AH735" s="2">
        <f t="shared" si="22"/>
      </c>
      <c r="AI735" s="2">
        <f t="shared" si="23"/>
      </c>
      <c r="AJ735" s="2">
        <f t="shared" si="24"/>
        <v>0</v>
      </c>
      <c r="AK735" s="2">
        <f t="shared" si="25"/>
        <v>0</v>
      </c>
      <c r="AL735" s="2">
        <f t="shared" si="26"/>
        <v>0</v>
      </c>
      <c r="AM735" s="2">
        <f t="shared" si="27"/>
        <v>0</v>
      </c>
      <c r="AN735" s="2">
        <f t="shared" si="28"/>
        <v>0</v>
      </c>
      <c r="AO735" s="2">
        <f t="shared" si="29"/>
      </c>
      <c r="AP735" s="2">
        <f t="shared" si="30"/>
      </c>
      <c r="AQ735" s="2">
        <f t="shared" si="31"/>
      </c>
    </row>
    <row r="736">
      <c r="A736" s="43">
        <f t="shared" si="3"/>
      </c>
      <c r="B736" s="44" t="n"/>
      <c r="C736" s="45" t="n"/>
      <c r="D736" s="46" t="n"/>
      <c r="E736" s="47" t="n"/>
      <c r="F736" s="47" t="n"/>
      <c r="G736" s="48">
        <f t="shared" si="4"/>
      </c>
      <c r="H736" s="43">
        <f t="shared" si="0"/>
      </c>
      <c r="I736" s="43">
        <f t="shared" si="5"/>
      </c>
      <c r="J736" s="43">
        <f t="shared" si="1"/>
      </c>
      <c r="K736" s="49">
        <f t="shared" si="2"/>
      </c>
      <c r="L736" s="45" t="n"/>
      <c r="M736" s="45" t="n"/>
      <c r="N736" s="45" t="n"/>
      <c r="O736" s="45" t="n"/>
      <c r="P736" s="50" t="n"/>
      <c r="R736" s="2">
        <f t="shared" si="6"/>
        <v>0</v>
      </c>
      <c r="S736" s="2">
        <f t="shared" si="7"/>
      </c>
      <c r="T736" s="2">
        <f t="shared" si="8"/>
      </c>
      <c r="U736" s="2">
        <f t="shared" si="9"/>
      </c>
      <c r="V736" s="2">
        <f t="shared" si="10"/>
      </c>
      <c r="W736" s="2">
        <f t="shared" si="11"/>
      </c>
      <c r="X736" s="2">
        <f t="shared" si="12"/>
      </c>
      <c r="Y736" s="2">
        <f t="shared" si="13"/>
        <v>0</v>
      </c>
      <c r="Z736" s="2">
        <f t="shared" si="14"/>
      </c>
      <c r="AA736" s="2">
        <f t="shared" si="15"/>
        <v>0</v>
      </c>
      <c r="AB736" s="2">
        <f t="shared" si="16"/>
      </c>
      <c r="AC736" s="2">
        <f t="shared" si="17"/>
      </c>
      <c r="AD736" s="2">
        <f t="shared" si="18"/>
      </c>
      <c r="AE736" s="2">
        <f t="shared" si="19"/>
      </c>
      <c r="AF736" s="2">
        <f t="shared" si="20"/>
      </c>
      <c r="AG736" s="2">
        <f t="shared" si="21"/>
      </c>
      <c r="AH736" s="2">
        <f t="shared" si="22"/>
      </c>
      <c r="AI736" s="2">
        <f t="shared" si="23"/>
      </c>
      <c r="AJ736" s="2">
        <f t="shared" si="24"/>
        <v>0</v>
      </c>
      <c r="AK736" s="2">
        <f t="shared" si="25"/>
        <v>0</v>
      </c>
      <c r="AL736" s="2">
        <f t="shared" si="26"/>
        <v>0</v>
      </c>
      <c r="AM736" s="2">
        <f t="shared" si="27"/>
        <v>0</v>
      </c>
      <c r="AN736" s="2">
        <f t="shared" si="28"/>
        <v>0</v>
      </c>
      <c r="AO736" s="2">
        <f t="shared" si="29"/>
      </c>
      <c r="AP736" s="2">
        <f t="shared" si="30"/>
      </c>
      <c r="AQ736" s="2">
        <f t="shared" si="31"/>
      </c>
    </row>
    <row r="737">
      <c r="A737" s="43">
        <f t="shared" si="3"/>
      </c>
      <c r="B737" s="44" t="n"/>
      <c r="C737" s="45" t="n"/>
      <c r="D737" s="46" t="n"/>
      <c r="E737" s="47" t="n"/>
      <c r="F737" s="47" t="n"/>
      <c r="G737" s="48">
        <f t="shared" si="4"/>
      </c>
      <c r="H737" s="43">
        <f t="shared" si="0"/>
      </c>
      <c r="I737" s="43">
        <f t="shared" si="5"/>
      </c>
      <c r="J737" s="43">
        <f t="shared" si="1"/>
      </c>
      <c r="K737" s="49">
        <f t="shared" si="2"/>
      </c>
      <c r="L737" s="45" t="n"/>
      <c r="M737" s="45" t="n"/>
      <c r="N737" s="45" t="n"/>
      <c r="O737" s="45" t="n"/>
      <c r="P737" s="50" t="n"/>
      <c r="R737" s="2">
        <f t="shared" si="6"/>
        <v>0</v>
      </c>
      <c r="S737" s="2">
        <f t="shared" si="7"/>
      </c>
      <c r="T737" s="2">
        <f t="shared" si="8"/>
      </c>
      <c r="U737" s="2">
        <f t="shared" si="9"/>
      </c>
      <c r="V737" s="2">
        <f t="shared" si="10"/>
      </c>
      <c r="W737" s="2">
        <f t="shared" si="11"/>
      </c>
      <c r="X737" s="2">
        <f t="shared" si="12"/>
      </c>
      <c r="Y737" s="2">
        <f t="shared" si="13"/>
        <v>0</v>
      </c>
      <c r="Z737" s="2">
        <f t="shared" si="14"/>
      </c>
      <c r="AA737" s="2">
        <f t="shared" si="15"/>
        <v>0</v>
      </c>
      <c r="AB737" s="2">
        <f t="shared" si="16"/>
      </c>
      <c r="AC737" s="2">
        <f t="shared" si="17"/>
      </c>
      <c r="AD737" s="2">
        <f t="shared" si="18"/>
      </c>
      <c r="AE737" s="2">
        <f t="shared" si="19"/>
      </c>
      <c r="AF737" s="2">
        <f t="shared" si="20"/>
      </c>
      <c r="AG737" s="2">
        <f t="shared" si="21"/>
      </c>
      <c r="AH737" s="2">
        <f t="shared" si="22"/>
      </c>
      <c r="AI737" s="2">
        <f t="shared" si="23"/>
      </c>
      <c r="AJ737" s="2">
        <f t="shared" si="24"/>
        <v>0</v>
      </c>
      <c r="AK737" s="2">
        <f t="shared" si="25"/>
        <v>0</v>
      </c>
      <c r="AL737" s="2">
        <f t="shared" si="26"/>
        <v>0</v>
      </c>
      <c r="AM737" s="2">
        <f t="shared" si="27"/>
        <v>0</v>
      </c>
      <c r="AN737" s="2">
        <f t="shared" si="28"/>
        <v>0</v>
      </c>
      <c r="AO737" s="2">
        <f t="shared" si="29"/>
      </c>
      <c r="AP737" s="2">
        <f t="shared" si="30"/>
      </c>
      <c r="AQ737" s="2">
        <f t="shared" si="31"/>
      </c>
    </row>
    <row r="738">
      <c r="A738" s="43">
        <f t="shared" si="3"/>
      </c>
      <c r="B738" s="44" t="n"/>
      <c r="C738" s="45" t="n"/>
      <c r="D738" s="46" t="n"/>
      <c r="E738" s="47" t="n"/>
      <c r="F738" s="47" t="n"/>
      <c r="G738" s="48">
        <f t="shared" si="4"/>
      </c>
      <c r="H738" s="43">
        <f t="shared" si="0"/>
      </c>
      <c r="I738" s="43">
        <f t="shared" si="5"/>
      </c>
      <c r="J738" s="43">
        <f t="shared" si="1"/>
      </c>
      <c r="K738" s="49">
        <f t="shared" si="2"/>
      </c>
      <c r="L738" s="45" t="n"/>
      <c r="M738" s="45" t="n"/>
      <c r="N738" s="45" t="n"/>
      <c r="O738" s="45" t="n"/>
      <c r="P738" s="50" t="n"/>
      <c r="R738" s="2">
        <f t="shared" si="6"/>
        <v>0</v>
      </c>
      <c r="S738" s="2">
        <f t="shared" si="7"/>
      </c>
      <c r="T738" s="2">
        <f t="shared" si="8"/>
      </c>
      <c r="U738" s="2">
        <f t="shared" si="9"/>
      </c>
      <c r="V738" s="2">
        <f t="shared" si="10"/>
      </c>
      <c r="W738" s="2">
        <f t="shared" si="11"/>
      </c>
      <c r="X738" s="2">
        <f t="shared" si="12"/>
      </c>
      <c r="Y738" s="2">
        <f t="shared" si="13"/>
        <v>0</v>
      </c>
      <c r="Z738" s="2">
        <f t="shared" si="14"/>
      </c>
      <c r="AA738" s="2">
        <f t="shared" si="15"/>
        <v>0</v>
      </c>
      <c r="AB738" s="2">
        <f t="shared" si="16"/>
      </c>
      <c r="AC738" s="2">
        <f t="shared" si="17"/>
      </c>
      <c r="AD738" s="2">
        <f t="shared" si="18"/>
      </c>
      <c r="AE738" s="2">
        <f t="shared" si="19"/>
      </c>
      <c r="AF738" s="2">
        <f t="shared" si="20"/>
      </c>
      <c r="AG738" s="2">
        <f t="shared" si="21"/>
      </c>
      <c r="AH738" s="2">
        <f t="shared" si="22"/>
      </c>
      <c r="AI738" s="2">
        <f t="shared" si="23"/>
      </c>
      <c r="AJ738" s="2">
        <f t="shared" si="24"/>
        <v>0</v>
      </c>
      <c r="AK738" s="2">
        <f t="shared" si="25"/>
        <v>0</v>
      </c>
      <c r="AL738" s="2">
        <f t="shared" si="26"/>
        <v>0</v>
      </c>
      <c r="AM738" s="2">
        <f t="shared" si="27"/>
        <v>0</v>
      </c>
      <c r="AN738" s="2">
        <f t="shared" si="28"/>
        <v>0</v>
      </c>
      <c r="AO738" s="2">
        <f t="shared" si="29"/>
      </c>
      <c r="AP738" s="2">
        <f t="shared" si="30"/>
      </c>
      <c r="AQ738" s="2">
        <f t="shared" si="31"/>
      </c>
    </row>
    <row r="739">
      <c r="A739" s="43">
        <f t="shared" si="3"/>
      </c>
      <c r="B739" s="44" t="n"/>
      <c r="C739" s="45" t="n"/>
      <c r="D739" s="46" t="n"/>
      <c r="E739" s="47" t="n"/>
      <c r="F739" s="47" t="n"/>
      <c r="G739" s="48">
        <f t="shared" si="4"/>
      </c>
      <c r="H739" s="43">
        <f t="shared" si="0"/>
      </c>
      <c r="I739" s="43">
        <f t="shared" si="5"/>
      </c>
      <c r="J739" s="43">
        <f t="shared" si="1"/>
      </c>
      <c r="K739" s="49">
        <f t="shared" si="2"/>
      </c>
      <c r="L739" s="45" t="n"/>
      <c r="M739" s="45" t="n"/>
      <c r="N739" s="45" t="n"/>
      <c r="O739" s="45" t="n"/>
      <c r="P739" s="50" t="n"/>
      <c r="R739" s="2">
        <f t="shared" si="6"/>
        <v>0</v>
      </c>
      <c r="S739" s="2">
        <f t="shared" si="7"/>
      </c>
      <c r="T739" s="2">
        <f t="shared" si="8"/>
      </c>
      <c r="U739" s="2">
        <f t="shared" si="9"/>
      </c>
      <c r="V739" s="2">
        <f t="shared" si="10"/>
      </c>
      <c r="W739" s="2">
        <f t="shared" si="11"/>
      </c>
      <c r="X739" s="2">
        <f t="shared" si="12"/>
      </c>
      <c r="Y739" s="2">
        <f t="shared" si="13"/>
        <v>0</v>
      </c>
      <c r="Z739" s="2">
        <f t="shared" si="14"/>
      </c>
      <c r="AA739" s="2">
        <f t="shared" si="15"/>
        <v>0</v>
      </c>
      <c r="AB739" s="2">
        <f t="shared" si="16"/>
      </c>
      <c r="AC739" s="2">
        <f t="shared" si="17"/>
      </c>
      <c r="AD739" s="2">
        <f t="shared" si="18"/>
      </c>
      <c r="AE739" s="2">
        <f t="shared" si="19"/>
      </c>
      <c r="AF739" s="2">
        <f t="shared" si="20"/>
      </c>
      <c r="AG739" s="2">
        <f t="shared" si="21"/>
      </c>
      <c r="AH739" s="2">
        <f t="shared" si="22"/>
      </c>
      <c r="AI739" s="2">
        <f t="shared" si="23"/>
      </c>
      <c r="AJ739" s="2">
        <f t="shared" si="24"/>
        <v>0</v>
      </c>
      <c r="AK739" s="2">
        <f t="shared" si="25"/>
        <v>0</v>
      </c>
      <c r="AL739" s="2">
        <f t="shared" si="26"/>
        <v>0</v>
      </c>
      <c r="AM739" s="2">
        <f t="shared" si="27"/>
        <v>0</v>
      </c>
      <c r="AN739" s="2">
        <f t="shared" si="28"/>
        <v>0</v>
      </c>
      <c r="AO739" s="2">
        <f t="shared" si="29"/>
      </c>
      <c r="AP739" s="2">
        <f t="shared" si="30"/>
      </c>
      <c r="AQ739" s="2">
        <f t="shared" si="31"/>
      </c>
    </row>
    <row r="740">
      <c r="A740" s="43">
        <f t="shared" si="3"/>
      </c>
      <c r="B740" s="44" t="n"/>
      <c r="C740" s="45" t="n"/>
      <c r="D740" s="46" t="n"/>
      <c r="E740" s="47" t="n"/>
      <c r="F740" s="47" t="n"/>
      <c r="G740" s="48">
        <f t="shared" si="4"/>
      </c>
      <c r="H740" s="43">
        <f t="shared" si="0"/>
      </c>
      <c r="I740" s="43">
        <f t="shared" si="5"/>
      </c>
      <c r="J740" s="43">
        <f t="shared" si="1"/>
      </c>
      <c r="K740" s="49">
        <f t="shared" si="2"/>
      </c>
      <c r="L740" s="45" t="n"/>
      <c r="M740" s="45" t="n"/>
      <c r="N740" s="45" t="n"/>
      <c r="O740" s="45" t="n"/>
      <c r="P740" s="50" t="n"/>
      <c r="R740" s="2">
        <f t="shared" si="6"/>
        <v>0</v>
      </c>
      <c r="S740" s="2">
        <f t="shared" si="7"/>
      </c>
      <c r="T740" s="2">
        <f t="shared" si="8"/>
      </c>
      <c r="U740" s="2">
        <f t="shared" si="9"/>
      </c>
      <c r="V740" s="2">
        <f t="shared" si="10"/>
      </c>
      <c r="W740" s="2">
        <f t="shared" si="11"/>
      </c>
      <c r="X740" s="2">
        <f t="shared" si="12"/>
      </c>
      <c r="Y740" s="2">
        <f t="shared" si="13"/>
        <v>0</v>
      </c>
      <c r="Z740" s="2">
        <f t="shared" si="14"/>
      </c>
      <c r="AA740" s="2">
        <f t="shared" si="15"/>
        <v>0</v>
      </c>
      <c r="AB740" s="2">
        <f t="shared" si="16"/>
      </c>
      <c r="AC740" s="2">
        <f t="shared" si="17"/>
      </c>
      <c r="AD740" s="2">
        <f t="shared" si="18"/>
      </c>
      <c r="AE740" s="2">
        <f t="shared" si="19"/>
      </c>
      <c r="AF740" s="2">
        <f t="shared" si="20"/>
      </c>
      <c r="AG740" s="2">
        <f t="shared" si="21"/>
      </c>
      <c r="AH740" s="2">
        <f t="shared" si="22"/>
      </c>
      <c r="AI740" s="2">
        <f t="shared" si="23"/>
      </c>
      <c r="AJ740" s="2">
        <f t="shared" si="24"/>
        <v>0</v>
      </c>
      <c r="AK740" s="2">
        <f t="shared" si="25"/>
        <v>0</v>
      </c>
      <c r="AL740" s="2">
        <f t="shared" si="26"/>
        <v>0</v>
      </c>
      <c r="AM740" s="2">
        <f t="shared" si="27"/>
        <v>0</v>
      </c>
      <c r="AN740" s="2">
        <f t="shared" si="28"/>
        <v>0</v>
      </c>
      <c r="AO740" s="2">
        <f t="shared" si="29"/>
      </c>
      <c r="AP740" s="2">
        <f t="shared" si="30"/>
      </c>
      <c r="AQ740" s="2">
        <f t="shared" si="31"/>
      </c>
    </row>
    <row r="741">
      <c r="A741" s="43">
        <f t="shared" si="3"/>
      </c>
      <c r="B741" s="44" t="n"/>
      <c r="C741" s="45" t="n"/>
      <c r="D741" s="46" t="n"/>
      <c r="E741" s="47" t="n"/>
      <c r="F741" s="47" t="n"/>
      <c r="G741" s="48">
        <f t="shared" si="4"/>
      </c>
      <c r="H741" s="43">
        <f t="shared" si="0"/>
      </c>
      <c r="I741" s="43">
        <f t="shared" si="5"/>
      </c>
      <c r="J741" s="43">
        <f t="shared" si="1"/>
      </c>
      <c r="K741" s="49">
        <f t="shared" si="2"/>
      </c>
      <c r="L741" s="45" t="n"/>
      <c r="M741" s="45" t="n"/>
      <c r="N741" s="45" t="n"/>
      <c r="O741" s="45" t="n"/>
      <c r="P741" s="50" t="n"/>
      <c r="R741" s="2">
        <f t="shared" si="6"/>
        <v>0</v>
      </c>
      <c r="S741" s="2">
        <f t="shared" si="7"/>
      </c>
      <c r="T741" s="2">
        <f t="shared" si="8"/>
      </c>
      <c r="U741" s="2">
        <f t="shared" si="9"/>
      </c>
      <c r="V741" s="2">
        <f t="shared" si="10"/>
      </c>
      <c r="W741" s="2">
        <f t="shared" si="11"/>
      </c>
      <c r="X741" s="2">
        <f t="shared" si="12"/>
      </c>
      <c r="Y741" s="2">
        <f t="shared" si="13"/>
        <v>0</v>
      </c>
      <c r="Z741" s="2">
        <f t="shared" si="14"/>
      </c>
      <c r="AA741" s="2">
        <f t="shared" si="15"/>
        <v>0</v>
      </c>
      <c r="AB741" s="2">
        <f t="shared" si="16"/>
      </c>
      <c r="AC741" s="2">
        <f t="shared" si="17"/>
      </c>
      <c r="AD741" s="2">
        <f t="shared" si="18"/>
      </c>
      <c r="AE741" s="2">
        <f t="shared" si="19"/>
      </c>
      <c r="AF741" s="2">
        <f t="shared" si="20"/>
      </c>
      <c r="AG741" s="2">
        <f t="shared" si="21"/>
      </c>
      <c r="AH741" s="2">
        <f t="shared" si="22"/>
      </c>
      <c r="AI741" s="2">
        <f t="shared" si="23"/>
      </c>
      <c r="AJ741" s="2">
        <f t="shared" si="24"/>
        <v>0</v>
      </c>
      <c r="AK741" s="2">
        <f t="shared" si="25"/>
        <v>0</v>
      </c>
      <c r="AL741" s="2">
        <f t="shared" si="26"/>
        <v>0</v>
      </c>
      <c r="AM741" s="2">
        <f t="shared" si="27"/>
        <v>0</v>
      </c>
      <c r="AN741" s="2">
        <f t="shared" si="28"/>
        <v>0</v>
      </c>
      <c r="AO741" s="2">
        <f t="shared" si="29"/>
      </c>
      <c r="AP741" s="2">
        <f t="shared" si="30"/>
      </c>
      <c r="AQ741" s="2">
        <f t="shared" si="31"/>
      </c>
    </row>
    <row r="742">
      <c r="A742" s="43">
        <f t="shared" si="3"/>
      </c>
      <c r="B742" s="44" t="n"/>
      <c r="C742" s="45" t="n"/>
      <c r="D742" s="46" t="n"/>
      <c r="E742" s="47" t="n"/>
      <c r="F742" s="47" t="n"/>
      <c r="G742" s="48">
        <f t="shared" si="4"/>
      </c>
      <c r="H742" s="43">
        <f t="shared" si="0"/>
      </c>
      <c r="I742" s="43">
        <f t="shared" si="5"/>
      </c>
      <c r="J742" s="43">
        <f t="shared" si="1"/>
      </c>
      <c r="K742" s="49">
        <f t="shared" si="2"/>
      </c>
      <c r="L742" s="45" t="n"/>
      <c r="M742" s="45" t="n"/>
      <c r="N742" s="45" t="n"/>
      <c r="O742" s="45" t="n"/>
      <c r="P742" s="50" t="n"/>
      <c r="R742" s="2">
        <f t="shared" si="6"/>
        <v>0</v>
      </c>
      <c r="S742" s="2">
        <f t="shared" si="7"/>
      </c>
      <c r="T742" s="2">
        <f t="shared" si="8"/>
      </c>
      <c r="U742" s="2">
        <f t="shared" si="9"/>
      </c>
      <c r="V742" s="2">
        <f t="shared" si="10"/>
      </c>
      <c r="W742" s="2">
        <f t="shared" si="11"/>
      </c>
      <c r="X742" s="2">
        <f t="shared" si="12"/>
      </c>
      <c r="Y742" s="2">
        <f t="shared" si="13"/>
        <v>0</v>
      </c>
      <c r="Z742" s="2">
        <f t="shared" si="14"/>
      </c>
      <c r="AA742" s="2">
        <f t="shared" si="15"/>
        <v>0</v>
      </c>
      <c r="AB742" s="2">
        <f t="shared" si="16"/>
      </c>
      <c r="AC742" s="2">
        <f t="shared" si="17"/>
      </c>
      <c r="AD742" s="2">
        <f t="shared" si="18"/>
      </c>
      <c r="AE742" s="2">
        <f t="shared" si="19"/>
      </c>
      <c r="AF742" s="2">
        <f t="shared" si="20"/>
      </c>
      <c r="AG742" s="2">
        <f t="shared" si="21"/>
      </c>
      <c r="AH742" s="2">
        <f t="shared" si="22"/>
      </c>
      <c r="AI742" s="2">
        <f t="shared" si="23"/>
      </c>
      <c r="AJ742" s="2">
        <f t="shared" si="24"/>
        <v>0</v>
      </c>
      <c r="AK742" s="2">
        <f t="shared" si="25"/>
        <v>0</v>
      </c>
      <c r="AL742" s="2">
        <f t="shared" si="26"/>
        <v>0</v>
      </c>
      <c r="AM742" s="2">
        <f t="shared" si="27"/>
        <v>0</v>
      </c>
      <c r="AN742" s="2">
        <f t="shared" si="28"/>
        <v>0</v>
      </c>
      <c r="AO742" s="2">
        <f t="shared" si="29"/>
      </c>
      <c r="AP742" s="2">
        <f t="shared" si="30"/>
      </c>
      <c r="AQ742" s="2">
        <f t="shared" si="31"/>
      </c>
    </row>
    <row r="743">
      <c r="A743" s="43">
        <f t="shared" si="3"/>
      </c>
      <c r="B743" s="44" t="n"/>
      <c r="C743" s="45" t="n"/>
      <c r="D743" s="46" t="n"/>
      <c r="E743" s="47" t="n"/>
      <c r="F743" s="47" t="n"/>
      <c r="G743" s="48">
        <f t="shared" si="4"/>
      </c>
      <c r="H743" s="43">
        <f t="shared" si="0"/>
      </c>
      <c r="I743" s="43">
        <f t="shared" si="5"/>
      </c>
      <c r="J743" s="43">
        <f t="shared" si="1"/>
      </c>
      <c r="K743" s="49">
        <f t="shared" si="2"/>
      </c>
      <c r="L743" s="45" t="n"/>
      <c r="M743" s="45" t="n"/>
      <c r="N743" s="45" t="n"/>
      <c r="O743" s="45" t="n"/>
      <c r="P743" s="50" t="n"/>
      <c r="R743" s="2">
        <f t="shared" si="6"/>
        <v>0</v>
      </c>
      <c r="S743" s="2">
        <f t="shared" si="7"/>
      </c>
      <c r="T743" s="2">
        <f t="shared" si="8"/>
      </c>
      <c r="U743" s="2">
        <f t="shared" si="9"/>
      </c>
      <c r="V743" s="2">
        <f t="shared" si="10"/>
      </c>
      <c r="W743" s="2">
        <f t="shared" si="11"/>
      </c>
      <c r="X743" s="2">
        <f t="shared" si="12"/>
      </c>
      <c r="Y743" s="2">
        <f t="shared" si="13"/>
        <v>0</v>
      </c>
      <c r="Z743" s="2">
        <f t="shared" si="14"/>
      </c>
      <c r="AA743" s="2">
        <f t="shared" si="15"/>
        <v>0</v>
      </c>
      <c r="AB743" s="2">
        <f t="shared" si="16"/>
      </c>
      <c r="AC743" s="2">
        <f t="shared" si="17"/>
      </c>
      <c r="AD743" s="2">
        <f t="shared" si="18"/>
      </c>
      <c r="AE743" s="2">
        <f t="shared" si="19"/>
      </c>
      <c r="AF743" s="2">
        <f t="shared" si="20"/>
      </c>
      <c r="AG743" s="2">
        <f t="shared" si="21"/>
      </c>
      <c r="AH743" s="2">
        <f t="shared" si="22"/>
      </c>
      <c r="AI743" s="2">
        <f t="shared" si="23"/>
      </c>
      <c r="AJ743" s="2">
        <f t="shared" si="24"/>
        <v>0</v>
      </c>
      <c r="AK743" s="2">
        <f t="shared" si="25"/>
        <v>0</v>
      </c>
      <c r="AL743" s="2">
        <f t="shared" si="26"/>
        <v>0</v>
      </c>
      <c r="AM743" s="2">
        <f t="shared" si="27"/>
        <v>0</v>
      </c>
      <c r="AN743" s="2">
        <f t="shared" si="28"/>
        <v>0</v>
      </c>
      <c r="AO743" s="2">
        <f t="shared" si="29"/>
      </c>
      <c r="AP743" s="2">
        <f t="shared" si="30"/>
      </c>
      <c r="AQ743" s="2">
        <f t="shared" si="31"/>
      </c>
    </row>
    <row r="744">
      <c r="A744" s="43">
        <f t="shared" si="3"/>
      </c>
      <c r="B744" s="44" t="n"/>
      <c r="C744" s="45" t="n"/>
      <c r="D744" s="46" t="n"/>
      <c r="E744" s="47" t="n"/>
      <c r="F744" s="47" t="n"/>
      <c r="G744" s="48">
        <f t="shared" si="4"/>
      </c>
      <c r="H744" s="43">
        <f t="shared" si="0"/>
      </c>
      <c r="I744" s="43">
        <f t="shared" si="5"/>
      </c>
      <c r="J744" s="43">
        <f t="shared" si="1"/>
      </c>
      <c r="K744" s="49">
        <f t="shared" si="2"/>
      </c>
      <c r="L744" s="45" t="n"/>
      <c r="M744" s="45" t="n"/>
      <c r="N744" s="45" t="n"/>
      <c r="O744" s="45" t="n"/>
      <c r="P744" s="50" t="n"/>
      <c r="R744" s="2">
        <f t="shared" si="6"/>
        <v>0</v>
      </c>
      <c r="S744" s="2">
        <f t="shared" si="7"/>
      </c>
      <c r="T744" s="2">
        <f t="shared" si="8"/>
      </c>
      <c r="U744" s="2">
        <f t="shared" si="9"/>
      </c>
      <c r="V744" s="2">
        <f t="shared" si="10"/>
      </c>
      <c r="W744" s="2">
        <f t="shared" si="11"/>
      </c>
      <c r="X744" s="2">
        <f t="shared" si="12"/>
      </c>
      <c r="Y744" s="2">
        <f t="shared" si="13"/>
        <v>0</v>
      </c>
      <c r="Z744" s="2">
        <f t="shared" si="14"/>
      </c>
      <c r="AA744" s="2">
        <f t="shared" si="15"/>
        <v>0</v>
      </c>
      <c r="AB744" s="2">
        <f t="shared" si="16"/>
      </c>
      <c r="AC744" s="2">
        <f t="shared" si="17"/>
      </c>
      <c r="AD744" s="2">
        <f t="shared" si="18"/>
      </c>
      <c r="AE744" s="2">
        <f t="shared" si="19"/>
      </c>
      <c r="AF744" s="2">
        <f t="shared" si="20"/>
      </c>
      <c r="AG744" s="2">
        <f t="shared" si="21"/>
      </c>
      <c r="AH744" s="2">
        <f t="shared" si="22"/>
      </c>
      <c r="AI744" s="2">
        <f t="shared" si="23"/>
      </c>
      <c r="AJ744" s="2">
        <f t="shared" si="24"/>
        <v>0</v>
      </c>
      <c r="AK744" s="2">
        <f t="shared" si="25"/>
        <v>0</v>
      </c>
      <c r="AL744" s="2">
        <f t="shared" si="26"/>
        <v>0</v>
      </c>
      <c r="AM744" s="2">
        <f t="shared" si="27"/>
        <v>0</v>
      </c>
      <c r="AN744" s="2">
        <f t="shared" si="28"/>
        <v>0</v>
      </c>
      <c r="AO744" s="2">
        <f t="shared" si="29"/>
      </c>
      <c r="AP744" s="2">
        <f t="shared" si="30"/>
      </c>
      <c r="AQ744" s="2">
        <f t="shared" si="31"/>
      </c>
    </row>
    <row r="745">
      <c r="A745" s="43">
        <f t="shared" si="3"/>
      </c>
      <c r="B745" s="44" t="n"/>
      <c r="C745" s="45" t="n"/>
      <c r="D745" s="46" t="n"/>
      <c r="E745" s="47" t="n"/>
      <c r="F745" s="47" t="n"/>
      <c r="G745" s="48">
        <f t="shared" si="4"/>
      </c>
      <c r="H745" s="43">
        <f t="shared" si="0"/>
      </c>
      <c r="I745" s="43">
        <f t="shared" si="5"/>
      </c>
      <c r="J745" s="43">
        <f t="shared" si="1"/>
      </c>
      <c r="K745" s="49">
        <f t="shared" si="2"/>
      </c>
      <c r="L745" s="45" t="n"/>
      <c r="M745" s="45" t="n"/>
      <c r="N745" s="45" t="n"/>
      <c r="O745" s="45" t="n"/>
      <c r="P745" s="50" t="n"/>
      <c r="R745" s="2">
        <f t="shared" si="6"/>
        <v>0</v>
      </c>
      <c r="S745" s="2">
        <f t="shared" si="7"/>
      </c>
      <c r="T745" s="2">
        <f t="shared" si="8"/>
      </c>
      <c r="U745" s="2">
        <f t="shared" si="9"/>
      </c>
      <c r="V745" s="2">
        <f t="shared" si="10"/>
      </c>
      <c r="W745" s="2">
        <f t="shared" si="11"/>
      </c>
      <c r="X745" s="2">
        <f t="shared" si="12"/>
      </c>
      <c r="Y745" s="2">
        <f t="shared" si="13"/>
        <v>0</v>
      </c>
      <c r="Z745" s="2">
        <f t="shared" si="14"/>
      </c>
      <c r="AA745" s="2">
        <f t="shared" si="15"/>
        <v>0</v>
      </c>
      <c r="AB745" s="2">
        <f t="shared" si="16"/>
      </c>
      <c r="AC745" s="2">
        <f t="shared" si="17"/>
      </c>
      <c r="AD745" s="2">
        <f t="shared" si="18"/>
      </c>
      <c r="AE745" s="2">
        <f t="shared" si="19"/>
      </c>
      <c r="AF745" s="2">
        <f t="shared" si="20"/>
      </c>
      <c r="AG745" s="2">
        <f t="shared" si="21"/>
      </c>
      <c r="AH745" s="2">
        <f t="shared" si="22"/>
      </c>
      <c r="AI745" s="2">
        <f t="shared" si="23"/>
      </c>
      <c r="AJ745" s="2">
        <f t="shared" si="24"/>
        <v>0</v>
      </c>
      <c r="AK745" s="2">
        <f t="shared" si="25"/>
        <v>0</v>
      </c>
      <c r="AL745" s="2">
        <f t="shared" si="26"/>
        <v>0</v>
      </c>
      <c r="AM745" s="2">
        <f t="shared" si="27"/>
        <v>0</v>
      </c>
      <c r="AN745" s="2">
        <f t="shared" si="28"/>
        <v>0</v>
      </c>
      <c r="AO745" s="2">
        <f t="shared" si="29"/>
      </c>
      <c r="AP745" s="2">
        <f t="shared" si="30"/>
      </c>
      <c r="AQ745" s="2">
        <f t="shared" si="31"/>
      </c>
    </row>
    <row r="746">
      <c r="A746" s="43">
        <f t="shared" si="3"/>
      </c>
      <c r="B746" s="44" t="n"/>
      <c r="C746" s="45" t="n"/>
      <c r="D746" s="46" t="n"/>
      <c r="E746" s="47" t="n"/>
      <c r="F746" s="47" t="n"/>
      <c r="G746" s="48">
        <f t="shared" si="4"/>
      </c>
      <c r="H746" s="43">
        <f t="shared" si="0"/>
      </c>
      <c r="I746" s="43">
        <f t="shared" si="5"/>
      </c>
      <c r="J746" s="43">
        <f t="shared" si="1"/>
      </c>
      <c r="K746" s="49">
        <f t="shared" si="2"/>
      </c>
      <c r="L746" s="45" t="n"/>
      <c r="M746" s="45" t="n"/>
      <c r="N746" s="45" t="n"/>
      <c r="O746" s="45" t="n"/>
      <c r="P746" s="50" t="n"/>
      <c r="R746" s="2">
        <f t="shared" si="6"/>
        <v>0</v>
      </c>
      <c r="S746" s="2">
        <f t="shared" si="7"/>
      </c>
      <c r="T746" s="2">
        <f t="shared" si="8"/>
      </c>
      <c r="U746" s="2">
        <f t="shared" si="9"/>
      </c>
      <c r="V746" s="2">
        <f t="shared" si="10"/>
      </c>
      <c r="W746" s="2">
        <f t="shared" si="11"/>
      </c>
      <c r="X746" s="2">
        <f t="shared" si="12"/>
      </c>
      <c r="Y746" s="2">
        <f t="shared" si="13"/>
        <v>0</v>
      </c>
      <c r="Z746" s="2">
        <f t="shared" si="14"/>
      </c>
      <c r="AA746" s="2">
        <f t="shared" si="15"/>
        <v>0</v>
      </c>
      <c r="AB746" s="2">
        <f t="shared" si="16"/>
      </c>
      <c r="AC746" s="2">
        <f t="shared" si="17"/>
      </c>
      <c r="AD746" s="2">
        <f t="shared" si="18"/>
      </c>
      <c r="AE746" s="2">
        <f t="shared" si="19"/>
      </c>
      <c r="AF746" s="2">
        <f t="shared" si="20"/>
      </c>
      <c r="AG746" s="2">
        <f t="shared" si="21"/>
      </c>
      <c r="AH746" s="2">
        <f t="shared" si="22"/>
      </c>
      <c r="AI746" s="2">
        <f t="shared" si="23"/>
      </c>
      <c r="AJ746" s="2">
        <f t="shared" si="24"/>
        <v>0</v>
      </c>
      <c r="AK746" s="2">
        <f t="shared" si="25"/>
        <v>0</v>
      </c>
      <c r="AL746" s="2">
        <f t="shared" si="26"/>
        <v>0</v>
      </c>
      <c r="AM746" s="2">
        <f t="shared" si="27"/>
        <v>0</v>
      </c>
      <c r="AN746" s="2">
        <f t="shared" si="28"/>
        <v>0</v>
      </c>
      <c r="AO746" s="2">
        <f t="shared" si="29"/>
      </c>
      <c r="AP746" s="2">
        <f t="shared" si="30"/>
      </c>
      <c r="AQ746" s="2">
        <f t="shared" si="31"/>
      </c>
    </row>
    <row r="747">
      <c r="A747" s="43">
        <f t="shared" si="3"/>
      </c>
      <c r="B747" s="44" t="n"/>
      <c r="C747" s="45" t="n"/>
      <c r="D747" s="46" t="n"/>
      <c r="E747" s="47" t="n"/>
      <c r="F747" s="47" t="n"/>
      <c r="G747" s="48">
        <f t="shared" si="4"/>
      </c>
      <c r="H747" s="43">
        <f t="shared" si="0"/>
      </c>
      <c r="I747" s="43">
        <f t="shared" si="5"/>
      </c>
      <c r="J747" s="43">
        <f t="shared" si="1"/>
      </c>
      <c r="K747" s="49">
        <f t="shared" si="2"/>
      </c>
      <c r="L747" s="45" t="n"/>
      <c r="M747" s="45" t="n"/>
      <c r="N747" s="45" t="n"/>
      <c r="O747" s="45" t="n"/>
      <c r="P747" s="50" t="n"/>
      <c r="R747" s="2">
        <f t="shared" si="6"/>
        <v>0</v>
      </c>
      <c r="S747" s="2">
        <f t="shared" si="7"/>
      </c>
      <c r="T747" s="2">
        <f t="shared" si="8"/>
      </c>
      <c r="U747" s="2">
        <f t="shared" si="9"/>
      </c>
      <c r="V747" s="2">
        <f t="shared" si="10"/>
      </c>
      <c r="W747" s="2">
        <f t="shared" si="11"/>
      </c>
      <c r="X747" s="2">
        <f t="shared" si="12"/>
      </c>
      <c r="Y747" s="2">
        <f t="shared" si="13"/>
        <v>0</v>
      </c>
      <c r="Z747" s="2">
        <f t="shared" si="14"/>
      </c>
      <c r="AA747" s="2">
        <f t="shared" si="15"/>
        <v>0</v>
      </c>
      <c r="AB747" s="2">
        <f t="shared" si="16"/>
      </c>
      <c r="AC747" s="2">
        <f t="shared" si="17"/>
      </c>
      <c r="AD747" s="2">
        <f t="shared" si="18"/>
      </c>
      <c r="AE747" s="2">
        <f t="shared" si="19"/>
      </c>
      <c r="AF747" s="2">
        <f t="shared" si="20"/>
      </c>
      <c r="AG747" s="2">
        <f t="shared" si="21"/>
      </c>
      <c r="AH747" s="2">
        <f t="shared" si="22"/>
      </c>
      <c r="AI747" s="2">
        <f t="shared" si="23"/>
      </c>
      <c r="AJ747" s="2">
        <f t="shared" si="24"/>
        <v>0</v>
      </c>
      <c r="AK747" s="2">
        <f t="shared" si="25"/>
        <v>0</v>
      </c>
      <c r="AL747" s="2">
        <f t="shared" si="26"/>
        <v>0</v>
      </c>
      <c r="AM747" s="2">
        <f t="shared" si="27"/>
        <v>0</v>
      </c>
      <c r="AN747" s="2">
        <f t="shared" si="28"/>
        <v>0</v>
      </c>
      <c r="AO747" s="2">
        <f t="shared" si="29"/>
      </c>
      <c r="AP747" s="2">
        <f t="shared" si="30"/>
      </c>
      <c r="AQ747" s="2">
        <f t="shared" si="31"/>
      </c>
    </row>
    <row r="748">
      <c r="A748" s="43">
        <f t="shared" si="3"/>
      </c>
      <c r="B748" s="44" t="n"/>
      <c r="C748" s="45" t="n"/>
      <c r="D748" s="46" t="n"/>
      <c r="E748" s="47" t="n"/>
      <c r="F748" s="47" t="n"/>
      <c r="G748" s="48">
        <f t="shared" si="4"/>
      </c>
      <c r="H748" s="43">
        <f t="shared" si="0"/>
      </c>
      <c r="I748" s="43">
        <f t="shared" si="5"/>
      </c>
      <c r="J748" s="43">
        <f t="shared" si="1"/>
      </c>
      <c r="K748" s="49">
        <f t="shared" si="2"/>
      </c>
      <c r="L748" s="45" t="n"/>
      <c r="M748" s="45" t="n"/>
      <c r="N748" s="45" t="n"/>
      <c r="O748" s="45" t="n"/>
      <c r="P748" s="50" t="n"/>
      <c r="R748" s="2">
        <f t="shared" si="6"/>
        <v>0</v>
      </c>
      <c r="S748" s="2">
        <f t="shared" si="7"/>
      </c>
      <c r="T748" s="2">
        <f t="shared" si="8"/>
      </c>
      <c r="U748" s="2">
        <f t="shared" si="9"/>
      </c>
      <c r="V748" s="2">
        <f t="shared" si="10"/>
      </c>
      <c r="W748" s="2">
        <f t="shared" si="11"/>
      </c>
      <c r="X748" s="2">
        <f t="shared" si="12"/>
      </c>
      <c r="Y748" s="2">
        <f t="shared" si="13"/>
        <v>0</v>
      </c>
      <c r="Z748" s="2">
        <f t="shared" si="14"/>
      </c>
      <c r="AA748" s="2">
        <f t="shared" si="15"/>
        <v>0</v>
      </c>
      <c r="AB748" s="2">
        <f t="shared" si="16"/>
      </c>
      <c r="AC748" s="2">
        <f t="shared" si="17"/>
      </c>
      <c r="AD748" s="2">
        <f t="shared" si="18"/>
      </c>
      <c r="AE748" s="2">
        <f t="shared" si="19"/>
      </c>
      <c r="AF748" s="2">
        <f t="shared" si="20"/>
      </c>
      <c r="AG748" s="2">
        <f t="shared" si="21"/>
      </c>
      <c r="AH748" s="2">
        <f t="shared" si="22"/>
      </c>
      <c r="AI748" s="2">
        <f t="shared" si="23"/>
      </c>
      <c r="AJ748" s="2">
        <f t="shared" si="24"/>
        <v>0</v>
      </c>
      <c r="AK748" s="2">
        <f t="shared" si="25"/>
        <v>0</v>
      </c>
      <c r="AL748" s="2">
        <f t="shared" si="26"/>
        <v>0</v>
      </c>
      <c r="AM748" s="2">
        <f t="shared" si="27"/>
        <v>0</v>
      </c>
      <c r="AN748" s="2">
        <f t="shared" si="28"/>
        <v>0</v>
      </c>
      <c r="AO748" s="2">
        <f t="shared" si="29"/>
      </c>
      <c r="AP748" s="2">
        <f t="shared" si="30"/>
      </c>
      <c r="AQ748" s="2">
        <f t="shared" si="31"/>
      </c>
    </row>
    <row r="749">
      <c r="A749" s="43">
        <f t="shared" si="3"/>
      </c>
      <c r="B749" s="44" t="n"/>
      <c r="C749" s="45" t="n"/>
      <c r="D749" s="46" t="n"/>
      <c r="E749" s="47" t="n"/>
      <c r="F749" s="47" t="n"/>
      <c r="G749" s="48">
        <f t="shared" si="4"/>
      </c>
      <c r="H749" s="43">
        <f t="shared" si="0"/>
      </c>
      <c r="I749" s="43">
        <f t="shared" si="5"/>
      </c>
      <c r="J749" s="43">
        <f t="shared" si="1"/>
      </c>
      <c r="K749" s="49">
        <f t="shared" si="2"/>
      </c>
      <c r="L749" s="45" t="n"/>
      <c r="M749" s="45" t="n"/>
      <c r="N749" s="45" t="n"/>
      <c r="O749" s="45" t="n"/>
      <c r="P749" s="50" t="n"/>
      <c r="R749" s="2">
        <f t="shared" si="6"/>
        <v>0</v>
      </c>
      <c r="S749" s="2">
        <f t="shared" si="7"/>
      </c>
      <c r="T749" s="2">
        <f t="shared" si="8"/>
      </c>
      <c r="U749" s="2">
        <f t="shared" si="9"/>
      </c>
      <c r="V749" s="2">
        <f t="shared" si="10"/>
      </c>
      <c r="W749" s="2">
        <f t="shared" si="11"/>
      </c>
      <c r="X749" s="2">
        <f t="shared" si="12"/>
      </c>
      <c r="Y749" s="2">
        <f t="shared" si="13"/>
        <v>0</v>
      </c>
      <c r="Z749" s="2">
        <f t="shared" si="14"/>
      </c>
      <c r="AA749" s="2">
        <f t="shared" si="15"/>
        <v>0</v>
      </c>
      <c r="AB749" s="2">
        <f t="shared" si="16"/>
      </c>
      <c r="AC749" s="2">
        <f t="shared" si="17"/>
      </c>
      <c r="AD749" s="2">
        <f t="shared" si="18"/>
      </c>
      <c r="AE749" s="2">
        <f t="shared" si="19"/>
      </c>
      <c r="AF749" s="2">
        <f t="shared" si="20"/>
      </c>
      <c r="AG749" s="2">
        <f t="shared" si="21"/>
      </c>
      <c r="AH749" s="2">
        <f t="shared" si="22"/>
      </c>
      <c r="AI749" s="2">
        <f t="shared" si="23"/>
      </c>
      <c r="AJ749" s="2">
        <f t="shared" si="24"/>
        <v>0</v>
      </c>
      <c r="AK749" s="2">
        <f t="shared" si="25"/>
        <v>0</v>
      </c>
      <c r="AL749" s="2">
        <f t="shared" si="26"/>
        <v>0</v>
      </c>
      <c r="AM749" s="2">
        <f t="shared" si="27"/>
        <v>0</v>
      </c>
      <c r="AN749" s="2">
        <f t="shared" si="28"/>
        <v>0</v>
      </c>
      <c r="AO749" s="2">
        <f t="shared" si="29"/>
      </c>
      <c r="AP749" s="2">
        <f t="shared" si="30"/>
      </c>
      <c r="AQ749" s="2">
        <f t="shared" si="31"/>
      </c>
    </row>
    <row r="750">
      <c r="A750" s="43">
        <f t="shared" si="3"/>
      </c>
      <c r="B750" s="44" t="n"/>
      <c r="C750" s="45" t="n"/>
      <c r="D750" s="46" t="n"/>
      <c r="E750" s="47" t="n"/>
      <c r="F750" s="47" t="n"/>
      <c r="G750" s="48">
        <f t="shared" si="4"/>
      </c>
      <c r="H750" s="43">
        <f t="shared" si="0"/>
      </c>
      <c r="I750" s="43">
        <f t="shared" si="5"/>
      </c>
      <c r="J750" s="43">
        <f t="shared" si="1"/>
      </c>
      <c r="K750" s="49">
        <f t="shared" si="2"/>
      </c>
      <c r="L750" s="45" t="n"/>
      <c r="M750" s="45" t="n"/>
      <c r="N750" s="45" t="n"/>
      <c r="O750" s="45" t="n"/>
      <c r="P750" s="50" t="n"/>
      <c r="R750" s="2">
        <f t="shared" si="6"/>
        <v>0</v>
      </c>
      <c r="S750" s="2">
        <f t="shared" si="7"/>
      </c>
      <c r="T750" s="2">
        <f t="shared" si="8"/>
      </c>
      <c r="U750" s="2">
        <f t="shared" si="9"/>
      </c>
      <c r="V750" s="2">
        <f t="shared" si="10"/>
      </c>
      <c r="W750" s="2">
        <f t="shared" si="11"/>
      </c>
      <c r="X750" s="2">
        <f t="shared" si="12"/>
      </c>
      <c r="Y750" s="2">
        <f t="shared" si="13"/>
        <v>0</v>
      </c>
      <c r="Z750" s="2">
        <f t="shared" si="14"/>
      </c>
      <c r="AA750" s="2">
        <f t="shared" si="15"/>
        <v>0</v>
      </c>
      <c r="AB750" s="2">
        <f t="shared" si="16"/>
      </c>
      <c r="AC750" s="2">
        <f t="shared" si="17"/>
      </c>
      <c r="AD750" s="2">
        <f t="shared" si="18"/>
      </c>
      <c r="AE750" s="2">
        <f t="shared" si="19"/>
      </c>
      <c r="AF750" s="2">
        <f t="shared" si="20"/>
      </c>
      <c r="AG750" s="2">
        <f t="shared" si="21"/>
      </c>
      <c r="AH750" s="2">
        <f t="shared" si="22"/>
      </c>
      <c r="AI750" s="2">
        <f t="shared" si="23"/>
      </c>
      <c r="AJ750" s="2">
        <f t="shared" si="24"/>
        <v>0</v>
      </c>
      <c r="AK750" s="2">
        <f t="shared" si="25"/>
        <v>0</v>
      </c>
      <c r="AL750" s="2">
        <f t="shared" si="26"/>
        <v>0</v>
      </c>
      <c r="AM750" s="2">
        <f t="shared" si="27"/>
        <v>0</v>
      </c>
      <c r="AN750" s="2">
        <f t="shared" si="28"/>
        <v>0</v>
      </c>
      <c r="AO750" s="2">
        <f t="shared" si="29"/>
      </c>
      <c r="AP750" s="2">
        <f t="shared" si="30"/>
      </c>
      <c r="AQ750" s="2">
        <f t="shared" si="31"/>
      </c>
    </row>
    <row r="751">
      <c r="A751" s="43">
        <f t="shared" si="3"/>
      </c>
      <c r="B751" s="44" t="n"/>
      <c r="C751" s="45" t="n"/>
      <c r="D751" s="46" t="n"/>
      <c r="E751" s="47" t="n"/>
      <c r="F751" s="47" t="n"/>
      <c r="G751" s="48">
        <f t="shared" si="4"/>
      </c>
      <c r="H751" s="43">
        <f t="shared" si="0"/>
      </c>
      <c r="I751" s="43">
        <f t="shared" si="5"/>
      </c>
      <c r="J751" s="43">
        <f t="shared" si="1"/>
      </c>
      <c r="K751" s="49">
        <f t="shared" si="2"/>
      </c>
      <c r="L751" s="45" t="n"/>
      <c r="M751" s="45" t="n"/>
      <c r="N751" s="45" t="n"/>
      <c r="O751" s="45" t="n"/>
      <c r="P751" s="50" t="n"/>
      <c r="R751" s="2">
        <f t="shared" si="6"/>
        <v>0</v>
      </c>
      <c r="S751" s="2">
        <f t="shared" si="7"/>
      </c>
      <c r="T751" s="2">
        <f t="shared" si="8"/>
      </c>
      <c r="U751" s="2">
        <f t="shared" si="9"/>
      </c>
      <c r="V751" s="2">
        <f t="shared" si="10"/>
      </c>
      <c r="W751" s="2">
        <f t="shared" si="11"/>
      </c>
      <c r="X751" s="2">
        <f t="shared" si="12"/>
      </c>
      <c r="Y751" s="2">
        <f t="shared" si="13"/>
        <v>0</v>
      </c>
      <c r="Z751" s="2">
        <f t="shared" si="14"/>
      </c>
      <c r="AA751" s="2">
        <f t="shared" si="15"/>
        <v>0</v>
      </c>
      <c r="AB751" s="2">
        <f t="shared" si="16"/>
      </c>
      <c r="AC751" s="2">
        <f t="shared" si="17"/>
      </c>
      <c r="AD751" s="2">
        <f t="shared" si="18"/>
      </c>
      <c r="AE751" s="2">
        <f t="shared" si="19"/>
      </c>
      <c r="AF751" s="2">
        <f t="shared" si="20"/>
      </c>
      <c r="AG751" s="2">
        <f t="shared" si="21"/>
      </c>
      <c r="AH751" s="2">
        <f t="shared" si="22"/>
      </c>
      <c r="AI751" s="2">
        <f t="shared" si="23"/>
      </c>
      <c r="AJ751" s="2">
        <f t="shared" si="24"/>
        <v>0</v>
      </c>
      <c r="AK751" s="2">
        <f t="shared" si="25"/>
        <v>0</v>
      </c>
      <c r="AL751" s="2">
        <f t="shared" si="26"/>
        <v>0</v>
      </c>
      <c r="AM751" s="2">
        <f t="shared" si="27"/>
        <v>0</v>
      </c>
      <c r="AN751" s="2">
        <f t="shared" si="28"/>
        <v>0</v>
      </c>
      <c r="AO751" s="2">
        <f t="shared" si="29"/>
      </c>
      <c r="AP751" s="2">
        <f t="shared" si="30"/>
      </c>
      <c r="AQ751" s="2">
        <f t="shared" si="31"/>
      </c>
    </row>
    <row r="752">
      <c r="A752" s="43">
        <f t="shared" si="3"/>
      </c>
      <c r="B752" s="44" t="n"/>
      <c r="C752" s="45" t="n"/>
      <c r="D752" s="46" t="n"/>
      <c r="E752" s="47" t="n"/>
      <c r="F752" s="47" t="n"/>
      <c r="G752" s="48">
        <f t="shared" si="4"/>
      </c>
      <c r="H752" s="43">
        <f t="shared" si="0"/>
      </c>
      <c r="I752" s="43">
        <f t="shared" si="5"/>
      </c>
      <c r="J752" s="43">
        <f t="shared" si="1"/>
      </c>
      <c r="K752" s="49">
        <f t="shared" si="2"/>
      </c>
      <c r="L752" s="45" t="n"/>
      <c r="M752" s="45" t="n"/>
      <c r="N752" s="45" t="n"/>
      <c r="O752" s="45" t="n"/>
      <c r="P752" s="50" t="n"/>
      <c r="R752" s="2">
        <f t="shared" si="6"/>
        <v>0</v>
      </c>
      <c r="S752" s="2">
        <f t="shared" si="7"/>
      </c>
      <c r="T752" s="2">
        <f t="shared" si="8"/>
      </c>
      <c r="U752" s="2">
        <f t="shared" si="9"/>
      </c>
      <c r="V752" s="2">
        <f t="shared" si="10"/>
      </c>
      <c r="W752" s="2">
        <f t="shared" si="11"/>
      </c>
      <c r="X752" s="2">
        <f t="shared" si="12"/>
      </c>
      <c r="Y752" s="2">
        <f t="shared" si="13"/>
        <v>0</v>
      </c>
      <c r="Z752" s="2">
        <f t="shared" si="14"/>
      </c>
      <c r="AA752" s="2">
        <f t="shared" si="15"/>
        <v>0</v>
      </c>
      <c r="AB752" s="2">
        <f t="shared" si="16"/>
      </c>
      <c r="AC752" s="2">
        <f t="shared" si="17"/>
      </c>
      <c r="AD752" s="2">
        <f t="shared" si="18"/>
      </c>
      <c r="AE752" s="2">
        <f t="shared" si="19"/>
      </c>
      <c r="AF752" s="2">
        <f t="shared" si="20"/>
      </c>
      <c r="AG752" s="2">
        <f t="shared" si="21"/>
      </c>
      <c r="AH752" s="2">
        <f t="shared" si="22"/>
      </c>
      <c r="AI752" s="2">
        <f t="shared" si="23"/>
      </c>
      <c r="AJ752" s="2">
        <f t="shared" si="24"/>
        <v>0</v>
      </c>
      <c r="AK752" s="2">
        <f t="shared" si="25"/>
        <v>0</v>
      </c>
      <c r="AL752" s="2">
        <f t="shared" si="26"/>
        <v>0</v>
      </c>
      <c r="AM752" s="2">
        <f t="shared" si="27"/>
        <v>0</v>
      </c>
      <c r="AN752" s="2">
        <f t="shared" si="28"/>
        <v>0</v>
      </c>
      <c r="AO752" s="2">
        <f t="shared" si="29"/>
      </c>
      <c r="AP752" s="2">
        <f t="shared" si="30"/>
      </c>
      <c r="AQ752" s="2">
        <f t="shared" si="31"/>
      </c>
    </row>
    <row r="753">
      <c r="A753" s="43">
        <f t="shared" si="3"/>
      </c>
      <c r="B753" s="44" t="n"/>
      <c r="C753" s="45" t="n"/>
      <c r="D753" s="46" t="n"/>
      <c r="E753" s="47" t="n"/>
      <c r="F753" s="47" t="n"/>
      <c r="G753" s="48">
        <f t="shared" si="4"/>
      </c>
      <c r="H753" s="43">
        <f t="shared" si="0"/>
      </c>
      <c r="I753" s="43">
        <f t="shared" si="5"/>
      </c>
      <c r="J753" s="43">
        <f t="shared" si="1"/>
      </c>
      <c r="K753" s="49">
        <f t="shared" si="2"/>
      </c>
      <c r="L753" s="45" t="n"/>
      <c r="M753" s="45" t="n"/>
      <c r="N753" s="45" t="n"/>
      <c r="O753" s="45" t="n"/>
      <c r="P753" s="50" t="n"/>
      <c r="R753" s="2">
        <f t="shared" si="6"/>
        <v>0</v>
      </c>
      <c r="S753" s="2">
        <f t="shared" si="7"/>
      </c>
      <c r="T753" s="2">
        <f t="shared" si="8"/>
      </c>
      <c r="U753" s="2">
        <f t="shared" si="9"/>
      </c>
      <c r="V753" s="2">
        <f t="shared" si="10"/>
      </c>
      <c r="W753" s="2">
        <f t="shared" si="11"/>
      </c>
      <c r="X753" s="2">
        <f t="shared" si="12"/>
      </c>
      <c r="Y753" s="2">
        <f t="shared" si="13"/>
        <v>0</v>
      </c>
      <c r="Z753" s="2">
        <f t="shared" si="14"/>
      </c>
      <c r="AA753" s="2">
        <f t="shared" si="15"/>
        <v>0</v>
      </c>
      <c r="AB753" s="2">
        <f t="shared" si="16"/>
      </c>
      <c r="AC753" s="2">
        <f t="shared" si="17"/>
      </c>
      <c r="AD753" s="2">
        <f t="shared" si="18"/>
      </c>
      <c r="AE753" s="2">
        <f t="shared" si="19"/>
      </c>
      <c r="AF753" s="2">
        <f t="shared" si="20"/>
      </c>
      <c r="AG753" s="2">
        <f t="shared" si="21"/>
      </c>
      <c r="AH753" s="2">
        <f t="shared" si="22"/>
      </c>
      <c r="AI753" s="2">
        <f t="shared" si="23"/>
      </c>
      <c r="AJ753" s="2">
        <f t="shared" si="24"/>
        <v>0</v>
      </c>
      <c r="AK753" s="2">
        <f t="shared" si="25"/>
        <v>0</v>
      </c>
      <c r="AL753" s="2">
        <f t="shared" si="26"/>
        <v>0</v>
      </c>
      <c r="AM753" s="2">
        <f t="shared" si="27"/>
        <v>0</v>
      </c>
      <c r="AN753" s="2">
        <f t="shared" si="28"/>
        <v>0</v>
      </c>
      <c r="AO753" s="2">
        <f t="shared" si="29"/>
      </c>
      <c r="AP753" s="2">
        <f t="shared" si="30"/>
      </c>
      <c r="AQ753" s="2">
        <f t="shared" si="31"/>
      </c>
    </row>
    <row r="754">
      <c r="A754" s="43">
        <f t="shared" si="3"/>
      </c>
      <c r="B754" s="44" t="n"/>
      <c r="C754" s="45" t="n"/>
      <c r="D754" s="46" t="n"/>
      <c r="E754" s="47" t="n"/>
      <c r="F754" s="47" t="n"/>
      <c r="G754" s="48">
        <f t="shared" si="4"/>
      </c>
      <c r="H754" s="43">
        <f t="shared" si="0"/>
      </c>
      <c r="I754" s="43">
        <f t="shared" si="5"/>
      </c>
      <c r="J754" s="43">
        <f t="shared" si="1"/>
      </c>
      <c r="K754" s="49">
        <f t="shared" si="2"/>
      </c>
      <c r="L754" s="45" t="n"/>
      <c r="M754" s="45" t="n"/>
      <c r="N754" s="45" t="n"/>
      <c r="O754" s="45" t="n"/>
      <c r="P754" s="50" t="n"/>
      <c r="R754" s="2">
        <f t="shared" si="6"/>
        <v>0</v>
      </c>
      <c r="S754" s="2">
        <f t="shared" si="7"/>
      </c>
      <c r="T754" s="2">
        <f t="shared" si="8"/>
      </c>
      <c r="U754" s="2">
        <f t="shared" si="9"/>
      </c>
      <c r="V754" s="2">
        <f t="shared" si="10"/>
      </c>
      <c r="W754" s="2">
        <f t="shared" si="11"/>
      </c>
      <c r="X754" s="2">
        <f t="shared" si="12"/>
      </c>
      <c r="Y754" s="2">
        <f t="shared" si="13"/>
        <v>0</v>
      </c>
      <c r="Z754" s="2">
        <f t="shared" si="14"/>
      </c>
      <c r="AA754" s="2">
        <f t="shared" si="15"/>
        <v>0</v>
      </c>
      <c r="AB754" s="2">
        <f t="shared" si="16"/>
      </c>
      <c r="AC754" s="2">
        <f t="shared" si="17"/>
      </c>
      <c r="AD754" s="2">
        <f t="shared" si="18"/>
      </c>
      <c r="AE754" s="2">
        <f t="shared" si="19"/>
      </c>
      <c r="AF754" s="2">
        <f t="shared" si="20"/>
      </c>
      <c r="AG754" s="2">
        <f t="shared" si="21"/>
      </c>
      <c r="AH754" s="2">
        <f t="shared" si="22"/>
      </c>
      <c r="AI754" s="2">
        <f t="shared" si="23"/>
      </c>
      <c r="AJ754" s="2">
        <f t="shared" si="24"/>
        <v>0</v>
      </c>
      <c r="AK754" s="2">
        <f t="shared" si="25"/>
        <v>0</v>
      </c>
      <c r="AL754" s="2">
        <f t="shared" si="26"/>
        <v>0</v>
      </c>
      <c r="AM754" s="2">
        <f t="shared" si="27"/>
        <v>0</v>
      </c>
      <c r="AN754" s="2">
        <f t="shared" si="28"/>
        <v>0</v>
      </c>
      <c r="AO754" s="2">
        <f t="shared" si="29"/>
      </c>
      <c r="AP754" s="2">
        <f t="shared" si="30"/>
      </c>
      <c r="AQ754" s="2">
        <f t="shared" si="31"/>
      </c>
    </row>
    <row r="755">
      <c r="A755" s="43">
        <f t="shared" si="3"/>
      </c>
      <c r="B755" s="44" t="n"/>
      <c r="C755" s="45" t="n"/>
      <c r="D755" s="46" t="n"/>
      <c r="E755" s="47" t="n"/>
      <c r="F755" s="47" t="n"/>
      <c r="G755" s="48">
        <f t="shared" si="4"/>
      </c>
      <c r="H755" s="43">
        <f t="shared" si="0"/>
      </c>
      <c r="I755" s="43">
        <f t="shared" si="5"/>
      </c>
      <c r="J755" s="43">
        <f t="shared" si="1"/>
      </c>
      <c r="K755" s="49">
        <f t="shared" si="2"/>
      </c>
      <c r="L755" s="45" t="n"/>
      <c r="M755" s="45" t="n"/>
      <c r="N755" s="45" t="n"/>
      <c r="O755" s="45" t="n"/>
      <c r="P755" s="50" t="n"/>
      <c r="R755" s="2">
        <f t="shared" si="6"/>
        <v>0</v>
      </c>
      <c r="S755" s="2">
        <f t="shared" si="7"/>
      </c>
      <c r="T755" s="2">
        <f t="shared" si="8"/>
      </c>
      <c r="U755" s="2">
        <f t="shared" si="9"/>
      </c>
      <c r="V755" s="2">
        <f t="shared" si="10"/>
      </c>
      <c r="W755" s="2">
        <f t="shared" si="11"/>
      </c>
      <c r="X755" s="2">
        <f t="shared" si="12"/>
      </c>
      <c r="Y755" s="2">
        <f t="shared" si="13"/>
        <v>0</v>
      </c>
      <c r="Z755" s="2">
        <f t="shared" si="14"/>
      </c>
      <c r="AA755" s="2">
        <f t="shared" si="15"/>
        <v>0</v>
      </c>
      <c r="AB755" s="2">
        <f t="shared" si="16"/>
      </c>
      <c r="AC755" s="2">
        <f t="shared" si="17"/>
      </c>
      <c r="AD755" s="2">
        <f t="shared" si="18"/>
      </c>
      <c r="AE755" s="2">
        <f t="shared" si="19"/>
      </c>
      <c r="AF755" s="2">
        <f t="shared" si="20"/>
      </c>
      <c r="AG755" s="2">
        <f t="shared" si="21"/>
      </c>
      <c r="AH755" s="2">
        <f t="shared" si="22"/>
      </c>
      <c r="AI755" s="2">
        <f t="shared" si="23"/>
      </c>
      <c r="AJ755" s="2">
        <f t="shared" si="24"/>
        <v>0</v>
      </c>
      <c r="AK755" s="2">
        <f t="shared" si="25"/>
        <v>0</v>
      </c>
      <c r="AL755" s="2">
        <f t="shared" si="26"/>
        <v>0</v>
      </c>
      <c r="AM755" s="2">
        <f t="shared" si="27"/>
        <v>0</v>
      </c>
      <c r="AN755" s="2">
        <f t="shared" si="28"/>
        <v>0</v>
      </c>
      <c r="AO755" s="2">
        <f t="shared" si="29"/>
      </c>
      <c r="AP755" s="2">
        <f t="shared" si="30"/>
      </c>
      <c r="AQ755" s="2">
        <f t="shared" si="31"/>
      </c>
    </row>
    <row r="756">
      <c r="A756" s="43">
        <f t="shared" si="3"/>
      </c>
      <c r="B756" s="44" t="n"/>
      <c r="C756" s="45" t="n"/>
      <c r="D756" s="46" t="n"/>
      <c r="E756" s="47" t="n"/>
      <c r="F756" s="47" t="n"/>
      <c r="G756" s="48">
        <f t="shared" si="4"/>
      </c>
      <c r="H756" s="43">
        <f t="shared" si="0"/>
      </c>
      <c r="I756" s="43">
        <f t="shared" si="5"/>
      </c>
      <c r="J756" s="43">
        <f t="shared" si="1"/>
      </c>
      <c r="K756" s="49">
        <f t="shared" si="2"/>
      </c>
      <c r="L756" s="45" t="n"/>
      <c r="M756" s="45" t="n"/>
      <c r="N756" s="45" t="n"/>
      <c r="O756" s="45" t="n"/>
      <c r="P756" s="50" t="n"/>
      <c r="R756" s="2">
        <f t="shared" si="6"/>
        <v>0</v>
      </c>
      <c r="S756" s="2">
        <f t="shared" si="7"/>
      </c>
      <c r="T756" s="2">
        <f t="shared" si="8"/>
      </c>
      <c r="U756" s="2">
        <f t="shared" si="9"/>
      </c>
      <c r="V756" s="2">
        <f t="shared" si="10"/>
      </c>
      <c r="W756" s="2">
        <f t="shared" si="11"/>
      </c>
      <c r="X756" s="2">
        <f t="shared" si="12"/>
      </c>
      <c r="Y756" s="2">
        <f t="shared" si="13"/>
        <v>0</v>
      </c>
      <c r="Z756" s="2">
        <f t="shared" si="14"/>
      </c>
      <c r="AA756" s="2">
        <f t="shared" si="15"/>
        <v>0</v>
      </c>
      <c r="AB756" s="2">
        <f t="shared" si="16"/>
      </c>
      <c r="AC756" s="2">
        <f t="shared" si="17"/>
      </c>
      <c r="AD756" s="2">
        <f t="shared" si="18"/>
      </c>
      <c r="AE756" s="2">
        <f t="shared" si="19"/>
      </c>
      <c r="AF756" s="2">
        <f t="shared" si="20"/>
      </c>
      <c r="AG756" s="2">
        <f t="shared" si="21"/>
      </c>
      <c r="AH756" s="2">
        <f t="shared" si="22"/>
      </c>
      <c r="AI756" s="2">
        <f t="shared" si="23"/>
      </c>
      <c r="AJ756" s="2">
        <f t="shared" si="24"/>
        <v>0</v>
      </c>
      <c r="AK756" s="2">
        <f t="shared" si="25"/>
        <v>0</v>
      </c>
      <c r="AL756" s="2">
        <f t="shared" si="26"/>
        <v>0</v>
      </c>
      <c r="AM756" s="2">
        <f t="shared" si="27"/>
        <v>0</v>
      </c>
      <c r="AN756" s="2">
        <f t="shared" si="28"/>
        <v>0</v>
      </c>
      <c r="AO756" s="2">
        <f t="shared" si="29"/>
      </c>
      <c r="AP756" s="2">
        <f t="shared" si="30"/>
      </c>
      <c r="AQ756" s="2">
        <f t="shared" si="31"/>
      </c>
    </row>
    <row r="757">
      <c r="A757" s="43">
        <f t="shared" si="3"/>
      </c>
      <c r="B757" s="44" t="n"/>
      <c r="C757" s="45" t="n"/>
      <c r="D757" s="46" t="n"/>
      <c r="E757" s="47" t="n"/>
      <c r="F757" s="47" t="n"/>
      <c r="G757" s="48">
        <f t="shared" si="4"/>
      </c>
      <c r="H757" s="43">
        <f t="shared" si="0"/>
      </c>
      <c r="I757" s="43">
        <f t="shared" si="5"/>
      </c>
      <c r="J757" s="43">
        <f t="shared" si="1"/>
      </c>
      <c r="K757" s="49">
        <f t="shared" si="2"/>
      </c>
      <c r="L757" s="45" t="n"/>
      <c r="M757" s="45" t="n"/>
      <c r="N757" s="45" t="n"/>
      <c r="O757" s="45" t="n"/>
      <c r="P757" s="50" t="n"/>
      <c r="R757" s="2">
        <f t="shared" si="6"/>
        <v>0</v>
      </c>
      <c r="S757" s="2">
        <f t="shared" si="7"/>
      </c>
      <c r="T757" s="2">
        <f t="shared" si="8"/>
      </c>
      <c r="U757" s="2">
        <f t="shared" si="9"/>
      </c>
      <c r="V757" s="2">
        <f t="shared" si="10"/>
      </c>
      <c r="W757" s="2">
        <f t="shared" si="11"/>
      </c>
      <c r="X757" s="2">
        <f t="shared" si="12"/>
      </c>
      <c r="Y757" s="2">
        <f t="shared" si="13"/>
        <v>0</v>
      </c>
      <c r="Z757" s="2">
        <f t="shared" si="14"/>
      </c>
      <c r="AA757" s="2">
        <f t="shared" si="15"/>
        <v>0</v>
      </c>
      <c r="AB757" s="2">
        <f t="shared" si="16"/>
      </c>
      <c r="AC757" s="2">
        <f t="shared" si="17"/>
      </c>
      <c r="AD757" s="2">
        <f t="shared" si="18"/>
      </c>
      <c r="AE757" s="2">
        <f t="shared" si="19"/>
      </c>
      <c r="AF757" s="2">
        <f t="shared" si="20"/>
      </c>
      <c r="AG757" s="2">
        <f t="shared" si="21"/>
      </c>
      <c r="AH757" s="2">
        <f t="shared" si="22"/>
      </c>
      <c r="AI757" s="2">
        <f t="shared" si="23"/>
      </c>
      <c r="AJ757" s="2">
        <f t="shared" si="24"/>
        <v>0</v>
      </c>
      <c r="AK757" s="2">
        <f t="shared" si="25"/>
        <v>0</v>
      </c>
      <c r="AL757" s="2">
        <f t="shared" si="26"/>
        <v>0</v>
      </c>
      <c r="AM757" s="2">
        <f t="shared" si="27"/>
        <v>0</v>
      </c>
      <c r="AN757" s="2">
        <f t="shared" si="28"/>
        <v>0</v>
      </c>
      <c r="AO757" s="2">
        <f t="shared" si="29"/>
      </c>
      <c r="AP757" s="2">
        <f t="shared" si="30"/>
      </c>
      <c r="AQ757" s="2">
        <f t="shared" si="31"/>
      </c>
    </row>
    <row r="758">
      <c r="A758" s="43">
        <f t="shared" si="3"/>
      </c>
      <c r="B758" s="44" t="n"/>
      <c r="C758" s="45" t="n"/>
      <c r="D758" s="46" t="n"/>
      <c r="E758" s="47" t="n"/>
      <c r="F758" s="47" t="n"/>
      <c r="G758" s="48">
        <f t="shared" si="4"/>
      </c>
      <c r="H758" s="43">
        <f t="shared" si="0"/>
      </c>
      <c r="I758" s="43">
        <f t="shared" si="5"/>
      </c>
      <c r="J758" s="43">
        <f t="shared" si="1"/>
      </c>
      <c r="K758" s="49">
        <f t="shared" si="2"/>
      </c>
      <c r="L758" s="45" t="n"/>
      <c r="M758" s="45" t="n"/>
      <c r="N758" s="45" t="n"/>
      <c r="O758" s="45" t="n"/>
      <c r="P758" s="50" t="n"/>
      <c r="R758" s="2">
        <f t="shared" si="6"/>
        <v>0</v>
      </c>
      <c r="S758" s="2">
        <f t="shared" si="7"/>
      </c>
      <c r="T758" s="2">
        <f t="shared" si="8"/>
      </c>
      <c r="U758" s="2">
        <f t="shared" si="9"/>
      </c>
      <c r="V758" s="2">
        <f t="shared" si="10"/>
      </c>
      <c r="W758" s="2">
        <f t="shared" si="11"/>
      </c>
      <c r="X758" s="2">
        <f t="shared" si="12"/>
      </c>
      <c r="Y758" s="2">
        <f t="shared" si="13"/>
        <v>0</v>
      </c>
      <c r="Z758" s="2">
        <f t="shared" si="14"/>
      </c>
      <c r="AA758" s="2">
        <f t="shared" si="15"/>
        <v>0</v>
      </c>
      <c r="AB758" s="2">
        <f t="shared" si="16"/>
      </c>
      <c r="AC758" s="2">
        <f t="shared" si="17"/>
      </c>
      <c r="AD758" s="2">
        <f t="shared" si="18"/>
      </c>
      <c r="AE758" s="2">
        <f t="shared" si="19"/>
      </c>
      <c r="AF758" s="2">
        <f t="shared" si="20"/>
      </c>
      <c r="AG758" s="2">
        <f t="shared" si="21"/>
      </c>
      <c r="AH758" s="2">
        <f t="shared" si="22"/>
      </c>
      <c r="AI758" s="2">
        <f t="shared" si="23"/>
      </c>
      <c r="AJ758" s="2">
        <f t="shared" si="24"/>
        <v>0</v>
      </c>
      <c r="AK758" s="2">
        <f t="shared" si="25"/>
        <v>0</v>
      </c>
      <c r="AL758" s="2">
        <f t="shared" si="26"/>
        <v>0</v>
      </c>
      <c r="AM758" s="2">
        <f t="shared" si="27"/>
        <v>0</v>
      </c>
      <c r="AN758" s="2">
        <f t="shared" si="28"/>
        <v>0</v>
      </c>
      <c r="AO758" s="2">
        <f t="shared" si="29"/>
      </c>
      <c r="AP758" s="2">
        <f t="shared" si="30"/>
      </c>
      <c r="AQ758" s="2">
        <f t="shared" si="31"/>
      </c>
    </row>
    <row r="759">
      <c r="A759" s="43">
        <f t="shared" si="3"/>
      </c>
      <c r="B759" s="44" t="n"/>
      <c r="C759" s="45" t="n"/>
      <c r="D759" s="46" t="n"/>
      <c r="E759" s="47" t="n"/>
      <c r="F759" s="47" t="n"/>
      <c r="G759" s="48">
        <f t="shared" si="4"/>
      </c>
      <c r="H759" s="43">
        <f t="shared" si="0"/>
      </c>
      <c r="I759" s="43">
        <f t="shared" si="5"/>
      </c>
      <c r="J759" s="43">
        <f t="shared" si="1"/>
      </c>
      <c r="K759" s="49">
        <f t="shared" si="2"/>
      </c>
      <c r="L759" s="45" t="n"/>
      <c r="M759" s="45" t="n"/>
      <c r="N759" s="45" t="n"/>
      <c r="O759" s="45" t="n"/>
      <c r="P759" s="50" t="n"/>
      <c r="R759" s="2">
        <f t="shared" si="6"/>
        <v>0</v>
      </c>
      <c r="S759" s="2">
        <f t="shared" si="7"/>
      </c>
      <c r="T759" s="2">
        <f t="shared" si="8"/>
      </c>
      <c r="U759" s="2">
        <f t="shared" si="9"/>
      </c>
      <c r="V759" s="2">
        <f t="shared" si="10"/>
      </c>
      <c r="W759" s="2">
        <f t="shared" si="11"/>
      </c>
      <c r="X759" s="2">
        <f t="shared" si="12"/>
      </c>
      <c r="Y759" s="2">
        <f t="shared" si="13"/>
        <v>0</v>
      </c>
      <c r="Z759" s="2">
        <f t="shared" si="14"/>
      </c>
      <c r="AA759" s="2">
        <f t="shared" si="15"/>
        <v>0</v>
      </c>
      <c r="AB759" s="2">
        <f t="shared" si="16"/>
      </c>
      <c r="AC759" s="2">
        <f t="shared" si="17"/>
      </c>
      <c r="AD759" s="2">
        <f t="shared" si="18"/>
      </c>
      <c r="AE759" s="2">
        <f t="shared" si="19"/>
      </c>
      <c r="AF759" s="2">
        <f t="shared" si="20"/>
      </c>
      <c r="AG759" s="2">
        <f t="shared" si="21"/>
      </c>
      <c r="AH759" s="2">
        <f t="shared" si="22"/>
      </c>
      <c r="AI759" s="2">
        <f t="shared" si="23"/>
      </c>
      <c r="AJ759" s="2">
        <f t="shared" si="24"/>
        <v>0</v>
      </c>
      <c r="AK759" s="2">
        <f t="shared" si="25"/>
        <v>0</v>
      </c>
      <c r="AL759" s="2">
        <f t="shared" si="26"/>
        <v>0</v>
      </c>
      <c r="AM759" s="2">
        <f t="shared" si="27"/>
        <v>0</v>
      </c>
      <c r="AN759" s="2">
        <f t="shared" si="28"/>
        <v>0</v>
      </c>
      <c r="AO759" s="2">
        <f t="shared" si="29"/>
      </c>
      <c r="AP759" s="2">
        <f t="shared" si="30"/>
      </c>
      <c r="AQ759" s="2">
        <f t="shared" si="31"/>
      </c>
    </row>
    <row r="760">
      <c r="A760" s="43">
        <f t="shared" si="3"/>
      </c>
      <c r="B760" s="44" t="n"/>
      <c r="C760" s="45" t="n"/>
      <c r="D760" s="46" t="n"/>
      <c r="E760" s="47" t="n"/>
      <c r="F760" s="47" t="n"/>
      <c r="G760" s="48">
        <f t="shared" si="4"/>
      </c>
      <c r="H760" s="43">
        <f t="shared" si="0"/>
      </c>
      <c r="I760" s="43">
        <f t="shared" si="5"/>
      </c>
      <c r="J760" s="43">
        <f t="shared" si="1"/>
      </c>
      <c r="K760" s="49">
        <f t="shared" si="2"/>
      </c>
      <c r="L760" s="45" t="n"/>
      <c r="M760" s="45" t="n"/>
      <c r="N760" s="45" t="n"/>
      <c r="O760" s="45" t="n"/>
      <c r="P760" s="50" t="n"/>
      <c r="R760" s="2">
        <f t="shared" si="6"/>
        <v>0</v>
      </c>
      <c r="S760" s="2">
        <f t="shared" si="7"/>
      </c>
      <c r="T760" s="2">
        <f t="shared" si="8"/>
      </c>
      <c r="U760" s="2">
        <f t="shared" si="9"/>
      </c>
      <c r="V760" s="2">
        <f t="shared" si="10"/>
      </c>
      <c r="W760" s="2">
        <f t="shared" si="11"/>
      </c>
      <c r="X760" s="2">
        <f t="shared" si="12"/>
      </c>
      <c r="Y760" s="2">
        <f t="shared" si="13"/>
        <v>0</v>
      </c>
      <c r="Z760" s="2">
        <f t="shared" si="14"/>
      </c>
      <c r="AA760" s="2">
        <f t="shared" si="15"/>
        <v>0</v>
      </c>
      <c r="AB760" s="2">
        <f t="shared" si="16"/>
      </c>
      <c r="AC760" s="2">
        <f t="shared" si="17"/>
      </c>
      <c r="AD760" s="2">
        <f t="shared" si="18"/>
      </c>
      <c r="AE760" s="2">
        <f t="shared" si="19"/>
      </c>
      <c r="AF760" s="2">
        <f t="shared" si="20"/>
      </c>
      <c r="AG760" s="2">
        <f t="shared" si="21"/>
      </c>
      <c r="AH760" s="2">
        <f t="shared" si="22"/>
      </c>
      <c r="AI760" s="2">
        <f t="shared" si="23"/>
      </c>
      <c r="AJ760" s="2">
        <f t="shared" si="24"/>
        <v>0</v>
      </c>
      <c r="AK760" s="2">
        <f t="shared" si="25"/>
        <v>0</v>
      </c>
      <c r="AL760" s="2">
        <f t="shared" si="26"/>
        <v>0</v>
      </c>
      <c r="AM760" s="2">
        <f t="shared" si="27"/>
        <v>0</v>
      </c>
      <c r="AN760" s="2">
        <f t="shared" si="28"/>
        <v>0</v>
      </c>
      <c r="AO760" s="2">
        <f t="shared" si="29"/>
      </c>
      <c r="AP760" s="2">
        <f t="shared" si="30"/>
      </c>
      <c r="AQ760" s="2">
        <f t="shared" si="31"/>
      </c>
    </row>
    <row r="761">
      <c r="A761" s="43">
        <f t="shared" si="3"/>
      </c>
      <c r="B761" s="44" t="n"/>
      <c r="C761" s="45" t="n"/>
      <c r="D761" s="46" t="n"/>
      <c r="E761" s="47" t="n"/>
      <c r="F761" s="47" t="n"/>
      <c r="G761" s="48">
        <f t="shared" si="4"/>
      </c>
      <c r="H761" s="43">
        <f t="shared" si="0"/>
      </c>
      <c r="I761" s="43">
        <f t="shared" si="5"/>
      </c>
      <c r="J761" s="43">
        <f t="shared" si="1"/>
      </c>
      <c r="K761" s="49">
        <f t="shared" si="2"/>
      </c>
      <c r="L761" s="45" t="n"/>
      <c r="M761" s="45" t="n"/>
      <c r="N761" s="45" t="n"/>
      <c r="O761" s="45" t="n"/>
      <c r="P761" s="50" t="n"/>
      <c r="R761" s="2">
        <f t="shared" si="6"/>
        <v>0</v>
      </c>
      <c r="S761" s="2">
        <f t="shared" si="7"/>
      </c>
      <c r="T761" s="2">
        <f t="shared" si="8"/>
      </c>
      <c r="U761" s="2">
        <f t="shared" si="9"/>
      </c>
      <c r="V761" s="2">
        <f t="shared" si="10"/>
      </c>
      <c r="W761" s="2">
        <f t="shared" si="11"/>
      </c>
      <c r="X761" s="2">
        <f t="shared" si="12"/>
      </c>
      <c r="Y761" s="2">
        <f t="shared" si="13"/>
        <v>0</v>
      </c>
      <c r="Z761" s="2">
        <f t="shared" si="14"/>
      </c>
      <c r="AA761" s="2">
        <f t="shared" si="15"/>
        <v>0</v>
      </c>
      <c r="AB761" s="2">
        <f t="shared" si="16"/>
      </c>
      <c r="AC761" s="2">
        <f t="shared" si="17"/>
      </c>
      <c r="AD761" s="2">
        <f t="shared" si="18"/>
      </c>
      <c r="AE761" s="2">
        <f t="shared" si="19"/>
      </c>
      <c r="AF761" s="2">
        <f t="shared" si="20"/>
      </c>
      <c r="AG761" s="2">
        <f t="shared" si="21"/>
      </c>
      <c r="AH761" s="2">
        <f t="shared" si="22"/>
      </c>
      <c r="AI761" s="2">
        <f t="shared" si="23"/>
      </c>
      <c r="AJ761" s="2">
        <f t="shared" si="24"/>
        <v>0</v>
      </c>
      <c r="AK761" s="2">
        <f t="shared" si="25"/>
        <v>0</v>
      </c>
      <c r="AL761" s="2">
        <f t="shared" si="26"/>
        <v>0</v>
      </c>
      <c r="AM761" s="2">
        <f t="shared" si="27"/>
        <v>0</v>
      </c>
      <c r="AN761" s="2">
        <f t="shared" si="28"/>
        <v>0</v>
      </c>
      <c r="AO761" s="2">
        <f t="shared" si="29"/>
      </c>
      <c r="AP761" s="2">
        <f t="shared" si="30"/>
      </c>
      <c r="AQ761" s="2">
        <f t="shared" si="31"/>
      </c>
    </row>
    <row r="762">
      <c r="A762" s="43">
        <f t="shared" si="3"/>
      </c>
      <c r="B762" s="44" t="n"/>
      <c r="C762" s="45" t="n"/>
      <c r="D762" s="46" t="n"/>
      <c r="E762" s="47" t="n"/>
      <c r="F762" s="47" t="n"/>
      <c r="G762" s="48">
        <f t="shared" si="4"/>
      </c>
      <c r="H762" s="43">
        <f t="shared" si="0"/>
      </c>
      <c r="I762" s="43">
        <f t="shared" si="5"/>
      </c>
      <c r="J762" s="43">
        <f t="shared" si="1"/>
      </c>
      <c r="K762" s="49">
        <f t="shared" si="2"/>
      </c>
      <c r="L762" s="45" t="n"/>
      <c r="M762" s="45" t="n"/>
      <c r="N762" s="45" t="n"/>
      <c r="O762" s="45" t="n"/>
      <c r="P762" s="50" t="n"/>
      <c r="R762" s="2">
        <f t="shared" si="6"/>
        <v>0</v>
      </c>
      <c r="S762" s="2">
        <f t="shared" si="7"/>
      </c>
      <c r="T762" s="2">
        <f t="shared" si="8"/>
      </c>
      <c r="U762" s="2">
        <f t="shared" si="9"/>
      </c>
      <c r="V762" s="2">
        <f t="shared" si="10"/>
      </c>
      <c r="W762" s="2">
        <f t="shared" si="11"/>
      </c>
      <c r="X762" s="2">
        <f t="shared" si="12"/>
      </c>
      <c r="Y762" s="2">
        <f t="shared" si="13"/>
        <v>0</v>
      </c>
      <c r="Z762" s="2">
        <f t="shared" si="14"/>
      </c>
      <c r="AA762" s="2">
        <f t="shared" si="15"/>
        <v>0</v>
      </c>
      <c r="AB762" s="2">
        <f t="shared" si="16"/>
      </c>
      <c r="AC762" s="2">
        <f t="shared" si="17"/>
      </c>
      <c r="AD762" s="2">
        <f t="shared" si="18"/>
      </c>
      <c r="AE762" s="2">
        <f t="shared" si="19"/>
      </c>
      <c r="AF762" s="2">
        <f t="shared" si="20"/>
      </c>
      <c r="AG762" s="2">
        <f t="shared" si="21"/>
      </c>
      <c r="AH762" s="2">
        <f t="shared" si="22"/>
      </c>
      <c r="AI762" s="2">
        <f t="shared" si="23"/>
      </c>
      <c r="AJ762" s="2">
        <f t="shared" si="24"/>
        <v>0</v>
      </c>
      <c r="AK762" s="2">
        <f t="shared" si="25"/>
        <v>0</v>
      </c>
      <c r="AL762" s="2">
        <f t="shared" si="26"/>
        <v>0</v>
      </c>
      <c r="AM762" s="2">
        <f t="shared" si="27"/>
        <v>0</v>
      </c>
      <c r="AN762" s="2">
        <f t="shared" si="28"/>
        <v>0</v>
      </c>
      <c r="AO762" s="2">
        <f t="shared" si="29"/>
      </c>
      <c r="AP762" s="2">
        <f t="shared" si="30"/>
      </c>
      <c r="AQ762" s="2">
        <f t="shared" si="31"/>
      </c>
    </row>
    <row r="763">
      <c r="A763" s="43">
        <f t="shared" si="3"/>
      </c>
      <c r="B763" s="44" t="n"/>
      <c r="C763" s="45" t="n"/>
      <c r="D763" s="46" t="n"/>
      <c r="E763" s="47" t="n"/>
      <c r="F763" s="47" t="n"/>
      <c r="G763" s="48">
        <f t="shared" si="4"/>
      </c>
      <c r="H763" s="43">
        <f t="shared" si="0"/>
      </c>
      <c r="I763" s="43">
        <f t="shared" si="5"/>
      </c>
      <c r="J763" s="43">
        <f t="shared" si="1"/>
      </c>
      <c r="K763" s="49">
        <f t="shared" si="2"/>
      </c>
      <c r="L763" s="45" t="n"/>
      <c r="M763" s="45" t="n"/>
      <c r="N763" s="45" t="n"/>
      <c r="O763" s="45" t="n"/>
      <c r="P763" s="50" t="n"/>
      <c r="R763" s="2">
        <f t="shared" si="6"/>
        <v>0</v>
      </c>
      <c r="S763" s="2">
        <f t="shared" si="7"/>
      </c>
      <c r="T763" s="2">
        <f t="shared" si="8"/>
      </c>
      <c r="U763" s="2">
        <f t="shared" si="9"/>
      </c>
      <c r="V763" s="2">
        <f t="shared" si="10"/>
      </c>
      <c r="W763" s="2">
        <f t="shared" si="11"/>
      </c>
      <c r="X763" s="2">
        <f t="shared" si="12"/>
      </c>
      <c r="Y763" s="2">
        <f t="shared" si="13"/>
        <v>0</v>
      </c>
      <c r="Z763" s="2">
        <f t="shared" si="14"/>
      </c>
      <c r="AA763" s="2">
        <f t="shared" si="15"/>
        <v>0</v>
      </c>
      <c r="AB763" s="2">
        <f t="shared" si="16"/>
      </c>
      <c r="AC763" s="2">
        <f t="shared" si="17"/>
      </c>
      <c r="AD763" s="2">
        <f t="shared" si="18"/>
      </c>
      <c r="AE763" s="2">
        <f t="shared" si="19"/>
      </c>
      <c r="AF763" s="2">
        <f t="shared" si="20"/>
      </c>
      <c r="AG763" s="2">
        <f t="shared" si="21"/>
      </c>
      <c r="AH763" s="2">
        <f t="shared" si="22"/>
      </c>
      <c r="AI763" s="2">
        <f t="shared" si="23"/>
      </c>
      <c r="AJ763" s="2">
        <f t="shared" si="24"/>
        <v>0</v>
      </c>
      <c r="AK763" s="2">
        <f t="shared" si="25"/>
        <v>0</v>
      </c>
      <c r="AL763" s="2">
        <f t="shared" si="26"/>
        <v>0</v>
      </c>
      <c r="AM763" s="2">
        <f t="shared" si="27"/>
        <v>0</v>
      </c>
      <c r="AN763" s="2">
        <f t="shared" si="28"/>
        <v>0</v>
      </c>
      <c r="AO763" s="2">
        <f t="shared" si="29"/>
      </c>
      <c r="AP763" s="2">
        <f t="shared" si="30"/>
      </c>
      <c r="AQ763" s="2">
        <f t="shared" si="31"/>
      </c>
    </row>
    <row r="764">
      <c r="A764" s="43">
        <f t="shared" si="3"/>
      </c>
      <c r="B764" s="44" t="n"/>
      <c r="C764" s="45" t="n"/>
      <c r="D764" s="46" t="n"/>
      <c r="E764" s="47" t="n"/>
      <c r="F764" s="47" t="n"/>
      <c r="G764" s="48">
        <f t="shared" si="4"/>
      </c>
      <c r="H764" s="43">
        <f t="shared" si="0"/>
      </c>
      <c r="I764" s="43">
        <f t="shared" si="5"/>
      </c>
      <c r="J764" s="43">
        <f t="shared" si="1"/>
      </c>
      <c r="K764" s="49">
        <f t="shared" si="2"/>
      </c>
      <c r="L764" s="45" t="n"/>
      <c r="M764" s="45" t="n"/>
      <c r="N764" s="45" t="n"/>
      <c r="O764" s="45" t="n"/>
      <c r="P764" s="50" t="n"/>
      <c r="R764" s="2">
        <f t="shared" si="6"/>
        <v>0</v>
      </c>
      <c r="S764" s="2">
        <f t="shared" si="7"/>
      </c>
      <c r="T764" s="2">
        <f t="shared" si="8"/>
      </c>
      <c r="U764" s="2">
        <f t="shared" si="9"/>
      </c>
      <c r="V764" s="2">
        <f t="shared" si="10"/>
      </c>
      <c r="W764" s="2">
        <f t="shared" si="11"/>
      </c>
      <c r="X764" s="2">
        <f t="shared" si="12"/>
      </c>
      <c r="Y764" s="2">
        <f t="shared" si="13"/>
        <v>0</v>
      </c>
      <c r="Z764" s="2">
        <f t="shared" si="14"/>
      </c>
      <c r="AA764" s="2">
        <f t="shared" si="15"/>
        <v>0</v>
      </c>
      <c r="AB764" s="2">
        <f t="shared" si="16"/>
      </c>
      <c r="AC764" s="2">
        <f t="shared" si="17"/>
      </c>
      <c r="AD764" s="2">
        <f t="shared" si="18"/>
      </c>
      <c r="AE764" s="2">
        <f t="shared" si="19"/>
      </c>
      <c r="AF764" s="2">
        <f t="shared" si="20"/>
      </c>
      <c r="AG764" s="2">
        <f t="shared" si="21"/>
      </c>
      <c r="AH764" s="2">
        <f t="shared" si="22"/>
      </c>
      <c r="AI764" s="2">
        <f t="shared" si="23"/>
      </c>
      <c r="AJ764" s="2">
        <f t="shared" si="24"/>
        <v>0</v>
      </c>
      <c r="AK764" s="2">
        <f t="shared" si="25"/>
        <v>0</v>
      </c>
      <c r="AL764" s="2">
        <f t="shared" si="26"/>
        <v>0</v>
      </c>
      <c r="AM764" s="2">
        <f t="shared" si="27"/>
        <v>0</v>
      </c>
      <c r="AN764" s="2">
        <f t="shared" si="28"/>
        <v>0</v>
      </c>
      <c r="AO764" s="2">
        <f t="shared" si="29"/>
      </c>
      <c r="AP764" s="2">
        <f t="shared" si="30"/>
      </c>
      <c r="AQ764" s="2">
        <f t="shared" si="31"/>
      </c>
    </row>
    <row r="765">
      <c r="A765" s="43">
        <f t="shared" si="3"/>
      </c>
      <c r="B765" s="44" t="n"/>
      <c r="C765" s="45" t="n"/>
      <c r="D765" s="46" t="n"/>
      <c r="E765" s="47" t="n"/>
      <c r="F765" s="47" t="n"/>
      <c r="G765" s="48">
        <f t="shared" si="4"/>
      </c>
      <c r="H765" s="43">
        <f t="shared" si="0"/>
      </c>
      <c r="I765" s="43">
        <f t="shared" si="5"/>
      </c>
      <c r="J765" s="43">
        <f t="shared" si="1"/>
      </c>
      <c r="K765" s="49">
        <f t="shared" si="2"/>
      </c>
      <c r="L765" s="45" t="n"/>
      <c r="M765" s="45" t="n"/>
      <c r="N765" s="45" t="n"/>
      <c r="O765" s="45" t="n"/>
      <c r="P765" s="50" t="n"/>
      <c r="R765" s="2">
        <f t="shared" si="6"/>
        <v>0</v>
      </c>
      <c r="S765" s="2">
        <f t="shared" si="7"/>
      </c>
      <c r="T765" s="2">
        <f t="shared" si="8"/>
      </c>
      <c r="U765" s="2">
        <f t="shared" si="9"/>
      </c>
      <c r="V765" s="2">
        <f t="shared" si="10"/>
      </c>
      <c r="W765" s="2">
        <f t="shared" si="11"/>
      </c>
      <c r="X765" s="2">
        <f t="shared" si="12"/>
      </c>
      <c r="Y765" s="2">
        <f t="shared" si="13"/>
        <v>0</v>
      </c>
      <c r="Z765" s="2">
        <f t="shared" si="14"/>
      </c>
      <c r="AA765" s="2">
        <f t="shared" si="15"/>
        <v>0</v>
      </c>
      <c r="AB765" s="2">
        <f t="shared" si="16"/>
      </c>
      <c r="AC765" s="2">
        <f t="shared" si="17"/>
      </c>
      <c r="AD765" s="2">
        <f t="shared" si="18"/>
      </c>
      <c r="AE765" s="2">
        <f t="shared" si="19"/>
      </c>
      <c r="AF765" s="2">
        <f t="shared" si="20"/>
      </c>
      <c r="AG765" s="2">
        <f t="shared" si="21"/>
      </c>
      <c r="AH765" s="2">
        <f t="shared" si="22"/>
      </c>
      <c r="AI765" s="2">
        <f t="shared" si="23"/>
      </c>
      <c r="AJ765" s="2">
        <f t="shared" si="24"/>
        <v>0</v>
      </c>
      <c r="AK765" s="2">
        <f t="shared" si="25"/>
        <v>0</v>
      </c>
      <c r="AL765" s="2">
        <f t="shared" si="26"/>
        <v>0</v>
      </c>
      <c r="AM765" s="2">
        <f t="shared" si="27"/>
        <v>0</v>
      </c>
      <c r="AN765" s="2">
        <f t="shared" si="28"/>
        <v>0</v>
      </c>
      <c r="AO765" s="2">
        <f t="shared" si="29"/>
      </c>
      <c r="AP765" s="2">
        <f t="shared" si="30"/>
      </c>
      <c r="AQ765" s="2">
        <f t="shared" si="31"/>
      </c>
    </row>
    <row r="766">
      <c r="A766" s="43">
        <f t="shared" si="3"/>
      </c>
      <c r="B766" s="44" t="n"/>
      <c r="C766" s="45" t="n"/>
      <c r="D766" s="46" t="n"/>
      <c r="E766" s="47" t="n"/>
      <c r="F766" s="47" t="n"/>
      <c r="G766" s="48">
        <f t="shared" si="4"/>
      </c>
      <c r="H766" s="43">
        <f t="shared" si="0"/>
      </c>
      <c r="I766" s="43">
        <f t="shared" si="5"/>
      </c>
      <c r="J766" s="43">
        <f t="shared" si="1"/>
      </c>
      <c r="K766" s="49">
        <f t="shared" si="2"/>
      </c>
      <c r="L766" s="45" t="n"/>
      <c r="M766" s="45" t="n"/>
      <c r="N766" s="45" t="n"/>
      <c r="O766" s="45" t="n"/>
      <c r="P766" s="50" t="n"/>
      <c r="R766" s="2">
        <f t="shared" si="6"/>
        <v>0</v>
      </c>
      <c r="S766" s="2">
        <f t="shared" si="7"/>
      </c>
      <c r="T766" s="2">
        <f t="shared" si="8"/>
      </c>
      <c r="U766" s="2">
        <f t="shared" si="9"/>
      </c>
      <c r="V766" s="2">
        <f t="shared" si="10"/>
      </c>
      <c r="W766" s="2">
        <f t="shared" si="11"/>
      </c>
      <c r="X766" s="2">
        <f t="shared" si="12"/>
      </c>
      <c r="Y766" s="2">
        <f t="shared" si="13"/>
        <v>0</v>
      </c>
      <c r="Z766" s="2">
        <f t="shared" si="14"/>
      </c>
      <c r="AA766" s="2">
        <f t="shared" si="15"/>
        <v>0</v>
      </c>
      <c r="AB766" s="2">
        <f t="shared" si="16"/>
      </c>
      <c r="AC766" s="2">
        <f t="shared" si="17"/>
      </c>
      <c r="AD766" s="2">
        <f t="shared" si="18"/>
      </c>
      <c r="AE766" s="2">
        <f t="shared" si="19"/>
      </c>
      <c r="AF766" s="2">
        <f t="shared" si="20"/>
      </c>
      <c r="AG766" s="2">
        <f t="shared" si="21"/>
      </c>
      <c r="AH766" s="2">
        <f t="shared" si="22"/>
      </c>
      <c r="AI766" s="2">
        <f t="shared" si="23"/>
      </c>
      <c r="AJ766" s="2">
        <f t="shared" si="24"/>
        <v>0</v>
      </c>
      <c r="AK766" s="2">
        <f t="shared" si="25"/>
        <v>0</v>
      </c>
      <c r="AL766" s="2">
        <f t="shared" si="26"/>
        <v>0</v>
      </c>
      <c r="AM766" s="2">
        <f t="shared" si="27"/>
        <v>0</v>
      </c>
      <c r="AN766" s="2">
        <f t="shared" si="28"/>
        <v>0</v>
      </c>
      <c r="AO766" s="2">
        <f t="shared" si="29"/>
      </c>
      <c r="AP766" s="2">
        <f t="shared" si="30"/>
      </c>
      <c r="AQ766" s="2">
        <f t="shared" si="31"/>
      </c>
    </row>
    <row r="767">
      <c r="A767" s="43">
        <f t="shared" si="3"/>
      </c>
      <c r="B767" s="44" t="n"/>
      <c r="C767" s="45" t="n"/>
      <c r="D767" s="46" t="n"/>
      <c r="E767" s="47" t="n"/>
      <c r="F767" s="47" t="n"/>
      <c r="G767" s="48">
        <f t="shared" si="4"/>
      </c>
      <c r="H767" s="43">
        <f t="shared" si="0"/>
      </c>
      <c r="I767" s="43">
        <f t="shared" si="5"/>
      </c>
      <c r="J767" s="43">
        <f t="shared" si="1"/>
      </c>
      <c r="K767" s="49">
        <f t="shared" si="2"/>
      </c>
      <c r="L767" s="45" t="n"/>
      <c r="M767" s="45" t="n"/>
      <c r="N767" s="45" t="n"/>
      <c r="O767" s="45" t="n"/>
      <c r="P767" s="50" t="n"/>
      <c r="R767" s="2">
        <f t="shared" si="6"/>
        <v>0</v>
      </c>
      <c r="S767" s="2">
        <f t="shared" si="7"/>
      </c>
      <c r="T767" s="2">
        <f t="shared" si="8"/>
      </c>
      <c r="U767" s="2">
        <f t="shared" si="9"/>
      </c>
      <c r="V767" s="2">
        <f t="shared" si="10"/>
      </c>
      <c r="W767" s="2">
        <f t="shared" si="11"/>
      </c>
      <c r="X767" s="2">
        <f t="shared" si="12"/>
      </c>
      <c r="Y767" s="2">
        <f t="shared" si="13"/>
        <v>0</v>
      </c>
      <c r="Z767" s="2">
        <f t="shared" si="14"/>
      </c>
      <c r="AA767" s="2">
        <f t="shared" si="15"/>
        <v>0</v>
      </c>
      <c r="AB767" s="2">
        <f t="shared" si="16"/>
      </c>
      <c r="AC767" s="2">
        <f t="shared" si="17"/>
      </c>
      <c r="AD767" s="2">
        <f t="shared" si="18"/>
      </c>
      <c r="AE767" s="2">
        <f t="shared" si="19"/>
      </c>
      <c r="AF767" s="2">
        <f t="shared" si="20"/>
      </c>
      <c r="AG767" s="2">
        <f t="shared" si="21"/>
      </c>
      <c r="AH767" s="2">
        <f t="shared" si="22"/>
      </c>
      <c r="AI767" s="2">
        <f t="shared" si="23"/>
      </c>
      <c r="AJ767" s="2">
        <f t="shared" si="24"/>
        <v>0</v>
      </c>
      <c r="AK767" s="2">
        <f t="shared" si="25"/>
        <v>0</v>
      </c>
      <c r="AL767" s="2">
        <f t="shared" si="26"/>
        <v>0</v>
      </c>
      <c r="AM767" s="2">
        <f t="shared" si="27"/>
        <v>0</v>
      </c>
      <c r="AN767" s="2">
        <f t="shared" si="28"/>
        <v>0</v>
      </c>
      <c r="AO767" s="2">
        <f t="shared" si="29"/>
      </c>
      <c r="AP767" s="2">
        <f t="shared" si="30"/>
      </c>
      <c r="AQ767" s="2">
        <f t="shared" si="31"/>
      </c>
    </row>
    <row r="768">
      <c r="A768" s="43">
        <f t="shared" si="3"/>
      </c>
      <c r="B768" s="44" t="n"/>
      <c r="C768" s="45" t="n"/>
      <c r="D768" s="46" t="n"/>
      <c r="E768" s="47" t="n"/>
      <c r="F768" s="47" t="n"/>
      <c r="G768" s="48">
        <f t="shared" si="4"/>
      </c>
      <c r="H768" s="43">
        <f t="shared" si="0"/>
      </c>
      <c r="I768" s="43">
        <f t="shared" si="5"/>
      </c>
      <c r="J768" s="43">
        <f t="shared" si="1"/>
      </c>
      <c r="K768" s="49">
        <f t="shared" si="2"/>
      </c>
      <c r="L768" s="45" t="n"/>
      <c r="M768" s="45" t="n"/>
      <c r="N768" s="45" t="n"/>
      <c r="O768" s="45" t="n"/>
      <c r="P768" s="50" t="n"/>
      <c r="R768" s="2">
        <f t="shared" si="6"/>
        <v>0</v>
      </c>
      <c r="S768" s="2">
        <f t="shared" si="7"/>
      </c>
      <c r="T768" s="2">
        <f t="shared" si="8"/>
      </c>
      <c r="U768" s="2">
        <f t="shared" si="9"/>
      </c>
      <c r="V768" s="2">
        <f t="shared" si="10"/>
      </c>
      <c r="W768" s="2">
        <f t="shared" si="11"/>
      </c>
      <c r="X768" s="2">
        <f t="shared" si="12"/>
      </c>
      <c r="Y768" s="2">
        <f t="shared" si="13"/>
        <v>0</v>
      </c>
      <c r="Z768" s="2">
        <f t="shared" si="14"/>
      </c>
      <c r="AA768" s="2">
        <f t="shared" si="15"/>
        <v>0</v>
      </c>
      <c r="AB768" s="2">
        <f t="shared" si="16"/>
      </c>
      <c r="AC768" s="2">
        <f t="shared" si="17"/>
      </c>
      <c r="AD768" s="2">
        <f t="shared" si="18"/>
      </c>
      <c r="AE768" s="2">
        <f t="shared" si="19"/>
      </c>
      <c r="AF768" s="2">
        <f t="shared" si="20"/>
      </c>
      <c r="AG768" s="2">
        <f t="shared" si="21"/>
      </c>
      <c r="AH768" s="2">
        <f t="shared" si="22"/>
      </c>
      <c r="AI768" s="2">
        <f t="shared" si="23"/>
      </c>
      <c r="AJ768" s="2">
        <f t="shared" si="24"/>
        <v>0</v>
      </c>
      <c r="AK768" s="2">
        <f t="shared" si="25"/>
        <v>0</v>
      </c>
      <c r="AL768" s="2">
        <f t="shared" si="26"/>
        <v>0</v>
      </c>
      <c r="AM768" s="2">
        <f t="shared" si="27"/>
        <v>0</v>
      </c>
      <c r="AN768" s="2">
        <f t="shared" si="28"/>
        <v>0</v>
      </c>
      <c r="AO768" s="2">
        <f t="shared" si="29"/>
      </c>
      <c r="AP768" s="2">
        <f t="shared" si="30"/>
      </c>
      <c r="AQ768" s="2">
        <f t="shared" si="31"/>
      </c>
    </row>
    <row r="769">
      <c r="A769" s="43">
        <f t="shared" si="3"/>
      </c>
      <c r="B769" s="44" t="n"/>
      <c r="C769" s="45" t="n"/>
      <c r="D769" s="46" t="n"/>
      <c r="E769" s="47" t="n"/>
      <c r="F769" s="47" t="n"/>
      <c r="G769" s="48">
        <f t="shared" si="4"/>
      </c>
      <c r="H769" s="43">
        <f t="shared" si="0"/>
      </c>
      <c r="I769" s="43">
        <f t="shared" si="5"/>
      </c>
      <c r="J769" s="43">
        <f t="shared" si="1"/>
      </c>
      <c r="K769" s="49">
        <f t="shared" si="2"/>
      </c>
      <c r="L769" s="45" t="n"/>
      <c r="M769" s="45" t="n"/>
      <c r="N769" s="45" t="n"/>
      <c r="O769" s="45" t="n"/>
      <c r="P769" s="50" t="n"/>
      <c r="R769" s="2">
        <f t="shared" si="6"/>
        <v>0</v>
      </c>
      <c r="S769" s="2">
        <f t="shared" si="7"/>
      </c>
      <c r="T769" s="2">
        <f t="shared" si="8"/>
      </c>
      <c r="U769" s="2">
        <f t="shared" si="9"/>
      </c>
      <c r="V769" s="2">
        <f t="shared" si="10"/>
      </c>
      <c r="W769" s="2">
        <f t="shared" si="11"/>
      </c>
      <c r="X769" s="2">
        <f t="shared" si="12"/>
      </c>
      <c r="Y769" s="2">
        <f t="shared" si="13"/>
        <v>0</v>
      </c>
      <c r="Z769" s="2">
        <f t="shared" si="14"/>
      </c>
      <c r="AA769" s="2">
        <f t="shared" si="15"/>
        <v>0</v>
      </c>
      <c r="AB769" s="2">
        <f t="shared" si="16"/>
      </c>
      <c r="AC769" s="2">
        <f t="shared" si="17"/>
      </c>
      <c r="AD769" s="2">
        <f t="shared" si="18"/>
      </c>
      <c r="AE769" s="2">
        <f t="shared" si="19"/>
      </c>
      <c r="AF769" s="2">
        <f t="shared" si="20"/>
      </c>
      <c r="AG769" s="2">
        <f t="shared" si="21"/>
      </c>
      <c r="AH769" s="2">
        <f t="shared" si="22"/>
      </c>
      <c r="AI769" s="2">
        <f t="shared" si="23"/>
      </c>
      <c r="AJ769" s="2">
        <f t="shared" si="24"/>
        <v>0</v>
      </c>
      <c r="AK769" s="2">
        <f t="shared" si="25"/>
        <v>0</v>
      </c>
      <c r="AL769" s="2">
        <f t="shared" si="26"/>
        <v>0</v>
      </c>
      <c r="AM769" s="2">
        <f t="shared" si="27"/>
        <v>0</v>
      </c>
      <c r="AN769" s="2">
        <f t="shared" si="28"/>
        <v>0</v>
      </c>
      <c r="AO769" s="2">
        <f t="shared" si="29"/>
      </c>
      <c r="AP769" s="2">
        <f t="shared" si="30"/>
      </c>
      <c r="AQ769" s="2">
        <f t="shared" si="31"/>
      </c>
    </row>
    <row r="770">
      <c r="A770" s="43">
        <f t="shared" si="3"/>
      </c>
      <c r="B770" s="44" t="n"/>
      <c r="C770" s="45" t="n"/>
      <c r="D770" s="46" t="n"/>
      <c r="E770" s="47" t="n"/>
      <c r="F770" s="47" t="n"/>
      <c r="G770" s="48">
        <f t="shared" si="4"/>
      </c>
      <c r="H770" s="43">
        <f t="shared" si="0"/>
      </c>
      <c r="I770" s="43">
        <f t="shared" si="5"/>
      </c>
      <c r="J770" s="43">
        <f t="shared" si="1"/>
      </c>
      <c r="K770" s="49">
        <f t="shared" si="2"/>
      </c>
      <c r="L770" s="45" t="n"/>
      <c r="M770" s="45" t="n"/>
      <c r="N770" s="45" t="n"/>
      <c r="O770" s="45" t="n"/>
      <c r="P770" s="50" t="n"/>
      <c r="R770" s="2">
        <f t="shared" si="6"/>
        <v>0</v>
      </c>
      <c r="S770" s="2">
        <f t="shared" si="7"/>
      </c>
      <c r="T770" s="2">
        <f t="shared" si="8"/>
      </c>
      <c r="U770" s="2">
        <f t="shared" si="9"/>
      </c>
      <c r="V770" s="2">
        <f t="shared" si="10"/>
      </c>
      <c r="W770" s="2">
        <f t="shared" si="11"/>
      </c>
      <c r="X770" s="2">
        <f t="shared" si="12"/>
      </c>
      <c r="Y770" s="2">
        <f t="shared" si="13"/>
        <v>0</v>
      </c>
      <c r="Z770" s="2">
        <f t="shared" si="14"/>
      </c>
      <c r="AA770" s="2">
        <f t="shared" si="15"/>
        <v>0</v>
      </c>
      <c r="AB770" s="2">
        <f t="shared" si="16"/>
      </c>
      <c r="AC770" s="2">
        <f t="shared" si="17"/>
      </c>
      <c r="AD770" s="2">
        <f t="shared" si="18"/>
      </c>
      <c r="AE770" s="2">
        <f t="shared" si="19"/>
      </c>
      <c r="AF770" s="2">
        <f t="shared" si="20"/>
      </c>
      <c r="AG770" s="2">
        <f t="shared" si="21"/>
      </c>
      <c r="AH770" s="2">
        <f t="shared" si="22"/>
      </c>
      <c r="AI770" s="2">
        <f t="shared" si="23"/>
      </c>
      <c r="AJ770" s="2">
        <f t="shared" si="24"/>
        <v>0</v>
      </c>
      <c r="AK770" s="2">
        <f t="shared" si="25"/>
        <v>0</v>
      </c>
      <c r="AL770" s="2">
        <f t="shared" si="26"/>
        <v>0</v>
      </c>
      <c r="AM770" s="2">
        <f t="shared" si="27"/>
        <v>0</v>
      </c>
      <c r="AN770" s="2">
        <f t="shared" si="28"/>
        <v>0</v>
      </c>
      <c r="AO770" s="2">
        <f t="shared" si="29"/>
      </c>
      <c r="AP770" s="2">
        <f t="shared" si="30"/>
      </c>
      <c r="AQ770" s="2">
        <f t="shared" si="31"/>
      </c>
    </row>
    <row r="771">
      <c r="A771" s="43">
        <f t="shared" si="3"/>
      </c>
      <c r="B771" s="44" t="n"/>
      <c r="C771" s="45" t="n"/>
      <c r="D771" s="46" t="n"/>
      <c r="E771" s="47" t="n"/>
      <c r="F771" s="47" t="n"/>
      <c r="G771" s="48">
        <f t="shared" si="4"/>
      </c>
      <c r="H771" s="43">
        <f t="shared" si="0"/>
      </c>
      <c r="I771" s="43">
        <f t="shared" si="5"/>
      </c>
      <c r="J771" s="43">
        <f t="shared" si="1"/>
      </c>
      <c r="K771" s="49">
        <f t="shared" si="2"/>
      </c>
      <c r="L771" s="45" t="n"/>
      <c r="M771" s="45" t="n"/>
      <c r="N771" s="45" t="n"/>
      <c r="O771" s="45" t="n"/>
      <c r="P771" s="50" t="n"/>
      <c r="R771" s="2">
        <f t="shared" si="6"/>
        <v>0</v>
      </c>
      <c r="S771" s="2">
        <f t="shared" si="7"/>
      </c>
      <c r="T771" s="2">
        <f t="shared" si="8"/>
      </c>
      <c r="U771" s="2">
        <f t="shared" si="9"/>
      </c>
      <c r="V771" s="2">
        <f t="shared" si="10"/>
      </c>
      <c r="W771" s="2">
        <f t="shared" si="11"/>
      </c>
      <c r="X771" s="2">
        <f t="shared" si="12"/>
      </c>
      <c r="Y771" s="2">
        <f t="shared" si="13"/>
        <v>0</v>
      </c>
      <c r="Z771" s="2">
        <f t="shared" si="14"/>
      </c>
      <c r="AA771" s="2">
        <f t="shared" si="15"/>
        <v>0</v>
      </c>
      <c r="AB771" s="2">
        <f t="shared" si="16"/>
      </c>
      <c r="AC771" s="2">
        <f t="shared" si="17"/>
      </c>
      <c r="AD771" s="2">
        <f t="shared" si="18"/>
      </c>
      <c r="AE771" s="2">
        <f t="shared" si="19"/>
      </c>
      <c r="AF771" s="2">
        <f t="shared" si="20"/>
      </c>
      <c r="AG771" s="2">
        <f t="shared" si="21"/>
      </c>
      <c r="AH771" s="2">
        <f t="shared" si="22"/>
      </c>
      <c r="AI771" s="2">
        <f t="shared" si="23"/>
      </c>
      <c r="AJ771" s="2">
        <f t="shared" si="24"/>
        <v>0</v>
      </c>
      <c r="AK771" s="2">
        <f t="shared" si="25"/>
        <v>0</v>
      </c>
      <c r="AL771" s="2">
        <f t="shared" si="26"/>
        <v>0</v>
      </c>
      <c r="AM771" s="2">
        <f t="shared" si="27"/>
        <v>0</v>
      </c>
      <c r="AN771" s="2">
        <f t="shared" si="28"/>
        <v>0</v>
      </c>
      <c r="AO771" s="2">
        <f t="shared" si="29"/>
      </c>
      <c r="AP771" s="2">
        <f t="shared" si="30"/>
      </c>
      <c r="AQ771" s="2">
        <f t="shared" si="31"/>
      </c>
    </row>
    <row r="772">
      <c r="A772" s="43">
        <f t="shared" si="3"/>
      </c>
      <c r="B772" s="44" t="n"/>
      <c r="C772" s="45" t="n"/>
      <c r="D772" s="46" t="n"/>
      <c r="E772" s="47" t="n"/>
      <c r="F772" s="47" t="n"/>
      <c r="G772" s="48">
        <f t="shared" si="4"/>
      </c>
      <c r="H772" s="43">
        <f t="shared" si="0"/>
      </c>
      <c r="I772" s="43">
        <f t="shared" si="5"/>
      </c>
      <c r="J772" s="43">
        <f t="shared" si="1"/>
      </c>
      <c r="K772" s="49">
        <f t="shared" si="2"/>
      </c>
      <c r="L772" s="45" t="n"/>
      <c r="M772" s="45" t="n"/>
      <c r="N772" s="45" t="n"/>
      <c r="O772" s="45" t="n"/>
      <c r="P772" s="50" t="n"/>
      <c r="R772" s="2">
        <f t="shared" si="6"/>
        <v>0</v>
      </c>
      <c r="S772" s="2">
        <f t="shared" si="7"/>
      </c>
      <c r="T772" s="2">
        <f t="shared" si="8"/>
      </c>
      <c r="U772" s="2">
        <f t="shared" si="9"/>
      </c>
      <c r="V772" s="2">
        <f t="shared" si="10"/>
      </c>
      <c r="W772" s="2">
        <f t="shared" si="11"/>
      </c>
      <c r="X772" s="2">
        <f t="shared" si="12"/>
      </c>
      <c r="Y772" s="2">
        <f t="shared" si="13"/>
        <v>0</v>
      </c>
      <c r="Z772" s="2">
        <f t="shared" si="14"/>
      </c>
      <c r="AA772" s="2">
        <f t="shared" si="15"/>
        <v>0</v>
      </c>
      <c r="AB772" s="2">
        <f t="shared" si="16"/>
      </c>
      <c r="AC772" s="2">
        <f t="shared" si="17"/>
      </c>
      <c r="AD772" s="2">
        <f t="shared" si="18"/>
      </c>
      <c r="AE772" s="2">
        <f t="shared" si="19"/>
      </c>
      <c r="AF772" s="2">
        <f t="shared" si="20"/>
      </c>
      <c r="AG772" s="2">
        <f t="shared" si="21"/>
      </c>
      <c r="AH772" s="2">
        <f t="shared" si="22"/>
      </c>
      <c r="AI772" s="2">
        <f t="shared" si="23"/>
      </c>
      <c r="AJ772" s="2">
        <f t="shared" si="24"/>
        <v>0</v>
      </c>
      <c r="AK772" s="2">
        <f t="shared" si="25"/>
        <v>0</v>
      </c>
      <c r="AL772" s="2">
        <f t="shared" si="26"/>
        <v>0</v>
      </c>
      <c r="AM772" s="2">
        <f t="shared" si="27"/>
        <v>0</v>
      </c>
      <c r="AN772" s="2">
        <f t="shared" si="28"/>
        <v>0</v>
      </c>
      <c r="AO772" s="2">
        <f t="shared" si="29"/>
      </c>
      <c r="AP772" s="2">
        <f t="shared" si="30"/>
      </c>
      <c r="AQ772" s="2">
        <f t="shared" si="31"/>
      </c>
    </row>
    <row r="773">
      <c r="A773" s="43">
        <f t="shared" si="3"/>
      </c>
      <c r="B773" s="44" t="n"/>
      <c r="C773" s="45" t="n"/>
      <c r="D773" s="46" t="n"/>
      <c r="E773" s="47" t="n"/>
      <c r="F773" s="47" t="n"/>
      <c r="G773" s="48">
        <f t="shared" si="4"/>
      </c>
      <c r="H773" s="43">
        <f t="shared" si="0"/>
      </c>
      <c r="I773" s="43">
        <f t="shared" si="5"/>
      </c>
      <c r="J773" s="43">
        <f t="shared" si="1"/>
      </c>
      <c r="K773" s="49">
        <f t="shared" si="2"/>
      </c>
      <c r="L773" s="45" t="n"/>
      <c r="M773" s="45" t="n"/>
      <c r="N773" s="45" t="n"/>
      <c r="O773" s="45" t="n"/>
      <c r="P773" s="50" t="n"/>
      <c r="R773" s="2">
        <f t="shared" si="6"/>
        <v>0</v>
      </c>
      <c r="S773" s="2">
        <f t="shared" si="7"/>
      </c>
      <c r="T773" s="2">
        <f t="shared" si="8"/>
      </c>
      <c r="U773" s="2">
        <f t="shared" si="9"/>
      </c>
      <c r="V773" s="2">
        <f t="shared" si="10"/>
      </c>
      <c r="W773" s="2">
        <f t="shared" si="11"/>
      </c>
      <c r="X773" s="2">
        <f t="shared" si="12"/>
      </c>
      <c r="Y773" s="2">
        <f t="shared" si="13"/>
        <v>0</v>
      </c>
      <c r="Z773" s="2">
        <f t="shared" si="14"/>
      </c>
      <c r="AA773" s="2">
        <f t="shared" si="15"/>
        <v>0</v>
      </c>
      <c r="AB773" s="2">
        <f t="shared" si="16"/>
      </c>
      <c r="AC773" s="2">
        <f t="shared" si="17"/>
      </c>
      <c r="AD773" s="2">
        <f t="shared" si="18"/>
      </c>
      <c r="AE773" s="2">
        <f t="shared" si="19"/>
      </c>
      <c r="AF773" s="2">
        <f t="shared" si="20"/>
      </c>
      <c r="AG773" s="2">
        <f t="shared" si="21"/>
      </c>
      <c r="AH773" s="2">
        <f t="shared" si="22"/>
      </c>
      <c r="AI773" s="2">
        <f t="shared" si="23"/>
      </c>
      <c r="AJ773" s="2">
        <f t="shared" si="24"/>
        <v>0</v>
      </c>
      <c r="AK773" s="2">
        <f t="shared" si="25"/>
        <v>0</v>
      </c>
      <c r="AL773" s="2">
        <f t="shared" si="26"/>
        <v>0</v>
      </c>
      <c r="AM773" s="2">
        <f t="shared" si="27"/>
        <v>0</v>
      </c>
      <c r="AN773" s="2">
        <f t="shared" si="28"/>
        <v>0</v>
      </c>
      <c r="AO773" s="2">
        <f t="shared" si="29"/>
      </c>
      <c r="AP773" s="2">
        <f t="shared" si="30"/>
      </c>
      <c r="AQ773" s="2">
        <f t="shared" si="31"/>
      </c>
    </row>
    <row r="774">
      <c r="A774" s="43">
        <f t="shared" si="3"/>
      </c>
      <c r="B774" s="44" t="n"/>
      <c r="C774" s="45" t="n"/>
      <c r="D774" s="46" t="n"/>
      <c r="E774" s="47" t="n"/>
      <c r="F774" s="47" t="n"/>
      <c r="G774" s="48">
        <f t="shared" si="4"/>
      </c>
      <c r="H774" s="43">
        <f t="shared" si="0"/>
      </c>
      <c r="I774" s="43">
        <f t="shared" si="5"/>
      </c>
      <c r="J774" s="43">
        <f t="shared" si="1"/>
      </c>
      <c r="K774" s="49">
        <f t="shared" si="2"/>
      </c>
      <c r="L774" s="45" t="n"/>
      <c r="M774" s="45" t="n"/>
      <c r="N774" s="45" t="n"/>
      <c r="O774" s="45" t="n"/>
      <c r="P774" s="50" t="n"/>
      <c r="R774" s="2">
        <f t="shared" si="6"/>
        <v>0</v>
      </c>
      <c r="S774" s="2">
        <f t="shared" si="7"/>
      </c>
      <c r="T774" s="2">
        <f t="shared" si="8"/>
      </c>
      <c r="U774" s="2">
        <f t="shared" si="9"/>
      </c>
      <c r="V774" s="2">
        <f t="shared" si="10"/>
      </c>
      <c r="W774" s="2">
        <f t="shared" si="11"/>
      </c>
      <c r="X774" s="2">
        <f t="shared" si="12"/>
      </c>
      <c r="Y774" s="2">
        <f t="shared" si="13"/>
        <v>0</v>
      </c>
      <c r="Z774" s="2">
        <f t="shared" si="14"/>
      </c>
      <c r="AA774" s="2">
        <f t="shared" si="15"/>
        <v>0</v>
      </c>
      <c r="AB774" s="2">
        <f t="shared" si="16"/>
      </c>
      <c r="AC774" s="2">
        <f t="shared" si="17"/>
      </c>
      <c r="AD774" s="2">
        <f t="shared" si="18"/>
      </c>
      <c r="AE774" s="2">
        <f t="shared" si="19"/>
      </c>
      <c r="AF774" s="2">
        <f t="shared" si="20"/>
      </c>
      <c r="AG774" s="2">
        <f t="shared" si="21"/>
      </c>
      <c r="AH774" s="2">
        <f t="shared" si="22"/>
      </c>
      <c r="AI774" s="2">
        <f t="shared" si="23"/>
      </c>
      <c r="AJ774" s="2">
        <f t="shared" si="24"/>
        <v>0</v>
      </c>
      <c r="AK774" s="2">
        <f t="shared" si="25"/>
        <v>0</v>
      </c>
      <c r="AL774" s="2">
        <f t="shared" si="26"/>
        <v>0</v>
      </c>
      <c r="AM774" s="2">
        <f t="shared" si="27"/>
        <v>0</v>
      </c>
      <c r="AN774" s="2">
        <f t="shared" si="28"/>
        <v>0</v>
      </c>
      <c r="AO774" s="2">
        <f t="shared" si="29"/>
      </c>
      <c r="AP774" s="2">
        <f t="shared" si="30"/>
      </c>
      <c r="AQ774" s="2">
        <f t="shared" si="31"/>
      </c>
    </row>
    <row r="775">
      <c r="A775" s="43">
        <f t="shared" si="3"/>
      </c>
      <c r="B775" s="44" t="n"/>
      <c r="C775" s="45" t="n"/>
      <c r="D775" s="46" t="n"/>
      <c r="E775" s="47" t="n"/>
      <c r="F775" s="47" t="n"/>
      <c r="G775" s="48">
        <f t="shared" si="4"/>
      </c>
      <c r="H775" s="43">
        <f t="shared" si="0"/>
      </c>
      <c r="I775" s="43">
        <f t="shared" si="5"/>
      </c>
      <c r="J775" s="43">
        <f t="shared" si="1"/>
      </c>
      <c r="K775" s="49">
        <f t="shared" si="2"/>
      </c>
      <c r="L775" s="45" t="n"/>
      <c r="M775" s="45" t="n"/>
      <c r="N775" s="45" t="n"/>
      <c r="O775" s="45" t="n"/>
      <c r="P775" s="50" t="n"/>
      <c r="R775" s="2">
        <f t="shared" si="6"/>
        <v>0</v>
      </c>
      <c r="S775" s="2">
        <f t="shared" si="7"/>
      </c>
      <c r="T775" s="2">
        <f t="shared" si="8"/>
      </c>
      <c r="U775" s="2">
        <f t="shared" si="9"/>
      </c>
      <c r="V775" s="2">
        <f t="shared" si="10"/>
      </c>
      <c r="W775" s="2">
        <f t="shared" si="11"/>
      </c>
      <c r="X775" s="2">
        <f t="shared" si="12"/>
      </c>
      <c r="Y775" s="2">
        <f t="shared" si="13"/>
        <v>0</v>
      </c>
      <c r="Z775" s="2">
        <f t="shared" si="14"/>
      </c>
      <c r="AA775" s="2">
        <f t="shared" si="15"/>
        <v>0</v>
      </c>
      <c r="AB775" s="2">
        <f t="shared" si="16"/>
      </c>
      <c r="AC775" s="2">
        <f t="shared" si="17"/>
      </c>
      <c r="AD775" s="2">
        <f t="shared" si="18"/>
      </c>
      <c r="AE775" s="2">
        <f t="shared" si="19"/>
      </c>
      <c r="AF775" s="2">
        <f t="shared" si="20"/>
      </c>
      <c r="AG775" s="2">
        <f t="shared" si="21"/>
      </c>
      <c r="AH775" s="2">
        <f t="shared" si="22"/>
      </c>
      <c r="AI775" s="2">
        <f t="shared" si="23"/>
      </c>
      <c r="AJ775" s="2">
        <f t="shared" si="24"/>
        <v>0</v>
      </c>
      <c r="AK775" s="2">
        <f t="shared" si="25"/>
        <v>0</v>
      </c>
      <c r="AL775" s="2">
        <f t="shared" si="26"/>
        <v>0</v>
      </c>
      <c r="AM775" s="2">
        <f t="shared" si="27"/>
        <v>0</v>
      </c>
      <c r="AN775" s="2">
        <f t="shared" si="28"/>
        <v>0</v>
      </c>
      <c r="AO775" s="2">
        <f t="shared" si="29"/>
      </c>
      <c r="AP775" s="2">
        <f t="shared" si="30"/>
      </c>
      <c r="AQ775" s="2">
        <f t="shared" si="31"/>
      </c>
    </row>
    <row r="776">
      <c r="A776" s="43">
        <f t="shared" si="3"/>
      </c>
      <c r="B776" s="44" t="n"/>
      <c r="C776" s="45" t="n"/>
      <c r="D776" s="46" t="n"/>
      <c r="E776" s="47" t="n"/>
      <c r="F776" s="47" t="n"/>
      <c r="G776" s="48">
        <f t="shared" si="4"/>
      </c>
      <c r="H776" s="43">
        <f t="shared" si="0"/>
      </c>
      <c r="I776" s="43">
        <f t="shared" si="5"/>
      </c>
      <c r="J776" s="43">
        <f t="shared" si="1"/>
      </c>
      <c r="K776" s="49">
        <f t="shared" si="2"/>
      </c>
      <c r="L776" s="45" t="n"/>
      <c r="M776" s="45" t="n"/>
      <c r="N776" s="45" t="n"/>
      <c r="O776" s="45" t="n"/>
      <c r="P776" s="50" t="n"/>
      <c r="R776" s="2">
        <f t="shared" si="6"/>
        <v>0</v>
      </c>
      <c r="S776" s="2">
        <f t="shared" si="7"/>
      </c>
      <c r="T776" s="2">
        <f t="shared" si="8"/>
      </c>
      <c r="U776" s="2">
        <f t="shared" si="9"/>
      </c>
      <c r="V776" s="2">
        <f t="shared" si="10"/>
      </c>
      <c r="W776" s="2">
        <f t="shared" si="11"/>
      </c>
      <c r="X776" s="2">
        <f t="shared" si="12"/>
      </c>
      <c r="Y776" s="2">
        <f t="shared" si="13"/>
        <v>0</v>
      </c>
      <c r="Z776" s="2">
        <f t="shared" si="14"/>
      </c>
      <c r="AA776" s="2">
        <f t="shared" si="15"/>
        <v>0</v>
      </c>
      <c r="AB776" s="2">
        <f t="shared" si="16"/>
      </c>
      <c r="AC776" s="2">
        <f t="shared" si="17"/>
      </c>
      <c r="AD776" s="2">
        <f t="shared" si="18"/>
      </c>
      <c r="AE776" s="2">
        <f t="shared" si="19"/>
      </c>
      <c r="AF776" s="2">
        <f t="shared" si="20"/>
      </c>
      <c r="AG776" s="2">
        <f t="shared" si="21"/>
      </c>
      <c r="AH776" s="2">
        <f t="shared" si="22"/>
      </c>
      <c r="AI776" s="2">
        <f t="shared" si="23"/>
      </c>
      <c r="AJ776" s="2">
        <f t="shared" si="24"/>
        <v>0</v>
      </c>
      <c r="AK776" s="2">
        <f t="shared" si="25"/>
        <v>0</v>
      </c>
      <c r="AL776" s="2">
        <f t="shared" si="26"/>
        <v>0</v>
      </c>
      <c r="AM776" s="2">
        <f t="shared" si="27"/>
        <v>0</v>
      </c>
      <c r="AN776" s="2">
        <f t="shared" si="28"/>
        <v>0</v>
      </c>
      <c r="AO776" s="2">
        <f t="shared" si="29"/>
      </c>
      <c r="AP776" s="2">
        <f t="shared" si="30"/>
      </c>
      <c r="AQ776" s="2">
        <f t="shared" si="31"/>
      </c>
    </row>
    <row r="777">
      <c r="A777" s="43">
        <f t="shared" si="3"/>
      </c>
      <c r="B777" s="44" t="n"/>
      <c r="C777" s="45" t="n"/>
      <c r="D777" s="46" t="n"/>
      <c r="E777" s="47" t="n"/>
      <c r="F777" s="47" t="n"/>
      <c r="G777" s="48">
        <f t="shared" si="4"/>
      </c>
      <c r="H777" s="43">
        <f t="shared" si="0"/>
      </c>
      <c r="I777" s="43">
        <f t="shared" si="5"/>
      </c>
      <c r="J777" s="43">
        <f t="shared" si="1"/>
      </c>
      <c r="K777" s="49">
        <f t="shared" si="2"/>
      </c>
      <c r="L777" s="45" t="n"/>
      <c r="M777" s="45" t="n"/>
      <c r="N777" s="45" t="n"/>
      <c r="O777" s="45" t="n"/>
      <c r="P777" s="50" t="n"/>
      <c r="R777" s="2">
        <f t="shared" si="6"/>
        <v>0</v>
      </c>
      <c r="S777" s="2">
        <f t="shared" si="7"/>
      </c>
      <c r="T777" s="2">
        <f t="shared" si="8"/>
      </c>
      <c r="U777" s="2">
        <f t="shared" si="9"/>
      </c>
      <c r="V777" s="2">
        <f t="shared" si="10"/>
      </c>
      <c r="W777" s="2">
        <f t="shared" si="11"/>
      </c>
      <c r="X777" s="2">
        <f t="shared" si="12"/>
      </c>
      <c r="Y777" s="2">
        <f t="shared" si="13"/>
        <v>0</v>
      </c>
      <c r="Z777" s="2">
        <f t="shared" si="14"/>
      </c>
      <c r="AA777" s="2">
        <f t="shared" si="15"/>
        <v>0</v>
      </c>
      <c r="AB777" s="2">
        <f t="shared" si="16"/>
      </c>
      <c r="AC777" s="2">
        <f t="shared" si="17"/>
      </c>
      <c r="AD777" s="2">
        <f t="shared" si="18"/>
      </c>
      <c r="AE777" s="2">
        <f t="shared" si="19"/>
      </c>
      <c r="AF777" s="2">
        <f t="shared" si="20"/>
      </c>
      <c r="AG777" s="2">
        <f t="shared" si="21"/>
      </c>
      <c r="AH777" s="2">
        <f t="shared" si="22"/>
      </c>
      <c r="AI777" s="2">
        <f t="shared" si="23"/>
      </c>
      <c r="AJ777" s="2">
        <f t="shared" si="24"/>
        <v>0</v>
      </c>
      <c r="AK777" s="2">
        <f t="shared" si="25"/>
        <v>0</v>
      </c>
      <c r="AL777" s="2">
        <f t="shared" si="26"/>
        <v>0</v>
      </c>
      <c r="AM777" s="2">
        <f t="shared" si="27"/>
        <v>0</v>
      </c>
      <c r="AN777" s="2">
        <f t="shared" si="28"/>
        <v>0</v>
      </c>
      <c r="AO777" s="2">
        <f t="shared" si="29"/>
      </c>
      <c r="AP777" s="2">
        <f t="shared" si="30"/>
      </c>
      <c r="AQ777" s="2">
        <f t="shared" si="31"/>
      </c>
    </row>
    <row r="778">
      <c r="A778" s="43">
        <f t="shared" si="3"/>
      </c>
      <c r="B778" s="44" t="n"/>
      <c r="C778" s="45" t="n"/>
      <c r="D778" s="46" t="n"/>
      <c r="E778" s="47" t="n"/>
      <c r="F778" s="47" t="n"/>
      <c r="G778" s="48">
        <f t="shared" si="4"/>
      </c>
      <c r="H778" s="43">
        <f t="shared" si="0"/>
      </c>
      <c r="I778" s="43">
        <f t="shared" si="5"/>
      </c>
      <c r="J778" s="43">
        <f t="shared" si="1"/>
      </c>
      <c r="K778" s="49">
        <f t="shared" si="2"/>
      </c>
      <c r="L778" s="45" t="n"/>
      <c r="M778" s="45" t="n"/>
      <c r="N778" s="45" t="n"/>
      <c r="O778" s="45" t="n"/>
      <c r="P778" s="50" t="n"/>
      <c r="R778" s="2">
        <f t="shared" si="6"/>
        <v>0</v>
      </c>
      <c r="S778" s="2">
        <f t="shared" si="7"/>
      </c>
      <c r="T778" s="2">
        <f t="shared" si="8"/>
      </c>
      <c r="U778" s="2">
        <f t="shared" si="9"/>
      </c>
      <c r="V778" s="2">
        <f t="shared" si="10"/>
      </c>
      <c r="W778" s="2">
        <f t="shared" si="11"/>
      </c>
      <c r="X778" s="2">
        <f t="shared" si="12"/>
      </c>
      <c r="Y778" s="2">
        <f t="shared" si="13"/>
        <v>0</v>
      </c>
      <c r="Z778" s="2">
        <f t="shared" si="14"/>
      </c>
      <c r="AA778" s="2">
        <f t="shared" si="15"/>
        <v>0</v>
      </c>
      <c r="AB778" s="2">
        <f t="shared" si="16"/>
      </c>
      <c r="AC778" s="2">
        <f t="shared" si="17"/>
      </c>
      <c r="AD778" s="2">
        <f t="shared" si="18"/>
      </c>
      <c r="AE778" s="2">
        <f t="shared" si="19"/>
      </c>
      <c r="AF778" s="2">
        <f t="shared" si="20"/>
      </c>
      <c r="AG778" s="2">
        <f t="shared" si="21"/>
      </c>
      <c r="AH778" s="2">
        <f t="shared" si="22"/>
      </c>
      <c r="AI778" s="2">
        <f t="shared" si="23"/>
      </c>
      <c r="AJ778" s="2">
        <f t="shared" si="24"/>
        <v>0</v>
      </c>
      <c r="AK778" s="2">
        <f t="shared" si="25"/>
        <v>0</v>
      </c>
      <c r="AL778" s="2">
        <f t="shared" si="26"/>
        <v>0</v>
      </c>
      <c r="AM778" s="2">
        <f t="shared" si="27"/>
        <v>0</v>
      </c>
      <c r="AN778" s="2">
        <f t="shared" si="28"/>
        <v>0</v>
      </c>
      <c r="AO778" s="2">
        <f t="shared" si="29"/>
      </c>
      <c r="AP778" s="2">
        <f t="shared" si="30"/>
      </c>
      <c r="AQ778" s="2">
        <f t="shared" si="31"/>
      </c>
    </row>
    <row r="779">
      <c r="A779" s="43">
        <f t="shared" si="3"/>
      </c>
      <c r="B779" s="44" t="n"/>
      <c r="C779" s="45" t="n"/>
      <c r="D779" s="46" t="n"/>
      <c r="E779" s="47" t="n"/>
      <c r="F779" s="47" t="n"/>
      <c r="G779" s="48">
        <f t="shared" si="4"/>
      </c>
      <c r="H779" s="43">
        <f t="shared" si="0"/>
      </c>
      <c r="I779" s="43">
        <f t="shared" si="5"/>
      </c>
      <c r="J779" s="43">
        <f t="shared" si="1"/>
      </c>
      <c r="K779" s="49">
        <f t="shared" si="2"/>
      </c>
      <c r="L779" s="45" t="n"/>
      <c r="M779" s="45" t="n"/>
      <c r="N779" s="45" t="n"/>
      <c r="O779" s="45" t="n"/>
      <c r="P779" s="50" t="n"/>
      <c r="R779" s="2">
        <f t="shared" si="6"/>
        <v>0</v>
      </c>
      <c r="S779" s="2">
        <f t="shared" si="7"/>
      </c>
      <c r="T779" s="2">
        <f t="shared" si="8"/>
      </c>
      <c r="U779" s="2">
        <f t="shared" si="9"/>
      </c>
      <c r="V779" s="2">
        <f t="shared" si="10"/>
      </c>
      <c r="W779" s="2">
        <f t="shared" si="11"/>
      </c>
      <c r="X779" s="2">
        <f t="shared" si="12"/>
      </c>
      <c r="Y779" s="2">
        <f t="shared" si="13"/>
        <v>0</v>
      </c>
      <c r="Z779" s="2">
        <f t="shared" si="14"/>
      </c>
      <c r="AA779" s="2">
        <f t="shared" si="15"/>
        <v>0</v>
      </c>
      <c r="AB779" s="2">
        <f t="shared" si="16"/>
      </c>
      <c r="AC779" s="2">
        <f t="shared" si="17"/>
      </c>
      <c r="AD779" s="2">
        <f t="shared" si="18"/>
      </c>
      <c r="AE779" s="2">
        <f t="shared" si="19"/>
      </c>
      <c r="AF779" s="2">
        <f t="shared" si="20"/>
      </c>
      <c r="AG779" s="2">
        <f t="shared" si="21"/>
      </c>
      <c r="AH779" s="2">
        <f t="shared" si="22"/>
      </c>
      <c r="AI779" s="2">
        <f t="shared" si="23"/>
      </c>
      <c r="AJ779" s="2">
        <f t="shared" si="24"/>
        <v>0</v>
      </c>
      <c r="AK779" s="2">
        <f t="shared" si="25"/>
        <v>0</v>
      </c>
      <c r="AL779" s="2">
        <f t="shared" si="26"/>
        <v>0</v>
      </c>
      <c r="AM779" s="2">
        <f t="shared" si="27"/>
        <v>0</v>
      </c>
      <c r="AN779" s="2">
        <f t="shared" si="28"/>
        <v>0</v>
      </c>
      <c r="AO779" s="2">
        <f t="shared" si="29"/>
      </c>
      <c r="AP779" s="2">
        <f t="shared" si="30"/>
      </c>
      <c r="AQ779" s="2">
        <f t="shared" si="31"/>
      </c>
    </row>
    <row r="780">
      <c r="A780" s="43">
        <f t="shared" si="3"/>
      </c>
      <c r="B780" s="44" t="n"/>
      <c r="C780" s="45" t="n"/>
      <c r="D780" s="46" t="n"/>
      <c r="E780" s="47" t="n"/>
      <c r="F780" s="47" t="n"/>
      <c r="G780" s="48">
        <f t="shared" si="4"/>
      </c>
      <c r="H780" s="43">
        <f t="shared" si="0"/>
      </c>
      <c r="I780" s="43">
        <f t="shared" si="5"/>
      </c>
      <c r="J780" s="43">
        <f t="shared" si="1"/>
      </c>
      <c r="K780" s="49">
        <f t="shared" si="2"/>
      </c>
      <c r="L780" s="45" t="n"/>
      <c r="M780" s="45" t="n"/>
      <c r="N780" s="45" t="n"/>
      <c r="O780" s="45" t="n"/>
      <c r="P780" s="50" t="n"/>
      <c r="R780" s="2">
        <f t="shared" si="6"/>
        <v>0</v>
      </c>
      <c r="S780" s="2">
        <f t="shared" si="7"/>
      </c>
      <c r="T780" s="2">
        <f t="shared" si="8"/>
      </c>
      <c r="U780" s="2">
        <f t="shared" si="9"/>
      </c>
      <c r="V780" s="2">
        <f t="shared" si="10"/>
      </c>
      <c r="W780" s="2">
        <f t="shared" si="11"/>
      </c>
      <c r="X780" s="2">
        <f t="shared" si="12"/>
      </c>
      <c r="Y780" s="2">
        <f t="shared" si="13"/>
        <v>0</v>
      </c>
      <c r="Z780" s="2">
        <f t="shared" si="14"/>
      </c>
      <c r="AA780" s="2">
        <f t="shared" si="15"/>
        <v>0</v>
      </c>
      <c r="AB780" s="2">
        <f t="shared" si="16"/>
      </c>
      <c r="AC780" s="2">
        <f t="shared" si="17"/>
      </c>
      <c r="AD780" s="2">
        <f t="shared" si="18"/>
      </c>
      <c r="AE780" s="2">
        <f t="shared" si="19"/>
      </c>
      <c r="AF780" s="2">
        <f t="shared" si="20"/>
      </c>
      <c r="AG780" s="2">
        <f t="shared" si="21"/>
      </c>
      <c r="AH780" s="2">
        <f t="shared" si="22"/>
      </c>
      <c r="AI780" s="2">
        <f t="shared" si="23"/>
      </c>
      <c r="AJ780" s="2">
        <f t="shared" si="24"/>
        <v>0</v>
      </c>
      <c r="AK780" s="2">
        <f t="shared" si="25"/>
        <v>0</v>
      </c>
      <c r="AL780" s="2">
        <f t="shared" si="26"/>
        <v>0</v>
      </c>
      <c r="AM780" s="2">
        <f t="shared" si="27"/>
        <v>0</v>
      </c>
      <c r="AN780" s="2">
        <f t="shared" si="28"/>
        <v>0</v>
      </c>
      <c r="AO780" s="2">
        <f t="shared" si="29"/>
      </c>
      <c r="AP780" s="2">
        <f t="shared" si="30"/>
      </c>
      <c r="AQ780" s="2">
        <f t="shared" si="31"/>
      </c>
    </row>
    <row r="781">
      <c r="A781" s="43">
        <f t="shared" si="3"/>
      </c>
      <c r="B781" s="44" t="n"/>
      <c r="C781" s="45" t="n"/>
      <c r="D781" s="46" t="n"/>
      <c r="E781" s="47" t="n"/>
      <c r="F781" s="47" t="n"/>
      <c r="G781" s="48">
        <f t="shared" si="4"/>
      </c>
      <c r="H781" s="43">
        <f t="shared" si="0"/>
      </c>
      <c r="I781" s="43">
        <f t="shared" si="5"/>
      </c>
      <c r="J781" s="43">
        <f t="shared" si="1"/>
      </c>
      <c r="K781" s="49">
        <f t="shared" si="2"/>
      </c>
      <c r="L781" s="45" t="n"/>
      <c r="M781" s="45" t="n"/>
      <c r="N781" s="45" t="n"/>
      <c r="O781" s="45" t="n"/>
      <c r="P781" s="50" t="n"/>
      <c r="R781" s="2">
        <f t="shared" si="6"/>
        <v>0</v>
      </c>
      <c r="S781" s="2">
        <f t="shared" si="7"/>
      </c>
      <c r="T781" s="2">
        <f t="shared" si="8"/>
      </c>
      <c r="U781" s="2">
        <f t="shared" si="9"/>
      </c>
      <c r="V781" s="2">
        <f t="shared" si="10"/>
      </c>
      <c r="W781" s="2">
        <f t="shared" si="11"/>
      </c>
      <c r="X781" s="2">
        <f t="shared" si="12"/>
      </c>
      <c r="Y781" s="2">
        <f t="shared" si="13"/>
        <v>0</v>
      </c>
      <c r="Z781" s="2">
        <f t="shared" si="14"/>
      </c>
      <c r="AA781" s="2">
        <f t="shared" si="15"/>
        <v>0</v>
      </c>
      <c r="AB781" s="2">
        <f t="shared" si="16"/>
      </c>
      <c r="AC781" s="2">
        <f t="shared" si="17"/>
      </c>
      <c r="AD781" s="2">
        <f t="shared" si="18"/>
      </c>
      <c r="AE781" s="2">
        <f t="shared" si="19"/>
      </c>
      <c r="AF781" s="2">
        <f t="shared" si="20"/>
      </c>
      <c r="AG781" s="2">
        <f t="shared" si="21"/>
      </c>
      <c r="AH781" s="2">
        <f t="shared" si="22"/>
      </c>
      <c r="AI781" s="2">
        <f t="shared" si="23"/>
      </c>
      <c r="AJ781" s="2">
        <f t="shared" si="24"/>
        <v>0</v>
      </c>
      <c r="AK781" s="2">
        <f t="shared" si="25"/>
        <v>0</v>
      </c>
      <c r="AL781" s="2">
        <f t="shared" si="26"/>
        <v>0</v>
      </c>
      <c r="AM781" s="2">
        <f t="shared" si="27"/>
        <v>0</v>
      </c>
      <c r="AN781" s="2">
        <f t="shared" si="28"/>
        <v>0</v>
      </c>
      <c r="AO781" s="2">
        <f t="shared" si="29"/>
      </c>
      <c r="AP781" s="2">
        <f t="shared" si="30"/>
      </c>
      <c r="AQ781" s="2">
        <f t="shared" si="31"/>
      </c>
    </row>
    <row r="782">
      <c r="A782" s="43">
        <f t="shared" si="3"/>
      </c>
      <c r="B782" s="44" t="n"/>
      <c r="C782" s="45" t="n"/>
      <c r="D782" s="46" t="n"/>
      <c r="E782" s="47" t="n"/>
      <c r="F782" s="47" t="n"/>
      <c r="G782" s="48">
        <f t="shared" si="4"/>
      </c>
      <c r="H782" s="43">
        <f t="shared" si="0"/>
      </c>
      <c r="I782" s="43">
        <f t="shared" si="5"/>
      </c>
      <c r="J782" s="43">
        <f t="shared" si="1"/>
      </c>
      <c r="K782" s="49">
        <f t="shared" si="2"/>
      </c>
      <c r="L782" s="45" t="n"/>
      <c r="M782" s="45" t="n"/>
      <c r="N782" s="45" t="n"/>
      <c r="O782" s="45" t="n"/>
      <c r="P782" s="50" t="n"/>
      <c r="R782" s="2">
        <f t="shared" si="6"/>
        <v>0</v>
      </c>
      <c r="S782" s="2">
        <f t="shared" si="7"/>
      </c>
      <c r="T782" s="2">
        <f t="shared" si="8"/>
      </c>
      <c r="U782" s="2">
        <f t="shared" si="9"/>
      </c>
      <c r="V782" s="2">
        <f t="shared" si="10"/>
      </c>
      <c r="W782" s="2">
        <f t="shared" si="11"/>
      </c>
      <c r="X782" s="2">
        <f t="shared" si="12"/>
      </c>
      <c r="Y782" s="2">
        <f t="shared" si="13"/>
        <v>0</v>
      </c>
      <c r="Z782" s="2">
        <f t="shared" si="14"/>
      </c>
      <c r="AA782" s="2">
        <f t="shared" si="15"/>
        <v>0</v>
      </c>
      <c r="AB782" s="2">
        <f t="shared" si="16"/>
      </c>
      <c r="AC782" s="2">
        <f t="shared" si="17"/>
      </c>
      <c r="AD782" s="2">
        <f t="shared" si="18"/>
      </c>
      <c r="AE782" s="2">
        <f t="shared" si="19"/>
      </c>
      <c r="AF782" s="2">
        <f t="shared" si="20"/>
      </c>
      <c r="AG782" s="2">
        <f t="shared" si="21"/>
      </c>
      <c r="AH782" s="2">
        <f t="shared" si="22"/>
      </c>
      <c r="AI782" s="2">
        <f t="shared" si="23"/>
      </c>
      <c r="AJ782" s="2">
        <f t="shared" si="24"/>
        <v>0</v>
      </c>
      <c r="AK782" s="2">
        <f t="shared" si="25"/>
        <v>0</v>
      </c>
      <c r="AL782" s="2">
        <f t="shared" si="26"/>
        <v>0</v>
      </c>
      <c r="AM782" s="2">
        <f t="shared" si="27"/>
        <v>0</v>
      </c>
      <c r="AN782" s="2">
        <f t="shared" si="28"/>
        <v>0</v>
      </c>
      <c r="AO782" s="2">
        <f t="shared" si="29"/>
      </c>
      <c r="AP782" s="2">
        <f t="shared" si="30"/>
      </c>
      <c r="AQ782" s="2">
        <f t="shared" si="31"/>
      </c>
    </row>
    <row r="783">
      <c r="A783" s="43">
        <f t="shared" si="3"/>
      </c>
      <c r="B783" s="44" t="n"/>
      <c r="C783" s="45" t="n"/>
      <c r="D783" s="46" t="n"/>
      <c r="E783" s="47" t="n"/>
      <c r="F783" s="47" t="n"/>
      <c r="G783" s="48">
        <f t="shared" si="4"/>
      </c>
      <c r="H783" s="43">
        <f t="shared" si="0"/>
      </c>
      <c r="I783" s="43">
        <f t="shared" si="5"/>
      </c>
      <c r="J783" s="43">
        <f t="shared" si="1"/>
      </c>
      <c r="K783" s="49">
        <f t="shared" si="2"/>
      </c>
      <c r="L783" s="45" t="n"/>
      <c r="M783" s="45" t="n"/>
      <c r="N783" s="45" t="n"/>
      <c r="O783" s="45" t="n"/>
      <c r="P783" s="50" t="n"/>
      <c r="R783" s="2">
        <f t="shared" si="6"/>
        <v>0</v>
      </c>
      <c r="S783" s="2">
        <f t="shared" si="7"/>
      </c>
      <c r="T783" s="2">
        <f t="shared" si="8"/>
      </c>
      <c r="U783" s="2">
        <f t="shared" si="9"/>
      </c>
      <c r="V783" s="2">
        <f t="shared" si="10"/>
      </c>
      <c r="W783" s="2">
        <f t="shared" si="11"/>
      </c>
      <c r="X783" s="2">
        <f t="shared" si="12"/>
      </c>
      <c r="Y783" s="2">
        <f t="shared" si="13"/>
        <v>0</v>
      </c>
      <c r="Z783" s="2">
        <f t="shared" si="14"/>
      </c>
      <c r="AA783" s="2">
        <f t="shared" si="15"/>
        <v>0</v>
      </c>
      <c r="AB783" s="2">
        <f t="shared" si="16"/>
      </c>
      <c r="AC783" s="2">
        <f t="shared" si="17"/>
      </c>
      <c r="AD783" s="2">
        <f t="shared" si="18"/>
      </c>
      <c r="AE783" s="2">
        <f t="shared" si="19"/>
      </c>
      <c r="AF783" s="2">
        <f t="shared" si="20"/>
      </c>
      <c r="AG783" s="2">
        <f t="shared" si="21"/>
      </c>
      <c r="AH783" s="2">
        <f t="shared" si="22"/>
      </c>
      <c r="AI783" s="2">
        <f t="shared" si="23"/>
      </c>
      <c r="AJ783" s="2">
        <f t="shared" si="24"/>
        <v>0</v>
      </c>
      <c r="AK783" s="2">
        <f t="shared" si="25"/>
        <v>0</v>
      </c>
      <c r="AL783" s="2">
        <f t="shared" si="26"/>
        <v>0</v>
      </c>
      <c r="AM783" s="2">
        <f t="shared" si="27"/>
        <v>0</v>
      </c>
      <c r="AN783" s="2">
        <f t="shared" si="28"/>
        <v>0</v>
      </c>
      <c r="AO783" s="2">
        <f t="shared" si="29"/>
      </c>
      <c r="AP783" s="2">
        <f t="shared" si="30"/>
      </c>
      <c r="AQ783" s="2">
        <f t="shared" si="31"/>
      </c>
    </row>
    <row r="784">
      <c r="A784" s="43">
        <f t="shared" si="3"/>
      </c>
      <c r="B784" s="44" t="n"/>
      <c r="C784" s="45" t="n"/>
      <c r="D784" s="46" t="n"/>
      <c r="E784" s="47" t="n"/>
      <c r="F784" s="47" t="n"/>
      <c r="G784" s="48">
        <f t="shared" si="4"/>
      </c>
      <c r="H784" s="43">
        <f t="shared" si="0"/>
      </c>
      <c r="I784" s="43">
        <f t="shared" si="5"/>
      </c>
      <c r="J784" s="43">
        <f t="shared" si="1"/>
      </c>
      <c r="K784" s="49">
        <f t="shared" si="2"/>
      </c>
      <c r="L784" s="45" t="n"/>
      <c r="M784" s="45" t="n"/>
      <c r="N784" s="45" t="n"/>
      <c r="O784" s="45" t="n"/>
      <c r="P784" s="50" t="n"/>
      <c r="R784" s="2">
        <f t="shared" si="6"/>
        <v>0</v>
      </c>
      <c r="S784" s="2">
        <f t="shared" si="7"/>
      </c>
      <c r="T784" s="2">
        <f t="shared" si="8"/>
      </c>
      <c r="U784" s="2">
        <f t="shared" si="9"/>
      </c>
      <c r="V784" s="2">
        <f t="shared" si="10"/>
      </c>
      <c r="W784" s="2">
        <f t="shared" si="11"/>
      </c>
      <c r="X784" s="2">
        <f t="shared" si="12"/>
      </c>
      <c r="Y784" s="2">
        <f t="shared" si="13"/>
        <v>0</v>
      </c>
      <c r="Z784" s="2">
        <f t="shared" si="14"/>
      </c>
      <c r="AA784" s="2">
        <f t="shared" si="15"/>
        <v>0</v>
      </c>
      <c r="AB784" s="2">
        <f t="shared" si="16"/>
      </c>
      <c r="AC784" s="2">
        <f t="shared" si="17"/>
      </c>
      <c r="AD784" s="2">
        <f t="shared" si="18"/>
      </c>
      <c r="AE784" s="2">
        <f t="shared" si="19"/>
      </c>
      <c r="AF784" s="2">
        <f t="shared" si="20"/>
      </c>
      <c r="AG784" s="2">
        <f t="shared" si="21"/>
      </c>
      <c r="AH784" s="2">
        <f t="shared" si="22"/>
      </c>
      <c r="AI784" s="2">
        <f t="shared" si="23"/>
      </c>
      <c r="AJ784" s="2">
        <f t="shared" si="24"/>
        <v>0</v>
      </c>
      <c r="AK784" s="2">
        <f t="shared" si="25"/>
        <v>0</v>
      </c>
      <c r="AL784" s="2">
        <f t="shared" si="26"/>
        <v>0</v>
      </c>
      <c r="AM784" s="2">
        <f t="shared" si="27"/>
        <v>0</v>
      </c>
      <c r="AN784" s="2">
        <f t="shared" si="28"/>
        <v>0</v>
      </c>
      <c r="AO784" s="2">
        <f t="shared" si="29"/>
      </c>
      <c r="AP784" s="2">
        <f t="shared" si="30"/>
      </c>
      <c r="AQ784" s="2">
        <f t="shared" si="31"/>
      </c>
    </row>
    <row r="785">
      <c r="A785" s="43">
        <f t="shared" si="3"/>
      </c>
      <c r="B785" s="44" t="n"/>
      <c r="C785" s="45" t="n"/>
      <c r="D785" s="46" t="n"/>
      <c r="E785" s="47" t="n"/>
      <c r="F785" s="47" t="n"/>
      <c r="G785" s="48">
        <f t="shared" si="4"/>
      </c>
      <c r="H785" s="43">
        <f t="shared" si="0"/>
      </c>
      <c r="I785" s="43">
        <f t="shared" si="5"/>
      </c>
      <c r="J785" s="43">
        <f t="shared" si="1"/>
      </c>
      <c r="K785" s="49">
        <f t="shared" si="2"/>
      </c>
      <c r="L785" s="45" t="n"/>
      <c r="M785" s="45" t="n"/>
      <c r="N785" s="45" t="n"/>
      <c r="O785" s="45" t="n"/>
      <c r="P785" s="50" t="n"/>
      <c r="R785" s="2">
        <f t="shared" si="6"/>
        <v>0</v>
      </c>
      <c r="S785" s="2">
        <f t="shared" si="7"/>
      </c>
      <c r="T785" s="2">
        <f t="shared" si="8"/>
      </c>
      <c r="U785" s="2">
        <f t="shared" si="9"/>
      </c>
      <c r="V785" s="2">
        <f t="shared" si="10"/>
      </c>
      <c r="W785" s="2">
        <f t="shared" si="11"/>
      </c>
      <c r="X785" s="2">
        <f t="shared" si="12"/>
      </c>
      <c r="Y785" s="2">
        <f t="shared" si="13"/>
        <v>0</v>
      </c>
      <c r="Z785" s="2">
        <f t="shared" si="14"/>
      </c>
      <c r="AA785" s="2">
        <f t="shared" si="15"/>
        <v>0</v>
      </c>
      <c r="AB785" s="2">
        <f t="shared" si="16"/>
      </c>
      <c r="AC785" s="2">
        <f t="shared" si="17"/>
      </c>
      <c r="AD785" s="2">
        <f t="shared" si="18"/>
      </c>
      <c r="AE785" s="2">
        <f t="shared" si="19"/>
      </c>
      <c r="AF785" s="2">
        <f t="shared" si="20"/>
      </c>
      <c r="AG785" s="2">
        <f t="shared" si="21"/>
      </c>
      <c r="AH785" s="2">
        <f t="shared" si="22"/>
      </c>
      <c r="AI785" s="2">
        <f t="shared" si="23"/>
      </c>
      <c r="AJ785" s="2">
        <f t="shared" si="24"/>
        <v>0</v>
      </c>
      <c r="AK785" s="2">
        <f t="shared" si="25"/>
        <v>0</v>
      </c>
      <c r="AL785" s="2">
        <f t="shared" si="26"/>
        <v>0</v>
      </c>
      <c r="AM785" s="2">
        <f t="shared" si="27"/>
        <v>0</v>
      </c>
      <c r="AN785" s="2">
        <f t="shared" si="28"/>
        <v>0</v>
      </c>
      <c r="AO785" s="2">
        <f t="shared" si="29"/>
      </c>
      <c r="AP785" s="2">
        <f t="shared" si="30"/>
      </c>
      <c r="AQ785" s="2">
        <f t="shared" si="31"/>
      </c>
    </row>
    <row r="786">
      <c r="A786" s="43">
        <f t="shared" si="3"/>
      </c>
      <c r="B786" s="44" t="n"/>
      <c r="C786" s="45" t="n"/>
      <c r="D786" s="46" t="n"/>
      <c r="E786" s="47" t="n"/>
      <c r="F786" s="47" t="n"/>
      <c r="G786" s="48">
        <f t="shared" si="4"/>
      </c>
      <c r="H786" s="43">
        <f t="shared" si="0"/>
      </c>
      <c r="I786" s="43">
        <f t="shared" si="5"/>
      </c>
      <c r="J786" s="43">
        <f t="shared" si="1"/>
      </c>
      <c r="K786" s="49">
        <f t="shared" si="2"/>
      </c>
      <c r="L786" s="45" t="n"/>
      <c r="M786" s="45" t="n"/>
      <c r="N786" s="45" t="n"/>
      <c r="O786" s="45" t="n"/>
      <c r="P786" s="50" t="n"/>
      <c r="R786" s="2">
        <f t="shared" si="6"/>
        <v>0</v>
      </c>
      <c r="S786" s="2">
        <f t="shared" si="7"/>
      </c>
      <c r="T786" s="2">
        <f t="shared" si="8"/>
      </c>
      <c r="U786" s="2">
        <f t="shared" si="9"/>
      </c>
      <c r="V786" s="2">
        <f t="shared" si="10"/>
      </c>
      <c r="W786" s="2">
        <f t="shared" si="11"/>
      </c>
      <c r="X786" s="2">
        <f t="shared" si="12"/>
      </c>
      <c r="Y786" s="2">
        <f t="shared" si="13"/>
        <v>0</v>
      </c>
      <c r="Z786" s="2">
        <f t="shared" si="14"/>
      </c>
      <c r="AA786" s="2">
        <f t="shared" si="15"/>
        <v>0</v>
      </c>
      <c r="AB786" s="2">
        <f t="shared" si="16"/>
      </c>
      <c r="AC786" s="2">
        <f t="shared" si="17"/>
      </c>
      <c r="AD786" s="2">
        <f t="shared" si="18"/>
      </c>
      <c r="AE786" s="2">
        <f t="shared" si="19"/>
      </c>
      <c r="AF786" s="2">
        <f t="shared" si="20"/>
      </c>
      <c r="AG786" s="2">
        <f t="shared" si="21"/>
      </c>
      <c r="AH786" s="2">
        <f t="shared" si="22"/>
      </c>
      <c r="AI786" s="2">
        <f t="shared" si="23"/>
      </c>
      <c r="AJ786" s="2">
        <f t="shared" si="24"/>
        <v>0</v>
      </c>
      <c r="AK786" s="2">
        <f t="shared" si="25"/>
        <v>0</v>
      </c>
      <c r="AL786" s="2">
        <f t="shared" si="26"/>
        <v>0</v>
      </c>
      <c r="AM786" s="2">
        <f t="shared" si="27"/>
        <v>0</v>
      </c>
      <c r="AN786" s="2">
        <f t="shared" si="28"/>
        <v>0</v>
      </c>
      <c r="AO786" s="2">
        <f t="shared" si="29"/>
      </c>
      <c r="AP786" s="2">
        <f t="shared" si="30"/>
      </c>
      <c r="AQ786" s="2">
        <f t="shared" si="31"/>
      </c>
    </row>
    <row r="787">
      <c r="A787" s="43">
        <f t="shared" si="3"/>
      </c>
      <c r="B787" s="44" t="n"/>
      <c r="C787" s="45" t="n"/>
      <c r="D787" s="46" t="n"/>
      <c r="E787" s="47" t="n"/>
      <c r="F787" s="47" t="n"/>
      <c r="G787" s="48">
        <f t="shared" si="4"/>
      </c>
      <c r="H787" s="43">
        <f t="shared" si="0"/>
      </c>
      <c r="I787" s="43">
        <f t="shared" si="5"/>
      </c>
      <c r="J787" s="43">
        <f t="shared" si="1"/>
      </c>
      <c r="K787" s="49">
        <f t="shared" si="2"/>
      </c>
      <c r="L787" s="45" t="n"/>
      <c r="M787" s="45" t="n"/>
      <c r="N787" s="45" t="n"/>
      <c r="O787" s="45" t="n"/>
      <c r="P787" s="50" t="n"/>
      <c r="R787" s="2">
        <f t="shared" si="6"/>
        <v>0</v>
      </c>
      <c r="S787" s="2">
        <f t="shared" si="7"/>
      </c>
      <c r="T787" s="2">
        <f t="shared" si="8"/>
      </c>
      <c r="U787" s="2">
        <f t="shared" si="9"/>
      </c>
      <c r="V787" s="2">
        <f t="shared" si="10"/>
      </c>
      <c r="W787" s="2">
        <f t="shared" si="11"/>
      </c>
      <c r="X787" s="2">
        <f t="shared" si="12"/>
      </c>
      <c r="Y787" s="2">
        <f t="shared" si="13"/>
        <v>0</v>
      </c>
      <c r="Z787" s="2">
        <f t="shared" si="14"/>
      </c>
      <c r="AA787" s="2">
        <f t="shared" si="15"/>
        <v>0</v>
      </c>
      <c r="AB787" s="2">
        <f t="shared" si="16"/>
      </c>
      <c r="AC787" s="2">
        <f t="shared" si="17"/>
      </c>
      <c r="AD787" s="2">
        <f t="shared" si="18"/>
      </c>
      <c r="AE787" s="2">
        <f t="shared" si="19"/>
      </c>
      <c r="AF787" s="2">
        <f t="shared" si="20"/>
      </c>
      <c r="AG787" s="2">
        <f t="shared" si="21"/>
      </c>
      <c r="AH787" s="2">
        <f t="shared" si="22"/>
      </c>
      <c r="AI787" s="2">
        <f t="shared" si="23"/>
      </c>
      <c r="AJ787" s="2">
        <f t="shared" si="24"/>
        <v>0</v>
      </c>
      <c r="AK787" s="2">
        <f t="shared" si="25"/>
        <v>0</v>
      </c>
      <c r="AL787" s="2">
        <f t="shared" si="26"/>
        <v>0</v>
      </c>
      <c r="AM787" s="2">
        <f t="shared" si="27"/>
        <v>0</v>
      </c>
      <c r="AN787" s="2">
        <f t="shared" si="28"/>
        <v>0</v>
      </c>
      <c r="AO787" s="2">
        <f t="shared" si="29"/>
      </c>
      <c r="AP787" s="2">
        <f t="shared" si="30"/>
      </c>
      <c r="AQ787" s="2">
        <f t="shared" si="31"/>
      </c>
    </row>
    <row r="788">
      <c r="A788" s="43">
        <f t="shared" si="3"/>
      </c>
      <c r="B788" s="44" t="n"/>
      <c r="C788" s="45" t="n"/>
      <c r="D788" s="46" t="n"/>
      <c r="E788" s="47" t="n"/>
      <c r="F788" s="47" t="n"/>
      <c r="G788" s="48">
        <f t="shared" si="4"/>
      </c>
      <c r="H788" s="43">
        <f t="shared" si="0"/>
      </c>
      <c r="I788" s="43">
        <f t="shared" si="5"/>
      </c>
      <c r="J788" s="43">
        <f t="shared" si="1"/>
      </c>
      <c r="K788" s="49">
        <f t="shared" si="2"/>
      </c>
      <c r="L788" s="45" t="n"/>
      <c r="M788" s="45" t="n"/>
      <c r="N788" s="45" t="n"/>
      <c r="O788" s="45" t="n"/>
      <c r="P788" s="50" t="n"/>
      <c r="R788" s="2">
        <f t="shared" si="6"/>
        <v>0</v>
      </c>
      <c r="S788" s="2">
        <f t="shared" si="7"/>
      </c>
      <c r="T788" s="2">
        <f t="shared" si="8"/>
      </c>
      <c r="U788" s="2">
        <f t="shared" si="9"/>
      </c>
      <c r="V788" s="2">
        <f t="shared" si="10"/>
      </c>
      <c r="W788" s="2">
        <f t="shared" si="11"/>
      </c>
      <c r="X788" s="2">
        <f t="shared" si="12"/>
      </c>
      <c r="Y788" s="2">
        <f t="shared" si="13"/>
        <v>0</v>
      </c>
      <c r="Z788" s="2">
        <f t="shared" si="14"/>
      </c>
      <c r="AA788" s="2">
        <f t="shared" si="15"/>
        <v>0</v>
      </c>
      <c r="AB788" s="2">
        <f t="shared" si="16"/>
      </c>
      <c r="AC788" s="2">
        <f t="shared" si="17"/>
      </c>
      <c r="AD788" s="2">
        <f t="shared" si="18"/>
      </c>
      <c r="AE788" s="2">
        <f t="shared" si="19"/>
      </c>
      <c r="AF788" s="2">
        <f t="shared" si="20"/>
      </c>
      <c r="AG788" s="2">
        <f t="shared" si="21"/>
      </c>
      <c r="AH788" s="2">
        <f t="shared" si="22"/>
      </c>
      <c r="AI788" s="2">
        <f t="shared" si="23"/>
      </c>
      <c r="AJ788" s="2">
        <f t="shared" si="24"/>
        <v>0</v>
      </c>
      <c r="AK788" s="2">
        <f t="shared" si="25"/>
        <v>0</v>
      </c>
      <c r="AL788" s="2">
        <f t="shared" si="26"/>
        <v>0</v>
      </c>
      <c r="AM788" s="2">
        <f t="shared" si="27"/>
        <v>0</v>
      </c>
      <c r="AN788" s="2">
        <f t="shared" si="28"/>
        <v>0</v>
      </c>
      <c r="AO788" s="2">
        <f t="shared" si="29"/>
      </c>
      <c r="AP788" s="2">
        <f t="shared" si="30"/>
      </c>
      <c r="AQ788" s="2">
        <f t="shared" si="31"/>
      </c>
    </row>
    <row r="789">
      <c r="A789" s="43">
        <f t="shared" si="3"/>
      </c>
      <c r="B789" s="44" t="n"/>
      <c r="C789" s="45" t="n"/>
      <c r="D789" s="46" t="n"/>
      <c r="E789" s="47" t="n"/>
      <c r="F789" s="47" t="n"/>
      <c r="G789" s="48">
        <f t="shared" si="4"/>
      </c>
      <c r="H789" s="43">
        <f t="shared" si="0"/>
      </c>
      <c r="I789" s="43">
        <f t="shared" si="5"/>
      </c>
      <c r="J789" s="43">
        <f t="shared" si="1"/>
      </c>
      <c r="K789" s="49">
        <f t="shared" si="2"/>
      </c>
      <c r="L789" s="45" t="n"/>
      <c r="M789" s="45" t="n"/>
      <c r="N789" s="45" t="n"/>
      <c r="O789" s="45" t="n"/>
      <c r="P789" s="50" t="n"/>
      <c r="R789" s="2">
        <f t="shared" si="6"/>
        <v>0</v>
      </c>
      <c r="S789" s="2">
        <f t="shared" si="7"/>
      </c>
      <c r="T789" s="2">
        <f t="shared" si="8"/>
      </c>
      <c r="U789" s="2">
        <f t="shared" si="9"/>
      </c>
      <c r="V789" s="2">
        <f t="shared" si="10"/>
      </c>
      <c r="W789" s="2">
        <f t="shared" si="11"/>
      </c>
      <c r="X789" s="2">
        <f t="shared" si="12"/>
      </c>
      <c r="Y789" s="2">
        <f t="shared" si="13"/>
        <v>0</v>
      </c>
      <c r="Z789" s="2">
        <f t="shared" si="14"/>
      </c>
      <c r="AA789" s="2">
        <f t="shared" si="15"/>
        <v>0</v>
      </c>
      <c r="AB789" s="2">
        <f t="shared" si="16"/>
      </c>
      <c r="AC789" s="2">
        <f t="shared" si="17"/>
      </c>
      <c r="AD789" s="2">
        <f t="shared" si="18"/>
      </c>
      <c r="AE789" s="2">
        <f t="shared" si="19"/>
      </c>
      <c r="AF789" s="2">
        <f t="shared" si="20"/>
      </c>
      <c r="AG789" s="2">
        <f t="shared" si="21"/>
      </c>
      <c r="AH789" s="2">
        <f t="shared" si="22"/>
      </c>
      <c r="AI789" s="2">
        <f t="shared" si="23"/>
      </c>
      <c r="AJ789" s="2">
        <f t="shared" si="24"/>
        <v>0</v>
      </c>
      <c r="AK789" s="2">
        <f t="shared" si="25"/>
        <v>0</v>
      </c>
      <c r="AL789" s="2">
        <f t="shared" si="26"/>
        <v>0</v>
      </c>
      <c r="AM789" s="2">
        <f t="shared" si="27"/>
        <v>0</v>
      </c>
      <c r="AN789" s="2">
        <f t="shared" si="28"/>
        <v>0</v>
      </c>
      <c r="AO789" s="2">
        <f t="shared" si="29"/>
      </c>
      <c r="AP789" s="2">
        <f t="shared" si="30"/>
      </c>
      <c r="AQ789" s="2">
        <f t="shared" si="31"/>
      </c>
    </row>
    <row r="790">
      <c r="A790" s="43">
        <f t="shared" si="3"/>
      </c>
      <c r="B790" s="44" t="n"/>
      <c r="C790" s="45" t="n"/>
      <c r="D790" s="46" t="n"/>
      <c r="E790" s="47" t="n"/>
      <c r="F790" s="47" t="n"/>
      <c r="G790" s="48">
        <f t="shared" si="4"/>
      </c>
      <c r="H790" s="43">
        <f t="shared" si="0"/>
      </c>
      <c r="I790" s="43">
        <f t="shared" si="5"/>
      </c>
      <c r="J790" s="43">
        <f t="shared" si="1"/>
      </c>
      <c r="K790" s="49">
        <f t="shared" si="2"/>
      </c>
      <c r="L790" s="45" t="n"/>
      <c r="M790" s="45" t="n"/>
      <c r="N790" s="45" t="n"/>
      <c r="O790" s="45" t="n"/>
      <c r="P790" s="50" t="n"/>
      <c r="R790" s="2">
        <f t="shared" si="6"/>
        <v>0</v>
      </c>
      <c r="S790" s="2">
        <f t="shared" si="7"/>
      </c>
      <c r="T790" s="2">
        <f t="shared" si="8"/>
      </c>
      <c r="U790" s="2">
        <f t="shared" si="9"/>
      </c>
      <c r="V790" s="2">
        <f t="shared" si="10"/>
      </c>
      <c r="W790" s="2">
        <f t="shared" si="11"/>
      </c>
      <c r="X790" s="2">
        <f t="shared" si="12"/>
      </c>
      <c r="Y790" s="2">
        <f t="shared" si="13"/>
        <v>0</v>
      </c>
      <c r="Z790" s="2">
        <f t="shared" si="14"/>
      </c>
      <c r="AA790" s="2">
        <f t="shared" si="15"/>
        <v>0</v>
      </c>
      <c r="AB790" s="2">
        <f t="shared" si="16"/>
      </c>
      <c r="AC790" s="2">
        <f t="shared" si="17"/>
      </c>
      <c r="AD790" s="2">
        <f t="shared" si="18"/>
      </c>
      <c r="AE790" s="2">
        <f t="shared" si="19"/>
      </c>
      <c r="AF790" s="2">
        <f t="shared" si="20"/>
      </c>
      <c r="AG790" s="2">
        <f t="shared" si="21"/>
      </c>
      <c r="AH790" s="2">
        <f t="shared" si="22"/>
      </c>
      <c r="AI790" s="2">
        <f t="shared" si="23"/>
      </c>
      <c r="AJ790" s="2">
        <f t="shared" si="24"/>
        <v>0</v>
      </c>
      <c r="AK790" s="2">
        <f t="shared" si="25"/>
        <v>0</v>
      </c>
      <c r="AL790" s="2">
        <f t="shared" si="26"/>
        <v>0</v>
      </c>
      <c r="AM790" s="2">
        <f t="shared" si="27"/>
        <v>0</v>
      </c>
      <c r="AN790" s="2">
        <f t="shared" si="28"/>
        <v>0</v>
      </c>
      <c r="AO790" s="2">
        <f t="shared" si="29"/>
      </c>
      <c r="AP790" s="2">
        <f t="shared" si="30"/>
      </c>
      <c r="AQ790" s="2">
        <f t="shared" si="31"/>
      </c>
    </row>
    <row r="791">
      <c r="A791" s="43">
        <f t="shared" si="3"/>
      </c>
      <c r="B791" s="44" t="n"/>
      <c r="C791" s="45" t="n"/>
      <c r="D791" s="46" t="n"/>
      <c r="E791" s="47" t="n"/>
      <c r="F791" s="47" t="n"/>
      <c r="G791" s="48">
        <f t="shared" si="4"/>
      </c>
      <c r="H791" s="43">
        <f t="shared" si="0"/>
      </c>
      <c r="I791" s="43">
        <f t="shared" si="5"/>
      </c>
      <c r="J791" s="43">
        <f t="shared" si="1"/>
      </c>
      <c r="K791" s="49">
        <f t="shared" si="2"/>
      </c>
      <c r="L791" s="45" t="n"/>
      <c r="M791" s="45" t="n"/>
      <c r="N791" s="45" t="n"/>
      <c r="O791" s="45" t="n"/>
      <c r="P791" s="50" t="n"/>
      <c r="R791" s="2">
        <f t="shared" si="6"/>
        <v>0</v>
      </c>
      <c r="S791" s="2">
        <f t="shared" si="7"/>
      </c>
      <c r="T791" s="2">
        <f t="shared" si="8"/>
      </c>
      <c r="U791" s="2">
        <f t="shared" si="9"/>
      </c>
      <c r="V791" s="2">
        <f t="shared" si="10"/>
      </c>
      <c r="W791" s="2">
        <f t="shared" si="11"/>
      </c>
      <c r="X791" s="2">
        <f t="shared" si="12"/>
      </c>
      <c r="Y791" s="2">
        <f t="shared" si="13"/>
        <v>0</v>
      </c>
      <c r="Z791" s="2">
        <f t="shared" si="14"/>
      </c>
      <c r="AA791" s="2">
        <f t="shared" si="15"/>
        <v>0</v>
      </c>
      <c r="AB791" s="2">
        <f t="shared" si="16"/>
      </c>
      <c r="AC791" s="2">
        <f t="shared" si="17"/>
      </c>
      <c r="AD791" s="2">
        <f t="shared" si="18"/>
      </c>
      <c r="AE791" s="2">
        <f t="shared" si="19"/>
      </c>
      <c r="AF791" s="2">
        <f t="shared" si="20"/>
      </c>
      <c r="AG791" s="2">
        <f t="shared" si="21"/>
      </c>
      <c r="AH791" s="2">
        <f t="shared" si="22"/>
      </c>
      <c r="AI791" s="2">
        <f t="shared" si="23"/>
      </c>
      <c r="AJ791" s="2">
        <f t="shared" si="24"/>
        <v>0</v>
      </c>
      <c r="AK791" s="2">
        <f t="shared" si="25"/>
        <v>0</v>
      </c>
      <c r="AL791" s="2">
        <f t="shared" si="26"/>
        <v>0</v>
      </c>
      <c r="AM791" s="2">
        <f t="shared" si="27"/>
        <v>0</v>
      </c>
      <c r="AN791" s="2">
        <f t="shared" si="28"/>
        <v>0</v>
      </c>
      <c r="AO791" s="2">
        <f t="shared" si="29"/>
      </c>
      <c r="AP791" s="2">
        <f t="shared" si="30"/>
      </c>
      <c r="AQ791" s="2">
        <f t="shared" si="31"/>
      </c>
    </row>
    <row r="792">
      <c r="A792" s="43">
        <f t="shared" si="3"/>
      </c>
      <c r="B792" s="44" t="n"/>
      <c r="C792" s="45" t="n"/>
      <c r="D792" s="46" t="n"/>
      <c r="E792" s="47" t="n"/>
      <c r="F792" s="47" t="n"/>
      <c r="G792" s="48">
        <f t="shared" si="4"/>
      </c>
      <c r="H792" s="43">
        <f t="shared" si="0"/>
      </c>
      <c r="I792" s="43">
        <f t="shared" si="5"/>
      </c>
      <c r="J792" s="43">
        <f t="shared" si="1"/>
      </c>
      <c r="K792" s="49">
        <f t="shared" si="2"/>
      </c>
      <c r="L792" s="45" t="n"/>
      <c r="M792" s="45" t="n"/>
      <c r="N792" s="45" t="n"/>
      <c r="O792" s="45" t="n"/>
      <c r="P792" s="50" t="n"/>
      <c r="R792" s="2">
        <f t="shared" si="6"/>
        <v>0</v>
      </c>
      <c r="S792" s="2">
        <f t="shared" si="7"/>
      </c>
      <c r="T792" s="2">
        <f t="shared" si="8"/>
      </c>
      <c r="U792" s="2">
        <f t="shared" si="9"/>
      </c>
      <c r="V792" s="2">
        <f t="shared" si="10"/>
      </c>
      <c r="W792" s="2">
        <f t="shared" si="11"/>
      </c>
      <c r="X792" s="2">
        <f t="shared" si="12"/>
      </c>
      <c r="Y792" s="2">
        <f t="shared" si="13"/>
        <v>0</v>
      </c>
      <c r="Z792" s="2">
        <f t="shared" si="14"/>
      </c>
      <c r="AA792" s="2">
        <f t="shared" si="15"/>
        <v>0</v>
      </c>
      <c r="AB792" s="2">
        <f t="shared" si="16"/>
      </c>
      <c r="AC792" s="2">
        <f t="shared" si="17"/>
      </c>
      <c r="AD792" s="2">
        <f t="shared" si="18"/>
      </c>
      <c r="AE792" s="2">
        <f t="shared" si="19"/>
      </c>
      <c r="AF792" s="2">
        <f t="shared" si="20"/>
      </c>
      <c r="AG792" s="2">
        <f t="shared" si="21"/>
      </c>
      <c r="AH792" s="2">
        <f t="shared" si="22"/>
      </c>
      <c r="AI792" s="2">
        <f t="shared" si="23"/>
      </c>
      <c r="AJ792" s="2">
        <f t="shared" si="24"/>
        <v>0</v>
      </c>
      <c r="AK792" s="2">
        <f t="shared" si="25"/>
        <v>0</v>
      </c>
      <c r="AL792" s="2">
        <f t="shared" si="26"/>
        <v>0</v>
      </c>
      <c r="AM792" s="2">
        <f t="shared" si="27"/>
        <v>0</v>
      </c>
      <c r="AN792" s="2">
        <f t="shared" si="28"/>
        <v>0</v>
      </c>
      <c r="AO792" s="2">
        <f t="shared" si="29"/>
      </c>
      <c r="AP792" s="2">
        <f t="shared" si="30"/>
      </c>
      <c r="AQ792" s="2">
        <f t="shared" si="31"/>
      </c>
    </row>
    <row r="793">
      <c r="A793" s="43">
        <f t="shared" si="3"/>
      </c>
      <c r="B793" s="44" t="n"/>
      <c r="C793" s="45" t="n"/>
      <c r="D793" s="46" t="n"/>
      <c r="E793" s="47" t="n"/>
      <c r="F793" s="47" t="n"/>
      <c r="G793" s="48">
        <f t="shared" si="4"/>
      </c>
      <c r="H793" s="43">
        <f t="shared" si="0"/>
      </c>
      <c r="I793" s="43">
        <f t="shared" si="5"/>
      </c>
      <c r="J793" s="43">
        <f t="shared" si="1"/>
      </c>
      <c r="K793" s="49">
        <f t="shared" si="2"/>
      </c>
      <c r="L793" s="45" t="n"/>
      <c r="M793" s="45" t="n"/>
      <c r="N793" s="45" t="n"/>
      <c r="O793" s="45" t="n"/>
      <c r="P793" s="50" t="n"/>
      <c r="R793" s="2">
        <f t="shared" si="6"/>
        <v>0</v>
      </c>
      <c r="S793" s="2">
        <f t="shared" si="7"/>
      </c>
      <c r="T793" s="2">
        <f t="shared" si="8"/>
      </c>
      <c r="U793" s="2">
        <f t="shared" si="9"/>
      </c>
      <c r="V793" s="2">
        <f t="shared" si="10"/>
      </c>
      <c r="W793" s="2">
        <f t="shared" si="11"/>
      </c>
      <c r="X793" s="2">
        <f t="shared" si="12"/>
      </c>
      <c r="Y793" s="2">
        <f t="shared" si="13"/>
        <v>0</v>
      </c>
      <c r="Z793" s="2">
        <f t="shared" si="14"/>
      </c>
      <c r="AA793" s="2">
        <f t="shared" si="15"/>
        <v>0</v>
      </c>
      <c r="AB793" s="2">
        <f t="shared" si="16"/>
      </c>
      <c r="AC793" s="2">
        <f t="shared" si="17"/>
      </c>
      <c r="AD793" s="2">
        <f t="shared" si="18"/>
      </c>
      <c r="AE793" s="2">
        <f t="shared" si="19"/>
      </c>
      <c r="AF793" s="2">
        <f t="shared" si="20"/>
      </c>
      <c r="AG793" s="2">
        <f t="shared" si="21"/>
      </c>
      <c r="AH793" s="2">
        <f t="shared" si="22"/>
      </c>
      <c r="AI793" s="2">
        <f t="shared" si="23"/>
      </c>
      <c r="AJ793" s="2">
        <f t="shared" si="24"/>
        <v>0</v>
      </c>
      <c r="AK793" s="2">
        <f t="shared" si="25"/>
        <v>0</v>
      </c>
      <c r="AL793" s="2">
        <f t="shared" si="26"/>
        <v>0</v>
      </c>
      <c r="AM793" s="2">
        <f t="shared" si="27"/>
        <v>0</v>
      </c>
      <c r="AN793" s="2">
        <f t="shared" si="28"/>
        <v>0</v>
      </c>
      <c r="AO793" s="2">
        <f t="shared" si="29"/>
      </c>
      <c r="AP793" s="2">
        <f t="shared" si="30"/>
      </c>
      <c r="AQ793" s="2">
        <f t="shared" si="31"/>
      </c>
    </row>
    <row r="794">
      <c r="A794" s="43">
        <f t="shared" si="3"/>
      </c>
      <c r="B794" s="44" t="n"/>
      <c r="C794" s="45" t="n"/>
      <c r="D794" s="46" t="n"/>
      <c r="E794" s="47" t="n"/>
      <c r="F794" s="47" t="n"/>
      <c r="G794" s="48">
        <f t="shared" si="4"/>
      </c>
      <c r="H794" s="43">
        <f t="shared" si="0"/>
      </c>
      <c r="I794" s="43">
        <f t="shared" si="5"/>
      </c>
      <c r="J794" s="43">
        <f t="shared" si="1"/>
      </c>
      <c r="K794" s="49">
        <f t="shared" si="2"/>
      </c>
      <c r="L794" s="45" t="n"/>
      <c r="M794" s="45" t="n"/>
      <c r="N794" s="45" t="n"/>
      <c r="O794" s="45" t="n"/>
      <c r="P794" s="50" t="n"/>
      <c r="R794" s="2">
        <f t="shared" si="6"/>
        <v>0</v>
      </c>
      <c r="S794" s="2">
        <f t="shared" si="7"/>
      </c>
      <c r="T794" s="2">
        <f t="shared" si="8"/>
      </c>
      <c r="U794" s="2">
        <f t="shared" si="9"/>
      </c>
      <c r="V794" s="2">
        <f t="shared" si="10"/>
      </c>
      <c r="W794" s="2">
        <f t="shared" si="11"/>
      </c>
      <c r="X794" s="2">
        <f t="shared" si="12"/>
      </c>
      <c r="Y794" s="2">
        <f t="shared" si="13"/>
        <v>0</v>
      </c>
      <c r="Z794" s="2">
        <f t="shared" si="14"/>
      </c>
      <c r="AA794" s="2">
        <f t="shared" si="15"/>
        <v>0</v>
      </c>
      <c r="AB794" s="2">
        <f t="shared" si="16"/>
      </c>
      <c r="AC794" s="2">
        <f t="shared" si="17"/>
      </c>
      <c r="AD794" s="2">
        <f t="shared" si="18"/>
      </c>
      <c r="AE794" s="2">
        <f t="shared" si="19"/>
      </c>
      <c r="AF794" s="2">
        <f t="shared" si="20"/>
      </c>
      <c r="AG794" s="2">
        <f t="shared" si="21"/>
      </c>
      <c r="AH794" s="2">
        <f t="shared" si="22"/>
      </c>
      <c r="AI794" s="2">
        <f t="shared" si="23"/>
      </c>
      <c r="AJ794" s="2">
        <f t="shared" si="24"/>
        <v>0</v>
      </c>
      <c r="AK794" s="2">
        <f t="shared" si="25"/>
        <v>0</v>
      </c>
      <c r="AL794" s="2">
        <f t="shared" si="26"/>
        <v>0</v>
      </c>
      <c r="AM794" s="2">
        <f t="shared" si="27"/>
        <v>0</v>
      </c>
      <c r="AN794" s="2">
        <f t="shared" si="28"/>
        <v>0</v>
      </c>
      <c r="AO794" s="2">
        <f t="shared" si="29"/>
      </c>
      <c r="AP794" s="2">
        <f t="shared" si="30"/>
      </c>
      <c r="AQ794" s="2">
        <f t="shared" si="31"/>
      </c>
    </row>
    <row r="795">
      <c r="A795" s="43">
        <f t="shared" si="3"/>
      </c>
      <c r="B795" s="44" t="n"/>
      <c r="C795" s="45" t="n"/>
      <c r="D795" s="46" t="n"/>
      <c r="E795" s="47" t="n"/>
      <c r="F795" s="47" t="n"/>
      <c r="G795" s="48">
        <f t="shared" si="4"/>
      </c>
      <c r="H795" s="43">
        <f t="shared" si="0"/>
      </c>
      <c r="I795" s="43">
        <f t="shared" si="5"/>
      </c>
      <c r="J795" s="43">
        <f t="shared" si="1"/>
      </c>
      <c r="K795" s="49">
        <f t="shared" si="2"/>
      </c>
      <c r="L795" s="45" t="n"/>
      <c r="M795" s="45" t="n"/>
      <c r="N795" s="45" t="n"/>
      <c r="O795" s="45" t="n"/>
      <c r="P795" s="50" t="n"/>
      <c r="R795" s="2">
        <f t="shared" si="6"/>
        <v>0</v>
      </c>
      <c r="S795" s="2">
        <f t="shared" si="7"/>
      </c>
      <c r="T795" s="2">
        <f t="shared" si="8"/>
      </c>
      <c r="U795" s="2">
        <f t="shared" si="9"/>
      </c>
      <c r="V795" s="2">
        <f t="shared" si="10"/>
      </c>
      <c r="W795" s="2">
        <f t="shared" si="11"/>
      </c>
      <c r="X795" s="2">
        <f t="shared" si="12"/>
      </c>
      <c r="Y795" s="2">
        <f t="shared" si="13"/>
        <v>0</v>
      </c>
      <c r="Z795" s="2">
        <f t="shared" si="14"/>
      </c>
      <c r="AA795" s="2">
        <f t="shared" si="15"/>
        <v>0</v>
      </c>
      <c r="AB795" s="2">
        <f t="shared" si="16"/>
      </c>
      <c r="AC795" s="2">
        <f t="shared" si="17"/>
      </c>
      <c r="AD795" s="2">
        <f t="shared" si="18"/>
      </c>
      <c r="AE795" s="2">
        <f t="shared" si="19"/>
      </c>
      <c r="AF795" s="2">
        <f t="shared" si="20"/>
      </c>
      <c r="AG795" s="2">
        <f t="shared" si="21"/>
      </c>
      <c r="AH795" s="2">
        <f t="shared" si="22"/>
      </c>
      <c r="AI795" s="2">
        <f t="shared" si="23"/>
      </c>
      <c r="AJ795" s="2">
        <f t="shared" si="24"/>
        <v>0</v>
      </c>
      <c r="AK795" s="2">
        <f t="shared" si="25"/>
        <v>0</v>
      </c>
      <c r="AL795" s="2">
        <f t="shared" si="26"/>
        <v>0</v>
      </c>
      <c r="AM795" s="2">
        <f t="shared" si="27"/>
        <v>0</v>
      </c>
      <c r="AN795" s="2">
        <f t="shared" si="28"/>
        <v>0</v>
      </c>
      <c r="AO795" s="2">
        <f t="shared" si="29"/>
      </c>
      <c r="AP795" s="2">
        <f t="shared" si="30"/>
      </c>
      <c r="AQ795" s="2">
        <f t="shared" si="31"/>
      </c>
    </row>
    <row r="796">
      <c r="A796" s="43">
        <f t="shared" si="3"/>
      </c>
      <c r="B796" s="44" t="n"/>
      <c r="C796" s="45" t="n"/>
      <c r="D796" s="46" t="n"/>
      <c r="E796" s="47" t="n"/>
      <c r="F796" s="47" t="n"/>
      <c r="G796" s="48">
        <f t="shared" si="4"/>
      </c>
      <c r="H796" s="43">
        <f t="shared" si="0"/>
      </c>
      <c r="I796" s="43">
        <f t="shared" si="5"/>
      </c>
      <c r="J796" s="43">
        <f t="shared" si="1"/>
      </c>
      <c r="K796" s="49">
        <f t="shared" si="2"/>
      </c>
      <c r="L796" s="45" t="n"/>
      <c r="M796" s="45" t="n"/>
      <c r="N796" s="45" t="n"/>
      <c r="O796" s="45" t="n"/>
      <c r="P796" s="50" t="n"/>
      <c r="R796" s="2">
        <f t="shared" si="6"/>
        <v>0</v>
      </c>
      <c r="S796" s="2">
        <f t="shared" si="7"/>
      </c>
      <c r="T796" s="2">
        <f t="shared" si="8"/>
      </c>
      <c r="U796" s="2">
        <f t="shared" si="9"/>
      </c>
      <c r="V796" s="2">
        <f t="shared" si="10"/>
      </c>
      <c r="W796" s="2">
        <f t="shared" si="11"/>
      </c>
      <c r="X796" s="2">
        <f t="shared" si="12"/>
      </c>
      <c r="Y796" s="2">
        <f t="shared" si="13"/>
        <v>0</v>
      </c>
      <c r="Z796" s="2">
        <f t="shared" si="14"/>
      </c>
      <c r="AA796" s="2">
        <f t="shared" si="15"/>
        <v>0</v>
      </c>
      <c r="AB796" s="2">
        <f t="shared" si="16"/>
      </c>
      <c r="AC796" s="2">
        <f t="shared" si="17"/>
      </c>
      <c r="AD796" s="2">
        <f t="shared" si="18"/>
      </c>
      <c r="AE796" s="2">
        <f t="shared" si="19"/>
      </c>
      <c r="AF796" s="2">
        <f t="shared" si="20"/>
      </c>
      <c r="AG796" s="2">
        <f t="shared" si="21"/>
      </c>
      <c r="AH796" s="2">
        <f t="shared" si="22"/>
      </c>
      <c r="AI796" s="2">
        <f t="shared" si="23"/>
      </c>
      <c r="AJ796" s="2">
        <f t="shared" si="24"/>
        <v>0</v>
      </c>
      <c r="AK796" s="2">
        <f t="shared" si="25"/>
        <v>0</v>
      </c>
      <c r="AL796" s="2">
        <f t="shared" si="26"/>
        <v>0</v>
      </c>
      <c r="AM796" s="2">
        <f t="shared" si="27"/>
        <v>0</v>
      </c>
      <c r="AN796" s="2">
        <f t="shared" si="28"/>
        <v>0</v>
      </c>
      <c r="AO796" s="2">
        <f t="shared" si="29"/>
      </c>
      <c r="AP796" s="2">
        <f t="shared" si="30"/>
      </c>
      <c r="AQ796" s="2">
        <f t="shared" si="31"/>
      </c>
    </row>
    <row r="797">
      <c r="A797" s="43">
        <f t="shared" si="3"/>
      </c>
      <c r="B797" s="44" t="n"/>
      <c r="C797" s="45" t="n"/>
      <c r="D797" s="46" t="n"/>
      <c r="E797" s="47" t="n"/>
      <c r="F797" s="47" t="n"/>
      <c r="G797" s="48">
        <f t="shared" si="4"/>
      </c>
      <c r="H797" s="43">
        <f t="shared" si="0"/>
      </c>
      <c r="I797" s="43">
        <f t="shared" si="5"/>
      </c>
      <c r="J797" s="43">
        <f t="shared" si="1"/>
      </c>
      <c r="K797" s="49">
        <f t="shared" si="2"/>
      </c>
      <c r="L797" s="45" t="n"/>
      <c r="M797" s="45" t="n"/>
      <c r="N797" s="45" t="n"/>
      <c r="O797" s="45" t="n"/>
      <c r="P797" s="50" t="n"/>
      <c r="R797" s="2">
        <f t="shared" si="6"/>
        <v>0</v>
      </c>
      <c r="S797" s="2">
        <f t="shared" si="7"/>
      </c>
      <c r="T797" s="2">
        <f t="shared" si="8"/>
      </c>
      <c r="U797" s="2">
        <f t="shared" si="9"/>
      </c>
      <c r="V797" s="2">
        <f t="shared" si="10"/>
      </c>
      <c r="W797" s="2">
        <f t="shared" si="11"/>
      </c>
      <c r="X797" s="2">
        <f t="shared" si="12"/>
      </c>
      <c r="Y797" s="2">
        <f t="shared" si="13"/>
        <v>0</v>
      </c>
      <c r="Z797" s="2">
        <f t="shared" si="14"/>
      </c>
      <c r="AA797" s="2">
        <f t="shared" si="15"/>
        <v>0</v>
      </c>
      <c r="AB797" s="2">
        <f t="shared" si="16"/>
      </c>
      <c r="AC797" s="2">
        <f t="shared" si="17"/>
      </c>
      <c r="AD797" s="2">
        <f t="shared" si="18"/>
      </c>
      <c r="AE797" s="2">
        <f t="shared" si="19"/>
      </c>
      <c r="AF797" s="2">
        <f t="shared" si="20"/>
      </c>
      <c r="AG797" s="2">
        <f t="shared" si="21"/>
      </c>
      <c r="AH797" s="2">
        <f t="shared" si="22"/>
      </c>
      <c r="AI797" s="2">
        <f t="shared" si="23"/>
      </c>
      <c r="AJ797" s="2">
        <f t="shared" si="24"/>
        <v>0</v>
      </c>
      <c r="AK797" s="2">
        <f t="shared" si="25"/>
        <v>0</v>
      </c>
      <c r="AL797" s="2">
        <f t="shared" si="26"/>
        <v>0</v>
      </c>
      <c r="AM797" s="2">
        <f t="shared" si="27"/>
        <v>0</v>
      </c>
      <c r="AN797" s="2">
        <f t="shared" si="28"/>
        <v>0</v>
      </c>
      <c r="AO797" s="2">
        <f t="shared" si="29"/>
      </c>
      <c r="AP797" s="2">
        <f t="shared" si="30"/>
      </c>
      <c r="AQ797" s="2">
        <f t="shared" si="31"/>
      </c>
    </row>
    <row r="798">
      <c r="A798" s="43">
        <f t="shared" si="3"/>
      </c>
      <c r="B798" s="44" t="n"/>
      <c r="C798" s="45" t="n"/>
      <c r="D798" s="46" t="n"/>
      <c r="E798" s="47" t="n"/>
      <c r="F798" s="47" t="n"/>
      <c r="G798" s="48">
        <f t="shared" si="4"/>
      </c>
      <c r="H798" s="43">
        <f t="shared" si="0"/>
      </c>
      <c r="I798" s="43">
        <f t="shared" si="5"/>
      </c>
      <c r="J798" s="43">
        <f t="shared" si="1"/>
      </c>
      <c r="K798" s="49">
        <f t="shared" si="2"/>
      </c>
      <c r="L798" s="45" t="n"/>
      <c r="M798" s="45" t="n"/>
      <c r="N798" s="45" t="n"/>
      <c r="O798" s="45" t="n"/>
      <c r="P798" s="50" t="n"/>
      <c r="R798" s="2">
        <f t="shared" si="6"/>
        <v>0</v>
      </c>
      <c r="S798" s="2">
        <f t="shared" si="7"/>
      </c>
      <c r="T798" s="2">
        <f t="shared" si="8"/>
      </c>
      <c r="U798" s="2">
        <f t="shared" si="9"/>
      </c>
      <c r="V798" s="2">
        <f t="shared" si="10"/>
      </c>
      <c r="W798" s="2">
        <f t="shared" si="11"/>
      </c>
      <c r="X798" s="2">
        <f t="shared" si="12"/>
      </c>
      <c r="Y798" s="2">
        <f t="shared" si="13"/>
        <v>0</v>
      </c>
      <c r="Z798" s="2">
        <f t="shared" si="14"/>
      </c>
      <c r="AA798" s="2">
        <f t="shared" si="15"/>
        <v>0</v>
      </c>
      <c r="AB798" s="2">
        <f t="shared" si="16"/>
      </c>
      <c r="AC798" s="2">
        <f t="shared" si="17"/>
      </c>
      <c r="AD798" s="2">
        <f t="shared" si="18"/>
      </c>
      <c r="AE798" s="2">
        <f t="shared" si="19"/>
      </c>
      <c r="AF798" s="2">
        <f t="shared" si="20"/>
      </c>
      <c r="AG798" s="2">
        <f t="shared" si="21"/>
      </c>
      <c r="AH798" s="2">
        <f t="shared" si="22"/>
      </c>
      <c r="AI798" s="2">
        <f t="shared" si="23"/>
      </c>
      <c r="AJ798" s="2">
        <f t="shared" si="24"/>
        <v>0</v>
      </c>
      <c r="AK798" s="2">
        <f t="shared" si="25"/>
        <v>0</v>
      </c>
      <c r="AL798" s="2">
        <f t="shared" si="26"/>
        <v>0</v>
      </c>
      <c r="AM798" s="2">
        <f t="shared" si="27"/>
        <v>0</v>
      </c>
      <c r="AN798" s="2">
        <f t="shared" si="28"/>
        <v>0</v>
      </c>
      <c r="AO798" s="2">
        <f t="shared" si="29"/>
      </c>
      <c r="AP798" s="2">
        <f t="shared" si="30"/>
      </c>
      <c r="AQ798" s="2">
        <f t="shared" si="31"/>
      </c>
    </row>
    <row r="799">
      <c r="A799" s="43">
        <f t="shared" si="3"/>
      </c>
      <c r="B799" s="44" t="n"/>
      <c r="C799" s="45" t="n"/>
      <c r="D799" s="46" t="n"/>
      <c r="E799" s="47" t="n"/>
      <c r="F799" s="47" t="n"/>
      <c r="G799" s="48">
        <f t="shared" si="4"/>
      </c>
      <c r="H799" s="43">
        <f t="shared" si="0"/>
      </c>
      <c r="I799" s="43">
        <f t="shared" si="5"/>
      </c>
      <c r="J799" s="43">
        <f t="shared" si="1"/>
      </c>
      <c r="K799" s="49">
        <f t="shared" si="2"/>
      </c>
      <c r="L799" s="45" t="n"/>
      <c r="M799" s="45" t="n"/>
      <c r="N799" s="45" t="n"/>
      <c r="O799" s="45" t="n"/>
      <c r="P799" s="50" t="n"/>
      <c r="R799" s="2">
        <f t="shared" si="6"/>
        <v>0</v>
      </c>
      <c r="S799" s="2">
        <f t="shared" si="7"/>
      </c>
      <c r="T799" s="2">
        <f t="shared" si="8"/>
      </c>
      <c r="U799" s="2">
        <f t="shared" si="9"/>
      </c>
      <c r="V799" s="2">
        <f t="shared" si="10"/>
      </c>
      <c r="W799" s="2">
        <f t="shared" si="11"/>
      </c>
      <c r="X799" s="2">
        <f t="shared" si="12"/>
      </c>
      <c r="Y799" s="2">
        <f t="shared" si="13"/>
        <v>0</v>
      </c>
      <c r="Z799" s="2">
        <f t="shared" si="14"/>
      </c>
      <c r="AA799" s="2">
        <f t="shared" si="15"/>
        <v>0</v>
      </c>
      <c r="AB799" s="2">
        <f t="shared" si="16"/>
      </c>
      <c r="AC799" s="2">
        <f t="shared" si="17"/>
      </c>
      <c r="AD799" s="2">
        <f t="shared" si="18"/>
      </c>
      <c r="AE799" s="2">
        <f t="shared" si="19"/>
      </c>
      <c r="AF799" s="2">
        <f t="shared" si="20"/>
      </c>
      <c r="AG799" s="2">
        <f t="shared" si="21"/>
      </c>
      <c r="AH799" s="2">
        <f t="shared" si="22"/>
      </c>
      <c r="AI799" s="2">
        <f t="shared" si="23"/>
      </c>
      <c r="AJ799" s="2">
        <f t="shared" si="24"/>
        <v>0</v>
      </c>
      <c r="AK799" s="2">
        <f t="shared" si="25"/>
        <v>0</v>
      </c>
      <c r="AL799" s="2">
        <f t="shared" si="26"/>
        <v>0</v>
      </c>
      <c r="AM799" s="2">
        <f t="shared" si="27"/>
        <v>0</v>
      </c>
      <c r="AN799" s="2">
        <f t="shared" si="28"/>
        <v>0</v>
      </c>
      <c r="AO799" s="2">
        <f t="shared" si="29"/>
      </c>
      <c r="AP799" s="2">
        <f t="shared" si="30"/>
      </c>
      <c r="AQ799" s="2">
        <f t="shared" si="31"/>
      </c>
    </row>
    <row r="800">
      <c r="A800" s="43">
        <f t="shared" si="3"/>
      </c>
      <c r="B800" s="44" t="n"/>
      <c r="C800" s="45" t="n"/>
      <c r="D800" s="46" t="n"/>
      <c r="E800" s="47" t="n"/>
      <c r="F800" s="47" t="n"/>
      <c r="G800" s="48">
        <f t="shared" si="4"/>
      </c>
      <c r="H800" s="43">
        <f t="shared" si="0"/>
      </c>
      <c r="I800" s="43">
        <f t="shared" si="5"/>
      </c>
      <c r="J800" s="43">
        <f t="shared" si="1"/>
      </c>
      <c r="K800" s="49">
        <f t="shared" si="2"/>
      </c>
      <c r="L800" s="45" t="n"/>
      <c r="M800" s="45" t="n"/>
      <c r="N800" s="45" t="n"/>
      <c r="O800" s="45" t="n"/>
      <c r="P800" s="50" t="n"/>
      <c r="R800" s="2">
        <f t="shared" si="6"/>
        <v>0</v>
      </c>
      <c r="S800" s="2">
        <f t="shared" si="7"/>
      </c>
      <c r="T800" s="2">
        <f t="shared" si="8"/>
      </c>
      <c r="U800" s="2">
        <f t="shared" si="9"/>
      </c>
      <c r="V800" s="2">
        <f t="shared" si="10"/>
      </c>
      <c r="W800" s="2">
        <f t="shared" si="11"/>
      </c>
      <c r="X800" s="2">
        <f t="shared" si="12"/>
      </c>
      <c r="Y800" s="2">
        <f t="shared" si="13"/>
        <v>0</v>
      </c>
      <c r="Z800" s="2">
        <f t="shared" si="14"/>
      </c>
      <c r="AA800" s="2">
        <f t="shared" si="15"/>
        <v>0</v>
      </c>
      <c r="AB800" s="2">
        <f t="shared" si="16"/>
      </c>
      <c r="AC800" s="2">
        <f t="shared" si="17"/>
      </c>
      <c r="AD800" s="2">
        <f t="shared" si="18"/>
      </c>
      <c r="AE800" s="2">
        <f t="shared" si="19"/>
      </c>
      <c r="AF800" s="2">
        <f t="shared" si="20"/>
      </c>
      <c r="AG800" s="2">
        <f t="shared" si="21"/>
      </c>
      <c r="AH800" s="2">
        <f t="shared" si="22"/>
      </c>
      <c r="AI800" s="2">
        <f t="shared" si="23"/>
      </c>
      <c r="AJ800" s="2">
        <f t="shared" si="24"/>
        <v>0</v>
      </c>
      <c r="AK800" s="2">
        <f t="shared" si="25"/>
        <v>0</v>
      </c>
      <c r="AL800" s="2">
        <f t="shared" si="26"/>
        <v>0</v>
      </c>
      <c r="AM800" s="2">
        <f t="shared" si="27"/>
        <v>0</v>
      </c>
      <c r="AN800" s="2">
        <f t="shared" si="28"/>
        <v>0</v>
      </c>
      <c r="AO800" s="2">
        <f t="shared" si="29"/>
      </c>
      <c r="AP800" s="2">
        <f t="shared" si="30"/>
      </c>
      <c r="AQ800" s="2">
        <f t="shared" si="31"/>
      </c>
    </row>
    <row r="801">
      <c r="A801" s="43">
        <f t="shared" si="3"/>
      </c>
      <c r="B801" s="44" t="n"/>
      <c r="C801" s="45" t="n"/>
      <c r="D801" s="46" t="n"/>
      <c r="E801" s="47" t="n"/>
      <c r="F801" s="47" t="n"/>
      <c r="G801" s="48">
        <f t="shared" si="4"/>
      </c>
      <c r="H801" s="43">
        <f t="shared" si="0"/>
      </c>
      <c r="I801" s="43">
        <f t="shared" si="5"/>
      </c>
      <c r="J801" s="43">
        <f t="shared" si="1"/>
      </c>
      <c r="K801" s="49">
        <f t="shared" si="2"/>
      </c>
      <c r="L801" s="45" t="n"/>
      <c r="M801" s="45" t="n"/>
      <c r="N801" s="45" t="n"/>
      <c r="O801" s="45" t="n"/>
      <c r="P801" s="50" t="n"/>
      <c r="R801" s="2">
        <f t="shared" si="6"/>
        <v>0</v>
      </c>
      <c r="S801" s="2">
        <f t="shared" si="7"/>
      </c>
      <c r="T801" s="2">
        <f t="shared" si="8"/>
      </c>
      <c r="U801" s="2">
        <f t="shared" si="9"/>
      </c>
      <c r="V801" s="2">
        <f t="shared" si="10"/>
      </c>
      <c r="W801" s="2">
        <f t="shared" si="11"/>
      </c>
      <c r="X801" s="2">
        <f t="shared" si="12"/>
      </c>
      <c r="Y801" s="2">
        <f t="shared" si="13"/>
        <v>0</v>
      </c>
      <c r="Z801" s="2">
        <f t="shared" si="14"/>
      </c>
      <c r="AA801" s="2">
        <f t="shared" si="15"/>
        <v>0</v>
      </c>
      <c r="AB801" s="2">
        <f t="shared" si="16"/>
      </c>
      <c r="AC801" s="2">
        <f t="shared" si="17"/>
      </c>
      <c r="AD801" s="2">
        <f t="shared" si="18"/>
      </c>
      <c r="AE801" s="2">
        <f t="shared" si="19"/>
      </c>
      <c r="AF801" s="2">
        <f t="shared" si="20"/>
      </c>
      <c r="AG801" s="2">
        <f t="shared" si="21"/>
      </c>
      <c r="AH801" s="2">
        <f t="shared" si="22"/>
      </c>
      <c r="AI801" s="2">
        <f t="shared" si="23"/>
      </c>
      <c r="AJ801" s="2">
        <f t="shared" si="24"/>
        <v>0</v>
      </c>
      <c r="AK801" s="2">
        <f t="shared" si="25"/>
        <v>0</v>
      </c>
      <c r="AL801" s="2">
        <f t="shared" si="26"/>
        <v>0</v>
      </c>
      <c r="AM801" s="2">
        <f t="shared" si="27"/>
        <v>0</v>
      </c>
      <c r="AN801" s="2">
        <f t="shared" si="28"/>
        <v>0</v>
      </c>
      <c r="AO801" s="2">
        <f t="shared" si="29"/>
      </c>
      <c r="AP801" s="2">
        <f t="shared" si="30"/>
      </c>
      <c r="AQ801" s="2">
        <f t="shared" si="31"/>
      </c>
    </row>
    <row r="802">
      <c r="A802" s="43">
        <f t="shared" si="3"/>
      </c>
      <c r="B802" s="44" t="n"/>
      <c r="C802" s="45" t="n"/>
      <c r="D802" s="46" t="n"/>
      <c r="E802" s="47" t="n"/>
      <c r="F802" s="47" t="n"/>
      <c r="G802" s="48">
        <f t="shared" si="4"/>
      </c>
      <c r="H802" s="43">
        <f t="shared" si="0"/>
      </c>
      <c r="I802" s="43">
        <f t="shared" si="5"/>
      </c>
      <c r="J802" s="43">
        <f t="shared" si="1"/>
      </c>
      <c r="K802" s="49">
        <f t="shared" si="2"/>
      </c>
      <c r="L802" s="45" t="n"/>
      <c r="M802" s="45" t="n"/>
      <c r="N802" s="45" t="n"/>
      <c r="O802" s="45" t="n"/>
      <c r="P802" s="50" t="n"/>
      <c r="R802" s="2">
        <f t="shared" si="6"/>
        <v>0</v>
      </c>
      <c r="S802" s="2">
        <f t="shared" si="7"/>
      </c>
      <c r="T802" s="2">
        <f t="shared" si="8"/>
      </c>
      <c r="U802" s="2">
        <f t="shared" si="9"/>
      </c>
      <c r="V802" s="2">
        <f t="shared" si="10"/>
      </c>
      <c r="W802" s="2">
        <f t="shared" si="11"/>
      </c>
      <c r="X802" s="2">
        <f t="shared" si="12"/>
      </c>
      <c r="Y802" s="2">
        <f t="shared" si="13"/>
        <v>0</v>
      </c>
      <c r="Z802" s="2">
        <f t="shared" si="14"/>
      </c>
      <c r="AA802" s="2">
        <f t="shared" si="15"/>
        <v>0</v>
      </c>
      <c r="AB802" s="2">
        <f t="shared" si="16"/>
      </c>
      <c r="AC802" s="2">
        <f t="shared" si="17"/>
      </c>
      <c r="AD802" s="2">
        <f t="shared" si="18"/>
      </c>
      <c r="AE802" s="2">
        <f t="shared" si="19"/>
      </c>
      <c r="AF802" s="2">
        <f t="shared" si="20"/>
      </c>
      <c r="AG802" s="2">
        <f t="shared" si="21"/>
      </c>
      <c r="AH802" s="2">
        <f t="shared" si="22"/>
      </c>
      <c r="AI802" s="2">
        <f t="shared" si="23"/>
      </c>
      <c r="AJ802" s="2">
        <f t="shared" si="24"/>
        <v>0</v>
      </c>
      <c r="AK802" s="2">
        <f t="shared" si="25"/>
        <v>0</v>
      </c>
      <c r="AL802" s="2">
        <f t="shared" si="26"/>
        <v>0</v>
      </c>
      <c r="AM802" s="2">
        <f t="shared" si="27"/>
        <v>0</v>
      </c>
      <c r="AN802" s="2">
        <f t="shared" si="28"/>
        <v>0</v>
      </c>
      <c r="AO802" s="2">
        <f t="shared" si="29"/>
      </c>
      <c r="AP802" s="2">
        <f t="shared" si="30"/>
      </c>
      <c r="AQ802" s="2">
        <f t="shared" si="31"/>
      </c>
    </row>
    <row r="803">
      <c r="A803" s="43">
        <f t="shared" si="3"/>
      </c>
      <c r="B803" s="44" t="n"/>
      <c r="C803" s="45" t="n"/>
      <c r="D803" s="46" t="n"/>
      <c r="E803" s="47" t="n"/>
      <c r="F803" s="47" t="n"/>
      <c r="G803" s="48">
        <f t="shared" si="4"/>
      </c>
      <c r="H803" s="43">
        <f t="shared" si="0"/>
      </c>
      <c r="I803" s="43">
        <f t="shared" si="5"/>
      </c>
      <c r="J803" s="43">
        <f t="shared" si="1"/>
      </c>
      <c r="K803" s="49">
        <f t="shared" si="2"/>
      </c>
      <c r="L803" s="45" t="n"/>
      <c r="M803" s="45" t="n"/>
      <c r="N803" s="45" t="n"/>
      <c r="O803" s="45" t="n"/>
      <c r="P803" s="50" t="n"/>
      <c r="R803" s="2">
        <f t="shared" si="6"/>
        <v>0</v>
      </c>
      <c r="S803" s="2">
        <f t="shared" si="7"/>
      </c>
      <c r="T803" s="2">
        <f t="shared" si="8"/>
      </c>
      <c r="U803" s="2">
        <f t="shared" si="9"/>
      </c>
      <c r="V803" s="2">
        <f t="shared" si="10"/>
      </c>
      <c r="W803" s="2">
        <f t="shared" si="11"/>
      </c>
      <c r="X803" s="2">
        <f t="shared" si="12"/>
      </c>
      <c r="Y803" s="2">
        <f t="shared" si="13"/>
        <v>0</v>
      </c>
      <c r="Z803" s="2">
        <f t="shared" si="14"/>
      </c>
      <c r="AA803" s="2">
        <f t="shared" si="15"/>
        <v>0</v>
      </c>
      <c r="AB803" s="2">
        <f t="shared" si="16"/>
      </c>
      <c r="AC803" s="2">
        <f t="shared" si="17"/>
      </c>
      <c r="AD803" s="2">
        <f t="shared" si="18"/>
      </c>
      <c r="AE803" s="2">
        <f t="shared" si="19"/>
      </c>
      <c r="AF803" s="2">
        <f t="shared" si="20"/>
      </c>
      <c r="AG803" s="2">
        <f t="shared" si="21"/>
      </c>
      <c r="AH803" s="2">
        <f t="shared" si="22"/>
      </c>
      <c r="AI803" s="2">
        <f t="shared" si="23"/>
      </c>
      <c r="AJ803" s="2">
        <f t="shared" si="24"/>
        <v>0</v>
      </c>
      <c r="AK803" s="2">
        <f t="shared" si="25"/>
        <v>0</v>
      </c>
      <c r="AL803" s="2">
        <f t="shared" si="26"/>
        <v>0</v>
      </c>
      <c r="AM803" s="2">
        <f t="shared" si="27"/>
        <v>0</v>
      </c>
      <c r="AN803" s="2">
        <f t="shared" si="28"/>
        <v>0</v>
      </c>
      <c r="AO803" s="2">
        <f t="shared" si="29"/>
      </c>
      <c r="AP803" s="2">
        <f t="shared" si="30"/>
      </c>
      <c r="AQ803" s="2">
        <f t="shared" si="31"/>
      </c>
    </row>
    <row r="804">
      <c r="A804" s="43">
        <f t="shared" si="3"/>
      </c>
      <c r="B804" s="44" t="n"/>
      <c r="C804" s="45" t="n"/>
      <c r="D804" s="46" t="n"/>
      <c r="E804" s="47" t="n"/>
      <c r="F804" s="47" t="n"/>
      <c r="G804" s="48">
        <f t="shared" si="4"/>
      </c>
      <c r="H804" s="43">
        <f t="shared" si="0"/>
      </c>
      <c r="I804" s="43">
        <f t="shared" si="5"/>
      </c>
      <c r="J804" s="43">
        <f t="shared" si="1"/>
      </c>
      <c r="K804" s="49">
        <f t="shared" si="2"/>
      </c>
      <c r="L804" s="45" t="n"/>
      <c r="M804" s="45" t="n"/>
      <c r="N804" s="45" t="n"/>
      <c r="O804" s="45" t="n"/>
      <c r="P804" s="50" t="n"/>
      <c r="R804" s="2">
        <f t="shared" si="6"/>
        <v>0</v>
      </c>
      <c r="S804" s="2">
        <f t="shared" si="7"/>
      </c>
      <c r="T804" s="2">
        <f t="shared" si="8"/>
      </c>
      <c r="U804" s="2">
        <f t="shared" si="9"/>
      </c>
      <c r="V804" s="2">
        <f t="shared" si="10"/>
      </c>
      <c r="W804" s="2">
        <f t="shared" si="11"/>
      </c>
      <c r="X804" s="2">
        <f t="shared" si="12"/>
      </c>
      <c r="Y804" s="2">
        <f t="shared" si="13"/>
        <v>0</v>
      </c>
      <c r="Z804" s="2">
        <f t="shared" si="14"/>
      </c>
      <c r="AA804" s="2">
        <f t="shared" si="15"/>
        <v>0</v>
      </c>
      <c r="AB804" s="2">
        <f t="shared" si="16"/>
      </c>
      <c r="AC804" s="2">
        <f t="shared" si="17"/>
      </c>
      <c r="AD804" s="2">
        <f t="shared" si="18"/>
      </c>
      <c r="AE804" s="2">
        <f t="shared" si="19"/>
      </c>
      <c r="AF804" s="2">
        <f t="shared" si="20"/>
      </c>
      <c r="AG804" s="2">
        <f t="shared" si="21"/>
      </c>
      <c r="AH804" s="2">
        <f t="shared" si="22"/>
      </c>
      <c r="AI804" s="2">
        <f t="shared" si="23"/>
      </c>
      <c r="AJ804" s="2">
        <f t="shared" si="24"/>
        <v>0</v>
      </c>
      <c r="AK804" s="2">
        <f t="shared" si="25"/>
        <v>0</v>
      </c>
      <c r="AL804" s="2">
        <f t="shared" si="26"/>
        <v>0</v>
      </c>
      <c r="AM804" s="2">
        <f t="shared" si="27"/>
        <v>0</v>
      </c>
      <c r="AN804" s="2">
        <f t="shared" si="28"/>
        <v>0</v>
      </c>
      <c r="AO804" s="2">
        <f t="shared" si="29"/>
      </c>
      <c r="AP804" s="2">
        <f t="shared" si="30"/>
      </c>
      <c r="AQ804" s="2">
        <f t="shared" si="31"/>
      </c>
    </row>
    <row r="805">
      <c r="A805" s="43">
        <f t="shared" si="3"/>
      </c>
      <c r="B805" s="44" t="n"/>
      <c r="C805" s="45" t="n"/>
      <c r="D805" s="46" t="n"/>
      <c r="E805" s="47" t="n"/>
      <c r="F805" s="47" t="n"/>
      <c r="G805" s="48">
        <f t="shared" si="4"/>
      </c>
      <c r="H805" s="43">
        <f t="shared" si="0"/>
      </c>
      <c r="I805" s="43">
        <f t="shared" si="5"/>
      </c>
      <c r="J805" s="43">
        <f t="shared" si="1"/>
      </c>
      <c r="K805" s="49">
        <f t="shared" si="2"/>
      </c>
      <c r="L805" s="45" t="n"/>
      <c r="M805" s="45" t="n"/>
      <c r="N805" s="45" t="n"/>
      <c r="O805" s="45" t="n"/>
      <c r="P805" s="50" t="n"/>
      <c r="R805" s="2">
        <f t="shared" si="6"/>
        <v>0</v>
      </c>
      <c r="S805" s="2">
        <f t="shared" si="7"/>
      </c>
      <c r="T805" s="2">
        <f t="shared" si="8"/>
      </c>
      <c r="U805" s="2">
        <f t="shared" si="9"/>
      </c>
      <c r="V805" s="2">
        <f t="shared" si="10"/>
      </c>
      <c r="W805" s="2">
        <f t="shared" si="11"/>
      </c>
      <c r="X805" s="2">
        <f t="shared" si="12"/>
      </c>
      <c r="Y805" s="2">
        <f t="shared" si="13"/>
        <v>0</v>
      </c>
      <c r="Z805" s="2">
        <f t="shared" si="14"/>
      </c>
      <c r="AA805" s="2">
        <f t="shared" si="15"/>
        <v>0</v>
      </c>
      <c r="AB805" s="2">
        <f t="shared" si="16"/>
      </c>
      <c r="AC805" s="2">
        <f t="shared" si="17"/>
      </c>
      <c r="AD805" s="2">
        <f t="shared" si="18"/>
      </c>
      <c r="AE805" s="2">
        <f t="shared" si="19"/>
      </c>
      <c r="AF805" s="2">
        <f t="shared" si="20"/>
      </c>
      <c r="AG805" s="2">
        <f t="shared" si="21"/>
      </c>
      <c r="AH805" s="2">
        <f t="shared" si="22"/>
      </c>
      <c r="AI805" s="2">
        <f t="shared" si="23"/>
      </c>
      <c r="AJ805" s="2">
        <f t="shared" si="24"/>
        <v>0</v>
      </c>
      <c r="AK805" s="2">
        <f t="shared" si="25"/>
        <v>0</v>
      </c>
      <c r="AL805" s="2">
        <f t="shared" si="26"/>
        <v>0</v>
      </c>
      <c r="AM805" s="2">
        <f t="shared" si="27"/>
        <v>0</v>
      </c>
      <c r="AN805" s="2">
        <f t="shared" si="28"/>
        <v>0</v>
      </c>
      <c r="AO805" s="2">
        <f t="shared" si="29"/>
      </c>
      <c r="AP805" s="2">
        <f t="shared" si="30"/>
      </c>
      <c r="AQ805" s="2">
        <f t="shared" si="31"/>
      </c>
    </row>
    <row r="806">
      <c r="A806" s="43">
        <f t="shared" si="3"/>
      </c>
      <c r="B806" s="44" t="n"/>
      <c r="C806" s="45" t="n"/>
      <c r="D806" s="46" t="n"/>
      <c r="E806" s="47" t="n"/>
      <c r="F806" s="47" t="n"/>
      <c r="G806" s="48">
        <f t="shared" si="4"/>
      </c>
      <c r="H806" s="43">
        <f t="shared" si="0"/>
      </c>
      <c r="I806" s="43">
        <f t="shared" si="5"/>
      </c>
      <c r="J806" s="43">
        <f t="shared" si="1"/>
      </c>
      <c r="K806" s="49">
        <f t="shared" si="2"/>
      </c>
      <c r="L806" s="45" t="n"/>
      <c r="M806" s="45" t="n"/>
      <c r="N806" s="45" t="n"/>
      <c r="O806" s="45" t="n"/>
      <c r="P806" s="50" t="n"/>
      <c r="R806" s="2">
        <f t="shared" si="6"/>
        <v>0</v>
      </c>
      <c r="S806" s="2">
        <f t="shared" si="7"/>
      </c>
      <c r="T806" s="2">
        <f t="shared" si="8"/>
      </c>
      <c r="U806" s="2">
        <f t="shared" si="9"/>
      </c>
      <c r="V806" s="2">
        <f t="shared" si="10"/>
      </c>
      <c r="W806" s="2">
        <f t="shared" si="11"/>
      </c>
      <c r="X806" s="2">
        <f t="shared" si="12"/>
      </c>
      <c r="Y806" s="2">
        <f t="shared" si="13"/>
        <v>0</v>
      </c>
      <c r="Z806" s="2">
        <f t="shared" si="14"/>
      </c>
      <c r="AA806" s="2">
        <f t="shared" si="15"/>
        <v>0</v>
      </c>
      <c r="AB806" s="2">
        <f t="shared" si="16"/>
      </c>
      <c r="AC806" s="2">
        <f t="shared" si="17"/>
      </c>
      <c r="AD806" s="2">
        <f t="shared" si="18"/>
      </c>
      <c r="AE806" s="2">
        <f t="shared" si="19"/>
      </c>
      <c r="AF806" s="2">
        <f t="shared" si="20"/>
      </c>
      <c r="AG806" s="2">
        <f t="shared" si="21"/>
      </c>
      <c r="AH806" s="2">
        <f t="shared" si="22"/>
      </c>
      <c r="AI806" s="2">
        <f t="shared" si="23"/>
      </c>
      <c r="AJ806" s="2">
        <f t="shared" si="24"/>
        <v>0</v>
      </c>
      <c r="AK806" s="2">
        <f t="shared" si="25"/>
        <v>0</v>
      </c>
      <c r="AL806" s="2">
        <f t="shared" si="26"/>
        <v>0</v>
      </c>
      <c r="AM806" s="2">
        <f t="shared" si="27"/>
        <v>0</v>
      </c>
      <c r="AN806" s="2">
        <f t="shared" si="28"/>
        <v>0</v>
      </c>
      <c r="AO806" s="2">
        <f t="shared" si="29"/>
      </c>
      <c r="AP806" s="2">
        <f t="shared" si="30"/>
      </c>
      <c r="AQ806" s="2">
        <f t="shared" si="31"/>
      </c>
    </row>
    <row r="807">
      <c r="A807" s="43">
        <f t="shared" si="3"/>
      </c>
      <c r="B807" s="44" t="n"/>
      <c r="C807" s="45" t="n"/>
      <c r="D807" s="46" t="n"/>
      <c r="E807" s="47" t="n"/>
      <c r="F807" s="47" t="n"/>
      <c r="G807" s="48">
        <f t="shared" si="4"/>
      </c>
      <c r="H807" s="43">
        <f t="shared" si="0"/>
      </c>
      <c r="I807" s="43">
        <f t="shared" si="5"/>
      </c>
      <c r="J807" s="43">
        <f t="shared" si="1"/>
      </c>
      <c r="K807" s="49">
        <f t="shared" si="2"/>
      </c>
      <c r="L807" s="45" t="n"/>
      <c r="M807" s="45" t="n"/>
      <c r="N807" s="45" t="n"/>
      <c r="O807" s="45" t="n"/>
      <c r="P807" s="50" t="n"/>
      <c r="R807" s="2">
        <f t="shared" si="6"/>
        <v>0</v>
      </c>
      <c r="S807" s="2">
        <f t="shared" si="7"/>
      </c>
      <c r="T807" s="2">
        <f t="shared" si="8"/>
      </c>
      <c r="U807" s="2">
        <f t="shared" si="9"/>
      </c>
      <c r="V807" s="2">
        <f t="shared" si="10"/>
      </c>
      <c r="W807" s="2">
        <f t="shared" si="11"/>
      </c>
      <c r="X807" s="2">
        <f t="shared" si="12"/>
      </c>
      <c r="Y807" s="2">
        <f t="shared" si="13"/>
        <v>0</v>
      </c>
      <c r="Z807" s="2">
        <f t="shared" si="14"/>
      </c>
      <c r="AA807" s="2">
        <f t="shared" si="15"/>
        <v>0</v>
      </c>
      <c r="AB807" s="2">
        <f t="shared" si="16"/>
      </c>
      <c r="AC807" s="2">
        <f t="shared" si="17"/>
      </c>
      <c r="AD807" s="2">
        <f t="shared" si="18"/>
      </c>
      <c r="AE807" s="2">
        <f t="shared" si="19"/>
      </c>
      <c r="AF807" s="2">
        <f t="shared" si="20"/>
      </c>
      <c r="AG807" s="2">
        <f t="shared" si="21"/>
      </c>
      <c r="AH807" s="2">
        <f t="shared" si="22"/>
      </c>
      <c r="AI807" s="2">
        <f t="shared" si="23"/>
      </c>
      <c r="AJ807" s="2">
        <f t="shared" si="24"/>
        <v>0</v>
      </c>
      <c r="AK807" s="2">
        <f t="shared" si="25"/>
        <v>0</v>
      </c>
      <c r="AL807" s="2">
        <f t="shared" si="26"/>
        <v>0</v>
      </c>
      <c r="AM807" s="2">
        <f t="shared" si="27"/>
        <v>0</v>
      </c>
      <c r="AN807" s="2">
        <f t="shared" si="28"/>
        <v>0</v>
      </c>
      <c r="AO807" s="2">
        <f t="shared" si="29"/>
      </c>
      <c r="AP807" s="2">
        <f t="shared" si="30"/>
      </c>
      <c r="AQ807" s="2">
        <f t="shared" si="31"/>
      </c>
    </row>
    <row r="808">
      <c r="A808" s="43">
        <f t="shared" si="3"/>
      </c>
      <c r="B808" s="44" t="n"/>
      <c r="C808" s="45" t="n"/>
      <c r="D808" s="46" t="n"/>
      <c r="E808" s="47" t="n"/>
      <c r="F808" s="47" t="n"/>
      <c r="G808" s="48">
        <f t="shared" si="4"/>
      </c>
      <c r="H808" s="43">
        <f t="shared" si="0"/>
      </c>
      <c r="I808" s="43">
        <f t="shared" si="5"/>
      </c>
      <c r="J808" s="43">
        <f t="shared" si="1"/>
      </c>
      <c r="K808" s="49">
        <f t="shared" si="2"/>
      </c>
      <c r="L808" s="45" t="n"/>
      <c r="M808" s="45" t="n"/>
      <c r="N808" s="45" t="n"/>
      <c r="O808" s="45" t="n"/>
      <c r="P808" s="50" t="n"/>
      <c r="R808" s="2">
        <f t="shared" si="6"/>
        <v>0</v>
      </c>
      <c r="S808" s="2">
        <f t="shared" si="7"/>
      </c>
      <c r="T808" s="2">
        <f t="shared" si="8"/>
      </c>
      <c r="U808" s="2">
        <f t="shared" si="9"/>
      </c>
      <c r="V808" s="2">
        <f t="shared" si="10"/>
      </c>
      <c r="W808" s="2">
        <f t="shared" si="11"/>
      </c>
      <c r="X808" s="2">
        <f t="shared" si="12"/>
      </c>
      <c r="Y808" s="2">
        <f t="shared" si="13"/>
        <v>0</v>
      </c>
      <c r="Z808" s="2">
        <f t="shared" si="14"/>
      </c>
      <c r="AA808" s="2">
        <f t="shared" si="15"/>
        <v>0</v>
      </c>
      <c r="AB808" s="2">
        <f t="shared" si="16"/>
      </c>
      <c r="AC808" s="2">
        <f t="shared" si="17"/>
      </c>
      <c r="AD808" s="2">
        <f t="shared" si="18"/>
      </c>
      <c r="AE808" s="2">
        <f t="shared" si="19"/>
      </c>
      <c r="AF808" s="2">
        <f t="shared" si="20"/>
      </c>
      <c r="AG808" s="2">
        <f t="shared" si="21"/>
      </c>
      <c r="AH808" s="2">
        <f t="shared" si="22"/>
      </c>
      <c r="AI808" s="2">
        <f t="shared" si="23"/>
      </c>
      <c r="AJ808" s="2">
        <f t="shared" si="24"/>
        <v>0</v>
      </c>
      <c r="AK808" s="2">
        <f t="shared" si="25"/>
        <v>0</v>
      </c>
      <c r="AL808" s="2">
        <f t="shared" si="26"/>
        <v>0</v>
      </c>
      <c r="AM808" s="2">
        <f t="shared" si="27"/>
        <v>0</v>
      </c>
      <c r="AN808" s="2">
        <f t="shared" si="28"/>
        <v>0</v>
      </c>
      <c r="AO808" s="2">
        <f t="shared" si="29"/>
      </c>
      <c r="AP808" s="2">
        <f t="shared" si="30"/>
      </c>
      <c r="AQ808" s="2">
        <f t="shared" si="31"/>
      </c>
    </row>
    <row r="809">
      <c r="A809" s="43">
        <f t="shared" si="3"/>
      </c>
      <c r="B809" s="44" t="n"/>
      <c r="C809" s="45" t="n"/>
      <c r="D809" s="46" t="n"/>
      <c r="E809" s="47" t="n"/>
      <c r="F809" s="47" t="n"/>
      <c r="G809" s="48">
        <f t="shared" si="4"/>
      </c>
      <c r="H809" s="43">
        <f t="shared" si="0"/>
      </c>
      <c r="I809" s="43">
        <f t="shared" si="5"/>
      </c>
      <c r="J809" s="43">
        <f t="shared" si="1"/>
      </c>
      <c r="K809" s="49">
        <f t="shared" si="2"/>
      </c>
      <c r="L809" s="45" t="n"/>
      <c r="M809" s="45" t="n"/>
      <c r="N809" s="45" t="n"/>
      <c r="O809" s="45" t="n"/>
      <c r="P809" s="50" t="n"/>
      <c r="R809" s="2">
        <f t="shared" si="6"/>
        <v>0</v>
      </c>
      <c r="S809" s="2">
        <f t="shared" si="7"/>
      </c>
      <c r="T809" s="2">
        <f t="shared" si="8"/>
      </c>
      <c r="U809" s="2">
        <f t="shared" si="9"/>
      </c>
      <c r="V809" s="2">
        <f t="shared" si="10"/>
      </c>
      <c r="W809" s="2">
        <f t="shared" si="11"/>
      </c>
      <c r="X809" s="2">
        <f t="shared" si="12"/>
      </c>
      <c r="Y809" s="2">
        <f t="shared" si="13"/>
        <v>0</v>
      </c>
      <c r="Z809" s="2">
        <f t="shared" si="14"/>
      </c>
      <c r="AA809" s="2">
        <f t="shared" si="15"/>
        <v>0</v>
      </c>
      <c r="AB809" s="2">
        <f t="shared" si="16"/>
      </c>
      <c r="AC809" s="2">
        <f t="shared" si="17"/>
      </c>
      <c r="AD809" s="2">
        <f t="shared" si="18"/>
      </c>
      <c r="AE809" s="2">
        <f t="shared" si="19"/>
      </c>
      <c r="AF809" s="2">
        <f t="shared" si="20"/>
      </c>
      <c r="AG809" s="2">
        <f t="shared" si="21"/>
      </c>
      <c r="AH809" s="2">
        <f t="shared" si="22"/>
      </c>
      <c r="AI809" s="2">
        <f t="shared" si="23"/>
      </c>
      <c r="AJ809" s="2">
        <f t="shared" si="24"/>
        <v>0</v>
      </c>
      <c r="AK809" s="2">
        <f t="shared" si="25"/>
        <v>0</v>
      </c>
      <c r="AL809" s="2">
        <f t="shared" si="26"/>
        <v>0</v>
      </c>
      <c r="AM809" s="2">
        <f t="shared" si="27"/>
        <v>0</v>
      </c>
      <c r="AN809" s="2">
        <f t="shared" si="28"/>
        <v>0</v>
      </c>
      <c r="AO809" s="2">
        <f t="shared" si="29"/>
      </c>
      <c r="AP809" s="2">
        <f t="shared" si="30"/>
      </c>
      <c r="AQ809" s="2">
        <f t="shared" si="31"/>
      </c>
    </row>
    <row r="810">
      <c r="A810" s="43">
        <f t="shared" si="3"/>
      </c>
      <c r="B810" s="44" t="n"/>
      <c r="C810" s="45" t="n"/>
      <c r="D810" s="46" t="n"/>
      <c r="E810" s="47" t="n"/>
      <c r="F810" s="47" t="n"/>
      <c r="G810" s="48">
        <f t="shared" si="4"/>
      </c>
      <c r="H810" s="43">
        <f t="shared" si="0"/>
      </c>
      <c r="I810" s="43">
        <f t="shared" si="5"/>
      </c>
      <c r="J810" s="43">
        <f t="shared" si="1"/>
      </c>
      <c r="K810" s="49">
        <f t="shared" si="2"/>
      </c>
      <c r="L810" s="45" t="n"/>
      <c r="M810" s="45" t="n"/>
      <c r="N810" s="45" t="n"/>
      <c r="O810" s="45" t="n"/>
      <c r="P810" s="50" t="n"/>
      <c r="R810" s="2">
        <f t="shared" si="6"/>
        <v>0</v>
      </c>
      <c r="S810" s="2">
        <f t="shared" si="7"/>
      </c>
      <c r="T810" s="2">
        <f t="shared" si="8"/>
      </c>
      <c r="U810" s="2">
        <f t="shared" si="9"/>
      </c>
      <c r="V810" s="2">
        <f t="shared" si="10"/>
      </c>
      <c r="W810" s="2">
        <f t="shared" si="11"/>
      </c>
      <c r="X810" s="2">
        <f t="shared" si="12"/>
      </c>
      <c r="Y810" s="2">
        <f t="shared" si="13"/>
        <v>0</v>
      </c>
      <c r="Z810" s="2">
        <f t="shared" si="14"/>
      </c>
      <c r="AA810" s="2">
        <f t="shared" si="15"/>
        <v>0</v>
      </c>
      <c r="AB810" s="2">
        <f t="shared" si="16"/>
      </c>
      <c r="AC810" s="2">
        <f t="shared" si="17"/>
      </c>
      <c r="AD810" s="2">
        <f t="shared" si="18"/>
      </c>
      <c r="AE810" s="2">
        <f t="shared" si="19"/>
      </c>
      <c r="AF810" s="2">
        <f t="shared" si="20"/>
      </c>
      <c r="AG810" s="2">
        <f t="shared" si="21"/>
      </c>
      <c r="AH810" s="2">
        <f t="shared" si="22"/>
      </c>
      <c r="AI810" s="2">
        <f t="shared" si="23"/>
      </c>
      <c r="AJ810" s="2">
        <f t="shared" si="24"/>
        <v>0</v>
      </c>
      <c r="AK810" s="2">
        <f t="shared" si="25"/>
        <v>0</v>
      </c>
      <c r="AL810" s="2">
        <f t="shared" si="26"/>
        <v>0</v>
      </c>
      <c r="AM810" s="2">
        <f t="shared" si="27"/>
        <v>0</v>
      </c>
      <c r="AN810" s="2">
        <f t="shared" si="28"/>
        <v>0</v>
      </c>
      <c r="AO810" s="2">
        <f t="shared" si="29"/>
      </c>
      <c r="AP810" s="2">
        <f t="shared" si="30"/>
      </c>
      <c r="AQ810" s="2">
        <f t="shared" si="31"/>
      </c>
    </row>
    <row r="811">
      <c r="A811" s="43">
        <f t="shared" si="3"/>
      </c>
      <c r="B811" s="44" t="n"/>
      <c r="C811" s="45" t="n"/>
      <c r="D811" s="46" t="n"/>
      <c r="E811" s="47" t="n"/>
      <c r="F811" s="47" t="n"/>
      <c r="G811" s="48">
        <f t="shared" si="4"/>
      </c>
      <c r="H811" s="43">
        <f t="shared" si="0"/>
      </c>
      <c r="I811" s="43">
        <f t="shared" si="5"/>
      </c>
      <c r="J811" s="43">
        <f t="shared" si="1"/>
      </c>
      <c r="K811" s="49">
        <f t="shared" si="2"/>
      </c>
      <c r="L811" s="45" t="n"/>
      <c r="M811" s="45" t="n"/>
      <c r="N811" s="45" t="n"/>
      <c r="O811" s="45" t="n"/>
      <c r="P811" s="50" t="n"/>
      <c r="R811" s="2">
        <f t="shared" si="6"/>
        <v>0</v>
      </c>
      <c r="S811" s="2">
        <f t="shared" si="7"/>
      </c>
      <c r="T811" s="2">
        <f t="shared" si="8"/>
      </c>
      <c r="U811" s="2">
        <f t="shared" si="9"/>
      </c>
      <c r="V811" s="2">
        <f t="shared" si="10"/>
      </c>
      <c r="W811" s="2">
        <f t="shared" si="11"/>
      </c>
      <c r="X811" s="2">
        <f t="shared" si="12"/>
      </c>
      <c r="Y811" s="2">
        <f t="shared" si="13"/>
        <v>0</v>
      </c>
      <c r="Z811" s="2">
        <f t="shared" si="14"/>
      </c>
      <c r="AA811" s="2">
        <f t="shared" si="15"/>
        <v>0</v>
      </c>
      <c r="AB811" s="2">
        <f t="shared" si="16"/>
      </c>
      <c r="AC811" s="2">
        <f t="shared" si="17"/>
      </c>
      <c r="AD811" s="2">
        <f t="shared" si="18"/>
      </c>
      <c r="AE811" s="2">
        <f t="shared" si="19"/>
      </c>
      <c r="AF811" s="2">
        <f t="shared" si="20"/>
      </c>
      <c r="AG811" s="2">
        <f t="shared" si="21"/>
      </c>
      <c r="AH811" s="2">
        <f t="shared" si="22"/>
      </c>
      <c r="AI811" s="2">
        <f t="shared" si="23"/>
      </c>
      <c r="AJ811" s="2">
        <f t="shared" si="24"/>
        <v>0</v>
      </c>
      <c r="AK811" s="2">
        <f t="shared" si="25"/>
        <v>0</v>
      </c>
      <c r="AL811" s="2">
        <f t="shared" si="26"/>
        <v>0</v>
      </c>
      <c r="AM811" s="2">
        <f t="shared" si="27"/>
        <v>0</v>
      </c>
      <c r="AN811" s="2">
        <f t="shared" si="28"/>
        <v>0</v>
      </c>
      <c r="AO811" s="2">
        <f t="shared" si="29"/>
      </c>
      <c r="AP811" s="2">
        <f t="shared" si="30"/>
      </c>
      <c r="AQ811" s="2">
        <f t="shared" si="31"/>
      </c>
    </row>
    <row r="812">
      <c r="A812" s="43">
        <f t="shared" si="3"/>
      </c>
      <c r="B812" s="44" t="n"/>
      <c r="C812" s="45" t="n"/>
      <c r="D812" s="46" t="n"/>
      <c r="E812" s="47" t="n"/>
      <c r="F812" s="47" t="n"/>
      <c r="G812" s="48">
        <f t="shared" si="4"/>
      </c>
      <c r="H812" s="43">
        <f t="shared" si="0"/>
      </c>
      <c r="I812" s="43">
        <f t="shared" si="5"/>
      </c>
      <c r="J812" s="43">
        <f t="shared" si="1"/>
      </c>
      <c r="K812" s="49">
        <f t="shared" si="2"/>
      </c>
      <c r="L812" s="45" t="n"/>
      <c r="M812" s="45" t="n"/>
      <c r="N812" s="45" t="n"/>
      <c r="O812" s="45" t="n"/>
      <c r="P812" s="50" t="n"/>
      <c r="R812" s="2">
        <f t="shared" si="6"/>
        <v>0</v>
      </c>
      <c r="S812" s="2">
        <f t="shared" si="7"/>
      </c>
      <c r="T812" s="2">
        <f t="shared" si="8"/>
      </c>
      <c r="U812" s="2">
        <f t="shared" si="9"/>
      </c>
      <c r="V812" s="2">
        <f t="shared" si="10"/>
      </c>
      <c r="W812" s="2">
        <f t="shared" si="11"/>
      </c>
      <c r="X812" s="2">
        <f t="shared" si="12"/>
      </c>
      <c r="Y812" s="2">
        <f t="shared" si="13"/>
        <v>0</v>
      </c>
      <c r="Z812" s="2">
        <f t="shared" si="14"/>
      </c>
      <c r="AA812" s="2">
        <f t="shared" si="15"/>
        <v>0</v>
      </c>
      <c r="AB812" s="2">
        <f t="shared" si="16"/>
      </c>
      <c r="AC812" s="2">
        <f t="shared" si="17"/>
      </c>
      <c r="AD812" s="2">
        <f t="shared" si="18"/>
      </c>
      <c r="AE812" s="2">
        <f t="shared" si="19"/>
      </c>
      <c r="AF812" s="2">
        <f t="shared" si="20"/>
      </c>
      <c r="AG812" s="2">
        <f t="shared" si="21"/>
      </c>
      <c r="AH812" s="2">
        <f t="shared" si="22"/>
      </c>
      <c r="AI812" s="2">
        <f t="shared" si="23"/>
      </c>
      <c r="AJ812" s="2">
        <f t="shared" si="24"/>
        <v>0</v>
      </c>
      <c r="AK812" s="2">
        <f t="shared" si="25"/>
        <v>0</v>
      </c>
      <c r="AL812" s="2">
        <f t="shared" si="26"/>
        <v>0</v>
      </c>
      <c r="AM812" s="2">
        <f t="shared" si="27"/>
        <v>0</v>
      </c>
      <c r="AN812" s="2">
        <f t="shared" si="28"/>
        <v>0</v>
      </c>
      <c r="AO812" s="2">
        <f t="shared" si="29"/>
      </c>
      <c r="AP812" s="2">
        <f t="shared" si="30"/>
      </c>
      <c r="AQ812" s="2">
        <f t="shared" si="31"/>
      </c>
    </row>
    <row r="813">
      <c r="A813" s="43">
        <f t="shared" si="3"/>
      </c>
      <c r="B813" s="44" t="n"/>
      <c r="C813" s="45" t="n"/>
      <c r="D813" s="46" t="n"/>
      <c r="E813" s="47" t="n"/>
      <c r="F813" s="47" t="n"/>
      <c r="G813" s="48">
        <f t="shared" si="4"/>
      </c>
      <c r="H813" s="43">
        <f t="shared" si="0"/>
      </c>
      <c r="I813" s="43">
        <f t="shared" si="5"/>
      </c>
      <c r="J813" s="43">
        <f t="shared" si="1"/>
      </c>
      <c r="K813" s="49">
        <f t="shared" si="2"/>
      </c>
      <c r="L813" s="45" t="n"/>
      <c r="M813" s="45" t="n"/>
      <c r="N813" s="45" t="n"/>
      <c r="O813" s="45" t="n"/>
      <c r="P813" s="50" t="n"/>
      <c r="R813" s="2">
        <f t="shared" si="6"/>
        <v>0</v>
      </c>
      <c r="S813" s="2">
        <f t="shared" si="7"/>
      </c>
      <c r="T813" s="2">
        <f t="shared" si="8"/>
      </c>
      <c r="U813" s="2">
        <f t="shared" si="9"/>
      </c>
      <c r="V813" s="2">
        <f t="shared" si="10"/>
      </c>
      <c r="W813" s="2">
        <f t="shared" si="11"/>
      </c>
      <c r="X813" s="2">
        <f t="shared" si="12"/>
      </c>
      <c r="Y813" s="2">
        <f t="shared" si="13"/>
        <v>0</v>
      </c>
      <c r="Z813" s="2">
        <f t="shared" si="14"/>
      </c>
      <c r="AA813" s="2">
        <f t="shared" si="15"/>
        <v>0</v>
      </c>
      <c r="AB813" s="2">
        <f t="shared" si="16"/>
      </c>
      <c r="AC813" s="2">
        <f t="shared" si="17"/>
      </c>
      <c r="AD813" s="2">
        <f t="shared" si="18"/>
      </c>
      <c r="AE813" s="2">
        <f t="shared" si="19"/>
      </c>
      <c r="AF813" s="2">
        <f t="shared" si="20"/>
      </c>
      <c r="AG813" s="2">
        <f t="shared" si="21"/>
      </c>
      <c r="AH813" s="2">
        <f t="shared" si="22"/>
      </c>
      <c r="AI813" s="2">
        <f t="shared" si="23"/>
      </c>
      <c r="AJ813" s="2">
        <f t="shared" si="24"/>
        <v>0</v>
      </c>
      <c r="AK813" s="2">
        <f t="shared" si="25"/>
        <v>0</v>
      </c>
      <c r="AL813" s="2">
        <f t="shared" si="26"/>
        <v>0</v>
      </c>
      <c r="AM813" s="2">
        <f t="shared" si="27"/>
        <v>0</v>
      </c>
      <c r="AN813" s="2">
        <f t="shared" si="28"/>
        <v>0</v>
      </c>
      <c r="AO813" s="2">
        <f t="shared" si="29"/>
      </c>
      <c r="AP813" s="2">
        <f t="shared" si="30"/>
      </c>
      <c r="AQ813" s="2">
        <f t="shared" si="31"/>
      </c>
    </row>
    <row r="814">
      <c r="A814" s="43">
        <f t="shared" si="3"/>
      </c>
      <c r="B814" s="44" t="n"/>
      <c r="C814" s="45" t="n"/>
      <c r="D814" s="46" t="n"/>
      <c r="E814" s="47" t="n"/>
      <c r="F814" s="47" t="n"/>
      <c r="G814" s="48">
        <f t="shared" si="4"/>
      </c>
      <c r="H814" s="43">
        <f t="shared" si="0"/>
      </c>
      <c r="I814" s="43">
        <f t="shared" si="5"/>
      </c>
      <c r="J814" s="43">
        <f t="shared" si="1"/>
      </c>
      <c r="K814" s="49">
        <f t="shared" si="2"/>
      </c>
      <c r="L814" s="45" t="n"/>
      <c r="M814" s="45" t="n"/>
      <c r="N814" s="45" t="n"/>
      <c r="O814" s="45" t="n"/>
      <c r="P814" s="50" t="n"/>
      <c r="R814" s="2">
        <f t="shared" si="6"/>
        <v>0</v>
      </c>
      <c r="S814" s="2">
        <f t="shared" si="7"/>
      </c>
      <c r="T814" s="2">
        <f t="shared" si="8"/>
      </c>
      <c r="U814" s="2">
        <f t="shared" si="9"/>
      </c>
      <c r="V814" s="2">
        <f t="shared" si="10"/>
      </c>
      <c r="W814" s="2">
        <f t="shared" si="11"/>
      </c>
      <c r="X814" s="2">
        <f t="shared" si="12"/>
      </c>
      <c r="Y814" s="2">
        <f t="shared" si="13"/>
        <v>0</v>
      </c>
      <c r="Z814" s="2">
        <f t="shared" si="14"/>
      </c>
      <c r="AA814" s="2">
        <f t="shared" si="15"/>
        <v>0</v>
      </c>
      <c r="AB814" s="2">
        <f t="shared" si="16"/>
      </c>
      <c r="AC814" s="2">
        <f t="shared" si="17"/>
      </c>
      <c r="AD814" s="2">
        <f t="shared" si="18"/>
      </c>
      <c r="AE814" s="2">
        <f t="shared" si="19"/>
      </c>
      <c r="AF814" s="2">
        <f t="shared" si="20"/>
      </c>
      <c r="AG814" s="2">
        <f t="shared" si="21"/>
      </c>
      <c r="AH814" s="2">
        <f t="shared" si="22"/>
      </c>
      <c r="AI814" s="2">
        <f t="shared" si="23"/>
      </c>
      <c r="AJ814" s="2">
        <f t="shared" si="24"/>
        <v>0</v>
      </c>
      <c r="AK814" s="2">
        <f t="shared" si="25"/>
        <v>0</v>
      </c>
      <c r="AL814" s="2">
        <f t="shared" si="26"/>
        <v>0</v>
      </c>
      <c r="AM814" s="2">
        <f t="shared" si="27"/>
        <v>0</v>
      </c>
      <c r="AN814" s="2">
        <f t="shared" si="28"/>
        <v>0</v>
      </c>
      <c r="AO814" s="2">
        <f t="shared" si="29"/>
      </c>
      <c r="AP814" s="2">
        <f t="shared" si="30"/>
      </c>
      <c r="AQ814" s="2">
        <f t="shared" si="31"/>
      </c>
    </row>
    <row r="815">
      <c r="A815" s="43">
        <f t="shared" si="3"/>
      </c>
      <c r="B815" s="44" t="n"/>
      <c r="C815" s="45" t="n"/>
      <c r="D815" s="46" t="n"/>
      <c r="E815" s="47" t="n"/>
      <c r="F815" s="47" t="n"/>
      <c r="G815" s="48">
        <f t="shared" si="4"/>
      </c>
      <c r="H815" s="43">
        <f t="shared" si="0"/>
      </c>
      <c r="I815" s="43">
        <f t="shared" si="5"/>
      </c>
      <c r="J815" s="43">
        <f t="shared" si="1"/>
      </c>
      <c r="K815" s="49">
        <f t="shared" si="2"/>
      </c>
      <c r="L815" s="45" t="n"/>
      <c r="M815" s="45" t="n"/>
      <c r="N815" s="45" t="n"/>
      <c r="O815" s="45" t="n"/>
      <c r="P815" s="50" t="n"/>
      <c r="R815" s="2">
        <f t="shared" si="6"/>
        <v>0</v>
      </c>
      <c r="S815" s="2">
        <f t="shared" si="7"/>
      </c>
      <c r="T815" s="2">
        <f t="shared" si="8"/>
      </c>
      <c r="U815" s="2">
        <f t="shared" si="9"/>
      </c>
      <c r="V815" s="2">
        <f t="shared" si="10"/>
      </c>
      <c r="W815" s="2">
        <f t="shared" si="11"/>
      </c>
      <c r="X815" s="2">
        <f t="shared" si="12"/>
      </c>
      <c r="Y815" s="2">
        <f t="shared" si="13"/>
        <v>0</v>
      </c>
      <c r="Z815" s="2">
        <f t="shared" si="14"/>
      </c>
      <c r="AA815" s="2">
        <f t="shared" si="15"/>
        <v>0</v>
      </c>
      <c r="AB815" s="2">
        <f t="shared" si="16"/>
      </c>
      <c r="AC815" s="2">
        <f t="shared" si="17"/>
      </c>
      <c r="AD815" s="2">
        <f t="shared" si="18"/>
      </c>
      <c r="AE815" s="2">
        <f t="shared" si="19"/>
      </c>
      <c r="AF815" s="2">
        <f t="shared" si="20"/>
      </c>
      <c r="AG815" s="2">
        <f t="shared" si="21"/>
      </c>
      <c r="AH815" s="2">
        <f t="shared" si="22"/>
      </c>
      <c r="AI815" s="2">
        <f t="shared" si="23"/>
      </c>
      <c r="AJ815" s="2">
        <f t="shared" si="24"/>
        <v>0</v>
      </c>
      <c r="AK815" s="2">
        <f t="shared" si="25"/>
        <v>0</v>
      </c>
      <c r="AL815" s="2">
        <f t="shared" si="26"/>
        <v>0</v>
      </c>
      <c r="AM815" s="2">
        <f t="shared" si="27"/>
        <v>0</v>
      </c>
      <c r="AN815" s="2">
        <f t="shared" si="28"/>
        <v>0</v>
      </c>
      <c r="AO815" s="2">
        <f t="shared" si="29"/>
      </c>
      <c r="AP815" s="2">
        <f t="shared" si="30"/>
      </c>
      <c r="AQ815" s="2">
        <f t="shared" si="31"/>
      </c>
    </row>
    <row r="816">
      <c r="A816" s="43">
        <f t="shared" si="3"/>
      </c>
      <c r="B816" s="44" t="n"/>
      <c r="C816" s="45" t="n"/>
      <c r="D816" s="46" t="n"/>
      <c r="E816" s="47" t="n"/>
      <c r="F816" s="47" t="n"/>
      <c r="G816" s="48">
        <f t="shared" si="4"/>
      </c>
      <c r="H816" s="43">
        <f t="shared" si="0"/>
      </c>
      <c r="I816" s="43">
        <f t="shared" si="5"/>
      </c>
      <c r="J816" s="43">
        <f t="shared" si="1"/>
      </c>
      <c r="K816" s="49">
        <f t="shared" si="2"/>
      </c>
      <c r="L816" s="45" t="n"/>
      <c r="M816" s="45" t="n"/>
      <c r="N816" s="45" t="n"/>
      <c r="O816" s="45" t="n"/>
      <c r="P816" s="50" t="n"/>
      <c r="R816" s="2">
        <f t="shared" si="6"/>
        <v>0</v>
      </c>
      <c r="S816" s="2">
        <f t="shared" si="7"/>
      </c>
      <c r="T816" s="2">
        <f t="shared" si="8"/>
      </c>
      <c r="U816" s="2">
        <f t="shared" si="9"/>
      </c>
      <c r="V816" s="2">
        <f t="shared" si="10"/>
      </c>
      <c r="W816" s="2">
        <f t="shared" si="11"/>
      </c>
      <c r="X816" s="2">
        <f t="shared" si="12"/>
      </c>
      <c r="Y816" s="2">
        <f t="shared" si="13"/>
        <v>0</v>
      </c>
      <c r="Z816" s="2">
        <f t="shared" si="14"/>
      </c>
      <c r="AA816" s="2">
        <f t="shared" si="15"/>
        <v>0</v>
      </c>
      <c r="AB816" s="2">
        <f t="shared" si="16"/>
      </c>
      <c r="AC816" s="2">
        <f t="shared" si="17"/>
      </c>
      <c r="AD816" s="2">
        <f t="shared" si="18"/>
      </c>
      <c r="AE816" s="2">
        <f t="shared" si="19"/>
      </c>
      <c r="AF816" s="2">
        <f t="shared" si="20"/>
      </c>
      <c r="AG816" s="2">
        <f t="shared" si="21"/>
      </c>
      <c r="AH816" s="2">
        <f t="shared" si="22"/>
      </c>
      <c r="AI816" s="2">
        <f t="shared" si="23"/>
      </c>
      <c r="AJ816" s="2">
        <f t="shared" si="24"/>
        <v>0</v>
      </c>
      <c r="AK816" s="2">
        <f t="shared" si="25"/>
        <v>0</v>
      </c>
      <c r="AL816" s="2">
        <f t="shared" si="26"/>
        <v>0</v>
      </c>
      <c r="AM816" s="2">
        <f t="shared" si="27"/>
        <v>0</v>
      </c>
      <c r="AN816" s="2">
        <f t="shared" si="28"/>
        <v>0</v>
      </c>
      <c r="AO816" s="2">
        <f t="shared" si="29"/>
      </c>
      <c r="AP816" s="2">
        <f t="shared" si="30"/>
      </c>
      <c r="AQ816" s="2">
        <f t="shared" si="31"/>
      </c>
    </row>
    <row r="817">
      <c r="A817" s="43">
        <f t="shared" si="3"/>
      </c>
      <c r="B817" s="44" t="n"/>
      <c r="C817" s="45" t="n"/>
      <c r="D817" s="46" t="n"/>
      <c r="E817" s="47" t="n"/>
      <c r="F817" s="47" t="n"/>
      <c r="G817" s="48">
        <f t="shared" si="4"/>
      </c>
      <c r="H817" s="43">
        <f t="shared" si="0"/>
      </c>
      <c r="I817" s="43">
        <f t="shared" si="5"/>
      </c>
      <c r="J817" s="43">
        <f t="shared" si="1"/>
      </c>
      <c r="K817" s="49">
        <f t="shared" si="2"/>
      </c>
      <c r="L817" s="45" t="n"/>
      <c r="M817" s="45" t="n"/>
      <c r="N817" s="45" t="n"/>
      <c r="O817" s="45" t="n"/>
      <c r="P817" s="50" t="n"/>
      <c r="R817" s="2">
        <f t="shared" si="6"/>
        <v>0</v>
      </c>
      <c r="S817" s="2">
        <f t="shared" si="7"/>
      </c>
      <c r="T817" s="2">
        <f t="shared" si="8"/>
      </c>
      <c r="U817" s="2">
        <f t="shared" si="9"/>
      </c>
      <c r="V817" s="2">
        <f t="shared" si="10"/>
      </c>
      <c r="W817" s="2">
        <f t="shared" si="11"/>
      </c>
      <c r="X817" s="2">
        <f t="shared" si="12"/>
      </c>
      <c r="Y817" s="2">
        <f t="shared" si="13"/>
        <v>0</v>
      </c>
      <c r="Z817" s="2">
        <f t="shared" si="14"/>
      </c>
      <c r="AA817" s="2">
        <f t="shared" si="15"/>
        <v>0</v>
      </c>
      <c r="AB817" s="2">
        <f t="shared" si="16"/>
      </c>
      <c r="AC817" s="2">
        <f t="shared" si="17"/>
      </c>
      <c r="AD817" s="2">
        <f t="shared" si="18"/>
      </c>
      <c r="AE817" s="2">
        <f t="shared" si="19"/>
      </c>
      <c r="AF817" s="2">
        <f t="shared" si="20"/>
      </c>
      <c r="AG817" s="2">
        <f t="shared" si="21"/>
      </c>
      <c r="AH817" s="2">
        <f t="shared" si="22"/>
      </c>
      <c r="AI817" s="2">
        <f t="shared" si="23"/>
      </c>
      <c r="AJ817" s="2">
        <f t="shared" si="24"/>
        <v>0</v>
      </c>
      <c r="AK817" s="2">
        <f t="shared" si="25"/>
        <v>0</v>
      </c>
      <c r="AL817" s="2">
        <f t="shared" si="26"/>
        <v>0</v>
      </c>
      <c r="AM817" s="2">
        <f t="shared" si="27"/>
        <v>0</v>
      </c>
      <c r="AN817" s="2">
        <f t="shared" si="28"/>
        <v>0</v>
      </c>
      <c r="AO817" s="2">
        <f t="shared" si="29"/>
      </c>
      <c r="AP817" s="2">
        <f t="shared" si="30"/>
      </c>
      <c r="AQ817" s="2">
        <f t="shared" si="31"/>
      </c>
    </row>
    <row r="818">
      <c r="A818" s="43">
        <f t="shared" si="3"/>
      </c>
      <c r="B818" s="44" t="n"/>
      <c r="C818" s="45" t="n"/>
      <c r="D818" s="46" t="n"/>
      <c r="E818" s="47" t="n"/>
      <c r="F818" s="47" t="n"/>
      <c r="G818" s="48">
        <f t="shared" si="4"/>
      </c>
      <c r="H818" s="43">
        <f t="shared" si="0"/>
      </c>
      <c r="I818" s="43">
        <f t="shared" si="5"/>
      </c>
      <c r="J818" s="43">
        <f t="shared" si="1"/>
      </c>
      <c r="K818" s="49">
        <f t="shared" si="2"/>
      </c>
      <c r="L818" s="45" t="n"/>
      <c r="M818" s="45" t="n"/>
      <c r="N818" s="45" t="n"/>
      <c r="O818" s="45" t="n"/>
      <c r="P818" s="50" t="n"/>
      <c r="R818" s="2">
        <f t="shared" si="6"/>
        <v>0</v>
      </c>
      <c r="S818" s="2">
        <f t="shared" si="7"/>
      </c>
      <c r="T818" s="2">
        <f t="shared" si="8"/>
      </c>
      <c r="U818" s="2">
        <f t="shared" si="9"/>
      </c>
      <c r="V818" s="2">
        <f t="shared" si="10"/>
      </c>
      <c r="W818" s="2">
        <f t="shared" si="11"/>
      </c>
      <c r="X818" s="2">
        <f t="shared" si="12"/>
      </c>
      <c r="Y818" s="2">
        <f t="shared" si="13"/>
        <v>0</v>
      </c>
      <c r="Z818" s="2">
        <f t="shared" si="14"/>
      </c>
      <c r="AA818" s="2">
        <f t="shared" si="15"/>
        <v>0</v>
      </c>
      <c r="AB818" s="2">
        <f t="shared" si="16"/>
      </c>
      <c r="AC818" s="2">
        <f t="shared" si="17"/>
      </c>
      <c r="AD818" s="2">
        <f t="shared" si="18"/>
      </c>
      <c r="AE818" s="2">
        <f t="shared" si="19"/>
      </c>
      <c r="AF818" s="2">
        <f t="shared" si="20"/>
      </c>
      <c r="AG818" s="2">
        <f t="shared" si="21"/>
      </c>
      <c r="AH818" s="2">
        <f t="shared" si="22"/>
      </c>
      <c r="AI818" s="2">
        <f t="shared" si="23"/>
      </c>
      <c r="AJ818" s="2">
        <f t="shared" si="24"/>
        <v>0</v>
      </c>
      <c r="AK818" s="2">
        <f t="shared" si="25"/>
        <v>0</v>
      </c>
      <c r="AL818" s="2">
        <f t="shared" si="26"/>
        <v>0</v>
      </c>
      <c r="AM818" s="2">
        <f t="shared" si="27"/>
        <v>0</v>
      </c>
      <c r="AN818" s="2">
        <f t="shared" si="28"/>
        <v>0</v>
      </c>
      <c r="AO818" s="2">
        <f t="shared" si="29"/>
      </c>
      <c r="AP818" s="2">
        <f t="shared" si="30"/>
      </c>
      <c r="AQ818" s="2">
        <f t="shared" si="31"/>
      </c>
    </row>
    <row r="819">
      <c r="A819" s="43">
        <f t="shared" si="3"/>
      </c>
      <c r="B819" s="44" t="n"/>
      <c r="C819" s="45" t="n"/>
      <c r="D819" s="46" t="n"/>
      <c r="E819" s="47" t="n"/>
      <c r="F819" s="47" t="n"/>
      <c r="G819" s="48">
        <f t="shared" si="4"/>
      </c>
      <c r="H819" s="43">
        <f t="shared" si="0"/>
      </c>
      <c r="I819" s="43">
        <f t="shared" si="5"/>
      </c>
      <c r="J819" s="43">
        <f t="shared" si="1"/>
      </c>
      <c r="K819" s="49">
        <f t="shared" si="2"/>
      </c>
      <c r="L819" s="45" t="n"/>
      <c r="M819" s="45" t="n"/>
      <c r="N819" s="45" t="n"/>
      <c r="O819" s="45" t="n"/>
      <c r="P819" s="50" t="n"/>
      <c r="R819" s="2">
        <f t="shared" si="6"/>
        <v>0</v>
      </c>
      <c r="S819" s="2">
        <f t="shared" si="7"/>
      </c>
      <c r="T819" s="2">
        <f t="shared" si="8"/>
      </c>
      <c r="U819" s="2">
        <f t="shared" si="9"/>
      </c>
      <c r="V819" s="2">
        <f t="shared" si="10"/>
      </c>
      <c r="W819" s="2">
        <f t="shared" si="11"/>
      </c>
      <c r="X819" s="2">
        <f t="shared" si="12"/>
      </c>
      <c r="Y819" s="2">
        <f t="shared" si="13"/>
        <v>0</v>
      </c>
      <c r="Z819" s="2">
        <f t="shared" si="14"/>
      </c>
      <c r="AA819" s="2">
        <f t="shared" si="15"/>
        <v>0</v>
      </c>
      <c r="AB819" s="2">
        <f t="shared" si="16"/>
      </c>
      <c r="AC819" s="2">
        <f t="shared" si="17"/>
      </c>
      <c r="AD819" s="2">
        <f t="shared" si="18"/>
      </c>
      <c r="AE819" s="2">
        <f t="shared" si="19"/>
      </c>
      <c r="AF819" s="2">
        <f t="shared" si="20"/>
      </c>
      <c r="AG819" s="2">
        <f t="shared" si="21"/>
      </c>
      <c r="AH819" s="2">
        <f t="shared" si="22"/>
      </c>
      <c r="AI819" s="2">
        <f t="shared" si="23"/>
      </c>
      <c r="AJ819" s="2">
        <f t="shared" si="24"/>
        <v>0</v>
      </c>
      <c r="AK819" s="2">
        <f t="shared" si="25"/>
        <v>0</v>
      </c>
      <c r="AL819" s="2">
        <f t="shared" si="26"/>
        <v>0</v>
      </c>
      <c r="AM819" s="2">
        <f t="shared" si="27"/>
        <v>0</v>
      </c>
      <c r="AN819" s="2">
        <f t="shared" si="28"/>
        <v>0</v>
      </c>
      <c r="AO819" s="2">
        <f t="shared" si="29"/>
      </c>
      <c r="AP819" s="2">
        <f t="shared" si="30"/>
      </c>
      <c r="AQ819" s="2">
        <f t="shared" si="31"/>
      </c>
    </row>
    <row r="820">
      <c r="A820" s="43">
        <f t="shared" si="3"/>
      </c>
      <c r="B820" s="44" t="n"/>
      <c r="C820" s="45" t="n"/>
      <c r="D820" s="46" t="n"/>
      <c r="E820" s="47" t="n"/>
      <c r="F820" s="47" t="n"/>
      <c r="G820" s="48">
        <f t="shared" si="4"/>
      </c>
      <c r="H820" s="43">
        <f t="shared" si="0"/>
      </c>
      <c r="I820" s="43">
        <f t="shared" si="5"/>
      </c>
      <c r="J820" s="43">
        <f t="shared" si="1"/>
      </c>
      <c r="K820" s="49">
        <f t="shared" si="2"/>
      </c>
      <c r="L820" s="45" t="n"/>
      <c r="M820" s="45" t="n"/>
      <c r="N820" s="45" t="n"/>
      <c r="O820" s="45" t="n"/>
      <c r="P820" s="50" t="n"/>
      <c r="R820" s="2">
        <f t="shared" si="6"/>
        <v>0</v>
      </c>
      <c r="S820" s="2">
        <f t="shared" si="7"/>
      </c>
      <c r="T820" s="2">
        <f t="shared" si="8"/>
      </c>
      <c r="U820" s="2">
        <f t="shared" si="9"/>
      </c>
      <c r="V820" s="2">
        <f t="shared" si="10"/>
      </c>
      <c r="W820" s="2">
        <f t="shared" si="11"/>
      </c>
      <c r="X820" s="2">
        <f t="shared" si="12"/>
      </c>
      <c r="Y820" s="2">
        <f t="shared" si="13"/>
        <v>0</v>
      </c>
      <c r="Z820" s="2">
        <f t="shared" si="14"/>
      </c>
      <c r="AA820" s="2">
        <f t="shared" si="15"/>
        <v>0</v>
      </c>
      <c r="AB820" s="2">
        <f t="shared" si="16"/>
      </c>
      <c r="AC820" s="2">
        <f t="shared" si="17"/>
      </c>
      <c r="AD820" s="2">
        <f t="shared" si="18"/>
      </c>
      <c r="AE820" s="2">
        <f t="shared" si="19"/>
      </c>
      <c r="AF820" s="2">
        <f t="shared" si="20"/>
      </c>
      <c r="AG820" s="2">
        <f t="shared" si="21"/>
      </c>
      <c r="AH820" s="2">
        <f t="shared" si="22"/>
      </c>
      <c r="AI820" s="2">
        <f t="shared" si="23"/>
      </c>
      <c r="AJ820" s="2">
        <f t="shared" si="24"/>
        <v>0</v>
      </c>
      <c r="AK820" s="2">
        <f t="shared" si="25"/>
        <v>0</v>
      </c>
      <c r="AL820" s="2">
        <f t="shared" si="26"/>
        <v>0</v>
      </c>
      <c r="AM820" s="2">
        <f t="shared" si="27"/>
        <v>0</v>
      </c>
      <c r="AN820" s="2">
        <f t="shared" si="28"/>
        <v>0</v>
      </c>
      <c r="AO820" s="2">
        <f t="shared" si="29"/>
      </c>
      <c r="AP820" s="2">
        <f t="shared" si="30"/>
      </c>
      <c r="AQ820" s="2">
        <f t="shared" si="31"/>
      </c>
    </row>
    <row r="821">
      <c r="A821" s="43">
        <f t="shared" si="3"/>
      </c>
      <c r="B821" s="44" t="n"/>
      <c r="C821" s="45" t="n"/>
      <c r="D821" s="46" t="n"/>
      <c r="E821" s="47" t="n"/>
      <c r="F821" s="47" t="n"/>
      <c r="G821" s="48">
        <f t="shared" si="4"/>
      </c>
      <c r="H821" s="43">
        <f t="shared" si="0"/>
      </c>
      <c r="I821" s="43">
        <f t="shared" si="5"/>
      </c>
      <c r="J821" s="43">
        <f t="shared" si="1"/>
      </c>
      <c r="K821" s="49">
        <f t="shared" si="2"/>
      </c>
      <c r="L821" s="45" t="n"/>
      <c r="M821" s="45" t="n"/>
      <c r="N821" s="45" t="n"/>
      <c r="O821" s="45" t="n"/>
      <c r="P821" s="50" t="n"/>
      <c r="R821" s="2">
        <f t="shared" si="6"/>
        <v>0</v>
      </c>
      <c r="S821" s="2">
        <f t="shared" si="7"/>
      </c>
      <c r="T821" s="2">
        <f t="shared" si="8"/>
      </c>
      <c r="U821" s="2">
        <f t="shared" si="9"/>
      </c>
      <c r="V821" s="2">
        <f t="shared" si="10"/>
      </c>
      <c r="W821" s="2">
        <f t="shared" si="11"/>
      </c>
      <c r="X821" s="2">
        <f t="shared" si="12"/>
      </c>
      <c r="Y821" s="2">
        <f t="shared" si="13"/>
        <v>0</v>
      </c>
      <c r="Z821" s="2">
        <f t="shared" si="14"/>
      </c>
      <c r="AA821" s="2">
        <f t="shared" si="15"/>
        <v>0</v>
      </c>
      <c r="AB821" s="2">
        <f t="shared" si="16"/>
      </c>
      <c r="AC821" s="2">
        <f t="shared" si="17"/>
      </c>
      <c r="AD821" s="2">
        <f t="shared" si="18"/>
      </c>
      <c r="AE821" s="2">
        <f t="shared" si="19"/>
      </c>
      <c r="AF821" s="2">
        <f t="shared" si="20"/>
      </c>
      <c r="AG821" s="2">
        <f t="shared" si="21"/>
      </c>
      <c r="AH821" s="2">
        <f t="shared" si="22"/>
      </c>
      <c r="AI821" s="2">
        <f t="shared" si="23"/>
      </c>
      <c r="AJ821" s="2">
        <f t="shared" si="24"/>
        <v>0</v>
      </c>
      <c r="AK821" s="2">
        <f t="shared" si="25"/>
        <v>0</v>
      </c>
      <c r="AL821" s="2">
        <f t="shared" si="26"/>
        <v>0</v>
      </c>
      <c r="AM821" s="2">
        <f t="shared" si="27"/>
        <v>0</v>
      </c>
      <c r="AN821" s="2">
        <f t="shared" si="28"/>
        <v>0</v>
      </c>
      <c r="AO821" s="2">
        <f t="shared" si="29"/>
      </c>
      <c r="AP821" s="2">
        <f t="shared" si="30"/>
      </c>
      <c r="AQ821" s="2">
        <f t="shared" si="31"/>
      </c>
    </row>
    <row r="822">
      <c r="A822" s="43">
        <f t="shared" si="3"/>
      </c>
      <c r="B822" s="44" t="n"/>
      <c r="C822" s="45" t="n"/>
      <c r="D822" s="46" t="n"/>
      <c r="E822" s="47" t="n"/>
      <c r="F822" s="47" t="n"/>
      <c r="G822" s="48">
        <f t="shared" si="4"/>
      </c>
      <c r="H822" s="43">
        <f t="shared" si="0"/>
      </c>
      <c r="I822" s="43">
        <f t="shared" si="5"/>
      </c>
      <c r="J822" s="43">
        <f t="shared" si="1"/>
      </c>
      <c r="K822" s="49">
        <f t="shared" si="2"/>
      </c>
      <c r="L822" s="45" t="n"/>
      <c r="M822" s="45" t="n"/>
      <c r="N822" s="45" t="n"/>
      <c r="O822" s="45" t="n"/>
      <c r="P822" s="50" t="n"/>
      <c r="R822" s="2">
        <f t="shared" si="6"/>
        <v>0</v>
      </c>
      <c r="S822" s="2">
        <f t="shared" si="7"/>
      </c>
      <c r="T822" s="2">
        <f t="shared" si="8"/>
      </c>
      <c r="U822" s="2">
        <f t="shared" si="9"/>
      </c>
      <c r="V822" s="2">
        <f t="shared" si="10"/>
      </c>
      <c r="W822" s="2">
        <f t="shared" si="11"/>
      </c>
      <c r="X822" s="2">
        <f t="shared" si="12"/>
      </c>
      <c r="Y822" s="2">
        <f t="shared" si="13"/>
        <v>0</v>
      </c>
      <c r="Z822" s="2">
        <f t="shared" si="14"/>
      </c>
      <c r="AA822" s="2">
        <f t="shared" si="15"/>
        <v>0</v>
      </c>
      <c r="AB822" s="2">
        <f t="shared" si="16"/>
      </c>
      <c r="AC822" s="2">
        <f t="shared" si="17"/>
      </c>
      <c r="AD822" s="2">
        <f t="shared" si="18"/>
      </c>
      <c r="AE822" s="2">
        <f t="shared" si="19"/>
      </c>
      <c r="AF822" s="2">
        <f t="shared" si="20"/>
      </c>
      <c r="AG822" s="2">
        <f t="shared" si="21"/>
      </c>
      <c r="AH822" s="2">
        <f t="shared" si="22"/>
      </c>
      <c r="AI822" s="2">
        <f t="shared" si="23"/>
      </c>
      <c r="AJ822" s="2">
        <f t="shared" si="24"/>
        <v>0</v>
      </c>
      <c r="AK822" s="2">
        <f t="shared" si="25"/>
        <v>0</v>
      </c>
      <c r="AL822" s="2">
        <f t="shared" si="26"/>
        <v>0</v>
      </c>
      <c r="AM822" s="2">
        <f t="shared" si="27"/>
        <v>0</v>
      </c>
      <c r="AN822" s="2">
        <f t="shared" si="28"/>
        <v>0</v>
      </c>
      <c r="AO822" s="2">
        <f t="shared" si="29"/>
      </c>
      <c r="AP822" s="2">
        <f t="shared" si="30"/>
      </c>
      <c r="AQ822" s="2">
        <f t="shared" si="31"/>
      </c>
    </row>
    <row r="823">
      <c r="A823" s="43">
        <f t="shared" si="3"/>
      </c>
      <c r="B823" s="44" t="n"/>
      <c r="C823" s="45" t="n"/>
      <c r="D823" s="46" t="n"/>
      <c r="E823" s="47" t="n"/>
      <c r="F823" s="47" t="n"/>
      <c r="G823" s="48">
        <f t="shared" si="4"/>
      </c>
      <c r="H823" s="43">
        <f t="shared" si="0"/>
      </c>
      <c r="I823" s="43">
        <f t="shared" si="5"/>
      </c>
      <c r="J823" s="43">
        <f t="shared" si="1"/>
      </c>
      <c r="K823" s="49">
        <f t="shared" si="2"/>
      </c>
      <c r="L823" s="45" t="n"/>
      <c r="M823" s="45" t="n"/>
      <c r="N823" s="45" t="n"/>
      <c r="O823" s="45" t="n"/>
      <c r="P823" s="50" t="n"/>
      <c r="R823" s="2">
        <f t="shared" si="6"/>
        <v>0</v>
      </c>
      <c r="S823" s="2">
        <f t="shared" si="7"/>
      </c>
      <c r="T823" s="2">
        <f t="shared" si="8"/>
      </c>
      <c r="U823" s="2">
        <f t="shared" si="9"/>
      </c>
      <c r="V823" s="2">
        <f t="shared" si="10"/>
      </c>
      <c r="W823" s="2">
        <f t="shared" si="11"/>
      </c>
      <c r="X823" s="2">
        <f t="shared" si="12"/>
      </c>
      <c r="Y823" s="2">
        <f t="shared" si="13"/>
        <v>0</v>
      </c>
      <c r="Z823" s="2">
        <f t="shared" si="14"/>
      </c>
      <c r="AA823" s="2">
        <f t="shared" si="15"/>
        <v>0</v>
      </c>
      <c r="AB823" s="2">
        <f t="shared" si="16"/>
      </c>
      <c r="AC823" s="2">
        <f t="shared" si="17"/>
      </c>
      <c r="AD823" s="2">
        <f t="shared" si="18"/>
      </c>
      <c r="AE823" s="2">
        <f t="shared" si="19"/>
      </c>
      <c r="AF823" s="2">
        <f t="shared" si="20"/>
      </c>
      <c r="AG823" s="2">
        <f t="shared" si="21"/>
      </c>
      <c r="AH823" s="2">
        <f t="shared" si="22"/>
      </c>
      <c r="AI823" s="2">
        <f t="shared" si="23"/>
      </c>
      <c r="AJ823" s="2">
        <f t="shared" si="24"/>
        <v>0</v>
      </c>
      <c r="AK823" s="2">
        <f t="shared" si="25"/>
        <v>0</v>
      </c>
      <c r="AL823" s="2">
        <f t="shared" si="26"/>
        <v>0</v>
      </c>
      <c r="AM823" s="2">
        <f t="shared" si="27"/>
        <v>0</v>
      </c>
      <c r="AN823" s="2">
        <f t="shared" si="28"/>
        <v>0</v>
      </c>
      <c r="AO823" s="2">
        <f t="shared" si="29"/>
      </c>
      <c r="AP823" s="2">
        <f t="shared" si="30"/>
      </c>
      <c r="AQ823" s="2">
        <f t="shared" si="31"/>
      </c>
    </row>
    <row r="824">
      <c r="A824" s="43">
        <f t="shared" si="3"/>
      </c>
      <c r="B824" s="44" t="n"/>
      <c r="C824" s="45" t="n"/>
      <c r="D824" s="46" t="n"/>
      <c r="E824" s="47" t="n"/>
      <c r="F824" s="47" t="n"/>
      <c r="G824" s="48">
        <f t="shared" si="4"/>
      </c>
      <c r="H824" s="43">
        <f t="shared" si="0"/>
      </c>
      <c r="I824" s="43">
        <f t="shared" si="5"/>
      </c>
      <c r="J824" s="43">
        <f t="shared" si="1"/>
      </c>
      <c r="K824" s="49">
        <f t="shared" si="2"/>
      </c>
      <c r="L824" s="45" t="n"/>
      <c r="M824" s="45" t="n"/>
      <c r="N824" s="45" t="n"/>
      <c r="O824" s="45" t="n"/>
      <c r="P824" s="50" t="n"/>
      <c r="R824" s="2">
        <f t="shared" si="6"/>
        <v>0</v>
      </c>
      <c r="S824" s="2">
        <f t="shared" si="7"/>
      </c>
      <c r="T824" s="2">
        <f t="shared" si="8"/>
      </c>
      <c r="U824" s="2">
        <f t="shared" si="9"/>
      </c>
      <c r="V824" s="2">
        <f t="shared" si="10"/>
      </c>
      <c r="W824" s="2">
        <f t="shared" si="11"/>
      </c>
      <c r="X824" s="2">
        <f t="shared" si="12"/>
      </c>
      <c r="Y824" s="2">
        <f t="shared" si="13"/>
        <v>0</v>
      </c>
      <c r="Z824" s="2">
        <f t="shared" si="14"/>
      </c>
      <c r="AA824" s="2">
        <f t="shared" si="15"/>
        <v>0</v>
      </c>
      <c r="AB824" s="2">
        <f t="shared" si="16"/>
      </c>
      <c r="AC824" s="2">
        <f t="shared" si="17"/>
      </c>
      <c r="AD824" s="2">
        <f t="shared" si="18"/>
      </c>
      <c r="AE824" s="2">
        <f t="shared" si="19"/>
      </c>
      <c r="AF824" s="2">
        <f t="shared" si="20"/>
      </c>
      <c r="AG824" s="2">
        <f t="shared" si="21"/>
      </c>
      <c r="AH824" s="2">
        <f t="shared" si="22"/>
      </c>
      <c r="AI824" s="2">
        <f t="shared" si="23"/>
      </c>
      <c r="AJ824" s="2">
        <f t="shared" si="24"/>
        <v>0</v>
      </c>
      <c r="AK824" s="2">
        <f t="shared" si="25"/>
        <v>0</v>
      </c>
      <c r="AL824" s="2">
        <f t="shared" si="26"/>
        <v>0</v>
      </c>
      <c r="AM824" s="2">
        <f t="shared" si="27"/>
        <v>0</v>
      </c>
      <c r="AN824" s="2">
        <f t="shared" si="28"/>
        <v>0</v>
      </c>
      <c r="AO824" s="2">
        <f t="shared" si="29"/>
      </c>
      <c r="AP824" s="2">
        <f t="shared" si="30"/>
      </c>
      <c r="AQ824" s="2">
        <f t="shared" si="31"/>
      </c>
    </row>
    <row r="825">
      <c r="A825" s="43">
        <f t="shared" si="3"/>
      </c>
      <c r="B825" s="44" t="n"/>
      <c r="C825" s="45" t="n"/>
      <c r="D825" s="46" t="n"/>
      <c r="E825" s="47" t="n"/>
      <c r="F825" s="47" t="n"/>
      <c r="G825" s="48">
        <f t="shared" si="4"/>
      </c>
      <c r="H825" s="43">
        <f t="shared" si="0"/>
      </c>
      <c r="I825" s="43">
        <f t="shared" si="5"/>
      </c>
      <c r="J825" s="43">
        <f t="shared" si="1"/>
      </c>
      <c r="K825" s="49">
        <f t="shared" si="2"/>
      </c>
      <c r="L825" s="45" t="n"/>
      <c r="M825" s="45" t="n"/>
      <c r="N825" s="45" t="n"/>
      <c r="O825" s="45" t="n"/>
      <c r="P825" s="50" t="n"/>
      <c r="R825" s="2">
        <f t="shared" si="6"/>
        <v>0</v>
      </c>
      <c r="S825" s="2">
        <f t="shared" si="7"/>
      </c>
      <c r="T825" s="2">
        <f t="shared" si="8"/>
      </c>
      <c r="U825" s="2">
        <f t="shared" si="9"/>
      </c>
      <c r="V825" s="2">
        <f t="shared" si="10"/>
      </c>
      <c r="W825" s="2">
        <f t="shared" si="11"/>
      </c>
      <c r="X825" s="2">
        <f t="shared" si="12"/>
      </c>
      <c r="Y825" s="2">
        <f t="shared" si="13"/>
        <v>0</v>
      </c>
      <c r="Z825" s="2">
        <f t="shared" si="14"/>
      </c>
      <c r="AA825" s="2">
        <f t="shared" si="15"/>
        <v>0</v>
      </c>
      <c r="AB825" s="2">
        <f t="shared" si="16"/>
      </c>
      <c r="AC825" s="2">
        <f t="shared" si="17"/>
      </c>
      <c r="AD825" s="2">
        <f t="shared" si="18"/>
      </c>
      <c r="AE825" s="2">
        <f t="shared" si="19"/>
      </c>
      <c r="AF825" s="2">
        <f t="shared" si="20"/>
      </c>
      <c r="AG825" s="2">
        <f t="shared" si="21"/>
      </c>
      <c r="AH825" s="2">
        <f t="shared" si="22"/>
      </c>
      <c r="AI825" s="2">
        <f t="shared" si="23"/>
      </c>
      <c r="AJ825" s="2">
        <f t="shared" si="24"/>
        <v>0</v>
      </c>
      <c r="AK825" s="2">
        <f t="shared" si="25"/>
        <v>0</v>
      </c>
      <c r="AL825" s="2">
        <f t="shared" si="26"/>
        <v>0</v>
      </c>
      <c r="AM825" s="2">
        <f t="shared" si="27"/>
        <v>0</v>
      </c>
      <c r="AN825" s="2">
        <f t="shared" si="28"/>
        <v>0</v>
      </c>
      <c r="AO825" s="2">
        <f t="shared" si="29"/>
      </c>
      <c r="AP825" s="2">
        <f t="shared" si="30"/>
      </c>
      <c r="AQ825" s="2">
        <f t="shared" si="31"/>
      </c>
    </row>
    <row r="826">
      <c r="A826" s="43">
        <f t="shared" si="3"/>
      </c>
      <c r="B826" s="44" t="n"/>
      <c r="C826" s="45" t="n"/>
      <c r="D826" s="46" t="n"/>
      <c r="E826" s="47" t="n"/>
      <c r="F826" s="47" t="n"/>
      <c r="G826" s="48">
        <f t="shared" si="4"/>
      </c>
      <c r="H826" s="43">
        <f t="shared" si="0"/>
      </c>
      <c r="I826" s="43">
        <f t="shared" si="5"/>
      </c>
      <c r="J826" s="43">
        <f t="shared" si="1"/>
      </c>
      <c r="K826" s="49">
        <f t="shared" si="2"/>
      </c>
      <c r="L826" s="45" t="n"/>
      <c r="M826" s="45" t="n"/>
      <c r="N826" s="45" t="n"/>
      <c r="O826" s="45" t="n"/>
      <c r="P826" s="50" t="n"/>
      <c r="R826" s="2">
        <f t="shared" si="6"/>
        <v>0</v>
      </c>
      <c r="S826" s="2">
        <f t="shared" si="7"/>
      </c>
      <c r="T826" s="2">
        <f t="shared" si="8"/>
      </c>
      <c r="U826" s="2">
        <f t="shared" si="9"/>
      </c>
      <c r="V826" s="2">
        <f t="shared" si="10"/>
      </c>
      <c r="W826" s="2">
        <f t="shared" si="11"/>
      </c>
      <c r="X826" s="2">
        <f t="shared" si="12"/>
      </c>
      <c r="Y826" s="2">
        <f t="shared" si="13"/>
        <v>0</v>
      </c>
      <c r="Z826" s="2">
        <f t="shared" si="14"/>
      </c>
      <c r="AA826" s="2">
        <f t="shared" si="15"/>
        <v>0</v>
      </c>
      <c r="AB826" s="2">
        <f t="shared" si="16"/>
      </c>
      <c r="AC826" s="2">
        <f t="shared" si="17"/>
      </c>
      <c r="AD826" s="2">
        <f t="shared" si="18"/>
      </c>
      <c r="AE826" s="2">
        <f t="shared" si="19"/>
      </c>
      <c r="AF826" s="2">
        <f t="shared" si="20"/>
      </c>
      <c r="AG826" s="2">
        <f t="shared" si="21"/>
      </c>
      <c r="AH826" s="2">
        <f t="shared" si="22"/>
      </c>
      <c r="AI826" s="2">
        <f t="shared" si="23"/>
      </c>
      <c r="AJ826" s="2">
        <f t="shared" si="24"/>
        <v>0</v>
      </c>
      <c r="AK826" s="2">
        <f t="shared" si="25"/>
        <v>0</v>
      </c>
      <c r="AL826" s="2">
        <f t="shared" si="26"/>
        <v>0</v>
      </c>
      <c r="AM826" s="2">
        <f t="shared" si="27"/>
        <v>0</v>
      </c>
      <c r="AN826" s="2">
        <f t="shared" si="28"/>
        <v>0</v>
      </c>
      <c r="AO826" s="2">
        <f t="shared" si="29"/>
      </c>
      <c r="AP826" s="2">
        <f t="shared" si="30"/>
      </c>
      <c r="AQ826" s="2">
        <f t="shared" si="31"/>
      </c>
    </row>
    <row r="827">
      <c r="A827" s="43">
        <f t="shared" si="3"/>
      </c>
      <c r="B827" s="44" t="n"/>
      <c r="C827" s="45" t="n"/>
      <c r="D827" s="46" t="n"/>
      <c r="E827" s="47" t="n"/>
      <c r="F827" s="47" t="n"/>
      <c r="G827" s="48">
        <f t="shared" si="4"/>
      </c>
      <c r="H827" s="43">
        <f t="shared" si="0"/>
      </c>
      <c r="I827" s="43">
        <f t="shared" si="5"/>
      </c>
      <c r="J827" s="43">
        <f t="shared" si="1"/>
      </c>
      <c r="K827" s="49">
        <f t="shared" si="2"/>
      </c>
      <c r="L827" s="45" t="n"/>
      <c r="M827" s="45" t="n"/>
      <c r="N827" s="45" t="n"/>
      <c r="O827" s="45" t="n"/>
      <c r="P827" s="50" t="n"/>
      <c r="R827" s="2">
        <f t="shared" si="6"/>
        <v>0</v>
      </c>
      <c r="S827" s="2">
        <f t="shared" si="7"/>
      </c>
      <c r="T827" s="2">
        <f t="shared" si="8"/>
      </c>
      <c r="U827" s="2">
        <f t="shared" si="9"/>
      </c>
      <c r="V827" s="2">
        <f t="shared" si="10"/>
      </c>
      <c r="W827" s="2">
        <f t="shared" si="11"/>
      </c>
      <c r="X827" s="2">
        <f t="shared" si="12"/>
      </c>
      <c r="Y827" s="2">
        <f t="shared" si="13"/>
        <v>0</v>
      </c>
      <c r="Z827" s="2">
        <f t="shared" si="14"/>
      </c>
      <c r="AA827" s="2">
        <f t="shared" si="15"/>
        <v>0</v>
      </c>
      <c r="AB827" s="2">
        <f t="shared" si="16"/>
      </c>
      <c r="AC827" s="2">
        <f t="shared" si="17"/>
      </c>
      <c r="AD827" s="2">
        <f t="shared" si="18"/>
      </c>
      <c r="AE827" s="2">
        <f t="shared" si="19"/>
      </c>
      <c r="AF827" s="2">
        <f t="shared" si="20"/>
      </c>
      <c r="AG827" s="2">
        <f t="shared" si="21"/>
      </c>
      <c r="AH827" s="2">
        <f t="shared" si="22"/>
      </c>
      <c r="AI827" s="2">
        <f t="shared" si="23"/>
      </c>
      <c r="AJ827" s="2">
        <f t="shared" si="24"/>
        <v>0</v>
      </c>
      <c r="AK827" s="2">
        <f t="shared" si="25"/>
        <v>0</v>
      </c>
      <c r="AL827" s="2">
        <f t="shared" si="26"/>
        <v>0</v>
      </c>
      <c r="AM827" s="2">
        <f t="shared" si="27"/>
        <v>0</v>
      </c>
      <c r="AN827" s="2">
        <f t="shared" si="28"/>
        <v>0</v>
      </c>
      <c r="AO827" s="2">
        <f t="shared" si="29"/>
      </c>
      <c r="AP827" s="2">
        <f t="shared" si="30"/>
      </c>
      <c r="AQ827" s="2">
        <f t="shared" si="31"/>
      </c>
    </row>
    <row r="828">
      <c r="A828" s="43">
        <f t="shared" si="3"/>
      </c>
      <c r="B828" s="44" t="n"/>
      <c r="C828" s="45" t="n"/>
      <c r="D828" s="46" t="n"/>
      <c r="E828" s="47" t="n"/>
      <c r="F828" s="47" t="n"/>
      <c r="G828" s="48">
        <f t="shared" si="4"/>
      </c>
      <c r="H828" s="43">
        <f t="shared" si="0"/>
      </c>
      <c r="I828" s="43">
        <f t="shared" si="5"/>
      </c>
      <c r="J828" s="43">
        <f t="shared" si="1"/>
      </c>
      <c r="K828" s="49">
        <f t="shared" si="2"/>
      </c>
      <c r="L828" s="45" t="n"/>
      <c r="M828" s="45" t="n"/>
      <c r="N828" s="45" t="n"/>
      <c r="O828" s="45" t="n"/>
      <c r="P828" s="50" t="n"/>
      <c r="R828" s="2">
        <f t="shared" si="6"/>
        <v>0</v>
      </c>
      <c r="S828" s="2">
        <f t="shared" si="7"/>
      </c>
      <c r="T828" s="2">
        <f t="shared" si="8"/>
      </c>
      <c r="U828" s="2">
        <f t="shared" si="9"/>
      </c>
      <c r="V828" s="2">
        <f t="shared" si="10"/>
      </c>
      <c r="W828" s="2">
        <f t="shared" si="11"/>
      </c>
      <c r="X828" s="2">
        <f t="shared" si="12"/>
      </c>
      <c r="Y828" s="2">
        <f t="shared" si="13"/>
        <v>0</v>
      </c>
      <c r="Z828" s="2">
        <f t="shared" si="14"/>
      </c>
      <c r="AA828" s="2">
        <f t="shared" si="15"/>
        <v>0</v>
      </c>
      <c r="AB828" s="2">
        <f t="shared" si="16"/>
      </c>
      <c r="AC828" s="2">
        <f t="shared" si="17"/>
      </c>
      <c r="AD828" s="2">
        <f t="shared" si="18"/>
      </c>
      <c r="AE828" s="2">
        <f t="shared" si="19"/>
      </c>
      <c r="AF828" s="2">
        <f t="shared" si="20"/>
      </c>
      <c r="AG828" s="2">
        <f t="shared" si="21"/>
      </c>
      <c r="AH828" s="2">
        <f t="shared" si="22"/>
      </c>
      <c r="AI828" s="2">
        <f t="shared" si="23"/>
      </c>
      <c r="AJ828" s="2">
        <f t="shared" si="24"/>
        <v>0</v>
      </c>
      <c r="AK828" s="2">
        <f t="shared" si="25"/>
        <v>0</v>
      </c>
      <c r="AL828" s="2">
        <f t="shared" si="26"/>
        <v>0</v>
      </c>
      <c r="AM828" s="2">
        <f t="shared" si="27"/>
        <v>0</v>
      </c>
      <c r="AN828" s="2">
        <f t="shared" si="28"/>
        <v>0</v>
      </c>
      <c r="AO828" s="2">
        <f t="shared" si="29"/>
      </c>
      <c r="AP828" s="2">
        <f t="shared" si="30"/>
      </c>
      <c r="AQ828" s="2">
        <f t="shared" si="31"/>
      </c>
    </row>
    <row r="829">
      <c r="A829" s="43">
        <f t="shared" si="3"/>
      </c>
      <c r="B829" s="44" t="n"/>
      <c r="C829" s="45" t="n"/>
      <c r="D829" s="46" t="n"/>
      <c r="E829" s="47" t="n"/>
      <c r="F829" s="47" t="n"/>
      <c r="G829" s="48">
        <f t="shared" si="4"/>
      </c>
      <c r="H829" s="43">
        <f t="shared" si="0"/>
      </c>
      <c r="I829" s="43">
        <f t="shared" si="5"/>
      </c>
      <c r="J829" s="43">
        <f t="shared" si="1"/>
      </c>
      <c r="K829" s="49">
        <f t="shared" si="2"/>
      </c>
      <c r="L829" s="45" t="n"/>
      <c r="M829" s="45" t="n"/>
      <c r="N829" s="45" t="n"/>
      <c r="O829" s="45" t="n"/>
      <c r="P829" s="50" t="n"/>
      <c r="R829" s="2">
        <f t="shared" si="6"/>
        <v>0</v>
      </c>
      <c r="S829" s="2">
        <f t="shared" si="7"/>
      </c>
      <c r="T829" s="2">
        <f t="shared" si="8"/>
      </c>
      <c r="U829" s="2">
        <f t="shared" si="9"/>
      </c>
      <c r="V829" s="2">
        <f t="shared" si="10"/>
      </c>
      <c r="W829" s="2">
        <f t="shared" si="11"/>
      </c>
      <c r="X829" s="2">
        <f t="shared" si="12"/>
      </c>
      <c r="Y829" s="2">
        <f t="shared" si="13"/>
        <v>0</v>
      </c>
      <c r="Z829" s="2">
        <f t="shared" si="14"/>
      </c>
      <c r="AA829" s="2">
        <f t="shared" si="15"/>
        <v>0</v>
      </c>
      <c r="AB829" s="2">
        <f t="shared" si="16"/>
      </c>
      <c r="AC829" s="2">
        <f t="shared" si="17"/>
      </c>
      <c r="AD829" s="2">
        <f t="shared" si="18"/>
      </c>
      <c r="AE829" s="2">
        <f t="shared" si="19"/>
      </c>
      <c r="AF829" s="2">
        <f t="shared" si="20"/>
      </c>
      <c r="AG829" s="2">
        <f t="shared" si="21"/>
      </c>
      <c r="AH829" s="2">
        <f t="shared" si="22"/>
      </c>
      <c r="AI829" s="2">
        <f t="shared" si="23"/>
      </c>
      <c r="AJ829" s="2">
        <f t="shared" si="24"/>
        <v>0</v>
      </c>
      <c r="AK829" s="2">
        <f t="shared" si="25"/>
        <v>0</v>
      </c>
      <c r="AL829" s="2">
        <f t="shared" si="26"/>
        <v>0</v>
      </c>
      <c r="AM829" s="2">
        <f t="shared" si="27"/>
        <v>0</v>
      </c>
      <c r="AN829" s="2">
        <f t="shared" si="28"/>
        <v>0</v>
      </c>
      <c r="AO829" s="2">
        <f t="shared" si="29"/>
      </c>
      <c r="AP829" s="2">
        <f t="shared" si="30"/>
      </c>
      <c r="AQ829" s="2">
        <f t="shared" si="31"/>
      </c>
    </row>
    <row r="830">
      <c r="A830" s="43">
        <f t="shared" si="3"/>
      </c>
      <c r="B830" s="44" t="n"/>
      <c r="C830" s="45" t="n"/>
      <c r="D830" s="46" t="n"/>
      <c r="E830" s="47" t="n"/>
      <c r="F830" s="47" t="n"/>
      <c r="G830" s="48">
        <f t="shared" si="4"/>
      </c>
      <c r="H830" s="43">
        <f t="shared" si="0"/>
      </c>
      <c r="I830" s="43">
        <f t="shared" si="5"/>
      </c>
      <c r="J830" s="43">
        <f t="shared" si="1"/>
      </c>
      <c r="K830" s="49">
        <f t="shared" si="2"/>
      </c>
      <c r="L830" s="45" t="n"/>
      <c r="M830" s="45" t="n"/>
      <c r="N830" s="45" t="n"/>
      <c r="O830" s="45" t="n"/>
      <c r="P830" s="50" t="n"/>
      <c r="R830" s="2">
        <f t="shared" si="6"/>
        <v>0</v>
      </c>
      <c r="S830" s="2">
        <f t="shared" si="7"/>
      </c>
      <c r="T830" s="2">
        <f t="shared" si="8"/>
      </c>
      <c r="U830" s="2">
        <f t="shared" si="9"/>
      </c>
      <c r="V830" s="2">
        <f t="shared" si="10"/>
      </c>
      <c r="W830" s="2">
        <f t="shared" si="11"/>
      </c>
      <c r="X830" s="2">
        <f t="shared" si="12"/>
      </c>
      <c r="Y830" s="2">
        <f t="shared" si="13"/>
        <v>0</v>
      </c>
      <c r="Z830" s="2">
        <f t="shared" si="14"/>
      </c>
      <c r="AA830" s="2">
        <f t="shared" si="15"/>
        <v>0</v>
      </c>
      <c r="AB830" s="2">
        <f t="shared" si="16"/>
      </c>
      <c r="AC830" s="2">
        <f t="shared" si="17"/>
      </c>
      <c r="AD830" s="2">
        <f t="shared" si="18"/>
      </c>
      <c r="AE830" s="2">
        <f t="shared" si="19"/>
      </c>
      <c r="AF830" s="2">
        <f t="shared" si="20"/>
      </c>
      <c r="AG830" s="2">
        <f t="shared" si="21"/>
      </c>
      <c r="AH830" s="2">
        <f t="shared" si="22"/>
      </c>
      <c r="AI830" s="2">
        <f t="shared" si="23"/>
      </c>
      <c r="AJ830" s="2">
        <f t="shared" si="24"/>
        <v>0</v>
      </c>
      <c r="AK830" s="2">
        <f t="shared" si="25"/>
        <v>0</v>
      </c>
      <c r="AL830" s="2">
        <f t="shared" si="26"/>
        <v>0</v>
      </c>
      <c r="AM830" s="2">
        <f t="shared" si="27"/>
        <v>0</v>
      </c>
      <c r="AN830" s="2">
        <f t="shared" si="28"/>
        <v>0</v>
      </c>
      <c r="AO830" s="2">
        <f t="shared" si="29"/>
      </c>
      <c r="AP830" s="2">
        <f t="shared" si="30"/>
      </c>
      <c r="AQ830" s="2">
        <f t="shared" si="31"/>
      </c>
    </row>
    <row r="831">
      <c r="A831" s="43">
        <f t="shared" si="3"/>
      </c>
      <c r="B831" s="44" t="n"/>
      <c r="C831" s="45" t="n"/>
      <c r="D831" s="46" t="n"/>
      <c r="E831" s="47" t="n"/>
      <c r="F831" s="47" t="n"/>
      <c r="G831" s="48">
        <f t="shared" si="4"/>
      </c>
      <c r="H831" s="43">
        <f t="shared" si="0"/>
      </c>
      <c r="I831" s="43">
        <f t="shared" si="5"/>
      </c>
      <c r="J831" s="43">
        <f t="shared" si="1"/>
      </c>
      <c r="K831" s="49">
        <f t="shared" si="2"/>
      </c>
      <c r="L831" s="45" t="n"/>
      <c r="M831" s="45" t="n"/>
      <c r="N831" s="45" t="n"/>
      <c r="O831" s="45" t="n"/>
      <c r="P831" s="50" t="n"/>
      <c r="R831" s="2">
        <f t="shared" si="6"/>
        <v>0</v>
      </c>
      <c r="S831" s="2">
        <f t="shared" si="7"/>
      </c>
      <c r="T831" s="2">
        <f t="shared" si="8"/>
      </c>
      <c r="U831" s="2">
        <f t="shared" si="9"/>
      </c>
      <c r="V831" s="2">
        <f t="shared" si="10"/>
      </c>
      <c r="W831" s="2">
        <f t="shared" si="11"/>
      </c>
      <c r="X831" s="2">
        <f t="shared" si="12"/>
      </c>
      <c r="Y831" s="2">
        <f t="shared" si="13"/>
        <v>0</v>
      </c>
      <c r="Z831" s="2">
        <f t="shared" si="14"/>
      </c>
      <c r="AA831" s="2">
        <f t="shared" si="15"/>
        <v>0</v>
      </c>
      <c r="AB831" s="2">
        <f t="shared" si="16"/>
      </c>
      <c r="AC831" s="2">
        <f t="shared" si="17"/>
      </c>
      <c r="AD831" s="2">
        <f t="shared" si="18"/>
      </c>
      <c r="AE831" s="2">
        <f t="shared" si="19"/>
      </c>
      <c r="AF831" s="2">
        <f t="shared" si="20"/>
      </c>
      <c r="AG831" s="2">
        <f t="shared" si="21"/>
      </c>
      <c r="AH831" s="2">
        <f t="shared" si="22"/>
      </c>
      <c r="AI831" s="2">
        <f t="shared" si="23"/>
      </c>
      <c r="AJ831" s="2">
        <f t="shared" si="24"/>
        <v>0</v>
      </c>
      <c r="AK831" s="2">
        <f t="shared" si="25"/>
        <v>0</v>
      </c>
      <c r="AL831" s="2">
        <f t="shared" si="26"/>
        <v>0</v>
      </c>
      <c r="AM831" s="2">
        <f t="shared" si="27"/>
        <v>0</v>
      </c>
      <c r="AN831" s="2">
        <f t="shared" si="28"/>
        <v>0</v>
      </c>
      <c r="AO831" s="2">
        <f t="shared" si="29"/>
      </c>
      <c r="AP831" s="2">
        <f t="shared" si="30"/>
      </c>
      <c r="AQ831" s="2">
        <f t="shared" si="31"/>
      </c>
    </row>
    <row r="832">
      <c r="A832" s="43">
        <f t="shared" si="3"/>
      </c>
      <c r="B832" s="44" t="n"/>
      <c r="C832" s="45" t="n"/>
      <c r="D832" s="46" t="n"/>
      <c r="E832" s="47" t="n"/>
      <c r="F832" s="47" t="n"/>
      <c r="G832" s="48">
        <f t="shared" si="4"/>
      </c>
      <c r="H832" s="43">
        <f t="shared" si="0"/>
      </c>
      <c r="I832" s="43">
        <f t="shared" si="5"/>
      </c>
      <c r="J832" s="43">
        <f t="shared" si="1"/>
      </c>
      <c r="K832" s="49">
        <f t="shared" si="2"/>
      </c>
      <c r="L832" s="45" t="n"/>
      <c r="M832" s="45" t="n"/>
      <c r="N832" s="45" t="n"/>
      <c r="O832" s="45" t="n"/>
      <c r="P832" s="50" t="n"/>
      <c r="R832" s="2">
        <f t="shared" si="6"/>
        <v>0</v>
      </c>
      <c r="S832" s="2">
        <f t="shared" si="7"/>
      </c>
      <c r="T832" s="2">
        <f t="shared" si="8"/>
      </c>
      <c r="U832" s="2">
        <f t="shared" si="9"/>
      </c>
      <c r="V832" s="2">
        <f t="shared" si="10"/>
      </c>
      <c r="W832" s="2">
        <f t="shared" si="11"/>
      </c>
      <c r="X832" s="2">
        <f t="shared" si="12"/>
      </c>
      <c r="Y832" s="2">
        <f t="shared" si="13"/>
        <v>0</v>
      </c>
      <c r="Z832" s="2">
        <f t="shared" si="14"/>
      </c>
      <c r="AA832" s="2">
        <f t="shared" si="15"/>
        <v>0</v>
      </c>
      <c r="AB832" s="2">
        <f t="shared" si="16"/>
      </c>
      <c r="AC832" s="2">
        <f t="shared" si="17"/>
      </c>
      <c r="AD832" s="2">
        <f t="shared" si="18"/>
      </c>
      <c r="AE832" s="2">
        <f t="shared" si="19"/>
      </c>
      <c r="AF832" s="2">
        <f t="shared" si="20"/>
      </c>
      <c r="AG832" s="2">
        <f t="shared" si="21"/>
      </c>
      <c r="AH832" s="2">
        <f t="shared" si="22"/>
      </c>
      <c r="AI832" s="2">
        <f t="shared" si="23"/>
      </c>
      <c r="AJ832" s="2">
        <f t="shared" si="24"/>
        <v>0</v>
      </c>
      <c r="AK832" s="2">
        <f t="shared" si="25"/>
        <v>0</v>
      </c>
      <c r="AL832" s="2">
        <f t="shared" si="26"/>
        <v>0</v>
      </c>
      <c r="AM832" s="2">
        <f t="shared" si="27"/>
        <v>0</v>
      </c>
      <c r="AN832" s="2">
        <f t="shared" si="28"/>
        <v>0</v>
      </c>
      <c r="AO832" s="2">
        <f t="shared" si="29"/>
      </c>
      <c r="AP832" s="2">
        <f t="shared" si="30"/>
      </c>
      <c r="AQ832" s="2">
        <f t="shared" si="31"/>
      </c>
    </row>
    <row r="833">
      <c r="A833" s="43">
        <f t="shared" si="3"/>
      </c>
      <c r="B833" s="44" t="n"/>
      <c r="C833" s="45" t="n"/>
      <c r="D833" s="46" t="n"/>
      <c r="E833" s="47" t="n"/>
      <c r="F833" s="47" t="n"/>
      <c r="G833" s="48">
        <f t="shared" si="4"/>
      </c>
      <c r="H833" s="43">
        <f t="shared" si="0"/>
      </c>
      <c r="I833" s="43">
        <f t="shared" si="5"/>
      </c>
      <c r="J833" s="43">
        <f t="shared" si="1"/>
      </c>
      <c r="K833" s="49">
        <f t="shared" si="2"/>
      </c>
      <c r="L833" s="45" t="n"/>
      <c r="M833" s="45" t="n"/>
      <c r="N833" s="45" t="n"/>
      <c r="O833" s="45" t="n"/>
      <c r="P833" s="50" t="n"/>
      <c r="R833" s="2">
        <f t="shared" si="6"/>
        <v>0</v>
      </c>
      <c r="S833" s="2">
        <f t="shared" si="7"/>
      </c>
      <c r="T833" s="2">
        <f t="shared" si="8"/>
      </c>
      <c r="U833" s="2">
        <f t="shared" si="9"/>
      </c>
      <c r="V833" s="2">
        <f t="shared" si="10"/>
      </c>
      <c r="W833" s="2">
        <f t="shared" si="11"/>
      </c>
      <c r="X833" s="2">
        <f t="shared" si="12"/>
      </c>
      <c r="Y833" s="2">
        <f t="shared" si="13"/>
        <v>0</v>
      </c>
      <c r="Z833" s="2">
        <f t="shared" si="14"/>
      </c>
      <c r="AA833" s="2">
        <f t="shared" si="15"/>
        <v>0</v>
      </c>
      <c r="AB833" s="2">
        <f t="shared" si="16"/>
      </c>
      <c r="AC833" s="2">
        <f t="shared" si="17"/>
      </c>
      <c r="AD833" s="2">
        <f t="shared" si="18"/>
      </c>
      <c r="AE833" s="2">
        <f t="shared" si="19"/>
      </c>
      <c r="AF833" s="2">
        <f t="shared" si="20"/>
      </c>
      <c r="AG833" s="2">
        <f t="shared" si="21"/>
      </c>
      <c r="AH833" s="2">
        <f t="shared" si="22"/>
      </c>
      <c r="AI833" s="2">
        <f t="shared" si="23"/>
      </c>
      <c r="AJ833" s="2">
        <f t="shared" si="24"/>
        <v>0</v>
      </c>
      <c r="AK833" s="2">
        <f t="shared" si="25"/>
        <v>0</v>
      </c>
      <c r="AL833" s="2">
        <f t="shared" si="26"/>
        <v>0</v>
      </c>
      <c r="AM833" s="2">
        <f t="shared" si="27"/>
        <v>0</v>
      </c>
      <c r="AN833" s="2">
        <f t="shared" si="28"/>
        <v>0</v>
      </c>
      <c r="AO833" s="2">
        <f t="shared" si="29"/>
      </c>
      <c r="AP833" s="2">
        <f t="shared" si="30"/>
      </c>
      <c r="AQ833" s="2">
        <f t="shared" si="31"/>
      </c>
    </row>
    <row r="834">
      <c r="A834" s="43">
        <f t="shared" si="3"/>
      </c>
      <c r="B834" s="44" t="n"/>
      <c r="C834" s="45" t="n"/>
      <c r="D834" s="46" t="n"/>
      <c r="E834" s="47" t="n"/>
      <c r="F834" s="47" t="n"/>
      <c r="G834" s="48">
        <f t="shared" si="4"/>
      </c>
      <c r="H834" s="43">
        <f t="shared" si="0"/>
      </c>
      <c r="I834" s="43">
        <f t="shared" si="5"/>
      </c>
      <c r="J834" s="43">
        <f t="shared" si="1"/>
      </c>
      <c r="K834" s="49">
        <f t="shared" si="2"/>
      </c>
      <c r="L834" s="45" t="n"/>
      <c r="M834" s="45" t="n"/>
      <c r="N834" s="45" t="n"/>
      <c r="O834" s="45" t="n"/>
      <c r="P834" s="50" t="n"/>
      <c r="R834" s="2">
        <f t="shared" si="6"/>
        <v>0</v>
      </c>
      <c r="S834" s="2">
        <f t="shared" si="7"/>
      </c>
      <c r="T834" s="2">
        <f t="shared" si="8"/>
      </c>
      <c r="U834" s="2">
        <f t="shared" si="9"/>
      </c>
      <c r="V834" s="2">
        <f t="shared" si="10"/>
      </c>
      <c r="W834" s="2">
        <f t="shared" si="11"/>
      </c>
      <c r="X834" s="2">
        <f t="shared" si="12"/>
      </c>
      <c r="Y834" s="2">
        <f t="shared" si="13"/>
        <v>0</v>
      </c>
      <c r="Z834" s="2">
        <f t="shared" si="14"/>
      </c>
      <c r="AA834" s="2">
        <f t="shared" si="15"/>
        <v>0</v>
      </c>
      <c r="AB834" s="2">
        <f t="shared" si="16"/>
      </c>
      <c r="AC834" s="2">
        <f t="shared" si="17"/>
      </c>
      <c r="AD834" s="2">
        <f t="shared" si="18"/>
      </c>
      <c r="AE834" s="2">
        <f t="shared" si="19"/>
      </c>
      <c r="AF834" s="2">
        <f t="shared" si="20"/>
      </c>
      <c r="AG834" s="2">
        <f t="shared" si="21"/>
      </c>
      <c r="AH834" s="2">
        <f t="shared" si="22"/>
      </c>
      <c r="AI834" s="2">
        <f t="shared" si="23"/>
      </c>
      <c r="AJ834" s="2">
        <f t="shared" si="24"/>
        <v>0</v>
      </c>
      <c r="AK834" s="2">
        <f t="shared" si="25"/>
        <v>0</v>
      </c>
      <c r="AL834" s="2">
        <f t="shared" si="26"/>
        <v>0</v>
      </c>
      <c r="AM834" s="2">
        <f t="shared" si="27"/>
        <v>0</v>
      </c>
      <c r="AN834" s="2">
        <f t="shared" si="28"/>
        <v>0</v>
      </c>
      <c r="AO834" s="2">
        <f t="shared" si="29"/>
      </c>
      <c r="AP834" s="2">
        <f t="shared" si="30"/>
      </c>
      <c r="AQ834" s="2">
        <f t="shared" si="31"/>
      </c>
    </row>
    <row r="835">
      <c r="A835" s="43">
        <f t="shared" si="3"/>
      </c>
      <c r="B835" s="44" t="n"/>
      <c r="C835" s="45" t="n"/>
      <c r="D835" s="46" t="n"/>
      <c r="E835" s="47" t="n"/>
      <c r="F835" s="47" t="n"/>
      <c r="G835" s="48">
        <f t="shared" si="4"/>
      </c>
      <c r="H835" s="43">
        <f t="shared" si="0"/>
      </c>
      <c r="I835" s="43">
        <f t="shared" si="5"/>
      </c>
      <c r="J835" s="43">
        <f t="shared" si="1"/>
      </c>
      <c r="K835" s="49">
        <f t="shared" si="2"/>
      </c>
      <c r="L835" s="45" t="n"/>
      <c r="M835" s="45" t="n"/>
      <c r="N835" s="45" t="n"/>
      <c r="O835" s="45" t="n"/>
      <c r="P835" s="50" t="n"/>
      <c r="R835" s="2">
        <f t="shared" si="6"/>
        <v>0</v>
      </c>
      <c r="S835" s="2">
        <f t="shared" si="7"/>
      </c>
      <c r="T835" s="2">
        <f t="shared" si="8"/>
      </c>
      <c r="U835" s="2">
        <f t="shared" si="9"/>
      </c>
      <c r="V835" s="2">
        <f t="shared" si="10"/>
      </c>
      <c r="W835" s="2">
        <f t="shared" si="11"/>
      </c>
      <c r="X835" s="2">
        <f t="shared" si="12"/>
      </c>
      <c r="Y835" s="2">
        <f t="shared" si="13"/>
        <v>0</v>
      </c>
      <c r="Z835" s="2">
        <f t="shared" si="14"/>
      </c>
      <c r="AA835" s="2">
        <f t="shared" si="15"/>
        <v>0</v>
      </c>
      <c r="AB835" s="2">
        <f t="shared" si="16"/>
      </c>
      <c r="AC835" s="2">
        <f t="shared" si="17"/>
      </c>
      <c r="AD835" s="2">
        <f t="shared" si="18"/>
      </c>
      <c r="AE835" s="2">
        <f t="shared" si="19"/>
      </c>
      <c r="AF835" s="2">
        <f t="shared" si="20"/>
      </c>
      <c r="AG835" s="2">
        <f t="shared" si="21"/>
      </c>
      <c r="AH835" s="2">
        <f t="shared" si="22"/>
      </c>
      <c r="AI835" s="2">
        <f t="shared" si="23"/>
      </c>
      <c r="AJ835" s="2">
        <f t="shared" si="24"/>
        <v>0</v>
      </c>
      <c r="AK835" s="2">
        <f t="shared" si="25"/>
        <v>0</v>
      </c>
      <c r="AL835" s="2">
        <f t="shared" si="26"/>
        <v>0</v>
      </c>
      <c r="AM835" s="2">
        <f t="shared" si="27"/>
        <v>0</v>
      </c>
      <c r="AN835" s="2">
        <f t="shared" si="28"/>
        <v>0</v>
      </c>
      <c r="AO835" s="2">
        <f t="shared" si="29"/>
      </c>
      <c r="AP835" s="2">
        <f t="shared" si="30"/>
      </c>
      <c r="AQ835" s="2">
        <f t="shared" si="31"/>
      </c>
    </row>
    <row r="836">
      <c r="A836" s="43">
        <f t="shared" si="3"/>
      </c>
      <c r="B836" s="44" t="n"/>
      <c r="C836" s="45" t="n"/>
      <c r="D836" s="46" t="n"/>
      <c r="E836" s="47" t="n"/>
      <c r="F836" s="47" t="n"/>
      <c r="G836" s="48">
        <f t="shared" si="4"/>
      </c>
      <c r="H836" s="43">
        <f t="shared" si="0"/>
      </c>
      <c r="I836" s="43">
        <f t="shared" si="5"/>
      </c>
      <c r="J836" s="43">
        <f t="shared" si="1"/>
      </c>
      <c r="K836" s="49">
        <f t="shared" si="2"/>
      </c>
      <c r="L836" s="45" t="n"/>
      <c r="M836" s="45" t="n"/>
      <c r="N836" s="45" t="n"/>
      <c r="O836" s="45" t="n"/>
      <c r="P836" s="50" t="n"/>
      <c r="R836" s="2">
        <f t="shared" si="6"/>
        <v>0</v>
      </c>
      <c r="S836" s="2">
        <f t="shared" si="7"/>
      </c>
      <c r="T836" s="2">
        <f t="shared" si="8"/>
      </c>
      <c r="U836" s="2">
        <f t="shared" si="9"/>
      </c>
      <c r="V836" s="2">
        <f t="shared" si="10"/>
      </c>
      <c r="W836" s="2">
        <f t="shared" si="11"/>
      </c>
      <c r="X836" s="2">
        <f t="shared" si="12"/>
      </c>
      <c r="Y836" s="2">
        <f t="shared" si="13"/>
        <v>0</v>
      </c>
      <c r="Z836" s="2">
        <f t="shared" si="14"/>
      </c>
      <c r="AA836" s="2">
        <f t="shared" si="15"/>
        <v>0</v>
      </c>
      <c r="AB836" s="2">
        <f t="shared" si="16"/>
      </c>
      <c r="AC836" s="2">
        <f t="shared" si="17"/>
      </c>
      <c r="AD836" s="2">
        <f t="shared" si="18"/>
      </c>
      <c r="AE836" s="2">
        <f t="shared" si="19"/>
      </c>
      <c r="AF836" s="2">
        <f t="shared" si="20"/>
      </c>
      <c r="AG836" s="2">
        <f t="shared" si="21"/>
      </c>
      <c r="AH836" s="2">
        <f t="shared" si="22"/>
      </c>
      <c r="AI836" s="2">
        <f t="shared" si="23"/>
      </c>
      <c r="AJ836" s="2">
        <f t="shared" si="24"/>
        <v>0</v>
      </c>
      <c r="AK836" s="2">
        <f t="shared" si="25"/>
        <v>0</v>
      </c>
      <c r="AL836" s="2">
        <f t="shared" si="26"/>
        <v>0</v>
      </c>
      <c r="AM836" s="2">
        <f t="shared" si="27"/>
        <v>0</v>
      </c>
      <c r="AN836" s="2">
        <f t="shared" si="28"/>
        <v>0</v>
      </c>
      <c r="AO836" s="2">
        <f t="shared" si="29"/>
      </c>
      <c r="AP836" s="2">
        <f t="shared" si="30"/>
      </c>
      <c r="AQ836" s="2">
        <f t="shared" si="31"/>
      </c>
    </row>
    <row r="837">
      <c r="A837" s="43">
        <f t="shared" si="3"/>
      </c>
      <c r="B837" s="44" t="n"/>
      <c r="C837" s="45" t="n"/>
      <c r="D837" s="46" t="n"/>
      <c r="E837" s="47" t="n"/>
      <c r="F837" s="47" t="n"/>
      <c r="G837" s="48">
        <f t="shared" si="4"/>
      </c>
      <c r="H837" s="43">
        <f t="shared" si="0"/>
      </c>
      <c r="I837" s="43">
        <f t="shared" si="5"/>
      </c>
      <c r="J837" s="43">
        <f t="shared" si="1"/>
      </c>
      <c r="K837" s="49">
        <f t="shared" si="2"/>
      </c>
      <c r="L837" s="45" t="n"/>
      <c r="M837" s="45" t="n"/>
      <c r="N837" s="45" t="n"/>
      <c r="O837" s="45" t="n"/>
      <c r="P837" s="50" t="n"/>
      <c r="R837" s="2">
        <f t="shared" si="6"/>
        <v>0</v>
      </c>
      <c r="S837" s="2">
        <f t="shared" si="7"/>
      </c>
      <c r="T837" s="2">
        <f t="shared" si="8"/>
      </c>
      <c r="U837" s="2">
        <f t="shared" si="9"/>
      </c>
      <c r="V837" s="2">
        <f t="shared" si="10"/>
      </c>
      <c r="W837" s="2">
        <f t="shared" si="11"/>
      </c>
      <c r="X837" s="2">
        <f t="shared" si="12"/>
      </c>
      <c r="Y837" s="2">
        <f t="shared" si="13"/>
        <v>0</v>
      </c>
      <c r="Z837" s="2">
        <f t="shared" si="14"/>
      </c>
      <c r="AA837" s="2">
        <f t="shared" si="15"/>
        <v>0</v>
      </c>
      <c r="AB837" s="2">
        <f t="shared" si="16"/>
      </c>
      <c r="AC837" s="2">
        <f t="shared" si="17"/>
      </c>
      <c r="AD837" s="2">
        <f t="shared" si="18"/>
      </c>
      <c r="AE837" s="2">
        <f t="shared" si="19"/>
      </c>
      <c r="AF837" s="2">
        <f t="shared" si="20"/>
      </c>
      <c r="AG837" s="2">
        <f t="shared" si="21"/>
      </c>
      <c r="AH837" s="2">
        <f t="shared" si="22"/>
      </c>
      <c r="AI837" s="2">
        <f t="shared" si="23"/>
      </c>
      <c r="AJ837" s="2">
        <f t="shared" si="24"/>
        <v>0</v>
      </c>
      <c r="AK837" s="2">
        <f t="shared" si="25"/>
        <v>0</v>
      </c>
      <c r="AL837" s="2">
        <f t="shared" si="26"/>
        <v>0</v>
      </c>
      <c r="AM837" s="2">
        <f t="shared" si="27"/>
        <v>0</v>
      </c>
      <c r="AN837" s="2">
        <f t="shared" si="28"/>
        <v>0</v>
      </c>
      <c r="AO837" s="2">
        <f t="shared" si="29"/>
      </c>
      <c r="AP837" s="2">
        <f t="shared" si="30"/>
      </c>
      <c r="AQ837" s="2">
        <f t="shared" si="31"/>
      </c>
    </row>
    <row r="838">
      <c r="A838" s="43">
        <f t="shared" si="3"/>
      </c>
      <c r="B838" s="44" t="n"/>
      <c r="C838" s="45" t="n"/>
      <c r="D838" s="46" t="n"/>
      <c r="E838" s="47" t="n"/>
      <c r="F838" s="47" t="n"/>
      <c r="G838" s="48">
        <f t="shared" si="4"/>
      </c>
      <c r="H838" s="43">
        <f t="shared" si="0"/>
      </c>
      <c r="I838" s="43">
        <f t="shared" si="5"/>
      </c>
      <c r="J838" s="43">
        <f t="shared" si="1"/>
      </c>
      <c r="K838" s="49">
        <f t="shared" si="2"/>
      </c>
      <c r="L838" s="45" t="n"/>
      <c r="M838" s="45" t="n"/>
      <c r="N838" s="45" t="n"/>
      <c r="O838" s="45" t="n"/>
      <c r="P838" s="50" t="n"/>
      <c r="R838" s="2">
        <f t="shared" si="6"/>
        <v>0</v>
      </c>
      <c r="S838" s="2">
        <f t="shared" si="7"/>
      </c>
      <c r="T838" s="2">
        <f t="shared" si="8"/>
      </c>
      <c r="U838" s="2">
        <f t="shared" si="9"/>
      </c>
      <c r="V838" s="2">
        <f t="shared" si="10"/>
      </c>
      <c r="W838" s="2">
        <f t="shared" si="11"/>
      </c>
      <c r="X838" s="2">
        <f t="shared" si="12"/>
      </c>
      <c r="Y838" s="2">
        <f t="shared" si="13"/>
        <v>0</v>
      </c>
      <c r="Z838" s="2">
        <f t="shared" si="14"/>
      </c>
      <c r="AA838" s="2">
        <f t="shared" si="15"/>
        <v>0</v>
      </c>
      <c r="AB838" s="2">
        <f t="shared" si="16"/>
      </c>
      <c r="AC838" s="2">
        <f t="shared" si="17"/>
      </c>
      <c r="AD838" s="2">
        <f t="shared" si="18"/>
      </c>
      <c r="AE838" s="2">
        <f t="shared" si="19"/>
      </c>
      <c r="AF838" s="2">
        <f t="shared" si="20"/>
      </c>
      <c r="AG838" s="2">
        <f t="shared" si="21"/>
      </c>
      <c r="AH838" s="2">
        <f t="shared" si="22"/>
      </c>
      <c r="AI838" s="2">
        <f t="shared" si="23"/>
      </c>
      <c r="AJ838" s="2">
        <f t="shared" si="24"/>
        <v>0</v>
      </c>
      <c r="AK838" s="2">
        <f t="shared" si="25"/>
        <v>0</v>
      </c>
      <c r="AL838" s="2">
        <f t="shared" si="26"/>
        <v>0</v>
      </c>
      <c r="AM838" s="2">
        <f t="shared" si="27"/>
        <v>0</v>
      </c>
      <c r="AN838" s="2">
        <f t="shared" si="28"/>
        <v>0</v>
      </c>
      <c r="AO838" s="2">
        <f t="shared" si="29"/>
      </c>
      <c r="AP838" s="2">
        <f t="shared" si="30"/>
      </c>
      <c r="AQ838" s="2">
        <f t="shared" si="31"/>
      </c>
    </row>
    <row r="839">
      <c r="A839" s="43">
        <f t="shared" si="3"/>
      </c>
      <c r="B839" s="44" t="n"/>
      <c r="C839" s="45" t="n"/>
      <c r="D839" s="46" t="n"/>
      <c r="E839" s="47" t="n"/>
      <c r="F839" s="47" t="n"/>
      <c r="G839" s="48">
        <f t="shared" si="4"/>
      </c>
      <c r="H839" s="43">
        <f t="shared" si="0"/>
      </c>
      <c r="I839" s="43">
        <f t="shared" si="5"/>
      </c>
      <c r="J839" s="43">
        <f t="shared" si="1"/>
      </c>
      <c r="K839" s="49">
        <f t="shared" si="2"/>
      </c>
      <c r="L839" s="45" t="n"/>
      <c r="M839" s="45" t="n"/>
      <c r="N839" s="45" t="n"/>
      <c r="O839" s="45" t="n"/>
      <c r="P839" s="50" t="n"/>
      <c r="R839" s="2">
        <f t="shared" si="6"/>
        <v>0</v>
      </c>
      <c r="S839" s="2">
        <f t="shared" si="7"/>
      </c>
      <c r="T839" s="2">
        <f t="shared" si="8"/>
      </c>
      <c r="U839" s="2">
        <f t="shared" si="9"/>
      </c>
      <c r="V839" s="2">
        <f t="shared" si="10"/>
      </c>
      <c r="W839" s="2">
        <f t="shared" si="11"/>
      </c>
      <c r="X839" s="2">
        <f t="shared" si="12"/>
      </c>
      <c r="Y839" s="2">
        <f t="shared" si="13"/>
        <v>0</v>
      </c>
      <c r="Z839" s="2">
        <f t="shared" si="14"/>
      </c>
      <c r="AA839" s="2">
        <f t="shared" si="15"/>
        <v>0</v>
      </c>
      <c r="AB839" s="2">
        <f t="shared" si="16"/>
      </c>
      <c r="AC839" s="2">
        <f t="shared" si="17"/>
      </c>
      <c r="AD839" s="2">
        <f t="shared" si="18"/>
      </c>
      <c r="AE839" s="2">
        <f t="shared" si="19"/>
      </c>
      <c r="AF839" s="2">
        <f t="shared" si="20"/>
      </c>
      <c r="AG839" s="2">
        <f t="shared" si="21"/>
      </c>
      <c r="AH839" s="2">
        <f t="shared" si="22"/>
      </c>
      <c r="AI839" s="2">
        <f t="shared" si="23"/>
      </c>
      <c r="AJ839" s="2">
        <f t="shared" si="24"/>
        <v>0</v>
      </c>
      <c r="AK839" s="2">
        <f t="shared" si="25"/>
        <v>0</v>
      </c>
      <c r="AL839" s="2">
        <f t="shared" si="26"/>
        <v>0</v>
      </c>
      <c r="AM839" s="2">
        <f t="shared" si="27"/>
        <v>0</v>
      </c>
      <c r="AN839" s="2">
        <f t="shared" si="28"/>
        <v>0</v>
      </c>
      <c r="AO839" s="2">
        <f t="shared" si="29"/>
      </c>
      <c r="AP839" s="2">
        <f t="shared" si="30"/>
      </c>
      <c r="AQ839" s="2">
        <f t="shared" si="31"/>
      </c>
    </row>
    <row r="840">
      <c r="A840" s="43">
        <f t="shared" si="3"/>
      </c>
      <c r="B840" s="44" t="n"/>
      <c r="C840" s="45" t="n"/>
      <c r="D840" s="46" t="n"/>
      <c r="E840" s="47" t="n"/>
      <c r="F840" s="47" t="n"/>
      <c r="G840" s="48">
        <f t="shared" si="4"/>
      </c>
      <c r="H840" s="43">
        <f t="shared" si="0"/>
      </c>
      <c r="I840" s="43">
        <f t="shared" si="5"/>
      </c>
      <c r="J840" s="43">
        <f t="shared" si="1"/>
      </c>
      <c r="K840" s="49">
        <f t="shared" si="2"/>
      </c>
      <c r="L840" s="45" t="n"/>
      <c r="M840" s="45" t="n"/>
      <c r="N840" s="45" t="n"/>
      <c r="O840" s="45" t="n"/>
      <c r="P840" s="50" t="n"/>
      <c r="R840" s="2">
        <f t="shared" si="6"/>
        <v>0</v>
      </c>
      <c r="S840" s="2">
        <f t="shared" si="7"/>
      </c>
      <c r="T840" s="2">
        <f t="shared" si="8"/>
      </c>
      <c r="U840" s="2">
        <f t="shared" si="9"/>
      </c>
      <c r="V840" s="2">
        <f t="shared" si="10"/>
      </c>
      <c r="W840" s="2">
        <f t="shared" si="11"/>
      </c>
      <c r="X840" s="2">
        <f t="shared" si="12"/>
      </c>
      <c r="Y840" s="2">
        <f t="shared" si="13"/>
        <v>0</v>
      </c>
      <c r="Z840" s="2">
        <f t="shared" si="14"/>
      </c>
      <c r="AA840" s="2">
        <f t="shared" si="15"/>
        <v>0</v>
      </c>
      <c r="AB840" s="2">
        <f t="shared" si="16"/>
      </c>
      <c r="AC840" s="2">
        <f t="shared" si="17"/>
      </c>
      <c r="AD840" s="2">
        <f t="shared" si="18"/>
      </c>
      <c r="AE840" s="2">
        <f t="shared" si="19"/>
      </c>
      <c r="AF840" s="2">
        <f t="shared" si="20"/>
      </c>
      <c r="AG840" s="2">
        <f t="shared" si="21"/>
      </c>
      <c r="AH840" s="2">
        <f t="shared" si="22"/>
      </c>
      <c r="AI840" s="2">
        <f t="shared" si="23"/>
      </c>
      <c r="AJ840" s="2">
        <f t="shared" si="24"/>
        <v>0</v>
      </c>
      <c r="AK840" s="2">
        <f t="shared" si="25"/>
        <v>0</v>
      </c>
      <c r="AL840" s="2">
        <f t="shared" si="26"/>
        <v>0</v>
      </c>
      <c r="AM840" s="2">
        <f t="shared" si="27"/>
        <v>0</v>
      </c>
      <c r="AN840" s="2">
        <f t="shared" si="28"/>
        <v>0</v>
      </c>
      <c r="AO840" s="2">
        <f t="shared" si="29"/>
      </c>
      <c r="AP840" s="2">
        <f t="shared" si="30"/>
      </c>
      <c r="AQ840" s="2">
        <f t="shared" si="31"/>
      </c>
    </row>
    <row r="841">
      <c r="A841" s="43">
        <f t="shared" si="3"/>
      </c>
      <c r="B841" s="44" t="n"/>
      <c r="C841" s="45" t="n"/>
      <c r="D841" s="46" t="n"/>
      <c r="E841" s="47" t="n"/>
      <c r="F841" s="47" t="n"/>
      <c r="G841" s="48">
        <f t="shared" si="4"/>
      </c>
      <c r="H841" s="43">
        <f t="shared" si="0"/>
      </c>
      <c r="I841" s="43">
        <f t="shared" si="5"/>
      </c>
      <c r="J841" s="43">
        <f t="shared" si="1"/>
      </c>
      <c r="K841" s="49">
        <f t="shared" si="2"/>
      </c>
      <c r="L841" s="45" t="n"/>
      <c r="M841" s="45" t="n"/>
      <c r="N841" s="45" t="n"/>
      <c r="O841" s="45" t="n"/>
      <c r="P841" s="50" t="n"/>
      <c r="R841" s="2">
        <f t="shared" si="6"/>
        <v>0</v>
      </c>
      <c r="S841" s="2">
        <f t="shared" si="7"/>
      </c>
      <c r="T841" s="2">
        <f t="shared" si="8"/>
      </c>
      <c r="U841" s="2">
        <f t="shared" si="9"/>
      </c>
      <c r="V841" s="2">
        <f t="shared" si="10"/>
      </c>
      <c r="W841" s="2">
        <f t="shared" si="11"/>
      </c>
      <c r="X841" s="2">
        <f t="shared" si="12"/>
      </c>
      <c r="Y841" s="2">
        <f t="shared" si="13"/>
        <v>0</v>
      </c>
      <c r="Z841" s="2">
        <f t="shared" si="14"/>
      </c>
      <c r="AA841" s="2">
        <f t="shared" si="15"/>
        <v>0</v>
      </c>
      <c r="AB841" s="2">
        <f t="shared" si="16"/>
      </c>
      <c r="AC841" s="2">
        <f t="shared" si="17"/>
      </c>
      <c r="AD841" s="2">
        <f t="shared" si="18"/>
      </c>
      <c r="AE841" s="2">
        <f t="shared" si="19"/>
      </c>
      <c r="AF841" s="2">
        <f t="shared" si="20"/>
      </c>
      <c r="AG841" s="2">
        <f t="shared" si="21"/>
      </c>
      <c r="AH841" s="2">
        <f t="shared" si="22"/>
      </c>
      <c r="AI841" s="2">
        <f t="shared" si="23"/>
      </c>
      <c r="AJ841" s="2">
        <f t="shared" si="24"/>
        <v>0</v>
      </c>
      <c r="AK841" s="2">
        <f t="shared" si="25"/>
        <v>0</v>
      </c>
      <c r="AL841" s="2">
        <f t="shared" si="26"/>
        <v>0</v>
      </c>
      <c r="AM841" s="2">
        <f t="shared" si="27"/>
        <v>0</v>
      </c>
      <c r="AN841" s="2">
        <f t="shared" si="28"/>
        <v>0</v>
      </c>
      <c r="AO841" s="2">
        <f t="shared" si="29"/>
      </c>
      <c r="AP841" s="2">
        <f t="shared" si="30"/>
      </c>
      <c r="AQ841" s="2">
        <f t="shared" si="31"/>
      </c>
    </row>
    <row r="842">
      <c r="A842" s="43">
        <f t="shared" si="3"/>
      </c>
      <c r="B842" s="44" t="n"/>
      <c r="C842" s="45" t="n"/>
      <c r="D842" s="46" t="n"/>
      <c r="E842" s="47" t="n"/>
      <c r="F842" s="47" t="n"/>
      <c r="G842" s="48">
        <f t="shared" si="4"/>
      </c>
      <c r="H842" s="43">
        <f t="shared" si="0"/>
      </c>
      <c r="I842" s="43">
        <f t="shared" si="5"/>
      </c>
      <c r="J842" s="43">
        <f t="shared" si="1"/>
      </c>
      <c r="K842" s="49">
        <f t="shared" si="2"/>
      </c>
      <c r="L842" s="45" t="n"/>
      <c r="M842" s="45" t="n"/>
      <c r="N842" s="45" t="n"/>
      <c r="O842" s="45" t="n"/>
      <c r="P842" s="50" t="n"/>
      <c r="R842" s="2">
        <f t="shared" si="6"/>
        <v>0</v>
      </c>
      <c r="S842" s="2">
        <f t="shared" si="7"/>
      </c>
      <c r="T842" s="2">
        <f t="shared" si="8"/>
      </c>
      <c r="U842" s="2">
        <f t="shared" si="9"/>
      </c>
      <c r="V842" s="2">
        <f t="shared" si="10"/>
      </c>
      <c r="W842" s="2">
        <f t="shared" si="11"/>
      </c>
      <c r="X842" s="2">
        <f t="shared" si="12"/>
      </c>
      <c r="Y842" s="2">
        <f t="shared" si="13"/>
        <v>0</v>
      </c>
      <c r="Z842" s="2">
        <f t="shared" si="14"/>
      </c>
      <c r="AA842" s="2">
        <f t="shared" si="15"/>
        <v>0</v>
      </c>
      <c r="AB842" s="2">
        <f t="shared" si="16"/>
      </c>
      <c r="AC842" s="2">
        <f t="shared" si="17"/>
      </c>
      <c r="AD842" s="2">
        <f t="shared" si="18"/>
      </c>
      <c r="AE842" s="2">
        <f t="shared" si="19"/>
      </c>
      <c r="AF842" s="2">
        <f t="shared" si="20"/>
      </c>
      <c r="AG842" s="2">
        <f t="shared" si="21"/>
      </c>
      <c r="AH842" s="2">
        <f t="shared" si="22"/>
      </c>
      <c r="AI842" s="2">
        <f t="shared" si="23"/>
      </c>
      <c r="AJ842" s="2">
        <f t="shared" si="24"/>
        <v>0</v>
      </c>
      <c r="AK842" s="2">
        <f t="shared" si="25"/>
        <v>0</v>
      </c>
      <c r="AL842" s="2">
        <f t="shared" si="26"/>
        <v>0</v>
      </c>
      <c r="AM842" s="2">
        <f t="shared" si="27"/>
        <v>0</v>
      </c>
      <c r="AN842" s="2">
        <f t="shared" si="28"/>
        <v>0</v>
      </c>
      <c r="AO842" s="2">
        <f t="shared" si="29"/>
      </c>
      <c r="AP842" s="2">
        <f t="shared" si="30"/>
      </c>
      <c r="AQ842" s="2">
        <f t="shared" si="31"/>
      </c>
    </row>
    <row r="843">
      <c r="A843" s="43">
        <f t="shared" si="3"/>
      </c>
      <c r="B843" s="44" t="n"/>
      <c r="C843" s="45" t="n"/>
      <c r="D843" s="46" t="n"/>
      <c r="E843" s="47" t="n"/>
      <c r="F843" s="47" t="n"/>
      <c r="G843" s="48">
        <f t="shared" si="4"/>
      </c>
      <c r="H843" s="43">
        <f t="shared" si="0"/>
      </c>
      <c r="I843" s="43">
        <f t="shared" si="5"/>
      </c>
      <c r="J843" s="43">
        <f t="shared" si="1"/>
      </c>
      <c r="K843" s="49">
        <f t="shared" si="2"/>
      </c>
      <c r="L843" s="45" t="n"/>
      <c r="M843" s="45" t="n"/>
      <c r="N843" s="45" t="n"/>
      <c r="O843" s="45" t="n"/>
      <c r="P843" s="50" t="n"/>
      <c r="R843" s="2">
        <f t="shared" si="6"/>
        <v>0</v>
      </c>
      <c r="S843" s="2">
        <f t="shared" si="7"/>
      </c>
      <c r="T843" s="2">
        <f t="shared" si="8"/>
      </c>
      <c r="U843" s="2">
        <f t="shared" si="9"/>
      </c>
      <c r="V843" s="2">
        <f t="shared" si="10"/>
      </c>
      <c r="W843" s="2">
        <f t="shared" si="11"/>
      </c>
      <c r="X843" s="2">
        <f t="shared" si="12"/>
      </c>
      <c r="Y843" s="2">
        <f t="shared" si="13"/>
        <v>0</v>
      </c>
      <c r="Z843" s="2">
        <f t="shared" si="14"/>
      </c>
      <c r="AA843" s="2">
        <f t="shared" si="15"/>
        <v>0</v>
      </c>
      <c r="AB843" s="2">
        <f t="shared" si="16"/>
      </c>
      <c r="AC843" s="2">
        <f t="shared" si="17"/>
      </c>
      <c r="AD843" s="2">
        <f t="shared" si="18"/>
      </c>
      <c r="AE843" s="2">
        <f t="shared" si="19"/>
      </c>
      <c r="AF843" s="2">
        <f t="shared" si="20"/>
      </c>
      <c r="AG843" s="2">
        <f t="shared" si="21"/>
      </c>
      <c r="AH843" s="2">
        <f t="shared" si="22"/>
      </c>
      <c r="AI843" s="2">
        <f t="shared" si="23"/>
      </c>
      <c r="AJ843" s="2">
        <f t="shared" si="24"/>
        <v>0</v>
      </c>
      <c r="AK843" s="2">
        <f t="shared" si="25"/>
        <v>0</v>
      </c>
      <c r="AL843" s="2">
        <f t="shared" si="26"/>
        <v>0</v>
      </c>
      <c r="AM843" s="2">
        <f t="shared" si="27"/>
        <v>0</v>
      </c>
      <c r="AN843" s="2">
        <f t="shared" si="28"/>
        <v>0</v>
      </c>
      <c r="AO843" s="2">
        <f t="shared" si="29"/>
      </c>
      <c r="AP843" s="2">
        <f t="shared" si="30"/>
      </c>
      <c r="AQ843" s="2">
        <f t="shared" si="31"/>
      </c>
    </row>
    <row r="844">
      <c r="A844" s="43">
        <f t="shared" si="3"/>
      </c>
      <c r="B844" s="44" t="n"/>
      <c r="C844" s="45" t="n"/>
      <c r="D844" s="46" t="n"/>
      <c r="E844" s="47" t="n"/>
      <c r="F844" s="47" t="n"/>
      <c r="G844" s="48">
        <f t="shared" si="4"/>
      </c>
      <c r="H844" s="43">
        <f t="shared" si="0"/>
      </c>
      <c r="I844" s="43">
        <f t="shared" si="5"/>
      </c>
      <c r="J844" s="43">
        <f t="shared" si="1"/>
      </c>
      <c r="K844" s="49">
        <f t="shared" si="2"/>
      </c>
      <c r="L844" s="45" t="n"/>
      <c r="M844" s="45" t="n"/>
      <c r="N844" s="45" t="n"/>
      <c r="O844" s="45" t="n"/>
      <c r="P844" s="50" t="n"/>
      <c r="R844" s="2">
        <f t="shared" si="6"/>
        <v>0</v>
      </c>
      <c r="S844" s="2">
        <f t="shared" si="7"/>
      </c>
      <c r="T844" s="2">
        <f t="shared" si="8"/>
      </c>
      <c r="U844" s="2">
        <f t="shared" si="9"/>
      </c>
      <c r="V844" s="2">
        <f t="shared" si="10"/>
      </c>
      <c r="W844" s="2">
        <f t="shared" si="11"/>
      </c>
      <c r="X844" s="2">
        <f t="shared" si="12"/>
      </c>
      <c r="Y844" s="2">
        <f t="shared" si="13"/>
        <v>0</v>
      </c>
      <c r="Z844" s="2">
        <f t="shared" si="14"/>
      </c>
      <c r="AA844" s="2">
        <f t="shared" si="15"/>
        <v>0</v>
      </c>
      <c r="AB844" s="2">
        <f t="shared" si="16"/>
      </c>
      <c r="AC844" s="2">
        <f t="shared" si="17"/>
      </c>
      <c r="AD844" s="2">
        <f t="shared" si="18"/>
      </c>
      <c r="AE844" s="2">
        <f t="shared" si="19"/>
      </c>
      <c r="AF844" s="2">
        <f t="shared" si="20"/>
      </c>
      <c r="AG844" s="2">
        <f t="shared" si="21"/>
      </c>
      <c r="AH844" s="2">
        <f t="shared" si="22"/>
      </c>
      <c r="AI844" s="2">
        <f t="shared" si="23"/>
      </c>
      <c r="AJ844" s="2">
        <f t="shared" si="24"/>
        <v>0</v>
      </c>
      <c r="AK844" s="2">
        <f t="shared" si="25"/>
        <v>0</v>
      </c>
      <c r="AL844" s="2">
        <f t="shared" si="26"/>
        <v>0</v>
      </c>
      <c r="AM844" s="2">
        <f t="shared" si="27"/>
        <v>0</v>
      </c>
      <c r="AN844" s="2">
        <f t="shared" si="28"/>
        <v>0</v>
      </c>
      <c r="AO844" s="2">
        <f t="shared" si="29"/>
      </c>
      <c r="AP844" s="2">
        <f t="shared" si="30"/>
      </c>
      <c r="AQ844" s="2">
        <f t="shared" si="31"/>
      </c>
    </row>
    <row r="845">
      <c r="A845" s="43">
        <f t="shared" si="3"/>
      </c>
      <c r="B845" s="44" t="n"/>
      <c r="C845" s="45" t="n"/>
      <c r="D845" s="46" t="n"/>
      <c r="E845" s="47" t="n"/>
      <c r="F845" s="47" t="n"/>
      <c r="G845" s="48">
        <f t="shared" si="4"/>
      </c>
      <c r="H845" s="43">
        <f t="shared" si="0"/>
      </c>
      <c r="I845" s="43">
        <f t="shared" si="5"/>
      </c>
      <c r="J845" s="43">
        <f t="shared" si="1"/>
      </c>
      <c r="K845" s="49">
        <f t="shared" si="2"/>
      </c>
      <c r="L845" s="45" t="n"/>
      <c r="M845" s="45" t="n"/>
      <c r="N845" s="45" t="n"/>
      <c r="O845" s="45" t="n"/>
      <c r="P845" s="50" t="n"/>
      <c r="R845" s="2">
        <f t="shared" si="6"/>
        <v>0</v>
      </c>
      <c r="S845" s="2">
        <f t="shared" si="7"/>
      </c>
      <c r="T845" s="2">
        <f t="shared" si="8"/>
      </c>
      <c r="U845" s="2">
        <f t="shared" si="9"/>
      </c>
      <c r="V845" s="2">
        <f t="shared" si="10"/>
      </c>
      <c r="W845" s="2">
        <f t="shared" si="11"/>
      </c>
      <c r="X845" s="2">
        <f t="shared" si="12"/>
      </c>
      <c r="Y845" s="2">
        <f t="shared" si="13"/>
        <v>0</v>
      </c>
      <c r="Z845" s="2">
        <f t="shared" si="14"/>
      </c>
      <c r="AA845" s="2">
        <f t="shared" si="15"/>
        <v>0</v>
      </c>
      <c r="AB845" s="2">
        <f t="shared" si="16"/>
      </c>
      <c r="AC845" s="2">
        <f t="shared" si="17"/>
      </c>
      <c r="AD845" s="2">
        <f t="shared" si="18"/>
      </c>
      <c r="AE845" s="2">
        <f t="shared" si="19"/>
      </c>
      <c r="AF845" s="2">
        <f t="shared" si="20"/>
      </c>
      <c r="AG845" s="2">
        <f t="shared" si="21"/>
      </c>
      <c r="AH845" s="2">
        <f t="shared" si="22"/>
      </c>
      <c r="AI845" s="2">
        <f t="shared" si="23"/>
      </c>
      <c r="AJ845" s="2">
        <f t="shared" si="24"/>
        <v>0</v>
      </c>
      <c r="AK845" s="2">
        <f t="shared" si="25"/>
        <v>0</v>
      </c>
      <c r="AL845" s="2">
        <f t="shared" si="26"/>
        <v>0</v>
      </c>
      <c r="AM845" s="2">
        <f t="shared" si="27"/>
        <v>0</v>
      </c>
      <c r="AN845" s="2">
        <f t="shared" si="28"/>
        <v>0</v>
      </c>
      <c r="AO845" s="2">
        <f t="shared" si="29"/>
      </c>
      <c r="AP845" s="2">
        <f t="shared" si="30"/>
      </c>
      <c r="AQ845" s="2">
        <f t="shared" si="31"/>
      </c>
    </row>
    <row r="846">
      <c r="A846" s="43">
        <f t="shared" si="3"/>
      </c>
      <c r="B846" s="44" t="n"/>
      <c r="C846" s="45" t="n"/>
      <c r="D846" s="46" t="n"/>
      <c r="E846" s="47" t="n"/>
      <c r="F846" s="47" t="n"/>
      <c r="G846" s="48">
        <f t="shared" si="4"/>
      </c>
      <c r="H846" s="43">
        <f t="shared" si="0"/>
      </c>
      <c r="I846" s="43">
        <f t="shared" si="5"/>
      </c>
      <c r="J846" s="43">
        <f t="shared" si="1"/>
      </c>
      <c r="K846" s="49">
        <f t="shared" si="2"/>
      </c>
      <c r="L846" s="45" t="n"/>
      <c r="M846" s="45" t="n"/>
      <c r="N846" s="45" t="n"/>
      <c r="O846" s="45" t="n"/>
      <c r="P846" s="50" t="n"/>
      <c r="R846" s="2">
        <f t="shared" si="6"/>
        <v>0</v>
      </c>
      <c r="S846" s="2">
        <f t="shared" si="7"/>
      </c>
      <c r="T846" s="2">
        <f t="shared" si="8"/>
      </c>
      <c r="U846" s="2">
        <f t="shared" si="9"/>
      </c>
      <c r="V846" s="2">
        <f t="shared" si="10"/>
      </c>
      <c r="W846" s="2">
        <f t="shared" si="11"/>
      </c>
      <c r="X846" s="2">
        <f t="shared" si="12"/>
      </c>
      <c r="Y846" s="2">
        <f t="shared" si="13"/>
        <v>0</v>
      </c>
      <c r="Z846" s="2">
        <f t="shared" si="14"/>
      </c>
      <c r="AA846" s="2">
        <f t="shared" si="15"/>
        <v>0</v>
      </c>
      <c r="AB846" s="2">
        <f t="shared" si="16"/>
      </c>
      <c r="AC846" s="2">
        <f t="shared" si="17"/>
      </c>
      <c r="AD846" s="2">
        <f t="shared" si="18"/>
      </c>
      <c r="AE846" s="2">
        <f t="shared" si="19"/>
      </c>
      <c r="AF846" s="2">
        <f t="shared" si="20"/>
      </c>
      <c r="AG846" s="2">
        <f t="shared" si="21"/>
      </c>
      <c r="AH846" s="2">
        <f t="shared" si="22"/>
      </c>
      <c r="AI846" s="2">
        <f t="shared" si="23"/>
      </c>
      <c r="AJ846" s="2">
        <f t="shared" si="24"/>
        <v>0</v>
      </c>
      <c r="AK846" s="2">
        <f t="shared" si="25"/>
        <v>0</v>
      </c>
      <c r="AL846" s="2">
        <f t="shared" si="26"/>
        <v>0</v>
      </c>
      <c r="AM846" s="2">
        <f t="shared" si="27"/>
        <v>0</v>
      </c>
      <c r="AN846" s="2">
        <f t="shared" si="28"/>
        <v>0</v>
      </c>
      <c r="AO846" s="2">
        <f t="shared" si="29"/>
      </c>
      <c r="AP846" s="2">
        <f t="shared" si="30"/>
      </c>
      <c r="AQ846" s="2">
        <f t="shared" si="31"/>
      </c>
    </row>
    <row r="847">
      <c r="A847" s="43">
        <f t="shared" si="3"/>
      </c>
      <c r="B847" s="44" t="n"/>
      <c r="C847" s="45" t="n"/>
      <c r="D847" s="46" t="n"/>
      <c r="E847" s="47" t="n"/>
      <c r="F847" s="47" t="n"/>
      <c r="G847" s="48">
        <f t="shared" si="4"/>
      </c>
      <c r="H847" s="43">
        <f t="shared" si="0"/>
      </c>
      <c r="I847" s="43">
        <f t="shared" si="5"/>
      </c>
      <c r="J847" s="43">
        <f t="shared" si="1"/>
      </c>
      <c r="K847" s="49">
        <f t="shared" si="2"/>
      </c>
      <c r="L847" s="45" t="n"/>
      <c r="M847" s="45" t="n"/>
      <c r="N847" s="45" t="n"/>
      <c r="O847" s="45" t="n"/>
      <c r="P847" s="50" t="n"/>
      <c r="R847" s="2">
        <f t="shared" si="6"/>
        <v>0</v>
      </c>
      <c r="S847" s="2">
        <f t="shared" si="7"/>
      </c>
      <c r="T847" s="2">
        <f t="shared" si="8"/>
      </c>
      <c r="U847" s="2">
        <f t="shared" si="9"/>
      </c>
      <c r="V847" s="2">
        <f t="shared" si="10"/>
      </c>
      <c r="W847" s="2">
        <f t="shared" si="11"/>
      </c>
      <c r="X847" s="2">
        <f t="shared" si="12"/>
      </c>
      <c r="Y847" s="2">
        <f t="shared" si="13"/>
        <v>0</v>
      </c>
      <c r="Z847" s="2">
        <f t="shared" si="14"/>
      </c>
      <c r="AA847" s="2">
        <f t="shared" si="15"/>
        <v>0</v>
      </c>
      <c r="AB847" s="2">
        <f t="shared" si="16"/>
      </c>
      <c r="AC847" s="2">
        <f t="shared" si="17"/>
      </c>
      <c r="AD847" s="2">
        <f t="shared" si="18"/>
      </c>
      <c r="AE847" s="2">
        <f t="shared" si="19"/>
      </c>
      <c r="AF847" s="2">
        <f t="shared" si="20"/>
      </c>
      <c r="AG847" s="2">
        <f t="shared" si="21"/>
      </c>
      <c r="AH847" s="2">
        <f t="shared" si="22"/>
      </c>
      <c r="AI847" s="2">
        <f t="shared" si="23"/>
      </c>
      <c r="AJ847" s="2">
        <f t="shared" si="24"/>
        <v>0</v>
      </c>
      <c r="AK847" s="2">
        <f t="shared" si="25"/>
        <v>0</v>
      </c>
      <c r="AL847" s="2">
        <f t="shared" si="26"/>
        <v>0</v>
      </c>
      <c r="AM847" s="2">
        <f t="shared" si="27"/>
        <v>0</v>
      </c>
      <c r="AN847" s="2">
        <f t="shared" si="28"/>
        <v>0</v>
      </c>
      <c r="AO847" s="2">
        <f t="shared" si="29"/>
      </c>
      <c r="AP847" s="2">
        <f t="shared" si="30"/>
      </c>
      <c r="AQ847" s="2">
        <f t="shared" si="31"/>
      </c>
    </row>
    <row r="848">
      <c r="A848" s="43">
        <f t="shared" si="3"/>
      </c>
      <c r="B848" s="44" t="n"/>
      <c r="C848" s="45" t="n"/>
      <c r="D848" s="46" t="n"/>
      <c r="E848" s="47" t="n"/>
      <c r="F848" s="47" t="n"/>
      <c r="G848" s="48">
        <f t="shared" si="4"/>
      </c>
      <c r="H848" s="43">
        <f t="shared" si="0"/>
      </c>
      <c r="I848" s="43">
        <f t="shared" si="5"/>
      </c>
      <c r="J848" s="43">
        <f t="shared" si="1"/>
      </c>
      <c r="K848" s="49">
        <f t="shared" si="2"/>
      </c>
      <c r="L848" s="45" t="n"/>
      <c r="M848" s="45" t="n"/>
      <c r="N848" s="45" t="n"/>
      <c r="O848" s="45" t="n"/>
      <c r="P848" s="50" t="n"/>
      <c r="R848" s="2">
        <f t="shared" si="6"/>
        <v>0</v>
      </c>
      <c r="S848" s="2">
        <f t="shared" si="7"/>
      </c>
      <c r="T848" s="2">
        <f t="shared" si="8"/>
      </c>
      <c r="U848" s="2">
        <f t="shared" si="9"/>
      </c>
      <c r="V848" s="2">
        <f t="shared" si="10"/>
      </c>
      <c r="W848" s="2">
        <f t="shared" si="11"/>
      </c>
      <c r="X848" s="2">
        <f t="shared" si="12"/>
      </c>
      <c r="Y848" s="2">
        <f t="shared" si="13"/>
        <v>0</v>
      </c>
      <c r="Z848" s="2">
        <f t="shared" si="14"/>
      </c>
      <c r="AA848" s="2">
        <f t="shared" si="15"/>
        <v>0</v>
      </c>
      <c r="AB848" s="2">
        <f t="shared" si="16"/>
      </c>
      <c r="AC848" s="2">
        <f t="shared" si="17"/>
      </c>
      <c r="AD848" s="2">
        <f t="shared" si="18"/>
      </c>
      <c r="AE848" s="2">
        <f t="shared" si="19"/>
      </c>
      <c r="AF848" s="2">
        <f t="shared" si="20"/>
      </c>
      <c r="AG848" s="2">
        <f t="shared" si="21"/>
      </c>
      <c r="AH848" s="2">
        <f t="shared" si="22"/>
      </c>
      <c r="AI848" s="2">
        <f t="shared" si="23"/>
      </c>
      <c r="AJ848" s="2">
        <f t="shared" si="24"/>
        <v>0</v>
      </c>
      <c r="AK848" s="2">
        <f t="shared" si="25"/>
        <v>0</v>
      </c>
      <c r="AL848" s="2">
        <f t="shared" si="26"/>
        <v>0</v>
      </c>
      <c r="AM848" s="2">
        <f t="shared" si="27"/>
        <v>0</v>
      </c>
      <c r="AN848" s="2">
        <f t="shared" si="28"/>
        <v>0</v>
      </c>
      <c r="AO848" s="2">
        <f t="shared" si="29"/>
      </c>
      <c r="AP848" s="2">
        <f t="shared" si="30"/>
      </c>
      <c r="AQ848" s="2">
        <f t="shared" si="31"/>
      </c>
    </row>
    <row r="849">
      <c r="A849" s="43">
        <f t="shared" si="3"/>
      </c>
      <c r="B849" s="44" t="n"/>
      <c r="C849" s="45" t="n"/>
      <c r="D849" s="46" t="n"/>
      <c r="E849" s="47" t="n"/>
      <c r="F849" s="47" t="n"/>
      <c r="G849" s="48">
        <f t="shared" si="4"/>
      </c>
      <c r="H849" s="43">
        <f t="shared" si="0"/>
      </c>
      <c r="I849" s="43">
        <f t="shared" si="5"/>
      </c>
      <c r="J849" s="43">
        <f t="shared" si="1"/>
      </c>
      <c r="K849" s="49">
        <f t="shared" si="2"/>
      </c>
      <c r="L849" s="45" t="n"/>
      <c r="M849" s="45" t="n"/>
      <c r="N849" s="45" t="n"/>
      <c r="O849" s="45" t="n"/>
      <c r="P849" s="50" t="n"/>
      <c r="R849" s="2">
        <f t="shared" si="6"/>
        <v>0</v>
      </c>
      <c r="S849" s="2">
        <f t="shared" si="7"/>
      </c>
      <c r="T849" s="2">
        <f t="shared" si="8"/>
      </c>
      <c r="U849" s="2">
        <f t="shared" si="9"/>
      </c>
      <c r="V849" s="2">
        <f t="shared" si="10"/>
      </c>
      <c r="W849" s="2">
        <f t="shared" si="11"/>
      </c>
      <c r="X849" s="2">
        <f t="shared" si="12"/>
      </c>
      <c r="Y849" s="2">
        <f t="shared" si="13"/>
        <v>0</v>
      </c>
      <c r="Z849" s="2">
        <f t="shared" si="14"/>
      </c>
      <c r="AA849" s="2">
        <f t="shared" si="15"/>
        <v>0</v>
      </c>
      <c r="AB849" s="2">
        <f t="shared" si="16"/>
      </c>
      <c r="AC849" s="2">
        <f t="shared" si="17"/>
      </c>
      <c r="AD849" s="2">
        <f t="shared" si="18"/>
      </c>
      <c r="AE849" s="2">
        <f t="shared" si="19"/>
      </c>
      <c r="AF849" s="2">
        <f t="shared" si="20"/>
      </c>
      <c r="AG849" s="2">
        <f t="shared" si="21"/>
      </c>
      <c r="AH849" s="2">
        <f t="shared" si="22"/>
      </c>
      <c r="AI849" s="2">
        <f t="shared" si="23"/>
      </c>
      <c r="AJ849" s="2">
        <f t="shared" si="24"/>
        <v>0</v>
      </c>
      <c r="AK849" s="2">
        <f t="shared" si="25"/>
        <v>0</v>
      </c>
      <c r="AL849" s="2">
        <f t="shared" si="26"/>
        <v>0</v>
      </c>
      <c r="AM849" s="2">
        <f t="shared" si="27"/>
        <v>0</v>
      </c>
      <c r="AN849" s="2">
        <f t="shared" si="28"/>
        <v>0</v>
      </c>
      <c r="AO849" s="2">
        <f t="shared" si="29"/>
      </c>
      <c r="AP849" s="2">
        <f t="shared" si="30"/>
      </c>
      <c r="AQ849" s="2">
        <f t="shared" si="31"/>
      </c>
    </row>
    <row r="850">
      <c r="A850" s="43">
        <f t="shared" si="3"/>
      </c>
      <c r="B850" s="44" t="n"/>
      <c r="C850" s="45" t="n"/>
      <c r="D850" s="46" t="n"/>
      <c r="E850" s="47" t="n"/>
      <c r="F850" s="47" t="n"/>
      <c r="G850" s="48">
        <f t="shared" si="4"/>
      </c>
      <c r="H850" s="43">
        <f t="shared" si="0"/>
      </c>
      <c r="I850" s="43">
        <f t="shared" si="5"/>
      </c>
      <c r="J850" s="43">
        <f t="shared" si="1"/>
      </c>
      <c r="K850" s="49">
        <f t="shared" si="2"/>
      </c>
      <c r="L850" s="45" t="n"/>
      <c r="M850" s="45" t="n"/>
      <c r="N850" s="45" t="n"/>
      <c r="O850" s="45" t="n"/>
      <c r="P850" s="50" t="n"/>
      <c r="R850" s="2">
        <f t="shared" si="6"/>
        <v>0</v>
      </c>
      <c r="S850" s="2">
        <f t="shared" si="7"/>
      </c>
      <c r="T850" s="2">
        <f t="shared" si="8"/>
      </c>
      <c r="U850" s="2">
        <f t="shared" si="9"/>
      </c>
      <c r="V850" s="2">
        <f t="shared" si="10"/>
      </c>
      <c r="W850" s="2">
        <f t="shared" si="11"/>
      </c>
      <c r="X850" s="2">
        <f t="shared" si="12"/>
      </c>
      <c r="Y850" s="2">
        <f t="shared" si="13"/>
        <v>0</v>
      </c>
      <c r="Z850" s="2">
        <f t="shared" si="14"/>
      </c>
      <c r="AA850" s="2">
        <f t="shared" si="15"/>
        <v>0</v>
      </c>
      <c r="AB850" s="2">
        <f t="shared" si="16"/>
      </c>
      <c r="AC850" s="2">
        <f t="shared" si="17"/>
      </c>
      <c r="AD850" s="2">
        <f t="shared" si="18"/>
      </c>
      <c r="AE850" s="2">
        <f t="shared" si="19"/>
      </c>
      <c r="AF850" s="2">
        <f t="shared" si="20"/>
      </c>
      <c r="AG850" s="2">
        <f t="shared" si="21"/>
      </c>
      <c r="AH850" s="2">
        <f t="shared" si="22"/>
      </c>
      <c r="AI850" s="2">
        <f t="shared" si="23"/>
      </c>
      <c r="AJ850" s="2">
        <f t="shared" si="24"/>
        <v>0</v>
      </c>
      <c r="AK850" s="2">
        <f t="shared" si="25"/>
        <v>0</v>
      </c>
      <c r="AL850" s="2">
        <f t="shared" si="26"/>
        <v>0</v>
      </c>
      <c r="AM850" s="2">
        <f t="shared" si="27"/>
        <v>0</v>
      </c>
      <c r="AN850" s="2">
        <f t="shared" si="28"/>
        <v>0</v>
      </c>
      <c r="AO850" s="2">
        <f t="shared" si="29"/>
      </c>
      <c r="AP850" s="2">
        <f t="shared" si="30"/>
      </c>
      <c r="AQ850" s="2">
        <f t="shared" si="31"/>
      </c>
    </row>
    <row r="851">
      <c r="A851" s="43">
        <f t="shared" si="3"/>
      </c>
      <c r="B851" s="44" t="n"/>
      <c r="C851" s="45" t="n"/>
      <c r="D851" s="46" t="n"/>
      <c r="E851" s="47" t="n"/>
      <c r="F851" s="47" t="n"/>
      <c r="G851" s="48">
        <f t="shared" si="4"/>
      </c>
      <c r="H851" s="43">
        <f t="shared" si="0"/>
      </c>
      <c r="I851" s="43">
        <f t="shared" si="5"/>
      </c>
      <c r="J851" s="43">
        <f t="shared" si="1"/>
      </c>
      <c r="K851" s="49">
        <f t="shared" si="2"/>
      </c>
      <c r="L851" s="45" t="n"/>
      <c r="M851" s="45" t="n"/>
      <c r="N851" s="45" t="n"/>
      <c r="O851" s="45" t="n"/>
      <c r="P851" s="50" t="n"/>
      <c r="R851" s="2">
        <f t="shared" si="6"/>
        <v>0</v>
      </c>
      <c r="S851" s="2">
        <f t="shared" si="7"/>
      </c>
      <c r="T851" s="2">
        <f t="shared" si="8"/>
      </c>
      <c r="U851" s="2">
        <f t="shared" si="9"/>
      </c>
      <c r="V851" s="2">
        <f t="shared" si="10"/>
      </c>
      <c r="W851" s="2">
        <f t="shared" si="11"/>
      </c>
      <c r="X851" s="2">
        <f t="shared" si="12"/>
      </c>
      <c r="Y851" s="2">
        <f t="shared" si="13"/>
        <v>0</v>
      </c>
      <c r="Z851" s="2">
        <f t="shared" si="14"/>
      </c>
      <c r="AA851" s="2">
        <f t="shared" si="15"/>
        <v>0</v>
      </c>
      <c r="AB851" s="2">
        <f t="shared" si="16"/>
      </c>
      <c r="AC851" s="2">
        <f t="shared" si="17"/>
      </c>
      <c r="AD851" s="2">
        <f t="shared" si="18"/>
      </c>
      <c r="AE851" s="2">
        <f t="shared" si="19"/>
      </c>
      <c r="AF851" s="2">
        <f t="shared" si="20"/>
      </c>
      <c r="AG851" s="2">
        <f t="shared" si="21"/>
      </c>
      <c r="AH851" s="2">
        <f t="shared" si="22"/>
      </c>
      <c r="AI851" s="2">
        <f t="shared" si="23"/>
      </c>
      <c r="AJ851" s="2">
        <f t="shared" si="24"/>
        <v>0</v>
      </c>
      <c r="AK851" s="2">
        <f t="shared" si="25"/>
        <v>0</v>
      </c>
      <c r="AL851" s="2">
        <f t="shared" si="26"/>
        <v>0</v>
      </c>
      <c r="AM851" s="2">
        <f t="shared" si="27"/>
        <v>0</v>
      </c>
      <c r="AN851" s="2">
        <f t="shared" si="28"/>
        <v>0</v>
      </c>
      <c r="AO851" s="2">
        <f t="shared" si="29"/>
      </c>
      <c r="AP851" s="2">
        <f t="shared" si="30"/>
      </c>
      <c r="AQ851" s="2">
        <f t="shared" si="31"/>
      </c>
    </row>
    <row r="852">
      <c r="A852" s="43">
        <f t="shared" si="3"/>
      </c>
      <c r="B852" s="44" t="n"/>
      <c r="C852" s="45" t="n"/>
      <c r="D852" s="46" t="n"/>
      <c r="E852" s="47" t="n"/>
      <c r="F852" s="47" t="n"/>
      <c r="G852" s="48">
        <f t="shared" si="4"/>
      </c>
      <c r="H852" s="43">
        <f t="shared" si="0"/>
      </c>
      <c r="I852" s="43">
        <f t="shared" si="5"/>
      </c>
      <c r="J852" s="43">
        <f t="shared" si="1"/>
      </c>
      <c r="K852" s="49">
        <f t="shared" si="2"/>
      </c>
      <c r="L852" s="45" t="n"/>
      <c r="M852" s="45" t="n"/>
      <c r="N852" s="45" t="n"/>
      <c r="O852" s="45" t="n"/>
      <c r="P852" s="50" t="n"/>
      <c r="R852" s="2">
        <f t="shared" si="6"/>
        <v>0</v>
      </c>
      <c r="S852" s="2">
        <f t="shared" si="7"/>
      </c>
      <c r="T852" s="2">
        <f t="shared" si="8"/>
      </c>
      <c r="U852" s="2">
        <f t="shared" si="9"/>
      </c>
      <c r="V852" s="2">
        <f t="shared" si="10"/>
      </c>
      <c r="W852" s="2">
        <f t="shared" si="11"/>
      </c>
      <c r="X852" s="2">
        <f t="shared" si="12"/>
      </c>
      <c r="Y852" s="2">
        <f t="shared" si="13"/>
        <v>0</v>
      </c>
      <c r="Z852" s="2">
        <f t="shared" si="14"/>
      </c>
      <c r="AA852" s="2">
        <f t="shared" si="15"/>
        <v>0</v>
      </c>
      <c r="AB852" s="2">
        <f t="shared" si="16"/>
      </c>
      <c r="AC852" s="2">
        <f t="shared" si="17"/>
      </c>
      <c r="AD852" s="2">
        <f t="shared" si="18"/>
      </c>
      <c r="AE852" s="2">
        <f t="shared" si="19"/>
      </c>
      <c r="AF852" s="2">
        <f t="shared" si="20"/>
      </c>
      <c r="AG852" s="2">
        <f t="shared" si="21"/>
      </c>
      <c r="AH852" s="2">
        <f t="shared" si="22"/>
      </c>
      <c r="AI852" s="2">
        <f t="shared" si="23"/>
      </c>
      <c r="AJ852" s="2">
        <f t="shared" si="24"/>
        <v>0</v>
      </c>
      <c r="AK852" s="2">
        <f t="shared" si="25"/>
        <v>0</v>
      </c>
      <c r="AL852" s="2">
        <f t="shared" si="26"/>
        <v>0</v>
      </c>
      <c r="AM852" s="2">
        <f t="shared" si="27"/>
        <v>0</v>
      </c>
      <c r="AN852" s="2">
        <f t="shared" si="28"/>
        <v>0</v>
      </c>
      <c r="AO852" s="2">
        <f t="shared" si="29"/>
      </c>
      <c r="AP852" s="2">
        <f t="shared" si="30"/>
      </c>
      <c r="AQ852" s="2">
        <f t="shared" si="31"/>
      </c>
    </row>
    <row r="853">
      <c r="A853" s="43">
        <f t="shared" si="3"/>
      </c>
      <c r="B853" s="44" t="n"/>
      <c r="C853" s="45" t="n"/>
      <c r="D853" s="46" t="n"/>
      <c r="E853" s="47" t="n"/>
      <c r="F853" s="47" t="n"/>
      <c r="G853" s="48">
        <f t="shared" si="4"/>
      </c>
      <c r="H853" s="43">
        <f t="shared" si="0"/>
      </c>
      <c r="I853" s="43">
        <f t="shared" si="5"/>
      </c>
      <c r="J853" s="43">
        <f t="shared" si="1"/>
      </c>
      <c r="K853" s="49">
        <f t="shared" si="2"/>
      </c>
      <c r="L853" s="45" t="n"/>
      <c r="M853" s="45" t="n"/>
      <c r="N853" s="45" t="n"/>
      <c r="O853" s="45" t="n"/>
      <c r="P853" s="50" t="n"/>
      <c r="R853" s="2">
        <f t="shared" si="6"/>
        <v>0</v>
      </c>
      <c r="S853" s="2">
        <f t="shared" si="7"/>
      </c>
      <c r="T853" s="2">
        <f t="shared" si="8"/>
      </c>
      <c r="U853" s="2">
        <f t="shared" si="9"/>
      </c>
      <c r="V853" s="2">
        <f t="shared" si="10"/>
      </c>
      <c r="W853" s="2">
        <f t="shared" si="11"/>
      </c>
      <c r="X853" s="2">
        <f t="shared" si="12"/>
      </c>
      <c r="Y853" s="2">
        <f t="shared" si="13"/>
        <v>0</v>
      </c>
      <c r="Z853" s="2">
        <f t="shared" si="14"/>
      </c>
      <c r="AA853" s="2">
        <f t="shared" si="15"/>
        <v>0</v>
      </c>
      <c r="AB853" s="2">
        <f t="shared" si="16"/>
      </c>
      <c r="AC853" s="2">
        <f t="shared" si="17"/>
      </c>
      <c r="AD853" s="2">
        <f t="shared" si="18"/>
      </c>
      <c r="AE853" s="2">
        <f t="shared" si="19"/>
      </c>
      <c r="AF853" s="2">
        <f t="shared" si="20"/>
      </c>
      <c r="AG853" s="2">
        <f t="shared" si="21"/>
      </c>
      <c r="AH853" s="2">
        <f t="shared" si="22"/>
      </c>
      <c r="AI853" s="2">
        <f t="shared" si="23"/>
      </c>
      <c r="AJ853" s="2">
        <f t="shared" si="24"/>
        <v>0</v>
      </c>
      <c r="AK853" s="2">
        <f t="shared" si="25"/>
        <v>0</v>
      </c>
      <c r="AL853" s="2">
        <f t="shared" si="26"/>
        <v>0</v>
      </c>
      <c r="AM853" s="2">
        <f t="shared" si="27"/>
        <v>0</v>
      </c>
      <c r="AN853" s="2">
        <f t="shared" si="28"/>
        <v>0</v>
      </c>
      <c r="AO853" s="2">
        <f t="shared" si="29"/>
      </c>
      <c r="AP853" s="2">
        <f t="shared" si="30"/>
      </c>
      <c r="AQ853" s="2">
        <f t="shared" si="31"/>
      </c>
    </row>
    <row r="854">
      <c r="A854" s="43">
        <f t="shared" si="3"/>
      </c>
      <c r="B854" s="44" t="n"/>
      <c r="C854" s="45" t="n"/>
      <c r="D854" s="46" t="n"/>
      <c r="E854" s="47" t="n"/>
      <c r="F854" s="47" t="n"/>
      <c r="G854" s="48">
        <f t="shared" si="4"/>
      </c>
      <c r="H854" s="43">
        <f t="shared" si="0"/>
      </c>
      <c r="I854" s="43">
        <f t="shared" si="5"/>
      </c>
      <c r="J854" s="43">
        <f t="shared" si="1"/>
      </c>
      <c r="K854" s="49">
        <f t="shared" si="2"/>
      </c>
      <c r="L854" s="45" t="n"/>
      <c r="M854" s="45" t="n"/>
      <c r="N854" s="45" t="n"/>
      <c r="O854" s="45" t="n"/>
      <c r="P854" s="50" t="n"/>
      <c r="R854" s="2">
        <f t="shared" si="6"/>
        <v>0</v>
      </c>
      <c r="S854" s="2">
        <f t="shared" si="7"/>
      </c>
      <c r="T854" s="2">
        <f t="shared" si="8"/>
      </c>
      <c r="U854" s="2">
        <f t="shared" si="9"/>
      </c>
      <c r="V854" s="2">
        <f t="shared" si="10"/>
      </c>
      <c r="W854" s="2">
        <f t="shared" si="11"/>
      </c>
      <c r="X854" s="2">
        <f t="shared" si="12"/>
      </c>
      <c r="Y854" s="2">
        <f t="shared" si="13"/>
        <v>0</v>
      </c>
      <c r="Z854" s="2">
        <f t="shared" si="14"/>
      </c>
      <c r="AA854" s="2">
        <f t="shared" si="15"/>
        <v>0</v>
      </c>
      <c r="AB854" s="2">
        <f t="shared" si="16"/>
      </c>
      <c r="AC854" s="2">
        <f t="shared" si="17"/>
      </c>
      <c r="AD854" s="2">
        <f t="shared" si="18"/>
      </c>
      <c r="AE854" s="2">
        <f t="shared" si="19"/>
      </c>
      <c r="AF854" s="2">
        <f t="shared" si="20"/>
      </c>
      <c r="AG854" s="2">
        <f t="shared" si="21"/>
      </c>
      <c r="AH854" s="2">
        <f t="shared" si="22"/>
      </c>
      <c r="AI854" s="2">
        <f t="shared" si="23"/>
      </c>
      <c r="AJ854" s="2">
        <f t="shared" si="24"/>
        <v>0</v>
      </c>
      <c r="AK854" s="2">
        <f t="shared" si="25"/>
        <v>0</v>
      </c>
      <c r="AL854" s="2">
        <f t="shared" si="26"/>
        <v>0</v>
      </c>
      <c r="AM854" s="2">
        <f t="shared" si="27"/>
        <v>0</v>
      </c>
      <c r="AN854" s="2">
        <f t="shared" si="28"/>
        <v>0</v>
      </c>
      <c r="AO854" s="2">
        <f t="shared" si="29"/>
      </c>
      <c r="AP854" s="2">
        <f t="shared" si="30"/>
      </c>
      <c r="AQ854" s="2">
        <f t="shared" si="31"/>
      </c>
    </row>
    <row r="855">
      <c r="A855" s="43">
        <f t="shared" si="3"/>
      </c>
      <c r="B855" s="44" t="n"/>
      <c r="C855" s="45" t="n"/>
      <c r="D855" s="46" t="n"/>
      <c r="E855" s="47" t="n"/>
      <c r="F855" s="47" t="n"/>
      <c r="G855" s="48">
        <f t="shared" si="4"/>
      </c>
      <c r="H855" s="43">
        <f t="shared" si="0"/>
      </c>
      <c r="I855" s="43">
        <f t="shared" si="5"/>
      </c>
      <c r="J855" s="43">
        <f t="shared" si="1"/>
      </c>
      <c r="K855" s="49">
        <f t="shared" si="2"/>
      </c>
      <c r="L855" s="45" t="n"/>
      <c r="M855" s="45" t="n"/>
      <c r="N855" s="45" t="n"/>
      <c r="O855" s="45" t="n"/>
      <c r="P855" s="50" t="n"/>
      <c r="R855" s="2">
        <f t="shared" si="6"/>
        <v>0</v>
      </c>
      <c r="S855" s="2">
        <f t="shared" si="7"/>
      </c>
      <c r="T855" s="2">
        <f t="shared" si="8"/>
      </c>
      <c r="U855" s="2">
        <f t="shared" si="9"/>
      </c>
      <c r="V855" s="2">
        <f t="shared" si="10"/>
      </c>
      <c r="W855" s="2">
        <f t="shared" si="11"/>
      </c>
      <c r="X855" s="2">
        <f t="shared" si="12"/>
      </c>
      <c r="Y855" s="2">
        <f t="shared" si="13"/>
        <v>0</v>
      </c>
      <c r="Z855" s="2">
        <f t="shared" si="14"/>
      </c>
      <c r="AA855" s="2">
        <f t="shared" si="15"/>
        <v>0</v>
      </c>
      <c r="AB855" s="2">
        <f t="shared" si="16"/>
      </c>
      <c r="AC855" s="2">
        <f t="shared" si="17"/>
      </c>
      <c r="AD855" s="2">
        <f t="shared" si="18"/>
      </c>
      <c r="AE855" s="2">
        <f t="shared" si="19"/>
      </c>
      <c r="AF855" s="2">
        <f t="shared" si="20"/>
      </c>
      <c r="AG855" s="2">
        <f t="shared" si="21"/>
      </c>
      <c r="AH855" s="2">
        <f t="shared" si="22"/>
      </c>
      <c r="AI855" s="2">
        <f t="shared" si="23"/>
      </c>
      <c r="AJ855" s="2">
        <f t="shared" si="24"/>
        <v>0</v>
      </c>
      <c r="AK855" s="2">
        <f t="shared" si="25"/>
        <v>0</v>
      </c>
      <c r="AL855" s="2">
        <f t="shared" si="26"/>
        <v>0</v>
      </c>
      <c r="AM855" s="2">
        <f t="shared" si="27"/>
        <v>0</v>
      </c>
      <c r="AN855" s="2">
        <f t="shared" si="28"/>
        <v>0</v>
      </c>
      <c r="AO855" s="2">
        <f t="shared" si="29"/>
      </c>
      <c r="AP855" s="2">
        <f t="shared" si="30"/>
      </c>
      <c r="AQ855" s="2">
        <f t="shared" si="31"/>
      </c>
    </row>
    <row r="856">
      <c r="A856" s="43">
        <f t="shared" si="3"/>
      </c>
      <c r="B856" s="44" t="n"/>
      <c r="C856" s="45" t="n"/>
      <c r="D856" s="46" t="n"/>
      <c r="E856" s="47" t="n"/>
      <c r="F856" s="47" t="n"/>
      <c r="G856" s="48">
        <f t="shared" si="4"/>
      </c>
      <c r="H856" s="43">
        <f t="shared" si="0"/>
      </c>
      <c r="I856" s="43">
        <f t="shared" si="5"/>
      </c>
      <c r="J856" s="43">
        <f t="shared" si="1"/>
      </c>
      <c r="K856" s="49">
        <f t="shared" si="2"/>
      </c>
      <c r="L856" s="45" t="n"/>
      <c r="M856" s="45" t="n"/>
      <c r="N856" s="45" t="n"/>
      <c r="O856" s="45" t="n"/>
      <c r="P856" s="50" t="n"/>
      <c r="R856" s="2">
        <f t="shared" si="6"/>
        <v>0</v>
      </c>
      <c r="S856" s="2">
        <f t="shared" si="7"/>
      </c>
      <c r="T856" s="2">
        <f t="shared" si="8"/>
      </c>
      <c r="U856" s="2">
        <f t="shared" si="9"/>
      </c>
      <c r="V856" s="2">
        <f t="shared" si="10"/>
      </c>
      <c r="W856" s="2">
        <f t="shared" si="11"/>
      </c>
      <c r="X856" s="2">
        <f t="shared" si="12"/>
      </c>
      <c r="Y856" s="2">
        <f t="shared" si="13"/>
        <v>0</v>
      </c>
      <c r="Z856" s="2">
        <f t="shared" si="14"/>
      </c>
      <c r="AA856" s="2">
        <f t="shared" si="15"/>
        <v>0</v>
      </c>
      <c r="AB856" s="2">
        <f t="shared" si="16"/>
      </c>
      <c r="AC856" s="2">
        <f t="shared" si="17"/>
      </c>
      <c r="AD856" s="2">
        <f t="shared" si="18"/>
      </c>
      <c r="AE856" s="2">
        <f t="shared" si="19"/>
      </c>
      <c r="AF856" s="2">
        <f t="shared" si="20"/>
      </c>
      <c r="AG856" s="2">
        <f t="shared" si="21"/>
      </c>
      <c r="AH856" s="2">
        <f t="shared" si="22"/>
      </c>
      <c r="AI856" s="2">
        <f t="shared" si="23"/>
      </c>
      <c r="AJ856" s="2">
        <f t="shared" si="24"/>
        <v>0</v>
      </c>
      <c r="AK856" s="2">
        <f t="shared" si="25"/>
        <v>0</v>
      </c>
      <c r="AL856" s="2">
        <f t="shared" si="26"/>
        <v>0</v>
      </c>
      <c r="AM856" s="2">
        <f t="shared" si="27"/>
        <v>0</v>
      </c>
      <c r="AN856" s="2">
        <f t="shared" si="28"/>
        <v>0</v>
      </c>
      <c r="AO856" s="2">
        <f t="shared" si="29"/>
      </c>
      <c r="AP856" s="2">
        <f t="shared" si="30"/>
      </c>
      <c r="AQ856" s="2">
        <f t="shared" si="31"/>
      </c>
    </row>
    <row r="857">
      <c r="A857" s="43">
        <f t="shared" si="3"/>
      </c>
      <c r="B857" s="44" t="n"/>
      <c r="C857" s="45" t="n"/>
      <c r="D857" s="46" t="n"/>
      <c r="E857" s="47" t="n"/>
      <c r="F857" s="47" t="n"/>
      <c r="G857" s="48">
        <f t="shared" si="4"/>
      </c>
      <c r="H857" s="43">
        <f t="shared" si="0"/>
      </c>
      <c r="I857" s="43">
        <f t="shared" si="5"/>
      </c>
      <c r="J857" s="43">
        <f t="shared" si="1"/>
      </c>
      <c r="K857" s="49">
        <f t="shared" si="2"/>
      </c>
      <c r="L857" s="45" t="n"/>
      <c r="M857" s="45" t="n"/>
      <c r="N857" s="45" t="n"/>
      <c r="O857" s="45" t="n"/>
      <c r="P857" s="50" t="n"/>
      <c r="R857" s="2">
        <f t="shared" si="6"/>
        <v>0</v>
      </c>
      <c r="S857" s="2">
        <f t="shared" si="7"/>
      </c>
      <c r="T857" s="2">
        <f t="shared" si="8"/>
      </c>
      <c r="U857" s="2">
        <f t="shared" si="9"/>
      </c>
      <c r="V857" s="2">
        <f t="shared" si="10"/>
      </c>
      <c r="W857" s="2">
        <f t="shared" si="11"/>
      </c>
      <c r="X857" s="2">
        <f t="shared" si="12"/>
      </c>
      <c r="Y857" s="2">
        <f t="shared" si="13"/>
        <v>0</v>
      </c>
      <c r="Z857" s="2">
        <f t="shared" si="14"/>
      </c>
      <c r="AA857" s="2">
        <f t="shared" si="15"/>
        <v>0</v>
      </c>
      <c r="AB857" s="2">
        <f t="shared" si="16"/>
      </c>
      <c r="AC857" s="2">
        <f t="shared" si="17"/>
      </c>
      <c r="AD857" s="2">
        <f t="shared" si="18"/>
      </c>
      <c r="AE857" s="2">
        <f t="shared" si="19"/>
      </c>
      <c r="AF857" s="2">
        <f t="shared" si="20"/>
      </c>
      <c r="AG857" s="2">
        <f t="shared" si="21"/>
      </c>
      <c r="AH857" s="2">
        <f t="shared" si="22"/>
      </c>
      <c r="AI857" s="2">
        <f t="shared" si="23"/>
      </c>
      <c r="AJ857" s="2">
        <f t="shared" si="24"/>
        <v>0</v>
      </c>
      <c r="AK857" s="2">
        <f t="shared" si="25"/>
        <v>0</v>
      </c>
      <c r="AL857" s="2">
        <f t="shared" si="26"/>
        <v>0</v>
      </c>
      <c r="AM857" s="2">
        <f t="shared" si="27"/>
        <v>0</v>
      </c>
      <c r="AN857" s="2">
        <f t="shared" si="28"/>
        <v>0</v>
      </c>
      <c r="AO857" s="2">
        <f t="shared" si="29"/>
      </c>
      <c r="AP857" s="2">
        <f t="shared" si="30"/>
      </c>
      <c r="AQ857" s="2">
        <f t="shared" si="31"/>
      </c>
    </row>
    <row r="858">
      <c r="A858" s="43">
        <f t="shared" si="3"/>
      </c>
      <c r="B858" s="44" t="n"/>
      <c r="C858" s="45" t="n"/>
      <c r="D858" s="46" t="n"/>
      <c r="E858" s="47" t="n"/>
      <c r="F858" s="47" t="n"/>
      <c r="G858" s="48">
        <f t="shared" si="4"/>
      </c>
      <c r="H858" s="43">
        <f t="shared" si="0"/>
      </c>
      <c r="I858" s="43">
        <f t="shared" si="5"/>
      </c>
      <c r="J858" s="43">
        <f t="shared" si="1"/>
      </c>
      <c r="K858" s="49">
        <f t="shared" si="2"/>
      </c>
      <c r="L858" s="45" t="n"/>
      <c r="M858" s="45" t="n"/>
      <c r="N858" s="45" t="n"/>
      <c r="O858" s="45" t="n"/>
      <c r="P858" s="50" t="n"/>
      <c r="R858" s="2">
        <f t="shared" si="6"/>
        <v>0</v>
      </c>
      <c r="S858" s="2">
        <f t="shared" si="7"/>
      </c>
      <c r="T858" s="2">
        <f t="shared" si="8"/>
      </c>
      <c r="U858" s="2">
        <f t="shared" si="9"/>
      </c>
      <c r="V858" s="2">
        <f t="shared" si="10"/>
      </c>
      <c r="W858" s="2">
        <f t="shared" si="11"/>
      </c>
      <c r="X858" s="2">
        <f t="shared" si="12"/>
      </c>
      <c r="Y858" s="2">
        <f t="shared" si="13"/>
        <v>0</v>
      </c>
      <c r="Z858" s="2">
        <f t="shared" si="14"/>
      </c>
      <c r="AA858" s="2">
        <f t="shared" si="15"/>
        <v>0</v>
      </c>
      <c r="AB858" s="2">
        <f t="shared" si="16"/>
      </c>
      <c r="AC858" s="2">
        <f t="shared" si="17"/>
      </c>
      <c r="AD858" s="2">
        <f t="shared" si="18"/>
      </c>
      <c r="AE858" s="2">
        <f t="shared" si="19"/>
      </c>
      <c r="AF858" s="2">
        <f t="shared" si="20"/>
      </c>
      <c r="AG858" s="2">
        <f t="shared" si="21"/>
      </c>
      <c r="AH858" s="2">
        <f t="shared" si="22"/>
      </c>
      <c r="AI858" s="2">
        <f t="shared" si="23"/>
      </c>
      <c r="AJ858" s="2">
        <f t="shared" si="24"/>
        <v>0</v>
      </c>
      <c r="AK858" s="2">
        <f t="shared" si="25"/>
        <v>0</v>
      </c>
      <c r="AL858" s="2">
        <f t="shared" si="26"/>
        <v>0</v>
      </c>
      <c r="AM858" s="2">
        <f t="shared" si="27"/>
        <v>0</v>
      </c>
      <c r="AN858" s="2">
        <f t="shared" si="28"/>
        <v>0</v>
      </c>
      <c r="AO858" s="2">
        <f t="shared" si="29"/>
      </c>
      <c r="AP858" s="2">
        <f t="shared" si="30"/>
      </c>
      <c r="AQ858" s="2">
        <f t="shared" si="31"/>
      </c>
    </row>
    <row r="859">
      <c r="A859" s="43">
        <f t="shared" si="3"/>
      </c>
      <c r="B859" s="44" t="n"/>
      <c r="C859" s="45" t="n"/>
      <c r="D859" s="46" t="n"/>
      <c r="E859" s="47" t="n"/>
      <c r="F859" s="47" t="n"/>
      <c r="G859" s="48">
        <f t="shared" si="4"/>
      </c>
      <c r="H859" s="43">
        <f t="shared" si="0"/>
      </c>
      <c r="I859" s="43">
        <f t="shared" si="5"/>
      </c>
      <c r="J859" s="43">
        <f t="shared" si="1"/>
      </c>
      <c r="K859" s="49">
        <f t="shared" si="2"/>
      </c>
      <c r="L859" s="45" t="n"/>
      <c r="M859" s="45" t="n"/>
      <c r="N859" s="45" t="n"/>
      <c r="O859" s="45" t="n"/>
      <c r="P859" s="50" t="n"/>
      <c r="R859" s="2">
        <f t="shared" si="6"/>
        <v>0</v>
      </c>
      <c r="S859" s="2">
        <f t="shared" si="7"/>
      </c>
      <c r="T859" s="2">
        <f t="shared" si="8"/>
      </c>
      <c r="U859" s="2">
        <f t="shared" si="9"/>
      </c>
      <c r="V859" s="2">
        <f t="shared" si="10"/>
      </c>
      <c r="W859" s="2">
        <f t="shared" si="11"/>
      </c>
      <c r="X859" s="2">
        <f t="shared" si="12"/>
      </c>
      <c r="Y859" s="2">
        <f t="shared" si="13"/>
        <v>0</v>
      </c>
      <c r="Z859" s="2">
        <f t="shared" si="14"/>
      </c>
      <c r="AA859" s="2">
        <f t="shared" si="15"/>
        <v>0</v>
      </c>
      <c r="AB859" s="2">
        <f t="shared" si="16"/>
      </c>
      <c r="AC859" s="2">
        <f t="shared" si="17"/>
      </c>
      <c r="AD859" s="2">
        <f t="shared" si="18"/>
      </c>
      <c r="AE859" s="2">
        <f t="shared" si="19"/>
      </c>
      <c r="AF859" s="2">
        <f t="shared" si="20"/>
      </c>
      <c r="AG859" s="2">
        <f t="shared" si="21"/>
      </c>
      <c r="AH859" s="2">
        <f t="shared" si="22"/>
      </c>
      <c r="AI859" s="2">
        <f t="shared" si="23"/>
      </c>
      <c r="AJ859" s="2">
        <f t="shared" si="24"/>
        <v>0</v>
      </c>
      <c r="AK859" s="2">
        <f t="shared" si="25"/>
        <v>0</v>
      </c>
      <c r="AL859" s="2">
        <f t="shared" si="26"/>
        <v>0</v>
      </c>
      <c r="AM859" s="2">
        <f t="shared" si="27"/>
        <v>0</v>
      </c>
      <c r="AN859" s="2">
        <f t="shared" si="28"/>
        <v>0</v>
      </c>
      <c r="AO859" s="2">
        <f t="shared" si="29"/>
      </c>
      <c r="AP859" s="2">
        <f t="shared" si="30"/>
      </c>
      <c r="AQ859" s="2">
        <f t="shared" si="31"/>
      </c>
    </row>
    <row r="860">
      <c r="A860" s="43">
        <f t="shared" si="3"/>
      </c>
      <c r="B860" s="44" t="n"/>
      <c r="C860" s="45" t="n"/>
      <c r="D860" s="46" t="n"/>
      <c r="E860" s="47" t="n"/>
      <c r="F860" s="47" t="n"/>
      <c r="G860" s="48">
        <f t="shared" si="4"/>
      </c>
      <c r="H860" s="43">
        <f t="shared" si="0"/>
      </c>
      <c r="I860" s="43">
        <f t="shared" si="5"/>
      </c>
      <c r="J860" s="43">
        <f t="shared" si="1"/>
      </c>
      <c r="K860" s="49">
        <f t="shared" si="2"/>
      </c>
      <c r="L860" s="45" t="n"/>
      <c r="M860" s="45" t="n"/>
      <c r="N860" s="45" t="n"/>
      <c r="O860" s="45" t="n"/>
      <c r="P860" s="50" t="n"/>
      <c r="R860" s="2">
        <f t="shared" si="6"/>
        <v>0</v>
      </c>
      <c r="S860" s="2">
        <f t="shared" si="7"/>
      </c>
      <c r="T860" s="2">
        <f t="shared" si="8"/>
      </c>
      <c r="U860" s="2">
        <f t="shared" si="9"/>
      </c>
      <c r="V860" s="2">
        <f t="shared" si="10"/>
      </c>
      <c r="W860" s="2">
        <f t="shared" si="11"/>
      </c>
      <c r="X860" s="2">
        <f t="shared" si="12"/>
      </c>
      <c r="Y860" s="2">
        <f t="shared" si="13"/>
        <v>0</v>
      </c>
      <c r="Z860" s="2">
        <f t="shared" si="14"/>
      </c>
      <c r="AA860" s="2">
        <f t="shared" si="15"/>
        <v>0</v>
      </c>
      <c r="AB860" s="2">
        <f t="shared" si="16"/>
      </c>
      <c r="AC860" s="2">
        <f t="shared" si="17"/>
      </c>
      <c r="AD860" s="2">
        <f t="shared" si="18"/>
      </c>
      <c r="AE860" s="2">
        <f t="shared" si="19"/>
      </c>
      <c r="AF860" s="2">
        <f t="shared" si="20"/>
      </c>
      <c r="AG860" s="2">
        <f t="shared" si="21"/>
      </c>
      <c r="AH860" s="2">
        <f t="shared" si="22"/>
      </c>
      <c r="AI860" s="2">
        <f t="shared" si="23"/>
      </c>
      <c r="AJ860" s="2">
        <f t="shared" si="24"/>
        <v>0</v>
      </c>
      <c r="AK860" s="2">
        <f t="shared" si="25"/>
        <v>0</v>
      </c>
      <c r="AL860" s="2">
        <f t="shared" si="26"/>
        <v>0</v>
      </c>
      <c r="AM860" s="2">
        <f t="shared" si="27"/>
        <v>0</v>
      </c>
      <c r="AN860" s="2">
        <f t="shared" si="28"/>
        <v>0</v>
      </c>
      <c r="AO860" s="2">
        <f t="shared" si="29"/>
      </c>
      <c r="AP860" s="2">
        <f t="shared" si="30"/>
      </c>
      <c r="AQ860" s="2">
        <f t="shared" si="31"/>
      </c>
    </row>
    <row r="861">
      <c r="A861" s="43">
        <f t="shared" si="3"/>
      </c>
      <c r="B861" s="44" t="n"/>
      <c r="C861" s="45" t="n"/>
      <c r="D861" s="46" t="n"/>
      <c r="E861" s="47" t="n"/>
      <c r="F861" s="47" t="n"/>
      <c r="G861" s="48">
        <f t="shared" si="4"/>
      </c>
      <c r="H861" s="43">
        <f t="shared" si="0"/>
      </c>
      <c r="I861" s="43">
        <f t="shared" si="5"/>
      </c>
      <c r="J861" s="43">
        <f t="shared" si="1"/>
      </c>
      <c r="K861" s="49">
        <f t="shared" si="2"/>
      </c>
      <c r="L861" s="45" t="n"/>
      <c r="M861" s="45" t="n"/>
      <c r="N861" s="45" t="n"/>
      <c r="O861" s="45" t="n"/>
      <c r="P861" s="50" t="n"/>
      <c r="R861" s="2">
        <f t="shared" si="6"/>
        <v>0</v>
      </c>
      <c r="S861" s="2">
        <f t="shared" si="7"/>
      </c>
      <c r="T861" s="2">
        <f t="shared" si="8"/>
      </c>
      <c r="U861" s="2">
        <f t="shared" si="9"/>
      </c>
      <c r="V861" s="2">
        <f t="shared" si="10"/>
      </c>
      <c r="W861" s="2">
        <f t="shared" si="11"/>
      </c>
      <c r="X861" s="2">
        <f t="shared" si="12"/>
      </c>
      <c r="Y861" s="2">
        <f t="shared" si="13"/>
        <v>0</v>
      </c>
      <c r="Z861" s="2">
        <f t="shared" si="14"/>
      </c>
      <c r="AA861" s="2">
        <f t="shared" si="15"/>
        <v>0</v>
      </c>
      <c r="AB861" s="2">
        <f t="shared" si="16"/>
      </c>
      <c r="AC861" s="2">
        <f t="shared" si="17"/>
      </c>
      <c r="AD861" s="2">
        <f t="shared" si="18"/>
      </c>
      <c r="AE861" s="2">
        <f t="shared" si="19"/>
      </c>
      <c r="AF861" s="2">
        <f t="shared" si="20"/>
      </c>
      <c r="AG861" s="2">
        <f t="shared" si="21"/>
      </c>
      <c r="AH861" s="2">
        <f t="shared" si="22"/>
      </c>
      <c r="AI861" s="2">
        <f t="shared" si="23"/>
      </c>
      <c r="AJ861" s="2">
        <f t="shared" si="24"/>
        <v>0</v>
      </c>
      <c r="AK861" s="2">
        <f t="shared" si="25"/>
        <v>0</v>
      </c>
      <c r="AL861" s="2">
        <f t="shared" si="26"/>
        <v>0</v>
      </c>
      <c r="AM861" s="2">
        <f t="shared" si="27"/>
        <v>0</v>
      </c>
      <c r="AN861" s="2">
        <f t="shared" si="28"/>
        <v>0</v>
      </c>
      <c r="AO861" s="2">
        <f t="shared" si="29"/>
      </c>
      <c r="AP861" s="2">
        <f t="shared" si="30"/>
      </c>
      <c r="AQ861" s="2">
        <f t="shared" si="31"/>
      </c>
    </row>
    <row r="862">
      <c r="A862" s="43">
        <f t="shared" si="3"/>
      </c>
      <c r="B862" s="44" t="n"/>
      <c r="C862" s="45" t="n"/>
      <c r="D862" s="46" t="n"/>
      <c r="E862" s="47" t="n"/>
      <c r="F862" s="47" t="n"/>
      <c r="G862" s="48">
        <f t="shared" si="4"/>
      </c>
      <c r="H862" s="43">
        <f t="shared" si="0"/>
      </c>
      <c r="I862" s="43">
        <f t="shared" si="5"/>
      </c>
      <c r="J862" s="43">
        <f t="shared" si="1"/>
      </c>
      <c r="K862" s="49">
        <f t="shared" si="2"/>
      </c>
      <c r="L862" s="45" t="n"/>
      <c r="M862" s="45" t="n"/>
      <c r="N862" s="45" t="n"/>
      <c r="O862" s="45" t="n"/>
      <c r="P862" s="50" t="n"/>
      <c r="R862" s="2">
        <f t="shared" si="6"/>
        <v>0</v>
      </c>
      <c r="S862" s="2">
        <f t="shared" si="7"/>
      </c>
      <c r="T862" s="2">
        <f t="shared" si="8"/>
      </c>
      <c r="U862" s="2">
        <f t="shared" si="9"/>
      </c>
      <c r="V862" s="2">
        <f t="shared" si="10"/>
      </c>
      <c r="W862" s="2">
        <f t="shared" si="11"/>
      </c>
      <c r="X862" s="2">
        <f t="shared" si="12"/>
      </c>
      <c r="Y862" s="2">
        <f t="shared" si="13"/>
        <v>0</v>
      </c>
      <c r="Z862" s="2">
        <f t="shared" si="14"/>
      </c>
      <c r="AA862" s="2">
        <f t="shared" si="15"/>
        <v>0</v>
      </c>
      <c r="AB862" s="2">
        <f t="shared" si="16"/>
      </c>
      <c r="AC862" s="2">
        <f t="shared" si="17"/>
      </c>
      <c r="AD862" s="2">
        <f t="shared" si="18"/>
      </c>
      <c r="AE862" s="2">
        <f t="shared" si="19"/>
      </c>
      <c r="AF862" s="2">
        <f t="shared" si="20"/>
      </c>
      <c r="AG862" s="2">
        <f t="shared" si="21"/>
      </c>
      <c r="AH862" s="2">
        <f t="shared" si="22"/>
      </c>
      <c r="AI862" s="2">
        <f t="shared" si="23"/>
      </c>
      <c r="AJ862" s="2">
        <f t="shared" si="24"/>
        <v>0</v>
      </c>
      <c r="AK862" s="2">
        <f t="shared" si="25"/>
        <v>0</v>
      </c>
      <c r="AL862" s="2">
        <f t="shared" si="26"/>
        <v>0</v>
      </c>
      <c r="AM862" s="2">
        <f t="shared" si="27"/>
        <v>0</v>
      </c>
      <c r="AN862" s="2">
        <f t="shared" si="28"/>
        <v>0</v>
      </c>
      <c r="AO862" s="2">
        <f t="shared" si="29"/>
      </c>
      <c r="AP862" s="2">
        <f t="shared" si="30"/>
      </c>
      <c r="AQ862" s="2">
        <f t="shared" si="31"/>
      </c>
    </row>
    <row r="863">
      <c r="A863" s="43">
        <f t="shared" si="3"/>
      </c>
      <c r="B863" s="44" t="n"/>
      <c r="C863" s="45" t="n"/>
      <c r="D863" s="46" t="n"/>
      <c r="E863" s="47" t="n"/>
      <c r="F863" s="47" t="n"/>
      <c r="G863" s="48">
        <f t="shared" si="4"/>
      </c>
      <c r="H863" s="43">
        <f t="shared" si="0"/>
      </c>
      <c r="I863" s="43">
        <f t="shared" si="5"/>
      </c>
      <c r="J863" s="43">
        <f t="shared" si="1"/>
      </c>
      <c r="K863" s="49">
        <f t="shared" si="2"/>
      </c>
      <c r="L863" s="45" t="n"/>
      <c r="M863" s="45" t="n"/>
      <c r="N863" s="45" t="n"/>
      <c r="O863" s="45" t="n"/>
      <c r="P863" s="50" t="n"/>
      <c r="R863" s="2">
        <f t="shared" si="6"/>
        <v>0</v>
      </c>
      <c r="S863" s="2">
        <f t="shared" si="7"/>
      </c>
      <c r="T863" s="2">
        <f t="shared" si="8"/>
      </c>
      <c r="U863" s="2">
        <f t="shared" si="9"/>
      </c>
      <c r="V863" s="2">
        <f t="shared" si="10"/>
      </c>
      <c r="W863" s="2">
        <f t="shared" si="11"/>
      </c>
      <c r="X863" s="2">
        <f t="shared" si="12"/>
      </c>
      <c r="Y863" s="2">
        <f t="shared" si="13"/>
        <v>0</v>
      </c>
      <c r="Z863" s="2">
        <f t="shared" si="14"/>
      </c>
      <c r="AA863" s="2">
        <f t="shared" si="15"/>
        <v>0</v>
      </c>
      <c r="AB863" s="2">
        <f t="shared" si="16"/>
      </c>
      <c r="AC863" s="2">
        <f t="shared" si="17"/>
      </c>
      <c r="AD863" s="2">
        <f t="shared" si="18"/>
      </c>
      <c r="AE863" s="2">
        <f t="shared" si="19"/>
      </c>
      <c r="AF863" s="2">
        <f t="shared" si="20"/>
      </c>
      <c r="AG863" s="2">
        <f t="shared" si="21"/>
      </c>
      <c r="AH863" s="2">
        <f t="shared" si="22"/>
      </c>
      <c r="AI863" s="2">
        <f t="shared" si="23"/>
      </c>
      <c r="AJ863" s="2">
        <f t="shared" si="24"/>
        <v>0</v>
      </c>
      <c r="AK863" s="2">
        <f t="shared" si="25"/>
        <v>0</v>
      </c>
      <c r="AL863" s="2">
        <f t="shared" si="26"/>
        <v>0</v>
      </c>
      <c r="AM863" s="2">
        <f t="shared" si="27"/>
        <v>0</v>
      </c>
      <c r="AN863" s="2">
        <f t="shared" si="28"/>
        <v>0</v>
      </c>
      <c r="AO863" s="2">
        <f t="shared" si="29"/>
      </c>
      <c r="AP863" s="2">
        <f t="shared" si="30"/>
      </c>
      <c r="AQ863" s="2">
        <f t="shared" si="31"/>
      </c>
    </row>
    <row r="864">
      <c r="A864" s="43">
        <f t="shared" si="3"/>
      </c>
      <c r="B864" s="44" t="n"/>
      <c r="C864" s="45" t="n"/>
      <c r="D864" s="46" t="n"/>
      <c r="E864" s="47" t="n"/>
      <c r="F864" s="47" t="n"/>
      <c r="G864" s="48">
        <f t="shared" si="4"/>
      </c>
      <c r="H864" s="43">
        <f t="shared" si="0"/>
      </c>
      <c r="I864" s="43">
        <f t="shared" si="5"/>
      </c>
      <c r="J864" s="43">
        <f t="shared" si="1"/>
      </c>
      <c r="K864" s="49">
        <f t="shared" si="2"/>
      </c>
      <c r="L864" s="45" t="n"/>
      <c r="M864" s="45" t="n"/>
      <c r="N864" s="45" t="n"/>
      <c r="O864" s="45" t="n"/>
      <c r="P864" s="50" t="n"/>
      <c r="R864" s="2">
        <f t="shared" si="6"/>
        <v>0</v>
      </c>
      <c r="S864" s="2">
        <f t="shared" si="7"/>
      </c>
      <c r="T864" s="2">
        <f t="shared" si="8"/>
      </c>
      <c r="U864" s="2">
        <f t="shared" si="9"/>
      </c>
      <c r="V864" s="2">
        <f t="shared" si="10"/>
      </c>
      <c r="W864" s="2">
        <f t="shared" si="11"/>
      </c>
      <c r="X864" s="2">
        <f t="shared" si="12"/>
      </c>
      <c r="Y864" s="2">
        <f t="shared" si="13"/>
        <v>0</v>
      </c>
      <c r="Z864" s="2">
        <f t="shared" si="14"/>
      </c>
      <c r="AA864" s="2">
        <f t="shared" si="15"/>
        <v>0</v>
      </c>
      <c r="AB864" s="2">
        <f t="shared" si="16"/>
      </c>
      <c r="AC864" s="2">
        <f t="shared" si="17"/>
      </c>
      <c r="AD864" s="2">
        <f t="shared" si="18"/>
      </c>
      <c r="AE864" s="2">
        <f t="shared" si="19"/>
      </c>
      <c r="AF864" s="2">
        <f t="shared" si="20"/>
      </c>
      <c r="AG864" s="2">
        <f t="shared" si="21"/>
      </c>
      <c r="AH864" s="2">
        <f t="shared" si="22"/>
      </c>
      <c r="AI864" s="2">
        <f t="shared" si="23"/>
      </c>
      <c r="AJ864" s="2">
        <f t="shared" si="24"/>
        <v>0</v>
      </c>
      <c r="AK864" s="2">
        <f t="shared" si="25"/>
        <v>0</v>
      </c>
      <c r="AL864" s="2">
        <f t="shared" si="26"/>
        <v>0</v>
      </c>
      <c r="AM864" s="2">
        <f t="shared" si="27"/>
        <v>0</v>
      </c>
      <c r="AN864" s="2">
        <f t="shared" si="28"/>
        <v>0</v>
      </c>
      <c r="AO864" s="2">
        <f t="shared" si="29"/>
      </c>
      <c r="AP864" s="2">
        <f t="shared" si="30"/>
      </c>
      <c r="AQ864" s="2">
        <f t="shared" si="31"/>
      </c>
    </row>
    <row r="865">
      <c r="A865" s="43">
        <f t="shared" si="3"/>
      </c>
      <c r="B865" s="44" t="n"/>
      <c r="C865" s="45" t="n"/>
      <c r="D865" s="46" t="n"/>
      <c r="E865" s="47" t="n"/>
      <c r="F865" s="47" t="n"/>
      <c r="G865" s="48">
        <f t="shared" si="4"/>
      </c>
      <c r="H865" s="43">
        <f t="shared" si="0"/>
      </c>
      <c r="I865" s="43">
        <f t="shared" si="5"/>
      </c>
      <c r="J865" s="43">
        <f t="shared" si="1"/>
      </c>
      <c r="K865" s="49">
        <f t="shared" si="2"/>
      </c>
      <c r="L865" s="45" t="n"/>
      <c r="M865" s="45" t="n"/>
      <c r="N865" s="45" t="n"/>
      <c r="O865" s="45" t="n"/>
      <c r="P865" s="50" t="n"/>
      <c r="R865" s="2">
        <f t="shared" si="6"/>
        <v>0</v>
      </c>
      <c r="S865" s="2">
        <f t="shared" si="7"/>
      </c>
      <c r="T865" s="2">
        <f t="shared" si="8"/>
      </c>
      <c r="U865" s="2">
        <f t="shared" si="9"/>
      </c>
      <c r="V865" s="2">
        <f t="shared" si="10"/>
      </c>
      <c r="W865" s="2">
        <f t="shared" si="11"/>
      </c>
      <c r="X865" s="2">
        <f t="shared" si="12"/>
      </c>
      <c r="Y865" s="2">
        <f t="shared" si="13"/>
        <v>0</v>
      </c>
      <c r="Z865" s="2">
        <f t="shared" si="14"/>
      </c>
      <c r="AA865" s="2">
        <f t="shared" si="15"/>
        <v>0</v>
      </c>
      <c r="AB865" s="2">
        <f t="shared" si="16"/>
      </c>
      <c r="AC865" s="2">
        <f t="shared" si="17"/>
      </c>
      <c r="AD865" s="2">
        <f t="shared" si="18"/>
      </c>
      <c r="AE865" s="2">
        <f t="shared" si="19"/>
      </c>
      <c r="AF865" s="2">
        <f t="shared" si="20"/>
      </c>
      <c r="AG865" s="2">
        <f t="shared" si="21"/>
      </c>
      <c r="AH865" s="2">
        <f t="shared" si="22"/>
      </c>
      <c r="AI865" s="2">
        <f t="shared" si="23"/>
      </c>
      <c r="AJ865" s="2">
        <f t="shared" si="24"/>
        <v>0</v>
      </c>
      <c r="AK865" s="2">
        <f t="shared" si="25"/>
        <v>0</v>
      </c>
      <c r="AL865" s="2">
        <f t="shared" si="26"/>
        <v>0</v>
      </c>
      <c r="AM865" s="2">
        <f t="shared" si="27"/>
        <v>0</v>
      </c>
      <c r="AN865" s="2">
        <f t="shared" si="28"/>
        <v>0</v>
      </c>
      <c r="AO865" s="2">
        <f t="shared" si="29"/>
      </c>
      <c r="AP865" s="2">
        <f t="shared" si="30"/>
      </c>
      <c r="AQ865" s="2">
        <f t="shared" si="31"/>
      </c>
    </row>
    <row r="866">
      <c r="A866" s="43">
        <f t="shared" si="3"/>
      </c>
      <c r="B866" s="44" t="n"/>
      <c r="C866" s="45" t="n"/>
      <c r="D866" s="46" t="n"/>
      <c r="E866" s="47" t="n"/>
      <c r="F866" s="47" t="n"/>
      <c r="G866" s="48">
        <f t="shared" si="4"/>
      </c>
      <c r="H866" s="43">
        <f t="shared" si="0"/>
      </c>
      <c r="I866" s="43">
        <f t="shared" si="5"/>
      </c>
      <c r="J866" s="43">
        <f t="shared" si="1"/>
      </c>
      <c r="K866" s="49">
        <f t="shared" si="2"/>
      </c>
      <c r="L866" s="45" t="n"/>
      <c r="M866" s="45" t="n"/>
      <c r="N866" s="45" t="n"/>
      <c r="O866" s="45" t="n"/>
      <c r="P866" s="50" t="n"/>
      <c r="R866" s="2">
        <f t="shared" si="6"/>
        <v>0</v>
      </c>
      <c r="S866" s="2">
        <f t="shared" si="7"/>
      </c>
      <c r="T866" s="2">
        <f t="shared" si="8"/>
      </c>
      <c r="U866" s="2">
        <f t="shared" si="9"/>
      </c>
      <c r="V866" s="2">
        <f t="shared" si="10"/>
      </c>
      <c r="W866" s="2">
        <f t="shared" si="11"/>
      </c>
      <c r="X866" s="2">
        <f t="shared" si="12"/>
      </c>
      <c r="Y866" s="2">
        <f t="shared" si="13"/>
        <v>0</v>
      </c>
      <c r="Z866" s="2">
        <f t="shared" si="14"/>
      </c>
      <c r="AA866" s="2">
        <f t="shared" si="15"/>
        <v>0</v>
      </c>
      <c r="AB866" s="2">
        <f t="shared" si="16"/>
      </c>
      <c r="AC866" s="2">
        <f t="shared" si="17"/>
      </c>
      <c r="AD866" s="2">
        <f t="shared" si="18"/>
      </c>
      <c r="AE866" s="2">
        <f t="shared" si="19"/>
      </c>
      <c r="AF866" s="2">
        <f t="shared" si="20"/>
      </c>
      <c r="AG866" s="2">
        <f t="shared" si="21"/>
      </c>
      <c r="AH866" s="2">
        <f t="shared" si="22"/>
      </c>
      <c r="AI866" s="2">
        <f t="shared" si="23"/>
      </c>
      <c r="AJ866" s="2">
        <f t="shared" si="24"/>
        <v>0</v>
      </c>
      <c r="AK866" s="2">
        <f t="shared" si="25"/>
        <v>0</v>
      </c>
      <c r="AL866" s="2">
        <f t="shared" si="26"/>
        <v>0</v>
      </c>
      <c r="AM866" s="2">
        <f t="shared" si="27"/>
        <v>0</v>
      </c>
      <c r="AN866" s="2">
        <f t="shared" si="28"/>
        <v>0</v>
      </c>
      <c r="AO866" s="2">
        <f t="shared" si="29"/>
      </c>
      <c r="AP866" s="2">
        <f t="shared" si="30"/>
      </c>
      <c r="AQ866" s="2">
        <f t="shared" si="31"/>
      </c>
    </row>
    <row r="867">
      <c r="A867" s="43">
        <f t="shared" si="3"/>
      </c>
      <c r="B867" s="44" t="n"/>
      <c r="C867" s="45" t="n"/>
      <c r="D867" s="46" t="n"/>
      <c r="E867" s="47" t="n"/>
      <c r="F867" s="47" t="n"/>
      <c r="G867" s="48">
        <f t="shared" si="4"/>
      </c>
      <c r="H867" s="43">
        <f t="shared" si="0"/>
      </c>
      <c r="I867" s="43">
        <f t="shared" si="5"/>
      </c>
      <c r="J867" s="43">
        <f t="shared" si="1"/>
      </c>
      <c r="K867" s="49">
        <f t="shared" si="2"/>
      </c>
      <c r="L867" s="45" t="n"/>
      <c r="M867" s="45" t="n"/>
      <c r="N867" s="45" t="n"/>
      <c r="O867" s="45" t="n"/>
      <c r="P867" s="50" t="n"/>
      <c r="R867" s="2">
        <f t="shared" si="6"/>
        <v>0</v>
      </c>
      <c r="S867" s="2">
        <f t="shared" si="7"/>
      </c>
      <c r="T867" s="2">
        <f t="shared" si="8"/>
      </c>
      <c r="U867" s="2">
        <f t="shared" si="9"/>
      </c>
      <c r="V867" s="2">
        <f t="shared" si="10"/>
      </c>
      <c r="W867" s="2">
        <f t="shared" si="11"/>
      </c>
      <c r="X867" s="2">
        <f t="shared" si="12"/>
      </c>
      <c r="Y867" s="2">
        <f t="shared" si="13"/>
        <v>0</v>
      </c>
      <c r="Z867" s="2">
        <f t="shared" si="14"/>
      </c>
      <c r="AA867" s="2">
        <f t="shared" si="15"/>
        <v>0</v>
      </c>
      <c r="AB867" s="2">
        <f t="shared" si="16"/>
      </c>
      <c r="AC867" s="2">
        <f t="shared" si="17"/>
      </c>
      <c r="AD867" s="2">
        <f t="shared" si="18"/>
      </c>
      <c r="AE867" s="2">
        <f t="shared" si="19"/>
      </c>
      <c r="AF867" s="2">
        <f t="shared" si="20"/>
      </c>
      <c r="AG867" s="2">
        <f t="shared" si="21"/>
      </c>
      <c r="AH867" s="2">
        <f t="shared" si="22"/>
      </c>
      <c r="AI867" s="2">
        <f t="shared" si="23"/>
      </c>
      <c r="AJ867" s="2">
        <f t="shared" si="24"/>
        <v>0</v>
      </c>
      <c r="AK867" s="2">
        <f t="shared" si="25"/>
        <v>0</v>
      </c>
      <c r="AL867" s="2">
        <f t="shared" si="26"/>
        <v>0</v>
      </c>
      <c r="AM867" s="2">
        <f t="shared" si="27"/>
        <v>0</v>
      </c>
      <c r="AN867" s="2">
        <f t="shared" si="28"/>
        <v>0</v>
      </c>
      <c r="AO867" s="2">
        <f t="shared" si="29"/>
      </c>
      <c r="AP867" s="2">
        <f t="shared" si="30"/>
      </c>
      <c r="AQ867" s="2">
        <f t="shared" si="31"/>
      </c>
    </row>
    <row r="868">
      <c r="A868" s="43">
        <f t="shared" si="3"/>
      </c>
      <c r="B868" s="44" t="n"/>
      <c r="C868" s="45" t="n"/>
      <c r="D868" s="46" t="n"/>
      <c r="E868" s="47" t="n"/>
      <c r="F868" s="47" t="n"/>
      <c r="G868" s="48">
        <f t="shared" si="4"/>
      </c>
      <c r="H868" s="43">
        <f t="shared" si="0"/>
      </c>
      <c r="I868" s="43">
        <f t="shared" si="5"/>
      </c>
      <c r="J868" s="43">
        <f t="shared" si="1"/>
      </c>
      <c r="K868" s="49">
        <f t="shared" si="2"/>
      </c>
      <c r="L868" s="45" t="n"/>
      <c r="M868" s="45" t="n"/>
      <c r="N868" s="45" t="n"/>
      <c r="O868" s="45" t="n"/>
      <c r="P868" s="50" t="n"/>
      <c r="R868" s="2">
        <f t="shared" si="6"/>
        <v>0</v>
      </c>
      <c r="S868" s="2">
        <f t="shared" si="7"/>
      </c>
      <c r="T868" s="2">
        <f t="shared" si="8"/>
      </c>
      <c r="U868" s="2">
        <f t="shared" si="9"/>
      </c>
      <c r="V868" s="2">
        <f t="shared" si="10"/>
      </c>
      <c r="W868" s="2">
        <f t="shared" si="11"/>
      </c>
      <c r="X868" s="2">
        <f t="shared" si="12"/>
      </c>
      <c r="Y868" s="2">
        <f t="shared" si="13"/>
        <v>0</v>
      </c>
      <c r="Z868" s="2">
        <f t="shared" si="14"/>
      </c>
      <c r="AA868" s="2">
        <f t="shared" si="15"/>
        <v>0</v>
      </c>
      <c r="AB868" s="2">
        <f t="shared" si="16"/>
      </c>
      <c r="AC868" s="2">
        <f t="shared" si="17"/>
      </c>
      <c r="AD868" s="2">
        <f t="shared" si="18"/>
      </c>
      <c r="AE868" s="2">
        <f t="shared" si="19"/>
      </c>
      <c r="AF868" s="2">
        <f t="shared" si="20"/>
      </c>
      <c r="AG868" s="2">
        <f t="shared" si="21"/>
      </c>
      <c r="AH868" s="2">
        <f t="shared" si="22"/>
      </c>
      <c r="AI868" s="2">
        <f t="shared" si="23"/>
      </c>
      <c r="AJ868" s="2">
        <f t="shared" si="24"/>
        <v>0</v>
      </c>
      <c r="AK868" s="2">
        <f t="shared" si="25"/>
        <v>0</v>
      </c>
      <c r="AL868" s="2">
        <f t="shared" si="26"/>
        <v>0</v>
      </c>
      <c r="AM868" s="2">
        <f t="shared" si="27"/>
        <v>0</v>
      </c>
      <c r="AN868" s="2">
        <f t="shared" si="28"/>
        <v>0</v>
      </c>
      <c r="AO868" s="2">
        <f t="shared" si="29"/>
      </c>
      <c r="AP868" s="2">
        <f t="shared" si="30"/>
      </c>
      <c r="AQ868" s="2">
        <f t="shared" si="31"/>
      </c>
    </row>
    <row r="869">
      <c r="A869" s="43">
        <f t="shared" si="3"/>
      </c>
      <c r="B869" s="44" t="n"/>
      <c r="C869" s="45" t="n"/>
      <c r="D869" s="46" t="n"/>
      <c r="E869" s="47" t="n"/>
      <c r="F869" s="47" t="n"/>
      <c r="G869" s="48">
        <f t="shared" si="4"/>
      </c>
      <c r="H869" s="43">
        <f t="shared" si="0"/>
      </c>
      <c r="I869" s="43">
        <f t="shared" si="5"/>
      </c>
      <c r="J869" s="43">
        <f t="shared" si="1"/>
      </c>
      <c r="K869" s="49">
        <f t="shared" si="2"/>
      </c>
      <c r="L869" s="45" t="n"/>
      <c r="M869" s="45" t="n"/>
      <c r="N869" s="45" t="n"/>
      <c r="O869" s="45" t="n"/>
      <c r="P869" s="50" t="n"/>
      <c r="R869" s="2">
        <f t="shared" si="6"/>
        <v>0</v>
      </c>
      <c r="S869" s="2">
        <f t="shared" si="7"/>
      </c>
      <c r="T869" s="2">
        <f t="shared" si="8"/>
      </c>
      <c r="U869" s="2">
        <f t="shared" si="9"/>
      </c>
      <c r="V869" s="2">
        <f t="shared" si="10"/>
      </c>
      <c r="W869" s="2">
        <f t="shared" si="11"/>
      </c>
      <c r="X869" s="2">
        <f t="shared" si="12"/>
      </c>
      <c r="Y869" s="2">
        <f t="shared" si="13"/>
        <v>0</v>
      </c>
      <c r="Z869" s="2">
        <f t="shared" si="14"/>
      </c>
      <c r="AA869" s="2">
        <f t="shared" si="15"/>
        <v>0</v>
      </c>
      <c r="AB869" s="2">
        <f t="shared" si="16"/>
      </c>
      <c r="AC869" s="2">
        <f t="shared" si="17"/>
      </c>
      <c r="AD869" s="2">
        <f t="shared" si="18"/>
      </c>
      <c r="AE869" s="2">
        <f t="shared" si="19"/>
      </c>
      <c r="AF869" s="2">
        <f t="shared" si="20"/>
      </c>
      <c r="AG869" s="2">
        <f t="shared" si="21"/>
      </c>
      <c r="AH869" s="2">
        <f t="shared" si="22"/>
      </c>
      <c r="AI869" s="2">
        <f t="shared" si="23"/>
      </c>
      <c r="AJ869" s="2">
        <f t="shared" si="24"/>
        <v>0</v>
      </c>
      <c r="AK869" s="2">
        <f t="shared" si="25"/>
        <v>0</v>
      </c>
      <c r="AL869" s="2">
        <f t="shared" si="26"/>
        <v>0</v>
      </c>
      <c r="AM869" s="2">
        <f t="shared" si="27"/>
        <v>0</v>
      </c>
      <c r="AN869" s="2">
        <f t="shared" si="28"/>
        <v>0</v>
      </c>
      <c r="AO869" s="2">
        <f t="shared" si="29"/>
      </c>
      <c r="AP869" s="2">
        <f t="shared" si="30"/>
      </c>
      <c r="AQ869" s="2">
        <f t="shared" si="31"/>
      </c>
    </row>
    <row r="870">
      <c r="A870" s="43">
        <f t="shared" si="3"/>
      </c>
      <c r="B870" s="44" t="n"/>
      <c r="C870" s="45" t="n"/>
      <c r="D870" s="46" t="n"/>
      <c r="E870" s="47" t="n"/>
      <c r="F870" s="47" t="n"/>
      <c r="G870" s="48">
        <f t="shared" si="4"/>
      </c>
      <c r="H870" s="43">
        <f t="shared" si="0"/>
      </c>
      <c r="I870" s="43">
        <f t="shared" si="5"/>
      </c>
      <c r="J870" s="43">
        <f t="shared" si="1"/>
      </c>
      <c r="K870" s="49">
        <f t="shared" si="2"/>
      </c>
      <c r="L870" s="45" t="n"/>
      <c r="M870" s="45" t="n"/>
      <c r="N870" s="45" t="n"/>
      <c r="O870" s="45" t="n"/>
      <c r="P870" s="50" t="n"/>
      <c r="R870" s="2">
        <f t="shared" si="6"/>
        <v>0</v>
      </c>
      <c r="S870" s="2">
        <f t="shared" si="7"/>
      </c>
      <c r="T870" s="2">
        <f t="shared" si="8"/>
      </c>
      <c r="U870" s="2">
        <f t="shared" si="9"/>
      </c>
      <c r="V870" s="2">
        <f t="shared" si="10"/>
      </c>
      <c r="W870" s="2">
        <f t="shared" si="11"/>
      </c>
      <c r="X870" s="2">
        <f t="shared" si="12"/>
      </c>
      <c r="Y870" s="2">
        <f t="shared" si="13"/>
        <v>0</v>
      </c>
      <c r="Z870" s="2">
        <f t="shared" si="14"/>
      </c>
      <c r="AA870" s="2">
        <f t="shared" si="15"/>
        <v>0</v>
      </c>
      <c r="AB870" s="2">
        <f t="shared" si="16"/>
      </c>
      <c r="AC870" s="2">
        <f t="shared" si="17"/>
      </c>
      <c r="AD870" s="2">
        <f t="shared" si="18"/>
      </c>
      <c r="AE870" s="2">
        <f t="shared" si="19"/>
      </c>
      <c r="AF870" s="2">
        <f t="shared" si="20"/>
      </c>
      <c r="AG870" s="2">
        <f t="shared" si="21"/>
      </c>
      <c r="AH870" s="2">
        <f t="shared" si="22"/>
      </c>
      <c r="AI870" s="2">
        <f t="shared" si="23"/>
      </c>
      <c r="AJ870" s="2">
        <f t="shared" si="24"/>
        <v>0</v>
      </c>
      <c r="AK870" s="2">
        <f t="shared" si="25"/>
        <v>0</v>
      </c>
      <c r="AL870" s="2">
        <f t="shared" si="26"/>
        <v>0</v>
      </c>
      <c r="AM870" s="2">
        <f t="shared" si="27"/>
        <v>0</v>
      </c>
      <c r="AN870" s="2">
        <f t="shared" si="28"/>
        <v>0</v>
      </c>
      <c r="AO870" s="2">
        <f t="shared" si="29"/>
      </c>
      <c r="AP870" s="2">
        <f t="shared" si="30"/>
      </c>
      <c r="AQ870" s="2">
        <f t="shared" si="31"/>
      </c>
    </row>
    <row r="871">
      <c r="A871" s="43">
        <f t="shared" si="3"/>
      </c>
      <c r="B871" s="44" t="n"/>
      <c r="C871" s="45" t="n"/>
      <c r="D871" s="46" t="n"/>
      <c r="E871" s="47" t="n"/>
      <c r="F871" s="47" t="n"/>
      <c r="G871" s="48">
        <f t="shared" si="4"/>
      </c>
      <c r="H871" s="43">
        <f t="shared" si="0"/>
      </c>
      <c r="I871" s="43">
        <f t="shared" si="5"/>
      </c>
      <c r="J871" s="43">
        <f t="shared" si="1"/>
      </c>
      <c r="K871" s="49">
        <f t="shared" si="2"/>
      </c>
      <c r="L871" s="45" t="n"/>
      <c r="M871" s="45" t="n"/>
      <c r="N871" s="45" t="n"/>
      <c r="O871" s="45" t="n"/>
      <c r="P871" s="50" t="n"/>
      <c r="R871" s="2">
        <f t="shared" si="6"/>
        <v>0</v>
      </c>
      <c r="S871" s="2">
        <f t="shared" si="7"/>
      </c>
      <c r="T871" s="2">
        <f t="shared" si="8"/>
      </c>
      <c r="U871" s="2">
        <f t="shared" si="9"/>
      </c>
      <c r="V871" s="2">
        <f t="shared" si="10"/>
      </c>
      <c r="W871" s="2">
        <f t="shared" si="11"/>
      </c>
      <c r="X871" s="2">
        <f t="shared" si="12"/>
      </c>
      <c r="Y871" s="2">
        <f t="shared" si="13"/>
        <v>0</v>
      </c>
      <c r="Z871" s="2">
        <f t="shared" si="14"/>
      </c>
      <c r="AA871" s="2">
        <f t="shared" si="15"/>
        <v>0</v>
      </c>
      <c r="AB871" s="2">
        <f t="shared" si="16"/>
      </c>
      <c r="AC871" s="2">
        <f t="shared" si="17"/>
      </c>
      <c r="AD871" s="2">
        <f t="shared" si="18"/>
      </c>
      <c r="AE871" s="2">
        <f t="shared" si="19"/>
      </c>
      <c r="AF871" s="2">
        <f t="shared" si="20"/>
      </c>
      <c r="AG871" s="2">
        <f t="shared" si="21"/>
      </c>
      <c r="AH871" s="2">
        <f t="shared" si="22"/>
      </c>
      <c r="AI871" s="2">
        <f t="shared" si="23"/>
      </c>
      <c r="AJ871" s="2">
        <f t="shared" si="24"/>
        <v>0</v>
      </c>
      <c r="AK871" s="2">
        <f t="shared" si="25"/>
        <v>0</v>
      </c>
      <c r="AL871" s="2">
        <f t="shared" si="26"/>
        <v>0</v>
      </c>
      <c r="AM871" s="2">
        <f t="shared" si="27"/>
        <v>0</v>
      </c>
      <c r="AN871" s="2">
        <f t="shared" si="28"/>
        <v>0</v>
      </c>
      <c r="AO871" s="2">
        <f t="shared" si="29"/>
      </c>
      <c r="AP871" s="2">
        <f t="shared" si="30"/>
      </c>
      <c r="AQ871" s="2">
        <f t="shared" si="31"/>
      </c>
    </row>
    <row r="872">
      <c r="A872" s="43">
        <f t="shared" si="3"/>
      </c>
      <c r="B872" s="44" t="n"/>
      <c r="C872" s="45" t="n"/>
      <c r="D872" s="46" t="n"/>
      <c r="E872" s="47" t="n"/>
      <c r="F872" s="47" t="n"/>
      <c r="G872" s="48">
        <f t="shared" si="4"/>
      </c>
      <c r="H872" s="43">
        <f t="shared" si="0"/>
      </c>
      <c r="I872" s="43">
        <f t="shared" si="5"/>
      </c>
      <c r="J872" s="43">
        <f t="shared" si="1"/>
      </c>
      <c r="K872" s="49">
        <f t="shared" si="2"/>
      </c>
      <c r="L872" s="45" t="n"/>
      <c r="M872" s="45" t="n"/>
      <c r="N872" s="45" t="n"/>
      <c r="O872" s="45" t="n"/>
      <c r="P872" s="50" t="n"/>
      <c r="R872" s="2">
        <f t="shared" si="6"/>
        <v>0</v>
      </c>
      <c r="S872" s="2">
        <f t="shared" si="7"/>
      </c>
      <c r="T872" s="2">
        <f t="shared" si="8"/>
      </c>
      <c r="U872" s="2">
        <f t="shared" si="9"/>
      </c>
      <c r="V872" s="2">
        <f t="shared" si="10"/>
      </c>
      <c r="W872" s="2">
        <f t="shared" si="11"/>
      </c>
      <c r="X872" s="2">
        <f t="shared" si="12"/>
      </c>
      <c r="Y872" s="2">
        <f t="shared" si="13"/>
        <v>0</v>
      </c>
      <c r="Z872" s="2">
        <f t="shared" si="14"/>
      </c>
      <c r="AA872" s="2">
        <f t="shared" si="15"/>
        <v>0</v>
      </c>
      <c r="AB872" s="2">
        <f t="shared" si="16"/>
      </c>
      <c r="AC872" s="2">
        <f t="shared" si="17"/>
      </c>
      <c r="AD872" s="2">
        <f t="shared" si="18"/>
      </c>
      <c r="AE872" s="2">
        <f t="shared" si="19"/>
      </c>
      <c r="AF872" s="2">
        <f t="shared" si="20"/>
      </c>
      <c r="AG872" s="2">
        <f t="shared" si="21"/>
      </c>
      <c r="AH872" s="2">
        <f t="shared" si="22"/>
      </c>
      <c r="AI872" s="2">
        <f t="shared" si="23"/>
      </c>
      <c r="AJ872" s="2">
        <f t="shared" si="24"/>
        <v>0</v>
      </c>
      <c r="AK872" s="2">
        <f t="shared" si="25"/>
        <v>0</v>
      </c>
      <c r="AL872" s="2">
        <f t="shared" si="26"/>
        <v>0</v>
      </c>
      <c r="AM872" s="2">
        <f t="shared" si="27"/>
        <v>0</v>
      </c>
      <c r="AN872" s="2">
        <f t="shared" si="28"/>
        <v>0</v>
      </c>
      <c r="AO872" s="2">
        <f t="shared" si="29"/>
      </c>
      <c r="AP872" s="2">
        <f t="shared" si="30"/>
      </c>
      <c r="AQ872" s="2">
        <f t="shared" si="31"/>
      </c>
    </row>
    <row r="873">
      <c r="A873" s="43">
        <f t="shared" si="3"/>
      </c>
      <c r="B873" s="44" t="n"/>
      <c r="C873" s="45" t="n"/>
      <c r="D873" s="46" t="n"/>
      <c r="E873" s="47" t="n"/>
      <c r="F873" s="47" t="n"/>
      <c r="G873" s="48">
        <f t="shared" si="4"/>
      </c>
      <c r="H873" s="43">
        <f t="shared" si="0"/>
      </c>
      <c r="I873" s="43">
        <f t="shared" si="5"/>
      </c>
      <c r="J873" s="43">
        <f t="shared" si="1"/>
      </c>
      <c r="K873" s="49">
        <f t="shared" si="2"/>
      </c>
      <c r="L873" s="45" t="n"/>
      <c r="M873" s="45" t="n"/>
      <c r="N873" s="45" t="n"/>
      <c r="O873" s="45" t="n"/>
      <c r="P873" s="50" t="n"/>
      <c r="R873" s="2">
        <f t="shared" si="6"/>
        <v>0</v>
      </c>
      <c r="S873" s="2">
        <f t="shared" si="7"/>
      </c>
      <c r="T873" s="2">
        <f t="shared" si="8"/>
      </c>
      <c r="U873" s="2">
        <f t="shared" si="9"/>
      </c>
      <c r="V873" s="2">
        <f t="shared" si="10"/>
      </c>
      <c r="W873" s="2">
        <f t="shared" si="11"/>
      </c>
      <c r="X873" s="2">
        <f t="shared" si="12"/>
      </c>
      <c r="Y873" s="2">
        <f t="shared" si="13"/>
        <v>0</v>
      </c>
      <c r="Z873" s="2">
        <f t="shared" si="14"/>
      </c>
      <c r="AA873" s="2">
        <f t="shared" si="15"/>
        <v>0</v>
      </c>
      <c r="AB873" s="2">
        <f t="shared" si="16"/>
      </c>
      <c r="AC873" s="2">
        <f t="shared" si="17"/>
      </c>
      <c r="AD873" s="2">
        <f t="shared" si="18"/>
      </c>
      <c r="AE873" s="2">
        <f t="shared" si="19"/>
      </c>
      <c r="AF873" s="2">
        <f t="shared" si="20"/>
      </c>
      <c r="AG873" s="2">
        <f t="shared" si="21"/>
      </c>
      <c r="AH873" s="2">
        <f t="shared" si="22"/>
      </c>
      <c r="AI873" s="2">
        <f t="shared" si="23"/>
      </c>
      <c r="AJ873" s="2">
        <f t="shared" si="24"/>
        <v>0</v>
      </c>
      <c r="AK873" s="2">
        <f t="shared" si="25"/>
        <v>0</v>
      </c>
      <c r="AL873" s="2">
        <f t="shared" si="26"/>
        <v>0</v>
      </c>
      <c r="AM873" s="2">
        <f t="shared" si="27"/>
        <v>0</v>
      </c>
      <c r="AN873" s="2">
        <f t="shared" si="28"/>
        <v>0</v>
      </c>
      <c r="AO873" s="2">
        <f t="shared" si="29"/>
      </c>
      <c r="AP873" s="2">
        <f t="shared" si="30"/>
      </c>
      <c r="AQ873" s="2">
        <f t="shared" si="31"/>
      </c>
    </row>
    <row r="874">
      <c r="A874" s="43">
        <f t="shared" si="3"/>
      </c>
      <c r="B874" s="44" t="n"/>
      <c r="C874" s="45" t="n"/>
      <c r="D874" s="46" t="n"/>
      <c r="E874" s="47" t="n"/>
      <c r="F874" s="47" t="n"/>
      <c r="G874" s="48">
        <f t="shared" si="4"/>
      </c>
      <c r="H874" s="43">
        <f t="shared" si="0"/>
      </c>
      <c r="I874" s="43">
        <f t="shared" si="5"/>
      </c>
      <c r="J874" s="43">
        <f t="shared" si="1"/>
      </c>
      <c r="K874" s="49">
        <f t="shared" si="2"/>
      </c>
      <c r="L874" s="45" t="n"/>
      <c r="M874" s="45" t="n"/>
      <c r="N874" s="45" t="n"/>
      <c r="O874" s="45" t="n"/>
      <c r="P874" s="50" t="n"/>
      <c r="R874" s="2">
        <f t="shared" si="6"/>
        <v>0</v>
      </c>
      <c r="S874" s="2">
        <f t="shared" si="7"/>
      </c>
      <c r="T874" s="2">
        <f t="shared" si="8"/>
      </c>
      <c r="U874" s="2">
        <f t="shared" si="9"/>
      </c>
      <c r="V874" s="2">
        <f t="shared" si="10"/>
      </c>
      <c r="W874" s="2">
        <f t="shared" si="11"/>
      </c>
      <c r="X874" s="2">
        <f t="shared" si="12"/>
      </c>
      <c r="Y874" s="2">
        <f t="shared" si="13"/>
        <v>0</v>
      </c>
      <c r="Z874" s="2">
        <f t="shared" si="14"/>
      </c>
      <c r="AA874" s="2">
        <f t="shared" si="15"/>
        <v>0</v>
      </c>
      <c r="AB874" s="2">
        <f t="shared" si="16"/>
      </c>
      <c r="AC874" s="2">
        <f t="shared" si="17"/>
      </c>
      <c r="AD874" s="2">
        <f t="shared" si="18"/>
      </c>
      <c r="AE874" s="2">
        <f t="shared" si="19"/>
      </c>
      <c r="AF874" s="2">
        <f t="shared" si="20"/>
      </c>
      <c r="AG874" s="2">
        <f t="shared" si="21"/>
      </c>
      <c r="AH874" s="2">
        <f t="shared" si="22"/>
      </c>
      <c r="AI874" s="2">
        <f t="shared" si="23"/>
      </c>
      <c r="AJ874" s="2">
        <f t="shared" si="24"/>
        <v>0</v>
      </c>
      <c r="AK874" s="2">
        <f t="shared" si="25"/>
        <v>0</v>
      </c>
      <c r="AL874" s="2">
        <f t="shared" si="26"/>
        <v>0</v>
      </c>
      <c r="AM874" s="2">
        <f t="shared" si="27"/>
        <v>0</v>
      </c>
      <c r="AN874" s="2">
        <f t="shared" si="28"/>
        <v>0</v>
      </c>
      <c r="AO874" s="2">
        <f t="shared" si="29"/>
      </c>
      <c r="AP874" s="2">
        <f t="shared" si="30"/>
      </c>
      <c r="AQ874" s="2">
        <f t="shared" si="31"/>
      </c>
    </row>
    <row r="875">
      <c r="A875" s="43">
        <f t="shared" si="3"/>
      </c>
      <c r="B875" s="44" t="n"/>
      <c r="C875" s="45" t="n"/>
      <c r="D875" s="46" t="n"/>
      <c r="E875" s="47" t="n"/>
      <c r="F875" s="47" t="n"/>
      <c r="G875" s="48">
        <f t="shared" si="4"/>
      </c>
      <c r="H875" s="43">
        <f t="shared" si="0"/>
      </c>
      <c r="I875" s="43">
        <f t="shared" si="5"/>
      </c>
      <c r="J875" s="43">
        <f t="shared" si="1"/>
      </c>
      <c r="K875" s="49">
        <f t="shared" si="2"/>
      </c>
      <c r="L875" s="45" t="n"/>
      <c r="M875" s="45" t="n"/>
      <c r="N875" s="45" t="n"/>
      <c r="O875" s="45" t="n"/>
      <c r="P875" s="50" t="n"/>
      <c r="R875" s="2">
        <f t="shared" si="6"/>
        <v>0</v>
      </c>
      <c r="S875" s="2">
        <f t="shared" si="7"/>
      </c>
      <c r="T875" s="2">
        <f t="shared" si="8"/>
      </c>
      <c r="U875" s="2">
        <f t="shared" si="9"/>
      </c>
      <c r="V875" s="2">
        <f t="shared" si="10"/>
      </c>
      <c r="W875" s="2">
        <f t="shared" si="11"/>
      </c>
      <c r="X875" s="2">
        <f t="shared" si="12"/>
      </c>
      <c r="Y875" s="2">
        <f t="shared" si="13"/>
        <v>0</v>
      </c>
      <c r="Z875" s="2">
        <f t="shared" si="14"/>
      </c>
      <c r="AA875" s="2">
        <f t="shared" si="15"/>
        <v>0</v>
      </c>
      <c r="AB875" s="2">
        <f t="shared" si="16"/>
      </c>
      <c r="AC875" s="2">
        <f t="shared" si="17"/>
      </c>
      <c r="AD875" s="2">
        <f t="shared" si="18"/>
      </c>
      <c r="AE875" s="2">
        <f t="shared" si="19"/>
      </c>
      <c r="AF875" s="2">
        <f t="shared" si="20"/>
      </c>
      <c r="AG875" s="2">
        <f t="shared" si="21"/>
      </c>
      <c r="AH875" s="2">
        <f t="shared" si="22"/>
      </c>
      <c r="AI875" s="2">
        <f t="shared" si="23"/>
      </c>
      <c r="AJ875" s="2">
        <f t="shared" si="24"/>
        <v>0</v>
      </c>
      <c r="AK875" s="2">
        <f t="shared" si="25"/>
        <v>0</v>
      </c>
      <c r="AL875" s="2">
        <f t="shared" si="26"/>
        <v>0</v>
      </c>
      <c r="AM875" s="2">
        <f t="shared" si="27"/>
        <v>0</v>
      </c>
      <c r="AN875" s="2">
        <f t="shared" si="28"/>
        <v>0</v>
      </c>
      <c r="AO875" s="2">
        <f t="shared" si="29"/>
      </c>
      <c r="AP875" s="2">
        <f t="shared" si="30"/>
      </c>
      <c r="AQ875" s="2">
        <f t="shared" si="31"/>
      </c>
    </row>
    <row r="876">
      <c r="A876" s="43">
        <f t="shared" si="3"/>
      </c>
      <c r="B876" s="44" t="n"/>
      <c r="C876" s="45" t="n"/>
      <c r="D876" s="46" t="n"/>
      <c r="E876" s="47" t="n"/>
      <c r="F876" s="47" t="n"/>
      <c r="G876" s="48">
        <f t="shared" si="4"/>
      </c>
      <c r="H876" s="43">
        <f t="shared" si="0"/>
      </c>
      <c r="I876" s="43">
        <f t="shared" si="5"/>
      </c>
      <c r="J876" s="43">
        <f t="shared" si="1"/>
      </c>
      <c r="K876" s="49">
        <f t="shared" si="2"/>
      </c>
      <c r="L876" s="45" t="n"/>
      <c r="M876" s="45" t="n"/>
      <c r="N876" s="45" t="n"/>
      <c r="O876" s="45" t="n"/>
      <c r="P876" s="50" t="n"/>
      <c r="R876" s="2">
        <f t="shared" si="6"/>
        <v>0</v>
      </c>
      <c r="S876" s="2">
        <f t="shared" si="7"/>
      </c>
      <c r="T876" s="2">
        <f t="shared" si="8"/>
      </c>
      <c r="U876" s="2">
        <f t="shared" si="9"/>
      </c>
      <c r="V876" s="2">
        <f t="shared" si="10"/>
      </c>
      <c r="W876" s="2">
        <f t="shared" si="11"/>
      </c>
      <c r="X876" s="2">
        <f t="shared" si="12"/>
      </c>
      <c r="Y876" s="2">
        <f t="shared" si="13"/>
        <v>0</v>
      </c>
      <c r="Z876" s="2">
        <f t="shared" si="14"/>
      </c>
      <c r="AA876" s="2">
        <f t="shared" si="15"/>
        <v>0</v>
      </c>
      <c r="AB876" s="2">
        <f t="shared" si="16"/>
      </c>
      <c r="AC876" s="2">
        <f t="shared" si="17"/>
      </c>
      <c r="AD876" s="2">
        <f t="shared" si="18"/>
      </c>
      <c r="AE876" s="2">
        <f t="shared" si="19"/>
      </c>
      <c r="AF876" s="2">
        <f t="shared" si="20"/>
      </c>
      <c r="AG876" s="2">
        <f t="shared" si="21"/>
      </c>
      <c r="AH876" s="2">
        <f t="shared" si="22"/>
      </c>
      <c r="AI876" s="2">
        <f t="shared" si="23"/>
      </c>
      <c r="AJ876" s="2">
        <f t="shared" si="24"/>
        <v>0</v>
      </c>
      <c r="AK876" s="2">
        <f t="shared" si="25"/>
        <v>0</v>
      </c>
      <c r="AL876" s="2">
        <f t="shared" si="26"/>
        <v>0</v>
      </c>
      <c r="AM876" s="2">
        <f t="shared" si="27"/>
        <v>0</v>
      </c>
      <c r="AN876" s="2">
        <f t="shared" si="28"/>
        <v>0</v>
      </c>
      <c r="AO876" s="2">
        <f t="shared" si="29"/>
      </c>
      <c r="AP876" s="2">
        <f t="shared" si="30"/>
      </c>
      <c r="AQ876" s="2">
        <f t="shared" si="31"/>
      </c>
    </row>
    <row r="877">
      <c r="A877" s="43">
        <f t="shared" si="3"/>
      </c>
      <c r="B877" s="44" t="n"/>
      <c r="C877" s="45" t="n"/>
      <c r="D877" s="46" t="n"/>
      <c r="E877" s="47" t="n"/>
      <c r="F877" s="47" t="n"/>
      <c r="G877" s="48">
        <f t="shared" si="4"/>
      </c>
      <c r="H877" s="43">
        <f t="shared" si="0"/>
      </c>
      <c r="I877" s="43">
        <f t="shared" si="5"/>
      </c>
      <c r="J877" s="43">
        <f t="shared" si="1"/>
      </c>
      <c r="K877" s="49">
        <f t="shared" si="2"/>
      </c>
      <c r="L877" s="45" t="n"/>
      <c r="M877" s="45" t="n"/>
      <c r="N877" s="45" t="n"/>
      <c r="O877" s="45" t="n"/>
      <c r="P877" s="50" t="n"/>
      <c r="R877" s="2">
        <f t="shared" si="6"/>
        <v>0</v>
      </c>
      <c r="S877" s="2">
        <f t="shared" si="7"/>
      </c>
      <c r="T877" s="2">
        <f t="shared" si="8"/>
      </c>
      <c r="U877" s="2">
        <f t="shared" si="9"/>
      </c>
      <c r="V877" s="2">
        <f t="shared" si="10"/>
      </c>
      <c r="W877" s="2">
        <f t="shared" si="11"/>
      </c>
      <c r="X877" s="2">
        <f t="shared" si="12"/>
      </c>
      <c r="Y877" s="2">
        <f t="shared" si="13"/>
        <v>0</v>
      </c>
      <c r="Z877" s="2">
        <f t="shared" si="14"/>
      </c>
      <c r="AA877" s="2">
        <f t="shared" si="15"/>
        <v>0</v>
      </c>
      <c r="AB877" s="2">
        <f t="shared" si="16"/>
      </c>
      <c r="AC877" s="2">
        <f t="shared" si="17"/>
      </c>
      <c r="AD877" s="2">
        <f t="shared" si="18"/>
      </c>
      <c r="AE877" s="2">
        <f t="shared" si="19"/>
      </c>
      <c r="AF877" s="2">
        <f t="shared" si="20"/>
      </c>
      <c r="AG877" s="2">
        <f t="shared" si="21"/>
      </c>
      <c r="AH877" s="2">
        <f t="shared" si="22"/>
      </c>
      <c r="AI877" s="2">
        <f t="shared" si="23"/>
      </c>
      <c r="AJ877" s="2">
        <f t="shared" si="24"/>
        <v>0</v>
      </c>
      <c r="AK877" s="2">
        <f t="shared" si="25"/>
        <v>0</v>
      </c>
      <c r="AL877" s="2">
        <f t="shared" si="26"/>
        <v>0</v>
      </c>
      <c r="AM877" s="2">
        <f t="shared" si="27"/>
        <v>0</v>
      </c>
      <c r="AN877" s="2">
        <f t="shared" si="28"/>
        <v>0</v>
      </c>
      <c r="AO877" s="2">
        <f t="shared" si="29"/>
      </c>
      <c r="AP877" s="2">
        <f t="shared" si="30"/>
      </c>
      <c r="AQ877" s="2">
        <f t="shared" si="31"/>
      </c>
    </row>
    <row r="878">
      <c r="A878" s="43">
        <f t="shared" si="3"/>
      </c>
      <c r="B878" s="44" t="n"/>
      <c r="C878" s="45" t="n"/>
      <c r="D878" s="46" t="n"/>
      <c r="E878" s="47" t="n"/>
      <c r="F878" s="47" t="n"/>
      <c r="G878" s="48">
        <f t="shared" si="4"/>
      </c>
      <c r="H878" s="43">
        <f t="shared" si="0"/>
      </c>
      <c r="I878" s="43">
        <f t="shared" si="5"/>
      </c>
      <c r="J878" s="43">
        <f t="shared" si="1"/>
      </c>
      <c r="K878" s="49">
        <f t="shared" si="2"/>
      </c>
      <c r="L878" s="45" t="n"/>
      <c r="M878" s="45" t="n"/>
      <c r="N878" s="45" t="n"/>
      <c r="O878" s="45" t="n"/>
      <c r="P878" s="50" t="n"/>
      <c r="R878" s="2">
        <f t="shared" si="6"/>
        <v>0</v>
      </c>
      <c r="S878" s="2">
        <f t="shared" si="7"/>
      </c>
      <c r="T878" s="2">
        <f t="shared" si="8"/>
      </c>
      <c r="U878" s="2">
        <f t="shared" si="9"/>
      </c>
      <c r="V878" s="2">
        <f t="shared" si="10"/>
      </c>
      <c r="W878" s="2">
        <f t="shared" si="11"/>
      </c>
      <c r="X878" s="2">
        <f t="shared" si="12"/>
      </c>
      <c r="Y878" s="2">
        <f t="shared" si="13"/>
        <v>0</v>
      </c>
      <c r="Z878" s="2">
        <f t="shared" si="14"/>
      </c>
      <c r="AA878" s="2">
        <f t="shared" si="15"/>
        <v>0</v>
      </c>
      <c r="AB878" s="2">
        <f t="shared" si="16"/>
      </c>
      <c r="AC878" s="2">
        <f t="shared" si="17"/>
      </c>
      <c r="AD878" s="2">
        <f t="shared" si="18"/>
      </c>
      <c r="AE878" s="2">
        <f t="shared" si="19"/>
      </c>
      <c r="AF878" s="2">
        <f t="shared" si="20"/>
      </c>
      <c r="AG878" s="2">
        <f t="shared" si="21"/>
      </c>
      <c r="AH878" s="2">
        <f t="shared" si="22"/>
      </c>
      <c r="AI878" s="2">
        <f t="shared" si="23"/>
      </c>
      <c r="AJ878" s="2">
        <f t="shared" si="24"/>
        <v>0</v>
      </c>
      <c r="AK878" s="2">
        <f t="shared" si="25"/>
        <v>0</v>
      </c>
      <c r="AL878" s="2">
        <f t="shared" si="26"/>
        <v>0</v>
      </c>
      <c r="AM878" s="2">
        <f t="shared" si="27"/>
        <v>0</v>
      </c>
      <c r="AN878" s="2">
        <f t="shared" si="28"/>
        <v>0</v>
      </c>
      <c r="AO878" s="2">
        <f t="shared" si="29"/>
      </c>
      <c r="AP878" s="2">
        <f t="shared" si="30"/>
      </c>
      <c r="AQ878" s="2">
        <f t="shared" si="31"/>
      </c>
    </row>
    <row r="879">
      <c r="A879" s="43">
        <f t="shared" si="3"/>
      </c>
      <c r="B879" s="44" t="n"/>
      <c r="C879" s="45" t="n"/>
      <c r="D879" s="46" t="n"/>
      <c r="E879" s="47" t="n"/>
      <c r="F879" s="47" t="n"/>
      <c r="G879" s="48">
        <f t="shared" si="4"/>
      </c>
      <c r="H879" s="43">
        <f t="shared" si="0"/>
      </c>
      <c r="I879" s="43">
        <f t="shared" si="5"/>
      </c>
      <c r="J879" s="43">
        <f t="shared" si="1"/>
      </c>
      <c r="K879" s="49">
        <f t="shared" si="2"/>
      </c>
      <c r="L879" s="45" t="n"/>
      <c r="M879" s="45" t="n"/>
      <c r="N879" s="45" t="n"/>
      <c r="O879" s="45" t="n"/>
      <c r="P879" s="50" t="n"/>
      <c r="R879" s="2">
        <f t="shared" si="6"/>
        <v>0</v>
      </c>
      <c r="S879" s="2">
        <f t="shared" si="7"/>
      </c>
      <c r="T879" s="2">
        <f t="shared" si="8"/>
      </c>
      <c r="U879" s="2">
        <f t="shared" si="9"/>
      </c>
      <c r="V879" s="2">
        <f t="shared" si="10"/>
      </c>
      <c r="W879" s="2">
        <f t="shared" si="11"/>
      </c>
      <c r="X879" s="2">
        <f t="shared" si="12"/>
      </c>
      <c r="Y879" s="2">
        <f t="shared" si="13"/>
        <v>0</v>
      </c>
      <c r="Z879" s="2">
        <f t="shared" si="14"/>
      </c>
      <c r="AA879" s="2">
        <f t="shared" si="15"/>
        <v>0</v>
      </c>
      <c r="AB879" s="2">
        <f t="shared" si="16"/>
      </c>
      <c r="AC879" s="2">
        <f t="shared" si="17"/>
      </c>
      <c r="AD879" s="2">
        <f t="shared" si="18"/>
      </c>
      <c r="AE879" s="2">
        <f t="shared" si="19"/>
      </c>
      <c r="AF879" s="2">
        <f t="shared" si="20"/>
      </c>
      <c r="AG879" s="2">
        <f t="shared" si="21"/>
      </c>
      <c r="AH879" s="2">
        <f t="shared" si="22"/>
      </c>
      <c r="AI879" s="2">
        <f t="shared" si="23"/>
      </c>
      <c r="AJ879" s="2">
        <f t="shared" si="24"/>
        <v>0</v>
      </c>
      <c r="AK879" s="2">
        <f t="shared" si="25"/>
        <v>0</v>
      </c>
      <c r="AL879" s="2">
        <f t="shared" si="26"/>
        <v>0</v>
      </c>
      <c r="AM879" s="2">
        <f t="shared" si="27"/>
        <v>0</v>
      </c>
      <c r="AN879" s="2">
        <f t="shared" si="28"/>
        <v>0</v>
      </c>
      <c r="AO879" s="2">
        <f t="shared" si="29"/>
      </c>
      <c r="AP879" s="2">
        <f t="shared" si="30"/>
      </c>
      <c r="AQ879" s="2">
        <f t="shared" si="31"/>
      </c>
    </row>
    <row r="880">
      <c r="A880" s="43">
        <f t="shared" si="3"/>
      </c>
      <c r="B880" s="44" t="n"/>
      <c r="C880" s="45" t="n"/>
      <c r="D880" s="46" t="n"/>
      <c r="E880" s="47" t="n"/>
      <c r="F880" s="47" t="n"/>
      <c r="G880" s="48">
        <f t="shared" si="4"/>
      </c>
      <c r="H880" s="43">
        <f t="shared" si="0"/>
      </c>
      <c r="I880" s="43">
        <f t="shared" si="5"/>
      </c>
      <c r="J880" s="43">
        <f t="shared" si="1"/>
      </c>
      <c r="K880" s="49">
        <f t="shared" si="2"/>
      </c>
      <c r="L880" s="45" t="n"/>
      <c r="M880" s="45" t="n"/>
      <c r="N880" s="45" t="n"/>
      <c r="O880" s="45" t="n"/>
      <c r="P880" s="50" t="n"/>
      <c r="R880" s="2">
        <f t="shared" si="6"/>
        <v>0</v>
      </c>
      <c r="S880" s="2">
        <f t="shared" si="7"/>
      </c>
      <c r="T880" s="2">
        <f t="shared" si="8"/>
      </c>
      <c r="U880" s="2">
        <f t="shared" si="9"/>
      </c>
      <c r="V880" s="2">
        <f t="shared" si="10"/>
      </c>
      <c r="W880" s="2">
        <f t="shared" si="11"/>
      </c>
      <c r="X880" s="2">
        <f t="shared" si="12"/>
      </c>
      <c r="Y880" s="2">
        <f t="shared" si="13"/>
        <v>0</v>
      </c>
      <c r="Z880" s="2">
        <f t="shared" si="14"/>
      </c>
      <c r="AA880" s="2">
        <f t="shared" si="15"/>
        <v>0</v>
      </c>
      <c r="AB880" s="2">
        <f t="shared" si="16"/>
      </c>
      <c r="AC880" s="2">
        <f t="shared" si="17"/>
      </c>
      <c r="AD880" s="2">
        <f t="shared" si="18"/>
      </c>
      <c r="AE880" s="2">
        <f t="shared" si="19"/>
      </c>
      <c r="AF880" s="2">
        <f t="shared" si="20"/>
      </c>
      <c r="AG880" s="2">
        <f t="shared" si="21"/>
      </c>
      <c r="AH880" s="2">
        <f t="shared" si="22"/>
      </c>
      <c r="AI880" s="2">
        <f t="shared" si="23"/>
      </c>
      <c r="AJ880" s="2">
        <f t="shared" si="24"/>
        <v>0</v>
      </c>
      <c r="AK880" s="2">
        <f t="shared" si="25"/>
        <v>0</v>
      </c>
      <c r="AL880" s="2">
        <f t="shared" si="26"/>
        <v>0</v>
      </c>
      <c r="AM880" s="2">
        <f t="shared" si="27"/>
        <v>0</v>
      </c>
      <c r="AN880" s="2">
        <f t="shared" si="28"/>
        <v>0</v>
      </c>
      <c r="AO880" s="2">
        <f t="shared" si="29"/>
      </c>
      <c r="AP880" s="2">
        <f t="shared" si="30"/>
      </c>
      <c r="AQ880" s="2">
        <f t="shared" si="31"/>
      </c>
    </row>
    <row r="881">
      <c r="A881" s="43">
        <f t="shared" si="3"/>
      </c>
      <c r="B881" s="44" t="n"/>
      <c r="C881" s="45" t="n"/>
      <c r="D881" s="46" t="n"/>
      <c r="E881" s="47" t="n"/>
      <c r="F881" s="47" t="n"/>
      <c r="G881" s="48">
        <f t="shared" si="4"/>
      </c>
      <c r="H881" s="43">
        <f t="shared" si="0"/>
      </c>
      <c r="I881" s="43">
        <f t="shared" si="5"/>
      </c>
      <c r="J881" s="43">
        <f t="shared" si="1"/>
      </c>
      <c r="K881" s="49">
        <f t="shared" si="2"/>
      </c>
      <c r="L881" s="45" t="n"/>
      <c r="M881" s="45" t="n"/>
      <c r="N881" s="45" t="n"/>
      <c r="O881" s="45" t="n"/>
      <c r="P881" s="50" t="n"/>
      <c r="R881" s="2">
        <f t="shared" si="6"/>
        <v>0</v>
      </c>
      <c r="S881" s="2">
        <f t="shared" si="7"/>
      </c>
      <c r="T881" s="2">
        <f t="shared" si="8"/>
      </c>
      <c r="U881" s="2">
        <f t="shared" si="9"/>
      </c>
      <c r="V881" s="2">
        <f t="shared" si="10"/>
      </c>
      <c r="W881" s="2">
        <f t="shared" si="11"/>
      </c>
      <c r="X881" s="2">
        <f t="shared" si="12"/>
      </c>
      <c r="Y881" s="2">
        <f t="shared" si="13"/>
        <v>0</v>
      </c>
      <c r="Z881" s="2">
        <f t="shared" si="14"/>
      </c>
      <c r="AA881" s="2">
        <f t="shared" si="15"/>
        <v>0</v>
      </c>
      <c r="AB881" s="2">
        <f t="shared" si="16"/>
      </c>
      <c r="AC881" s="2">
        <f t="shared" si="17"/>
      </c>
      <c r="AD881" s="2">
        <f t="shared" si="18"/>
      </c>
      <c r="AE881" s="2">
        <f t="shared" si="19"/>
      </c>
      <c r="AF881" s="2">
        <f t="shared" si="20"/>
      </c>
      <c r="AG881" s="2">
        <f t="shared" si="21"/>
      </c>
      <c r="AH881" s="2">
        <f t="shared" si="22"/>
      </c>
      <c r="AI881" s="2">
        <f t="shared" si="23"/>
      </c>
      <c r="AJ881" s="2">
        <f t="shared" si="24"/>
        <v>0</v>
      </c>
      <c r="AK881" s="2">
        <f t="shared" si="25"/>
        <v>0</v>
      </c>
      <c r="AL881" s="2">
        <f t="shared" si="26"/>
        <v>0</v>
      </c>
      <c r="AM881" s="2">
        <f t="shared" si="27"/>
        <v>0</v>
      </c>
      <c r="AN881" s="2">
        <f t="shared" si="28"/>
        <v>0</v>
      </c>
      <c r="AO881" s="2">
        <f t="shared" si="29"/>
      </c>
      <c r="AP881" s="2">
        <f t="shared" si="30"/>
      </c>
      <c r="AQ881" s="2">
        <f t="shared" si="31"/>
      </c>
    </row>
    <row r="882">
      <c r="A882" s="43">
        <f t="shared" si="3"/>
      </c>
      <c r="B882" s="44" t="n"/>
      <c r="C882" s="45" t="n"/>
      <c r="D882" s="46" t="n"/>
      <c r="E882" s="47" t="n"/>
      <c r="F882" s="47" t="n"/>
      <c r="G882" s="48">
        <f t="shared" si="4"/>
      </c>
      <c r="H882" s="43">
        <f t="shared" si="0"/>
      </c>
      <c r="I882" s="43">
        <f t="shared" si="5"/>
      </c>
      <c r="J882" s="43">
        <f t="shared" si="1"/>
      </c>
      <c r="K882" s="49">
        <f t="shared" si="2"/>
      </c>
      <c r="L882" s="45" t="n"/>
      <c r="M882" s="45" t="n"/>
      <c r="N882" s="45" t="n"/>
      <c r="O882" s="45" t="n"/>
      <c r="P882" s="50" t="n"/>
      <c r="R882" s="2">
        <f t="shared" si="6"/>
        <v>0</v>
      </c>
      <c r="S882" s="2">
        <f t="shared" si="7"/>
      </c>
      <c r="T882" s="2">
        <f t="shared" si="8"/>
      </c>
      <c r="U882" s="2">
        <f t="shared" si="9"/>
      </c>
      <c r="V882" s="2">
        <f t="shared" si="10"/>
      </c>
      <c r="W882" s="2">
        <f t="shared" si="11"/>
      </c>
      <c r="X882" s="2">
        <f t="shared" si="12"/>
      </c>
      <c r="Y882" s="2">
        <f t="shared" si="13"/>
        <v>0</v>
      </c>
      <c r="Z882" s="2">
        <f t="shared" si="14"/>
      </c>
      <c r="AA882" s="2">
        <f t="shared" si="15"/>
        <v>0</v>
      </c>
      <c r="AB882" s="2">
        <f t="shared" si="16"/>
      </c>
      <c r="AC882" s="2">
        <f t="shared" si="17"/>
      </c>
      <c r="AD882" s="2">
        <f t="shared" si="18"/>
      </c>
      <c r="AE882" s="2">
        <f t="shared" si="19"/>
      </c>
      <c r="AF882" s="2">
        <f t="shared" si="20"/>
      </c>
      <c r="AG882" s="2">
        <f t="shared" si="21"/>
      </c>
      <c r="AH882" s="2">
        <f t="shared" si="22"/>
      </c>
      <c r="AI882" s="2">
        <f t="shared" si="23"/>
      </c>
      <c r="AJ882" s="2">
        <f t="shared" si="24"/>
        <v>0</v>
      </c>
      <c r="AK882" s="2">
        <f t="shared" si="25"/>
        <v>0</v>
      </c>
      <c r="AL882" s="2">
        <f t="shared" si="26"/>
        <v>0</v>
      </c>
      <c r="AM882" s="2">
        <f t="shared" si="27"/>
        <v>0</v>
      </c>
      <c r="AN882" s="2">
        <f t="shared" si="28"/>
        <v>0</v>
      </c>
      <c r="AO882" s="2">
        <f t="shared" si="29"/>
      </c>
      <c r="AP882" s="2">
        <f t="shared" si="30"/>
      </c>
      <c r="AQ882" s="2">
        <f t="shared" si="31"/>
      </c>
    </row>
    <row r="883">
      <c r="A883" s="43">
        <f t="shared" si="3"/>
      </c>
      <c r="B883" s="44" t="n"/>
      <c r="C883" s="45" t="n"/>
      <c r="D883" s="46" t="n"/>
      <c r="E883" s="47" t="n"/>
      <c r="F883" s="47" t="n"/>
      <c r="G883" s="48">
        <f t="shared" si="4"/>
      </c>
      <c r="H883" s="43">
        <f t="shared" si="0"/>
      </c>
      <c r="I883" s="43">
        <f t="shared" si="5"/>
      </c>
      <c r="J883" s="43">
        <f t="shared" si="1"/>
      </c>
      <c r="K883" s="49">
        <f t="shared" si="2"/>
      </c>
      <c r="L883" s="45" t="n"/>
      <c r="M883" s="45" t="n"/>
      <c r="N883" s="45" t="n"/>
      <c r="O883" s="45" t="n"/>
      <c r="P883" s="50" t="n"/>
      <c r="R883" s="2">
        <f t="shared" si="6"/>
        <v>0</v>
      </c>
      <c r="S883" s="2">
        <f t="shared" si="7"/>
      </c>
      <c r="T883" s="2">
        <f t="shared" si="8"/>
      </c>
      <c r="U883" s="2">
        <f t="shared" si="9"/>
      </c>
      <c r="V883" s="2">
        <f t="shared" si="10"/>
      </c>
      <c r="W883" s="2">
        <f t="shared" si="11"/>
      </c>
      <c r="X883" s="2">
        <f t="shared" si="12"/>
      </c>
      <c r="Y883" s="2">
        <f t="shared" si="13"/>
        <v>0</v>
      </c>
      <c r="Z883" s="2">
        <f t="shared" si="14"/>
      </c>
      <c r="AA883" s="2">
        <f t="shared" si="15"/>
        <v>0</v>
      </c>
      <c r="AB883" s="2">
        <f t="shared" si="16"/>
      </c>
      <c r="AC883" s="2">
        <f t="shared" si="17"/>
      </c>
      <c r="AD883" s="2">
        <f t="shared" si="18"/>
      </c>
      <c r="AE883" s="2">
        <f t="shared" si="19"/>
      </c>
      <c r="AF883" s="2">
        <f t="shared" si="20"/>
      </c>
      <c r="AG883" s="2">
        <f t="shared" si="21"/>
      </c>
      <c r="AH883" s="2">
        <f t="shared" si="22"/>
      </c>
      <c r="AI883" s="2">
        <f t="shared" si="23"/>
      </c>
      <c r="AJ883" s="2">
        <f t="shared" si="24"/>
        <v>0</v>
      </c>
      <c r="AK883" s="2">
        <f t="shared" si="25"/>
        <v>0</v>
      </c>
      <c r="AL883" s="2">
        <f t="shared" si="26"/>
        <v>0</v>
      </c>
      <c r="AM883" s="2">
        <f t="shared" si="27"/>
        <v>0</v>
      </c>
      <c r="AN883" s="2">
        <f t="shared" si="28"/>
        <v>0</v>
      </c>
      <c r="AO883" s="2">
        <f t="shared" si="29"/>
      </c>
      <c r="AP883" s="2">
        <f t="shared" si="30"/>
      </c>
      <c r="AQ883" s="2">
        <f t="shared" si="31"/>
      </c>
    </row>
    <row r="884">
      <c r="A884" s="43">
        <f t="shared" si="3"/>
      </c>
      <c r="B884" s="44" t="n"/>
      <c r="C884" s="45" t="n"/>
      <c r="D884" s="46" t="n"/>
      <c r="E884" s="47" t="n"/>
      <c r="F884" s="47" t="n"/>
      <c r="G884" s="48">
        <f t="shared" si="4"/>
      </c>
      <c r="H884" s="43">
        <f t="shared" si="0"/>
      </c>
      <c r="I884" s="43">
        <f t="shared" si="5"/>
      </c>
      <c r="J884" s="43">
        <f t="shared" si="1"/>
      </c>
      <c r="K884" s="49">
        <f t="shared" si="2"/>
      </c>
      <c r="L884" s="45" t="n"/>
      <c r="M884" s="45" t="n"/>
      <c r="N884" s="45" t="n"/>
      <c r="O884" s="45" t="n"/>
      <c r="P884" s="50" t="n"/>
      <c r="R884" s="2">
        <f t="shared" si="6"/>
        <v>0</v>
      </c>
      <c r="S884" s="2">
        <f t="shared" si="7"/>
      </c>
      <c r="T884" s="2">
        <f t="shared" si="8"/>
      </c>
      <c r="U884" s="2">
        <f t="shared" si="9"/>
      </c>
      <c r="V884" s="2">
        <f t="shared" si="10"/>
      </c>
      <c r="W884" s="2">
        <f t="shared" si="11"/>
      </c>
      <c r="X884" s="2">
        <f t="shared" si="12"/>
      </c>
      <c r="Y884" s="2">
        <f t="shared" si="13"/>
        <v>0</v>
      </c>
      <c r="Z884" s="2">
        <f t="shared" si="14"/>
      </c>
      <c r="AA884" s="2">
        <f t="shared" si="15"/>
        <v>0</v>
      </c>
      <c r="AB884" s="2">
        <f t="shared" si="16"/>
      </c>
      <c r="AC884" s="2">
        <f t="shared" si="17"/>
      </c>
      <c r="AD884" s="2">
        <f t="shared" si="18"/>
      </c>
      <c r="AE884" s="2">
        <f t="shared" si="19"/>
      </c>
      <c r="AF884" s="2">
        <f t="shared" si="20"/>
      </c>
      <c r="AG884" s="2">
        <f t="shared" si="21"/>
      </c>
      <c r="AH884" s="2">
        <f t="shared" si="22"/>
      </c>
      <c r="AI884" s="2">
        <f t="shared" si="23"/>
      </c>
      <c r="AJ884" s="2">
        <f t="shared" si="24"/>
        <v>0</v>
      </c>
      <c r="AK884" s="2">
        <f t="shared" si="25"/>
        <v>0</v>
      </c>
      <c r="AL884" s="2">
        <f t="shared" si="26"/>
        <v>0</v>
      </c>
      <c r="AM884" s="2">
        <f t="shared" si="27"/>
        <v>0</v>
      </c>
      <c r="AN884" s="2">
        <f t="shared" si="28"/>
        <v>0</v>
      </c>
      <c r="AO884" s="2">
        <f t="shared" si="29"/>
      </c>
      <c r="AP884" s="2">
        <f t="shared" si="30"/>
      </c>
      <c r="AQ884" s="2">
        <f t="shared" si="31"/>
      </c>
    </row>
    <row r="885">
      <c r="A885" s="43">
        <f t="shared" si="3"/>
      </c>
      <c r="B885" s="44" t="n"/>
      <c r="C885" s="45" t="n"/>
      <c r="D885" s="46" t="n"/>
      <c r="E885" s="47" t="n"/>
      <c r="F885" s="47" t="n"/>
      <c r="G885" s="48">
        <f t="shared" si="4"/>
      </c>
      <c r="H885" s="43">
        <f t="shared" si="0"/>
      </c>
      <c r="I885" s="43">
        <f t="shared" si="5"/>
      </c>
      <c r="J885" s="43">
        <f t="shared" si="1"/>
      </c>
      <c r="K885" s="49">
        <f t="shared" si="2"/>
      </c>
      <c r="L885" s="45" t="n"/>
      <c r="M885" s="45" t="n"/>
      <c r="N885" s="45" t="n"/>
      <c r="O885" s="45" t="n"/>
      <c r="P885" s="50" t="n"/>
      <c r="R885" s="2">
        <f t="shared" si="6"/>
        <v>0</v>
      </c>
      <c r="S885" s="2">
        <f t="shared" si="7"/>
      </c>
      <c r="T885" s="2">
        <f t="shared" si="8"/>
      </c>
      <c r="U885" s="2">
        <f t="shared" si="9"/>
      </c>
      <c r="V885" s="2">
        <f t="shared" si="10"/>
      </c>
      <c r="W885" s="2">
        <f t="shared" si="11"/>
      </c>
      <c r="X885" s="2">
        <f t="shared" si="12"/>
      </c>
      <c r="Y885" s="2">
        <f t="shared" si="13"/>
        <v>0</v>
      </c>
      <c r="Z885" s="2">
        <f t="shared" si="14"/>
      </c>
      <c r="AA885" s="2">
        <f t="shared" si="15"/>
        <v>0</v>
      </c>
      <c r="AB885" s="2">
        <f t="shared" si="16"/>
      </c>
      <c r="AC885" s="2">
        <f t="shared" si="17"/>
      </c>
      <c r="AD885" s="2">
        <f t="shared" si="18"/>
      </c>
      <c r="AE885" s="2">
        <f t="shared" si="19"/>
      </c>
      <c r="AF885" s="2">
        <f t="shared" si="20"/>
      </c>
      <c r="AG885" s="2">
        <f t="shared" si="21"/>
      </c>
      <c r="AH885" s="2">
        <f t="shared" si="22"/>
      </c>
      <c r="AI885" s="2">
        <f t="shared" si="23"/>
      </c>
      <c r="AJ885" s="2">
        <f t="shared" si="24"/>
        <v>0</v>
      </c>
      <c r="AK885" s="2">
        <f t="shared" si="25"/>
        <v>0</v>
      </c>
      <c r="AL885" s="2">
        <f t="shared" si="26"/>
        <v>0</v>
      </c>
      <c r="AM885" s="2">
        <f t="shared" si="27"/>
        <v>0</v>
      </c>
      <c r="AN885" s="2">
        <f t="shared" si="28"/>
        <v>0</v>
      </c>
      <c r="AO885" s="2">
        <f t="shared" si="29"/>
      </c>
      <c r="AP885" s="2">
        <f t="shared" si="30"/>
      </c>
      <c r="AQ885" s="2">
        <f t="shared" si="31"/>
      </c>
    </row>
    <row r="886">
      <c r="A886" s="43">
        <f t="shared" si="3"/>
      </c>
      <c r="B886" s="44" t="n"/>
      <c r="C886" s="45" t="n"/>
      <c r="D886" s="46" t="n"/>
      <c r="E886" s="47" t="n"/>
      <c r="F886" s="47" t="n"/>
      <c r="G886" s="48">
        <f t="shared" si="4"/>
      </c>
      <c r="H886" s="43">
        <f t="shared" si="0"/>
      </c>
      <c r="I886" s="43">
        <f t="shared" si="5"/>
      </c>
      <c r="J886" s="43">
        <f t="shared" si="1"/>
      </c>
      <c r="K886" s="49">
        <f t="shared" si="2"/>
      </c>
      <c r="L886" s="45" t="n"/>
      <c r="M886" s="45" t="n"/>
      <c r="N886" s="45" t="n"/>
      <c r="O886" s="45" t="n"/>
      <c r="P886" s="50" t="n"/>
      <c r="R886" s="2">
        <f t="shared" si="6"/>
        <v>0</v>
      </c>
      <c r="S886" s="2">
        <f t="shared" si="7"/>
      </c>
      <c r="T886" s="2">
        <f t="shared" si="8"/>
      </c>
      <c r="U886" s="2">
        <f t="shared" si="9"/>
      </c>
      <c r="V886" s="2">
        <f t="shared" si="10"/>
      </c>
      <c r="W886" s="2">
        <f t="shared" si="11"/>
      </c>
      <c r="X886" s="2">
        <f t="shared" si="12"/>
      </c>
      <c r="Y886" s="2">
        <f t="shared" si="13"/>
        <v>0</v>
      </c>
      <c r="Z886" s="2">
        <f t="shared" si="14"/>
      </c>
      <c r="AA886" s="2">
        <f t="shared" si="15"/>
        <v>0</v>
      </c>
      <c r="AB886" s="2">
        <f t="shared" si="16"/>
      </c>
      <c r="AC886" s="2">
        <f t="shared" si="17"/>
      </c>
      <c r="AD886" s="2">
        <f t="shared" si="18"/>
      </c>
      <c r="AE886" s="2">
        <f t="shared" si="19"/>
      </c>
      <c r="AF886" s="2">
        <f t="shared" si="20"/>
      </c>
      <c r="AG886" s="2">
        <f t="shared" si="21"/>
      </c>
      <c r="AH886" s="2">
        <f t="shared" si="22"/>
      </c>
      <c r="AI886" s="2">
        <f t="shared" si="23"/>
      </c>
      <c r="AJ886" s="2">
        <f t="shared" si="24"/>
        <v>0</v>
      </c>
      <c r="AK886" s="2">
        <f t="shared" si="25"/>
        <v>0</v>
      </c>
      <c r="AL886" s="2">
        <f t="shared" si="26"/>
        <v>0</v>
      </c>
      <c r="AM886" s="2">
        <f t="shared" si="27"/>
        <v>0</v>
      </c>
      <c r="AN886" s="2">
        <f t="shared" si="28"/>
        <v>0</v>
      </c>
      <c r="AO886" s="2">
        <f t="shared" si="29"/>
      </c>
      <c r="AP886" s="2">
        <f t="shared" si="30"/>
      </c>
      <c r="AQ886" s="2">
        <f t="shared" si="31"/>
      </c>
    </row>
    <row r="887">
      <c r="A887" s="43">
        <f t="shared" si="3"/>
      </c>
      <c r="B887" s="44" t="n"/>
      <c r="C887" s="45" t="n"/>
      <c r="D887" s="46" t="n"/>
      <c r="E887" s="47" t="n"/>
      <c r="F887" s="47" t="n"/>
      <c r="G887" s="48">
        <f t="shared" si="4"/>
      </c>
      <c r="H887" s="43">
        <f t="shared" si="0"/>
      </c>
      <c r="I887" s="43">
        <f t="shared" si="5"/>
      </c>
      <c r="J887" s="43">
        <f t="shared" si="1"/>
      </c>
      <c r="K887" s="49">
        <f t="shared" si="2"/>
      </c>
      <c r="L887" s="45" t="n"/>
      <c r="M887" s="45" t="n"/>
      <c r="N887" s="45" t="n"/>
      <c r="O887" s="45" t="n"/>
      <c r="P887" s="50" t="n"/>
      <c r="R887" s="2">
        <f t="shared" si="6"/>
        <v>0</v>
      </c>
      <c r="S887" s="2">
        <f t="shared" si="7"/>
      </c>
      <c r="T887" s="2">
        <f t="shared" si="8"/>
      </c>
      <c r="U887" s="2">
        <f t="shared" si="9"/>
      </c>
      <c r="V887" s="2">
        <f t="shared" si="10"/>
      </c>
      <c r="W887" s="2">
        <f t="shared" si="11"/>
      </c>
      <c r="X887" s="2">
        <f t="shared" si="12"/>
      </c>
      <c r="Y887" s="2">
        <f t="shared" si="13"/>
        <v>0</v>
      </c>
      <c r="Z887" s="2">
        <f t="shared" si="14"/>
      </c>
      <c r="AA887" s="2">
        <f t="shared" si="15"/>
        <v>0</v>
      </c>
      <c r="AB887" s="2">
        <f t="shared" si="16"/>
      </c>
      <c r="AC887" s="2">
        <f t="shared" si="17"/>
      </c>
      <c r="AD887" s="2">
        <f t="shared" si="18"/>
      </c>
      <c r="AE887" s="2">
        <f t="shared" si="19"/>
      </c>
      <c r="AF887" s="2">
        <f t="shared" si="20"/>
      </c>
      <c r="AG887" s="2">
        <f t="shared" si="21"/>
      </c>
      <c r="AH887" s="2">
        <f t="shared" si="22"/>
      </c>
      <c r="AI887" s="2">
        <f t="shared" si="23"/>
      </c>
      <c r="AJ887" s="2">
        <f t="shared" si="24"/>
        <v>0</v>
      </c>
      <c r="AK887" s="2">
        <f t="shared" si="25"/>
        <v>0</v>
      </c>
      <c r="AL887" s="2">
        <f t="shared" si="26"/>
        <v>0</v>
      </c>
      <c r="AM887" s="2">
        <f t="shared" si="27"/>
        <v>0</v>
      </c>
      <c r="AN887" s="2">
        <f t="shared" si="28"/>
        <v>0</v>
      </c>
      <c r="AO887" s="2">
        <f t="shared" si="29"/>
      </c>
      <c r="AP887" s="2">
        <f t="shared" si="30"/>
      </c>
      <c r="AQ887" s="2">
        <f t="shared" si="31"/>
      </c>
    </row>
    <row r="888">
      <c r="A888" s="43">
        <f t="shared" si="3"/>
      </c>
      <c r="B888" s="44" t="n"/>
      <c r="C888" s="45" t="n"/>
      <c r="D888" s="46" t="n"/>
      <c r="E888" s="47" t="n"/>
      <c r="F888" s="47" t="n"/>
      <c r="G888" s="48">
        <f t="shared" si="4"/>
      </c>
      <c r="H888" s="43">
        <f t="shared" si="0"/>
      </c>
      <c r="I888" s="43">
        <f t="shared" si="5"/>
      </c>
      <c r="J888" s="43">
        <f t="shared" si="1"/>
      </c>
      <c r="K888" s="49">
        <f t="shared" si="2"/>
      </c>
      <c r="L888" s="45" t="n"/>
      <c r="M888" s="45" t="n"/>
      <c r="N888" s="45" t="n"/>
      <c r="O888" s="45" t="n"/>
      <c r="P888" s="50" t="n"/>
      <c r="R888" s="2">
        <f t="shared" si="6"/>
        <v>0</v>
      </c>
      <c r="S888" s="2">
        <f t="shared" si="7"/>
      </c>
      <c r="T888" s="2">
        <f t="shared" si="8"/>
      </c>
      <c r="U888" s="2">
        <f t="shared" si="9"/>
      </c>
      <c r="V888" s="2">
        <f t="shared" si="10"/>
      </c>
      <c r="W888" s="2">
        <f t="shared" si="11"/>
      </c>
      <c r="X888" s="2">
        <f t="shared" si="12"/>
      </c>
      <c r="Y888" s="2">
        <f t="shared" si="13"/>
        <v>0</v>
      </c>
      <c r="Z888" s="2">
        <f t="shared" si="14"/>
      </c>
      <c r="AA888" s="2">
        <f t="shared" si="15"/>
        <v>0</v>
      </c>
      <c r="AB888" s="2">
        <f t="shared" si="16"/>
      </c>
      <c r="AC888" s="2">
        <f t="shared" si="17"/>
      </c>
      <c r="AD888" s="2">
        <f t="shared" si="18"/>
      </c>
      <c r="AE888" s="2">
        <f t="shared" si="19"/>
      </c>
      <c r="AF888" s="2">
        <f t="shared" si="20"/>
      </c>
      <c r="AG888" s="2">
        <f t="shared" si="21"/>
      </c>
      <c r="AH888" s="2">
        <f t="shared" si="22"/>
      </c>
      <c r="AI888" s="2">
        <f t="shared" si="23"/>
      </c>
      <c r="AJ888" s="2">
        <f t="shared" si="24"/>
        <v>0</v>
      </c>
      <c r="AK888" s="2">
        <f t="shared" si="25"/>
        <v>0</v>
      </c>
      <c r="AL888" s="2">
        <f t="shared" si="26"/>
        <v>0</v>
      </c>
      <c r="AM888" s="2">
        <f t="shared" si="27"/>
        <v>0</v>
      </c>
      <c r="AN888" s="2">
        <f t="shared" si="28"/>
        <v>0</v>
      </c>
      <c r="AO888" s="2">
        <f t="shared" si="29"/>
      </c>
      <c r="AP888" s="2">
        <f t="shared" si="30"/>
      </c>
      <c r="AQ888" s="2">
        <f t="shared" si="31"/>
      </c>
    </row>
    <row r="889">
      <c r="A889" s="43">
        <f t="shared" si="3"/>
      </c>
      <c r="B889" s="44" t="n"/>
      <c r="C889" s="45" t="n"/>
      <c r="D889" s="46" t="n"/>
      <c r="E889" s="47" t="n"/>
      <c r="F889" s="47" t="n"/>
      <c r="G889" s="48">
        <f t="shared" si="4"/>
      </c>
      <c r="H889" s="43">
        <f t="shared" si="0"/>
      </c>
      <c r="I889" s="43">
        <f t="shared" si="5"/>
      </c>
      <c r="J889" s="43">
        <f t="shared" si="1"/>
      </c>
      <c r="K889" s="49">
        <f t="shared" si="2"/>
      </c>
      <c r="L889" s="45" t="n"/>
      <c r="M889" s="45" t="n"/>
      <c r="N889" s="45" t="n"/>
      <c r="O889" s="45" t="n"/>
      <c r="P889" s="50" t="n"/>
      <c r="R889" s="2">
        <f t="shared" si="6"/>
        <v>0</v>
      </c>
      <c r="S889" s="2">
        <f t="shared" si="7"/>
      </c>
      <c r="T889" s="2">
        <f t="shared" si="8"/>
      </c>
      <c r="U889" s="2">
        <f t="shared" si="9"/>
      </c>
      <c r="V889" s="2">
        <f t="shared" si="10"/>
      </c>
      <c r="W889" s="2">
        <f t="shared" si="11"/>
      </c>
      <c r="X889" s="2">
        <f t="shared" si="12"/>
      </c>
      <c r="Y889" s="2">
        <f t="shared" si="13"/>
        <v>0</v>
      </c>
      <c r="Z889" s="2">
        <f t="shared" si="14"/>
      </c>
      <c r="AA889" s="2">
        <f t="shared" si="15"/>
        <v>0</v>
      </c>
      <c r="AB889" s="2">
        <f t="shared" si="16"/>
      </c>
      <c r="AC889" s="2">
        <f t="shared" si="17"/>
      </c>
      <c r="AD889" s="2">
        <f t="shared" si="18"/>
      </c>
      <c r="AE889" s="2">
        <f t="shared" si="19"/>
      </c>
      <c r="AF889" s="2">
        <f t="shared" si="20"/>
      </c>
      <c r="AG889" s="2">
        <f t="shared" si="21"/>
      </c>
      <c r="AH889" s="2">
        <f t="shared" si="22"/>
      </c>
      <c r="AI889" s="2">
        <f t="shared" si="23"/>
      </c>
      <c r="AJ889" s="2">
        <f t="shared" si="24"/>
        <v>0</v>
      </c>
      <c r="AK889" s="2">
        <f t="shared" si="25"/>
        <v>0</v>
      </c>
      <c r="AL889" s="2">
        <f t="shared" si="26"/>
        <v>0</v>
      </c>
      <c r="AM889" s="2">
        <f t="shared" si="27"/>
        <v>0</v>
      </c>
      <c r="AN889" s="2">
        <f t="shared" si="28"/>
        <v>0</v>
      </c>
      <c r="AO889" s="2">
        <f t="shared" si="29"/>
      </c>
      <c r="AP889" s="2">
        <f t="shared" si="30"/>
      </c>
      <c r="AQ889" s="2">
        <f t="shared" si="31"/>
      </c>
    </row>
    <row r="890">
      <c r="A890" s="43">
        <f t="shared" si="3"/>
      </c>
      <c r="B890" s="44" t="n"/>
      <c r="C890" s="45" t="n"/>
      <c r="D890" s="46" t="n"/>
      <c r="E890" s="47" t="n"/>
      <c r="F890" s="47" t="n"/>
      <c r="G890" s="48">
        <f t="shared" si="4"/>
      </c>
      <c r="H890" s="43">
        <f t="shared" si="0"/>
      </c>
      <c r="I890" s="43">
        <f t="shared" si="5"/>
      </c>
      <c r="J890" s="43">
        <f t="shared" si="1"/>
      </c>
      <c r="K890" s="49">
        <f t="shared" si="2"/>
      </c>
      <c r="L890" s="45" t="n"/>
      <c r="M890" s="45" t="n"/>
      <c r="N890" s="45" t="n"/>
      <c r="O890" s="45" t="n"/>
      <c r="P890" s="50" t="n"/>
      <c r="R890" s="2">
        <f t="shared" si="6"/>
        <v>0</v>
      </c>
      <c r="S890" s="2">
        <f t="shared" si="7"/>
      </c>
      <c r="T890" s="2">
        <f t="shared" si="8"/>
      </c>
      <c r="U890" s="2">
        <f t="shared" si="9"/>
      </c>
      <c r="V890" s="2">
        <f t="shared" si="10"/>
      </c>
      <c r="W890" s="2">
        <f t="shared" si="11"/>
      </c>
      <c r="X890" s="2">
        <f t="shared" si="12"/>
      </c>
      <c r="Y890" s="2">
        <f t="shared" si="13"/>
        <v>0</v>
      </c>
      <c r="Z890" s="2">
        <f t="shared" si="14"/>
      </c>
      <c r="AA890" s="2">
        <f t="shared" si="15"/>
        <v>0</v>
      </c>
      <c r="AB890" s="2">
        <f t="shared" si="16"/>
      </c>
      <c r="AC890" s="2">
        <f t="shared" si="17"/>
      </c>
      <c r="AD890" s="2">
        <f t="shared" si="18"/>
      </c>
      <c r="AE890" s="2">
        <f t="shared" si="19"/>
      </c>
      <c r="AF890" s="2">
        <f t="shared" si="20"/>
      </c>
      <c r="AG890" s="2">
        <f t="shared" si="21"/>
      </c>
      <c r="AH890" s="2">
        <f t="shared" si="22"/>
      </c>
      <c r="AI890" s="2">
        <f t="shared" si="23"/>
      </c>
      <c r="AJ890" s="2">
        <f t="shared" si="24"/>
        <v>0</v>
      </c>
      <c r="AK890" s="2">
        <f t="shared" si="25"/>
        <v>0</v>
      </c>
      <c r="AL890" s="2">
        <f t="shared" si="26"/>
        <v>0</v>
      </c>
      <c r="AM890" s="2">
        <f t="shared" si="27"/>
        <v>0</v>
      </c>
      <c r="AN890" s="2">
        <f t="shared" si="28"/>
        <v>0</v>
      </c>
      <c r="AO890" s="2">
        <f t="shared" si="29"/>
      </c>
      <c r="AP890" s="2">
        <f t="shared" si="30"/>
      </c>
      <c r="AQ890" s="2">
        <f t="shared" si="31"/>
      </c>
    </row>
    <row r="891">
      <c r="A891" s="43">
        <f t="shared" si="3"/>
      </c>
      <c r="B891" s="44" t="n"/>
      <c r="C891" s="45" t="n"/>
      <c r="D891" s="46" t="n"/>
      <c r="E891" s="47" t="n"/>
      <c r="F891" s="47" t="n"/>
      <c r="G891" s="48">
        <f t="shared" si="4"/>
      </c>
      <c r="H891" s="43">
        <f t="shared" si="0"/>
      </c>
      <c r="I891" s="43">
        <f t="shared" si="5"/>
      </c>
      <c r="J891" s="43">
        <f t="shared" si="1"/>
      </c>
      <c r="K891" s="49">
        <f t="shared" si="2"/>
      </c>
      <c r="L891" s="45" t="n"/>
      <c r="M891" s="45" t="n"/>
      <c r="N891" s="45" t="n"/>
      <c r="O891" s="45" t="n"/>
      <c r="P891" s="50" t="n"/>
      <c r="R891" s="2">
        <f t="shared" si="6"/>
        <v>0</v>
      </c>
      <c r="S891" s="2">
        <f t="shared" si="7"/>
      </c>
      <c r="T891" s="2">
        <f t="shared" si="8"/>
      </c>
      <c r="U891" s="2">
        <f t="shared" si="9"/>
      </c>
      <c r="V891" s="2">
        <f t="shared" si="10"/>
      </c>
      <c r="W891" s="2">
        <f t="shared" si="11"/>
      </c>
      <c r="X891" s="2">
        <f t="shared" si="12"/>
      </c>
      <c r="Y891" s="2">
        <f t="shared" si="13"/>
        <v>0</v>
      </c>
      <c r="Z891" s="2">
        <f t="shared" si="14"/>
      </c>
      <c r="AA891" s="2">
        <f t="shared" si="15"/>
        <v>0</v>
      </c>
      <c r="AB891" s="2">
        <f t="shared" si="16"/>
      </c>
      <c r="AC891" s="2">
        <f t="shared" si="17"/>
      </c>
      <c r="AD891" s="2">
        <f t="shared" si="18"/>
      </c>
      <c r="AE891" s="2">
        <f t="shared" si="19"/>
      </c>
      <c r="AF891" s="2">
        <f t="shared" si="20"/>
      </c>
      <c r="AG891" s="2">
        <f t="shared" si="21"/>
      </c>
      <c r="AH891" s="2">
        <f t="shared" si="22"/>
      </c>
      <c r="AI891" s="2">
        <f t="shared" si="23"/>
      </c>
      <c r="AJ891" s="2">
        <f t="shared" si="24"/>
        <v>0</v>
      </c>
      <c r="AK891" s="2">
        <f t="shared" si="25"/>
        <v>0</v>
      </c>
      <c r="AL891" s="2">
        <f t="shared" si="26"/>
        <v>0</v>
      </c>
      <c r="AM891" s="2">
        <f t="shared" si="27"/>
        <v>0</v>
      </c>
      <c r="AN891" s="2">
        <f t="shared" si="28"/>
        <v>0</v>
      </c>
      <c r="AO891" s="2">
        <f t="shared" si="29"/>
      </c>
      <c r="AP891" s="2">
        <f t="shared" si="30"/>
      </c>
      <c r="AQ891" s="2">
        <f t="shared" si="31"/>
      </c>
    </row>
    <row r="892">
      <c r="A892" s="43">
        <f t="shared" si="3"/>
      </c>
      <c r="B892" s="44" t="n"/>
      <c r="C892" s="45" t="n"/>
      <c r="D892" s="46" t="n"/>
      <c r="E892" s="47" t="n"/>
      <c r="F892" s="47" t="n"/>
      <c r="G892" s="48">
        <f t="shared" si="4"/>
      </c>
      <c r="H892" s="43">
        <f t="shared" si="0"/>
      </c>
      <c r="I892" s="43">
        <f t="shared" si="5"/>
      </c>
      <c r="J892" s="43">
        <f t="shared" si="1"/>
      </c>
      <c r="K892" s="49">
        <f t="shared" si="2"/>
      </c>
      <c r="L892" s="45" t="n"/>
      <c r="M892" s="45" t="n"/>
      <c r="N892" s="45" t="n"/>
      <c r="O892" s="45" t="n"/>
      <c r="P892" s="50" t="n"/>
      <c r="R892" s="2">
        <f t="shared" si="6"/>
        <v>0</v>
      </c>
      <c r="S892" s="2">
        <f t="shared" si="7"/>
      </c>
      <c r="T892" s="2">
        <f t="shared" si="8"/>
      </c>
      <c r="U892" s="2">
        <f t="shared" si="9"/>
      </c>
      <c r="V892" s="2">
        <f t="shared" si="10"/>
      </c>
      <c r="W892" s="2">
        <f t="shared" si="11"/>
      </c>
      <c r="X892" s="2">
        <f t="shared" si="12"/>
      </c>
      <c r="Y892" s="2">
        <f t="shared" si="13"/>
        <v>0</v>
      </c>
      <c r="Z892" s="2">
        <f t="shared" si="14"/>
      </c>
      <c r="AA892" s="2">
        <f t="shared" si="15"/>
        <v>0</v>
      </c>
      <c r="AB892" s="2">
        <f t="shared" si="16"/>
      </c>
      <c r="AC892" s="2">
        <f t="shared" si="17"/>
      </c>
      <c r="AD892" s="2">
        <f t="shared" si="18"/>
      </c>
      <c r="AE892" s="2">
        <f t="shared" si="19"/>
      </c>
      <c r="AF892" s="2">
        <f t="shared" si="20"/>
      </c>
      <c r="AG892" s="2">
        <f t="shared" si="21"/>
      </c>
      <c r="AH892" s="2">
        <f t="shared" si="22"/>
      </c>
      <c r="AI892" s="2">
        <f t="shared" si="23"/>
      </c>
      <c r="AJ892" s="2">
        <f t="shared" si="24"/>
        <v>0</v>
      </c>
      <c r="AK892" s="2">
        <f t="shared" si="25"/>
        <v>0</v>
      </c>
      <c r="AL892" s="2">
        <f t="shared" si="26"/>
        <v>0</v>
      </c>
      <c r="AM892" s="2">
        <f t="shared" si="27"/>
        <v>0</v>
      </c>
      <c r="AN892" s="2">
        <f t="shared" si="28"/>
        <v>0</v>
      </c>
      <c r="AO892" s="2">
        <f t="shared" si="29"/>
      </c>
      <c r="AP892" s="2">
        <f t="shared" si="30"/>
      </c>
      <c r="AQ892" s="2">
        <f t="shared" si="31"/>
      </c>
    </row>
    <row r="893">
      <c r="A893" s="43">
        <f t="shared" si="3"/>
      </c>
      <c r="B893" s="44" t="n"/>
      <c r="C893" s="45" t="n"/>
      <c r="D893" s="46" t="n"/>
      <c r="E893" s="47" t="n"/>
      <c r="F893" s="47" t="n"/>
      <c r="G893" s="48">
        <f t="shared" si="4"/>
      </c>
      <c r="H893" s="43">
        <f t="shared" si="0"/>
      </c>
      <c r="I893" s="43">
        <f t="shared" si="5"/>
      </c>
      <c r="J893" s="43">
        <f t="shared" si="1"/>
      </c>
      <c r="K893" s="49">
        <f t="shared" si="2"/>
      </c>
      <c r="L893" s="45" t="n"/>
      <c r="M893" s="45" t="n"/>
      <c r="N893" s="45" t="n"/>
      <c r="O893" s="45" t="n"/>
      <c r="P893" s="50" t="n"/>
      <c r="R893" s="2">
        <f t="shared" si="6"/>
        <v>0</v>
      </c>
      <c r="S893" s="2">
        <f t="shared" si="7"/>
      </c>
      <c r="T893" s="2">
        <f t="shared" si="8"/>
      </c>
      <c r="U893" s="2">
        <f t="shared" si="9"/>
      </c>
      <c r="V893" s="2">
        <f t="shared" si="10"/>
      </c>
      <c r="W893" s="2">
        <f t="shared" si="11"/>
      </c>
      <c r="X893" s="2">
        <f t="shared" si="12"/>
      </c>
      <c r="Y893" s="2">
        <f t="shared" si="13"/>
        <v>0</v>
      </c>
      <c r="Z893" s="2">
        <f t="shared" si="14"/>
      </c>
      <c r="AA893" s="2">
        <f t="shared" si="15"/>
        <v>0</v>
      </c>
      <c r="AB893" s="2">
        <f t="shared" si="16"/>
      </c>
      <c r="AC893" s="2">
        <f t="shared" si="17"/>
      </c>
      <c r="AD893" s="2">
        <f t="shared" si="18"/>
      </c>
      <c r="AE893" s="2">
        <f t="shared" si="19"/>
      </c>
      <c r="AF893" s="2">
        <f t="shared" si="20"/>
      </c>
      <c r="AG893" s="2">
        <f t="shared" si="21"/>
      </c>
      <c r="AH893" s="2">
        <f t="shared" si="22"/>
      </c>
      <c r="AI893" s="2">
        <f t="shared" si="23"/>
      </c>
      <c r="AJ893" s="2">
        <f t="shared" si="24"/>
        <v>0</v>
      </c>
      <c r="AK893" s="2">
        <f t="shared" si="25"/>
        <v>0</v>
      </c>
      <c r="AL893" s="2">
        <f t="shared" si="26"/>
        <v>0</v>
      </c>
      <c r="AM893" s="2">
        <f t="shared" si="27"/>
        <v>0</v>
      </c>
      <c r="AN893" s="2">
        <f t="shared" si="28"/>
        <v>0</v>
      </c>
      <c r="AO893" s="2">
        <f t="shared" si="29"/>
      </c>
      <c r="AP893" s="2">
        <f t="shared" si="30"/>
      </c>
      <c r="AQ893" s="2">
        <f t="shared" si="31"/>
      </c>
    </row>
    <row r="894">
      <c r="A894" s="43">
        <f t="shared" si="3"/>
      </c>
      <c r="B894" s="44" t="n"/>
      <c r="C894" s="45" t="n"/>
      <c r="D894" s="46" t="n"/>
      <c r="E894" s="47" t="n"/>
      <c r="F894" s="47" t="n"/>
      <c r="G894" s="48">
        <f t="shared" si="4"/>
      </c>
      <c r="H894" s="43">
        <f t="shared" si="0"/>
      </c>
      <c r="I894" s="43">
        <f t="shared" si="5"/>
      </c>
      <c r="J894" s="43">
        <f t="shared" si="1"/>
      </c>
      <c r="K894" s="49">
        <f t="shared" si="2"/>
      </c>
      <c r="L894" s="45" t="n"/>
      <c r="M894" s="45" t="n"/>
      <c r="N894" s="45" t="n"/>
      <c r="O894" s="45" t="n"/>
      <c r="P894" s="50" t="n"/>
      <c r="R894" s="2">
        <f t="shared" si="6"/>
        <v>0</v>
      </c>
      <c r="S894" s="2">
        <f t="shared" si="7"/>
      </c>
      <c r="T894" s="2">
        <f t="shared" si="8"/>
      </c>
      <c r="U894" s="2">
        <f t="shared" si="9"/>
      </c>
      <c r="V894" s="2">
        <f t="shared" si="10"/>
      </c>
      <c r="W894" s="2">
        <f t="shared" si="11"/>
      </c>
      <c r="X894" s="2">
        <f t="shared" si="12"/>
      </c>
      <c r="Y894" s="2">
        <f t="shared" si="13"/>
        <v>0</v>
      </c>
      <c r="Z894" s="2">
        <f t="shared" si="14"/>
      </c>
      <c r="AA894" s="2">
        <f t="shared" si="15"/>
        <v>0</v>
      </c>
      <c r="AB894" s="2">
        <f t="shared" si="16"/>
      </c>
      <c r="AC894" s="2">
        <f t="shared" si="17"/>
      </c>
      <c r="AD894" s="2">
        <f t="shared" si="18"/>
      </c>
      <c r="AE894" s="2">
        <f t="shared" si="19"/>
      </c>
      <c r="AF894" s="2">
        <f t="shared" si="20"/>
      </c>
      <c r="AG894" s="2">
        <f t="shared" si="21"/>
      </c>
      <c r="AH894" s="2">
        <f t="shared" si="22"/>
      </c>
      <c r="AI894" s="2">
        <f t="shared" si="23"/>
      </c>
      <c r="AJ894" s="2">
        <f t="shared" si="24"/>
        <v>0</v>
      </c>
      <c r="AK894" s="2">
        <f t="shared" si="25"/>
        <v>0</v>
      </c>
      <c r="AL894" s="2">
        <f t="shared" si="26"/>
        <v>0</v>
      </c>
      <c r="AM894" s="2">
        <f t="shared" si="27"/>
        <v>0</v>
      </c>
      <c r="AN894" s="2">
        <f t="shared" si="28"/>
        <v>0</v>
      </c>
      <c r="AO894" s="2">
        <f t="shared" si="29"/>
      </c>
      <c r="AP894" s="2">
        <f t="shared" si="30"/>
      </c>
      <c r="AQ894" s="2">
        <f t="shared" si="31"/>
      </c>
    </row>
    <row r="895">
      <c r="A895" s="43">
        <f t="shared" si="3"/>
      </c>
      <c r="B895" s="44" t="n"/>
      <c r="C895" s="45" t="n"/>
      <c r="D895" s="46" t="n"/>
      <c r="E895" s="47" t="n"/>
      <c r="F895" s="47" t="n"/>
      <c r="G895" s="48">
        <f t="shared" si="4"/>
      </c>
      <c r="H895" s="43">
        <f t="shared" si="0"/>
      </c>
      <c r="I895" s="43">
        <f t="shared" si="5"/>
      </c>
      <c r="J895" s="43">
        <f t="shared" si="1"/>
      </c>
      <c r="K895" s="49">
        <f t="shared" si="2"/>
      </c>
      <c r="L895" s="45" t="n"/>
      <c r="M895" s="45" t="n"/>
      <c r="N895" s="45" t="n"/>
      <c r="O895" s="45" t="n"/>
      <c r="P895" s="50" t="n"/>
      <c r="R895" s="2">
        <f t="shared" si="6"/>
        <v>0</v>
      </c>
      <c r="S895" s="2">
        <f t="shared" si="7"/>
      </c>
      <c r="T895" s="2">
        <f t="shared" si="8"/>
      </c>
      <c r="U895" s="2">
        <f t="shared" si="9"/>
      </c>
      <c r="V895" s="2">
        <f t="shared" si="10"/>
      </c>
      <c r="W895" s="2">
        <f t="shared" si="11"/>
      </c>
      <c r="X895" s="2">
        <f t="shared" si="12"/>
      </c>
      <c r="Y895" s="2">
        <f t="shared" si="13"/>
        <v>0</v>
      </c>
      <c r="Z895" s="2">
        <f t="shared" si="14"/>
      </c>
      <c r="AA895" s="2">
        <f t="shared" si="15"/>
        <v>0</v>
      </c>
      <c r="AB895" s="2">
        <f t="shared" si="16"/>
      </c>
      <c r="AC895" s="2">
        <f t="shared" si="17"/>
      </c>
      <c r="AD895" s="2">
        <f t="shared" si="18"/>
      </c>
      <c r="AE895" s="2">
        <f t="shared" si="19"/>
      </c>
      <c r="AF895" s="2">
        <f t="shared" si="20"/>
      </c>
      <c r="AG895" s="2">
        <f t="shared" si="21"/>
      </c>
      <c r="AH895" s="2">
        <f t="shared" si="22"/>
      </c>
      <c r="AI895" s="2">
        <f t="shared" si="23"/>
      </c>
      <c r="AJ895" s="2">
        <f t="shared" si="24"/>
        <v>0</v>
      </c>
      <c r="AK895" s="2">
        <f t="shared" si="25"/>
        <v>0</v>
      </c>
      <c r="AL895" s="2">
        <f t="shared" si="26"/>
        <v>0</v>
      </c>
      <c r="AM895" s="2">
        <f t="shared" si="27"/>
        <v>0</v>
      </c>
      <c r="AN895" s="2">
        <f t="shared" si="28"/>
        <v>0</v>
      </c>
      <c r="AO895" s="2">
        <f t="shared" si="29"/>
      </c>
      <c r="AP895" s="2">
        <f t="shared" si="30"/>
      </c>
      <c r="AQ895" s="2">
        <f t="shared" si="31"/>
      </c>
    </row>
    <row r="896">
      <c r="A896" s="43">
        <f t="shared" si="3"/>
      </c>
      <c r="B896" s="44" t="n"/>
      <c r="C896" s="45" t="n"/>
      <c r="D896" s="46" t="n"/>
      <c r="E896" s="47" t="n"/>
      <c r="F896" s="47" t="n"/>
      <c r="G896" s="48">
        <f t="shared" si="4"/>
      </c>
      <c r="H896" s="43">
        <f t="shared" si="0"/>
      </c>
      <c r="I896" s="43">
        <f t="shared" si="5"/>
      </c>
      <c r="J896" s="43">
        <f t="shared" si="1"/>
      </c>
      <c r="K896" s="49">
        <f t="shared" si="2"/>
      </c>
      <c r="L896" s="45" t="n"/>
      <c r="M896" s="45" t="n"/>
      <c r="N896" s="45" t="n"/>
      <c r="O896" s="45" t="n"/>
      <c r="P896" s="50" t="n"/>
      <c r="R896" s="2">
        <f t="shared" si="6"/>
        <v>0</v>
      </c>
      <c r="S896" s="2">
        <f t="shared" si="7"/>
      </c>
      <c r="T896" s="2">
        <f t="shared" si="8"/>
      </c>
      <c r="U896" s="2">
        <f t="shared" si="9"/>
      </c>
      <c r="V896" s="2">
        <f t="shared" si="10"/>
      </c>
      <c r="W896" s="2">
        <f t="shared" si="11"/>
      </c>
      <c r="X896" s="2">
        <f t="shared" si="12"/>
      </c>
      <c r="Y896" s="2">
        <f t="shared" si="13"/>
        <v>0</v>
      </c>
      <c r="Z896" s="2">
        <f t="shared" si="14"/>
      </c>
      <c r="AA896" s="2">
        <f t="shared" si="15"/>
        <v>0</v>
      </c>
      <c r="AB896" s="2">
        <f t="shared" si="16"/>
      </c>
      <c r="AC896" s="2">
        <f t="shared" si="17"/>
      </c>
      <c r="AD896" s="2">
        <f t="shared" si="18"/>
      </c>
      <c r="AE896" s="2">
        <f t="shared" si="19"/>
      </c>
      <c r="AF896" s="2">
        <f t="shared" si="20"/>
      </c>
      <c r="AG896" s="2">
        <f t="shared" si="21"/>
      </c>
      <c r="AH896" s="2">
        <f t="shared" si="22"/>
      </c>
      <c r="AI896" s="2">
        <f t="shared" si="23"/>
      </c>
      <c r="AJ896" s="2">
        <f t="shared" si="24"/>
        <v>0</v>
      </c>
      <c r="AK896" s="2">
        <f t="shared" si="25"/>
        <v>0</v>
      </c>
      <c r="AL896" s="2">
        <f t="shared" si="26"/>
        <v>0</v>
      </c>
      <c r="AM896" s="2">
        <f t="shared" si="27"/>
        <v>0</v>
      </c>
      <c r="AN896" s="2">
        <f t="shared" si="28"/>
        <v>0</v>
      </c>
      <c r="AO896" s="2">
        <f t="shared" si="29"/>
      </c>
      <c r="AP896" s="2">
        <f t="shared" si="30"/>
      </c>
      <c r="AQ896" s="2">
        <f t="shared" si="31"/>
      </c>
    </row>
    <row r="897">
      <c r="A897" s="43">
        <f t="shared" si="3"/>
      </c>
      <c r="B897" s="44" t="n"/>
      <c r="C897" s="45" t="n"/>
      <c r="D897" s="46" t="n"/>
      <c r="E897" s="47" t="n"/>
      <c r="F897" s="47" t="n"/>
      <c r="G897" s="48">
        <f t="shared" si="4"/>
      </c>
      <c r="H897" s="43">
        <f t="shared" si="0"/>
      </c>
      <c r="I897" s="43">
        <f t="shared" si="5"/>
      </c>
      <c r="J897" s="43">
        <f t="shared" si="1"/>
      </c>
      <c r="K897" s="49">
        <f t="shared" si="2"/>
      </c>
      <c r="L897" s="45" t="n"/>
      <c r="M897" s="45" t="n"/>
      <c r="N897" s="45" t="n"/>
      <c r="O897" s="45" t="n"/>
      <c r="P897" s="50" t="n"/>
      <c r="R897" s="2">
        <f t="shared" si="6"/>
        <v>0</v>
      </c>
      <c r="S897" s="2">
        <f t="shared" si="7"/>
      </c>
      <c r="T897" s="2">
        <f t="shared" si="8"/>
      </c>
      <c r="U897" s="2">
        <f t="shared" si="9"/>
      </c>
      <c r="V897" s="2">
        <f t="shared" si="10"/>
      </c>
      <c r="W897" s="2">
        <f t="shared" si="11"/>
      </c>
      <c r="X897" s="2">
        <f t="shared" si="12"/>
      </c>
      <c r="Y897" s="2">
        <f t="shared" si="13"/>
        <v>0</v>
      </c>
      <c r="Z897" s="2">
        <f t="shared" si="14"/>
      </c>
      <c r="AA897" s="2">
        <f t="shared" si="15"/>
        <v>0</v>
      </c>
      <c r="AB897" s="2">
        <f t="shared" si="16"/>
      </c>
      <c r="AC897" s="2">
        <f t="shared" si="17"/>
      </c>
      <c r="AD897" s="2">
        <f t="shared" si="18"/>
      </c>
      <c r="AE897" s="2">
        <f t="shared" si="19"/>
      </c>
      <c r="AF897" s="2">
        <f t="shared" si="20"/>
      </c>
      <c r="AG897" s="2">
        <f t="shared" si="21"/>
      </c>
      <c r="AH897" s="2">
        <f t="shared" si="22"/>
      </c>
      <c r="AI897" s="2">
        <f t="shared" si="23"/>
      </c>
      <c r="AJ897" s="2">
        <f t="shared" si="24"/>
        <v>0</v>
      </c>
      <c r="AK897" s="2">
        <f t="shared" si="25"/>
        <v>0</v>
      </c>
      <c r="AL897" s="2">
        <f t="shared" si="26"/>
        <v>0</v>
      </c>
      <c r="AM897" s="2">
        <f t="shared" si="27"/>
        <v>0</v>
      </c>
      <c r="AN897" s="2">
        <f t="shared" si="28"/>
        <v>0</v>
      </c>
      <c r="AO897" s="2">
        <f t="shared" si="29"/>
      </c>
      <c r="AP897" s="2">
        <f t="shared" si="30"/>
      </c>
      <c r="AQ897" s="2">
        <f t="shared" si="31"/>
      </c>
    </row>
    <row r="898">
      <c r="A898" s="43">
        <f t="shared" si="3"/>
      </c>
      <c r="B898" s="44" t="n"/>
      <c r="C898" s="45" t="n"/>
      <c r="D898" s="46" t="n"/>
      <c r="E898" s="47" t="n"/>
      <c r="F898" s="47" t="n"/>
      <c r="G898" s="48">
        <f t="shared" si="4"/>
      </c>
      <c r="H898" s="43">
        <f t="shared" si="0"/>
      </c>
      <c r="I898" s="43">
        <f t="shared" si="5"/>
      </c>
      <c r="J898" s="43">
        <f t="shared" si="1"/>
      </c>
      <c r="K898" s="49">
        <f t="shared" si="2"/>
      </c>
      <c r="L898" s="45" t="n"/>
      <c r="M898" s="45" t="n"/>
      <c r="N898" s="45" t="n"/>
      <c r="O898" s="45" t="n"/>
      <c r="P898" s="50" t="n"/>
      <c r="R898" s="2">
        <f t="shared" si="6"/>
        <v>0</v>
      </c>
      <c r="S898" s="2">
        <f t="shared" si="7"/>
      </c>
      <c r="T898" s="2">
        <f t="shared" si="8"/>
      </c>
      <c r="U898" s="2">
        <f t="shared" si="9"/>
      </c>
      <c r="V898" s="2">
        <f t="shared" si="10"/>
      </c>
      <c r="W898" s="2">
        <f t="shared" si="11"/>
      </c>
      <c r="X898" s="2">
        <f t="shared" si="12"/>
      </c>
      <c r="Y898" s="2">
        <f t="shared" si="13"/>
        <v>0</v>
      </c>
      <c r="Z898" s="2">
        <f t="shared" si="14"/>
      </c>
      <c r="AA898" s="2">
        <f t="shared" si="15"/>
        <v>0</v>
      </c>
      <c r="AB898" s="2">
        <f t="shared" si="16"/>
      </c>
      <c r="AC898" s="2">
        <f t="shared" si="17"/>
      </c>
      <c r="AD898" s="2">
        <f t="shared" si="18"/>
      </c>
      <c r="AE898" s="2">
        <f t="shared" si="19"/>
      </c>
      <c r="AF898" s="2">
        <f t="shared" si="20"/>
      </c>
      <c r="AG898" s="2">
        <f t="shared" si="21"/>
      </c>
      <c r="AH898" s="2">
        <f t="shared" si="22"/>
      </c>
      <c r="AI898" s="2">
        <f t="shared" si="23"/>
      </c>
      <c r="AJ898" s="2">
        <f t="shared" si="24"/>
        <v>0</v>
      </c>
      <c r="AK898" s="2">
        <f t="shared" si="25"/>
        <v>0</v>
      </c>
      <c r="AL898" s="2">
        <f t="shared" si="26"/>
        <v>0</v>
      </c>
      <c r="AM898" s="2">
        <f t="shared" si="27"/>
        <v>0</v>
      </c>
      <c r="AN898" s="2">
        <f t="shared" si="28"/>
        <v>0</v>
      </c>
      <c r="AO898" s="2">
        <f t="shared" si="29"/>
      </c>
      <c r="AP898" s="2">
        <f t="shared" si="30"/>
      </c>
      <c r="AQ898" s="2">
        <f t="shared" si="31"/>
      </c>
    </row>
    <row r="899">
      <c r="A899" s="43">
        <f t="shared" si="3"/>
      </c>
      <c r="B899" s="44" t="n"/>
      <c r="C899" s="45" t="n"/>
      <c r="D899" s="46" t="n"/>
      <c r="E899" s="47" t="n"/>
      <c r="F899" s="47" t="n"/>
      <c r="G899" s="48">
        <f t="shared" si="4"/>
      </c>
      <c r="H899" s="43">
        <f t="shared" si="0"/>
      </c>
      <c r="I899" s="43">
        <f t="shared" si="5"/>
      </c>
      <c r="J899" s="43">
        <f t="shared" si="1"/>
      </c>
      <c r="K899" s="49">
        <f t="shared" si="2"/>
      </c>
      <c r="L899" s="45" t="n"/>
      <c r="M899" s="45" t="n"/>
      <c r="N899" s="45" t="n"/>
      <c r="O899" s="45" t="n"/>
      <c r="P899" s="50" t="n"/>
      <c r="R899" s="2">
        <f t="shared" si="6"/>
        <v>0</v>
      </c>
      <c r="S899" s="2">
        <f t="shared" si="7"/>
      </c>
      <c r="T899" s="2">
        <f t="shared" si="8"/>
      </c>
      <c r="U899" s="2">
        <f t="shared" si="9"/>
      </c>
      <c r="V899" s="2">
        <f t="shared" si="10"/>
      </c>
      <c r="W899" s="2">
        <f t="shared" si="11"/>
      </c>
      <c r="X899" s="2">
        <f t="shared" si="12"/>
      </c>
      <c r="Y899" s="2">
        <f t="shared" si="13"/>
        <v>0</v>
      </c>
      <c r="Z899" s="2">
        <f t="shared" si="14"/>
      </c>
      <c r="AA899" s="2">
        <f t="shared" si="15"/>
        <v>0</v>
      </c>
      <c r="AB899" s="2">
        <f t="shared" si="16"/>
      </c>
      <c r="AC899" s="2">
        <f t="shared" si="17"/>
      </c>
      <c r="AD899" s="2">
        <f t="shared" si="18"/>
      </c>
      <c r="AE899" s="2">
        <f t="shared" si="19"/>
      </c>
      <c r="AF899" s="2">
        <f t="shared" si="20"/>
      </c>
      <c r="AG899" s="2">
        <f t="shared" si="21"/>
      </c>
      <c r="AH899" s="2">
        <f t="shared" si="22"/>
      </c>
      <c r="AI899" s="2">
        <f t="shared" si="23"/>
      </c>
      <c r="AJ899" s="2">
        <f t="shared" si="24"/>
        <v>0</v>
      </c>
      <c r="AK899" s="2">
        <f t="shared" si="25"/>
        <v>0</v>
      </c>
      <c r="AL899" s="2">
        <f t="shared" si="26"/>
        <v>0</v>
      </c>
      <c r="AM899" s="2">
        <f t="shared" si="27"/>
        <v>0</v>
      </c>
      <c r="AN899" s="2">
        <f t="shared" si="28"/>
        <v>0</v>
      </c>
      <c r="AO899" s="2">
        <f t="shared" si="29"/>
      </c>
      <c r="AP899" s="2">
        <f t="shared" si="30"/>
      </c>
      <c r="AQ899" s="2">
        <f t="shared" si="31"/>
      </c>
    </row>
    <row r="900">
      <c r="A900" s="43">
        <f t="shared" si="3"/>
      </c>
      <c r="B900" s="44" t="n"/>
      <c r="C900" s="45" t="n"/>
      <c r="D900" s="46" t="n"/>
      <c r="E900" s="47" t="n"/>
      <c r="F900" s="47" t="n"/>
      <c r="G900" s="48">
        <f t="shared" si="4"/>
      </c>
      <c r="H900" s="43">
        <f t="shared" si="0"/>
      </c>
      <c r="I900" s="43">
        <f t="shared" si="5"/>
      </c>
      <c r="J900" s="43">
        <f t="shared" si="1"/>
      </c>
      <c r="K900" s="49">
        <f t="shared" si="2"/>
      </c>
      <c r="L900" s="45" t="n"/>
      <c r="M900" s="45" t="n"/>
      <c r="N900" s="45" t="n"/>
      <c r="O900" s="45" t="n"/>
      <c r="P900" s="50" t="n"/>
      <c r="R900" s="2">
        <f t="shared" si="6"/>
        <v>0</v>
      </c>
      <c r="S900" s="2">
        <f t="shared" si="7"/>
      </c>
      <c r="T900" s="2">
        <f t="shared" si="8"/>
      </c>
      <c r="U900" s="2">
        <f t="shared" si="9"/>
      </c>
      <c r="V900" s="2">
        <f t="shared" si="10"/>
      </c>
      <c r="W900" s="2">
        <f t="shared" si="11"/>
      </c>
      <c r="X900" s="2">
        <f t="shared" si="12"/>
      </c>
      <c r="Y900" s="2">
        <f t="shared" si="13"/>
        <v>0</v>
      </c>
      <c r="Z900" s="2">
        <f t="shared" si="14"/>
      </c>
      <c r="AA900" s="2">
        <f t="shared" si="15"/>
        <v>0</v>
      </c>
      <c r="AB900" s="2">
        <f t="shared" si="16"/>
      </c>
      <c r="AC900" s="2">
        <f t="shared" si="17"/>
      </c>
      <c r="AD900" s="2">
        <f t="shared" si="18"/>
      </c>
      <c r="AE900" s="2">
        <f t="shared" si="19"/>
      </c>
      <c r="AF900" s="2">
        <f t="shared" si="20"/>
      </c>
      <c r="AG900" s="2">
        <f t="shared" si="21"/>
      </c>
      <c r="AH900" s="2">
        <f t="shared" si="22"/>
      </c>
      <c r="AI900" s="2">
        <f t="shared" si="23"/>
      </c>
      <c r="AJ900" s="2">
        <f t="shared" si="24"/>
        <v>0</v>
      </c>
      <c r="AK900" s="2">
        <f t="shared" si="25"/>
        <v>0</v>
      </c>
      <c r="AL900" s="2">
        <f t="shared" si="26"/>
        <v>0</v>
      </c>
      <c r="AM900" s="2">
        <f t="shared" si="27"/>
        <v>0</v>
      </c>
      <c r="AN900" s="2">
        <f t="shared" si="28"/>
        <v>0</v>
      </c>
      <c r="AO900" s="2">
        <f t="shared" si="29"/>
      </c>
      <c r="AP900" s="2">
        <f t="shared" si="30"/>
      </c>
      <c r="AQ900" s="2">
        <f t="shared" si="31"/>
      </c>
    </row>
    <row r="901">
      <c r="A901" s="43">
        <f t="shared" si="3"/>
      </c>
      <c r="B901" s="44" t="n"/>
      <c r="C901" s="45" t="n"/>
      <c r="D901" s="46" t="n"/>
      <c r="E901" s="47" t="n"/>
      <c r="F901" s="47" t="n"/>
      <c r="G901" s="48">
        <f t="shared" si="4"/>
      </c>
      <c r="H901" s="43">
        <f t="shared" si="0"/>
      </c>
      <c r="I901" s="43">
        <f t="shared" si="5"/>
      </c>
      <c r="J901" s="43">
        <f t="shared" si="1"/>
      </c>
      <c r="K901" s="49">
        <f t="shared" si="2"/>
      </c>
      <c r="L901" s="45" t="n"/>
      <c r="M901" s="45" t="n"/>
      <c r="N901" s="45" t="n"/>
      <c r="O901" s="45" t="n"/>
      <c r="P901" s="50" t="n"/>
      <c r="R901" s="2">
        <f t="shared" si="6"/>
        <v>0</v>
      </c>
      <c r="S901" s="2">
        <f t="shared" si="7"/>
      </c>
      <c r="T901" s="2">
        <f t="shared" si="8"/>
      </c>
      <c r="U901" s="2">
        <f t="shared" si="9"/>
      </c>
      <c r="V901" s="2">
        <f t="shared" si="10"/>
      </c>
      <c r="W901" s="2">
        <f t="shared" si="11"/>
      </c>
      <c r="X901" s="2">
        <f t="shared" si="12"/>
      </c>
      <c r="Y901" s="2">
        <f t="shared" si="13"/>
        <v>0</v>
      </c>
      <c r="Z901" s="2">
        <f t="shared" si="14"/>
      </c>
      <c r="AA901" s="2">
        <f t="shared" si="15"/>
        <v>0</v>
      </c>
      <c r="AB901" s="2">
        <f t="shared" si="16"/>
      </c>
      <c r="AC901" s="2">
        <f t="shared" si="17"/>
      </c>
      <c r="AD901" s="2">
        <f t="shared" si="18"/>
      </c>
      <c r="AE901" s="2">
        <f t="shared" si="19"/>
      </c>
      <c r="AF901" s="2">
        <f t="shared" si="20"/>
      </c>
      <c r="AG901" s="2">
        <f t="shared" si="21"/>
      </c>
      <c r="AH901" s="2">
        <f t="shared" si="22"/>
      </c>
      <c r="AI901" s="2">
        <f t="shared" si="23"/>
      </c>
      <c r="AJ901" s="2">
        <f t="shared" si="24"/>
        <v>0</v>
      </c>
      <c r="AK901" s="2">
        <f t="shared" si="25"/>
        <v>0</v>
      </c>
      <c r="AL901" s="2">
        <f t="shared" si="26"/>
        <v>0</v>
      </c>
      <c r="AM901" s="2">
        <f t="shared" si="27"/>
        <v>0</v>
      </c>
      <c r="AN901" s="2">
        <f t="shared" si="28"/>
        <v>0</v>
      </c>
      <c r="AO901" s="2">
        <f t="shared" si="29"/>
      </c>
      <c r="AP901" s="2">
        <f t="shared" si="30"/>
      </c>
      <c r="AQ901" s="2">
        <f t="shared" si="31"/>
      </c>
    </row>
    <row r="902">
      <c r="A902" s="43">
        <f t="shared" si="3"/>
      </c>
      <c r="B902" s="44" t="n"/>
      <c r="C902" s="45" t="n"/>
      <c r="D902" s="46" t="n"/>
      <c r="E902" s="47" t="n"/>
      <c r="F902" s="47" t="n"/>
      <c r="G902" s="48">
        <f t="shared" si="4"/>
      </c>
      <c r="H902" s="43">
        <f t="shared" si="0"/>
      </c>
      <c r="I902" s="43">
        <f t="shared" si="5"/>
      </c>
      <c r="J902" s="43">
        <f t="shared" si="1"/>
      </c>
      <c r="K902" s="49">
        <f t="shared" si="2"/>
      </c>
      <c r="L902" s="45" t="n"/>
      <c r="M902" s="45" t="n"/>
      <c r="N902" s="45" t="n"/>
      <c r="O902" s="45" t="n"/>
      <c r="P902" s="50" t="n"/>
      <c r="R902" s="2">
        <f t="shared" si="6"/>
        <v>0</v>
      </c>
      <c r="S902" s="2">
        <f t="shared" si="7"/>
      </c>
      <c r="T902" s="2">
        <f t="shared" si="8"/>
      </c>
      <c r="U902" s="2">
        <f t="shared" si="9"/>
      </c>
      <c r="V902" s="2">
        <f t="shared" si="10"/>
      </c>
      <c r="W902" s="2">
        <f t="shared" si="11"/>
      </c>
      <c r="X902" s="2">
        <f t="shared" si="12"/>
      </c>
      <c r="Y902" s="2">
        <f t="shared" si="13"/>
        <v>0</v>
      </c>
      <c r="Z902" s="2">
        <f t="shared" si="14"/>
      </c>
      <c r="AA902" s="2">
        <f t="shared" si="15"/>
        <v>0</v>
      </c>
      <c r="AB902" s="2">
        <f t="shared" si="16"/>
      </c>
      <c r="AC902" s="2">
        <f t="shared" si="17"/>
      </c>
      <c r="AD902" s="2">
        <f t="shared" si="18"/>
      </c>
      <c r="AE902" s="2">
        <f t="shared" si="19"/>
      </c>
      <c r="AF902" s="2">
        <f t="shared" si="20"/>
      </c>
      <c r="AG902" s="2">
        <f t="shared" si="21"/>
      </c>
      <c r="AH902" s="2">
        <f t="shared" si="22"/>
      </c>
      <c r="AI902" s="2">
        <f t="shared" si="23"/>
      </c>
      <c r="AJ902" s="2">
        <f t="shared" si="24"/>
        <v>0</v>
      </c>
      <c r="AK902" s="2">
        <f t="shared" si="25"/>
        <v>0</v>
      </c>
      <c r="AL902" s="2">
        <f t="shared" si="26"/>
        <v>0</v>
      </c>
      <c r="AM902" s="2">
        <f t="shared" si="27"/>
        <v>0</v>
      </c>
      <c r="AN902" s="2">
        <f t="shared" si="28"/>
        <v>0</v>
      </c>
      <c r="AO902" s="2">
        <f t="shared" si="29"/>
      </c>
      <c r="AP902" s="2">
        <f t="shared" si="30"/>
      </c>
      <c r="AQ902" s="2">
        <f t="shared" si="31"/>
      </c>
    </row>
    <row r="903">
      <c r="A903" s="43">
        <f t="shared" si="3"/>
      </c>
      <c r="B903" s="44" t="n"/>
      <c r="C903" s="45" t="n"/>
      <c r="D903" s="46" t="n"/>
      <c r="E903" s="47" t="n"/>
      <c r="F903" s="47" t="n"/>
      <c r="G903" s="48">
        <f t="shared" si="4"/>
      </c>
      <c r="H903" s="43">
        <f t="shared" si="0"/>
      </c>
      <c r="I903" s="43">
        <f t="shared" si="5"/>
      </c>
      <c r="J903" s="43">
        <f t="shared" si="1"/>
      </c>
      <c r="K903" s="49">
        <f t="shared" si="2"/>
      </c>
      <c r="L903" s="45" t="n"/>
      <c r="M903" s="45" t="n"/>
      <c r="N903" s="45" t="n"/>
      <c r="O903" s="45" t="n"/>
      <c r="P903" s="50" t="n"/>
      <c r="R903" s="2">
        <f t="shared" si="6"/>
        <v>0</v>
      </c>
      <c r="S903" s="2">
        <f t="shared" si="7"/>
      </c>
      <c r="T903" s="2">
        <f t="shared" si="8"/>
      </c>
      <c r="U903" s="2">
        <f t="shared" si="9"/>
      </c>
      <c r="V903" s="2">
        <f t="shared" si="10"/>
      </c>
      <c r="W903" s="2">
        <f t="shared" si="11"/>
      </c>
      <c r="X903" s="2">
        <f t="shared" si="12"/>
      </c>
      <c r="Y903" s="2">
        <f t="shared" si="13"/>
        <v>0</v>
      </c>
      <c r="Z903" s="2">
        <f t="shared" si="14"/>
      </c>
      <c r="AA903" s="2">
        <f t="shared" si="15"/>
        <v>0</v>
      </c>
      <c r="AB903" s="2">
        <f t="shared" si="16"/>
      </c>
      <c r="AC903" s="2">
        <f t="shared" si="17"/>
      </c>
      <c r="AD903" s="2">
        <f t="shared" si="18"/>
      </c>
      <c r="AE903" s="2">
        <f t="shared" si="19"/>
      </c>
      <c r="AF903" s="2">
        <f t="shared" si="20"/>
      </c>
      <c r="AG903" s="2">
        <f t="shared" si="21"/>
      </c>
      <c r="AH903" s="2">
        <f t="shared" si="22"/>
      </c>
      <c r="AI903" s="2">
        <f t="shared" si="23"/>
      </c>
      <c r="AJ903" s="2">
        <f t="shared" si="24"/>
        <v>0</v>
      </c>
      <c r="AK903" s="2">
        <f t="shared" si="25"/>
        <v>0</v>
      </c>
      <c r="AL903" s="2">
        <f t="shared" si="26"/>
        <v>0</v>
      </c>
      <c r="AM903" s="2">
        <f t="shared" si="27"/>
        <v>0</v>
      </c>
      <c r="AN903" s="2">
        <f t="shared" si="28"/>
        <v>0</v>
      </c>
      <c r="AO903" s="2">
        <f t="shared" si="29"/>
      </c>
      <c r="AP903" s="2">
        <f t="shared" si="30"/>
      </c>
      <c r="AQ903" s="2">
        <f t="shared" si="31"/>
      </c>
    </row>
    <row r="904">
      <c r="A904" s="43">
        <f t="shared" si="3"/>
      </c>
      <c r="B904" s="44" t="n"/>
      <c r="C904" s="45" t="n"/>
      <c r="D904" s="46" t="n"/>
      <c r="E904" s="47" t="n"/>
      <c r="F904" s="47" t="n"/>
      <c r="G904" s="48">
        <f t="shared" si="4"/>
      </c>
      <c r="H904" s="43">
        <f t="shared" si="0"/>
      </c>
      <c r="I904" s="43">
        <f t="shared" si="5"/>
      </c>
      <c r="J904" s="43">
        <f t="shared" si="1"/>
      </c>
      <c r="K904" s="49">
        <f t="shared" si="2"/>
      </c>
      <c r="L904" s="45" t="n"/>
      <c r="M904" s="45" t="n"/>
      <c r="N904" s="45" t="n"/>
      <c r="O904" s="45" t="n"/>
      <c r="P904" s="50" t="n"/>
      <c r="R904" s="2">
        <f t="shared" si="6"/>
        <v>0</v>
      </c>
      <c r="S904" s="2">
        <f t="shared" si="7"/>
      </c>
      <c r="T904" s="2">
        <f t="shared" si="8"/>
      </c>
      <c r="U904" s="2">
        <f t="shared" si="9"/>
      </c>
      <c r="V904" s="2">
        <f t="shared" si="10"/>
      </c>
      <c r="W904" s="2">
        <f t="shared" si="11"/>
      </c>
      <c r="X904" s="2">
        <f t="shared" si="12"/>
      </c>
      <c r="Y904" s="2">
        <f t="shared" si="13"/>
        <v>0</v>
      </c>
      <c r="Z904" s="2">
        <f t="shared" si="14"/>
      </c>
      <c r="AA904" s="2">
        <f t="shared" si="15"/>
        <v>0</v>
      </c>
      <c r="AB904" s="2">
        <f t="shared" si="16"/>
      </c>
      <c r="AC904" s="2">
        <f t="shared" si="17"/>
      </c>
      <c r="AD904" s="2">
        <f t="shared" si="18"/>
      </c>
      <c r="AE904" s="2">
        <f t="shared" si="19"/>
      </c>
      <c r="AF904" s="2">
        <f t="shared" si="20"/>
      </c>
      <c r="AG904" s="2">
        <f t="shared" si="21"/>
      </c>
      <c r="AH904" s="2">
        <f t="shared" si="22"/>
      </c>
      <c r="AI904" s="2">
        <f t="shared" si="23"/>
      </c>
      <c r="AJ904" s="2">
        <f t="shared" si="24"/>
        <v>0</v>
      </c>
      <c r="AK904" s="2">
        <f t="shared" si="25"/>
        <v>0</v>
      </c>
      <c r="AL904" s="2">
        <f t="shared" si="26"/>
        <v>0</v>
      </c>
      <c r="AM904" s="2">
        <f t="shared" si="27"/>
        <v>0</v>
      </c>
      <c r="AN904" s="2">
        <f t="shared" si="28"/>
        <v>0</v>
      </c>
      <c r="AO904" s="2">
        <f t="shared" si="29"/>
      </c>
      <c r="AP904" s="2">
        <f t="shared" si="30"/>
      </c>
      <c r="AQ904" s="2">
        <f t="shared" si="31"/>
      </c>
    </row>
    <row r="905">
      <c r="A905" s="43">
        <f t="shared" si="3"/>
      </c>
      <c r="B905" s="44" t="n"/>
      <c r="C905" s="45" t="n"/>
      <c r="D905" s="46" t="n"/>
      <c r="E905" s="47" t="n"/>
      <c r="F905" s="47" t="n"/>
      <c r="G905" s="48">
        <f t="shared" si="4"/>
      </c>
      <c r="H905" s="43">
        <f t="shared" si="0"/>
      </c>
      <c r="I905" s="43">
        <f t="shared" si="5"/>
      </c>
      <c r="J905" s="43">
        <f t="shared" si="1"/>
      </c>
      <c r="K905" s="49">
        <f t="shared" si="2"/>
      </c>
      <c r="L905" s="45" t="n"/>
      <c r="M905" s="45" t="n"/>
      <c r="N905" s="45" t="n"/>
      <c r="O905" s="45" t="n"/>
      <c r="P905" s="50" t="n"/>
      <c r="R905" s="2">
        <f t="shared" si="6"/>
        <v>0</v>
      </c>
      <c r="S905" s="2">
        <f t="shared" si="7"/>
      </c>
      <c r="T905" s="2">
        <f t="shared" si="8"/>
      </c>
      <c r="U905" s="2">
        <f t="shared" si="9"/>
      </c>
      <c r="V905" s="2">
        <f t="shared" si="10"/>
      </c>
      <c r="W905" s="2">
        <f t="shared" si="11"/>
      </c>
      <c r="X905" s="2">
        <f t="shared" si="12"/>
      </c>
      <c r="Y905" s="2">
        <f t="shared" si="13"/>
        <v>0</v>
      </c>
      <c r="Z905" s="2">
        <f t="shared" si="14"/>
      </c>
      <c r="AA905" s="2">
        <f t="shared" si="15"/>
        <v>0</v>
      </c>
      <c r="AB905" s="2">
        <f t="shared" si="16"/>
      </c>
      <c r="AC905" s="2">
        <f t="shared" si="17"/>
      </c>
      <c r="AD905" s="2">
        <f t="shared" si="18"/>
      </c>
      <c r="AE905" s="2">
        <f t="shared" si="19"/>
      </c>
      <c r="AF905" s="2">
        <f t="shared" si="20"/>
      </c>
      <c r="AG905" s="2">
        <f t="shared" si="21"/>
      </c>
      <c r="AH905" s="2">
        <f t="shared" si="22"/>
      </c>
      <c r="AI905" s="2">
        <f t="shared" si="23"/>
      </c>
      <c r="AJ905" s="2">
        <f t="shared" si="24"/>
        <v>0</v>
      </c>
      <c r="AK905" s="2">
        <f t="shared" si="25"/>
        <v>0</v>
      </c>
      <c r="AL905" s="2">
        <f t="shared" si="26"/>
        <v>0</v>
      </c>
      <c r="AM905" s="2">
        <f t="shared" si="27"/>
        <v>0</v>
      </c>
      <c r="AN905" s="2">
        <f t="shared" si="28"/>
        <v>0</v>
      </c>
      <c r="AO905" s="2">
        <f t="shared" si="29"/>
      </c>
      <c r="AP905" s="2">
        <f t="shared" si="30"/>
      </c>
      <c r="AQ905" s="2">
        <f t="shared" si="31"/>
      </c>
    </row>
    <row r="906">
      <c r="A906" s="43">
        <f t="shared" si="3"/>
      </c>
      <c r="B906" s="44" t="n"/>
      <c r="C906" s="45" t="n"/>
      <c r="D906" s="46" t="n"/>
      <c r="E906" s="47" t="n"/>
      <c r="F906" s="47" t="n"/>
      <c r="G906" s="48">
        <f t="shared" si="4"/>
      </c>
      <c r="H906" s="43">
        <f t="shared" si="0"/>
      </c>
      <c r="I906" s="43">
        <f t="shared" si="5"/>
      </c>
      <c r="J906" s="43">
        <f t="shared" si="1"/>
      </c>
      <c r="K906" s="49">
        <f t="shared" si="2"/>
      </c>
      <c r="L906" s="45" t="n"/>
      <c r="M906" s="45" t="n"/>
      <c r="N906" s="45" t="n"/>
      <c r="O906" s="45" t="n"/>
      <c r="P906" s="50" t="n"/>
      <c r="R906" s="2">
        <f t="shared" si="6"/>
        <v>0</v>
      </c>
      <c r="S906" s="2">
        <f t="shared" si="7"/>
      </c>
      <c r="T906" s="2">
        <f t="shared" si="8"/>
      </c>
      <c r="U906" s="2">
        <f t="shared" si="9"/>
      </c>
      <c r="V906" s="2">
        <f t="shared" si="10"/>
      </c>
      <c r="W906" s="2">
        <f t="shared" si="11"/>
      </c>
      <c r="X906" s="2">
        <f t="shared" si="12"/>
      </c>
      <c r="Y906" s="2">
        <f t="shared" si="13"/>
        <v>0</v>
      </c>
      <c r="Z906" s="2">
        <f t="shared" si="14"/>
      </c>
      <c r="AA906" s="2">
        <f t="shared" si="15"/>
        <v>0</v>
      </c>
      <c r="AB906" s="2">
        <f t="shared" si="16"/>
      </c>
      <c r="AC906" s="2">
        <f t="shared" si="17"/>
      </c>
      <c r="AD906" s="2">
        <f t="shared" si="18"/>
      </c>
      <c r="AE906" s="2">
        <f t="shared" si="19"/>
      </c>
      <c r="AF906" s="2">
        <f t="shared" si="20"/>
      </c>
      <c r="AG906" s="2">
        <f t="shared" si="21"/>
      </c>
      <c r="AH906" s="2">
        <f t="shared" si="22"/>
      </c>
      <c r="AI906" s="2">
        <f t="shared" si="23"/>
      </c>
      <c r="AJ906" s="2">
        <f t="shared" si="24"/>
        <v>0</v>
      </c>
      <c r="AK906" s="2">
        <f t="shared" si="25"/>
        <v>0</v>
      </c>
      <c r="AL906" s="2">
        <f t="shared" si="26"/>
        <v>0</v>
      </c>
      <c r="AM906" s="2">
        <f t="shared" si="27"/>
        <v>0</v>
      </c>
      <c r="AN906" s="2">
        <f t="shared" si="28"/>
        <v>0</v>
      </c>
      <c r="AO906" s="2">
        <f t="shared" si="29"/>
      </c>
      <c r="AP906" s="2">
        <f t="shared" si="30"/>
      </c>
      <c r="AQ906" s="2">
        <f t="shared" si="31"/>
      </c>
    </row>
    <row r="907">
      <c r="A907" s="43">
        <f t="shared" si="3"/>
      </c>
      <c r="B907" s="44" t="n"/>
      <c r="C907" s="45" t="n"/>
      <c r="D907" s="46" t="n"/>
      <c r="E907" s="47" t="n"/>
      <c r="F907" s="47" t="n"/>
      <c r="G907" s="48">
        <f t="shared" si="4"/>
      </c>
      <c r="H907" s="43">
        <f t="shared" si="0"/>
      </c>
      <c r="I907" s="43">
        <f t="shared" si="5"/>
      </c>
      <c r="J907" s="43">
        <f t="shared" si="1"/>
      </c>
      <c r="K907" s="49">
        <f t="shared" si="2"/>
      </c>
      <c r="L907" s="45" t="n"/>
      <c r="M907" s="45" t="n"/>
      <c r="N907" s="45" t="n"/>
      <c r="O907" s="45" t="n"/>
      <c r="P907" s="50" t="n"/>
      <c r="R907" s="2">
        <f t="shared" si="6"/>
        <v>0</v>
      </c>
      <c r="S907" s="2">
        <f t="shared" si="7"/>
      </c>
      <c r="T907" s="2">
        <f t="shared" si="8"/>
      </c>
      <c r="U907" s="2">
        <f t="shared" si="9"/>
      </c>
      <c r="V907" s="2">
        <f t="shared" si="10"/>
      </c>
      <c r="W907" s="2">
        <f t="shared" si="11"/>
      </c>
      <c r="X907" s="2">
        <f t="shared" si="12"/>
      </c>
      <c r="Y907" s="2">
        <f t="shared" si="13"/>
        <v>0</v>
      </c>
      <c r="Z907" s="2">
        <f t="shared" si="14"/>
      </c>
      <c r="AA907" s="2">
        <f t="shared" si="15"/>
        <v>0</v>
      </c>
      <c r="AB907" s="2">
        <f t="shared" si="16"/>
      </c>
      <c r="AC907" s="2">
        <f t="shared" si="17"/>
      </c>
      <c r="AD907" s="2">
        <f t="shared" si="18"/>
      </c>
      <c r="AE907" s="2">
        <f t="shared" si="19"/>
      </c>
      <c r="AF907" s="2">
        <f t="shared" si="20"/>
      </c>
      <c r="AG907" s="2">
        <f t="shared" si="21"/>
      </c>
      <c r="AH907" s="2">
        <f t="shared" si="22"/>
      </c>
      <c r="AI907" s="2">
        <f t="shared" si="23"/>
      </c>
      <c r="AJ907" s="2">
        <f t="shared" si="24"/>
        <v>0</v>
      </c>
      <c r="AK907" s="2">
        <f t="shared" si="25"/>
        <v>0</v>
      </c>
      <c r="AL907" s="2">
        <f t="shared" si="26"/>
        <v>0</v>
      </c>
      <c r="AM907" s="2">
        <f t="shared" si="27"/>
        <v>0</v>
      </c>
      <c r="AN907" s="2">
        <f t="shared" si="28"/>
        <v>0</v>
      </c>
      <c r="AO907" s="2">
        <f t="shared" si="29"/>
      </c>
      <c r="AP907" s="2">
        <f t="shared" si="30"/>
      </c>
      <c r="AQ907" s="2">
        <f t="shared" si="31"/>
      </c>
    </row>
    <row r="908">
      <c r="A908" s="43">
        <f t="shared" si="3"/>
      </c>
      <c r="B908" s="44" t="n"/>
      <c r="C908" s="45" t="n"/>
      <c r="D908" s="46" t="n"/>
      <c r="E908" s="47" t="n"/>
      <c r="F908" s="47" t="n"/>
      <c r="G908" s="48">
        <f t="shared" si="4"/>
      </c>
      <c r="H908" s="43">
        <f t="shared" si="0"/>
      </c>
      <c r="I908" s="43">
        <f t="shared" si="5"/>
      </c>
      <c r="J908" s="43">
        <f t="shared" si="1"/>
      </c>
      <c r="K908" s="49">
        <f t="shared" si="2"/>
      </c>
      <c r="L908" s="45" t="n"/>
      <c r="M908" s="45" t="n"/>
      <c r="N908" s="45" t="n"/>
      <c r="O908" s="45" t="n"/>
      <c r="P908" s="50" t="n"/>
      <c r="R908" s="2">
        <f t="shared" si="6"/>
        <v>0</v>
      </c>
      <c r="S908" s="2">
        <f t="shared" si="7"/>
      </c>
      <c r="T908" s="2">
        <f t="shared" si="8"/>
      </c>
      <c r="U908" s="2">
        <f t="shared" si="9"/>
      </c>
      <c r="V908" s="2">
        <f t="shared" si="10"/>
      </c>
      <c r="W908" s="2">
        <f t="shared" si="11"/>
      </c>
      <c r="X908" s="2">
        <f t="shared" si="12"/>
      </c>
      <c r="Y908" s="2">
        <f t="shared" si="13"/>
        <v>0</v>
      </c>
      <c r="Z908" s="2">
        <f t="shared" si="14"/>
      </c>
      <c r="AA908" s="2">
        <f t="shared" si="15"/>
        <v>0</v>
      </c>
      <c r="AB908" s="2">
        <f t="shared" si="16"/>
      </c>
      <c r="AC908" s="2">
        <f t="shared" si="17"/>
      </c>
      <c r="AD908" s="2">
        <f t="shared" si="18"/>
      </c>
      <c r="AE908" s="2">
        <f t="shared" si="19"/>
      </c>
      <c r="AF908" s="2">
        <f t="shared" si="20"/>
      </c>
      <c r="AG908" s="2">
        <f t="shared" si="21"/>
      </c>
      <c r="AH908" s="2">
        <f t="shared" si="22"/>
      </c>
      <c r="AI908" s="2">
        <f t="shared" si="23"/>
      </c>
      <c r="AJ908" s="2">
        <f t="shared" si="24"/>
        <v>0</v>
      </c>
      <c r="AK908" s="2">
        <f t="shared" si="25"/>
        <v>0</v>
      </c>
      <c r="AL908" s="2">
        <f t="shared" si="26"/>
        <v>0</v>
      </c>
      <c r="AM908" s="2">
        <f t="shared" si="27"/>
        <v>0</v>
      </c>
      <c r="AN908" s="2">
        <f t="shared" si="28"/>
        <v>0</v>
      </c>
      <c r="AO908" s="2">
        <f t="shared" si="29"/>
      </c>
      <c r="AP908" s="2">
        <f t="shared" si="30"/>
      </c>
      <c r="AQ908" s="2">
        <f t="shared" si="31"/>
      </c>
    </row>
    <row r="909">
      <c r="A909" s="43">
        <f t="shared" si="3"/>
      </c>
      <c r="B909" s="44" t="n"/>
      <c r="C909" s="45" t="n"/>
      <c r="D909" s="46" t="n"/>
      <c r="E909" s="47" t="n"/>
      <c r="F909" s="47" t="n"/>
      <c r="G909" s="48">
        <f t="shared" si="4"/>
      </c>
      <c r="H909" s="43">
        <f t="shared" si="0"/>
      </c>
      <c r="I909" s="43">
        <f t="shared" si="5"/>
      </c>
      <c r="J909" s="43">
        <f t="shared" si="1"/>
      </c>
      <c r="K909" s="49">
        <f t="shared" si="2"/>
      </c>
      <c r="L909" s="45" t="n"/>
      <c r="M909" s="45" t="n"/>
      <c r="N909" s="45" t="n"/>
      <c r="O909" s="45" t="n"/>
      <c r="P909" s="50" t="n"/>
      <c r="R909" s="2">
        <f t="shared" si="6"/>
        <v>0</v>
      </c>
      <c r="S909" s="2">
        <f t="shared" si="7"/>
      </c>
      <c r="T909" s="2">
        <f t="shared" si="8"/>
      </c>
      <c r="U909" s="2">
        <f t="shared" si="9"/>
      </c>
      <c r="V909" s="2">
        <f t="shared" si="10"/>
      </c>
      <c r="W909" s="2">
        <f t="shared" si="11"/>
      </c>
      <c r="X909" s="2">
        <f t="shared" si="12"/>
      </c>
      <c r="Y909" s="2">
        <f t="shared" si="13"/>
        <v>0</v>
      </c>
      <c r="Z909" s="2">
        <f t="shared" si="14"/>
      </c>
      <c r="AA909" s="2">
        <f t="shared" si="15"/>
        <v>0</v>
      </c>
      <c r="AB909" s="2">
        <f t="shared" si="16"/>
      </c>
      <c r="AC909" s="2">
        <f t="shared" si="17"/>
      </c>
      <c r="AD909" s="2">
        <f t="shared" si="18"/>
      </c>
      <c r="AE909" s="2">
        <f t="shared" si="19"/>
      </c>
      <c r="AF909" s="2">
        <f t="shared" si="20"/>
      </c>
      <c r="AG909" s="2">
        <f t="shared" si="21"/>
      </c>
      <c r="AH909" s="2">
        <f t="shared" si="22"/>
      </c>
      <c r="AI909" s="2">
        <f t="shared" si="23"/>
      </c>
      <c r="AJ909" s="2">
        <f t="shared" si="24"/>
        <v>0</v>
      </c>
      <c r="AK909" s="2">
        <f t="shared" si="25"/>
        <v>0</v>
      </c>
      <c r="AL909" s="2">
        <f t="shared" si="26"/>
        <v>0</v>
      </c>
      <c r="AM909" s="2">
        <f t="shared" si="27"/>
        <v>0</v>
      </c>
      <c r="AN909" s="2">
        <f t="shared" si="28"/>
        <v>0</v>
      </c>
      <c r="AO909" s="2">
        <f t="shared" si="29"/>
      </c>
      <c r="AP909" s="2">
        <f t="shared" si="30"/>
      </c>
      <c r="AQ909" s="2">
        <f t="shared" si="31"/>
      </c>
    </row>
    <row r="910">
      <c r="A910" s="43">
        <f t="shared" si="3"/>
      </c>
      <c r="B910" s="44" t="n"/>
      <c r="C910" s="45" t="n"/>
      <c r="D910" s="46" t="n"/>
      <c r="E910" s="47" t="n"/>
      <c r="F910" s="47" t="n"/>
      <c r="G910" s="48">
        <f t="shared" si="4"/>
      </c>
      <c r="H910" s="43">
        <f t="shared" si="0"/>
      </c>
      <c r="I910" s="43">
        <f t="shared" si="5"/>
      </c>
      <c r="J910" s="43">
        <f t="shared" si="1"/>
      </c>
      <c r="K910" s="49">
        <f t="shared" si="2"/>
      </c>
      <c r="L910" s="45" t="n"/>
      <c r="M910" s="45" t="n"/>
      <c r="N910" s="45" t="n"/>
      <c r="O910" s="45" t="n"/>
      <c r="P910" s="50" t="n"/>
      <c r="R910" s="2">
        <f t="shared" si="6"/>
        <v>0</v>
      </c>
      <c r="S910" s="2">
        <f t="shared" si="7"/>
      </c>
      <c r="T910" s="2">
        <f t="shared" si="8"/>
      </c>
      <c r="U910" s="2">
        <f t="shared" si="9"/>
      </c>
      <c r="V910" s="2">
        <f t="shared" si="10"/>
      </c>
      <c r="W910" s="2">
        <f t="shared" si="11"/>
      </c>
      <c r="X910" s="2">
        <f t="shared" si="12"/>
      </c>
      <c r="Y910" s="2">
        <f t="shared" si="13"/>
        <v>0</v>
      </c>
      <c r="Z910" s="2">
        <f t="shared" si="14"/>
      </c>
      <c r="AA910" s="2">
        <f t="shared" si="15"/>
        <v>0</v>
      </c>
      <c r="AB910" s="2">
        <f t="shared" si="16"/>
      </c>
      <c r="AC910" s="2">
        <f t="shared" si="17"/>
      </c>
      <c r="AD910" s="2">
        <f t="shared" si="18"/>
      </c>
      <c r="AE910" s="2">
        <f t="shared" si="19"/>
      </c>
      <c r="AF910" s="2">
        <f t="shared" si="20"/>
      </c>
      <c r="AG910" s="2">
        <f t="shared" si="21"/>
      </c>
      <c r="AH910" s="2">
        <f t="shared" si="22"/>
      </c>
      <c r="AI910" s="2">
        <f t="shared" si="23"/>
      </c>
      <c r="AJ910" s="2">
        <f t="shared" si="24"/>
        <v>0</v>
      </c>
      <c r="AK910" s="2">
        <f t="shared" si="25"/>
        <v>0</v>
      </c>
      <c r="AL910" s="2">
        <f t="shared" si="26"/>
        <v>0</v>
      </c>
      <c r="AM910" s="2">
        <f t="shared" si="27"/>
        <v>0</v>
      </c>
      <c r="AN910" s="2">
        <f t="shared" si="28"/>
        <v>0</v>
      </c>
      <c r="AO910" s="2">
        <f t="shared" si="29"/>
      </c>
      <c r="AP910" s="2">
        <f t="shared" si="30"/>
      </c>
      <c r="AQ910" s="2">
        <f t="shared" si="31"/>
      </c>
    </row>
    <row r="911">
      <c r="A911" s="43">
        <f t="shared" si="3"/>
      </c>
      <c r="B911" s="44" t="n"/>
      <c r="C911" s="45" t="n"/>
      <c r="D911" s="46" t="n"/>
      <c r="E911" s="47" t="n"/>
      <c r="F911" s="47" t="n"/>
      <c r="G911" s="48">
        <f t="shared" si="4"/>
      </c>
      <c r="H911" s="43">
        <f t="shared" si="0"/>
      </c>
      <c r="I911" s="43">
        <f t="shared" si="5"/>
      </c>
      <c r="J911" s="43">
        <f t="shared" si="1"/>
      </c>
      <c r="K911" s="49">
        <f t="shared" si="2"/>
      </c>
      <c r="L911" s="45" t="n"/>
      <c r="M911" s="45" t="n"/>
      <c r="N911" s="45" t="n"/>
      <c r="O911" s="45" t="n"/>
      <c r="P911" s="50" t="n"/>
      <c r="R911" s="2">
        <f t="shared" si="6"/>
        <v>0</v>
      </c>
      <c r="S911" s="2">
        <f t="shared" si="7"/>
      </c>
      <c r="T911" s="2">
        <f t="shared" si="8"/>
      </c>
      <c r="U911" s="2">
        <f t="shared" si="9"/>
      </c>
      <c r="V911" s="2">
        <f t="shared" si="10"/>
      </c>
      <c r="W911" s="2">
        <f t="shared" si="11"/>
      </c>
      <c r="X911" s="2">
        <f t="shared" si="12"/>
      </c>
      <c r="Y911" s="2">
        <f t="shared" si="13"/>
        <v>0</v>
      </c>
      <c r="Z911" s="2">
        <f t="shared" si="14"/>
      </c>
      <c r="AA911" s="2">
        <f t="shared" si="15"/>
        <v>0</v>
      </c>
      <c r="AB911" s="2">
        <f t="shared" si="16"/>
      </c>
      <c r="AC911" s="2">
        <f t="shared" si="17"/>
      </c>
      <c r="AD911" s="2">
        <f t="shared" si="18"/>
      </c>
      <c r="AE911" s="2">
        <f t="shared" si="19"/>
      </c>
      <c r="AF911" s="2">
        <f t="shared" si="20"/>
      </c>
      <c r="AG911" s="2">
        <f t="shared" si="21"/>
      </c>
      <c r="AH911" s="2">
        <f t="shared" si="22"/>
      </c>
      <c r="AI911" s="2">
        <f t="shared" si="23"/>
      </c>
      <c r="AJ911" s="2">
        <f t="shared" si="24"/>
        <v>0</v>
      </c>
      <c r="AK911" s="2">
        <f t="shared" si="25"/>
        <v>0</v>
      </c>
      <c r="AL911" s="2">
        <f t="shared" si="26"/>
        <v>0</v>
      </c>
      <c r="AM911" s="2">
        <f t="shared" si="27"/>
        <v>0</v>
      </c>
      <c r="AN911" s="2">
        <f t="shared" si="28"/>
        <v>0</v>
      </c>
      <c r="AO911" s="2">
        <f t="shared" si="29"/>
      </c>
      <c r="AP911" s="2">
        <f t="shared" si="30"/>
      </c>
      <c r="AQ911" s="2">
        <f t="shared" si="31"/>
      </c>
    </row>
    <row r="912">
      <c r="A912" s="43">
        <f t="shared" si="3"/>
      </c>
      <c r="B912" s="44" t="n"/>
      <c r="C912" s="45" t="n"/>
      <c r="D912" s="46" t="n"/>
      <c r="E912" s="47" t="n"/>
      <c r="F912" s="47" t="n"/>
      <c r="G912" s="48">
        <f t="shared" si="4"/>
      </c>
      <c r="H912" s="43">
        <f t="shared" si="0"/>
      </c>
      <c r="I912" s="43">
        <f t="shared" si="5"/>
      </c>
      <c r="J912" s="43">
        <f t="shared" si="1"/>
      </c>
      <c r="K912" s="49">
        <f t="shared" si="2"/>
      </c>
      <c r="L912" s="45" t="n"/>
      <c r="M912" s="45" t="n"/>
      <c r="N912" s="45" t="n"/>
      <c r="O912" s="45" t="n"/>
      <c r="P912" s="50" t="n"/>
      <c r="R912" s="2">
        <f t="shared" si="6"/>
        <v>0</v>
      </c>
      <c r="S912" s="2">
        <f t="shared" si="7"/>
      </c>
      <c r="T912" s="2">
        <f t="shared" si="8"/>
      </c>
      <c r="U912" s="2">
        <f t="shared" si="9"/>
      </c>
      <c r="V912" s="2">
        <f t="shared" si="10"/>
      </c>
      <c r="W912" s="2">
        <f t="shared" si="11"/>
      </c>
      <c r="X912" s="2">
        <f t="shared" si="12"/>
      </c>
      <c r="Y912" s="2">
        <f t="shared" si="13"/>
        <v>0</v>
      </c>
      <c r="Z912" s="2">
        <f t="shared" si="14"/>
      </c>
      <c r="AA912" s="2">
        <f t="shared" si="15"/>
        <v>0</v>
      </c>
      <c r="AB912" s="2">
        <f t="shared" si="16"/>
      </c>
      <c r="AC912" s="2">
        <f t="shared" si="17"/>
      </c>
      <c r="AD912" s="2">
        <f t="shared" si="18"/>
      </c>
      <c r="AE912" s="2">
        <f t="shared" si="19"/>
      </c>
      <c r="AF912" s="2">
        <f t="shared" si="20"/>
      </c>
      <c r="AG912" s="2">
        <f t="shared" si="21"/>
      </c>
      <c r="AH912" s="2">
        <f t="shared" si="22"/>
      </c>
      <c r="AI912" s="2">
        <f t="shared" si="23"/>
      </c>
      <c r="AJ912" s="2">
        <f t="shared" si="24"/>
        <v>0</v>
      </c>
      <c r="AK912" s="2">
        <f t="shared" si="25"/>
        <v>0</v>
      </c>
      <c r="AL912" s="2">
        <f t="shared" si="26"/>
        <v>0</v>
      </c>
      <c r="AM912" s="2">
        <f t="shared" si="27"/>
        <v>0</v>
      </c>
      <c r="AN912" s="2">
        <f t="shared" si="28"/>
        <v>0</v>
      </c>
      <c r="AO912" s="2">
        <f t="shared" si="29"/>
      </c>
      <c r="AP912" s="2">
        <f t="shared" si="30"/>
      </c>
      <c r="AQ912" s="2">
        <f t="shared" si="31"/>
      </c>
    </row>
    <row r="913">
      <c r="A913" s="43">
        <f t="shared" si="3"/>
      </c>
      <c r="B913" s="44" t="n"/>
      <c r="C913" s="45" t="n"/>
      <c r="D913" s="46" t="n"/>
      <c r="E913" s="47" t="n"/>
      <c r="F913" s="47" t="n"/>
      <c r="G913" s="48">
        <f t="shared" si="4"/>
      </c>
      <c r="H913" s="43">
        <f t="shared" si="0"/>
      </c>
      <c r="I913" s="43">
        <f t="shared" si="5"/>
      </c>
      <c r="J913" s="43">
        <f t="shared" si="1"/>
      </c>
      <c r="K913" s="49">
        <f t="shared" si="2"/>
      </c>
      <c r="L913" s="45" t="n"/>
      <c r="M913" s="45" t="n"/>
      <c r="N913" s="45" t="n"/>
      <c r="O913" s="45" t="n"/>
      <c r="P913" s="50" t="n"/>
      <c r="R913" s="2">
        <f t="shared" si="6"/>
        <v>0</v>
      </c>
      <c r="S913" s="2">
        <f t="shared" si="7"/>
      </c>
      <c r="T913" s="2">
        <f t="shared" si="8"/>
      </c>
      <c r="U913" s="2">
        <f t="shared" si="9"/>
      </c>
      <c r="V913" s="2">
        <f t="shared" si="10"/>
      </c>
      <c r="W913" s="2">
        <f t="shared" si="11"/>
      </c>
      <c r="X913" s="2">
        <f t="shared" si="12"/>
      </c>
      <c r="Y913" s="2">
        <f t="shared" si="13"/>
        <v>0</v>
      </c>
      <c r="Z913" s="2">
        <f t="shared" si="14"/>
      </c>
      <c r="AA913" s="2">
        <f t="shared" si="15"/>
        <v>0</v>
      </c>
      <c r="AB913" s="2">
        <f t="shared" si="16"/>
      </c>
      <c r="AC913" s="2">
        <f t="shared" si="17"/>
      </c>
      <c r="AD913" s="2">
        <f t="shared" si="18"/>
      </c>
      <c r="AE913" s="2">
        <f t="shared" si="19"/>
      </c>
      <c r="AF913" s="2">
        <f t="shared" si="20"/>
      </c>
      <c r="AG913" s="2">
        <f t="shared" si="21"/>
      </c>
      <c r="AH913" s="2">
        <f t="shared" si="22"/>
      </c>
      <c r="AI913" s="2">
        <f t="shared" si="23"/>
      </c>
      <c r="AJ913" s="2">
        <f t="shared" si="24"/>
        <v>0</v>
      </c>
      <c r="AK913" s="2">
        <f t="shared" si="25"/>
        <v>0</v>
      </c>
      <c r="AL913" s="2">
        <f t="shared" si="26"/>
        <v>0</v>
      </c>
      <c r="AM913" s="2">
        <f t="shared" si="27"/>
        <v>0</v>
      </c>
      <c r="AN913" s="2">
        <f t="shared" si="28"/>
        <v>0</v>
      </c>
      <c r="AO913" s="2">
        <f t="shared" si="29"/>
      </c>
      <c r="AP913" s="2">
        <f t="shared" si="30"/>
      </c>
      <c r="AQ913" s="2">
        <f t="shared" si="31"/>
      </c>
    </row>
    <row r="914">
      <c r="A914" s="43">
        <f t="shared" si="3"/>
      </c>
      <c r="B914" s="44" t="n"/>
      <c r="C914" s="45" t="n"/>
      <c r="D914" s="46" t="n"/>
      <c r="E914" s="47" t="n"/>
      <c r="F914" s="47" t="n"/>
      <c r="G914" s="48">
        <f t="shared" si="4"/>
      </c>
      <c r="H914" s="43">
        <f t="shared" si="0"/>
      </c>
      <c r="I914" s="43">
        <f t="shared" si="5"/>
      </c>
      <c r="J914" s="43">
        <f t="shared" si="1"/>
      </c>
      <c r="K914" s="49">
        <f t="shared" si="2"/>
      </c>
      <c r="L914" s="45" t="n"/>
      <c r="M914" s="45" t="n"/>
      <c r="N914" s="45" t="n"/>
      <c r="O914" s="45" t="n"/>
      <c r="P914" s="50" t="n"/>
      <c r="R914" s="2">
        <f t="shared" si="6"/>
        <v>0</v>
      </c>
      <c r="S914" s="2">
        <f t="shared" si="7"/>
      </c>
      <c r="T914" s="2">
        <f t="shared" si="8"/>
      </c>
      <c r="U914" s="2">
        <f t="shared" si="9"/>
      </c>
      <c r="V914" s="2">
        <f t="shared" si="10"/>
      </c>
      <c r="W914" s="2">
        <f t="shared" si="11"/>
      </c>
      <c r="X914" s="2">
        <f t="shared" si="12"/>
      </c>
      <c r="Y914" s="2">
        <f t="shared" si="13"/>
        <v>0</v>
      </c>
      <c r="Z914" s="2">
        <f t="shared" si="14"/>
      </c>
      <c r="AA914" s="2">
        <f t="shared" si="15"/>
        <v>0</v>
      </c>
      <c r="AB914" s="2">
        <f t="shared" si="16"/>
      </c>
      <c r="AC914" s="2">
        <f t="shared" si="17"/>
      </c>
      <c r="AD914" s="2">
        <f t="shared" si="18"/>
      </c>
      <c r="AE914" s="2">
        <f t="shared" si="19"/>
      </c>
      <c r="AF914" s="2">
        <f t="shared" si="20"/>
      </c>
      <c r="AG914" s="2">
        <f t="shared" si="21"/>
      </c>
      <c r="AH914" s="2">
        <f t="shared" si="22"/>
      </c>
      <c r="AI914" s="2">
        <f t="shared" si="23"/>
      </c>
      <c r="AJ914" s="2">
        <f t="shared" si="24"/>
        <v>0</v>
      </c>
      <c r="AK914" s="2">
        <f t="shared" si="25"/>
        <v>0</v>
      </c>
      <c r="AL914" s="2">
        <f t="shared" si="26"/>
        <v>0</v>
      </c>
      <c r="AM914" s="2">
        <f t="shared" si="27"/>
        <v>0</v>
      </c>
      <c r="AN914" s="2">
        <f t="shared" si="28"/>
        <v>0</v>
      </c>
      <c r="AO914" s="2">
        <f t="shared" si="29"/>
      </c>
      <c r="AP914" s="2">
        <f t="shared" si="30"/>
      </c>
      <c r="AQ914" s="2">
        <f t="shared" si="31"/>
      </c>
    </row>
    <row r="915">
      <c r="A915" s="43">
        <f t="shared" si="3"/>
      </c>
      <c r="B915" s="44" t="n"/>
      <c r="C915" s="45" t="n"/>
      <c r="D915" s="46" t="n"/>
      <c r="E915" s="47" t="n"/>
      <c r="F915" s="47" t="n"/>
      <c r="G915" s="48">
        <f t="shared" si="4"/>
      </c>
      <c r="H915" s="43">
        <f t="shared" si="0"/>
      </c>
      <c r="I915" s="43">
        <f t="shared" si="5"/>
      </c>
      <c r="J915" s="43">
        <f t="shared" si="1"/>
      </c>
      <c r="K915" s="49">
        <f t="shared" si="2"/>
      </c>
      <c r="L915" s="45" t="n"/>
      <c r="M915" s="45" t="n"/>
      <c r="N915" s="45" t="n"/>
      <c r="O915" s="45" t="n"/>
      <c r="P915" s="50" t="n"/>
      <c r="R915" s="2">
        <f t="shared" si="6"/>
        <v>0</v>
      </c>
      <c r="S915" s="2">
        <f t="shared" si="7"/>
      </c>
      <c r="T915" s="2">
        <f t="shared" si="8"/>
      </c>
      <c r="U915" s="2">
        <f t="shared" si="9"/>
      </c>
      <c r="V915" s="2">
        <f t="shared" si="10"/>
      </c>
      <c r="W915" s="2">
        <f t="shared" si="11"/>
      </c>
      <c r="X915" s="2">
        <f t="shared" si="12"/>
      </c>
      <c r="Y915" s="2">
        <f t="shared" si="13"/>
        <v>0</v>
      </c>
      <c r="Z915" s="2">
        <f t="shared" si="14"/>
      </c>
      <c r="AA915" s="2">
        <f t="shared" si="15"/>
        <v>0</v>
      </c>
      <c r="AB915" s="2">
        <f t="shared" si="16"/>
      </c>
      <c r="AC915" s="2">
        <f t="shared" si="17"/>
      </c>
      <c r="AD915" s="2">
        <f t="shared" si="18"/>
      </c>
      <c r="AE915" s="2">
        <f t="shared" si="19"/>
      </c>
      <c r="AF915" s="2">
        <f t="shared" si="20"/>
      </c>
      <c r="AG915" s="2">
        <f t="shared" si="21"/>
      </c>
      <c r="AH915" s="2">
        <f t="shared" si="22"/>
      </c>
      <c r="AI915" s="2">
        <f t="shared" si="23"/>
      </c>
      <c r="AJ915" s="2">
        <f t="shared" si="24"/>
        <v>0</v>
      </c>
      <c r="AK915" s="2">
        <f t="shared" si="25"/>
        <v>0</v>
      </c>
      <c r="AL915" s="2">
        <f t="shared" si="26"/>
        <v>0</v>
      </c>
      <c r="AM915" s="2">
        <f t="shared" si="27"/>
        <v>0</v>
      </c>
      <c r="AN915" s="2">
        <f t="shared" si="28"/>
        <v>0</v>
      </c>
      <c r="AO915" s="2">
        <f t="shared" si="29"/>
      </c>
      <c r="AP915" s="2">
        <f t="shared" si="30"/>
      </c>
      <c r="AQ915" s="2">
        <f t="shared" si="31"/>
      </c>
    </row>
    <row r="916">
      <c r="A916" s="43">
        <f t="shared" si="3"/>
      </c>
      <c r="B916" s="44" t="n"/>
      <c r="C916" s="45" t="n"/>
      <c r="D916" s="46" t="n"/>
      <c r="E916" s="47" t="n"/>
      <c r="F916" s="47" t="n"/>
      <c r="G916" s="48">
        <f t="shared" si="4"/>
      </c>
      <c r="H916" s="43">
        <f t="shared" si="0"/>
      </c>
      <c r="I916" s="43">
        <f t="shared" si="5"/>
      </c>
      <c r="J916" s="43">
        <f t="shared" si="1"/>
      </c>
      <c r="K916" s="49">
        <f t="shared" si="2"/>
      </c>
      <c r="L916" s="45" t="n"/>
      <c r="M916" s="45" t="n"/>
      <c r="N916" s="45" t="n"/>
      <c r="O916" s="45" t="n"/>
      <c r="P916" s="50" t="n"/>
      <c r="R916" s="2">
        <f t="shared" si="6"/>
        <v>0</v>
      </c>
      <c r="S916" s="2">
        <f t="shared" si="7"/>
      </c>
      <c r="T916" s="2">
        <f t="shared" si="8"/>
      </c>
      <c r="U916" s="2">
        <f t="shared" si="9"/>
      </c>
      <c r="V916" s="2">
        <f t="shared" si="10"/>
      </c>
      <c r="W916" s="2">
        <f t="shared" si="11"/>
      </c>
      <c r="X916" s="2">
        <f t="shared" si="12"/>
      </c>
      <c r="Y916" s="2">
        <f t="shared" si="13"/>
        <v>0</v>
      </c>
      <c r="Z916" s="2">
        <f t="shared" si="14"/>
      </c>
      <c r="AA916" s="2">
        <f t="shared" si="15"/>
        <v>0</v>
      </c>
      <c r="AB916" s="2">
        <f t="shared" si="16"/>
      </c>
      <c r="AC916" s="2">
        <f t="shared" si="17"/>
      </c>
      <c r="AD916" s="2">
        <f t="shared" si="18"/>
      </c>
      <c r="AE916" s="2">
        <f t="shared" si="19"/>
      </c>
      <c r="AF916" s="2">
        <f t="shared" si="20"/>
      </c>
      <c r="AG916" s="2">
        <f t="shared" si="21"/>
      </c>
      <c r="AH916" s="2">
        <f t="shared" si="22"/>
      </c>
      <c r="AI916" s="2">
        <f t="shared" si="23"/>
      </c>
      <c r="AJ916" s="2">
        <f t="shared" si="24"/>
        <v>0</v>
      </c>
      <c r="AK916" s="2">
        <f t="shared" si="25"/>
        <v>0</v>
      </c>
      <c r="AL916" s="2">
        <f t="shared" si="26"/>
        <v>0</v>
      </c>
      <c r="AM916" s="2">
        <f t="shared" si="27"/>
        <v>0</v>
      </c>
      <c r="AN916" s="2">
        <f t="shared" si="28"/>
        <v>0</v>
      </c>
      <c r="AO916" s="2">
        <f t="shared" si="29"/>
      </c>
      <c r="AP916" s="2">
        <f t="shared" si="30"/>
      </c>
      <c r="AQ916" s="2">
        <f t="shared" si="31"/>
      </c>
    </row>
    <row r="917">
      <c r="A917" s="43">
        <f t="shared" si="3"/>
      </c>
      <c r="B917" s="44" t="n"/>
      <c r="C917" s="45" t="n"/>
      <c r="D917" s="46" t="n"/>
      <c r="E917" s="47" t="n"/>
      <c r="F917" s="47" t="n"/>
      <c r="G917" s="48">
        <f t="shared" si="4"/>
      </c>
      <c r="H917" s="43">
        <f t="shared" si="0"/>
      </c>
      <c r="I917" s="43">
        <f t="shared" si="5"/>
      </c>
      <c r="J917" s="43">
        <f t="shared" si="1"/>
      </c>
      <c r="K917" s="49">
        <f t="shared" si="2"/>
      </c>
      <c r="L917" s="45" t="n"/>
      <c r="M917" s="45" t="n"/>
      <c r="N917" s="45" t="n"/>
      <c r="O917" s="45" t="n"/>
      <c r="P917" s="50" t="n"/>
      <c r="R917" s="2">
        <f t="shared" si="6"/>
        <v>0</v>
      </c>
      <c r="S917" s="2">
        <f t="shared" si="7"/>
      </c>
      <c r="T917" s="2">
        <f t="shared" si="8"/>
      </c>
      <c r="U917" s="2">
        <f t="shared" si="9"/>
      </c>
      <c r="V917" s="2">
        <f t="shared" si="10"/>
      </c>
      <c r="W917" s="2">
        <f t="shared" si="11"/>
      </c>
      <c r="X917" s="2">
        <f t="shared" si="12"/>
      </c>
      <c r="Y917" s="2">
        <f t="shared" si="13"/>
        <v>0</v>
      </c>
      <c r="Z917" s="2">
        <f t="shared" si="14"/>
      </c>
      <c r="AA917" s="2">
        <f t="shared" si="15"/>
        <v>0</v>
      </c>
      <c r="AB917" s="2">
        <f t="shared" si="16"/>
      </c>
      <c r="AC917" s="2">
        <f t="shared" si="17"/>
      </c>
      <c r="AD917" s="2">
        <f t="shared" si="18"/>
      </c>
      <c r="AE917" s="2">
        <f t="shared" si="19"/>
      </c>
      <c r="AF917" s="2">
        <f t="shared" si="20"/>
      </c>
      <c r="AG917" s="2">
        <f t="shared" si="21"/>
      </c>
      <c r="AH917" s="2">
        <f t="shared" si="22"/>
      </c>
      <c r="AI917" s="2">
        <f t="shared" si="23"/>
      </c>
      <c r="AJ917" s="2">
        <f t="shared" si="24"/>
        <v>0</v>
      </c>
      <c r="AK917" s="2">
        <f t="shared" si="25"/>
        <v>0</v>
      </c>
      <c r="AL917" s="2">
        <f t="shared" si="26"/>
        <v>0</v>
      </c>
      <c r="AM917" s="2">
        <f t="shared" si="27"/>
        <v>0</v>
      </c>
      <c r="AN917" s="2">
        <f t="shared" si="28"/>
        <v>0</v>
      </c>
      <c r="AO917" s="2">
        <f t="shared" si="29"/>
      </c>
      <c r="AP917" s="2">
        <f t="shared" si="30"/>
      </c>
      <c r="AQ917" s="2">
        <f t="shared" si="31"/>
      </c>
    </row>
    <row r="918">
      <c r="A918" s="43">
        <f t="shared" si="3"/>
      </c>
      <c r="B918" s="44" t="n"/>
      <c r="C918" s="45" t="n"/>
      <c r="D918" s="46" t="n"/>
      <c r="E918" s="47" t="n"/>
      <c r="F918" s="47" t="n"/>
      <c r="G918" s="48">
        <f t="shared" si="4"/>
      </c>
      <c r="H918" s="43">
        <f t="shared" si="0"/>
      </c>
      <c r="I918" s="43">
        <f t="shared" si="5"/>
      </c>
      <c r="J918" s="43">
        <f t="shared" si="1"/>
      </c>
      <c r="K918" s="49">
        <f t="shared" si="2"/>
      </c>
      <c r="L918" s="45" t="n"/>
      <c r="M918" s="45" t="n"/>
      <c r="N918" s="45" t="n"/>
      <c r="O918" s="45" t="n"/>
      <c r="P918" s="50" t="n"/>
      <c r="R918" s="2">
        <f t="shared" si="6"/>
        <v>0</v>
      </c>
      <c r="S918" s="2">
        <f t="shared" si="7"/>
      </c>
      <c r="T918" s="2">
        <f t="shared" si="8"/>
      </c>
      <c r="U918" s="2">
        <f t="shared" si="9"/>
      </c>
      <c r="V918" s="2">
        <f t="shared" si="10"/>
      </c>
      <c r="W918" s="2">
        <f t="shared" si="11"/>
      </c>
      <c r="X918" s="2">
        <f t="shared" si="12"/>
      </c>
      <c r="Y918" s="2">
        <f t="shared" si="13"/>
        <v>0</v>
      </c>
      <c r="Z918" s="2">
        <f t="shared" si="14"/>
      </c>
      <c r="AA918" s="2">
        <f t="shared" si="15"/>
        <v>0</v>
      </c>
      <c r="AB918" s="2">
        <f t="shared" si="16"/>
      </c>
      <c r="AC918" s="2">
        <f t="shared" si="17"/>
      </c>
      <c r="AD918" s="2">
        <f t="shared" si="18"/>
      </c>
      <c r="AE918" s="2">
        <f t="shared" si="19"/>
      </c>
      <c r="AF918" s="2">
        <f t="shared" si="20"/>
      </c>
      <c r="AG918" s="2">
        <f t="shared" si="21"/>
      </c>
      <c r="AH918" s="2">
        <f t="shared" si="22"/>
      </c>
      <c r="AI918" s="2">
        <f t="shared" si="23"/>
      </c>
      <c r="AJ918" s="2">
        <f t="shared" si="24"/>
        <v>0</v>
      </c>
      <c r="AK918" s="2">
        <f t="shared" si="25"/>
        <v>0</v>
      </c>
      <c r="AL918" s="2">
        <f t="shared" si="26"/>
        <v>0</v>
      </c>
      <c r="AM918" s="2">
        <f t="shared" si="27"/>
        <v>0</v>
      </c>
      <c r="AN918" s="2">
        <f t="shared" si="28"/>
        <v>0</v>
      </c>
      <c r="AO918" s="2">
        <f t="shared" si="29"/>
      </c>
      <c r="AP918" s="2">
        <f t="shared" si="30"/>
      </c>
      <c r="AQ918" s="2">
        <f t="shared" si="31"/>
      </c>
    </row>
    <row r="919">
      <c r="A919" s="43">
        <f t="shared" si="3"/>
      </c>
      <c r="B919" s="44" t="n"/>
      <c r="C919" s="45" t="n"/>
      <c r="D919" s="46" t="n"/>
      <c r="E919" s="47" t="n"/>
      <c r="F919" s="47" t="n"/>
      <c r="G919" s="48">
        <f t="shared" si="4"/>
      </c>
      <c r="H919" s="43">
        <f t="shared" si="0"/>
      </c>
      <c r="I919" s="43">
        <f t="shared" si="5"/>
      </c>
      <c r="J919" s="43">
        <f t="shared" si="1"/>
      </c>
      <c r="K919" s="49">
        <f t="shared" si="2"/>
      </c>
      <c r="L919" s="45" t="n"/>
      <c r="M919" s="45" t="n"/>
      <c r="N919" s="45" t="n"/>
      <c r="O919" s="45" t="n"/>
      <c r="P919" s="50" t="n"/>
      <c r="R919" s="2">
        <f t="shared" si="6"/>
        <v>0</v>
      </c>
      <c r="S919" s="2">
        <f t="shared" si="7"/>
      </c>
      <c r="T919" s="2">
        <f t="shared" si="8"/>
      </c>
      <c r="U919" s="2">
        <f t="shared" si="9"/>
      </c>
      <c r="V919" s="2">
        <f t="shared" si="10"/>
      </c>
      <c r="W919" s="2">
        <f t="shared" si="11"/>
      </c>
      <c r="X919" s="2">
        <f t="shared" si="12"/>
      </c>
      <c r="Y919" s="2">
        <f t="shared" si="13"/>
        <v>0</v>
      </c>
      <c r="Z919" s="2">
        <f t="shared" si="14"/>
      </c>
      <c r="AA919" s="2">
        <f t="shared" si="15"/>
        <v>0</v>
      </c>
      <c r="AB919" s="2">
        <f t="shared" si="16"/>
      </c>
      <c r="AC919" s="2">
        <f t="shared" si="17"/>
      </c>
      <c r="AD919" s="2">
        <f t="shared" si="18"/>
      </c>
      <c r="AE919" s="2">
        <f t="shared" si="19"/>
      </c>
      <c r="AF919" s="2">
        <f t="shared" si="20"/>
      </c>
      <c r="AG919" s="2">
        <f t="shared" si="21"/>
      </c>
      <c r="AH919" s="2">
        <f t="shared" si="22"/>
      </c>
      <c r="AI919" s="2">
        <f t="shared" si="23"/>
      </c>
      <c r="AJ919" s="2">
        <f t="shared" si="24"/>
        <v>0</v>
      </c>
      <c r="AK919" s="2">
        <f t="shared" si="25"/>
        <v>0</v>
      </c>
      <c r="AL919" s="2">
        <f t="shared" si="26"/>
        <v>0</v>
      </c>
      <c r="AM919" s="2">
        <f t="shared" si="27"/>
        <v>0</v>
      </c>
      <c r="AN919" s="2">
        <f t="shared" si="28"/>
        <v>0</v>
      </c>
      <c r="AO919" s="2">
        <f t="shared" si="29"/>
      </c>
      <c r="AP919" s="2">
        <f t="shared" si="30"/>
      </c>
      <c r="AQ919" s="2">
        <f t="shared" si="31"/>
      </c>
    </row>
    <row r="920">
      <c r="A920" s="43">
        <f t="shared" si="3"/>
      </c>
      <c r="B920" s="44" t="n"/>
      <c r="C920" s="45" t="n"/>
      <c r="D920" s="46" t="n"/>
      <c r="E920" s="47" t="n"/>
      <c r="F920" s="47" t="n"/>
      <c r="G920" s="48">
        <f t="shared" si="4"/>
      </c>
      <c r="H920" s="43">
        <f t="shared" si="0"/>
      </c>
      <c r="I920" s="43">
        <f t="shared" si="5"/>
      </c>
      <c r="J920" s="43">
        <f t="shared" si="1"/>
      </c>
      <c r="K920" s="49">
        <f t="shared" si="2"/>
      </c>
      <c r="L920" s="45" t="n"/>
      <c r="M920" s="45" t="n"/>
      <c r="N920" s="45" t="n"/>
      <c r="O920" s="45" t="n"/>
      <c r="P920" s="50" t="n"/>
      <c r="R920" s="2">
        <f t="shared" si="6"/>
        <v>0</v>
      </c>
      <c r="S920" s="2">
        <f t="shared" si="7"/>
      </c>
      <c r="T920" s="2">
        <f t="shared" si="8"/>
      </c>
      <c r="U920" s="2">
        <f t="shared" si="9"/>
      </c>
      <c r="V920" s="2">
        <f t="shared" si="10"/>
      </c>
      <c r="W920" s="2">
        <f t="shared" si="11"/>
      </c>
      <c r="X920" s="2">
        <f t="shared" si="12"/>
      </c>
      <c r="Y920" s="2">
        <f t="shared" si="13"/>
        <v>0</v>
      </c>
      <c r="Z920" s="2">
        <f t="shared" si="14"/>
      </c>
      <c r="AA920" s="2">
        <f t="shared" si="15"/>
        <v>0</v>
      </c>
      <c r="AB920" s="2">
        <f t="shared" si="16"/>
      </c>
      <c r="AC920" s="2">
        <f t="shared" si="17"/>
      </c>
      <c r="AD920" s="2">
        <f t="shared" si="18"/>
      </c>
      <c r="AE920" s="2">
        <f t="shared" si="19"/>
      </c>
      <c r="AF920" s="2">
        <f t="shared" si="20"/>
      </c>
      <c r="AG920" s="2">
        <f t="shared" si="21"/>
      </c>
      <c r="AH920" s="2">
        <f t="shared" si="22"/>
      </c>
      <c r="AI920" s="2">
        <f t="shared" si="23"/>
      </c>
      <c r="AJ920" s="2">
        <f t="shared" si="24"/>
        <v>0</v>
      </c>
      <c r="AK920" s="2">
        <f t="shared" si="25"/>
        <v>0</v>
      </c>
      <c r="AL920" s="2">
        <f t="shared" si="26"/>
        <v>0</v>
      </c>
      <c r="AM920" s="2">
        <f t="shared" si="27"/>
        <v>0</v>
      </c>
      <c r="AN920" s="2">
        <f t="shared" si="28"/>
        <v>0</v>
      </c>
      <c r="AO920" s="2">
        <f t="shared" si="29"/>
      </c>
      <c r="AP920" s="2">
        <f t="shared" si="30"/>
      </c>
      <c r="AQ920" s="2">
        <f t="shared" si="31"/>
      </c>
    </row>
    <row r="921">
      <c r="A921" s="43">
        <f t="shared" si="3"/>
      </c>
      <c r="B921" s="44" t="n"/>
      <c r="C921" s="45" t="n"/>
      <c r="D921" s="46" t="n"/>
      <c r="E921" s="47" t="n"/>
      <c r="F921" s="47" t="n"/>
      <c r="G921" s="48">
        <f t="shared" si="4"/>
      </c>
      <c r="H921" s="43">
        <f t="shared" si="0"/>
      </c>
      <c r="I921" s="43">
        <f t="shared" si="5"/>
      </c>
      <c r="J921" s="43">
        <f t="shared" si="1"/>
      </c>
      <c r="K921" s="49">
        <f t="shared" si="2"/>
      </c>
      <c r="L921" s="45" t="n"/>
      <c r="M921" s="45" t="n"/>
      <c r="N921" s="45" t="n"/>
      <c r="O921" s="45" t="n"/>
      <c r="P921" s="50" t="n"/>
      <c r="R921" s="2">
        <f t="shared" si="6"/>
        <v>0</v>
      </c>
      <c r="S921" s="2">
        <f t="shared" si="7"/>
      </c>
      <c r="T921" s="2">
        <f t="shared" si="8"/>
      </c>
      <c r="U921" s="2">
        <f t="shared" si="9"/>
      </c>
      <c r="V921" s="2">
        <f t="shared" si="10"/>
      </c>
      <c r="W921" s="2">
        <f t="shared" si="11"/>
      </c>
      <c r="X921" s="2">
        <f t="shared" si="12"/>
      </c>
      <c r="Y921" s="2">
        <f t="shared" si="13"/>
        <v>0</v>
      </c>
      <c r="Z921" s="2">
        <f t="shared" si="14"/>
      </c>
      <c r="AA921" s="2">
        <f t="shared" si="15"/>
        <v>0</v>
      </c>
      <c r="AB921" s="2">
        <f t="shared" si="16"/>
      </c>
      <c r="AC921" s="2">
        <f t="shared" si="17"/>
      </c>
      <c r="AD921" s="2">
        <f t="shared" si="18"/>
      </c>
      <c r="AE921" s="2">
        <f t="shared" si="19"/>
      </c>
      <c r="AF921" s="2">
        <f t="shared" si="20"/>
      </c>
      <c r="AG921" s="2">
        <f t="shared" si="21"/>
      </c>
      <c r="AH921" s="2">
        <f t="shared" si="22"/>
      </c>
      <c r="AI921" s="2">
        <f t="shared" si="23"/>
      </c>
      <c r="AJ921" s="2">
        <f t="shared" si="24"/>
        <v>0</v>
      </c>
      <c r="AK921" s="2">
        <f t="shared" si="25"/>
        <v>0</v>
      </c>
      <c r="AL921" s="2">
        <f t="shared" si="26"/>
        <v>0</v>
      </c>
      <c r="AM921" s="2">
        <f t="shared" si="27"/>
        <v>0</v>
      </c>
      <c r="AN921" s="2">
        <f t="shared" si="28"/>
        <v>0</v>
      </c>
      <c r="AO921" s="2">
        <f t="shared" si="29"/>
      </c>
      <c r="AP921" s="2">
        <f t="shared" si="30"/>
      </c>
      <c r="AQ921" s="2">
        <f t="shared" si="31"/>
      </c>
    </row>
    <row r="922">
      <c r="A922" s="43">
        <f t="shared" si="3"/>
      </c>
      <c r="B922" s="44" t="n"/>
      <c r="C922" s="45" t="n"/>
      <c r="D922" s="46" t="n"/>
      <c r="E922" s="47" t="n"/>
      <c r="F922" s="47" t="n"/>
      <c r="G922" s="48">
        <f t="shared" si="4"/>
      </c>
      <c r="H922" s="43">
        <f t="shared" si="0"/>
      </c>
      <c r="I922" s="43">
        <f t="shared" si="5"/>
      </c>
      <c r="J922" s="43">
        <f t="shared" si="1"/>
      </c>
      <c r="K922" s="49">
        <f t="shared" si="2"/>
      </c>
      <c r="L922" s="45" t="n"/>
      <c r="M922" s="45" t="n"/>
      <c r="N922" s="45" t="n"/>
      <c r="O922" s="45" t="n"/>
      <c r="P922" s="50" t="n"/>
      <c r="R922" s="2">
        <f t="shared" si="6"/>
        <v>0</v>
      </c>
      <c r="S922" s="2">
        <f t="shared" si="7"/>
      </c>
      <c r="T922" s="2">
        <f t="shared" si="8"/>
      </c>
      <c r="U922" s="2">
        <f t="shared" si="9"/>
      </c>
      <c r="V922" s="2">
        <f t="shared" si="10"/>
      </c>
      <c r="W922" s="2">
        <f t="shared" si="11"/>
      </c>
      <c r="X922" s="2">
        <f t="shared" si="12"/>
      </c>
      <c r="Y922" s="2">
        <f t="shared" si="13"/>
        <v>0</v>
      </c>
      <c r="Z922" s="2">
        <f t="shared" si="14"/>
      </c>
      <c r="AA922" s="2">
        <f t="shared" si="15"/>
        <v>0</v>
      </c>
      <c r="AB922" s="2">
        <f t="shared" si="16"/>
      </c>
      <c r="AC922" s="2">
        <f t="shared" si="17"/>
      </c>
      <c r="AD922" s="2">
        <f t="shared" si="18"/>
      </c>
      <c r="AE922" s="2">
        <f t="shared" si="19"/>
      </c>
      <c r="AF922" s="2">
        <f t="shared" si="20"/>
      </c>
      <c r="AG922" s="2">
        <f t="shared" si="21"/>
      </c>
      <c r="AH922" s="2">
        <f t="shared" si="22"/>
      </c>
      <c r="AI922" s="2">
        <f t="shared" si="23"/>
      </c>
      <c r="AJ922" s="2">
        <f t="shared" si="24"/>
        <v>0</v>
      </c>
      <c r="AK922" s="2">
        <f t="shared" si="25"/>
        <v>0</v>
      </c>
      <c r="AL922" s="2">
        <f t="shared" si="26"/>
        <v>0</v>
      </c>
      <c r="AM922" s="2">
        <f t="shared" si="27"/>
        <v>0</v>
      </c>
      <c r="AN922" s="2">
        <f t="shared" si="28"/>
        <v>0</v>
      </c>
      <c r="AO922" s="2">
        <f t="shared" si="29"/>
      </c>
      <c r="AP922" s="2">
        <f t="shared" si="30"/>
      </c>
      <c r="AQ922" s="2">
        <f t="shared" si="31"/>
      </c>
    </row>
    <row r="923">
      <c r="A923" s="43">
        <f t="shared" si="3"/>
      </c>
      <c r="B923" s="44" t="n"/>
      <c r="C923" s="45" t="n"/>
      <c r="D923" s="46" t="n"/>
      <c r="E923" s="47" t="n"/>
      <c r="F923" s="47" t="n"/>
      <c r="G923" s="48">
        <f t="shared" si="4"/>
      </c>
      <c r="H923" s="43">
        <f t="shared" si="0"/>
      </c>
      <c r="I923" s="43">
        <f t="shared" si="5"/>
      </c>
      <c r="J923" s="43">
        <f t="shared" si="1"/>
      </c>
      <c r="K923" s="49">
        <f t="shared" si="2"/>
      </c>
      <c r="L923" s="45" t="n"/>
      <c r="M923" s="45" t="n"/>
      <c r="N923" s="45" t="n"/>
      <c r="O923" s="45" t="n"/>
      <c r="P923" s="50" t="n"/>
      <c r="R923" s="2">
        <f t="shared" si="6"/>
        <v>0</v>
      </c>
      <c r="S923" s="2">
        <f t="shared" si="7"/>
      </c>
      <c r="T923" s="2">
        <f t="shared" si="8"/>
      </c>
      <c r="U923" s="2">
        <f t="shared" si="9"/>
      </c>
      <c r="V923" s="2">
        <f t="shared" si="10"/>
      </c>
      <c r="W923" s="2">
        <f t="shared" si="11"/>
      </c>
      <c r="X923" s="2">
        <f t="shared" si="12"/>
      </c>
      <c r="Y923" s="2">
        <f t="shared" si="13"/>
        <v>0</v>
      </c>
      <c r="Z923" s="2">
        <f t="shared" si="14"/>
      </c>
      <c r="AA923" s="2">
        <f t="shared" si="15"/>
        <v>0</v>
      </c>
      <c r="AB923" s="2">
        <f t="shared" si="16"/>
      </c>
      <c r="AC923" s="2">
        <f t="shared" si="17"/>
      </c>
      <c r="AD923" s="2">
        <f t="shared" si="18"/>
      </c>
      <c r="AE923" s="2">
        <f t="shared" si="19"/>
      </c>
      <c r="AF923" s="2">
        <f t="shared" si="20"/>
      </c>
      <c r="AG923" s="2">
        <f t="shared" si="21"/>
      </c>
      <c r="AH923" s="2">
        <f t="shared" si="22"/>
      </c>
      <c r="AI923" s="2">
        <f t="shared" si="23"/>
      </c>
      <c r="AJ923" s="2">
        <f t="shared" si="24"/>
        <v>0</v>
      </c>
      <c r="AK923" s="2">
        <f t="shared" si="25"/>
        <v>0</v>
      </c>
      <c r="AL923" s="2">
        <f t="shared" si="26"/>
        <v>0</v>
      </c>
      <c r="AM923" s="2">
        <f t="shared" si="27"/>
        <v>0</v>
      </c>
      <c r="AN923" s="2">
        <f t="shared" si="28"/>
        <v>0</v>
      </c>
      <c r="AO923" s="2">
        <f t="shared" si="29"/>
      </c>
      <c r="AP923" s="2">
        <f t="shared" si="30"/>
      </c>
      <c r="AQ923" s="2">
        <f t="shared" si="31"/>
      </c>
    </row>
    <row r="924">
      <c r="A924" s="43">
        <f t="shared" si="3"/>
      </c>
      <c r="B924" s="44" t="n"/>
      <c r="C924" s="45" t="n"/>
      <c r="D924" s="46" t="n"/>
      <c r="E924" s="47" t="n"/>
      <c r="F924" s="47" t="n"/>
      <c r="G924" s="48">
        <f t="shared" si="4"/>
      </c>
      <c r="H924" s="43">
        <f t="shared" si="0"/>
      </c>
      <c r="I924" s="43">
        <f t="shared" si="5"/>
      </c>
      <c r="J924" s="43">
        <f t="shared" si="1"/>
      </c>
      <c r="K924" s="49">
        <f t="shared" si="2"/>
      </c>
      <c r="L924" s="45" t="n"/>
      <c r="M924" s="45" t="n"/>
      <c r="N924" s="45" t="n"/>
      <c r="O924" s="45" t="n"/>
      <c r="P924" s="50" t="n"/>
      <c r="R924" s="2">
        <f t="shared" si="6"/>
        <v>0</v>
      </c>
      <c r="S924" s="2">
        <f t="shared" si="7"/>
      </c>
      <c r="T924" s="2">
        <f t="shared" si="8"/>
      </c>
      <c r="U924" s="2">
        <f t="shared" si="9"/>
      </c>
      <c r="V924" s="2">
        <f t="shared" si="10"/>
      </c>
      <c r="W924" s="2">
        <f t="shared" si="11"/>
      </c>
      <c r="X924" s="2">
        <f t="shared" si="12"/>
      </c>
      <c r="Y924" s="2">
        <f t="shared" si="13"/>
        <v>0</v>
      </c>
      <c r="Z924" s="2">
        <f t="shared" si="14"/>
      </c>
      <c r="AA924" s="2">
        <f t="shared" si="15"/>
        <v>0</v>
      </c>
      <c r="AB924" s="2">
        <f t="shared" si="16"/>
      </c>
      <c r="AC924" s="2">
        <f t="shared" si="17"/>
      </c>
      <c r="AD924" s="2">
        <f t="shared" si="18"/>
      </c>
      <c r="AE924" s="2">
        <f t="shared" si="19"/>
      </c>
      <c r="AF924" s="2">
        <f t="shared" si="20"/>
      </c>
      <c r="AG924" s="2">
        <f t="shared" si="21"/>
      </c>
      <c r="AH924" s="2">
        <f t="shared" si="22"/>
      </c>
      <c r="AI924" s="2">
        <f t="shared" si="23"/>
      </c>
      <c r="AJ924" s="2">
        <f t="shared" si="24"/>
        <v>0</v>
      </c>
      <c r="AK924" s="2">
        <f t="shared" si="25"/>
        <v>0</v>
      </c>
      <c r="AL924" s="2">
        <f t="shared" si="26"/>
        <v>0</v>
      </c>
      <c r="AM924" s="2">
        <f t="shared" si="27"/>
        <v>0</v>
      </c>
      <c r="AN924" s="2">
        <f t="shared" si="28"/>
        <v>0</v>
      </c>
      <c r="AO924" s="2">
        <f t="shared" si="29"/>
      </c>
      <c r="AP924" s="2">
        <f t="shared" si="30"/>
      </c>
      <c r="AQ924" s="2">
        <f t="shared" si="31"/>
      </c>
    </row>
    <row r="925">
      <c r="A925" s="43">
        <f t="shared" si="3"/>
      </c>
      <c r="B925" s="44" t="n"/>
      <c r="C925" s="45" t="n"/>
      <c r="D925" s="46" t="n"/>
      <c r="E925" s="47" t="n"/>
      <c r="F925" s="47" t="n"/>
      <c r="G925" s="48">
        <f t="shared" si="4"/>
      </c>
      <c r="H925" s="43">
        <f t="shared" si="0"/>
      </c>
      <c r="I925" s="43">
        <f t="shared" si="5"/>
      </c>
      <c r="J925" s="43">
        <f t="shared" si="1"/>
      </c>
      <c r="K925" s="49">
        <f t="shared" si="2"/>
      </c>
      <c r="L925" s="45" t="n"/>
      <c r="M925" s="45" t="n"/>
      <c r="N925" s="45" t="n"/>
      <c r="O925" s="45" t="n"/>
      <c r="P925" s="50" t="n"/>
      <c r="R925" s="2">
        <f t="shared" si="6"/>
        <v>0</v>
      </c>
      <c r="S925" s="2">
        <f t="shared" si="7"/>
      </c>
      <c r="T925" s="2">
        <f t="shared" si="8"/>
      </c>
      <c r="U925" s="2">
        <f t="shared" si="9"/>
      </c>
      <c r="V925" s="2">
        <f t="shared" si="10"/>
      </c>
      <c r="W925" s="2">
        <f t="shared" si="11"/>
      </c>
      <c r="X925" s="2">
        <f t="shared" si="12"/>
      </c>
      <c r="Y925" s="2">
        <f t="shared" si="13"/>
        <v>0</v>
      </c>
      <c r="Z925" s="2">
        <f t="shared" si="14"/>
      </c>
      <c r="AA925" s="2">
        <f t="shared" si="15"/>
        <v>0</v>
      </c>
      <c r="AB925" s="2">
        <f t="shared" si="16"/>
      </c>
      <c r="AC925" s="2">
        <f t="shared" si="17"/>
      </c>
      <c r="AD925" s="2">
        <f t="shared" si="18"/>
      </c>
      <c r="AE925" s="2">
        <f t="shared" si="19"/>
      </c>
      <c r="AF925" s="2">
        <f t="shared" si="20"/>
      </c>
      <c r="AG925" s="2">
        <f t="shared" si="21"/>
      </c>
      <c r="AH925" s="2">
        <f t="shared" si="22"/>
      </c>
      <c r="AI925" s="2">
        <f t="shared" si="23"/>
      </c>
      <c r="AJ925" s="2">
        <f t="shared" si="24"/>
        <v>0</v>
      </c>
      <c r="AK925" s="2">
        <f t="shared" si="25"/>
        <v>0</v>
      </c>
      <c r="AL925" s="2">
        <f t="shared" si="26"/>
        <v>0</v>
      </c>
      <c r="AM925" s="2">
        <f t="shared" si="27"/>
        <v>0</v>
      </c>
      <c r="AN925" s="2">
        <f t="shared" si="28"/>
        <v>0</v>
      </c>
      <c r="AO925" s="2">
        <f t="shared" si="29"/>
      </c>
      <c r="AP925" s="2">
        <f t="shared" si="30"/>
      </c>
      <c r="AQ925" s="2">
        <f t="shared" si="31"/>
      </c>
    </row>
    <row r="926">
      <c r="A926" s="43">
        <f t="shared" si="3"/>
      </c>
      <c r="B926" s="44" t="n"/>
      <c r="C926" s="45" t="n"/>
      <c r="D926" s="46" t="n"/>
      <c r="E926" s="47" t="n"/>
      <c r="F926" s="47" t="n"/>
      <c r="G926" s="48">
        <f t="shared" si="4"/>
      </c>
      <c r="H926" s="43">
        <f t="shared" si="0"/>
      </c>
      <c r="I926" s="43">
        <f t="shared" si="5"/>
      </c>
      <c r="J926" s="43">
        <f t="shared" si="1"/>
      </c>
      <c r="K926" s="49">
        <f t="shared" si="2"/>
      </c>
      <c r="L926" s="45" t="n"/>
      <c r="M926" s="45" t="n"/>
      <c r="N926" s="45" t="n"/>
      <c r="O926" s="45" t="n"/>
      <c r="P926" s="50" t="n"/>
      <c r="R926" s="2">
        <f t="shared" si="6"/>
        <v>0</v>
      </c>
      <c r="S926" s="2">
        <f t="shared" si="7"/>
      </c>
      <c r="T926" s="2">
        <f t="shared" si="8"/>
      </c>
      <c r="U926" s="2">
        <f t="shared" si="9"/>
      </c>
      <c r="V926" s="2">
        <f t="shared" si="10"/>
      </c>
      <c r="W926" s="2">
        <f t="shared" si="11"/>
      </c>
      <c r="X926" s="2">
        <f t="shared" si="12"/>
      </c>
      <c r="Y926" s="2">
        <f t="shared" si="13"/>
        <v>0</v>
      </c>
      <c r="Z926" s="2">
        <f t="shared" si="14"/>
      </c>
      <c r="AA926" s="2">
        <f t="shared" si="15"/>
        <v>0</v>
      </c>
      <c r="AB926" s="2">
        <f t="shared" si="16"/>
      </c>
      <c r="AC926" s="2">
        <f t="shared" si="17"/>
      </c>
      <c r="AD926" s="2">
        <f t="shared" si="18"/>
      </c>
      <c r="AE926" s="2">
        <f t="shared" si="19"/>
      </c>
      <c r="AF926" s="2">
        <f t="shared" si="20"/>
      </c>
      <c r="AG926" s="2">
        <f t="shared" si="21"/>
      </c>
      <c r="AH926" s="2">
        <f t="shared" si="22"/>
      </c>
      <c r="AI926" s="2">
        <f t="shared" si="23"/>
      </c>
      <c r="AJ926" s="2">
        <f t="shared" si="24"/>
        <v>0</v>
      </c>
      <c r="AK926" s="2">
        <f t="shared" si="25"/>
        <v>0</v>
      </c>
      <c r="AL926" s="2">
        <f t="shared" si="26"/>
        <v>0</v>
      </c>
      <c r="AM926" s="2">
        <f t="shared" si="27"/>
        <v>0</v>
      </c>
      <c r="AN926" s="2">
        <f t="shared" si="28"/>
        <v>0</v>
      </c>
      <c r="AO926" s="2">
        <f t="shared" si="29"/>
      </c>
      <c r="AP926" s="2">
        <f t="shared" si="30"/>
      </c>
      <c r="AQ926" s="2">
        <f t="shared" si="31"/>
      </c>
    </row>
    <row r="927">
      <c r="A927" s="43">
        <f t="shared" si="3"/>
      </c>
      <c r="B927" s="44" t="n"/>
      <c r="C927" s="45" t="n"/>
      <c r="D927" s="46" t="n"/>
      <c r="E927" s="47" t="n"/>
      <c r="F927" s="47" t="n"/>
      <c r="G927" s="48">
        <f t="shared" si="4"/>
      </c>
      <c r="H927" s="43">
        <f t="shared" si="0"/>
      </c>
      <c r="I927" s="43">
        <f t="shared" si="5"/>
      </c>
      <c r="J927" s="43">
        <f t="shared" si="1"/>
      </c>
      <c r="K927" s="49">
        <f t="shared" si="2"/>
      </c>
      <c r="L927" s="45" t="n"/>
      <c r="M927" s="45" t="n"/>
      <c r="N927" s="45" t="n"/>
      <c r="O927" s="45" t="n"/>
      <c r="P927" s="50" t="n"/>
      <c r="R927" s="2">
        <f t="shared" si="6"/>
        <v>0</v>
      </c>
      <c r="S927" s="2">
        <f t="shared" si="7"/>
      </c>
      <c r="T927" s="2">
        <f t="shared" si="8"/>
      </c>
      <c r="U927" s="2">
        <f t="shared" si="9"/>
      </c>
      <c r="V927" s="2">
        <f t="shared" si="10"/>
      </c>
      <c r="W927" s="2">
        <f t="shared" si="11"/>
      </c>
      <c r="X927" s="2">
        <f t="shared" si="12"/>
      </c>
      <c r="Y927" s="2">
        <f t="shared" si="13"/>
        <v>0</v>
      </c>
      <c r="Z927" s="2">
        <f t="shared" si="14"/>
      </c>
      <c r="AA927" s="2">
        <f t="shared" si="15"/>
        <v>0</v>
      </c>
      <c r="AB927" s="2">
        <f t="shared" si="16"/>
      </c>
      <c r="AC927" s="2">
        <f t="shared" si="17"/>
      </c>
      <c r="AD927" s="2">
        <f t="shared" si="18"/>
      </c>
      <c r="AE927" s="2">
        <f t="shared" si="19"/>
      </c>
      <c r="AF927" s="2">
        <f t="shared" si="20"/>
      </c>
      <c r="AG927" s="2">
        <f t="shared" si="21"/>
      </c>
      <c r="AH927" s="2">
        <f t="shared" si="22"/>
      </c>
      <c r="AI927" s="2">
        <f t="shared" si="23"/>
      </c>
      <c r="AJ927" s="2">
        <f t="shared" si="24"/>
        <v>0</v>
      </c>
      <c r="AK927" s="2">
        <f t="shared" si="25"/>
        <v>0</v>
      </c>
      <c r="AL927" s="2">
        <f t="shared" si="26"/>
        <v>0</v>
      </c>
      <c r="AM927" s="2">
        <f t="shared" si="27"/>
        <v>0</v>
      </c>
      <c r="AN927" s="2">
        <f t="shared" si="28"/>
        <v>0</v>
      </c>
      <c r="AO927" s="2">
        <f t="shared" si="29"/>
      </c>
      <c r="AP927" s="2">
        <f t="shared" si="30"/>
      </c>
      <c r="AQ927" s="2">
        <f t="shared" si="31"/>
      </c>
    </row>
    <row r="928">
      <c r="A928" s="43">
        <f t="shared" si="3"/>
      </c>
      <c r="B928" s="44" t="n"/>
      <c r="C928" s="45" t="n"/>
      <c r="D928" s="46" t="n"/>
      <c r="E928" s="47" t="n"/>
      <c r="F928" s="47" t="n"/>
      <c r="G928" s="48">
        <f t="shared" si="4"/>
      </c>
      <c r="H928" s="43">
        <f t="shared" si="0"/>
      </c>
      <c r="I928" s="43">
        <f t="shared" si="5"/>
      </c>
      <c r="J928" s="43">
        <f t="shared" si="1"/>
      </c>
      <c r="K928" s="49">
        <f t="shared" si="2"/>
      </c>
      <c r="L928" s="45" t="n"/>
      <c r="M928" s="45" t="n"/>
      <c r="N928" s="45" t="n"/>
      <c r="O928" s="45" t="n"/>
      <c r="P928" s="50" t="n"/>
      <c r="R928" s="2">
        <f t="shared" si="6"/>
        <v>0</v>
      </c>
      <c r="S928" s="2">
        <f t="shared" si="7"/>
      </c>
      <c r="T928" s="2">
        <f t="shared" si="8"/>
      </c>
      <c r="U928" s="2">
        <f t="shared" si="9"/>
      </c>
      <c r="V928" s="2">
        <f t="shared" si="10"/>
      </c>
      <c r="W928" s="2">
        <f t="shared" si="11"/>
      </c>
      <c r="X928" s="2">
        <f t="shared" si="12"/>
      </c>
      <c r="Y928" s="2">
        <f t="shared" si="13"/>
        <v>0</v>
      </c>
      <c r="Z928" s="2">
        <f t="shared" si="14"/>
      </c>
      <c r="AA928" s="2">
        <f t="shared" si="15"/>
        <v>0</v>
      </c>
      <c r="AB928" s="2">
        <f t="shared" si="16"/>
      </c>
      <c r="AC928" s="2">
        <f t="shared" si="17"/>
      </c>
      <c r="AD928" s="2">
        <f t="shared" si="18"/>
      </c>
      <c r="AE928" s="2">
        <f t="shared" si="19"/>
      </c>
      <c r="AF928" s="2">
        <f t="shared" si="20"/>
      </c>
      <c r="AG928" s="2">
        <f t="shared" si="21"/>
      </c>
      <c r="AH928" s="2">
        <f t="shared" si="22"/>
      </c>
      <c r="AI928" s="2">
        <f t="shared" si="23"/>
      </c>
      <c r="AJ928" s="2">
        <f t="shared" si="24"/>
        <v>0</v>
      </c>
      <c r="AK928" s="2">
        <f t="shared" si="25"/>
        <v>0</v>
      </c>
      <c r="AL928" s="2">
        <f t="shared" si="26"/>
        <v>0</v>
      </c>
      <c r="AM928" s="2">
        <f t="shared" si="27"/>
        <v>0</v>
      </c>
      <c r="AN928" s="2">
        <f t="shared" si="28"/>
        <v>0</v>
      </c>
      <c r="AO928" s="2">
        <f t="shared" si="29"/>
      </c>
      <c r="AP928" s="2">
        <f t="shared" si="30"/>
      </c>
      <c r="AQ928" s="2">
        <f t="shared" si="31"/>
      </c>
    </row>
    <row r="929">
      <c r="A929" s="43">
        <f t="shared" si="3"/>
      </c>
      <c r="B929" s="44" t="n"/>
      <c r="C929" s="45" t="n"/>
      <c r="D929" s="46" t="n"/>
      <c r="E929" s="47" t="n"/>
      <c r="F929" s="47" t="n"/>
      <c r="G929" s="48">
        <f t="shared" si="4"/>
      </c>
      <c r="H929" s="43">
        <f t="shared" si="0"/>
      </c>
      <c r="I929" s="43">
        <f t="shared" si="5"/>
      </c>
      <c r="J929" s="43">
        <f t="shared" si="1"/>
      </c>
      <c r="K929" s="49">
        <f t="shared" si="2"/>
      </c>
      <c r="L929" s="45" t="n"/>
      <c r="M929" s="45" t="n"/>
      <c r="N929" s="45" t="n"/>
      <c r="O929" s="45" t="n"/>
      <c r="P929" s="50" t="n"/>
      <c r="R929" s="2">
        <f t="shared" si="6"/>
        <v>0</v>
      </c>
      <c r="S929" s="2">
        <f t="shared" si="7"/>
      </c>
      <c r="T929" s="2">
        <f t="shared" si="8"/>
      </c>
      <c r="U929" s="2">
        <f t="shared" si="9"/>
      </c>
      <c r="V929" s="2">
        <f t="shared" si="10"/>
      </c>
      <c r="W929" s="2">
        <f t="shared" si="11"/>
      </c>
      <c r="X929" s="2">
        <f t="shared" si="12"/>
      </c>
      <c r="Y929" s="2">
        <f t="shared" si="13"/>
        <v>0</v>
      </c>
      <c r="Z929" s="2">
        <f t="shared" si="14"/>
      </c>
      <c r="AA929" s="2">
        <f t="shared" si="15"/>
        <v>0</v>
      </c>
      <c r="AB929" s="2">
        <f t="shared" si="16"/>
      </c>
      <c r="AC929" s="2">
        <f t="shared" si="17"/>
      </c>
      <c r="AD929" s="2">
        <f t="shared" si="18"/>
      </c>
      <c r="AE929" s="2">
        <f t="shared" si="19"/>
      </c>
      <c r="AF929" s="2">
        <f t="shared" si="20"/>
      </c>
      <c r="AG929" s="2">
        <f t="shared" si="21"/>
      </c>
      <c r="AH929" s="2">
        <f t="shared" si="22"/>
      </c>
      <c r="AI929" s="2">
        <f t="shared" si="23"/>
      </c>
      <c r="AJ929" s="2">
        <f t="shared" si="24"/>
        <v>0</v>
      </c>
      <c r="AK929" s="2">
        <f t="shared" si="25"/>
        <v>0</v>
      </c>
      <c r="AL929" s="2">
        <f t="shared" si="26"/>
        <v>0</v>
      </c>
      <c r="AM929" s="2">
        <f t="shared" si="27"/>
        <v>0</v>
      </c>
      <c r="AN929" s="2">
        <f t="shared" si="28"/>
        <v>0</v>
      </c>
      <c r="AO929" s="2">
        <f t="shared" si="29"/>
      </c>
      <c r="AP929" s="2">
        <f t="shared" si="30"/>
      </c>
      <c r="AQ929" s="2">
        <f t="shared" si="31"/>
      </c>
    </row>
    <row r="930">
      <c r="A930" s="43">
        <f t="shared" si="3"/>
      </c>
      <c r="B930" s="44" t="n"/>
      <c r="C930" s="45" t="n"/>
      <c r="D930" s="46" t="n"/>
      <c r="E930" s="47" t="n"/>
      <c r="F930" s="47" t="n"/>
      <c r="G930" s="48">
        <f t="shared" si="4"/>
      </c>
      <c r="H930" s="43">
        <f t="shared" si="0"/>
      </c>
      <c r="I930" s="43">
        <f t="shared" si="5"/>
      </c>
      <c r="J930" s="43">
        <f t="shared" si="1"/>
      </c>
      <c r="K930" s="49">
        <f t="shared" si="2"/>
      </c>
      <c r="L930" s="45" t="n"/>
      <c r="M930" s="45" t="n"/>
      <c r="N930" s="45" t="n"/>
      <c r="O930" s="45" t="n"/>
      <c r="P930" s="50" t="n"/>
      <c r="R930" s="2">
        <f t="shared" si="6"/>
        <v>0</v>
      </c>
      <c r="S930" s="2">
        <f t="shared" si="7"/>
      </c>
      <c r="T930" s="2">
        <f t="shared" si="8"/>
      </c>
      <c r="U930" s="2">
        <f t="shared" si="9"/>
      </c>
      <c r="V930" s="2">
        <f t="shared" si="10"/>
      </c>
      <c r="W930" s="2">
        <f t="shared" si="11"/>
      </c>
      <c r="X930" s="2">
        <f t="shared" si="12"/>
      </c>
      <c r="Y930" s="2">
        <f t="shared" si="13"/>
        <v>0</v>
      </c>
      <c r="Z930" s="2">
        <f t="shared" si="14"/>
      </c>
      <c r="AA930" s="2">
        <f t="shared" si="15"/>
        <v>0</v>
      </c>
      <c r="AB930" s="2">
        <f t="shared" si="16"/>
      </c>
      <c r="AC930" s="2">
        <f t="shared" si="17"/>
      </c>
      <c r="AD930" s="2">
        <f t="shared" si="18"/>
      </c>
      <c r="AE930" s="2">
        <f t="shared" si="19"/>
      </c>
      <c r="AF930" s="2">
        <f t="shared" si="20"/>
      </c>
      <c r="AG930" s="2">
        <f t="shared" si="21"/>
      </c>
      <c r="AH930" s="2">
        <f t="shared" si="22"/>
      </c>
      <c r="AI930" s="2">
        <f t="shared" si="23"/>
      </c>
      <c r="AJ930" s="2">
        <f t="shared" si="24"/>
        <v>0</v>
      </c>
      <c r="AK930" s="2">
        <f t="shared" si="25"/>
        <v>0</v>
      </c>
      <c r="AL930" s="2">
        <f t="shared" si="26"/>
        <v>0</v>
      </c>
      <c r="AM930" s="2">
        <f t="shared" si="27"/>
        <v>0</v>
      </c>
      <c r="AN930" s="2">
        <f t="shared" si="28"/>
        <v>0</v>
      </c>
      <c r="AO930" s="2">
        <f t="shared" si="29"/>
      </c>
      <c r="AP930" s="2">
        <f t="shared" si="30"/>
      </c>
      <c r="AQ930" s="2">
        <f t="shared" si="31"/>
      </c>
    </row>
    <row r="931">
      <c r="A931" s="43">
        <f t="shared" si="3"/>
      </c>
      <c r="B931" s="44" t="n"/>
      <c r="C931" s="45" t="n"/>
      <c r="D931" s="46" t="n"/>
      <c r="E931" s="47" t="n"/>
      <c r="F931" s="47" t="n"/>
      <c r="G931" s="48">
        <f t="shared" si="4"/>
      </c>
      <c r="H931" s="43">
        <f t="shared" si="0"/>
      </c>
      <c r="I931" s="43">
        <f t="shared" si="5"/>
      </c>
      <c r="J931" s="43">
        <f t="shared" si="1"/>
      </c>
      <c r="K931" s="49">
        <f t="shared" si="2"/>
      </c>
      <c r="L931" s="45" t="n"/>
      <c r="M931" s="45" t="n"/>
      <c r="N931" s="45" t="n"/>
      <c r="O931" s="45" t="n"/>
      <c r="P931" s="50" t="n"/>
      <c r="R931" s="2">
        <f t="shared" si="6"/>
        <v>0</v>
      </c>
      <c r="S931" s="2">
        <f t="shared" si="7"/>
      </c>
      <c r="T931" s="2">
        <f t="shared" si="8"/>
      </c>
      <c r="U931" s="2">
        <f t="shared" si="9"/>
      </c>
      <c r="V931" s="2">
        <f t="shared" si="10"/>
      </c>
      <c r="W931" s="2">
        <f t="shared" si="11"/>
      </c>
      <c r="X931" s="2">
        <f t="shared" si="12"/>
      </c>
      <c r="Y931" s="2">
        <f t="shared" si="13"/>
        <v>0</v>
      </c>
      <c r="Z931" s="2">
        <f t="shared" si="14"/>
      </c>
      <c r="AA931" s="2">
        <f t="shared" si="15"/>
        <v>0</v>
      </c>
      <c r="AB931" s="2">
        <f t="shared" si="16"/>
      </c>
      <c r="AC931" s="2">
        <f t="shared" si="17"/>
      </c>
      <c r="AD931" s="2">
        <f t="shared" si="18"/>
      </c>
      <c r="AE931" s="2">
        <f t="shared" si="19"/>
      </c>
      <c r="AF931" s="2">
        <f t="shared" si="20"/>
      </c>
      <c r="AG931" s="2">
        <f t="shared" si="21"/>
      </c>
      <c r="AH931" s="2">
        <f t="shared" si="22"/>
      </c>
      <c r="AI931" s="2">
        <f t="shared" si="23"/>
      </c>
      <c r="AJ931" s="2">
        <f t="shared" si="24"/>
        <v>0</v>
      </c>
      <c r="AK931" s="2">
        <f t="shared" si="25"/>
        <v>0</v>
      </c>
      <c r="AL931" s="2">
        <f t="shared" si="26"/>
        <v>0</v>
      </c>
      <c r="AM931" s="2">
        <f t="shared" si="27"/>
        <v>0</v>
      </c>
      <c r="AN931" s="2">
        <f t="shared" si="28"/>
        <v>0</v>
      </c>
      <c r="AO931" s="2">
        <f t="shared" si="29"/>
      </c>
      <c r="AP931" s="2">
        <f t="shared" si="30"/>
      </c>
      <c r="AQ931" s="2">
        <f t="shared" si="31"/>
      </c>
    </row>
    <row r="932">
      <c r="A932" s="43">
        <f t="shared" si="3"/>
      </c>
      <c r="B932" s="44" t="n"/>
      <c r="C932" s="45" t="n"/>
      <c r="D932" s="46" t="n"/>
      <c r="E932" s="47" t="n"/>
      <c r="F932" s="47" t="n"/>
      <c r="G932" s="48">
        <f t="shared" si="4"/>
      </c>
      <c r="H932" s="43">
        <f t="shared" si="0"/>
      </c>
      <c r="I932" s="43">
        <f t="shared" si="5"/>
      </c>
      <c r="J932" s="43">
        <f t="shared" si="1"/>
      </c>
      <c r="K932" s="49">
        <f t="shared" si="2"/>
      </c>
      <c r="L932" s="45" t="n"/>
      <c r="M932" s="45" t="n"/>
      <c r="N932" s="45" t="n"/>
      <c r="O932" s="45" t="n"/>
      <c r="P932" s="50" t="n"/>
      <c r="R932" s="2">
        <f t="shared" si="6"/>
        <v>0</v>
      </c>
      <c r="S932" s="2">
        <f t="shared" si="7"/>
      </c>
      <c r="T932" s="2">
        <f t="shared" si="8"/>
      </c>
      <c r="U932" s="2">
        <f t="shared" si="9"/>
      </c>
      <c r="V932" s="2">
        <f t="shared" si="10"/>
      </c>
      <c r="W932" s="2">
        <f t="shared" si="11"/>
      </c>
      <c r="X932" s="2">
        <f t="shared" si="12"/>
      </c>
      <c r="Y932" s="2">
        <f t="shared" si="13"/>
        <v>0</v>
      </c>
      <c r="Z932" s="2">
        <f t="shared" si="14"/>
      </c>
      <c r="AA932" s="2">
        <f t="shared" si="15"/>
        <v>0</v>
      </c>
      <c r="AB932" s="2">
        <f t="shared" si="16"/>
      </c>
      <c r="AC932" s="2">
        <f t="shared" si="17"/>
      </c>
      <c r="AD932" s="2">
        <f t="shared" si="18"/>
      </c>
      <c r="AE932" s="2">
        <f t="shared" si="19"/>
      </c>
      <c r="AF932" s="2">
        <f t="shared" si="20"/>
      </c>
      <c r="AG932" s="2">
        <f t="shared" si="21"/>
      </c>
      <c r="AH932" s="2">
        <f t="shared" si="22"/>
      </c>
      <c r="AI932" s="2">
        <f t="shared" si="23"/>
      </c>
      <c r="AJ932" s="2">
        <f t="shared" si="24"/>
        <v>0</v>
      </c>
      <c r="AK932" s="2">
        <f t="shared" si="25"/>
        <v>0</v>
      </c>
      <c r="AL932" s="2">
        <f t="shared" si="26"/>
        <v>0</v>
      </c>
      <c r="AM932" s="2">
        <f t="shared" si="27"/>
        <v>0</v>
      </c>
      <c r="AN932" s="2">
        <f t="shared" si="28"/>
        <v>0</v>
      </c>
      <c r="AO932" s="2">
        <f t="shared" si="29"/>
      </c>
      <c r="AP932" s="2">
        <f t="shared" si="30"/>
      </c>
      <c r="AQ932" s="2">
        <f t="shared" si="31"/>
      </c>
    </row>
    <row r="933">
      <c r="A933" s="43">
        <f t="shared" si="3"/>
      </c>
      <c r="B933" s="44" t="n"/>
      <c r="C933" s="45" t="n"/>
      <c r="D933" s="46" t="n"/>
      <c r="E933" s="47" t="n"/>
      <c r="F933" s="47" t="n"/>
      <c r="G933" s="48">
        <f t="shared" si="4"/>
      </c>
      <c r="H933" s="43">
        <f t="shared" si="0"/>
      </c>
      <c r="I933" s="43">
        <f t="shared" si="5"/>
      </c>
      <c r="J933" s="43">
        <f t="shared" si="1"/>
      </c>
      <c r="K933" s="49">
        <f t="shared" si="2"/>
      </c>
      <c r="L933" s="45" t="n"/>
      <c r="M933" s="45" t="n"/>
      <c r="N933" s="45" t="n"/>
      <c r="O933" s="45" t="n"/>
      <c r="P933" s="50" t="n"/>
      <c r="R933" s="2">
        <f t="shared" si="6"/>
        <v>0</v>
      </c>
      <c r="S933" s="2">
        <f t="shared" si="7"/>
      </c>
      <c r="T933" s="2">
        <f t="shared" si="8"/>
      </c>
      <c r="U933" s="2">
        <f t="shared" si="9"/>
      </c>
      <c r="V933" s="2">
        <f t="shared" si="10"/>
      </c>
      <c r="W933" s="2">
        <f t="shared" si="11"/>
      </c>
      <c r="X933" s="2">
        <f t="shared" si="12"/>
      </c>
      <c r="Y933" s="2">
        <f t="shared" si="13"/>
        <v>0</v>
      </c>
      <c r="Z933" s="2">
        <f t="shared" si="14"/>
      </c>
      <c r="AA933" s="2">
        <f t="shared" si="15"/>
        <v>0</v>
      </c>
      <c r="AB933" s="2">
        <f t="shared" si="16"/>
      </c>
      <c r="AC933" s="2">
        <f t="shared" si="17"/>
      </c>
      <c r="AD933" s="2">
        <f t="shared" si="18"/>
      </c>
      <c r="AE933" s="2">
        <f t="shared" si="19"/>
      </c>
      <c r="AF933" s="2">
        <f t="shared" si="20"/>
      </c>
      <c r="AG933" s="2">
        <f t="shared" si="21"/>
      </c>
      <c r="AH933" s="2">
        <f t="shared" si="22"/>
      </c>
      <c r="AI933" s="2">
        <f t="shared" si="23"/>
      </c>
      <c r="AJ933" s="2">
        <f t="shared" si="24"/>
        <v>0</v>
      </c>
      <c r="AK933" s="2">
        <f t="shared" si="25"/>
        <v>0</v>
      </c>
      <c r="AL933" s="2">
        <f t="shared" si="26"/>
        <v>0</v>
      </c>
      <c r="AM933" s="2">
        <f t="shared" si="27"/>
        <v>0</v>
      </c>
      <c r="AN933" s="2">
        <f t="shared" si="28"/>
        <v>0</v>
      </c>
      <c r="AO933" s="2">
        <f t="shared" si="29"/>
      </c>
      <c r="AP933" s="2">
        <f t="shared" si="30"/>
      </c>
      <c r="AQ933" s="2">
        <f t="shared" si="31"/>
      </c>
    </row>
    <row r="934">
      <c r="A934" s="43">
        <f t="shared" si="3"/>
      </c>
      <c r="B934" s="44" t="n"/>
      <c r="C934" s="45" t="n"/>
      <c r="D934" s="46" t="n"/>
      <c r="E934" s="47" t="n"/>
      <c r="F934" s="47" t="n"/>
      <c r="G934" s="48">
        <f t="shared" si="4"/>
      </c>
      <c r="H934" s="43">
        <f t="shared" si="0"/>
      </c>
      <c r="I934" s="43">
        <f t="shared" si="5"/>
      </c>
      <c r="J934" s="43">
        <f t="shared" si="1"/>
      </c>
      <c r="K934" s="49">
        <f t="shared" si="2"/>
      </c>
      <c r="L934" s="45" t="n"/>
      <c r="M934" s="45" t="n"/>
      <c r="N934" s="45" t="n"/>
      <c r="O934" s="45" t="n"/>
      <c r="P934" s="50" t="n"/>
      <c r="R934" s="2">
        <f t="shared" si="6"/>
        <v>0</v>
      </c>
      <c r="S934" s="2">
        <f t="shared" si="7"/>
      </c>
      <c r="T934" s="2">
        <f t="shared" si="8"/>
      </c>
      <c r="U934" s="2">
        <f t="shared" si="9"/>
      </c>
      <c r="V934" s="2">
        <f t="shared" si="10"/>
      </c>
      <c r="W934" s="2">
        <f t="shared" si="11"/>
      </c>
      <c r="X934" s="2">
        <f t="shared" si="12"/>
      </c>
      <c r="Y934" s="2">
        <f t="shared" si="13"/>
        <v>0</v>
      </c>
      <c r="Z934" s="2">
        <f t="shared" si="14"/>
      </c>
      <c r="AA934" s="2">
        <f t="shared" si="15"/>
        <v>0</v>
      </c>
      <c r="AB934" s="2">
        <f t="shared" si="16"/>
      </c>
      <c r="AC934" s="2">
        <f t="shared" si="17"/>
      </c>
      <c r="AD934" s="2">
        <f t="shared" si="18"/>
      </c>
      <c r="AE934" s="2">
        <f t="shared" si="19"/>
      </c>
      <c r="AF934" s="2">
        <f t="shared" si="20"/>
      </c>
      <c r="AG934" s="2">
        <f t="shared" si="21"/>
      </c>
      <c r="AH934" s="2">
        <f t="shared" si="22"/>
      </c>
      <c r="AI934" s="2">
        <f t="shared" si="23"/>
      </c>
      <c r="AJ934" s="2">
        <f t="shared" si="24"/>
        <v>0</v>
      </c>
      <c r="AK934" s="2">
        <f t="shared" si="25"/>
        <v>0</v>
      </c>
      <c r="AL934" s="2">
        <f t="shared" si="26"/>
        <v>0</v>
      </c>
      <c r="AM934" s="2">
        <f t="shared" si="27"/>
        <v>0</v>
      </c>
      <c r="AN934" s="2">
        <f t="shared" si="28"/>
        <v>0</v>
      </c>
      <c r="AO934" s="2">
        <f t="shared" si="29"/>
      </c>
      <c r="AP934" s="2">
        <f t="shared" si="30"/>
      </c>
      <c r="AQ934" s="2">
        <f t="shared" si="31"/>
      </c>
    </row>
    <row r="935">
      <c r="A935" s="43">
        <f t="shared" si="3"/>
      </c>
      <c r="B935" s="44" t="n"/>
      <c r="C935" s="45" t="n"/>
      <c r="D935" s="46" t="n"/>
      <c r="E935" s="47" t="n"/>
      <c r="F935" s="47" t="n"/>
      <c r="G935" s="48">
        <f t="shared" si="4"/>
      </c>
      <c r="H935" s="43">
        <f t="shared" si="0"/>
      </c>
      <c r="I935" s="43">
        <f t="shared" si="5"/>
      </c>
      <c r="J935" s="43">
        <f t="shared" si="1"/>
      </c>
      <c r="K935" s="49">
        <f t="shared" si="2"/>
      </c>
      <c r="L935" s="45" t="n"/>
      <c r="M935" s="45" t="n"/>
      <c r="N935" s="45" t="n"/>
      <c r="O935" s="45" t="n"/>
      <c r="P935" s="50" t="n"/>
      <c r="R935" s="2">
        <f t="shared" si="6"/>
        <v>0</v>
      </c>
      <c r="S935" s="2">
        <f t="shared" si="7"/>
      </c>
      <c r="T935" s="2">
        <f t="shared" si="8"/>
      </c>
      <c r="U935" s="2">
        <f t="shared" si="9"/>
      </c>
      <c r="V935" s="2">
        <f t="shared" si="10"/>
      </c>
      <c r="W935" s="2">
        <f t="shared" si="11"/>
      </c>
      <c r="X935" s="2">
        <f t="shared" si="12"/>
      </c>
      <c r="Y935" s="2">
        <f t="shared" si="13"/>
        <v>0</v>
      </c>
      <c r="Z935" s="2">
        <f t="shared" si="14"/>
      </c>
      <c r="AA935" s="2">
        <f t="shared" si="15"/>
        <v>0</v>
      </c>
      <c r="AB935" s="2">
        <f t="shared" si="16"/>
      </c>
      <c r="AC935" s="2">
        <f t="shared" si="17"/>
      </c>
      <c r="AD935" s="2">
        <f t="shared" si="18"/>
      </c>
      <c r="AE935" s="2">
        <f t="shared" si="19"/>
      </c>
      <c r="AF935" s="2">
        <f t="shared" si="20"/>
      </c>
      <c r="AG935" s="2">
        <f t="shared" si="21"/>
      </c>
      <c r="AH935" s="2">
        <f t="shared" si="22"/>
      </c>
      <c r="AI935" s="2">
        <f t="shared" si="23"/>
      </c>
      <c r="AJ935" s="2">
        <f t="shared" si="24"/>
        <v>0</v>
      </c>
      <c r="AK935" s="2">
        <f t="shared" si="25"/>
        <v>0</v>
      </c>
      <c r="AL935" s="2">
        <f t="shared" si="26"/>
        <v>0</v>
      </c>
      <c r="AM935" s="2">
        <f t="shared" si="27"/>
        <v>0</v>
      </c>
      <c r="AN935" s="2">
        <f t="shared" si="28"/>
        <v>0</v>
      </c>
      <c r="AO935" s="2">
        <f t="shared" si="29"/>
      </c>
      <c r="AP935" s="2">
        <f t="shared" si="30"/>
      </c>
      <c r="AQ935" s="2">
        <f t="shared" si="31"/>
      </c>
    </row>
    <row r="936">
      <c r="A936" s="43">
        <f t="shared" si="3"/>
      </c>
      <c r="B936" s="44" t="n"/>
      <c r="C936" s="45" t="n"/>
      <c r="D936" s="46" t="n"/>
      <c r="E936" s="47" t="n"/>
      <c r="F936" s="47" t="n"/>
      <c r="G936" s="48">
        <f t="shared" si="4"/>
      </c>
      <c r="H936" s="43">
        <f t="shared" si="0"/>
      </c>
      <c r="I936" s="43">
        <f t="shared" si="5"/>
      </c>
      <c r="J936" s="43">
        <f t="shared" si="1"/>
      </c>
      <c r="K936" s="49">
        <f t="shared" si="2"/>
      </c>
      <c r="L936" s="45" t="n"/>
      <c r="M936" s="45" t="n"/>
      <c r="N936" s="45" t="n"/>
      <c r="O936" s="45" t="n"/>
      <c r="P936" s="50" t="n"/>
      <c r="R936" s="2">
        <f t="shared" si="6"/>
        <v>0</v>
      </c>
      <c r="S936" s="2">
        <f t="shared" si="7"/>
      </c>
      <c r="T936" s="2">
        <f t="shared" si="8"/>
      </c>
      <c r="U936" s="2">
        <f t="shared" si="9"/>
      </c>
      <c r="V936" s="2">
        <f t="shared" si="10"/>
      </c>
      <c r="W936" s="2">
        <f t="shared" si="11"/>
      </c>
      <c r="X936" s="2">
        <f t="shared" si="12"/>
      </c>
      <c r="Y936" s="2">
        <f t="shared" si="13"/>
        <v>0</v>
      </c>
      <c r="Z936" s="2">
        <f t="shared" si="14"/>
      </c>
      <c r="AA936" s="2">
        <f t="shared" si="15"/>
        <v>0</v>
      </c>
      <c r="AB936" s="2">
        <f t="shared" si="16"/>
      </c>
      <c r="AC936" s="2">
        <f t="shared" si="17"/>
      </c>
      <c r="AD936" s="2">
        <f t="shared" si="18"/>
      </c>
      <c r="AE936" s="2">
        <f t="shared" si="19"/>
      </c>
      <c r="AF936" s="2">
        <f t="shared" si="20"/>
      </c>
      <c r="AG936" s="2">
        <f t="shared" si="21"/>
      </c>
      <c r="AH936" s="2">
        <f t="shared" si="22"/>
      </c>
      <c r="AI936" s="2">
        <f t="shared" si="23"/>
      </c>
      <c r="AJ936" s="2">
        <f t="shared" si="24"/>
        <v>0</v>
      </c>
      <c r="AK936" s="2">
        <f t="shared" si="25"/>
        <v>0</v>
      </c>
      <c r="AL936" s="2">
        <f t="shared" si="26"/>
        <v>0</v>
      </c>
      <c r="AM936" s="2">
        <f t="shared" si="27"/>
        <v>0</v>
      </c>
      <c r="AN936" s="2">
        <f t="shared" si="28"/>
        <v>0</v>
      </c>
      <c r="AO936" s="2">
        <f t="shared" si="29"/>
      </c>
      <c r="AP936" s="2">
        <f t="shared" si="30"/>
      </c>
      <c r="AQ936" s="2">
        <f t="shared" si="31"/>
      </c>
    </row>
    <row r="937">
      <c r="A937" s="43">
        <f t="shared" si="3"/>
      </c>
      <c r="B937" s="44" t="n"/>
      <c r="C937" s="45" t="n"/>
      <c r="D937" s="46" t="n"/>
      <c r="E937" s="47" t="n"/>
      <c r="F937" s="47" t="n"/>
      <c r="G937" s="48">
        <f t="shared" si="4"/>
      </c>
      <c r="H937" s="43">
        <f t="shared" si="0"/>
      </c>
      <c r="I937" s="43">
        <f t="shared" si="5"/>
      </c>
      <c r="J937" s="43">
        <f t="shared" si="1"/>
      </c>
      <c r="K937" s="49">
        <f t="shared" si="2"/>
      </c>
      <c r="L937" s="45" t="n"/>
      <c r="M937" s="45" t="n"/>
      <c r="N937" s="45" t="n"/>
      <c r="O937" s="45" t="n"/>
      <c r="P937" s="50" t="n"/>
      <c r="R937" s="2">
        <f t="shared" si="6"/>
        <v>0</v>
      </c>
      <c r="S937" s="2">
        <f t="shared" si="7"/>
      </c>
      <c r="T937" s="2">
        <f t="shared" si="8"/>
      </c>
      <c r="U937" s="2">
        <f t="shared" si="9"/>
      </c>
      <c r="V937" s="2">
        <f t="shared" si="10"/>
      </c>
      <c r="W937" s="2">
        <f t="shared" si="11"/>
      </c>
      <c r="X937" s="2">
        <f t="shared" si="12"/>
      </c>
      <c r="Y937" s="2">
        <f t="shared" si="13"/>
        <v>0</v>
      </c>
      <c r="Z937" s="2">
        <f t="shared" si="14"/>
      </c>
      <c r="AA937" s="2">
        <f t="shared" si="15"/>
        <v>0</v>
      </c>
      <c r="AB937" s="2">
        <f t="shared" si="16"/>
      </c>
      <c r="AC937" s="2">
        <f t="shared" si="17"/>
      </c>
      <c r="AD937" s="2">
        <f t="shared" si="18"/>
      </c>
      <c r="AE937" s="2">
        <f t="shared" si="19"/>
      </c>
      <c r="AF937" s="2">
        <f t="shared" si="20"/>
      </c>
      <c r="AG937" s="2">
        <f t="shared" si="21"/>
      </c>
      <c r="AH937" s="2">
        <f t="shared" si="22"/>
      </c>
      <c r="AI937" s="2">
        <f t="shared" si="23"/>
      </c>
      <c r="AJ937" s="2">
        <f t="shared" si="24"/>
        <v>0</v>
      </c>
      <c r="AK937" s="2">
        <f t="shared" si="25"/>
        <v>0</v>
      </c>
      <c r="AL937" s="2">
        <f t="shared" si="26"/>
        <v>0</v>
      </c>
      <c r="AM937" s="2">
        <f t="shared" si="27"/>
        <v>0</v>
      </c>
      <c r="AN937" s="2">
        <f t="shared" si="28"/>
        <v>0</v>
      </c>
      <c r="AO937" s="2">
        <f t="shared" si="29"/>
      </c>
      <c r="AP937" s="2">
        <f t="shared" si="30"/>
      </c>
      <c r="AQ937" s="2">
        <f t="shared" si="31"/>
      </c>
    </row>
    <row r="938">
      <c r="A938" s="43">
        <f t="shared" si="3"/>
      </c>
      <c r="B938" s="44" t="n"/>
      <c r="C938" s="45" t="n"/>
      <c r="D938" s="46" t="n"/>
      <c r="E938" s="47" t="n"/>
      <c r="F938" s="47" t="n"/>
      <c r="G938" s="48">
        <f t="shared" si="4"/>
      </c>
      <c r="H938" s="43">
        <f t="shared" si="0"/>
      </c>
      <c r="I938" s="43">
        <f t="shared" si="5"/>
      </c>
      <c r="J938" s="43">
        <f t="shared" si="1"/>
      </c>
      <c r="K938" s="49">
        <f t="shared" si="2"/>
      </c>
      <c r="L938" s="45" t="n"/>
      <c r="M938" s="45" t="n"/>
      <c r="N938" s="45" t="n"/>
      <c r="O938" s="45" t="n"/>
      <c r="P938" s="50" t="n"/>
      <c r="R938" s="2">
        <f t="shared" si="6"/>
        <v>0</v>
      </c>
      <c r="S938" s="2">
        <f t="shared" si="7"/>
      </c>
      <c r="T938" s="2">
        <f t="shared" si="8"/>
      </c>
      <c r="U938" s="2">
        <f t="shared" si="9"/>
      </c>
      <c r="V938" s="2">
        <f t="shared" si="10"/>
      </c>
      <c r="W938" s="2">
        <f t="shared" si="11"/>
      </c>
      <c r="X938" s="2">
        <f t="shared" si="12"/>
      </c>
      <c r="Y938" s="2">
        <f t="shared" si="13"/>
        <v>0</v>
      </c>
      <c r="Z938" s="2">
        <f t="shared" si="14"/>
      </c>
      <c r="AA938" s="2">
        <f t="shared" si="15"/>
        <v>0</v>
      </c>
      <c r="AB938" s="2">
        <f t="shared" si="16"/>
      </c>
      <c r="AC938" s="2">
        <f t="shared" si="17"/>
      </c>
      <c r="AD938" s="2">
        <f t="shared" si="18"/>
      </c>
      <c r="AE938" s="2">
        <f t="shared" si="19"/>
      </c>
      <c r="AF938" s="2">
        <f t="shared" si="20"/>
      </c>
      <c r="AG938" s="2">
        <f t="shared" si="21"/>
      </c>
      <c r="AH938" s="2">
        <f t="shared" si="22"/>
      </c>
      <c r="AI938" s="2">
        <f t="shared" si="23"/>
      </c>
      <c r="AJ938" s="2">
        <f t="shared" si="24"/>
        <v>0</v>
      </c>
      <c r="AK938" s="2">
        <f t="shared" si="25"/>
        <v>0</v>
      </c>
      <c r="AL938" s="2">
        <f t="shared" si="26"/>
        <v>0</v>
      </c>
      <c r="AM938" s="2">
        <f t="shared" si="27"/>
        <v>0</v>
      </c>
      <c r="AN938" s="2">
        <f t="shared" si="28"/>
        <v>0</v>
      </c>
      <c r="AO938" s="2">
        <f t="shared" si="29"/>
      </c>
      <c r="AP938" s="2">
        <f t="shared" si="30"/>
      </c>
      <c r="AQ938" s="2">
        <f t="shared" si="31"/>
      </c>
    </row>
    <row r="939">
      <c r="A939" s="43">
        <f t="shared" si="3"/>
      </c>
      <c r="B939" s="44" t="n"/>
      <c r="C939" s="45" t="n"/>
      <c r="D939" s="46" t="n"/>
      <c r="E939" s="47" t="n"/>
      <c r="F939" s="47" t="n"/>
      <c r="G939" s="48">
        <f t="shared" si="4"/>
      </c>
      <c r="H939" s="43">
        <f t="shared" si="0"/>
      </c>
      <c r="I939" s="43">
        <f t="shared" si="5"/>
      </c>
      <c r="J939" s="43">
        <f t="shared" si="1"/>
      </c>
      <c r="K939" s="49">
        <f t="shared" si="2"/>
      </c>
      <c r="L939" s="45" t="n"/>
      <c r="M939" s="45" t="n"/>
      <c r="N939" s="45" t="n"/>
      <c r="O939" s="45" t="n"/>
      <c r="P939" s="50" t="n"/>
      <c r="R939" s="2">
        <f t="shared" si="6"/>
        <v>0</v>
      </c>
      <c r="S939" s="2">
        <f t="shared" si="7"/>
      </c>
      <c r="T939" s="2">
        <f t="shared" si="8"/>
      </c>
      <c r="U939" s="2">
        <f t="shared" si="9"/>
      </c>
      <c r="V939" s="2">
        <f t="shared" si="10"/>
      </c>
      <c r="W939" s="2">
        <f t="shared" si="11"/>
      </c>
      <c r="X939" s="2">
        <f t="shared" si="12"/>
      </c>
      <c r="Y939" s="2">
        <f t="shared" si="13"/>
        <v>0</v>
      </c>
      <c r="Z939" s="2">
        <f t="shared" si="14"/>
      </c>
      <c r="AA939" s="2">
        <f t="shared" si="15"/>
        <v>0</v>
      </c>
      <c r="AB939" s="2">
        <f t="shared" si="16"/>
      </c>
      <c r="AC939" s="2">
        <f t="shared" si="17"/>
      </c>
      <c r="AD939" s="2">
        <f t="shared" si="18"/>
      </c>
      <c r="AE939" s="2">
        <f t="shared" si="19"/>
      </c>
      <c r="AF939" s="2">
        <f t="shared" si="20"/>
      </c>
      <c r="AG939" s="2">
        <f t="shared" si="21"/>
      </c>
      <c r="AH939" s="2">
        <f t="shared" si="22"/>
      </c>
      <c r="AI939" s="2">
        <f t="shared" si="23"/>
      </c>
      <c r="AJ939" s="2">
        <f t="shared" si="24"/>
        <v>0</v>
      </c>
      <c r="AK939" s="2">
        <f t="shared" si="25"/>
        <v>0</v>
      </c>
      <c r="AL939" s="2">
        <f t="shared" si="26"/>
        <v>0</v>
      </c>
      <c r="AM939" s="2">
        <f t="shared" si="27"/>
        <v>0</v>
      </c>
      <c r="AN939" s="2">
        <f t="shared" si="28"/>
        <v>0</v>
      </c>
      <c r="AO939" s="2">
        <f t="shared" si="29"/>
      </c>
      <c r="AP939" s="2">
        <f t="shared" si="30"/>
      </c>
      <c r="AQ939" s="2">
        <f t="shared" si="31"/>
      </c>
    </row>
    <row r="940">
      <c r="A940" s="43">
        <f t="shared" si="3"/>
      </c>
      <c r="B940" s="44" t="n"/>
      <c r="C940" s="45" t="n"/>
      <c r="D940" s="46" t="n"/>
      <c r="E940" s="47" t="n"/>
      <c r="F940" s="47" t="n"/>
      <c r="G940" s="48">
        <f t="shared" si="4"/>
      </c>
      <c r="H940" s="43">
        <f t="shared" si="0"/>
      </c>
      <c r="I940" s="43">
        <f t="shared" si="5"/>
      </c>
      <c r="J940" s="43">
        <f t="shared" si="1"/>
      </c>
      <c r="K940" s="49">
        <f t="shared" si="2"/>
      </c>
      <c r="L940" s="45" t="n"/>
      <c r="M940" s="45" t="n"/>
      <c r="N940" s="45" t="n"/>
      <c r="O940" s="45" t="n"/>
      <c r="P940" s="50" t="n"/>
      <c r="R940" s="2">
        <f t="shared" si="6"/>
        <v>0</v>
      </c>
      <c r="S940" s="2">
        <f t="shared" si="7"/>
      </c>
      <c r="T940" s="2">
        <f t="shared" si="8"/>
      </c>
      <c r="U940" s="2">
        <f t="shared" si="9"/>
      </c>
      <c r="V940" s="2">
        <f t="shared" si="10"/>
      </c>
      <c r="W940" s="2">
        <f t="shared" si="11"/>
      </c>
      <c r="X940" s="2">
        <f t="shared" si="12"/>
      </c>
      <c r="Y940" s="2">
        <f t="shared" si="13"/>
        <v>0</v>
      </c>
      <c r="Z940" s="2">
        <f t="shared" si="14"/>
      </c>
      <c r="AA940" s="2">
        <f t="shared" si="15"/>
        <v>0</v>
      </c>
      <c r="AB940" s="2">
        <f t="shared" si="16"/>
      </c>
      <c r="AC940" s="2">
        <f t="shared" si="17"/>
      </c>
      <c r="AD940" s="2">
        <f t="shared" si="18"/>
      </c>
      <c r="AE940" s="2">
        <f t="shared" si="19"/>
      </c>
      <c r="AF940" s="2">
        <f t="shared" si="20"/>
      </c>
      <c r="AG940" s="2">
        <f t="shared" si="21"/>
      </c>
      <c r="AH940" s="2">
        <f t="shared" si="22"/>
      </c>
      <c r="AI940" s="2">
        <f t="shared" si="23"/>
      </c>
      <c r="AJ940" s="2">
        <f t="shared" si="24"/>
        <v>0</v>
      </c>
      <c r="AK940" s="2">
        <f t="shared" si="25"/>
        <v>0</v>
      </c>
      <c r="AL940" s="2">
        <f t="shared" si="26"/>
        <v>0</v>
      </c>
      <c r="AM940" s="2">
        <f t="shared" si="27"/>
        <v>0</v>
      </c>
      <c r="AN940" s="2">
        <f t="shared" si="28"/>
        <v>0</v>
      </c>
      <c r="AO940" s="2">
        <f t="shared" si="29"/>
      </c>
      <c r="AP940" s="2">
        <f t="shared" si="30"/>
      </c>
      <c r="AQ940" s="2">
        <f t="shared" si="31"/>
      </c>
    </row>
    <row r="941">
      <c r="A941" s="43">
        <f t="shared" si="3"/>
      </c>
      <c r="B941" s="44" t="n"/>
      <c r="C941" s="45" t="n"/>
      <c r="D941" s="46" t="n"/>
      <c r="E941" s="47" t="n"/>
      <c r="F941" s="47" t="n"/>
      <c r="G941" s="48">
        <f t="shared" si="4"/>
      </c>
      <c r="H941" s="43">
        <f t="shared" si="0"/>
      </c>
      <c r="I941" s="43">
        <f t="shared" si="5"/>
      </c>
      <c r="J941" s="43">
        <f t="shared" si="1"/>
      </c>
      <c r="K941" s="49">
        <f t="shared" si="2"/>
      </c>
      <c r="L941" s="45" t="n"/>
      <c r="M941" s="45" t="n"/>
      <c r="N941" s="45" t="n"/>
      <c r="O941" s="45" t="n"/>
      <c r="P941" s="50" t="n"/>
      <c r="R941" s="2">
        <f t="shared" si="6"/>
        <v>0</v>
      </c>
      <c r="S941" s="2">
        <f t="shared" si="7"/>
      </c>
      <c r="T941" s="2">
        <f t="shared" si="8"/>
      </c>
      <c r="U941" s="2">
        <f t="shared" si="9"/>
      </c>
      <c r="V941" s="2">
        <f t="shared" si="10"/>
      </c>
      <c r="W941" s="2">
        <f t="shared" si="11"/>
      </c>
      <c r="X941" s="2">
        <f t="shared" si="12"/>
      </c>
      <c r="Y941" s="2">
        <f t="shared" si="13"/>
        <v>0</v>
      </c>
      <c r="Z941" s="2">
        <f t="shared" si="14"/>
      </c>
      <c r="AA941" s="2">
        <f t="shared" si="15"/>
        <v>0</v>
      </c>
      <c r="AB941" s="2">
        <f t="shared" si="16"/>
      </c>
      <c r="AC941" s="2">
        <f t="shared" si="17"/>
      </c>
      <c r="AD941" s="2">
        <f t="shared" si="18"/>
      </c>
      <c r="AE941" s="2">
        <f t="shared" si="19"/>
      </c>
      <c r="AF941" s="2">
        <f t="shared" si="20"/>
      </c>
      <c r="AG941" s="2">
        <f t="shared" si="21"/>
      </c>
      <c r="AH941" s="2">
        <f t="shared" si="22"/>
      </c>
      <c r="AI941" s="2">
        <f t="shared" si="23"/>
      </c>
      <c r="AJ941" s="2">
        <f t="shared" si="24"/>
        <v>0</v>
      </c>
      <c r="AK941" s="2">
        <f t="shared" si="25"/>
        <v>0</v>
      </c>
      <c r="AL941" s="2">
        <f t="shared" si="26"/>
        <v>0</v>
      </c>
      <c r="AM941" s="2">
        <f t="shared" si="27"/>
        <v>0</v>
      </c>
      <c r="AN941" s="2">
        <f t="shared" si="28"/>
        <v>0</v>
      </c>
      <c r="AO941" s="2">
        <f t="shared" si="29"/>
      </c>
      <c r="AP941" s="2">
        <f t="shared" si="30"/>
      </c>
      <c r="AQ941" s="2">
        <f t="shared" si="31"/>
      </c>
    </row>
    <row r="942">
      <c r="A942" s="43">
        <f t="shared" si="3"/>
      </c>
      <c r="B942" s="44" t="n"/>
      <c r="C942" s="45" t="n"/>
      <c r="D942" s="46" t="n"/>
      <c r="E942" s="47" t="n"/>
      <c r="F942" s="47" t="n"/>
      <c r="G942" s="48">
        <f t="shared" si="4"/>
      </c>
      <c r="H942" s="43">
        <f t="shared" si="0"/>
      </c>
      <c r="I942" s="43">
        <f t="shared" si="5"/>
      </c>
      <c r="J942" s="43">
        <f t="shared" si="1"/>
      </c>
      <c r="K942" s="49">
        <f t="shared" si="2"/>
      </c>
      <c r="L942" s="45" t="n"/>
      <c r="M942" s="45" t="n"/>
      <c r="N942" s="45" t="n"/>
      <c r="O942" s="45" t="n"/>
      <c r="P942" s="50" t="n"/>
      <c r="R942" s="2">
        <f t="shared" si="6"/>
        <v>0</v>
      </c>
      <c r="S942" s="2">
        <f t="shared" si="7"/>
      </c>
      <c r="T942" s="2">
        <f t="shared" si="8"/>
      </c>
      <c r="U942" s="2">
        <f t="shared" si="9"/>
      </c>
      <c r="V942" s="2">
        <f t="shared" si="10"/>
      </c>
      <c r="W942" s="2">
        <f t="shared" si="11"/>
      </c>
      <c r="X942" s="2">
        <f t="shared" si="12"/>
      </c>
      <c r="Y942" s="2">
        <f t="shared" si="13"/>
        <v>0</v>
      </c>
      <c r="Z942" s="2">
        <f t="shared" si="14"/>
      </c>
      <c r="AA942" s="2">
        <f t="shared" si="15"/>
        <v>0</v>
      </c>
      <c r="AB942" s="2">
        <f t="shared" si="16"/>
      </c>
      <c r="AC942" s="2">
        <f t="shared" si="17"/>
      </c>
      <c r="AD942" s="2">
        <f t="shared" si="18"/>
      </c>
      <c r="AE942" s="2">
        <f t="shared" si="19"/>
      </c>
      <c r="AF942" s="2">
        <f t="shared" si="20"/>
      </c>
      <c r="AG942" s="2">
        <f t="shared" si="21"/>
      </c>
      <c r="AH942" s="2">
        <f t="shared" si="22"/>
      </c>
      <c r="AI942" s="2">
        <f t="shared" si="23"/>
      </c>
      <c r="AJ942" s="2">
        <f t="shared" si="24"/>
        <v>0</v>
      </c>
      <c r="AK942" s="2">
        <f t="shared" si="25"/>
        <v>0</v>
      </c>
      <c r="AL942" s="2">
        <f t="shared" si="26"/>
        <v>0</v>
      </c>
      <c r="AM942" s="2">
        <f t="shared" si="27"/>
        <v>0</v>
      </c>
      <c r="AN942" s="2">
        <f t="shared" si="28"/>
        <v>0</v>
      </c>
      <c r="AO942" s="2">
        <f t="shared" si="29"/>
      </c>
      <c r="AP942" s="2">
        <f t="shared" si="30"/>
      </c>
      <c r="AQ942" s="2">
        <f t="shared" si="31"/>
      </c>
    </row>
    <row r="943">
      <c r="A943" s="43">
        <f t="shared" si="3"/>
      </c>
      <c r="B943" s="44" t="n"/>
      <c r="C943" s="45" t="n"/>
      <c r="D943" s="46" t="n"/>
      <c r="E943" s="47" t="n"/>
      <c r="F943" s="47" t="n"/>
      <c r="G943" s="48">
        <f t="shared" si="4"/>
      </c>
      <c r="H943" s="43">
        <f t="shared" si="0"/>
      </c>
      <c r="I943" s="43">
        <f t="shared" si="5"/>
      </c>
      <c r="J943" s="43">
        <f t="shared" si="1"/>
      </c>
      <c r="K943" s="49">
        <f t="shared" si="2"/>
      </c>
      <c r="L943" s="45" t="n"/>
      <c r="M943" s="45" t="n"/>
      <c r="N943" s="45" t="n"/>
      <c r="O943" s="45" t="n"/>
      <c r="P943" s="50" t="n"/>
      <c r="R943" s="2">
        <f t="shared" si="6"/>
        <v>0</v>
      </c>
      <c r="S943" s="2">
        <f t="shared" si="7"/>
      </c>
      <c r="T943" s="2">
        <f t="shared" si="8"/>
      </c>
      <c r="U943" s="2">
        <f t="shared" si="9"/>
      </c>
      <c r="V943" s="2">
        <f t="shared" si="10"/>
      </c>
      <c r="W943" s="2">
        <f t="shared" si="11"/>
      </c>
      <c r="X943" s="2">
        <f t="shared" si="12"/>
      </c>
      <c r="Y943" s="2">
        <f t="shared" si="13"/>
        <v>0</v>
      </c>
      <c r="Z943" s="2">
        <f t="shared" si="14"/>
      </c>
      <c r="AA943" s="2">
        <f t="shared" si="15"/>
        <v>0</v>
      </c>
      <c r="AB943" s="2">
        <f t="shared" si="16"/>
      </c>
      <c r="AC943" s="2">
        <f t="shared" si="17"/>
      </c>
      <c r="AD943" s="2">
        <f t="shared" si="18"/>
      </c>
      <c r="AE943" s="2">
        <f t="shared" si="19"/>
      </c>
      <c r="AF943" s="2">
        <f t="shared" si="20"/>
      </c>
      <c r="AG943" s="2">
        <f t="shared" si="21"/>
      </c>
      <c r="AH943" s="2">
        <f t="shared" si="22"/>
      </c>
      <c r="AI943" s="2">
        <f t="shared" si="23"/>
      </c>
      <c r="AJ943" s="2">
        <f t="shared" si="24"/>
        <v>0</v>
      </c>
      <c r="AK943" s="2">
        <f t="shared" si="25"/>
        <v>0</v>
      </c>
      <c r="AL943" s="2">
        <f t="shared" si="26"/>
        <v>0</v>
      </c>
      <c r="AM943" s="2">
        <f t="shared" si="27"/>
        <v>0</v>
      </c>
      <c r="AN943" s="2">
        <f t="shared" si="28"/>
        <v>0</v>
      </c>
      <c r="AO943" s="2">
        <f t="shared" si="29"/>
      </c>
      <c r="AP943" s="2">
        <f t="shared" si="30"/>
      </c>
      <c r="AQ943" s="2">
        <f t="shared" si="31"/>
      </c>
    </row>
    <row r="944">
      <c r="A944" s="43">
        <f t="shared" si="3"/>
      </c>
      <c r="B944" s="44" t="n"/>
      <c r="C944" s="45" t="n"/>
      <c r="D944" s="46" t="n"/>
      <c r="E944" s="47" t="n"/>
      <c r="F944" s="47" t="n"/>
      <c r="G944" s="48">
        <f t="shared" si="4"/>
      </c>
      <c r="H944" s="43">
        <f t="shared" si="0"/>
      </c>
      <c r="I944" s="43">
        <f t="shared" si="5"/>
      </c>
      <c r="J944" s="43">
        <f t="shared" si="1"/>
      </c>
      <c r="K944" s="49">
        <f t="shared" si="2"/>
      </c>
      <c r="L944" s="45" t="n"/>
      <c r="M944" s="45" t="n"/>
      <c r="N944" s="45" t="n"/>
      <c r="O944" s="45" t="n"/>
      <c r="P944" s="50" t="n"/>
      <c r="R944" s="2">
        <f t="shared" si="6"/>
        <v>0</v>
      </c>
      <c r="S944" s="2">
        <f t="shared" si="7"/>
      </c>
      <c r="T944" s="2">
        <f t="shared" si="8"/>
      </c>
      <c r="U944" s="2">
        <f t="shared" si="9"/>
      </c>
      <c r="V944" s="2">
        <f t="shared" si="10"/>
      </c>
      <c r="W944" s="2">
        <f t="shared" si="11"/>
      </c>
      <c r="X944" s="2">
        <f t="shared" si="12"/>
      </c>
      <c r="Y944" s="2">
        <f t="shared" si="13"/>
        <v>0</v>
      </c>
      <c r="Z944" s="2">
        <f t="shared" si="14"/>
      </c>
      <c r="AA944" s="2">
        <f t="shared" si="15"/>
        <v>0</v>
      </c>
      <c r="AB944" s="2">
        <f t="shared" si="16"/>
      </c>
      <c r="AC944" s="2">
        <f t="shared" si="17"/>
      </c>
      <c r="AD944" s="2">
        <f t="shared" si="18"/>
      </c>
      <c r="AE944" s="2">
        <f t="shared" si="19"/>
      </c>
      <c r="AF944" s="2">
        <f t="shared" si="20"/>
      </c>
      <c r="AG944" s="2">
        <f t="shared" si="21"/>
      </c>
      <c r="AH944" s="2">
        <f t="shared" si="22"/>
      </c>
      <c r="AI944" s="2">
        <f t="shared" si="23"/>
      </c>
      <c r="AJ944" s="2">
        <f t="shared" si="24"/>
        <v>0</v>
      </c>
      <c r="AK944" s="2">
        <f t="shared" si="25"/>
        <v>0</v>
      </c>
      <c r="AL944" s="2">
        <f t="shared" si="26"/>
        <v>0</v>
      </c>
      <c r="AM944" s="2">
        <f t="shared" si="27"/>
        <v>0</v>
      </c>
      <c r="AN944" s="2">
        <f t="shared" si="28"/>
        <v>0</v>
      </c>
      <c r="AO944" s="2">
        <f t="shared" si="29"/>
      </c>
      <c r="AP944" s="2">
        <f t="shared" si="30"/>
      </c>
      <c r="AQ944" s="2">
        <f t="shared" si="31"/>
      </c>
    </row>
    <row r="945">
      <c r="A945" s="43">
        <f t="shared" si="3"/>
      </c>
      <c r="B945" s="44" t="n"/>
      <c r="C945" s="45" t="n"/>
      <c r="D945" s="46" t="n"/>
      <c r="E945" s="47" t="n"/>
      <c r="F945" s="47" t="n"/>
      <c r="G945" s="48">
        <f t="shared" si="4"/>
      </c>
      <c r="H945" s="43">
        <f t="shared" si="0"/>
      </c>
      <c r="I945" s="43">
        <f t="shared" si="5"/>
      </c>
      <c r="J945" s="43">
        <f t="shared" si="1"/>
      </c>
      <c r="K945" s="49">
        <f t="shared" si="2"/>
      </c>
      <c r="L945" s="45" t="n"/>
      <c r="M945" s="45" t="n"/>
      <c r="N945" s="45" t="n"/>
      <c r="O945" s="45" t="n"/>
      <c r="P945" s="50" t="n"/>
      <c r="R945" s="2">
        <f t="shared" si="6"/>
        <v>0</v>
      </c>
      <c r="S945" s="2">
        <f t="shared" si="7"/>
      </c>
      <c r="T945" s="2">
        <f t="shared" si="8"/>
      </c>
      <c r="U945" s="2">
        <f t="shared" si="9"/>
      </c>
      <c r="V945" s="2">
        <f t="shared" si="10"/>
      </c>
      <c r="W945" s="2">
        <f t="shared" si="11"/>
      </c>
      <c r="X945" s="2">
        <f t="shared" si="12"/>
      </c>
      <c r="Y945" s="2">
        <f t="shared" si="13"/>
        <v>0</v>
      </c>
      <c r="Z945" s="2">
        <f t="shared" si="14"/>
      </c>
      <c r="AA945" s="2">
        <f t="shared" si="15"/>
        <v>0</v>
      </c>
      <c r="AB945" s="2">
        <f t="shared" si="16"/>
      </c>
      <c r="AC945" s="2">
        <f t="shared" si="17"/>
      </c>
      <c r="AD945" s="2">
        <f t="shared" si="18"/>
      </c>
      <c r="AE945" s="2">
        <f t="shared" si="19"/>
      </c>
      <c r="AF945" s="2">
        <f t="shared" si="20"/>
      </c>
      <c r="AG945" s="2">
        <f t="shared" si="21"/>
      </c>
      <c r="AH945" s="2">
        <f t="shared" si="22"/>
      </c>
      <c r="AI945" s="2">
        <f t="shared" si="23"/>
      </c>
      <c r="AJ945" s="2">
        <f t="shared" si="24"/>
        <v>0</v>
      </c>
      <c r="AK945" s="2">
        <f t="shared" si="25"/>
        <v>0</v>
      </c>
      <c r="AL945" s="2">
        <f t="shared" si="26"/>
        <v>0</v>
      </c>
      <c r="AM945" s="2">
        <f t="shared" si="27"/>
        <v>0</v>
      </c>
      <c r="AN945" s="2">
        <f t="shared" si="28"/>
        <v>0</v>
      </c>
      <c r="AO945" s="2">
        <f t="shared" si="29"/>
      </c>
      <c r="AP945" s="2">
        <f t="shared" si="30"/>
      </c>
      <c r="AQ945" s="2">
        <f t="shared" si="31"/>
      </c>
    </row>
    <row r="946">
      <c r="A946" s="43">
        <f t="shared" si="3"/>
      </c>
      <c r="B946" s="44" t="n"/>
      <c r="C946" s="45" t="n"/>
      <c r="D946" s="46" t="n"/>
      <c r="E946" s="47" t="n"/>
      <c r="F946" s="47" t="n"/>
      <c r="G946" s="48">
        <f t="shared" si="4"/>
      </c>
      <c r="H946" s="43">
        <f t="shared" si="0"/>
      </c>
      <c r="I946" s="43">
        <f t="shared" si="5"/>
      </c>
      <c r="J946" s="43">
        <f t="shared" si="1"/>
      </c>
      <c r="K946" s="49">
        <f t="shared" si="2"/>
      </c>
      <c r="L946" s="45" t="n"/>
      <c r="M946" s="45" t="n"/>
      <c r="N946" s="45" t="n"/>
      <c r="O946" s="45" t="n"/>
      <c r="P946" s="50" t="n"/>
      <c r="R946" s="2">
        <f t="shared" si="6"/>
        <v>0</v>
      </c>
      <c r="S946" s="2">
        <f t="shared" si="7"/>
      </c>
      <c r="T946" s="2">
        <f t="shared" si="8"/>
      </c>
      <c r="U946" s="2">
        <f t="shared" si="9"/>
      </c>
      <c r="V946" s="2">
        <f t="shared" si="10"/>
      </c>
      <c r="W946" s="2">
        <f t="shared" si="11"/>
      </c>
      <c r="X946" s="2">
        <f t="shared" si="12"/>
      </c>
      <c r="Y946" s="2">
        <f t="shared" si="13"/>
        <v>0</v>
      </c>
      <c r="Z946" s="2">
        <f t="shared" si="14"/>
      </c>
      <c r="AA946" s="2">
        <f t="shared" si="15"/>
        <v>0</v>
      </c>
      <c r="AB946" s="2">
        <f t="shared" si="16"/>
      </c>
      <c r="AC946" s="2">
        <f t="shared" si="17"/>
      </c>
      <c r="AD946" s="2">
        <f t="shared" si="18"/>
      </c>
      <c r="AE946" s="2">
        <f t="shared" si="19"/>
      </c>
      <c r="AF946" s="2">
        <f t="shared" si="20"/>
      </c>
      <c r="AG946" s="2">
        <f t="shared" si="21"/>
      </c>
      <c r="AH946" s="2">
        <f t="shared" si="22"/>
      </c>
      <c r="AI946" s="2">
        <f t="shared" si="23"/>
      </c>
      <c r="AJ946" s="2">
        <f t="shared" si="24"/>
        <v>0</v>
      </c>
      <c r="AK946" s="2">
        <f t="shared" si="25"/>
        <v>0</v>
      </c>
      <c r="AL946" s="2">
        <f t="shared" si="26"/>
        <v>0</v>
      </c>
      <c r="AM946" s="2">
        <f t="shared" si="27"/>
        <v>0</v>
      </c>
      <c r="AN946" s="2">
        <f t="shared" si="28"/>
        <v>0</v>
      </c>
      <c r="AO946" s="2">
        <f t="shared" si="29"/>
      </c>
      <c r="AP946" s="2">
        <f t="shared" si="30"/>
      </c>
      <c r="AQ946" s="2">
        <f t="shared" si="31"/>
      </c>
    </row>
    <row r="947">
      <c r="A947" s="43">
        <f t="shared" si="3"/>
      </c>
      <c r="B947" s="44" t="n"/>
      <c r="C947" s="45" t="n"/>
      <c r="D947" s="46" t="n"/>
      <c r="E947" s="47" t="n"/>
      <c r="F947" s="47" t="n"/>
      <c r="G947" s="48">
        <f t="shared" si="4"/>
      </c>
      <c r="H947" s="43">
        <f t="shared" si="0"/>
      </c>
      <c r="I947" s="43">
        <f t="shared" si="5"/>
      </c>
      <c r="J947" s="43">
        <f t="shared" si="1"/>
      </c>
      <c r="K947" s="49">
        <f t="shared" si="2"/>
      </c>
      <c r="L947" s="45" t="n"/>
      <c r="M947" s="45" t="n"/>
      <c r="N947" s="45" t="n"/>
      <c r="O947" s="45" t="n"/>
      <c r="P947" s="50" t="n"/>
      <c r="R947" s="2">
        <f t="shared" si="6"/>
        <v>0</v>
      </c>
      <c r="S947" s="2">
        <f t="shared" si="7"/>
      </c>
      <c r="T947" s="2">
        <f t="shared" si="8"/>
      </c>
      <c r="U947" s="2">
        <f t="shared" si="9"/>
      </c>
      <c r="V947" s="2">
        <f t="shared" si="10"/>
      </c>
      <c r="W947" s="2">
        <f t="shared" si="11"/>
      </c>
      <c r="X947" s="2">
        <f t="shared" si="12"/>
      </c>
      <c r="Y947" s="2">
        <f t="shared" si="13"/>
        <v>0</v>
      </c>
      <c r="Z947" s="2">
        <f t="shared" si="14"/>
      </c>
      <c r="AA947" s="2">
        <f t="shared" si="15"/>
        <v>0</v>
      </c>
      <c r="AB947" s="2">
        <f t="shared" si="16"/>
      </c>
      <c r="AC947" s="2">
        <f t="shared" si="17"/>
      </c>
      <c r="AD947" s="2">
        <f t="shared" si="18"/>
      </c>
      <c r="AE947" s="2">
        <f t="shared" si="19"/>
      </c>
      <c r="AF947" s="2">
        <f t="shared" si="20"/>
      </c>
      <c r="AG947" s="2">
        <f t="shared" si="21"/>
      </c>
      <c r="AH947" s="2">
        <f t="shared" si="22"/>
      </c>
      <c r="AI947" s="2">
        <f t="shared" si="23"/>
      </c>
      <c r="AJ947" s="2">
        <f t="shared" si="24"/>
        <v>0</v>
      </c>
      <c r="AK947" s="2">
        <f t="shared" si="25"/>
        <v>0</v>
      </c>
      <c r="AL947" s="2">
        <f t="shared" si="26"/>
        <v>0</v>
      </c>
      <c r="AM947" s="2">
        <f t="shared" si="27"/>
        <v>0</v>
      </c>
      <c r="AN947" s="2">
        <f t="shared" si="28"/>
        <v>0</v>
      </c>
      <c r="AO947" s="2">
        <f t="shared" si="29"/>
      </c>
      <c r="AP947" s="2">
        <f t="shared" si="30"/>
      </c>
      <c r="AQ947" s="2">
        <f t="shared" si="31"/>
      </c>
    </row>
    <row r="948">
      <c r="A948" s="43">
        <f t="shared" si="3"/>
      </c>
      <c r="B948" s="44" t="n"/>
      <c r="C948" s="45" t="n"/>
      <c r="D948" s="46" t="n"/>
      <c r="E948" s="47" t="n"/>
      <c r="F948" s="47" t="n"/>
      <c r="G948" s="48">
        <f t="shared" si="4"/>
      </c>
      <c r="H948" s="43">
        <f t="shared" si="0"/>
      </c>
      <c r="I948" s="43">
        <f t="shared" si="5"/>
      </c>
      <c r="J948" s="43">
        <f t="shared" si="1"/>
      </c>
      <c r="K948" s="49">
        <f t="shared" si="2"/>
      </c>
      <c r="L948" s="45" t="n"/>
      <c r="M948" s="45" t="n"/>
      <c r="N948" s="45" t="n"/>
      <c r="O948" s="45" t="n"/>
      <c r="P948" s="50" t="n"/>
      <c r="R948" s="2">
        <f t="shared" si="6"/>
        <v>0</v>
      </c>
      <c r="S948" s="2">
        <f t="shared" si="7"/>
      </c>
      <c r="T948" s="2">
        <f t="shared" si="8"/>
      </c>
      <c r="U948" s="2">
        <f t="shared" si="9"/>
      </c>
      <c r="V948" s="2">
        <f t="shared" si="10"/>
      </c>
      <c r="W948" s="2">
        <f t="shared" si="11"/>
      </c>
      <c r="X948" s="2">
        <f t="shared" si="12"/>
      </c>
      <c r="Y948" s="2">
        <f t="shared" si="13"/>
        <v>0</v>
      </c>
      <c r="Z948" s="2">
        <f t="shared" si="14"/>
      </c>
      <c r="AA948" s="2">
        <f t="shared" si="15"/>
        <v>0</v>
      </c>
      <c r="AB948" s="2">
        <f t="shared" si="16"/>
      </c>
      <c r="AC948" s="2">
        <f t="shared" si="17"/>
      </c>
      <c r="AD948" s="2">
        <f t="shared" si="18"/>
      </c>
      <c r="AE948" s="2">
        <f t="shared" si="19"/>
      </c>
      <c r="AF948" s="2">
        <f t="shared" si="20"/>
      </c>
      <c r="AG948" s="2">
        <f t="shared" si="21"/>
      </c>
      <c r="AH948" s="2">
        <f t="shared" si="22"/>
      </c>
      <c r="AI948" s="2">
        <f t="shared" si="23"/>
      </c>
      <c r="AJ948" s="2">
        <f t="shared" si="24"/>
        <v>0</v>
      </c>
      <c r="AK948" s="2">
        <f t="shared" si="25"/>
        <v>0</v>
      </c>
      <c r="AL948" s="2">
        <f t="shared" si="26"/>
        <v>0</v>
      </c>
      <c r="AM948" s="2">
        <f t="shared" si="27"/>
        <v>0</v>
      </c>
      <c r="AN948" s="2">
        <f t="shared" si="28"/>
        <v>0</v>
      </c>
      <c r="AO948" s="2">
        <f t="shared" si="29"/>
      </c>
      <c r="AP948" s="2">
        <f t="shared" si="30"/>
      </c>
      <c r="AQ948" s="2">
        <f t="shared" si="31"/>
      </c>
    </row>
    <row r="949">
      <c r="A949" s="43">
        <f t="shared" si="3"/>
      </c>
      <c r="B949" s="44" t="n"/>
      <c r="C949" s="45" t="n"/>
      <c r="D949" s="46" t="n"/>
      <c r="E949" s="47" t="n"/>
      <c r="F949" s="47" t="n"/>
      <c r="G949" s="48">
        <f t="shared" si="4"/>
      </c>
      <c r="H949" s="43">
        <f t="shared" si="0"/>
      </c>
      <c r="I949" s="43">
        <f t="shared" si="5"/>
      </c>
      <c r="J949" s="43">
        <f t="shared" si="1"/>
      </c>
      <c r="K949" s="49">
        <f t="shared" si="2"/>
      </c>
      <c r="L949" s="45" t="n"/>
      <c r="M949" s="45" t="n"/>
      <c r="N949" s="45" t="n"/>
      <c r="O949" s="45" t="n"/>
      <c r="P949" s="50" t="n"/>
      <c r="R949" s="2">
        <f t="shared" si="6"/>
        <v>0</v>
      </c>
      <c r="S949" s="2">
        <f t="shared" si="7"/>
      </c>
      <c r="T949" s="2">
        <f t="shared" si="8"/>
      </c>
      <c r="U949" s="2">
        <f t="shared" si="9"/>
      </c>
      <c r="V949" s="2">
        <f t="shared" si="10"/>
      </c>
      <c r="W949" s="2">
        <f t="shared" si="11"/>
      </c>
      <c r="X949" s="2">
        <f t="shared" si="12"/>
      </c>
      <c r="Y949" s="2">
        <f t="shared" si="13"/>
        <v>0</v>
      </c>
      <c r="Z949" s="2">
        <f t="shared" si="14"/>
      </c>
      <c r="AA949" s="2">
        <f t="shared" si="15"/>
        <v>0</v>
      </c>
      <c r="AB949" s="2">
        <f t="shared" si="16"/>
      </c>
      <c r="AC949" s="2">
        <f t="shared" si="17"/>
      </c>
      <c r="AD949" s="2">
        <f t="shared" si="18"/>
      </c>
      <c r="AE949" s="2">
        <f t="shared" si="19"/>
      </c>
      <c r="AF949" s="2">
        <f t="shared" si="20"/>
      </c>
      <c r="AG949" s="2">
        <f t="shared" si="21"/>
      </c>
      <c r="AH949" s="2">
        <f t="shared" si="22"/>
      </c>
      <c r="AI949" s="2">
        <f t="shared" si="23"/>
      </c>
      <c r="AJ949" s="2">
        <f t="shared" si="24"/>
        <v>0</v>
      </c>
      <c r="AK949" s="2">
        <f t="shared" si="25"/>
        <v>0</v>
      </c>
      <c r="AL949" s="2">
        <f t="shared" si="26"/>
        <v>0</v>
      </c>
      <c r="AM949" s="2">
        <f t="shared" si="27"/>
        <v>0</v>
      </c>
      <c r="AN949" s="2">
        <f t="shared" si="28"/>
        <v>0</v>
      </c>
      <c r="AO949" s="2">
        <f t="shared" si="29"/>
      </c>
      <c r="AP949" s="2">
        <f t="shared" si="30"/>
      </c>
      <c r="AQ949" s="2">
        <f t="shared" si="31"/>
      </c>
    </row>
    <row r="950">
      <c r="A950" s="43">
        <f t="shared" si="3"/>
      </c>
      <c r="B950" s="44" t="n"/>
      <c r="C950" s="45" t="n"/>
      <c r="D950" s="46" t="n"/>
      <c r="E950" s="47" t="n"/>
      <c r="F950" s="47" t="n"/>
      <c r="G950" s="48">
        <f t="shared" si="4"/>
      </c>
      <c r="H950" s="43">
        <f t="shared" si="0"/>
      </c>
      <c r="I950" s="43">
        <f t="shared" si="5"/>
      </c>
      <c r="J950" s="43">
        <f t="shared" si="1"/>
      </c>
      <c r="K950" s="49">
        <f t="shared" si="2"/>
      </c>
      <c r="L950" s="45" t="n"/>
      <c r="M950" s="45" t="n"/>
      <c r="N950" s="45" t="n"/>
      <c r="O950" s="45" t="n"/>
      <c r="P950" s="50" t="n"/>
      <c r="R950" s="2">
        <f t="shared" si="6"/>
        <v>0</v>
      </c>
      <c r="S950" s="2">
        <f t="shared" si="7"/>
      </c>
      <c r="T950" s="2">
        <f t="shared" si="8"/>
      </c>
      <c r="U950" s="2">
        <f t="shared" si="9"/>
      </c>
      <c r="V950" s="2">
        <f t="shared" si="10"/>
      </c>
      <c r="W950" s="2">
        <f t="shared" si="11"/>
      </c>
      <c r="X950" s="2">
        <f t="shared" si="12"/>
      </c>
      <c r="Y950" s="2">
        <f t="shared" si="13"/>
        <v>0</v>
      </c>
      <c r="Z950" s="2">
        <f t="shared" si="14"/>
      </c>
      <c r="AA950" s="2">
        <f t="shared" si="15"/>
        <v>0</v>
      </c>
      <c r="AB950" s="2">
        <f t="shared" si="16"/>
      </c>
      <c r="AC950" s="2">
        <f t="shared" si="17"/>
      </c>
      <c r="AD950" s="2">
        <f t="shared" si="18"/>
      </c>
      <c r="AE950" s="2">
        <f t="shared" si="19"/>
      </c>
      <c r="AF950" s="2">
        <f t="shared" si="20"/>
      </c>
      <c r="AG950" s="2">
        <f t="shared" si="21"/>
      </c>
      <c r="AH950" s="2">
        <f t="shared" si="22"/>
      </c>
      <c r="AI950" s="2">
        <f t="shared" si="23"/>
      </c>
      <c r="AJ950" s="2">
        <f t="shared" si="24"/>
        <v>0</v>
      </c>
      <c r="AK950" s="2">
        <f t="shared" si="25"/>
        <v>0</v>
      </c>
      <c r="AL950" s="2">
        <f t="shared" si="26"/>
        <v>0</v>
      </c>
      <c r="AM950" s="2">
        <f t="shared" si="27"/>
        <v>0</v>
      </c>
      <c r="AN950" s="2">
        <f t="shared" si="28"/>
        <v>0</v>
      </c>
      <c r="AO950" s="2">
        <f t="shared" si="29"/>
      </c>
      <c r="AP950" s="2">
        <f t="shared" si="30"/>
      </c>
      <c r="AQ950" s="2">
        <f t="shared" si="31"/>
      </c>
    </row>
    <row r="951">
      <c r="A951" s="43">
        <f t="shared" si="3"/>
      </c>
      <c r="B951" s="44" t="n"/>
      <c r="C951" s="45" t="n"/>
      <c r="D951" s="46" t="n"/>
      <c r="E951" s="47" t="n"/>
      <c r="F951" s="47" t="n"/>
      <c r="G951" s="48">
        <f t="shared" si="4"/>
      </c>
      <c r="H951" s="43">
        <f t="shared" si="0"/>
      </c>
      <c r="I951" s="43">
        <f t="shared" si="5"/>
      </c>
      <c r="J951" s="43">
        <f t="shared" si="1"/>
      </c>
      <c r="K951" s="49">
        <f t="shared" si="2"/>
      </c>
      <c r="L951" s="45" t="n"/>
      <c r="M951" s="45" t="n"/>
      <c r="N951" s="45" t="n"/>
      <c r="O951" s="45" t="n"/>
      <c r="P951" s="50" t="n"/>
      <c r="R951" s="2">
        <f t="shared" si="6"/>
        <v>0</v>
      </c>
      <c r="S951" s="2">
        <f t="shared" si="7"/>
      </c>
      <c r="T951" s="2">
        <f t="shared" si="8"/>
      </c>
      <c r="U951" s="2">
        <f t="shared" si="9"/>
      </c>
      <c r="V951" s="2">
        <f t="shared" si="10"/>
      </c>
      <c r="W951" s="2">
        <f t="shared" si="11"/>
      </c>
      <c r="X951" s="2">
        <f t="shared" si="12"/>
      </c>
      <c r="Y951" s="2">
        <f t="shared" si="13"/>
        <v>0</v>
      </c>
      <c r="Z951" s="2">
        <f t="shared" si="14"/>
      </c>
      <c r="AA951" s="2">
        <f t="shared" si="15"/>
        <v>0</v>
      </c>
      <c r="AB951" s="2">
        <f t="shared" si="16"/>
      </c>
      <c r="AC951" s="2">
        <f t="shared" si="17"/>
      </c>
      <c r="AD951" s="2">
        <f t="shared" si="18"/>
      </c>
      <c r="AE951" s="2">
        <f t="shared" si="19"/>
      </c>
      <c r="AF951" s="2">
        <f t="shared" si="20"/>
      </c>
      <c r="AG951" s="2">
        <f t="shared" si="21"/>
      </c>
      <c r="AH951" s="2">
        <f t="shared" si="22"/>
      </c>
      <c r="AI951" s="2">
        <f t="shared" si="23"/>
      </c>
      <c r="AJ951" s="2">
        <f t="shared" si="24"/>
        <v>0</v>
      </c>
      <c r="AK951" s="2">
        <f t="shared" si="25"/>
        <v>0</v>
      </c>
      <c r="AL951" s="2">
        <f t="shared" si="26"/>
        <v>0</v>
      </c>
      <c r="AM951" s="2">
        <f t="shared" si="27"/>
        <v>0</v>
      </c>
      <c r="AN951" s="2">
        <f t="shared" si="28"/>
        <v>0</v>
      </c>
      <c r="AO951" s="2">
        <f t="shared" si="29"/>
      </c>
      <c r="AP951" s="2">
        <f t="shared" si="30"/>
      </c>
      <c r="AQ951" s="2">
        <f t="shared" si="31"/>
      </c>
    </row>
    <row r="952">
      <c r="A952" s="43">
        <f t="shared" si="3"/>
      </c>
      <c r="B952" s="44" t="n"/>
      <c r="C952" s="45" t="n"/>
      <c r="D952" s="46" t="n"/>
      <c r="E952" s="47" t="n"/>
      <c r="F952" s="47" t="n"/>
      <c r="G952" s="48">
        <f t="shared" si="4"/>
      </c>
      <c r="H952" s="43">
        <f t="shared" si="0"/>
      </c>
      <c r="I952" s="43">
        <f t="shared" si="5"/>
      </c>
      <c r="J952" s="43">
        <f t="shared" si="1"/>
      </c>
      <c r="K952" s="49">
        <f t="shared" si="2"/>
      </c>
      <c r="L952" s="45" t="n"/>
      <c r="M952" s="45" t="n"/>
      <c r="N952" s="45" t="n"/>
      <c r="O952" s="45" t="n"/>
      <c r="P952" s="50" t="n"/>
      <c r="R952" s="2">
        <f t="shared" si="6"/>
        <v>0</v>
      </c>
      <c r="S952" s="2">
        <f t="shared" si="7"/>
      </c>
      <c r="T952" s="2">
        <f t="shared" si="8"/>
      </c>
      <c r="U952" s="2">
        <f t="shared" si="9"/>
      </c>
      <c r="V952" s="2">
        <f t="shared" si="10"/>
      </c>
      <c r="W952" s="2">
        <f t="shared" si="11"/>
      </c>
      <c r="X952" s="2">
        <f t="shared" si="12"/>
      </c>
      <c r="Y952" s="2">
        <f t="shared" si="13"/>
        <v>0</v>
      </c>
      <c r="Z952" s="2">
        <f t="shared" si="14"/>
      </c>
      <c r="AA952" s="2">
        <f t="shared" si="15"/>
        <v>0</v>
      </c>
      <c r="AB952" s="2">
        <f t="shared" si="16"/>
      </c>
      <c r="AC952" s="2">
        <f t="shared" si="17"/>
      </c>
      <c r="AD952" s="2">
        <f t="shared" si="18"/>
      </c>
      <c r="AE952" s="2">
        <f t="shared" si="19"/>
      </c>
      <c r="AF952" s="2">
        <f t="shared" si="20"/>
      </c>
      <c r="AG952" s="2">
        <f t="shared" si="21"/>
      </c>
      <c r="AH952" s="2">
        <f t="shared" si="22"/>
      </c>
      <c r="AI952" s="2">
        <f t="shared" si="23"/>
      </c>
      <c r="AJ952" s="2">
        <f t="shared" si="24"/>
        <v>0</v>
      </c>
      <c r="AK952" s="2">
        <f t="shared" si="25"/>
        <v>0</v>
      </c>
      <c r="AL952" s="2">
        <f t="shared" si="26"/>
        <v>0</v>
      </c>
      <c r="AM952" s="2">
        <f t="shared" si="27"/>
        <v>0</v>
      </c>
      <c r="AN952" s="2">
        <f t="shared" si="28"/>
        <v>0</v>
      </c>
      <c r="AO952" s="2">
        <f t="shared" si="29"/>
      </c>
      <c r="AP952" s="2">
        <f t="shared" si="30"/>
      </c>
      <c r="AQ952" s="2">
        <f t="shared" si="31"/>
      </c>
    </row>
    <row r="953">
      <c r="A953" s="43">
        <f t="shared" si="3"/>
      </c>
      <c r="B953" s="44" t="n"/>
      <c r="C953" s="45" t="n"/>
      <c r="D953" s="46" t="n"/>
      <c r="E953" s="47" t="n"/>
      <c r="F953" s="47" t="n"/>
      <c r="G953" s="48">
        <f t="shared" si="4"/>
      </c>
      <c r="H953" s="43">
        <f t="shared" si="0"/>
      </c>
      <c r="I953" s="43">
        <f t="shared" si="5"/>
      </c>
      <c r="J953" s="43">
        <f t="shared" si="1"/>
      </c>
      <c r="K953" s="49">
        <f t="shared" si="2"/>
      </c>
      <c r="L953" s="45" t="n"/>
      <c r="M953" s="45" t="n"/>
      <c r="N953" s="45" t="n"/>
      <c r="O953" s="45" t="n"/>
      <c r="P953" s="50" t="n"/>
      <c r="R953" s="2">
        <f t="shared" si="6"/>
        <v>0</v>
      </c>
      <c r="S953" s="2">
        <f t="shared" si="7"/>
      </c>
      <c r="T953" s="2">
        <f t="shared" si="8"/>
      </c>
      <c r="U953" s="2">
        <f t="shared" si="9"/>
      </c>
      <c r="V953" s="2">
        <f t="shared" si="10"/>
      </c>
      <c r="W953" s="2">
        <f t="shared" si="11"/>
      </c>
      <c r="X953" s="2">
        <f t="shared" si="12"/>
      </c>
      <c r="Y953" s="2">
        <f t="shared" si="13"/>
        <v>0</v>
      </c>
      <c r="Z953" s="2">
        <f t="shared" si="14"/>
      </c>
      <c r="AA953" s="2">
        <f t="shared" si="15"/>
        <v>0</v>
      </c>
      <c r="AB953" s="2">
        <f t="shared" si="16"/>
      </c>
      <c r="AC953" s="2">
        <f t="shared" si="17"/>
      </c>
      <c r="AD953" s="2">
        <f t="shared" si="18"/>
      </c>
      <c r="AE953" s="2">
        <f t="shared" si="19"/>
      </c>
      <c r="AF953" s="2">
        <f t="shared" si="20"/>
      </c>
      <c r="AG953" s="2">
        <f t="shared" si="21"/>
      </c>
      <c r="AH953" s="2">
        <f t="shared" si="22"/>
      </c>
      <c r="AI953" s="2">
        <f t="shared" si="23"/>
      </c>
      <c r="AJ953" s="2">
        <f t="shared" si="24"/>
        <v>0</v>
      </c>
      <c r="AK953" s="2">
        <f t="shared" si="25"/>
        <v>0</v>
      </c>
      <c r="AL953" s="2">
        <f t="shared" si="26"/>
        <v>0</v>
      </c>
      <c r="AM953" s="2">
        <f t="shared" si="27"/>
        <v>0</v>
      </c>
      <c r="AN953" s="2">
        <f t="shared" si="28"/>
        <v>0</v>
      </c>
      <c r="AO953" s="2">
        <f t="shared" si="29"/>
      </c>
      <c r="AP953" s="2">
        <f t="shared" si="30"/>
      </c>
      <c r="AQ953" s="2">
        <f t="shared" si="31"/>
      </c>
    </row>
    <row r="954">
      <c r="A954" s="43">
        <f t="shared" si="3"/>
      </c>
      <c r="B954" s="44" t="n"/>
      <c r="C954" s="45" t="n"/>
      <c r="D954" s="46" t="n"/>
      <c r="E954" s="47" t="n"/>
      <c r="F954" s="47" t="n"/>
      <c r="G954" s="48">
        <f t="shared" si="4"/>
      </c>
      <c r="H954" s="43">
        <f t="shared" si="0"/>
      </c>
      <c r="I954" s="43">
        <f t="shared" si="5"/>
      </c>
      <c r="J954" s="43">
        <f t="shared" si="1"/>
      </c>
      <c r="K954" s="49">
        <f t="shared" si="2"/>
      </c>
      <c r="L954" s="45" t="n"/>
      <c r="M954" s="45" t="n"/>
      <c r="N954" s="45" t="n"/>
      <c r="O954" s="45" t="n"/>
      <c r="P954" s="50" t="n"/>
      <c r="R954" s="2">
        <f t="shared" si="6"/>
        <v>0</v>
      </c>
      <c r="S954" s="2">
        <f t="shared" si="7"/>
      </c>
      <c r="T954" s="2">
        <f t="shared" si="8"/>
      </c>
      <c r="U954" s="2">
        <f t="shared" si="9"/>
      </c>
      <c r="V954" s="2">
        <f t="shared" si="10"/>
      </c>
      <c r="W954" s="2">
        <f t="shared" si="11"/>
      </c>
      <c r="X954" s="2">
        <f t="shared" si="12"/>
      </c>
      <c r="Y954" s="2">
        <f t="shared" si="13"/>
        <v>0</v>
      </c>
      <c r="Z954" s="2">
        <f t="shared" si="14"/>
      </c>
      <c r="AA954" s="2">
        <f t="shared" si="15"/>
        <v>0</v>
      </c>
      <c r="AB954" s="2">
        <f t="shared" si="16"/>
      </c>
      <c r="AC954" s="2">
        <f t="shared" si="17"/>
      </c>
      <c r="AD954" s="2">
        <f t="shared" si="18"/>
      </c>
      <c r="AE954" s="2">
        <f t="shared" si="19"/>
      </c>
      <c r="AF954" s="2">
        <f t="shared" si="20"/>
      </c>
      <c r="AG954" s="2">
        <f t="shared" si="21"/>
      </c>
      <c r="AH954" s="2">
        <f t="shared" si="22"/>
      </c>
      <c r="AI954" s="2">
        <f t="shared" si="23"/>
      </c>
      <c r="AJ954" s="2">
        <f t="shared" si="24"/>
        <v>0</v>
      </c>
      <c r="AK954" s="2">
        <f t="shared" si="25"/>
        <v>0</v>
      </c>
      <c r="AL954" s="2">
        <f t="shared" si="26"/>
        <v>0</v>
      </c>
      <c r="AM954" s="2">
        <f t="shared" si="27"/>
        <v>0</v>
      </c>
      <c r="AN954" s="2">
        <f t="shared" si="28"/>
        <v>0</v>
      </c>
      <c r="AO954" s="2">
        <f t="shared" si="29"/>
      </c>
      <c r="AP954" s="2">
        <f t="shared" si="30"/>
      </c>
      <c r="AQ954" s="2">
        <f t="shared" si="31"/>
      </c>
    </row>
    <row r="955">
      <c r="A955" s="43">
        <f t="shared" si="3"/>
      </c>
      <c r="B955" s="44" t="n"/>
      <c r="C955" s="45" t="n"/>
      <c r="D955" s="46" t="n"/>
      <c r="E955" s="47" t="n"/>
      <c r="F955" s="47" t="n"/>
      <c r="G955" s="48">
        <f t="shared" si="4"/>
      </c>
      <c r="H955" s="43">
        <f t="shared" si="0"/>
      </c>
      <c r="I955" s="43">
        <f t="shared" si="5"/>
      </c>
      <c r="J955" s="43">
        <f t="shared" si="1"/>
      </c>
      <c r="K955" s="49">
        <f t="shared" si="2"/>
      </c>
      <c r="L955" s="45" t="n"/>
      <c r="M955" s="45" t="n"/>
      <c r="N955" s="45" t="n"/>
      <c r="O955" s="45" t="n"/>
      <c r="P955" s="50" t="n"/>
      <c r="R955" s="2">
        <f t="shared" si="6"/>
        <v>0</v>
      </c>
      <c r="S955" s="2">
        <f t="shared" si="7"/>
      </c>
      <c r="T955" s="2">
        <f t="shared" si="8"/>
      </c>
      <c r="U955" s="2">
        <f t="shared" si="9"/>
      </c>
      <c r="V955" s="2">
        <f t="shared" si="10"/>
      </c>
      <c r="W955" s="2">
        <f t="shared" si="11"/>
      </c>
      <c r="X955" s="2">
        <f t="shared" si="12"/>
      </c>
      <c r="Y955" s="2">
        <f t="shared" si="13"/>
        <v>0</v>
      </c>
      <c r="Z955" s="2">
        <f t="shared" si="14"/>
      </c>
      <c r="AA955" s="2">
        <f t="shared" si="15"/>
        <v>0</v>
      </c>
      <c r="AB955" s="2">
        <f t="shared" si="16"/>
      </c>
      <c r="AC955" s="2">
        <f t="shared" si="17"/>
      </c>
      <c r="AD955" s="2">
        <f t="shared" si="18"/>
      </c>
      <c r="AE955" s="2">
        <f t="shared" si="19"/>
      </c>
      <c r="AF955" s="2">
        <f t="shared" si="20"/>
      </c>
      <c r="AG955" s="2">
        <f t="shared" si="21"/>
      </c>
      <c r="AH955" s="2">
        <f t="shared" si="22"/>
      </c>
      <c r="AI955" s="2">
        <f t="shared" si="23"/>
      </c>
      <c r="AJ955" s="2">
        <f t="shared" si="24"/>
        <v>0</v>
      </c>
      <c r="AK955" s="2">
        <f t="shared" si="25"/>
        <v>0</v>
      </c>
      <c r="AL955" s="2">
        <f t="shared" si="26"/>
        <v>0</v>
      </c>
      <c r="AM955" s="2">
        <f t="shared" si="27"/>
        <v>0</v>
      </c>
      <c r="AN955" s="2">
        <f t="shared" si="28"/>
        <v>0</v>
      </c>
      <c r="AO955" s="2">
        <f t="shared" si="29"/>
      </c>
      <c r="AP955" s="2">
        <f t="shared" si="30"/>
      </c>
      <c r="AQ955" s="2">
        <f t="shared" si="31"/>
      </c>
    </row>
    <row r="956">
      <c r="A956" s="43">
        <f t="shared" si="3"/>
      </c>
      <c r="B956" s="44" t="n"/>
      <c r="C956" s="45" t="n"/>
      <c r="D956" s="46" t="n"/>
      <c r="E956" s="47" t="n"/>
      <c r="F956" s="47" t="n"/>
      <c r="G956" s="48">
        <f t="shared" si="4"/>
      </c>
      <c r="H956" s="43">
        <f t="shared" si="0"/>
      </c>
      <c r="I956" s="43">
        <f t="shared" si="5"/>
      </c>
      <c r="J956" s="43">
        <f t="shared" si="1"/>
      </c>
      <c r="K956" s="49">
        <f t="shared" si="2"/>
      </c>
      <c r="L956" s="45" t="n"/>
      <c r="M956" s="45" t="n"/>
      <c r="N956" s="45" t="n"/>
      <c r="O956" s="45" t="n"/>
      <c r="P956" s="50" t="n"/>
      <c r="R956" s="2">
        <f t="shared" si="6"/>
        <v>0</v>
      </c>
      <c r="S956" s="2">
        <f t="shared" si="7"/>
      </c>
      <c r="T956" s="2">
        <f t="shared" si="8"/>
      </c>
      <c r="U956" s="2">
        <f t="shared" si="9"/>
      </c>
      <c r="V956" s="2">
        <f t="shared" si="10"/>
      </c>
      <c r="W956" s="2">
        <f t="shared" si="11"/>
      </c>
      <c r="X956" s="2">
        <f t="shared" si="12"/>
      </c>
      <c r="Y956" s="2">
        <f t="shared" si="13"/>
        <v>0</v>
      </c>
      <c r="Z956" s="2">
        <f t="shared" si="14"/>
      </c>
      <c r="AA956" s="2">
        <f t="shared" si="15"/>
        <v>0</v>
      </c>
      <c r="AB956" s="2">
        <f t="shared" si="16"/>
      </c>
      <c r="AC956" s="2">
        <f t="shared" si="17"/>
      </c>
      <c r="AD956" s="2">
        <f t="shared" si="18"/>
      </c>
      <c r="AE956" s="2">
        <f t="shared" si="19"/>
      </c>
      <c r="AF956" s="2">
        <f t="shared" si="20"/>
      </c>
      <c r="AG956" s="2">
        <f t="shared" si="21"/>
      </c>
      <c r="AH956" s="2">
        <f t="shared" si="22"/>
      </c>
      <c r="AI956" s="2">
        <f t="shared" si="23"/>
      </c>
      <c r="AJ956" s="2">
        <f t="shared" si="24"/>
        <v>0</v>
      </c>
      <c r="AK956" s="2">
        <f t="shared" si="25"/>
        <v>0</v>
      </c>
      <c r="AL956" s="2">
        <f t="shared" si="26"/>
        <v>0</v>
      </c>
      <c r="AM956" s="2">
        <f t="shared" si="27"/>
        <v>0</v>
      </c>
      <c r="AN956" s="2">
        <f t="shared" si="28"/>
        <v>0</v>
      </c>
      <c r="AO956" s="2">
        <f t="shared" si="29"/>
      </c>
      <c r="AP956" s="2">
        <f t="shared" si="30"/>
      </c>
      <c r="AQ956" s="2">
        <f t="shared" si="31"/>
      </c>
    </row>
    <row r="957">
      <c r="A957" s="43">
        <f t="shared" si="3"/>
      </c>
      <c r="B957" s="44" t="n"/>
      <c r="C957" s="45" t="n"/>
      <c r="D957" s="46" t="n"/>
      <c r="E957" s="47" t="n"/>
      <c r="F957" s="47" t="n"/>
      <c r="G957" s="48">
        <f t="shared" si="4"/>
      </c>
      <c r="H957" s="43">
        <f t="shared" si="0"/>
      </c>
      <c r="I957" s="43">
        <f t="shared" si="5"/>
      </c>
      <c r="J957" s="43">
        <f t="shared" si="1"/>
      </c>
      <c r="K957" s="49">
        <f t="shared" si="2"/>
      </c>
      <c r="L957" s="45" t="n"/>
      <c r="M957" s="45" t="n"/>
      <c r="N957" s="45" t="n"/>
      <c r="O957" s="45" t="n"/>
      <c r="P957" s="50" t="n"/>
      <c r="R957" s="2">
        <f t="shared" si="6"/>
        <v>0</v>
      </c>
      <c r="S957" s="2">
        <f t="shared" si="7"/>
      </c>
      <c r="T957" s="2">
        <f t="shared" si="8"/>
      </c>
      <c r="U957" s="2">
        <f t="shared" si="9"/>
      </c>
      <c r="V957" s="2">
        <f t="shared" si="10"/>
      </c>
      <c r="W957" s="2">
        <f t="shared" si="11"/>
      </c>
      <c r="X957" s="2">
        <f t="shared" si="12"/>
      </c>
      <c r="Y957" s="2">
        <f t="shared" si="13"/>
        <v>0</v>
      </c>
      <c r="Z957" s="2">
        <f t="shared" si="14"/>
      </c>
      <c r="AA957" s="2">
        <f t="shared" si="15"/>
        <v>0</v>
      </c>
      <c r="AB957" s="2">
        <f t="shared" si="16"/>
      </c>
      <c r="AC957" s="2">
        <f t="shared" si="17"/>
      </c>
      <c r="AD957" s="2">
        <f t="shared" si="18"/>
      </c>
      <c r="AE957" s="2">
        <f t="shared" si="19"/>
      </c>
      <c r="AF957" s="2">
        <f t="shared" si="20"/>
      </c>
      <c r="AG957" s="2">
        <f t="shared" si="21"/>
      </c>
      <c r="AH957" s="2">
        <f t="shared" si="22"/>
      </c>
      <c r="AI957" s="2">
        <f t="shared" si="23"/>
      </c>
      <c r="AJ957" s="2">
        <f t="shared" si="24"/>
        <v>0</v>
      </c>
      <c r="AK957" s="2">
        <f t="shared" si="25"/>
        <v>0</v>
      </c>
      <c r="AL957" s="2">
        <f t="shared" si="26"/>
        <v>0</v>
      </c>
      <c r="AM957" s="2">
        <f t="shared" si="27"/>
        <v>0</v>
      </c>
      <c r="AN957" s="2">
        <f t="shared" si="28"/>
        <v>0</v>
      </c>
      <c r="AO957" s="2">
        <f t="shared" si="29"/>
      </c>
      <c r="AP957" s="2">
        <f t="shared" si="30"/>
      </c>
      <c r="AQ957" s="2">
        <f t="shared" si="31"/>
      </c>
    </row>
    <row r="958">
      <c r="A958" s="43">
        <f t="shared" si="3"/>
      </c>
      <c r="B958" s="44" t="n"/>
      <c r="C958" s="45" t="n"/>
      <c r="D958" s="46" t="n"/>
      <c r="E958" s="47" t="n"/>
      <c r="F958" s="47" t="n"/>
      <c r="G958" s="48">
        <f t="shared" si="4"/>
      </c>
      <c r="H958" s="43">
        <f t="shared" si="0"/>
      </c>
      <c r="I958" s="43">
        <f t="shared" si="5"/>
      </c>
      <c r="J958" s="43">
        <f t="shared" si="1"/>
      </c>
      <c r="K958" s="49">
        <f t="shared" si="2"/>
      </c>
      <c r="L958" s="45" t="n"/>
      <c r="M958" s="45" t="n"/>
      <c r="N958" s="45" t="n"/>
      <c r="O958" s="45" t="n"/>
      <c r="P958" s="50" t="n"/>
      <c r="R958" s="2">
        <f t="shared" si="6"/>
        <v>0</v>
      </c>
      <c r="S958" s="2">
        <f t="shared" si="7"/>
      </c>
      <c r="T958" s="2">
        <f t="shared" si="8"/>
      </c>
      <c r="U958" s="2">
        <f t="shared" si="9"/>
      </c>
      <c r="V958" s="2">
        <f t="shared" si="10"/>
      </c>
      <c r="W958" s="2">
        <f t="shared" si="11"/>
      </c>
      <c r="X958" s="2">
        <f t="shared" si="12"/>
      </c>
      <c r="Y958" s="2">
        <f t="shared" si="13"/>
        <v>0</v>
      </c>
      <c r="Z958" s="2">
        <f t="shared" si="14"/>
      </c>
      <c r="AA958" s="2">
        <f t="shared" si="15"/>
        <v>0</v>
      </c>
      <c r="AB958" s="2">
        <f t="shared" si="16"/>
      </c>
      <c r="AC958" s="2">
        <f t="shared" si="17"/>
      </c>
      <c r="AD958" s="2">
        <f t="shared" si="18"/>
      </c>
      <c r="AE958" s="2">
        <f t="shared" si="19"/>
      </c>
      <c r="AF958" s="2">
        <f t="shared" si="20"/>
      </c>
      <c r="AG958" s="2">
        <f t="shared" si="21"/>
      </c>
      <c r="AH958" s="2">
        <f t="shared" si="22"/>
      </c>
      <c r="AI958" s="2">
        <f t="shared" si="23"/>
      </c>
      <c r="AJ958" s="2">
        <f t="shared" si="24"/>
        <v>0</v>
      </c>
      <c r="AK958" s="2">
        <f t="shared" si="25"/>
        <v>0</v>
      </c>
      <c r="AL958" s="2">
        <f t="shared" si="26"/>
        <v>0</v>
      </c>
      <c r="AM958" s="2">
        <f t="shared" si="27"/>
        <v>0</v>
      </c>
      <c r="AN958" s="2">
        <f t="shared" si="28"/>
        <v>0</v>
      </c>
      <c r="AO958" s="2">
        <f t="shared" si="29"/>
      </c>
      <c r="AP958" s="2">
        <f t="shared" si="30"/>
      </c>
      <c r="AQ958" s="2">
        <f t="shared" si="31"/>
      </c>
    </row>
    <row r="959">
      <c r="A959" s="43">
        <f t="shared" si="3"/>
      </c>
      <c r="B959" s="44" t="n"/>
      <c r="C959" s="45" t="n"/>
      <c r="D959" s="46" t="n"/>
      <c r="E959" s="47" t="n"/>
      <c r="F959" s="47" t="n"/>
      <c r="G959" s="48">
        <f t="shared" si="4"/>
      </c>
      <c r="H959" s="43">
        <f t="shared" si="0"/>
      </c>
      <c r="I959" s="43">
        <f t="shared" si="5"/>
      </c>
      <c r="J959" s="43">
        <f t="shared" si="1"/>
      </c>
      <c r="K959" s="49">
        <f t="shared" si="2"/>
      </c>
      <c r="L959" s="45" t="n"/>
      <c r="M959" s="45" t="n"/>
      <c r="N959" s="45" t="n"/>
      <c r="O959" s="45" t="n"/>
      <c r="P959" s="50" t="n"/>
      <c r="R959" s="2">
        <f t="shared" si="6"/>
        <v>0</v>
      </c>
      <c r="S959" s="2">
        <f t="shared" si="7"/>
      </c>
      <c r="T959" s="2">
        <f t="shared" si="8"/>
      </c>
      <c r="U959" s="2">
        <f t="shared" si="9"/>
      </c>
      <c r="V959" s="2">
        <f t="shared" si="10"/>
      </c>
      <c r="W959" s="2">
        <f t="shared" si="11"/>
      </c>
      <c r="X959" s="2">
        <f t="shared" si="12"/>
      </c>
      <c r="Y959" s="2">
        <f t="shared" si="13"/>
        <v>0</v>
      </c>
      <c r="Z959" s="2">
        <f t="shared" si="14"/>
      </c>
      <c r="AA959" s="2">
        <f t="shared" si="15"/>
        <v>0</v>
      </c>
      <c r="AB959" s="2">
        <f t="shared" si="16"/>
      </c>
      <c r="AC959" s="2">
        <f t="shared" si="17"/>
      </c>
      <c r="AD959" s="2">
        <f t="shared" si="18"/>
      </c>
      <c r="AE959" s="2">
        <f t="shared" si="19"/>
      </c>
      <c r="AF959" s="2">
        <f t="shared" si="20"/>
      </c>
      <c r="AG959" s="2">
        <f t="shared" si="21"/>
      </c>
      <c r="AH959" s="2">
        <f t="shared" si="22"/>
      </c>
      <c r="AI959" s="2">
        <f t="shared" si="23"/>
      </c>
      <c r="AJ959" s="2">
        <f t="shared" si="24"/>
        <v>0</v>
      </c>
      <c r="AK959" s="2">
        <f t="shared" si="25"/>
        <v>0</v>
      </c>
      <c r="AL959" s="2">
        <f t="shared" si="26"/>
        <v>0</v>
      </c>
      <c r="AM959" s="2">
        <f t="shared" si="27"/>
        <v>0</v>
      </c>
      <c r="AN959" s="2">
        <f t="shared" si="28"/>
        <v>0</v>
      </c>
      <c r="AO959" s="2">
        <f t="shared" si="29"/>
      </c>
      <c r="AP959" s="2">
        <f t="shared" si="30"/>
      </c>
      <c r="AQ959" s="2">
        <f t="shared" si="31"/>
      </c>
    </row>
    <row r="960">
      <c r="A960" s="43">
        <f t="shared" si="3"/>
      </c>
      <c r="B960" s="44" t="n"/>
      <c r="C960" s="45" t="n"/>
      <c r="D960" s="46" t="n"/>
      <c r="E960" s="47" t="n"/>
      <c r="F960" s="47" t="n"/>
      <c r="G960" s="48">
        <f t="shared" si="4"/>
      </c>
      <c r="H960" s="43">
        <f t="shared" si="0"/>
      </c>
      <c r="I960" s="43">
        <f t="shared" si="5"/>
      </c>
      <c r="J960" s="43">
        <f t="shared" si="1"/>
      </c>
      <c r="K960" s="49">
        <f t="shared" si="2"/>
      </c>
      <c r="L960" s="45" t="n"/>
      <c r="M960" s="45" t="n"/>
      <c r="N960" s="45" t="n"/>
      <c r="O960" s="45" t="n"/>
      <c r="P960" s="50" t="n"/>
      <c r="R960" s="2">
        <f t="shared" si="6"/>
        <v>0</v>
      </c>
      <c r="S960" s="2">
        <f t="shared" si="7"/>
      </c>
      <c r="T960" s="2">
        <f t="shared" si="8"/>
      </c>
      <c r="U960" s="2">
        <f t="shared" si="9"/>
      </c>
      <c r="V960" s="2">
        <f t="shared" si="10"/>
      </c>
      <c r="W960" s="2">
        <f t="shared" si="11"/>
      </c>
      <c r="X960" s="2">
        <f t="shared" si="12"/>
      </c>
      <c r="Y960" s="2">
        <f t="shared" si="13"/>
        <v>0</v>
      </c>
      <c r="Z960" s="2">
        <f t="shared" si="14"/>
      </c>
      <c r="AA960" s="2">
        <f t="shared" si="15"/>
        <v>0</v>
      </c>
      <c r="AB960" s="2">
        <f t="shared" si="16"/>
      </c>
      <c r="AC960" s="2">
        <f t="shared" si="17"/>
      </c>
      <c r="AD960" s="2">
        <f t="shared" si="18"/>
      </c>
      <c r="AE960" s="2">
        <f t="shared" si="19"/>
      </c>
      <c r="AF960" s="2">
        <f t="shared" si="20"/>
      </c>
      <c r="AG960" s="2">
        <f t="shared" si="21"/>
      </c>
      <c r="AH960" s="2">
        <f t="shared" si="22"/>
      </c>
      <c r="AI960" s="2">
        <f t="shared" si="23"/>
      </c>
      <c r="AJ960" s="2">
        <f t="shared" si="24"/>
        <v>0</v>
      </c>
      <c r="AK960" s="2">
        <f t="shared" si="25"/>
        <v>0</v>
      </c>
      <c r="AL960" s="2">
        <f t="shared" si="26"/>
        <v>0</v>
      </c>
      <c r="AM960" s="2">
        <f t="shared" si="27"/>
        <v>0</v>
      </c>
      <c r="AN960" s="2">
        <f t="shared" si="28"/>
        <v>0</v>
      </c>
      <c r="AO960" s="2">
        <f t="shared" si="29"/>
      </c>
      <c r="AP960" s="2">
        <f t="shared" si="30"/>
      </c>
      <c r="AQ960" s="2">
        <f t="shared" si="31"/>
      </c>
    </row>
    <row r="961">
      <c r="A961" s="43">
        <f t="shared" si="3"/>
      </c>
      <c r="B961" s="44" t="n"/>
      <c r="C961" s="45" t="n"/>
      <c r="D961" s="46" t="n"/>
      <c r="E961" s="47" t="n"/>
      <c r="F961" s="47" t="n"/>
      <c r="G961" s="48">
        <f t="shared" si="4"/>
      </c>
      <c r="H961" s="43">
        <f t="shared" si="0"/>
      </c>
      <c r="I961" s="43">
        <f t="shared" si="5"/>
      </c>
      <c r="J961" s="43">
        <f t="shared" si="1"/>
      </c>
      <c r="K961" s="49">
        <f t="shared" si="2"/>
      </c>
      <c r="L961" s="45" t="n"/>
      <c r="M961" s="45" t="n"/>
      <c r="N961" s="45" t="n"/>
      <c r="O961" s="45" t="n"/>
      <c r="P961" s="50" t="n"/>
      <c r="R961" s="2">
        <f t="shared" si="6"/>
        <v>0</v>
      </c>
      <c r="S961" s="2">
        <f t="shared" si="7"/>
      </c>
      <c r="T961" s="2">
        <f t="shared" si="8"/>
      </c>
      <c r="U961" s="2">
        <f t="shared" si="9"/>
      </c>
      <c r="V961" s="2">
        <f t="shared" si="10"/>
      </c>
      <c r="W961" s="2">
        <f t="shared" si="11"/>
      </c>
      <c r="X961" s="2">
        <f t="shared" si="12"/>
      </c>
      <c r="Y961" s="2">
        <f t="shared" si="13"/>
        <v>0</v>
      </c>
      <c r="Z961" s="2">
        <f t="shared" si="14"/>
      </c>
      <c r="AA961" s="2">
        <f t="shared" si="15"/>
        <v>0</v>
      </c>
      <c r="AB961" s="2">
        <f t="shared" si="16"/>
      </c>
      <c r="AC961" s="2">
        <f t="shared" si="17"/>
      </c>
      <c r="AD961" s="2">
        <f t="shared" si="18"/>
      </c>
      <c r="AE961" s="2">
        <f t="shared" si="19"/>
      </c>
      <c r="AF961" s="2">
        <f t="shared" si="20"/>
      </c>
      <c r="AG961" s="2">
        <f t="shared" si="21"/>
      </c>
      <c r="AH961" s="2">
        <f t="shared" si="22"/>
      </c>
      <c r="AI961" s="2">
        <f t="shared" si="23"/>
      </c>
      <c r="AJ961" s="2">
        <f t="shared" si="24"/>
        <v>0</v>
      </c>
      <c r="AK961" s="2">
        <f t="shared" si="25"/>
        <v>0</v>
      </c>
      <c r="AL961" s="2">
        <f t="shared" si="26"/>
        <v>0</v>
      </c>
      <c r="AM961" s="2">
        <f t="shared" si="27"/>
        <v>0</v>
      </c>
      <c r="AN961" s="2">
        <f t="shared" si="28"/>
        <v>0</v>
      </c>
      <c r="AO961" s="2">
        <f t="shared" si="29"/>
      </c>
      <c r="AP961" s="2">
        <f t="shared" si="30"/>
      </c>
      <c r="AQ961" s="2">
        <f t="shared" si="31"/>
      </c>
    </row>
    <row r="962">
      <c r="A962" s="43">
        <f t="shared" si="3"/>
      </c>
      <c r="B962" s="44" t="n"/>
      <c r="C962" s="45" t="n"/>
      <c r="D962" s="46" t="n"/>
      <c r="E962" s="47" t="n"/>
      <c r="F962" s="47" t="n"/>
      <c r="G962" s="48">
        <f t="shared" si="4"/>
      </c>
      <c r="H962" s="43">
        <f t="shared" si="0"/>
      </c>
      <c r="I962" s="43">
        <f t="shared" si="5"/>
      </c>
      <c r="J962" s="43">
        <f t="shared" si="1"/>
      </c>
      <c r="K962" s="49">
        <f t="shared" si="2"/>
      </c>
      <c r="L962" s="45" t="n"/>
      <c r="M962" s="45" t="n"/>
      <c r="N962" s="45" t="n"/>
      <c r="O962" s="45" t="n"/>
      <c r="P962" s="50" t="n"/>
      <c r="R962" s="2">
        <f t="shared" si="6"/>
        <v>0</v>
      </c>
      <c r="S962" s="2">
        <f t="shared" si="7"/>
      </c>
      <c r="T962" s="2">
        <f t="shared" si="8"/>
      </c>
      <c r="U962" s="2">
        <f t="shared" si="9"/>
      </c>
      <c r="V962" s="2">
        <f t="shared" si="10"/>
      </c>
      <c r="W962" s="2">
        <f t="shared" si="11"/>
      </c>
      <c r="X962" s="2">
        <f t="shared" si="12"/>
      </c>
      <c r="Y962" s="2">
        <f t="shared" si="13"/>
        <v>0</v>
      </c>
      <c r="Z962" s="2">
        <f t="shared" si="14"/>
      </c>
      <c r="AA962" s="2">
        <f t="shared" si="15"/>
        <v>0</v>
      </c>
      <c r="AB962" s="2">
        <f t="shared" si="16"/>
      </c>
      <c r="AC962" s="2">
        <f t="shared" si="17"/>
      </c>
      <c r="AD962" s="2">
        <f t="shared" si="18"/>
      </c>
      <c r="AE962" s="2">
        <f t="shared" si="19"/>
      </c>
      <c r="AF962" s="2">
        <f t="shared" si="20"/>
      </c>
      <c r="AG962" s="2">
        <f t="shared" si="21"/>
      </c>
      <c r="AH962" s="2">
        <f t="shared" si="22"/>
      </c>
      <c r="AI962" s="2">
        <f t="shared" si="23"/>
      </c>
      <c r="AJ962" s="2">
        <f t="shared" si="24"/>
        <v>0</v>
      </c>
      <c r="AK962" s="2">
        <f t="shared" si="25"/>
        <v>0</v>
      </c>
      <c r="AL962" s="2">
        <f t="shared" si="26"/>
        <v>0</v>
      </c>
      <c r="AM962" s="2">
        <f t="shared" si="27"/>
        <v>0</v>
      </c>
      <c r="AN962" s="2">
        <f t="shared" si="28"/>
        <v>0</v>
      </c>
      <c r="AO962" s="2">
        <f t="shared" si="29"/>
      </c>
      <c r="AP962" s="2">
        <f t="shared" si="30"/>
      </c>
      <c r="AQ962" s="2">
        <f t="shared" si="31"/>
      </c>
    </row>
    <row r="963">
      <c r="A963" s="43">
        <f t="shared" si="3"/>
      </c>
      <c r="B963" s="44" t="n"/>
      <c r="C963" s="45" t="n"/>
      <c r="D963" s="46" t="n"/>
      <c r="E963" s="47" t="n"/>
      <c r="F963" s="47" t="n"/>
      <c r="G963" s="48">
        <f t="shared" si="4"/>
      </c>
      <c r="H963" s="43">
        <f t="shared" si="0"/>
      </c>
      <c r="I963" s="43">
        <f t="shared" si="5"/>
      </c>
      <c r="J963" s="43">
        <f t="shared" si="1"/>
      </c>
      <c r="K963" s="49">
        <f t="shared" si="2"/>
      </c>
      <c r="L963" s="45" t="n"/>
      <c r="M963" s="45" t="n"/>
      <c r="N963" s="45" t="n"/>
      <c r="O963" s="45" t="n"/>
      <c r="P963" s="50" t="n"/>
      <c r="R963" s="2">
        <f t="shared" si="6"/>
        <v>0</v>
      </c>
      <c r="S963" s="2">
        <f t="shared" si="7"/>
      </c>
      <c r="T963" s="2">
        <f t="shared" si="8"/>
      </c>
      <c r="U963" s="2">
        <f t="shared" si="9"/>
      </c>
      <c r="V963" s="2">
        <f t="shared" si="10"/>
      </c>
      <c r="W963" s="2">
        <f t="shared" si="11"/>
      </c>
      <c r="X963" s="2">
        <f t="shared" si="12"/>
      </c>
      <c r="Y963" s="2">
        <f t="shared" si="13"/>
        <v>0</v>
      </c>
      <c r="Z963" s="2">
        <f t="shared" si="14"/>
      </c>
      <c r="AA963" s="2">
        <f t="shared" si="15"/>
        <v>0</v>
      </c>
      <c r="AB963" s="2">
        <f t="shared" si="16"/>
      </c>
      <c r="AC963" s="2">
        <f t="shared" si="17"/>
      </c>
      <c r="AD963" s="2">
        <f t="shared" si="18"/>
      </c>
      <c r="AE963" s="2">
        <f t="shared" si="19"/>
      </c>
      <c r="AF963" s="2">
        <f t="shared" si="20"/>
      </c>
      <c r="AG963" s="2">
        <f t="shared" si="21"/>
      </c>
      <c r="AH963" s="2">
        <f t="shared" si="22"/>
      </c>
      <c r="AI963" s="2">
        <f t="shared" si="23"/>
      </c>
      <c r="AJ963" s="2">
        <f t="shared" si="24"/>
        <v>0</v>
      </c>
      <c r="AK963" s="2">
        <f t="shared" si="25"/>
        <v>0</v>
      </c>
      <c r="AL963" s="2">
        <f t="shared" si="26"/>
        <v>0</v>
      </c>
      <c r="AM963" s="2">
        <f t="shared" si="27"/>
        <v>0</v>
      </c>
      <c r="AN963" s="2">
        <f t="shared" si="28"/>
        <v>0</v>
      </c>
      <c r="AO963" s="2">
        <f t="shared" si="29"/>
      </c>
      <c r="AP963" s="2">
        <f t="shared" si="30"/>
      </c>
      <c r="AQ963" s="2">
        <f t="shared" si="31"/>
      </c>
    </row>
    <row r="964">
      <c r="A964" s="43">
        <f t="shared" si="3"/>
      </c>
      <c r="B964" s="44" t="n"/>
      <c r="C964" s="45" t="n"/>
      <c r="D964" s="46" t="n"/>
      <c r="E964" s="47" t="n"/>
      <c r="F964" s="47" t="n"/>
      <c r="G964" s="48">
        <f t="shared" si="4"/>
      </c>
      <c r="H964" s="43">
        <f t="shared" si="0"/>
      </c>
      <c r="I964" s="43">
        <f t="shared" si="5"/>
      </c>
      <c r="J964" s="43">
        <f t="shared" si="1"/>
      </c>
      <c r="K964" s="49">
        <f t="shared" si="2"/>
      </c>
      <c r="L964" s="45" t="n"/>
      <c r="M964" s="45" t="n"/>
      <c r="N964" s="45" t="n"/>
      <c r="O964" s="45" t="n"/>
      <c r="P964" s="50" t="n"/>
      <c r="R964" s="2">
        <f t="shared" si="6"/>
        <v>0</v>
      </c>
      <c r="S964" s="2">
        <f t="shared" si="7"/>
      </c>
      <c r="T964" s="2">
        <f t="shared" si="8"/>
      </c>
      <c r="U964" s="2">
        <f t="shared" si="9"/>
      </c>
      <c r="V964" s="2">
        <f t="shared" si="10"/>
      </c>
      <c r="W964" s="2">
        <f t="shared" si="11"/>
      </c>
      <c r="X964" s="2">
        <f t="shared" si="12"/>
      </c>
      <c r="Y964" s="2">
        <f t="shared" si="13"/>
        <v>0</v>
      </c>
      <c r="Z964" s="2">
        <f t="shared" si="14"/>
      </c>
      <c r="AA964" s="2">
        <f t="shared" si="15"/>
        <v>0</v>
      </c>
      <c r="AB964" s="2">
        <f t="shared" si="16"/>
      </c>
      <c r="AC964" s="2">
        <f t="shared" si="17"/>
      </c>
      <c r="AD964" s="2">
        <f t="shared" si="18"/>
      </c>
      <c r="AE964" s="2">
        <f t="shared" si="19"/>
      </c>
      <c r="AF964" s="2">
        <f t="shared" si="20"/>
      </c>
      <c r="AG964" s="2">
        <f t="shared" si="21"/>
      </c>
      <c r="AH964" s="2">
        <f t="shared" si="22"/>
      </c>
      <c r="AI964" s="2">
        <f t="shared" si="23"/>
      </c>
      <c r="AJ964" s="2">
        <f t="shared" si="24"/>
        <v>0</v>
      </c>
      <c r="AK964" s="2">
        <f t="shared" si="25"/>
        <v>0</v>
      </c>
      <c r="AL964" s="2">
        <f t="shared" si="26"/>
        <v>0</v>
      </c>
      <c r="AM964" s="2">
        <f t="shared" si="27"/>
        <v>0</v>
      </c>
      <c r="AN964" s="2">
        <f t="shared" si="28"/>
        <v>0</v>
      </c>
      <c r="AO964" s="2">
        <f t="shared" si="29"/>
      </c>
      <c r="AP964" s="2">
        <f t="shared" si="30"/>
      </c>
      <c r="AQ964" s="2">
        <f t="shared" si="31"/>
      </c>
    </row>
    <row r="965">
      <c r="A965" s="43">
        <f t="shared" si="3"/>
      </c>
      <c r="B965" s="44" t="n"/>
      <c r="C965" s="45" t="n"/>
      <c r="D965" s="46" t="n"/>
      <c r="E965" s="47" t="n"/>
      <c r="F965" s="47" t="n"/>
      <c r="G965" s="48">
        <f t="shared" si="4"/>
      </c>
      <c r="H965" s="43">
        <f t="shared" si="0"/>
      </c>
      <c r="I965" s="43">
        <f t="shared" si="5"/>
      </c>
      <c r="J965" s="43">
        <f t="shared" si="1"/>
      </c>
      <c r="K965" s="49">
        <f t="shared" si="2"/>
      </c>
      <c r="L965" s="45" t="n"/>
      <c r="M965" s="45" t="n"/>
      <c r="N965" s="45" t="n"/>
      <c r="O965" s="45" t="n"/>
      <c r="P965" s="50" t="n"/>
      <c r="R965" s="2">
        <f t="shared" si="6"/>
        <v>0</v>
      </c>
      <c r="S965" s="2">
        <f t="shared" si="7"/>
      </c>
      <c r="T965" s="2">
        <f t="shared" si="8"/>
      </c>
      <c r="U965" s="2">
        <f t="shared" si="9"/>
      </c>
      <c r="V965" s="2">
        <f t="shared" si="10"/>
      </c>
      <c r="W965" s="2">
        <f t="shared" si="11"/>
      </c>
      <c r="X965" s="2">
        <f t="shared" si="12"/>
      </c>
      <c r="Y965" s="2">
        <f t="shared" si="13"/>
        <v>0</v>
      </c>
      <c r="Z965" s="2">
        <f t="shared" si="14"/>
      </c>
      <c r="AA965" s="2">
        <f t="shared" si="15"/>
        <v>0</v>
      </c>
      <c r="AB965" s="2">
        <f t="shared" si="16"/>
      </c>
      <c r="AC965" s="2">
        <f t="shared" si="17"/>
      </c>
      <c r="AD965" s="2">
        <f t="shared" si="18"/>
      </c>
      <c r="AE965" s="2">
        <f t="shared" si="19"/>
      </c>
      <c r="AF965" s="2">
        <f t="shared" si="20"/>
      </c>
      <c r="AG965" s="2">
        <f t="shared" si="21"/>
      </c>
      <c r="AH965" s="2">
        <f t="shared" si="22"/>
      </c>
      <c r="AI965" s="2">
        <f t="shared" si="23"/>
      </c>
      <c r="AJ965" s="2">
        <f t="shared" si="24"/>
        <v>0</v>
      </c>
      <c r="AK965" s="2">
        <f t="shared" si="25"/>
        <v>0</v>
      </c>
      <c r="AL965" s="2">
        <f t="shared" si="26"/>
        <v>0</v>
      </c>
      <c r="AM965" s="2">
        <f t="shared" si="27"/>
        <v>0</v>
      </c>
      <c r="AN965" s="2">
        <f t="shared" si="28"/>
        <v>0</v>
      </c>
      <c r="AO965" s="2">
        <f t="shared" si="29"/>
      </c>
      <c r="AP965" s="2">
        <f t="shared" si="30"/>
      </c>
      <c r="AQ965" s="2">
        <f t="shared" si="31"/>
      </c>
    </row>
    <row r="966">
      <c r="A966" s="43">
        <f t="shared" si="3"/>
      </c>
      <c r="B966" s="44" t="n"/>
      <c r="C966" s="45" t="n"/>
      <c r="D966" s="46" t="n"/>
      <c r="E966" s="47" t="n"/>
      <c r="F966" s="47" t="n"/>
      <c r="G966" s="48">
        <f t="shared" si="4"/>
      </c>
      <c r="H966" s="43">
        <f t="shared" si="0"/>
      </c>
      <c r="I966" s="43">
        <f t="shared" si="5"/>
      </c>
      <c r="J966" s="43">
        <f t="shared" si="1"/>
      </c>
      <c r="K966" s="49">
        <f t="shared" si="2"/>
      </c>
      <c r="L966" s="45" t="n"/>
      <c r="M966" s="45" t="n"/>
      <c r="N966" s="45" t="n"/>
      <c r="O966" s="45" t="n"/>
      <c r="P966" s="50" t="n"/>
      <c r="R966" s="2">
        <f t="shared" si="6"/>
        <v>0</v>
      </c>
      <c r="S966" s="2">
        <f t="shared" si="7"/>
      </c>
      <c r="T966" s="2">
        <f t="shared" si="8"/>
      </c>
      <c r="U966" s="2">
        <f t="shared" si="9"/>
      </c>
      <c r="V966" s="2">
        <f t="shared" si="10"/>
      </c>
      <c r="W966" s="2">
        <f t="shared" si="11"/>
      </c>
      <c r="X966" s="2">
        <f t="shared" si="12"/>
      </c>
      <c r="Y966" s="2">
        <f t="shared" si="13"/>
        <v>0</v>
      </c>
      <c r="Z966" s="2">
        <f t="shared" si="14"/>
      </c>
      <c r="AA966" s="2">
        <f t="shared" si="15"/>
        <v>0</v>
      </c>
      <c r="AB966" s="2">
        <f t="shared" si="16"/>
      </c>
      <c r="AC966" s="2">
        <f t="shared" si="17"/>
      </c>
      <c r="AD966" s="2">
        <f t="shared" si="18"/>
      </c>
      <c r="AE966" s="2">
        <f t="shared" si="19"/>
      </c>
      <c r="AF966" s="2">
        <f t="shared" si="20"/>
      </c>
      <c r="AG966" s="2">
        <f t="shared" si="21"/>
      </c>
      <c r="AH966" s="2">
        <f t="shared" si="22"/>
      </c>
      <c r="AI966" s="2">
        <f t="shared" si="23"/>
      </c>
      <c r="AJ966" s="2">
        <f t="shared" si="24"/>
        <v>0</v>
      </c>
      <c r="AK966" s="2">
        <f t="shared" si="25"/>
        <v>0</v>
      </c>
      <c r="AL966" s="2">
        <f t="shared" si="26"/>
        <v>0</v>
      </c>
      <c r="AM966" s="2">
        <f t="shared" si="27"/>
        <v>0</v>
      </c>
      <c r="AN966" s="2">
        <f t="shared" si="28"/>
        <v>0</v>
      </c>
      <c r="AO966" s="2">
        <f t="shared" si="29"/>
      </c>
      <c r="AP966" s="2">
        <f t="shared" si="30"/>
      </c>
      <c r="AQ966" s="2">
        <f t="shared" si="31"/>
      </c>
    </row>
    <row r="967">
      <c r="A967" s="43">
        <f t="shared" si="3"/>
      </c>
      <c r="B967" s="44" t="n"/>
      <c r="C967" s="45" t="n"/>
      <c r="D967" s="46" t="n"/>
      <c r="E967" s="47" t="n"/>
      <c r="F967" s="47" t="n"/>
      <c r="G967" s="48">
        <f t="shared" si="4"/>
      </c>
      <c r="H967" s="43">
        <f t="shared" si="0"/>
      </c>
      <c r="I967" s="43">
        <f t="shared" si="5"/>
      </c>
      <c r="J967" s="43">
        <f t="shared" si="1"/>
      </c>
      <c r="K967" s="49">
        <f t="shared" si="2"/>
      </c>
      <c r="L967" s="45" t="n"/>
      <c r="M967" s="45" t="n"/>
      <c r="N967" s="45" t="n"/>
      <c r="O967" s="45" t="n"/>
      <c r="P967" s="50" t="n"/>
      <c r="R967" s="2">
        <f t="shared" si="6"/>
        <v>0</v>
      </c>
      <c r="S967" s="2">
        <f t="shared" si="7"/>
      </c>
      <c r="T967" s="2">
        <f t="shared" si="8"/>
      </c>
      <c r="U967" s="2">
        <f t="shared" si="9"/>
      </c>
      <c r="V967" s="2">
        <f t="shared" si="10"/>
      </c>
      <c r="W967" s="2">
        <f t="shared" si="11"/>
      </c>
      <c r="X967" s="2">
        <f t="shared" si="12"/>
      </c>
      <c r="Y967" s="2">
        <f t="shared" si="13"/>
        <v>0</v>
      </c>
      <c r="Z967" s="2">
        <f t="shared" si="14"/>
      </c>
      <c r="AA967" s="2">
        <f t="shared" si="15"/>
        <v>0</v>
      </c>
      <c r="AB967" s="2">
        <f t="shared" si="16"/>
      </c>
      <c r="AC967" s="2">
        <f t="shared" si="17"/>
      </c>
      <c r="AD967" s="2">
        <f t="shared" si="18"/>
      </c>
      <c r="AE967" s="2">
        <f t="shared" si="19"/>
      </c>
      <c r="AF967" s="2">
        <f t="shared" si="20"/>
      </c>
      <c r="AG967" s="2">
        <f t="shared" si="21"/>
      </c>
      <c r="AH967" s="2">
        <f t="shared" si="22"/>
      </c>
      <c r="AI967" s="2">
        <f t="shared" si="23"/>
      </c>
      <c r="AJ967" s="2">
        <f t="shared" si="24"/>
        <v>0</v>
      </c>
      <c r="AK967" s="2">
        <f t="shared" si="25"/>
        <v>0</v>
      </c>
      <c r="AL967" s="2">
        <f t="shared" si="26"/>
        <v>0</v>
      </c>
      <c r="AM967" s="2">
        <f t="shared" si="27"/>
        <v>0</v>
      </c>
      <c r="AN967" s="2">
        <f t="shared" si="28"/>
        <v>0</v>
      </c>
      <c r="AO967" s="2">
        <f t="shared" si="29"/>
      </c>
      <c r="AP967" s="2">
        <f t="shared" si="30"/>
      </c>
      <c r="AQ967" s="2">
        <f t="shared" si="31"/>
      </c>
    </row>
    <row r="968">
      <c r="A968" s="43">
        <f t="shared" si="3"/>
      </c>
      <c r="B968" s="44" t="n"/>
      <c r="C968" s="45" t="n"/>
      <c r="D968" s="46" t="n"/>
      <c r="E968" s="47" t="n"/>
      <c r="F968" s="47" t="n"/>
      <c r="G968" s="48">
        <f t="shared" si="4"/>
      </c>
      <c r="H968" s="43">
        <f t="shared" si="0"/>
      </c>
      <c r="I968" s="43">
        <f t="shared" si="5"/>
      </c>
      <c r="J968" s="43">
        <f t="shared" si="1"/>
      </c>
      <c r="K968" s="49">
        <f t="shared" si="2"/>
      </c>
      <c r="L968" s="45" t="n"/>
      <c r="M968" s="45" t="n"/>
      <c r="N968" s="45" t="n"/>
      <c r="O968" s="45" t="n"/>
      <c r="P968" s="50" t="n"/>
      <c r="R968" s="2">
        <f t="shared" si="6"/>
        <v>0</v>
      </c>
      <c r="S968" s="2">
        <f t="shared" si="7"/>
      </c>
      <c r="T968" s="2">
        <f t="shared" si="8"/>
      </c>
      <c r="U968" s="2">
        <f t="shared" si="9"/>
      </c>
      <c r="V968" s="2">
        <f t="shared" si="10"/>
      </c>
      <c r="W968" s="2">
        <f t="shared" si="11"/>
      </c>
      <c r="X968" s="2">
        <f t="shared" si="12"/>
      </c>
      <c r="Y968" s="2">
        <f t="shared" si="13"/>
        <v>0</v>
      </c>
      <c r="Z968" s="2">
        <f t="shared" si="14"/>
      </c>
      <c r="AA968" s="2">
        <f t="shared" si="15"/>
        <v>0</v>
      </c>
      <c r="AB968" s="2">
        <f t="shared" si="16"/>
      </c>
      <c r="AC968" s="2">
        <f t="shared" si="17"/>
      </c>
      <c r="AD968" s="2">
        <f t="shared" si="18"/>
      </c>
      <c r="AE968" s="2">
        <f t="shared" si="19"/>
      </c>
      <c r="AF968" s="2">
        <f t="shared" si="20"/>
      </c>
      <c r="AG968" s="2">
        <f t="shared" si="21"/>
      </c>
      <c r="AH968" s="2">
        <f t="shared" si="22"/>
      </c>
      <c r="AI968" s="2">
        <f t="shared" si="23"/>
      </c>
      <c r="AJ968" s="2">
        <f t="shared" si="24"/>
        <v>0</v>
      </c>
      <c r="AK968" s="2">
        <f t="shared" si="25"/>
        <v>0</v>
      </c>
      <c r="AL968" s="2">
        <f t="shared" si="26"/>
        <v>0</v>
      </c>
      <c r="AM968" s="2">
        <f t="shared" si="27"/>
        <v>0</v>
      </c>
      <c r="AN968" s="2">
        <f t="shared" si="28"/>
        <v>0</v>
      </c>
      <c r="AO968" s="2">
        <f t="shared" si="29"/>
      </c>
      <c r="AP968" s="2">
        <f t="shared" si="30"/>
      </c>
      <c r="AQ968" s="2">
        <f t="shared" si="31"/>
      </c>
    </row>
    <row r="969">
      <c r="A969" s="43">
        <f t="shared" si="3"/>
      </c>
      <c r="B969" s="44" t="n"/>
      <c r="C969" s="45" t="n"/>
      <c r="D969" s="46" t="n"/>
      <c r="E969" s="47" t="n"/>
      <c r="F969" s="47" t="n"/>
      <c r="G969" s="48">
        <f t="shared" si="4"/>
      </c>
      <c r="H969" s="43">
        <f t="shared" si="0"/>
      </c>
      <c r="I969" s="43">
        <f t="shared" si="5"/>
      </c>
      <c r="J969" s="43">
        <f t="shared" si="1"/>
      </c>
      <c r="K969" s="49">
        <f t="shared" si="2"/>
      </c>
      <c r="L969" s="45" t="n"/>
      <c r="M969" s="45" t="n"/>
      <c r="N969" s="45" t="n"/>
      <c r="O969" s="45" t="n"/>
      <c r="P969" s="50" t="n"/>
      <c r="R969" s="2">
        <f t="shared" si="6"/>
        <v>0</v>
      </c>
      <c r="S969" s="2">
        <f t="shared" si="7"/>
      </c>
      <c r="T969" s="2">
        <f t="shared" si="8"/>
      </c>
      <c r="U969" s="2">
        <f t="shared" si="9"/>
      </c>
      <c r="V969" s="2">
        <f t="shared" si="10"/>
      </c>
      <c r="W969" s="2">
        <f t="shared" si="11"/>
      </c>
      <c r="X969" s="2">
        <f t="shared" si="12"/>
      </c>
      <c r="Y969" s="2">
        <f t="shared" si="13"/>
        <v>0</v>
      </c>
      <c r="Z969" s="2">
        <f t="shared" si="14"/>
      </c>
      <c r="AA969" s="2">
        <f t="shared" si="15"/>
        <v>0</v>
      </c>
      <c r="AB969" s="2">
        <f t="shared" si="16"/>
      </c>
      <c r="AC969" s="2">
        <f t="shared" si="17"/>
      </c>
      <c r="AD969" s="2">
        <f t="shared" si="18"/>
      </c>
      <c r="AE969" s="2">
        <f t="shared" si="19"/>
      </c>
      <c r="AF969" s="2">
        <f t="shared" si="20"/>
      </c>
      <c r="AG969" s="2">
        <f t="shared" si="21"/>
      </c>
      <c r="AH969" s="2">
        <f t="shared" si="22"/>
      </c>
      <c r="AI969" s="2">
        <f t="shared" si="23"/>
      </c>
      <c r="AJ969" s="2">
        <f t="shared" si="24"/>
        <v>0</v>
      </c>
      <c r="AK969" s="2">
        <f t="shared" si="25"/>
        <v>0</v>
      </c>
      <c r="AL969" s="2">
        <f t="shared" si="26"/>
        <v>0</v>
      </c>
      <c r="AM969" s="2">
        <f t="shared" si="27"/>
        <v>0</v>
      </c>
      <c r="AN969" s="2">
        <f t="shared" si="28"/>
        <v>0</v>
      </c>
      <c r="AO969" s="2">
        <f t="shared" si="29"/>
      </c>
      <c r="AP969" s="2">
        <f t="shared" si="30"/>
      </c>
      <c r="AQ969" s="2">
        <f t="shared" si="31"/>
      </c>
    </row>
    <row r="970">
      <c r="A970" s="43">
        <f t="shared" si="3"/>
      </c>
      <c r="B970" s="44" t="n"/>
      <c r="C970" s="45" t="n"/>
      <c r="D970" s="46" t="n"/>
      <c r="E970" s="47" t="n"/>
      <c r="F970" s="47" t="n"/>
      <c r="G970" s="48">
        <f t="shared" si="4"/>
      </c>
      <c r="H970" s="43">
        <f t="shared" si="0"/>
      </c>
      <c r="I970" s="43">
        <f t="shared" si="5"/>
      </c>
      <c r="J970" s="43">
        <f t="shared" si="1"/>
      </c>
      <c r="K970" s="49">
        <f t="shared" si="2"/>
      </c>
      <c r="L970" s="45" t="n"/>
      <c r="M970" s="45" t="n"/>
      <c r="N970" s="45" t="n"/>
      <c r="O970" s="45" t="n"/>
      <c r="P970" s="50" t="n"/>
      <c r="R970" s="2">
        <f t="shared" si="6"/>
        <v>0</v>
      </c>
      <c r="S970" s="2">
        <f t="shared" si="7"/>
      </c>
      <c r="T970" s="2">
        <f t="shared" si="8"/>
      </c>
      <c r="U970" s="2">
        <f t="shared" si="9"/>
      </c>
      <c r="V970" s="2">
        <f t="shared" si="10"/>
      </c>
      <c r="W970" s="2">
        <f t="shared" si="11"/>
      </c>
      <c r="X970" s="2">
        <f t="shared" si="12"/>
      </c>
      <c r="Y970" s="2">
        <f t="shared" si="13"/>
        <v>0</v>
      </c>
      <c r="Z970" s="2">
        <f t="shared" si="14"/>
      </c>
      <c r="AA970" s="2">
        <f t="shared" si="15"/>
        <v>0</v>
      </c>
      <c r="AB970" s="2">
        <f t="shared" si="16"/>
      </c>
      <c r="AC970" s="2">
        <f t="shared" si="17"/>
      </c>
      <c r="AD970" s="2">
        <f t="shared" si="18"/>
      </c>
      <c r="AE970" s="2">
        <f t="shared" si="19"/>
      </c>
      <c r="AF970" s="2">
        <f t="shared" si="20"/>
      </c>
      <c r="AG970" s="2">
        <f t="shared" si="21"/>
      </c>
      <c r="AH970" s="2">
        <f t="shared" si="22"/>
      </c>
      <c r="AI970" s="2">
        <f t="shared" si="23"/>
      </c>
      <c r="AJ970" s="2">
        <f t="shared" si="24"/>
        <v>0</v>
      </c>
      <c r="AK970" s="2">
        <f t="shared" si="25"/>
        <v>0</v>
      </c>
      <c r="AL970" s="2">
        <f t="shared" si="26"/>
        <v>0</v>
      </c>
      <c r="AM970" s="2">
        <f t="shared" si="27"/>
        <v>0</v>
      </c>
      <c r="AN970" s="2">
        <f t="shared" si="28"/>
        <v>0</v>
      </c>
      <c r="AO970" s="2">
        <f t="shared" si="29"/>
      </c>
      <c r="AP970" s="2">
        <f t="shared" si="30"/>
      </c>
      <c r="AQ970" s="2">
        <f t="shared" si="31"/>
      </c>
    </row>
    <row r="971">
      <c r="A971" s="43">
        <f t="shared" si="3"/>
      </c>
      <c r="B971" s="44" t="n"/>
      <c r="C971" s="45" t="n"/>
      <c r="D971" s="46" t="n"/>
      <c r="E971" s="47" t="n"/>
      <c r="F971" s="47" t="n"/>
      <c r="G971" s="48">
        <f t="shared" si="4"/>
      </c>
      <c r="H971" s="43">
        <f t="shared" si="0"/>
      </c>
      <c r="I971" s="43">
        <f t="shared" si="5"/>
      </c>
      <c r="J971" s="43">
        <f t="shared" si="1"/>
      </c>
      <c r="K971" s="49">
        <f t="shared" si="2"/>
      </c>
      <c r="L971" s="45" t="n"/>
      <c r="M971" s="45" t="n"/>
      <c r="N971" s="45" t="n"/>
      <c r="O971" s="45" t="n"/>
      <c r="P971" s="50" t="n"/>
      <c r="R971" s="2">
        <f t="shared" si="6"/>
        <v>0</v>
      </c>
      <c r="S971" s="2">
        <f t="shared" si="7"/>
      </c>
      <c r="T971" s="2">
        <f t="shared" si="8"/>
      </c>
      <c r="U971" s="2">
        <f t="shared" si="9"/>
      </c>
      <c r="V971" s="2">
        <f t="shared" si="10"/>
      </c>
      <c r="W971" s="2">
        <f t="shared" si="11"/>
      </c>
      <c r="X971" s="2">
        <f t="shared" si="12"/>
      </c>
      <c r="Y971" s="2">
        <f t="shared" si="13"/>
        <v>0</v>
      </c>
      <c r="Z971" s="2">
        <f t="shared" si="14"/>
      </c>
      <c r="AA971" s="2">
        <f t="shared" si="15"/>
        <v>0</v>
      </c>
      <c r="AB971" s="2">
        <f t="shared" si="16"/>
      </c>
      <c r="AC971" s="2">
        <f t="shared" si="17"/>
      </c>
      <c r="AD971" s="2">
        <f t="shared" si="18"/>
      </c>
      <c r="AE971" s="2">
        <f t="shared" si="19"/>
      </c>
      <c r="AF971" s="2">
        <f t="shared" si="20"/>
      </c>
      <c r="AG971" s="2">
        <f t="shared" si="21"/>
      </c>
      <c r="AH971" s="2">
        <f t="shared" si="22"/>
      </c>
      <c r="AI971" s="2">
        <f t="shared" si="23"/>
      </c>
      <c r="AJ971" s="2">
        <f t="shared" si="24"/>
        <v>0</v>
      </c>
      <c r="AK971" s="2">
        <f t="shared" si="25"/>
        <v>0</v>
      </c>
      <c r="AL971" s="2">
        <f t="shared" si="26"/>
        <v>0</v>
      </c>
      <c r="AM971" s="2">
        <f t="shared" si="27"/>
        <v>0</v>
      </c>
      <c r="AN971" s="2">
        <f t="shared" si="28"/>
        <v>0</v>
      </c>
      <c r="AO971" s="2">
        <f t="shared" si="29"/>
      </c>
      <c r="AP971" s="2">
        <f t="shared" si="30"/>
      </c>
      <c r="AQ971" s="2">
        <f t="shared" si="31"/>
      </c>
    </row>
    <row r="972">
      <c r="A972" s="43">
        <f t="shared" si="3"/>
      </c>
      <c r="B972" s="44" t="n"/>
      <c r="C972" s="45" t="n"/>
      <c r="D972" s="46" t="n"/>
      <c r="E972" s="47" t="n"/>
      <c r="F972" s="47" t="n"/>
      <c r="G972" s="48">
        <f t="shared" si="4"/>
      </c>
      <c r="H972" s="43">
        <f t="shared" si="0"/>
      </c>
      <c r="I972" s="43">
        <f t="shared" si="5"/>
      </c>
      <c r="J972" s="43">
        <f t="shared" si="1"/>
      </c>
      <c r="K972" s="49">
        <f t="shared" si="2"/>
      </c>
      <c r="L972" s="45" t="n"/>
      <c r="M972" s="45" t="n"/>
      <c r="N972" s="45" t="n"/>
      <c r="O972" s="45" t="n"/>
      <c r="P972" s="50" t="n"/>
      <c r="R972" s="2">
        <f t="shared" si="6"/>
        <v>0</v>
      </c>
      <c r="S972" s="2">
        <f t="shared" si="7"/>
      </c>
      <c r="T972" s="2">
        <f t="shared" si="8"/>
      </c>
      <c r="U972" s="2">
        <f t="shared" si="9"/>
      </c>
      <c r="V972" s="2">
        <f t="shared" si="10"/>
      </c>
      <c r="W972" s="2">
        <f t="shared" si="11"/>
      </c>
      <c r="X972" s="2">
        <f t="shared" si="12"/>
      </c>
      <c r="Y972" s="2">
        <f t="shared" si="13"/>
        <v>0</v>
      </c>
      <c r="Z972" s="2">
        <f t="shared" si="14"/>
      </c>
      <c r="AA972" s="2">
        <f t="shared" si="15"/>
        <v>0</v>
      </c>
      <c r="AB972" s="2">
        <f t="shared" si="16"/>
      </c>
      <c r="AC972" s="2">
        <f t="shared" si="17"/>
      </c>
      <c r="AD972" s="2">
        <f t="shared" si="18"/>
      </c>
      <c r="AE972" s="2">
        <f t="shared" si="19"/>
      </c>
      <c r="AF972" s="2">
        <f t="shared" si="20"/>
      </c>
      <c r="AG972" s="2">
        <f t="shared" si="21"/>
      </c>
      <c r="AH972" s="2">
        <f t="shared" si="22"/>
      </c>
      <c r="AI972" s="2">
        <f t="shared" si="23"/>
      </c>
      <c r="AJ972" s="2">
        <f t="shared" si="24"/>
        <v>0</v>
      </c>
      <c r="AK972" s="2">
        <f t="shared" si="25"/>
        <v>0</v>
      </c>
      <c r="AL972" s="2">
        <f t="shared" si="26"/>
        <v>0</v>
      </c>
      <c r="AM972" s="2">
        <f t="shared" si="27"/>
        <v>0</v>
      </c>
      <c r="AN972" s="2">
        <f t="shared" si="28"/>
        <v>0</v>
      </c>
      <c r="AO972" s="2">
        <f t="shared" si="29"/>
      </c>
      <c r="AP972" s="2">
        <f t="shared" si="30"/>
      </c>
      <c r="AQ972" s="2">
        <f t="shared" si="31"/>
      </c>
    </row>
    <row r="973">
      <c r="A973" s="43">
        <f t="shared" si="3"/>
      </c>
      <c r="B973" s="44" t="n"/>
      <c r="C973" s="45" t="n"/>
      <c r="D973" s="46" t="n"/>
      <c r="E973" s="47" t="n"/>
      <c r="F973" s="47" t="n"/>
      <c r="G973" s="48">
        <f t="shared" si="4"/>
      </c>
      <c r="H973" s="43">
        <f t="shared" si="0"/>
      </c>
      <c r="I973" s="43">
        <f t="shared" si="5"/>
      </c>
      <c r="J973" s="43">
        <f t="shared" si="1"/>
      </c>
      <c r="K973" s="49">
        <f t="shared" si="2"/>
      </c>
      <c r="L973" s="45" t="n"/>
      <c r="M973" s="45" t="n"/>
      <c r="N973" s="45" t="n"/>
      <c r="O973" s="45" t="n"/>
      <c r="P973" s="50" t="n"/>
      <c r="R973" s="2">
        <f t="shared" si="6"/>
        <v>0</v>
      </c>
      <c r="S973" s="2">
        <f t="shared" si="7"/>
      </c>
      <c r="T973" s="2">
        <f t="shared" si="8"/>
      </c>
      <c r="U973" s="2">
        <f t="shared" si="9"/>
      </c>
      <c r="V973" s="2">
        <f t="shared" si="10"/>
      </c>
      <c r="W973" s="2">
        <f t="shared" si="11"/>
      </c>
      <c r="X973" s="2">
        <f t="shared" si="12"/>
      </c>
      <c r="Y973" s="2">
        <f t="shared" si="13"/>
        <v>0</v>
      </c>
      <c r="Z973" s="2">
        <f t="shared" si="14"/>
      </c>
      <c r="AA973" s="2">
        <f t="shared" si="15"/>
        <v>0</v>
      </c>
      <c r="AB973" s="2">
        <f t="shared" si="16"/>
      </c>
      <c r="AC973" s="2">
        <f t="shared" si="17"/>
      </c>
      <c r="AD973" s="2">
        <f t="shared" si="18"/>
      </c>
      <c r="AE973" s="2">
        <f t="shared" si="19"/>
      </c>
      <c r="AF973" s="2">
        <f t="shared" si="20"/>
      </c>
      <c r="AG973" s="2">
        <f t="shared" si="21"/>
      </c>
      <c r="AH973" s="2">
        <f t="shared" si="22"/>
      </c>
      <c r="AI973" s="2">
        <f t="shared" si="23"/>
      </c>
      <c r="AJ973" s="2">
        <f t="shared" si="24"/>
        <v>0</v>
      </c>
      <c r="AK973" s="2">
        <f t="shared" si="25"/>
        <v>0</v>
      </c>
      <c r="AL973" s="2">
        <f t="shared" si="26"/>
        <v>0</v>
      </c>
      <c r="AM973" s="2">
        <f t="shared" si="27"/>
        <v>0</v>
      </c>
      <c r="AN973" s="2">
        <f t="shared" si="28"/>
        <v>0</v>
      </c>
      <c r="AO973" s="2">
        <f t="shared" si="29"/>
      </c>
      <c r="AP973" s="2">
        <f t="shared" si="30"/>
      </c>
      <c r="AQ973" s="2">
        <f t="shared" si="31"/>
      </c>
    </row>
    <row r="974">
      <c r="A974" s="43">
        <f t="shared" si="3"/>
      </c>
      <c r="B974" s="44" t="n"/>
      <c r="C974" s="45" t="n"/>
      <c r="D974" s="46" t="n"/>
      <c r="E974" s="47" t="n"/>
      <c r="F974" s="47" t="n"/>
      <c r="G974" s="48">
        <f t="shared" si="4"/>
      </c>
      <c r="H974" s="43">
        <f t="shared" si="0"/>
      </c>
      <c r="I974" s="43">
        <f t="shared" si="5"/>
      </c>
      <c r="J974" s="43">
        <f t="shared" si="1"/>
      </c>
      <c r="K974" s="49">
        <f t="shared" si="2"/>
      </c>
      <c r="L974" s="45" t="n"/>
      <c r="M974" s="45" t="n"/>
      <c r="N974" s="45" t="n"/>
      <c r="O974" s="45" t="n"/>
      <c r="P974" s="50" t="n"/>
      <c r="R974" s="2">
        <f t="shared" si="6"/>
        <v>0</v>
      </c>
      <c r="S974" s="2">
        <f t="shared" si="7"/>
      </c>
      <c r="T974" s="2">
        <f t="shared" si="8"/>
      </c>
      <c r="U974" s="2">
        <f t="shared" si="9"/>
      </c>
      <c r="V974" s="2">
        <f t="shared" si="10"/>
      </c>
      <c r="W974" s="2">
        <f t="shared" si="11"/>
      </c>
      <c r="X974" s="2">
        <f t="shared" si="12"/>
      </c>
      <c r="Y974" s="2">
        <f t="shared" si="13"/>
        <v>0</v>
      </c>
      <c r="Z974" s="2">
        <f t="shared" si="14"/>
      </c>
      <c r="AA974" s="2">
        <f t="shared" si="15"/>
        <v>0</v>
      </c>
      <c r="AB974" s="2">
        <f t="shared" si="16"/>
      </c>
      <c r="AC974" s="2">
        <f t="shared" si="17"/>
      </c>
      <c r="AD974" s="2">
        <f t="shared" si="18"/>
      </c>
      <c r="AE974" s="2">
        <f t="shared" si="19"/>
      </c>
      <c r="AF974" s="2">
        <f t="shared" si="20"/>
      </c>
      <c r="AG974" s="2">
        <f t="shared" si="21"/>
      </c>
      <c r="AH974" s="2">
        <f t="shared" si="22"/>
      </c>
      <c r="AI974" s="2">
        <f t="shared" si="23"/>
      </c>
      <c r="AJ974" s="2">
        <f t="shared" si="24"/>
        <v>0</v>
      </c>
      <c r="AK974" s="2">
        <f t="shared" si="25"/>
        <v>0</v>
      </c>
      <c r="AL974" s="2">
        <f t="shared" si="26"/>
        <v>0</v>
      </c>
      <c r="AM974" s="2">
        <f t="shared" si="27"/>
        <v>0</v>
      </c>
      <c r="AN974" s="2">
        <f t="shared" si="28"/>
        <v>0</v>
      </c>
      <c r="AO974" s="2">
        <f t="shared" si="29"/>
      </c>
      <c r="AP974" s="2">
        <f t="shared" si="30"/>
      </c>
      <c r="AQ974" s="2">
        <f t="shared" si="31"/>
      </c>
    </row>
    <row r="975">
      <c r="A975" s="43">
        <f t="shared" si="3"/>
      </c>
      <c r="B975" s="44" t="n"/>
      <c r="C975" s="45" t="n"/>
      <c r="D975" s="46" t="n"/>
      <c r="E975" s="47" t="n"/>
      <c r="F975" s="47" t="n"/>
      <c r="G975" s="48">
        <f t="shared" si="4"/>
      </c>
      <c r="H975" s="43">
        <f t="shared" si="0"/>
      </c>
      <c r="I975" s="43">
        <f t="shared" si="5"/>
      </c>
      <c r="J975" s="43">
        <f t="shared" si="1"/>
      </c>
      <c r="K975" s="49">
        <f t="shared" si="2"/>
      </c>
      <c r="L975" s="45" t="n"/>
      <c r="M975" s="45" t="n"/>
      <c r="N975" s="45" t="n"/>
      <c r="O975" s="45" t="n"/>
      <c r="P975" s="50" t="n"/>
      <c r="R975" s="2">
        <f t="shared" si="6"/>
        <v>0</v>
      </c>
      <c r="S975" s="2">
        <f t="shared" si="7"/>
      </c>
      <c r="T975" s="2">
        <f t="shared" si="8"/>
      </c>
      <c r="U975" s="2">
        <f t="shared" si="9"/>
      </c>
      <c r="V975" s="2">
        <f t="shared" si="10"/>
      </c>
      <c r="W975" s="2">
        <f t="shared" si="11"/>
      </c>
      <c r="X975" s="2">
        <f t="shared" si="12"/>
      </c>
      <c r="Y975" s="2">
        <f t="shared" si="13"/>
        <v>0</v>
      </c>
      <c r="Z975" s="2">
        <f t="shared" si="14"/>
      </c>
      <c r="AA975" s="2">
        <f t="shared" si="15"/>
        <v>0</v>
      </c>
      <c r="AB975" s="2">
        <f t="shared" si="16"/>
      </c>
      <c r="AC975" s="2">
        <f t="shared" si="17"/>
      </c>
      <c r="AD975" s="2">
        <f t="shared" si="18"/>
      </c>
      <c r="AE975" s="2">
        <f t="shared" si="19"/>
      </c>
      <c r="AF975" s="2">
        <f t="shared" si="20"/>
      </c>
      <c r="AG975" s="2">
        <f t="shared" si="21"/>
      </c>
      <c r="AH975" s="2">
        <f t="shared" si="22"/>
      </c>
      <c r="AI975" s="2">
        <f t="shared" si="23"/>
      </c>
      <c r="AJ975" s="2">
        <f t="shared" si="24"/>
        <v>0</v>
      </c>
      <c r="AK975" s="2">
        <f t="shared" si="25"/>
        <v>0</v>
      </c>
      <c r="AL975" s="2">
        <f t="shared" si="26"/>
        <v>0</v>
      </c>
      <c r="AM975" s="2">
        <f t="shared" si="27"/>
        <v>0</v>
      </c>
      <c r="AN975" s="2">
        <f t="shared" si="28"/>
        <v>0</v>
      </c>
      <c r="AO975" s="2">
        <f t="shared" si="29"/>
      </c>
      <c r="AP975" s="2">
        <f t="shared" si="30"/>
      </c>
      <c r="AQ975" s="2">
        <f t="shared" si="31"/>
      </c>
    </row>
    <row r="976">
      <c r="A976" s="43">
        <f t="shared" si="3"/>
      </c>
      <c r="B976" s="44" t="n"/>
      <c r="C976" s="45" t="n"/>
      <c r="D976" s="46" t="n"/>
      <c r="E976" s="47" t="n"/>
      <c r="F976" s="47" t="n"/>
      <c r="G976" s="48">
        <f t="shared" si="4"/>
      </c>
      <c r="H976" s="43">
        <f t="shared" si="0"/>
      </c>
      <c r="I976" s="43">
        <f t="shared" si="5"/>
      </c>
      <c r="J976" s="43">
        <f t="shared" si="1"/>
      </c>
      <c r="K976" s="49">
        <f t="shared" si="2"/>
      </c>
      <c r="L976" s="45" t="n"/>
      <c r="M976" s="45" t="n"/>
      <c r="N976" s="45" t="n"/>
      <c r="O976" s="45" t="n"/>
      <c r="P976" s="50" t="n"/>
      <c r="R976" s="2">
        <f t="shared" si="6"/>
        <v>0</v>
      </c>
      <c r="S976" s="2">
        <f t="shared" si="7"/>
      </c>
      <c r="T976" s="2">
        <f t="shared" si="8"/>
      </c>
      <c r="U976" s="2">
        <f t="shared" si="9"/>
      </c>
      <c r="V976" s="2">
        <f t="shared" si="10"/>
      </c>
      <c r="W976" s="2">
        <f t="shared" si="11"/>
      </c>
      <c r="X976" s="2">
        <f t="shared" si="12"/>
      </c>
      <c r="Y976" s="2">
        <f t="shared" si="13"/>
        <v>0</v>
      </c>
      <c r="Z976" s="2">
        <f t="shared" si="14"/>
      </c>
      <c r="AA976" s="2">
        <f t="shared" si="15"/>
        <v>0</v>
      </c>
      <c r="AB976" s="2">
        <f t="shared" si="16"/>
      </c>
      <c r="AC976" s="2">
        <f t="shared" si="17"/>
      </c>
      <c r="AD976" s="2">
        <f t="shared" si="18"/>
      </c>
      <c r="AE976" s="2">
        <f t="shared" si="19"/>
      </c>
      <c r="AF976" s="2">
        <f t="shared" si="20"/>
      </c>
      <c r="AG976" s="2">
        <f t="shared" si="21"/>
      </c>
      <c r="AH976" s="2">
        <f t="shared" si="22"/>
      </c>
      <c r="AI976" s="2">
        <f t="shared" si="23"/>
      </c>
      <c r="AJ976" s="2">
        <f t="shared" si="24"/>
        <v>0</v>
      </c>
      <c r="AK976" s="2">
        <f t="shared" si="25"/>
        <v>0</v>
      </c>
      <c r="AL976" s="2">
        <f t="shared" si="26"/>
        <v>0</v>
      </c>
      <c r="AM976" s="2">
        <f t="shared" si="27"/>
        <v>0</v>
      </c>
      <c r="AN976" s="2">
        <f t="shared" si="28"/>
        <v>0</v>
      </c>
      <c r="AO976" s="2">
        <f t="shared" si="29"/>
      </c>
      <c r="AP976" s="2">
        <f t="shared" si="30"/>
      </c>
      <c r="AQ976" s="2">
        <f t="shared" si="31"/>
      </c>
    </row>
    <row r="977">
      <c r="A977" s="43">
        <f t="shared" si="3"/>
      </c>
      <c r="B977" s="44" t="n"/>
      <c r="C977" s="45" t="n"/>
      <c r="D977" s="46" t="n"/>
      <c r="E977" s="47" t="n"/>
      <c r="F977" s="47" t="n"/>
      <c r="G977" s="48">
        <f t="shared" si="4"/>
      </c>
      <c r="H977" s="43">
        <f t="shared" si="0"/>
      </c>
      <c r="I977" s="43">
        <f t="shared" si="5"/>
      </c>
      <c r="J977" s="43">
        <f t="shared" si="1"/>
      </c>
      <c r="K977" s="49">
        <f t="shared" si="2"/>
      </c>
      <c r="L977" s="45" t="n"/>
      <c r="M977" s="45" t="n"/>
      <c r="N977" s="45" t="n"/>
      <c r="O977" s="45" t="n"/>
      <c r="P977" s="50" t="n"/>
      <c r="R977" s="2">
        <f t="shared" si="6"/>
        <v>0</v>
      </c>
      <c r="S977" s="2">
        <f t="shared" si="7"/>
      </c>
      <c r="T977" s="2">
        <f t="shared" si="8"/>
      </c>
      <c r="U977" s="2">
        <f t="shared" si="9"/>
      </c>
      <c r="V977" s="2">
        <f t="shared" si="10"/>
      </c>
      <c r="W977" s="2">
        <f t="shared" si="11"/>
      </c>
      <c r="X977" s="2">
        <f t="shared" si="12"/>
      </c>
      <c r="Y977" s="2">
        <f t="shared" si="13"/>
        <v>0</v>
      </c>
      <c r="Z977" s="2">
        <f t="shared" si="14"/>
      </c>
      <c r="AA977" s="2">
        <f t="shared" si="15"/>
        <v>0</v>
      </c>
      <c r="AB977" s="2">
        <f t="shared" si="16"/>
      </c>
      <c r="AC977" s="2">
        <f t="shared" si="17"/>
      </c>
      <c r="AD977" s="2">
        <f t="shared" si="18"/>
      </c>
      <c r="AE977" s="2">
        <f t="shared" si="19"/>
      </c>
      <c r="AF977" s="2">
        <f t="shared" si="20"/>
      </c>
      <c r="AG977" s="2">
        <f t="shared" si="21"/>
      </c>
      <c r="AH977" s="2">
        <f t="shared" si="22"/>
      </c>
      <c r="AI977" s="2">
        <f t="shared" si="23"/>
      </c>
      <c r="AJ977" s="2">
        <f t="shared" si="24"/>
        <v>0</v>
      </c>
      <c r="AK977" s="2">
        <f t="shared" si="25"/>
        <v>0</v>
      </c>
      <c r="AL977" s="2">
        <f t="shared" si="26"/>
        <v>0</v>
      </c>
      <c r="AM977" s="2">
        <f t="shared" si="27"/>
        <v>0</v>
      </c>
      <c r="AN977" s="2">
        <f t="shared" si="28"/>
        <v>0</v>
      </c>
      <c r="AO977" s="2">
        <f t="shared" si="29"/>
      </c>
      <c r="AP977" s="2">
        <f t="shared" si="30"/>
      </c>
      <c r="AQ977" s="2">
        <f t="shared" si="31"/>
      </c>
    </row>
    <row r="978">
      <c r="A978" s="43">
        <f t="shared" si="3"/>
      </c>
      <c r="B978" s="44" t="n"/>
      <c r="C978" s="45" t="n"/>
      <c r="D978" s="46" t="n"/>
      <c r="E978" s="47" t="n"/>
      <c r="F978" s="47" t="n"/>
      <c r="G978" s="48">
        <f t="shared" si="4"/>
      </c>
      <c r="H978" s="43">
        <f t="shared" si="0"/>
      </c>
      <c r="I978" s="43">
        <f t="shared" si="5"/>
      </c>
      <c r="J978" s="43">
        <f t="shared" si="1"/>
      </c>
      <c r="K978" s="49">
        <f t="shared" si="2"/>
      </c>
      <c r="L978" s="45" t="n"/>
      <c r="M978" s="45" t="n"/>
      <c r="N978" s="45" t="n"/>
      <c r="O978" s="45" t="n"/>
      <c r="P978" s="50" t="n"/>
      <c r="R978" s="2">
        <f t="shared" si="6"/>
        <v>0</v>
      </c>
      <c r="S978" s="2">
        <f t="shared" si="7"/>
      </c>
      <c r="T978" s="2">
        <f t="shared" si="8"/>
      </c>
      <c r="U978" s="2">
        <f t="shared" si="9"/>
      </c>
      <c r="V978" s="2">
        <f t="shared" si="10"/>
      </c>
      <c r="W978" s="2">
        <f t="shared" si="11"/>
      </c>
      <c r="X978" s="2">
        <f t="shared" si="12"/>
      </c>
      <c r="Y978" s="2">
        <f t="shared" si="13"/>
        <v>0</v>
      </c>
      <c r="Z978" s="2">
        <f t="shared" si="14"/>
      </c>
      <c r="AA978" s="2">
        <f t="shared" si="15"/>
        <v>0</v>
      </c>
      <c r="AB978" s="2">
        <f t="shared" si="16"/>
      </c>
      <c r="AC978" s="2">
        <f t="shared" si="17"/>
      </c>
      <c r="AD978" s="2">
        <f t="shared" si="18"/>
      </c>
      <c r="AE978" s="2">
        <f t="shared" si="19"/>
      </c>
      <c r="AF978" s="2">
        <f t="shared" si="20"/>
      </c>
      <c r="AG978" s="2">
        <f t="shared" si="21"/>
      </c>
      <c r="AH978" s="2">
        <f t="shared" si="22"/>
      </c>
      <c r="AI978" s="2">
        <f t="shared" si="23"/>
      </c>
      <c r="AJ978" s="2">
        <f t="shared" si="24"/>
        <v>0</v>
      </c>
      <c r="AK978" s="2">
        <f t="shared" si="25"/>
        <v>0</v>
      </c>
      <c r="AL978" s="2">
        <f t="shared" si="26"/>
        <v>0</v>
      </c>
      <c r="AM978" s="2">
        <f t="shared" si="27"/>
        <v>0</v>
      </c>
      <c r="AN978" s="2">
        <f t="shared" si="28"/>
        <v>0</v>
      </c>
      <c r="AO978" s="2">
        <f t="shared" si="29"/>
      </c>
      <c r="AP978" s="2">
        <f t="shared" si="30"/>
      </c>
      <c r="AQ978" s="2">
        <f t="shared" si="31"/>
      </c>
    </row>
    <row r="979">
      <c r="A979" s="43">
        <f t="shared" si="3"/>
      </c>
      <c r="B979" s="44" t="n"/>
      <c r="C979" s="45" t="n"/>
      <c r="D979" s="46" t="n"/>
      <c r="E979" s="47" t="n"/>
      <c r="F979" s="47" t="n"/>
      <c r="G979" s="48">
        <f t="shared" si="4"/>
      </c>
      <c r="H979" s="43">
        <f t="shared" si="0"/>
      </c>
      <c r="I979" s="43">
        <f t="shared" si="5"/>
      </c>
      <c r="J979" s="43">
        <f t="shared" si="1"/>
      </c>
      <c r="K979" s="49">
        <f t="shared" si="2"/>
      </c>
      <c r="L979" s="45" t="n"/>
      <c r="M979" s="45" t="n"/>
      <c r="N979" s="45" t="n"/>
      <c r="O979" s="45" t="n"/>
      <c r="P979" s="50" t="n"/>
      <c r="R979" s="2">
        <f t="shared" si="6"/>
        <v>0</v>
      </c>
      <c r="S979" s="2">
        <f t="shared" si="7"/>
      </c>
      <c r="T979" s="2">
        <f t="shared" si="8"/>
      </c>
      <c r="U979" s="2">
        <f t="shared" si="9"/>
      </c>
      <c r="V979" s="2">
        <f t="shared" si="10"/>
      </c>
      <c r="W979" s="2">
        <f t="shared" si="11"/>
      </c>
      <c r="X979" s="2">
        <f t="shared" si="12"/>
      </c>
      <c r="Y979" s="2">
        <f t="shared" si="13"/>
        <v>0</v>
      </c>
      <c r="Z979" s="2">
        <f t="shared" si="14"/>
      </c>
      <c r="AA979" s="2">
        <f t="shared" si="15"/>
        <v>0</v>
      </c>
      <c r="AB979" s="2">
        <f t="shared" si="16"/>
      </c>
      <c r="AC979" s="2">
        <f t="shared" si="17"/>
      </c>
      <c r="AD979" s="2">
        <f t="shared" si="18"/>
      </c>
      <c r="AE979" s="2">
        <f t="shared" si="19"/>
      </c>
      <c r="AF979" s="2">
        <f t="shared" si="20"/>
      </c>
      <c r="AG979" s="2">
        <f t="shared" si="21"/>
      </c>
      <c r="AH979" s="2">
        <f t="shared" si="22"/>
      </c>
      <c r="AI979" s="2">
        <f t="shared" si="23"/>
      </c>
      <c r="AJ979" s="2">
        <f t="shared" si="24"/>
        <v>0</v>
      </c>
      <c r="AK979" s="2">
        <f t="shared" si="25"/>
        <v>0</v>
      </c>
      <c r="AL979" s="2">
        <f t="shared" si="26"/>
        <v>0</v>
      </c>
      <c r="AM979" s="2">
        <f t="shared" si="27"/>
        <v>0</v>
      </c>
      <c r="AN979" s="2">
        <f t="shared" si="28"/>
        <v>0</v>
      </c>
      <c r="AO979" s="2">
        <f t="shared" si="29"/>
      </c>
      <c r="AP979" s="2">
        <f t="shared" si="30"/>
      </c>
      <c r="AQ979" s="2">
        <f t="shared" si="31"/>
      </c>
    </row>
    <row r="980">
      <c r="A980" s="43">
        <f t="shared" si="3"/>
      </c>
      <c r="B980" s="44" t="n"/>
      <c r="C980" s="45" t="n"/>
      <c r="D980" s="46" t="n"/>
      <c r="E980" s="47" t="n"/>
      <c r="F980" s="47" t="n"/>
      <c r="G980" s="48">
        <f t="shared" si="4"/>
      </c>
      <c r="H980" s="43">
        <f t="shared" si="0"/>
      </c>
      <c r="I980" s="43">
        <f t="shared" si="5"/>
      </c>
      <c r="J980" s="43">
        <f t="shared" si="1"/>
      </c>
      <c r="K980" s="49">
        <f t="shared" si="2"/>
      </c>
      <c r="L980" s="45" t="n"/>
      <c r="M980" s="45" t="n"/>
      <c r="N980" s="45" t="n"/>
      <c r="O980" s="45" t="n"/>
      <c r="P980" s="50" t="n"/>
      <c r="R980" s="2">
        <f t="shared" si="6"/>
        <v>0</v>
      </c>
      <c r="S980" s="2">
        <f t="shared" si="7"/>
      </c>
      <c r="T980" s="2">
        <f t="shared" si="8"/>
      </c>
      <c r="U980" s="2">
        <f t="shared" si="9"/>
      </c>
      <c r="V980" s="2">
        <f t="shared" si="10"/>
      </c>
      <c r="W980" s="2">
        <f t="shared" si="11"/>
      </c>
      <c r="X980" s="2">
        <f t="shared" si="12"/>
      </c>
      <c r="Y980" s="2">
        <f t="shared" si="13"/>
        <v>0</v>
      </c>
      <c r="Z980" s="2">
        <f t="shared" si="14"/>
      </c>
      <c r="AA980" s="2">
        <f t="shared" si="15"/>
        <v>0</v>
      </c>
      <c r="AB980" s="2">
        <f t="shared" si="16"/>
      </c>
      <c r="AC980" s="2">
        <f t="shared" si="17"/>
      </c>
      <c r="AD980" s="2">
        <f t="shared" si="18"/>
      </c>
      <c r="AE980" s="2">
        <f t="shared" si="19"/>
      </c>
      <c r="AF980" s="2">
        <f t="shared" si="20"/>
      </c>
      <c r="AG980" s="2">
        <f t="shared" si="21"/>
      </c>
      <c r="AH980" s="2">
        <f t="shared" si="22"/>
      </c>
      <c r="AI980" s="2">
        <f t="shared" si="23"/>
      </c>
      <c r="AJ980" s="2">
        <f t="shared" si="24"/>
        <v>0</v>
      </c>
      <c r="AK980" s="2">
        <f t="shared" si="25"/>
        <v>0</v>
      </c>
      <c r="AL980" s="2">
        <f t="shared" si="26"/>
        <v>0</v>
      </c>
      <c r="AM980" s="2">
        <f t="shared" si="27"/>
        <v>0</v>
      </c>
      <c r="AN980" s="2">
        <f t="shared" si="28"/>
        <v>0</v>
      </c>
      <c r="AO980" s="2">
        <f t="shared" si="29"/>
      </c>
      <c r="AP980" s="2">
        <f t="shared" si="30"/>
      </c>
      <c r="AQ980" s="2">
        <f t="shared" si="31"/>
      </c>
    </row>
    <row r="981">
      <c r="A981" s="43">
        <f t="shared" si="3"/>
      </c>
      <c r="B981" s="44" t="n"/>
      <c r="C981" s="45" t="n"/>
      <c r="D981" s="46" t="n"/>
      <c r="E981" s="47" t="n"/>
      <c r="F981" s="47" t="n"/>
      <c r="G981" s="48">
        <f t="shared" si="4"/>
      </c>
      <c r="H981" s="43">
        <f t="shared" si="0"/>
      </c>
      <c r="I981" s="43">
        <f t="shared" si="5"/>
      </c>
      <c r="J981" s="43">
        <f t="shared" si="1"/>
      </c>
      <c r="K981" s="49">
        <f t="shared" si="2"/>
      </c>
      <c r="L981" s="45" t="n"/>
      <c r="M981" s="45" t="n"/>
      <c r="N981" s="45" t="n"/>
      <c r="O981" s="45" t="n"/>
      <c r="P981" s="50" t="n"/>
      <c r="R981" s="2">
        <f t="shared" si="6"/>
        <v>0</v>
      </c>
      <c r="S981" s="2">
        <f t="shared" si="7"/>
      </c>
      <c r="T981" s="2">
        <f t="shared" si="8"/>
      </c>
      <c r="U981" s="2">
        <f t="shared" si="9"/>
      </c>
      <c r="V981" s="2">
        <f t="shared" si="10"/>
      </c>
      <c r="W981" s="2">
        <f t="shared" si="11"/>
      </c>
      <c r="X981" s="2">
        <f t="shared" si="12"/>
      </c>
      <c r="Y981" s="2">
        <f t="shared" si="13"/>
        <v>0</v>
      </c>
      <c r="Z981" s="2">
        <f t="shared" si="14"/>
      </c>
      <c r="AA981" s="2">
        <f t="shared" si="15"/>
        <v>0</v>
      </c>
      <c r="AB981" s="2">
        <f t="shared" si="16"/>
      </c>
      <c r="AC981" s="2">
        <f t="shared" si="17"/>
      </c>
      <c r="AD981" s="2">
        <f t="shared" si="18"/>
      </c>
      <c r="AE981" s="2">
        <f t="shared" si="19"/>
      </c>
      <c r="AF981" s="2">
        <f t="shared" si="20"/>
      </c>
      <c r="AG981" s="2">
        <f t="shared" si="21"/>
      </c>
      <c r="AH981" s="2">
        <f t="shared" si="22"/>
      </c>
      <c r="AI981" s="2">
        <f t="shared" si="23"/>
      </c>
      <c r="AJ981" s="2">
        <f t="shared" si="24"/>
        <v>0</v>
      </c>
      <c r="AK981" s="2">
        <f t="shared" si="25"/>
        <v>0</v>
      </c>
      <c r="AL981" s="2">
        <f t="shared" si="26"/>
        <v>0</v>
      </c>
      <c r="AM981" s="2">
        <f t="shared" si="27"/>
        <v>0</v>
      </c>
      <c r="AN981" s="2">
        <f t="shared" si="28"/>
        <v>0</v>
      </c>
      <c r="AO981" s="2">
        <f t="shared" si="29"/>
      </c>
      <c r="AP981" s="2">
        <f t="shared" si="30"/>
      </c>
      <c r="AQ981" s="2">
        <f t="shared" si="31"/>
      </c>
    </row>
    <row r="982">
      <c r="A982" s="43">
        <f t="shared" si="3"/>
      </c>
      <c r="B982" s="44" t="n"/>
      <c r="C982" s="45" t="n"/>
      <c r="D982" s="46" t="n"/>
      <c r="E982" s="47" t="n"/>
      <c r="F982" s="47" t="n"/>
      <c r="G982" s="48">
        <f t="shared" si="4"/>
      </c>
      <c r="H982" s="43">
        <f t="shared" si="0"/>
      </c>
      <c r="I982" s="43">
        <f t="shared" si="5"/>
      </c>
      <c r="J982" s="43">
        <f t="shared" si="1"/>
      </c>
      <c r="K982" s="49">
        <f t="shared" si="2"/>
      </c>
      <c r="L982" s="45" t="n"/>
      <c r="M982" s="45" t="n"/>
      <c r="N982" s="45" t="n"/>
      <c r="O982" s="45" t="n"/>
      <c r="P982" s="50" t="n"/>
      <c r="R982" s="2">
        <f t="shared" si="6"/>
        <v>0</v>
      </c>
      <c r="S982" s="2">
        <f t="shared" si="7"/>
      </c>
      <c r="T982" s="2">
        <f t="shared" si="8"/>
      </c>
      <c r="U982" s="2">
        <f t="shared" si="9"/>
      </c>
      <c r="V982" s="2">
        <f t="shared" si="10"/>
      </c>
      <c r="W982" s="2">
        <f t="shared" si="11"/>
      </c>
      <c r="X982" s="2">
        <f t="shared" si="12"/>
      </c>
      <c r="Y982" s="2">
        <f t="shared" si="13"/>
        <v>0</v>
      </c>
      <c r="Z982" s="2">
        <f t="shared" si="14"/>
      </c>
      <c r="AA982" s="2">
        <f t="shared" si="15"/>
        <v>0</v>
      </c>
      <c r="AB982" s="2">
        <f t="shared" si="16"/>
      </c>
      <c r="AC982" s="2">
        <f t="shared" si="17"/>
      </c>
      <c r="AD982" s="2">
        <f t="shared" si="18"/>
      </c>
      <c r="AE982" s="2">
        <f t="shared" si="19"/>
      </c>
      <c r="AF982" s="2">
        <f t="shared" si="20"/>
      </c>
      <c r="AG982" s="2">
        <f t="shared" si="21"/>
      </c>
      <c r="AH982" s="2">
        <f t="shared" si="22"/>
      </c>
      <c r="AI982" s="2">
        <f t="shared" si="23"/>
      </c>
      <c r="AJ982" s="2">
        <f t="shared" si="24"/>
        <v>0</v>
      </c>
      <c r="AK982" s="2">
        <f t="shared" si="25"/>
        <v>0</v>
      </c>
      <c r="AL982" s="2">
        <f t="shared" si="26"/>
        <v>0</v>
      </c>
      <c r="AM982" s="2">
        <f t="shared" si="27"/>
        <v>0</v>
      </c>
      <c r="AN982" s="2">
        <f t="shared" si="28"/>
        <v>0</v>
      </c>
      <c r="AO982" s="2">
        <f t="shared" si="29"/>
      </c>
      <c r="AP982" s="2">
        <f t="shared" si="30"/>
      </c>
      <c r="AQ982" s="2">
        <f t="shared" si="31"/>
      </c>
    </row>
    <row r="983">
      <c r="A983" s="43">
        <f t="shared" si="3"/>
      </c>
      <c r="B983" s="44" t="n"/>
      <c r="C983" s="45" t="n"/>
      <c r="D983" s="46" t="n"/>
      <c r="E983" s="47" t="n"/>
      <c r="F983" s="47" t="n"/>
      <c r="G983" s="48">
        <f t="shared" si="4"/>
      </c>
      <c r="H983" s="43">
        <f t="shared" si="0"/>
      </c>
      <c r="I983" s="43">
        <f t="shared" si="5"/>
      </c>
      <c r="J983" s="43">
        <f t="shared" si="1"/>
      </c>
      <c r="K983" s="49">
        <f t="shared" si="2"/>
      </c>
      <c r="L983" s="45" t="n"/>
      <c r="M983" s="45" t="n"/>
      <c r="N983" s="45" t="n"/>
      <c r="O983" s="45" t="n"/>
      <c r="P983" s="50" t="n"/>
      <c r="R983" s="2">
        <f t="shared" si="6"/>
        <v>0</v>
      </c>
      <c r="S983" s="2">
        <f t="shared" si="7"/>
      </c>
      <c r="T983" s="2">
        <f t="shared" si="8"/>
      </c>
      <c r="U983" s="2">
        <f t="shared" si="9"/>
      </c>
      <c r="V983" s="2">
        <f t="shared" si="10"/>
      </c>
      <c r="W983" s="2">
        <f t="shared" si="11"/>
      </c>
      <c r="X983" s="2">
        <f t="shared" si="12"/>
      </c>
      <c r="Y983" s="2">
        <f t="shared" si="13"/>
        <v>0</v>
      </c>
      <c r="Z983" s="2">
        <f t="shared" si="14"/>
      </c>
      <c r="AA983" s="2">
        <f t="shared" si="15"/>
        <v>0</v>
      </c>
      <c r="AB983" s="2">
        <f t="shared" si="16"/>
      </c>
      <c r="AC983" s="2">
        <f t="shared" si="17"/>
      </c>
      <c r="AD983" s="2">
        <f t="shared" si="18"/>
      </c>
      <c r="AE983" s="2">
        <f t="shared" si="19"/>
      </c>
      <c r="AF983" s="2">
        <f t="shared" si="20"/>
      </c>
      <c r="AG983" s="2">
        <f t="shared" si="21"/>
      </c>
      <c r="AH983" s="2">
        <f t="shared" si="22"/>
      </c>
      <c r="AI983" s="2">
        <f t="shared" si="23"/>
      </c>
      <c r="AJ983" s="2">
        <f t="shared" si="24"/>
        <v>0</v>
      </c>
      <c r="AK983" s="2">
        <f t="shared" si="25"/>
        <v>0</v>
      </c>
      <c r="AL983" s="2">
        <f t="shared" si="26"/>
        <v>0</v>
      </c>
      <c r="AM983" s="2">
        <f t="shared" si="27"/>
        <v>0</v>
      </c>
      <c r="AN983" s="2">
        <f t="shared" si="28"/>
        <v>0</v>
      </c>
      <c r="AO983" s="2">
        <f t="shared" si="29"/>
      </c>
      <c r="AP983" s="2">
        <f t="shared" si="30"/>
      </c>
      <c r="AQ983" s="2">
        <f t="shared" si="31"/>
      </c>
    </row>
    <row r="984">
      <c r="A984" s="43">
        <f t="shared" si="3"/>
      </c>
      <c r="B984" s="44" t="n"/>
      <c r="C984" s="45" t="n"/>
      <c r="D984" s="46" t="n"/>
      <c r="E984" s="47" t="n"/>
      <c r="F984" s="47" t="n"/>
      <c r="G984" s="48">
        <f t="shared" si="4"/>
      </c>
      <c r="H984" s="43">
        <f t="shared" si="0"/>
      </c>
      <c r="I984" s="43">
        <f t="shared" si="5"/>
      </c>
      <c r="J984" s="43">
        <f t="shared" si="1"/>
      </c>
      <c r="K984" s="49">
        <f t="shared" si="2"/>
      </c>
      <c r="L984" s="45" t="n"/>
      <c r="M984" s="45" t="n"/>
      <c r="N984" s="45" t="n"/>
      <c r="O984" s="45" t="n"/>
      <c r="P984" s="50" t="n"/>
      <c r="R984" s="2">
        <f t="shared" si="6"/>
        <v>0</v>
      </c>
      <c r="S984" s="2">
        <f t="shared" si="7"/>
      </c>
      <c r="T984" s="2">
        <f t="shared" si="8"/>
      </c>
      <c r="U984" s="2">
        <f t="shared" si="9"/>
      </c>
      <c r="V984" s="2">
        <f t="shared" si="10"/>
      </c>
      <c r="W984" s="2">
        <f t="shared" si="11"/>
      </c>
      <c r="X984" s="2">
        <f t="shared" si="12"/>
      </c>
      <c r="Y984" s="2">
        <f t="shared" si="13"/>
        <v>0</v>
      </c>
      <c r="Z984" s="2">
        <f t="shared" si="14"/>
      </c>
      <c r="AA984" s="2">
        <f t="shared" si="15"/>
        <v>0</v>
      </c>
      <c r="AB984" s="2">
        <f t="shared" si="16"/>
      </c>
      <c r="AC984" s="2">
        <f t="shared" si="17"/>
      </c>
      <c r="AD984" s="2">
        <f t="shared" si="18"/>
      </c>
      <c r="AE984" s="2">
        <f t="shared" si="19"/>
      </c>
      <c r="AF984" s="2">
        <f t="shared" si="20"/>
      </c>
      <c r="AG984" s="2">
        <f t="shared" si="21"/>
      </c>
      <c r="AH984" s="2">
        <f t="shared" si="22"/>
      </c>
      <c r="AI984" s="2">
        <f t="shared" si="23"/>
      </c>
      <c r="AJ984" s="2">
        <f t="shared" si="24"/>
        <v>0</v>
      </c>
      <c r="AK984" s="2">
        <f t="shared" si="25"/>
        <v>0</v>
      </c>
      <c r="AL984" s="2">
        <f t="shared" si="26"/>
        <v>0</v>
      </c>
      <c r="AM984" s="2">
        <f t="shared" si="27"/>
        <v>0</v>
      </c>
      <c r="AN984" s="2">
        <f t="shared" si="28"/>
        <v>0</v>
      </c>
      <c r="AO984" s="2">
        <f t="shared" si="29"/>
      </c>
      <c r="AP984" s="2">
        <f t="shared" si="30"/>
      </c>
      <c r="AQ984" s="2">
        <f t="shared" si="31"/>
      </c>
    </row>
    <row r="985">
      <c r="A985" s="43">
        <f t="shared" si="3"/>
      </c>
      <c r="B985" s="44" t="n"/>
      <c r="C985" s="45" t="n"/>
      <c r="D985" s="46" t="n"/>
      <c r="E985" s="47" t="n"/>
      <c r="F985" s="47" t="n"/>
      <c r="G985" s="48">
        <f t="shared" si="4"/>
      </c>
      <c r="H985" s="43">
        <f t="shared" si="0"/>
      </c>
      <c r="I985" s="43">
        <f t="shared" si="5"/>
      </c>
      <c r="J985" s="43">
        <f t="shared" si="1"/>
      </c>
      <c r="K985" s="49">
        <f t="shared" si="2"/>
      </c>
      <c r="L985" s="45" t="n"/>
      <c r="M985" s="45" t="n"/>
      <c r="N985" s="45" t="n"/>
      <c r="O985" s="45" t="n"/>
      <c r="P985" s="50" t="n"/>
      <c r="R985" s="2">
        <f t="shared" si="6"/>
        <v>0</v>
      </c>
      <c r="S985" s="2">
        <f t="shared" si="7"/>
      </c>
      <c r="T985" s="2">
        <f t="shared" si="8"/>
      </c>
      <c r="U985" s="2">
        <f t="shared" si="9"/>
      </c>
      <c r="V985" s="2">
        <f t="shared" si="10"/>
      </c>
      <c r="W985" s="2">
        <f t="shared" si="11"/>
      </c>
      <c r="X985" s="2">
        <f t="shared" si="12"/>
      </c>
      <c r="Y985" s="2">
        <f t="shared" si="13"/>
        <v>0</v>
      </c>
      <c r="Z985" s="2">
        <f t="shared" si="14"/>
      </c>
      <c r="AA985" s="2">
        <f t="shared" si="15"/>
        <v>0</v>
      </c>
      <c r="AB985" s="2">
        <f t="shared" si="16"/>
      </c>
      <c r="AC985" s="2">
        <f t="shared" si="17"/>
      </c>
      <c r="AD985" s="2">
        <f t="shared" si="18"/>
      </c>
      <c r="AE985" s="2">
        <f t="shared" si="19"/>
      </c>
      <c r="AF985" s="2">
        <f t="shared" si="20"/>
      </c>
      <c r="AG985" s="2">
        <f t="shared" si="21"/>
      </c>
      <c r="AH985" s="2">
        <f t="shared" si="22"/>
      </c>
      <c r="AI985" s="2">
        <f t="shared" si="23"/>
      </c>
      <c r="AJ985" s="2">
        <f t="shared" si="24"/>
        <v>0</v>
      </c>
      <c r="AK985" s="2">
        <f t="shared" si="25"/>
        <v>0</v>
      </c>
      <c r="AL985" s="2">
        <f t="shared" si="26"/>
        <v>0</v>
      </c>
      <c r="AM985" s="2">
        <f t="shared" si="27"/>
        <v>0</v>
      </c>
      <c r="AN985" s="2">
        <f t="shared" si="28"/>
        <v>0</v>
      </c>
      <c r="AO985" s="2">
        <f t="shared" si="29"/>
      </c>
      <c r="AP985" s="2">
        <f t="shared" si="30"/>
      </c>
      <c r="AQ985" s="2">
        <f t="shared" si="31"/>
      </c>
    </row>
    <row r="986">
      <c r="A986" s="43">
        <f t="shared" si="3"/>
      </c>
      <c r="B986" s="44" t="n"/>
      <c r="C986" s="45" t="n"/>
      <c r="D986" s="46" t="n"/>
      <c r="E986" s="47" t="n"/>
      <c r="F986" s="47" t="n"/>
      <c r="G986" s="48">
        <f t="shared" si="4"/>
      </c>
      <c r="H986" s="43">
        <f t="shared" si="0"/>
      </c>
      <c r="I986" s="43">
        <f t="shared" si="5"/>
      </c>
      <c r="J986" s="43">
        <f t="shared" si="1"/>
      </c>
      <c r="K986" s="49">
        <f t="shared" si="2"/>
      </c>
      <c r="L986" s="45" t="n"/>
      <c r="M986" s="45" t="n"/>
      <c r="N986" s="45" t="n"/>
      <c r="O986" s="45" t="n"/>
      <c r="P986" s="50" t="n"/>
      <c r="R986" s="2">
        <f t="shared" si="6"/>
        <v>0</v>
      </c>
      <c r="S986" s="2">
        <f t="shared" si="7"/>
      </c>
      <c r="T986" s="2">
        <f t="shared" si="8"/>
      </c>
      <c r="U986" s="2">
        <f t="shared" si="9"/>
      </c>
      <c r="V986" s="2">
        <f t="shared" si="10"/>
      </c>
      <c r="W986" s="2">
        <f t="shared" si="11"/>
      </c>
      <c r="X986" s="2">
        <f t="shared" si="12"/>
      </c>
      <c r="Y986" s="2">
        <f t="shared" si="13"/>
        <v>0</v>
      </c>
      <c r="Z986" s="2">
        <f t="shared" si="14"/>
      </c>
      <c r="AA986" s="2">
        <f t="shared" si="15"/>
        <v>0</v>
      </c>
      <c r="AB986" s="2">
        <f t="shared" si="16"/>
      </c>
      <c r="AC986" s="2">
        <f t="shared" si="17"/>
      </c>
      <c r="AD986" s="2">
        <f t="shared" si="18"/>
      </c>
      <c r="AE986" s="2">
        <f t="shared" si="19"/>
      </c>
      <c r="AF986" s="2">
        <f t="shared" si="20"/>
      </c>
      <c r="AG986" s="2">
        <f t="shared" si="21"/>
      </c>
      <c r="AH986" s="2">
        <f t="shared" si="22"/>
      </c>
      <c r="AI986" s="2">
        <f t="shared" si="23"/>
      </c>
      <c r="AJ986" s="2">
        <f t="shared" si="24"/>
        <v>0</v>
      </c>
      <c r="AK986" s="2">
        <f t="shared" si="25"/>
        <v>0</v>
      </c>
      <c r="AL986" s="2">
        <f t="shared" si="26"/>
        <v>0</v>
      </c>
      <c r="AM986" s="2">
        <f t="shared" si="27"/>
        <v>0</v>
      </c>
      <c r="AN986" s="2">
        <f t="shared" si="28"/>
        <v>0</v>
      </c>
      <c r="AO986" s="2">
        <f t="shared" si="29"/>
      </c>
      <c r="AP986" s="2">
        <f t="shared" si="30"/>
      </c>
      <c r="AQ986" s="2">
        <f t="shared" si="31"/>
      </c>
    </row>
    <row r="987">
      <c r="A987" s="43">
        <f t="shared" si="3"/>
      </c>
      <c r="B987" s="44" t="n"/>
      <c r="C987" s="45" t="n"/>
      <c r="D987" s="46" t="n"/>
      <c r="E987" s="47" t="n"/>
      <c r="F987" s="47" t="n"/>
      <c r="G987" s="48">
        <f t="shared" si="4"/>
      </c>
      <c r="H987" s="43">
        <f t="shared" si="0"/>
      </c>
      <c r="I987" s="43">
        <f t="shared" si="5"/>
      </c>
      <c r="J987" s="43">
        <f t="shared" si="1"/>
      </c>
      <c r="K987" s="49">
        <f t="shared" si="2"/>
      </c>
      <c r="L987" s="45" t="n"/>
      <c r="M987" s="45" t="n"/>
      <c r="N987" s="45" t="n"/>
      <c r="O987" s="45" t="n"/>
      <c r="P987" s="50" t="n"/>
      <c r="R987" s="2">
        <f t="shared" si="6"/>
        <v>0</v>
      </c>
      <c r="S987" s="2">
        <f t="shared" si="7"/>
      </c>
      <c r="T987" s="2">
        <f t="shared" si="8"/>
      </c>
      <c r="U987" s="2">
        <f t="shared" si="9"/>
      </c>
      <c r="V987" s="2">
        <f t="shared" si="10"/>
      </c>
      <c r="W987" s="2">
        <f t="shared" si="11"/>
      </c>
      <c r="X987" s="2">
        <f t="shared" si="12"/>
      </c>
      <c r="Y987" s="2">
        <f t="shared" si="13"/>
        <v>0</v>
      </c>
      <c r="Z987" s="2">
        <f t="shared" si="14"/>
      </c>
      <c r="AA987" s="2">
        <f t="shared" si="15"/>
        <v>0</v>
      </c>
      <c r="AB987" s="2">
        <f t="shared" si="16"/>
      </c>
      <c r="AC987" s="2">
        <f t="shared" si="17"/>
      </c>
      <c r="AD987" s="2">
        <f t="shared" si="18"/>
      </c>
      <c r="AE987" s="2">
        <f t="shared" si="19"/>
      </c>
      <c r="AF987" s="2">
        <f t="shared" si="20"/>
      </c>
      <c r="AG987" s="2">
        <f t="shared" si="21"/>
      </c>
      <c r="AH987" s="2">
        <f t="shared" si="22"/>
      </c>
      <c r="AI987" s="2">
        <f t="shared" si="23"/>
      </c>
      <c r="AJ987" s="2">
        <f t="shared" si="24"/>
        <v>0</v>
      </c>
      <c r="AK987" s="2">
        <f t="shared" si="25"/>
        <v>0</v>
      </c>
      <c r="AL987" s="2">
        <f t="shared" si="26"/>
        <v>0</v>
      </c>
      <c r="AM987" s="2">
        <f t="shared" si="27"/>
        <v>0</v>
      </c>
      <c r="AN987" s="2">
        <f t="shared" si="28"/>
        <v>0</v>
      </c>
      <c r="AO987" s="2">
        <f t="shared" si="29"/>
      </c>
      <c r="AP987" s="2">
        <f t="shared" si="30"/>
      </c>
      <c r="AQ987" s="2">
        <f t="shared" si="31"/>
      </c>
    </row>
    <row r="988">
      <c r="A988" s="43">
        <f t="shared" si="3"/>
      </c>
      <c r="B988" s="44" t="n"/>
      <c r="C988" s="45" t="n"/>
      <c r="D988" s="46" t="n"/>
      <c r="E988" s="47" t="n"/>
      <c r="F988" s="47" t="n"/>
      <c r="G988" s="48">
        <f t="shared" si="4"/>
      </c>
      <c r="H988" s="43">
        <f t="shared" si="0"/>
      </c>
      <c r="I988" s="43">
        <f t="shared" si="5"/>
      </c>
      <c r="J988" s="43">
        <f t="shared" si="1"/>
      </c>
      <c r="K988" s="49">
        <f t="shared" si="2"/>
      </c>
      <c r="L988" s="45" t="n"/>
      <c r="M988" s="45" t="n"/>
      <c r="N988" s="45" t="n"/>
      <c r="O988" s="45" t="n"/>
      <c r="P988" s="50" t="n"/>
      <c r="R988" s="2">
        <f t="shared" si="6"/>
        <v>0</v>
      </c>
      <c r="S988" s="2">
        <f t="shared" si="7"/>
      </c>
      <c r="T988" s="2">
        <f t="shared" si="8"/>
      </c>
      <c r="U988" s="2">
        <f t="shared" si="9"/>
      </c>
      <c r="V988" s="2">
        <f t="shared" si="10"/>
      </c>
      <c r="W988" s="2">
        <f t="shared" si="11"/>
      </c>
      <c r="X988" s="2">
        <f t="shared" si="12"/>
      </c>
      <c r="Y988" s="2">
        <f t="shared" si="13"/>
        <v>0</v>
      </c>
      <c r="Z988" s="2">
        <f t="shared" si="14"/>
      </c>
      <c r="AA988" s="2">
        <f t="shared" si="15"/>
        <v>0</v>
      </c>
      <c r="AB988" s="2">
        <f t="shared" si="16"/>
      </c>
      <c r="AC988" s="2">
        <f t="shared" si="17"/>
      </c>
      <c r="AD988" s="2">
        <f t="shared" si="18"/>
      </c>
      <c r="AE988" s="2">
        <f t="shared" si="19"/>
      </c>
      <c r="AF988" s="2">
        <f t="shared" si="20"/>
      </c>
      <c r="AG988" s="2">
        <f t="shared" si="21"/>
      </c>
      <c r="AH988" s="2">
        <f t="shared" si="22"/>
      </c>
      <c r="AI988" s="2">
        <f t="shared" si="23"/>
      </c>
      <c r="AJ988" s="2">
        <f t="shared" si="24"/>
        <v>0</v>
      </c>
      <c r="AK988" s="2">
        <f t="shared" si="25"/>
        <v>0</v>
      </c>
      <c r="AL988" s="2">
        <f t="shared" si="26"/>
        <v>0</v>
      </c>
      <c r="AM988" s="2">
        <f t="shared" si="27"/>
        <v>0</v>
      </c>
      <c r="AN988" s="2">
        <f t="shared" si="28"/>
        <v>0</v>
      </c>
      <c r="AO988" s="2">
        <f t="shared" si="29"/>
      </c>
      <c r="AP988" s="2">
        <f t="shared" si="30"/>
      </c>
      <c r="AQ988" s="2">
        <f t="shared" si="31"/>
      </c>
    </row>
    <row r="989">
      <c r="A989" s="43">
        <f t="shared" si="3"/>
      </c>
      <c r="B989" s="44" t="n"/>
      <c r="C989" s="45" t="n"/>
      <c r="D989" s="46" t="n"/>
      <c r="E989" s="47" t="n"/>
      <c r="F989" s="47" t="n"/>
      <c r="G989" s="48">
        <f t="shared" si="4"/>
      </c>
      <c r="H989" s="43">
        <f t="shared" si="0"/>
      </c>
      <c r="I989" s="43">
        <f t="shared" si="5"/>
      </c>
      <c r="J989" s="43">
        <f t="shared" si="1"/>
      </c>
      <c r="K989" s="49">
        <f t="shared" si="2"/>
      </c>
      <c r="L989" s="45" t="n"/>
      <c r="M989" s="45" t="n"/>
      <c r="N989" s="45" t="n"/>
      <c r="O989" s="45" t="n"/>
      <c r="P989" s="50" t="n"/>
      <c r="R989" s="2">
        <f t="shared" si="6"/>
        <v>0</v>
      </c>
      <c r="S989" s="2">
        <f t="shared" si="7"/>
      </c>
      <c r="T989" s="2">
        <f t="shared" si="8"/>
      </c>
      <c r="U989" s="2">
        <f t="shared" si="9"/>
      </c>
      <c r="V989" s="2">
        <f t="shared" si="10"/>
      </c>
      <c r="W989" s="2">
        <f t="shared" si="11"/>
      </c>
      <c r="X989" s="2">
        <f t="shared" si="12"/>
      </c>
      <c r="Y989" s="2">
        <f t="shared" si="13"/>
        <v>0</v>
      </c>
      <c r="Z989" s="2">
        <f t="shared" si="14"/>
      </c>
      <c r="AA989" s="2">
        <f t="shared" si="15"/>
        <v>0</v>
      </c>
      <c r="AB989" s="2">
        <f t="shared" si="16"/>
      </c>
      <c r="AC989" s="2">
        <f t="shared" si="17"/>
      </c>
      <c r="AD989" s="2">
        <f t="shared" si="18"/>
      </c>
      <c r="AE989" s="2">
        <f t="shared" si="19"/>
      </c>
      <c r="AF989" s="2">
        <f t="shared" si="20"/>
      </c>
      <c r="AG989" s="2">
        <f t="shared" si="21"/>
      </c>
      <c r="AH989" s="2">
        <f t="shared" si="22"/>
      </c>
      <c r="AI989" s="2">
        <f t="shared" si="23"/>
      </c>
      <c r="AJ989" s="2">
        <f t="shared" si="24"/>
        <v>0</v>
      </c>
      <c r="AK989" s="2">
        <f t="shared" si="25"/>
        <v>0</v>
      </c>
      <c r="AL989" s="2">
        <f t="shared" si="26"/>
        <v>0</v>
      </c>
      <c r="AM989" s="2">
        <f t="shared" si="27"/>
        <v>0</v>
      </c>
      <c r="AN989" s="2">
        <f t="shared" si="28"/>
        <v>0</v>
      </c>
      <c r="AO989" s="2">
        <f t="shared" si="29"/>
      </c>
      <c r="AP989" s="2">
        <f t="shared" si="30"/>
      </c>
      <c r="AQ989" s="2">
        <f t="shared" si="31"/>
      </c>
    </row>
    <row r="990">
      <c r="A990" s="43">
        <f t="shared" si="3"/>
      </c>
      <c r="B990" s="44" t="n"/>
      <c r="C990" s="45" t="n"/>
      <c r="D990" s="46" t="n"/>
      <c r="E990" s="47" t="n"/>
      <c r="F990" s="47" t="n"/>
      <c r="G990" s="48">
        <f t="shared" si="4"/>
      </c>
      <c r="H990" s="43">
        <f t="shared" si="0"/>
      </c>
      <c r="I990" s="43">
        <f t="shared" si="5"/>
      </c>
      <c r="J990" s="43">
        <f t="shared" si="1"/>
      </c>
      <c r="K990" s="49">
        <f t="shared" si="2"/>
      </c>
      <c r="L990" s="45" t="n"/>
      <c r="M990" s="45" t="n"/>
      <c r="N990" s="45" t="n"/>
      <c r="O990" s="45" t="n"/>
      <c r="P990" s="50" t="n"/>
      <c r="R990" s="2">
        <f t="shared" si="6"/>
        <v>0</v>
      </c>
      <c r="S990" s="2">
        <f t="shared" si="7"/>
      </c>
      <c r="T990" s="2">
        <f t="shared" si="8"/>
      </c>
      <c r="U990" s="2">
        <f t="shared" si="9"/>
      </c>
      <c r="V990" s="2">
        <f t="shared" si="10"/>
      </c>
      <c r="W990" s="2">
        <f t="shared" si="11"/>
      </c>
      <c r="X990" s="2">
        <f t="shared" si="12"/>
      </c>
      <c r="Y990" s="2">
        <f t="shared" si="13"/>
        <v>0</v>
      </c>
      <c r="Z990" s="2">
        <f t="shared" si="14"/>
      </c>
      <c r="AA990" s="2">
        <f t="shared" si="15"/>
        <v>0</v>
      </c>
      <c r="AB990" s="2">
        <f t="shared" si="16"/>
      </c>
      <c r="AC990" s="2">
        <f t="shared" si="17"/>
      </c>
      <c r="AD990" s="2">
        <f t="shared" si="18"/>
      </c>
      <c r="AE990" s="2">
        <f t="shared" si="19"/>
      </c>
      <c r="AF990" s="2">
        <f t="shared" si="20"/>
      </c>
      <c r="AG990" s="2">
        <f t="shared" si="21"/>
      </c>
      <c r="AH990" s="2">
        <f t="shared" si="22"/>
      </c>
      <c r="AI990" s="2">
        <f t="shared" si="23"/>
      </c>
      <c r="AJ990" s="2">
        <f t="shared" si="24"/>
        <v>0</v>
      </c>
      <c r="AK990" s="2">
        <f t="shared" si="25"/>
        <v>0</v>
      </c>
      <c r="AL990" s="2">
        <f t="shared" si="26"/>
        <v>0</v>
      </c>
      <c r="AM990" s="2">
        <f t="shared" si="27"/>
        <v>0</v>
      </c>
      <c r="AN990" s="2">
        <f t="shared" si="28"/>
        <v>0</v>
      </c>
      <c r="AO990" s="2">
        <f t="shared" si="29"/>
      </c>
      <c r="AP990" s="2">
        <f t="shared" si="30"/>
      </c>
      <c r="AQ990" s="2">
        <f t="shared" si="31"/>
      </c>
    </row>
    <row r="991">
      <c r="A991" s="43">
        <f t="shared" si="3"/>
      </c>
      <c r="B991" s="44" t="n"/>
      <c r="C991" s="45" t="n"/>
      <c r="D991" s="46" t="n"/>
      <c r="E991" s="47" t="n"/>
      <c r="F991" s="47" t="n"/>
      <c r="G991" s="48">
        <f t="shared" si="4"/>
      </c>
      <c r="H991" s="43">
        <f t="shared" si="0"/>
      </c>
      <c r="I991" s="43">
        <f t="shared" si="5"/>
      </c>
      <c r="J991" s="43">
        <f t="shared" si="1"/>
      </c>
      <c r="K991" s="49">
        <f t="shared" si="2"/>
      </c>
      <c r="L991" s="45" t="n"/>
      <c r="M991" s="45" t="n"/>
      <c r="N991" s="45" t="n"/>
      <c r="O991" s="45" t="n"/>
      <c r="P991" s="50" t="n"/>
      <c r="R991" s="2">
        <f t="shared" si="6"/>
        <v>0</v>
      </c>
      <c r="S991" s="2">
        <f t="shared" si="7"/>
      </c>
      <c r="T991" s="2">
        <f t="shared" si="8"/>
      </c>
      <c r="U991" s="2">
        <f t="shared" si="9"/>
      </c>
      <c r="V991" s="2">
        <f t="shared" si="10"/>
      </c>
      <c r="W991" s="2">
        <f t="shared" si="11"/>
      </c>
      <c r="X991" s="2">
        <f t="shared" si="12"/>
      </c>
      <c r="Y991" s="2">
        <f t="shared" si="13"/>
        <v>0</v>
      </c>
      <c r="Z991" s="2">
        <f t="shared" si="14"/>
      </c>
      <c r="AA991" s="2">
        <f t="shared" si="15"/>
        <v>0</v>
      </c>
      <c r="AB991" s="2">
        <f t="shared" si="16"/>
      </c>
      <c r="AC991" s="2">
        <f t="shared" si="17"/>
      </c>
      <c r="AD991" s="2">
        <f t="shared" si="18"/>
      </c>
      <c r="AE991" s="2">
        <f t="shared" si="19"/>
      </c>
      <c r="AF991" s="2">
        <f t="shared" si="20"/>
      </c>
      <c r="AG991" s="2">
        <f t="shared" si="21"/>
      </c>
      <c r="AH991" s="2">
        <f t="shared" si="22"/>
      </c>
      <c r="AI991" s="2">
        <f t="shared" si="23"/>
      </c>
      <c r="AJ991" s="2">
        <f t="shared" si="24"/>
        <v>0</v>
      </c>
      <c r="AK991" s="2">
        <f t="shared" si="25"/>
        <v>0</v>
      </c>
      <c r="AL991" s="2">
        <f t="shared" si="26"/>
        <v>0</v>
      </c>
      <c r="AM991" s="2">
        <f t="shared" si="27"/>
        <v>0</v>
      </c>
      <c r="AN991" s="2">
        <f t="shared" si="28"/>
        <v>0</v>
      </c>
      <c r="AO991" s="2">
        <f t="shared" si="29"/>
      </c>
      <c r="AP991" s="2">
        <f t="shared" si="30"/>
      </c>
      <c r="AQ991" s="2">
        <f t="shared" si="31"/>
      </c>
    </row>
    <row r="992">
      <c r="A992" s="43">
        <f t="shared" si="3"/>
      </c>
      <c r="B992" s="44" t="n"/>
      <c r="C992" s="45" t="n"/>
      <c r="D992" s="46" t="n"/>
      <c r="E992" s="47" t="n"/>
      <c r="F992" s="47" t="n"/>
      <c r="G992" s="48">
        <f t="shared" si="4"/>
      </c>
      <c r="H992" s="43">
        <f t="shared" si="0"/>
      </c>
      <c r="I992" s="43">
        <f t="shared" si="5"/>
      </c>
      <c r="J992" s="43">
        <f t="shared" si="1"/>
      </c>
      <c r="K992" s="49">
        <f t="shared" si="2"/>
      </c>
      <c r="L992" s="45" t="n"/>
      <c r="M992" s="45" t="n"/>
      <c r="N992" s="45" t="n"/>
      <c r="O992" s="45" t="n"/>
      <c r="P992" s="50" t="n"/>
      <c r="R992" s="2">
        <f t="shared" si="6"/>
        <v>0</v>
      </c>
      <c r="S992" s="2">
        <f t="shared" si="7"/>
      </c>
      <c r="T992" s="2">
        <f t="shared" si="8"/>
      </c>
      <c r="U992" s="2">
        <f t="shared" si="9"/>
      </c>
      <c r="V992" s="2">
        <f t="shared" si="10"/>
      </c>
      <c r="W992" s="2">
        <f t="shared" si="11"/>
      </c>
      <c r="X992" s="2">
        <f t="shared" si="12"/>
      </c>
      <c r="Y992" s="2">
        <f t="shared" si="13"/>
        <v>0</v>
      </c>
      <c r="Z992" s="2">
        <f t="shared" si="14"/>
      </c>
      <c r="AA992" s="2">
        <f t="shared" si="15"/>
        <v>0</v>
      </c>
      <c r="AB992" s="2">
        <f t="shared" si="16"/>
      </c>
      <c r="AC992" s="2">
        <f t="shared" si="17"/>
      </c>
      <c r="AD992" s="2">
        <f t="shared" si="18"/>
      </c>
      <c r="AE992" s="2">
        <f t="shared" si="19"/>
      </c>
      <c r="AF992" s="2">
        <f t="shared" si="20"/>
      </c>
      <c r="AG992" s="2">
        <f t="shared" si="21"/>
      </c>
      <c r="AH992" s="2">
        <f t="shared" si="22"/>
      </c>
      <c r="AI992" s="2">
        <f t="shared" si="23"/>
      </c>
      <c r="AJ992" s="2">
        <f t="shared" si="24"/>
        <v>0</v>
      </c>
      <c r="AK992" s="2">
        <f t="shared" si="25"/>
        <v>0</v>
      </c>
      <c r="AL992" s="2">
        <f t="shared" si="26"/>
        <v>0</v>
      </c>
      <c r="AM992" s="2">
        <f t="shared" si="27"/>
        <v>0</v>
      </c>
      <c r="AN992" s="2">
        <f t="shared" si="28"/>
        <v>0</v>
      </c>
      <c r="AO992" s="2">
        <f t="shared" si="29"/>
      </c>
      <c r="AP992" s="2">
        <f t="shared" si="30"/>
      </c>
      <c r="AQ992" s="2">
        <f t="shared" si="31"/>
      </c>
    </row>
    <row r="993">
      <c r="A993" s="43">
        <f t="shared" si="3"/>
      </c>
      <c r="B993" s="44" t="n"/>
      <c r="C993" s="45" t="n"/>
      <c r="D993" s="46" t="n"/>
      <c r="E993" s="47" t="n"/>
      <c r="F993" s="47" t="n"/>
      <c r="G993" s="48">
        <f t="shared" si="4"/>
      </c>
      <c r="H993" s="43">
        <f t="shared" si="0"/>
      </c>
      <c r="I993" s="43">
        <f t="shared" si="5"/>
      </c>
      <c r="J993" s="43">
        <f t="shared" si="1"/>
      </c>
      <c r="K993" s="49">
        <f t="shared" si="2"/>
      </c>
      <c r="L993" s="45" t="n"/>
      <c r="M993" s="45" t="n"/>
      <c r="N993" s="45" t="n"/>
      <c r="O993" s="45" t="n"/>
      <c r="P993" s="50" t="n"/>
      <c r="R993" s="2">
        <f t="shared" si="6"/>
        <v>0</v>
      </c>
      <c r="S993" s="2">
        <f t="shared" si="7"/>
      </c>
      <c r="T993" s="2">
        <f t="shared" si="8"/>
      </c>
      <c r="U993" s="2">
        <f t="shared" si="9"/>
      </c>
      <c r="V993" s="2">
        <f t="shared" si="10"/>
      </c>
      <c r="W993" s="2">
        <f t="shared" si="11"/>
      </c>
      <c r="X993" s="2">
        <f t="shared" si="12"/>
      </c>
      <c r="Y993" s="2">
        <f t="shared" si="13"/>
        <v>0</v>
      </c>
      <c r="Z993" s="2">
        <f t="shared" si="14"/>
      </c>
      <c r="AA993" s="2">
        <f t="shared" si="15"/>
        <v>0</v>
      </c>
      <c r="AB993" s="2">
        <f t="shared" si="16"/>
      </c>
      <c r="AC993" s="2">
        <f t="shared" si="17"/>
      </c>
      <c r="AD993" s="2">
        <f t="shared" si="18"/>
      </c>
      <c r="AE993" s="2">
        <f t="shared" si="19"/>
      </c>
      <c r="AF993" s="2">
        <f t="shared" si="20"/>
      </c>
      <c r="AG993" s="2">
        <f t="shared" si="21"/>
      </c>
      <c r="AH993" s="2">
        <f t="shared" si="22"/>
      </c>
      <c r="AI993" s="2">
        <f t="shared" si="23"/>
      </c>
      <c r="AJ993" s="2">
        <f t="shared" si="24"/>
        <v>0</v>
      </c>
      <c r="AK993" s="2">
        <f t="shared" si="25"/>
        <v>0</v>
      </c>
      <c r="AL993" s="2">
        <f t="shared" si="26"/>
        <v>0</v>
      </c>
      <c r="AM993" s="2">
        <f t="shared" si="27"/>
        <v>0</v>
      </c>
      <c r="AN993" s="2">
        <f t="shared" si="28"/>
        <v>0</v>
      </c>
      <c r="AO993" s="2">
        <f t="shared" si="29"/>
      </c>
      <c r="AP993" s="2">
        <f t="shared" si="30"/>
      </c>
      <c r="AQ993" s="2">
        <f t="shared" si="31"/>
      </c>
    </row>
    <row r="994">
      <c r="A994" s="43">
        <f t="shared" si="3"/>
      </c>
      <c r="B994" s="44" t="n"/>
      <c r="C994" s="45" t="n"/>
      <c r="D994" s="46" t="n"/>
      <c r="E994" s="47" t="n"/>
      <c r="F994" s="47" t="n"/>
      <c r="G994" s="48">
        <f t="shared" si="4"/>
      </c>
      <c r="H994" s="43">
        <f t="shared" si="0"/>
      </c>
      <c r="I994" s="43">
        <f t="shared" si="5"/>
      </c>
      <c r="J994" s="43">
        <f t="shared" si="1"/>
      </c>
      <c r="K994" s="49">
        <f t="shared" si="2"/>
      </c>
      <c r="L994" s="45" t="n"/>
      <c r="M994" s="45" t="n"/>
      <c r="N994" s="45" t="n"/>
      <c r="O994" s="45" t="n"/>
      <c r="P994" s="50" t="n"/>
      <c r="R994" s="2">
        <f t="shared" si="6"/>
        <v>0</v>
      </c>
      <c r="S994" s="2">
        <f t="shared" si="7"/>
      </c>
      <c r="T994" s="2">
        <f t="shared" si="8"/>
      </c>
      <c r="U994" s="2">
        <f t="shared" si="9"/>
      </c>
      <c r="V994" s="2">
        <f t="shared" si="10"/>
      </c>
      <c r="W994" s="2">
        <f t="shared" si="11"/>
      </c>
      <c r="X994" s="2">
        <f t="shared" si="12"/>
      </c>
      <c r="Y994" s="2">
        <f t="shared" si="13"/>
        <v>0</v>
      </c>
      <c r="Z994" s="2">
        <f t="shared" si="14"/>
      </c>
      <c r="AA994" s="2">
        <f t="shared" si="15"/>
        <v>0</v>
      </c>
      <c r="AB994" s="2">
        <f t="shared" si="16"/>
      </c>
      <c r="AC994" s="2">
        <f t="shared" si="17"/>
      </c>
      <c r="AD994" s="2">
        <f t="shared" si="18"/>
      </c>
      <c r="AE994" s="2">
        <f t="shared" si="19"/>
      </c>
      <c r="AF994" s="2">
        <f t="shared" si="20"/>
      </c>
      <c r="AG994" s="2">
        <f t="shared" si="21"/>
      </c>
      <c r="AH994" s="2">
        <f t="shared" si="22"/>
      </c>
      <c r="AI994" s="2">
        <f t="shared" si="23"/>
      </c>
      <c r="AJ994" s="2">
        <f t="shared" si="24"/>
        <v>0</v>
      </c>
      <c r="AK994" s="2">
        <f t="shared" si="25"/>
        <v>0</v>
      </c>
      <c r="AL994" s="2">
        <f t="shared" si="26"/>
        <v>0</v>
      </c>
      <c r="AM994" s="2">
        <f t="shared" si="27"/>
        <v>0</v>
      </c>
      <c r="AN994" s="2">
        <f t="shared" si="28"/>
        <v>0</v>
      </c>
      <c r="AO994" s="2">
        <f t="shared" si="29"/>
      </c>
      <c r="AP994" s="2">
        <f t="shared" si="30"/>
      </c>
      <c r="AQ994" s="2">
        <f t="shared" si="31"/>
      </c>
    </row>
    <row r="995">
      <c r="A995" s="43">
        <f t="shared" si="3"/>
      </c>
      <c r="B995" s="44" t="n"/>
      <c r="C995" s="45" t="n"/>
      <c r="D995" s="46" t="n"/>
      <c r="E995" s="47" t="n"/>
      <c r="F995" s="47" t="n"/>
      <c r="G995" s="48">
        <f t="shared" si="4"/>
      </c>
      <c r="H995" s="43">
        <f t="shared" si="0"/>
      </c>
      <c r="I995" s="43">
        <f t="shared" si="5"/>
      </c>
      <c r="J995" s="43">
        <f t="shared" si="1"/>
      </c>
      <c r="K995" s="49">
        <f t="shared" si="2"/>
      </c>
      <c r="L995" s="45" t="n"/>
      <c r="M995" s="45" t="n"/>
      <c r="N995" s="45" t="n"/>
      <c r="O995" s="45" t="n"/>
      <c r="P995" s="50" t="n"/>
      <c r="R995" s="2">
        <f t="shared" si="6"/>
        <v>0</v>
      </c>
      <c r="S995" s="2">
        <f t="shared" si="7"/>
      </c>
      <c r="T995" s="2">
        <f t="shared" si="8"/>
      </c>
      <c r="U995" s="2">
        <f t="shared" si="9"/>
      </c>
      <c r="V995" s="2">
        <f t="shared" si="10"/>
      </c>
      <c r="W995" s="2">
        <f t="shared" si="11"/>
      </c>
      <c r="X995" s="2">
        <f t="shared" si="12"/>
      </c>
      <c r="Y995" s="2">
        <f t="shared" si="13"/>
        <v>0</v>
      </c>
      <c r="Z995" s="2">
        <f t="shared" si="14"/>
      </c>
      <c r="AA995" s="2">
        <f t="shared" si="15"/>
        <v>0</v>
      </c>
      <c r="AB995" s="2">
        <f t="shared" si="16"/>
      </c>
      <c r="AC995" s="2">
        <f t="shared" si="17"/>
      </c>
      <c r="AD995" s="2">
        <f t="shared" si="18"/>
      </c>
      <c r="AE995" s="2">
        <f t="shared" si="19"/>
      </c>
      <c r="AF995" s="2">
        <f t="shared" si="20"/>
      </c>
      <c r="AG995" s="2">
        <f t="shared" si="21"/>
      </c>
      <c r="AH995" s="2">
        <f t="shared" si="22"/>
      </c>
      <c r="AI995" s="2">
        <f t="shared" si="23"/>
      </c>
      <c r="AJ995" s="2">
        <f t="shared" si="24"/>
        <v>0</v>
      </c>
      <c r="AK995" s="2">
        <f t="shared" si="25"/>
        <v>0</v>
      </c>
      <c r="AL995" s="2">
        <f t="shared" si="26"/>
        <v>0</v>
      </c>
      <c r="AM995" s="2">
        <f t="shared" si="27"/>
        <v>0</v>
      </c>
      <c r="AN995" s="2">
        <f t="shared" si="28"/>
        <v>0</v>
      </c>
      <c r="AO995" s="2">
        <f t="shared" si="29"/>
      </c>
      <c r="AP995" s="2">
        <f t="shared" si="30"/>
      </c>
      <c r="AQ995" s="2">
        <f t="shared" si="31"/>
      </c>
    </row>
    <row r="996">
      <c r="A996" s="43">
        <f t="shared" si="3"/>
      </c>
      <c r="B996" s="44" t="n"/>
      <c r="C996" s="45" t="n"/>
      <c r="D996" s="46" t="n"/>
      <c r="E996" s="47" t="n"/>
      <c r="F996" s="47" t="n"/>
      <c r="G996" s="48">
        <f t="shared" si="4"/>
      </c>
      <c r="H996" s="43">
        <f t="shared" si="0"/>
      </c>
      <c r="I996" s="43">
        <f t="shared" si="5"/>
      </c>
      <c r="J996" s="43">
        <f t="shared" si="1"/>
      </c>
      <c r="K996" s="49">
        <f t="shared" si="2"/>
      </c>
      <c r="L996" s="45" t="n"/>
      <c r="M996" s="45" t="n"/>
      <c r="N996" s="45" t="n"/>
      <c r="O996" s="45" t="n"/>
      <c r="P996" s="50" t="n"/>
      <c r="R996" s="2">
        <f t="shared" si="6"/>
        <v>0</v>
      </c>
      <c r="S996" s="2">
        <f t="shared" si="7"/>
      </c>
      <c r="T996" s="2">
        <f t="shared" si="8"/>
      </c>
      <c r="U996" s="2">
        <f t="shared" si="9"/>
      </c>
      <c r="V996" s="2">
        <f t="shared" si="10"/>
      </c>
      <c r="W996" s="2">
        <f t="shared" si="11"/>
      </c>
      <c r="X996" s="2">
        <f t="shared" si="12"/>
      </c>
      <c r="Y996" s="2">
        <f t="shared" si="13"/>
        <v>0</v>
      </c>
      <c r="Z996" s="2">
        <f t="shared" si="14"/>
      </c>
      <c r="AA996" s="2">
        <f t="shared" si="15"/>
        <v>0</v>
      </c>
      <c r="AB996" s="2">
        <f t="shared" si="16"/>
      </c>
      <c r="AC996" s="2">
        <f t="shared" si="17"/>
      </c>
      <c r="AD996" s="2">
        <f t="shared" si="18"/>
      </c>
      <c r="AE996" s="2">
        <f t="shared" si="19"/>
      </c>
      <c r="AF996" s="2">
        <f t="shared" si="20"/>
      </c>
      <c r="AG996" s="2">
        <f t="shared" si="21"/>
      </c>
      <c r="AH996" s="2">
        <f t="shared" si="22"/>
      </c>
      <c r="AI996" s="2">
        <f t="shared" si="23"/>
      </c>
      <c r="AJ996" s="2">
        <f t="shared" si="24"/>
        <v>0</v>
      </c>
      <c r="AK996" s="2">
        <f t="shared" si="25"/>
        <v>0</v>
      </c>
      <c r="AL996" s="2">
        <f t="shared" si="26"/>
        <v>0</v>
      </c>
      <c r="AM996" s="2">
        <f t="shared" si="27"/>
        <v>0</v>
      </c>
      <c r="AN996" s="2">
        <f t="shared" si="28"/>
        <v>0</v>
      </c>
      <c r="AO996" s="2">
        <f t="shared" si="29"/>
      </c>
      <c r="AP996" s="2">
        <f t="shared" si="30"/>
      </c>
      <c r="AQ996" s="2">
        <f t="shared" si="31"/>
      </c>
    </row>
    <row r="997">
      <c r="A997" s="43">
        <f t="shared" si="3"/>
      </c>
      <c r="B997" s="44" t="n"/>
      <c r="C997" s="45" t="n"/>
      <c r="D997" s="46" t="n"/>
      <c r="E997" s="47" t="n"/>
      <c r="F997" s="47" t="n"/>
      <c r="G997" s="48">
        <f t="shared" si="4"/>
      </c>
      <c r="H997" s="43">
        <f t="shared" si="0"/>
      </c>
      <c r="I997" s="43">
        <f t="shared" si="5"/>
      </c>
      <c r="J997" s="43">
        <f t="shared" si="1"/>
      </c>
      <c r="K997" s="49">
        <f t="shared" si="2"/>
      </c>
      <c r="L997" s="45" t="n"/>
      <c r="M997" s="45" t="n"/>
      <c r="N997" s="45" t="n"/>
      <c r="O997" s="45" t="n"/>
      <c r="P997" s="50" t="n"/>
      <c r="R997" s="2">
        <f t="shared" si="6"/>
        <v>0</v>
      </c>
      <c r="S997" s="2">
        <f t="shared" si="7"/>
      </c>
      <c r="T997" s="2">
        <f t="shared" si="8"/>
      </c>
      <c r="U997" s="2">
        <f t="shared" si="9"/>
      </c>
      <c r="V997" s="2">
        <f t="shared" si="10"/>
      </c>
      <c r="W997" s="2">
        <f t="shared" si="11"/>
      </c>
      <c r="X997" s="2">
        <f t="shared" si="12"/>
      </c>
      <c r="Y997" s="2">
        <f t="shared" si="13"/>
        <v>0</v>
      </c>
      <c r="Z997" s="2">
        <f t="shared" si="14"/>
      </c>
      <c r="AA997" s="2">
        <f t="shared" si="15"/>
        <v>0</v>
      </c>
      <c r="AB997" s="2">
        <f t="shared" si="16"/>
      </c>
      <c r="AC997" s="2">
        <f t="shared" si="17"/>
      </c>
      <c r="AD997" s="2">
        <f t="shared" si="18"/>
      </c>
      <c r="AE997" s="2">
        <f t="shared" si="19"/>
      </c>
      <c r="AF997" s="2">
        <f t="shared" si="20"/>
      </c>
      <c r="AG997" s="2">
        <f t="shared" si="21"/>
      </c>
      <c r="AH997" s="2">
        <f t="shared" si="22"/>
      </c>
      <c r="AI997" s="2">
        <f t="shared" si="23"/>
      </c>
      <c r="AJ997" s="2">
        <f t="shared" si="24"/>
        <v>0</v>
      </c>
      <c r="AK997" s="2">
        <f t="shared" si="25"/>
        <v>0</v>
      </c>
      <c r="AL997" s="2">
        <f t="shared" si="26"/>
        <v>0</v>
      </c>
      <c r="AM997" s="2">
        <f t="shared" si="27"/>
        <v>0</v>
      </c>
      <c r="AN997" s="2">
        <f t="shared" si="28"/>
        <v>0</v>
      </c>
      <c r="AO997" s="2">
        <f t="shared" si="29"/>
      </c>
      <c r="AP997" s="2">
        <f t="shared" si="30"/>
      </c>
      <c r="AQ997" s="2">
        <f t="shared" si="31"/>
      </c>
    </row>
    <row r="998">
      <c r="A998" s="43">
        <f t="shared" si="3"/>
      </c>
      <c r="B998" s="44" t="n"/>
      <c r="C998" s="45" t="n"/>
      <c r="D998" s="46" t="n"/>
      <c r="E998" s="47" t="n"/>
      <c r="F998" s="47" t="n"/>
      <c r="G998" s="48">
        <f t="shared" si="4"/>
      </c>
      <c r="H998" s="43">
        <f t="shared" si="0"/>
      </c>
      <c r="I998" s="43">
        <f t="shared" si="5"/>
      </c>
      <c r="J998" s="43">
        <f t="shared" si="1"/>
      </c>
      <c r="K998" s="49">
        <f t="shared" si="2"/>
      </c>
      <c r="L998" s="45" t="n"/>
      <c r="M998" s="45" t="n"/>
      <c r="N998" s="45" t="n"/>
      <c r="O998" s="45" t="n"/>
      <c r="P998" s="50" t="n"/>
      <c r="R998" s="2">
        <f t="shared" si="6"/>
        <v>0</v>
      </c>
      <c r="S998" s="2">
        <f t="shared" si="7"/>
      </c>
      <c r="T998" s="2">
        <f t="shared" si="8"/>
      </c>
      <c r="U998" s="2">
        <f t="shared" si="9"/>
      </c>
      <c r="V998" s="2">
        <f t="shared" si="10"/>
      </c>
      <c r="W998" s="2">
        <f t="shared" si="11"/>
      </c>
      <c r="X998" s="2">
        <f t="shared" si="12"/>
      </c>
      <c r="Y998" s="2">
        <f t="shared" si="13"/>
        <v>0</v>
      </c>
      <c r="Z998" s="2">
        <f t="shared" si="14"/>
      </c>
      <c r="AA998" s="2">
        <f t="shared" si="15"/>
        <v>0</v>
      </c>
      <c r="AB998" s="2">
        <f t="shared" si="16"/>
      </c>
      <c r="AC998" s="2">
        <f t="shared" si="17"/>
      </c>
      <c r="AD998" s="2">
        <f t="shared" si="18"/>
      </c>
      <c r="AE998" s="2">
        <f t="shared" si="19"/>
      </c>
      <c r="AF998" s="2">
        <f t="shared" si="20"/>
      </c>
      <c r="AG998" s="2">
        <f t="shared" si="21"/>
      </c>
      <c r="AH998" s="2">
        <f t="shared" si="22"/>
      </c>
      <c r="AI998" s="2">
        <f t="shared" si="23"/>
      </c>
      <c r="AJ998" s="2">
        <f t="shared" si="24"/>
        <v>0</v>
      </c>
      <c r="AK998" s="2">
        <f t="shared" si="25"/>
        <v>0</v>
      </c>
      <c r="AL998" s="2">
        <f t="shared" si="26"/>
        <v>0</v>
      </c>
      <c r="AM998" s="2">
        <f t="shared" si="27"/>
        <v>0</v>
      </c>
      <c r="AN998" s="2">
        <f t="shared" si="28"/>
        <v>0</v>
      </c>
      <c r="AO998" s="2">
        <f t="shared" si="29"/>
      </c>
      <c r="AP998" s="2">
        <f t="shared" si="30"/>
      </c>
      <c r="AQ998" s="2">
        <f t="shared" si="31"/>
      </c>
    </row>
    <row r="999">
      <c r="A999" s="43">
        <f t="shared" si="3"/>
      </c>
      <c r="B999" s="44" t="n"/>
      <c r="C999" s="45" t="n"/>
      <c r="D999" s="46" t="n"/>
      <c r="E999" s="47" t="n"/>
      <c r="F999" s="47" t="n"/>
      <c r="G999" s="48">
        <f t="shared" si="4"/>
      </c>
      <c r="H999" s="43">
        <f t="shared" si="0"/>
      </c>
      <c r="I999" s="43">
        <f t="shared" si="5"/>
      </c>
      <c r="J999" s="43">
        <f t="shared" si="1"/>
      </c>
      <c r="K999" s="49">
        <f t="shared" si="2"/>
      </c>
      <c r="L999" s="45" t="n"/>
      <c r="M999" s="45" t="n"/>
      <c r="N999" s="45" t="n"/>
      <c r="O999" s="45" t="n"/>
      <c r="P999" s="50" t="n"/>
      <c r="R999" s="2">
        <f t="shared" si="6"/>
        <v>0</v>
      </c>
      <c r="S999" s="2">
        <f t="shared" si="7"/>
      </c>
      <c r="T999" s="2">
        <f t="shared" si="8"/>
      </c>
      <c r="U999" s="2">
        <f t="shared" si="9"/>
      </c>
      <c r="V999" s="2">
        <f t="shared" si="10"/>
      </c>
      <c r="W999" s="2">
        <f t="shared" si="11"/>
      </c>
      <c r="X999" s="2">
        <f t="shared" si="12"/>
      </c>
      <c r="Y999" s="2">
        <f t="shared" si="13"/>
        <v>0</v>
      </c>
      <c r="Z999" s="2">
        <f t="shared" si="14"/>
      </c>
      <c r="AA999" s="2">
        <f t="shared" si="15"/>
        <v>0</v>
      </c>
      <c r="AB999" s="2">
        <f t="shared" si="16"/>
      </c>
      <c r="AC999" s="2">
        <f t="shared" si="17"/>
      </c>
      <c r="AD999" s="2">
        <f t="shared" si="18"/>
      </c>
      <c r="AE999" s="2">
        <f t="shared" si="19"/>
      </c>
      <c r="AF999" s="2">
        <f t="shared" si="20"/>
      </c>
      <c r="AG999" s="2">
        <f t="shared" si="21"/>
      </c>
      <c r="AH999" s="2">
        <f t="shared" si="22"/>
      </c>
      <c r="AI999" s="2">
        <f t="shared" si="23"/>
      </c>
      <c r="AJ999" s="2">
        <f t="shared" si="24"/>
        <v>0</v>
      </c>
      <c r="AK999" s="2">
        <f t="shared" si="25"/>
        <v>0</v>
      </c>
      <c r="AL999" s="2">
        <f t="shared" si="26"/>
        <v>0</v>
      </c>
      <c r="AM999" s="2">
        <f t="shared" si="27"/>
        <v>0</v>
      </c>
      <c r="AN999" s="2">
        <f t="shared" si="28"/>
        <v>0</v>
      </c>
      <c r="AO999" s="2">
        <f t="shared" si="29"/>
      </c>
      <c r="AP999" s="2">
        <f t="shared" si="30"/>
      </c>
      <c r="AQ999" s="2">
        <f t="shared" si="31"/>
      </c>
    </row>
    <row r="1000">
      <c r="A1000" s="43">
        <f t="shared" si="3"/>
      </c>
      <c r="B1000" s="44" t="n"/>
      <c r="C1000" s="45" t="n"/>
      <c r="D1000" s="46" t="n"/>
      <c r="E1000" s="47" t="n"/>
      <c r="F1000" s="47" t="n"/>
      <c r="G1000" s="48">
        <f t="shared" si="4"/>
      </c>
      <c r="H1000" s="43">
        <f t="shared" si="0"/>
      </c>
      <c r="I1000" s="43">
        <f t="shared" si="5"/>
      </c>
      <c r="J1000" s="43">
        <f t="shared" si="1"/>
      </c>
      <c r="K1000" s="49">
        <f t="shared" si="2"/>
      </c>
      <c r="L1000" s="45" t="n"/>
      <c r="M1000" s="45" t="n"/>
      <c r="N1000" s="45" t="n"/>
      <c r="O1000" s="45" t="n"/>
      <c r="P1000" s="50" t="n"/>
      <c r="R1000" s="2">
        <f t="shared" si="6"/>
        <v>0</v>
      </c>
      <c r="S1000" s="2">
        <f t="shared" si="7"/>
      </c>
      <c r="T1000" s="2">
        <f t="shared" si="8"/>
      </c>
      <c r="U1000" s="2">
        <f t="shared" si="9"/>
      </c>
      <c r="V1000" s="2">
        <f t="shared" si="10"/>
      </c>
      <c r="W1000" s="2">
        <f t="shared" si="11"/>
      </c>
      <c r="X1000" s="2">
        <f t="shared" si="12"/>
      </c>
      <c r="Y1000" s="2">
        <f t="shared" si="13"/>
        <v>0</v>
      </c>
      <c r="Z1000" s="2">
        <f t="shared" si="14"/>
      </c>
      <c r="AA1000" s="2">
        <f t="shared" si="15"/>
        <v>0</v>
      </c>
      <c r="AB1000" s="2">
        <f t="shared" si="16"/>
      </c>
      <c r="AC1000" s="2">
        <f t="shared" si="17"/>
      </c>
      <c r="AD1000" s="2">
        <f t="shared" si="18"/>
      </c>
      <c r="AE1000" s="2">
        <f t="shared" si="19"/>
      </c>
      <c r="AF1000" s="2">
        <f t="shared" si="20"/>
      </c>
      <c r="AG1000" s="2">
        <f t="shared" si="21"/>
      </c>
      <c r="AH1000" s="2">
        <f t="shared" si="22"/>
      </c>
      <c r="AI1000" s="2">
        <f t="shared" si="23"/>
      </c>
      <c r="AJ1000" s="2">
        <f t="shared" si="24"/>
        <v>0</v>
      </c>
      <c r="AK1000" s="2">
        <f t="shared" si="25"/>
        <v>0</v>
      </c>
      <c r="AL1000" s="2">
        <f t="shared" si="26"/>
        <v>0</v>
      </c>
      <c r="AM1000" s="2">
        <f t="shared" si="27"/>
        <v>0</v>
      </c>
      <c r="AN1000" s="2">
        <f t="shared" si="28"/>
        <v>0</v>
      </c>
      <c r="AO1000" s="2">
        <f t="shared" si="29"/>
      </c>
      <c r="AP1000" s="2">
        <f t="shared" si="30"/>
      </c>
      <c r="AQ1000" s="2">
        <f t="shared" si="31"/>
      </c>
    </row>
    <row r="1001">
      <c r="A1001" s="43">
        <f t="shared" si="3"/>
      </c>
      <c r="B1001" s="44" t="n"/>
      <c r="C1001" s="45" t="n"/>
      <c r="D1001" s="46" t="n"/>
      <c r="E1001" s="47" t="n"/>
      <c r="F1001" s="47" t="n"/>
      <c r="G1001" s="48">
        <f t="shared" si="4"/>
      </c>
      <c r="H1001" s="43">
        <f t="shared" si="0"/>
      </c>
      <c r="I1001" s="43">
        <f t="shared" si="5"/>
      </c>
      <c r="J1001" s="43">
        <f t="shared" si="1"/>
      </c>
      <c r="K1001" s="49">
        <f t="shared" si="2"/>
      </c>
      <c r="L1001" s="45" t="n"/>
      <c r="M1001" s="45" t="n"/>
      <c r="N1001" s="45" t="n"/>
      <c r="O1001" s="45" t="n"/>
      <c r="P1001" s="50" t="n"/>
      <c r="R1001" s="2">
        <f t="shared" si="6"/>
        <v>0</v>
      </c>
      <c r="S1001" s="2">
        <f t="shared" si="7"/>
      </c>
      <c r="T1001" s="2">
        <f t="shared" si="8"/>
      </c>
      <c r="U1001" s="2">
        <f t="shared" si="9"/>
      </c>
      <c r="V1001" s="2">
        <f t="shared" si="10"/>
      </c>
      <c r="W1001" s="2">
        <f t="shared" si="11"/>
      </c>
      <c r="X1001" s="2">
        <f t="shared" si="12"/>
      </c>
      <c r="Y1001" s="2">
        <f t="shared" si="13"/>
        <v>0</v>
      </c>
      <c r="Z1001" s="2">
        <f t="shared" si="14"/>
      </c>
      <c r="AA1001" s="2">
        <f t="shared" si="15"/>
        <v>0</v>
      </c>
      <c r="AB1001" s="2">
        <f t="shared" si="16"/>
      </c>
      <c r="AC1001" s="2">
        <f t="shared" si="17"/>
      </c>
      <c r="AD1001" s="2">
        <f t="shared" si="18"/>
      </c>
      <c r="AE1001" s="2">
        <f t="shared" si="19"/>
      </c>
      <c r="AF1001" s="2">
        <f t="shared" si="20"/>
      </c>
      <c r="AG1001" s="2">
        <f t="shared" si="21"/>
      </c>
      <c r="AH1001" s="2">
        <f t="shared" si="22"/>
      </c>
      <c r="AI1001" s="2">
        <f t="shared" si="23"/>
      </c>
      <c r="AJ1001" s="2">
        <f t="shared" si="24"/>
        <v>0</v>
      </c>
      <c r="AK1001" s="2">
        <f t="shared" si="25"/>
        <v>0</v>
      </c>
      <c r="AL1001" s="2">
        <f t="shared" si="26"/>
        <v>0</v>
      </c>
      <c r="AM1001" s="2">
        <f t="shared" si="27"/>
        <v>0</v>
      </c>
      <c r="AN1001" s="2">
        <f t="shared" si="28"/>
        <v>0</v>
      </c>
      <c r="AO1001" s="2">
        <f t="shared" si="29"/>
      </c>
      <c r="AP1001" s="2">
        <f t="shared" si="30"/>
      </c>
      <c r="AQ1001" s="2">
        <f t="shared" si="31"/>
      </c>
    </row>
    <row r="1002">
      <c r="A1002" s="43">
        <f t="shared" si="3"/>
      </c>
      <c r="B1002" s="44" t="n"/>
      <c r="C1002" s="45" t="n"/>
      <c r="D1002" s="46" t="n"/>
      <c r="E1002" s="47" t="n"/>
      <c r="F1002" s="47" t="n"/>
      <c r="G1002" s="48">
        <f t="shared" si="4"/>
      </c>
      <c r="H1002" s="43">
        <f t="shared" si="0"/>
      </c>
      <c r="I1002" s="43">
        <f t="shared" si="5"/>
      </c>
      <c r="J1002" s="43">
        <f t="shared" si="1"/>
      </c>
      <c r="K1002" s="49">
        <f t="shared" si="2"/>
      </c>
      <c r="L1002" s="45" t="n"/>
      <c r="M1002" s="45" t="n"/>
      <c r="N1002" s="45" t="n"/>
      <c r="O1002" s="45" t="n"/>
      <c r="P1002" s="50" t="n"/>
      <c r="R1002" s="2">
        <f t="shared" si="6"/>
        <v>0</v>
      </c>
      <c r="S1002" s="2">
        <f t="shared" si="7"/>
      </c>
      <c r="T1002" s="2">
        <f t="shared" si="8"/>
      </c>
      <c r="U1002" s="2">
        <f t="shared" si="9"/>
      </c>
      <c r="V1002" s="2">
        <f t="shared" si="10"/>
      </c>
      <c r="W1002" s="2">
        <f t="shared" si="11"/>
      </c>
      <c r="X1002" s="2">
        <f t="shared" si="12"/>
      </c>
      <c r="Y1002" s="2">
        <f t="shared" si="13"/>
        <v>0</v>
      </c>
      <c r="Z1002" s="2">
        <f t="shared" si="14"/>
      </c>
      <c r="AA1002" s="2">
        <f t="shared" si="15"/>
        <v>0</v>
      </c>
      <c r="AB1002" s="2">
        <f t="shared" si="16"/>
      </c>
      <c r="AC1002" s="2">
        <f t="shared" si="17"/>
      </c>
      <c r="AD1002" s="2">
        <f t="shared" si="18"/>
      </c>
      <c r="AE1002" s="2">
        <f t="shared" si="19"/>
      </c>
      <c r="AF1002" s="2">
        <f t="shared" si="20"/>
      </c>
      <c r="AG1002" s="2">
        <f t="shared" si="21"/>
      </c>
      <c r="AH1002" s="2">
        <f t="shared" si="22"/>
      </c>
      <c r="AI1002" s="2">
        <f t="shared" si="23"/>
      </c>
      <c r="AJ1002" s="2">
        <f t="shared" si="24"/>
        <v>0</v>
      </c>
      <c r="AK1002" s="2">
        <f t="shared" si="25"/>
        <v>0</v>
      </c>
      <c r="AL1002" s="2">
        <f t="shared" si="26"/>
        <v>0</v>
      </c>
      <c r="AM1002" s="2">
        <f t="shared" si="27"/>
        <v>0</v>
      </c>
      <c r="AN1002" s="2">
        <f t="shared" si="28"/>
        <v>0</v>
      </c>
      <c r="AO1002" s="2">
        <f t="shared" si="29"/>
      </c>
      <c r="AP1002" s="2">
        <f t="shared" si="30"/>
      </c>
      <c r="AQ1002" s="2">
        <f t="shared" si="31"/>
      </c>
    </row>
    <row r="1003">
      <c r="A1003" s="43">
        <f t="shared" si="3"/>
      </c>
      <c r="B1003" s="44" t="n"/>
      <c r="C1003" s="45" t="n"/>
      <c r="D1003" s="46" t="n"/>
      <c r="E1003" s="47" t="n"/>
      <c r="F1003" s="47" t="n"/>
      <c r="G1003" s="48">
        <f t="shared" si="4"/>
      </c>
      <c r="H1003" s="43">
        <f t="shared" si="0"/>
      </c>
      <c r="I1003" s="43">
        <f t="shared" si="5"/>
      </c>
      <c r="J1003" s="43">
        <f t="shared" si="1"/>
      </c>
      <c r="K1003" s="49">
        <f t="shared" si="2"/>
      </c>
      <c r="L1003" s="45" t="n"/>
      <c r="M1003" s="45" t="n"/>
      <c r="N1003" s="45" t="n"/>
      <c r="O1003" s="45" t="n"/>
      <c r="P1003" s="50" t="n"/>
      <c r="R1003" s="2">
        <f t="shared" si="6"/>
        <v>0</v>
      </c>
      <c r="S1003" s="2">
        <f t="shared" si="7"/>
      </c>
      <c r="T1003" s="2">
        <f t="shared" si="8"/>
      </c>
      <c r="U1003" s="2">
        <f t="shared" si="9"/>
      </c>
      <c r="V1003" s="2">
        <f t="shared" si="10"/>
      </c>
      <c r="W1003" s="2">
        <f t="shared" si="11"/>
      </c>
      <c r="X1003" s="2">
        <f t="shared" si="12"/>
      </c>
      <c r="Y1003" s="2">
        <f t="shared" si="13"/>
        <v>0</v>
      </c>
      <c r="Z1003" s="2">
        <f t="shared" si="14"/>
      </c>
      <c r="AA1003" s="2">
        <f t="shared" si="15"/>
        <v>0</v>
      </c>
      <c r="AB1003" s="2">
        <f t="shared" si="16"/>
      </c>
      <c r="AC1003" s="2">
        <f t="shared" si="17"/>
      </c>
      <c r="AD1003" s="2">
        <f t="shared" si="18"/>
      </c>
      <c r="AE1003" s="2">
        <f t="shared" si="19"/>
      </c>
      <c r="AF1003" s="2">
        <f t="shared" si="20"/>
      </c>
      <c r="AG1003" s="2">
        <f t="shared" si="21"/>
      </c>
      <c r="AH1003" s="2">
        <f t="shared" si="22"/>
      </c>
      <c r="AI1003" s="2">
        <f t="shared" si="23"/>
      </c>
      <c r="AJ1003" s="2">
        <f t="shared" si="24"/>
        <v>0</v>
      </c>
      <c r="AK1003" s="2">
        <f t="shared" si="25"/>
        <v>0</v>
      </c>
      <c r="AL1003" s="2">
        <f t="shared" si="26"/>
        <v>0</v>
      </c>
      <c r="AM1003" s="2">
        <f t="shared" si="27"/>
        <v>0</v>
      </c>
      <c r="AN1003" s="2">
        <f t="shared" si="28"/>
        <v>0</v>
      </c>
      <c r="AO1003" s="2">
        <f t="shared" si="29"/>
      </c>
      <c r="AP1003" s="2">
        <f t="shared" si="30"/>
      </c>
      <c r="AQ1003" s="2">
        <f t="shared" si="31"/>
      </c>
    </row>
    <row r="1004">
      <c r="A1004" s="43">
        <f t="shared" si="3"/>
      </c>
      <c r="B1004" s="44" t="n"/>
      <c r="C1004" s="45" t="n"/>
      <c r="D1004" s="46" t="n"/>
      <c r="E1004" s="47" t="n"/>
      <c r="F1004" s="47" t="n"/>
      <c r="G1004" s="48">
        <f t="shared" si="4"/>
      </c>
      <c r="H1004" s="43">
        <f t="shared" si="0"/>
      </c>
      <c r="I1004" s="43">
        <f t="shared" si="5"/>
      </c>
      <c r="J1004" s="43">
        <f t="shared" si="1"/>
      </c>
      <c r="K1004" s="49">
        <f t="shared" si="2"/>
      </c>
      <c r="L1004" s="45" t="n"/>
      <c r="M1004" s="45" t="n"/>
      <c r="N1004" s="45" t="n"/>
      <c r="O1004" s="45" t="n"/>
      <c r="P1004" s="50" t="n"/>
      <c r="R1004" s="2">
        <f t="shared" si="6"/>
        <v>0</v>
      </c>
      <c r="S1004" s="2">
        <f t="shared" si="7"/>
      </c>
      <c r="T1004" s="2">
        <f t="shared" si="8"/>
      </c>
      <c r="U1004" s="2">
        <f t="shared" si="9"/>
      </c>
      <c r="V1004" s="2">
        <f t="shared" si="10"/>
      </c>
      <c r="W1004" s="2">
        <f t="shared" si="11"/>
      </c>
      <c r="X1004" s="2">
        <f t="shared" si="12"/>
      </c>
      <c r="Y1004" s="2">
        <f t="shared" si="13"/>
        <v>0</v>
      </c>
      <c r="Z1004" s="2">
        <f t="shared" si="14"/>
      </c>
      <c r="AA1004" s="2">
        <f t="shared" si="15"/>
        <v>0</v>
      </c>
      <c r="AB1004" s="2">
        <f t="shared" si="16"/>
      </c>
      <c r="AC1004" s="2">
        <f t="shared" si="17"/>
      </c>
      <c r="AD1004" s="2">
        <f t="shared" si="18"/>
      </c>
      <c r="AE1004" s="2">
        <f t="shared" si="19"/>
      </c>
      <c r="AF1004" s="2">
        <f t="shared" si="20"/>
      </c>
      <c r="AG1004" s="2">
        <f t="shared" si="21"/>
      </c>
      <c r="AH1004" s="2">
        <f t="shared" si="22"/>
      </c>
      <c r="AI1004" s="2">
        <f t="shared" si="23"/>
      </c>
      <c r="AJ1004" s="2">
        <f t="shared" si="24"/>
        <v>0</v>
      </c>
      <c r="AK1004" s="2">
        <f t="shared" si="25"/>
        <v>0</v>
      </c>
      <c r="AL1004" s="2">
        <f t="shared" si="26"/>
        <v>0</v>
      </c>
      <c r="AM1004" s="2">
        <f t="shared" si="27"/>
        <v>0</v>
      </c>
      <c r="AN1004" s="2">
        <f t="shared" si="28"/>
        <v>0</v>
      </c>
      <c r="AO1004" s="2">
        <f t="shared" si="29"/>
      </c>
      <c r="AP1004" s="2">
        <f t="shared" si="30"/>
      </c>
      <c r="AQ1004" s="2">
        <f t="shared" si="31"/>
      </c>
    </row>
    <row r="1005">
      <c r="A1005" s="43">
        <f t="shared" si="3"/>
      </c>
      <c r="B1005" s="44" t="n"/>
      <c r="C1005" s="45" t="n"/>
      <c r="D1005" s="46" t="n"/>
      <c r="E1005" s="47" t="n"/>
      <c r="F1005" s="47" t="n"/>
      <c r="G1005" s="48">
        <f t="shared" si="4"/>
      </c>
      <c r="H1005" s="43">
        <f t="shared" si="0"/>
      </c>
      <c r="I1005" s="43">
        <f t="shared" si="5"/>
      </c>
      <c r="J1005" s="43">
        <f t="shared" si="1"/>
      </c>
      <c r="K1005" s="49">
        <f t="shared" si="2"/>
      </c>
      <c r="L1005" s="45" t="n"/>
      <c r="M1005" s="45" t="n"/>
      <c r="N1005" s="45" t="n"/>
      <c r="O1005" s="45" t="n"/>
      <c r="P1005" s="50" t="n"/>
      <c r="R1005" s="2">
        <f t="shared" si="6"/>
        <v>0</v>
      </c>
      <c r="S1005" s="2">
        <f t="shared" si="7"/>
      </c>
      <c r="T1005" s="2">
        <f t="shared" si="8"/>
      </c>
      <c r="U1005" s="2">
        <f t="shared" si="9"/>
      </c>
      <c r="V1005" s="2">
        <f t="shared" si="10"/>
      </c>
      <c r="W1005" s="2">
        <f t="shared" si="11"/>
      </c>
      <c r="X1005" s="2">
        <f t="shared" si="12"/>
      </c>
      <c r="Y1005" s="2">
        <f t="shared" si="13"/>
        <v>0</v>
      </c>
      <c r="Z1005" s="2">
        <f t="shared" si="14"/>
      </c>
      <c r="AA1005" s="2">
        <f t="shared" si="15"/>
        <v>0</v>
      </c>
      <c r="AB1005" s="2">
        <f t="shared" si="16"/>
      </c>
      <c r="AC1005" s="2">
        <f t="shared" si="17"/>
      </c>
      <c r="AD1005" s="2">
        <f t="shared" si="18"/>
      </c>
      <c r="AE1005" s="2">
        <f t="shared" si="19"/>
      </c>
      <c r="AF1005" s="2">
        <f t="shared" si="20"/>
      </c>
      <c r="AG1005" s="2">
        <f t="shared" si="21"/>
      </c>
      <c r="AH1005" s="2">
        <f t="shared" si="22"/>
      </c>
      <c r="AI1005" s="2">
        <f t="shared" si="23"/>
      </c>
      <c r="AJ1005" s="2">
        <f t="shared" si="24"/>
        <v>0</v>
      </c>
      <c r="AK1005" s="2">
        <f t="shared" si="25"/>
        <v>0</v>
      </c>
      <c r="AL1005" s="2">
        <f t="shared" si="26"/>
        <v>0</v>
      </c>
      <c r="AM1005" s="2">
        <f t="shared" si="27"/>
        <v>0</v>
      </c>
      <c r="AN1005" s="2">
        <f t="shared" si="28"/>
        <v>0</v>
      </c>
      <c r="AO1005" s="2">
        <f t="shared" si="29"/>
      </c>
      <c r="AP1005" s="2">
        <f t="shared" si="30"/>
      </c>
      <c r="AQ1005" s="2">
        <f t="shared" si="31"/>
      </c>
    </row>
    <row r="1006">
      <c r="A1006" s="43">
        <f t="shared" si="3"/>
      </c>
      <c r="B1006" s="44" t="n"/>
      <c r="C1006" s="45" t="n"/>
      <c r="D1006" s="46" t="n"/>
      <c r="E1006" s="47" t="n"/>
      <c r="F1006" s="47" t="n"/>
      <c r="G1006" s="48">
        <f t="shared" si="4"/>
      </c>
      <c r="H1006" s="43">
        <f t="shared" si="0"/>
      </c>
      <c r="I1006" s="43">
        <f t="shared" si="5"/>
      </c>
      <c r="J1006" s="43">
        <f t="shared" si="1"/>
      </c>
      <c r="K1006" s="49">
        <f t="shared" si="2"/>
      </c>
      <c r="L1006" s="45" t="n"/>
      <c r="M1006" s="45" t="n"/>
      <c r="N1006" s="45" t="n"/>
      <c r="O1006" s="45" t="n"/>
      <c r="P1006" s="50" t="n"/>
      <c r="R1006" s="2">
        <f t="shared" si="6"/>
        <v>0</v>
      </c>
      <c r="S1006" s="2">
        <f t="shared" si="7"/>
      </c>
      <c r="T1006" s="2">
        <f t="shared" si="8"/>
      </c>
      <c r="U1006" s="2">
        <f t="shared" si="9"/>
      </c>
      <c r="V1006" s="2">
        <f t="shared" si="10"/>
      </c>
      <c r="W1006" s="2">
        <f t="shared" si="11"/>
      </c>
      <c r="X1006" s="2">
        <f t="shared" si="12"/>
      </c>
      <c r="Y1006" s="2">
        <f t="shared" si="13"/>
        <v>0</v>
      </c>
      <c r="Z1006" s="2">
        <f t="shared" si="14"/>
      </c>
      <c r="AA1006" s="2">
        <f t="shared" si="15"/>
        <v>0</v>
      </c>
      <c r="AB1006" s="2">
        <f t="shared" si="16"/>
      </c>
      <c r="AC1006" s="2">
        <f t="shared" si="17"/>
      </c>
      <c r="AD1006" s="2">
        <f t="shared" si="18"/>
      </c>
      <c r="AE1006" s="2">
        <f t="shared" si="19"/>
      </c>
      <c r="AF1006" s="2">
        <f t="shared" si="20"/>
      </c>
      <c r="AG1006" s="2">
        <f t="shared" si="21"/>
      </c>
      <c r="AH1006" s="2">
        <f t="shared" si="22"/>
      </c>
      <c r="AI1006" s="2">
        <f t="shared" si="23"/>
      </c>
      <c r="AJ1006" s="2">
        <f t="shared" si="24"/>
        <v>0</v>
      </c>
      <c r="AK1006" s="2">
        <f t="shared" si="25"/>
        <v>0</v>
      </c>
      <c r="AL1006" s="2">
        <f t="shared" si="26"/>
        <v>0</v>
      </c>
      <c r="AM1006" s="2">
        <f t="shared" si="27"/>
        <v>0</v>
      </c>
      <c r="AN1006" s="2">
        <f t="shared" si="28"/>
        <v>0</v>
      </c>
      <c r="AO1006" s="2">
        <f t="shared" si="29"/>
      </c>
      <c r="AP1006" s="2">
        <f t="shared" si="30"/>
      </c>
      <c r="AQ1006" s="2">
        <f t="shared" si="31"/>
      </c>
    </row>
    <row r="1007">
      <c r="A1007" s="43">
        <f t="shared" si="3"/>
      </c>
      <c r="B1007" s="44" t="n"/>
      <c r="C1007" s="45" t="n"/>
      <c r="D1007" s="46" t="n"/>
      <c r="E1007" s="47" t="n"/>
      <c r="F1007" s="47" t="n"/>
      <c r="G1007" s="48">
        <f t="shared" si="4"/>
      </c>
      <c r="H1007" s="43">
        <f t="shared" si="0"/>
      </c>
      <c r="I1007" s="43">
        <f t="shared" si="5"/>
      </c>
      <c r="J1007" s="43">
        <f t="shared" si="1"/>
      </c>
      <c r="K1007" s="49">
        <f t="shared" si="2"/>
      </c>
      <c r="L1007" s="45" t="n"/>
      <c r="M1007" s="45" t="n"/>
      <c r="N1007" s="45" t="n"/>
      <c r="O1007" s="45" t="n"/>
      <c r="P1007" s="50" t="n"/>
      <c r="R1007" s="2">
        <f t="shared" si="6"/>
        <v>0</v>
      </c>
      <c r="S1007" s="2">
        <f t="shared" si="7"/>
      </c>
      <c r="T1007" s="2">
        <f t="shared" si="8"/>
      </c>
      <c r="U1007" s="2">
        <f t="shared" si="9"/>
      </c>
      <c r="V1007" s="2">
        <f t="shared" si="10"/>
      </c>
      <c r="W1007" s="2">
        <f t="shared" si="11"/>
      </c>
      <c r="X1007" s="2">
        <f t="shared" si="12"/>
      </c>
      <c r="Y1007" s="2">
        <f t="shared" si="13"/>
        <v>0</v>
      </c>
      <c r="Z1007" s="2">
        <f t="shared" si="14"/>
      </c>
      <c r="AA1007" s="2">
        <f t="shared" si="15"/>
        <v>0</v>
      </c>
      <c r="AB1007" s="2">
        <f t="shared" si="16"/>
      </c>
      <c r="AC1007" s="2">
        <f t="shared" si="17"/>
      </c>
      <c r="AD1007" s="2">
        <f t="shared" si="18"/>
      </c>
      <c r="AE1007" s="2">
        <f t="shared" si="19"/>
      </c>
      <c r="AF1007" s="2">
        <f t="shared" si="20"/>
      </c>
      <c r="AG1007" s="2">
        <f t="shared" si="21"/>
      </c>
      <c r="AH1007" s="2">
        <f t="shared" si="22"/>
      </c>
      <c r="AI1007" s="2">
        <f t="shared" si="23"/>
      </c>
      <c r="AJ1007" s="2">
        <f t="shared" si="24"/>
        <v>0</v>
      </c>
      <c r="AK1007" s="2">
        <f t="shared" si="25"/>
        <v>0</v>
      </c>
      <c r="AL1007" s="2">
        <f t="shared" si="26"/>
        <v>0</v>
      </c>
      <c r="AM1007" s="2">
        <f t="shared" si="27"/>
        <v>0</v>
      </c>
      <c r="AN1007" s="2">
        <f t="shared" si="28"/>
        <v>0</v>
      </c>
      <c r="AO1007" s="2">
        <f t="shared" si="29"/>
      </c>
      <c r="AP1007" s="2">
        <f t="shared" si="30"/>
      </c>
      <c r="AQ1007" s="2">
        <f t="shared" si="31"/>
      </c>
    </row>
    <row r="1008">
      <c r="A1008" s="43">
        <f t="shared" si="3"/>
      </c>
      <c r="B1008" s="44" t="n"/>
      <c r="C1008" s="45" t="n"/>
      <c r="D1008" s="46" t="n"/>
      <c r="E1008" s="47" t="n"/>
      <c r="F1008" s="47" t="n"/>
      <c r="G1008" s="48">
        <f t="shared" si="4"/>
      </c>
      <c r="H1008" s="43">
        <f t="shared" si="0"/>
      </c>
      <c r="I1008" s="43">
        <f t="shared" si="5"/>
      </c>
      <c r="J1008" s="43">
        <f t="shared" si="1"/>
      </c>
      <c r="K1008" s="49">
        <f t="shared" si="2"/>
      </c>
      <c r="L1008" s="45" t="n"/>
      <c r="M1008" s="45" t="n"/>
      <c r="N1008" s="45" t="n"/>
      <c r="O1008" s="45" t="n"/>
      <c r="P1008" s="50" t="n"/>
      <c r="R1008" s="2">
        <f t="shared" si="6"/>
        <v>0</v>
      </c>
      <c r="S1008" s="2">
        <f t="shared" si="7"/>
      </c>
      <c r="T1008" s="2">
        <f t="shared" si="8"/>
      </c>
      <c r="U1008" s="2">
        <f t="shared" si="9"/>
      </c>
      <c r="V1008" s="2">
        <f t="shared" si="10"/>
      </c>
      <c r="W1008" s="2">
        <f t="shared" si="11"/>
      </c>
      <c r="X1008" s="2">
        <f t="shared" si="12"/>
      </c>
      <c r="Y1008" s="2">
        <f t="shared" si="13"/>
        <v>0</v>
      </c>
      <c r="Z1008" s="2">
        <f t="shared" si="14"/>
      </c>
      <c r="AA1008" s="2">
        <f t="shared" si="15"/>
        <v>0</v>
      </c>
      <c r="AB1008" s="2">
        <f t="shared" si="16"/>
      </c>
      <c r="AC1008" s="2">
        <f t="shared" si="17"/>
      </c>
      <c r="AD1008" s="2">
        <f t="shared" si="18"/>
      </c>
      <c r="AE1008" s="2">
        <f t="shared" si="19"/>
      </c>
      <c r="AF1008" s="2">
        <f t="shared" si="20"/>
      </c>
      <c r="AG1008" s="2">
        <f t="shared" si="21"/>
      </c>
      <c r="AH1008" s="2">
        <f t="shared" si="22"/>
      </c>
      <c r="AI1008" s="2">
        <f t="shared" si="23"/>
      </c>
      <c r="AJ1008" s="2">
        <f t="shared" si="24"/>
        <v>0</v>
      </c>
      <c r="AK1008" s="2">
        <f t="shared" si="25"/>
        <v>0</v>
      </c>
      <c r="AL1008" s="2">
        <f t="shared" si="26"/>
        <v>0</v>
      </c>
      <c r="AM1008" s="2">
        <f t="shared" si="27"/>
        <v>0</v>
      </c>
      <c r="AN1008" s="2">
        <f t="shared" si="28"/>
        <v>0</v>
      </c>
      <c r="AO1008" s="2">
        <f t="shared" si="29"/>
      </c>
      <c r="AP1008" s="2">
        <f t="shared" si="30"/>
      </c>
      <c r="AQ1008" s="2">
        <f t="shared" si="31"/>
      </c>
    </row>
    <row r="1009">
      <c r="A1009" s="43">
        <f t="shared" si="3"/>
      </c>
      <c r="B1009" s="44" t="n"/>
      <c r="C1009" s="45" t="n"/>
      <c r="D1009" s="46" t="n"/>
      <c r="E1009" s="47" t="n"/>
      <c r="F1009" s="47" t="n"/>
      <c r="G1009" s="48">
        <f t="shared" si="4"/>
      </c>
      <c r="H1009" s="43">
        <f t="shared" si="0"/>
      </c>
      <c r="I1009" s="43">
        <f t="shared" si="5"/>
      </c>
      <c r="J1009" s="43">
        <f t="shared" si="1"/>
      </c>
      <c r="K1009" s="49">
        <f t="shared" si="2"/>
      </c>
      <c r="L1009" s="45" t="n"/>
      <c r="M1009" s="45" t="n"/>
      <c r="N1009" s="45" t="n"/>
      <c r="O1009" s="45" t="n"/>
      <c r="P1009" s="50" t="n"/>
      <c r="R1009" s="2">
        <f t="shared" si="6"/>
        <v>0</v>
      </c>
      <c r="S1009" s="2">
        <f t="shared" si="7"/>
      </c>
      <c r="T1009" s="2">
        <f t="shared" si="8"/>
      </c>
      <c r="U1009" s="2">
        <f t="shared" si="9"/>
      </c>
      <c r="V1009" s="2">
        <f t="shared" si="10"/>
      </c>
      <c r="W1009" s="2">
        <f t="shared" si="11"/>
      </c>
      <c r="X1009" s="2">
        <f t="shared" si="12"/>
      </c>
      <c r="Y1009" s="2">
        <f t="shared" si="13"/>
        <v>0</v>
      </c>
      <c r="Z1009" s="2">
        <f t="shared" si="14"/>
      </c>
      <c r="AA1009" s="2">
        <f t="shared" si="15"/>
        <v>0</v>
      </c>
      <c r="AB1009" s="2">
        <f t="shared" si="16"/>
      </c>
      <c r="AC1009" s="2">
        <f t="shared" si="17"/>
      </c>
      <c r="AD1009" s="2">
        <f t="shared" si="18"/>
      </c>
      <c r="AE1009" s="2">
        <f t="shared" si="19"/>
      </c>
      <c r="AF1009" s="2">
        <f t="shared" si="20"/>
      </c>
      <c r="AG1009" s="2">
        <f t="shared" si="21"/>
      </c>
      <c r="AH1009" s="2">
        <f t="shared" si="22"/>
      </c>
      <c r="AI1009" s="2">
        <f t="shared" si="23"/>
      </c>
      <c r="AJ1009" s="2">
        <f t="shared" si="24"/>
        <v>0</v>
      </c>
      <c r="AK1009" s="2">
        <f t="shared" si="25"/>
        <v>0</v>
      </c>
      <c r="AL1009" s="2">
        <f t="shared" si="26"/>
        <v>0</v>
      </c>
      <c r="AM1009" s="2">
        <f t="shared" si="27"/>
        <v>0</v>
      </c>
      <c r="AN1009" s="2">
        <f t="shared" si="28"/>
        <v>0</v>
      </c>
      <c r="AO1009" s="2">
        <f t="shared" si="29"/>
      </c>
      <c r="AP1009" s="2">
        <f t="shared" si="30"/>
      </c>
      <c r="AQ1009" s="2">
        <f t="shared" si="31"/>
      </c>
    </row>
    <row r="1010">
      <c r="A1010" s="43">
        <f t="shared" si="3"/>
      </c>
      <c r="B1010" s="44" t="n"/>
      <c r="C1010" s="45" t="n"/>
      <c r="D1010" s="46" t="n"/>
      <c r="E1010" s="47" t="n"/>
      <c r="F1010" s="47" t="n"/>
      <c r="G1010" s="48">
        <f t="shared" si="4"/>
      </c>
      <c r="H1010" s="43">
        <f t="shared" si="0"/>
      </c>
      <c r="I1010" s="43">
        <f t="shared" si="5"/>
      </c>
      <c r="J1010" s="43">
        <f t="shared" si="1"/>
      </c>
      <c r="K1010" s="49">
        <f t="shared" si="2"/>
      </c>
      <c r="L1010" s="45" t="n"/>
      <c r="M1010" s="45" t="n"/>
      <c r="N1010" s="45" t="n"/>
      <c r="O1010" s="45" t="n"/>
      <c r="P1010" s="50" t="n"/>
      <c r="R1010" s="2">
        <f t="shared" si="6"/>
        <v>0</v>
      </c>
      <c r="S1010" s="2">
        <f t="shared" si="7"/>
      </c>
      <c r="T1010" s="2">
        <f t="shared" si="8"/>
      </c>
      <c r="U1010" s="2">
        <f t="shared" si="9"/>
      </c>
      <c r="V1010" s="2">
        <f t="shared" si="10"/>
      </c>
      <c r="W1010" s="2">
        <f t="shared" si="11"/>
      </c>
      <c r="X1010" s="2">
        <f t="shared" si="12"/>
      </c>
      <c r="Y1010" s="2">
        <f t="shared" si="13"/>
        <v>0</v>
      </c>
      <c r="Z1010" s="2">
        <f t="shared" si="14"/>
      </c>
      <c r="AA1010" s="2">
        <f t="shared" si="15"/>
        <v>0</v>
      </c>
      <c r="AB1010" s="2">
        <f t="shared" si="16"/>
      </c>
      <c r="AC1010" s="2">
        <f t="shared" si="17"/>
      </c>
      <c r="AD1010" s="2">
        <f t="shared" si="18"/>
      </c>
      <c r="AE1010" s="2">
        <f t="shared" si="19"/>
      </c>
      <c r="AF1010" s="2">
        <f t="shared" si="20"/>
      </c>
      <c r="AG1010" s="2">
        <f t="shared" si="21"/>
      </c>
      <c r="AH1010" s="2">
        <f t="shared" si="22"/>
      </c>
      <c r="AI1010" s="2">
        <f t="shared" si="23"/>
      </c>
      <c r="AJ1010" s="2">
        <f t="shared" si="24"/>
        <v>0</v>
      </c>
      <c r="AK1010" s="2">
        <f t="shared" si="25"/>
        <v>0</v>
      </c>
      <c r="AL1010" s="2">
        <f t="shared" si="26"/>
        <v>0</v>
      </c>
      <c r="AM1010" s="2">
        <f t="shared" si="27"/>
        <v>0</v>
      </c>
      <c r="AN1010" s="2">
        <f t="shared" si="28"/>
        <v>0</v>
      </c>
      <c r="AO1010" s="2">
        <f t="shared" si="29"/>
      </c>
      <c r="AP1010" s="2">
        <f t="shared" si="30"/>
      </c>
      <c r="AQ1010" s="2">
        <f t="shared" si="31"/>
      </c>
    </row>
    <row r="1011">
      <c r="A1011" s="43">
        <f t="shared" si="3"/>
      </c>
      <c r="B1011" s="44" t="n"/>
      <c r="C1011" s="45" t="n"/>
      <c r="D1011" s="46" t="n"/>
      <c r="E1011" s="47" t="n"/>
      <c r="F1011" s="47" t="n"/>
      <c r="G1011" s="48">
        <f t="shared" si="4"/>
      </c>
      <c r="H1011" s="43">
        <f t="shared" si="0"/>
      </c>
      <c r="I1011" s="43">
        <f t="shared" si="5"/>
      </c>
      <c r="J1011" s="43">
        <f t="shared" si="1"/>
      </c>
      <c r="K1011" s="49">
        <f t="shared" si="2"/>
      </c>
      <c r="L1011" s="45" t="n"/>
      <c r="M1011" s="45" t="n"/>
      <c r="N1011" s="45" t="n"/>
      <c r="O1011" s="45" t="n"/>
      <c r="P1011" s="50" t="n"/>
      <c r="R1011" s="2">
        <f t="shared" si="6"/>
        <v>0</v>
      </c>
      <c r="S1011" s="2">
        <f t="shared" si="7"/>
      </c>
      <c r="T1011" s="2">
        <f t="shared" si="8"/>
      </c>
      <c r="U1011" s="2">
        <f t="shared" si="9"/>
      </c>
      <c r="V1011" s="2">
        <f t="shared" si="10"/>
      </c>
      <c r="W1011" s="2">
        <f t="shared" si="11"/>
      </c>
      <c r="X1011" s="2">
        <f t="shared" si="12"/>
      </c>
      <c r="Y1011" s="2">
        <f t="shared" si="13"/>
        <v>0</v>
      </c>
      <c r="Z1011" s="2">
        <f t="shared" si="14"/>
      </c>
      <c r="AA1011" s="2">
        <f t="shared" si="15"/>
        <v>0</v>
      </c>
      <c r="AB1011" s="2">
        <f t="shared" si="16"/>
      </c>
      <c r="AC1011" s="2">
        <f t="shared" si="17"/>
      </c>
      <c r="AD1011" s="2">
        <f t="shared" si="18"/>
      </c>
      <c r="AE1011" s="2">
        <f t="shared" si="19"/>
      </c>
      <c r="AF1011" s="2">
        <f t="shared" si="20"/>
      </c>
      <c r="AG1011" s="2">
        <f t="shared" si="21"/>
      </c>
      <c r="AH1011" s="2">
        <f t="shared" si="22"/>
      </c>
      <c r="AI1011" s="2">
        <f t="shared" si="23"/>
      </c>
      <c r="AJ1011" s="2">
        <f t="shared" si="24"/>
        <v>0</v>
      </c>
      <c r="AK1011" s="2">
        <f t="shared" si="25"/>
        <v>0</v>
      </c>
      <c r="AL1011" s="2">
        <f t="shared" si="26"/>
        <v>0</v>
      </c>
      <c r="AM1011" s="2">
        <f t="shared" si="27"/>
        <v>0</v>
      </c>
      <c r="AN1011" s="2">
        <f t="shared" si="28"/>
        <v>0</v>
      </c>
      <c r="AO1011" s="2">
        <f t="shared" si="29"/>
      </c>
      <c r="AP1011" s="2">
        <f t="shared" si="30"/>
      </c>
      <c r="AQ1011" s="2">
        <f t="shared" si="31"/>
      </c>
    </row>
    <row r="1012">
      <c r="A1012" s="43">
        <f t="shared" si="3"/>
      </c>
      <c r="B1012" s="44" t="n"/>
      <c r="C1012" s="45" t="n"/>
      <c r="D1012" s="46" t="n"/>
      <c r="E1012" s="47" t="n"/>
      <c r="F1012" s="47" t="n"/>
      <c r="G1012" s="48">
        <f t="shared" si="4"/>
      </c>
      <c r="H1012" s="43">
        <f t="shared" si="0"/>
      </c>
      <c r="I1012" s="43">
        <f t="shared" si="5"/>
      </c>
      <c r="J1012" s="43">
        <f t="shared" si="1"/>
      </c>
      <c r="K1012" s="49">
        <f t="shared" si="2"/>
      </c>
      <c r="L1012" s="45" t="n"/>
      <c r="M1012" s="45" t="n"/>
      <c r="N1012" s="45" t="n"/>
      <c r="O1012" s="45" t="n"/>
      <c r="P1012" s="50" t="n"/>
      <c r="R1012" s="2">
        <f t="shared" si="6"/>
        <v>0</v>
      </c>
      <c r="S1012" s="2">
        <f t="shared" si="7"/>
      </c>
      <c r="T1012" s="2">
        <f t="shared" si="8"/>
      </c>
      <c r="U1012" s="2">
        <f t="shared" si="9"/>
      </c>
      <c r="V1012" s="2">
        <f t="shared" si="10"/>
      </c>
      <c r="W1012" s="2">
        <f t="shared" si="11"/>
      </c>
      <c r="X1012" s="2">
        <f t="shared" si="12"/>
      </c>
      <c r="Y1012" s="2">
        <f t="shared" si="13"/>
        <v>0</v>
      </c>
      <c r="Z1012" s="2">
        <f t="shared" si="14"/>
      </c>
      <c r="AA1012" s="2">
        <f t="shared" si="15"/>
        <v>0</v>
      </c>
      <c r="AB1012" s="2">
        <f t="shared" si="16"/>
      </c>
      <c r="AC1012" s="2">
        <f t="shared" si="17"/>
      </c>
      <c r="AD1012" s="2">
        <f t="shared" si="18"/>
      </c>
      <c r="AE1012" s="2">
        <f t="shared" si="19"/>
      </c>
      <c r="AF1012" s="2">
        <f t="shared" si="20"/>
      </c>
      <c r="AG1012" s="2">
        <f t="shared" si="21"/>
      </c>
      <c r="AH1012" s="2">
        <f t="shared" si="22"/>
      </c>
      <c r="AI1012" s="2">
        <f t="shared" si="23"/>
      </c>
      <c r="AJ1012" s="2">
        <f t="shared" si="24"/>
        <v>0</v>
      </c>
      <c r="AK1012" s="2">
        <f t="shared" si="25"/>
        <v>0</v>
      </c>
      <c r="AL1012" s="2">
        <f t="shared" si="26"/>
        <v>0</v>
      </c>
      <c r="AM1012" s="2">
        <f t="shared" si="27"/>
        <v>0</v>
      </c>
      <c r="AN1012" s="2">
        <f t="shared" si="28"/>
        <v>0</v>
      </c>
      <c r="AO1012" s="2">
        <f t="shared" si="29"/>
      </c>
      <c r="AP1012" s="2">
        <f t="shared" si="30"/>
      </c>
      <c r="AQ1012" s="2">
        <f t="shared" si="31"/>
      </c>
    </row>
    <row r="1013">
      <c r="A1013" s="43">
        <f t="shared" si="3"/>
      </c>
      <c r="B1013" s="44" t="n"/>
      <c r="C1013" s="45" t="n"/>
      <c r="D1013" s="46" t="n"/>
      <c r="E1013" s="47" t="n"/>
      <c r="F1013" s="47" t="n"/>
      <c r="G1013" s="48">
        <f t="shared" si="4"/>
      </c>
      <c r="H1013" s="43">
        <f t="shared" si="0"/>
      </c>
      <c r="I1013" s="43">
        <f t="shared" si="5"/>
      </c>
      <c r="J1013" s="43">
        <f t="shared" si="1"/>
      </c>
      <c r="K1013" s="49">
        <f t="shared" si="2"/>
      </c>
      <c r="L1013" s="45" t="n"/>
      <c r="M1013" s="45" t="n"/>
      <c r="N1013" s="45" t="n"/>
      <c r="O1013" s="45" t="n"/>
      <c r="P1013" s="50" t="n"/>
      <c r="R1013" s="2">
        <f t="shared" si="6"/>
        <v>0</v>
      </c>
      <c r="S1013" s="2">
        <f t="shared" si="7"/>
      </c>
      <c r="T1013" s="2">
        <f t="shared" si="8"/>
      </c>
      <c r="U1013" s="2">
        <f t="shared" si="9"/>
      </c>
      <c r="V1013" s="2">
        <f t="shared" si="10"/>
      </c>
      <c r="W1013" s="2">
        <f t="shared" si="11"/>
      </c>
      <c r="X1013" s="2">
        <f t="shared" si="12"/>
      </c>
      <c r="Y1013" s="2">
        <f t="shared" si="13"/>
        <v>0</v>
      </c>
      <c r="Z1013" s="2">
        <f t="shared" si="14"/>
      </c>
      <c r="AA1013" s="2">
        <f t="shared" si="15"/>
        <v>0</v>
      </c>
      <c r="AB1013" s="2">
        <f t="shared" si="16"/>
      </c>
      <c r="AC1013" s="2">
        <f t="shared" si="17"/>
      </c>
      <c r="AD1013" s="2">
        <f t="shared" si="18"/>
      </c>
      <c r="AE1013" s="2">
        <f t="shared" si="19"/>
      </c>
      <c r="AF1013" s="2">
        <f t="shared" si="20"/>
      </c>
      <c r="AG1013" s="2">
        <f t="shared" si="21"/>
      </c>
      <c r="AH1013" s="2">
        <f t="shared" si="22"/>
      </c>
      <c r="AI1013" s="2">
        <f t="shared" si="23"/>
      </c>
      <c r="AJ1013" s="2">
        <f t="shared" si="24"/>
        <v>0</v>
      </c>
      <c r="AK1013" s="2">
        <f t="shared" si="25"/>
        <v>0</v>
      </c>
      <c r="AL1013" s="2">
        <f t="shared" si="26"/>
        <v>0</v>
      </c>
      <c r="AM1013" s="2">
        <f t="shared" si="27"/>
        <v>0</v>
      </c>
      <c r="AN1013" s="2">
        <f t="shared" si="28"/>
        <v>0</v>
      </c>
      <c r="AO1013" s="2">
        <f t="shared" si="29"/>
      </c>
      <c r="AP1013" s="2">
        <f t="shared" si="30"/>
      </c>
      <c r="AQ1013" s="2">
        <f t="shared" si="31"/>
      </c>
    </row>
    <row r="1014">
      <c r="A1014" s="43">
        <f t="shared" si="3"/>
      </c>
      <c r="B1014" s="44" t="n"/>
      <c r="C1014" s="45" t="n"/>
      <c r="D1014" s="46" t="n"/>
      <c r="E1014" s="47" t="n"/>
      <c r="F1014" s="47" t="n"/>
      <c r="G1014" s="48">
        <f t="shared" si="4"/>
      </c>
      <c r="H1014" s="43">
        <f t="shared" si="0"/>
      </c>
      <c r="I1014" s="43">
        <f t="shared" si="5"/>
      </c>
      <c r="J1014" s="43">
        <f t="shared" si="1"/>
      </c>
      <c r="K1014" s="49">
        <f t="shared" si="2"/>
      </c>
      <c r="L1014" s="45" t="n"/>
      <c r="M1014" s="45" t="n"/>
      <c r="N1014" s="45" t="n"/>
      <c r="O1014" s="45" t="n"/>
      <c r="P1014" s="50" t="n"/>
      <c r="R1014" s="2">
        <f t="shared" si="6"/>
        <v>0</v>
      </c>
      <c r="S1014" s="2">
        <f t="shared" si="7"/>
      </c>
      <c r="T1014" s="2">
        <f t="shared" si="8"/>
      </c>
      <c r="U1014" s="2">
        <f t="shared" si="9"/>
      </c>
      <c r="V1014" s="2">
        <f t="shared" si="10"/>
      </c>
      <c r="W1014" s="2">
        <f t="shared" si="11"/>
      </c>
      <c r="X1014" s="2">
        <f t="shared" si="12"/>
      </c>
      <c r="Y1014" s="2">
        <f t="shared" si="13"/>
        <v>0</v>
      </c>
      <c r="Z1014" s="2">
        <f t="shared" si="14"/>
      </c>
      <c r="AA1014" s="2">
        <f t="shared" si="15"/>
        <v>0</v>
      </c>
      <c r="AB1014" s="2">
        <f t="shared" si="16"/>
      </c>
      <c r="AC1014" s="2">
        <f t="shared" si="17"/>
      </c>
      <c r="AD1014" s="2">
        <f t="shared" si="18"/>
      </c>
      <c r="AE1014" s="2">
        <f t="shared" si="19"/>
      </c>
      <c r="AF1014" s="2">
        <f t="shared" si="20"/>
      </c>
      <c r="AG1014" s="2">
        <f t="shared" si="21"/>
      </c>
      <c r="AH1014" s="2">
        <f t="shared" si="22"/>
      </c>
      <c r="AI1014" s="2">
        <f t="shared" si="23"/>
      </c>
      <c r="AJ1014" s="2">
        <f t="shared" si="24"/>
        <v>0</v>
      </c>
      <c r="AK1014" s="2">
        <f t="shared" si="25"/>
        <v>0</v>
      </c>
      <c r="AL1014" s="2">
        <f t="shared" si="26"/>
        <v>0</v>
      </c>
      <c r="AM1014" s="2">
        <f t="shared" si="27"/>
        <v>0</v>
      </c>
      <c r="AN1014" s="2">
        <f t="shared" si="28"/>
        <v>0</v>
      </c>
      <c r="AO1014" s="2">
        <f t="shared" si="29"/>
      </c>
      <c r="AP1014" s="2">
        <f t="shared" si="30"/>
      </c>
      <c r="AQ1014" s="2">
        <f t="shared" si="31"/>
      </c>
    </row>
    <row r="1015">
      <c r="A1015" s="43">
        <f t="shared" si="3"/>
      </c>
      <c r="B1015" s="44" t="n"/>
      <c r="C1015" s="45" t="n"/>
      <c r="D1015" s="46" t="n"/>
      <c r="E1015" s="47" t="n"/>
      <c r="F1015" s="47" t="n"/>
      <c r="G1015" s="48">
        <f t="shared" si="4"/>
      </c>
      <c r="H1015" s="43">
        <f t="shared" si="0"/>
      </c>
      <c r="I1015" s="43">
        <f t="shared" si="5"/>
      </c>
      <c r="J1015" s="43">
        <f t="shared" si="1"/>
      </c>
      <c r="K1015" s="49">
        <f t="shared" si="2"/>
      </c>
      <c r="L1015" s="45" t="n"/>
      <c r="M1015" s="45" t="n"/>
      <c r="N1015" s="45" t="n"/>
      <c r="O1015" s="45" t="n"/>
      <c r="P1015" s="50" t="n"/>
      <c r="R1015" s="2">
        <f t="shared" si="6"/>
        <v>0</v>
      </c>
      <c r="S1015" s="2">
        <f t="shared" si="7"/>
      </c>
      <c r="T1015" s="2">
        <f t="shared" si="8"/>
      </c>
      <c r="U1015" s="2">
        <f t="shared" si="9"/>
      </c>
      <c r="V1015" s="2">
        <f t="shared" si="10"/>
      </c>
      <c r="W1015" s="2">
        <f t="shared" si="11"/>
      </c>
      <c r="X1015" s="2">
        <f t="shared" si="12"/>
      </c>
      <c r="Y1015" s="2">
        <f t="shared" si="13"/>
        <v>0</v>
      </c>
      <c r="Z1015" s="2">
        <f t="shared" si="14"/>
      </c>
      <c r="AA1015" s="2">
        <f t="shared" si="15"/>
        <v>0</v>
      </c>
      <c r="AB1015" s="2">
        <f t="shared" si="16"/>
      </c>
      <c r="AC1015" s="2">
        <f t="shared" si="17"/>
      </c>
      <c r="AD1015" s="2">
        <f t="shared" si="18"/>
      </c>
      <c r="AE1015" s="2">
        <f t="shared" si="19"/>
      </c>
      <c r="AF1015" s="2">
        <f t="shared" si="20"/>
      </c>
      <c r="AG1015" s="2">
        <f t="shared" si="21"/>
      </c>
      <c r="AH1015" s="2">
        <f t="shared" si="22"/>
      </c>
      <c r="AI1015" s="2">
        <f t="shared" si="23"/>
      </c>
      <c r="AJ1015" s="2">
        <f t="shared" si="24"/>
        <v>0</v>
      </c>
      <c r="AK1015" s="2">
        <f t="shared" si="25"/>
        <v>0</v>
      </c>
      <c r="AL1015" s="2">
        <f t="shared" si="26"/>
        <v>0</v>
      </c>
      <c r="AM1015" s="2">
        <f t="shared" si="27"/>
        <v>0</v>
      </c>
      <c r="AN1015" s="2">
        <f t="shared" si="28"/>
        <v>0</v>
      </c>
      <c r="AO1015" s="2">
        <f t="shared" si="29"/>
      </c>
      <c r="AP1015" s="2">
        <f t="shared" si="30"/>
      </c>
      <c r="AQ1015" s="2">
        <f t="shared" si="31"/>
      </c>
    </row>
    <row r="1016">
      <c r="A1016" s="43">
        <f t="shared" si="3"/>
      </c>
      <c r="B1016" s="44" t="n"/>
      <c r="C1016" s="45" t="n"/>
      <c r="D1016" s="46" t="n"/>
      <c r="E1016" s="47" t="n"/>
      <c r="F1016" s="47" t="n"/>
      <c r="G1016" s="48">
        <f t="shared" si="4"/>
      </c>
      <c r="H1016" s="43">
        <f t="shared" si="0"/>
      </c>
      <c r="I1016" s="43">
        <f t="shared" si="5"/>
      </c>
      <c r="J1016" s="43">
        <f t="shared" si="1"/>
      </c>
      <c r="K1016" s="49">
        <f t="shared" si="2"/>
      </c>
      <c r="L1016" s="45" t="n"/>
      <c r="M1016" s="45" t="n"/>
      <c r="N1016" s="45" t="n"/>
      <c r="O1016" s="45" t="n"/>
      <c r="P1016" s="50" t="n"/>
      <c r="R1016" s="2">
        <f t="shared" si="6"/>
        <v>0</v>
      </c>
      <c r="S1016" s="2">
        <f t="shared" si="7"/>
      </c>
      <c r="T1016" s="2">
        <f t="shared" si="8"/>
      </c>
      <c r="U1016" s="2">
        <f t="shared" si="9"/>
      </c>
      <c r="V1016" s="2">
        <f t="shared" si="10"/>
      </c>
      <c r="W1016" s="2">
        <f t="shared" si="11"/>
      </c>
      <c r="X1016" s="2">
        <f t="shared" si="12"/>
      </c>
      <c r="Y1016" s="2">
        <f t="shared" si="13"/>
        <v>0</v>
      </c>
      <c r="Z1016" s="2">
        <f t="shared" si="14"/>
      </c>
      <c r="AA1016" s="2">
        <f t="shared" si="15"/>
        <v>0</v>
      </c>
      <c r="AB1016" s="2">
        <f t="shared" si="16"/>
      </c>
      <c r="AC1016" s="2">
        <f t="shared" si="17"/>
      </c>
      <c r="AD1016" s="2">
        <f t="shared" si="18"/>
      </c>
      <c r="AE1016" s="2">
        <f t="shared" si="19"/>
      </c>
      <c r="AF1016" s="2">
        <f t="shared" si="20"/>
      </c>
      <c r="AG1016" s="2">
        <f t="shared" si="21"/>
      </c>
      <c r="AH1016" s="2">
        <f t="shared" si="22"/>
      </c>
      <c r="AI1016" s="2">
        <f t="shared" si="23"/>
      </c>
      <c r="AJ1016" s="2">
        <f t="shared" si="24"/>
        <v>0</v>
      </c>
      <c r="AK1016" s="2">
        <f t="shared" si="25"/>
        <v>0</v>
      </c>
      <c r="AL1016" s="2">
        <f t="shared" si="26"/>
        <v>0</v>
      </c>
      <c r="AM1016" s="2">
        <f t="shared" si="27"/>
        <v>0</v>
      </c>
      <c r="AN1016" s="2">
        <f t="shared" si="28"/>
        <v>0</v>
      </c>
      <c r="AO1016" s="2">
        <f t="shared" si="29"/>
      </c>
      <c r="AP1016" s="2">
        <f t="shared" si="30"/>
      </c>
      <c r="AQ1016" s="2">
        <f t="shared" si="31"/>
      </c>
    </row>
    <row r="1017">
      <c r="A1017" s="43">
        <f t="shared" si="3"/>
      </c>
      <c r="B1017" s="44" t="n"/>
      <c r="C1017" s="45" t="n"/>
      <c r="D1017" s="46" t="n"/>
      <c r="E1017" s="47" t="n"/>
      <c r="F1017" s="47" t="n"/>
      <c r="G1017" s="48">
        <f t="shared" si="4"/>
      </c>
      <c r="H1017" s="43">
        <f t="shared" si="0"/>
      </c>
      <c r="I1017" s="43">
        <f t="shared" si="5"/>
      </c>
      <c r="J1017" s="43">
        <f t="shared" si="1"/>
      </c>
      <c r="K1017" s="49">
        <f t="shared" si="2"/>
      </c>
      <c r="L1017" s="45" t="n"/>
      <c r="M1017" s="45" t="n"/>
      <c r="N1017" s="45" t="n"/>
      <c r="O1017" s="45" t="n"/>
      <c r="P1017" s="50" t="n"/>
      <c r="R1017" s="2">
        <f t="shared" si="6"/>
        <v>0</v>
      </c>
      <c r="S1017" s="2">
        <f t="shared" si="7"/>
      </c>
      <c r="T1017" s="2">
        <f t="shared" si="8"/>
      </c>
      <c r="U1017" s="2">
        <f t="shared" si="9"/>
      </c>
      <c r="V1017" s="2">
        <f t="shared" si="10"/>
      </c>
      <c r="W1017" s="2">
        <f t="shared" si="11"/>
      </c>
      <c r="X1017" s="2">
        <f t="shared" si="12"/>
      </c>
      <c r="Y1017" s="2">
        <f t="shared" si="13"/>
        <v>0</v>
      </c>
      <c r="Z1017" s="2">
        <f t="shared" si="14"/>
      </c>
      <c r="AA1017" s="2">
        <f t="shared" si="15"/>
        <v>0</v>
      </c>
      <c r="AB1017" s="2">
        <f t="shared" si="16"/>
      </c>
      <c r="AC1017" s="2">
        <f t="shared" si="17"/>
      </c>
      <c r="AD1017" s="2">
        <f t="shared" si="18"/>
      </c>
      <c r="AE1017" s="2">
        <f t="shared" si="19"/>
      </c>
      <c r="AF1017" s="2">
        <f t="shared" si="20"/>
      </c>
      <c r="AG1017" s="2">
        <f t="shared" si="21"/>
      </c>
      <c r="AH1017" s="2">
        <f t="shared" si="22"/>
      </c>
      <c r="AI1017" s="2">
        <f t="shared" si="23"/>
      </c>
      <c r="AJ1017" s="2">
        <f t="shared" si="24"/>
        <v>0</v>
      </c>
      <c r="AK1017" s="2">
        <f t="shared" si="25"/>
        <v>0</v>
      </c>
      <c r="AL1017" s="2">
        <f t="shared" si="26"/>
        <v>0</v>
      </c>
      <c r="AM1017" s="2">
        <f t="shared" si="27"/>
        <v>0</v>
      </c>
      <c r="AN1017" s="2">
        <f t="shared" si="28"/>
        <v>0</v>
      </c>
      <c r="AO1017" s="2">
        <f t="shared" si="29"/>
      </c>
      <c r="AP1017" s="2">
        <f t="shared" si="30"/>
      </c>
      <c r="AQ1017" s="2">
        <f t="shared" si="31"/>
      </c>
    </row>
    <row r="1018">
      <c r="A1018" s="43">
        <f t="shared" si="3"/>
      </c>
      <c r="B1018" s="44" t="n"/>
      <c r="C1018" s="45" t="n"/>
      <c r="D1018" s="46" t="n"/>
      <c r="E1018" s="47" t="n"/>
      <c r="F1018" s="47" t="n"/>
      <c r="G1018" s="48">
        <f t="shared" si="4"/>
      </c>
      <c r="H1018" s="43">
        <f t="shared" si="0"/>
      </c>
      <c r="I1018" s="43">
        <f t="shared" si="5"/>
      </c>
      <c r="J1018" s="43">
        <f t="shared" si="1"/>
      </c>
      <c r="K1018" s="49">
        <f t="shared" si="2"/>
      </c>
      <c r="L1018" s="45" t="n"/>
      <c r="M1018" s="45" t="n"/>
      <c r="N1018" s="45" t="n"/>
      <c r="O1018" s="45" t="n"/>
      <c r="P1018" s="50" t="n"/>
      <c r="R1018" s="2">
        <f t="shared" si="6"/>
        <v>0</v>
      </c>
      <c r="S1018" s="2">
        <f t="shared" si="7"/>
      </c>
      <c r="T1018" s="2">
        <f t="shared" si="8"/>
      </c>
      <c r="U1018" s="2">
        <f t="shared" si="9"/>
      </c>
      <c r="V1018" s="2">
        <f t="shared" si="10"/>
      </c>
      <c r="W1018" s="2">
        <f t="shared" si="11"/>
      </c>
      <c r="X1018" s="2">
        <f t="shared" si="12"/>
      </c>
      <c r="Y1018" s="2">
        <f t="shared" si="13"/>
        <v>0</v>
      </c>
      <c r="Z1018" s="2">
        <f t="shared" si="14"/>
      </c>
      <c r="AA1018" s="2">
        <f t="shared" si="15"/>
        <v>0</v>
      </c>
      <c r="AB1018" s="2">
        <f t="shared" si="16"/>
      </c>
      <c r="AC1018" s="2">
        <f t="shared" si="17"/>
      </c>
      <c r="AD1018" s="2">
        <f t="shared" si="18"/>
      </c>
      <c r="AE1018" s="2">
        <f t="shared" si="19"/>
      </c>
      <c r="AF1018" s="2">
        <f t="shared" si="20"/>
      </c>
      <c r="AG1018" s="2">
        <f t="shared" si="21"/>
      </c>
      <c r="AH1018" s="2">
        <f t="shared" si="22"/>
      </c>
      <c r="AI1018" s="2">
        <f t="shared" si="23"/>
      </c>
      <c r="AJ1018" s="2">
        <f t="shared" si="24"/>
        <v>0</v>
      </c>
      <c r="AK1018" s="2">
        <f t="shared" si="25"/>
        <v>0</v>
      </c>
      <c r="AL1018" s="2">
        <f t="shared" si="26"/>
        <v>0</v>
      </c>
      <c r="AM1018" s="2">
        <f t="shared" si="27"/>
        <v>0</v>
      </c>
      <c r="AN1018" s="2">
        <f t="shared" si="28"/>
        <v>0</v>
      </c>
      <c r="AO1018" s="2">
        <f t="shared" si="29"/>
      </c>
      <c r="AP1018" s="2">
        <f t="shared" si="30"/>
      </c>
      <c r="AQ1018" s="2">
        <f t="shared" si="31"/>
      </c>
    </row>
    <row r="1019">
      <c r="A1019" s="43">
        <f t="shared" si="3"/>
      </c>
      <c r="B1019" s="44" t="n"/>
      <c r="C1019" s="45" t="n"/>
      <c r="D1019" s="46" t="n"/>
      <c r="E1019" s="47" t="n"/>
      <c r="F1019" s="47" t="n"/>
      <c r="G1019" s="48">
        <f t="shared" si="4"/>
      </c>
      <c r="H1019" s="43">
        <f t="shared" si="0"/>
      </c>
      <c r="I1019" s="43">
        <f t="shared" si="5"/>
      </c>
      <c r="J1019" s="43">
        <f t="shared" si="1"/>
      </c>
      <c r="K1019" s="49">
        <f t="shared" si="2"/>
      </c>
      <c r="L1019" s="45" t="n"/>
      <c r="M1019" s="45" t="n"/>
      <c r="N1019" s="45" t="n"/>
      <c r="O1019" s="45" t="n"/>
      <c r="P1019" s="50" t="n"/>
      <c r="R1019" s="2">
        <f t="shared" si="6"/>
        <v>0</v>
      </c>
      <c r="S1019" s="2">
        <f t="shared" si="7"/>
      </c>
      <c r="T1019" s="2">
        <f t="shared" si="8"/>
      </c>
      <c r="U1019" s="2">
        <f t="shared" si="9"/>
      </c>
      <c r="V1019" s="2">
        <f t="shared" si="10"/>
      </c>
      <c r="W1019" s="2">
        <f t="shared" si="11"/>
      </c>
      <c r="X1019" s="2">
        <f t="shared" si="12"/>
      </c>
      <c r="Y1019" s="2">
        <f t="shared" si="13"/>
        <v>0</v>
      </c>
      <c r="Z1019" s="2">
        <f t="shared" si="14"/>
      </c>
      <c r="AA1019" s="2">
        <f t="shared" si="15"/>
        <v>0</v>
      </c>
      <c r="AB1019" s="2">
        <f t="shared" si="16"/>
      </c>
      <c r="AC1019" s="2">
        <f t="shared" si="17"/>
      </c>
      <c r="AD1019" s="2">
        <f t="shared" si="18"/>
      </c>
      <c r="AE1019" s="2">
        <f t="shared" si="19"/>
      </c>
      <c r="AF1019" s="2">
        <f t="shared" si="20"/>
      </c>
      <c r="AG1019" s="2">
        <f t="shared" si="21"/>
      </c>
      <c r="AH1019" s="2">
        <f t="shared" si="22"/>
      </c>
      <c r="AI1019" s="2">
        <f t="shared" si="23"/>
      </c>
      <c r="AJ1019" s="2">
        <f t="shared" si="24"/>
        <v>0</v>
      </c>
      <c r="AK1019" s="2">
        <f t="shared" si="25"/>
        <v>0</v>
      </c>
      <c r="AL1019" s="2">
        <f t="shared" si="26"/>
        <v>0</v>
      </c>
      <c r="AM1019" s="2">
        <f t="shared" si="27"/>
        <v>0</v>
      </c>
      <c r="AN1019" s="2">
        <f t="shared" si="28"/>
        <v>0</v>
      </c>
      <c r="AO1019" s="2">
        <f t="shared" si="29"/>
      </c>
      <c r="AP1019" s="2">
        <f t="shared" si="30"/>
      </c>
      <c r="AQ1019" s="2">
        <f t="shared" si="31"/>
      </c>
    </row>
    <row r="1020">
      <c r="A1020" s="43">
        <f t="shared" si="3"/>
      </c>
      <c r="B1020" s="44" t="n"/>
      <c r="C1020" s="45" t="n"/>
      <c r="D1020" s="46" t="n"/>
      <c r="E1020" s="47" t="n"/>
      <c r="F1020" s="47" t="n"/>
      <c r="G1020" s="48">
        <f t="shared" si="4"/>
      </c>
      <c r="H1020" s="43">
        <f t="shared" si="0"/>
      </c>
      <c r="I1020" s="43">
        <f t="shared" si="5"/>
      </c>
      <c r="J1020" s="43">
        <f t="shared" si="1"/>
      </c>
      <c r="K1020" s="49">
        <f t="shared" si="2"/>
      </c>
      <c r="L1020" s="45" t="n"/>
      <c r="M1020" s="45" t="n"/>
      <c r="N1020" s="45" t="n"/>
      <c r="O1020" s="45" t="n"/>
      <c r="P1020" s="50" t="n"/>
      <c r="R1020" s="2">
        <f t="shared" si="6"/>
        <v>0</v>
      </c>
      <c r="S1020" s="2">
        <f t="shared" si="7"/>
      </c>
      <c r="T1020" s="2">
        <f t="shared" si="8"/>
      </c>
      <c r="U1020" s="2">
        <f t="shared" si="9"/>
      </c>
      <c r="V1020" s="2">
        <f t="shared" si="10"/>
      </c>
      <c r="W1020" s="2">
        <f t="shared" si="11"/>
      </c>
      <c r="X1020" s="2">
        <f t="shared" si="12"/>
      </c>
      <c r="Y1020" s="2">
        <f t="shared" si="13"/>
        <v>0</v>
      </c>
      <c r="Z1020" s="2">
        <f t="shared" si="14"/>
      </c>
      <c r="AA1020" s="2">
        <f t="shared" si="15"/>
        <v>0</v>
      </c>
      <c r="AB1020" s="2">
        <f t="shared" si="16"/>
      </c>
      <c r="AC1020" s="2">
        <f t="shared" si="17"/>
      </c>
      <c r="AD1020" s="2">
        <f t="shared" si="18"/>
      </c>
      <c r="AE1020" s="2">
        <f t="shared" si="19"/>
      </c>
      <c r="AF1020" s="2">
        <f t="shared" si="20"/>
      </c>
      <c r="AG1020" s="2">
        <f t="shared" si="21"/>
      </c>
      <c r="AH1020" s="2">
        <f t="shared" si="22"/>
      </c>
      <c r="AI1020" s="2">
        <f t="shared" si="23"/>
      </c>
      <c r="AJ1020" s="2">
        <f t="shared" si="24"/>
        <v>0</v>
      </c>
      <c r="AK1020" s="2">
        <f t="shared" si="25"/>
        <v>0</v>
      </c>
      <c r="AL1020" s="2">
        <f t="shared" si="26"/>
        <v>0</v>
      </c>
      <c r="AM1020" s="2">
        <f t="shared" si="27"/>
        <v>0</v>
      </c>
      <c r="AN1020" s="2">
        <f t="shared" si="28"/>
        <v>0</v>
      </c>
      <c r="AO1020" s="2">
        <f t="shared" si="29"/>
      </c>
      <c r="AP1020" s="2">
        <f t="shared" si="30"/>
      </c>
      <c r="AQ1020" s="2">
        <f t="shared" si="31"/>
      </c>
    </row>
    <row r="1021">
      <c r="A1021" s="43">
        <f t="shared" si="3"/>
      </c>
      <c r="B1021" s="44" t="n"/>
      <c r="C1021" s="45" t="n"/>
      <c r="D1021" s="46" t="n"/>
      <c r="E1021" s="47" t="n"/>
      <c r="F1021" s="47" t="n"/>
      <c r="G1021" s="48">
        <f t="shared" si="4"/>
      </c>
      <c r="H1021" s="43">
        <f t="shared" si="0"/>
      </c>
      <c r="I1021" s="43">
        <f t="shared" si="5"/>
      </c>
      <c r="J1021" s="43">
        <f t="shared" si="1"/>
      </c>
      <c r="K1021" s="49">
        <f t="shared" si="2"/>
      </c>
      <c r="L1021" s="45" t="n"/>
      <c r="M1021" s="45" t="n"/>
      <c r="N1021" s="45" t="n"/>
      <c r="O1021" s="45" t="n"/>
      <c r="P1021" s="50" t="n"/>
      <c r="R1021" s="2">
        <f t="shared" si="6"/>
        <v>0</v>
      </c>
      <c r="S1021" s="2">
        <f t="shared" si="7"/>
      </c>
      <c r="T1021" s="2">
        <f t="shared" si="8"/>
      </c>
      <c r="U1021" s="2">
        <f t="shared" si="9"/>
      </c>
      <c r="V1021" s="2">
        <f t="shared" si="10"/>
      </c>
      <c r="W1021" s="2">
        <f t="shared" si="11"/>
      </c>
      <c r="X1021" s="2">
        <f t="shared" si="12"/>
      </c>
      <c r="Y1021" s="2">
        <f t="shared" si="13"/>
        <v>0</v>
      </c>
      <c r="Z1021" s="2">
        <f t="shared" si="14"/>
      </c>
      <c r="AA1021" s="2">
        <f t="shared" si="15"/>
        <v>0</v>
      </c>
      <c r="AB1021" s="2">
        <f t="shared" si="16"/>
      </c>
      <c r="AC1021" s="2">
        <f t="shared" si="17"/>
      </c>
      <c r="AD1021" s="2">
        <f t="shared" si="18"/>
      </c>
      <c r="AE1021" s="2">
        <f t="shared" si="19"/>
      </c>
      <c r="AF1021" s="2">
        <f t="shared" si="20"/>
      </c>
      <c r="AG1021" s="2">
        <f t="shared" si="21"/>
      </c>
      <c r="AH1021" s="2">
        <f t="shared" si="22"/>
      </c>
      <c r="AI1021" s="2">
        <f t="shared" si="23"/>
      </c>
      <c r="AJ1021" s="2">
        <f t="shared" si="24"/>
        <v>0</v>
      </c>
      <c r="AK1021" s="2">
        <f t="shared" si="25"/>
        <v>0</v>
      </c>
      <c r="AL1021" s="2">
        <f t="shared" si="26"/>
        <v>0</v>
      </c>
      <c r="AM1021" s="2">
        <f t="shared" si="27"/>
        <v>0</v>
      </c>
      <c r="AN1021" s="2">
        <f t="shared" si="28"/>
        <v>0</v>
      </c>
      <c r="AO1021" s="2">
        <f t="shared" si="29"/>
      </c>
      <c r="AP1021" s="2">
        <f t="shared" si="30"/>
      </c>
      <c r="AQ1021" s="2">
        <f t="shared" si="31"/>
      </c>
    </row>
    <row r="1022">
      <c r="A1022" s="43">
        <f t="shared" si="3"/>
      </c>
      <c r="B1022" s="44" t="n"/>
      <c r="C1022" s="45" t="n"/>
      <c r="D1022" s="46" t="n"/>
      <c r="E1022" s="47" t="n"/>
      <c r="F1022" s="47" t="n"/>
      <c r="G1022" s="48">
        <f t="shared" si="4"/>
      </c>
      <c r="H1022" s="43">
        <f t="shared" si="0"/>
      </c>
      <c r="I1022" s="43">
        <f t="shared" si="5"/>
      </c>
      <c r="J1022" s="43">
        <f t="shared" si="1"/>
      </c>
      <c r="K1022" s="49">
        <f t="shared" si="2"/>
      </c>
      <c r="L1022" s="45" t="n"/>
      <c r="M1022" s="45" t="n"/>
      <c r="N1022" s="45" t="n"/>
      <c r="O1022" s="45" t="n"/>
      <c r="P1022" s="50" t="n"/>
      <c r="R1022" s="2">
        <f t="shared" si="6"/>
        <v>0</v>
      </c>
      <c r="S1022" s="2">
        <f t="shared" si="7"/>
      </c>
      <c r="T1022" s="2">
        <f t="shared" si="8"/>
      </c>
      <c r="U1022" s="2">
        <f t="shared" si="9"/>
      </c>
      <c r="V1022" s="2">
        <f t="shared" si="10"/>
      </c>
      <c r="W1022" s="2">
        <f t="shared" si="11"/>
      </c>
      <c r="X1022" s="2">
        <f t="shared" si="12"/>
      </c>
      <c r="Y1022" s="2">
        <f t="shared" si="13"/>
        <v>0</v>
      </c>
      <c r="Z1022" s="2">
        <f t="shared" si="14"/>
      </c>
      <c r="AA1022" s="2">
        <f t="shared" si="15"/>
        <v>0</v>
      </c>
      <c r="AB1022" s="2">
        <f t="shared" si="16"/>
      </c>
      <c r="AC1022" s="2">
        <f t="shared" si="17"/>
      </c>
      <c r="AD1022" s="2">
        <f t="shared" si="18"/>
      </c>
      <c r="AE1022" s="2">
        <f t="shared" si="19"/>
      </c>
      <c r="AF1022" s="2">
        <f t="shared" si="20"/>
      </c>
      <c r="AG1022" s="2">
        <f t="shared" si="21"/>
      </c>
      <c r="AH1022" s="2">
        <f t="shared" si="22"/>
      </c>
      <c r="AI1022" s="2">
        <f t="shared" si="23"/>
      </c>
      <c r="AJ1022" s="2">
        <f t="shared" si="24"/>
        <v>0</v>
      </c>
      <c r="AK1022" s="2">
        <f t="shared" si="25"/>
        <v>0</v>
      </c>
      <c r="AL1022" s="2">
        <f t="shared" si="26"/>
        <v>0</v>
      </c>
      <c r="AM1022" s="2">
        <f t="shared" si="27"/>
        <v>0</v>
      </c>
      <c r="AN1022" s="2">
        <f t="shared" si="28"/>
        <v>0</v>
      </c>
      <c r="AO1022" s="2">
        <f t="shared" si="29"/>
      </c>
      <c r="AP1022" s="2">
        <f t="shared" si="30"/>
      </c>
      <c r="AQ1022" s="2">
        <f t="shared" si="31"/>
      </c>
    </row>
    <row r="1023">
      <c r="A1023" s="43">
        <f t="shared" si="3"/>
      </c>
      <c r="B1023" s="44" t="n"/>
      <c r="C1023" s="45" t="n"/>
      <c r="D1023" s="46" t="n"/>
      <c r="E1023" s="47" t="n"/>
      <c r="F1023" s="47" t="n"/>
      <c r="G1023" s="48">
        <f t="shared" si="4"/>
      </c>
      <c r="H1023" s="43">
        <f t="shared" si="0"/>
      </c>
      <c r="I1023" s="43">
        <f t="shared" si="5"/>
      </c>
      <c r="J1023" s="43">
        <f t="shared" si="1"/>
      </c>
      <c r="K1023" s="49">
        <f t="shared" si="2"/>
      </c>
      <c r="L1023" s="45" t="n"/>
      <c r="M1023" s="45" t="n"/>
      <c r="N1023" s="45" t="n"/>
      <c r="O1023" s="45" t="n"/>
      <c r="P1023" s="50" t="n"/>
      <c r="R1023" s="2">
        <f t="shared" si="6"/>
        <v>0</v>
      </c>
      <c r="S1023" s="2">
        <f t="shared" si="7"/>
      </c>
      <c r="T1023" s="2">
        <f t="shared" si="8"/>
      </c>
      <c r="U1023" s="2">
        <f t="shared" si="9"/>
      </c>
      <c r="V1023" s="2">
        <f t="shared" si="10"/>
      </c>
      <c r="W1023" s="2">
        <f t="shared" si="11"/>
      </c>
      <c r="X1023" s="2">
        <f t="shared" si="12"/>
      </c>
      <c r="Y1023" s="2">
        <f t="shared" si="13"/>
        <v>0</v>
      </c>
      <c r="Z1023" s="2">
        <f t="shared" si="14"/>
      </c>
      <c r="AA1023" s="2">
        <f t="shared" si="15"/>
        <v>0</v>
      </c>
      <c r="AB1023" s="2">
        <f t="shared" si="16"/>
      </c>
      <c r="AC1023" s="2">
        <f t="shared" si="17"/>
      </c>
      <c r="AD1023" s="2">
        <f t="shared" si="18"/>
      </c>
      <c r="AE1023" s="2">
        <f t="shared" si="19"/>
      </c>
      <c r="AF1023" s="2">
        <f t="shared" si="20"/>
      </c>
      <c r="AG1023" s="2">
        <f t="shared" si="21"/>
      </c>
      <c r="AH1023" s="2">
        <f t="shared" si="22"/>
      </c>
      <c r="AI1023" s="2">
        <f t="shared" si="23"/>
      </c>
      <c r="AJ1023" s="2">
        <f t="shared" si="24"/>
        <v>0</v>
      </c>
      <c r="AK1023" s="2">
        <f t="shared" si="25"/>
        <v>0</v>
      </c>
      <c r="AL1023" s="2">
        <f t="shared" si="26"/>
        <v>0</v>
      </c>
      <c r="AM1023" s="2">
        <f t="shared" si="27"/>
        <v>0</v>
      </c>
      <c r="AN1023" s="2">
        <f t="shared" si="28"/>
        <v>0</v>
      </c>
      <c r="AO1023" s="2">
        <f t="shared" si="29"/>
      </c>
      <c r="AP1023" s="2">
        <f t="shared" si="30"/>
      </c>
      <c r="AQ1023" s="2">
        <f t="shared" si="31"/>
      </c>
    </row>
    <row r="1024">
      <c r="A1024" s="43">
        <f t="shared" si="3"/>
      </c>
      <c r="B1024" s="44" t="n"/>
      <c r="C1024" s="45" t="n"/>
      <c r="D1024" s="46" t="n"/>
      <c r="E1024" s="47" t="n"/>
      <c r="F1024" s="47" t="n"/>
      <c r="G1024" s="48">
        <f t="shared" si="4"/>
      </c>
      <c r="H1024" s="43">
        <f t="shared" si="0"/>
      </c>
      <c r="I1024" s="43">
        <f t="shared" si="5"/>
      </c>
      <c r="J1024" s="43">
        <f t="shared" si="1"/>
      </c>
      <c r="K1024" s="49">
        <f t="shared" si="2"/>
      </c>
      <c r="L1024" s="45" t="n"/>
      <c r="M1024" s="45" t="n"/>
      <c r="N1024" s="45" t="n"/>
      <c r="O1024" s="45" t="n"/>
      <c r="P1024" s="50" t="n"/>
      <c r="R1024" s="2">
        <f t="shared" si="6"/>
        <v>0</v>
      </c>
      <c r="S1024" s="2">
        <f t="shared" si="7"/>
      </c>
      <c r="T1024" s="2">
        <f t="shared" si="8"/>
      </c>
      <c r="U1024" s="2">
        <f t="shared" si="9"/>
      </c>
      <c r="V1024" s="2">
        <f t="shared" si="10"/>
      </c>
      <c r="W1024" s="2">
        <f t="shared" si="11"/>
      </c>
      <c r="X1024" s="2">
        <f t="shared" si="12"/>
      </c>
      <c r="Y1024" s="2">
        <f t="shared" si="13"/>
        <v>0</v>
      </c>
      <c r="Z1024" s="2">
        <f t="shared" si="14"/>
      </c>
      <c r="AA1024" s="2">
        <f t="shared" si="15"/>
        <v>0</v>
      </c>
      <c r="AB1024" s="2">
        <f t="shared" si="16"/>
      </c>
      <c r="AC1024" s="2">
        <f t="shared" si="17"/>
      </c>
      <c r="AD1024" s="2">
        <f t="shared" si="18"/>
      </c>
      <c r="AE1024" s="2">
        <f t="shared" si="19"/>
      </c>
      <c r="AF1024" s="2">
        <f t="shared" si="20"/>
      </c>
      <c r="AG1024" s="2">
        <f t="shared" si="21"/>
      </c>
      <c r="AH1024" s="2">
        <f t="shared" si="22"/>
      </c>
      <c r="AI1024" s="2">
        <f t="shared" si="23"/>
      </c>
      <c r="AJ1024" s="2">
        <f t="shared" si="24"/>
        <v>0</v>
      </c>
      <c r="AK1024" s="2">
        <f t="shared" si="25"/>
        <v>0</v>
      </c>
      <c r="AL1024" s="2">
        <f t="shared" si="26"/>
        <v>0</v>
      </c>
      <c r="AM1024" s="2">
        <f t="shared" si="27"/>
        <v>0</v>
      </c>
      <c r="AN1024" s="2">
        <f t="shared" si="28"/>
        <v>0</v>
      </c>
      <c r="AO1024" s="2">
        <f t="shared" si="29"/>
      </c>
      <c r="AP1024" s="2">
        <f t="shared" si="30"/>
      </c>
      <c r="AQ1024" s="2">
        <f t="shared" si="31"/>
      </c>
    </row>
    <row r="1025">
      <c r="A1025" s="43">
        <f t="shared" si="3"/>
      </c>
      <c r="B1025" s="44" t="n"/>
      <c r="C1025" s="45" t="n"/>
      <c r="D1025" s="46" t="n"/>
      <c r="E1025" s="47" t="n"/>
      <c r="F1025" s="47" t="n"/>
      <c r="G1025" s="48">
        <f t="shared" si="4"/>
      </c>
      <c r="H1025" s="43">
        <f t="shared" si="0"/>
      </c>
      <c r="I1025" s="43">
        <f t="shared" si="5"/>
      </c>
      <c r="J1025" s="43">
        <f t="shared" si="1"/>
      </c>
      <c r="K1025" s="49">
        <f t="shared" si="2"/>
      </c>
      <c r="L1025" s="45" t="n"/>
      <c r="M1025" s="45" t="n"/>
      <c r="N1025" s="45" t="n"/>
      <c r="O1025" s="45" t="n"/>
      <c r="P1025" s="50" t="n"/>
      <c r="R1025" s="2">
        <f t="shared" si="6"/>
        <v>0</v>
      </c>
      <c r="S1025" s="2">
        <f t="shared" si="7"/>
      </c>
      <c r="T1025" s="2">
        <f t="shared" si="8"/>
      </c>
      <c r="U1025" s="2">
        <f t="shared" si="9"/>
      </c>
      <c r="V1025" s="2">
        <f t="shared" si="10"/>
      </c>
      <c r="W1025" s="2">
        <f t="shared" si="11"/>
      </c>
      <c r="X1025" s="2">
        <f t="shared" si="12"/>
      </c>
      <c r="Y1025" s="2">
        <f t="shared" si="13"/>
        <v>0</v>
      </c>
      <c r="Z1025" s="2">
        <f t="shared" si="14"/>
      </c>
      <c r="AA1025" s="2">
        <f t="shared" si="15"/>
        <v>0</v>
      </c>
      <c r="AB1025" s="2">
        <f t="shared" si="16"/>
      </c>
      <c r="AC1025" s="2">
        <f t="shared" si="17"/>
      </c>
      <c r="AD1025" s="2">
        <f t="shared" si="18"/>
      </c>
      <c r="AE1025" s="2">
        <f t="shared" si="19"/>
      </c>
      <c r="AF1025" s="2">
        <f t="shared" si="20"/>
      </c>
      <c r="AG1025" s="2">
        <f t="shared" si="21"/>
      </c>
      <c r="AH1025" s="2">
        <f t="shared" si="22"/>
      </c>
      <c r="AI1025" s="2">
        <f t="shared" si="23"/>
      </c>
      <c r="AJ1025" s="2">
        <f t="shared" si="24"/>
        <v>0</v>
      </c>
      <c r="AK1025" s="2">
        <f t="shared" si="25"/>
        <v>0</v>
      </c>
      <c r="AL1025" s="2">
        <f t="shared" si="26"/>
        <v>0</v>
      </c>
      <c r="AM1025" s="2">
        <f t="shared" si="27"/>
        <v>0</v>
      </c>
      <c r="AN1025" s="2">
        <f t="shared" si="28"/>
        <v>0</v>
      </c>
      <c r="AO1025" s="2">
        <f t="shared" si="29"/>
      </c>
      <c r="AP1025" s="2">
        <f t="shared" si="30"/>
      </c>
      <c r="AQ1025" s="2">
        <f t="shared" si="31"/>
      </c>
    </row>
    <row r="1026">
      <c r="A1026" s="43">
        <f t="shared" si="3"/>
      </c>
      <c r="B1026" s="44" t="n"/>
      <c r="C1026" s="45" t="n"/>
      <c r="D1026" s="46" t="n"/>
      <c r="E1026" s="47" t="n"/>
      <c r="F1026" s="47" t="n"/>
      <c r="G1026" s="48">
        <f t="shared" si="4"/>
      </c>
      <c r="H1026" s="43">
        <f t="shared" si="0"/>
      </c>
      <c r="I1026" s="43">
        <f t="shared" si="5"/>
      </c>
      <c r="J1026" s="43">
        <f t="shared" si="1"/>
      </c>
      <c r="K1026" s="49">
        <f t="shared" si="2"/>
      </c>
      <c r="L1026" s="45" t="n"/>
      <c r="M1026" s="45" t="n"/>
      <c r="N1026" s="45" t="n"/>
      <c r="O1026" s="45" t="n"/>
      <c r="P1026" s="50" t="n"/>
      <c r="R1026" s="2">
        <f t="shared" si="6"/>
        <v>0</v>
      </c>
      <c r="S1026" s="2">
        <f t="shared" si="7"/>
      </c>
      <c r="T1026" s="2">
        <f t="shared" si="8"/>
      </c>
      <c r="U1026" s="2">
        <f t="shared" si="9"/>
      </c>
      <c r="V1026" s="2">
        <f t="shared" si="10"/>
      </c>
      <c r="W1026" s="2">
        <f t="shared" si="11"/>
      </c>
      <c r="X1026" s="2">
        <f t="shared" si="12"/>
      </c>
      <c r="Y1026" s="2">
        <f t="shared" si="13"/>
        <v>0</v>
      </c>
      <c r="Z1026" s="2">
        <f t="shared" si="14"/>
      </c>
      <c r="AA1026" s="2">
        <f t="shared" si="15"/>
        <v>0</v>
      </c>
      <c r="AB1026" s="2">
        <f t="shared" si="16"/>
      </c>
      <c r="AC1026" s="2">
        <f t="shared" si="17"/>
      </c>
      <c r="AD1026" s="2">
        <f t="shared" si="18"/>
      </c>
      <c r="AE1026" s="2">
        <f t="shared" si="19"/>
      </c>
      <c r="AF1026" s="2">
        <f t="shared" si="20"/>
      </c>
      <c r="AG1026" s="2">
        <f t="shared" si="21"/>
      </c>
      <c r="AH1026" s="2">
        <f t="shared" si="22"/>
      </c>
      <c r="AI1026" s="2">
        <f t="shared" si="23"/>
      </c>
      <c r="AJ1026" s="2">
        <f t="shared" si="24"/>
        <v>0</v>
      </c>
      <c r="AK1026" s="2">
        <f t="shared" si="25"/>
        <v>0</v>
      </c>
      <c r="AL1026" s="2">
        <f t="shared" si="26"/>
        <v>0</v>
      </c>
      <c r="AM1026" s="2">
        <f t="shared" si="27"/>
        <v>0</v>
      </c>
      <c r="AN1026" s="2">
        <f t="shared" si="28"/>
        <v>0</v>
      </c>
      <c r="AO1026" s="2">
        <f t="shared" si="29"/>
      </c>
      <c r="AP1026" s="2">
        <f t="shared" si="30"/>
      </c>
      <c r="AQ1026" s="2">
        <f t="shared" si="31"/>
      </c>
    </row>
    <row r="1027">
      <c r="A1027" s="43">
        <f t="shared" si="3"/>
      </c>
      <c r="B1027" s="44" t="n"/>
      <c r="C1027" s="45" t="n"/>
      <c r="D1027" s="46" t="n"/>
      <c r="E1027" s="47" t="n"/>
      <c r="F1027" s="47" t="n"/>
      <c r="G1027" s="48">
        <f t="shared" si="4"/>
      </c>
      <c r="H1027" s="43">
        <f t="shared" si="0"/>
      </c>
      <c r="I1027" s="43">
        <f t="shared" si="5"/>
      </c>
      <c r="J1027" s="43">
        <f t="shared" si="1"/>
      </c>
      <c r="K1027" s="49">
        <f t="shared" si="2"/>
      </c>
      <c r="L1027" s="45" t="n"/>
      <c r="M1027" s="45" t="n"/>
      <c r="N1027" s="45" t="n"/>
      <c r="O1027" s="45" t="n"/>
      <c r="P1027" s="50" t="n"/>
      <c r="R1027" s="2">
        <f t="shared" si="6"/>
        <v>0</v>
      </c>
      <c r="S1027" s="2">
        <f t="shared" si="7"/>
      </c>
      <c r="T1027" s="2">
        <f t="shared" si="8"/>
      </c>
      <c r="U1027" s="2">
        <f t="shared" si="9"/>
      </c>
      <c r="V1027" s="2">
        <f t="shared" si="10"/>
      </c>
      <c r="W1027" s="2">
        <f t="shared" si="11"/>
      </c>
      <c r="X1027" s="2">
        <f t="shared" si="12"/>
      </c>
      <c r="Y1027" s="2">
        <f t="shared" si="13"/>
        <v>0</v>
      </c>
      <c r="Z1027" s="2">
        <f t="shared" si="14"/>
      </c>
      <c r="AA1027" s="2">
        <f t="shared" si="15"/>
        <v>0</v>
      </c>
      <c r="AB1027" s="2">
        <f t="shared" si="16"/>
      </c>
      <c r="AC1027" s="2">
        <f t="shared" si="17"/>
      </c>
      <c r="AD1027" s="2">
        <f t="shared" si="18"/>
      </c>
      <c r="AE1027" s="2">
        <f t="shared" si="19"/>
      </c>
      <c r="AF1027" s="2">
        <f t="shared" si="20"/>
      </c>
      <c r="AG1027" s="2">
        <f t="shared" si="21"/>
      </c>
      <c r="AH1027" s="2">
        <f t="shared" si="22"/>
      </c>
      <c r="AI1027" s="2">
        <f t="shared" si="23"/>
      </c>
      <c r="AJ1027" s="2">
        <f t="shared" si="24"/>
        <v>0</v>
      </c>
      <c r="AK1027" s="2">
        <f t="shared" si="25"/>
        <v>0</v>
      </c>
      <c r="AL1027" s="2">
        <f t="shared" si="26"/>
        <v>0</v>
      </c>
      <c r="AM1027" s="2">
        <f t="shared" si="27"/>
        <v>0</v>
      </c>
      <c r="AN1027" s="2">
        <f t="shared" si="28"/>
        <v>0</v>
      </c>
      <c r="AO1027" s="2">
        <f t="shared" si="29"/>
      </c>
      <c r="AP1027" s="2">
        <f t="shared" si="30"/>
      </c>
      <c r="AQ1027" s="2">
        <f t="shared" si="31"/>
      </c>
    </row>
    <row r="1028">
      <c r="A1028" s="43">
        <f t="shared" si="3"/>
      </c>
      <c r="B1028" s="44" t="n"/>
      <c r="C1028" s="45" t="n"/>
      <c r="D1028" s="46" t="n"/>
      <c r="E1028" s="47" t="n"/>
      <c r="F1028" s="47" t="n"/>
      <c r="G1028" s="48">
        <f t="shared" si="4"/>
      </c>
      <c r="H1028" s="43">
        <f t="shared" si="0"/>
      </c>
      <c r="I1028" s="43">
        <f t="shared" si="5"/>
      </c>
      <c r="J1028" s="43">
        <f t="shared" si="1"/>
      </c>
      <c r="K1028" s="49">
        <f t="shared" si="2"/>
      </c>
      <c r="L1028" s="45" t="n"/>
      <c r="M1028" s="45" t="n"/>
      <c r="N1028" s="45" t="n"/>
      <c r="O1028" s="45" t="n"/>
      <c r="P1028" s="50" t="n"/>
      <c r="R1028" s="2">
        <f t="shared" si="6"/>
        <v>0</v>
      </c>
      <c r="S1028" s="2">
        <f t="shared" si="7"/>
      </c>
      <c r="T1028" s="2">
        <f t="shared" si="8"/>
      </c>
      <c r="U1028" s="2">
        <f t="shared" si="9"/>
      </c>
      <c r="V1028" s="2">
        <f t="shared" si="10"/>
      </c>
      <c r="W1028" s="2">
        <f t="shared" si="11"/>
      </c>
      <c r="X1028" s="2">
        <f t="shared" si="12"/>
      </c>
      <c r="Y1028" s="2">
        <f t="shared" si="13"/>
        <v>0</v>
      </c>
      <c r="Z1028" s="2">
        <f t="shared" si="14"/>
      </c>
      <c r="AA1028" s="2">
        <f t="shared" si="15"/>
        <v>0</v>
      </c>
      <c r="AB1028" s="2">
        <f t="shared" si="16"/>
      </c>
      <c r="AC1028" s="2">
        <f t="shared" si="17"/>
      </c>
      <c r="AD1028" s="2">
        <f t="shared" si="18"/>
      </c>
      <c r="AE1028" s="2">
        <f t="shared" si="19"/>
      </c>
      <c r="AF1028" s="2">
        <f t="shared" si="20"/>
      </c>
      <c r="AG1028" s="2">
        <f t="shared" si="21"/>
      </c>
      <c r="AH1028" s="2">
        <f t="shared" si="22"/>
      </c>
      <c r="AI1028" s="2">
        <f t="shared" si="23"/>
      </c>
      <c r="AJ1028" s="2">
        <f t="shared" si="24"/>
        <v>0</v>
      </c>
      <c r="AK1028" s="2">
        <f t="shared" si="25"/>
        <v>0</v>
      </c>
      <c r="AL1028" s="2">
        <f t="shared" si="26"/>
        <v>0</v>
      </c>
      <c r="AM1028" s="2">
        <f t="shared" si="27"/>
        <v>0</v>
      </c>
      <c r="AN1028" s="2">
        <f t="shared" si="28"/>
        <v>0</v>
      </c>
      <c r="AO1028" s="2">
        <f t="shared" si="29"/>
      </c>
      <c r="AP1028" s="2">
        <f t="shared" si="30"/>
      </c>
      <c r="AQ1028" s="2">
        <f t="shared" si="31"/>
      </c>
    </row>
    <row r="1029">
      <c r="A1029" s="43">
        <f t="shared" si="3"/>
      </c>
      <c r="B1029" s="44" t="n"/>
      <c r="C1029" s="45" t="n"/>
      <c r="D1029" s="46" t="n"/>
      <c r="E1029" s="47" t="n"/>
      <c r="F1029" s="47" t="n"/>
      <c r="G1029" s="48">
        <f t="shared" si="4"/>
      </c>
      <c r="H1029" s="43">
        <f t="shared" si="0"/>
      </c>
      <c r="I1029" s="43">
        <f t="shared" si="5"/>
      </c>
      <c r="J1029" s="43">
        <f t="shared" si="1"/>
      </c>
      <c r="K1029" s="49">
        <f t="shared" si="2"/>
      </c>
      <c r="L1029" s="45" t="n"/>
      <c r="M1029" s="45" t="n"/>
      <c r="N1029" s="45" t="n"/>
      <c r="O1029" s="45" t="n"/>
      <c r="P1029" s="50" t="n"/>
      <c r="R1029" s="2">
        <f t="shared" si="6"/>
        <v>0</v>
      </c>
      <c r="S1029" s="2">
        <f t="shared" si="7"/>
      </c>
      <c r="T1029" s="2">
        <f t="shared" si="8"/>
      </c>
      <c r="U1029" s="2">
        <f t="shared" si="9"/>
      </c>
      <c r="V1029" s="2">
        <f t="shared" si="10"/>
      </c>
      <c r="W1029" s="2">
        <f t="shared" si="11"/>
      </c>
      <c r="X1029" s="2">
        <f t="shared" si="12"/>
      </c>
      <c r="Y1029" s="2">
        <f t="shared" si="13"/>
        <v>0</v>
      </c>
      <c r="Z1029" s="2">
        <f t="shared" si="14"/>
      </c>
      <c r="AA1029" s="2">
        <f t="shared" si="15"/>
        <v>0</v>
      </c>
      <c r="AB1029" s="2">
        <f t="shared" si="16"/>
      </c>
      <c r="AC1029" s="2">
        <f t="shared" si="17"/>
      </c>
      <c r="AD1029" s="2">
        <f t="shared" si="18"/>
      </c>
      <c r="AE1029" s="2">
        <f t="shared" si="19"/>
      </c>
      <c r="AF1029" s="2">
        <f t="shared" si="20"/>
      </c>
      <c r="AG1029" s="2">
        <f t="shared" si="21"/>
      </c>
      <c r="AH1029" s="2">
        <f t="shared" si="22"/>
      </c>
      <c r="AI1029" s="2">
        <f t="shared" si="23"/>
      </c>
      <c r="AJ1029" s="2">
        <f t="shared" si="24"/>
        <v>0</v>
      </c>
      <c r="AK1029" s="2">
        <f t="shared" si="25"/>
        <v>0</v>
      </c>
      <c r="AL1029" s="2">
        <f t="shared" si="26"/>
        <v>0</v>
      </c>
      <c r="AM1029" s="2">
        <f t="shared" si="27"/>
        <v>0</v>
      </c>
      <c r="AN1029" s="2">
        <f t="shared" si="28"/>
        <v>0</v>
      </c>
      <c r="AO1029" s="2">
        <f t="shared" si="29"/>
      </c>
      <c r="AP1029" s="2">
        <f t="shared" si="30"/>
      </c>
      <c r="AQ1029" s="2">
        <f t="shared" si="31"/>
      </c>
    </row>
    <row r="1030">
      <c r="A1030" s="43">
        <f t="shared" si="3"/>
      </c>
      <c r="B1030" s="44" t="n"/>
      <c r="C1030" s="45" t="n"/>
      <c r="D1030" s="46" t="n"/>
      <c r="E1030" s="47" t="n"/>
      <c r="F1030" s="47" t="n"/>
      <c r="G1030" s="48">
        <f t="shared" si="4"/>
      </c>
      <c r="H1030" s="43">
        <f t="shared" si="0"/>
      </c>
      <c r="I1030" s="43">
        <f t="shared" si="5"/>
      </c>
      <c r="J1030" s="43">
        <f t="shared" si="1"/>
      </c>
      <c r="K1030" s="49">
        <f t="shared" si="2"/>
      </c>
      <c r="L1030" s="45" t="n"/>
      <c r="M1030" s="45" t="n"/>
      <c r="N1030" s="45" t="n"/>
      <c r="O1030" s="45" t="n"/>
      <c r="P1030" s="50" t="n"/>
      <c r="R1030" s="2">
        <f t="shared" si="6"/>
        <v>0</v>
      </c>
      <c r="S1030" s="2">
        <f t="shared" si="7"/>
      </c>
      <c r="T1030" s="2">
        <f t="shared" si="8"/>
      </c>
      <c r="U1030" s="2">
        <f t="shared" si="9"/>
      </c>
      <c r="V1030" s="2">
        <f t="shared" si="10"/>
      </c>
      <c r="W1030" s="2">
        <f t="shared" si="11"/>
      </c>
      <c r="X1030" s="2">
        <f t="shared" si="12"/>
      </c>
      <c r="Y1030" s="2">
        <f t="shared" si="13"/>
        <v>0</v>
      </c>
      <c r="Z1030" s="2">
        <f t="shared" si="14"/>
      </c>
      <c r="AA1030" s="2">
        <f t="shared" si="15"/>
        <v>0</v>
      </c>
      <c r="AB1030" s="2">
        <f t="shared" si="16"/>
      </c>
      <c r="AC1030" s="2">
        <f t="shared" si="17"/>
      </c>
      <c r="AD1030" s="2">
        <f t="shared" si="18"/>
      </c>
      <c r="AE1030" s="2">
        <f t="shared" si="19"/>
      </c>
      <c r="AF1030" s="2">
        <f t="shared" si="20"/>
      </c>
      <c r="AG1030" s="2">
        <f t="shared" si="21"/>
      </c>
      <c r="AH1030" s="2">
        <f t="shared" si="22"/>
      </c>
      <c r="AI1030" s="2">
        <f t="shared" si="23"/>
      </c>
      <c r="AJ1030" s="2">
        <f t="shared" si="24"/>
        <v>0</v>
      </c>
      <c r="AK1030" s="2">
        <f t="shared" si="25"/>
        <v>0</v>
      </c>
      <c r="AL1030" s="2">
        <f t="shared" si="26"/>
        <v>0</v>
      </c>
      <c r="AM1030" s="2">
        <f t="shared" si="27"/>
        <v>0</v>
      </c>
      <c r="AN1030" s="2">
        <f t="shared" si="28"/>
        <v>0</v>
      </c>
      <c r="AO1030" s="2">
        <f t="shared" si="29"/>
      </c>
      <c r="AP1030" s="2">
        <f t="shared" si="30"/>
      </c>
      <c r="AQ1030" s="2">
        <f t="shared" si="31"/>
      </c>
    </row>
    <row r="1031">
      <c r="A1031" s="43">
        <f t="shared" si="3"/>
      </c>
      <c r="B1031" s="44" t="n"/>
      <c r="C1031" s="45" t="n"/>
      <c r="D1031" s="46" t="n"/>
      <c r="E1031" s="47" t="n"/>
      <c r="F1031" s="47" t="n"/>
      <c r="G1031" s="48">
        <f t="shared" si="4"/>
      </c>
      <c r="H1031" s="43">
        <f t="shared" si="0"/>
      </c>
      <c r="I1031" s="43">
        <f t="shared" si="5"/>
      </c>
      <c r="J1031" s="43">
        <f t="shared" si="1"/>
      </c>
      <c r="K1031" s="49">
        <f t="shared" si="2"/>
      </c>
      <c r="L1031" s="45" t="n"/>
      <c r="M1031" s="45" t="n"/>
      <c r="N1031" s="45" t="n"/>
      <c r="O1031" s="45" t="n"/>
      <c r="P1031" s="50" t="n"/>
      <c r="R1031" s="2">
        <f t="shared" si="6"/>
        <v>0</v>
      </c>
      <c r="S1031" s="2">
        <f t="shared" si="7"/>
      </c>
      <c r="T1031" s="2">
        <f t="shared" si="8"/>
      </c>
      <c r="U1031" s="2">
        <f t="shared" si="9"/>
      </c>
      <c r="V1031" s="2">
        <f t="shared" si="10"/>
      </c>
      <c r="W1031" s="2">
        <f t="shared" si="11"/>
      </c>
      <c r="X1031" s="2">
        <f t="shared" si="12"/>
      </c>
      <c r="Y1031" s="2">
        <f t="shared" si="13"/>
        <v>0</v>
      </c>
      <c r="Z1031" s="2">
        <f t="shared" si="14"/>
      </c>
      <c r="AA1031" s="2">
        <f t="shared" si="15"/>
        <v>0</v>
      </c>
      <c r="AB1031" s="2">
        <f t="shared" si="16"/>
      </c>
      <c r="AC1031" s="2">
        <f t="shared" si="17"/>
      </c>
      <c r="AD1031" s="2">
        <f t="shared" si="18"/>
      </c>
      <c r="AE1031" s="2">
        <f t="shared" si="19"/>
      </c>
      <c r="AF1031" s="2">
        <f t="shared" si="20"/>
      </c>
      <c r="AG1031" s="2">
        <f t="shared" si="21"/>
      </c>
      <c r="AH1031" s="2">
        <f t="shared" si="22"/>
      </c>
      <c r="AI1031" s="2">
        <f t="shared" si="23"/>
      </c>
      <c r="AJ1031" s="2">
        <f t="shared" si="24"/>
        <v>0</v>
      </c>
      <c r="AK1031" s="2">
        <f t="shared" si="25"/>
        <v>0</v>
      </c>
      <c r="AL1031" s="2">
        <f t="shared" si="26"/>
        <v>0</v>
      </c>
      <c r="AM1031" s="2">
        <f t="shared" si="27"/>
        <v>0</v>
      </c>
      <c r="AN1031" s="2">
        <f t="shared" si="28"/>
        <v>0</v>
      </c>
      <c r="AO1031" s="2">
        <f t="shared" si="29"/>
      </c>
      <c r="AP1031" s="2">
        <f t="shared" si="30"/>
      </c>
      <c r="AQ1031" s="2">
        <f t="shared" si="31"/>
      </c>
    </row>
    <row r="1032">
      <c r="A1032" s="43">
        <f t="shared" si="3"/>
      </c>
      <c r="B1032" s="44" t="n"/>
      <c r="C1032" s="45" t="n"/>
      <c r="D1032" s="46" t="n"/>
      <c r="E1032" s="47" t="n"/>
      <c r="F1032" s="47" t="n"/>
      <c r="G1032" s="48">
        <f t="shared" si="4"/>
      </c>
      <c r="H1032" s="43">
        <f t="shared" si="0"/>
      </c>
      <c r="I1032" s="43">
        <f t="shared" si="5"/>
      </c>
      <c r="J1032" s="43">
        <f t="shared" si="1"/>
      </c>
      <c r="K1032" s="49">
        <f t="shared" si="2"/>
      </c>
      <c r="L1032" s="45" t="n"/>
      <c r="M1032" s="45" t="n"/>
      <c r="N1032" s="45" t="n"/>
      <c r="O1032" s="45" t="n"/>
      <c r="P1032" s="50" t="n"/>
      <c r="R1032" s="2">
        <f t="shared" si="6"/>
        <v>0</v>
      </c>
      <c r="S1032" s="2">
        <f t="shared" si="7"/>
      </c>
      <c r="T1032" s="2">
        <f t="shared" si="8"/>
      </c>
      <c r="U1032" s="2">
        <f t="shared" si="9"/>
      </c>
      <c r="V1032" s="2">
        <f t="shared" si="10"/>
      </c>
      <c r="W1032" s="2">
        <f t="shared" si="11"/>
      </c>
      <c r="X1032" s="2">
        <f t="shared" si="12"/>
      </c>
      <c r="Y1032" s="2">
        <f t="shared" si="13"/>
        <v>0</v>
      </c>
      <c r="Z1032" s="2">
        <f t="shared" si="14"/>
      </c>
      <c r="AA1032" s="2">
        <f t="shared" si="15"/>
        <v>0</v>
      </c>
      <c r="AB1032" s="2">
        <f t="shared" si="16"/>
      </c>
      <c r="AC1032" s="2">
        <f t="shared" si="17"/>
      </c>
      <c r="AD1032" s="2">
        <f t="shared" si="18"/>
      </c>
      <c r="AE1032" s="2">
        <f t="shared" si="19"/>
      </c>
      <c r="AF1032" s="2">
        <f t="shared" si="20"/>
      </c>
      <c r="AG1032" s="2">
        <f t="shared" si="21"/>
      </c>
      <c r="AH1032" s="2">
        <f t="shared" si="22"/>
      </c>
      <c r="AI1032" s="2">
        <f t="shared" si="23"/>
      </c>
      <c r="AJ1032" s="2">
        <f t="shared" si="24"/>
        <v>0</v>
      </c>
      <c r="AK1032" s="2">
        <f t="shared" si="25"/>
        <v>0</v>
      </c>
      <c r="AL1032" s="2">
        <f t="shared" si="26"/>
        <v>0</v>
      </c>
      <c r="AM1032" s="2">
        <f t="shared" si="27"/>
        <v>0</v>
      </c>
      <c r="AN1032" s="2">
        <f t="shared" si="28"/>
        <v>0</v>
      </c>
      <c r="AO1032" s="2">
        <f t="shared" si="29"/>
      </c>
      <c r="AP1032" s="2">
        <f t="shared" si="30"/>
      </c>
      <c r="AQ1032" s="2">
        <f t="shared" si="31"/>
      </c>
    </row>
    <row r="1033">
      <c r="A1033" s="43">
        <f t="shared" si="3"/>
      </c>
      <c r="B1033" s="44" t="n"/>
      <c r="C1033" s="45" t="n"/>
      <c r="D1033" s="46" t="n"/>
      <c r="E1033" s="47" t="n"/>
      <c r="F1033" s="47" t="n"/>
      <c r="G1033" s="48">
        <f t="shared" si="4"/>
      </c>
      <c r="H1033" s="43">
        <f t="shared" si="0"/>
      </c>
      <c r="I1033" s="43">
        <f t="shared" si="5"/>
      </c>
      <c r="J1033" s="43">
        <f t="shared" si="1"/>
      </c>
      <c r="K1033" s="49">
        <f t="shared" si="2"/>
      </c>
      <c r="L1033" s="45" t="n"/>
      <c r="M1033" s="45" t="n"/>
      <c r="N1033" s="45" t="n"/>
      <c r="O1033" s="45" t="n"/>
      <c r="P1033" s="50" t="n"/>
      <c r="R1033" s="2">
        <f t="shared" si="6"/>
        <v>0</v>
      </c>
      <c r="S1033" s="2">
        <f t="shared" si="7"/>
      </c>
      <c r="T1033" s="2">
        <f t="shared" si="8"/>
      </c>
      <c r="U1033" s="2">
        <f t="shared" si="9"/>
      </c>
      <c r="V1033" s="2">
        <f t="shared" si="10"/>
      </c>
      <c r="W1033" s="2">
        <f t="shared" si="11"/>
      </c>
      <c r="X1033" s="2">
        <f t="shared" si="12"/>
      </c>
      <c r="Y1033" s="2">
        <f t="shared" si="13"/>
        <v>0</v>
      </c>
      <c r="Z1033" s="2">
        <f t="shared" si="14"/>
      </c>
      <c r="AA1033" s="2">
        <f t="shared" si="15"/>
        <v>0</v>
      </c>
      <c r="AB1033" s="2">
        <f t="shared" si="16"/>
      </c>
      <c r="AC1033" s="2">
        <f t="shared" si="17"/>
      </c>
      <c r="AD1033" s="2">
        <f t="shared" si="18"/>
      </c>
      <c r="AE1033" s="2">
        <f t="shared" si="19"/>
      </c>
      <c r="AF1033" s="2">
        <f t="shared" si="20"/>
      </c>
      <c r="AG1033" s="2">
        <f t="shared" si="21"/>
      </c>
      <c r="AH1033" s="2">
        <f t="shared" si="22"/>
      </c>
      <c r="AI1033" s="2">
        <f t="shared" si="23"/>
      </c>
      <c r="AJ1033" s="2">
        <f t="shared" si="24"/>
        <v>0</v>
      </c>
      <c r="AK1033" s="2">
        <f t="shared" si="25"/>
        <v>0</v>
      </c>
      <c r="AL1033" s="2">
        <f t="shared" si="26"/>
        <v>0</v>
      </c>
      <c r="AM1033" s="2">
        <f t="shared" si="27"/>
        <v>0</v>
      </c>
      <c r="AN1033" s="2">
        <f t="shared" si="28"/>
        <v>0</v>
      </c>
      <c r="AO1033" s="2">
        <f t="shared" si="29"/>
      </c>
      <c r="AP1033" s="2">
        <f t="shared" si="30"/>
      </c>
      <c r="AQ1033" s="2">
        <f t="shared" si="31"/>
      </c>
    </row>
    <row r="1034">
      <c r="A1034" s="43">
        <f t="shared" si="3"/>
      </c>
      <c r="B1034" s="44" t="n"/>
      <c r="C1034" s="45" t="n"/>
      <c r="D1034" s="46" t="n"/>
      <c r="E1034" s="47" t="n"/>
      <c r="F1034" s="47" t="n"/>
      <c r="G1034" s="48">
        <f t="shared" si="4"/>
      </c>
      <c r="H1034" s="43">
        <f t="shared" si="0"/>
      </c>
      <c r="I1034" s="43">
        <f t="shared" si="5"/>
      </c>
      <c r="J1034" s="43">
        <f t="shared" si="1"/>
      </c>
      <c r="K1034" s="49">
        <f t="shared" si="2"/>
      </c>
      <c r="L1034" s="45" t="n"/>
      <c r="M1034" s="45" t="n"/>
      <c r="N1034" s="45" t="n"/>
      <c r="O1034" s="45" t="n"/>
      <c r="P1034" s="50" t="n"/>
      <c r="R1034" s="2">
        <f t="shared" si="6"/>
        <v>0</v>
      </c>
      <c r="S1034" s="2">
        <f t="shared" si="7"/>
      </c>
      <c r="T1034" s="2">
        <f t="shared" si="8"/>
      </c>
      <c r="U1034" s="2">
        <f t="shared" si="9"/>
      </c>
      <c r="V1034" s="2">
        <f t="shared" si="10"/>
      </c>
      <c r="W1034" s="2">
        <f t="shared" si="11"/>
      </c>
      <c r="X1034" s="2">
        <f t="shared" si="12"/>
      </c>
      <c r="Y1034" s="2">
        <f t="shared" si="13"/>
        <v>0</v>
      </c>
      <c r="Z1034" s="2">
        <f t="shared" si="14"/>
      </c>
      <c r="AA1034" s="2">
        <f t="shared" si="15"/>
        <v>0</v>
      </c>
      <c r="AB1034" s="2">
        <f t="shared" si="16"/>
      </c>
      <c r="AC1034" s="2">
        <f t="shared" si="17"/>
      </c>
      <c r="AD1034" s="2">
        <f t="shared" si="18"/>
      </c>
      <c r="AE1034" s="2">
        <f t="shared" si="19"/>
      </c>
      <c r="AF1034" s="2">
        <f t="shared" si="20"/>
      </c>
      <c r="AG1034" s="2">
        <f t="shared" si="21"/>
      </c>
      <c r="AH1034" s="2">
        <f t="shared" si="22"/>
      </c>
      <c r="AI1034" s="2">
        <f t="shared" si="23"/>
      </c>
      <c r="AJ1034" s="2">
        <f t="shared" si="24"/>
        <v>0</v>
      </c>
      <c r="AK1034" s="2">
        <f t="shared" si="25"/>
        <v>0</v>
      </c>
      <c r="AL1034" s="2">
        <f t="shared" si="26"/>
        <v>0</v>
      </c>
      <c r="AM1034" s="2">
        <f t="shared" si="27"/>
        <v>0</v>
      </c>
      <c r="AN1034" s="2">
        <f t="shared" si="28"/>
        <v>0</v>
      </c>
      <c r="AO1034" s="2">
        <f t="shared" si="29"/>
      </c>
      <c r="AP1034" s="2">
        <f t="shared" si="30"/>
      </c>
      <c r="AQ1034" s="2">
        <f t="shared" si="31"/>
      </c>
    </row>
    <row r="1035">
      <c r="A1035" s="43">
        <f t="shared" si="3"/>
      </c>
      <c r="B1035" s="44" t="n"/>
      <c r="C1035" s="45" t="n"/>
      <c r="D1035" s="46" t="n"/>
      <c r="E1035" s="47" t="n"/>
      <c r="F1035" s="47" t="n"/>
      <c r="G1035" s="48">
        <f t="shared" si="4"/>
      </c>
      <c r="H1035" s="43">
        <f t="shared" si="0"/>
      </c>
      <c r="I1035" s="43">
        <f t="shared" si="5"/>
      </c>
      <c r="J1035" s="43">
        <f t="shared" si="1"/>
      </c>
      <c r="K1035" s="49">
        <f t="shared" si="2"/>
      </c>
      <c r="L1035" s="45" t="n"/>
      <c r="M1035" s="45" t="n"/>
      <c r="N1035" s="45" t="n"/>
      <c r="O1035" s="45" t="n"/>
      <c r="P1035" s="50" t="n"/>
      <c r="R1035" s="2">
        <f t="shared" si="6"/>
        <v>0</v>
      </c>
      <c r="S1035" s="2">
        <f t="shared" si="7"/>
      </c>
      <c r="T1035" s="2">
        <f t="shared" si="8"/>
      </c>
      <c r="U1035" s="2">
        <f t="shared" si="9"/>
      </c>
      <c r="V1035" s="2">
        <f t="shared" si="10"/>
      </c>
      <c r="W1035" s="2">
        <f t="shared" si="11"/>
      </c>
      <c r="X1035" s="2">
        <f t="shared" si="12"/>
      </c>
      <c r="Y1035" s="2">
        <f t="shared" si="13"/>
        <v>0</v>
      </c>
      <c r="Z1035" s="2">
        <f t="shared" si="14"/>
      </c>
      <c r="AA1035" s="2">
        <f t="shared" si="15"/>
        <v>0</v>
      </c>
      <c r="AB1035" s="2">
        <f t="shared" si="16"/>
      </c>
      <c r="AC1035" s="2">
        <f t="shared" si="17"/>
      </c>
      <c r="AD1035" s="2">
        <f t="shared" si="18"/>
      </c>
      <c r="AE1035" s="2">
        <f t="shared" si="19"/>
      </c>
      <c r="AF1035" s="2">
        <f t="shared" si="20"/>
      </c>
      <c r="AG1035" s="2">
        <f t="shared" si="21"/>
      </c>
      <c r="AH1035" s="2">
        <f t="shared" si="22"/>
      </c>
      <c r="AI1035" s="2">
        <f t="shared" si="23"/>
      </c>
      <c r="AJ1035" s="2">
        <f t="shared" si="24"/>
        <v>0</v>
      </c>
      <c r="AK1035" s="2">
        <f t="shared" si="25"/>
        <v>0</v>
      </c>
      <c r="AL1035" s="2">
        <f t="shared" si="26"/>
        <v>0</v>
      </c>
      <c r="AM1035" s="2">
        <f t="shared" si="27"/>
        <v>0</v>
      </c>
      <c r="AN1035" s="2">
        <f t="shared" si="28"/>
        <v>0</v>
      </c>
      <c r="AO1035" s="2">
        <f t="shared" si="29"/>
      </c>
      <c r="AP1035" s="2">
        <f t="shared" si="30"/>
      </c>
      <c r="AQ1035" s="2">
        <f t="shared" si="31"/>
      </c>
    </row>
    <row r="1036">
      <c r="A1036" s="43">
        <f t="shared" si="3"/>
      </c>
      <c r="B1036" s="44" t="n"/>
      <c r="C1036" s="45" t="n"/>
      <c r="D1036" s="46" t="n"/>
      <c r="E1036" s="47" t="n"/>
      <c r="F1036" s="47" t="n"/>
      <c r="G1036" s="48">
        <f t="shared" si="4"/>
      </c>
      <c r="H1036" s="43">
        <f t="shared" si="0"/>
      </c>
      <c r="I1036" s="43">
        <f t="shared" si="5"/>
      </c>
      <c r="J1036" s="43">
        <f t="shared" si="1"/>
      </c>
      <c r="K1036" s="49">
        <f t="shared" si="2"/>
      </c>
      <c r="L1036" s="45" t="n"/>
      <c r="M1036" s="45" t="n"/>
      <c r="N1036" s="45" t="n"/>
      <c r="O1036" s="45" t="n"/>
      <c r="P1036" s="50" t="n"/>
      <c r="R1036" s="2">
        <f t="shared" si="6"/>
        <v>0</v>
      </c>
      <c r="S1036" s="2">
        <f t="shared" si="7"/>
      </c>
      <c r="T1036" s="2">
        <f t="shared" si="8"/>
      </c>
      <c r="U1036" s="2">
        <f t="shared" si="9"/>
      </c>
      <c r="V1036" s="2">
        <f t="shared" si="10"/>
      </c>
      <c r="W1036" s="2">
        <f t="shared" si="11"/>
      </c>
      <c r="X1036" s="2">
        <f t="shared" si="12"/>
      </c>
      <c r="Y1036" s="2">
        <f t="shared" si="13"/>
        <v>0</v>
      </c>
      <c r="Z1036" s="2">
        <f t="shared" si="14"/>
      </c>
      <c r="AA1036" s="2">
        <f t="shared" si="15"/>
        <v>0</v>
      </c>
      <c r="AB1036" s="2">
        <f t="shared" si="16"/>
      </c>
      <c r="AC1036" s="2">
        <f t="shared" si="17"/>
      </c>
      <c r="AD1036" s="2">
        <f t="shared" si="18"/>
      </c>
      <c r="AE1036" s="2">
        <f t="shared" si="19"/>
      </c>
      <c r="AF1036" s="2">
        <f t="shared" si="20"/>
      </c>
      <c r="AG1036" s="2">
        <f t="shared" si="21"/>
      </c>
      <c r="AH1036" s="2">
        <f t="shared" si="22"/>
      </c>
      <c r="AI1036" s="2">
        <f t="shared" si="23"/>
      </c>
      <c r="AJ1036" s="2">
        <f t="shared" si="24"/>
        <v>0</v>
      </c>
      <c r="AK1036" s="2">
        <f t="shared" si="25"/>
        <v>0</v>
      </c>
      <c r="AL1036" s="2">
        <f t="shared" si="26"/>
        <v>0</v>
      </c>
      <c r="AM1036" s="2">
        <f t="shared" si="27"/>
        <v>0</v>
      </c>
      <c r="AN1036" s="2">
        <f t="shared" si="28"/>
        <v>0</v>
      </c>
      <c r="AO1036" s="2">
        <f t="shared" si="29"/>
      </c>
      <c r="AP1036" s="2">
        <f t="shared" si="30"/>
      </c>
      <c r="AQ1036" s="2">
        <f t="shared" si="31"/>
      </c>
    </row>
    <row r="1037">
      <c r="A1037" s="43">
        <f t="shared" si="3"/>
      </c>
      <c r="B1037" s="44" t="n"/>
      <c r="C1037" s="45" t="n"/>
      <c r="D1037" s="46" t="n"/>
      <c r="E1037" s="47" t="n"/>
      <c r="F1037" s="47" t="n"/>
      <c r="G1037" s="48">
        <f t="shared" si="4"/>
      </c>
      <c r="H1037" s="43">
        <f t="shared" si="0"/>
      </c>
      <c r="I1037" s="43">
        <f t="shared" si="5"/>
      </c>
      <c r="J1037" s="43">
        <f t="shared" si="1"/>
      </c>
      <c r="K1037" s="49">
        <f t="shared" si="2"/>
      </c>
      <c r="L1037" s="45" t="n"/>
      <c r="M1037" s="45" t="n"/>
      <c r="N1037" s="45" t="n"/>
      <c r="O1037" s="45" t="n"/>
      <c r="P1037" s="50" t="n"/>
      <c r="R1037" s="2">
        <f t="shared" si="6"/>
        <v>0</v>
      </c>
      <c r="S1037" s="2">
        <f t="shared" si="7"/>
      </c>
      <c r="T1037" s="2">
        <f t="shared" si="8"/>
      </c>
      <c r="U1037" s="2">
        <f t="shared" si="9"/>
      </c>
      <c r="V1037" s="2">
        <f t="shared" si="10"/>
      </c>
      <c r="W1037" s="2">
        <f t="shared" si="11"/>
      </c>
      <c r="X1037" s="2">
        <f t="shared" si="12"/>
      </c>
      <c r="Y1037" s="2">
        <f t="shared" si="13"/>
        <v>0</v>
      </c>
      <c r="Z1037" s="2">
        <f t="shared" si="14"/>
      </c>
      <c r="AA1037" s="2">
        <f t="shared" si="15"/>
        <v>0</v>
      </c>
      <c r="AB1037" s="2">
        <f t="shared" si="16"/>
      </c>
      <c r="AC1037" s="2">
        <f t="shared" si="17"/>
      </c>
      <c r="AD1037" s="2">
        <f t="shared" si="18"/>
      </c>
      <c r="AE1037" s="2">
        <f t="shared" si="19"/>
      </c>
      <c r="AF1037" s="2">
        <f t="shared" si="20"/>
      </c>
      <c r="AG1037" s="2">
        <f t="shared" si="21"/>
      </c>
      <c r="AH1037" s="2">
        <f t="shared" si="22"/>
      </c>
      <c r="AI1037" s="2">
        <f t="shared" si="23"/>
      </c>
      <c r="AJ1037" s="2">
        <f t="shared" si="24"/>
        <v>0</v>
      </c>
      <c r="AK1037" s="2">
        <f t="shared" si="25"/>
        <v>0</v>
      </c>
      <c r="AL1037" s="2">
        <f t="shared" si="26"/>
        <v>0</v>
      </c>
      <c r="AM1037" s="2">
        <f t="shared" si="27"/>
        <v>0</v>
      </c>
      <c r="AN1037" s="2">
        <f t="shared" si="28"/>
        <v>0</v>
      </c>
      <c r="AO1037" s="2">
        <f t="shared" si="29"/>
      </c>
      <c r="AP1037" s="2">
        <f t="shared" si="30"/>
      </c>
      <c r="AQ1037" s="2">
        <f t="shared" si="31"/>
      </c>
    </row>
    <row r="1038">
      <c r="A1038" s="43">
        <f t="shared" si="3"/>
      </c>
      <c r="B1038" s="44" t="n"/>
      <c r="C1038" s="45" t="n"/>
      <c r="D1038" s="46" t="n"/>
      <c r="E1038" s="47" t="n"/>
      <c r="F1038" s="47" t="n"/>
      <c r="G1038" s="48">
        <f t="shared" si="4"/>
      </c>
      <c r="H1038" s="43">
        <f t="shared" si="0"/>
      </c>
      <c r="I1038" s="43">
        <f t="shared" si="5"/>
      </c>
      <c r="J1038" s="43">
        <f t="shared" si="1"/>
      </c>
      <c r="K1038" s="49">
        <f t="shared" si="2"/>
      </c>
      <c r="L1038" s="45" t="n"/>
      <c r="M1038" s="45" t="n"/>
      <c r="N1038" s="45" t="n"/>
      <c r="O1038" s="45" t="n"/>
      <c r="P1038" s="50" t="n"/>
      <c r="R1038" s="2">
        <f t="shared" si="6"/>
        <v>0</v>
      </c>
      <c r="S1038" s="2">
        <f t="shared" si="7"/>
      </c>
      <c r="T1038" s="2">
        <f t="shared" si="8"/>
      </c>
      <c r="U1038" s="2">
        <f t="shared" si="9"/>
      </c>
      <c r="V1038" s="2">
        <f t="shared" si="10"/>
      </c>
      <c r="W1038" s="2">
        <f t="shared" si="11"/>
      </c>
      <c r="X1038" s="2">
        <f t="shared" si="12"/>
      </c>
      <c r="Y1038" s="2">
        <f t="shared" si="13"/>
        <v>0</v>
      </c>
      <c r="Z1038" s="2">
        <f t="shared" si="14"/>
      </c>
      <c r="AA1038" s="2">
        <f t="shared" si="15"/>
        <v>0</v>
      </c>
      <c r="AB1038" s="2">
        <f t="shared" si="16"/>
      </c>
      <c r="AC1038" s="2">
        <f t="shared" si="17"/>
      </c>
      <c r="AD1038" s="2">
        <f t="shared" si="18"/>
      </c>
      <c r="AE1038" s="2">
        <f t="shared" si="19"/>
      </c>
      <c r="AF1038" s="2">
        <f t="shared" si="20"/>
      </c>
      <c r="AG1038" s="2">
        <f t="shared" si="21"/>
      </c>
      <c r="AH1038" s="2">
        <f t="shared" si="22"/>
      </c>
      <c r="AI1038" s="2">
        <f t="shared" si="23"/>
      </c>
      <c r="AJ1038" s="2">
        <f t="shared" si="24"/>
        <v>0</v>
      </c>
      <c r="AK1038" s="2">
        <f t="shared" si="25"/>
        <v>0</v>
      </c>
      <c r="AL1038" s="2">
        <f t="shared" si="26"/>
        <v>0</v>
      </c>
      <c r="AM1038" s="2">
        <f t="shared" si="27"/>
        <v>0</v>
      </c>
      <c r="AN1038" s="2">
        <f t="shared" si="28"/>
        <v>0</v>
      </c>
      <c r="AO1038" s="2">
        <f t="shared" si="29"/>
      </c>
      <c r="AP1038" s="2">
        <f t="shared" si="30"/>
      </c>
      <c r="AQ1038" s="2">
        <f t="shared" si="31"/>
      </c>
    </row>
    <row r="1039">
      <c r="A1039" s="43">
        <f t="shared" si="3"/>
      </c>
      <c r="B1039" s="44" t="n"/>
      <c r="C1039" s="45" t="n"/>
      <c r="D1039" s="46" t="n"/>
      <c r="E1039" s="47" t="n"/>
      <c r="F1039" s="47" t="n"/>
      <c r="G1039" s="48">
        <f t="shared" si="4"/>
      </c>
      <c r="H1039" s="43">
        <f t="shared" si="0"/>
      </c>
      <c r="I1039" s="43">
        <f t="shared" si="5"/>
      </c>
      <c r="J1039" s="43">
        <f t="shared" si="1"/>
      </c>
      <c r="K1039" s="49">
        <f t="shared" si="2"/>
      </c>
      <c r="L1039" s="45" t="n"/>
      <c r="M1039" s="45" t="n"/>
      <c r="N1039" s="45" t="n"/>
      <c r="O1039" s="45" t="n"/>
      <c r="P1039" s="50" t="n"/>
      <c r="R1039" s="2">
        <f t="shared" si="6"/>
        <v>0</v>
      </c>
      <c r="S1039" s="2">
        <f t="shared" si="7"/>
      </c>
      <c r="T1039" s="2">
        <f t="shared" si="8"/>
      </c>
      <c r="U1039" s="2">
        <f t="shared" si="9"/>
      </c>
      <c r="V1039" s="2">
        <f t="shared" si="10"/>
      </c>
      <c r="W1039" s="2">
        <f t="shared" si="11"/>
      </c>
      <c r="X1039" s="2">
        <f t="shared" si="12"/>
      </c>
      <c r="Y1039" s="2">
        <f t="shared" si="13"/>
        <v>0</v>
      </c>
      <c r="Z1039" s="2">
        <f t="shared" si="14"/>
      </c>
      <c r="AA1039" s="2">
        <f t="shared" si="15"/>
        <v>0</v>
      </c>
      <c r="AB1039" s="2">
        <f t="shared" si="16"/>
      </c>
      <c r="AC1039" s="2">
        <f t="shared" si="17"/>
      </c>
      <c r="AD1039" s="2">
        <f t="shared" si="18"/>
      </c>
      <c r="AE1039" s="2">
        <f t="shared" si="19"/>
      </c>
      <c r="AF1039" s="2">
        <f t="shared" si="20"/>
      </c>
      <c r="AG1039" s="2">
        <f t="shared" si="21"/>
      </c>
      <c r="AH1039" s="2">
        <f t="shared" si="22"/>
      </c>
      <c r="AI1039" s="2">
        <f t="shared" si="23"/>
      </c>
      <c r="AJ1039" s="2">
        <f t="shared" si="24"/>
        <v>0</v>
      </c>
      <c r="AK1039" s="2">
        <f t="shared" si="25"/>
        <v>0</v>
      </c>
      <c r="AL1039" s="2">
        <f t="shared" si="26"/>
        <v>0</v>
      </c>
      <c r="AM1039" s="2">
        <f t="shared" si="27"/>
        <v>0</v>
      </c>
      <c r="AN1039" s="2">
        <f t="shared" si="28"/>
        <v>0</v>
      </c>
      <c r="AO1039" s="2">
        <f t="shared" si="29"/>
      </c>
      <c r="AP1039" s="2">
        <f t="shared" si="30"/>
      </c>
      <c r="AQ1039" s="2">
        <f t="shared" si="31"/>
      </c>
    </row>
    <row r="1040">
      <c r="A1040" s="43">
        <f t="shared" si="3"/>
      </c>
      <c r="B1040" s="44" t="n"/>
      <c r="C1040" s="45" t="n"/>
      <c r="D1040" s="46" t="n"/>
      <c r="E1040" s="47" t="n"/>
      <c r="F1040" s="47" t="n"/>
      <c r="G1040" s="48">
        <f t="shared" si="4"/>
      </c>
      <c r="H1040" s="43">
        <f t="shared" si="0"/>
      </c>
      <c r="I1040" s="43">
        <f t="shared" si="5"/>
      </c>
      <c r="J1040" s="43">
        <f t="shared" si="1"/>
      </c>
      <c r="K1040" s="49">
        <f t="shared" si="2"/>
      </c>
      <c r="L1040" s="45" t="n"/>
      <c r="M1040" s="45" t="n"/>
      <c r="N1040" s="45" t="n"/>
      <c r="O1040" s="45" t="n"/>
      <c r="P1040" s="50" t="n"/>
      <c r="R1040" s="2">
        <f t="shared" si="6"/>
        <v>0</v>
      </c>
      <c r="S1040" s="2">
        <f t="shared" si="7"/>
      </c>
      <c r="T1040" s="2">
        <f t="shared" si="8"/>
      </c>
      <c r="U1040" s="2">
        <f t="shared" si="9"/>
      </c>
      <c r="V1040" s="2">
        <f t="shared" si="10"/>
      </c>
      <c r="W1040" s="2">
        <f t="shared" si="11"/>
      </c>
      <c r="X1040" s="2">
        <f t="shared" si="12"/>
      </c>
      <c r="Y1040" s="2">
        <f t="shared" si="13"/>
        <v>0</v>
      </c>
      <c r="Z1040" s="2">
        <f t="shared" si="14"/>
      </c>
      <c r="AA1040" s="2">
        <f t="shared" si="15"/>
        <v>0</v>
      </c>
      <c r="AB1040" s="2">
        <f t="shared" si="16"/>
      </c>
      <c r="AC1040" s="2">
        <f t="shared" si="17"/>
      </c>
      <c r="AD1040" s="2">
        <f t="shared" si="18"/>
      </c>
      <c r="AE1040" s="2">
        <f t="shared" si="19"/>
      </c>
      <c r="AF1040" s="2">
        <f t="shared" si="20"/>
      </c>
      <c r="AG1040" s="2">
        <f t="shared" si="21"/>
      </c>
      <c r="AH1040" s="2">
        <f t="shared" si="22"/>
      </c>
      <c r="AI1040" s="2">
        <f t="shared" si="23"/>
      </c>
      <c r="AJ1040" s="2">
        <f t="shared" si="24"/>
        <v>0</v>
      </c>
      <c r="AK1040" s="2">
        <f t="shared" si="25"/>
        <v>0</v>
      </c>
      <c r="AL1040" s="2">
        <f t="shared" si="26"/>
        <v>0</v>
      </c>
      <c r="AM1040" s="2">
        <f t="shared" si="27"/>
        <v>0</v>
      </c>
      <c r="AN1040" s="2">
        <f t="shared" si="28"/>
        <v>0</v>
      </c>
      <c r="AO1040" s="2">
        <f t="shared" si="29"/>
      </c>
      <c r="AP1040" s="2">
        <f t="shared" si="30"/>
      </c>
      <c r="AQ1040" s="2">
        <f t="shared" si="31"/>
      </c>
    </row>
    <row r="1041">
      <c r="A1041" s="43">
        <f t="shared" si="3"/>
      </c>
      <c r="B1041" s="44" t="n"/>
      <c r="C1041" s="45" t="n"/>
      <c r="D1041" s="46" t="n"/>
      <c r="E1041" s="47" t="n"/>
      <c r="F1041" s="47" t="n"/>
      <c r="G1041" s="48">
        <f t="shared" si="4"/>
      </c>
      <c r="H1041" s="43">
        <f t="shared" si="0"/>
      </c>
      <c r="I1041" s="43">
        <f t="shared" si="5"/>
      </c>
      <c r="J1041" s="43">
        <f t="shared" si="1"/>
      </c>
      <c r="K1041" s="49">
        <f t="shared" si="2"/>
      </c>
      <c r="L1041" s="45" t="n"/>
      <c r="M1041" s="45" t="n"/>
      <c r="N1041" s="45" t="n"/>
      <c r="O1041" s="45" t="n"/>
      <c r="P1041" s="50" t="n"/>
      <c r="R1041" s="2">
        <f t="shared" si="6"/>
        <v>0</v>
      </c>
      <c r="S1041" s="2">
        <f t="shared" si="7"/>
      </c>
      <c r="T1041" s="2">
        <f t="shared" si="8"/>
      </c>
      <c r="U1041" s="2">
        <f t="shared" si="9"/>
      </c>
      <c r="V1041" s="2">
        <f t="shared" si="10"/>
      </c>
      <c r="W1041" s="2">
        <f t="shared" si="11"/>
      </c>
      <c r="X1041" s="2">
        <f t="shared" si="12"/>
      </c>
      <c r="Y1041" s="2">
        <f t="shared" si="13"/>
        <v>0</v>
      </c>
      <c r="Z1041" s="2">
        <f t="shared" si="14"/>
      </c>
      <c r="AA1041" s="2">
        <f t="shared" si="15"/>
        <v>0</v>
      </c>
      <c r="AB1041" s="2">
        <f t="shared" si="16"/>
      </c>
      <c r="AC1041" s="2">
        <f t="shared" si="17"/>
      </c>
      <c r="AD1041" s="2">
        <f t="shared" si="18"/>
      </c>
      <c r="AE1041" s="2">
        <f t="shared" si="19"/>
      </c>
      <c r="AF1041" s="2">
        <f t="shared" si="20"/>
      </c>
      <c r="AG1041" s="2">
        <f t="shared" si="21"/>
      </c>
      <c r="AH1041" s="2">
        <f t="shared" si="22"/>
      </c>
      <c r="AI1041" s="2">
        <f t="shared" si="23"/>
      </c>
      <c r="AJ1041" s="2">
        <f t="shared" si="24"/>
        <v>0</v>
      </c>
      <c r="AK1041" s="2">
        <f t="shared" si="25"/>
        <v>0</v>
      </c>
      <c r="AL1041" s="2">
        <f t="shared" si="26"/>
        <v>0</v>
      </c>
      <c r="AM1041" s="2">
        <f t="shared" si="27"/>
        <v>0</v>
      </c>
      <c r="AN1041" s="2">
        <f t="shared" si="28"/>
        <v>0</v>
      </c>
      <c r="AO1041" s="2">
        <f t="shared" si="29"/>
      </c>
      <c r="AP1041" s="2">
        <f t="shared" si="30"/>
      </c>
      <c r="AQ1041" s="2">
        <f t="shared" si="31"/>
      </c>
    </row>
    <row r="1042">
      <c r="A1042" s="43">
        <f t="shared" si="3"/>
      </c>
      <c r="B1042" s="44" t="n"/>
      <c r="C1042" s="45" t="n"/>
      <c r="D1042" s="46" t="n"/>
      <c r="E1042" s="47" t="n"/>
      <c r="F1042" s="47" t="n"/>
      <c r="G1042" s="48">
        <f t="shared" si="4"/>
      </c>
      <c r="H1042" s="43">
        <f t="shared" si="0"/>
      </c>
      <c r="I1042" s="43">
        <f t="shared" si="5"/>
      </c>
      <c r="J1042" s="43">
        <f t="shared" si="1"/>
      </c>
      <c r="K1042" s="49">
        <f t="shared" si="2"/>
      </c>
      <c r="L1042" s="45" t="n"/>
      <c r="M1042" s="45" t="n"/>
      <c r="N1042" s="45" t="n"/>
      <c r="O1042" s="45" t="n"/>
      <c r="P1042" s="50" t="n"/>
      <c r="R1042" s="2">
        <f t="shared" si="6"/>
        <v>0</v>
      </c>
      <c r="S1042" s="2">
        <f t="shared" si="7"/>
      </c>
      <c r="T1042" s="2">
        <f t="shared" si="8"/>
      </c>
      <c r="U1042" s="2">
        <f t="shared" si="9"/>
      </c>
      <c r="V1042" s="2">
        <f t="shared" si="10"/>
      </c>
      <c r="W1042" s="2">
        <f t="shared" si="11"/>
      </c>
      <c r="X1042" s="2">
        <f t="shared" si="12"/>
      </c>
      <c r="Y1042" s="2">
        <f t="shared" si="13"/>
        <v>0</v>
      </c>
      <c r="Z1042" s="2">
        <f t="shared" si="14"/>
      </c>
      <c r="AA1042" s="2">
        <f t="shared" si="15"/>
        <v>0</v>
      </c>
      <c r="AB1042" s="2">
        <f t="shared" si="16"/>
      </c>
      <c r="AC1042" s="2">
        <f t="shared" si="17"/>
      </c>
      <c r="AD1042" s="2">
        <f t="shared" si="18"/>
      </c>
      <c r="AE1042" s="2">
        <f t="shared" si="19"/>
      </c>
      <c r="AF1042" s="2">
        <f t="shared" si="20"/>
      </c>
      <c r="AG1042" s="2">
        <f t="shared" si="21"/>
      </c>
      <c r="AH1042" s="2">
        <f t="shared" si="22"/>
      </c>
      <c r="AI1042" s="2">
        <f t="shared" si="23"/>
      </c>
      <c r="AJ1042" s="2">
        <f t="shared" si="24"/>
        <v>0</v>
      </c>
      <c r="AK1042" s="2">
        <f t="shared" si="25"/>
        <v>0</v>
      </c>
      <c r="AL1042" s="2">
        <f t="shared" si="26"/>
        <v>0</v>
      </c>
      <c r="AM1042" s="2">
        <f t="shared" si="27"/>
        <v>0</v>
      </c>
      <c r="AN1042" s="2">
        <f t="shared" si="28"/>
        <v>0</v>
      </c>
      <c r="AO1042" s="2">
        <f t="shared" si="29"/>
      </c>
      <c r="AP1042" s="2">
        <f t="shared" si="30"/>
      </c>
      <c r="AQ1042" s="2">
        <f t="shared" si="31"/>
      </c>
    </row>
    <row r="1043">
      <c r="A1043" s="43">
        <f t="shared" si="3"/>
      </c>
      <c r="B1043" s="44" t="n"/>
      <c r="C1043" s="45" t="n"/>
      <c r="D1043" s="46" t="n"/>
      <c r="E1043" s="47" t="n"/>
      <c r="F1043" s="47" t="n"/>
      <c r="G1043" s="48">
        <f t="shared" si="4"/>
      </c>
      <c r="H1043" s="43">
        <f t="shared" si="0"/>
      </c>
      <c r="I1043" s="43">
        <f t="shared" si="5"/>
      </c>
      <c r="J1043" s="43">
        <f t="shared" si="1"/>
      </c>
      <c r="K1043" s="49">
        <f t="shared" si="2"/>
      </c>
      <c r="L1043" s="45" t="n"/>
      <c r="M1043" s="45" t="n"/>
      <c r="N1043" s="45" t="n"/>
      <c r="O1043" s="45" t="n"/>
      <c r="P1043" s="50" t="n"/>
      <c r="R1043" s="2">
        <f t="shared" si="6"/>
        <v>0</v>
      </c>
      <c r="S1043" s="2">
        <f t="shared" si="7"/>
      </c>
      <c r="T1043" s="2">
        <f t="shared" si="8"/>
      </c>
      <c r="U1043" s="2">
        <f t="shared" si="9"/>
      </c>
      <c r="V1043" s="2">
        <f t="shared" si="10"/>
      </c>
      <c r="W1043" s="2">
        <f t="shared" si="11"/>
      </c>
      <c r="X1043" s="2">
        <f t="shared" si="12"/>
      </c>
      <c r="Y1043" s="2">
        <f t="shared" si="13"/>
        <v>0</v>
      </c>
      <c r="Z1043" s="2">
        <f t="shared" si="14"/>
      </c>
      <c r="AA1043" s="2">
        <f t="shared" si="15"/>
        <v>0</v>
      </c>
      <c r="AB1043" s="2">
        <f t="shared" si="16"/>
      </c>
      <c r="AC1043" s="2">
        <f t="shared" si="17"/>
      </c>
      <c r="AD1043" s="2">
        <f t="shared" si="18"/>
      </c>
      <c r="AE1043" s="2">
        <f t="shared" si="19"/>
      </c>
      <c r="AF1043" s="2">
        <f t="shared" si="20"/>
      </c>
      <c r="AG1043" s="2">
        <f t="shared" si="21"/>
      </c>
      <c r="AH1043" s="2">
        <f t="shared" si="22"/>
      </c>
      <c r="AI1043" s="2">
        <f t="shared" si="23"/>
      </c>
      <c r="AJ1043" s="2">
        <f t="shared" si="24"/>
        <v>0</v>
      </c>
      <c r="AK1043" s="2">
        <f t="shared" si="25"/>
        <v>0</v>
      </c>
      <c r="AL1043" s="2">
        <f t="shared" si="26"/>
        <v>0</v>
      </c>
      <c r="AM1043" s="2">
        <f t="shared" si="27"/>
        <v>0</v>
      </c>
      <c r="AN1043" s="2">
        <f t="shared" si="28"/>
        <v>0</v>
      </c>
      <c r="AO1043" s="2">
        <f t="shared" si="29"/>
      </c>
      <c r="AP1043" s="2">
        <f t="shared" si="30"/>
      </c>
      <c r="AQ1043" s="2">
        <f t="shared" si="31"/>
      </c>
    </row>
    <row r="1044">
      <c r="A1044" s="43">
        <f t="shared" si="3"/>
      </c>
      <c r="B1044" s="44" t="n"/>
      <c r="C1044" s="45" t="n"/>
      <c r="D1044" s="46" t="n"/>
      <c r="E1044" s="47" t="n"/>
      <c r="F1044" s="47" t="n"/>
      <c r="G1044" s="48">
        <f t="shared" si="4"/>
      </c>
      <c r="H1044" s="43">
        <f t="shared" si="0"/>
      </c>
      <c r="I1044" s="43">
        <f t="shared" si="5"/>
      </c>
      <c r="J1044" s="43">
        <f t="shared" si="1"/>
      </c>
      <c r="K1044" s="49">
        <f t="shared" si="2"/>
      </c>
      <c r="L1044" s="45" t="n"/>
      <c r="M1044" s="45" t="n"/>
      <c r="N1044" s="45" t="n"/>
      <c r="O1044" s="45" t="n"/>
      <c r="P1044" s="50" t="n"/>
      <c r="R1044" s="2">
        <f t="shared" si="6"/>
        <v>0</v>
      </c>
      <c r="S1044" s="2">
        <f t="shared" si="7"/>
      </c>
      <c r="T1044" s="2">
        <f t="shared" si="8"/>
      </c>
      <c r="U1044" s="2">
        <f t="shared" si="9"/>
      </c>
      <c r="V1044" s="2">
        <f t="shared" si="10"/>
      </c>
      <c r="W1044" s="2">
        <f t="shared" si="11"/>
      </c>
      <c r="X1044" s="2">
        <f t="shared" si="12"/>
      </c>
      <c r="Y1044" s="2">
        <f t="shared" si="13"/>
        <v>0</v>
      </c>
      <c r="Z1044" s="2">
        <f t="shared" si="14"/>
      </c>
      <c r="AA1044" s="2">
        <f t="shared" si="15"/>
        <v>0</v>
      </c>
      <c r="AB1044" s="2">
        <f t="shared" si="16"/>
      </c>
      <c r="AC1044" s="2">
        <f t="shared" si="17"/>
      </c>
      <c r="AD1044" s="2">
        <f t="shared" si="18"/>
      </c>
      <c r="AE1044" s="2">
        <f t="shared" si="19"/>
      </c>
      <c r="AF1044" s="2">
        <f t="shared" si="20"/>
      </c>
      <c r="AG1044" s="2">
        <f t="shared" si="21"/>
      </c>
      <c r="AH1044" s="2">
        <f t="shared" si="22"/>
      </c>
      <c r="AI1044" s="2">
        <f t="shared" si="23"/>
      </c>
      <c r="AJ1044" s="2">
        <f t="shared" si="24"/>
        <v>0</v>
      </c>
      <c r="AK1044" s="2">
        <f t="shared" si="25"/>
        <v>0</v>
      </c>
      <c r="AL1044" s="2">
        <f t="shared" si="26"/>
        <v>0</v>
      </c>
      <c r="AM1044" s="2">
        <f t="shared" si="27"/>
        <v>0</v>
      </c>
      <c r="AN1044" s="2">
        <f t="shared" si="28"/>
        <v>0</v>
      </c>
      <c r="AO1044" s="2">
        <f t="shared" si="29"/>
      </c>
      <c r="AP1044" s="2">
        <f t="shared" si="30"/>
      </c>
      <c r="AQ1044" s="2">
        <f t="shared" si="31"/>
      </c>
    </row>
    <row r="1045">
      <c r="A1045" s="43">
        <f t="shared" si="3"/>
      </c>
      <c r="B1045" s="44" t="n"/>
      <c r="C1045" s="45" t="n"/>
      <c r="D1045" s="46" t="n"/>
      <c r="E1045" s="47" t="n"/>
      <c r="F1045" s="47" t="n"/>
      <c r="G1045" s="48">
        <f t="shared" si="4"/>
      </c>
      <c r="H1045" s="43">
        <f t="shared" si="0"/>
      </c>
      <c r="I1045" s="43">
        <f t="shared" si="5"/>
      </c>
      <c r="J1045" s="43">
        <f t="shared" si="1"/>
      </c>
      <c r="K1045" s="49">
        <f t="shared" si="2"/>
      </c>
      <c r="L1045" s="45" t="n"/>
      <c r="M1045" s="45" t="n"/>
      <c r="N1045" s="45" t="n"/>
      <c r="O1045" s="45" t="n"/>
      <c r="P1045" s="50" t="n"/>
      <c r="R1045" s="2">
        <f t="shared" si="6"/>
        <v>0</v>
      </c>
      <c r="S1045" s="2">
        <f t="shared" si="7"/>
      </c>
      <c r="T1045" s="2">
        <f t="shared" si="8"/>
      </c>
      <c r="U1045" s="2">
        <f t="shared" si="9"/>
      </c>
      <c r="V1045" s="2">
        <f t="shared" si="10"/>
      </c>
      <c r="W1045" s="2">
        <f t="shared" si="11"/>
      </c>
      <c r="X1045" s="2">
        <f t="shared" si="12"/>
      </c>
      <c r="Y1045" s="2">
        <f t="shared" si="13"/>
        <v>0</v>
      </c>
      <c r="Z1045" s="2">
        <f t="shared" si="14"/>
      </c>
      <c r="AA1045" s="2">
        <f t="shared" si="15"/>
        <v>0</v>
      </c>
      <c r="AB1045" s="2">
        <f t="shared" si="16"/>
      </c>
      <c r="AC1045" s="2">
        <f t="shared" si="17"/>
      </c>
      <c r="AD1045" s="2">
        <f t="shared" si="18"/>
      </c>
      <c r="AE1045" s="2">
        <f t="shared" si="19"/>
      </c>
      <c r="AF1045" s="2">
        <f t="shared" si="20"/>
      </c>
      <c r="AG1045" s="2">
        <f t="shared" si="21"/>
      </c>
      <c r="AH1045" s="2">
        <f t="shared" si="22"/>
      </c>
      <c r="AI1045" s="2">
        <f t="shared" si="23"/>
      </c>
      <c r="AJ1045" s="2">
        <f t="shared" si="24"/>
        <v>0</v>
      </c>
      <c r="AK1045" s="2">
        <f t="shared" si="25"/>
        <v>0</v>
      </c>
      <c r="AL1045" s="2">
        <f t="shared" si="26"/>
        <v>0</v>
      </c>
      <c r="AM1045" s="2">
        <f t="shared" si="27"/>
        <v>0</v>
      </c>
      <c r="AN1045" s="2">
        <f t="shared" si="28"/>
        <v>0</v>
      </c>
      <c r="AO1045" s="2">
        <f t="shared" si="29"/>
      </c>
      <c r="AP1045" s="2">
        <f t="shared" si="30"/>
      </c>
      <c r="AQ1045" s="2">
        <f t="shared" si="31"/>
      </c>
    </row>
    <row r="1046">
      <c r="A1046" s="43">
        <f t="shared" si="3"/>
      </c>
      <c r="B1046" s="44" t="n"/>
      <c r="C1046" s="45" t="n"/>
      <c r="D1046" s="46" t="n"/>
      <c r="E1046" s="47" t="n"/>
      <c r="F1046" s="47" t="n"/>
      <c r="G1046" s="48">
        <f t="shared" si="4"/>
      </c>
      <c r="H1046" s="43">
        <f t="shared" si="0"/>
      </c>
      <c r="I1046" s="43">
        <f t="shared" si="5"/>
      </c>
      <c r="J1046" s="43">
        <f t="shared" si="1"/>
      </c>
      <c r="K1046" s="49">
        <f t="shared" si="2"/>
      </c>
      <c r="L1046" s="45" t="n"/>
      <c r="M1046" s="45" t="n"/>
      <c r="N1046" s="45" t="n"/>
      <c r="O1046" s="45" t="n"/>
      <c r="P1046" s="50" t="n"/>
      <c r="R1046" s="2">
        <f t="shared" si="6"/>
        <v>0</v>
      </c>
      <c r="S1046" s="2">
        <f t="shared" si="7"/>
      </c>
      <c r="T1046" s="2">
        <f t="shared" si="8"/>
      </c>
      <c r="U1046" s="2">
        <f t="shared" si="9"/>
      </c>
      <c r="V1046" s="2">
        <f t="shared" si="10"/>
      </c>
      <c r="W1046" s="2">
        <f t="shared" si="11"/>
      </c>
      <c r="X1046" s="2">
        <f t="shared" si="12"/>
      </c>
      <c r="Y1046" s="2">
        <f t="shared" si="13"/>
        <v>0</v>
      </c>
      <c r="Z1046" s="2">
        <f t="shared" si="14"/>
      </c>
      <c r="AA1046" s="2">
        <f t="shared" si="15"/>
        <v>0</v>
      </c>
      <c r="AB1046" s="2">
        <f t="shared" si="16"/>
      </c>
      <c r="AC1046" s="2">
        <f t="shared" si="17"/>
      </c>
      <c r="AD1046" s="2">
        <f t="shared" si="18"/>
      </c>
      <c r="AE1046" s="2">
        <f t="shared" si="19"/>
      </c>
      <c r="AF1046" s="2">
        <f t="shared" si="20"/>
      </c>
      <c r="AG1046" s="2">
        <f t="shared" si="21"/>
      </c>
      <c r="AH1046" s="2">
        <f t="shared" si="22"/>
      </c>
      <c r="AI1046" s="2">
        <f t="shared" si="23"/>
      </c>
      <c r="AJ1046" s="2">
        <f t="shared" si="24"/>
        <v>0</v>
      </c>
      <c r="AK1046" s="2">
        <f t="shared" si="25"/>
        <v>0</v>
      </c>
      <c r="AL1046" s="2">
        <f t="shared" si="26"/>
        <v>0</v>
      </c>
      <c r="AM1046" s="2">
        <f t="shared" si="27"/>
        <v>0</v>
      </c>
      <c r="AN1046" s="2">
        <f t="shared" si="28"/>
        <v>0</v>
      </c>
      <c r="AO1046" s="2">
        <f t="shared" si="29"/>
      </c>
      <c r="AP1046" s="2">
        <f t="shared" si="30"/>
      </c>
      <c r="AQ1046" s="2">
        <f t="shared" si="31"/>
      </c>
    </row>
    <row r="1047">
      <c r="A1047" s="43">
        <f t="shared" si="3"/>
      </c>
      <c r="B1047" s="44" t="n"/>
      <c r="C1047" s="45" t="n"/>
      <c r="D1047" s="46" t="n"/>
      <c r="E1047" s="47" t="n"/>
      <c r="F1047" s="47" t="n"/>
      <c r="G1047" s="48">
        <f t="shared" si="4"/>
      </c>
      <c r="H1047" s="43">
        <f t="shared" si="0"/>
      </c>
      <c r="I1047" s="43">
        <f t="shared" si="5"/>
      </c>
      <c r="J1047" s="43">
        <f t="shared" si="1"/>
      </c>
      <c r="K1047" s="49">
        <f t="shared" si="2"/>
      </c>
      <c r="L1047" s="45" t="n"/>
      <c r="M1047" s="45" t="n"/>
      <c r="N1047" s="45" t="n"/>
      <c r="O1047" s="45" t="n"/>
      <c r="P1047" s="50" t="n"/>
      <c r="R1047" s="2">
        <f t="shared" si="6"/>
        <v>0</v>
      </c>
      <c r="S1047" s="2">
        <f t="shared" si="7"/>
      </c>
      <c r="T1047" s="2">
        <f t="shared" si="8"/>
      </c>
      <c r="U1047" s="2">
        <f t="shared" si="9"/>
      </c>
      <c r="V1047" s="2">
        <f t="shared" si="10"/>
      </c>
      <c r="W1047" s="2">
        <f t="shared" si="11"/>
      </c>
      <c r="X1047" s="2">
        <f t="shared" si="12"/>
      </c>
      <c r="Y1047" s="2">
        <f t="shared" si="13"/>
        <v>0</v>
      </c>
      <c r="Z1047" s="2">
        <f t="shared" si="14"/>
      </c>
      <c r="AA1047" s="2">
        <f t="shared" si="15"/>
        <v>0</v>
      </c>
      <c r="AB1047" s="2">
        <f t="shared" si="16"/>
      </c>
      <c r="AC1047" s="2">
        <f t="shared" si="17"/>
      </c>
      <c r="AD1047" s="2">
        <f t="shared" si="18"/>
      </c>
      <c r="AE1047" s="2">
        <f t="shared" si="19"/>
      </c>
      <c r="AF1047" s="2">
        <f t="shared" si="20"/>
      </c>
      <c r="AG1047" s="2">
        <f t="shared" si="21"/>
      </c>
      <c r="AH1047" s="2">
        <f t="shared" si="22"/>
      </c>
      <c r="AI1047" s="2">
        <f t="shared" si="23"/>
      </c>
      <c r="AJ1047" s="2">
        <f t="shared" si="24"/>
        <v>0</v>
      </c>
      <c r="AK1047" s="2">
        <f t="shared" si="25"/>
        <v>0</v>
      </c>
      <c r="AL1047" s="2">
        <f t="shared" si="26"/>
        <v>0</v>
      </c>
      <c r="AM1047" s="2">
        <f t="shared" si="27"/>
        <v>0</v>
      </c>
      <c r="AN1047" s="2">
        <f t="shared" si="28"/>
        <v>0</v>
      </c>
      <c r="AO1047" s="2">
        <f t="shared" si="29"/>
      </c>
      <c r="AP1047" s="2">
        <f t="shared" si="30"/>
      </c>
      <c r="AQ1047" s="2">
        <f t="shared" si="31"/>
      </c>
    </row>
    <row r="1048">
      <c r="A1048" s="43">
        <f t="shared" si="3"/>
      </c>
      <c r="B1048" s="44" t="n"/>
      <c r="C1048" s="45" t="n"/>
      <c r="D1048" s="46" t="n"/>
      <c r="E1048" s="47" t="n"/>
      <c r="F1048" s="47" t="n"/>
      <c r="G1048" s="48">
        <f t="shared" si="4"/>
      </c>
      <c r="H1048" s="43">
        <f t="shared" si="0"/>
      </c>
      <c r="I1048" s="43">
        <f t="shared" si="5"/>
      </c>
      <c r="J1048" s="43">
        <f t="shared" si="1"/>
      </c>
      <c r="K1048" s="49">
        <f t="shared" si="2"/>
      </c>
      <c r="L1048" s="45" t="n"/>
      <c r="M1048" s="45" t="n"/>
      <c r="N1048" s="45" t="n"/>
      <c r="O1048" s="45" t="n"/>
      <c r="P1048" s="50" t="n"/>
      <c r="R1048" s="2">
        <f t="shared" si="6"/>
        <v>0</v>
      </c>
      <c r="S1048" s="2">
        <f t="shared" si="7"/>
      </c>
      <c r="T1048" s="2">
        <f t="shared" si="8"/>
      </c>
      <c r="U1048" s="2">
        <f t="shared" si="9"/>
      </c>
      <c r="V1048" s="2">
        <f t="shared" si="10"/>
      </c>
      <c r="W1048" s="2">
        <f t="shared" si="11"/>
      </c>
      <c r="X1048" s="2">
        <f t="shared" si="12"/>
      </c>
      <c r="Y1048" s="2">
        <f t="shared" si="13"/>
        <v>0</v>
      </c>
      <c r="Z1048" s="2">
        <f t="shared" si="14"/>
      </c>
      <c r="AA1048" s="2">
        <f t="shared" si="15"/>
        <v>0</v>
      </c>
      <c r="AB1048" s="2">
        <f t="shared" si="16"/>
      </c>
      <c r="AC1048" s="2">
        <f t="shared" si="17"/>
      </c>
      <c r="AD1048" s="2">
        <f t="shared" si="18"/>
      </c>
      <c r="AE1048" s="2">
        <f t="shared" si="19"/>
      </c>
      <c r="AF1048" s="2">
        <f t="shared" si="20"/>
      </c>
      <c r="AG1048" s="2">
        <f t="shared" si="21"/>
      </c>
      <c r="AH1048" s="2">
        <f t="shared" si="22"/>
      </c>
      <c r="AI1048" s="2">
        <f t="shared" si="23"/>
      </c>
      <c r="AJ1048" s="2">
        <f t="shared" si="24"/>
        <v>0</v>
      </c>
      <c r="AK1048" s="2">
        <f t="shared" si="25"/>
        <v>0</v>
      </c>
      <c r="AL1048" s="2">
        <f t="shared" si="26"/>
        <v>0</v>
      </c>
      <c r="AM1048" s="2">
        <f t="shared" si="27"/>
        <v>0</v>
      </c>
      <c r="AN1048" s="2">
        <f t="shared" si="28"/>
        <v>0</v>
      </c>
      <c r="AO1048" s="2">
        <f t="shared" si="29"/>
      </c>
      <c r="AP1048" s="2">
        <f t="shared" si="30"/>
      </c>
      <c r="AQ1048" s="2">
        <f t="shared" si="31"/>
      </c>
    </row>
    <row r="1049">
      <c r="A1049" s="43">
        <f t="shared" si="3"/>
      </c>
      <c r="B1049" s="44" t="n"/>
      <c r="C1049" s="45" t="n"/>
      <c r="D1049" s="46" t="n"/>
      <c r="E1049" s="47" t="n"/>
      <c r="F1049" s="47" t="n"/>
      <c r="G1049" s="48">
        <f t="shared" si="4"/>
      </c>
      <c r="H1049" s="43">
        <f t="shared" si="0"/>
      </c>
      <c r="I1049" s="43">
        <f t="shared" si="5"/>
      </c>
      <c r="J1049" s="43">
        <f t="shared" si="1"/>
      </c>
      <c r="K1049" s="49">
        <f t="shared" si="2"/>
      </c>
      <c r="L1049" s="45" t="n"/>
      <c r="M1049" s="45" t="n"/>
      <c r="N1049" s="45" t="n"/>
      <c r="O1049" s="45" t="n"/>
      <c r="P1049" s="50" t="n"/>
      <c r="R1049" s="2">
        <f t="shared" si="6"/>
        <v>0</v>
      </c>
      <c r="S1049" s="2">
        <f t="shared" si="7"/>
      </c>
      <c r="T1049" s="2">
        <f t="shared" si="8"/>
      </c>
      <c r="U1049" s="2">
        <f t="shared" si="9"/>
      </c>
      <c r="V1049" s="2">
        <f t="shared" si="10"/>
      </c>
      <c r="W1049" s="2">
        <f t="shared" si="11"/>
      </c>
      <c r="X1049" s="2">
        <f t="shared" si="12"/>
      </c>
      <c r="Y1049" s="2">
        <f t="shared" si="13"/>
        <v>0</v>
      </c>
      <c r="Z1049" s="2">
        <f t="shared" si="14"/>
      </c>
      <c r="AA1049" s="2">
        <f t="shared" si="15"/>
        <v>0</v>
      </c>
      <c r="AB1049" s="2">
        <f t="shared" si="16"/>
      </c>
      <c r="AC1049" s="2">
        <f t="shared" si="17"/>
      </c>
      <c r="AD1049" s="2">
        <f t="shared" si="18"/>
      </c>
      <c r="AE1049" s="2">
        <f t="shared" si="19"/>
      </c>
      <c r="AF1049" s="2">
        <f t="shared" si="20"/>
      </c>
      <c r="AG1049" s="2">
        <f t="shared" si="21"/>
      </c>
      <c r="AH1049" s="2">
        <f t="shared" si="22"/>
      </c>
      <c r="AI1049" s="2">
        <f t="shared" si="23"/>
      </c>
      <c r="AJ1049" s="2">
        <f t="shared" si="24"/>
        <v>0</v>
      </c>
      <c r="AK1049" s="2">
        <f t="shared" si="25"/>
        <v>0</v>
      </c>
      <c r="AL1049" s="2">
        <f t="shared" si="26"/>
        <v>0</v>
      </c>
      <c r="AM1049" s="2">
        <f t="shared" si="27"/>
        <v>0</v>
      </c>
      <c r="AN1049" s="2">
        <f t="shared" si="28"/>
        <v>0</v>
      </c>
      <c r="AO1049" s="2">
        <f t="shared" si="29"/>
      </c>
      <c r="AP1049" s="2">
        <f t="shared" si="30"/>
      </c>
      <c r="AQ1049" s="2">
        <f t="shared" si="31"/>
      </c>
    </row>
    <row r="1050">
      <c r="A1050" s="43">
        <f t="shared" si="3"/>
      </c>
      <c r="B1050" s="44" t="n"/>
      <c r="C1050" s="45" t="n"/>
      <c r="D1050" s="46" t="n"/>
      <c r="E1050" s="47" t="n"/>
      <c r="F1050" s="47" t="n"/>
      <c r="G1050" s="48">
        <f t="shared" si="4"/>
      </c>
      <c r="H1050" s="43">
        <f t="shared" si="0"/>
      </c>
      <c r="I1050" s="43">
        <f t="shared" si="5"/>
      </c>
      <c r="J1050" s="43">
        <f t="shared" si="1"/>
      </c>
      <c r="K1050" s="49">
        <f t="shared" si="2"/>
      </c>
      <c r="L1050" s="45" t="n"/>
      <c r="M1050" s="45" t="n"/>
      <c r="N1050" s="45" t="n"/>
      <c r="O1050" s="45" t="n"/>
      <c r="P1050" s="50" t="n"/>
      <c r="R1050" s="2">
        <f t="shared" si="6"/>
        <v>0</v>
      </c>
      <c r="S1050" s="2">
        <f t="shared" si="7"/>
      </c>
      <c r="T1050" s="2">
        <f t="shared" si="8"/>
      </c>
      <c r="U1050" s="2">
        <f t="shared" si="9"/>
      </c>
      <c r="V1050" s="2">
        <f t="shared" si="10"/>
      </c>
      <c r="W1050" s="2">
        <f t="shared" si="11"/>
      </c>
      <c r="X1050" s="2">
        <f t="shared" si="12"/>
      </c>
      <c r="Y1050" s="2">
        <f t="shared" si="13"/>
        <v>0</v>
      </c>
      <c r="Z1050" s="2">
        <f t="shared" si="14"/>
      </c>
      <c r="AA1050" s="2">
        <f t="shared" si="15"/>
        <v>0</v>
      </c>
      <c r="AB1050" s="2">
        <f t="shared" si="16"/>
      </c>
      <c r="AC1050" s="2">
        <f t="shared" si="17"/>
      </c>
      <c r="AD1050" s="2">
        <f t="shared" si="18"/>
      </c>
      <c r="AE1050" s="2">
        <f t="shared" si="19"/>
      </c>
      <c r="AF1050" s="2">
        <f t="shared" si="20"/>
      </c>
      <c r="AG1050" s="2">
        <f t="shared" si="21"/>
      </c>
      <c r="AH1050" s="2">
        <f t="shared" si="22"/>
      </c>
      <c r="AI1050" s="2">
        <f t="shared" si="23"/>
      </c>
      <c r="AJ1050" s="2">
        <f t="shared" si="24"/>
        <v>0</v>
      </c>
      <c r="AK1050" s="2">
        <f t="shared" si="25"/>
        <v>0</v>
      </c>
      <c r="AL1050" s="2">
        <f t="shared" si="26"/>
        <v>0</v>
      </c>
      <c r="AM1050" s="2">
        <f t="shared" si="27"/>
        <v>0</v>
      </c>
      <c r="AN1050" s="2">
        <f t="shared" si="28"/>
        <v>0</v>
      </c>
      <c r="AO1050" s="2">
        <f t="shared" si="29"/>
      </c>
      <c r="AP1050" s="2">
        <f t="shared" si="30"/>
      </c>
      <c r="AQ1050" s="2">
        <f t="shared" si="31"/>
      </c>
    </row>
    <row r="1051">
      <c r="A1051" s="43">
        <f t="shared" si="3"/>
      </c>
      <c r="B1051" s="44" t="n"/>
      <c r="C1051" s="45" t="n"/>
      <c r="D1051" s="46" t="n"/>
      <c r="E1051" s="47" t="n"/>
      <c r="F1051" s="47" t="n"/>
      <c r="G1051" s="48">
        <f t="shared" si="4"/>
      </c>
      <c r="H1051" s="43">
        <f t="shared" si="0"/>
      </c>
      <c r="I1051" s="43">
        <f t="shared" si="5"/>
      </c>
      <c r="J1051" s="43">
        <f t="shared" si="1"/>
      </c>
      <c r="K1051" s="49">
        <f t="shared" si="2"/>
      </c>
      <c r="L1051" s="45" t="n"/>
      <c r="M1051" s="45" t="n"/>
      <c r="N1051" s="45" t="n"/>
      <c r="O1051" s="45" t="n"/>
      <c r="P1051" s="50" t="n"/>
      <c r="R1051" s="2">
        <f t="shared" si="6"/>
        <v>0</v>
      </c>
      <c r="S1051" s="2">
        <f t="shared" si="7"/>
      </c>
      <c r="T1051" s="2">
        <f t="shared" si="8"/>
      </c>
      <c r="U1051" s="2">
        <f t="shared" si="9"/>
      </c>
      <c r="V1051" s="2">
        <f t="shared" si="10"/>
      </c>
      <c r="W1051" s="2">
        <f t="shared" si="11"/>
      </c>
      <c r="X1051" s="2">
        <f t="shared" si="12"/>
      </c>
      <c r="Y1051" s="2">
        <f t="shared" si="13"/>
        <v>0</v>
      </c>
      <c r="Z1051" s="2">
        <f t="shared" si="14"/>
      </c>
      <c r="AA1051" s="2">
        <f t="shared" si="15"/>
        <v>0</v>
      </c>
      <c r="AB1051" s="2">
        <f t="shared" si="16"/>
      </c>
      <c r="AC1051" s="2">
        <f t="shared" si="17"/>
      </c>
      <c r="AD1051" s="2">
        <f t="shared" si="18"/>
      </c>
      <c r="AE1051" s="2">
        <f t="shared" si="19"/>
      </c>
      <c r="AF1051" s="2">
        <f t="shared" si="20"/>
      </c>
      <c r="AG1051" s="2">
        <f t="shared" si="21"/>
      </c>
      <c r="AH1051" s="2">
        <f t="shared" si="22"/>
      </c>
      <c r="AI1051" s="2">
        <f t="shared" si="23"/>
      </c>
      <c r="AJ1051" s="2">
        <f t="shared" si="24"/>
        <v>0</v>
      </c>
      <c r="AK1051" s="2">
        <f t="shared" si="25"/>
        <v>0</v>
      </c>
      <c r="AL1051" s="2">
        <f t="shared" si="26"/>
        <v>0</v>
      </c>
      <c r="AM1051" s="2">
        <f t="shared" si="27"/>
        <v>0</v>
      </c>
      <c r="AN1051" s="2">
        <f t="shared" si="28"/>
        <v>0</v>
      </c>
      <c r="AO1051" s="2">
        <f t="shared" si="29"/>
      </c>
      <c r="AP1051" s="2">
        <f t="shared" si="30"/>
      </c>
      <c r="AQ1051" s="2">
        <f t="shared" si="31"/>
      </c>
    </row>
    <row r="1052">
      <c r="A1052" s="43">
        <f t="shared" si="3"/>
      </c>
      <c r="B1052" s="44" t="n"/>
      <c r="C1052" s="45" t="n"/>
      <c r="D1052" s="46" t="n"/>
      <c r="E1052" s="47" t="n"/>
      <c r="F1052" s="47" t="n"/>
      <c r="G1052" s="48">
        <f t="shared" si="4"/>
      </c>
      <c r="H1052" s="43">
        <f t="shared" si="0"/>
      </c>
      <c r="I1052" s="43">
        <f t="shared" si="5"/>
      </c>
      <c r="J1052" s="43">
        <f t="shared" si="1"/>
      </c>
      <c r="K1052" s="49">
        <f t="shared" si="2"/>
      </c>
      <c r="L1052" s="45" t="n"/>
      <c r="M1052" s="45" t="n"/>
      <c r="N1052" s="45" t="n"/>
      <c r="O1052" s="45" t="n"/>
      <c r="P1052" s="50" t="n"/>
      <c r="R1052" s="2">
        <f t="shared" si="6"/>
        <v>0</v>
      </c>
      <c r="S1052" s="2">
        <f t="shared" si="7"/>
      </c>
      <c r="T1052" s="2">
        <f t="shared" si="8"/>
      </c>
      <c r="U1052" s="2">
        <f t="shared" si="9"/>
      </c>
      <c r="V1052" s="2">
        <f t="shared" si="10"/>
      </c>
      <c r="W1052" s="2">
        <f t="shared" si="11"/>
      </c>
      <c r="X1052" s="2">
        <f t="shared" si="12"/>
      </c>
      <c r="Y1052" s="2">
        <f t="shared" si="13"/>
        <v>0</v>
      </c>
      <c r="Z1052" s="2">
        <f t="shared" si="14"/>
      </c>
      <c r="AA1052" s="2">
        <f t="shared" si="15"/>
        <v>0</v>
      </c>
      <c r="AB1052" s="2">
        <f t="shared" si="16"/>
      </c>
      <c r="AC1052" s="2">
        <f t="shared" si="17"/>
      </c>
      <c r="AD1052" s="2">
        <f t="shared" si="18"/>
      </c>
      <c r="AE1052" s="2">
        <f t="shared" si="19"/>
      </c>
      <c r="AF1052" s="2">
        <f t="shared" si="20"/>
      </c>
      <c r="AG1052" s="2">
        <f t="shared" si="21"/>
      </c>
      <c r="AH1052" s="2">
        <f t="shared" si="22"/>
      </c>
      <c r="AI1052" s="2">
        <f t="shared" si="23"/>
      </c>
      <c r="AJ1052" s="2">
        <f t="shared" si="24"/>
        <v>0</v>
      </c>
      <c r="AK1052" s="2">
        <f t="shared" si="25"/>
        <v>0</v>
      </c>
      <c r="AL1052" s="2">
        <f t="shared" si="26"/>
        <v>0</v>
      </c>
      <c r="AM1052" s="2">
        <f t="shared" si="27"/>
        <v>0</v>
      </c>
      <c r="AN1052" s="2">
        <f t="shared" si="28"/>
        <v>0</v>
      </c>
      <c r="AO1052" s="2">
        <f t="shared" si="29"/>
      </c>
      <c r="AP1052" s="2">
        <f t="shared" si="30"/>
      </c>
      <c r="AQ1052" s="2">
        <f t="shared" si="31"/>
      </c>
    </row>
    <row r="1053">
      <c r="A1053" s="43">
        <f t="shared" si="3"/>
      </c>
      <c r="B1053" s="44" t="n"/>
      <c r="C1053" s="45" t="n"/>
      <c r="D1053" s="46" t="n"/>
      <c r="E1053" s="47" t="n"/>
      <c r="F1053" s="47" t="n"/>
      <c r="G1053" s="48">
        <f t="shared" si="4"/>
      </c>
      <c r="H1053" s="43">
        <f t="shared" si="0"/>
      </c>
      <c r="I1053" s="43">
        <f t="shared" si="5"/>
      </c>
      <c r="J1053" s="43">
        <f t="shared" si="1"/>
      </c>
      <c r="K1053" s="49">
        <f t="shared" si="2"/>
      </c>
      <c r="L1053" s="45" t="n"/>
      <c r="M1053" s="45" t="n"/>
      <c r="N1053" s="45" t="n"/>
      <c r="O1053" s="45" t="n"/>
      <c r="P1053" s="50" t="n"/>
      <c r="R1053" s="2">
        <f t="shared" si="6"/>
        <v>0</v>
      </c>
      <c r="S1053" s="2">
        <f t="shared" si="7"/>
      </c>
      <c r="T1053" s="2">
        <f t="shared" si="8"/>
      </c>
      <c r="U1053" s="2">
        <f t="shared" si="9"/>
      </c>
      <c r="V1053" s="2">
        <f t="shared" si="10"/>
      </c>
      <c r="W1053" s="2">
        <f t="shared" si="11"/>
      </c>
      <c r="X1053" s="2">
        <f t="shared" si="12"/>
      </c>
      <c r="Y1053" s="2">
        <f t="shared" si="13"/>
        <v>0</v>
      </c>
      <c r="Z1053" s="2">
        <f t="shared" si="14"/>
      </c>
      <c r="AA1053" s="2">
        <f t="shared" si="15"/>
        <v>0</v>
      </c>
      <c r="AB1053" s="2">
        <f t="shared" si="16"/>
      </c>
      <c r="AC1053" s="2">
        <f t="shared" si="17"/>
      </c>
      <c r="AD1053" s="2">
        <f t="shared" si="18"/>
      </c>
      <c r="AE1053" s="2">
        <f t="shared" si="19"/>
      </c>
      <c r="AF1053" s="2">
        <f t="shared" si="20"/>
      </c>
      <c r="AG1053" s="2">
        <f t="shared" si="21"/>
      </c>
      <c r="AH1053" s="2">
        <f t="shared" si="22"/>
      </c>
      <c r="AI1053" s="2">
        <f t="shared" si="23"/>
      </c>
      <c r="AJ1053" s="2">
        <f t="shared" si="24"/>
        <v>0</v>
      </c>
      <c r="AK1053" s="2">
        <f t="shared" si="25"/>
        <v>0</v>
      </c>
      <c r="AL1053" s="2">
        <f t="shared" si="26"/>
        <v>0</v>
      </c>
      <c r="AM1053" s="2">
        <f t="shared" si="27"/>
        <v>0</v>
      </c>
      <c r="AN1053" s="2">
        <f t="shared" si="28"/>
        <v>0</v>
      </c>
      <c r="AO1053" s="2">
        <f t="shared" si="29"/>
      </c>
      <c r="AP1053" s="2">
        <f t="shared" si="30"/>
      </c>
      <c r="AQ1053" s="2">
        <f t="shared" si="31"/>
      </c>
    </row>
    <row r="1054">
      <c r="A1054" s="43">
        <f t="shared" si="3"/>
      </c>
      <c r="B1054" s="44" t="n"/>
      <c r="C1054" s="45" t="n"/>
      <c r="D1054" s="46" t="n"/>
      <c r="E1054" s="47" t="n"/>
      <c r="F1054" s="47" t="n"/>
      <c r="G1054" s="48">
        <f t="shared" si="4"/>
      </c>
      <c r="H1054" s="43">
        <f t="shared" si="0"/>
      </c>
      <c r="I1054" s="43">
        <f t="shared" si="5"/>
      </c>
      <c r="J1054" s="43">
        <f t="shared" si="1"/>
      </c>
      <c r="K1054" s="49">
        <f t="shared" si="2"/>
      </c>
      <c r="L1054" s="45" t="n"/>
      <c r="M1054" s="45" t="n"/>
      <c r="N1054" s="45" t="n"/>
      <c r="O1054" s="45" t="n"/>
      <c r="P1054" s="50" t="n"/>
      <c r="R1054" s="2">
        <f t="shared" si="6"/>
        <v>0</v>
      </c>
      <c r="S1054" s="2">
        <f t="shared" si="7"/>
      </c>
      <c r="T1054" s="2">
        <f t="shared" si="8"/>
      </c>
      <c r="U1054" s="2">
        <f t="shared" si="9"/>
      </c>
      <c r="V1054" s="2">
        <f t="shared" si="10"/>
      </c>
      <c r="W1054" s="2">
        <f t="shared" si="11"/>
      </c>
      <c r="X1054" s="2">
        <f t="shared" si="12"/>
      </c>
      <c r="Y1054" s="2">
        <f t="shared" si="13"/>
        <v>0</v>
      </c>
      <c r="Z1054" s="2">
        <f t="shared" si="14"/>
      </c>
      <c r="AA1054" s="2">
        <f t="shared" si="15"/>
        <v>0</v>
      </c>
      <c r="AB1054" s="2">
        <f t="shared" si="16"/>
      </c>
      <c r="AC1054" s="2">
        <f t="shared" si="17"/>
      </c>
      <c r="AD1054" s="2">
        <f t="shared" si="18"/>
      </c>
      <c r="AE1054" s="2">
        <f t="shared" si="19"/>
      </c>
      <c r="AF1054" s="2">
        <f t="shared" si="20"/>
      </c>
      <c r="AG1054" s="2">
        <f t="shared" si="21"/>
      </c>
      <c r="AH1054" s="2">
        <f t="shared" si="22"/>
      </c>
      <c r="AI1054" s="2">
        <f t="shared" si="23"/>
      </c>
      <c r="AJ1054" s="2">
        <f t="shared" si="24"/>
        <v>0</v>
      </c>
      <c r="AK1054" s="2">
        <f t="shared" si="25"/>
        <v>0</v>
      </c>
      <c r="AL1054" s="2">
        <f t="shared" si="26"/>
        <v>0</v>
      </c>
      <c r="AM1054" s="2">
        <f t="shared" si="27"/>
        <v>0</v>
      </c>
      <c r="AN1054" s="2">
        <f t="shared" si="28"/>
        <v>0</v>
      </c>
      <c r="AO1054" s="2">
        <f t="shared" si="29"/>
      </c>
      <c r="AP1054" s="2">
        <f t="shared" si="30"/>
      </c>
      <c r="AQ1054" s="2">
        <f t="shared" si="31"/>
      </c>
    </row>
    <row r="1055">
      <c r="A1055" s="43">
        <f t="shared" si="3"/>
      </c>
      <c r="B1055" s="44" t="n"/>
      <c r="C1055" s="45" t="n"/>
      <c r="D1055" s="46" t="n"/>
      <c r="E1055" s="47" t="n"/>
      <c r="F1055" s="47" t="n"/>
      <c r="G1055" s="48">
        <f t="shared" si="4"/>
      </c>
      <c r="H1055" s="43">
        <f t="shared" si="0"/>
      </c>
      <c r="I1055" s="43">
        <f t="shared" si="5"/>
      </c>
      <c r="J1055" s="43">
        <f t="shared" si="1"/>
      </c>
      <c r="K1055" s="49">
        <f t="shared" si="2"/>
      </c>
      <c r="L1055" s="45" t="n"/>
      <c r="M1055" s="45" t="n"/>
      <c r="N1055" s="45" t="n"/>
      <c r="O1055" s="45" t="n"/>
      <c r="P1055" s="50" t="n"/>
      <c r="R1055" s="2">
        <f t="shared" si="6"/>
        <v>0</v>
      </c>
      <c r="S1055" s="2">
        <f t="shared" si="7"/>
      </c>
      <c r="T1055" s="2">
        <f t="shared" si="8"/>
      </c>
      <c r="U1055" s="2">
        <f t="shared" si="9"/>
      </c>
      <c r="V1055" s="2">
        <f t="shared" si="10"/>
      </c>
      <c r="W1055" s="2">
        <f t="shared" si="11"/>
      </c>
      <c r="X1055" s="2">
        <f t="shared" si="12"/>
      </c>
      <c r="Y1055" s="2">
        <f t="shared" si="13"/>
        <v>0</v>
      </c>
      <c r="Z1055" s="2">
        <f t="shared" si="14"/>
      </c>
      <c r="AA1055" s="2">
        <f t="shared" si="15"/>
        <v>0</v>
      </c>
      <c r="AB1055" s="2">
        <f t="shared" si="16"/>
      </c>
      <c r="AC1055" s="2">
        <f t="shared" si="17"/>
      </c>
      <c r="AD1055" s="2">
        <f t="shared" si="18"/>
      </c>
      <c r="AE1055" s="2">
        <f t="shared" si="19"/>
      </c>
      <c r="AF1055" s="2">
        <f t="shared" si="20"/>
      </c>
      <c r="AG1055" s="2">
        <f t="shared" si="21"/>
      </c>
      <c r="AH1055" s="2">
        <f t="shared" si="22"/>
      </c>
      <c r="AI1055" s="2">
        <f t="shared" si="23"/>
      </c>
      <c r="AJ1055" s="2">
        <f t="shared" si="24"/>
        <v>0</v>
      </c>
      <c r="AK1055" s="2">
        <f t="shared" si="25"/>
        <v>0</v>
      </c>
      <c r="AL1055" s="2">
        <f t="shared" si="26"/>
        <v>0</v>
      </c>
      <c r="AM1055" s="2">
        <f t="shared" si="27"/>
        <v>0</v>
      </c>
      <c r="AN1055" s="2">
        <f t="shared" si="28"/>
        <v>0</v>
      </c>
      <c r="AO1055" s="2">
        <f t="shared" si="29"/>
      </c>
      <c r="AP1055" s="2">
        <f t="shared" si="30"/>
      </c>
      <c r="AQ1055" s="2">
        <f t="shared" si="31"/>
      </c>
    </row>
    <row r="1056">
      <c r="A1056" s="43">
        <f t="shared" si="3"/>
      </c>
      <c r="B1056" s="44" t="n"/>
      <c r="C1056" s="45" t="n"/>
      <c r="D1056" s="46" t="n"/>
      <c r="E1056" s="47" t="n"/>
      <c r="F1056" s="47" t="n"/>
      <c r="G1056" s="48">
        <f t="shared" si="4"/>
      </c>
      <c r="H1056" s="43">
        <f t="shared" si="0"/>
      </c>
      <c r="I1056" s="43">
        <f t="shared" si="5"/>
      </c>
      <c r="J1056" s="43">
        <f t="shared" si="1"/>
      </c>
      <c r="K1056" s="49">
        <f t="shared" si="2"/>
      </c>
      <c r="L1056" s="45" t="n"/>
      <c r="M1056" s="45" t="n"/>
      <c r="N1056" s="45" t="n"/>
      <c r="O1056" s="45" t="n"/>
      <c r="P1056" s="50" t="n"/>
      <c r="R1056" s="2">
        <f t="shared" si="6"/>
        <v>0</v>
      </c>
      <c r="S1056" s="2">
        <f t="shared" si="7"/>
      </c>
      <c r="T1056" s="2">
        <f t="shared" si="8"/>
      </c>
      <c r="U1056" s="2">
        <f t="shared" si="9"/>
      </c>
      <c r="V1056" s="2">
        <f t="shared" si="10"/>
      </c>
      <c r="W1056" s="2">
        <f t="shared" si="11"/>
      </c>
      <c r="X1056" s="2">
        <f t="shared" si="12"/>
      </c>
      <c r="Y1056" s="2">
        <f t="shared" si="13"/>
        <v>0</v>
      </c>
      <c r="Z1056" s="2">
        <f t="shared" si="14"/>
      </c>
      <c r="AA1056" s="2">
        <f t="shared" si="15"/>
        <v>0</v>
      </c>
      <c r="AB1056" s="2">
        <f t="shared" si="16"/>
      </c>
      <c r="AC1056" s="2">
        <f t="shared" si="17"/>
      </c>
      <c r="AD1056" s="2">
        <f t="shared" si="18"/>
      </c>
      <c r="AE1056" s="2">
        <f t="shared" si="19"/>
      </c>
      <c r="AF1056" s="2">
        <f t="shared" si="20"/>
      </c>
      <c r="AG1056" s="2">
        <f t="shared" si="21"/>
      </c>
      <c r="AH1056" s="2">
        <f t="shared" si="22"/>
      </c>
      <c r="AI1056" s="2">
        <f t="shared" si="23"/>
      </c>
      <c r="AJ1056" s="2">
        <f t="shared" si="24"/>
        <v>0</v>
      </c>
      <c r="AK1056" s="2">
        <f t="shared" si="25"/>
        <v>0</v>
      </c>
      <c r="AL1056" s="2">
        <f t="shared" si="26"/>
        <v>0</v>
      </c>
      <c r="AM1056" s="2">
        <f t="shared" si="27"/>
        <v>0</v>
      </c>
      <c r="AN1056" s="2">
        <f t="shared" si="28"/>
        <v>0</v>
      </c>
      <c r="AO1056" s="2">
        <f t="shared" si="29"/>
      </c>
      <c r="AP1056" s="2">
        <f t="shared" si="30"/>
      </c>
      <c r="AQ1056" s="2">
        <f t="shared" si="31"/>
      </c>
    </row>
    <row r="1057">
      <c r="A1057" s="43">
        <f t="shared" si="3"/>
      </c>
      <c r="B1057" s="44" t="n"/>
      <c r="C1057" s="45" t="n"/>
      <c r="D1057" s="46" t="n"/>
      <c r="E1057" s="47" t="n"/>
      <c r="F1057" s="47" t="n"/>
      <c r="G1057" s="48">
        <f t="shared" si="4"/>
      </c>
      <c r="H1057" s="43">
        <f t="shared" si="0"/>
      </c>
      <c r="I1057" s="43">
        <f t="shared" si="5"/>
      </c>
      <c r="J1057" s="43">
        <f t="shared" si="1"/>
      </c>
      <c r="K1057" s="49">
        <f t="shared" si="2"/>
      </c>
      <c r="L1057" s="45" t="n"/>
      <c r="M1057" s="45" t="n"/>
      <c r="N1057" s="45" t="n"/>
      <c r="O1057" s="45" t="n"/>
      <c r="P1057" s="50" t="n"/>
      <c r="R1057" s="2">
        <f t="shared" si="6"/>
        <v>0</v>
      </c>
      <c r="S1057" s="2">
        <f t="shared" si="7"/>
      </c>
      <c r="T1057" s="2">
        <f t="shared" si="8"/>
      </c>
      <c r="U1057" s="2">
        <f t="shared" si="9"/>
      </c>
      <c r="V1057" s="2">
        <f t="shared" si="10"/>
      </c>
      <c r="W1057" s="2">
        <f t="shared" si="11"/>
      </c>
      <c r="X1057" s="2">
        <f t="shared" si="12"/>
      </c>
      <c r="Y1057" s="2">
        <f t="shared" si="13"/>
        <v>0</v>
      </c>
      <c r="Z1057" s="2">
        <f t="shared" si="14"/>
      </c>
      <c r="AA1057" s="2">
        <f t="shared" si="15"/>
        <v>0</v>
      </c>
      <c r="AB1057" s="2">
        <f t="shared" si="16"/>
      </c>
      <c r="AC1057" s="2">
        <f t="shared" si="17"/>
      </c>
      <c r="AD1057" s="2">
        <f t="shared" si="18"/>
      </c>
      <c r="AE1057" s="2">
        <f t="shared" si="19"/>
      </c>
      <c r="AF1057" s="2">
        <f t="shared" si="20"/>
      </c>
      <c r="AG1057" s="2">
        <f t="shared" si="21"/>
      </c>
      <c r="AH1057" s="2">
        <f t="shared" si="22"/>
      </c>
      <c r="AI1057" s="2">
        <f t="shared" si="23"/>
      </c>
      <c r="AJ1057" s="2">
        <f t="shared" si="24"/>
        <v>0</v>
      </c>
      <c r="AK1057" s="2">
        <f t="shared" si="25"/>
        <v>0</v>
      </c>
      <c r="AL1057" s="2">
        <f t="shared" si="26"/>
        <v>0</v>
      </c>
      <c r="AM1057" s="2">
        <f t="shared" si="27"/>
        <v>0</v>
      </c>
      <c r="AN1057" s="2">
        <f t="shared" si="28"/>
        <v>0</v>
      </c>
      <c r="AO1057" s="2">
        <f t="shared" si="29"/>
      </c>
      <c r="AP1057" s="2">
        <f t="shared" si="30"/>
      </c>
      <c r="AQ1057" s="2">
        <f t="shared" si="31"/>
      </c>
    </row>
    <row r="1058">
      <c r="A1058" s="43">
        <f t="shared" si="3"/>
      </c>
      <c r="B1058" s="44" t="n"/>
      <c r="C1058" s="45" t="n"/>
      <c r="D1058" s="46" t="n"/>
      <c r="E1058" s="47" t="n"/>
      <c r="F1058" s="47" t="n"/>
      <c r="G1058" s="48">
        <f t="shared" si="4"/>
      </c>
      <c r="H1058" s="43">
        <f t="shared" si="0"/>
      </c>
      <c r="I1058" s="43">
        <f t="shared" si="5"/>
      </c>
      <c r="J1058" s="43">
        <f t="shared" si="1"/>
      </c>
      <c r="K1058" s="49">
        <f t="shared" si="2"/>
      </c>
      <c r="L1058" s="45" t="n"/>
      <c r="M1058" s="45" t="n"/>
      <c r="N1058" s="45" t="n"/>
      <c r="O1058" s="45" t="n"/>
      <c r="P1058" s="50" t="n"/>
      <c r="R1058" s="2">
        <f t="shared" si="6"/>
        <v>0</v>
      </c>
      <c r="S1058" s="2">
        <f t="shared" si="7"/>
      </c>
      <c r="T1058" s="2">
        <f t="shared" si="8"/>
      </c>
      <c r="U1058" s="2">
        <f t="shared" si="9"/>
      </c>
      <c r="V1058" s="2">
        <f t="shared" si="10"/>
      </c>
      <c r="W1058" s="2">
        <f t="shared" si="11"/>
      </c>
      <c r="X1058" s="2">
        <f t="shared" si="12"/>
      </c>
      <c r="Y1058" s="2">
        <f t="shared" si="13"/>
        <v>0</v>
      </c>
      <c r="Z1058" s="2">
        <f t="shared" si="14"/>
      </c>
      <c r="AA1058" s="2">
        <f t="shared" si="15"/>
        <v>0</v>
      </c>
      <c r="AB1058" s="2">
        <f t="shared" si="16"/>
      </c>
      <c r="AC1058" s="2">
        <f t="shared" si="17"/>
      </c>
      <c r="AD1058" s="2">
        <f t="shared" si="18"/>
      </c>
      <c r="AE1058" s="2">
        <f t="shared" si="19"/>
      </c>
      <c r="AF1058" s="2">
        <f t="shared" si="20"/>
      </c>
      <c r="AG1058" s="2">
        <f t="shared" si="21"/>
      </c>
      <c r="AH1058" s="2">
        <f t="shared" si="22"/>
      </c>
      <c r="AI1058" s="2">
        <f t="shared" si="23"/>
      </c>
      <c r="AJ1058" s="2">
        <f t="shared" si="24"/>
        <v>0</v>
      </c>
      <c r="AK1058" s="2">
        <f t="shared" si="25"/>
        <v>0</v>
      </c>
      <c r="AL1058" s="2">
        <f t="shared" si="26"/>
        <v>0</v>
      </c>
      <c r="AM1058" s="2">
        <f t="shared" si="27"/>
        <v>0</v>
      </c>
      <c r="AN1058" s="2">
        <f t="shared" si="28"/>
        <v>0</v>
      </c>
      <c r="AO1058" s="2">
        <f t="shared" si="29"/>
      </c>
      <c r="AP1058" s="2">
        <f t="shared" si="30"/>
      </c>
      <c r="AQ1058" s="2">
        <f t="shared" si="31"/>
      </c>
    </row>
    <row r="1059">
      <c r="A1059" s="43">
        <f t="shared" si="3"/>
      </c>
      <c r="B1059" s="44" t="n"/>
      <c r="C1059" s="45" t="n"/>
      <c r="D1059" s="46" t="n"/>
      <c r="E1059" s="47" t="n"/>
      <c r="F1059" s="47" t="n"/>
      <c r="G1059" s="48">
        <f t="shared" si="4"/>
      </c>
      <c r="H1059" s="43">
        <f t="shared" si="0"/>
      </c>
      <c r="I1059" s="43">
        <f t="shared" si="5"/>
      </c>
      <c r="J1059" s="43">
        <f t="shared" si="1"/>
      </c>
      <c r="K1059" s="49">
        <f t="shared" si="2"/>
      </c>
      <c r="L1059" s="45" t="n"/>
      <c r="M1059" s="45" t="n"/>
      <c r="N1059" s="45" t="n"/>
      <c r="O1059" s="45" t="n"/>
      <c r="P1059" s="50" t="n"/>
      <c r="R1059" s="2">
        <f t="shared" si="6"/>
        <v>0</v>
      </c>
      <c r="S1059" s="2">
        <f t="shared" si="7"/>
      </c>
      <c r="T1059" s="2">
        <f t="shared" si="8"/>
      </c>
      <c r="U1059" s="2">
        <f t="shared" si="9"/>
      </c>
      <c r="V1059" s="2">
        <f t="shared" si="10"/>
      </c>
      <c r="W1059" s="2">
        <f t="shared" si="11"/>
      </c>
      <c r="X1059" s="2">
        <f t="shared" si="12"/>
      </c>
      <c r="Y1059" s="2">
        <f t="shared" si="13"/>
        <v>0</v>
      </c>
      <c r="Z1059" s="2">
        <f t="shared" si="14"/>
      </c>
      <c r="AA1059" s="2">
        <f t="shared" si="15"/>
        <v>0</v>
      </c>
      <c r="AB1059" s="2">
        <f t="shared" si="16"/>
      </c>
      <c r="AC1059" s="2">
        <f t="shared" si="17"/>
      </c>
      <c r="AD1059" s="2">
        <f t="shared" si="18"/>
      </c>
      <c r="AE1059" s="2">
        <f t="shared" si="19"/>
      </c>
      <c r="AF1059" s="2">
        <f t="shared" si="20"/>
      </c>
      <c r="AG1059" s="2">
        <f t="shared" si="21"/>
      </c>
      <c r="AH1059" s="2">
        <f t="shared" si="22"/>
      </c>
      <c r="AI1059" s="2">
        <f t="shared" si="23"/>
      </c>
      <c r="AJ1059" s="2">
        <f t="shared" si="24"/>
        <v>0</v>
      </c>
      <c r="AK1059" s="2">
        <f t="shared" si="25"/>
        <v>0</v>
      </c>
      <c r="AL1059" s="2">
        <f t="shared" si="26"/>
        <v>0</v>
      </c>
      <c r="AM1059" s="2">
        <f t="shared" si="27"/>
        <v>0</v>
      </c>
      <c r="AN1059" s="2">
        <f t="shared" si="28"/>
        <v>0</v>
      </c>
      <c r="AO1059" s="2">
        <f t="shared" si="29"/>
      </c>
      <c r="AP1059" s="2">
        <f t="shared" si="30"/>
      </c>
      <c r="AQ1059" s="2">
        <f t="shared" si="31"/>
      </c>
    </row>
    <row r="1060">
      <c r="A1060" s="43">
        <f t="shared" si="3"/>
      </c>
      <c r="B1060" s="44" t="n"/>
      <c r="C1060" s="45" t="n"/>
      <c r="D1060" s="46" t="n"/>
      <c r="E1060" s="47" t="n"/>
      <c r="F1060" s="47" t="n"/>
      <c r="G1060" s="48">
        <f t="shared" si="4"/>
      </c>
      <c r="H1060" s="43">
        <f t="shared" si="0"/>
      </c>
      <c r="I1060" s="43">
        <f t="shared" si="5"/>
      </c>
      <c r="J1060" s="43">
        <f t="shared" si="1"/>
      </c>
      <c r="K1060" s="49">
        <f t="shared" si="2"/>
      </c>
      <c r="L1060" s="45" t="n"/>
      <c r="M1060" s="45" t="n"/>
      <c r="N1060" s="45" t="n"/>
      <c r="O1060" s="45" t="n"/>
      <c r="P1060" s="50" t="n"/>
      <c r="R1060" s="2">
        <f t="shared" si="6"/>
        <v>0</v>
      </c>
      <c r="S1060" s="2">
        <f t="shared" si="7"/>
      </c>
      <c r="T1060" s="2">
        <f t="shared" si="8"/>
      </c>
      <c r="U1060" s="2">
        <f t="shared" si="9"/>
      </c>
      <c r="V1060" s="2">
        <f t="shared" si="10"/>
      </c>
      <c r="W1060" s="2">
        <f t="shared" si="11"/>
      </c>
      <c r="X1060" s="2">
        <f t="shared" si="12"/>
      </c>
      <c r="Y1060" s="2">
        <f t="shared" si="13"/>
        <v>0</v>
      </c>
      <c r="Z1060" s="2">
        <f t="shared" si="14"/>
      </c>
      <c r="AA1060" s="2">
        <f t="shared" si="15"/>
        <v>0</v>
      </c>
      <c r="AB1060" s="2">
        <f t="shared" si="16"/>
      </c>
      <c r="AC1060" s="2">
        <f t="shared" si="17"/>
      </c>
      <c r="AD1060" s="2">
        <f t="shared" si="18"/>
      </c>
      <c r="AE1060" s="2">
        <f t="shared" si="19"/>
      </c>
      <c r="AF1060" s="2">
        <f t="shared" si="20"/>
      </c>
      <c r="AG1060" s="2">
        <f t="shared" si="21"/>
      </c>
      <c r="AH1060" s="2">
        <f t="shared" si="22"/>
      </c>
      <c r="AI1060" s="2">
        <f t="shared" si="23"/>
      </c>
      <c r="AJ1060" s="2">
        <f t="shared" si="24"/>
        <v>0</v>
      </c>
      <c r="AK1060" s="2">
        <f t="shared" si="25"/>
        <v>0</v>
      </c>
      <c r="AL1060" s="2">
        <f t="shared" si="26"/>
        <v>0</v>
      </c>
      <c r="AM1060" s="2">
        <f t="shared" si="27"/>
        <v>0</v>
      </c>
      <c r="AN1060" s="2">
        <f t="shared" si="28"/>
        <v>0</v>
      </c>
      <c r="AO1060" s="2">
        <f t="shared" si="29"/>
      </c>
      <c r="AP1060" s="2">
        <f t="shared" si="30"/>
      </c>
      <c r="AQ1060" s="2">
        <f t="shared" si="31"/>
      </c>
    </row>
    <row r="1061">
      <c r="A1061" s="43">
        <f t="shared" si="3"/>
      </c>
      <c r="B1061" s="44" t="n"/>
      <c r="C1061" s="45" t="n"/>
      <c r="D1061" s="46" t="n"/>
      <c r="E1061" s="47" t="n"/>
      <c r="F1061" s="47" t="n"/>
      <c r="G1061" s="48">
        <f t="shared" si="4"/>
      </c>
      <c r="H1061" s="43">
        <f t="shared" si="0"/>
      </c>
      <c r="I1061" s="43">
        <f t="shared" si="5"/>
      </c>
      <c r="J1061" s="43">
        <f t="shared" si="1"/>
      </c>
      <c r="K1061" s="49">
        <f t="shared" si="2"/>
      </c>
      <c r="L1061" s="45" t="n"/>
      <c r="M1061" s="45" t="n"/>
      <c r="N1061" s="45" t="n"/>
      <c r="O1061" s="45" t="n"/>
      <c r="P1061" s="50" t="n"/>
      <c r="R1061" s="2">
        <f t="shared" si="6"/>
        <v>0</v>
      </c>
      <c r="S1061" s="2">
        <f t="shared" si="7"/>
      </c>
      <c r="T1061" s="2">
        <f t="shared" si="8"/>
      </c>
      <c r="U1061" s="2">
        <f t="shared" si="9"/>
      </c>
      <c r="V1061" s="2">
        <f t="shared" si="10"/>
      </c>
      <c r="W1061" s="2">
        <f t="shared" si="11"/>
      </c>
      <c r="X1061" s="2">
        <f t="shared" si="12"/>
      </c>
      <c r="Y1061" s="2">
        <f t="shared" si="13"/>
        <v>0</v>
      </c>
      <c r="Z1061" s="2">
        <f t="shared" si="14"/>
      </c>
      <c r="AA1061" s="2">
        <f t="shared" si="15"/>
        <v>0</v>
      </c>
      <c r="AB1061" s="2">
        <f t="shared" si="16"/>
      </c>
      <c r="AC1061" s="2">
        <f t="shared" si="17"/>
      </c>
      <c r="AD1061" s="2">
        <f t="shared" si="18"/>
      </c>
      <c r="AE1061" s="2">
        <f t="shared" si="19"/>
      </c>
      <c r="AF1061" s="2">
        <f t="shared" si="20"/>
      </c>
      <c r="AG1061" s="2">
        <f t="shared" si="21"/>
      </c>
      <c r="AH1061" s="2">
        <f t="shared" si="22"/>
      </c>
      <c r="AI1061" s="2">
        <f t="shared" si="23"/>
      </c>
      <c r="AJ1061" s="2">
        <f t="shared" si="24"/>
        <v>0</v>
      </c>
      <c r="AK1061" s="2">
        <f t="shared" si="25"/>
        <v>0</v>
      </c>
      <c r="AL1061" s="2">
        <f t="shared" si="26"/>
        <v>0</v>
      </c>
      <c r="AM1061" s="2">
        <f t="shared" si="27"/>
        <v>0</v>
      </c>
      <c r="AN1061" s="2">
        <f t="shared" si="28"/>
        <v>0</v>
      </c>
      <c r="AO1061" s="2">
        <f t="shared" si="29"/>
      </c>
      <c r="AP1061" s="2">
        <f t="shared" si="30"/>
      </c>
      <c r="AQ1061" s="2">
        <f t="shared" si="31"/>
      </c>
    </row>
    <row r="1062">
      <c r="A1062" s="43">
        <f t="shared" si="3"/>
      </c>
      <c r="B1062" s="44" t="n"/>
      <c r="C1062" s="45" t="n"/>
      <c r="D1062" s="46" t="n"/>
      <c r="E1062" s="47" t="n"/>
      <c r="F1062" s="47" t="n"/>
      <c r="G1062" s="48">
        <f t="shared" si="4"/>
      </c>
      <c r="H1062" s="43">
        <f t="shared" si="0"/>
      </c>
      <c r="I1062" s="43">
        <f t="shared" si="5"/>
      </c>
      <c r="J1062" s="43">
        <f t="shared" si="1"/>
      </c>
      <c r="K1062" s="49">
        <f t="shared" si="2"/>
      </c>
      <c r="L1062" s="45" t="n"/>
      <c r="M1062" s="45" t="n"/>
      <c r="N1062" s="45" t="n"/>
      <c r="O1062" s="45" t="n"/>
      <c r="P1062" s="50" t="n"/>
      <c r="R1062" s="2">
        <f t="shared" si="6"/>
        <v>0</v>
      </c>
      <c r="S1062" s="2">
        <f t="shared" si="7"/>
      </c>
      <c r="T1062" s="2">
        <f t="shared" si="8"/>
      </c>
      <c r="U1062" s="2">
        <f t="shared" si="9"/>
      </c>
      <c r="V1062" s="2">
        <f t="shared" si="10"/>
      </c>
      <c r="W1062" s="2">
        <f t="shared" si="11"/>
      </c>
      <c r="X1062" s="2">
        <f t="shared" si="12"/>
      </c>
      <c r="Y1062" s="2">
        <f t="shared" si="13"/>
        <v>0</v>
      </c>
      <c r="Z1062" s="2">
        <f t="shared" si="14"/>
      </c>
      <c r="AA1062" s="2">
        <f t="shared" si="15"/>
        <v>0</v>
      </c>
      <c r="AB1062" s="2">
        <f t="shared" si="16"/>
      </c>
      <c r="AC1062" s="2">
        <f t="shared" si="17"/>
      </c>
      <c r="AD1062" s="2">
        <f t="shared" si="18"/>
      </c>
      <c r="AE1062" s="2">
        <f t="shared" si="19"/>
      </c>
      <c r="AF1062" s="2">
        <f t="shared" si="20"/>
      </c>
      <c r="AG1062" s="2">
        <f t="shared" si="21"/>
      </c>
      <c r="AH1062" s="2">
        <f t="shared" si="22"/>
      </c>
      <c r="AI1062" s="2">
        <f t="shared" si="23"/>
      </c>
      <c r="AJ1062" s="2">
        <f t="shared" si="24"/>
        <v>0</v>
      </c>
      <c r="AK1062" s="2">
        <f t="shared" si="25"/>
        <v>0</v>
      </c>
      <c r="AL1062" s="2">
        <f t="shared" si="26"/>
        <v>0</v>
      </c>
      <c r="AM1062" s="2">
        <f t="shared" si="27"/>
        <v>0</v>
      </c>
      <c r="AN1062" s="2">
        <f t="shared" si="28"/>
        <v>0</v>
      </c>
      <c r="AO1062" s="2">
        <f t="shared" si="29"/>
      </c>
      <c r="AP1062" s="2">
        <f t="shared" si="30"/>
      </c>
      <c r="AQ1062" s="2">
        <f t="shared" si="31"/>
      </c>
    </row>
    <row r="1063">
      <c r="A1063" s="43">
        <f t="shared" si="3"/>
      </c>
      <c r="B1063" s="44" t="n"/>
      <c r="C1063" s="45" t="n"/>
      <c r="D1063" s="46" t="n"/>
      <c r="E1063" s="47" t="n"/>
      <c r="F1063" s="47" t="n"/>
      <c r="G1063" s="48">
        <f t="shared" si="4"/>
      </c>
      <c r="H1063" s="43">
        <f t="shared" si="0"/>
      </c>
      <c r="I1063" s="43">
        <f t="shared" si="5"/>
      </c>
      <c r="J1063" s="43">
        <f t="shared" si="1"/>
      </c>
      <c r="K1063" s="49">
        <f t="shared" si="2"/>
      </c>
      <c r="L1063" s="45" t="n"/>
      <c r="M1063" s="45" t="n"/>
      <c r="N1063" s="45" t="n"/>
      <c r="O1063" s="45" t="n"/>
      <c r="P1063" s="50" t="n"/>
      <c r="R1063" s="2">
        <f t="shared" si="6"/>
        <v>0</v>
      </c>
      <c r="S1063" s="2">
        <f t="shared" si="7"/>
      </c>
      <c r="T1063" s="2">
        <f t="shared" si="8"/>
      </c>
      <c r="U1063" s="2">
        <f t="shared" si="9"/>
      </c>
      <c r="V1063" s="2">
        <f t="shared" si="10"/>
      </c>
      <c r="W1063" s="2">
        <f t="shared" si="11"/>
      </c>
      <c r="X1063" s="2">
        <f t="shared" si="12"/>
      </c>
      <c r="Y1063" s="2">
        <f t="shared" si="13"/>
        <v>0</v>
      </c>
      <c r="Z1063" s="2">
        <f t="shared" si="14"/>
      </c>
      <c r="AA1063" s="2">
        <f t="shared" si="15"/>
        <v>0</v>
      </c>
      <c r="AB1063" s="2">
        <f t="shared" si="16"/>
      </c>
      <c r="AC1063" s="2">
        <f t="shared" si="17"/>
      </c>
      <c r="AD1063" s="2">
        <f t="shared" si="18"/>
      </c>
      <c r="AE1063" s="2">
        <f t="shared" si="19"/>
      </c>
      <c r="AF1063" s="2">
        <f t="shared" si="20"/>
      </c>
      <c r="AG1063" s="2">
        <f t="shared" si="21"/>
      </c>
      <c r="AH1063" s="2">
        <f t="shared" si="22"/>
      </c>
      <c r="AI1063" s="2">
        <f t="shared" si="23"/>
      </c>
      <c r="AJ1063" s="2">
        <f t="shared" si="24"/>
        <v>0</v>
      </c>
      <c r="AK1063" s="2">
        <f t="shared" si="25"/>
        <v>0</v>
      </c>
      <c r="AL1063" s="2">
        <f t="shared" si="26"/>
        <v>0</v>
      </c>
      <c r="AM1063" s="2">
        <f t="shared" si="27"/>
        <v>0</v>
      </c>
      <c r="AN1063" s="2">
        <f t="shared" si="28"/>
        <v>0</v>
      </c>
      <c r="AO1063" s="2">
        <f t="shared" si="29"/>
      </c>
      <c r="AP1063" s="2">
        <f t="shared" si="30"/>
      </c>
      <c r="AQ1063" s="2">
        <f t="shared" si="31"/>
      </c>
    </row>
    <row r="1064">
      <c r="A1064" s="43">
        <f t="shared" si="3"/>
      </c>
      <c r="B1064" s="44" t="n"/>
      <c r="C1064" s="45" t="n"/>
      <c r="D1064" s="46" t="n"/>
      <c r="E1064" s="47" t="n"/>
      <c r="F1064" s="47" t="n"/>
      <c r="G1064" s="48">
        <f t="shared" si="4"/>
      </c>
      <c r="H1064" s="43">
        <f t="shared" si="0"/>
      </c>
      <c r="I1064" s="43">
        <f t="shared" si="5"/>
      </c>
      <c r="J1064" s="43">
        <f t="shared" si="1"/>
      </c>
      <c r="K1064" s="49">
        <f t="shared" si="2"/>
      </c>
      <c r="L1064" s="45" t="n"/>
      <c r="M1064" s="45" t="n"/>
      <c r="N1064" s="45" t="n"/>
      <c r="O1064" s="45" t="n"/>
      <c r="P1064" s="50" t="n"/>
      <c r="R1064" s="2">
        <f t="shared" si="6"/>
        <v>0</v>
      </c>
      <c r="S1064" s="2">
        <f t="shared" si="7"/>
      </c>
      <c r="T1064" s="2">
        <f t="shared" si="8"/>
      </c>
      <c r="U1064" s="2">
        <f t="shared" si="9"/>
      </c>
      <c r="V1064" s="2">
        <f t="shared" si="10"/>
      </c>
      <c r="W1064" s="2">
        <f t="shared" si="11"/>
      </c>
      <c r="X1064" s="2">
        <f t="shared" si="12"/>
      </c>
      <c r="Y1064" s="2">
        <f t="shared" si="13"/>
        <v>0</v>
      </c>
      <c r="Z1064" s="2">
        <f t="shared" si="14"/>
      </c>
      <c r="AA1064" s="2">
        <f t="shared" si="15"/>
        <v>0</v>
      </c>
      <c r="AB1064" s="2">
        <f t="shared" si="16"/>
      </c>
      <c r="AC1064" s="2">
        <f t="shared" si="17"/>
      </c>
      <c r="AD1064" s="2">
        <f t="shared" si="18"/>
      </c>
      <c r="AE1064" s="2">
        <f t="shared" si="19"/>
      </c>
      <c r="AF1064" s="2">
        <f t="shared" si="20"/>
      </c>
      <c r="AG1064" s="2">
        <f t="shared" si="21"/>
      </c>
      <c r="AH1064" s="2">
        <f t="shared" si="22"/>
      </c>
      <c r="AI1064" s="2">
        <f t="shared" si="23"/>
      </c>
      <c r="AJ1064" s="2">
        <f t="shared" si="24"/>
        <v>0</v>
      </c>
      <c r="AK1064" s="2">
        <f t="shared" si="25"/>
        <v>0</v>
      </c>
      <c r="AL1064" s="2">
        <f t="shared" si="26"/>
        <v>0</v>
      </c>
      <c r="AM1064" s="2">
        <f t="shared" si="27"/>
        <v>0</v>
      </c>
      <c r="AN1064" s="2">
        <f t="shared" si="28"/>
        <v>0</v>
      </c>
      <c r="AO1064" s="2">
        <f t="shared" si="29"/>
      </c>
      <c r="AP1064" s="2">
        <f t="shared" si="30"/>
      </c>
      <c r="AQ1064" s="2">
        <f t="shared" si="31"/>
      </c>
    </row>
    <row r="1065">
      <c r="A1065" s="43">
        <f t="shared" si="3"/>
      </c>
      <c r="B1065" s="44" t="n"/>
      <c r="C1065" s="45" t="n"/>
      <c r="D1065" s="46" t="n"/>
      <c r="E1065" s="47" t="n"/>
      <c r="F1065" s="47" t="n"/>
      <c r="G1065" s="48">
        <f t="shared" si="4"/>
      </c>
      <c r="H1065" s="43">
        <f t="shared" si="0"/>
      </c>
      <c r="I1065" s="43">
        <f t="shared" si="5"/>
      </c>
      <c r="J1065" s="43">
        <f t="shared" si="1"/>
      </c>
      <c r="K1065" s="49">
        <f t="shared" si="2"/>
      </c>
      <c r="L1065" s="45" t="n"/>
      <c r="M1065" s="45" t="n"/>
      <c r="N1065" s="45" t="n"/>
      <c r="O1065" s="45" t="n"/>
      <c r="P1065" s="50" t="n"/>
      <c r="R1065" s="2">
        <f t="shared" si="6"/>
        <v>0</v>
      </c>
      <c r="S1065" s="2">
        <f t="shared" si="7"/>
      </c>
      <c r="T1065" s="2">
        <f t="shared" si="8"/>
      </c>
      <c r="U1065" s="2">
        <f t="shared" si="9"/>
      </c>
      <c r="V1065" s="2">
        <f t="shared" si="10"/>
      </c>
      <c r="W1065" s="2">
        <f t="shared" si="11"/>
      </c>
      <c r="X1065" s="2">
        <f t="shared" si="12"/>
      </c>
      <c r="Y1065" s="2">
        <f t="shared" si="13"/>
        <v>0</v>
      </c>
      <c r="Z1065" s="2">
        <f t="shared" si="14"/>
      </c>
      <c r="AA1065" s="2">
        <f t="shared" si="15"/>
        <v>0</v>
      </c>
      <c r="AB1065" s="2">
        <f t="shared" si="16"/>
      </c>
      <c r="AC1065" s="2">
        <f t="shared" si="17"/>
      </c>
      <c r="AD1065" s="2">
        <f t="shared" si="18"/>
      </c>
      <c r="AE1065" s="2">
        <f t="shared" si="19"/>
      </c>
      <c r="AF1065" s="2">
        <f t="shared" si="20"/>
      </c>
      <c r="AG1065" s="2">
        <f t="shared" si="21"/>
      </c>
      <c r="AH1065" s="2">
        <f t="shared" si="22"/>
      </c>
      <c r="AI1065" s="2">
        <f t="shared" si="23"/>
      </c>
      <c r="AJ1065" s="2">
        <f t="shared" si="24"/>
        <v>0</v>
      </c>
      <c r="AK1065" s="2">
        <f t="shared" si="25"/>
        <v>0</v>
      </c>
      <c r="AL1065" s="2">
        <f t="shared" si="26"/>
        <v>0</v>
      </c>
      <c r="AM1065" s="2">
        <f t="shared" si="27"/>
        <v>0</v>
      </c>
      <c r="AN1065" s="2">
        <f t="shared" si="28"/>
        <v>0</v>
      </c>
      <c r="AO1065" s="2">
        <f t="shared" si="29"/>
      </c>
      <c r="AP1065" s="2">
        <f t="shared" si="30"/>
      </c>
      <c r="AQ1065" s="2">
        <f t="shared" si="31"/>
      </c>
    </row>
    <row r="1066">
      <c r="A1066" s="43">
        <f t="shared" si="3"/>
      </c>
      <c r="B1066" s="44" t="n"/>
      <c r="C1066" s="45" t="n"/>
      <c r="D1066" s="46" t="n"/>
      <c r="E1066" s="47" t="n"/>
      <c r="F1066" s="47" t="n"/>
      <c r="G1066" s="48">
        <f t="shared" si="4"/>
      </c>
      <c r="H1066" s="43">
        <f t="shared" si="0"/>
      </c>
      <c r="I1066" s="43">
        <f t="shared" si="5"/>
      </c>
      <c r="J1066" s="43">
        <f t="shared" si="1"/>
      </c>
      <c r="K1066" s="49">
        <f t="shared" si="2"/>
      </c>
      <c r="L1066" s="45" t="n"/>
      <c r="M1066" s="45" t="n"/>
      <c r="N1066" s="45" t="n"/>
      <c r="O1066" s="45" t="n"/>
      <c r="P1066" s="50" t="n"/>
      <c r="R1066" s="2">
        <f t="shared" si="6"/>
        <v>0</v>
      </c>
      <c r="S1066" s="2">
        <f t="shared" si="7"/>
      </c>
      <c r="T1066" s="2">
        <f t="shared" si="8"/>
      </c>
      <c r="U1066" s="2">
        <f t="shared" si="9"/>
      </c>
      <c r="V1066" s="2">
        <f t="shared" si="10"/>
      </c>
      <c r="W1066" s="2">
        <f t="shared" si="11"/>
      </c>
      <c r="X1066" s="2">
        <f t="shared" si="12"/>
      </c>
      <c r="Y1066" s="2">
        <f t="shared" si="13"/>
        <v>0</v>
      </c>
      <c r="Z1066" s="2">
        <f t="shared" si="14"/>
      </c>
      <c r="AA1066" s="2">
        <f t="shared" si="15"/>
        <v>0</v>
      </c>
      <c r="AB1066" s="2">
        <f t="shared" si="16"/>
      </c>
      <c r="AC1066" s="2">
        <f t="shared" si="17"/>
      </c>
      <c r="AD1066" s="2">
        <f t="shared" si="18"/>
      </c>
      <c r="AE1066" s="2">
        <f t="shared" si="19"/>
      </c>
      <c r="AF1066" s="2">
        <f t="shared" si="20"/>
      </c>
      <c r="AG1066" s="2">
        <f t="shared" si="21"/>
      </c>
      <c r="AH1066" s="2">
        <f t="shared" si="22"/>
      </c>
      <c r="AI1066" s="2">
        <f t="shared" si="23"/>
      </c>
      <c r="AJ1066" s="2">
        <f t="shared" si="24"/>
        <v>0</v>
      </c>
      <c r="AK1066" s="2">
        <f t="shared" si="25"/>
        <v>0</v>
      </c>
      <c r="AL1066" s="2">
        <f t="shared" si="26"/>
        <v>0</v>
      </c>
      <c r="AM1066" s="2">
        <f t="shared" si="27"/>
        <v>0</v>
      </c>
      <c r="AN1066" s="2">
        <f t="shared" si="28"/>
        <v>0</v>
      </c>
      <c r="AO1066" s="2">
        <f t="shared" si="29"/>
      </c>
      <c r="AP1066" s="2">
        <f t="shared" si="30"/>
      </c>
      <c r="AQ1066" s="2">
        <f t="shared" si="31"/>
      </c>
    </row>
    <row r="1067">
      <c r="A1067" s="43">
        <f t="shared" si="3"/>
      </c>
      <c r="B1067" s="44" t="n"/>
      <c r="C1067" s="45" t="n"/>
      <c r="D1067" s="46" t="n"/>
      <c r="E1067" s="47" t="n"/>
      <c r="F1067" s="47" t="n"/>
      <c r="G1067" s="48">
        <f t="shared" si="4"/>
      </c>
      <c r="H1067" s="43">
        <f t="shared" si="0"/>
      </c>
      <c r="I1067" s="43">
        <f t="shared" si="5"/>
      </c>
      <c r="J1067" s="43">
        <f t="shared" si="1"/>
      </c>
      <c r="K1067" s="49">
        <f t="shared" si="2"/>
      </c>
      <c r="L1067" s="45" t="n"/>
      <c r="M1067" s="45" t="n"/>
      <c r="N1067" s="45" t="n"/>
      <c r="O1067" s="45" t="n"/>
      <c r="P1067" s="50" t="n"/>
      <c r="R1067" s="2">
        <f t="shared" si="6"/>
        <v>0</v>
      </c>
      <c r="S1067" s="2">
        <f t="shared" si="7"/>
      </c>
      <c r="T1067" s="2">
        <f t="shared" si="8"/>
      </c>
      <c r="U1067" s="2">
        <f t="shared" si="9"/>
      </c>
      <c r="V1067" s="2">
        <f t="shared" si="10"/>
      </c>
      <c r="W1067" s="2">
        <f t="shared" si="11"/>
      </c>
      <c r="X1067" s="2">
        <f t="shared" si="12"/>
      </c>
      <c r="Y1067" s="2">
        <f t="shared" si="13"/>
        <v>0</v>
      </c>
      <c r="Z1067" s="2">
        <f t="shared" si="14"/>
      </c>
      <c r="AA1067" s="2">
        <f t="shared" si="15"/>
        <v>0</v>
      </c>
      <c r="AB1067" s="2">
        <f t="shared" si="16"/>
      </c>
      <c r="AC1067" s="2">
        <f t="shared" si="17"/>
      </c>
      <c r="AD1067" s="2">
        <f t="shared" si="18"/>
      </c>
      <c r="AE1067" s="2">
        <f t="shared" si="19"/>
      </c>
      <c r="AF1067" s="2">
        <f t="shared" si="20"/>
      </c>
      <c r="AG1067" s="2">
        <f t="shared" si="21"/>
      </c>
      <c r="AH1067" s="2">
        <f t="shared" si="22"/>
      </c>
      <c r="AI1067" s="2">
        <f t="shared" si="23"/>
      </c>
      <c r="AJ1067" s="2">
        <f t="shared" si="24"/>
        <v>0</v>
      </c>
      <c r="AK1067" s="2">
        <f t="shared" si="25"/>
        <v>0</v>
      </c>
      <c r="AL1067" s="2">
        <f t="shared" si="26"/>
        <v>0</v>
      </c>
      <c r="AM1067" s="2">
        <f t="shared" si="27"/>
        <v>0</v>
      </c>
      <c r="AN1067" s="2">
        <f t="shared" si="28"/>
        <v>0</v>
      </c>
      <c r="AO1067" s="2">
        <f t="shared" si="29"/>
      </c>
      <c r="AP1067" s="2">
        <f t="shared" si="30"/>
      </c>
      <c r="AQ1067" s="2">
        <f t="shared" si="31"/>
      </c>
    </row>
    <row r="1068">
      <c r="A1068" s="43">
        <f t="shared" si="3"/>
      </c>
      <c r="B1068" s="44" t="n"/>
      <c r="C1068" s="45" t="n"/>
      <c r="D1068" s="46" t="n"/>
      <c r="E1068" s="47" t="n"/>
      <c r="F1068" s="47" t="n"/>
      <c r="G1068" s="48">
        <f t="shared" si="4"/>
      </c>
      <c r="H1068" s="43">
        <f t="shared" si="0"/>
      </c>
      <c r="I1068" s="43">
        <f t="shared" si="5"/>
      </c>
      <c r="J1068" s="43">
        <f t="shared" si="1"/>
      </c>
      <c r="K1068" s="49">
        <f t="shared" si="2"/>
      </c>
      <c r="L1068" s="45" t="n"/>
      <c r="M1068" s="45" t="n"/>
      <c r="N1068" s="45" t="n"/>
      <c r="O1068" s="45" t="n"/>
      <c r="P1068" s="50" t="n"/>
      <c r="R1068" s="2">
        <f t="shared" si="6"/>
        <v>0</v>
      </c>
      <c r="S1068" s="2">
        <f t="shared" si="7"/>
      </c>
      <c r="T1068" s="2">
        <f t="shared" si="8"/>
      </c>
      <c r="U1068" s="2">
        <f t="shared" si="9"/>
      </c>
      <c r="V1068" s="2">
        <f t="shared" si="10"/>
      </c>
      <c r="W1068" s="2">
        <f t="shared" si="11"/>
      </c>
      <c r="X1068" s="2">
        <f t="shared" si="12"/>
      </c>
      <c r="Y1068" s="2">
        <f t="shared" si="13"/>
        <v>0</v>
      </c>
      <c r="Z1068" s="2">
        <f t="shared" si="14"/>
      </c>
      <c r="AA1068" s="2">
        <f t="shared" si="15"/>
        <v>0</v>
      </c>
      <c r="AB1068" s="2">
        <f t="shared" si="16"/>
      </c>
      <c r="AC1068" s="2">
        <f t="shared" si="17"/>
      </c>
      <c r="AD1068" s="2">
        <f t="shared" si="18"/>
      </c>
      <c r="AE1068" s="2">
        <f t="shared" si="19"/>
      </c>
      <c r="AF1068" s="2">
        <f t="shared" si="20"/>
      </c>
      <c r="AG1068" s="2">
        <f t="shared" si="21"/>
      </c>
      <c r="AH1068" s="2">
        <f t="shared" si="22"/>
      </c>
      <c r="AI1068" s="2">
        <f t="shared" si="23"/>
      </c>
      <c r="AJ1068" s="2">
        <f t="shared" si="24"/>
        <v>0</v>
      </c>
      <c r="AK1068" s="2">
        <f t="shared" si="25"/>
        <v>0</v>
      </c>
      <c r="AL1068" s="2">
        <f t="shared" si="26"/>
        <v>0</v>
      </c>
      <c r="AM1068" s="2">
        <f t="shared" si="27"/>
        <v>0</v>
      </c>
      <c r="AN1068" s="2">
        <f t="shared" si="28"/>
        <v>0</v>
      </c>
      <c r="AO1068" s="2">
        <f t="shared" si="29"/>
      </c>
      <c r="AP1068" s="2">
        <f t="shared" si="30"/>
      </c>
      <c r="AQ1068" s="2">
        <f t="shared" si="31"/>
      </c>
    </row>
    <row r="1069">
      <c r="A1069" s="43">
        <f t="shared" si="3"/>
      </c>
      <c r="B1069" s="44" t="n"/>
      <c r="C1069" s="45" t="n"/>
      <c r="D1069" s="46" t="n"/>
      <c r="E1069" s="47" t="n"/>
      <c r="F1069" s="47" t="n"/>
      <c r="G1069" s="48">
        <f t="shared" si="4"/>
      </c>
      <c r="H1069" s="43">
        <f t="shared" si="0"/>
      </c>
      <c r="I1069" s="43">
        <f t="shared" si="5"/>
      </c>
      <c r="J1069" s="43">
        <f t="shared" si="1"/>
      </c>
      <c r="K1069" s="49">
        <f t="shared" si="2"/>
      </c>
      <c r="L1069" s="45" t="n"/>
      <c r="M1069" s="45" t="n"/>
      <c r="N1069" s="45" t="n"/>
      <c r="O1069" s="45" t="n"/>
      <c r="P1069" s="50" t="n"/>
      <c r="R1069" s="2">
        <f t="shared" si="6"/>
        <v>0</v>
      </c>
      <c r="S1069" s="2">
        <f t="shared" si="7"/>
      </c>
      <c r="T1069" s="2">
        <f t="shared" si="8"/>
      </c>
      <c r="U1069" s="2">
        <f t="shared" si="9"/>
      </c>
      <c r="V1069" s="2">
        <f t="shared" si="10"/>
      </c>
      <c r="W1069" s="2">
        <f t="shared" si="11"/>
      </c>
      <c r="X1069" s="2">
        <f t="shared" si="12"/>
      </c>
      <c r="Y1069" s="2">
        <f t="shared" si="13"/>
        <v>0</v>
      </c>
      <c r="Z1069" s="2">
        <f t="shared" si="14"/>
      </c>
      <c r="AA1069" s="2">
        <f t="shared" si="15"/>
        <v>0</v>
      </c>
      <c r="AB1069" s="2">
        <f t="shared" si="16"/>
      </c>
      <c r="AC1069" s="2">
        <f t="shared" si="17"/>
      </c>
      <c r="AD1069" s="2">
        <f t="shared" si="18"/>
      </c>
      <c r="AE1069" s="2">
        <f t="shared" si="19"/>
      </c>
      <c r="AF1069" s="2">
        <f t="shared" si="20"/>
      </c>
      <c r="AG1069" s="2">
        <f t="shared" si="21"/>
      </c>
      <c r="AH1069" s="2">
        <f t="shared" si="22"/>
      </c>
      <c r="AI1069" s="2">
        <f t="shared" si="23"/>
      </c>
      <c r="AJ1069" s="2">
        <f t="shared" si="24"/>
        <v>0</v>
      </c>
      <c r="AK1069" s="2">
        <f t="shared" si="25"/>
        <v>0</v>
      </c>
      <c r="AL1069" s="2">
        <f t="shared" si="26"/>
        <v>0</v>
      </c>
      <c r="AM1069" s="2">
        <f t="shared" si="27"/>
        <v>0</v>
      </c>
      <c r="AN1069" s="2">
        <f t="shared" si="28"/>
        <v>0</v>
      </c>
      <c r="AO1069" s="2">
        <f t="shared" si="29"/>
      </c>
      <c r="AP1069" s="2">
        <f t="shared" si="30"/>
      </c>
      <c r="AQ1069" s="2">
        <f t="shared" si="31"/>
      </c>
    </row>
    <row r="1070">
      <c r="A1070" s="43">
        <f t="shared" si="3"/>
      </c>
      <c r="B1070" s="44" t="n"/>
      <c r="C1070" s="45" t="n"/>
      <c r="D1070" s="46" t="n"/>
      <c r="E1070" s="47" t="n"/>
      <c r="F1070" s="47" t="n"/>
      <c r="G1070" s="48">
        <f t="shared" si="4"/>
      </c>
      <c r="H1070" s="43">
        <f t="shared" si="0"/>
      </c>
      <c r="I1070" s="43">
        <f t="shared" si="5"/>
      </c>
      <c r="J1070" s="43">
        <f t="shared" si="1"/>
      </c>
      <c r="K1070" s="49">
        <f t="shared" si="2"/>
      </c>
      <c r="L1070" s="45" t="n"/>
      <c r="M1070" s="45" t="n"/>
      <c r="N1070" s="45" t="n"/>
      <c r="O1070" s="45" t="n"/>
      <c r="P1070" s="50" t="n"/>
      <c r="R1070" s="2">
        <f t="shared" si="6"/>
        <v>0</v>
      </c>
      <c r="S1070" s="2">
        <f t="shared" si="7"/>
      </c>
      <c r="T1070" s="2">
        <f t="shared" si="8"/>
      </c>
      <c r="U1070" s="2">
        <f t="shared" si="9"/>
      </c>
      <c r="V1070" s="2">
        <f t="shared" si="10"/>
      </c>
      <c r="W1070" s="2">
        <f t="shared" si="11"/>
      </c>
      <c r="X1070" s="2">
        <f t="shared" si="12"/>
      </c>
      <c r="Y1070" s="2">
        <f t="shared" si="13"/>
        <v>0</v>
      </c>
      <c r="Z1070" s="2">
        <f t="shared" si="14"/>
      </c>
      <c r="AA1070" s="2">
        <f t="shared" si="15"/>
        <v>0</v>
      </c>
      <c r="AB1070" s="2">
        <f t="shared" si="16"/>
      </c>
      <c r="AC1070" s="2">
        <f t="shared" si="17"/>
      </c>
      <c r="AD1070" s="2">
        <f t="shared" si="18"/>
      </c>
      <c r="AE1070" s="2">
        <f t="shared" si="19"/>
      </c>
      <c r="AF1070" s="2">
        <f t="shared" si="20"/>
      </c>
      <c r="AG1070" s="2">
        <f t="shared" si="21"/>
      </c>
      <c r="AH1070" s="2">
        <f t="shared" si="22"/>
      </c>
      <c r="AI1070" s="2">
        <f t="shared" si="23"/>
      </c>
      <c r="AJ1070" s="2">
        <f t="shared" si="24"/>
        <v>0</v>
      </c>
      <c r="AK1070" s="2">
        <f t="shared" si="25"/>
        <v>0</v>
      </c>
      <c r="AL1070" s="2">
        <f t="shared" si="26"/>
        <v>0</v>
      </c>
      <c r="AM1070" s="2">
        <f t="shared" si="27"/>
        <v>0</v>
      </c>
      <c r="AN1070" s="2">
        <f t="shared" si="28"/>
        <v>0</v>
      </c>
      <c r="AO1070" s="2">
        <f t="shared" si="29"/>
      </c>
      <c r="AP1070" s="2">
        <f t="shared" si="30"/>
      </c>
      <c r="AQ1070" s="2">
        <f t="shared" si="31"/>
      </c>
    </row>
    <row r="1071">
      <c r="A1071" s="43">
        <f t="shared" si="3"/>
      </c>
      <c r="B1071" s="44" t="n"/>
      <c r="C1071" s="45" t="n"/>
      <c r="D1071" s="46" t="n"/>
      <c r="E1071" s="47" t="n"/>
      <c r="F1071" s="47" t="n"/>
      <c r="G1071" s="48">
        <f t="shared" si="4"/>
      </c>
      <c r="H1071" s="43">
        <f t="shared" si="0"/>
      </c>
      <c r="I1071" s="43">
        <f t="shared" si="5"/>
      </c>
      <c r="J1071" s="43">
        <f t="shared" si="1"/>
      </c>
      <c r="K1071" s="49">
        <f t="shared" si="2"/>
      </c>
      <c r="L1071" s="45" t="n"/>
      <c r="M1071" s="45" t="n"/>
      <c r="N1071" s="45" t="n"/>
      <c r="O1071" s="45" t="n"/>
      <c r="P1071" s="50" t="n"/>
      <c r="R1071" s="2">
        <f t="shared" si="6"/>
        <v>0</v>
      </c>
      <c r="S1071" s="2">
        <f t="shared" si="7"/>
      </c>
      <c r="T1071" s="2">
        <f t="shared" si="8"/>
      </c>
      <c r="U1071" s="2">
        <f t="shared" si="9"/>
      </c>
      <c r="V1071" s="2">
        <f t="shared" si="10"/>
      </c>
      <c r="W1071" s="2">
        <f t="shared" si="11"/>
      </c>
      <c r="X1071" s="2">
        <f t="shared" si="12"/>
      </c>
      <c r="Y1071" s="2">
        <f t="shared" si="13"/>
        <v>0</v>
      </c>
      <c r="Z1071" s="2">
        <f t="shared" si="14"/>
      </c>
      <c r="AA1071" s="2">
        <f t="shared" si="15"/>
        <v>0</v>
      </c>
      <c r="AB1071" s="2">
        <f t="shared" si="16"/>
      </c>
      <c r="AC1071" s="2">
        <f t="shared" si="17"/>
      </c>
      <c r="AD1071" s="2">
        <f t="shared" si="18"/>
      </c>
      <c r="AE1071" s="2">
        <f t="shared" si="19"/>
      </c>
      <c r="AF1071" s="2">
        <f t="shared" si="20"/>
      </c>
      <c r="AG1071" s="2">
        <f t="shared" si="21"/>
      </c>
      <c r="AH1071" s="2">
        <f t="shared" si="22"/>
      </c>
      <c r="AI1071" s="2">
        <f t="shared" si="23"/>
      </c>
      <c r="AJ1071" s="2">
        <f t="shared" si="24"/>
        <v>0</v>
      </c>
      <c r="AK1071" s="2">
        <f t="shared" si="25"/>
        <v>0</v>
      </c>
      <c r="AL1071" s="2">
        <f t="shared" si="26"/>
        <v>0</v>
      </c>
      <c r="AM1071" s="2">
        <f t="shared" si="27"/>
        <v>0</v>
      </c>
      <c r="AN1071" s="2">
        <f t="shared" si="28"/>
        <v>0</v>
      </c>
      <c r="AO1071" s="2">
        <f t="shared" si="29"/>
      </c>
      <c r="AP1071" s="2">
        <f t="shared" si="30"/>
      </c>
      <c r="AQ1071" s="2">
        <f t="shared" si="31"/>
      </c>
    </row>
    <row r="1072">
      <c r="A1072" s="43">
        <f t="shared" si="3"/>
      </c>
      <c r="B1072" s="44" t="n"/>
      <c r="C1072" s="45" t="n"/>
      <c r="D1072" s="46" t="n"/>
      <c r="E1072" s="47" t="n"/>
      <c r="F1072" s="47" t="n"/>
      <c r="G1072" s="48">
        <f t="shared" si="4"/>
      </c>
      <c r="H1072" s="43">
        <f t="shared" si="0"/>
      </c>
      <c r="I1072" s="43">
        <f t="shared" si="5"/>
      </c>
      <c r="J1072" s="43">
        <f t="shared" si="1"/>
      </c>
      <c r="K1072" s="49">
        <f t="shared" si="2"/>
      </c>
      <c r="L1072" s="45" t="n"/>
      <c r="M1072" s="45" t="n"/>
      <c r="N1072" s="45" t="n"/>
      <c r="O1072" s="45" t="n"/>
      <c r="P1072" s="50" t="n"/>
      <c r="R1072" s="2">
        <f t="shared" si="6"/>
        <v>0</v>
      </c>
      <c r="S1072" s="2">
        <f t="shared" si="7"/>
      </c>
      <c r="T1072" s="2">
        <f t="shared" si="8"/>
      </c>
      <c r="U1072" s="2">
        <f t="shared" si="9"/>
      </c>
      <c r="V1072" s="2">
        <f t="shared" si="10"/>
      </c>
      <c r="W1072" s="2">
        <f t="shared" si="11"/>
      </c>
      <c r="X1072" s="2">
        <f t="shared" si="12"/>
      </c>
      <c r="Y1072" s="2">
        <f t="shared" si="13"/>
        <v>0</v>
      </c>
      <c r="Z1072" s="2">
        <f t="shared" si="14"/>
      </c>
      <c r="AA1072" s="2">
        <f t="shared" si="15"/>
        <v>0</v>
      </c>
      <c r="AB1072" s="2">
        <f t="shared" si="16"/>
      </c>
      <c r="AC1072" s="2">
        <f t="shared" si="17"/>
      </c>
      <c r="AD1072" s="2">
        <f t="shared" si="18"/>
      </c>
      <c r="AE1072" s="2">
        <f t="shared" si="19"/>
      </c>
      <c r="AF1072" s="2">
        <f t="shared" si="20"/>
      </c>
      <c r="AG1072" s="2">
        <f t="shared" si="21"/>
      </c>
      <c r="AH1072" s="2">
        <f t="shared" si="22"/>
      </c>
      <c r="AI1072" s="2">
        <f t="shared" si="23"/>
      </c>
      <c r="AJ1072" s="2">
        <f t="shared" si="24"/>
        <v>0</v>
      </c>
      <c r="AK1072" s="2">
        <f t="shared" si="25"/>
        <v>0</v>
      </c>
      <c r="AL1072" s="2">
        <f t="shared" si="26"/>
        <v>0</v>
      </c>
      <c r="AM1072" s="2">
        <f t="shared" si="27"/>
        <v>0</v>
      </c>
      <c r="AN1072" s="2">
        <f t="shared" si="28"/>
        <v>0</v>
      </c>
      <c r="AO1072" s="2">
        <f t="shared" si="29"/>
      </c>
      <c r="AP1072" s="2">
        <f t="shared" si="30"/>
      </c>
      <c r="AQ1072" s="2">
        <f t="shared" si="31"/>
      </c>
    </row>
    <row r="1073">
      <c r="A1073" s="43">
        <f t="shared" si="3"/>
      </c>
      <c r="B1073" s="44" t="n"/>
      <c r="C1073" s="45" t="n"/>
      <c r="D1073" s="46" t="n"/>
      <c r="E1073" s="47" t="n"/>
      <c r="F1073" s="47" t="n"/>
      <c r="G1073" s="48">
        <f t="shared" si="4"/>
      </c>
      <c r="H1073" s="43">
        <f t="shared" si="0"/>
      </c>
      <c r="I1073" s="43">
        <f t="shared" si="5"/>
      </c>
      <c r="J1073" s="43">
        <f t="shared" si="1"/>
      </c>
      <c r="K1073" s="49">
        <f t="shared" si="2"/>
      </c>
      <c r="L1073" s="45" t="n"/>
      <c r="M1073" s="45" t="n"/>
      <c r="N1073" s="45" t="n"/>
      <c r="O1073" s="45" t="n"/>
      <c r="P1073" s="50" t="n"/>
      <c r="R1073" s="2">
        <f t="shared" si="6"/>
        <v>0</v>
      </c>
      <c r="S1073" s="2">
        <f t="shared" si="7"/>
      </c>
      <c r="T1073" s="2">
        <f t="shared" si="8"/>
      </c>
      <c r="U1073" s="2">
        <f t="shared" si="9"/>
      </c>
      <c r="V1073" s="2">
        <f t="shared" si="10"/>
      </c>
      <c r="W1073" s="2">
        <f t="shared" si="11"/>
      </c>
      <c r="X1073" s="2">
        <f t="shared" si="12"/>
      </c>
      <c r="Y1073" s="2">
        <f t="shared" si="13"/>
        <v>0</v>
      </c>
      <c r="Z1073" s="2">
        <f t="shared" si="14"/>
      </c>
      <c r="AA1073" s="2">
        <f t="shared" si="15"/>
        <v>0</v>
      </c>
      <c r="AB1073" s="2">
        <f t="shared" si="16"/>
      </c>
      <c r="AC1073" s="2">
        <f t="shared" si="17"/>
      </c>
      <c r="AD1073" s="2">
        <f t="shared" si="18"/>
      </c>
      <c r="AE1073" s="2">
        <f t="shared" si="19"/>
      </c>
      <c r="AF1073" s="2">
        <f t="shared" si="20"/>
      </c>
      <c r="AG1073" s="2">
        <f t="shared" si="21"/>
      </c>
      <c r="AH1073" s="2">
        <f t="shared" si="22"/>
      </c>
      <c r="AI1073" s="2">
        <f t="shared" si="23"/>
      </c>
      <c r="AJ1073" s="2">
        <f t="shared" si="24"/>
        <v>0</v>
      </c>
      <c r="AK1073" s="2">
        <f t="shared" si="25"/>
        <v>0</v>
      </c>
      <c r="AL1073" s="2">
        <f t="shared" si="26"/>
        <v>0</v>
      </c>
      <c r="AM1073" s="2">
        <f t="shared" si="27"/>
        <v>0</v>
      </c>
      <c r="AN1073" s="2">
        <f t="shared" si="28"/>
        <v>0</v>
      </c>
      <c r="AO1073" s="2">
        <f t="shared" si="29"/>
      </c>
      <c r="AP1073" s="2">
        <f t="shared" si="30"/>
      </c>
      <c r="AQ1073" s="2">
        <f t="shared" si="31"/>
      </c>
    </row>
    <row r="1074">
      <c r="A1074" s="43">
        <f t="shared" si="3"/>
      </c>
      <c r="B1074" s="44" t="n"/>
      <c r="C1074" s="45" t="n"/>
      <c r="D1074" s="46" t="n"/>
      <c r="E1074" s="47" t="n"/>
      <c r="F1074" s="47" t="n"/>
      <c r="G1074" s="48">
        <f t="shared" si="4"/>
      </c>
      <c r="H1074" s="43">
        <f t="shared" si="0"/>
      </c>
      <c r="I1074" s="43">
        <f t="shared" si="5"/>
      </c>
      <c r="J1074" s="43">
        <f t="shared" si="1"/>
      </c>
      <c r="K1074" s="49">
        <f t="shared" si="2"/>
      </c>
      <c r="L1074" s="45" t="n"/>
      <c r="M1074" s="45" t="n"/>
      <c r="N1074" s="45" t="n"/>
      <c r="O1074" s="45" t="n"/>
      <c r="P1074" s="50" t="n"/>
      <c r="R1074" s="2">
        <f t="shared" si="6"/>
        <v>0</v>
      </c>
      <c r="S1074" s="2">
        <f t="shared" si="7"/>
      </c>
      <c r="T1074" s="2">
        <f t="shared" si="8"/>
      </c>
      <c r="U1074" s="2">
        <f t="shared" si="9"/>
      </c>
      <c r="V1074" s="2">
        <f t="shared" si="10"/>
      </c>
      <c r="W1074" s="2">
        <f t="shared" si="11"/>
      </c>
      <c r="X1074" s="2">
        <f t="shared" si="12"/>
      </c>
      <c r="Y1074" s="2">
        <f t="shared" si="13"/>
        <v>0</v>
      </c>
      <c r="Z1074" s="2">
        <f t="shared" si="14"/>
      </c>
      <c r="AA1074" s="2">
        <f t="shared" si="15"/>
        <v>0</v>
      </c>
      <c r="AB1074" s="2">
        <f t="shared" si="16"/>
      </c>
      <c r="AC1074" s="2">
        <f t="shared" si="17"/>
      </c>
      <c r="AD1074" s="2">
        <f t="shared" si="18"/>
      </c>
      <c r="AE1074" s="2">
        <f t="shared" si="19"/>
      </c>
      <c r="AF1074" s="2">
        <f t="shared" si="20"/>
      </c>
      <c r="AG1074" s="2">
        <f t="shared" si="21"/>
      </c>
      <c r="AH1074" s="2">
        <f t="shared" si="22"/>
      </c>
      <c r="AI1074" s="2">
        <f t="shared" si="23"/>
      </c>
      <c r="AJ1074" s="2">
        <f t="shared" si="24"/>
        <v>0</v>
      </c>
      <c r="AK1074" s="2">
        <f t="shared" si="25"/>
        <v>0</v>
      </c>
      <c r="AL1074" s="2">
        <f t="shared" si="26"/>
        <v>0</v>
      </c>
      <c r="AM1074" s="2">
        <f t="shared" si="27"/>
        <v>0</v>
      </c>
      <c r="AN1074" s="2">
        <f t="shared" si="28"/>
        <v>0</v>
      </c>
      <c r="AO1074" s="2">
        <f t="shared" si="29"/>
      </c>
      <c r="AP1074" s="2">
        <f t="shared" si="30"/>
      </c>
      <c r="AQ1074" s="2">
        <f t="shared" si="31"/>
      </c>
    </row>
    <row r="1075">
      <c r="A1075" s="43">
        <f t="shared" si="3"/>
      </c>
      <c r="B1075" s="44" t="n"/>
      <c r="C1075" s="45" t="n"/>
      <c r="D1075" s="46" t="n"/>
      <c r="E1075" s="47" t="n"/>
      <c r="F1075" s="47" t="n"/>
      <c r="G1075" s="48">
        <f t="shared" si="4"/>
      </c>
      <c r="H1075" s="43">
        <f t="shared" si="0"/>
      </c>
      <c r="I1075" s="43">
        <f t="shared" si="5"/>
      </c>
      <c r="J1075" s="43">
        <f t="shared" si="1"/>
      </c>
      <c r="K1075" s="49">
        <f t="shared" si="2"/>
      </c>
      <c r="L1075" s="45" t="n"/>
      <c r="M1075" s="45" t="n"/>
      <c r="N1075" s="45" t="n"/>
      <c r="O1075" s="45" t="n"/>
      <c r="P1075" s="50" t="n"/>
      <c r="R1075" s="2">
        <f t="shared" si="6"/>
        <v>0</v>
      </c>
      <c r="S1075" s="2">
        <f t="shared" si="7"/>
      </c>
      <c r="T1075" s="2">
        <f t="shared" si="8"/>
      </c>
      <c r="U1075" s="2">
        <f t="shared" si="9"/>
      </c>
      <c r="V1075" s="2">
        <f t="shared" si="10"/>
      </c>
      <c r="W1075" s="2">
        <f t="shared" si="11"/>
      </c>
      <c r="X1075" s="2">
        <f t="shared" si="12"/>
      </c>
      <c r="Y1075" s="2">
        <f t="shared" si="13"/>
        <v>0</v>
      </c>
      <c r="Z1075" s="2">
        <f t="shared" si="14"/>
      </c>
      <c r="AA1075" s="2">
        <f t="shared" si="15"/>
        <v>0</v>
      </c>
      <c r="AB1075" s="2">
        <f t="shared" si="16"/>
      </c>
      <c r="AC1075" s="2">
        <f t="shared" si="17"/>
      </c>
      <c r="AD1075" s="2">
        <f t="shared" si="18"/>
      </c>
      <c r="AE1075" s="2">
        <f t="shared" si="19"/>
      </c>
      <c r="AF1075" s="2">
        <f t="shared" si="20"/>
      </c>
      <c r="AG1075" s="2">
        <f t="shared" si="21"/>
      </c>
      <c r="AH1075" s="2">
        <f t="shared" si="22"/>
      </c>
      <c r="AI1075" s="2">
        <f t="shared" si="23"/>
      </c>
      <c r="AJ1075" s="2">
        <f t="shared" si="24"/>
        <v>0</v>
      </c>
      <c r="AK1075" s="2">
        <f t="shared" si="25"/>
        <v>0</v>
      </c>
      <c r="AL1075" s="2">
        <f t="shared" si="26"/>
        <v>0</v>
      </c>
      <c r="AM1075" s="2">
        <f t="shared" si="27"/>
        <v>0</v>
      </c>
      <c r="AN1075" s="2">
        <f t="shared" si="28"/>
        <v>0</v>
      </c>
      <c r="AO1075" s="2">
        <f t="shared" si="29"/>
      </c>
      <c r="AP1075" s="2">
        <f t="shared" si="30"/>
      </c>
      <c r="AQ1075" s="2">
        <f t="shared" si="31"/>
      </c>
    </row>
    <row r="1076">
      <c r="A1076" s="43">
        <f t="shared" si="3"/>
      </c>
      <c r="B1076" s="44" t="n"/>
      <c r="C1076" s="45" t="n"/>
      <c r="D1076" s="46" t="n"/>
      <c r="E1076" s="47" t="n"/>
      <c r="F1076" s="47" t="n"/>
      <c r="G1076" s="48">
        <f t="shared" si="4"/>
      </c>
      <c r="H1076" s="43">
        <f t="shared" si="0"/>
      </c>
      <c r="I1076" s="43">
        <f t="shared" si="5"/>
      </c>
      <c r="J1076" s="43">
        <f t="shared" si="1"/>
      </c>
      <c r="K1076" s="49">
        <f t="shared" si="2"/>
      </c>
      <c r="L1076" s="45" t="n"/>
      <c r="M1076" s="45" t="n"/>
      <c r="N1076" s="45" t="n"/>
      <c r="O1076" s="45" t="n"/>
      <c r="P1076" s="50" t="n"/>
      <c r="R1076" s="2">
        <f t="shared" si="6"/>
        <v>0</v>
      </c>
      <c r="S1076" s="2">
        <f t="shared" si="7"/>
      </c>
      <c r="T1076" s="2">
        <f t="shared" si="8"/>
      </c>
      <c r="U1076" s="2">
        <f t="shared" si="9"/>
      </c>
      <c r="V1076" s="2">
        <f t="shared" si="10"/>
      </c>
      <c r="W1076" s="2">
        <f t="shared" si="11"/>
      </c>
      <c r="X1076" s="2">
        <f t="shared" si="12"/>
      </c>
      <c r="Y1076" s="2">
        <f t="shared" si="13"/>
        <v>0</v>
      </c>
      <c r="Z1076" s="2">
        <f t="shared" si="14"/>
      </c>
      <c r="AA1076" s="2">
        <f t="shared" si="15"/>
        <v>0</v>
      </c>
      <c r="AB1076" s="2">
        <f t="shared" si="16"/>
      </c>
      <c r="AC1076" s="2">
        <f t="shared" si="17"/>
      </c>
      <c r="AD1076" s="2">
        <f t="shared" si="18"/>
      </c>
      <c r="AE1076" s="2">
        <f t="shared" si="19"/>
      </c>
      <c r="AF1076" s="2">
        <f t="shared" si="20"/>
      </c>
      <c r="AG1076" s="2">
        <f t="shared" si="21"/>
      </c>
      <c r="AH1076" s="2">
        <f t="shared" si="22"/>
      </c>
      <c r="AI1076" s="2">
        <f t="shared" si="23"/>
      </c>
      <c r="AJ1076" s="2">
        <f t="shared" si="24"/>
        <v>0</v>
      </c>
      <c r="AK1076" s="2">
        <f t="shared" si="25"/>
        <v>0</v>
      </c>
      <c r="AL1076" s="2">
        <f t="shared" si="26"/>
        <v>0</v>
      </c>
      <c r="AM1076" s="2">
        <f t="shared" si="27"/>
        <v>0</v>
      </c>
      <c r="AN1076" s="2">
        <f t="shared" si="28"/>
        <v>0</v>
      </c>
      <c r="AO1076" s="2">
        <f t="shared" si="29"/>
      </c>
      <c r="AP1076" s="2">
        <f t="shared" si="30"/>
      </c>
      <c r="AQ1076" s="2">
        <f t="shared" si="31"/>
      </c>
    </row>
    <row r="1077">
      <c r="A1077" s="43">
        <f t="shared" si="3"/>
      </c>
      <c r="B1077" s="44" t="n"/>
      <c r="C1077" s="45" t="n"/>
      <c r="D1077" s="46" t="n"/>
      <c r="E1077" s="47" t="n"/>
      <c r="F1077" s="47" t="n"/>
      <c r="G1077" s="48">
        <f t="shared" si="4"/>
      </c>
      <c r="H1077" s="43">
        <f t="shared" si="0"/>
      </c>
      <c r="I1077" s="43">
        <f t="shared" si="5"/>
      </c>
      <c r="J1077" s="43">
        <f t="shared" si="1"/>
      </c>
      <c r="K1077" s="49">
        <f t="shared" si="2"/>
      </c>
      <c r="L1077" s="45" t="n"/>
      <c r="M1077" s="45" t="n"/>
      <c r="N1077" s="45" t="n"/>
      <c r="O1077" s="45" t="n"/>
      <c r="P1077" s="50" t="n"/>
      <c r="R1077" s="2">
        <f t="shared" si="6"/>
        <v>0</v>
      </c>
      <c r="S1077" s="2">
        <f t="shared" si="7"/>
      </c>
      <c r="T1077" s="2">
        <f t="shared" si="8"/>
      </c>
      <c r="U1077" s="2">
        <f t="shared" si="9"/>
      </c>
      <c r="V1077" s="2">
        <f t="shared" si="10"/>
      </c>
      <c r="W1077" s="2">
        <f t="shared" si="11"/>
      </c>
      <c r="X1077" s="2">
        <f t="shared" si="12"/>
      </c>
      <c r="Y1077" s="2">
        <f t="shared" si="13"/>
        <v>0</v>
      </c>
      <c r="Z1077" s="2">
        <f t="shared" si="14"/>
      </c>
      <c r="AA1077" s="2">
        <f t="shared" si="15"/>
        <v>0</v>
      </c>
      <c r="AB1077" s="2">
        <f t="shared" si="16"/>
      </c>
      <c r="AC1077" s="2">
        <f t="shared" si="17"/>
      </c>
      <c r="AD1077" s="2">
        <f t="shared" si="18"/>
      </c>
      <c r="AE1077" s="2">
        <f t="shared" si="19"/>
      </c>
      <c r="AF1077" s="2">
        <f t="shared" si="20"/>
      </c>
      <c r="AG1077" s="2">
        <f t="shared" si="21"/>
      </c>
      <c r="AH1077" s="2">
        <f t="shared" si="22"/>
      </c>
      <c r="AI1077" s="2">
        <f t="shared" si="23"/>
      </c>
      <c r="AJ1077" s="2">
        <f t="shared" si="24"/>
        <v>0</v>
      </c>
      <c r="AK1077" s="2">
        <f t="shared" si="25"/>
        <v>0</v>
      </c>
      <c r="AL1077" s="2">
        <f t="shared" si="26"/>
        <v>0</v>
      </c>
      <c r="AM1077" s="2">
        <f t="shared" si="27"/>
        <v>0</v>
      </c>
      <c r="AN1077" s="2">
        <f t="shared" si="28"/>
        <v>0</v>
      </c>
      <c r="AO1077" s="2">
        <f t="shared" si="29"/>
      </c>
      <c r="AP1077" s="2">
        <f t="shared" si="30"/>
      </c>
      <c r="AQ1077" s="2">
        <f t="shared" si="31"/>
      </c>
    </row>
    <row r="1078">
      <c r="A1078" s="43">
        <f t="shared" si="3"/>
      </c>
      <c r="B1078" s="44" t="n"/>
      <c r="C1078" s="45" t="n"/>
      <c r="D1078" s="46" t="n"/>
      <c r="E1078" s="47" t="n"/>
      <c r="F1078" s="47" t="n"/>
      <c r="G1078" s="48">
        <f t="shared" si="4"/>
      </c>
      <c r="H1078" s="43">
        <f t="shared" si="0"/>
      </c>
      <c r="I1078" s="43">
        <f t="shared" si="5"/>
      </c>
      <c r="J1078" s="43">
        <f t="shared" si="1"/>
      </c>
      <c r="K1078" s="49">
        <f t="shared" si="2"/>
      </c>
      <c r="L1078" s="45" t="n"/>
      <c r="M1078" s="45" t="n"/>
      <c r="N1078" s="45" t="n"/>
      <c r="O1078" s="45" t="n"/>
      <c r="P1078" s="50" t="n"/>
      <c r="R1078" s="2">
        <f t="shared" si="6"/>
        <v>0</v>
      </c>
      <c r="S1078" s="2">
        <f t="shared" si="7"/>
      </c>
      <c r="T1078" s="2">
        <f t="shared" si="8"/>
      </c>
      <c r="U1078" s="2">
        <f t="shared" si="9"/>
      </c>
      <c r="V1078" s="2">
        <f t="shared" si="10"/>
      </c>
      <c r="W1078" s="2">
        <f t="shared" si="11"/>
      </c>
      <c r="X1078" s="2">
        <f t="shared" si="12"/>
      </c>
      <c r="Y1078" s="2">
        <f t="shared" si="13"/>
        <v>0</v>
      </c>
      <c r="Z1078" s="2">
        <f t="shared" si="14"/>
      </c>
      <c r="AA1078" s="2">
        <f t="shared" si="15"/>
        <v>0</v>
      </c>
      <c r="AB1078" s="2">
        <f t="shared" si="16"/>
      </c>
      <c r="AC1078" s="2">
        <f t="shared" si="17"/>
      </c>
      <c r="AD1078" s="2">
        <f t="shared" si="18"/>
      </c>
      <c r="AE1078" s="2">
        <f t="shared" si="19"/>
      </c>
      <c r="AF1078" s="2">
        <f t="shared" si="20"/>
      </c>
      <c r="AG1078" s="2">
        <f t="shared" si="21"/>
      </c>
      <c r="AH1078" s="2">
        <f t="shared" si="22"/>
      </c>
      <c r="AI1078" s="2">
        <f t="shared" si="23"/>
      </c>
      <c r="AJ1078" s="2">
        <f t="shared" si="24"/>
        <v>0</v>
      </c>
      <c r="AK1078" s="2">
        <f t="shared" si="25"/>
        <v>0</v>
      </c>
      <c r="AL1078" s="2">
        <f t="shared" si="26"/>
        <v>0</v>
      </c>
      <c r="AM1078" s="2">
        <f t="shared" si="27"/>
        <v>0</v>
      </c>
      <c r="AN1078" s="2">
        <f t="shared" si="28"/>
        <v>0</v>
      </c>
      <c r="AO1078" s="2">
        <f t="shared" si="29"/>
      </c>
      <c r="AP1078" s="2">
        <f t="shared" si="30"/>
      </c>
      <c r="AQ1078" s="2">
        <f t="shared" si="31"/>
      </c>
    </row>
    <row r="1079">
      <c r="A1079" s="43">
        <f t="shared" si="3"/>
      </c>
      <c r="B1079" s="44" t="n"/>
      <c r="C1079" s="45" t="n"/>
      <c r="D1079" s="46" t="n"/>
      <c r="E1079" s="47" t="n"/>
      <c r="F1079" s="47" t="n"/>
      <c r="G1079" s="48">
        <f t="shared" si="4"/>
      </c>
      <c r="H1079" s="43">
        <f t="shared" si="0"/>
      </c>
      <c r="I1079" s="43">
        <f t="shared" si="5"/>
      </c>
      <c r="J1079" s="43">
        <f t="shared" si="1"/>
      </c>
      <c r="K1079" s="49">
        <f t="shared" si="2"/>
      </c>
      <c r="L1079" s="45" t="n"/>
      <c r="M1079" s="45" t="n"/>
      <c r="N1079" s="45" t="n"/>
      <c r="O1079" s="45" t="n"/>
      <c r="P1079" s="50" t="n"/>
      <c r="R1079" s="2">
        <f t="shared" si="6"/>
        <v>0</v>
      </c>
      <c r="S1079" s="2">
        <f t="shared" si="7"/>
      </c>
      <c r="T1079" s="2">
        <f t="shared" si="8"/>
      </c>
      <c r="U1079" s="2">
        <f t="shared" si="9"/>
      </c>
      <c r="V1079" s="2">
        <f t="shared" si="10"/>
      </c>
      <c r="W1079" s="2">
        <f t="shared" si="11"/>
      </c>
      <c r="X1079" s="2">
        <f t="shared" si="12"/>
      </c>
      <c r="Y1079" s="2">
        <f t="shared" si="13"/>
        <v>0</v>
      </c>
      <c r="Z1079" s="2">
        <f t="shared" si="14"/>
      </c>
      <c r="AA1079" s="2">
        <f t="shared" si="15"/>
        <v>0</v>
      </c>
      <c r="AB1079" s="2">
        <f t="shared" si="16"/>
      </c>
      <c r="AC1079" s="2">
        <f t="shared" si="17"/>
      </c>
      <c r="AD1079" s="2">
        <f t="shared" si="18"/>
      </c>
      <c r="AE1079" s="2">
        <f t="shared" si="19"/>
      </c>
      <c r="AF1079" s="2">
        <f t="shared" si="20"/>
      </c>
      <c r="AG1079" s="2">
        <f t="shared" si="21"/>
      </c>
      <c r="AH1079" s="2">
        <f t="shared" si="22"/>
      </c>
      <c r="AI1079" s="2">
        <f t="shared" si="23"/>
      </c>
      <c r="AJ1079" s="2">
        <f t="shared" si="24"/>
        <v>0</v>
      </c>
      <c r="AK1079" s="2">
        <f t="shared" si="25"/>
        <v>0</v>
      </c>
      <c r="AL1079" s="2">
        <f t="shared" si="26"/>
        <v>0</v>
      </c>
      <c r="AM1079" s="2">
        <f t="shared" si="27"/>
        <v>0</v>
      </c>
      <c r="AN1079" s="2">
        <f t="shared" si="28"/>
        <v>0</v>
      </c>
      <c r="AO1079" s="2">
        <f t="shared" si="29"/>
      </c>
      <c r="AP1079" s="2">
        <f t="shared" si="30"/>
      </c>
      <c r="AQ1079" s="2">
        <f t="shared" si="31"/>
      </c>
    </row>
    <row r="1080">
      <c r="A1080" s="43">
        <f t="shared" si="3"/>
      </c>
      <c r="B1080" s="44" t="n"/>
      <c r="C1080" s="45" t="n"/>
      <c r="D1080" s="46" t="n"/>
      <c r="E1080" s="47" t="n"/>
      <c r="F1080" s="47" t="n"/>
      <c r="G1080" s="48">
        <f t="shared" si="4"/>
      </c>
      <c r="H1080" s="43">
        <f t="shared" si="0"/>
      </c>
      <c r="I1080" s="43">
        <f t="shared" si="5"/>
      </c>
      <c r="J1080" s="43">
        <f t="shared" si="1"/>
      </c>
      <c r="K1080" s="49">
        <f t="shared" si="2"/>
      </c>
      <c r="L1080" s="45" t="n"/>
      <c r="M1080" s="45" t="n"/>
      <c r="N1080" s="45" t="n"/>
      <c r="O1080" s="45" t="n"/>
      <c r="P1080" s="50" t="n"/>
      <c r="R1080" s="2">
        <f t="shared" si="6"/>
        <v>0</v>
      </c>
      <c r="S1080" s="2">
        <f t="shared" si="7"/>
      </c>
      <c r="T1080" s="2">
        <f t="shared" si="8"/>
      </c>
      <c r="U1080" s="2">
        <f t="shared" si="9"/>
      </c>
      <c r="V1080" s="2">
        <f t="shared" si="10"/>
      </c>
      <c r="W1080" s="2">
        <f t="shared" si="11"/>
      </c>
      <c r="X1080" s="2">
        <f t="shared" si="12"/>
      </c>
      <c r="Y1080" s="2">
        <f t="shared" si="13"/>
        <v>0</v>
      </c>
      <c r="Z1080" s="2">
        <f t="shared" si="14"/>
      </c>
      <c r="AA1080" s="2">
        <f t="shared" si="15"/>
        <v>0</v>
      </c>
      <c r="AB1080" s="2">
        <f t="shared" si="16"/>
      </c>
      <c r="AC1080" s="2">
        <f t="shared" si="17"/>
      </c>
      <c r="AD1080" s="2">
        <f t="shared" si="18"/>
      </c>
      <c r="AE1080" s="2">
        <f t="shared" si="19"/>
      </c>
      <c r="AF1080" s="2">
        <f t="shared" si="20"/>
      </c>
      <c r="AG1080" s="2">
        <f t="shared" si="21"/>
      </c>
      <c r="AH1080" s="2">
        <f t="shared" si="22"/>
      </c>
      <c r="AI1080" s="2">
        <f t="shared" si="23"/>
      </c>
      <c r="AJ1080" s="2">
        <f t="shared" si="24"/>
        <v>0</v>
      </c>
      <c r="AK1080" s="2">
        <f t="shared" si="25"/>
        <v>0</v>
      </c>
      <c r="AL1080" s="2">
        <f t="shared" si="26"/>
        <v>0</v>
      </c>
      <c r="AM1080" s="2">
        <f t="shared" si="27"/>
        <v>0</v>
      </c>
      <c r="AN1080" s="2">
        <f t="shared" si="28"/>
        <v>0</v>
      </c>
      <c r="AO1080" s="2">
        <f t="shared" si="29"/>
      </c>
      <c r="AP1080" s="2">
        <f t="shared" si="30"/>
      </c>
      <c r="AQ1080" s="2">
        <f t="shared" si="31"/>
      </c>
    </row>
    <row r="1081">
      <c r="A1081" s="43">
        <f t="shared" si="3"/>
      </c>
      <c r="B1081" s="44" t="n"/>
      <c r="C1081" s="45" t="n"/>
      <c r="D1081" s="46" t="n"/>
      <c r="E1081" s="47" t="n"/>
      <c r="F1081" s="47" t="n"/>
      <c r="G1081" s="48">
        <f t="shared" si="4"/>
      </c>
      <c r="H1081" s="43">
        <f t="shared" si="0"/>
      </c>
      <c r="I1081" s="43">
        <f t="shared" si="5"/>
      </c>
      <c r="J1081" s="43">
        <f t="shared" si="1"/>
      </c>
      <c r="K1081" s="49">
        <f t="shared" si="2"/>
      </c>
      <c r="L1081" s="45" t="n"/>
      <c r="M1081" s="45" t="n"/>
      <c r="N1081" s="45" t="n"/>
      <c r="O1081" s="45" t="n"/>
      <c r="P1081" s="50" t="n"/>
      <c r="R1081" s="2">
        <f t="shared" si="6"/>
        <v>0</v>
      </c>
      <c r="S1081" s="2">
        <f t="shared" si="7"/>
      </c>
      <c r="T1081" s="2">
        <f t="shared" si="8"/>
      </c>
      <c r="U1081" s="2">
        <f t="shared" si="9"/>
      </c>
      <c r="V1081" s="2">
        <f t="shared" si="10"/>
      </c>
      <c r="W1081" s="2">
        <f t="shared" si="11"/>
      </c>
      <c r="X1081" s="2">
        <f t="shared" si="12"/>
      </c>
      <c r="Y1081" s="2">
        <f t="shared" si="13"/>
        <v>0</v>
      </c>
      <c r="Z1081" s="2">
        <f t="shared" si="14"/>
      </c>
      <c r="AA1081" s="2">
        <f t="shared" si="15"/>
        <v>0</v>
      </c>
      <c r="AB1081" s="2">
        <f t="shared" si="16"/>
      </c>
      <c r="AC1081" s="2">
        <f t="shared" si="17"/>
      </c>
      <c r="AD1081" s="2">
        <f t="shared" si="18"/>
      </c>
      <c r="AE1081" s="2">
        <f t="shared" si="19"/>
      </c>
      <c r="AF1081" s="2">
        <f t="shared" si="20"/>
      </c>
      <c r="AG1081" s="2">
        <f t="shared" si="21"/>
      </c>
      <c r="AH1081" s="2">
        <f t="shared" si="22"/>
      </c>
      <c r="AI1081" s="2">
        <f t="shared" si="23"/>
      </c>
      <c r="AJ1081" s="2">
        <f t="shared" si="24"/>
        <v>0</v>
      </c>
      <c r="AK1081" s="2">
        <f t="shared" si="25"/>
        <v>0</v>
      </c>
      <c r="AL1081" s="2">
        <f t="shared" si="26"/>
        <v>0</v>
      </c>
      <c r="AM1081" s="2">
        <f t="shared" si="27"/>
        <v>0</v>
      </c>
      <c r="AN1081" s="2">
        <f t="shared" si="28"/>
        <v>0</v>
      </c>
      <c r="AO1081" s="2">
        <f t="shared" si="29"/>
      </c>
      <c r="AP1081" s="2">
        <f t="shared" si="30"/>
      </c>
      <c r="AQ1081" s="2">
        <f t="shared" si="31"/>
      </c>
    </row>
    <row r="1082">
      <c r="A1082" s="43">
        <f t="shared" si="3"/>
      </c>
      <c r="B1082" s="44" t="n"/>
      <c r="C1082" s="45" t="n"/>
      <c r="D1082" s="46" t="n"/>
      <c r="E1082" s="47" t="n"/>
      <c r="F1082" s="47" t="n"/>
      <c r="G1082" s="48">
        <f t="shared" si="4"/>
      </c>
      <c r="H1082" s="43">
        <f t="shared" si="0"/>
      </c>
      <c r="I1082" s="43">
        <f t="shared" si="5"/>
      </c>
      <c r="J1082" s="43">
        <f t="shared" si="1"/>
      </c>
      <c r="K1082" s="49">
        <f t="shared" si="2"/>
      </c>
      <c r="L1082" s="45" t="n"/>
      <c r="M1082" s="45" t="n"/>
      <c r="N1082" s="45" t="n"/>
      <c r="O1082" s="45" t="n"/>
      <c r="P1082" s="50" t="n"/>
      <c r="R1082" s="2">
        <f t="shared" si="6"/>
        <v>0</v>
      </c>
      <c r="S1082" s="2">
        <f t="shared" si="7"/>
      </c>
      <c r="T1082" s="2">
        <f t="shared" si="8"/>
      </c>
      <c r="U1082" s="2">
        <f t="shared" si="9"/>
      </c>
      <c r="V1082" s="2">
        <f t="shared" si="10"/>
      </c>
      <c r="W1082" s="2">
        <f t="shared" si="11"/>
      </c>
      <c r="X1082" s="2">
        <f t="shared" si="12"/>
      </c>
      <c r="Y1082" s="2">
        <f t="shared" si="13"/>
        <v>0</v>
      </c>
      <c r="Z1082" s="2">
        <f t="shared" si="14"/>
      </c>
      <c r="AA1082" s="2">
        <f t="shared" si="15"/>
        <v>0</v>
      </c>
      <c r="AB1082" s="2">
        <f t="shared" si="16"/>
      </c>
      <c r="AC1082" s="2">
        <f t="shared" si="17"/>
      </c>
      <c r="AD1082" s="2">
        <f t="shared" si="18"/>
      </c>
      <c r="AE1082" s="2">
        <f t="shared" si="19"/>
      </c>
      <c r="AF1082" s="2">
        <f t="shared" si="20"/>
      </c>
      <c r="AG1082" s="2">
        <f t="shared" si="21"/>
      </c>
      <c r="AH1082" s="2">
        <f t="shared" si="22"/>
      </c>
      <c r="AI1082" s="2">
        <f t="shared" si="23"/>
      </c>
      <c r="AJ1082" s="2">
        <f t="shared" si="24"/>
        <v>0</v>
      </c>
      <c r="AK1082" s="2">
        <f t="shared" si="25"/>
        <v>0</v>
      </c>
      <c r="AL1082" s="2">
        <f t="shared" si="26"/>
        <v>0</v>
      </c>
      <c r="AM1082" s="2">
        <f t="shared" si="27"/>
        <v>0</v>
      </c>
      <c r="AN1082" s="2">
        <f t="shared" si="28"/>
        <v>0</v>
      </c>
      <c r="AO1082" s="2">
        <f t="shared" si="29"/>
      </c>
      <c r="AP1082" s="2">
        <f t="shared" si="30"/>
      </c>
      <c r="AQ1082" s="2">
        <f t="shared" si="31"/>
      </c>
    </row>
    <row r="1083">
      <c r="A1083" s="43">
        <f t="shared" si="3"/>
      </c>
      <c r="B1083" s="44" t="n"/>
      <c r="C1083" s="45" t="n"/>
      <c r="D1083" s="46" t="n"/>
      <c r="E1083" s="47" t="n"/>
      <c r="F1083" s="47" t="n"/>
      <c r="G1083" s="48">
        <f t="shared" si="4"/>
      </c>
      <c r="H1083" s="43">
        <f t="shared" si="0"/>
      </c>
      <c r="I1083" s="43">
        <f t="shared" si="5"/>
      </c>
      <c r="J1083" s="43">
        <f t="shared" si="1"/>
      </c>
      <c r="K1083" s="49">
        <f t="shared" si="2"/>
      </c>
      <c r="L1083" s="45" t="n"/>
      <c r="M1083" s="45" t="n"/>
      <c r="N1083" s="45" t="n"/>
      <c r="O1083" s="45" t="n"/>
      <c r="P1083" s="50" t="n"/>
      <c r="R1083" s="2">
        <f t="shared" si="6"/>
        <v>0</v>
      </c>
      <c r="S1083" s="2">
        <f t="shared" si="7"/>
      </c>
      <c r="T1083" s="2">
        <f t="shared" si="8"/>
      </c>
      <c r="U1083" s="2">
        <f t="shared" si="9"/>
      </c>
      <c r="V1083" s="2">
        <f t="shared" si="10"/>
      </c>
      <c r="W1083" s="2">
        <f t="shared" si="11"/>
      </c>
      <c r="X1083" s="2">
        <f t="shared" si="12"/>
      </c>
      <c r="Y1083" s="2">
        <f t="shared" si="13"/>
        <v>0</v>
      </c>
      <c r="Z1083" s="2">
        <f t="shared" si="14"/>
      </c>
      <c r="AA1083" s="2">
        <f t="shared" si="15"/>
        <v>0</v>
      </c>
      <c r="AB1083" s="2">
        <f t="shared" si="16"/>
      </c>
      <c r="AC1083" s="2">
        <f t="shared" si="17"/>
      </c>
      <c r="AD1083" s="2">
        <f t="shared" si="18"/>
      </c>
      <c r="AE1083" s="2">
        <f t="shared" si="19"/>
      </c>
      <c r="AF1083" s="2">
        <f t="shared" si="20"/>
      </c>
      <c r="AG1083" s="2">
        <f t="shared" si="21"/>
      </c>
      <c r="AH1083" s="2">
        <f t="shared" si="22"/>
      </c>
      <c r="AI1083" s="2">
        <f t="shared" si="23"/>
      </c>
      <c r="AJ1083" s="2">
        <f t="shared" si="24"/>
        <v>0</v>
      </c>
      <c r="AK1083" s="2">
        <f t="shared" si="25"/>
        <v>0</v>
      </c>
      <c r="AL1083" s="2">
        <f t="shared" si="26"/>
        <v>0</v>
      </c>
      <c r="AM1083" s="2">
        <f t="shared" si="27"/>
        <v>0</v>
      </c>
      <c r="AN1083" s="2">
        <f t="shared" si="28"/>
        <v>0</v>
      </c>
      <c r="AO1083" s="2">
        <f t="shared" si="29"/>
      </c>
      <c r="AP1083" s="2">
        <f t="shared" si="30"/>
      </c>
      <c r="AQ1083" s="2">
        <f t="shared" si="31"/>
      </c>
    </row>
    <row r="1084">
      <c r="A1084" s="43">
        <f t="shared" si="3"/>
      </c>
      <c r="B1084" s="44" t="n"/>
      <c r="C1084" s="45" t="n"/>
      <c r="D1084" s="46" t="n"/>
      <c r="E1084" s="47" t="n"/>
      <c r="F1084" s="47" t="n"/>
      <c r="G1084" s="48">
        <f t="shared" si="4"/>
      </c>
      <c r="H1084" s="43">
        <f t="shared" si="0"/>
      </c>
      <c r="I1084" s="43">
        <f t="shared" si="5"/>
      </c>
      <c r="J1084" s="43">
        <f t="shared" si="1"/>
      </c>
      <c r="K1084" s="49">
        <f t="shared" si="2"/>
      </c>
      <c r="L1084" s="45" t="n"/>
      <c r="M1084" s="45" t="n"/>
      <c r="N1084" s="45" t="n"/>
      <c r="O1084" s="45" t="n"/>
      <c r="P1084" s="50" t="n"/>
      <c r="R1084" s="2">
        <f t="shared" si="6"/>
        <v>0</v>
      </c>
      <c r="S1084" s="2">
        <f t="shared" si="7"/>
      </c>
      <c r="T1084" s="2">
        <f t="shared" si="8"/>
      </c>
      <c r="U1084" s="2">
        <f t="shared" si="9"/>
      </c>
      <c r="V1084" s="2">
        <f t="shared" si="10"/>
      </c>
      <c r="W1084" s="2">
        <f t="shared" si="11"/>
      </c>
      <c r="X1084" s="2">
        <f t="shared" si="12"/>
      </c>
      <c r="Y1084" s="2">
        <f t="shared" si="13"/>
        <v>0</v>
      </c>
      <c r="Z1084" s="2">
        <f t="shared" si="14"/>
      </c>
      <c r="AA1084" s="2">
        <f t="shared" si="15"/>
        <v>0</v>
      </c>
      <c r="AB1084" s="2">
        <f t="shared" si="16"/>
      </c>
      <c r="AC1084" s="2">
        <f t="shared" si="17"/>
      </c>
      <c r="AD1084" s="2">
        <f t="shared" si="18"/>
      </c>
      <c r="AE1084" s="2">
        <f t="shared" si="19"/>
      </c>
      <c r="AF1084" s="2">
        <f t="shared" si="20"/>
      </c>
      <c r="AG1084" s="2">
        <f t="shared" si="21"/>
      </c>
      <c r="AH1084" s="2">
        <f t="shared" si="22"/>
      </c>
      <c r="AI1084" s="2">
        <f t="shared" si="23"/>
      </c>
      <c r="AJ1084" s="2">
        <f t="shared" si="24"/>
        <v>0</v>
      </c>
      <c r="AK1084" s="2">
        <f t="shared" si="25"/>
        <v>0</v>
      </c>
      <c r="AL1084" s="2">
        <f t="shared" si="26"/>
        <v>0</v>
      </c>
      <c r="AM1084" s="2">
        <f t="shared" si="27"/>
        <v>0</v>
      </c>
      <c r="AN1084" s="2">
        <f t="shared" si="28"/>
        <v>0</v>
      </c>
      <c r="AO1084" s="2">
        <f t="shared" si="29"/>
      </c>
      <c r="AP1084" s="2">
        <f t="shared" si="30"/>
      </c>
      <c r="AQ1084" s="2">
        <f t="shared" si="31"/>
      </c>
    </row>
    <row r="1085">
      <c r="A1085" s="43">
        <f t="shared" si="3"/>
      </c>
      <c r="B1085" s="44" t="n"/>
      <c r="C1085" s="45" t="n"/>
      <c r="D1085" s="46" t="n"/>
      <c r="E1085" s="47" t="n"/>
      <c r="F1085" s="47" t="n"/>
      <c r="G1085" s="48">
        <f t="shared" si="4"/>
      </c>
      <c r="H1085" s="43">
        <f t="shared" si="0"/>
      </c>
      <c r="I1085" s="43">
        <f t="shared" si="5"/>
      </c>
      <c r="J1085" s="43">
        <f t="shared" si="1"/>
      </c>
      <c r="K1085" s="49">
        <f t="shared" si="2"/>
      </c>
      <c r="L1085" s="45" t="n"/>
      <c r="M1085" s="45" t="n"/>
      <c r="N1085" s="45" t="n"/>
      <c r="O1085" s="45" t="n"/>
      <c r="P1085" s="50" t="n"/>
      <c r="R1085" s="2">
        <f t="shared" si="6"/>
        <v>0</v>
      </c>
      <c r="S1085" s="2">
        <f t="shared" si="7"/>
      </c>
      <c r="T1085" s="2">
        <f t="shared" si="8"/>
      </c>
      <c r="U1085" s="2">
        <f t="shared" si="9"/>
      </c>
      <c r="V1085" s="2">
        <f t="shared" si="10"/>
      </c>
      <c r="W1085" s="2">
        <f t="shared" si="11"/>
      </c>
      <c r="X1085" s="2">
        <f t="shared" si="12"/>
      </c>
      <c r="Y1085" s="2">
        <f t="shared" si="13"/>
        <v>0</v>
      </c>
      <c r="Z1085" s="2">
        <f t="shared" si="14"/>
      </c>
      <c r="AA1085" s="2">
        <f t="shared" si="15"/>
        <v>0</v>
      </c>
      <c r="AB1085" s="2">
        <f t="shared" si="16"/>
      </c>
      <c r="AC1085" s="2">
        <f t="shared" si="17"/>
      </c>
      <c r="AD1085" s="2">
        <f t="shared" si="18"/>
      </c>
      <c r="AE1085" s="2">
        <f t="shared" si="19"/>
      </c>
      <c r="AF1085" s="2">
        <f t="shared" si="20"/>
      </c>
      <c r="AG1085" s="2">
        <f t="shared" si="21"/>
      </c>
      <c r="AH1085" s="2">
        <f t="shared" si="22"/>
      </c>
      <c r="AI1085" s="2">
        <f t="shared" si="23"/>
      </c>
      <c r="AJ1085" s="2">
        <f t="shared" si="24"/>
        <v>0</v>
      </c>
      <c r="AK1085" s="2">
        <f t="shared" si="25"/>
        <v>0</v>
      </c>
      <c r="AL1085" s="2">
        <f t="shared" si="26"/>
        <v>0</v>
      </c>
      <c r="AM1085" s="2">
        <f t="shared" si="27"/>
        <v>0</v>
      </c>
      <c r="AN1085" s="2">
        <f t="shared" si="28"/>
        <v>0</v>
      </c>
      <c r="AO1085" s="2">
        <f t="shared" si="29"/>
      </c>
      <c r="AP1085" s="2">
        <f t="shared" si="30"/>
      </c>
      <c r="AQ1085" s="2">
        <f t="shared" si="31"/>
      </c>
    </row>
    <row r="1086">
      <c r="A1086" s="43">
        <f t="shared" si="3"/>
      </c>
      <c r="B1086" s="44" t="n"/>
      <c r="C1086" s="45" t="n"/>
      <c r="D1086" s="46" t="n"/>
      <c r="E1086" s="47" t="n"/>
      <c r="F1086" s="47" t="n"/>
      <c r="G1086" s="48">
        <f t="shared" si="4"/>
      </c>
      <c r="H1086" s="43">
        <f t="shared" si="0"/>
      </c>
      <c r="I1086" s="43">
        <f t="shared" si="5"/>
      </c>
      <c r="J1086" s="43">
        <f t="shared" si="1"/>
      </c>
      <c r="K1086" s="49">
        <f t="shared" si="2"/>
      </c>
      <c r="L1086" s="45" t="n"/>
      <c r="M1086" s="45" t="n"/>
      <c r="N1086" s="45" t="n"/>
      <c r="O1086" s="45" t="n"/>
      <c r="P1086" s="50" t="n"/>
      <c r="R1086" s="2">
        <f t="shared" si="6"/>
        <v>0</v>
      </c>
      <c r="S1086" s="2">
        <f t="shared" si="7"/>
      </c>
      <c r="T1086" s="2">
        <f t="shared" si="8"/>
      </c>
      <c r="U1086" s="2">
        <f t="shared" si="9"/>
      </c>
      <c r="V1086" s="2">
        <f t="shared" si="10"/>
      </c>
      <c r="W1086" s="2">
        <f t="shared" si="11"/>
      </c>
      <c r="X1086" s="2">
        <f t="shared" si="12"/>
      </c>
      <c r="Y1086" s="2">
        <f t="shared" si="13"/>
        <v>0</v>
      </c>
      <c r="Z1086" s="2">
        <f t="shared" si="14"/>
      </c>
      <c r="AA1086" s="2">
        <f t="shared" si="15"/>
        <v>0</v>
      </c>
      <c r="AB1086" s="2">
        <f t="shared" si="16"/>
      </c>
      <c r="AC1086" s="2">
        <f t="shared" si="17"/>
      </c>
      <c r="AD1086" s="2">
        <f t="shared" si="18"/>
      </c>
      <c r="AE1086" s="2">
        <f t="shared" si="19"/>
      </c>
      <c r="AF1086" s="2">
        <f t="shared" si="20"/>
      </c>
      <c r="AG1086" s="2">
        <f t="shared" si="21"/>
      </c>
      <c r="AH1086" s="2">
        <f t="shared" si="22"/>
      </c>
      <c r="AI1086" s="2">
        <f t="shared" si="23"/>
      </c>
      <c r="AJ1086" s="2">
        <f t="shared" si="24"/>
        <v>0</v>
      </c>
      <c r="AK1086" s="2">
        <f t="shared" si="25"/>
        <v>0</v>
      </c>
      <c r="AL1086" s="2">
        <f t="shared" si="26"/>
        <v>0</v>
      </c>
      <c r="AM1086" s="2">
        <f t="shared" si="27"/>
        <v>0</v>
      </c>
      <c r="AN1086" s="2">
        <f t="shared" si="28"/>
        <v>0</v>
      </c>
      <c r="AO1086" s="2">
        <f t="shared" si="29"/>
      </c>
      <c r="AP1086" s="2">
        <f t="shared" si="30"/>
      </c>
      <c r="AQ1086" s="2">
        <f t="shared" si="31"/>
      </c>
    </row>
    <row r="1087">
      <c r="A1087" s="43">
        <f t="shared" si="3"/>
      </c>
      <c r="B1087" s="44" t="n"/>
      <c r="C1087" s="45" t="n"/>
      <c r="D1087" s="46" t="n"/>
      <c r="E1087" s="47" t="n"/>
      <c r="F1087" s="47" t="n"/>
      <c r="G1087" s="48">
        <f t="shared" si="4"/>
      </c>
      <c r="H1087" s="43">
        <f t="shared" si="0"/>
      </c>
      <c r="I1087" s="43">
        <f t="shared" si="5"/>
      </c>
      <c r="J1087" s="43">
        <f t="shared" si="1"/>
      </c>
      <c r="K1087" s="49">
        <f t="shared" si="2"/>
      </c>
      <c r="L1087" s="45" t="n"/>
      <c r="M1087" s="45" t="n"/>
      <c r="N1087" s="45" t="n"/>
      <c r="O1087" s="45" t="n"/>
      <c r="P1087" s="50" t="n"/>
      <c r="R1087" s="2">
        <f t="shared" si="6"/>
        <v>0</v>
      </c>
      <c r="S1087" s="2">
        <f t="shared" si="7"/>
      </c>
      <c r="T1087" s="2">
        <f t="shared" si="8"/>
      </c>
      <c r="U1087" s="2">
        <f t="shared" si="9"/>
      </c>
      <c r="V1087" s="2">
        <f t="shared" si="10"/>
      </c>
      <c r="W1087" s="2">
        <f t="shared" si="11"/>
      </c>
      <c r="X1087" s="2">
        <f t="shared" si="12"/>
      </c>
      <c r="Y1087" s="2">
        <f t="shared" si="13"/>
        <v>0</v>
      </c>
      <c r="Z1087" s="2">
        <f t="shared" si="14"/>
      </c>
      <c r="AA1087" s="2">
        <f t="shared" si="15"/>
        <v>0</v>
      </c>
      <c r="AB1087" s="2">
        <f t="shared" si="16"/>
      </c>
      <c r="AC1087" s="2">
        <f t="shared" si="17"/>
      </c>
      <c r="AD1087" s="2">
        <f t="shared" si="18"/>
      </c>
      <c r="AE1087" s="2">
        <f t="shared" si="19"/>
      </c>
      <c r="AF1087" s="2">
        <f t="shared" si="20"/>
      </c>
      <c r="AG1087" s="2">
        <f t="shared" si="21"/>
      </c>
      <c r="AH1087" s="2">
        <f t="shared" si="22"/>
      </c>
      <c r="AI1087" s="2">
        <f t="shared" si="23"/>
      </c>
      <c r="AJ1087" s="2">
        <f t="shared" si="24"/>
        <v>0</v>
      </c>
      <c r="AK1087" s="2">
        <f t="shared" si="25"/>
        <v>0</v>
      </c>
      <c r="AL1087" s="2">
        <f t="shared" si="26"/>
        <v>0</v>
      </c>
      <c r="AM1087" s="2">
        <f t="shared" si="27"/>
        <v>0</v>
      </c>
      <c r="AN1087" s="2">
        <f t="shared" si="28"/>
        <v>0</v>
      </c>
      <c r="AO1087" s="2">
        <f t="shared" si="29"/>
      </c>
      <c r="AP1087" s="2">
        <f t="shared" si="30"/>
      </c>
      <c r="AQ1087" s="2">
        <f t="shared" si="31"/>
      </c>
    </row>
    <row r="1088">
      <c r="A1088" s="43">
        <f t="shared" si="3"/>
      </c>
      <c r="B1088" s="44" t="n"/>
      <c r="C1088" s="45" t="n"/>
      <c r="D1088" s="46" t="n"/>
      <c r="E1088" s="47" t="n"/>
      <c r="F1088" s="47" t="n"/>
      <c r="G1088" s="48">
        <f t="shared" si="4"/>
      </c>
      <c r="H1088" s="43">
        <f t="shared" si="0"/>
      </c>
      <c r="I1088" s="43">
        <f t="shared" si="5"/>
      </c>
      <c r="J1088" s="43">
        <f t="shared" si="1"/>
      </c>
      <c r="K1088" s="49">
        <f t="shared" si="2"/>
      </c>
      <c r="L1088" s="45" t="n"/>
      <c r="M1088" s="45" t="n"/>
      <c r="N1088" s="45" t="n"/>
      <c r="O1088" s="45" t="n"/>
      <c r="P1088" s="50" t="n"/>
      <c r="R1088" s="2">
        <f t="shared" si="6"/>
        <v>0</v>
      </c>
      <c r="S1088" s="2">
        <f t="shared" si="7"/>
      </c>
      <c r="T1088" s="2">
        <f t="shared" si="8"/>
      </c>
      <c r="U1088" s="2">
        <f t="shared" si="9"/>
      </c>
      <c r="V1088" s="2">
        <f t="shared" si="10"/>
      </c>
      <c r="W1088" s="2">
        <f t="shared" si="11"/>
      </c>
      <c r="X1088" s="2">
        <f t="shared" si="12"/>
      </c>
      <c r="Y1088" s="2">
        <f t="shared" si="13"/>
        <v>0</v>
      </c>
      <c r="Z1088" s="2">
        <f t="shared" si="14"/>
      </c>
      <c r="AA1088" s="2">
        <f t="shared" si="15"/>
        <v>0</v>
      </c>
      <c r="AB1088" s="2">
        <f t="shared" si="16"/>
      </c>
      <c r="AC1088" s="2">
        <f t="shared" si="17"/>
      </c>
      <c r="AD1088" s="2">
        <f t="shared" si="18"/>
      </c>
      <c r="AE1088" s="2">
        <f t="shared" si="19"/>
      </c>
      <c r="AF1088" s="2">
        <f t="shared" si="20"/>
      </c>
      <c r="AG1088" s="2">
        <f t="shared" si="21"/>
      </c>
      <c r="AH1088" s="2">
        <f t="shared" si="22"/>
      </c>
      <c r="AI1088" s="2">
        <f t="shared" si="23"/>
      </c>
      <c r="AJ1088" s="2">
        <f t="shared" si="24"/>
        <v>0</v>
      </c>
      <c r="AK1088" s="2">
        <f t="shared" si="25"/>
        <v>0</v>
      </c>
      <c r="AL1088" s="2">
        <f t="shared" si="26"/>
        <v>0</v>
      </c>
      <c r="AM1088" s="2">
        <f t="shared" si="27"/>
        <v>0</v>
      </c>
      <c r="AN1088" s="2">
        <f t="shared" si="28"/>
        <v>0</v>
      </c>
      <c r="AO1088" s="2">
        <f t="shared" si="29"/>
      </c>
      <c r="AP1088" s="2">
        <f t="shared" si="30"/>
      </c>
      <c r="AQ1088" s="2">
        <f t="shared" si="31"/>
      </c>
    </row>
    <row r="1089">
      <c r="A1089" s="43">
        <f t="shared" si="3"/>
      </c>
      <c r="B1089" s="44" t="n"/>
      <c r="C1089" s="45" t="n"/>
      <c r="D1089" s="46" t="n"/>
      <c r="E1089" s="47" t="n"/>
      <c r="F1089" s="47" t="n"/>
      <c r="G1089" s="48">
        <f t="shared" si="4"/>
      </c>
      <c r="H1089" s="43">
        <f t="shared" si="0"/>
      </c>
      <c r="I1089" s="43">
        <f t="shared" si="5"/>
      </c>
      <c r="J1089" s="43">
        <f t="shared" si="1"/>
      </c>
      <c r="K1089" s="49">
        <f t="shared" si="2"/>
      </c>
      <c r="L1089" s="45" t="n"/>
      <c r="M1089" s="45" t="n"/>
      <c r="N1089" s="45" t="n"/>
      <c r="O1089" s="45" t="n"/>
      <c r="P1089" s="50" t="n"/>
      <c r="R1089" s="2">
        <f t="shared" si="6"/>
        <v>0</v>
      </c>
      <c r="S1089" s="2">
        <f t="shared" si="7"/>
      </c>
      <c r="T1089" s="2">
        <f t="shared" si="8"/>
      </c>
      <c r="U1089" s="2">
        <f t="shared" si="9"/>
      </c>
      <c r="V1089" s="2">
        <f t="shared" si="10"/>
      </c>
      <c r="W1089" s="2">
        <f t="shared" si="11"/>
      </c>
      <c r="X1089" s="2">
        <f t="shared" si="12"/>
      </c>
      <c r="Y1089" s="2">
        <f t="shared" si="13"/>
        <v>0</v>
      </c>
      <c r="Z1089" s="2">
        <f t="shared" si="14"/>
      </c>
      <c r="AA1089" s="2">
        <f t="shared" si="15"/>
        <v>0</v>
      </c>
      <c r="AB1089" s="2">
        <f t="shared" si="16"/>
      </c>
      <c r="AC1089" s="2">
        <f t="shared" si="17"/>
      </c>
      <c r="AD1089" s="2">
        <f t="shared" si="18"/>
      </c>
      <c r="AE1089" s="2">
        <f t="shared" si="19"/>
      </c>
      <c r="AF1089" s="2">
        <f t="shared" si="20"/>
      </c>
      <c r="AG1089" s="2">
        <f t="shared" si="21"/>
      </c>
      <c r="AH1089" s="2">
        <f t="shared" si="22"/>
      </c>
      <c r="AI1089" s="2">
        <f t="shared" si="23"/>
      </c>
      <c r="AJ1089" s="2">
        <f t="shared" si="24"/>
        <v>0</v>
      </c>
      <c r="AK1089" s="2">
        <f t="shared" si="25"/>
        <v>0</v>
      </c>
      <c r="AL1089" s="2">
        <f t="shared" si="26"/>
        <v>0</v>
      </c>
      <c r="AM1089" s="2">
        <f t="shared" si="27"/>
        <v>0</v>
      </c>
      <c r="AN1089" s="2">
        <f t="shared" si="28"/>
        <v>0</v>
      </c>
      <c r="AO1089" s="2">
        <f t="shared" si="29"/>
      </c>
      <c r="AP1089" s="2">
        <f t="shared" si="30"/>
      </c>
      <c r="AQ1089" s="2">
        <f t="shared" si="31"/>
      </c>
    </row>
    <row r="1090">
      <c r="A1090" s="43">
        <f t="shared" si="3"/>
      </c>
      <c r="B1090" s="44" t="n"/>
      <c r="C1090" s="45" t="n"/>
      <c r="D1090" s="46" t="n"/>
      <c r="E1090" s="47" t="n"/>
      <c r="F1090" s="47" t="n"/>
      <c r="G1090" s="48">
        <f t="shared" si="4"/>
      </c>
      <c r="H1090" s="43">
        <f t="shared" si="0"/>
      </c>
      <c r="I1090" s="43">
        <f t="shared" si="5"/>
      </c>
      <c r="J1090" s="43">
        <f t="shared" si="1"/>
      </c>
      <c r="K1090" s="49">
        <f t="shared" si="2"/>
      </c>
      <c r="L1090" s="45" t="n"/>
      <c r="M1090" s="45" t="n"/>
      <c r="N1090" s="45" t="n"/>
      <c r="O1090" s="45" t="n"/>
      <c r="P1090" s="50" t="n"/>
      <c r="R1090" s="2">
        <f t="shared" si="6"/>
        <v>0</v>
      </c>
      <c r="S1090" s="2">
        <f t="shared" si="7"/>
      </c>
      <c r="T1090" s="2">
        <f t="shared" si="8"/>
      </c>
      <c r="U1090" s="2">
        <f t="shared" si="9"/>
      </c>
      <c r="V1090" s="2">
        <f t="shared" si="10"/>
      </c>
      <c r="W1090" s="2">
        <f t="shared" si="11"/>
      </c>
      <c r="X1090" s="2">
        <f t="shared" si="12"/>
      </c>
      <c r="Y1090" s="2">
        <f t="shared" si="13"/>
        <v>0</v>
      </c>
      <c r="Z1090" s="2">
        <f t="shared" si="14"/>
      </c>
      <c r="AA1090" s="2">
        <f t="shared" si="15"/>
        <v>0</v>
      </c>
      <c r="AB1090" s="2">
        <f t="shared" si="16"/>
      </c>
      <c r="AC1090" s="2">
        <f t="shared" si="17"/>
      </c>
      <c r="AD1090" s="2">
        <f t="shared" si="18"/>
      </c>
      <c r="AE1090" s="2">
        <f t="shared" si="19"/>
      </c>
      <c r="AF1090" s="2">
        <f t="shared" si="20"/>
      </c>
      <c r="AG1090" s="2">
        <f t="shared" si="21"/>
      </c>
      <c r="AH1090" s="2">
        <f t="shared" si="22"/>
      </c>
      <c r="AI1090" s="2">
        <f t="shared" si="23"/>
      </c>
      <c r="AJ1090" s="2">
        <f t="shared" si="24"/>
        <v>0</v>
      </c>
      <c r="AK1090" s="2">
        <f t="shared" si="25"/>
        <v>0</v>
      </c>
      <c r="AL1090" s="2">
        <f t="shared" si="26"/>
        <v>0</v>
      </c>
      <c r="AM1090" s="2">
        <f t="shared" si="27"/>
        <v>0</v>
      </c>
      <c r="AN1090" s="2">
        <f t="shared" si="28"/>
        <v>0</v>
      </c>
      <c r="AO1090" s="2">
        <f t="shared" si="29"/>
      </c>
      <c r="AP1090" s="2">
        <f t="shared" si="30"/>
      </c>
      <c r="AQ1090" s="2">
        <f t="shared" si="31"/>
      </c>
    </row>
    <row r="1091">
      <c r="A1091" s="43">
        <f t="shared" si="3"/>
      </c>
      <c r="B1091" s="44" t="n"/>
      <c r="C1091" s="45" t="n"/>
      <c r="D1091" s="46" t="n"/>
      <c r="E1091" s="47" t="n"/>
      <c r="F1091" s="47" t="n"/>
      <c r="G1091" s="48">
        <f t="shared" si="4"/>
      </c>
      <c r="H1091" s="43">
        <f t="shared" si="0"/>
      </c>
      <c r="I1091" s="43">
        <f t="shared" si="5"/>
      </c>
      <c r="J1091" s="43">
        <f t="shared" si="1"/>
      </c>
      <c r="K1091" s="49">
        <f t="shared" si="2"/>
      </c>
      <c r="L1091" s="45" t="n"/>
      <c r="M1091" s="45" t="n"/>
      <c r="N1091" s="45" t="n"/>
      <c r="O1091" s="45" t="n"/>
      <c r="P1091" s="50" t="n"/>
      <c r="R1091" s="2">
        <f t="shared" si="6"/>
        <v>0</v>
      </c>
      <c r="S1091" s="2">
        <f t="shared" si="7"/>
      </c>
      <c r="T1091" s="2">
        <f t="shared" si="8"/>
      </c>
      <c r="U1091" s="2">
        <f t="shared" si="9"/>
      </c>
      <c r="V1091" s="2">
        <f t="shared" si="10"/>
      </c>
      <c r="W1091" s="2">
        <f t="shared" si="11"/>
      </c>
      <c r="X1091" s="2">
        <f t="shared" si="12"/>
      </c>
      <c r="Y1091" s="2">
        <f t="shared" si="13"/>
        <v>0</v>
      </c>
      <c r="Z1091" s="2">
        <f t="shared" si="14"/>
      </c>
      <c r="AA1091" s="2">
        <f t="shared" si="15"/>
        <v>0</v>
      </c>
      <c r="AB1091" s="2">
        <f t="shared" si="16"/>
      </c>
      <c r="AC1091" s="2">
        <f t="shared" si="17"/>
      </c>
      <c r="AD1091" s="2">
        <f t="shared" si="18"/>
      </c>
      <c r="AE1091" s="2">
        <f t="shared" si="19"/>
      </c>
      <c r="AF1091" s="2">
        <f t="shared" si="20"/>
      </c>
      <c r="AG1091" s="2">
        <f t="shared" si="21"/>
      </c>
      <c r="AH1091" s="2">
        <f t="shared" si="22"/>
      </c>
      <c r="AI1091" s="2">
        <f t="shared" si="23"/>
      </c>
      <c r="AJ1091" s="2">
        <f t="shared" si="24"/>
        <v>0</v>
      </c>
      <c r="AK1091" s="2">
        <f t="shared" si="25"/>
        <v>0</v>
      </c>
      <c r="AL1091" s="2">
        <f t="shared" si="26"/>
        <v>0</v>
      </c>
      <c r="AM1091" s="2">
        <f t="shared" si="27"/>
        <v>0</v>
      </c>
      <c r="AN1091" s="2">
        <f t="shared" si="28"/>
        <v>0</v>
      </c>
      <c r="AO1091" s="2">
        <f t="shared" si="29"/>
      </c>
      <c r="AP1091" s="2">
        <f t="shared" si="30"/>
      </c>
      <c r="AQ1091" s="2">
        <f t="shared" si="31"/>
      </c>
    </row>
    <row r="1092">
      <c r="A1092" s="43">
        <f t="shared" si="3"/>
      </c>
      <c r="B1092" s="44" t="n"/>
      <c r="C1092" s="45" t="n"/>
      <c r="D1092" s="46" t="n"/>
      <c r="E1092" s="47" t="n"/>
      <c r="F1092" s="47" t="n"/>
      <c r="G1092" s="48">
        <f t="shared" si="4"/>
      </c>
      <c r="H1092" s="43">
        <f t="shared" si="0"/>
      </c>
      <c r="I1092" s="43">
        <f t="shared" si="5"/>
      </c>
      <c r="J1092" s="43">
        <f t="shared" si="1"/>
      </c>
      <c r="K1092" s="49">
        <f t="shared" si="2"/>
      </c>
      <c r="L1092" s="45" t="n"/>
      <c r="M1092" s="45" t="n"/>
      <c r="N1092" s="45" t="n"/>
      <c r="O1092" s="45" t="n"/>
      <c r="P1092" s="50" t="n"/>
      <c r="R1092" s="2">
        <f t="shared" si="6"/>
        <v>0</v>
      </c>
      <c r="S1092" s="2">
        <f t="shared" si="7"/>
      </c>
      <c r="T1092" s="2">
        <f t="shared" si="8"/>
      </c>
      <c r="U1092" s="2">
        <f t="shared" si="9"/>
      </c>
      <c r="V1092" s="2">
        <f t="shared" si="10"/>
      </c>
      <c r="W1092" s="2">
        <f t="shared" si="11"/>
      </c>
      <c r="X1092" s="2">
        <f t="shared" si="12"/>
      </c>
      <c r="Y1092" s="2">
        <f t="shared" si="13"/>
        <v>0</v>
      </c>
      <c r="Z1092" s="2">
        <f t="shared" si="14"/>
      </c>
      <c r="AA1092" s="2">
        <f t="shared" si="15"/>
        <v>0</v>
      </c>
      <c r="AB1092" s="2">
        <f t="shared" si="16"/>
      </c>
      <c r="AC1092" s="2">
        <f t="shared" si="17"/>
      </c>
      <c r="AD1092" s="2">
        <f t="shared" si="18"/>
      </c>
      <c r="AE1092" s="2">
        <f t="shared" si="19"/>
      </c>
      <c r="AF1092" s="2">
        <f t="shared" si="20"/>
      </c>
      <c r="AG1092" s="2">
        <f t="shared" si="21"/>
      </c>
      <c r="AH1092" s="2">
        <f t="shared" si="22"/>
      </c>
      <c r="AI1092" s="2">
        <f t="shared" si="23"/>
      </c>
      <c r="AJ1092" s="2">
        <f t="shared" si="24"/>
        <v>0</v>
      </c>
      <c r="AK1092" s="2">
        <f t="shared" si="25"/>
        <v>0</v>
      </c>
      <c r="AL1092" s="2">
        <f t="shared" si="26"/>
        <v>0</v>
      </c>
      <c r="AM1092" s="2">
        <f t="shared" si="27"/>
        <v>0</v>
      </c>
      <c r="AN1092" s="2">
        <f t="shared" si="28"/>
        <v>0</v>
      </c>
      <c r="AO1092" s="2">
        <f t="shared" si="29"/>
      </c>
      <c r="AP1092" s="2">
        <f t="shared" si="30"/>
      </c>
      <c r="AQ1092" s="2">
        <f t="shared" si="31"/>
      </c>
    </row>
    <row r="1093">
      <c r="A1093" s="43">
        <f t="shared" si="3"/>
      </c>
      <c r="B1093" s="44" t="n"/>
      <c r="C1093" s="45" t="n"/>
      <c r="D1093" s="46" t="n"/>
      <c r="E1093" s="47" t="n"/>
      <c r="F1093" s="47" t="n"/>
      <c r="G1093" s="48">
        <f t="shared" si="4"/>
      </c>
      <c r="H1093" s="43">
        <f t="shared" si="0"/>
      </c>
      <c r="I1093" s="43">
        <f t="shared" si="5"/>
      </c>
      <c r="J1093" s="43">
        <f t="shared" si="1"/>
      </c>
      <c r="K1093" s="49">
        <f t="shared" si="2"/>
      </c>
      <c r="L1093" s="45" t="n"/>
      <c r="M1093" s="45" t="n"/>
      <c r="N1093" s="45" t="n"/>
      <c r="O1093" s="45" t="n"/>
      <c r="P1093" s="50" t="n"/>
      <c r="R1093" s="2">
        <f t="shared" si="6"/>
        <v>0</v>
      </c>
      <c r="S1093" s="2">
        <f t="shared" si="7"/>
      </c>
      <c r="T1093" s="2">
        <f t="shared" si="8"/>
      </c>
      <c r="U1093" s="2">
        <f t="shared" si="9"/>
      </c>
      <c r="V1093" s="2">
        <f t="shared" si="10"/>
      </c>
      <c r="W1093" s="2">
        <f t="shared" si="11"/>
      </c>
      <c r="X1093" s="2">
        <f t="shared" si="12"/>
      </c>
      <c r="Y1093" s="2">
        <f t="shared" si="13"/>
        <v>0</v>
      </c>
      <c r="Z1093" s="2">
        <f t="shared" si="14"/>
      </c>
      <c r="AA1093" s="2">
        <f t="shared" si="15"/>
        <v>0</v>
      </c>
      <c r="AB1093" s="2">
        <f t="shared" si="16"/>
      </c>
      <c r="AC1093" s="2">
        <f t="shared" si="17"/>
      </c>
      <c r="AD1093" s="2">
        <f t="shared" si="18"/>
      </c>
      <c r="AE1093" s="2">
        <f t="shared" si="19"/>
      </c>
      <c r="AF1093" s="2">
        <f t="shared" si="20"/>
      </c>
      <c r="AG1093" s="2">
        <f t="shared" si="21"/>
      </c>
      <c r="AH1093" s="2">
        <f t="shared" si="22"/>
      </c>
      <c r="AI1093" s="2">
        <f t="shared" si="23"/>
      </c>
      <c r="AJ1093" s="2">
        <f t="shared" si="24"/>
        <v>0</v>
      </c>
      <c r="AK1093" s="2">
        <f t="shared" si="25"/>
        <v>0</v>
      </c>
      <c r="AL1093" s="2">
        <f t="shared" si="26"/>
        <v>0</v>
      </c>
      <c r="AM1093" s="2">
        <f t="shared" si="27"/>
        <v>0</v>
      </c>
      <c r="AN1093" s="2">
        <f t="shared" si="28"/>
        <v>0</v>
      </c>
      <c r="AO1093" s="2">
        <f t="shared" si="29"/>
      </c>
      <c r="AP1093" s="2">
        <f t="shared" si="30"/>
      </c>
      <c r="AQ1093" s="2">
        <f t="shared" si="31"/>
      </c>
    </row>
    <row r="1094">
      <c r="A1094" s="43">
        <f t="shared" si="3"/>
      </c>
      <c r="B1094" s="44" t="n"/>
      <c r="C1094" s="45" t="n"/>
      <c r="D1094" s="46" t="n"/>
      <c r="E1094" s="47" t="n"/>
      <c r="F1094" s="47" t="n"/>
      <c r="G1094" s="48">
        <f t="shared" si="4"/>
      </c>
      <c r="H1094" s="43">
        <f t="shared" si="0"/>
      </c>
      <c r="I1094" s="43">
        <f t="shared" si="5"/>
      </c>
      <c r="J1094" s="43">
        <f t="shared" si="1"/>
      </c>
      <c r="K1094" s="49">
        <f t="shared" si="2"/>
      </c>
      <c r="L1094" s="45" t="n"/>
      <c r="M1094" s="45" t="n"/>
      <c r="N1094" s="45" t="n"/>
      <c r="O1094" s="45" t="n"/>
      <c r="P1094" s="50" t="n"/>
      <c r="R1094" s="2">
        <f t="shared" si="6"/>
        <v>0</v>
      </c>
      <c r="S1094" s="2">
        <f t="shared" si="7"/>
      </c>
      <c r="T1094" s="2">
        <f t="shared" si="8"/>
      </c>
      <c r="U1094" s="2">
        <f t="shared" si="9"/>
      </c>
      <c r="V1094" s="2">
        <f t="shared" si="10"/>
      </c>
      <c r="W1094" s="2">
        <f t="shared" si="11"/>
      </c>
      <c r="X1094" s="2">
        <f t="shared" si="12"/>
      </c>
      <c r="Y1094" s="2">
        <f t="shared" si="13"/>
        <v>0</v>
      </c>
      <c r="Z1094" s="2">
        <f t="shared" si="14"/>
      </c>
      <c r="AA1094" s="2">
        <f t="shared" si="15"/>
        <v>0</v>
      </c>
      <c r="AB1094" s="2">
        <f t="shared" si="16"/>
      </c>
      <c r="AC1094" s="2">
        <f t="shared" si="17"/>
      </c>
      <c r="AD1094" s="2">
        <f t="shared" si="18"/>
      </c>
      <c r="AE1094" s="2">
        <f t="shared" si="19"/>
      </c>
      <c r="AF1094" s="2">
        <f t="shared" si="20"/>
      </c>
      <c r="AG1094" s="2">
        <f t="shared" si="21"/>
      </c>
      <c r="AH1094" s="2">
        <f t="shared" si="22"/>
      </c>
      <c r="AI1094" s="2">
        <f t="shared" si="23"/>
      </c>
      <c r="AJ1094" s="2">
        <f t="shared" si="24"/>
        <v>0</v>
      </c>
      <c r="AK1094" s="2">
        <f t="shared" si="25"/>
        <v>0</v>
      </c>
      <c r="AL1094" s="2">
        <f t="shared" si="26"/>
        <v>0</v>
      </c>
      <c r="AM1094" s="2">
        <f t="shared" si="27"/>
        <v>0</v>
      </c>
      <c r="AN1094" s="2">
        <f t="shared" si="28"/>
        <v>0</v>
      </c>
      <c r="AO1094" s="2">
        <f t="shared" si="29"/>
      </c>
      <c r="AP1094" s="2">
        <f t="shared" si="30"/>
      </c>
      <c r="AQ1094" s="2">
        <f t="shared" si="31"/>
      </c>
    </row>
    <row r="1095">
      <c r="A1095" s="43">
        <f t="shared" si="3"/>
      </c>
      <c r="B1095" s="44" t="n"/>
      <c r="C1095" s="45" t="n"/>
      <c r="D1095" s="46" t="n"/>
      <c r="E1095" s="47" t="n"/>
      <c r="F1095" s="47" t="n"/>
      <c r="G1095" s="48">
        <f t="shared" si="4"/>
      </c>
      <c r="H1095" s="43">
        <f t="shared" si="0"/>
      </c>
      <c r="I1095" s="43">
        <f t="shared" si="5"/>
      </c>
      <c r="J1095" s="43">
        <f t="shared" si="1"/>
      </c>
      <c r="K1095" s="49">
        <f t="shared" si="2"/>
      </c>
      <c r="L1095" s="45" t="n"/>
      <c r="M1095" s="45" t="n"/>
      <c r="N1095" s="45" t="n"/>
      <c r="O1095" s="45" t="n"/>
      <c r="P1095" s="50" t="n"/>
      <c r="R1095" s="2">
        <f t="shared" si="6"/>
        <v>0</v>
      </c>
      <c r="S1095" s="2">
        <f t="shared" si="7"/>
      </c>
      <c r="T1095" s="2">
        <f t="shared" si="8"/>
      </c>
      <c r="U1095" s="2">
        <f t="shared" si="9"/>
      </c>
      <c r="V1095" s="2">
        <f t="shared" si="10"/>
      </c>
      <c r="W1095" s="2">
        <f t="shared" si="11"/>
      </c>
      <c r="X1095" s="2">
        <f t="shared" si="12"/>
      </c>
      <c r="Y1095" s="2">
        <f t="shared" si="13"/>
        <v>0</v>
      </c>
      <c r="Z1095" s="2">
        <f t="shared" si="14"/>
      </c>
      <c r="AA1095" s="2">
        <f t="shared" si="15"/>
        <v>0</v>
      </c>
      <c r="AB1095" s="2">
        <f t="shared" si="16"/>
      </c>
      <c r="AC1095" s="2">
        <f t="shared" si="17"/>
      </c>
      <c r="AD1095" s="2">
        <f t="shared" si="18"/>
      </c>
      <c r="AE1095" s="2">
        <f t="shared" si="19"/>
      </c>
      <c r="AF1095" s="2">
        <f t="shared" si="20"/>
      </c>
      <c r="AG1095" s="2">
        <f t="shared" si="21"/>
      </c>
      <c r="AH1095" s="2">
        <f t="shared" si="22"/>
      </c>
      <c r="AI1095" s="2">
        <f t="shared" si="23"/>
      </c>
      <c r="AJ1095" s="2">
        <f t="shared" si="24"/>
        <v>0</v>
      </c>
      <c r="AK1095" s="2">
        <f t="shared" si="25"/>
        <v>0</v>
      </c>
      <c r="AL1095" s="2">
        <f t="shared" si="26"/>
        <v>0</v>
      </c>
      <c r="AM1095" s="2">
        <f t="shared" si="27"/>
        <v>0</v>
      </c>
      <c r="AN1095" s="2">
        <f t="shared" si="28"/>
        <v>0</v>
      </c>
      <c r="AO1095" s="2">
        <f t="shared" si="29"/>
      </c>
      <c r="AP1095" s="2">
        <f t="shared" si="30"/>
      </c>
      <c r="AQ1095" s="2">
        <f t="shared" si="31"/>
      </c>
    </row>
    <row r="1096">
      <c r="A1096" s="43">
        <f t="shared" si="3"/>
      </c>
      <c r="B1096" s="44" t="n"/>
      <c r="C1096" s="45" t="n"/>
      <c r="D1096" s="46" t="n"/>
      <c r="E1096" s="47" t="n"/>
      <c r="F1096" s="47" t="n"/>
      <c r="G1096" s="48">
        <f t="shared" si="4"/>
      </c>
      <c r="H1096" s="43">
        <f t="shared" si="0"/>
      </c>
      <c r="I1096" s="43">
        <f t="shared" si="5"/>
      </c>
      <c r="J1096" s="43">
        <f t="shared" si="1"/>
      </c>
      <c r="K1096" s="49">
        <f t="shared" si="2"/>
      </c>
      <c r="L1096" s="45" t="n"/>
      <c r="M1096" s="45" t="n"/>
      <c r="N1096" s="45" t="n"/>
      <c r="O1096" s="45" t="n"/>
      <c r="P1096" s="50" t="n"/>
      <c r="R1096" s="2">
        <f t="shared" si="6"/>
        <v>0</v>
      </c>
      <c r="S1096" s="2">
        <f t="shared" si="7"/>
      </c>
      <c r="T1096" s="2">
        <f t="shared" si="8"/>
      </c>
      <c r="U1096" s="2">
        <f t="shared" si="9"/>
      </c>
      <c r="V1096" s="2">
        <f t="shared" si="10"/>
      </c>
      <c r="W1096" s="2">
        <f t="shared" si="11"/>
      </c>
      <c r="X1096" s="2">
        <f t="shared" si="12"/>
      </c>
      <c r="Y1096" s="2">
        <f t="shared" si="13"/>
        <v>0</v>
      </c>
      <c r="Z1096" s="2">
        <f t="shared" si="14"/>
      </c>
      <c r="AA1096" s="2">
        <f t="shared" si="15"/>
        <v>0</v>
      </c>
      <c r="AB1096" s="2">
        <f t="shared" si="16"/>
      </c>
      <c r="AC1096" s="2">
        <f t="shared" si="17"/>
      </c>
      <c r="AD1096" s="2">
        <f t="shared" si="18"/>
      </c>
      <c r="AE1096" s="2">
        <f t="shared" si="19"/>
      </c>
      <c r="AF1096" s="2">
        <f t="shared" si="20"/>
      </c>
      <c r="AG1096" s="2">
        <f t="shared" si="21"/>
      </c>
      <c r="AH1096" s="2">
        <f t="shared" si="22"/>
      </c>
      <c r="AI1096" s="2">
        <f t="shared" si="23"/>
      </c>
      <c r="AJ1096" s="2">
        <f t="shared" si="24"/>
        <v>0</v>
      </c>
      <c r="AK1096" s="2">
        <f t="shared" si="25"/>
        <v>0</v>
      </c>
      <c r="AL1096" s="2">
        <f t="shared" si="26"/>
        <v>0</v>
      </c>
      <c r="AM1096" s="2">
        <f t="shared" si="27"/>
        <v>0</v>
      </c>
      <c r="AN1096" s="2">
        <f t="shared" si="28"/>
        <v>0</v>
      </c>
      <c r="AO1096" s="2">
        <f t="shared" si="29"/>
      </c>
      <c r="AP1096" s="2">
        <f t="shared" si="30"/>
      </c>
      <c r="AQ1096" s="2">
        <f t="shared" si="31"/>
      </c>
    </row>
    <row r="1097">
      <c r="A1097" s="43">
        <f t="shared" si="3"/>
      </c>
      <c r="B1097" s="44" t="n"/>
      <c r="C1097" s="45" t="n"/>
      <c r="D1097" s="46" t="n"/>
      <c r="E1097" s="47" t="n"/>
      <c r="F1097" s="47" t="n"/>
      <c r="G1097" s="48">
        <f t="shared" si="4"/>
      </c>
      <c r="H1097" s="43">
        <f t="shared" si="0"/>
      </c>
      <c r="I1097" s="43">
        <f t="shared" si="5"/>
      </c>
      <c r="J1097" s="43">
        <f t="shared" si="1"/>
      </c>
      <c r="K1097" s="49">
        <f t="shared" si="2"/>
      </c>
      <c r="L1097" s="45" t="n"/>
      <c r="M1097" s="45" t="n"/>
      <c r="N1097" s="45" t="n"/>
      <c r="O1097" s="45" t="n"/>
      <c r="P1097" s="50" t="n"/>
      <c r="R1097" s="2">
        <f t="shared" si="6"/>
        <v>0</v>
      </c>
      <c r="S1097" s="2">
        <f t="shared" si="7"/>
      </c>
      <c r="T1097" s="2">
        <f t="shared" si="8"/>
      </c>
      <c r="U1097" s="2">
        <f t="shared" si="9"/>
      </c>
      <c r="V1097" s="2">
        <f t="shared" si="10"/>
      </c>
      <c r="W1097" s="2">
        <f t="shared" si="11"/>
      </c>
      <c r="X1097" s="2">
        <f t="shared" si="12"/>
      </c>
      <c r="Y1097" s="2">
        <f t="shared" si="13"/>
        <v>0</v>
      </c>
      <c r="Z1097" s="2">
        <f t="shared" si="14"/>
      </c>
      <c r="AA1097" s="2">
        <f t="shared" si="15"/>
        <v>0</v>
      </c>
      <c r="AB1097" s="2">
        <f t="shared" si="16"/>
      </c>
      <c r="AC1097" s="2">
        <f t="shared" si="17"/>
      </c>
      <c r="AD1097" s="2">
        <f t="shared" si="18"/>
      </c>
      <c r="AE1097" s="2">
        <f t="shared" si="19"/>
      </c>
      <c r="AF1097" s="2">
        <f t="shared" si="20"/>
      </c>
      <c r="AG1097" s="2">
        <f t="shared" si="21"/>
      </c>
      <c r="AH1097" s="2">
        <f t="shared" si="22"/>
      </c>
      <c r="AI1097" s="2">
        <f t="shared" si="23"/>
      </c>
      <c r="AJ1097" s="2">
        <f t="shared" si="24"/>
        <v>0</v>
      </c>
      <c r="AK1097" s="2">
        <f t="shared" si="25"/>
        <v>0</v>
      </c>
      <c r="AL1097" s="2">
        <f t="shared" si="26"/>
        <v>0</v>
      </c>
      <c r="AM1097" s="2">
        <f t="shared" si="27"/>
        <v>0</v>
      </c>
      <c r="AN1097" s="2">
        <f t="shared" si="28"/>
        <v>0</v>
      </c>
      <c r="AO1097" s="2">
        <f t="shared" si="29"/>
      </c>
      <c r="AP1097" s="2">
        <f t="shared" si="30"/>
      </c>
      <c r="AQ1097" s="2">
        <f t="shared" si="31"/>
      </c>
    </row>
    <row r="1098">
      <c r="A1098" s="43">
        <f t="shared" si="3"/>
      </c>
      <c r="B1098" s="44" t="n"/>
      <c r="C1098" s="45" t="n"/>
      <c r="D1098" s="46" t="n"/>
      <c r="E1098" s="47" t="n"/>
      <c r="F1098" s="47" t="n"/>
      <c r="G1098" s="48">
        <f t="shared" si="4"/>
      </c>
      <c r="H1098" s="43">
        <f t="shared" si="0"/>
      </c>
      <c r="I1098" s="43">
        <f t="shared" si="5"/>
      </c>
      <c r="J1098" s="43">
        <f t="shared" si="1"/>
      </c>
      <c r="K1098" s="49">
        <f t="shared" si="2"/>
      </c>
      <c r="L1098" s="45" t="n"/>
      <c r="M1098" s="45" t="n"/>
      <c r="N1098" s="45" t="n"/>
      <c r="O1098" s="45" t="n"/>
      <c r="P1098" s="50" t="n"/>
      <c r="R1098" s="2">
        <f t="shared" si="6"/>
        <v>0</v>
      </c>
      <c r="S1098" s="2">
        <f t="shared" si="7"/>
      </c>
      <c r="T1098" s="2">
        <f t="shared" si="8"/>
      </c>
      <c r="U1098" s="2">
        <f t="shared" si="9"/>
      </c>
      <c r="V1098" s="2">
        <f t="shared" si="10"/>
      </c>
      <c r="W1098" s="2">
        <f t="shared" si="11"/>
      </c>
      <c r="X1098" s="2">
        <f t="shared" si="12"/>
      </c>
      <c r="Y1098" s="2">
        <f t="shared" si="13"/>
        <v>0</v>
      </c>
      <c r="Z1098" s="2">
        <f t="shared" si="14"/>
      </c>
      <c r="AA1098" s="2">
        <f t="shared" si="15"/>
        <v>0</v>
      </c>
      <c r="AB1098" s="2">
        <f t="shared" si="16"/>
      </c>
      <c r="AC1098" s="2">
        <f t="shared" si="17"/>
      </c>
      <c r="AD1098" s="2">
        <f t="shared" si="18"/>
      </c>
      <c r="AE1098" s="2">
        <f t="shared" si="19"/>
      </c>
      <c r="AF1098" s="2">
        <f t="shared" si="20"/>
      </c>
      <c r="AG1098" s="2">
        <f t="shared" si="21"/>
      </c>
      <c r="AH1098" s="2">
        <f t="shared" si="22"/>
      </c>
      <c r="AI1098" s="2">
        <f t="shared" si="23"/>
      </c>
      <c r="AJ1098" s="2">
        <f t="shared" si="24"/>
        <v>0</v>
      </c>
      <c r="AK1098" s="2">
        <f t="shared" si="25"/>
        <v>0</v>
      </c>
      <c r="AL1098" s="2">
        <f t="shared" si="26"/>
        <v>0</v>
      </c>
      <c r="AM1098" s="2">
        <f t="shared" si="27"/>
        <v>0</v>
      </c>
      <c r="AN1098" s="2">
        <f t="shared" si="28"/>
        <v>0</v>
      </c>
      <c r="AO1098" s="2">
        <f t="shared" si="29"/>
      </c>
      <c r="AP1098" s="2">
        <f t="shared" si="30"/>
      </c>
      <c r="AQ1098" s="2">
        <f t="shared" si="31"/>
      </c>
    </row>
    <row r="1099">
      <c r="A1099" s="43">
        <f t="shared" si="3"/>
      </c>
      <c r="B1099" s="44" t="n"/>
      <c r="C1099" s="45" t="n"/>
      <c r="D1099" s="46" t="n"/>
      <c r="E1099" s="47" t="n"/>
      <c r="F1099" s="47" t="n"/>
      <c r="G1099" s="48">
        <f t="shared" si="4"/>
      </c>
      <c r="H1099" s="43">
        <f t="shared" si="0"/>
      </c>
      <c r="I1099" s="43">
        <f t="shared" si="5"/>
      </c>
      <c r="J1099" s="43">
        <f t="shared" si="1"/>
      </c>
      <c r="K1099" s="49">
        <f t="shared" si="2"/>
      </c>
      <c r="L1099" s="45" t="n"/>
      <c r="M1099" s="45" t="n"/>
      <c r="N1099" s="45" t="n"/>
      <c r="O1099" s="45" t="n"/>
      <c r="P1099" s="50" t="n"/>
      <c r="R1099" s="2">
        <f t="shared" si="6"/>
        <v>0</v>
      </c>
      <c r="S1099" s="2">
        <f t="shared" si="7"/>
      </c>
      <c r="T1099" s="2">
        <f t="shared" si="8"/>
      </c>
      <c r="U1099" s="2">
        <f t="shared" si="9"/>
      </c>
      <c r="V1099" s="2">
        <f t="shared" si="10"/>
      </c>
      <c r="W1099" s="2">
        <f t="shared" si="11"/>
      </c>
      <c r="X1099" s="2">
        <f t="shared" si="12"/>
      </c>
      <c r="Y1099" s="2">
        <f t="shared" si="13"/>
        <v>0</v>
      </c>
      <c r="Z1099" s="2">
        <f t="shared" si="14"/>
      </c>
      <c r="AA1099" s="2">
        <f t="shared" si="15"/>
        <v>0</v>
      </c>
      <c r="AB1099" s="2">
        <f t="shared" si="16"/>
      </c>
      <c r="AC1099" s="2">
        <f t="shared" si="17"/>
      </c>
      <c r="AD1099" s="2">
        <f t="shared" si="18"/>
      </c>
      <c r="AE1099" s="2">
        <f t="shared" si="19"/>
      </c>
      <c r="AF1099" s="2">
        <f t="shared" si="20"/>
      </c>
      <c r="AG1099" s="2">
        <f t="shared" si="21"/>
      </c>
      <c r="AH1099" s="2">
        <f t="shared" si="22"/>
      </c>
      <c r="AI1099" s="2">
        <f t="shared" si="23"/>
      </c>
      <c r="AJ1099" s="2">
        <f t="shared" si="24"/>
        <v>0</v>
      </c>
      <c r="AK1099" s="2">
        <f t="shared" si="25"/>
        <v>0</v>
      </c>
      <c r="AL1099" s="2">
        <f t="shared" si="26"/>
        <v>0</v>
      </c>
      <c r="AM1099" s="2">
        <f t="shared" si="27"/>
        <v>0</v>
      </c>
      <c r="AN1099" s="2">
        <f t="shared" si="28"/>
        <v>0</v>
      </c>
      <c r="AO1099" s="2">
        <f t="shared" si="29"/>
      </c>
      <c r="AP1099" s="2">
        <f t="shared" si="30"/>
      </c>
      <c r="AQ1099" s="2">
        <f t="shared" si="31"/>
      </c>
    </row>
    <row r="1100">
      <c r="A1100" s="43">
        <f t="shared" si="3"/>
      </c>
      <c r="B1100" s="44" t="n"/>
      <c r="C1100" s="45" t="n"/>
      <c r="D1100" s="46" t="n"/>
      <c r="E1100" s="47" t="n"/>
      <c r="F1100" s="47" t="n"/>
      <c r="G1100" s="48">
        <f t="shared" si="4"/>
      </c>
      <c r="H1100" s="43">
        <f t="shared" si="0"/>
      </c>
      <c r="I1100" s="43">
        <f t="shared" si="5"/>
      </c>
      <c r="J1100" s="43">
        <f t="shared" si="1"/>
      </c>
      <c r="K1100" s="49">
        <f t="shared" si="2"/>
      </c>
      <c r="L1100" s="45" t="n"/>
      <c r="M1100" s="45" t="n"/>
      <c r="N1100" s="45" t="n"/>
      <c r="O1100" s="45" t="n"/>
      <c r="P1100" s="50" t="n"/>
      <c r="R1100" s="2">
        <f t="shared" si="6"/>
        <v>0</v>
      </c>
      <c r="S1100" s="2">
        <f t="shared" si="7"/>
      </c>
      <c r="T1100" s="2">
        <f t="shared" si="8"/>
      </c>
      <c r="U1100" s="2">
        <f t="shared" si="9"/>
      </c>
      <c r="V1100" s="2">
        <f t="shared" si="10"/>
      </c>
      <c r="W1100" s="2">
        <f t="shared" si="11"/>
      </c>
      <c r="X1100" s="2">
        <f t="shared" si="12"/>
      </c>
      <c r="Y1100" s="2">
        <f t="shared" si="13"/>
        <v>0</v>
      </c>
      <c r="Z1100" s="2">
        <f t="shared" si="14"/>
      </c>
      <c r="AA1100" s="2">
        <f t="shared" si="15"/>
        <v>0</v>
      </c>
      <c r="AB1100" s="2">
        <f t="shared" si="16"/>
      </c>
      <c r="AC1100" s="2">
        <f t="shared" si="17"/>
      </c>
      <c r="AD1100" s="2">
        <f t="shared" si="18"/>
      </c>
      <c r="AE1100" s="2">
        <f t="shared" si="19"/>
      </c>
      <c r="AF1100" s="2">
        <f t="shared" si="20"/>
      </c>
      <c r="AG1100" s="2">
        <f t="shared" si="21"/>
      </c>
      <c r="AH1100" s="2">
        <f t="shared" si="22"/>
      </c>
      <c r="AI1100" s="2">
        <f t="shared" si="23"/>
      </c>
      <c r="AJ1100" s="2">
        <f t="shared" si="24"/>
        <v>0</v>
      </c>
      <c r="AK1100" s="2">
        <f t="shared" si="25"/>
        <v>0</v>
      </c>
      <c r="AL1100" s="2">
        <f t="shared" si="26"/>
        <v>0</v>
      </c>
      <c r="AM1100" s="2">
        <f t="shared" si="27"/>
        <v>0</v>
      </c>
      <c r="AN1100" s="2">
        <f t="shared" si="28"/>
        <v>0</v>
      </c>
      <c r="AO1100" s="2">
        <f t="shared" si="29"/>
      </c>
      <c r="AP1100" s="2">
        <f t="shared" si="30"/>
      </c>
      <c r="AQ1100" s="2">
        <f t="shared" si="31"/>
      </c>
    </row>
    <row r="1101">
      <c r="A1101" s="43">
        <f t="shared" si="3"/>
      </c>
      <c r="B1101" s="44" t="n"/>
      <c r="C1101" s="45" t="n"/>
      <c r="D1101" s="46" t="n"/>
      <c r="E1101" s="47" t="n"/>
      <c r="F1101" s="47" t="n"/>
      <c r="G1101" s="48">
        <f t="shared" si="4"/>
      </c>
      <c r="H1101" s="43">
        <f t="shared" si="0"/>
      </c>
      <c r="I1101" s="43">
        <f t="shared" si="5"/>
      </c>
      <c r="J1101" s="43">
        <f t="shared" si="1"/>
      </c>
      <c r="K1101" s="49">
        <f t="shared" si="2"/>
      </c>
      <c r="L1101" s="45" t="n"/>
      <c r="M1101" s="45" t="n"/>
      <c r="N1101" s="45" t="n"/>
      <c r="O1101" s="45" t="n"/>
      <c r="P1101" s="50" t="n"/>
      <c r="R1101" s="2">
        <f t="shared" si="6"/>
        <v>0</v>
      </c>
      <c r="S1101" s="2">
        <f t="shared" si="7"/>
      </c>
      <c r="T1101" s="2">
        <f t="shared" si="8"/>
      </c>
      <c r="U1101" s="2">
        <f t="shared" si="9"/>
      </c>
      <c r="V1101" s="2">
        <f t="shared" si="10"/>
      </c>
      <c r="W1101" s="2">
        <f t="shared" si="11"/>
      </c>
      <c r="X1101" s="2">
        <f t="shared" si="12"/>
      </c>
      <c r="Y1101" s="2">
        <f t="shared" si="13"/>
        <v>0</v>
      </c>
      <c r="Z1101" s="2">
        <f t="shared" si="14"/>
      </c>
      <c r="AA1101" s="2">
        <f t="shared" si="15"/>
        <v>0</v>
      </c>
      <c r="AB1101" s="2">
        <f t="shared" si="16"/>
      </c>
      <c r="AC1101" s="2">
        <f t="shared" si="17"/>
      </c>
      <c r="AD1101" s="2">
        <f t="shared" si="18"/>
      </c>
      <c r="AE1101" s="2">
        <f t="shared" si="19"/>
      </c>
      <c r="AF1101" s="2">
        <f t="shared" si="20"/>
      </c>
      <c r="AG1101" s="2">
        <f t="shared" si="21"/>
      </c>
      <c r="AH1101" s="2">
        <f t="shared" si="22"/>
      </c>
      <c r="AI1101" s="2">
        <f t="shared" si="23"/>
      </c>
      <c r="AJ1101" s="2">
        <f t="shared" si="24"/>
        <v>0</v>
      </c>
      <c r="AK1101" s="2">
        <f t="shared" si="25"/>
        <v>0</v>
      </c>
      <c r="AL1101" s="2">
        <f t="shared" si="26"/>
        <v>0</v>
      </c>
      <c r="AM1101" s="2">
        <f t="shared" si="27"/>
        <v>0</v>
      </c>
      <c r="AN1101" s="2">
        <f t="shared" si="28"/>
        <v>0</v>
      </c>
      <c r="AO1101" s="2">
        <f t="shared" si="29"/>
      </c>
      <c r="AP1101" s="2">
        <f t="shared" si="30"/>
      </c>
      <c r="AQ1101" s="2">
        <f t="shared" si="31"/>
      </c>
    </row>
    <row r="1102">
      <c r="A1102" s="43">
        <f t="shared" si="3"/>
      </c>
      <c r="B1102" s="44" t="n"/>
      <c r="C1102" s="45" t="n"/>
      <c r="D1102" s="46" t="n"/>
      <c r="E1102" s="47" t="n"/>
      <c r="F1102" s="47" t="n"/>
      <c r="G1102" s="48">
        <f t="shared" si="4"/>
      </c>
      <c r="H1102" s="43">
        <f t="shared" si="0"/>
      </c>
      <c r="I1102" s="43">
        <f t="shared" si="5"/>
      </c>
      <c r="J1102" s="43">
        <f t="shared" si="1"/>
      </c>
      <c r="K1102" s="49">
        <f t="shared" si="2"/>
      </c>
      <c r="L1102" s="45" t="n"/>
      <c r="M1102" s="45" t="n"/>
      <c r="N1102" s="45" t="n"/>
      <c r="O1102" s="45" t="n"/>
      <c r="P1102" s="50" t="n"/>
      <c r="R1102" s="2">
        <f t="shared" si="6"/>
        <v>0</v>
      </c>
      <c r="S1102" s="2">
        <f t="shared" si="7"/>
      </c>
      <c r="T1102" s="2">
        <f t="shared" si="8"/>
      </c>
      <c r="U1102" s="2">
        <f t="shared" si="9"/>
      </c>
      <c r="V1102" s="2">
        <f t="shared" si="10"/>
      </c>
      <c r="W1102" s="2">
        <f t="shared" si="11"/>
      </c>
      <c r="X1102" s="2">
        <f t="shared" si="12"/>
      </c>
      <c r="Y1102" s="2">
        <f t="shared" si="13"/>
        <v>0</v>
      </c>
      <c r="Z1102" s="2">
        <f t="shared" si="14"/>
      </c>
      <c r="AA1102" s="2">
        <f t="shared" si="15"/>
        <v>0</v>
      </c>
      <c r="AB1102" s="2">
        <f t="shared" si="16"/>
      </c>
      <c r="AC1102" s="2">
        <f t="shared" si="17"/>
      </c>
      <c r="AD1102" s="2">
        <f t="shared" si="18"/>
      </c>
      <c r="AE1102" s="2">
        <f t="shared" si="19"/>
      </c>
      <c r="AF1102" s="2">
        <f t="shared" si="20"/>
      </c>
      <c r="AG1102" s="2">
        <f t="shared" si="21"/>
      </c>
      <c r="AH1102" s="2">
        <f t="shared" si="22"/>
      </c>
      <c r="AI1102" s="2">
        <f t="shared" si="23"/>
      </c>
      <c r="AJ1102" s="2">
        <f t="shared" si="24"/>
        <v>0</v>
      </c>
      <c r="AK1102" s="2">
        <f t="shared" si="25"/>
        <v>0</v>
      </c>
      <c r="AL1102" s="2">
        <f t="shared" si="26"/>
        <v>0</v>
      </c>
      <c r="AM1102" s="2">
        <f t="shared" si="27"/>
        <v>0</v>
      </c>
      <c r="AN1102" s="2">
        <f t="shared" si="28"/>
        <v>0</v>
      </c>
      <c r="AO1102" s="2">
        <f t="shared" si="29"/>
      </c>
      <c r="AP1102" s="2">
        <f t="shared" si="30"/>
      </c>
      <c r="AQ1102" s="2">
        <f t="shared" si="31"/>
      </c>
    </row>
    <row r="1103">
      <c r="A1103" s="43">
        <f t="shared" si="3"/>
      </c>
      <c r="B1103" s="44" t="n"/>
      <c r="C1103" s="45" t="n"/>
      <c r="D1103" s="46" t="n"/>
      <c r="E1103" s="47" t="n"/>
      <c r="F1103" s="47" t="n"/>
      <c r="G1103" s="48">
        <f t="shared" si="4"/>
      </c>
      <c r="H1103" s="43">
        <f t="shared" si="0"/>
      </c>
      <c r="I1103" s="43">
        <f t="shared" si="5"/>
      </c>
      <c r="J1103" s="43">
        <f t="shared" si="1"/>
      </c>
      <c r="K1103" s="49">
        <f t="shared" si="2"/>
      </c>
      <c r="L1103" s="45" t="n"/>
      <c r="M1103" s="45" t="n"/>
      <c r="N1103" s="45" t="n"/>
      <c r="O1103" s="45" t="n"/>
      <c r="P1103" s="50" t="n"/>
      <c r="R1103" s="2">
        <f t="shared" si="6"/>
        <v>0</v>
      </c>
      <c r="S1103" s="2">
        <f t="shared" si="7"/>
      </c>
      <c r="T1103" s="2">
        <f t="shared" si="8"/>
      </c>
      <c r="U1103" s="2">
        <f t="shared" si="9"/>
      </c>
      <c r="V1103" s="2">
        <f t="shared" si="10"/>
      </c>
      <c r="W1103" s="2">
        <f t="shared" si="11"/>
      </c>
      <c r="X1103" s="2">
        <f t="shared" si="12"/>
      </c>
      <c r="Y1103" s="2">
        <f t="shared" si="13"/>
        <v>0</v>
      </c>
      <c r="Z1103" s="2">
        <f t="shared" si="14"/>
      </c>
      <c r="AA1103" s="2">
        <f t="shared" si="15"/>
        <v>0</v>
      </c>
      <c r="AB1103" s="2">
        <f t="shared" si="16"/>
      </c>
      <c r="AC1103" s="2">
        <f t="shared" si="17"/>
      </c>
      <c r="AD1103" s="2">
        <f t="shared" si="18"/>
      </c>
      <c r="AE1103" s="2">
        <f t="shared" si="19"/>
      </c>
      <c r="AF1103" s="2">
        <f t="shared" si="20"/>
      </c>
      <c r="AG1103" s="2">
        <f t="shared" si="21"/>
      </c>
      <c r="AH1103" s="2">
        <f t="shared" si="22"/>
      </c>
      <c r="AI1103" s="2">
        <f t="shared" si="23"/>
      </c>
      <c r="AJ1103" s="2">
        <f t="shared" si="24"/>
        <v>0</v>
      </c>
      <c r="AK1103" s="2">
        <f t="shared" si="25"/>
        <v>0</v>
      </c>
      <c r="AL1103" s="2">
        <f t="shared" si="26"/>
        <v>0</v>
      </c>
      <c r="AM1103" s="2">
        <f t="shared" si="27"/>
        <v>0</v>
      </c>
      <c r="AN1103" s="2">
        <f t="shared" si="28"/>
        <v>0</v>
      </c>
      <c r="AO1103" s="2">
        <f t="shared" si="29"/>
      </c>
      <c r="AP1103" s="2">
        <f t="shared" si="30"/>
      </c>
      <c r="AQ1103" s="2">
        <f t="shared" si="31"/>
      </c>
    </row>
    <row r="1104">
      <c r="A1104" s="43">
        <f t="shared" si="3"/>
      </c>
      <c r="B1104" s="44" t="n"/>
      <c r="C1104" s="45" t="n"/>
      <c r="D1104" s="46" t="n"/>
      <c r="E1104" s="47" t="n"/>
      <c r="F1104" s="47" t="n"/>
      <c r="G1104" s="48">
        <f t="shared" si="4"/>
      </c>
      <c r="H1104" s="43">
        <f t="shared" si="0"/>
      </c>
      <c r="I1104" s="43">
        <f t="shared" si="5"/>
      </c>
      <c r="J1104" s="43">
        <f t="shared" si="1"/>
      </c>
      <c r="K1104" s="49">
        <f t="shared" si="2"/>
      </c>
      <c r="L1104" s="45" t="n"/>
      <c r="M1104" s="45" t="n"/>
      <c r="N1104" s="45" t="n"/>
      <c r="O1104" s="45" t="n"/>
      <c r="P1104" s="50" t="n"/>
      <c r="R1104" s="2">
        <f t="shared" si="6"/>
        <v>0</v>
      </c>
      <c r="S1104" s="2">
        <f t="shared" si="7"/>
      </c>
      <c r="T1104" s="2">
        <f t="shared" si="8"/>
      </c>
      <c r="U1104" s="2">
        <f t="shared" si="9"/>
      </c>
      <c r="V1104" s="2">
        <f t="shared" si="10"/>
      </c>
      <c r="W1104" s="2">
        <f t="shared" si="11"/>
      </c>
      <c r="X1104" s="2">
        <f t="shared" si="12"/>
      </c>
      <c r="Y1104" s="2">
        <f t="shared" si="13"/>
        <v>0</v>
      </c>
      <c r="Z1104" s="2">
        <f t="shared" si="14"/>
      </c>
      <c r="AA1104" s="2">
        <f t="shared" si="15"/>
        <v>0</v>
      </c>
      <c r="AB1104" s="2">
        <f t="shared" si="16"/>
      </c>
      <c r="AC1104" s="2">
        <f t="shared" si="17"/>
      </c>
      <c r="AD1104" s="2">
        <f t="shared" si="18"/>
      </c>
      <c r="AE1104" s="2">
        <f t="shared" si="19"/>
      </c>
      <c r="AF1104" s="2">
        <f t="shared" si="20"/>
      </c>
      <c r="AG1104" s="2">
        <f t="shared" si="21"/>
      </c>
      <c r="AH1104" s="2">
        <f t="shared" si="22"/>
      </c>
      <c r="AI1104" s="2">
        <f t="shared" si="23"/>
      </c>
      <c r="AJ1104" s="2">
        <f t="shared" si="24"/>
        <v>0</v>
      </c>
      <c r="AK1104" s="2">
        <f t="shared" si="25"/>
        <v>0</v>
      </c>
      <c r="AL1104" s="2">
        <f t="shared" si="26"/>
        <v>0</v>
      </c>
      <c r="AM1104" s="2">
        <f t="shared" si="27"/>
        <v>0</v>
      </c>
      <c r="AN1104" s="2">
        <f t="shared" si="28"/>
        <v>0</v>
      </c>
      <c r="AO1104" s="2">
        <f t="shared" si="29"/>
      </c>
      <c r="AP1104" s="2">
        <f t="shared" si="30"/>
      </c>
      <c r="AQ1104" s="2">
        <f t="shared" si="31"/>
      </c>
    </row>
    <row r="1105">
      <c r="A1105" s="43">
        <f t="shared" si="3"/>
      </c>
      <c r="B1105" s="44" t="n"/>
      <c r="C1105" s="45" t="n"/>
      <c r="D1105" s="46" t="n"/>
      <c r="E1105" s="47" t="n"/>
      <c r="F1105" s="47" t="n"/>
      <c r="G1105" s="48">
        <f t="shared" si="4"/>
      </c>
      <c r="H1105" s="43">
        <f t="shared" si="0"/>
      </c>
      <c r="I1105" s="43">
        <f t="shared" si="5"/>
      </c>
      <c r="J1105" s="43">
        <f t="shared" si="1"/>
      </c>
      <c r="K1105" s="49">
        <f t="shared" si="2"/>
      </c>
      <c r="L1105" s="45" t="n"/>
      <c r="M1105" s="45" t="n"/>
      <c r="N1105" s="45" t="n"/>
      <c r="O1105" s="45" t="n"/>
      <c r="P1105" s="50" t="n"/>
      <c r="R1105" s="2">
        <f t="shared" si="6"/>
        <v>0</v>
      </c>
      <c r="S1105" s="2">
        <f t="shared" si="7"/>
      </c>
      <c r="T1105" s="2">
        <f t="shared" si="8"/>
      </c>
      <c r="U1105" s="2">
        <f t="shared" si="9"/>
      </c>
      <c r="V1105" s="2">
        <f t="shared" si="10"/>
      </c>
      <c r="W1105" s="2">
        <f t="shared" si="11"/>
      </c>
      <c r="X1105" s="2">
        <f t="shared" si="12"/>
      </c>
      <c r="Y1105" s="2">
        <f t="shared" si="13"/>
        <v>0</v>
      </c>
      <c r="Z1105" s="2">
        <f t="shared" si="14"/>
      </c>
      <c r="AA1105" s="2">
        <f t="shared" si="15"/>
        <v>0</v>
      </c>
      <c r="AB1105" s="2">
        <f t="shared" si="16"/>
      </c>
      <c r="AC1105" s="2">
        <f t="shared" si="17"/>
      </c>
      <c r="AD1105" s="2">
        <f t="shared" si="18"/>
      </c>
      <c r="AE1105" s="2">
        <f t="shared" si="19"/>
      </c>
      <c r="AF1105" s="2">
        <f t="shared" si="20"/>
      </c>
      <c r="AG1105" s="2">
        <f t="shared" si="21"/>
      </c>
      <c r="AH1105" s="2">
        <f t="shared" si="22"/>
      </c>
      <c r="AI1105" s="2">
        <f t="shared" si="23"/>
      </c>
      <c r="AJ1105" s="2">
        <f t="shared" si="24"/>
        <v>0</v>
      </c>
      <c r="AK1105" s="2">
        <f t="shared" si="25"/>
        <v>0</v>
      </c>
      <c r="AL1105" s="2">
        <f t="shared" si="26"/>
        <v>0</v>
      </c>
      <c r="AM1105" s="2">
        <f t="shared" si="27"/>
        <v>0</v>
      </c>
      <c r="AN1105" s="2">
        <f t="shared" si="28"/>
        <v>0</v>
      </c>
      <c r="AO1105" s="2">
        <f t="shared" si="29"/>
      </c>
      <c r="AP1105" s="2">
        <f t="shared" si="30"/>
      </c>
      <c r="AQ1105" s="2">
        <f t="shared" si="31"/>
      </c>
    </row>
    <row r="1106">
      <c r="A1106" s="43">
        <f t="shared" si="3"/>
      </c>
      <c r="B1106" s="44" t="n"/>
      <c r="C1106" s="45" t="n"/>
      <c r="D1106" s="46" t="n"/>
      <c r="E1106" s="47" t="n"/>
      <c r="F1106" s="47" t="n"/>
      <c r="G1106" s="48">
        <f t="shared" si="4"/>
      </c>
      <c r="H1106" s="43">
        <f t="shared" si="0"/>
      </c>
      <c r="I1106" s="43">
        <f t="shared" si="5"/>
      </c>
      <c r="J1106" s="43">
        <f t="shared" si="1"/>
      </c>
      <c r="K1106" s="49">
        <f t="shared" si="2"/>
      </c>
      <c r="L1106" s="45" t="n"/>
      <c r="M1106" s="45" t="n"/>
      <c r="N1106" s="45" t="n"/>
      <c r="O1106" s="45" t="n"/>
      <c r="P1106" s="50" t="n"/>
      <c r="R1106" s="2">
        <f t="shared" si="6"/>
        <v>0</v>
      </c>
      <c r="S1106" s="2">
        <f t="shared" si="7"/>
      </c>
      <c r="T1106" s="2">
        <f t="shared" si="8"/>
      </c>
      <c r="U1106" s="2">
        <f t="shared" si="9"/>
      </c>
      <c r="V1106" s="2">
        <f t="shared" si="10"/>
      </c>
      <c r="W1106" s="2">
        <f t="shared" si="11"/>
      </c>
      <c r="X1106" s="2">
        <f t="shared" si="12"/>
      </c>
      <c r="Y1106" s="2">
        <f t="shared" si="13"/>
        <v>0</v>
      </c>
      <c r="Z1106" s="2">
        <f t="shared" si="14"/>
      </c>
      <c r="AA1106" s="2">
        <f t="shared" si="15"/>
        <v>0</v>
      </c>
      <c r="AB1106" s="2">
        <f t="shared" si="16"/>
      </c>
      <c r="AC1106" s="2">
        <f t="shared" si="17"/>
      </c>
      <c r="AD1106" s="2">
        <f t="shared" si="18"/>
      </c>
      <c r="AE1106" s="2">
        <f t="shared" si="19"/>
      </c>
      <c r="AF1106" s="2">
        <f t="shared" si="20"/>
      </c>
      <c r="AG1106" s="2">
        <f t="shared" si="21"/>
      </c>
      <c r="AH1106" s="2">
        <f t="shared" si="22"/>
      </c>
      <c r="AI1106" s="2">
        <f t="shared" si="23"/>
      </c>
      <c r="AJ1106" s="2">
        <f t="shared" si="24"/>
        <v>0</v>
      </c>
      <c r="AK1106" s="2">
        <f t="shared" si="25"/>
        <v>0</v>
      </c>
      <c r="AL1106" s="2">
        <f t="shared" si="26"/>
        <v>0</v>
      </c>
      <c r="AM1106" s="2">
        <f t="shared" si="27"/>
        <v>0</v>
      </c>
      <c r="AN1106" s="2">
        <f t="shared" si="28"/>
        <v>0</v>
      </c>
      <c r="AO1106" s="2">
        <f t="shared" si="29"/>
      </c>
      <c r="AP1106" s="2">
        <f t="shared" si="30"/>
      </c>
      <c r="AQ1106" s="2">
        <f t="shared" si="31"/>
      </c>
    </row>
    <row r="1107">
      <c r="A1107" s="43">
        <f t="shared" si="3"/>
      </c>
      <c r="B1107" s="44" t="n"/>
      <c r="C1107" s="45" t="n"/>
      <c r="D1107" s="46" t="n"/>
      <c r="E1107" s="47" t="n"/>
      <c r="F1107" s="47" t="n"/>
      <c r="G1107" s="48">
        <f t="shared" si="4"/>
      </c>
      <c r="H1107" s="43">
        <f t="shared" si="0"/>
      </c>
      <c r="I1107" s="43">
        <f t="shared" si="5"/>
      </c>
      <c r="J1107" s="43">
        <f t="shared" si="1"/>
      </c>
      <c r="K1107" s="49">
        <f t="shared" si="2"/>
      </c>
      <c r="L1107" s="45" t="n"/>
      <c r="M1107" s="45" t="n"/>
      <c r="N1107" s="45" t="n"/>
      <c r="O1107" s="45" t="n"/>
      <c r="P1107" s="50" t="n"/>
      <c r="R1107" s="2">
        <f t="shared" si="6"/>
        <v>0</v>
      </c>
      <c r="S1107" s="2">
        <f t="shared" si="7"/>
      </c>
      <c r="T1107" s="2">
        <f t="shared" si="8"/>
      </c>
      <c r="U1107" s="2">
        <f t="shared" si="9"/>
      </c>
      <c r="V1107" s="2">
        <f t="shared" si="10"/>
      </c>
      <c r="W1107" s="2">
        <f t="shared" si="11"/>
      </c>
      <c r="X1107" s="2">
        <f t="shared" si="12"/>
      </c>
      <c r="Y1107" s="2">
        <f t="shared" si="13"/>
        <v>0</v>
      </c>
      <c r="Z1107" s="2">
        <f t="shared" si="14"/>
      </c>
      <c r="AA1107" s="2">
        <f t="shared" si="15"/>
        <v>0</v>
      </c>
      <c r="AB1107" s="2">
        <f t="shared" si="16"/>
      </c>
      <c r="AC1107" s="2">
        <f t="shared" si="17"/>
      </c>
      <c r="AD1107" s="2">
        <f t="shared" si="18"/>
      </c>
      <c r="AE1107" s="2">
        <f t="shared" si="19"/>
      </c>
      <c r="AF1107" s="2">
        <f t="shared" si="20"/>
      </c>
      <c r="AG1107" s="2">
        <f t="shared" si="21"/>
      </c>
      <c r="AH1107" s="2">
        <f t="shared" si="22"/>
      </c>
      <c r="AI1107" s="2">
        <f t="shared" si="23"/>
      </c>
      <c r="AJ1107" s="2">
        <f t="shared" si="24"/>
        <v>0</v>
      </c>
      <c r="AK1107" s="2">
        <f t="shared" si="25"/>
        <v>0</v>
      </c>
      <c r="AL1107" s="2">
        <f t="shared" si="26"/>
        <v>0</v>
      </c>
      <c r="AM1107" s="2">
        <f t="shared" si="27"/>
        <v>0</v>
      </c>
      <c r="AN1107" s="2">
        <f t="shared" si="28"/>
        <v>0</v>
      </c>
      <c r="AO1107" s="2">
        <f t="shared" si="29"/>
      </c>
      <c r="AP1107" s="2">
        <f t="shared" si="30"/>
      </c>
      <c r="AQ1107" s="2">
        <f t="shared" si="31"/>
      </c>
    </row>
    <row r="1108">
      <c r="A1108" s="43">
        <f t="shared" si="3"/>
      </c>
      <c r="B1108" s="44" t="n"/>
      <c r="C1108" s="45" t="n"/>
      <c r="D1108" s="46" t="n"/>
      <c r="E1108" s="47" t="n"/>
      <c r="F1108" s="47" t="n"/>
      <c r="G1108" s="48">
        <f t="shared" si="4"/>
      </c>
      <c r="H1108" s="43">
        <f t="shared" si="0"/>
      </c>
      <c r="I1108" s="43">
        <f t="shared" si="5"/>
      </c>
      <c r="J1108" s="43">
        <f t="shared" si="1"/>
      </c>
      <c r="K1108" s="49">
        <f t="shared" si="2"/>
      </c>
      <c r="L1108" s="45" t="n"/>
      <c r="M1108" s="45" t="n"/>
      <c r="N1108" s="45" t="n"/>
      <c r="O1108" s="45" t="n"/>
      <c r="P1108" s="50" t="n"/>
      <c r="R1108" s="2">
        <f t="shared" si="6"/>
        <v>0</v>
      </c>
      <c r="S1108" s="2">
        <f t="shared" si="7"/>
      </c>
      <c r="T1108" s="2">
        <f t="shared" si="8"/>
      </c>
      <c r="U1108" s="2">
        <f t="shared" si="9"/>
      </c>
      <c r="V1108" s="2">
        <f t="shared" si="10"/>
      </c>
      <c r="W1108" s="2">
        <f t="shared" si="11"/>
      </c>
      <c r="X1108" s="2">
        <f t="shared" si="12"/>
      </c>
      <c r="Y1108" s="2">
        <f t="shared" si="13"/>
        <v>0</v>
      </c>
      <c r="Z1108" s="2">
        <f t="shared" si="14"/>
      </c>
      <c r="AA1108" s="2">
        <f t="shared" si="15"/>
        <v>0</v>
      </c>
      <c r="AB1108" s="2">
        <f t="shared" si="16"/>
      </c>
      <c r="AC1108" s="2">
        <f t="shared" si="17"/>
      </c>
      <c r="AD1108" s="2">
        <f t="shared" si="18"/>
      </c>
      <c r="AE1108" s="2">
        <f t="shared" si="19"/>
      </c>
      <c r="AF1108" s="2">
        <f t="shared" si="20"/>
      </c>
      <c r="AG1108" s="2">
        <f t="shared" si="21"/>
      </c>
      <c r="AH1108" s="2">
        <f t="shared" si="22"/>
      </c>
      <c r="AI1108" s="2">
        <f t="shared" si="23"/>
      </c>
      <c r="AJ1108" s="2">
        <f t="shared" si="24"/>
        <v>0</v>
      </c>
      <c r="AK1108" s="2">
        <f t="shared" si="25"/>
        <v>0</v>
      </c>
      <c r="AL1108" s="2">
        <f t="shared" si="26"/>
        <v>0</v>
      </c>
      <c r="AM1108" s="2">
        <f t="shared" si="27"/>
        <v>0</v>
      </c>
      <c r="AN1108" s="2">
        <f t="shared" si="28"/>
        <v>0</v>
      </c>
      <c r="AO1108" s="2">
        <f t="shared" si="29"/>
      </c>
      <c r="AP1108" s="2">
        <f t="shared" si="30"/>
      </c>
      <c r="AQ1108" s="2">
        <f t="shared" si="31"/>
      </c>
    </row>
    <row r="1109">
      <c r="A1109" s="43">
        <f t="shared" si="3"/>
      </c>
      <c r="B1109" s="44" t="n"/>
      <c r="C1109" s="45" t="n"/>
      <c r="D1109" s="46" t="n"/>
      <c r="E1109" s="47" t="n"/>
      <c r="F1109" s="47" t="n"/>
      <c r="G1109" s="48">
        <f t="shared" si="4"/>
      </c>
      <c r="H1109" s="43">
        <f t="shared" si="0"/>
      </c>
      <c r="I1109" s="43">
        <f t="shared" si="5"/>
      </c>
      <c r="J1109" s="43">
        <f t="shared" si="1"/>
      </c>
      <c r="K1109" s="49">
        <f t="shared" si="2"/>
      </c>
      <c r="L1109" s="45" t="n"/>
      <c r="M1109" s="45" t="n"/>
      <c r="N1109" s="45" t="n"/>
      <c r="O1109" s="45" t="n"/>
      <c r="P1109" s="50" t="n"/>
      <c r="R1109" s="2">
        <f t="shared" si="6"/>
        <v>0</v>
      </c>
      <c r="S1109" s="2">
        <f t="shared" si="7"/>
      </c>
      <c r="T1109" s="2">
        <f t="shared" si="8"/>
      </c>
      <c r="U1109" s="2">
        <f t="shared" si="9"/>
      </c>
      <c r="V1109" s="2">
        <f t="shared" si="10"/>
      </c>
      <c r="W1109" s="2">
        <f t="shared" si="11"/>
      </c>
      <c r="X1109" s="2">
        <f t="shared" si="12"/>
      </c>
      <c r="Y1109" s="2">
        <f t="shared" si="13"/>
        <v>0</v>
      </c>
      <c r="Z1109" s="2">
        <f t="shared" si="14"/>
      </c>
      <c r="AA1109" s="2">
        <f t="shared" si="15"/>
        <v>0</v>
      </c>
      <c r="AB1109" s="2">
        <f t="shared" si="16"/>
      </c>
      <c r="AC1109" s="2">
        <f t="shared" si="17"/>
      </c>
      <c r="AD1109" s="2">
        <f t="shared" si="18"/>
      </c>
      <c r="AE1109" s="2">
        <f t="shared" si="19"/>
      </c>
      <c r="AF1109" s="2">
        <f t="shared" si="20"/>
      </c>
      <c r="AG1109" s="2">
        <f t="shared" si="21"/>
      </c>
      <c r="AH1109" s="2">
        <f t="shared" si="22"/>
      </c>
      <c r="AI1109" s="2">
        <f t="shared" si="23"/>
      </c>
      <c r="AJ1109" s="2">
        <f t="shared" si="24"/>
        <v>0</v>
      </c>
      <c r="AK1109" s="2">
        <f t="shared" si="25"/>
        <v>0</v>
      </c>
      <c r="AL1109" s="2">
        <f t="shared" si="26"/>
        <v>0</v>
      </c>
      <c r="AM1109" s="2">
        <f t="shared" si="27"/>
        <v>0</v>
      </c>
      <c r="AN1109" s="2">
        <f t="shared" si="28"/>
        <v>0</v>
      </c>
      <c r="AO1109" s="2">
        <f t="shared" si="29"/>
      </c>
      <c r="AP1109" s="2">
        <f t="shared" si="30"/>
      </c>
      <c r="AQ1109" s="2">
        <f t="shared" si="31"/>
      </c>
    </row>
    <row r="1110">
      <c r="A1110" s="43">
        <f t="shared" si="3"/>
      </c>
      <c r="B1110" s="44" t="n"/>
      <c r="C1110" s="45" t="n"/>
      <c r="D1110" s="46" t="n"/>
      <c r="E1110" s="47" t="n"/>
      <c r="F1110" s="47" t="n"/>
      <c r="G1110" s="48">
        <f t="shared" si="4"/>
      </c>
      <c r="H1110" s="43">
        <f t="shared" si="0"/>
      </c>
      <c r="I1110" s="43">
        <f t="shared" si="5"/>
      </c>
      <c r="J1110" s="43">
        <f t="shared" si="1"/>
      </c>
      <c r="K1110" s="49">
        <f t="shared" si="2"/>
      </c>
      <c r="L1110" s="45" t="n"/>
      <c r="M1110" s="45" t="n"/>
      <c r="N1110" s="45" t="n"/>
      <c r="O1110" s="45" t="n"/>
      <c r="P1110" s="50" t="n"/>
      <c r="R1110" s="2">
        <f t="shared" si="6"/>
        <v>0</v>
      </c>
      <c r="S1110" s="2">
        <f t="shared" si="7"/>
      </c>
      <c r="T1110" s="2">
        <f t="shared" si="8"/>
      </c>
      <c r="U1110" s="2">
        <f t="shared" si="9"/>
      </c>
      <c r="V1110" s="2">
        <f t="shared" si="10"/>
      </c>
      <c r="W1110" s="2">
        <f t="shared" si="11"/>
      </c>
      <c r="X1110" s="2">
        <f t="shared" si="12"/>
      </c>
      <c r="Y1110" s="2">
        <f t="shared" si="13"/>
        <v>0</v>
      </c>
      <c r="Z1110" s="2">
        <f t="shared" si="14"/>
      </c>
      <c r="AA1110" s="2">
        <f t="shared" si="15"/>
        <v>0</v>
      </c>
      <c r="AB1110" s="2">
        <f t="shared" si="16"/>
      </c>
      <c r="AC1110" s="2">
        <f t="shared" si="17"/>
      </c>
      <c r="AD1110" s="2">
        <f t="shared" si="18"/>
      </c>
      <c r="AE1110" s="2">
        <f t="shared" si="19"/>
      </c>
      <c r="AF1110" s="2">
        <f t="shared" si="20"/>
      </c>
      <c r="AG1110" s="2">
        <f t="shared" si="21"/>
      </c>
      <c r="AH1110" s="2">
        <f t="shared" si="22"/>
      </c>
      <c r="AI1110" s="2">
        <f t="shared" si="23"/>
      </c>
      <c r="AJ1110" s="2">
        <f t="shared" si="24"/>
        <v>0</v>
      </c>
      <c r="AK1110" s="2">
        <f t="shared" si="25"/>
        <v>0</v>
      </c>
      <c r="AL1110" s="2">
        <f t="shared" si="26"/>
        <v>0</v>
      </c>
      <c r="AM1110" s="2">
        <f t="shared" si="27"/>
        <v>0</v>
      </c>
      <c r="AN1110" s="2">
        <f t="shared" si="28"/>
        <v>0</v>
      </c>
      <c r="AO1110" s="2">
        <f t="shared" si="29"/>
      </c>
      <c r="AP1110" s="2">
        <f t="shared" si="30"/>
      </c>
      <c r="AQ1110" s="2">
        <f t="shared" si="31"/>
      </c>
    </row>
    <row r="1111">
      <c r="A1111" s="43">
        <f t="shared" si="3"/>
      </c>
      <c r="B1111" s="44" t="n"/>
      <c r="C1111" s="45" t="n"/>
      <c r="D1111" s="46" t="n"/>
      <c r="E1111" s="47" t="n"/>
      <c r="F1111" s="47" t="n"/>
      <c r="G1111" s="48">
        <f t="shared" si="4"/>
      </c>
      <c r="H1111" s="43">
        <f t="shared" si="0"/>
      </c>
      <c r="I1111" s="43">
        <f t="shared" si="5"/>
      </c>
      <c r="J1111" s="43">
        <f t="shared" si="1"/>
      </c>
      <c r="K1111" s="49">
        <f t="shared" si="2"/>
      </c>
      <c r="L1111" s="45" t="n"/>
      <c r="M1111" s="45" t="n"/>
      <c r="N1111" s="45" t="n"/>
      <c r="O1111" s="45" t="n"/>
      <c r="P1111" s="50" t="n"/>
      <c r="R1111" s="2">
        <f t="shared" si="6"/>
        <v>0</v>
      </c>
      <c r="S1111" s="2">
        <f t="shared" si="7"/>
      </c>
      <c r="T1111" s="2">
        <f t="shared" si="8"/>
      </c>
      <c r="U1111" s="2">
        <f t="shared" si="9"/>
      </c>
      <c r="V1111" s="2">
        <f t="shared" si="10"/>
      </c>
      <c r="W1111" s="2">
        <f t="shared" si="11"/>
      </c>
      <c r="X1111" s="2">
        <f t="shared" si="12"/>
      </c>
      <c r="Y1111" s="2">
        <f t="shared" si="13"/>
        <v>0</v>
      </c>
      <c r="Z1111" s="2">
        <f t="shared" si="14"/>
      </c>
      <c r="AA1111" s="2">
        <f t="shared" si="15"/>
        <v>0</v>
      </c>
      <c r="AB1111" s="2">
        <f t="shared" si="16"/>
      </c>
      <c r="AC1111" s="2">
        <f t="shared" si="17"/>
      </c>
      <c r="AD1111" s="2">
        <f t="shared" si="18"/>
      </c>
      <c r="AE1111" s="2">
        <f t="shared" si="19"/>
      </c>
      <c r="AF1111" s="2">
        <f t="shared" si="20"/>
      </c>
      <c r="AG1111" s="2">
        <f t="shared" si="21"/>
      </c>
      <c r="AH1111" s="2">
        <f t="shared" si="22"/>
      </c>
      <c r="AI1111" s="2">
        <f t="shared" si="23"/>
      </c>
      <c r="AJ1111" s="2">
        <f t="shared" si="24"/>
        <v>0</v>
      </c>
      <c r="AK1111" s="2">
        <f t="shared" si="25"/>
        <v>0</v>
      </c>
      <c r="AL1111" s="2">
        <f t="shared" si="26"/>
        <v>0</v>
      </c>
      <c r="AM1111" s="2">
        <f t="shared" si="27"/>
        <v>0</v>
      </c>
      <c r="AN1111" s="2">
        <f t="shared" si="28"/>
        <v>0</v>
      </c>
      <c r="AO1111" s="2">
        <f t="shared" si="29"/>
      </c>
      <c r="AP1111" s="2">
        <f t="shared" si="30"/>
      </c>
      <c r="AQ1111" s="2">
        <f t="shared" si="31"/>
      </c>
    </row>
    <row r="1112">
      <c r="A1112" s="43">
        <f t="shared" si="3"/>
      </c>
      <c r="B1112" s="44" t="n"/>
      <c r="C1112" s="45" t="n"/>
      <c r="D1112" s="46" t="n"/>
      <c r="E1112" s="47" t="n"/>
      <c r="F1112" s="47" t="n"/>
      <c r="G1112" s="48">
        <f t="shared" si="4"/>
      </c>
      <c r="H1112" s="43">
        <f t="shared" si="0"/>
      </c>
      <c r="I1112" s="43">
        <f t="shared" si="5"/>
      </c>
      <c r="J1112" s="43">
        <f t="shared" si="1"/>
      </c>
      <c r="K1112" s="49">
        <f t="shared" si="2"/>
      </c>
      <c r="L1112" s="45" t="n"/>
      <c r="M1112" s="45" t="n"/>
      <c r="N1112" s="45" t="n"/>
      <c r="O1112" s="45" t="n"/>
      <c r="P1112" s="50" t="n"/>
      <c r="R1112" s="2">
        <f t="shared" si="6"/>
        <v>0</v>
      </c>
      <c r="S1112" s="2">
        <f t="shared" si="7"/>
      </c>
      <c r="T1112" s="2">
        <f t="shared" si="8"/>
      </c>
      <c r="U1112" s="2">
        <f t="shared" si="9"/>
      </c>
      <c r="V1112" s="2">
        <f t="shared" si="10"/>
      </c>
      <c r="W1112" s="2">
        <f t="shared" si="11"/>
      </c>
      <c r="X1112" s="2">
        <f t="shared" si="12"/>
      </c>
      <c r="Y1112" s="2">
        <f t="shared" si="13"/>
        <v>0</v>
      </c>
      <c r="Z1112" s="2">
        <f t="shared" si="14"/>
      </c>
      <c r="AA1112" s="2">
        <f t="shared" si="15"/>
        <v>0</v>
      </c>
      <c r="AB1112" s="2">
        <f t="shared" si="16"/>
      </c>
      <c r="AC1112" s="2">
        <f t="shared" si="17"/>
      </c>
      <c r="AD1112" s="2">
        <f t="shared" si="18"/>
      </c>
      <c r="AE1112" s="2">
        <f t="shared" si="19"/>
      </c>
      <c r="AF1112" s="2">
        <f t="shared" si="20"/>
      </c>
      <c r="AG1112" s="2">
        <f t="shared" si="21"/>
      </c>
      <c r="AH1112" s="2">
        <f t="shared" si="22"/>
      </c>
      <c r="AI1112" s="2">
        <f t="shared" si="23"/>
      </c>
      <c r="AJ1112" s="2">
        <f t="shared" si="24"/>
        <v>0</v>
      </c>
      <c r="AK1112" s="2">
        <f t="shared" si="25"/>
        <v>0</v>
      </c>
      <c r="AL1112" s="2">
        <f t="shared" si="26"/>
        <v>0</v>
      </c>
      <c r="AM1112" s="2">
        <f t="shared" si="27"/>
        <v>0</v>
      </c>
      <c r="AN1112" s="2">
        <f t="shared" si="28"/>
        <v>0</v>
      </c>
      <c r="AO1112" s="2">
        <f t="shared" si="29"/>
      </c>
      <c r="AP1112" s="2">
        <f t="shared" si="30"/>
      </c>
      <c r="AQ1112" s="2">
        <f t="shared" si="31"/>
      </c>
    </row>
    <row r="1113">
      <c r="A1113" s="43">
        <f t="shared" si="3"/>
      </c>
      <c r="B1113" s="44" t="n"/>
      <c r="C1113" s="45" t="n"/>
      <c r="D1113" s="46" t="n"/>
      <c r="E1113" s="47" t="n"/>
      <c r="F1113" s="47" t="n"/>
      <c r="G1113" s="48">
        <f t="shared" si="4"/>
      </c>
      <c r="H1113" s="43">
        <f t="shared" si="0"/>
      </c>
      <c r="I1113" s="43">
        <f t="shared" si="5"/>
      </c>
      <c r="J1113" s="43">
        <f t="shared" si="1"/>
      </c>
      <c r="K1113" s="49">
        <f t="shared" si="2"/>
      </c>
      <c r="L1113" s="45" t="n"/>
      <c r="M1113" s="45" t="n"/>
      <c r="N1113" s="45" t="n"/>
      <c r="O1113" s="45" t="n"/>
      <c r="P1113" s="50" t="n"/>
      <c r="R1113" s="2">
        <f t="shared" si="6"/>
        <v>0</v>
      </c>
      <c r="S1113" s="2">
        <f t="shared" si="7"/>
      </c>
      <c r="T1113" s="2">
        <f t="shared" si="8"/>
      </c>
      <c r="U1113" s="2">
        <f t="shared" si="9"/>
      </c>
      <c r="V1113" s="2">
        <f t="shared" si="10"/>
      </c>
      <c r="W1113" s="2">
        <f t="shared" si="11"/>
      </c>
      <c r="X1113" s="2">
        <f t="shared" si="12"/>
      </c>
      <c r="Y1113" s="2">
        <f t="shared" si="13"/>
        <v>0</v>
      </c>
      <c r="Z1113" s="2">
        <f t="shared" si="14"/>
      </c>
      <c r="AA1113" s="2">
        <f t="shared" si="15"/>
        <v>0</v>
      </c>
      <c r="AB1113" s="2">
        <f t="shared" si="16"/>
      </c>
      <c r="AC1113" s="2">
        <f t="shared" si="17"/>
      </c>
      <c r="AD1113" s="2">
        <f t="shared" si="18"/>
      </c>
      <c r="AE1113" s="2">
        <f t="shared" si="19"/>
      </c>
      <c r="AF1113" s="2">
        <f t="shared" si="20"/>
      </c>
      <c r="AG1113" s="2">
        <f t="shared" si="21"/>
      </c>
      <c r="AH1113" s="2">
        <f t="shared" si="22"/>
      </c>
      <c r="AI1113" s="2">
        <f t="shared" si="23"/>
      </c>
      <c r="AJ1113" s="2">
        <f t="shared" si="24"/>
        <v>0</v>
      </c>
      <c r="AK1113" s="2">
        <f t="shared" si="25"/>
        <v>0</v>
      </c>
      <c r="AL1113" s="2">
        <f t="shared" si="26"/>
        <v>0</v>
      </c>
      <c r="AM1113" s="2">
        <f t="shared" si="27"/>
        <v>0</v>
      </c>
      <c r="AN1113" s="2">
        <f t="shared" si="28"/>
        <v>0</v>
      </c>
      <c r="AO1113" s="2">
        <f t="shared" si="29"/>
      </c>
      <c r="AP1113" s="2">
        <f t="shared" si="30"/>
      </c>
      <c r="AQ1113" s="2">
        <f t="shared" si="31"/>
      </c>
    </row>
    <row r="1114">
      <c r="A1114" s="43">
        <f t="shared" si="3"/>
      </c>
      <c r="B1114" s="44" t="n"/>
      <c r="C1114" s="45" t="n"/>
      <c r="D1114" s="46" t="n"/>
      <c r="E1114" s="47" t="n"/>
      <c r="F1114" s="47" t="n"/>
      <c r="G1114" s="48">
        <f t="shared" si="4"/>
      </c>
      <c r="H1114" s="43">
        <f t="shared" si="0"/>
      </c>
      <c r="I1114" s="43">
        <f t="shared" si="5"/>
      </c>
      <c r="J1114" s="43">
        <f t="shared" si="1"/>
      </c>
      <c r="K1114" s="49">
        <f t="shared" si="2"/>
      </c>
      <c r="L1114" s="45" t="n"/>
      <c r="M1114" s="45" t="n"/>
      <c r="N1114" s="45" t="n"/>
      <c r="O1114" s="45" t="n"/>
      <c r="P1114" s="50" t="n"/>
      <c r="R1114" s="2">
        <f t="shared" si="6"/>
        <v>0</v>
      </c>
      <c r="S1114" s="2">
        <f t="shared" si="7"/>
      </c>
      <c r="T1114" s="2">
        <f t="shared" si="8"/>
      </c>
      <c r="U1114" s="2">
        <f t="shared" si="9"/>
      </c>
      <c r="V1114" s="2">
        <f t="shared" si="10"/>
      </c>
      <c r="W1114" s="2">
        <f t="shared" si="11"/>
      </c>
      <c r="X1114" s="2">
        <f t="shared" si="12"/>
      </c>
      <c r="Y1114" s="2">
        <f t="shared" si="13"/>
        <v>0</v>
      </c>
      <c r="Z1114" s="2">
        <f t="shared" si="14"/>
      </c>
      <c r="AA1114" s="2">
        <f t="shared" si="15"/>
        <v>0</v>
      </c>
      <c r="AB1114" s="2">
        <f t="shared" si="16"/>
      </c>
      <c r="AC1114" s="2">
        <f t="shared" si="17"/>
      </c>
      <c r="AD1114" s="2">
        <f t="shared" si="18"/>
      </c>
      <c r="AE1114" s="2">
        <f t="shared" si="19"/>
      </c>
      <c r="AF1114" s="2">
        <f t="shared" si="20"/>
      </c>
      <c r="AG1114" s="2">
        <f t="shared" si="21"/>
      </c>
      <c r="AH1114" s="2">
        <f t="shared" si="22"/>
      </c>
      <c r="AI1114" s="2">
        <f t="shared" si="23"/>
      </c>
      <c r="AJ1114" s="2">
        <f t="shared" si="24"/>
        <v>0</v>
      </c>
      <c r="AK1114" s="2">
        <f t="shared" si="25"/>
        <v>0</v>
      </c>
      <c r="AL1114" s="2">
        <f t="shared" si="26"/>
        <v>0</v>
      </c>
      <c r="AM1114" s="2">
        <f t="shared" si="27"/>
        <v>0</v>
      </c>
      <c r="AN1114" s="2">
        <f t="shared" si="28"/>
        <v>0</v>
      </c>
      <c r="AO1114" s="2">
        <f t="shared" si="29"/>
      </c>
      <c r="AP1114" s="2">
        <f t="shared" si="30"/>
      </c>
      <c r="AQ1114" s="2">
        <f t="shared" si="31"/>
      </c>
    </row>
    <row r="1115">
      <c r="A1115" s="43">
        <f t="shared" si="3"/>
      </c>
      <c r="B1115" s="44" t="n"/>
      <c r="C1115" s="45" t="n"/>
      <c r="D1115" s="46" t="n"/>
      <c r="E1115" s="47" t="n"/>
      <c r="F1115" s="47" t="n"/>
      <c r="G1115" s="48">
        <f t="shared" si="4"/>
      </c>
      <c r="H1115" s="43">
        <f t="shared" si="0"/>
      </c>
      <c r="I1115" s="43">
        <f t="shared" si="5"/>
      </c>
      <c r="J1115" s="43">
        <f t="shared" si="1"/>
      </c>
      <c r="K1115" s="49">
        <f t="shared" si="2"/>
      </c>
      <c r="L1115" s="45" t="n"/>
      <c r="M1115" s="45" t="n"/>
      <c r="N1115" s="45" t="n"/>
      <c r="O1115" s="45" t="n"/>
      <c r="P1115" s="50" t="n"/>
      <c r="R1115" s="2">
        <f t="shared" si="6"/>
        <v>0</v>
      </c>
      <c r="S1115" s="2">
        <f t="shared" si="7"/>
      </c>
      <c r="T1115" s="2">
        <f t="shared" si="8"/>
      </c>
      <c r="U1115" s="2">
        <f t="shared" si="9"/>
      </c>
      <c r="V1115" s="2">
        <f t="shared" si="10"/>
      </c>
      <c r="W1115" s="2">
        <f t="shared" si="11"/>
      </c>
      <c r="X1115" s="2">
        <f t="shared" si="12"/>
      </c>
      <c r="Y1115" s="2">
        <f t="shared" si="13"/>
        <v>0</v>
      </c>
      <c r="Z1115" s="2">
        <f t="shared" si="14"/>
      </c>
      <c r="AA1115" s="2">
        <f t="shared" si="15"/>
        <v>0</v>
      </c>
      <c r="AB1115" s="2">
        <f t="shared" si="16"/>
      </c>
      <c r="AC1115" s="2">
        <f t="shared" si="17"/>
      </c>
      <c r="AD1115" s="2">
        <f t="shared" si="18"/>
      </c>
      <c r="AE1115" s="2">
        <f t="shared" si="19"/>
      </c>
      <c r="AF1115" s="2">
        <f t="shared" si="20"/>
      </c>
      <c r="AG1115" s="2">
        <f t="shared" si="21"/>
      </c>
      <c r="AH1115" s="2">
        <f t="shared" si="22"/>
      </c>
      <c r="AI1115" s="2">
        <f t="shared" si="23"/>
      </c>
      <c r="AJ1115" s="2">
        <f t="shared" si="24"/>
        <v>0</v>
      </c>
      <c r="AK1115" s="2">
        <f t="shared" si="25"/>
        <v>0</v>
      </c>
      <c r="AL1115" s="2">
        <f t="shared" si="26"/>
        <v>0</v>
      </c>
      <c r="AM1115" s="2">
        <f t="shared" si="27"/>
        <v>0</v>
      </c>
      <c r="AN1115" s="2">
        <f t="shared" si="28"/>
        <v>0</v>
      </c>
      <c r="AO1115" s="2">
        <f t="shared" si="29"/>
      </c>
      <c r="AP1115" s="2">
        <f t="shared" si="30"/>
      </c>
      <c r="AQ1115" s="2">
        <f t="shared" si="31"/>
      </c>
    </row>
    <row r="1116">
      <c r="A1116" s="43">
        <f t="shared" si="3"/>
      </c>
      <c r="B1116" s="44" t="n"/>
      <c r="C1116" s="45" t="n"/>
      <c r="D1116" s="46" t="n"/>
      <c r="E1116" s="47" t="n"/>
      <c r="F1116" s="47" t="n"/>
      <c r="G1116" s="48">
        <f t="shared" si="4"/>
      </c>
      <c r="H1116" s="43">
        <f t="shared" si="0"/>
      </c>
      <c r="I1116" s="43">
        <f t="shared" si="5"/>
      </c>
      <c r="J1116" s="43">
        <f t="shared" si="1"/>
      </c>
      <c r="K1116" s="49">
        <f t="shared" si="2"/>
      </c>
      <c r="L1116" s="45" t="n"/>
      <c r="M1116" s="45" t="n"/>
      <c r="N1116" s="45" t="n"/>
      <c r="O1116" s="45" t="n"/>
      <c r="P1116" s="50" t="n"/>
      <c r="R1116" s="2">
        <f t="shared" si="6"/>
        <v>0</v>
      </c>
      <c r="S1116" s="2">
        <f t="shared" si="7"/>
      </c>
      <c r="T1116" s="2">
        <f t="shared" si="8"/>
      </c>
      <c r="U1116" s="2">
        <f t="shared" si="9"/>
      </c>
      <c r="V1116" s="2">
        <f t="shared" si="10"/>
      </c>
      <c r="W1116" s="2">
        <f t="shared" si="11"/>
      </c>
      <c r="X1116" s="2">
        <f t="shared" si="12"/>
      </c>
      <c r="Y1116" s="2">
        <f t="shared" si="13"/>
        <v>0</v>
      </c>
      <c r="Z1116" s="2">
        <f t="shared" si="14"/>
      </c>
      <c r="AA1116" s="2">
        <f t="shared" si="15"/>
        <v>0</v>
      </c>
      <c r="AB1116" s="2">
        <f t="shared" si="16"/>
      </c>
      <c r="AC1116" s="2">
        <f t="shared" si="17"/>
      </c>
      <c r="AD1116" s="2">
        <f t="shared" si="18"/>
      </c>
      <c r="AE1116" s="2">
        <f t="shared" si="19"/>
      </c>
      <c r="AF1116" s="2">
        <f t="shared" si="20"/>
      </c>
      <c r="AG1116" s="2">
        <f t="shared" si="21"/>
      </c>
      <c r="AH1116" s="2">
        <f t="shared" si="22"/>
      </c>
      <c r="AI1116" s="2">
        <f t="shared" si="23"/>
      </c>
      <c r="AJ1116" s="2">
        <f t="shared" si="24"/>
        <v>0</v>
      </c>
      <c r="AK1116" s="2">
        <f t="shared" si="25"/>
        <v>0</v>
      </c>
      <c r="AL1116" s="2">
        <f t="shared" si="26"/>
        <v>0</v>
      </c>
      <c r="AM1116" s="2">
        <f t="shared" si="27"/>
        <v>0</v>
      </c>
      <c r="AN1116" s="2">
        <f t="shared" si="28"/>
        <v>0</v>
      </c>
      <c r="AO1116" s="2">
        <f t="shared" si="29"/>
      </c>
      <c r="AP1116" s="2">
        <f t="shared" si="30"/>
      </c>
      <c r="AQ1116" s="2">
        <f t="shared" si="31"/>
      </c>
    </row>
    <row r="1117">
      <c r="A1117" s="43">
        <f t="shared" si="3"/>
      </c>
      <c r="B1117" s="44" t="n"/>
      <c r="C1117" s="45" t="n"/>
      <c r="D1117" s="46" t="n"/>
      <c r="E1117" s="47" t="n"/>
      <c r="F1117" s="47" t="n"/>
      <c r="G1117" s="48">
        <f t="shared" si="4"/>
      </c>
      <c r="H1117" s="43">
        <f t="shared" si="0"/>
      </c>
      <c r="I1117" s="43">
        <f t="shared" si="5"/>
      </c>
      <c r="J1117" s="43">
        <f t="shared" si="1"/>
      </c>
      <c r="K1117" s="49">
        <f t="shared" si="2"/>
      </c>
      <c r="L1117" s="45" t="n"/>
      <c r="M1117" s="45" t="n"/>
      <c r="N1117" s="45" t="n"/>
      <c r="O1117" s="45" t="n"/>
      <c r="P1117" s="50" t="n"/>
      <c r="R1117" s="2">
        <f t="shared" si="6"/>
        <v>0</v>
      </c>
      <c r="S1117" s="2">
        <f t="shared" si="7"/>
      </c>
      <c r="T1117" s="2">
        <f t="shared" si="8"/>
      </c>
      <c r="U1117" s="2">
        <f t="shared" si="9"/>
      </c>
      <c r="V1117" s="2">
        <f t="shared" si="10"/>
      </c>
      <c r="W1117" s="2">
        <f t="shared" si="11"/>
      </c>
      <c r="X1117" s="2">
        <f t="shared" si="12"/>
      </c>
      <c r="Y1117" s="2">
        <f t="shared" si="13"/>
        <v>0</v>
      </c>
      <c r="Z1117" s="2">
        <f t="shared" si="14"/>
      </c>
      <c r="AA1117" s="2">
        <f t="shared" si="15"/>
        <v>0</v>
      </c>
      <c r="AB1117" s="2">
        <f t="shared" si="16"/>
      </c>
      <c r="AC1117" s="2">
        <f t="shared" si="17"/>
      </c>
      <c r="AD1117" s="2">
        <f t="shared" si="18"/>
      </c>
      <c r="AE1117" s="2">
        <f t="shared" si="19"/>
      </c>
      <c r="AF1117" s="2">
        <f t="shared" si="20"/>
      </c>
      <c r="AG1117" s="2">
        <f t="shared" si="21"/>
      </c>
      <c r="AH1117" s="2">
        <f t="shared" si="22"/>
      </c>
      <c r="AI1117" s="2">
        <f t="shared" si="23"/>
      </c>
      <c r="AJ1117" s="2">
        <f t="shared" si="24"/>
        <v>0</v>
      </c>
      <c r="AK1117" s="2">
        <f t="shared" si="25"/>
        <v>0</v>
      </c>
      <c r="AL1117" s="2">
        <f t="shared" si="26"/>
        <v>0</v>
      </c>
      <c r="AM1117" s="2">
        <f t="shared" si="27"/>
        <v>0</v>
      </c>
      <c r="AN1117" s="2">
        <f t="shared" si="28"/>
        <v>0</v>
      </c>
      <c r="AO1117" s="2">
        <f t="shared" si="29"/>
      </c>
      <c r="AP1117" s="2">
        <f t="shared" si="30"/>
      </c>
      <c r="AQ1117" s="2">
        <f t="shared" si="31"/>
      </c>
    </row>
    <row r="1118">
      <c r="A1118" s="43">
        <f t="shared" si="3"/>
      </c>
      <c r="B1118" s="44" t="n"/>
      <c r="C1118" s="45" t="n"/>
      <c r="D1118" s="46" t="n"/>
      <c r="E1118" s="47" t="n"/>
      <c r="F1118" s="47" t="n"/>
      <c r="G1118" s="48">
        <f t="shared" si="4"/>
      </c>
      <c r="H1118" s="43">
        <f t="shared" si="0"/>
      </c>
      <c r="I1118" s="43">
        <f t="shared" si="5"/>
      </c>
      <c r="J1118" s="43">
        <f t="shared" si="1"/>
      </c>
      <c r="K1118" s="49">
        <f t="shared" si="2"/>
      </c>
      <c r="L1118" s="45" t="n"/>
      <c r="M1118" s="45" t="n"/>
      <c r="N1118" s="45" t="n"/>
      <c r="O1118" s="45" t="n"/>
      <c r="P1118" s="50" t="n"/>
      <c r="R1118" s="2">
        <f t="shared" si="6"/>
        <v>0</v>
      </c>
      <c r="S1118" s="2">
        <f t="shared" si="7"/>
      </c>
      <c r="T1118" s="2">
        <f t="shared" si="8"/>
      </c>
      <c r="U1118" s="2">
        <f t="shared" si="9"/>
      </c>
      <c r="V1118" s="2">
        <f t="shared" si="10"/>
      </c>
      <c r="W1118" s="2">
        <f t="shared" si="11"/>
      </c>
      <c r="X1118" s="2">
        <f t="shared" si="12"/>
      </c>
      <c r="Y1118" s="2">
        <f t="shared" si="13"/>
        <v>0</v>
      </c>
      <c r="Z1118" s="2">
        <f t="shared" si="14"/>
      </c>
      <c r="AA1118" s="2">
        <f t="shared" si="15"/>
        <v>0</v>
      </c>
      <c r="AB1118" s="2">
        <f t="shared" si="16"/>
      </c>
      <c r="AC1118" s="2">
        <f t="shared" si="17"/>
      </c>
      <c r="AD1118" s="2">
        <f t="shared" si="18"/>
      </c>
      <c r="AE1118" s="2">
        <f t="shared" si="19"/>
      </c>
      <c r="AF1118" s="2">
        <f t="shared" si="20"/>
      </c>
      <c r="AG1118" s="2">
        <f t="shared" si="21"/>
      </c>
      <c r="AH1118" s="2">
        <f t="shared" si="22"/>
      </c>
      <c r="AI1118" s="2">
        <f t="shared" si="23"/>
      </c>
      <c r="AJ1118" s="2">
        <f t="shared" si="24"/>
        <v>0</v>
      </c>
      <c r="AK1118" s="2">
        <f t="shared" si="25"/>
        <v>0</v>
      </c>
      <c r="AL1118" s="2">
        <f t="shared" si="26"/>
        <v>0</v>
      </c>
      <c r="AM1118" s="2">
        <f t="shared" si="27"/>
        <v>0</v>
      </c>
      <c r="AN1118" s="2">
        <f t="shared" si="28"/>
        <v>0</v>
      </c>
      <c r="AO1118" s="2">
        <f t="shared" si="29"/>
      </c>
      <c r="AP1118" s="2">
        <f t="shared" si="30"/>
      </c>
      <c r="AQ1118" s="2">
        <f t="shared" si="31"/>
      </c>
    </row>
    <row r="1119">
      <c r="A1119" s="43">
        <f t="shared" si="3"/>
      </c>
      <c r="B1119" s="44" t="n"/>
      <c r="C1119" s="45" t="n"/>
      <c r="D1119" s="46" t="n"/>
      <c r="E1119" s="47" t="n"/>
      <c r="F1119" s="47" t="n"/>
      <c r="G1119" s="48">
        <f t="shared" si="4"/>
      </c>
      <c r="H1119" s="43">
        <f t="shared" si="0"/>
      </c>
      <c r="I1119" s="43">
        <f t="shared" si="5"/>
      </c>
      <c r="J1119" s="43">
        <f t="shared" si="1"/>
      </c>
      <c r="K1119" s="49">
        <f t="shared" si="2"/>
      </c>
      <c r="L1119" s="45" t="n"/>
      <c r="M1119" s="45" t="n"/>
      <c r="N1119" s="45" t="n"/>
      <c r="O1119" s="45" t="n"/>
      <c r="P1119" s="50" t="n"/>
      <c r="R1119" s="2">
        <f t="shared" si="6"/>
        <v>0</v>
      </c>
      <c r="S1119" s="2">
        <f t="shared" si="7"/>
      </c>
      <c r="T1119" s="2">
        <f t="shared" si="8"/>
      </c>
      <c r="U1119" s="2">
        <f t="shared" si="9"/>
      </c>
      <c r="V1119" s="2">
        <f t="shared" si="10"/>
      </c>
      <c r="W1119" s="2">
        <f t="shared" si="11"/>
      </c>
      <c r="X1119" s="2">
        <f t="shared" si="12"/>
      </c>
      <c r="Y1119" s="2">
        <f t="shared" si="13"/>
        <v>0</v>
      </c>
      <c r="Z1119" s="2">
        <f t="shared" si="14"/>
      </c>
      <c r="AA1119" s="2">
        <f t="shared" si="15"/>
        <v>0</v>
      </c>
      <c r="AB1119" s="2">
        <f t="shared" si="16"/>
      </c>
      <c r="AC1119" s="2">
        <f t="shared" si="17"/>
      </c>
      <c r="AD1119" s="2">
        <f t="shared" si="18"/>
      </c>
      <c r="AE1119" s="2">
        <f t="shared" si="19"/>
      </c>
      <c r="AF1119" s="2">
        <f t="shared" si="20"/>
      </c>
      <c r="AG1119" s="2">
        <f t="shared" si="21"/>
      </c>
      <c r="AH1119" s="2">
        <f t="shared" si="22"/>
      </c>
      <c r="AI1119" s="2">
        <f t="shared" si="23"/>
      </c>
      <c r="AJ1119" s="2">
        <f t="shared" si="24"/>
        <v>0</v>
      </c>
      <c r="AK1119" s="2">
        <f t="shared" si="25"/>
        <v>0</v>
      </c>
      <c r="AL1119" s="2">
        <f t="shared" si="26"/>
        <v>0</v>
      </c>
      <c r="AM1119" s="2">
        <f t="shared" si="27"/>
        <v>0</v>
      </c>
      <c r="AN1119" s="2">
        <f t="shared" si="28"/>
        <v>0</v>
      </c>
      <c r="AO1119" s="2">
        <f t="shared" si="29"/>
      </c>
      <c r="AP1119" s="2">
        <f t="shared" si="30"/>
      </c>
      <c r="AQ1119" s="2">
        <f t="shared" si="31"/>
      </c>
    </row>
    <row r="1120">
      <c r="A1120" s="43">
        <f t="shared" si="3"/>
      </c>
      <c r="B1120" s="44" t="n"/>
      <c r="C1120" s="45" t="n"/>
      <c r="D1120" s="46" t="n"/>
      <c r="E1120" s="47" t="n"/>
      <c r="F1120" s="47" t="n"/>
      <c r="G1120" s="48">
        <f t="shared" si="4"/>
      </c>
      <c r="H1120" s="43">
        <f t="shared" si="0"/>
      </c>
      <c r="I1120" s="43">
        <f t="shared" si="5"/>
      </c>
      <c r="J1120" s="43">
        <f t="shared" si="1"/>
      </c>
      <c r="K1120" s="49">
        <f t="shared" si="2"/>
      </c>
      <c r="L1120" s="45" t="n"/>
      <c r="M1120" s="45" t="n"/>
      <c r="N1120" s="45" t="n"/>
      <c r="O1120" s="45" t="n"/>
      <c r="P1120" s="50" t="n"/>
      <c r="R1120" s="2">
        <f t="shared" si="6"/>
        <v>0</v>
      </c>
      <c r="S1120" s="2">
        <f t="shared" si="7"/>
      </c>
      <c r="T1120" s="2">
        <f t="shared" si="8"/>
      </c>
      <c r="U1120" s="2">
        <f t="shared" si="9"/>
      </c>
      <c r="V1120" s="2">
        <f t="shared" si="10"/>
      </c>
      <c r="W1120" s="2">
        <f t="shared" si="11"/>
      </c>
      <c r="X1120" s="2">
        <f t="shared" si="12"/>
      </c>
      <c r="Y1120" s="2">
        <f t="shared" si="13"/>
        <v>0</v>
      </c>
      <c r="Z1120" s="2">
        <f t="shared" si="14"/>
      </c>
      <c r="AA1120" s="2">
        <f t="shared" si="15"/>
        <v>0</v>
      </c>
      <c r="AB1120" s="2">
        <f t="shared" si="16"/>
      </c>
      <c r="AC1120" s="2">
        <f t="shared" si="17"/>
      </c>
      <c r="AD1120" s="2">
        <f t="shared" si="18"/>
      </c>
      <c r="AE1120" s="2">
        <f t="shared" si="19"/>
      </c>
      <c r="AF1120" s="2">
        <f t="shared" si="20"/>
      </c>
      <c r="AG1120" s="2">
        <f t="shared" si="21"/>
      </c>
      <c r="AH1120" s="2">
        <f t="shared" si="22"/>
      </c>
      <c r="AI1120" s="2">
        <f t="shared" si="23"/>
      </c>
      <c r="AJ1120" s="2">
        <f t="shared" si="24"/>
        <v>0</v>
      </c>
      <c r="AK1120" s="2">
        <f t="shared" si="25"/>
        <v>0</v>
      </c>
      <c r="AL1120" s="2">
        <f t="shared" si="26"/>
        <v>0</v>
      </c>
      <c r="AM1120" s="2">
        <f t="shared" si="27"/>
        <v>0</v>
      </c>
      <c r="AN1120" s="2">
        <f t="shared" si="28"/>
        <v>0</v>
      </c>
      <c r="AO1120" s="2">
        <f t="shared" si="29"/>
      </c>
      <c r="AP1120" s="2">
        <f t="shared" si="30"/>
      </c>
      <c r="AQ1120" s="2">
        <f t="shared" si="31"/>
      </c>
    </row>
    <row r="1121">
      <c r="A1121" s="43">
        <f t="shared" si="3"/>
      </c>
      <c r="B1121" s="44" t="n"/>
      <c r="C1121" s="45" t="n"/>
      <c r="D1121" s="46" t="n"/>
      <c r="E1121" s="47" t="n"/>
      <c r="F1121" s="47" t="n"/>
      <c r="G1121" s="48">
        <f t="shared" si="4"/>
      </c>
      <c r="H1121" s="43">
        <f t="shared" si="0"/>
      </c>
      <c r="I1121" s="43">
        <f t="shared" si="5"/>
      </c>
      <c r="J1121" s="43">
        <f t="shared" si="1"/>
      </c>
      <c r="K1121" s="49">
        <f t="shared" si="2"/>
      </c>
      <c r="L1121" s="45" t="n"/>
      <c r="M1121" s="45" t="n"/>
      <c r="N1121" s="45" t="n"/>
      <c r="O1121" s="45" t="n"/>
      <c r="P1121" s="50" t="n"/>
      <c r="R1121" s="2">
        <f t="shared" si="6"/>
        <v>0</v>
      </c>
      <c r="S1121" s="2">
        <f t="shared" si="7"/>
      </c>
      <c r="T1121" s="2">
        <f t="shared" si="8"/>
      </c>
      <c r="U1121" s="2">
        <f t="shared" si="9"/>
      </c>
      <c r="V1121" s="2">
        <f t="shared" si="10"/>
      </c>
      <c r="W1121" s="2">
        <f t="shared" si="11"/>
      </c>
      <c r="X1121" s="2">
        <f t="shared" si="12"/>
      </c>
      <c r="Y1121" s="2">
        <f t="shared" si="13"/>
        <v>0</v>
      </c>
      <c r="Z1121" s="2">
        <f t="shared" si="14"/>
      </c>
      <c r="AA1121" s="2">
        <f t="shared" si="15"/>
        <v>0</v>
      </c>
      <c r="AB1121" s="2">
        <f t="shared" si="16"/>
      </c>
      <c r="AC1121" s="2">
        <f t="shared" si="17"/>
      </c>
      <c r="AD1121" s="2">
        <f t="shared" si="18"/>
      </c>
      <c r="AE1121" s="2">
        <f t="shared" si="19"/>
      </c>
      <c r="AF1121" s="2">
        <f t="shared" si="20"/>
      </c>
      <c r="AG1121" s="2">
        <f t="shared" si="21"/>
      </c>
      <c r="AH1121" s="2">
        <f t="shared" si="22"/>
      </c>
      <c r="AI1121" s="2">
        <f t="shared" si="23"/>
      </c>
      <c r="AJ1121" s="2">
        <f t="shared" si="24"/>
        <v>0</v>
      </c>
      <c r="AK1121" s="2">
        <f t="shared" si="25"/>
        <v>0</v>
      </c>
      <c r="AL1121" s="2">
        <f t="shared" si="26"/>
        <v>0</v>
      </c>
      <c r="AM1121" s="2">
        <f t="shared" si="27"/>
        <v>0</v>
      </c>
      <c r="AN1121" s="2">
        <f t="shared" si="28"/>
        <v>0</v>
      </c>
      <c r="AO1121" s="2">
        <f t="shared" si="29"/>
      </c>
      <c r="AP1121" s="2">
        <f t="shared" si="30"/>
      </c>
      <c r="AQ1121" s="2">
        <f t="shared" si="31"/>
      </c>
    </row>
    <row r="1122">
      <c r="A1122" s="43">
        <f t="shared" si="3"/>
      </c>
      <c r="B1122" s="44" t="n"/>
      <c r="C1122" s="45" t="n"/>
      <c r="D1122" s="46" t="n"/>
      <c r="E1122" s="47" t="n"/>
      <c r="F1122" s="47" t="n"/>
      <c r="G1122" s="48">
        <f t="shared" si="4"/>
      </c>
      <c r="H1122" s="43">
        <f t="shared" si="0"/>
      </c>
      <c r="I1122" s="43">
        <f t="shared" si="5"/>
      </c>
      <c r="J1122" s="43">
        <f t="shared" si="1"/>
      </c>
      <c r="K1122" s="49">
        <f t="shared" si="2"/>
      </c>
      <c r="L1122" s="45" t="n"/>
      <c r="M1122" s="45" t="n"/>
      <c r="N1122" s="45" t="n"/>
      <c r="O1122" s="45" t="n"/>
      <c r="P1122" s="50" t="n"/>
      <c r="R1122" s="2">
        <f t="shared" si="6"/>
        <v>0</v>
      </c>
      <c r="S1122" s="2">
        <f t="shared" si="7"/>
      </c>
      <c r="T1122" s="2">
        <f t="shared" si="8"/>
      </c>
      <c r="U1122" s="2">
        <f t="shared" si="9"/>
      </c>
      <c r="V1122" s="2">
        <f t="shared" si="10"/>
      </c>
      <c r="W1122" s="2">
        <f t="shared" si="11"/>
      </c>
      <c r="X1122" s="2">
        <f t="shared" si="12"/>
      </c>
      <c r="Y1122" s="2">
        <f t="shared" si="13"/>
        <v>0</v>
      </c>
      <c r="Z1122" s="2">
        <f t="shared" si="14"/>
      </c>
      <c r="AA1122" s="2">
        <f t="shared" si="15"/>
        <v>0</v>
      </c>
      <c r="AB1122" s="2">
        <f t="shared" si="16"/>
      </c>
      <c r="AC1122" s="2">
        <f t="shared" si="17"/>
      </c>
      <c r="AD1122" s="2">
        <f t="shared" si="18"/>
      </c>
      <c r="AE1122" s="2">
        <f t="shared" si="19"/>
      </c>
      <c r="AF1122" s="2">
        <f t="shared" si="20"/>
      </c>
      <c r="AG1122" s="2">
        <f t="shared" si="21"/>
      </c>
      <c r="AH1122" s="2">
        <f t="shared" si="22"/>
      </c>
      <c r="AI1122" s="2">
        <f t="shared" si="23"/>
      </c>
      <c r="AJ1122" s="2">
        <f t="shared" si="24"/>
        <v>0</v>
      </c>
      <c r="AK1122" s="2">
        <f t="shared" si="25"/>
        <v>0</v>
      </c>
      <c r="AL1122" s="2">
        <f t="shared" si="26"/>
        <v>0</v>
      </c>
      <c r="AM1122" s="2">
        <f t="shared" si="27"/>
        <v>0</v>
      </c>
      <c r="AN1122" s="2">
        <f t="shared" si="28"/>
        <v>0</v>
      </c>
      <c r="AO1122" s="2">
        <f t="shared" si="29"/>
      </c>
      <c r="AP1122" s="2">
        <f t="shared" si="30"/>
      </c>
      <c r="AQ1122" s="2">
        <f t="shared" si="31"/>
      </c>
    </row>
    <row r="1123">
      <c r="A1123" s="43">
        <f t="shared" si="3"/>
      </c>
      <c r="B1123" s="44" t="n"/>
      <c r="C1123" s="45" t="n"/>
      <c r="D1123" s="46" t="n"/>
      <c r="E1123" s="47" t="n"/>
      <c r="F1123" s="47" t="n"/>
      <c r="G1123" s="48">
        <f t="shared" si="4"/>
      </c>
      <c r="H1123" s="43">
        <f t="shared" si="0"/>
      </c>
      <c r="I1123" s="43">
        <f t="shared" si="5"/>
      </c>
      <c r="J1123" s="43">
        <f t="shared" si="1"/>
      </c>
      <c r="K1123" s="49">
        <f t="shared" si="2"/>
      </c>
      <c r="L1123" s="45" t="n"/>
      <c r="M1123" s="45" t="n"/>
      <c r="N1123" s="45" t="n"/>
      <c r="O1123" s="45" t="n"/>
      <c r="P1123" s="50" t="n"/>
      <c r="R1123" s="2">
        <f t="shared" si="6"/>
        <v>0</v>
      </c>
      <c r="S1123" s="2">
        <f t="shared" si="7"/>
      </c>
      <c r="T1123" s="2">
        <f t="shared" si="8"/>
      </c>
      <c r="U1123" s="2">
        <f t="shared" si="9"/>
      </c>
      <c r="V1123" s="2">
        <f t="shared" si="10"/>
      </c>
      <c r="W1123" s="2">
        <f t="shared" si="11"/>
      </c>
      <c r="X1123" s="2">
        <f t="shared" si="12"/>
      </c>
      <c r="Y1123" s="2">
        <f t="shared" si="13"/>
        <v>0</v>
      </c>
      <c r="Z1123" s="2">
        <f t="shared" si="14"/>
      </c>
      <c r="AA1123" s="2">
        <f t="shared" si="15"/>
        <v>0</v>
      </c>
      <c r="AB1123" s="2">
        <f t="shared" si="16"/>
      </c>
      <c r="AC1123" s="2">
        <f t="shared" si="17"/>
      </c>
      <c r="AD1123" s="2">
        <f t="shared" si="18"/>
      </c>
      <c r="AE1123" s="2">
        <f t="shared" si="19"/>
      </c>
      <c r="AF1123" s="2">
        <f t="shared" si="20"/>
      </c>
      <c r="AG1123" s="2">
        <f t="shared" si="21"/>
      </c>
      <c r="AH1123" s="2">
        <f t="shared" si="22"/>
      </c>
      <c r="AI1123" s="2">
        <f t="shared" si="23"/>
      </c>
      <c r="AJ1123" s="2">
        <f t="shared" si="24"/>
        <v>0</v>
      </c>
      <c r="AK1123" s="2">
        <f t="shared" si="25"/>
        <v>0</v>
      </c>
      <c r="AL1123" s="2">
        <f t="shared" si="26"/>
        <v>0</v>
      </c>
      <c r="AM1123" s="2">
        <f t="shared" si="27"/>
        <v>0</v>
      </c>
      <c r="AN1123" s="2">
        <f t="shared" si="28"/>
        <v>0</v>
      </c>
      <c r="AO1123" s="2">
        <f t="shared" si="29"/>
      </c>
      <c r="AP1123" s="2">
        <f t="shared" si="30"/>
      </c>
      <c r="AQ1123" s="2">
        <f t="shared" si="31"/>
      </c>
    </row>
    <row r="1124">
      <c r="A1124" s="43">
        <f t="shared" si="3"/>
      </c>
      <c r="B1124" s="44" t="n"/>
      <c r="C1124" s="45" t="n"/>
      <c r="D1124" s="46" t="n"/>
      <c r="E1124" s="47" t="n"/>
      <c r="F1124" s="47" t="n"/>
      <c r="G1124" s="48">
        <f t="shared" si="4"/>
      </c>
      <c r="H1124" s="43">
        <f t="shared" si="0"/>
      </c>
      <c r="I1124" s="43">
        <f t="shared" si="5"/>
      </c>
      <c r="J1124" s="43">
        <f t="shared" si="1"/>
      </c>
      <c r="K1124" s="49">
        <f t="shared" si="2"/>
      </c>
      <c r="L1124" s="45" t="n"/>
      <c r="M1124" s="45" t="n"/>
      <c r="N1124" s="45" t="n"/>
      <c r="O1124" s="45" t="n"/>
      <c r="P1124" s="50" t="n"/>
      <c r="R1124" s="2">
        <f t="shared" si="6"/>
        <v>0</v>
      </c>
      <c r="S1124" s="2">
        <f t="shared" si="7"/>
      </c>
      <c r="T1124" s="2">
        <f t="shared" si="8"/>
      </c>
      <c r="U1124" s="2">
        <f t="shared" si="9"/>
      </c>
      <c r="V1124" s="2">
        <f t="shared" si="10"/>
      </c>
      <c r="W1124" s="2">
        <f t="shared" si="11"/>
      </c>
      <c r="X1124" s="2">
        <f t="shared" si="12"/>
      </c>
      <c r="Y1124" s="2">
        <f t="shared" si="13"/>
        <v>0</v>
      </c>
      <c r="Z1124" s="2">
        <f t="shared" si="14"/>
      </c>
      <c r="AA1124" s="2">
        <f t="shared" si="15"/>
        <v>0</v>
      </c>
      <c r="AB1124" s="2">
        <f t="shared" si="16"/>
      </c>
      <c r="AC1124" s="2">
        <f t="shared" si="17"/>
      </c>
      <c r="AD1124" s="2">
        <f t="shared" si="18"/>
      </c>
      <c r="AE1124" s="2">
        <f t="shared" si="19"/>
      </c>
      <c r="AF1124" s="2">
        <f t="shared" si="20"/>
      </c>
      <c r="AG1124" s="2">
        <f t="shared" si="21"/>
      </c>
      <c r="AH1124" s="2">
        <f t="shared" si="22"/>
      </c>
      <c r="AI1124" s="2">
        <f t="shared" si="23"/>
      </c>
      <c r="AJ1124" s="2">
        <f t="shared" si="24"/>
        <v>0</v>
      </c>
      <c r="AK1124" s="2">
        <f t="shared" si="25"/>
        <v>0</v>
      </c>
      <c r="AL1124" s="2">
        <f t="shared" si="26"/>
        <v>0</v>
      </c>
      <c r="AM1124" s="2">
        <f t="shared" si="27"/>
        <v>0</v>
      </c>
      <c r="AN1124" s="2">
        <f t="shared" si="28"/>
        <v>0</v>
      </c>
      <c r="AO1124" s="2">
        <f t="shared" si="29"/>
      </c>
      <c r="AP1124" s="2">
        <f t="shared" si="30"/>
      </c>
      <c r="AQ1124" s="2">
        <f t="shared" si="31"/>
      </c>
    </row>
    <row r="1125">
      <c r="A1125" s="43">
        <f t="shared" si="3"/>
      </c>
      <c r="B1125" s="44" t="n"/>
      <c r="C1125" s="45" t="n"/>
      <c r="D1125" s="46" t="n"/>
      <c r="E1125" s="47" t="n"/>
      <c r="F1125" s="47" t="n"/>
      <c r="G1125" s="48">
        <f t="shared" si="4"/>
      </c>
      <c r="H1125" s="43">
        <f t="shared" si="0"/>
      </c>
      <c r="I1125" s="43">
        <f t="shared" si="5"/>
      </c>
      <c r="J1125" s="43">
        <f t="shared" si="1"/>
      </c>
      <c r="K1125" s="49">
        <f t="shared" si="2"/>
      </c>
      <c r="L1125" s="45" t="n"/>
      <c r="M1125" s="45" t="n"/>
      <c r="N1125" s="45" t="n"/>
      <c r="O1125" s="45" t="n"/>
      <c r="P1125" s="50" t="n"/>
      <c r="R1125" s="2">
        <f t="shared" si="6"/>
        <v>0</v>
      </c>
      <c r="S1125" s="2">
        <f t="shared" si="7"/>
      </c>
      <c r="T1125" s="2">
        <f t="shared" si="8"/>
      </c>
      <c r="U1125" s="2">
        <f t="shared" si="9"/>
      </c>
      <c r="V1125" s="2">
        <f t="shared" si="10"/>
      </c>
      <c r="W1125" s="2">
        <f t="shared" si="11"/>
      </c>
      <c r="X1125" s="2">
        <f t="shared" si="12"/>
      </c>
      <c r="Y1125" s="2">
        <f t="shared" si="13"/>
        <v>0</v>
      </c>
      <c r="Z1125" s="2">
        <f t="shared" si="14"/>
      </c>
      <c r="AA1125" s="2">
        <f t="shared" si="15"/>
        <v>0</v>
      </c>
      <c r="AB1125" s="2">
        <f t="shared" si="16"/>
      </c>
      <c r="AC1125" s="2">
        <f t="shared" si="17"/>
      </c>
      <c r="AD1125" s="2">
        <f t="shared" si="18"/>
      </c>
      <c r="AE1125" s="2">
        <f t="shared" si="19"/>
      </c>
      <c r="AF1125" s="2">
        <f t="shared" si="20"/>
      </c>
      <c r="AG1125" s="2">
        <f t="shared" si="21"/>
      </c>
      <c r="AH1125" s="2">
        <f t="shared" si="22"/>
      </c>
      <c r="AI1125" s="2">
        <f t="shared" si="23"/>
      </c>
      <c r="AJ1125" s="2">
        <f t="shared" si="24"/>
        <v>0</v>
      </c>
      <c r="AK1125" s="2">
        <f t="shared" si="25"/>
        <v>0</v>
      </c>
      <c r="AL1125" s="2">
        <f t="shared" si="26"/>
        <v>0</v>
      </c>
      <c r="AM1125" s="2">
        <f t="shared" si="27"/>
        <v>0</v>
      </c>
      <c r="AN1125" s="2">
        <f t="shared" si="28"/>
        <v>0</v>
      </c>
      <c r="AO1125" s="2">
        <f t="shared" si="29"/>
      </c>
      <c r="AP1125" s="2">
        <f t="shared" si="30"/>
      </c>
      <c r="AQ1125" s="2">
        <f t="shared" si="31"/>
      </c>
    </row>
    <row r="1126">
      <c r="A1126" s="43">
        <f t="shared" si="3"/>
      </c>
      <c r="B1126" s="44" t="n"/>
      <c r="C1126" s="45" t="n"/>
      <c r="D1126" s="46" t="n"/>
      <c r="E1126" s="47" t="n"/>
      <c r="F1126" s="47" t="n"/>
      <c r="G1126" s="48">
        <f t="shared" si="4"/>
      </c>
      <c r="H1126" s="43">
        <f t="shared" si="0"/>
      </c>
      <c r="I1126" s="43">
        <f t="shared" si="5"/>
      </c>
      <c r="J1126" s="43">
        <f t="shared" si="1"/>
      </c>
      <c r="K1126" s="49">
        <f t="shared" si="2"/>
      </c>
      <c r="L1126" s="45" t="n"/>
      <c r="M1126" s="45" t="n"/>
      <c r="N1126" s="45" t="n"/>
      <c r="O1126" s="45" t="n"/>
      <c r="P1126" s="50" t="n"/>
      <c r="R1126" s="2">
        <f t="shared" si="6"/>
        <v>0</v>
      </c>
      <c r="S1126" s="2">
        <f t="shared" si="7"/>
      </c>
      <c r="T1126" s="2">
        <f t="shared" si="8"/>
      </c>
      <c r="U1126" s="2">
        <f t="shared" si="9"/>
      </c>
      <c r="V1126" s="2">
        <f t="shared" si="10"/>
      </c>
      <c r="W1126" s="2">
        <f t="shared" si="11"/>
      </c>
      <c r="X1126" s="2">
        <f t="shared" si="12"/>
      </c>
      <c r="Y1126" s="2">
        <f t="shared" si="13"/>
        <v>0</v>
      </c>
      <c r="Z1126" s="2">
        <f t="shared" si="14"/>
      </c>
      <c r="AA1126" s="2">
        <f t="shared" si="15"/>
        <v>0</v>
      </c>
      <c r="AB1126" s="2">
        <f t="shared" si="16"/>
      </c>
      <c r="AC1126" s="2">
        <f t="shared" si="17"/>
      </c>
      <c r="AD1126" s="2">
        <f t="shared" si="18"/>
      </c>
      <c r="AE1126" s="2">
        <f t="shared" si="19"/>
      </c>
      <c r="AF1126" s="2">
        <f t="shared" si="20"/>
      </c>
      <c r="AG1126" s="2">
        <f t="shared" si="21"/>
      </c>
      <c r="AH1126" s="2">
        <f t="shared" si="22"/>
      </c>
      <c r="AI1126" s="2">
        <f t="shared" si="23"/>
      </c>
      <c r="AJ1126" s="2">
        <f t="shared" si="24"/>
        <v>0</v>
      </c>
      <c r="AK1126" s="2">
        <f t="shared" si="25"/>
        <v>0</v>
      </c>
      <c r="AL1126" s="2">
        <f t="shared" si="26"/>
        <v>0</v>
      </c>
      <c r="AM1126" s="2">
        <f t="shared" si="27"/>
        <v>0</v>
      </c>
      <c r="AN1126" s="2">
        <f t="shared" si="28"/>
        <v>0</v>
      </c>
      <c r="AO1126" s="2">
        <f t="shared" si="29"/>
      </c>
      <c r="AP1126" s="2">
        <f t="shared" si="30"/>
      </c>
      <c r="AQ1126" s="2">
        <f t="shared" si="31"/>
      </c>
    </row>
    <row r="1127">
      <c r="A1127" s="43">
        <f t="shared" si="3"/>
      </c>
      <c r="B1127" s="44" t="n"/>
      <c r="C1127" s="45" t="n"/>
      <c r="D1127" s="46" t="n"/>
      <c r="E1127" s="47" t="n"/>
      <c r="F1127" s="47" t="n"/>
      <c r="G1127" s="48">
        <f t="shared" si="4"/>
      </c>
      <c r="H1127" s="43">
        <f t="shared" si="0"/>
      </c>
      <c r="I1127" s="43">
        <f t="shared" si="5"/>
      </c>
      <c r="J1127" s="43">
        <f t="shared" si="1"/>
      </c>
      <c r="K1127" s="49">
        <f t="shared" si="2"/>
      </c>
      <c r="L1127" s="45" t="n"/>
      <c r="M1127" s="45" t="n"/>
      <c r="N1127" s="45" t="n"/>
      <c r="O1127" s="45" t="n"/>
      <c r="P1127" s="50" t="n"/>
      <c r="R1127" s="2">
        <f t="shared" si="6"/>
        <v>0</v>
      </c>
      <c r="S1127" s="2">
        <f t="shared" si="7"/>
      </c>
      <c r="T1127" s="2">
        <f t="shared" si="8"/>
      </c>
      <c r="U1127" s="2">
        <f t="shared" si="9"/>
      </c>
      <c r="V1127" s="2">
        <f t="shared" si="10"/>
      </c>
      <c r="W1127" s="2">
        <f t="shared" si="11"/>
      </c>
      <c r="X1127" s="2">
        <f t="shared" si="12"/>
      </c>
      <c r="Y1127" s="2">
        <f t="shared" si="13"/>
        <v>0</v>
      </c>
      <c r="Z1127" s="2">
        <f t="shared" si="14"/>
      </c>
      <c r="AA1127" s="2">
        <f t="shared" si="15"/>
        <v>0</v>
      </c>
      <c r="AB1127" s="2">
        <f t="shared" si="16"/>
      </c>
      <c r="AC1127" s="2">
        <f t="shared" si="17"/>
      </c>
      <c r="AD1127" s="2">
        <f t="shared" si="18"/>
      </c>
      <c r="AE1127" s="2">
        <f t="shared" si="19"/>
      </c>
      <c r="AF1127" s="2">
        <f t="shared" si="20"/>
      </c>
      <c r="AG1127" s="2">
        <f t="shared" si="21"/>
      </c>
      <c r="AH1127" s="2">
        <f t="shared" si="22"/>
      </c>
      <c r="AI1127" s="2">
        <f t="shared" si="23"/>
      </c>
      <c r="AJ1127" s="2">
        <f t="shared" si="24"/>
        <v>0</v>
      </c>
      <c r="AK1127" s="2">
        <f t="shared" si="25"/>
        <v>0</v>
      </c>
      <c r="AL1127" s="2">
        <f t="shared" si="26"/>
        <v>0</v>
      </c>
      <c r="AM1127" s="2">
        <f t="shared" si="27"/>
        <v>0</v>
      </c>
      <c r="AN1127" s="2">
        <f t="shared" si="28"/>
        <v>0</v>
      </c>
      <c r="AO1127" s="2">
        <f t="shared" si="29"/>
      </c>
      <c r="AP1127" s="2">
        <f t="shared" si="30"/>
      </c>
      <c r="AQ1127" s="2">
        <f t="shared" si="31"/>
      </c>
    </row>
    <row r="1128">
      <c r="A1128" s="43">
        <f t="shared" si="3"/>
      </c>
      <c r="B1128" s="44" t="n"/>
      <c r="C1128" s="45" t="n"/>
      <c r="D1128" s="46" t="n"/>
      <c r="E1128" s="47" t="n"/>
      <c r="F1128" s="47" t="n"/>
      <c r="G1128" s="48">
        <f t="shared" si="4"/>
      </c>
      <c r="H1128" s="43">
        <f t="shared" si="0"/>
      </c>
      <c r="I1128" s="43">
        <f t="shared" si="5"/>
      </c>
      <c r="J1128" s="43">
        <f t="shared" si="1"/>
      </c>
      <c r="K1128" s="49">
        <f t="shared" si="2"/>
      </c>
      <c r="L1128" s="45" t="n"/>
      <c r="M1128" s="45" t="n"/>
      <c r="N1128" s="45" t="n"/>
      <c r="O1128" s="45" t="n"/>
      <c r="P1128" s="50" t="n"/>
      <c r="R1128" s="2">
        <f t="shared" si="6"/>
        <v>0</v>
      </c>
      <c r="S1128" s="2">
        <f t="shared" si="7"/>
      </c>
      <c r="T1128" s="2">
        <f t="shared" si="8"/>
      </c>
      <c r="U1128" s="2">
        <f t="shared" si="9"/>
      </c>
      <c r="V1128" s="2">
        <f t="shared" si="10"/>
      </c>
      <c r="W1128" s="2">
        <f t="shared" si="11"/>
      </c>
      <c r="X1128" s="2">
        <f t="shared" si="12"/>
      </c>
      <c r="Y1128" s="2">
        <f t="shared" si="13"/>
        <v>0</v>
      </c>
      <c r="Z1128" s="2">
        <f t="shared" si="14"/>
      </c>
      <c r="AA1128" s="2">
        <f t="shared" si="15"/>
        <v>0</v>
      </c>
      <c r="AB1128" s="2">
        <f t="shared" si="16"/>
      </c>
      <c r="AC1128" s="2">
        <f t="shared" si="17"/>
      </c>
      <c r="AD1128" s="2">
        <f t="shared" si="18"/>
      </c>
      <c r="AE1128" s="2">
        <f t="shared" si="19"/>
      </c>
      <c r="AF1128" s="2">
        <f t="shared" si="20"/>
      </c>
      <c r="AG1128" s="2">
        <f t="shared" si="21"/>
      </c>
      <c r="AH1128" s="2">
        <f t="shared" si="22"/>
      </c>
      <c r="AI1128" s="2">
        <f t="shared" si="23"/>
      </c>
      <c r="AJ1128" s="2">
        <f t="shared" si="24"/>
        <v>0</v>
      </c>
      <c r="AK1128" s="2">
        <f t="shared" si="25"/>
        <v>0</v>
      </c>
      <c r="AL1128" s="2">
        <f t="shared" si="26"/>
        <v>0</v>
      </c>
      <c r="AM1128" s="2">
        <f t="shared" si="27"/>
        <v>0</v>
      </c>
      <c r="AN1128" s="2">
        <f t="shared" si="28"/>
        <v>0</v>
      </c>
      <c r="AO1128" s="2">
        <f t="shared" si="29"/>
      </c>
      <c r="AP1128" s="2">
        <f t="shared" si="30"/>
      </c>
      <c r="AQ1128" s="2">
        <f t="shared" si="31"/>
      </c>
    </row>
    <row r="1129">
      <c r="A1129" s="43">
        <f t="shared" si="3"/>
      </c>
      <c r="B1129" s="44" t="n"/>
      <c r="C1129" s="45" t="n"/>
      <c r="D1129" s="46" t="n"/>
      <c r="E1129" s="47" t="n"/>
      <c r="F1129" s="47" t="n"/>
      <c r="G1129" s="48">
        <f t="shared" si="4"/>
      </c>
      <c r="H1129" s="43">
        <f t="shared" si="0"/>
      </c>
      <c r="I1129" s="43">
        <f t="shared" si="5"/>
      </c>
      <c r="J1129" s="43">
        <f t="shared" si="1"/>
      </c>
      <c r="K1129" s="49">
        <f t="shared" si="2"/>
      </c>
      <c r="L1129" s="45" t="n"/>
      <c r="M1129" s="45" t="n"/>
      <c r="N1129" s="45" t="n"/>
      <c r="O1129" s="45" t="n"/>
      <c r="P1129" s="50" t="n"/>
      <c r="R1129" s="2">
        <f t="shared" si="6"/>
        <v>0</v>
      </c>
      <c r="S1129" s="2">
        <f t="shared" si="7"/>
      </c>
      <c r="T1129" s="2">
        <f t="shared" si="8"/>
      </c>
      <c r="U1129" s="2">
        <f t="shared" si="9"/>
      </c>
      <c r="V1129" s="2">
        <f t="shared" si="10"/>
      </c>
      <c r="W1129" s="2">
        <f t="shared" si="11"/>
      </c>
      <c r="X1129" s="2">
        <f t="shared" si="12"/>
      </c>
      <c r="Y1129" s="2">
        <f t="shared" si="13"/>
        <v>0</v>
      </c>
      <c r="Z1129" s="2">
        <f t="shared" si="14"/>
      </c>
      <c r="AA1129" s="2">
        <f t="shared" si="15"/>
        <v>0</v>
      </c>
      <c r="AB1129" s="2">
        <f t="shared" si="16"/>
      </c>
      <c r="AC1129" s="2">
        <f t="shared" si="17"/>
      </c>
      <c r="AD1129" s="2">
        <f t="shared" si="18"/>
      </c>
      <c r="AE1129" s="2">
        <f t="shared" si="19"/>
      </c>
      <c r="AF1129" s="2">
        <f t="shared" si="20"/>
      </c>
      <c r="AG1129" s="2">
        <f t="shared" si="21"/>
      </c>
      <c r="AH1129" s="2">
        <f t="shared" si="22"/>
      </c>
      <c r="AI1129" s="2">
        <f t="shared" si="23"/>
      </c>
      <c r="AJ1129" s="2">
        <f t="shared" si="24"/>
        <v>0</v>
      </c>
      <c r="AK1129" s="2">
        <f t="shared" si="25"/>
        <v>0</v>
      </c>
      <c r="AL1129" s="2">
        <f t="shared" si="26"/>
        <v>0</v>
      </c>
      <c r="AM1129" s="2">
        <f t="shared" si="27"/>
        <v>0</v>
      </c>
      <c r="AN1129" s="2">
        <f t="shared" si="28"/>
        <v>0</v>
      </c>
      <c r="AO1129" s="2">
        <f t="shared" si="29"/>
      </c>
      <c r="AP1129" s="2">
        <f t="shared" si="30"/>
      </c>
      <c r="AQ1129" s="2">
        <f t="shared" si="31"/>
      </c>
    </row>
    <row r="1130">
      <c r="A1130" s="43">
        <f t="shared" si="3"/>
      </c>
      <c r="B1130" s="44" t="n"/>
      <c r="C1130" s="45" t="n"/>
      <c r="D1130" s="46" t="n"/>
      <c r="E1130" s="47" t="n"/>
      <c r="F1130" s="47" t="n"/>
      <c r="G1130" s="48">
        <f t="shared" si="4"/>
      </c>
      <c r="H1130" s="43">
        <f t="shared" si="0"/>
      </c>
      <c r="I1130" s="43">
        <f t="shared" si="5"/>
      </c>
      <c r="J1130" s="43">
        <f t="shared" si="1"/>
      </c>
      <c r="K1130" s="49">
        <f t="shared" si="2"/>
      </c>
      <c r="L1130" s="45" t="n"/>
      <c r="M1130" s="45" t="n"/>
      <c r="N1130" s="45" t="n"/>
      <c r="O1130" s="45" t="n"/>
      <c r="P1130" s="50" t="n"/>
      <c r="R1130" s="2">
        <f t="shared" si="6"/>
        <v>0</v>
      </c>
      <c r="S1130" s="2">
        <f t="shared" si="7"/>
      </c>
      <c r="T1130" s="2">
        <f t="shared" si="8"/>
      </c>
      <c r="U1130" s="2">
        <f t="shared" si="9"/>
      </c>
      <c r="V1130" s="2">
        <f t="shared" si="10"/>
      </c>
      <c r="W1130" s="2">
        <f t="shared" si="11"/>
      </c>
      <c r="X1130" s="2">
        <f t="shared" si="12"/>
      </c>
      <c r="Y1130" s="2">
        <f t="shared" si="13"/>
        <v>0</v>
      </c>
      <c r="Z1130" s="2">
        <f t="shared" si="14"/>
      </c>
      <c r="AA1130" s="2">
        <f t="shared" si="15"/>
        <v>0</v>
      </c>
      <c r="AB1130" s="2">
        <f t="shared" si="16"/>
      </c>
      <c r="AC1130" s="2">
        <f t="shared" si="17"/>
      </c>
      <c r="AD1130" s="2">
        <f t="shared" si="18"/>
      </c>
      <c r="AE1130" s="2">
        <f t="shared" si="19"/>
      </c>
      <c r="AF1130" s="2">
        <f t="shared" si="20"/>
      </c>
      <c r="AG1130" s="2">
        <f t="shared" si="21"/>
      </c>
      <c r="AH1130" s="2">
        <f t="shared" si="22"/>
      </c>
      <c r="AI1130" s="2">
        <f t="shared" si="23"/>
      </c>
      <c r="AJ1130" s="2">
        <f t="shared" si="24"/>
        <v>0</v>
      </c>
      <c r="AK1130" s="2">
        <f t="shared" si="25"/>
        <v>0</v>
      </c>
      <c r="AL1130" s="2">
        <f t="shared" si="26"/>
        <v>0</v>
      </c>
      <c r="AM1130" s="2">
        <f t="shared" si="27"/>
        <v>0</v>
      </c>
      <c r="AN1130" s="2">
        <f t="shared" si="28"/>
        <v>0</v>
      </c>
      <c r="AO1130" s="2">
        <f t="shared" si="29"/>
      </c>
      <c r="AP1130" s="2">
        <f t="shared" si="30"/>
      </c>
      <c r="AQ1130" s="2">
        <f t="shared" si="31"/>
      </c>
    </row>
    <row r="1131">
      <c r="A1131" s="43">
        <f t="shared" si="3"/>
      </c>
      <c r="B1131" s="44" t="n"/>
      <c r="C1131" s="45" t="n"/>
      <c r="D1131" s="46" t="n"/>
      <c r="E1131" s="47" t="n"/>
      <c r="F1131" s="47" t="n"/>
      <c r="G1131" s="48">
        <f t="shared" si="4"/>
      </c>
      <c r="H1131" s="43">
        <f t="shared" si="0"/>
      </c>
      <c r="I1131" s="43">
        <f t="shared" si="5"/>
      </c>
      <c r="J1131" s="43">
        <f t="shared" si="1"/>
      </c>
      <c r="K1131" s="49">
        <f t="shared" si="2"/>
      </c>
      <c r="L1131" s="45" t="n"/>
      <c r="M1131" s="45" t="n"/>
      <c r="N1131" s="45" t="n"/>
      <c r="O1131" s="45" t="n"/>
      <c r="P1131" s="50" t="n"/>
      <c r="R1131" s="2">
        <f t="shared" si="6"/>
        <v>0</v>
      </c>
      <c r="S1131" s="2">
        <f t="shared" si="7"/>
      </c>
      <c r="T1131" s="2">
        <f t="shared" si="8"/>
      </c>
      <c r="U1131" s="2">
        <f t="shared" si="9"/>
      </c>
      <c r="V1131" s="2">
        <f t="shared" si="10"/>
      </c>
      <c r="W1131" s="2">
        <f t="shared" si="11"/>
      </c>
      <c r="X1131" s="2">
        <f t="shared" si="12"/>
      </c>
      <c r="Y1131" s="2">
        <f t="shared" si="13"/>
        <v>0</v>
      </c>
      <c r="Z1131" s="2">
        <f t="shared" si="14"/>
      </c>
      <c r="AA1131" s="2">
        <f t="shared" si="15"/>
        <v>0</v>
      </c>
      <c r="AB1131" s="2">
        <f t="shared" si="16"/>
      </c>
      <c r="AC1131" s="2">
        <f t="shared" si="17"/>
      </c>
      <c r="AD1131" s="2">
        <f t="shared" si="18"/>
      </c>
      <c r="AE1131" s="2">
        <f t="shared" si="19"/>
      </c>
      <c r="AF1131" s="2">
        <f t="shared" si="20"/>
      </c>
      <c r="AG1131" s="2">
        <f t="shared" si="21"/>
      </c>
      <c r="AH1131" s="2">
        <f t="shared" si="22"/>
      </c>
      <c r="AI1131" s="2">
        <f t="shared" si="23"/>
      </c>
      <c r="AJ1131" s="2">
        <f t="shared" si="24"/>
        <v>0</v>
      </c>
      <c r="AK1131" s="2">
        <f t="shared" si="25"/>
        <v>0</v>
      </c>
      <c r="AL1131" s="2">
        <f t="shared" si="26"/>
        <v>0</v>
      </c>
      <c r="AM1131" s="2">
        <f t="shared" si="27"/>
        <v>0</v>
      </c>
      <c r="AN1131" s="2">
        <f t="shared" si="28"/>
        <v>0</v>
      </c>
      <c r="AO1131" s="2">
        <f t="shared" si="29"/>
      </c>
      <c r="AP1131" s="2">
        <f t="shared" si="30"/>
      </c>
      <c r="AQ1131" s="2">
        <f t="shared" si="31"/>
      </c>
    </row>
    <row r="1132">
      <c r="A1132" s="43">
        <f t="shared" si="3"/>
      </c>
      <c r="B1132" s="44" t="n"/>
      <c r="C1132" s="45" t="n"/>
      <c r="D1132" s="46" t="n"/>
      <c r="E1132" s="47" t="n"/>
      <c r="F1132" s="47" t="n"/>
      <c r="G1132" s="48">
        <f t="shared" si="4"/>
      </c>
      <c r="H1132" s="43">
        <f t="shared" si="0"/>
      </c>
      <c r="I1132" s="43">
        <f t="shared" si="5"/>
      </c>
      <c r="J1132" s="43">
        <f t="shared" si="1"/>
      </c>
      <c r="K1132" s="49">
        <f t="shared" si="2"/>
      </c>
      <c r="L1132" s="45" t="n"/>
      <c r="M1132" s="45" t="n"/>
      <c r="N1132" s="45" t="n"/>
      <c r="O1132" s="45" t="n"/>
      <c r="P1132" s="50" t="n"/>
      <c r="R1132" s="2">
        <f t="shared" si="6"/>
        <v>0</v>
      </c>
      <c r="S1132" s="2">
        <f t="shared" si="7"/>
      </c>
      <c r="T1132" s="2">
        <f t="shared" si="8"/>
      </c>
      <c r="U1132" s="2">
        <f t="shared" si="9"/>
      </c>
      <c r="V1132" s="2">
        <f t="shared" si="10"/>
      </c>
      <c r="W1132" s="2">
        <f t="shared" si="11"/>
      </c>
      <c r="X1132" s="2">
        <f t="shared" si="12"/>
      </c>
      <c r="Y1132" s="2">
        <f t="shared" si="13"/>
        <v>0</v>
      </c>
      <c r="Z1132" s="2">
        <f t="shared" si="14"/>
      </c>
      <c r="AA1132" s="2">
        <f t="shared" si="15"/>
        <v>0</v>
      </c>
      <c r="AB1132" s="2">
        <f t="shared" si="16"/>
      </c>
      <c r="AC1132" s="2">
        <f t="shared" si="17"/>
      </c>
      <c r="AD1132" s="2">
        <f t="shared" si="18"/>
      </c>
      <c r="AE1132" s="2">
        <f t="shared" si="19"/>
      </c>
      <c r="AF1132" s="2">
        <f t="shared" si="20"/>
      </c>
      <c r="AG1132" s="2">
        <f t="shared" si="21"/>
      </c>
      <c r="AH1132" s="2">
        <f t="shared" si="22"/>
      </c>
      <c r="AI1132" s="2">
        <f t="shared" si="23"/>
      </c>
      <c r="AJ1132" s="2">
        <f t="shared" si="24"/>
        <v>0</v>
      </c>
      <c r="AK1132" s="2">
        <f t="shared" si="25"/>
        <v>0</v>
      </c>
      <c r="AL1132" s="2">
        <f t="shared" si="26"/>
        <v>0</v>
      </c>
      <c r="AM1132" s="2">
        <f t="shared" si="27"/>
        <v>0</v>
      </c>
      <c r="AN1132" s="2">
        <f t="shared" si="28"/>
        <v>0</v>
      </c>
      <c r="AO1132" s="2">
        <f t="shared" si="29"/>
      </c>
      <c r="AP1132" s="2">
        <f t="shared" si="30"/>
      </c>
      <c r="AQ1132" s="2">
        <f t="shared" si="31"/>
      </c>
    </row>
    <row r="1133">
      <c r="A1133" s="43">
        <f t="shared" si="3"/>
      </c>
      <c r="B1133" s="44" t="n"/>
      <c r="C1133" s="45" t="n"/>
      <c r="D1133" s="46" t="n"/>
      <c r="E1133" s="47" t="n"/>
      <c r="F1133" s="47" t="n"/>
      <c r="G1133" s="48">
        <f t="shared" si="4"/>
      </c>
      <c r="H1133" s="43">
        <f t="shared" si="0"/>
      </c>
      <c r="I1133" s="43">
        <f t="shared" si="5"/>
      </c>
      <c r="J1133" s="43">
        <f t="shared" si="1"/>
      </c>
      <c r="K1133" s="49">
        <f t="shared" si="2"/>
      </c>
      <c r="L1133" s="45" t="n"/>
      <c r="M1133" s="45" t="n"/>
      <c r="N1133" s="45" t="n"/>
      <c r="O1133" s="45" t="n"/>
      <c r="P1133" s="50" t="n"/>
      <c r="R1133" s="2">
        <f t="shared" si="6"/>
        <v>0</v>
      </c>
      <c r="S1133" s="2">
        <f t="shared" si="7"/>
      </c>
      <c r="T1133" s="2">
        <f t="shared" si="8"/>
      </c>
      <c r="U1133" s="2">
        <f t="shared" si="9"/>
      </c>
      <c r="V1133" s="2">
        <f t="shared" si="10"/>
      </c>
      <c r="W1133" s="2">
        <f t="shared" si="11"/>
      </c>
      <c r="X1133" s="2">
        <f t="shared" si="12"/>
      </c>
      <c r="Y1133" s="2">
        <f t="shared" si="13"/>
        <v>0</v>
      </c>
      <c r="Z1133" s="2">
        <f t="shared" si="14"/>
      </c>
      <c r="AA1133" s="2">
        <f t="shared" si="15"/>
        <v>0</v>
      </c>
      <c r="AB1133" s="2">
        <f t="shared" si="16"/>
      </c>
      <c r="AC1133" s="2">
        <f t="shared" si="17"/>
      </c>
      <c r="AD1133" s="2">
        <f t="shared" si="18"/>
      </c>
      <c r="AE1133" s="2">
        <f t="shared" si="19"/>
      </c>
      <c r="AF1133" s="2">
        <f t="shared" si="20"/>
      </c>
      <c r="AG1133" s="2">
        <f t="shared" si="21"/>
      </c>
      <c r="AH1133" s="2">
        <f t="shared" si="22"/>
      </c>
      <c r="AI1133" s="2">
        <f t="shared" si="23"/>
      </c>
      <c r="AJ1133" s="2">
        <f t="shared" si="24"/>
        <v>0</v>
      </c>
      <c r="AK1133" s="2">
        <f t="shared" si="25"/>
        <v>0</v>
      </c>
      <c r="AL1133" s="2">
        <f t="shared" si="26"/>
        <v>0</v>
      </c>
      <c r="AM1133" s="2">
        <f t="shared" si="27"/>
        <v>0</v>
      </c>
      <c r="AN1133" s="2">
        <f t="shared" si="28"/>
        <v>0</v>
      </c>
      <c r="AO1133" s="2">
        <f t="shared" si="29"/>
      </c>
      <c r="AP1133" s="2">
        <f t="shared" si="30"/>
      </c>
      <c r="AQ1133" s="2">
        <f t="shared" si="31"/>
      </c>
    </row>
    <row r="1134">
      <c r="A1134" s="43">
        <f t="shared" si="3"/>
      </c>
      <c r="B1134" s="44" t="n"/>
      <c r="C1134" s="45" t="n"/>
      <c r="D1134" s="46" t="n"/>
      <c r="E1134" s="47" t="n"/>
      <c r="F1134" s="47" t="n"/>
      <c r="G1134" s="48">
        <f t="shared" si="4"/>
      </c>
      <c r="H1134" s="43">
        <f t="shared" si="0"/>
      </c>
      <c r="I1134" s="43">
        <f t="shared" si="5"/>
      </c>
      <c r="J1134" s="43">
        <f t="shared" si="1"/>
      </c>
      <c r="K1134" s="49">
        <f t="shared" si="2"/>
      </c>
      <c r="L1134" s="45" t="n"/>
      <c r="M1134" s="45" t="n"/>
      <c r="N1134" s="45" t="n"/>
      <c r="O1134" s="45" t="n"/>
      <c r="P1134" s="50" t="n"/>
      <c r="R1134" s="2">
        <f t="shared" si="6"/>
        <v>0</v>
      </c>
      <c r="S1134" s="2">
        <f t="shared" si="7"/>
      </c>
      <c r="T1134" s="2">
        <f t="shared" si="8"/>
      </c>
      <c r="U1134" s="2">
        <f t="shared" si="9"/>
      </c>
      <c r="V1134" s="2">
        <f t="shared" si="10"/>
      </c>
      <c r="W1134" s="2">
        <f t="shared" si="11"/>
      </c>
      <c r="X1134" s="2">
        <f t="shared" si="12"/>
      </c>
      <c r="Y1134" s="2">
        <f t="shared" si="13"/>
        <v>0</v>
      </c>
      <c r="Z1134" s="2">
        <f t="shared" si="14"/>
      </c>
      <c r="AA1134" s="2">
        <f t="shared" si="15"/>
        <v>0</v>
      </c>
      <c r="AB1134" s="2">
        <f t="shared" si="16"/>
      </c>
      <c r="AC1134" s="2">
        <f t="shared" si="17"/>
      </c>
      <c r="AD1134" s="2">
        <f t="shared" si="18"/>
      </c>
      <c r="AE1134" s="2">
        <f t="shared" si="19"/>
      </c>
      <c r="AF1134" s="2">
        <f t="shared" si="20"/>
      </c>
      <c r="AG1134" s="2">
        <f t="shared" si="21"/>
      </c>
      <c r="AH1134" s="2">
        <f t="shared" si="22"/>
      </c>
      <c r="AI1134" s="2">
        <f t="shared" si="23"/>
      </c>
      <c r="AJ1134" s="2">
        <f t="shared" si="24"/>
        <v>0</v>
      </c>
      <c r="AK1134" s="2">
        <f t="shared" si="25"/>
        <v>0</v>
      </c>
      <c r="AL1134" s="2">
        <f t="shared" si="26"/>
        <v>0</v>
      </c>
      <c r="AM1134" s="2">
        <f t="shared" si="27"/>
        <v>0</v>
      </c>
      <c r="AN1134" s="2">
        <f t="shared" si="28"/>
        <v>0</v>
      </c>
      <c r="AO1134" s="2">
        <f t="shared" si="29"/>
      </c>
      <c r="AP1134" s="2">
        <f t="shared" si="30"/>
      </c>
      <c r="AQ1134" s="2">
        <f t="shared" si="31"/>
      </c>
    </row>
    <row r="1135">
      <c r="A1135" s="43">
        <f t="shared" si="3"/>
      </c>
      <c r="B1135" s="44" t="n"/>
      <c r="C1135" s="45" t="n"/>
      <c r="D1135" s="46" t="n"/>
      <c r="E1135" s="47" t="n"/>
      <c r="F1135" s="47" t="n"/>
      <c r="G1135" s="48">
        <f t="shared" si="4"/>
      </c>
      <c r="H1135" s="43">
        <f t="shared" si="0"/>
      </c>
      <c r="I1135" s="43">
        <f t="shared" si="5"/>
      </c>
      <c r="J1135" s="43">
        <f t="shared" si="1"/>
      </c>
      <c r="K1135" s="49">
        <f t="shared" si="2"/>
      </c>
      <c r="L1135" s="45" t="n"/>
      <c r="M1135" s="45" t="n"/>
      <c r="N1135" s="45" t="n"/>
      <c r="O1135" s="45" t="n"/>
      <c r="P1135" s="50" t="n"/>
      <c r="R1135" s="2">
        <f t="shared" si="6"/>
        <v>0</v>
      </c>
      <c r="S1135" s="2">
        <f t="shared" si="7"/>
      </c>
      <c r="T1135" s="2">
        <f t="shared" si="8"/>
      </c>
      <c r="U1135" s="2">
        <f t="shared" si="9"/>
      </c>
      <c r="V1135" s="2">
        <f t="shared" si="10"/>
      </c>
      <c r="W1135" s="2">
        <f t="shared" si="11"/>
      </c>
      <c r="X1135" s="2">
        <f t="shared" si="12"/>
      </c>
      <c r="Y1135" s="2">
        <f t="shared" si="13"/>
        <v>0</v>
      </c>
      <c r="Z1135" s="2">
        <f t="shared" si="14"/>
      </c>
      <c r="AA1135" s="2">
        <f t="shared" si="15"/>
        <v>0</v>
      </c>
      <c r="AB1135" s="2">
        <f t="shared" si="16"/>
      </c>
      <c r="AC1135" s="2">
        <f t="shared" si="17"/>
      </c>
      <c r="AD1135" s="2">
        <f t="shared" si="18"/>
      </c>
      <c r="AE1135" s="2">
        <f t="shared" si="19"/>
      </c>
      <c r="AF1135" s="2">
        <f t="shared" si="20"/>
      </c>
      <c r="AG1135" s="2">
        <f t="shared" si="21"/>
      </c>
      <c r="AH1135" s="2">
        <f t="shared" si="22"/>
      </c>
      <c r="AI1135" s="2">
        <f t="shared" si="23"/>
      </c>
      <c r="AJ1135" s="2">
        <f t="shared" si="24"/>
        <v>0</v>
      </c>
      <c r="AK1135" s="2">
        <f t="shared" si="25"/>
        <v>0</v>
      </c>
      <c r="AL1135" s="2">
        <f t="shared" si="26"/>
        <v>0</v>
      </c>
      <c r="AM1135" s="2">
        <f t="shared" si="27"/>
        <v>0</v>
      </c>
      <c r="AN1135" s="2">
        <f t="shared" si="28"/>
        <v>0</v>
      </c>
      <c r="AO1135" s="2">
        <f t="shared" si="29"/>
      </c>
      <c r="AP1135" s="2">
        <f t="shared" si="30"/>
      </c>
      <c r="AQ1135" s="2">
        <f t="shared" si="31"/>
      </c>
    </row>
    <row r="1136">
      <c r="A1136" s="43">
        <f t="shared" si="3"/>
      </c>
      <c r="B1136" s="44" t="n"/>
      <c r="C1136" s="45" t="n"/>
      <c r="D1136" s="46" t="n"/>
      <c r="E1136" s="47" t="n"/>
      <c r="F1136" s="47" t="n"/>
      <c r="G1136" s="48">
        <f t="shared" si="4"/>
      </c>
      <c r="H1136" s="43">
        <f t="shared" si="0"/>
      </c>
      <c r="I1136" s="43">
        <f t="shared" si="5"/>
      </c>
      <c r="J1136" s="43">
        <f t="shared" si="1"/>
      </c>
      <c r="K1136" s="49">
        <f t="shared" si="2"/>
      </c>
      <c r="L1136" s="45" t="n"/>
      <c r="M1136" s="45" t="n"/>
      <c r="N1136" s="45" t="n"/>
      <c r="O1136" s="45" t="n"/>
      <c r="P1136" s="50" t="n"/>
      <c r="R1136" s="2">
        <f t="shared" si="6"/>
        <v>0</v>
      </c>
      <c r="S1136" s="2">
        <f t="shared" si="7"/>
      </c>
      <c r="T1136" s="2">
        <f t="shared" si="8"/>
      </c>
      <c r="U1136" s="2">
        <f t="shared" si="9"/>
      </c>
      <c r="V1136" s="2">
        <f t="shared" si="10"/>
      </c>
      <c r="W1136" s="2">
        <f t="shared" si="11"/>
      </c>
      <c r="X1136" s="2">
        <f t="shared" si="12"/>
      </c>
      <c r="Y1136" s="2">
        <f t="shared" si="13"/>
        <v>0</v>
      </c>
      <c r="Z1136" s="2">
        <f t="shared" si="14"/>
      </c>
      <c r="AA1136" s="2">
        <f t="shared" si="15"/>
        <v>0</v>
      </c>
      <c r="AB1136" s="2">
        <f t="shared" si="16"/>
      </c>
      <c r="AC1136" s="2">
        <f t="shared" si="17"/>
      </c>
      <c r="AD1136" s="2">
        <f t="shared" si="18"/>
      </c>
      <c r="AE1136" s="2">
        <f t="shared" si="19"/>
      </c>
      <c r="AF1136" s="2">
        <f t="shared" si="20"/>
      </c>
      <c r="AG1136" s="2">
        <f t="shared" si="21"/>
      </c>
      <c r="AH1136" s="2">
        <f t="shared" si="22"/>
      </c>
      <c r="AI1136" s="2">
        <f t="shared" si="23"/>
      </c>
      <c r="AJ1136" s="2">
        <f t="shared" si="24"/>
        <v>0</v>
      </c>
      <c r="AK1136" s="2">
        <f t="shared" si="25"/>
        <v>0</v>
      </c>
      <c r="AL1136" s="2">
        <f t="shared" si="26"/>
        <v>0</v>
      </c>
      <c r="AM1136" s="2">
        <f t="shared" si="27"/>
        <v>0</v>
      </c>
      <c r="AN1136" s="2">
        <f t="shared" si="28"/>
        <v>0</v>
      </c>
      <c r="AO1136" s="2">
        <f t="shared" si="29"/>
      </c>
      <c r="AP1136" s="2">
        <f t="shared" si="30"/>
      </c>
      <c r="AQ1136" s="2">
        <f t="shared" si="31"/>
      </c>
    </row>
    <row r="1137">
      <c r="A1137" s="43">
        <f t="shared" si="3"/>
      </c>
      <c r="B1137" s="44" t="n"/>
      <c r="C1137" s="45" t="n"/>
      <c r="D1137" s="46" t="n"/>
      <c r="E1137" s="47" t="n"/>
      <c r="F1137" s="47" t="n"/>
      <c r="G1137" s="48">
        <f t="shared" si="4"/>
      </c>
      <c r="H1137" s="43">
        <f t="shared" si="0"/>
      </c>
      <c r="I1137" s="43">
        <f t="shared" si="5"/>
      </c>
      <c r="J1137" s="43">
        <f t="shared" si="1"/>
      </c>
      <c r="K1137" s="49">
        <f t="shared" si="2"/>
      </c>
      <c r="L1137" s="45" t="n"/>
      <c r="M1137" s="45" t="n"/>
      <c r="N1137" s="45" t="n"/>
      <c r="O1137" s="45" t="n"/>
      <c r="P1137" s="50" t="n"/>
      <c r="R1137" s="2">
        <f t="shared" si="6"/>
        <v>0</v>
      </c>
      <c r="S1137" s="2">
        <f t="shared" si="7"/>
      </c>
      <c r="T1137" s="2">
        <f t="shared" si="8"/>
      </c>
      <c r="U1137" s="2">
        <f t="shared" si="9"/>
      </c>
      <c r="V1137" s="2">
        <f t="shared" si="10"/>
      </c>
      <c r="W1137" s="2">
        <f t="shared" si="11"/>
      </c>
      <c r="X1137" s="2">
        <f t="shared" si="12"/>
      </c>
      <c r="Y1137" s="2">
        <f t="shared" si="13"/>
        <v>0</v>
      </c>
      <c r="Z1137" s="2">
        <f t="shared" si="14"/>
      </c>
      <c r="AA1137" s="2">
        <f t="shared" si="15"/>
        <v>0</v>
      </c>
      <c r="AB1137" s="2">
        <f t="shared" si="16"/>
      </c>
      <c r="AC1137" s="2">
        <f t="shared" si="17"/>
      </c>
      <c r="AD1137" s="2">
        <f t="shared" si="18"/>
      </c>
      <c r="AE1137" s="2">
        <f t="shared" si="19"/>
      </c>
      <c r="AF1137" s="2">
        <f t="shared" si="20"/>
      </c>
      <c r="AG1137" s="2">
        <f t="shared" si="21"/>
      </c>
      <c r="AH1137" s="2">
        <f t="shared" si="22"/>
      </c>
      <c r="AI1137" s="2">
        <f t="shared" si="23"/>
      </c>
      <c r="AJ1137" s="2">
        <f t="shared" si="24"/>
        <v>0</v>
      </c>
      <c r="AK1137" s="2">
        <f t="shared" si="25"/>
        <v>0</v>
      </c>
      <c r="AL1137" s="2">
        <f t="shared" si="26"/>
        <v>0</v>
      </c>
      <c r="AM1137" s="2">
        <f t="shared" si="27"/>
        <v>0</v>
      </c>
      <c r="AN1137" s="2">
        <f t="shared" si="28"/>
        <v>0</v>
      </c>
      <c r="AO1137" s="2">
        <f t="shared" si="29"/>
      </c>
      <c r="AP1137" s="2">
        <f t="shared" si="30"/>
      </c>
      <c r="AQ1137" s="2">
        <f t="shared" si="31"/>
      </c>
    </row>
    <row r="1138">
      <c r="A1138" s="43">
        <f t="shared" si="3"/>
      </c>
      <c r="B1138" s="44" t="n"/>
      <c r="C1138" s="45" t="n"/>
      <c r="D1138" s="46" t="n"/>
      <c r="E1138" s="47" t="n"/>
      <c r="F1138" s="47" t="n"/>
      <c r="G1138" s="48">
        <f t="shared" si="4"/>
      </c>
      <c r="H1138" s="43">
        <f t="shared" si="0"/>
      </c>
      <c r="I1138" s="43">
        <f t="shared" si="5"/>
      </c>
      <c r="J1138" s="43">
        <f t="shared" si="1"/>
      </c>
      <c r="K1138" s="49">
        <f t="shared" si="2"/>
      </c>
      <c r="L1138" s="45" t="n"/>
      <c r="M1138" s="45" t="n"/>
      <c r="N1138" s="45" t="n"/>
      <c r="O1138" s="45" t="n"/>
      <c r="P1138" s="50" t="n"/>
      <c r="R1138" s="2">
        <f t="shared" si="6"/>
        <v>0</v>
      </c>
      <c r="S1138" s="2">
        <f t="shared" si="7"/>
      </c>
      <c r="T1138" s="2">
        <f t="shared" si="8"/>
      </c>
      <c r="U1138" s="2">
        <f t="shared" si="9"/>
      </c>
      <c r="V1138" s="2">
        <f t="shared" si="10"/>
      </c>
      <c r="W1138" s="2">
        <f t="shared" si="11"/>
      </c>
      <c r="X1138" s="2">
        <f t="shared" si="12"/>
      </c>
      <c r="Y1138" s="2">
        <f t="shared" si="13"/>
        <v>0</v>
      </c>
      <c r="Z1138" s="2">
        <f t="shared" si="14"/>
      </c>
      <c r="AA1138" s="2">
        <f t="shared" si="15"/>
        <v>0</v>
      </c>
      <c r="AB1138" s="2">
        <f t="shared" si="16"/>
      </c>
      <c r="AC1138" s="2">
        <f t="shared" si="17"/>
      </c>
      <c r="AD1138" s="2">
        <f t="shared" si="18"/>
      </c>
      <c r="AE1138" s="2">
        <f t="shared" si="19"/>
      </c>
      <c r="AF1138" s="2">
        <f t="shared" si="20"/>
      </c>
      <c r="AG1138" s="2">
        <f t="shared" si="21"/>
      </c>
      <c r="AH1138" s="2">
        <f t="shared" si="22"/>
      </c>
      <c r="AI1138" s="2">
        <f t="shared" si="23"/>
      </c>
      <c r="AJ1138" s="2">
        <f t="shared" si="24"/>
        <v>0</v>
      </c>
      <c r="AK1138" s="2">
        <f t="shared" si="25"/>
        <v>0</v>
      </c>
      <c r="AL1138" s="2">
        <f t="shared" si="26"/>
        <v>0</v>
      </c>
      <c r="AM1138" s="2">
        <f t="shared" si="27"/>
        <v>0</v>
      </c>
      <c r="AN1138" s="2">
        <f t="shared" si="28"/>
        <v>0</v>
      </c>
      <c r="AO1138" s="2">
        <f t="shared" si="29"/>
      </c>
      <c r="AP1138" s="2">
        <f t="shared" si="30"/>
      </c>
      <c r="AQ1138" s="2">
        <f t="shared" si="31"/>
      </c>
    </row>
    <row r="1139">
      <c r="A1139" s="43">
        <f t="shared" si="3"/>
      </c>
      <c r="B1139" s="44" t="n"/>
      <c r="C1139" s="45" t="n"/>
      <c r="D1139" s="46" t="n"/>
      <c r="E1139" s="47" t="n"/>
      <c r="F1139" s="47" t="n"/>
      <c r="G1139" s="48">
        <f t="shared" si="4"/>
      </c>
      <c r="H1139" s="43">
        <f t="shared" si="0"/>
      </c>
      <c r="I1139" s="43">
        <f t="shared" si="5"/>
      </c>
      <c r="J1139" s="43">
        <f t="shared" si="1"/>
      </c>
      <c r="K1139" s="49">
        <f t="shared" si="2"/>
      </c>
      <c r="L1139" s="45" t="n"/>
      <c r="M1139" s="45" t="n"/>
      <c r="N1139" s="45" t="n"/>
      <c r="O1139" s="45" t="n"/>
      <c r="P1139" s="50" t="n"/>
      <c r="R1139" s="2">
        <f t="shared" si="6"/>
        <v>0</v>
      </c>
      <c r="S1139" s="2">
        <f t="shared" si="7"/>
      </c>
      <c r="T1139" s="2">
        <f t="shared" si="8"/>
      </c>
      <c r="U1139" s="2">
        <f t="shared" si="9"/>
      </c>
      <c r="V1139" s="2">
        <f t="shared" si="10"/>
      </c>
      <c r="W1139" s="2">
        <f t="shared" si="11"/>
      </c>
      <c r="X1139" s="2">
        <f t="shared" si="12"/>
      </c>
      <c r="Y1139" s="2">
        <f t="shared" si="13"/>
        <v>0</v>
      </c>
      <c r="Z1139" s="2">
        <f t="shared" si="14"/>
      </c>
      <c r="AA1139" s="2">
        <f t="shared" si="15"/>
        <v>0</v>
      </c>
      <c r="AB1139" s="2">
        <f t="shared" si="16"/>
      </c>
      <c r="AC1139" s="2">
        <f t="shared" si="17"/>
      </c>
      <c r="AD1139" s="2">
        <f t="shared" si="18"/>
      </c>
      <c r="AE1139" s="2">
        <f t="shared" si="19"/>
      </c>
      <c r="AF1139" s="2">
        <f t="shared" si="20"/>
      </c>
      <c r="AG1139" s="2">
        <f t="shared" si="21"/>
      </c>
      <c r="AH1139" s="2">
        <f t="shared" si="22"/>
      </c>
      <c r="AI1139" s="2">
        <f t="shared" si="23"/>
      </c>
      <c r="AJ1139" s="2">
        <f t="shared" si="24"/>
        <v>0</v>
      </c>
      <c r="AK1139" s="2">
        <f t="shared" si="25"/>
        <v>0</v>
      </c>
      <c r="AL1139" s="2">
        <f t="shared" si="26"/>
        <v>0</v>
      </c>
      <c r="AM1139" s="2">
        <f t="shared" si="27"/>
        <v>0</v>
      </c>
      <c r="AN1139" s="2">
        <f t="shared" si="28"/>
        <v>0</v>
      </c>
      <c r="AO1139" s="2">
        <f t="shared" si="29"/>
      </c>
      <c r="AP1139" s="2">
        <f t="shared" si="30"/>
      </c>
      <c r="AQ1139" s="2">
        <f t="shared" si="31"/>
      </c>
    </row>
    <row r="1140">
      <c r="A1140" s="43">
        <f t="shared" si="3"/>
      </c>
      <c r="B1140" s="44" t="n"/>
      <c r="C1140" s="45" t="n"/>
      <c r="D1140" s="46" t="n"/>
      <c r="E1140" s="47" t="n"/>
      <c r="F1140" s="47" t="n"/>
      <c r="G1140" s="48">
        <f t="shared" si="4"/>
      </c>
      <c r="H1140" s="43">
        <f t="shared" si="0"/>
      </c>
      <c r="I1140" s="43">
        <f t="shared" si="5"/>
      </c>
      <c r="J1140" s="43">
        <f t="shared" si="1"/>
      </c>
      <c r="K1140" s="49">
        <f t="shared" si="2"/>
      </c>
      <c r="L1140" s="45" t="n"/>
      <c r="M1140" s="45" t="n"/>
      <c r="N1140" s="45" t="n"/>
      <c r="O1140" s="45" t="n"/>
      <c r="P1140" s="50" t="n"/>
      <c r="R1140" s="2">
        <f t="shared" si="6"/>
        <v>0</v>
      </c>
      <c r="S1140" s="2">
        <f t="shared" si="7"/>
      </c>
      <c r="T1140" s="2">
        <f t="shared" si="8"/>
      </c>
      <c r="U1140" s="2">
        <f t="shared" si="9"/>
      </c>
      <c r="V1140" s="2">
        <f t="shared" si="10"/>
      </c>
      <c r="W1140" s="2">
        <f t="shared" si="11"/>
      </c>
      <c r="X1140" s="2">
        <f t="shared" si="12"/>
      </c>
      <c r="Y1140" s="2">
        <f t="shared" si="13"/>
        <v>0</v>
      </c>
      <c r="Z1140" s="2">
        <f t="shared" si="14"/>
      </c>
      <c r="AA1140" s="2">
        <f t="shared" si="15"/>
        <v>0</v>
      </c>
      <c r="AB1140" s="2">
        <f t="shared" si="16"/>
      </c>
      <c r="AC1140" s="2">
        <f t="shared" si="17"/>
      </c>
      <c r="AD1140" s="2">
        <f t="shared" si="18"/>
      </c>
      <c r="AE1140" s="2">
        <f t="shared" si="19"/>
      </c>
      <c r="AF1140" s="2">
        <f t="shared" si="20"/>
      </c>
      <c r="AG1140" s="2">
        <f t="shared" si="21"/>
      </c>
      <c r="AH1140" s="2">
        <f t="shared" si="22"/>
      </c>
      <c r="AI1140" s="2">
        <f t="shared" si="23"/>
      </c>
      <c r="AJ1140" s="2">
        <f t="shared" si="24"/>
        <v>0</v>
      </c>
      <c r="AK1140" s="2">
        <f t="shared" si="25"/>
        <v>0</v>
      </c>
      <c r="AL1140" s="2">
        <f t="shared" si="26"/>
        <v>0</v>
      </c>
      <c r="AM1140" s="2">
        <f t="shared" si="27"/>
        <v>0</v>
      </c>
      <c r="AN1140" s="2">
        <f t="shared" si="28"/>
        <v>0</v>
      </c>
      <c r="AO1140" s="2">
        <f t="shared" si="29"/>
      </c>
      <c r="AP1140" s="2">
        <f t="shared" si="30"/>
      </c>
      <c r="AQ1140" s="2">
        <f t="shared" si="31"/>
      </c>
    </row>
    <row r="1141">
      <c r="A1141" s="43">
        <f t="shared" si="3"/>
      </c>
      <c r="B1141" s="44" t="n"/>
      <c r="C1141" s="45" t="n"/>
      <c r="D1141" s="46" t="n"/>
      <c r="E1141" s="47" t="n"/>
      <c r="F1141" s="47" t="n"/>
      <c r="G1141" s="48">
        <f t="shared" si="4"/>
      </c>
      <c r="H1141" s="43">
        <f t="shared" si="0"/>
      </c>
      <c r="I1141" s="43">
        <f t="shared" si="5"/>
      </c>
      <c r="J1141" s="43">
        <f t="shared" si="1"/>
      </c>
      <c r="K1141" s="49">
        <f t="shared" si="2"/>
      </c>
      <c r="L1141" s="45" t="n"/>
      <c r="M1141" s="45" t="n"/>
      <c r="N1141" s="45" t="n"/>
      <c r="O1141" s="45" t="n"/>
      <c r="P1141" s="50" t="n"/>
      <c r="R1141" s="2">
        <f t="shared" si="6"/>
        <v>0</v>
      </c>
      <c r="S1141" s="2">
        <f t="shared" si="7"/>
      </c>
      <c r="T1141" s="2">
        <f t="shared" si="8"/>
      </c>
      <c r="U1141" s="2">
        <f t="shared" si="9"/>
      </c>
      <c r="V1141" s="2">
        <f t="shared" si="10"/>
      </c>
      <c r="W1141" s="2">
        <f t="shared" si="11"/>
      </c>
      <c r="X1141" s="2">
        <f t="shared" si="12"/>
      </c>
      <c r="Y1141" s="2">
        <f t="shared" si="13"/>
        <v>0</v>
      </c>
      <c r="Z1141" s="2">
        <f t="shared" si="14"/>
      </c>
      <c r="AA1141" s="2">
        <f t="shared" si="15"/>
        <v>0</v>
      </c>
      <c r="AB1141" s="2">
        <f t="shared" si="16"/>
      </c>
      <c r="AC1141" s="2">
        <f t="shared" si="17"/>
      </c>
      <c r="AD1141" s="2">
        <f t="shared" si="18"/>
      </c>
      <c r="AE1141" s="2">
        <f t="shared" si="19"/>
      </c>
      <c r="AF1141" s="2">
        <f t="shared" si="20"/>
      </c>
      <c r="AG1141" s="2">
        <f t="shared" si="21"/>
      </c>
      <c r="AH1141" s="2">
        <f t="shared" si="22"/>
      </c>
      <c r="AI1141" s="2">
        <f t="shared" si="23"/>
      </c>
      <c r="AJ1141" s="2">
        <f t="shared" si="24"/>
        <v>0</v>
      </c>
      <c r="AK1141" s="2">
        <f t="shared" si="25"/>
        <v>0</v>
      </c>
      <c r="AL1141" s="2">
        <f t="shared" si="26"/>
        <v>0</v>
      </c>
      <c r="AM1141" s="2">
        <f t="shared" si="27"/>
        <v>0</v>
      </c>
      <c r="AN1141" s="2">
        <f t="shared" si="28"/>
        <v>0</v>
      </c>
      <c r="AO1141" s="2">
        <f t="shared" si="29"/>
      </c>
      <c r="AP1141" s="2">
        <f t="shared" si="30"/>
      </c>
      <c r="AQ1141" s="2">
        <f t="shared" si="31"/>
      </c>
    </row>
    <row r="1142">
      <c r="A1142" s="43">
        <f t="shared" si="3"/>
      </c>
      <c r="B1142" s="44" t="n"/>
      <c r="C1142" s="45" t="n"/>
      <c r="D1142" s="46" t="n"/>
      <c r="E1142" s="47" t="n"/>
      <c r="F1142" s="47" t="n"/>
      <c r="G1142" s="48">
        <f t="shared" si="4"/>
      </c>
      <c r="H1142" s="43">
        <f t="shared" si="0"/>
      </c>
      <c r="I1142" s="43">
        <f t="shared" si="5"/>
      </c>
      <c r="J1142" s="43">
        <f t="shared" si="1"/>
      </c>
      <c r="K1142" s="49">
        <f t="shared" si="2"/>
      </c>
      <c r="L1142" s="45" t="n"/>
      <c r="M1142" s="45" t="n"/>
      <c r="N1142" s="45" t="n"/>
      <c r="O1142" s="45" t="n"/>
      <c r="P1142" s="50" t="n"/>
      <c r="R1142" s="2">
        <f t="shared" si="6"/>
        <v>0</v>
      </c>
      <c r="S1142" s="2">
        <f t="shared" si="7"/>
      </c>
      <c r="T1142" s="2">
        <f t="shared" si="8"/>
      </c>
      <c r="U1142" s="2">
        <f t="shared" si="9"/>
      </c>
      <c r="V1142" s="2">
        <f t="shared" si="10"/>
      </c>
      <c r="W1142" s="2">
        <f t="shared" si="11"/>
      </c>
      <c r="X1142" s="2">
        <f t="shared" si="12"/>
      </c>
      <c r="Y1142" s="2">
        <f t="shared" si="13"/>
        <v>0</v>
      </c>
      <c r="Z1142" s="2">
        <f t="shared" si="14"/>
      </c>
      <c r="AA1142" s="2">
        <f t="shared" si="15"/>
        <v>0</v>
      </c>
      <c r="AB1142" s="2">
        <f t="shared" si="16"/>
      </c>
      <c r="AC1142" s="2">
        <f t="shared" si="17"/>
      </c>
      <c r="AD1142" s="2">
        <f t="shared" si="18"/>
      </c>
      <c r="AE1142" s="2">
        <f t="shared" si="19"/>
      </c>
      <c r="AF1142" s="2">
        <f t="shared" si="20"/>
      </c>
      <c r="AG1142" s="2">
        <f t="shared" si="21"/>
      </c>
      <c r="AH1142" s="2">
        <f t="shared" si="22"/>
      </c>
      <c r="AI1142" s="2">
        <f t="shared" si="23"/>
      </c>
      <c r="AJ1142" s="2">
        <f t="shared" si="24"/>
        <v>0</v>
      </c>
      <c r="AK1142" s="2">
        <f t="shared" si="25"/>
        <v>0</v>
      </c>
      <c r="AL1142" s="2">
        <f t="shared" si="26"/>
        <v>0</v>
      </c>
      <c r="AM1142" s="2">
        <f t="shared" si="27"/>
        <v>0</v>
      </c>
      <c r="AN1142" s="2">
        <f t="shared" si="28"/>
        <v>0</v>
      </c>
      <c r="AO1142" s="2">
        <f t="shared" si="29"/>
      </c>
      <c r="AP1142" s="2">
        <f t="shared" si="30"/>
      </c>
      <c r="AQ1142" s="2">
        <f t="shared" si="31"/>
      </c>
    </row>
    <row r="1143">
      <c r="A1143" s="43">
        <f t="shared" si="3"/>
      </c>
      <c r="B1143" s="44" t="n"/>
      <c r="C1143" s="45" t="n"/>
      <c r="D1143" s="46" t="n"/>
      <c r="E1143" s="47" t="n"/>
      <c r="F1143" s="47" t="n"/>
      <c r="G1143" s="48">
        <f t="shared" si="4"/>
      </c>
      <c r="H1143" s="43">
        <f t="shared" si="0"/>
      </c>
      <c r="I1143" s="43">
        <f t="shared" si="5"/>
      </c>
      <c r="J1143" s="43">
        <f t="shared" si="1"/>
      </c>
      <c r="K1143" s="49">
        <f t="shared" si="2"/>
      </c>
      <c r="L1143" s="45" t="n"/>
      <c r="M1143" s="45" t="n"/>
      <c r="N1143" s="45" t="n"/>
      <c r="O1143" s="45" t="n"/>
      <c r="P1143" s="50" t="n"/>
      <c r="R1143" s="2">
        <f t="shared" si="6"/>
        <v>0</v>
      </c>
      <c r="S1143" s="2">
        <f t="shared" si="7"/>
      </c>
      <c r="T1143" s="2">
        <f t="shared" si="8"/>
      </c>
      <c r="U1143" s="2">
        <f t="shared" si="9"/>
      </c>
      <c r="V1143" s="2">
        <f t="shared" si="10"/>
      </c>
      <c r="W1143" s="2">
        <f t="shared" si="11"/>
      </c>
      <c r="X1143" s="2">
        <f t="shared" si="12"/>
      </c>
      <c r="Y1143" s="2">
        <f t="shared" si="13"/>
        <v>0</v>
      </c>
      <c r="Z1143" s="2">
        <f t="shared" si="14"/>
      </c>
      <c r="AA1143" s="2">
        <f t="shared" si="15"/>
        <v>0</v>
      </c>
      <c r="AB1143" s="2">
        <f t="shared" si="16"/>
      </c>
      <c r="AC1143" s="2">
        <f t="shared" si="17"/>
      </c>
      <c r="AD1143" s="2">
        <f t="shared" si="18"/>
      </c>
      <c r="AE1143" s="2">
        <f t="shared" si="19"/>
      </c>
      <c r="AF1143" s="2">
        <f t="shared" si="20"/>
      </c>
      <c r="AG1143" s="2">
        <f t="shared" si="21"/>
      </c>
      <c r="AH1143" s="2">
        <f t="shared" si="22"/>
      </c>
      <c r="AI1143" s="2">
        <f t="shared" si="23"/>
      </c>
      <c r="AJ1143" s="2">
        <f t="shared" si="24"/>
        <v>0</v>
      </c>
      <c r="AK1143" s="2">
        <f t="shared" si="25"/>
        <v>0</v>
      </c>
      <c r="AL1143" s="2">
        <f t="shared" si="26"/>
        <v>0</v>
      </c>
      <c r="AM1143" s="2">
        <f t="shared" si="27"/>
        <v>0</v>
      </c>
      <c r="AN1143" s="2">
        <f t="shared" si="28"/>
        <v>0</v>
      </c>
      <c r="AO1143" s="2">
        <f t="shared" si="29"/>
      </c>
      <c r="AP1143" s="2">
        <f t="shared" si="30"/>
      </c>
      <c r="AQ1143" s="2">
        <f t="shared" si="31"/>
      </c>
    </row>
    <row r="1144">
      <c r="A1144" s="43">
        <f t="shared" si="3"/>
      </c>
      <c r="B1144" s="44" t="n"/>
      <c r="C1144" s="45" t="n"/>
      <c r="D1144" s="46" t="n"/>
      <c r="E1144" s="47" t="n"/>
      <c r="F1144" s="47" t="n"/>
      <c r="G1144" s="48">
        <f t="shared" si="4"/>
      </c>
      <c r="H1144" s="43">
        <f t="shared" si="0"/>
      </c>
      <c r="I1144" s="43">
        <f t="shared" si="5"/>
      </c>
      <c r="J1144" s="43">
        <f t="shared" si="1"/>
      </c>
      <c r="K1144" s="49">
        <f t="shared" si="2"/>
      </c>
      <c r="L1144" s="45" t="n"/>
      <c r="M1144" s="45" t="n"/>
      <c r="N1144" s="45" t="n"/>
      <c r="O1144" s="45" t="n"/>
      <c r="P1144" s="50" t="n"/>
      <c r="R1144" s="2">
        <f t="shared" si="6"/>
        <v>0</v>
      </c>
      <c r="S1144" s="2">
        <f t="shared" si="7"/>
      </c>
      <c r="T1144" s="2">
        <f t="shared" si="8"/>
      </c>
      <c r="U1144" s="2">
        <f t="shared" si="9"/>
      </c>
      <c r="V1144" s="2">
        <f t="shared" si="10"/>
      </c>
      <c r="W1144" s="2">
        <f t="shared" si="11"/>
      </c>
      <c r="X1144" s="2">
        <f t="shared" si="12"/>
      </c>
      <c r="Y1144" s="2">
        <f t="shared" si="13"/>
        <v>0</v>
      </c>
      <c r="Z1144" s="2">
        <f t="shared" si="14"/>
      </c>
      <c r="AA1144" s="2">
        <f t="shared" si="15"/>
        <v>0</v>
      </c>
      <c r="AB1144" s="2">
        <f t="shared" si="16"/>
      </c>
      <c r="AC1144" s="2">
        <f t="shared" si="17"/>
      </c>
      <c r="AD1144" s="2">
        <f t="shared" si="18"/>
      </c>
      <c r="AE1144" s="2">
        <f t="shared" si="19"/>
      </c>
      <c r="AF1144" s="2">
        <f t="shared" si="20"/>
      </c>
      <c r="AG1144" s="2">
        <f t="shared" si="21"/>
      </c>
      <c r="AH1144" s="2">
        <f t="shared" si="22"/>
      </c>
      <c r="AI1144" s="2">
        <f t="shared" si="23"/>
      </c>
      <c r="AJ1144" s="2">
        <f t="shared" si="24"/>
        <v>0</v>
      </c>
      <c r="AK1144" s="2">
        <f t="shared" si="25"/>
        <v>0</v>
      </c>
      <c r="AL1144" s="2">
        <f t="shared" si="26"/>
        <v>0</v>
      </c>
      <c r="AM1144" s="2">
        <f t="shared" si="27"/>
        <v>0</v>
      </c>
      <c r="AN1144" s="2">
        <f t="shared" si="28"/>
        <v>0</v>
      </c>
      <c r="AO1144" s="2">
        <f t="shared" si="29"/>
      </c>
      <c r="AP1144" s="2">
        <f t="shared" si="30"/>
      </c>
      <c r="AQ1144" s="2">
        <f t="shared" si="31"/>
      </c>
    </row>
    <row r="1145">
      <c r="A1145" s="43">
        <f t="shared" si="3"/>
      </c>
      <c r="B1145" s="44" t="n"/>
      <c r="C1145" s="45" t="n"/>
      <c r="D1145" s="46" t="n"/>
      <c r="E1145" s="47" t="n"/>
      <c r="F1145" s="47" t="n"/>
      <c r="G1145" s="48">
        <f t="shared" si="4"/>
      </c>
      <c r="H1145" s="43">
        <f t="shared" si="0"/>
      </c>
      <c r="I1145" s="43">
        <f t="shared" si="5"/>
      </c>
      <c r="J1145" s="43">
        <f t="shared" si="1"/>
      </c>
      <c r="K1145" s="49">
        <f t="shared" si="2"/>
      </c>
      <c r="L1145" s="45" t="n"/>
      <c r="M1145" s="45" t="n"/>
      <c r="N1145" s="45" t="n"/>
      <c r="O1145" s="45" t="n"/>
      <c r="P1145" s="50" t="n"/>
      <c r="R1145" s="2">
        <f t="shared" si="6"/>
        <v>0</v>
      </c>
      <c r="S1145" s="2">
        <f t="shared" si="7"/>
      </c>
      <c r="T1145" s="2">
        <f t="shared" si="8"/>
      </c>
      <c r="U1145" s="2">
        <f t="shared" si="9"/>
      </c>
      <c r="V1145" s="2">
        <f t="shared" si="10"/>
      </c>
      <c r="W1145" s="2">
        <f t="shared" si="11"/>
      </c>
      <c r="X1145" s="2">
        <f t="shared" si="12"/>
      </c>
      <c r="Y1145" s="2">
        <f t="shared" si="13"/>
        <v>0</v>
      </c>
      <c r="Z1145" s="2">
        <f t="shared" si="14"/>
      </c>
      <c r="AA1145" s="2">
        <f t="shared" si="15"/>
        <v>0</v>
      </c>
      <c r="AB1145" s="2">
        <f t="shared" si="16"/>
      </c>
      <c r="AC1145" s="2">
        <f t="shared" si="17"/>
      </c>
      <c r="AD1145" s="2">
        <f t="shared" si="18"/>
      </c>
      <c r="AE1145" s="2">
        <f t="shared" si="19"/>
      </c>
      <c r="AF1145" s="2">
        <f t="shared" si="20"/>
      </c>
      <c r="AG1145" s="2">
        <f t="shared" si="21"/>
      </c>
      <c r="AH1145" s="2">
        <f t="shared" si="22"/>
      </c>
      <c r="AI1145" s="2">
        <f t="shared" si="23"/>
      </c>
      <c r="AJ1145" s="2">
        <f t="shared" si="24"/>
        <v>0</v>
      </c>
      <c r="AK1145" s="2">
        <f t="shared" si="25"/>
        <v>0</v>
      </c>
      <c r="AL1145" s="2">
        <f t="shared" si="26"/>
        <v>0</v>
      </c>
      <c r="AM1145" s="2">
        <f t="shared" si="27"/>
        <v>0</v>
      </c>
      <c r="AN1145" s="2">
        <f t="shared" si="28"/>
        <v>0</v>
      </c>
      <c r="AO1145" s="2">
        <f t="shared" si="29"/>
      </c>
      <c r="AP1145" s="2">
        <f t="shared" si="30"/>
      </c>
      <c r="AQ1145" s="2">
        <f t="shared" si="31"/>
      </c>
    </row>
    <row r="1146">
      <c r="A1146" s="43">
        <f t="shared" si="3"/>
      </c>
      <c r="B1146" s="44" t="n"/>
      <c r="C1146" s="45" t="n"/>
      <c r="D1146" s="46" t="n"/>
      <c r="E1146" s="47" t="n"/>
      <c r="F1146" s="47" t="n"/>
      <c r="G1146" s="48">
        <f t="shared" si="4"/>
      </c>
      <c r="H1146" s="43">
        <f t="shared" si="0"/>
      </c>
      <c r="I1146" s="43">
        <f t="shared" si="5"/>
      </c>
      <c r="J1146" s="43">
        <f t="shared" si="1"/>
      </c>
      <c r="K1146" s="49">
        <f t="shared" si="2"/>
      </c>
      <c r="L1146" s="45" t="n"/>
      <c r="M1146" s="45" t="n"/>
      <c r="N1146" s="45" t="n"/>
      <c r="O1146" s="45" t="n"/>
      <c r="P1146" s="50" t="n"/>
      <c r="R1146" s="2">
        <f t="shared" si="6"/>
        <v>0</v>
      </c>
      <c r="S1146" s="2">
        <f t="shared" si="7"/>
      </c>
      <c r="T1146" s="2">
        <f t="shared" si="8"/>
      </c>
      <c r="U1146" s="2">
        <f t="shared" si="9"/>
      </c>
      <c r="V1146" s="2">
        <f t="shared" si="10"/>
      </c>
      <c r="W1146" s="2">
        <f t="shared" si="11"/>
      </c>
      <c r="X1146" s="2">
        <f t="shared" si="12"/>
      </c>
      <c r="Y1146" s="2">
        <f t="shared" si="13"/>
        <v>0</v>
      </c>
      <c r="Z1146" s="2">
        <f t="shared" si="14"/>
      </c>
      <c r="AA1146" s="2">
        <f t="shared" si="15"/>
        <v>0</v>
      </c>
      <c r="AB1146" s="2">
        <f t="shared" si="16"/>
      </c>
      <c r="AC1146" s="2">
        <f t="shared" si="17"/>
      </c>
      <c r="AD1146" s="2">
        <f t="shared" si="18"/>
      </c>
      <c r="AE1146" s="2">
        <f t="shared" si="19"/>
      </c>
      <c r="AF1146" s="2">
        <f t="shared" si="20"/>
      </c>
      <c r="AG1146" s="2">
        <f t="shared" si="21"/>
      </c>
      <c r="AH1146" s="2">
        <f t="shared" si="22"/>
      </c>
      <c r="AI1146" s="2">
        <f t="shared" si="23"/>
      </c>
      <c r="AJ1146" s="2">
        <f t="shared" si="24"/>
        <v>0</v>
      </c>
      <c r="AK1146" s="2">
        <f t="shared" si="25"/>
        <v>0</v>
      </c>
      <c r="AL1146" s="2">
        <f t="shared" si="26"/>
        <v>0</v>
      </c>
      <c r="AM1146" s="2">
        <f t="shared" si="27"/>
        <v>0</v>
      </c>
      <c r="AN1146" s="2">
        <f t="shared" si="28"/>
        <v>0</v>
      </c>
      <c r="AO1146" s="2">
        <f t="shared" si="29"/>
      </c>
      <c r="AP1146" s="2">
        <f t="shared" si="30"/>
      </c>
      <c r="AQ1146" s="2">
        <f t="shared" si="31"/>
      </c>
    </row>
    <row r="1147">
      <c r="A1147" s="43">
        <f t="shared" si="3"/>
      </c>
      <c r="B1147" s="44" t="n"/>
      <c r="C1147" s="45" t="n"/>
      <c r="D1147" s="46" t="n"/>
      <c r="E1147" s="47" t="n"/>
      <c r="F1147" s="47" t="n"/>
      <c r="G1147" s="48">
        <f t="shared" si="4"/>
      </c>
      <c r="H1147" s="43">
        <f t="shared" si="0"/>
      </c>
      <c r="I1147" s="43">
        <f t="shared" si="5"/>
      </c>
      <c r="J1147" s="43">
        <f t="shared" si="1"/>
      </c>
      <c r="K1147" s="49">
        <f t="shared" si="2"/>
      </c>
      <c r="L1147" s="45" t="n"/>
      <c r="M1147" s="45" t="n"/>
      <c r="N1147" s="45" t="n"/>
      <c r="O1147" s="45" t="n"/>
      <c r="P1147" s="50" t="n"/>
      <c r="R1147" s="2">
        <f t="shared" si="6"/>
        <v>0</v>
      </c>
      <c r="S1147" s="2">
        <f t="shared" si="7"/>
      </c>
      <c r="T1147" s="2">
        <f t="shared" si="8"/>
      </c>
      <c r="U1147" s="2">
        <f t="shared" si="9"/>
      </c>
      <c r="V1147" s="2">
        <f t="shared" si="10"/>
      </c>
      <c r="W1147" s="2">
        <f t="shared" si="11"/>
      </c>
      <c r="X1147" s="2">
        <f t="shared" si="12"/>
      </c>
      <c r="Y1147" s="2">
        <f t="shared" si="13"/>
        <v>0</v>
      </c>
      <c r="Z1147" s="2">
        <f t="shared" si="14"/>
      </c>
      <c r="AA1147" s="2">
        <f t="shared" si="15"/>
        <v>0</v>
      </c>
      <c r="AB1147" s="2">
        <f t="shared" si="16"/>
      </c>
      <c r="AC1147" s="2">
        <f t="shared" si="17"/>
      </c>
      <c r="AD1147" s="2">
        <f t="shared" si="18"/>
      </c>
      <c r="AE1147" s="2">
        <f t="shared" si="19"/>
      </c>
      <c r="AF1147" s="2">
        <f t="shared" si="20"/>
      </c>
      <c r="AG1147" s="2">
        <f t="shared" si="21"/>
      </c>
      <c r="AH1147" s="2">
        <f t="shared" si="22"/>
      </c>
      <c r="AI1147" s="2">
        <f t="shared" si="23"/>
      </c>
      <c r="AJ1147" s="2">
        <f t="shared" si="24"/>
        <v>0</v>
      </c>
      <c r="AK1147" s="2">
        <f t="shared" si="25"/>
        <v>0</v>
      </c>
      <c r="AL1147" s="2">
        <f t="shared" si="26"/>
        <v>0</v>
      </c>
      <c r="AM1147" s="2">
        <f t="shared" si="27"/>
        <v>0</v>
      </c>
      <c r="AN1147" s="2">
        <f t="shared" si="28"/>
        <v>0</v>
      </c>
      <c r="AO1147" s="2">
        <f t="shared" si="29"/>
      </c>
      <c r="AP1147" s="2">
        <f t="shared" si="30"/>
      </c>
      <c r="AQ1147" s="2">
        <f t="shared" si="31"/>
      </c>
    </row>
    <row r="1148">
      <c r="A1148" s="43">
        <f t="shared" si="3"/>
      </c>
      <c r="B1148" s="44" t="n"/>
      <c r="C1148" s="45" t="n"/>
      <c r="D1148" s="46" t="n"/>
      <c r="E1148" s="47" t="n"/>
      <c r="F1148" s="47" t="n"/>
      <c r="G1148" s="48">
        <f t="shared" si="4"/>
      </c>
      <c r="H1148" s="43">
        <f t="shared" si="0"/>
      </c>
      <c r="I1148" s="43">
        <f t="shared" si="5"/>
      </c>
      <c r="J1148" s="43">
        <f t="shared" si="1"/>
      </c>
      <c r="K1148" s="49">
        <f t="shared" si="2"/>
      </c>
      <c r="L1148" s="45" t="n"/>
      <c r="M1148" s="45" t="n"/>
      <c r="N1148" s="45" t="n"/>
      <c r="O1148" s="45" t="n"/>
      <c r="P1148" s="50" t="n"/>
      <c r="R1148" s="2">
        <f t="shared" si="6"/>
        <v>0</v>
      </c>
      <c r="S1148" s="2">
        <f t="shared" si="7"/>
      </c>
      <c r="T1148" s="2">
        <f t="shared" si="8"/>
      </c>
      <c r="U1148" s="2">
        <f t="shared" si="9"/>
      </c>
      <c r="V1148" s="2">
        <f t="shared" si="10"/>
      </c>
      <c r="W1148" s="2">
        <f t="shared" si="11"/>
      </c>
      <c r="X1148" s="2">
        <f t="shared" si="12"/>
      </c>
      <c r="Y1148" s="2">
        <f t="shared" si="13"/>
        <v>0</v>
      </c>
      <c r="Z1148" s="2">
        <f t="shared" si="14"/>
      </c>
      <c r="AA1148" s="2">
        <f t="shared" si="15"/>
        <v>0</v>
      </c>
      <c r="AB1148" s="2">
        <f t="shared" si="16"/>
      </c>
      <c r="AC1148" s="2">
        <f t="shared" si="17"/>
      </c>
      <c r="AD1148" s="2">
        <f t="shared" si="18"/>
      </c>
      <c r="AE1148" s="2">
        <f t="shared" si="19"/>
      </c>
      <c r="AF1148" s="2">
        <f t="shared" si="20"/>
      </c>
      <c r="AG1148" s="2">
        <f t="shared" si="21"/>
      </c>
      <c r="AH1148" s="2">
        <f t="shared" si="22"/>
      </c>
      <c r="AI1148" s="2">
        <f t="shared" si="23"/>
      </c>
      <c r="AJ1148" s="2">
        <f t="shared" si="24"/>
        <v>0</v>
      </c>
      <c r="AK1148" s="2">
        <f t="shared" si="25"/>
        <v>0</v>
      </c>
      <c r="AL1148" s="2">
        <f t="shared" si="26"/>
        <v>0</v>
      </c>
      <c r="AM1148" s="2">
        <f t="shared" si="27"/>
        <v>0</v>
      </c>
      <c r="AN1148" s="2">
        <f t="shared" si="28"/>
        <v>0</v>
      </c>
      <c r="AO1148" s="2">
        <f t="shared" si="29"/>
      </c>
      <c r="AP1148" s="2">
        <f t="shared" si="30"/>
      </c>
      <c r="AQ1148" s="2">
        <f t="shared" si="31"/>
      </c>
    </row>
    <row r="1149">
      <c r="A1149" s="43">
        <f t="shared" si="3"/>
      </c>
      <c r="B1149" s="44" t="n"/>
      <c r="C1149" s="45" t="n"/>
      <c r="D1149" s="46" t="n"/>
      <c r="E1149" s="47" t="n"/>
      <c r="F1149" s="47" t="n"/>
      <c r="G1149" s="48">
        <f t="shared" si="4"/>
      </c>
      <c r="H1149" s="43">
        <f t="shared" si="0"/>
      </c>
      <c r="I1149" s="43">
        <f t="shared" si="5"/>
      </c>
      <c r="J1149" s="43">
        <f t="shared" si="1"/>
      </c>
      <c r="K1149" s="49">
        <f t="shared" si="2"/>
      </c>
      <c r="L1149" s="45" t="n"/>
      <c r="M1149" s="45" t="n"/>
      <c r="N1149" s="45" t="n"/>
      <c r="O1149" s="45" t="n"/>
      <c r="P1149" s="50" t="n"/>
      <c r="R1149" s="2">
        <f t="shared" si="6"/>
        <v>0</v>
      </c>
      <c r="S1149" s="2">
        <f t="shared" si="7"/>
      </c>
      <c r="T1149" s="2">
        <f t="shared" si="8"/>
      </c>
      <c r="U1149" s="2">
        <f t="shared" si="9"/>
      </c>
      <c r="V1149" s="2">
        <f t="shared" si="10"/>
      </c>
      <c r="W1149" s="2">
        <f t="shared" si="11"/>
      </c>
      <c r="X1149" s="2">
        <f t="shared" si="12"/>
      </c>
      <c r="Y1149" s="2">
        <f t="shared" si="13"/>
        <v>0</v>
      </c>
      <c r="Z1149" s="2">
        <f t="shared" si="14"/>
      </c>
      <c r="AA1149" s="2">
        <f t="shared" si="15"/>
        <v>0</v>
      </c>
      <c r="AB1149" s="2">
        <f t="shared" si="16"/>
      </c>
      <c r="AC1149" s="2">
        <f t="shared" si="17"/>
      </c>
      <c r="AD1149" s="2">
        <f t="shared" si="18"/>
      </c>
      <c r="AE1149" s="2">
        <f t="shared" si="19"/>
      </c>
      <c r="AF1149" s="2">
        <f t="shared" si="20"/>
      </c>
      <c r="AG1149" s="2">
        <f t="shared" si="21"/>
      </c>
      <c r="AH1149" s="2">
        <f t="shared" si="22"/>
      </c>
      <c r="AI1149" s="2">
        <f t="shared" si="23"/>
      </c>
      <c r="AJ1149" s="2">
        <f t="shared" si="24"/>
        <v>0</v>
      </c>
      <c r="AK1149" s="2">
        <f t="shared" si="25"/>
        <v>0</v>
      </c>
      <c r="AL1149" s="2">
        <f t="shared" si="26"/>
        <v>0</v>
      </c>
      <c r="AM1149" s="2">
        <f t="shared" si="27"/>
        <v>0</v>
      </c>
      <c r="AN1149" s="2">
        <f t="shared" si="28"/>
        <v>0</v>
      </c>
      <c r="AO1149" s="2">
        <f t="shared" si="29"/>
      </c>
      <c r="AP1149" s="2">
        <f t="shared" si="30"/>
      </c>
      <c r="AQ1149" s="2">
        <f t="shared" si="31"/>
      </c>
    </row>
    <row r="1150">
      <c r="A1150" s="43">
        <f t="shared" si="3"/>
      </c>
      <c r="B1150" s="44" t="n"/>
      <c r="C1150" s="45" t="n"/>
      <c r="D1150" s="46" t="n"/>
      <c r="E1150" s="47" t="n"/>
      <c r="F1150" s="47" t="n"/>
      <c r="G1150" s="48">
        <f t="shared" si="4"/>
      </c>
      <c r="H1150" s="43">
        <f t="shared" si="0"/>
      </c>
      <c r="I1150" s="43">
        <f t="shared" si="5"/>
      </c>
      <c r="J1150" s="43">
        <f t="shared" si="1"/>
      </c>
      <c r="K1150" s="49">
        <f t="shared" si="2"/>
      </c>
      <c r="L1150" s="45" t="n"/>
      <c r="M1150" s="45" t="n"/>
      <c r="N1150" s="45" t="n"/>
      <c r="O1150" s="45" t="n"/>
      <c r="P1150" s="50" t="n"/>
      <c r="R1150" s="2">
        <f t="shared" si="6"/>
        <v>0</v>
      </c>
      <c r="S1150" s="2">
        <f t="shared" si="7"/>
      </c>
      <c r="T1150" s="2">
        <f t="shared" si="8"/>
      </c>
      <c r="U1150" s="2">
        <f t="shared" si="9"/>
      </c>
      <c r="V1150" s="2">
        <f t="shared" si="10"/>
      </c>
      <c r="W1150" s="2">
        <f t="shared" si="11"/>
      </c>
      <c r="X1150" s="2">
        <f t="shared" si="12"/>
      </c>
      <c r="Y1150" s="2">
        <f t="shared" si="13"/>
        <v>0</v>
      </c>
      <c r="Z1150" s="2">
        <f t="shared" si="14"/>
      </c>
      <c r="AA1150" s="2">
        <f t="shared" si="15"/>
        <v>0</v>
      </c>
      <c r="AB1150" s="2">
        <f t="shared" si="16"/>
      </c>
      <c r="AC1150" s="2">
        <f t="shared" si="17"/>
      </c>
      <c r="AD1150" s="2">
        <f t="shared" si="18"/>
      </c>
      <c r="AE1150" s="2">
        <f t="shared" si="19"/>
      </c>
      <c r="AF1150" s="2">
        <f t="shared" si="20"/>
      </c>
      <c r="AG1150" s="2">
        <f t="shared" si="21"/>
      </c>
      <c r="AH1150" s="2">
        <f t="shared" si="22"/>
      </c>
      <c r="AI1150" s="2">
        <f t="shared" si="23"/>
      </c>
      <c r="AJ1150" s="2">
        <f t="shared" si="24"/>
        <v>0</v>
      </c>
      <c r="AK1150" s="2">
        <f t="shared" si="25"/>
        <v>0</v>
      </c>
      <c r="AL1150" s="2">
        <f t="shared" si="26"/>
        <v>0</v>
      </c>
      <c r="AM1150" s="2">
        <f t="shared" si="27"/>
        <v>0</v>
      </c>
      <c r="AN1150" s="2">
        <f t="shared" si="28"/>
        <v>0</v>
      </c>
      <c r="AO1150" s="2">
        <f t="shared" si="29"/>
      </c>
      <c r="AP1150" s="2">
        <f t="shared" si="30"/>
      </c>
      <c r="AQ1150" s="2">
        <f t="shared" si="31"/>
      </c>
    </row>
    <row r="1151">
      <c r="A1151" s="43">
        <f t="shared" si="3"/>
      </c>
      <c r="B1151" s="44" t="n"/>
      <c r="C1151" s="45" t="n"/>
      <c r="D1151" s="46" t="n"/>
      <c r="E1151" s="47" t="n"/>
      <c r="F1151" s="47" t="n"/>
      <c r="G1151" s="48">
        <f t="shared" si="4"/>
      </c>
      <c r="H1151" s="43">
        <f t="shared" si="0"/>
      </c>
      <c r="I1151" s="43">
        <f t="shared" si="5"/>
      </c>
      <c r="J1151" s="43">
        <f t="shared" si="1"/>
      </c>
      <c r="K1151" s="49">
        <f t="shared" si="2"/>
      </c>
      <c r="L1151" s="45" t="n"/>
      <c r="M1151" s="45" t="n"/>
      <c r="N1151" s="45" t="n"/>
      <c r="O1151" s="45" t="n"/>
      <c r="P1151" s="50" t="n"/>
      <c r="R1151" s="2">
        <f t="shared" si="6"/>
        <v>0</v>
      </c>
      <c r="S1151" s="2">
        <f t="shared" si="7"/>
      </c>
      <c r="T1151" s="2">
        <f t="shared" si="8"/>
      </c>
      <c r="U1151" s="2">
        <f t="shared" si="9"/>
      </c>
      <c r="V1151" s="2">
        <f t="shared" si="10"/>
      </c>
      <c r="W1151" s="2">
        <f t="shared" si="11"/>
      </c>
      <c r="X1151" s="2">
        <f t="shared" si="12"/>
      </c>
      <c r="Y1151" s="2">
        <f t="shared" si="13"/>
        <v>0</v>
      </c>
      <c r="Z1151" s="2">
        <f t="shared" si="14"/>
      </c>
      <c r="AA1151" s="2">
        <f t="shared" si="15"/>
        <v>0</v>
      </c>
      <c r="AB1151" s="2">
        <f t="shared" si="16"/>
      </c>
      <c r="AC1151" s="2">
        <f t="shared" si="17"/>
      </c>
      <c r="AD1151" s="2">
        <f t="shared" si="18"/>
      </c>
      <c r="AE1151" s="2">
        <f t="shared" si="19"/>
      </c>
      <c r="AF1151" s="2">
        <f t="shared" si="20"/>
      </c>
      <c r="AG1151" s="2">
        <f t="shared" si="21"/>
      </c>
      <c r="AH1151" s="2">
        <f t="shared" si="22"/>
      </c>
      <c r="AI1151" s="2">
        <f t="shared" si="23"/>
      </c>
      <c r="AJ1151" s="2">
        <f t="shared" si="24"/>
        <v>0</v>
      </c>
      <c r="AK1151" s="2">
        <f t="shared" si="25"/>
        <v>0</v>
      </c>
      <c r="AL1151" s="2">
        <f t="shared" si="26"/>
        <v>0</v>
      </c>
      <c r="AM1151" s="2">
        <f t="shared" si="27"/>
        <v>0</v>
      </c>
      <c r="AN1151" s="2">
        <f t="shared" si="28"/>
        <v>0</v>
      </c>
      <c r="AO1151" s="2">
        <f t="shared" si="29"/>
      </c>
      <c r="AP1151" s="2">
        <f t="shared" si="30"/>
      </c>
      <c r="AQ1151" s="2">
        <f t="shared" si="31"/>
      </c>
    </row>
    <row r="1152">
      <c r="A1152" s="43">
        <f t="shared" si="3"/>
      </c>
      <c r="B1152" s="44" t="n"/>
      <c r="C1152" s="45" t="n"/>
      <c r="D1152" s="46" t="n"/>
      <c r="E1152" s="47" t="n"/>
      <c r="F1152" s="47" t="n"/>
      <c r="G1152" s="48">
        <f t="shared" si="4"/>
      </c>
      <c r="H1152" s="43">
        <f t="shared" si="0"/>
      </c>
      <c r="I1152" s="43">
        <f t="shared" si="5"/>
      </c>
      <c r="J1152" s="43">
        <f t="shared" si="1"/>
      </c>
      <c r="K1152" s="49">
        <f t="shared" si="2"/>
      </c>
      <c r="L1152" s="45" t="n"/>
      <c r="M1152" s="45" t="n"/>
      <c r="N1152" s="45" t="n"/>
      <c r="O1152" s="45" t="n"/>
      <c r="P1152" s="50" t="n"/>
      <c r="R1152" s="2">
        <f t="shared" si="6"/>
        <v>0</v>
      </c>
      <c r="S1152" s="2">
        <f t="shared" si="7"/>
      </c>
      <c r="T1152" s="2">
        <f t="shared" si="8"/>
      </c>
      <c r="U1152" s="2">
        <f t="shared" si="9"/>
      </c>
      <c r="V1152" s="2">
        <f t="shared" si="10"/>
      </c>
      <c r="W1152" s="2">
        <f t="shared" si="11"/>
      </c>
      <c r="X1152" s="2">
        <f t="shared" si="12"/>
      </c>
      <c r="Y1152" s="2">
        <f t="shared" si="13"/>
        <v>0</v>
      </c>
      <c r="Z1152" s="2">
        <f t="shared" si="14"/>
      </c>
      <c r="AA1152" s="2">
        <f t="shared" si="15"/>
        <v>0</v>
      </c>
      <c r="AB1152" s="2">
        <f t="shared" si="16"/>
      </c>
      <c r="AC1152" s="2">
        <f t="shared" si="17"/>
      </c>
      <c r="AD1152" s="2">
        <f t="shared" si="18"/>
      </c>
      <c r="AE1152" s="2">
        <f t="shared" si="19"/>
      </c>
      <c r="AF1152" s="2">
        <f t="shared" si="20"/>
      </c>
      <c r="AG1152" s="2">
        <f t="shared" si="21"/>
      </c>
      <c r="AH1152" s="2">
        <f t="shared" si="22"/>
      </c>
      <c r="AI1152" s="2">
        <f t="shared" si="23"/>
      </c>
      <c r="AJ1152" s="2">
        <f t="shared" si="24"/>
        <v>0</v>
      </c>
      <c r="AK1152" s="2">
        <f t="shared" si="25"/>
        <v>0</v>
      </c>
      <c r="AL1152" s="2">
        <f t="shared" si="26"/>
        <v>0</v>
      </c>
      <c r="AM1152" s="2">
        <f t="shared" si="27"/>
        <v>0</v>
      </c>
      <c r="AN1152" s="2">
        <f t="shared" si="28"/>
        <v>0</v>
      </c>
      <c r="AO1152" s="2">
        <f t="shared" si="29"/>
      </c>
      <c r="AP1152" s="2">
        <f t="shared" si="30"/>
      </c>
      <c r="AQ1152" s="2">
        <f t="shared" si="31"/>
      </c>
    </row>
    <row r="1153">
      <c r="A1153" s="43">
        <f t="shared" si="3"/>
      </c>
      <c r="B1153" s="44" t="n"/>
      <c r="C1153" s="45" t="n"/>
      <c r="D1153" s="46" t="n"/>
      <c r="E1153" s="47" t="n"/>
      <c r="F1153" s="47" t="n"/>
      <c r="G1153" s="48">
        <f t="shared" si="4"/>
      </c>
      <c r="H1153" s="43">
        <f t="shared" si="0"/>
      </c>
      <c r="I1153" s="43">
        <f t="shared" si="5"/>
      </c>
      <c r="J1153" s="43">
        <f t="shared" si="1"/>
      </c>
      <c r="K1153" s="49">
        <f t="shared" si="2"/>
      </c>
      <c r="L1153" s="45" t="n"/>
      <c r="M1153" s="45" t="n"/>
      <c r="N1153" s="45" t="n"/>
      <c r="O1153" s="45" t="n"/>
      <c r="P1153" s="50" t="n"/>
      <c r="R1153" s="2">
        <f t="shared" si="6"/>
        <v>0</v>
      </c>
      <c r="S1153" s="2">
        <f t="shared" si="7"/>
      </c>
      <c r="T1153" s="2">
        <f t="shared" si="8"/>
      </c>
      <c r="U1153" s="2">
        <f t="shared" si="9"/>
      </c>
      <c r="V1153" s="2">
        <f t="shared" si="10"/>
      </c>
      <c r="W1153" s="2">
        <f t="shared" si="11"/>
      </c>
      <c r="X1153" s="2">
        <f t="shared" si="12"/>
      </c>
      <c r="Y1153" s="2">
        <f t="shared" si="13"/>
        <v>0</v>
      </c>
      <c r="Z1153" s="2">
        <f t="shared" si="14"/>
      </c>
      <c r="AA1153" s="2">
        <f t="shared" si="15"/>
        <v>0</v>
      </c>
      <c r="AB1153" s="2">
        <f t="shared" si="16"/>
      </c>
      <c r="AC1153" s="2">
        <f t="shared" si="17"/>
      </c>
      <c r="AD1153" s="2">
        <f t="shared" si="18"/>
      </c>
      <c r="AE1153" s="2">
        <f t="shared" si="19"/>
      </c>
      <c r="AF1153" s="2">
        <f t="shared" si="20"/>
      </c>
      <c r="AG1153" s="2">
        <f t="shared" si="21"/>
      </c>
      <c r="AH1153" s="2">
        <f t="shared" si="22"/>
      </c>
      <c r="AI1153" s="2">
        <f t="shared" si="23"/>
      </c>
      <c r="AJ1153" s="2">
        <f t="shared" si="24"/>
        <v>0</v>
      </c>
      <c r="AK1153" s="2">
        <f t="shared" si="25"/>
        <v>0</v>
      </c>
      <c r="AL1153" s="2">
        <f t="shared" si="26"/>
        <v>0</v>
      </c>
      <c r="AM1153" s="2">
        <f t="shared" si="27"/>
        <v>0</v>
      </c>
      <c r="AN1153" s="2">
        <f t="shared" si="28"/>
        <v>0</v>
      </c>
      <c r="AO1153" s="2">
        <f t="shared" si="29"/>
      </c>
      <c r="AP1153" s="2">
        <f t="shared" si="30"/>
      </c>
      <c r="AQ1153" s="2">
        <f t="shared" si="31"/>
      </c>
    </row>
    <row r="1154">
      <c r="A1154" s="43">
        <f t="shared" si="3"/>
      </c>
      <c r="B1154" s="44" t="n"/>
      <c r="C1154" s="45" t="n"/>
      <c r="D1154" s="46" t="n"/>
      <c r="E1154" s="47" t="n"/>
      <c r="F1154" s="47" t="n"/>
      <c r="G1154" s="48">
        <f t="shared" si="4"/>
      </c>
      <c r="H1154" s="43">
        <f t="shared" si="0"/>
      </c>
      <c r="I1154" s="43">
        <f t="shared" si="5"/>
      </c>
      <c r="J1154" s="43">
        <f t="shared" si="1"/>
      </c>
      <c r="K1154" s="49">
        <f t="shared" si="2"/>
      </c>
      <c r="L1154" s="45" t="n"/>
      <c r="M1154" s="45" t="n"/>
      <c r="N1154" s="45" t="n"/>
      <c r="O1154" s="45" t="n"/>
      <c r="P1154" s="50" t="n"/>
      <c r="R1154" s="2">
        <f t="shared" si="6"/>
        <v>0</v>
      </c>
      <c r="S1154" s="2">
        <f t="shared" si="7"/>
      </c>
      <c r="T1154" s="2">
        <f t="shared" si="8"/>
      </c>
      <c r="U1154" s="2">
        <f t="shared" si="9"/>
      </c>
      <c r="V1154" s="2">
        <f t="shared" si="10"/>
      </c>
      <c r="W1154" s="2">
        <f t="shared" si="11"/>
      </c>
      <c r="X1154" s="2">
        <f t="shared" si="12"/>
      </c>
      <c r="Y1154" s="2">
        <f t="shared" si="13"/>
        <v>0</v>
      </c>
      <c r="Z1154" s="2">
        <f t="shared" si="14"/>
      </c>
      <c r="AA1154" s="2">
        <f t="shared" si="15"/>
        <v>0</v>
      </c>
      <c r="AB1154" s="2">
        <f t="shared" si="16"/>
      </c>
      <c r="AC1154" s="2">
        <f t="shared" si="17"/>
      </c>
      <c r="AD1154" s="2">
        <f t="shared" si="18"/>
      </c>
      <c r="AE1154" s="2">
        <f t="shared" si="19"/>
      </c>
      <c r="AF1154" s="2">
        <f t="shared" si="20"/>
      </c>
      <c r="AG1154" s="2">
        <f t="shared" si="21"/>
      </c>
      <c r="AH1154" s="2">
        <f t="shared" si="22"/>
      </c>
      <c r="AI1154" s="2">
        <f t="shared" si="23"/>
      </c>
      <c r="AJ1154" s="2">
        <f t="shared" si="24"/>
        <v>0</v>
      </c>
      <c r="AK1154" s="2">
        <f t="shared" si="25"/>
        <v>0</v>
      </c>
      <c r="AL1154" s="2">
        <f t="shared" si="26"/>
        <v>0</v>
      </c>
      <c r="AM1154" s="2">
        <f t="shared" si="27"/>
        <v>0</v>
      </c>
      <c r="AN1154" s="2">
        <f t="shared" si="28"/>
        <v>0</v>
      </c>
      <c r="AO1154" s="2">
        <f t="shared" si="29"/>
      </c>
      <c r="AP1154" s="2">
        <f t="shared" si="30"/>
      </c>
      <c r="AQ1154" s="2">
        <f t="shared" si="31"/>
      </c>
    </row>
    <row r="1155">
      <c r="A1155" s="43">
        <f t="shared" si="3"/>
      </c>
      <c r="B1155" s="44" t="n"/>
      <c r="C1155" s="45" t="n"/>
      <c r="D1155" s="46" t="n"/>
      <c r="E1155" s="47" t="n"/>
      <c r="F1155" s="47" t="n"/>
      <c r="G1155" s="48">
        <f t="shared" si="4"/>
      </c>
      <c r="H1155" s="43">
        <f t="shared" si="0"/>
      </c>
      <c r="I1155" s="43">
        <f t="shared" si="5"/>
      </c>
      <c r="J1155" s="43">
        <f t="shared" si="1"/>
      </c>
      <c r="K1155" s="49">
        <f t="shared" si="2"/>
      </c>
      <c r="L1155" s="45" t="n"/>
      <c r="M1155" s="45" t="n"/>
      <c r="N1155" s="45" t="n"/>
      <c r="O1155" s="45" t="n"/>
      <c r="P1155" s="50" t="n"/>
      <c r="R1155" s="2">
        <f t="shared" si="6"/>
        <v>0</v>
      </c>
      <c r="S1155" s="2">
        <f t="shared" si="7"/>
      </c>
      <c r="T1155" s="2">
        <f t="shared" si="8"/>
      </c>
      <c r="U1155" s="2">
        <f t="shared" si="9"/>
      </c>
      <c r="V1155" s="2">
        <f t="shared" si="10"/>
      </c>
      <c r="W1155" s="2">
        <f t="shared" si="11"/>
      </c>
      <c r="X1155" s="2">
        <f t="shared" si="12"/>
      </c>
      <c r="Y1155" s="2">
        <f t="shared" si="13"/>
        <v>0</v>
      </c>
      <c r="Z1155" s="2">
        <f t="shared" si="14"/>
      </c>
      <c r="AA1155" s="2">
        <f t="shared" si="15"/>
        <v>0</v>
      </c>
      <c r="AB1155" s="2">
        <f t="shared" si="16"/>
      </c>
      <c r="AC1155" s="2">
        <f t="shared" si="17"/>
      </c>
      <c r="AD1155" s="2">
        <f t="shared" si="18"/>
      </c>
      <c r="AE1155" s="2">
        <f t="shared" si="19"/>
      </c>
      <c r="AF1155" s="2">
        <f t="shared" si="20"/>
      </c>
      <c r="AG1155" s="2">
        <f t="shared" si="21"/>
      </c>
      <c r="AH1155" s="2">
        <f t="shared" si="22"/>
      </c>
      <c r="AI1155" s="2">
        <f t="shared" si="23"/>
      </c>
      <c r="AJ1155" s="2">
        <f t="shared" si="24"/>
        <v>0</v>
      </c>
      <c r="AK1155" s="2">
        <f t="shared" si="25"/>
        <v>0</v>
      </c>
      <c r="AL1155" s="2">
        <f t="shared" si="26"/>
        <v>0</v>
      </c>
      <c r="AM1155" s="2">
        <f t="shared" si="27"/>
        <v>0</v>
      </c>
      <c r="AN1155" s="2">
        <f t="shared" si="28"/>
        <v>0</v>
      </c>
      <c r="AO1155" s="2">
        <f t="shared" si="29"/>
      </c>
      <c r="AP1155" s="2">
        <f t="shared" si="30"/>
      </c>
      <c r="AQ1155" s="2">
        <f t="shared" si="31"/>
      </c>
    </row>
    <row r="1156">
      <c r="A1156" s="43">
        <f t="shared" si="3"/>
      </c>
      <c r="B1156" s="44" t="n"/>
      <c r="C1156" s="45" t="n"/>
      <c r="D1156" s="46" t="n"/>
      <c r="E1156" s="47" t="n"/>
      <c r="F1156" s="47" t="n"/>
      <c r="G1156" s="48">
        <f t="shared" si="4"/>
      </c>
      <c r="H1156" s="43">
        <f t="shared" si="0"/>
      </c>
      <c r="I1156" s="43">
        <f t="shared" si="5"/>
      </c>
      <c r="J1156" s="43">
        <f t="shared" si="1"/>
      </c>
      <c r="K1156" s="49">
        <f t="shared" si="2"/>
      </c>
      <c r="L1156" s="45" t="n"/>
      <c r="M1156" s="45" t="n"/>
      <c r="N1156" s="45" t="n"/>
      <c r="O1156" s="45" t="n"/>
      <c r="P1156" s="50" t="n"/>
      <c r="R1156" s="2">
        <f t="shared" si="6"/>
        <v>0</v>
      </c>
      <c r="S1156" s="2">
        <f t="shared" si="7"/>
      </c>
      <c r="T1156" s="2">
        <f t="shared" si="8"/>
      </c>
      <c r="U1156" s="2">
        <f t="shared" si="9"/>
      </c>
      <c r="V1156" s="2">
        <f t="shared" si="10"/>
      </c>
      <c r="W1156" s="2">
        <f t="shared" si="11"/>
      </c>
      <c r="X1156" s="2">
        <f t="shared" si="12"/>
      </c>
      <c r="Y1156" s="2">
        <f t="shared" si="13"/>
        <v>0</v>
      </c>
      <c r="Z1156" s="2">
        <f t="shared" si="14"/>
      </c>
      <c r="AA1156" s="2">
        <f t="shared" si="15"/>
        <v>0</v>
      </c>
      <c r="AB1156" s="2">
        <f t="shared" si="16"/>
      </c>
      <c r="AC1156" s="2">
        <f t="shared" si="17"/>
      </c>
      <c r="AD1156" s="2">
        <f t="shared" si="18"/>
      </c>
      <c r="AE1156" s="2">
        <f t="shared" si="19"/>
      </c>
      <c r="AF1156" s="2">
        <f t="shared" si="20"/>
      </c>
      <c r="AG1156" s="2">
        <f t="shared" si="21"/>
      </c>
      <c r="AH1156" s="2">
        <f t="shared" si="22"/>
      </c>
      <c r="AI1156" s="2">
        <f t="shared" si="23"/>
      </c>
      <c r="AJ1156" s="2">
        <f t="shared" si="24"/>
        <v>0</v>
      </c>
      <c r="AK1156" s="2">
        <f t="shared" si="25"/>
        <v>0</v>
      </c>
      <c r="AL1156" s="2">
        <f t="shared" si="26"/>
        <v>0</v>
      </c>
      <c r="AM1156" s="2">
        <f t="shared" si="27"/>
        <v>0</v>
      </c>
      <c r="AN1156" s="2">
        <f t="shared" si="28"/>
        <v>0</v>
      </c>
      <c r="AO1156" s="2">
        <f t="shared" si="29"/>
      </c>
      <c r="AP1156" s="2">
        <f t="shared" si="30"/>
      </c>
      <c r="AQ1156" s="2">
        <f t="shared" si="31"/>
      </c>
    </row>
    <row r="1157">
      <c r="A1157" s="43">
        <f t="shared" si="3"/>
      </c>
      <c r="B1157" s="44" t="n"/>
      <c r="C1157" s="45" t="n"/>
      <c r="D1157" s="46" t="n"/>
      <c r="E1157" s="47" t="n"/>
      <c r="F1157" s="47" t="n"/>
      <c r="G1157" s="48">
        <f t="shared" si="4"/>
      </c>
      <c r="H1157" s="43">
        <f t="shared" si="0"/>
      </c>
      <c r="I1157" s="43">
        <f t="shared" si="5"/>
      </c>
      <c r="J1157" s="43">
        <f t="shared" si="1"/>
      </c>
      <c r="K1157" s="49">
        <f t="shared" si="2"/>
      </c>
      <c r="L1157" s="45" t="n"/>
      <c r="M1157" s="45" t="n"/>
      <c r="N1157" s="45" t="n"/>
      <c r="O1157" s="45" t="n"/>
      <c r="P1157" s="50" t="n"/>
      <c r="R1157" s="2">
        <f t="shared" si="6"/>
        <v>0</v>
      </c>
      <c r="S1157" s="2">
        <f t="shared" si="7"/>
      </c>
      <c r="T1157" s="2">
        <f t="shared" si="8"/>
      </c>
      <c r="U1157" s="2">
        <f t="shared" si="9"/>
      </c>
      <c r="V1157" s="2">
        <f t="shared" si="10"/>
      </c>
      <c r="W1157" s="2">
        <f t="shared" si="11"/>
      </c>
      <c r="X1157" s="2">
        <f t="shared" si="12"/>
      </c>
      <c r="Y1157" s="2">
        <f t="shared" si="13"/>
        <v>0</v>
      </c>
      <c r="Z1157" s="2">
        <f t="shared" si="14"/>
      </c>
      <c r="AA1157" s="2">
        <f t="shared" si="15"/>
        <v>0</v>
      </c>
      <c r="AB1157" s="2">
        <f t="shared" si="16"/>
      </c>
      <c r="AC1157" s="2">
        <f t="shared" si="17"/>
      </c>
      <c r="AD1157" s="2">
        <f t="shared" si="18"/>
      </c>
      <c r="AE1157" s="2">
        <f t="shared" si="19"/>
      </c>
      <c r="AF1157" s="2">
        <f t="shared" si="20"/>
      </c>
      <c r="AG1157" s="2">
        <f t="shared" si="21"/>
      </c>
      <c r="AH1157" s="2">
        <f t="shared" si="22"/>
      </c>
      <c r="AI1157" s="2">
        <f t="shared" si="23"/>
      </c>
      <c r="AJ1157" s="2">
        <f t="shared" si="24"/>
        <v>0</v>
      </c>
      <c r="AK1157" s="2">
        <f t="shared" si="25"/>
        <v>0</v>
      </c>
      <c r="AL1157" s="2">
        <f t="shared" si="26"/>
        <v>0</v>
      </c>
      <c r="AM1157" s="2">
        <f t="shared" si="27"/>
        <v>0</v>
      </c>
      <c r="AN1157" s="2">
        <f t="shared" si="28"/>
        <v>0</v>
      </c>
      <c r="AO1157" s="2">
        <f t="shared" si="29"/>
      </c>
      <c r="AP1157" s="2">
        <f t="shared" si="30"/>
      </c>
      <c r="AQ1157" s="2">
        <f t="shared" si="31"/>
      </c>
    </row>
    <row r="1158">
      <c r="A1158" s="43">
        <f t="shared" si="3"/>
      </c>
      <c r="B1158" s="44" t="n"/>
      <c r="C1158" s="45" t="n"/>
      <c r="D1158" s="46" t="n"/>
      <c r="E1158" s="47" t="n"/>
      <c r="F1158" s="47" t="n"/>
      <c r="G1158" s="48">
        <f t="shared" si="4"/>
      </c>
      <c r="H1158" s="43">
        <f t="shared" si="0"/>
      </c>
      <c r="I1158" s="43">
        <f t="shared" si="5"/>
      </c>
      <c r="J1158" s="43">
        <f t="shared" si="1"/>
      </c>
      <c r="K1158" s="49">
        <f t="shared" si="2"/>
      </c>
      <c r="L1158" s="45" t="n"/>
      <c r="M1158" s="45" t="n"/>
      <c r="N1158" s="45" t="n"/>
      <c r="O1158" s="45" t="n"/>
      <c r="P1158" s="50" t="n"/>
      <c r="R1158" s="2">
        <f t="shared" si="6"/>
        <v>0</v>
      </c>
      <c r="S1158" s="2">
        <f t="shared" si="7"/>
      </c>
      <c r="T1158" s="2">
        <f t="shared" si="8"/>
      </c>
      <c r="U1158" s="2">
        <f t="shared" si="9"/>
      </c>
      <c r="V1158" s="2">
        <f t="shared" si="10"/>
      </c>
      <c r="W1158" s="2">
        <f t="shared" si="11"/>
      </c>
      <c r="X1158" s="2">
        <f t="shared" si="12"/>
      </c>
      <c r="Y1158" s="2">
        <f t="shared" si="13"/>
        <v>0</v>
      </c>
      <c r="Z1158" s="2">
        <f t="shared" si="14"/>
      </c>
      <c r="AA1158" s="2">
        <f t="shared" si="15"/>
        <v>0</v>
      </c>
      <c r="AB1158" s="2">
        <f t="shared" si="16"/>
      </c>
      <c r="AC1158" s="2">
        <f t="shared" si="17"/>
      </c>
      <c r="AD1158" s="2">
        <f t="shared" si="18"/>
      </c>
      <c r="AE1158" s="2">
        <f t="shared" si="19"/>
      </c>
      <c r="AF1158" s="2">
        <f t="shared" si="20"/>
      </c>
      <c r="AG1158" s="2">
        <f t="shared" si="21"/>
      </c>
      <c r="AH1158" s="2">
        <f t="shared" si="22"/>
      </c>
      <c r="AI1158" s="2">
        <f t="shared" si="23"/>
      </c>
      <c r="AJ1158" s="2">
        <f t="shared" si="24"/>
        <v>0</v>
      </c>
      <c r="AK1158" s="2">
        <f t="shared" si="25"/>
        <v>0</v>
      </c>
      <c r="AL1158" s="2">
        <f t="shared" si="26"/>
        <v>0</v>
      </c>
      <c r="AM1158" s="2">
        <f t="shared" si="27"/>
        <v>0</v>
      </c>
      <c r="AN1158" s="2">
        <f t="shared" si="28"/>
        <v>0</v>
      </c>
      <c r="AO1158" s="2">
        <f t="shared" si="29"/>
      </c>
      <c r="AP1158" s="2">
        <f t="shared" si="30"/>
      </c>
      <c r="AQ1158" s="2">
        <f t="shared" si="31"/>
      </c>
    </row>
    <row r="1159">
      <c r="A1159" s="43">
        <f t="shared" si="3"/>
      </c>
      <c r="B1159" s="44" t="n"/>
      <c r="C1159" s="45" t="n"/>
      <c r="D1159" s="46" t="n"/>
      <c r="E1159" s="47" t="n"/>
      <c r="F1159" s="47" t="n"/>
      <c r="G1159" s="48">
        <f t="shared" si="4"/>
      </c>
      <c r="H1159" s="43">
        <f t="shared" si="0"/>
      </c>
      <c r="I1159" s="43">
        <f t="shared" si="5"/>
      </c>
      <c r="J1159" s="43">
        <f t="shared" si="1"/>
      </c>
      <c r="K1159" s="49">
        <f t="shared" si="2"/>
      </c>
      <c r="L1159" s="45" t="n"/>
      <c r="M1159" s="45" t="n"/>
      <c r="N1159" s="45" t="n"/>
      <c r="O1159" s="45" t="n"/>
      <c r="P1159" s="50" t="n"/>
      <c r="R1159" s="2">
        <f t="shared" si="6"/>
        <v>0</v>
      </c>
      <c r="S1159" s="2">
        <f t="shared" si="7"/>
      </c>
      <c r="T1159" s="2">
        <f t="shared" si="8"/>
      </c>
      <c r="U1159" s="2">
        <f t="shared" si="9"/>
      </c>
      <c r="V1159" s="2">
        <f t="shared" si="10"/>
      </c>
      <c r="W1159" s="2">
        <f t="shared" si="11"/>
      </c>
      <c r="X1159" s="2">
        <f t="shared" si="12"/>
      </c>
      <c r="Y1159" s="2">
        <f t="shared" si="13"/>
        <v>0</v>
      </c>
      <c r="Z1159" s="2">
        <f t="shared" si="14"/>
      </c>
      <c r="AA1159" s="2">
        <f t="shared" si="15"/>
        <v>0</v>
      </c>
      <c r="AB1159" s="2">
        <f t="shared" si="16"/>
      </c>
      <c r="AC1159" s="2">
        <f t="shared" si="17"/>
      </c>
      <c r="AD1159" s="2">
        <f t="shared" si="18"/>
      </c>
      <c r="AE1159" s="2">
        <f t="shared" si="19"/>
      </c>
      <c r="AF1159" s="2">
        <f t="shared" si="20"/>
      </c>
      <c r="AG1159" s="2">
        <f t="shared" si="21"/>
      </c>
      <c r="AH1159" s="2">
        <f t="shared" si="22"/>
      </c>
      <c r="AI1159" s="2">
        <f t="shared" si="23"/>
      </c>
      <c r="AJ1159" s="2">
        <f t="shared" si="24"/>
        <v>0</v>
      </c>
      <c r="AK1159" s="2">
        <f t="shared" si="25"/>
        <v>0</v>
      </c>
      <c r="AL1159" s="2">
        <f t="shared" si="26"/>
        <v>0</v>
      </c>
      <c r="AM1159" s="2">
        <f t="shared" si="27"/>
        <v>0</v>
      </c>
      <c r="AN1159" s="2">
        <f t="shared" si="28"/>
        <v>0</v>
      </c>
      <c r="AO1159" s="2">
        <f t="shared" si="29"/>
      </c>
      <c r="AP1159" s="2">
        <f t="shared" si="30"/>
      </c>
      <c r="AQ1159" s="2">
        <f t="shared" si="31"/>
      </c>
    </row>
    <row r="1160">
      <c r="A1160" s="43">
        <f t="shared" si="3"/>
      </c>
      <c r="B1160" s="44" t="n"/>
      <c r="C1160" s="45" t="n"/>
      <c r="D1160" s="46" t="n"/>
      <c r="E1160" s="47" t="n"/>
      <c r="F1160" s="47" t="n"/>
      <c r="G1160" s="48">
        <f t="shared" si="4"/>
      </c>
      <c r="H1160" s="43">
        <f t="shared" si="0"/>
      </c>
      <c r="I1160" s="43">
        <f t="shared" si="5"/>
      </c>
      <c r="J1160" s="43">
        <f t="shared" si="1"/>
      </c>
      <c r="K1160" s="49">
        <f t="shared" si="2"/>
      </c>
      <c r="L1160" s="45" t="n"/>
      <c r="M1160" s="45" t="n"/>
      <c r="N1160" s="45" t="n"/>
      <c r="O1160" s="45" t="n"/>
      <c r="P1160" s="50" t="n"/>
      <c r="R1160" s="2">
        <f t="shared" si="6"/>
        <v>0</v>
      </c>
      <c r="S1160" s="2">
        <f t="shared" si="7"/>
      </c>
      <c r="T1160" s="2">
        <f t="shared" si="8"/>
      </c>
      <c r="U1160" s="2">
        <f t="shared" si="9"/>
      </c>
      <c r="V1160" s="2">
        <f t="shared" si="10"/>
      </c>
      <c r="W1160" s="2">
        <f t="shared" si="11"/>
      </c>
      <c r="X1160" s="2">
        <f t="shared" si="12"/>
      </c>
      <c r="Y1160" s="2">
        <f t="shared" si="13"/>
        <v>0</v>
      </c>
      <c r="Z1160" s="2">
        <f t="shared" si="14"/>
      </c>
      <c r="AA1160" s="2">
        <f t="shared" si="15"/>
        <v>0</v>
      </c>
      <c r="AB1160" s="2">
        <f t="shared" si="16"/>
      </c>
      <c r="AC1160" s="2">
        <f t="shared" si="17"/>
      </c>
      <c r="AD1160" s="2">
        <f t="shared" si="18"/>
      </c>
      <c r="AE1160" s="2">
        <f t="shared" si="19"/>
      </c>
      <c r="AF1160" s="2">
        <f t="shared" si="20"/>
      </c>
      <c r="AG1160" s="2">
        <f t="shared" si="21"/>
      </c>
      <c r="AH1160" s="2">
        <f t="shared" si="22"/>
      </c>
      <c r="AI1160" s="2">
        <f t="shared" si="23"/>
      </c>
      <c r="AJ1160" s="2">
        <f t="shared" si="24"/>
        <v>0</v>
      </c>
      <c r="AK1160" s="2">
        <f t="shared" si="25"/>
        <v>0</v>
      </c>
      <c r="AL1160" s="2">
        <f t="shared" si="26"/>
        <v>0</v>
      </c>
      <c r="AM1160" s="2">
        <f t="shared" si="27"/>
        <v>0</v>
      </c>
      <c r="AN1160" s="2">
        <f t="shared" si="28"/>
        <v>0</v>
      </c>
      <c r="AO1160" s="2">
        <f t="shared" si="29"/>
      </c>
      <c r="AP1160" s="2">
        <f t="shared" si="30"/>
      </c>
      <c r="AQ1160" s="2">
        <f t="shared" si="31"/>
      </c>
    </row>
    <row r="1161">
      <c r="A1161" s="43">
        <f t="shared" si="3"/>
      </c>
      <c r="B1161" s="44" t="n"/>
      <c r="C1161" s="45" t="n"/>
      <c r="D1161" s="46" t="n"/>
      <c r="E1161" s="47" t="n"/>
      <c r="F1161" s="47" t="n"/>
      <c r="G1161" s="48">
        <f t="shared" si="4"/>
      </c>
      <c r="H1161" s="43">
        <f t="shared" si="0"/>
      </c>
      <c r="I1161" s="43">
        <f t="shared" si="5"/>
      </c>
      <c r="J1161" s="43">
        <f t="shared" si="1"/>
      </c>
      <c r="K1161" s="49">
        <f t="shared" si="2"/>
      </c>
      <c r="L1161" s="45" t="n"/>
      <c r="M1161" s="45" t="n"/>
      <c r="N1161" s="45" t="n"/>
      <c r="O1161" s="45" t="n"/>
      <c r="P1161" s="50" t="n"/>
      <c r="R1161" s="2">
        <f t="shared" si="6"/>
        <v>0</v>
      </c>
      <c r="S1161" s="2">
        <f t="shared" si="7"/>
      </c>
      <c r="T1161" s="2">
        <f t="shared" si="8"/>
      </c>
      <c r="U1161" s="2">
        <f t="shared" si="9"/>
      </c>
      <c r="V1161" s="2">
        <f t="shared" si="10"/>
      </c>
      <c r="W1161" s="2">
        <f t="shared" si="11"/>
      </c>
      <c r="X1161" s="2">
        <f t="shared" si="12"/>
      </c>
      <c r="Y1161" s="2">
        <f t="shared" si="13"/>
        <v>0</v>
      </c>
      <c r="Z1161" s="2">
        <f t="shared" si="14"/>
      </c>
      <c r="AA1161" s="2">
        <f t="shared" si="15"/>
        <v>0</v>
      </c>
      <c r="AB1161" s="2">
        <f t="shared" si="16"/>
      </c>
      <c r="AC1161" s="2">
        <f t="shared" si="17"/>
      </c>
      <c r="AD1161" s="2">
        <f t="shared" si="18"/>
      </c>
      <c r="AE1161" s="2">
        <f t="shared" si="19"/>
      </c>
      <c r="AF1161" s="2">
        <f t="shared" si="20"/>
      </c>
      <c r="AG1161" s="2">
        <f t="shared" si="21"/>
      </c>
      <c r="AH1161" s="2">
        <f t="shared" si="22"/>
      </c>
      <c r="AI1161" s="2">
        <f t="shared" si="23"/>
      </c>
      <c r="AJ1161" s="2">
        <f t="shared" si="24"/>
        <v>0</v>
      </c>
      <c r="AK1161" s="2">
        <f t="shared" si="25"/>
        <v>0</v>
      </c>
      <c r="AL1161" s="2">
        <f t="shared" si="26"/>
        <v>0</v>
      </c>
      <c r="AM1161" s="2">
        <f t="shared" si="27"/>
        <v>0</v>
      </c>
      <c r="AN1161" s="2">
        <f t="shared" si="28"/>
        <v>0</v>
      </c>
      <c r="AO1161" s="2">
        <f t="shared" si="29"/>
      </c>
      <c r="AP1161" s="2">
        <f t="shared" si="30"/>
      </c>
      <c r="AQ1161" s="2">
        <f t="shared" si="31"/>
      </c>
    </row>
    <row r="1162">
      <c r="A1162" s="43">
        <f t="shared" si="3"/>
      </c>
      <c r="B1162" s="44" t="n"/>
      <c r="C1162" s="45" t="n"/>
      <c r="D1162" s="46" t="n"/>
      <c r="E1162" s="47" t="n"/>
      <c r="F1162" s="47" t="n"/>
      <c r="G1162" s="48">
        <f t="shared" si="4"/>
      </c>
      <c r="H1162" s="43">
        <f t="shared" si="0"/>
      </c>
      <c r="I1162" s="43">
        <f t="shared" si="5"/>
      </c>
      <c r="J1162" s="43">
        <f t="shared" si="1"/>
      </c>
      <c r="K1162" s="49">
        <f t="shared" si="2"/>
      </c>
      <c r="L1162" s="45" t="n"/>
      <c r="M1162" s="45" t="n"/>
      <c r="N1162" s="45" t="n"/>
      <c r="O1162" s="45" t="n"/>
      <c r="P1162" s="50" t="n"/>
      <c r="R1162" s="2">
        <f t="shared" si="6"/>
        <v>0</v>
      </c>
      <c r="S1162" s="2">
        <f t="shared" si="7"/>
      </c>
      <c r="T1162" s="2">
        <f t="shared" si="8"/>
      </c>
      <c r="U1162" s="2">
        <f t="shared" si="9"/>
      </c>
      <c r="V1162" s="2">
        <f t="shared" si="10"/>
      </c>
      <c r="W1162" s="2">
        <f t="shared" si="11"/>
      </c>
      <c r="X1162" s="2">
        <f t="shared" si="12"/>
      </c>
      <c r="Y1162" s="2">
        <f t="shared" si="13"/>
        <v>0</v>
      </c>
      <c r="Z1162" s="2">
        <f t="shared" si="14"/>
      </c>
      <c r="AA1162" s="2">
        <f t="shared" si="15"/>
        <v>0</v>
      </c>
      <c r="AB1162" s="2">
        <f t="shared" si="16"/>
      </c>
      <c r="AC1162" s="2">
        <f t="shared" si="17"/>
      </c>
      <c r="AD1162" s="2">
        <f t="shared" si="18"/>
      </c>
      <c r="AE1162" s="2">
        <f t="shared" si="19"/>
      </c>
      <c r="AF1162" s="2">
        <f t="shared" si="20"/>
      </c>
      <c r="AG1162" s="2">
        <f t="shared" si="21"/>
      </c>
      <c r="AH1162" s="2">
        <f t="shared" si="22"/>
      </c>
      <c r="AI1162" s="2">
        <f t="shared" si="23"/>
      </c>
      <c r="AJ1162" s="2">
        <f t="shared" si="24"/>
        <v>0</v>
      </c>
      <c r="AK1162" s="2">
        <f t="shared" si="25"/>
        <v>0</v>
      </c>
      <c r="AL1162" s="2">
        <f t="shared" si="26"/>
        <v>0</v>
      </c>
      <c r="AM1162" s="2">
        <f t="shared" si="27"/>
        <v>0</v>
      </c>
      <c r="AN1162" s="2">
        <f t="shared" si="28"/>
        <v>0</v>
      </c>
      <c r="AO1162" s="2">
        <f t="shared" si="29"/>
      </c>
      <c r="AP1162" s="2">
        <f t="shared" si="30"/>
      </c>
      <c r="AQ1162" s="2">
        <f t="shared" si="31"/>
      </c>
    </row>
    <row r="1163">
      <c r="A1163" s="43">
        <f t="shared" si="3"/>
      </c>
      <c r="B1163" s="44" t="n"/>
      <c r="C1163" s="45" t="n"/>
      <c r="D1163" s="46" t="n"/>
      <c r="E1163" s="47" t="n"/>
      <c r="F1163" s="47" t="n"/>
      <c r="G1163" s="48">
        <f t="shared" si="4"/>
      </c>
      <c r="H1163" s="43">
        <f t="shared" si="0"/>
      </c>
      <c r="I1163" s="43">
        <f t="shared" si="5"/>
      </c>
      <c r="J1163" s="43">
        <f t="shared" si="1"/>
      </c>
      <c r="K1163" s="49">
        <f t="shared" si="2"/>
      </c>
      <c r="L1163" s="45" t="n"/>
      <c r="M1163" s="45" t="n"/>
      <c r="N1163" s="45" t="n"/>
      <c r="O1163" s="45" t="n"/>
      <c r="P1163" s="50" t="n"/>
      <c r="R1163" s="2">
        <f t="shared" si="6"/>
        <v>0</v>
      </c>
      <c r="S1163" s="2">
        <f t="shared" si="7"/>
      </c>
      <c r="T1163" s="2">
        <f t="shared" si="8"/>
      </c>
      <c r="U1163" s="2">
        <f t="shared" si="9"/>
      </c>
      <c r="V1163" s="2">
        <f t="shared" si="10"/>
      </c>
      <c r="W1163" s="2">
        <f t="shared" si="11"/>
      </c>
      <c r="X1163" s="2">
        <f t="shared" si="12"/>
      </c>
      <c r="Y1163" s="2">
        <f t="shared" si="13"/>
        <v>0</v>
      </c>
      <c r="Z1163" s="2">
        <f t="shared" si="14"/>
      </c>
      <c r="AA1163" s="2">
        <f t="shared" si="15"/>
        <v>0</v>
      </c>
      <c r="AB1163" s="2">
        <f t="shared" si="16"/>
      </c>
      <c r="AC1163" s="2">
        <f t="shared" si="17"/>
      </c>
      <c r="AD1163" s="2">
        <f t="shared" si="18"/>
      </c>
      <c r="AE1163" s="2">
        <f t="shared" si="19"/>
      </c>
      <c r="AF1163" s="2">
        <f t="shared" si="20"/>
      </c>
      <c r="AG1163" s="2">
        <f t="shared" si="21"/>
      </c>
      <c r="AH1163" s="2">
        <f t="shared" si="22"/>
      </c>
      <c r="AI1163" s="2">
        <f t="shared" si="23"/>
      </c>
      <c r="AJ1163" s="2">
        <f t="shared" si="24"/>
        <v>0</v>
      </c>
      <c r="AK1163" s="2">
        <f t="shared" si="25"/>
        <v>0</v>
      </c>
      <c r="AL1163" s="2">
        <f t="shared" si="26"/>
        <v>0</v>
      </c>
      <c r="AM1163" s="2">
        <f t="shared" si="27"/>
        <v>0</v>
      </c>
      <c r="AN1163" s="2">
        <f t="shared" si="28"/>
        <v>0</v>
      </c>
      <c r="AO1163" s="2">
        <f t="shared" si="29"/>
      </c>
      <c r="AP1163" s="2">
        <f t="shared" si="30"/>
      </c>
      <c r="AQ1163" s="2">
        <f t="shared" si="31"/>
      </c>
    </row>
    <row r="1164">
      <c r="A1164" s="43">
        <f t="shared" si="3"/>
      </c>
      <c r="B1164" s="44" t="n"/>
      <c r="C1164" s="45" t="n"/>
      <c r="D1164" s="46" t="n"/>
      <c r="E1164" s="47" t="n"/>
      <c r="F1164" s="47" t="n"/>
      <c r="G1164" s="48">
        <f t="shared" si="4"/>
      </c>
      <c r="H1164" s="43">
        <f t="shared" si="0"/>
      </c>
      <c r="I1164" s="43">
        <f t="shared" si="5"/>
      </c>
      <c r="J1164" s="43">
        <f t="shared" si="1"/>
      </c>
      <c r="K1164" s="49">
        <f t="shared" si="2"/>
      </c>
      <c r="L1164" s="45" t="n"/>
      <c r="M1164" s="45" t="n"/>
      <c r="N1164" s="45" t="n"/>
      <c r="O1164" s="45" t="n"/>
      <c r="P1164" s="50" t="n"/>
      <c r="R1164" s="2">
        <f t="shared" si="6"/>
        <v>0</v>
      </c>
      <c r="S1164" s="2">
        <f t="shared" si="7"/>
      </c>
      <c r="T1164" s="2">
        <f t="shared" si="8"/>
      </c>
      <c r="U1164" s="2">
        <f t="shared" si="9"/>
      </c>
      <c r="V1164" s="2">
        <f t="shared" si="10"/>
      </c>
      <c r="W1164" s="2">
        <f t="shared" si="11"/>
      </c>
      <c r="X1164" s="2">
        <f t="shared" si="12"/>
      </c>
      <c r="Y1164" s="2">
        <f t="shared" si="13"/>
        <v>0</v>
      </c>
      <c r="Z1164" s="2">
        <f t="shared" si="14"/>
      </c>
      <c r="AA1164" s="2">
        <f t="shared" si="15"/>
        <v>0</v>
      </c>
      <c r="AB1164" s="2">
        <f t="shared" si="16"/>
      </c>
      <c r="AC1164" s="2">
        <f t="shared" si="17"/>
      </c>
      <c r="AD1164" s="2">
        <f t="shared" si="18"/>
      </c>
      <c r="AE1164" s="2">
        <f t="shared" si="19"/>
      </c>
      <c r="AF1164" s="2">
        <f t="shared" si="20"/>
      </c>
      <c r="AG1164" s="2">
        <f t="shared" si="21"/>
      </c>
      <c r="AH1164" s="2">
        <f t="shared" si="22"/>
      </c>
      <c r="AI1164" s="2">
        <f t="shared" si="23"/>
      </c>
      <c r="AJ1164" s="2">
        <f t="shared" si="24"/>
        <v>0</v>
      </c>
      <c r="AK1164" s="2">
        <f t="shared" si="25"/>
        <v>0</v>
      </c>
      <c r="AL1164" s="2">
        <f t="shared" si="26"/>
        <v>0</v>
      </c>
      <c r="AM1164" s="2">
        <f t="shared" si="27"/>
        <v>0</v>
      </c>
      <c r="AN1164" s="2">
        <f t="shared" si="28"/>
        <v>0</v>
      </c>
      <c r="AO1164" s="2">
        <f t="shared" si="29"/>
      </c>
      <c r="AP1164" s="2">
        <f t="shared" si="30"/>
      </c>
      <c r="AQ1164" s="2">
        <f t="shared" si="31"/>
      </c>
    </row>
    <row r="1165">
      <c r="A1165" s="43">
        <f t="shared" si="3"/>
      </c>
      <c r="B1165" s="44" t="n"/>
      <c r="C1165" s="45" t="n"/>
      <c r="D1165" s="46" t="n"/>
      <c r="E1165" s="47" t="n"/>
      <c r="F1165" s="47" t="n"/>
      <c r="G1165" s="48">
        <f t="shared" si="4"/>
      </c>
      <c r="H1165" s="43">
        <f t="shared" si="0"/>
      </c>
      <c r="I1165" s="43">
        <f t="shared" si="5"/>
      </c>
      <c r="J1165" s="43">
        <f t="shared" si="1"/>
      </c>
      <c r="K1165" s="49">
        <f t="shared" si="2"/>
      </c>
      <c r="L1165" s="45" t="n"/>
      <c r="M1165" s="45" t="n"/>
      <c r="N1165" s="45" t="n"/>
      <c r="O1165" s="45" t="n"/>
      <c r="P1165" s="50" t="n"/>
      <c r="R1165" s="2">
        <f t="shared" si="6"/>
        <v>0</v>
      </c>
      <c r="S1165" s="2">
        <f t="shared" si="7"/>
      </c>
      <c r="T1165" s="2">
        <f t="shared" si="8"/>
      </c>
      <c r="U1165" s="2">
        <f t="shared" si="9"/>
      </c>
      <c r="V1165" s="2">
        <f t="shared" si="10"/>
      </c>
      <c r="W1165" s="2">
        <f t="shared" si="11"/>
      </c>
      <c r="X1165" s="2">
        <f t="shared" si="12"/>
      </c>
      <c r="Y1165" s="2">
        <f t="shared" si="13"/>
        <v>0</v>
      </c>
      <c r="Z1165" s="2">
        <f t="shared" si="14"/>
      </c>
      <c r="AA1165" s="2">
        <f t="shared" si="15"/>
        <v>0</v>
      </c>
      <c r="AB1165" s="2">
        <f t="shared" si="16"/>
      </c>
      <c r="AC1165" s="2">
        <f t="shared" si="17"/>
      </c>
      <c r="AD1165" s="2">
        <f t="shared" si="18"/>
      </c>
      <c r="AE1165" s="2">
        <f t="shared" si="19"/>
      </c>
      <c r="AF1165" s="2">
        <f t="shared" si="20"/>
      </c>
      <c r="AG1165" s="2">
        <f t="shared" si="21"/>
      </c>
      <c r="AH1165" s="2">
        <f t="shared" si="22"/>
      </c>
      <c r="AI1165" s="2">
        <f t="shared" si="23"/>
      </c>
      <c r="AJ1165" s="2">
        <f t="shared" si="24"/>
        <v>0</v>
      </c>
      <c r="AK1165" s="2">
        <f t="shared" si="25"/>
        <v>0</v>
      </c>
      <c r="AL1165" s="2">
        <f t="shared" si="26"/>
        <v>0</v>
      </c>
      <c r="AM1165" s="2">
        <f t="shared" si="27"/>
        <v>0</v>
      </c>
      <c r="AN1165" s="2">
        <f t="shared" si="28"/>
        <v>0</v>
      </c>
      <c r="AO1165" s="2">
        <f t="shared" si="29"/>
      </c>
      <c r="AP1165" s="2">
        <f t="shared" si="30"/>
      </c>
      <c r="AQ1165" s="2">
        <f t="shared" si="31"/>
      </c>
    </row>
    <row r="1166">
      <c r="A1166" s="43">
        <f t="shared" si="3"/>
      </c>
      <c r="B1166" s="44" t="n"/>
      <c r="C1166" s="45" t="n"/>
      <c r="D1166" s="46" t="n"/>
      <c r="E1166" s="47" t="n"/>
      <c r="F1166" s="47" t="n"/>
      <c r="G1166" s="48">
        <f t="shared" si="4"/>
      </c>
      <c r="H1166" s="43">
        <f t="shared" si="0"/>
      </c>
      <c r="I1166" s="43">
        <f t="shared" si="5"/>
      </c>
      <c r="J1166" s="43">
        <f t="shared" si="1"/>
      </c>
      <c r="K1166" s="49">
        <f t="shared" si="2"/>
      </c>
      <c r="L1166" s="45" t="n"/>
      <c r="M1166" s="45" t="n"/>
      <c r="N1166" s="45" t="n"/>
      <c r="O1166" s="45" t="n"/>
      <c r="P1166" s="50" t="n"/>
      <c r="R1166" s="2">
        <f t="shared" si="6"/>
        <v>0</v>
      </c>
      <c r="S1166" s="2">
        <f t="shared" si="7"/>
      </c>
      <c r="T1166" s="2">
        <f t="shared" si="8"/>
      </c>
      <c r="U1166" s="2">
        <f t="shared" si="9"/>
      </c>
      <c r="V1166" s="2">
        <f t="shared" si="10"/>
      </c>
      <c r="W1166" s="2">
        <f t="shared" si="11"/>
      </c>
      <c r="X1166" s="2">
        <f t="shared" si="12"/>
      </c>
      <c r="Y1166" s="2">
        <f t="shared" si="13"/>
        <v>0</v>
      </c>
      <c r="Z1166" s="2">
        <f t="shared" si="14"/>
      </c>
      <c r="AA1166" s="2">
        <f t="shared" si="15"/>
        <v>0</v>
      </c>
      <c r="AB1166" s="2">
        <f t="shared" si="16"/>
      </c>
      <c r="AC1166" s="2">
        <f t="shared" si="17"/>
      </c>
      <c r="AD1166" s="2">
        <f t="shared" si="18"/>
      </c>
      <c r="AE1166" s="2">
        <f t="shared" si="19"/>
      </c>
      <c r="AF1166" s="2">
        <f t="shared" si="20"/>
      </c>
      <c r="AG1166" s="2">
        <f t="shared" si="21"/>
      </c>
      <c r="AH1166" s="2">
        <f t="shared" si="22"/>
      </c>
      <c r="AI1166" s="2">
        <f t="shared" si="23"/>
      </c>
      <c r="AJ1166" s="2">
        <f t="shared" si="24"/>
        <v>0</v>
      </c>
      <c r="AK1166" s="2">
        <f t="shared" si="25"/>
        <v>0</v>
      </c>
      <c r="AL1166" s="2">
        <f t="shared" si="26"/>
        <v>0</v>
      </c>
      <c r="AM1166" s="2">
        <f t="shared" si="27"/>
        <v>0</v>
      </c>
      <c r="AN1166" s="2">
        <f t="shared" si="28"/>
        <v>0</v>
      </c>
      <c r="AO1166" s="2">
        <f t="shared" si="29"/>
      </c>
      <c r="AP1166" s="2">
        <f t="shared" si="30"/>
      </c>
      <c r="AQ1166" s="2">
        <f t="shared" si="31"/>
      </c>
    </row>
    <row r="1167">
      <c r="A1167" s="43">
        <f t="shared" si="3"/>
      </c>
      <c r="B1167" s="44" t="n"/>
      <c r="C1167" s="45" t="n"/>
      <c r="D1167" s="46" t="n"/>
      <c r="E1167" s="47" t="n"/>
      <c r="F1167" s="47" t="n"/>
      <c r="G1167" s="48">
        <f t="shared" si="4"/>
      </c>
      <c r="H1167" s="43">
        <f t="shared" si="0"/>
      </c>
      <c r="I1167" s="43">
        <f t="shared" si="5"/>
      </c>
      <c r="J1167" s="43">
        <f t="shared" si="1"/>
      </c>
      <c r="K1167" s="49">
        <f t="shared" si="2"/>
      </c>
      <c r="L1167" s="45" t="n"/>
      <c r="M1167" s="45" t="n"/>
      <c r="N1167" s="45" t="n"/>
      <c r="O1167" s="45" t="n"/>
      <c r="P1167" s="50" t="n"/>
      <c r="R1167" s="2">
        <f t="shared" si="6"/>
        <v>0</v>
      </c>
      <c r="S1167" s="2">
        <f t="shared" si="7"/>
      </c>
      <c r="T1167" s="2">
        <f t="shared" si="8"/>
      </c>
      <c r="U1167" s="2">
        <f t="shared" si="9"/>
      </c>
      <c r="V1167" s="2">
        <f t="shared" si="10"/>
      </c>
      <c r="W1167" s="2">
        <f t="shared" si="11"/>
      </c>
      <c r="X1167" s="2">
        <f t="shared" si="12"/>
      </c>
      <c r="Y1167" s="2">
        <f t="shared" si="13"/>
        <v>0</v>
      </c>
      <c r="Z1167" s="2">
        <f t="shared" si="14"/>
      </c>
      <c r="AA1167" s="2">
        <f t="shared" si="15"/>
        <v>0</v>
      </c>
      <c r="AB1167" s="2">
        <f t="shared" si="16"/>
      </c>
      <c r="AC1167" s="2">
        <f t="shared" si="17"/>
      </c>
      <c r="AD1167" s="2">
        <f t="shared" si="18"/>
      </c>
      <c r="AE1167" s="2">
        <f t="shared" si="19"/>
      </c>
      <c r="AF1167" s="2">
        <f t="shared" si="20"/>
      </c>
      <c r="AG1167" s="2">
        <f t="shared" si="21"/>
      </c>
      <c r="AH1167" s="2">
        <f t="shared" si="22"/>
      </c>
      <c r="AI1167" s="2">
        <f t="shared" si="23"/>
      </c>
      <c r="AJ1167" s="2">
        <f t="shared" si="24"/>
        <v>0</v>
      </c>
      <c r="AK1167" s="2">
        <f t="shared" si="25"/>
        <v>0</v>
      </c>
      <c r="AL1167" s="2">
        <f t="shared" si="26"/>
        <v>0</v>
      </c>
      <c r="AM1167" s="2">
        <f t="shared" si="27"/>
        <v>0</v>
      </c>
      <c r="AN1167" s="2">
        <f t="shared" si="28"/>
        <v>0</v>
      </c>
      <c r="AO1167" s="2">
        <f t="shared" si="29"/>
      </c>
      <c r="AP1167" s="2">
        <f t="shared" si="30"/>
      </c>
      <c r="AQ1167" s="2">
        <f t="shared" si="31"/>
      </c>
    </row>
    <row r="1168">
      <c r="A1168" s="43">
        <f t="shared" si="3"/>
      </c>
      <c r="B1168" s="44" t="n"/>
      <c r="C1168" s="45" t="n"/>
      <c r="D1168" s="46" t="n"/>
      <c r="E1168" s="47" t="n"/>
      <c r="F1168" s="47" t="n"/>
      <c r="G1168" s="48">
        <f t="shared" si="4"/>
      </c>
      <c r="H1168" s="43">
        <f t="shared" si="0"/>
      </c>
      <c r="I1168" s="43">
        <f t="shared" si="5"/>
      </c>
      <c r="J1168" s="43">
        <f t="shared" si="1"/>
      </c>
      <c r="K1168" s="49">
        <f t="shared" si="2"/>
      </c>
      <c r="L1168" s="45" t="n"/>
      <c r="M1168" s="45" t="n"/>
      <c r="N1168" s="45" t="n"/>
      <c r="O1168" s="45" t="n"/>
      <c r="P1168" s="50" t="n"/>
      <c r="R1168" s="2">
        <f t="shared" si="6"/>
        <v>0</v>
      </c>
      <c r="S1168" s="2">
        <f t="shared" si="7"/>
      </c>
      <c r="T1168" s="2">
        <f t="shared" si="8"/>
      </c>
      <c r="U1168" s="2">
        <f t="shared" si="9"/>
      </c>
      <c r="V1168" s="2">
        <f t="shared" si="10"/>
      </c>
      <c r="W1168" s="2">
        <f t="shared" si="11"/>
      </c>
      <c r="X1168" s="2">
        <f t="shared" si="12"/>
      </c>
      <c r="Y1168" s="2">
        <f t="shared" si="13"/>
        <v>0</v>
      </c>
      <c r="Z1168" s="2">
        <f t="shared" si="14"/>
      </c>
      <c r="AA1168" s="2">
        <f t="shared" si="15"/>
        <v>0</v>
      </c>
      <c r="AB1168" s="2">
        <f t="shared" si="16"/>
      </c>
      <c r="AC1168" s="2">
        <f t="shared" si="17"/>
      </c>
      <c r="AD1168" s="2">
        <f t="shared" si="18"/>
      </c>
      <c r="AE1168" s="2">
        <f t="shared" si="19"/>
      </c>
      <c r="AF1168" s="2">
        <f t="shared" si="20"/>
      </c>
      <c r="AG1168" s="2">
        <f t="shared" si="21"/>
      </c>
      <c r="AH1168" s="2">
        <f t="shared" si="22"/>
      </c>
      <c r="AI1168" s="2">
        <f t="shared" si="23"/>
      </c>
      <c r="AJ1168" s="2">
        <f t="shared" si="24"/>
        <v>0</v>
      </c>
      <c r="AK1168" s="2">
        <f t="shared" si="25"/>
        <v>0</v>
      </c>
      <c r="AL1168" s="2">
        <f t="shared" si="26"/>
        <v>0</v>
      </c>
      <c r="AM1168" s="2">
        <f t="shared" si="27"/>
        <v>0</v>
      </c>
      <c r="AN1168" s="2">
        <f t="shared" si="28"/>
        <v>0</v>
      </c>
      <c r="AO1168" s="2">
        <f t="shared" si="29"/>
      </c>
      <c r="AP1168" s="2">
        <f t="shared" si="30"/>
      </c>
      <c r="AQ1168" s="2">
        <f t="shared" si="31"/>
      </c>
    </row>
    <row r="1169">
      <c r="A1169" s="43">
        <f t="shared" si="3"/>
      </c>
      <c r="B1169" s="44" t="n"/>
      <c r="C1169" s="45" t="n"/>
      <c r="D1169" s="46" t="n"/>
      <c r="E1169" s="47" t="n"/>
      <c r="F1169" s="47" t="n"/>
      <c r="G1169" s="48">
        <f t="shared" si="4"/>
      </c>
      <c r="H1169" s="43">
        <f t="shared" si="0"/>
      </c>
      <c r="I1169" s="43">
        <f t="shared" si="5"/>
      </c>
      <c r="J1169" s="43">
        <f t="shared" si="1"/>
      </c>
      <c r="K1169" s="49">
        <f t="shared" si="2"/>
      </c>
      <c r="L1169" s="45" t="n"/>
      <c r="M1169" s="45" t="n"/>
      <c r="N1169" s="45" t="n"/>
      <c r="O1169" s="45" t="n"/>
      <c r="P1169" s="50" t="n"/>
      <c r="R1169" s="2">
        <f t="shared" si="6"/>
        <v>0</v>
      </c>
      <c r="S1169" s="2">
        <f t="shared" si="7"/>
      </c>
      <c r="T1169" s="2">
        <f t="shared" si="8"/>
      </c>
      <c r="U1169" s="2">
        <f t="shared" si="9"/>
      </c>
      <c r="V1169" s="2">
        <f t="shared" si="10"/>
      </c>
      <c r="W1169" s="2">
        <f t="shared" si="11"/>
      </c>
      <c r="X1169" s="2">
        <f t="shared" si="12"/>
      </c>
      <c r="Y1169" s="2">
        <f t="shared" si="13"/>
        <v>0</v>
      </c>
      <c r="Z1169" s="2">
        <f t="shared" si="14"/>
      </c>
      <c r="AA1169" s="2">
        <f t="shared" si="15"/>
        <v>0</v>
      </c>
      <c r="AB1169" s="2">
        <f t="shared" si="16"/>
      </c>
      <c r="AC1169" s="2">
        <f t="shared" si="17"/>
      </c>
      <c r="AD1169" s="2">
        <f t="shared" si="18"/>
      </c>
      <c r="AE1169" s="2">
        <f t="shared" si="19"/>
      </c>
      <c r="AF1169" s="2">
        <f t="shared" si="20"/>
      </c>
      <c r="AG1169" s="2">
        <f t="shared" si="21"/>
      </c>
      <c r="AH1169" s="2">
        <f t="shared" si="22"/>
      </c>
      <c r="AI1169" s="2">
        <f t="shared" si="23"/>
      </c>
      <c r="AJ1169" s="2">
        <f t="shared" si="24"/>
        <v>0</v>
      </c>
      <c r="AK1169" s="2">
        <f t="shared" si="25"/>
        <v>0</v>
      </c>
      <c r="AL1169" s="2">
        <f t="shared" si="26"/>
        <v>0</v>
      </c>
      <c r="AM1169" s="2">
        <f t="shared" si="27"/>
        <v>0</v>
      </c>
      <c r="AN1169" s="2">
        <f t="shared" si="28"/>
        <v>0</v>
      </c>
      <c r="AO1169" s="2">
        <f t="shared" si="29"/>
      </c>
      <c r="AP1169" s="2">
        <f t="shared" si="30"/>
      </c>
      <c r="AQ1169" s="2">
        <f t="shared" si="31"/>
      </c>
    </row>
    <row r="1170">
      <c r="A1170" s="43">
        <f t="shared" si="3"/>
      </c>
      <c r="B1170" s="44" t="n"/>
      <c r="C1170" s="45" t="n"/>
      <c r="D1170" s="46" t="n"/>
      <c r="E1170" s="47" t="n"/>
      <c r="F1170" s="47" t="n"/>
      <c r="G1170" s="48">
        <f t="shared" si="4"/>
      </c>
      <c r="H1170" s="43">
        <f t="shared" si="0"/>
      </c>
      <c r="I1170" s="43">
        <f t="shared" si="5"/>
      </c>
      <c r="J1170" s="43">
        <f t="shared" si="1"/>
      </c>
      <c r="K1170" s="49">
        <f t="shared" si="2"/>
      </c>
      <c r="L1170" s="45" t="n"/>
      <c r="M1170" s="45" t="n"/>
      <c r="N1170" s="45" t="n"/>
      <c r="O1170" s="45" t="n"/>
      <c r="P1170" s="50" t="n"/>
      <c r="R1170" s="2">
        <f t="shared" si="6"/>
        <v>0</v>
      </c>
      <c r="S1170" s="2">
        <f t="shared" si="7"/>
      </c>
      <c r="T1170" s="2">
        <f t="shared" si="8"/>
      </c>
      <c r="U1170" s="2">
        <f t="shared" si="9"/>
      </c>
      <c r="V1170" s="2">
        <f t="shared" si="10"/>
      </c>
      <c r="W1170" s="2">
        <f t="shared" si="11"/>
      </c>
      <c r="X1170" s="2">
        <f t="shared" si="12"/>
      </c>
      <c r="Y1170" s="2">
        <f t="shared" si="13"/>
        <v>0</v>
      </c>
      <c r="Z1170" s="2">
        <f t="shared" si="14"/>
      </c>
      <c r="AA1170" s="2">
        <f t="shared" si="15"/>
        <v>0</v>
      </c>
      <c r="AB1170" s="2">
        <f t="shared" si="16"/>
      </c>
      <c r="AC1170" s="2">
        <f t="shared" si="17"/>
      </c>
      <c r="AD1170" s="2">
        <f t="shared" si="18"/>
      </c>
      <c r="AE1170" s="2">
        <f t="shared" si="19"/>
      </c>
      <c r="AF1170" s="2">
        <f t="shared" si="20"/>
      </c>
      <c r="AG1170" s="2">
        <f t="shared" si="21"/>
      </c>
      <c r="AH1170" s="2">
        <f t="shared" si="22"/>
      </c>
      <c r="AI1170" s="2">
        <f t="shared" si="23"/>
      </c>
      <c r="AJ1170" s="2">
        <f t="shared" si="24"/>
        <v>0</v>
      </c>
      <c r="AK1170" s="2">
        <f t="shared" si="25"/>
        <v>0</v>
      </c>
      <c r="AL1170" s="2">
        <f t="shared" si="26"/>
        <v>0</v>
      </c>
      <c r="AM1170" s="2">
        <f t="shared" si="27"/>
        <v>0</v>
      </c>
      <c r="AN1170" s="2">
        <f t="shared" si="28"/>
        <v>0</v>
      </c>
      <c r="AO1170" s="2">
        <f t="shared" si="29"/>
      </c>
      <c r="AP1170" s="2">
        <f t="shared" si="30"/>
      </c>
      <c r="AQ1170" s="2">
        <f t="shared" si="31"/>
      </c>
    </row>
    <row r="1171">
      <c r="A1171" s="43">
        <f t="shared" si="3"/>
      </c>
      <c r="B1171" s="44" t="n"/>
      <c r="C1171" s="45" t="n"/>
      <c r="D1171" s="46" t="n"/>
      <c r="E1171" s="47" t="n"/>
      <c r="F1171" s="47" t="n"/>
      <c r="G1171" s="48">
        <f t="shared" si="4"/>
      </c>
      <c r="H1171" s="43">
        <f t="shared" si="0"/>
      </c>
      <c r="I1171" s="43">
        <f t="shared" si="5"/>
      </c>
      <c r="J1171" s="43">
        <f t="shared" si="1"/>
      </c>
      <c r="K1171" s="49">
        <f t="shared" si="2"/>
      </c>
      <c r="L1171" s="45" t="n"/>
      <c r="M1171" s="45" t="n"/>
      <c r="N1171" s="45" t="n"/>
      <c r="O1171" s="45" t="n"/>
      <c r="P1171" s="50" t="n"/>
      <c r="R1171" s="2">
        <f t="shared" si="6"/>
        <v>0</v>
      </c>
      <c r="S1171" s="2">
        <f t="shared" si="7"/>
      </c>
      <c r="T1171" s="2">
        <f t="shared" si="8"/>
      </c>
      <c r="U1171" s="2">
        <f t="shared" si="9"/>
      </c>
      <c r="V1171" s="2">
        <f t="shared" si="10"/>
      </c>
      <c r="W1171" s="2">
        <f t="shared" si="11"/>
      </c>
      <c r="X1171" s="2">
        <f t="shared" si="12"/>
      </c>
      <c r="Y1171" s="2">
        <f t="shared" si="13"/>
        <v>0</v>
      </c>
      <c r="Z1171" s="2">
        <f t="shared" si="14"/>
      </c>
      <c r="AA1171" s="2">
        <f t="shared" si="15"/>
        <v>0</v>
      </c>
      <c r="AB1171" s="2">
        <f t="shared" si="16"/>
      </c>
      <c r="AC1171" s="2">
        <f t="shared" si="17"/>
      </c>
      <c r="AD1171" s="2">
        <f t="shared" si="18"/>
      </c>
      <c r="AE1171" s="2">
        <f t="shared" si="19"/>
      </c>
      <c r="AF1171" s="2">
        <f t="shared" si="20"/>
      </c>
      <c r="AG1171" s="2">
        <f t="shared" si="21"/>
      </c>
      <c r="AH1171" s="2">
        <f t="shared" si="22"/>
      </c>
      <c r="AI1171" s="2">
        <f t="shared" si="23"/>
      </c>
      <c r="AJ1171" s="2">
        <f t="shared" si="24"/>
        <v>0</v>
      </c>
      <c r="AK1171" s="2">
        <f t="shared" si="25"/>
        <v>0</v>
      </c>
      <c r="AL1171" s="2">
        <f t="shared" si="26"/>
        <v>0</v>
      </c>
      <c r="AM1171" s="2">
        <f t="shared" si="27"/>
        <v>0</v>
      </c>
      <c r="AN1171" s="2">
        <f t="shared" si="28"/>
        <v>0</v>
      </c>
      <c r="AO1171" s="2">
        <f t="shared" si="29"/>
      </c>
      <c r="AP1171" s="2">
        <f t="shared" si="30"/>
      </c>
      <c r="AQ1171" s="2">
        <f t="shared" si="31"/>
      </c>
    </row>
    <row r="1172">
      <c r="A1172" s="43">
        <f t="shared" si="3"/>
      </c>
      <c r="B1172" s="44" t="n"/>
      <c r="C1172" s="45" t="n"/>
      <c r="D1172" s="46" t="n"/>
      <c r="E1172" s="47" t="n"/>
      <c r="F1172" s="47" t="n"/>
      <c r="G1172" s="48">
        <f t="shared" si="4"/>
      </c>
      <c r="H1172" s="43">
        <f t="shared" si="0"/>
      </c>
      <c r="I1172" s="43">
        <f t="shared" si="5"/>
      </c>
      <c r="J1172" s="43">
        <f t="shared" si="1"/>
      </c>
      <c r="K1172" s="49">
        <f t="shared" si="2"/>
      </c>
      <c r="L1172" s="45" t="n"/>
      <c r="M1172" s="45" t="n"/>
      <c r="N1172" s="45" t="n"/>
      <c r="O1172" s="45" t="n"/>
      <c r="P1172" s="50" t="n"/>
      <c r="R1172" s="2">
        <f t="shared" si="6"/>
        <v>0</v>
      </c>
      <c r="S1172" s="2">
        <f t="shared" si="7"/>
      </c>
      <c r="T1172" s="2">
        <f t="shared" si="8"/>
      </c>
      <c r="U1172" s="2">
        <f t="shared" si="9"/>
      </c>
      <c r="V1172" s="2">
        <f t="shared" si="10"/>
      </c>
      <c r="W1172" s="2">
        <f t="shared" si="11"/>
      </c>
      <c r="X1172" s="2">
        <f t="shared" si="12"/>
      </c>
      <c r="Y1172" s="2">
        <f t="shared" si="13"/>
        <v>0</v>
      </c>
      <c r="Z1172" s="2">
        <f t="shared" si="14"/>
      </c>
      <c r="AA1172" s="2">
        <f t="shared" si="15"/>
        <v>0</v>
      </c>
      <c r="AB1172" s="2">
        <f t="shared" si="16"/>
      </c>
      <c r="AC1172" s="2">
        <f t="shared" si="17"/>
      </c>
      <c r="AD1172" s="2">
        <f t="shared" si="18"/>
      </c>
      <c r="AE1172" s="2">
        <f t="shared" si="19"/>
      </c>
      <c r="AF1172" s="2">
        <f t="shared" si="20"/>
      </c>
      <c r="AG1172" s="2">
        <f t="shared" si="21"/>
      </c>
      <c r="AH1172" s="2">
        <f t="shared" si="22"/>
      </c>
      <c r="AI1172" s="2">
        <f t="shared" si="23"/>
      </c>
      <c r="AJ1172" s="2">
        <f t="shared" si="24"/>
        <v>0</v>
      </c>
      <c r="AK1172" s="2">
        <f t="shared" si="25"/>
        <v>0</v>
      </c>
      <c r="AL1172" s="2">
        <f t="shared" si="26"/>
        <v>0</v>
      </c>
      <c r="AM1172" s="2">
        <f t="shared" si="27"/>
        <v>0</v>
      </c>
      <c r="AN1172" s="2">
        <f t="shared" si="28"/>
        <v>0</v>
      </c>
      <c r="AO1172" s="2">
        <f t="shared" si="29"/>
      </c>
      <c r="AP1172" s="2">
        <f t="shared" si="30"/>
      </c>
      <c r="AQ1172" s="2">
        <f t="shared" si="31"/>
      </c>
    </row>
    <row r="1173">
      <c r="A1173" s="43">
        <f t="shared" si="3"/>
      </c>
      <c r="B1173" s="44" t="n"/>
      <c r="C1173" s="45" t="n"/>
      <c r="D1173" s="46" t="n"/>
      <c r="E1173" s="47" t="n"/>
      <c r="F1173" s="47" t="n"/>
      <c r="G1173" s="48">
        <f t="shared" si="4"/>
      </c>
      <c r="H1173" s="43">
        <f t="shared" si="0"/>
      </c>
      <c r="I1173" s="43">
        <f t="shared" si="5"/>
      </c>
      <c r="J1173" s="43">
        <f t="shared" si="1"/>
      </c>
      <c r="K1173" s="49">
        <f t="shared" si="2"/>
      </c>
      <c r="L1173" s="45" t="n"/>
      <c r="M1173" s="45" t="n"/>
      <c r="N1173" s="45" t="n"/>
      <c r="O1173" s="45" t="n"/>
      <c r="P1173" s="50" t="n"/>
      <c r="R1173" s="2">
        <f t="shared" si="6"/>
        <v>0</v>
      </c>
      <c r="S1173" s="2">
        <f t="shared" si="7"/>
      </c>
      <c r="T1173" s="2">
        <f t="shared" si="8"/>
      </c>
      <c r="U1173" s="2">
        <f t="shared" si="9"/>
      </c>
      <c r="V1173" s="2">
        <f t="shared" si="10"/>
      </c>
      <c r="W1173" s="2">
        <f t="shared" si="11"/>
      </c>
      <c r="X1173" s="2">
        <f t="shared" si="12"/>
      </c>
      <c r="Y1173" s="2">
        <f t="shared" si="13"/>
        <v>0</v>
      </c>
      <c r="Z1173" s="2">
        <f t="shared" si="14"/>
      </c>
      <c r="AA1173" s="2">
        <f t="shared" si="15"/>
        <v>0</v>
      </c>
      <c r="AB1173" s="2">
        <f t="shared" si="16"/>
      </c>
      <c r="AC1173" s="2">
        <f t="shared" si="17"/>
      </c>
      <c r="AD1173" s="2">
        <f t="shared" si="18"/>
      </c>
      <c r="AE1173" s="2">
        <f t="shared" si="19"/>
      </c>
      <c r="AF1173" s="2">
        <f t="shared" si="20"/>
      </c>
      <c r="AG1173" s="2">
        <f t="shared" si="21"/>
      </c>
      <c r="AH1173" s="2">
        <f t="shared" si="22"/>
      </c>
      <c r="AI1173" s="2">
        <f t="shared" si="23"/>
      </c>
      <c r="AJ1173" s="2">
        <f t="shared" si="24"/>
        <v>0</v>
      </c>
      <c r="AK1173" s="2">
        <f t="shared" si="25"/>
        <v>0</v>
      </c>
      <c r="AL1173" s="2">
        <f t="shared" si="26"/>
        <v>0</v>
      </c>
      <c r="AM1173" s="2">
        <f t="shared" si="27"/>
        <v>0</v>
      </c>
      <c r="AN1173" s="2">
        <f t="shared" si="28"/>
        <v>0</v>
      </c>
      <c r="AO1173" s="2">
        <f t="shared" si="29"/>
      </c>
      <c r="AP1173" s="2">
        <f t="shared" si="30"/>
      </c>
      <c r="AQ1173" s="2">
        <f t="shared" si="31"/>
      </c>
    </row>
    <row r="1174">
      <c r="A1174" s="43">
        <f t="shared" si="3"/>
      </c>
      <c r="B1174" s="44" t="n"/>
      <c r="C1174" s="45" t="n"/>
      <c r="D1174" s="46" t="n"/>
      <c r="E1174" s="47" t="n"/>
      <c r="F1174" s="47" t="n"/>
      <c r="G1174" s="48">
        <f t="shared" si="4"/>
      </c>
      <c r="H1174" s="43">
        <f t="shared" si="0"/>
      </c>
      <c r="I1174" s="43">
        <f t="shared" si="5"/>
      </c>
      <c r="J1174" s="43">
        <f t="shared" si="1"/>
      </c>
      <c r="K1174" s="49">
        <f t="shared" si="2"/>
      </c>
      <c r="L1174" s="45" t="n"/>
      <c r="M1174" s="45" t="n"/>
      <c r="N1174" s="45" t="n"/>
      <c r="O1174" s="45" t="n"/>
      <c r="P1174" s="50" t="n"/>
      <c r="R1174" s="2">
        <f t="shared" si="6"/>
        <v>0</v>
      </c>
      <c r="S1174" s="2">
        <f t="shared" si="7"/>
      </c>
      <c r="T1174" s="2">
        <f t="shared" si="8"/>
      </c>
      <c r="U1174" s="2">
        <f t="shared" si="9"/>
      </c>
      <c r="V1174" s="2">
        <f t="shared" si="10"/>
      </c>
      <c r="W1174" s="2">
        <f t="shared" si="11"/>
      </c>
      <c r="X1174" s="2">
        <f t="shared" si="12"/>
      </c>
      <c r="Y1174" s="2">
        <f t="shared" si="13"/>
        <v>0</v>
      </c>
      <c r="Z1174" s="2">
        <f t="shared" si="14"/>
      </c>
      <c r="AA1174" s="2">
        <f t="shared" si="15"/>
        <v>0</v>
      </c>
      <c r="AB1174" s="2">
        <f t="shared" si="16"/>
      </c>
      <c r="AC1174" s="2">
        <f t="shared" si="17"/>
      </c>
      <c r="AD1174" s="2">
        <f t="shared" si="18"/>
      </c>
      <c r="AE1174" s="2">
        <f t="shared" si="19"/>
      </c>
      <c r="AF1174" s="2">
        <f t="shared" si="20"/>
      </c>
      <c r="AG1174" s="2">
        <f t="shared" si="21"/>
      </c>
      <c r="AH1174" s="2">
        <f t="shared" si="22"/>
      </c>
      <c r="AI1174" s="2">
        <f t="shared" si="23"/>
      </c>
      <c r="AJ1174" s="2">
        <f t="shared" si="24"/>
        <v>0</v>
      </c>
      <c r="AK1174" s="2">
        <f t="shared" si="25"/>
        <v>0</v>
      </c>
      <c r="AL1174" s="2">
        <f t="shared" si="26"/>
        <v>0</v>
      </c>
      <c r="AM1174" s="2">
        <f t="shared" si="27"/>
        <v>0</v>
      </c>
      <c r="AN1174" s="2">
        <f t="shared" si="28"/>
        <v>0</v>
      </c>
      <c r="AO1174" s="2">
        <f t="shared" si="29"/>
      </c>
      <c r="AP1174" s="2">
        <f t="shared" si="30"/>
      </c>
      <c r="AQ1174" s="2">
        <f t="shared" si="31"/>
      </c>
    </row>
    <row r="1175">
      <c r="A1175" s="43">
        <f t="shared" si="3"/>
      </c>
      <c r="B1175" s="44" t="n"/>
      <c r="C1175" s="45" t="n"/>
      <c r="D1175" s="46" t="n"/>
      <c r="E1175" s="47" t="n"/>
      <c r="F1175" s="47" t="n"/>
      <c r="G1175" s="48">
        <f t="shared" si="4"/>
      </c>
      <c r="H1175" s="43">
        <f t="shared" si="0"/>
      </c>
      <c r="I1175" s="43">
        <f t="shared" si="5"/>
      </c>
      <c r="J1175" s="43">
        <f t="shared" si="1"/>
      </c>
      <c r="K1175" s="49">
        <f t="shared" si="2"/>
      </c>
      <c r="L1175" s="45" t="n"/>
      <c r="M1175" s="45" t="n"/>
      <c r="N1175" s="45" t="n"/>
      <c r="O1175" s="45" t="n"/>
      <c r="P1175" s="50" t="n"/>
      <c r="R1175" s="2">
        <f t="shared" si="6"/>
        <v>0</v>
      </c>
      <c r="S1175" s="2">
        <f t="shared" si="7"/>
      </c>
      <c r="T1175" s="2">
        <f t="shared" si="8"/>
      </c>
      <c r="U1175" s="2">
        <f t="shared" si="9"/>
      </c>
      <c r="V1175" s="2">
        <f t="shared" si="10"/>
      </c>
      <c r="W1175" s="2">
        <f t="shared" si="11"/>
      </c>
      <c r="X1175" s="2">
        <f t="shared" si="12"/>
      </c>
      <c r="Y1175" s="2">
        <f t="shared" si="13"/>
        <v>0</v>
      </c>
      <c r="Z1175" s="2">
        <f t="shared" si="14"/>
      </c>
      <c r="AA1175" s="2">
        <f t="shared" si="15"/>
        <v>0</v>
      </c>
      <c r="AB1175" s="2">
        <f t="shared" si="16"/>
      </c>
      <c r="AC1175" s="2">
        <f t="shared" si="17"/>
      </c>
      <c r="AD1175" s="2">
        <f t="shared" si="18"/>
      </c>
      <c r="AE1175" s="2">
        <f t="shared" si="19"/>
      </c>
      <c r="AF1175" s="2">
        <f t="shared" si="20"/>
      </c>
      <c r="AG1175" s="2">
        <f t="shared" si="21"/>
      </c>
      <c r="AH1175" s="2">
        <f t="shared" si="22"/>
      </c>
      <c r="AI1175" s="2">
        <f t="shared" si="23"/>
      </c>
      <c r="AJ1175" s="2">
        <f t="shared" si="24"/>
        <v>0</v>
      </c>
      <c r="AK1175" s="2">
        <f t="shared" si="25"/>
        <v>0</v>
      </c>
      <c r="AL1175" s="2">
        <f t="shared" si="26"/>
        <v>0</v>
      </c>
      <c r="AM1175" s="2">
        <f t="shared" si="27"/>
        <v>0</v>
      </c>
      <c r="AN1175" s="2">
        <f t="shared" si="28"/>
        <v>0</v>
      </c>
      <c r="AO1175" s="2">
        <f t="shared" si="29"/>
      </c>
      <c r="AP1175" s="2">
        <f t="shared" si="30"/>
      </c>
      <c r="AQ1175" s="2">
        <f t="shared" si="31"/>
      </c>
    </row>
    <row r="1176">
      <c r="A1176" s="43">
        <f t="shared" si="3"/>
      </c>
      <c r="B1176" s="44" t="n"/>
      <c r="C1176" s="45" t="n"/>
      <c r="D1176" s="46" t="n"/>
      <c r="E1176" s="47" t="n"/>
      <c r="F1176" s="47" t="n"/>
      <c r="G1176" s="48">
        <f t="shared" si="4"/>
      </c>
      <c r="H1176" s="43">
        <f t="shared" si="0"/>
      </c>
      <c r="I1176" s="43">
        <f t="shared" si="5"/>
      </c>
      <c r="J1176" s="43">
        <f t="shared" si="1"/>
      </c>
      <c r="K1176" s="49">
        <f t="shared" si="2"/>
      </c>
      <c r="L1176" s="45" t="n"/>
      <c r="M1176" s="45" t="n"/>
      <c r="N1176" s="45" t="n"/>
      <c r="O1176" s="45" t="n"/>
      <c r="P1176" s="50" t="n"/>
      <c r="R1176" s="2">
        <f t="shared" si="6"/>
        <v>0</v>
      </c>
      <c r="S1176" s="2">
        <f t="shared" si="7"/>
      </c>
      <c r="T1176" s="2">
        <f t="shared" si="8"/>
      </c>
      <c r="U1176" s="2">
        <f t="shared" si="9"/>
      </c>
      <c r="V1176" s="2">
        <f t="shared" si="10"/>
      </c>
      <c r="W1176" s="2">
        <f t="shared" si="11"/>
      </c>
      <c r="X1176" s="2">
        <f t="shared" si="12"/>
      </c>
      <c r="Y1176" s="2">
        <f t="shared" si="13"/>
        <v>0</v>
      </c>
      <c r="Z1176" s="2">
        <f t="shared" si="14"/>
      </c>
      <c r="AA1176" s="2">
        <f t="shared" si="15"/>
        <v>0</v>
      </c>
      <c r="AB1176" s="2">
        <f t="shared" si="16"/>
      </c>
      <c r="AC1176" s="2">
        <f t="shared" si="17"/>
      </c>
      <c r="AD1176" s="2">
        <f t="shared" si="18"/>
      </c>
      <c r="AE1176" s="2">
        <f t="shared" si="19"/>
      </c>
      <c r="AF1176" s="2">
        <f t="shared" si="20"/>
      </c>
      <c r="AG1176" s="2">
        <f t="shared" si="21"/>
      </c>
      <c r="AH1176" s="2">
        <f t="shared" si="22"/>
      </c>
      <c r="AI1176" s="2">
        <f t="shared" si="23"/>
      </c>
      <c r="AJ1176" s="2">
        <f t="shared" si="24"/>
        <v>0</v>
      </c>
      <c r="AK1176" s="2">
        <f t="shared" si="25"/>
        <v>0</v>
      </c>
      <c r="AL1176" s="2">
        <f t="shared" si="26"/>
        <v>0</v>
      </c>
      <c r="AM1176" s="2">
        <f t="shared" si="27"/>
        <v>0</v>
      </c>
      <c r="AN1176" s="2">
        <f t="shared" si="28"/>
        <v>0</v>
      </c>
      <c r="AO1176" s="2">
        <f t="shared" si="29"/>
      </c>
      <c r="AP1176" s="2">
        <f t="shared" si="30"/>
      </c>
      <c r="AQ1176" s="2">
        <f t="shared" si="31"/>
      </c>
    </row>
    <row r="1177">
      <c r="A1177" s="43">
        <f t="shared" si="3"/>
      </c>
      <c r="B1177" s="44" t="n"/>
      <c r="C1177" s="45" t="n"/>
      <c r="D1177" s="46" t="n"/>
      <c r="E1177" s="47" t="n"/>
      <c r="F1177" s="47" t="n"/>
      <c r="G1177" s="48">
        <f t="shared" si="4"/>
      </c>
      <c r="H1177" s="43">
        <f t="shared" si="0"/>
      </c>
      <c r="I1177" s="43">
        <f t="shared" si="5"/>
      </c>
      <c r="J1177" s="43">
        <f t="shared" si="1"/>
      </c>
      <c r="K1177" s="49">
        <f t="shared" si="2"/>
      </c>
      <c r="L1177" s="45" t="n"/>
      <c r="M1177" s="45" t="n"/>
      <c r="N1177" s="45" t="n"/>
      <c r="O1177" s="45" t="n"/>
      <c r="P1177" s="50" t="n"/>
      <c r="R1177" s="2">
        <f t="shared" si="6"/>
        <v>0</v>
      </c>
      <c r="S1177" s="2">
        <f t="shared" si="7"/>
      </c>
      <c r="T1177" s="2">
        <f t="shared" si="8"/>
      </c>
      <c r="U1177" s="2">
        <f t="shared" si="9"/>
      </c>
      <c r="V1177" s="2">
        <f t="shared" si="10"/>
      </c>
      <c r="W1177" s="2">
        <f t="shared" si="11"/>
      </c>
      <c r="X1177" s="2">
        <f t="shared" si="12"/>
      </c>
      <c r="Y1177" s="2">
        <f t="shared" si="13"/>
        <v>0</v>
      </c>
      <c r="Z1177" s="2">
        <f t="shared" si="14"/>
      </c>
      <c r="AA1177" s="2">
        <f t="shared" si="15"/>
        <v>0</v>
      </c>
      <c r="AB1177" s="2">
        <f t="shared" si="16"/>
      </c>
      <c r="AC1177" s="2">
        <f t="shared" si="17"/>
      </c>
      <c r="AD1177" s="2">
        <f t="shared" si="18"/>
      </c>
      <c r="AE1177" s="2">
        <f t="shared" si="19"/>
      </c>
      <c r="AF1177" s="2">
        <f t="shared" si="20"/>
      </c>
      <c r="AG1177" s="2">
        <f t="shared" si="21"/>
      </c>
      <c r="AH1177" s="2">
        <f t="shared" si="22"/>
      </c>
      <c r="AI1177" s="2">
        <f t="shared" si="23"/>
      </c>
      <c r="AJ1177" s="2">
        <f t="shared" si="24"/>
        <v>0</v>
      </c>
      <c r="AK1177" s="2">
        <f t="shared" si="25"/>
        <v>0</v>
      </c>
      <c r="AL1177" s="2">
        <f t="shared" si="26"/>
        <v>0</v>
      </c>
      <c r="AM1177" s="2">
        <f t="shared" si="27"/>
        <v>0</v>
      </c>
      <c r="AN1177" s="2">
        <f t="shared" si="28"/>
        <v>0</v>
      </c>
      <c r="AO1177" s="2">
        <f t="shared" si="29"/>
      </c>
      <c r="AP1177" s="2">
        <f t="shared" si="30"/>
      </c>
      <c r="AQ1177" s="2">
        <f t="shared" si="31"/>
      </c>
    </row>
    <row r="1178">
      <c r="A1178" s="43">
        <f t="shared" si="3"/>
      </c>
      <c r="B1178" s="44" t="n"/>
      <c r="C1178" s="45" t="n"/>
      <c r="D1178" s="46" t="n"/>
      <c r="E1178" s="47" t="n"/>
      <c r="F1178" s="47" t="n"/>
      <c r="G1178" s="48">
        <f t="shared" si="4"/>
      </c>
      <c r="H1178" s="43">
        <f t="shared" si="0"/>
      </c>
      <c r="I1178" s="43">
        <f t="shared" si="5"/>
      </c>
      <c r="J1178" s="43">
        <f t="shared" si="1"/>
      </c>
      <c r="K1178" s="49">
        <f t="shared" si="2"/>
      </c>
      <c r="L1178" s="45" t="n"/>
      <c r="M1178" s="45" t="n"/>
      <c r="N1178" s="45" t="n"/>
      <c r="O1178" s="45" t="n"/>
      <c r="P1178" s="50" t="n"/>
      <c r="R1178" s="2">
        <f t="shared" si="6"/>
        <v>0</v>
      </c>
      <c r="S1178" s="2">
        <f t="shared" si="7"/>
      </c>
      <c r="T1178" s="2">
        <f t="shared" si="8"/>
      </c>
      <c r="U1178" s="2">
        <f t="shared" si="9"/>
      </c>
      <c r="V1178" s="2">
        <f t="shared" si="10"/>
      </c>
      <c r="W1178" s="2">
        <f t="shared" si="11"/>
      </c>
      <c r="X1178" s="2">
        <f t="shared" si="12"/>
      </c>
      <c r="Y1178" s="2">
        <f t="shared" si="13"/>
        <v>0</v>
      </c>
      <c r="Z1178" s="2">
        <f t="shared" si="14"/>
      </c>
      <c r="AA1178" s="2">
        <f t="shared" si="15"/>
        <v>0</v>
      </c>
      <c r="AB1178" s="2">
        <f t="shared" si="16"/>
      </c>
      <c r="AC1178" s="2">
        <f t="shared" si="17"/>
      </c>
      <c r="AD1178" s="2">
        <f t="shared" si="18"/>
      </c>
      <c r="AE1178" s="2">
        <f t="shared" si="19"/>
      </c>
      <c r="AF1178" s="2">
        <f t="shared" si="20"/>
      </c>
      <c r="AG1178" s="2">
        <f t="shared" si="21"/>
      </c>
      <c r="AH1178" s="2">
        <f t="shared" si="22"/>
      </c>
      <c r="AI1178" s="2">
        <f t="shared" si="23"/>
      </c>
      <c r="AJ1178" s="2">
        <f t="shared" si="24"/>
        <v>0</v>
      </c>
      <c r="AK1178" s="2">
        <f t="shared" si="25"/>
        <v>0</v>
      </c>
      <c r="AL1178" s="2">
        <f t="shared" si="26"/>
        <v>0</v>
      </c>
      <c r="AM1178" s="2">
        <f t="shared" si="27"/>
        <v>0</v>
      </c>
      <c r="AN1178" s="2">
        <f t="shared" si="28"/>
        <v>0</v>
      </c>
      <c r="AO1178" s="2">
        <f t="shared" si="29"/>
      </c>
      <c r="AP1178" s="2">
        <f t="shared" si="30"/>
      </c>
      <c r="AQ1178" s="2">
        <f t="shared" si="31"/>
      </c>
    </row>
    <row r="1179">
      <c r="A1179" s="43">
        <f t="shared" si="3"/>
      </c>
      <c r="B1179" s="44" t="n"/>
      <c r="C1179" s="45" t="n"/>
      <c r="D1179" s="46" t="n"/>
      <c r="E1179" s="47" t="n"/>
      <c r="F1179" s="47" t="n"/>
      <c r="G1179" s="48">
        <f t="shared" si="4"/>
      </c>
      <c r="H1179" s="43">
        <f t="shared" si="0"/>
      </c>
      <c r="I1179" s="43">
        <f t="shared" si="5"/>
      </c>
      <c r="J1179" s="43">
        <f t="shared" si="1"/>
      </c>
      <c r="K1179" s="49">
        <f t="shared" si="2"/>
      </c>
      <c r="L1179" s="45" t="n"/>
      <c r="M1179" s="45" t="n"/>
      <c r="N1179" s="45" t="n"/>
      <c r="O1179" s="45" t="n"/>
      <c r="P1179" s="50" t="n"/>
      <c r="R1179" s="2">
        <f t="shared" si="6"/>
        <v>0</v>
      </c>
      <c r="S1179" s="2">
        <f t="shared" si="7"/>
      </c>
      <c r="T1179" s="2">
        <f t="shared" si="8"/>
      </c>
      <c r="U1179" s="2">
        <f t="shared" si="9"/>
      </c>
      <c r="V1179" s="2">
        <f t="shared" si="10"/>
      </c>
      <c r="W1179" s="2">
        <f t="shared" si="11"/>
      </c>
      <c r="X1179" s="2">
        <f t="shared" si="12"/>
      </c>
      <c r="Y1179" s="2">
        <f t="shared" si="13"/>
        <v>0</v>
      </c>
      <c r="Z1179" s="2">
        <f t="shared" si="14"/>
      </c>
      <c r="AA1179" s="2">
        <f t="shared" si="15"/>
        <v>0</v>
      </c>
      <c r="AB1179" s="2">
        <f t="shared" si="16"/>
      </c>
      <c r="AC1179" s="2">
        <f t="shared" si="17"/>
      </c>
      <c r="AD1179" s="2">
        <f t="shared" si="18"/>
      </c>
      <c r="AE1179" s="2">
        <f t="shared" si="19"/>
      </c>
      <c r="AF1179" s="2">
        <f t="shared" si="20"/>
      </c>
      <c r="AG1179" s="2">
        <f t="shared" si="21"/>
      </c>
      <c r="AH1179" s="2">
        <f t="shared" si="22"/>
      </c>
      <c r="AI1179" s="2">
        <f t="shared" si="23"/>
      </c>
      <c r="AJ1179" s="2">
        <f t="shared" si="24"/>
        <v>0</v>
      </c>
      <c r="AK1179" s="2">
        <f t="shared" si="25"/>
        <v>0</v>
      </c>
      <c r="AL1179" s="2">
        <f t="shared" si="26"/>
        <v>0</v>
      </c>
      <c r="AM1179" s="2">
        <f t="shared" si="27"/>
        <v>0</v>
      </c>
      <c r="AN1179" s="2">
        <f t="shared" si="28"/>
        <v>0</v>
      </c>
      <c r="AO1179" s="2">
        <f t="shared" si="29"/>
      </c>
      <c r="AP1179" s="2">
        <f t="shared" si="30"/>
      </c>
      <c r="AQ1179" s="2">
        <f t="shared" si="31"/>
      </c>
    </row>
    <row r="1180">
      <c r="A1180" s="43">
        <f t="shared" si="3"/>
      </c>
      <c r="B1180" s="44" t="n"/>
      <c r="C1180" s="45" t="n"/>
      <c r="D1180" s="46" t="n"/>
      <c r="E1180" s="47" t="n"/>
      <c r="F1180" s="47" t="n"/>
      <c r="G1180" s="48">
        <f t="shared" si="4"/>
      </c>
      <c r="H1180" s="43">
        <f t="shared" si="0"/>
      </c>
      <c r="I1180" s="43">
        <f t="shared" si="5"/>
      </c>
      <c r="J1180" s="43">
        <f t="shared" si="1"/>
      </c>
      <c r="K1180" s="49">
        <f t="shared" si="2"/>
      </c>
      <c r="L1180" s="45" t="n"/>
      <c r="M1180" s="45" t="n"/>
      <c r="N1180" s="45" t="n"/>
      <c r="O1180" s="45" t="n"/>
      <c r="P1180" s="50" t="n"/>
      <c r="R1180" s="2">
        <f t="shared" si="6"/>
        <v>0</v>
      </c>
      <c r="S1180" s="2">
        <f t="shared" si="7"/>
      </c>
      <c r="T1180" s="2">
        <f t="shared" si="8"/>
      </c>
      <c r="U1180" s="2">
        <f t="shared" si="9"/>
      </c>
      <c r="V1180" s="2">
        <f t="shared" si="10"/>
      </c>
      <c r="W1180" s="2">
        <f t="shared" si="11"/>
      </c>
      <c r="X1180" s="2">
        <f t="shared" si="12"/>
      </c>
      <c r="Y1180" s="2">
        <f t="shared" si="13"/>
        <v>0</v>
      </c>
      <c r="Z1180" s="2">
        <f t="shared" si="14"/>
      </c>
      <c r="AA1180" s="2">
        <f t="shared" si="15"/>
        <v>0</v>
      </c>
      <c r="AB1180" s="2">
        <f t="shared" si="16"/>
      </c>
      <c r="AC1180" s="2">
        <f t="shared" si="17"/>
      </c>
      <c r="AD1180" s="2">
        <f t="shared" si="18"/>
      </c>
      <c r="AE1180" s="2">
        <f t="shared" si="19"/>
      </c>
      <c r="AF1180" s="2">
        <f t="shared" si="20"/>
      </c>
      <c r="AG1180" s="2">
        <f t="shared" si="21"/>
      </c>
      <c r="AH1180" s="2">
        <f t="shared" si="22"/>
      </c>
      <c r="AI1180" s="2">
        <f t="shared" si="23"/>
      </c>
      <c r="AJ1180" s="2">
        <f t="shared" si="24"/>
        <v>0</v>
      </c>
      <c r="AK1180" s="2">
        <f t="shared" si="25"/>
        <v>0</v>
      </c>
      <c r="AL1180" s="2">
        <f t="shared" si="26"/>
        <v>0</v>
      </c>
      <c r="AM1180" s="2">
        <f t="shared" si="27"/>
        <v>0</v>
      </c>
      <c r="AN1180" s="2">
        <f t="shared" si="28"/>
        <v>0</v>
      </c>
      <c r="AO1180" s="2">
        <f t="shared" si="29"/>
      </c>
      <c r="AP1180" s="2">
        <f t="shared" si="30"/>
      </c>
      <c r="AQ1180" s="2">
        <f t="shared" si="31"/>
      </c>
    </row>
    <row r="1181">
      <c r="A1181" s="43">
        <f t="shared" si="3"/>
      </c>
      <c r="B1181" s="44" t="n"/>
      <c r="C1181" s="45" t="n"/>
      <c r="D1181" s="46" t="n"/>
      <c r="E1181" s="47" t="n"/>
      <c r="F1181" s="47" t="n"/>
      <c r="G1181" s="48">
        <f t="shared" si="4"/>
      </c>
      <c r="H1181" s="43">
        <f t="shared" si="0"/>
      </c>
      <c r="I1181" s="43">
        <f t="shared" si="5"/>
      </c>
      <c r="J1181" s="43">
        <f t="shared" si="1"/>
      </c>
      <c r="K1181" s="49">
        <f t="shared" si="2"/>
      </c>
      <c r="L1181" s="45" t="n"/>
      <c r="M1181" s="45" t="n"/>
      <c r="N1181" s="45" t="n"/>
      <c r="O1181" s="45" t="n"/>
      <c r="P1181" s="50" t="n"/>
      <c r="R1181" s="2">
        <f t="shared" si="6"/>
        <v>0</v>
      </c>
      <c r="S1181" s="2">
        <f t="shared" si="7"/>
      </c>
      <c r="T1181" s="2">
        <f t="shared" si="8"/>
      </c>
      <c r="U1181" s="2">
        <f t="shared" si="9"/>
      </c>
      <c r="V1181" s="2">
        <f t="shared" si="10"/>
      </c>
      <c r="W1181" s="2">
        <f t="shared" si="11"/>
      </c>
      <c r="X1181" s="2">
        <f t="shared" si="12"/>
      </c>
      <c r="Y1181" s="2">
        <f t="shared" si="13"/>
        <v>0</v>
      </c>
      <c r="Z1181" s="2">
        <f t="shared" si="14"/>
      </c>
      <c r="AA1181" s="2">
        <f t="shared" si="15"/>
        <v>0</v>
      </c>
      <c r="AB1181" s="2">
        <f t="shared" si="16"/>
      </c>
      <c r="AC1181" s="2">
        <f t="shared" si="17"/>
      </c>
      <c r="AD1181" s="2">
        <f t="shared" si="18"/>
      </c>
      <c r="AE1181" s="2">
        <f t="shared" si="19"/>
      </c>
      <c r="AF1181" s="2">
        <f t="shared" si="20"/>
      </c>
      <c r="AG1181" s="2">
        <f t="shared" si="21"/>
      </c>
      <c r="AH1181" s="2">
        <f t="shared" si="22"/>
      </c>
      <c r="AI1181" s="2">
        <f t="shared" si="23"/>
      </c>
      <c r="AJ1181" s="2">
        <f t="shared" si="24"/>
        <v>0</v>
      </c>
      <c r="AK1181" s="2">
        <f t="shared" si="25"/>
        <v>0</v>
      </c>
      <c r="AL1181" s="2">
        <f t="shared" si="26"/>
        <v>0</v>
      </c>
      <c r="AM1181" s="2">
        <f t="shared" si="27"/>
        <v>0</v>
      </c>
      <c r="AN1181" s="2">
        <f t="shared" si="28"/>
        <v>0</v>
      </c>
      <c r="AO1181" s="2">
        <f t="shared" si="29"/>
      </c>
      <c r="AP1181" s="2">
        <f t="shared" si="30"/>
      </c>
      <c r="AQ1181" s="2">
        <f t="shared" si="31"/>
      </c>
    </row>
    <row r="1182">
      <c r="A1182" s="43">
        <f t="shared" si="3"/>
      </c>
      <c r="B1182" s="44" t="n"/>
      <c r="C1182" s="45" t="n"/>
      <c r="D1182" s="46" t="n"/>
      <c r="E1182" s="47" t="n"/>
      <c r="F1182" s="47" t="n"/>
      <c r="G1182" s="48">
        <f t="shared" si="4"/>
      </c>
      <c r="H1182" s="43">
        <f t="shared" si="0"/>
      </c>
      <c r="I1182" s="43">
        <f t="shared" si="5"/>
      </c>
      <c r="J1182" s="43">
        <f t="shared" si="1"/>
      </c>
      <c r="K1182" s="49">
        <f t="shared" si="2"/>
      </c>
      <c r="L1182" s="45" t="n"/>
      <c r="M1182" s="45" t="n"/>
      <c r="N1182" s="45" t="n"/>
      <c r="O1182" s="45" t="n"/>
      <c r="P1182" s="50" t="n"/>
      <c r="R1182" s="2">
        <f t="shared" si="6"/>
        <v>0</v>
      </c>
      <c r="S1182" s="2">
        <f t="shared" si="7"/>
      </c>
      <c r="T1182" s="2">
        <f t="shared" si="8"/>
      </c>
      <c r="U1182" s="2">
        <f t="shared" si="9"/>
      </c>
      <c r="V1182" s="2">
        <f t="shared" si="10"/>
      </c>
      <c r="W1182" s="2">
        <f t="shared" si="11"/>
      </c>
      <c r="X1182" s="2">
        <f t="shared" si="12"/>
      </c>
      <c r="Y1182" s="2">
        <f t="shared" si="13"/>
        <v>0</v>
      </c>
      <c r="Z1182" s="2">
        <f t="shared" si="14"/>
      </c>
      <c r="AA1182" s="2">
        <f t="shared" si="15"/>
        <v>0</v>
      </c>
      <c r="AB1182" s="2">
        <f t="shared" si="16"/>
      </c>
      <c r="AC1182" s="2">
        <f t="shared" si="17"/>
      </c>
      <c r="AD1182" s="2">
        <f t="shared" si="18"/>
      </c>
      <c r="AE1182" s="2">
        <f t="shared" si="19"/>
      </c>
      <c r="AF1182" s="2">
        <f t="shared" si="20"/>
      </c>
      <c r="AG1182" s="2">
        <f t="shared" si="21"/>
      </c>
      <c r="AH1182" s="2">
        <f t="shared" si="22"/>
      </c>
      <c r="AI1182" s="2">
        <f t="shared" si="23"/>
      </c>
      <c r="AJ1182" s="2">
        <f t="shared" si="24"/>
        <v>0</v>
      </c>
      <c r="AK1182" s="2">
        <f t="shared" si="25"/>
        <v>0</v>
      </c>
      <c r="AL1182" s="2">
        <f t="shared" si="26"/>
        <v>0</v>
      </c>
      <c r="AM1182" s="2">
        <f t="shared" si="27"/>
        <v>0</v>
      </c>
      <c r="AN1182" s="2">
        <f t="shared" si="28"/>
        <v>0</v>
      </c>
      <c r="AO1182" s="2">
        <f t="shared" si="29"/>
      </c>
      <c r="AP1182" s="2">
        <f t="shared" si="30"/>
      </c>
      <c r="AQ1182" s="2">
        <f t="shared" si="31"/>
      </c>
    </row>
    <row r="1183">
      <c r="A1183" s="43">
        <f t="shared" si="3"/>
      </c>
      <c r="B1183" s="44" t="n"/>
      <c r="C1183" s="45" t="n"/>
      <c r="D1183" s="46" t="n"/>
      <c r="E1183" s="47" t="n"/>
      <c r="F1183" s="47" t="n"/>
      <c r="G1183" s="48">
        <f t="shared" si="4"/>
      </c>
      <c r="H1183" s="43">
        <f t="shared" si="0"/>
      </c>
      <c r="I1183" s="43">
        <f t="shared" si="5"/>
      </c>
      <c r="J1183" s="43">
        <f t="shared" si="1"/>
      </c>
      <c r="K1183" s="49">
        <f t="shared" si="2"/>
      </c>
      <c r="L1183" s="45" t="n"/>
      <c r="M1183" s="45" t="n"/>
      <c r="N1183" s="45" t="n"/>
      <c r="O1183" s="45" t="n"/>
      <c r="P1183" s="50" t="n"/>
      <c r="R1183" s="2">
        <f t="shared" si="6"/>
        <v>0</v>
      </c>
      <c r="S1183" s="2">
        <f t="shared" si="7"/>
      </c>
      <c r="T1183" s="2">
        <f t="shared" si="8"/>
      </c>
      <c r="U1183" s="2">
        <f t="shared" si="9"/>
      </c>
      <c r="V1183" s="2">
        <f t="shared" si="10"/>
      </c>
      <c r="W1183" s="2">
        <f t="shared" si="11"/>
      </c>
      <c r="X1183" s="2">
        <f t="shared" si="12"/>
      </c>
      <c r="Y1183" s="2">
        <f t="shared" si="13"/>
        <v>0</v>
      </c>
      <c r="Z1183" s="2">
        <f t="shared" si="14"/>
      </c>
      <c r="AA1183" s="2">
        <f t="shared" si="15"/>
        <v>0</v>
      </c>
      <c r="AB1183" s="2">
        <f t="shared" si="16"/>
      </c>
      <c r="AC1183" s="2">
        <f t="shared" si="17"/>
      </c>
      <c r="AD1183" s="2">
        <f t="shared" si="18"/>
      </c>
      <c r="AE1183" s="2">
        <f t="shared" si="19"/>
      </c>
      <c r="AF1183" s="2">
        <f t="shared" si="20"/>
      </c>
      <c r="AG1183" s="2">
        <f t="shared" si="21"/>
      </c>
      <c r="AH1183" s="2">
        <f t="shared" si="22"/>
      </c>
      <c r="AI1183" s="2">
        <f t="shared" si="23"/>
      </c>
      <c r="AJ1183" s="2">
        <f t="shared" si="24"/>
        <v>0</v>
      </c>
      <c r="AK1183" s="2">
        <f t="shared" si="25"/>
        <v>0</v>
      </c>
      <c r="AL1183" s="2">
        <f t="shared" si="26"/>
        <v>0</v>
      </c>
      <c r="AM1183" s="2">
        <f t="shared" si="27"/>
        <v>0</v>
      </c>
      <c r="AN1183" s="2">
        <f t="shared" si="28"/>
        <v>0</v>
      </c>
      <c r="AO1183" s="2">
        <f t="shared" si="29"/>
      </c>
      <c r="AP1183" s="2">
        <f t="shared" si="30"/>
      </c>
      <c r="AQ1183" s="2">
        <f t="shared" si="31"/>
      </c>
    </row>
    <row r="1184">
      <c r="A1184" s="43">
        <f t="shared" si="3"/>
      </c>
      <c r="B1184" s="44" t="n"/>
      <c r="C1184" s="45" t="n"/>
      <c r="D1184" s="46" t="n"/>
      <c r="E1184" s="47" t="n"/>
      <c r="F1184" s="47" t="n"/>
      <c r="G1184" s="48">
        <f t="shared" si="4"/>
      </c>
      <c r="H1184" s="43">
        <f t="shared" si="0"/>
      </c>
      <c r="I1184" s="43">
        <f t="shared" si="5"/>
      </c>
      <c r="J1184" s="43">
        <f t="shared" si="1"/>
      </c>
      <c r="K1184" s="49">
        <f t="shared" si="2"/>
      </c>
      <c r="L1184" s="45" t="n"/>
      <c r="M1184" s="45" t="n"/>
      <c r="N1184" s="45" t="n"/>
      <c r="O1184" s="45" t="n"/>
      <c r="P1184" s="50" t="n"/>
      <c r="R1184" s="2">
        <f t="shared" si="6"/>
        <v>0</v>
      </c>
      <c r="S1184" s="2">
        <f t="shared" si="7"/>
      </c>
      <c r="T1184" s="2">
        <f t="shared" si="8"/>
      </c>
      <c r="U1184" s="2">
        <f t="shared" si="9"/>
      </c>
      <c r="V1184" s="2">
        <f t="shared" si="10"/>
      </c>
      <c r="W1184" s="2">
        <f t="shared" si="11"/>
      </c>
      <c r="X1184" s="2">
        <f t="shared" si="12"/>
      </c>
      <c r="Y1184" s="2">
        <f t="shared" si="13"/>
        <v>0</v>
      </c>
      <c r="Z1184" s="2">
        <f t="shared" si="14"/>
      </c>
      <c r="AA1184" s="2">
        <f t="shared" si="15"/>
        <v>0</v>
      </c>
      <c r="AB1184" s="2">
        <f t="shared" si="16"/>
      </c>
      <c r="AC1184" s="2">
        <f t="shared" si="17"/>
      </c>
      <c r="AD1184" s="2">
        <f t="shared" si="18"/>
      </c>
      <c r="AE1184" s="2">
        <f t="shared" si="19"/>
      </c>
      <c r="AF1184" s="2">
        <f t="shared" si="20"/>
      </c>
      <c r="AG1184" s="2">
        <f t="shared" si="21"/>
      </c>
      <c r="AH1184" s="2">
        <f t="shared" si="22"/>
      </c>
      <c r="AI1184" s="2">
        <f t="shared" si="23"/>
      </c>
      <c r="AJ1184" s="2">
        <f t="shared" si="24"/>
        <v>0</v>
      </c>
      <c r="AK1184" s="2">
        <f t="shared" si="25"/>
        <v>0</v>
      </c>
      <c r="AL1184" s="2">
        <f t="shared" si="26"/>
        <v>0</v>
      </c>
      <c r="AM1184" s="2">
        <f t="shared" si="27"/>
        <v>0</v>
      </c>
      <c r="AN1184" s="2">
        <f t="shared" si="28"/>
        <v>0</v>
      </c>
      <c r="AO1184" s="2">
        <f t="shared" si="29"/>
      </c>
      <c r="AP1184" s="2">
        <f t="shared" si="30"/>
      </c>
      <c r="AQ1184" s="2">
        <f t="shared" si="31"/>
      </c>
    </row>
    <row r="1185">
      <c r="A1185" s="43">
        <f t="shared" si="3"/>
      </c>
      <c r="B1185" s="44" t="n"/>
      <c r="C1185" s="45" t="n"/>
      <c r="D1185" s="46" t="n"/>
      <c r="E1185" s="47" t="n"/>
      <c r="F1185" s="47" t="n"/>
      <c r="G1185" s="48">
        <f t="shared" si="4"/>
      </c>
      <c r="H1185" s="43">
        <f t="shared" si="0"/>
      </c>
      <c r="I1185" s="43">
        <f t="shared" si="5"/>
      </c>
      <c r="J1185" s="43">
        <f t="shared" si="1"/>
      </c>
      <c r="K1185" s="49">
        <f t="shared" si="2"/>
      </c>
      <c r="L1185" s="45" t="n"/>
      <c r="M1185" s="45" t="n"/>
      <c r="N1185" s="45" t="n"/>
      <c r="O1185" s="45" t="n"/>
      <c r="P1185" s="50" t="n"/>
      <c r="R1185" s="2">
        <f t="shared" si="6"/>
        <v>0</v>
      </c>
      <c r="S1185" s="2">
        <f t="shared" si="7"/>
      </c>
      <c r="T1185" s="2">
        <f t="shared" si="8"/>
      </c>
      <c r="U1185" s="2">
        <f t="shared" si="9"/>
      </c>
      <c r="V1185" s="2">
        <f t="shared" si="10"/>
      </c>
      <c r="W1185" s="2">
        <f t="shared" si="11"/>
      </c>
      <c r="X1185" s="2">
        <f t="shared" si="12"/>
      </c>
      <c r="Y1185" s="2">
        <f t="shared" si="13"/>
        <v>0</v>
      </c>
      <c r="Z1185" s="2">
        <f t="shared" si="14"/>
      </c>
      <c r="AA1185" s="2">
        <f t="shared" si="15"/>
        <v>0</v>
      </c>
      <c r="AB1185" s="2">
        <f t="shared" si="16"/>
      </c>
      <c r="AC1185" s="2">
        <f t="shared" si="17"/>
      </c>
      <c r="AD1185" s="2">
        <f t="shared" si="18"/>
      </c>
      <c r="AE1185" s="2">
        <f t="shared" si="19"/>
      </c>
      <c r="AF1185" s="2">
        <f t="shared" si="20"/>
      </c>
      <c r="AG1185" s="2">
        <f t="shared" si="21"/>
      </c>
      <c r="AH1185" s="2">
        <f t="shared" si="22"/>
      </c>
      <c r="AI1185" s="2">
        <f t="shared" si="23"/>
      </c>
      <c r="AJ1185" s="2">
        <f t="shared" si="24"/>
        <v>0</v>
      </c>
      <c r="AK1185" s="2">
        <f t="shared" si="25"/>
        <v>0</v>
      </c>
      <c r="AL1185" s="2">
        <f t="shared" si="26"/>
        <v>0</v>
      </c>
      <c r="AM1185" s="2">
        <f t="shared" si="27"/>
        <v>0</v>
      </c>
      <c r="AN1185" s="2">
        <f t="shared" si="28"/>
        <v>0</v>
      </c>
      <c r="AO1185" s="2">
        <f t="shared" si="29"/>
      </c>
      <c r="AP1185" s="2">
        <f t="shared" si="30"/>
      </c>
      <c r="AQ1185" s="2">
        <f t="shared" si="31"/>
      </c>
    </row>
    <row r="1186">
      <c r="A1186" s="43">
        <f t="shared" si="3"/>
      </c>
      <c r="B1186" s="44" t="n"/>
      <c r="C1186" s="45" t="n"/>
      <c r="D1186" s="46" t="n"/>
      <c r="E1186" s="47" t="n"/>
      <c r="F1186" s="47" t="n"/>
      <c r="G1186" s="48">
        <f t="shared" si="4"/>
      </c>
      <c r="H1186" s="43">
        <f t="shared" si="0"/>
      </c>
      <c r="I1186" s="43">
        <f t="shared" si="5"/>
      </c>
      <c r="J1186" s="43">
        <f t="shared" si="1"/>
      </c>
      <c r="K1186" s="49">
        <f t="shared" si="2"/>
      </c>
      <c r="L1186" s="45" t="n"/>
      <c r="M1186" s="45" t="n"/>
      <c r="N1186" s="45" t="n"/>
      <c r="O1186" s="45" t="n"/>
      <c r="P1186" s="50" t="n"/>
      <c r="R1186" s="2">
        <f t="shared" si="6"/>
        <v>0</v>
      </c>
      <c r="S1186" s="2">
        <f t="shared" si="7"/>
      </c>
      <c r="T1186" s="2">
        <f t="shared" si="8"/>
      </c>
      <c r="U1186" s="2">
        <f t="shared" si="9"/>
      </c>
      <c r="V1186" s="2">
        <f t="shared" si="10"/>
      </c>
      <c r="W1186" s="2">
        <f t="shared" si="11"/>
      </c>
      <c r="X1186" s="2">
        <f t="shared" si="12"/>
      </c>
      <c r="Y1186" s="2">
        <f t="shared" si="13"/>
        <v>0</v>
      </c>
      <c r="Z1186" s="2">
        <f t="shared" si="14"/>
      </c>
      <c r="AA1186" s="2">
        <f t="shared" si="15"/>
        <v>0</v>
      </c>
      <c r="AB1186" s="2">
        <f t="shared" si="16"/>
      </c>
      <c r="AC1186" s="2">
        <f t="shared" si="17"/>
      </c>
      <c r="AD1186" s="2">
        <f t="shared" si="18"/>
      </c>
      <c r="AE1186" s="2">
        <f t="shared" si="19"/>
      </c>
      <c r="AF1186" s="2">
        <f t="shared" si="20"/>
      </c>
      <c r="AG1186" s="2">
        <f t="shared" si="21"/>
      </c>
      <c r="AH1186" s="2">
        <f t="shared" si="22"/>
      </c>
      <c r="AI1186" s="2">
        <f t="shared" si="23"/>
      </c>
      <c r="AJ1186" s="2">
        <f t="shared" si="24"/>
        <v>0</v>
      </c>
      <c r="AK1186" s="2">
        <f t="shared" si="25"/>
        <v>0</v>
      </c>
      <c r="AL1186" s="2">
        <f t="shared" si="26"/>
        <v>0</v>
      </c>
      <c r="AM1186" s="2">
        <f t="shared" si="27"/>
        <v>0</v>
      </c>
      <c r="AN1186" s="2">
        <f t="shared" si="28"/>
        <v>0</v>
      </c>
      <c r="AO1186" s="2">
        <f t="shared" si="29"/>
      </c>
      <c r="AP1186" s="2">
        <f t="shared" si="30"/>
      </c>
      <c r="AQ1186" s="2">
        <f t="shared" si="31"/>
      </c>
    </row>
    <row r="1187">
      <c r="A1187" s="43">
        <f t="shared" si="3"/>
      </c>
      <c r="B1187" s="44" t="n"/>
      <c r="C1187" s="45" t="n"/>
      <c r="D1187" s="46" t="n"/>
      <c r="E1187" s="47" t="n"/>
      <c r="F1187" s="47" t="n"/>
      <c r="G1187" s="48">
        <f t="shared" si="4"/>
      </c>
      <c r="H1187" s="43">
        <f t="shared" si="0"/>
      </c>
      <c r="I1187" s="43">
        <f t="shared" si="5"/>
      </c>
      <c r="J1187" s="43">
        <f t="shared" si="1"/>
      </c>
      <c r="K1187" s="49">
        <f t="shared" si="2"/>
      </c>
      <c r="L1187" s="45" t="n"/>
      <c r="M1187" s="45" t="n"/>
      <c r="N1187" s="45" t="n"/>
      <c r="O1187" s="45" t="n"/>
      <c r="P1187" s="50" t="n"/>
      <c r="R1187" s="2">
        <f t="shared" si="6"/>
        <v>0</v>
      </c>
      <c r="S1187" s="2">
        <f t="shared" si="7"/>
      </c>
      <c r="T1187" s="2">
        <f t="shared" si="8"/>
      </c>
      <c r="U1187" s="2">
        <f t="shared" si="9"/>
      </c>
      <c r="V1187" s="2">
        <f t="shared" si="10"/>
      </c>
      <c r="W1187" s="2">
        <f t="shared" si="11"/>
      </c>
      <c r="X1187" s="2">
        <f t="shared" si="12"/>
      </c>
      <c r="Y1187" s="2">
        <f t="shared" si="13"/>
        <v>0</v>
      </c>
      <c r="Z1187" s="2">
        <f t="shared" si="14"/>
      </c>
      <c r="AA1187" s="2">
        <f t="shared" si="15"/>
        <v>0</v>
      </c>
      <c r="AB1187" s="2">
        <f t="shared" si="16"/>
      </c>
      <c r="AC1187" s="2">
        <f t="shared" si="17"/>
      </c>
      <c r="AD1187" s="2">
        <f t="shared" si="18"/>
      </c>
      <c r="AE1187" s="2">
        <f t="shared" si="19"/>
      </c>
      <c r="AF1187" s="2">
        <f t="shared" si="20"/>
      </c>
      <c r="AG1187" s="2">
        <f t="shared" si="21"/>
      </c>
      <c r="AH1187" s="2">
        <f t="shared" si="22"/>
      </c>
      <c r="AI1187" s="2">
        <f t="shared" si="23"/>
      </c>
      <c r="AJ1187" s="2">
        <f t="shared" si="24"/>
        <v>0</v>
      </c>
      <c r="AK1187" s="2">
        <f t="shared" si="25"/>
        <v>0</v>
      </c>
      <c r="AL1187" s="2">
        <f t="shared" si="26"/>
        <v>0</v>
      </c>
      <c r="AM1187" s="2">
        <f t="shared" si="27"/>
        <v>0</v>
      </c>
      <c r="AN1187" s="2">
        <f t="shared" si="28"/>
        <v>0</v>
      </c>
      <c r="AO1187" s="2">
        <f t="shared" si="29"/>
      </c>
      <c r="AP1187" s="2">
        <f t="shared" si="30"/>
      </c>
      <c r="AQ1187" s="2">
        <f t="shared" si="31"/>
      </c>
    </row>
    <row r="1188">
      <c r="A1188" s="43">
        <f t="shared" si="3"/>
      </c>
      <c r="B1188" s="44" t="n"/>
      <c r="C1188" s="45" t="n"/>
      <c r="D1188" s="46" t="n"/>
      <c r="E1188" s="47" t="n"/>
      <c r="F1188" s="47" t="n"/>
      <c r="G1188" s="48">
        <f t="shared" si="4"/>
      </c>
      <c r="H1188" s="43">
        <f t="shared" si="0"/>
      </c>
      <c r="I1188" s="43">
        <f t="shared" si="5"/>
      </c>
      <c r="J1188" s="43">
        <f t="shared" si="1"/>
      </c>
      <c r="K1188" s="49">
        <f t="shared" si="2"/>
      </c>
      <c r="L1188" s="45" t="n"/>
      <c r="M1188" s="45" t="n"/>
      <c r="N1188" s="45" t="n"/>
      <c r="O1188" s="45" t="n"/>
      <c r="P1188" s="50" t="n"/>
      <c r="R1188" s="2">
        <f t="shared" si="6"/>
        <v>0</v>
      </c>
      <c r="S1188" s="2">
        <f t="shared" si="7"/>
      </c>
      <c r="T1188" s="2">
        <f t="shared" si="8"/>
      </c>
      <c r="U1188" s="2">
        <f t="shared" si="9"/>
      </c>
      <c r="V1188" s="2">
        <f t="shared" si="10"/>
      </c>
      <c r="W1188" s="2">
        <f t="shared" si="11"/>
      </c>
      <c r="X1188" s="2">
        <f t="shared" si="12"/>
      </c>
      <c r="Y1188" s="2">
        <f t="shared" si="13"/>
        <v>0</v>
      </c>
      <c r="Z1188" s="2">
        <f t="shared" si="14"/>
      </c>
      <c r="AA1188" s="2">
        <f t="shared" si="15"/>
        <v>0</v>
      </c>
      <c r="AB1188" s="2">
        <f t="shared" si="16"/>
      </c>
      <c r="AC1188" s="2">
        <f t="shared" si="17"/>
      </c>
      <c r="AD1188" s="2">
        <f t="shared" si="18"/>
      </c>
      <c r="AE1188" s="2">
        <f t="shared" si="19"/>
      </c>
      <c r="AF1188" s="2">
        <f t="shared" si="20"/>
      </c>
      <c r="AG1188" s="2">
        <f t="shared" si="21"/>
      </c>
      <c r="AH1188" s="2">
        <f t="shared" si="22"/>
      </c>
      <c r="AI1188" s="2">
        <f t="shared" si="23"/>
      </c>
      <c r="AJ1188" s="2">
        <f t="shared" si="24"/>
        <v>0</v>
      </c>
      <c r="AK1188" s="2">
        <f t="shared" si="25"/>
        <v>0</v>
      </c>
      <c r="AL1188" s="2">
        <f t="shared" si="26"/>
        <v>0</v>
      </c>
      <c r="AM1188" s="2">
        <f t="shared" si="27"/>
        <v>0</v>
      </c>
      <c r="AN1188" s="2">
        <f t="shared" si="28"/>
        <v>0</v>
      </c>
      <c r="AO1188" s="2">
        <f t="shared" si="29"/>
      </c>
      <c r="AP1188" s="2">
        <f t="shared" si="30"/>
      </c>
      <c r="AQ1188" s="2">
        <f t="shared" si="31"/>
      </c>
    </row>
    <row r="1189">
      <c r="A1189" s="43">
        <f t="shared" si="3"/>
      </c>
      <c r="B1189" s="44" t="n"/>
      <c r="C1189" s="45" t="n"/>
      <c r="D1189" s="46" t="n"/>
      <c r="E1189" s="47" t="n"/>
      <c r="F1189" s="47" t="n"/>
      <c r="G1189" s="48">
        <f t="shared" si="4"/>
      </c>
      <c r="H1189" s="43">
        <f t="shared" si="0"/>
      </c>
      <c r="I1189" s="43">
        <f t="shared" si="5"/>
      </c>
      <c r="J1189" s="43">
        <f t="shared" si="1"/>
      </c>
      <c r="K1189" s="49">
        <f t="shared" si="2"/>
      </c>
      <c r="L1189" s="45" t="n"/>
      <c r="M1189" s="45" t="n"/>
      <c r="N1189" s="45" t="n"/>
      <c r="O1189" s="45" t="n"/>
      <c r="P1189" s="50" t="n"/>
      <c r="R1189" s="2">
        <f t="shared" si="6"/>
        <v>0</v>
      </c>
      <c r="S1189" s="2">
        <f t="shared" si="7"/>
      </c>
      <c r="T1189" s="2">
        <f t="shared" si="8"/>
      </c>
      <c r="U1189" s="2">
        <f t="shared" si="9"/>
      </c>
      <c r="V1189" s="2">
        <f t="shared" si="10"/>
      </c>
      <c r="W1189" s="2">
        <f t="shared" si="11"/>
      </c>
      <c r="X1189" s="2">
        <f t="shared" si="12"/>
      </c>
      <c r="Y1189" s="2">
        <f t="shared" si="13"/>
        <v>0</v>
      </c>
      <c r="Z1189" s="2">
        <f t="shared" si="14"/>
      </c>
      <c r="AA1189" s="2">
        <f t="shared" si="15"/>
        <v>0</v>
      </c>
      <c r="AB1189" s="2">
        <f t="shared" si="16"/>
      </c>
      <c r="AC1189" s="2">
        <f t="shared" si="17"/>
      </c>
      <c r="AD1189" s="2">
        <f t="shared" si="18"/>
      </c>
      <c r="AE1189" s="2">
        <f t="shared" si="19"/>
      </c>
      <c r="AF1189" s="2">
        <f t="shared" si="20"/>
      </c>
      <c r="AG1189" s="2">
        <f t="shared" si="21"/>
      </c>
      <c r="AH1189" s="2">
        <f t="shared" si="22"/>
      </c>
      <c r="AI1189" s="2">
        <f t="shared" si="23"/>
      </c>
      <c r="AJ1189" s="2">
        <f t="shared" si="24"/>
        <v>0</v>
      </c>
      <c r="AK1189" s="2">
        <f t="shared" si="25"/>
        <v>0</v>
      </c>
      <c r="AL1189" s="2">
        <f t="shared" si="26"/>
        <v>0</v>
      </c>
      <c r="AM1189" s="2">
        <f t="shared" si="27"/>
        <v>0</v>
      </c>
      <c r="AN1189" s="2">
        <f t="shared" si="28"/>
        <v>0</v>
      </c>
      <c r="AO1189" s="2">
        <f t="shared" si="29"/>
      </c>
      <c r="AP1189" s="2">
        <f t="shared" si="30"/>
      </c>
      <c r="AQ1189" s="2">
        <f t="shared" si="31"/>
      </c>
    </row>
    <row r="1190">
      <c r="A1190" s="43">
        <f t="shared" si="3"/>
      </c>
      <c r="B1190" s="44" t="n"/>
      <c r="C1190" s="45" t="n"/>
      <c r="D1190" s="46" t="n"/>
      <c r="E1190" s="47" t="n"/>
      <c r="F1190" s="47" t="n"/>
      <c r="G1190" s="48">
        <f t="shared" si="4"/>
      </c>
      <c r="H1190" s="43">
        <f t="shared" si="0"/>
      </c>
      <c r="I1190" s="43">
        <f t="shared" si="5"/>
      </c>
      <c r="J1190" s="43">
        <f t="shared" si="1"/>
      </c>
      <c r="K1190" s="49">
        <f t="shared" si="2"/>
      </c>
      <c r="L1190" s="45" t="n"/>
      <c r="M1190" s="45" t="n"/>
      <c r="N1190" s="45" t="n"/>
      <c r="O1190" s="45" t="n"/>
      <c r="P1190" s="50" t="n"/>
      <c r="R1190" s="2">
        <f t="shared" si="6"/>
        <v>0</v>
      </c>
      <c r="S1190" s="2">
        <f t="shared" si="7"/>
      </c>
      <c r="T1190" s="2">
        <f t="shared" si="8"/>
      </c>
      <c r="U1190" s="2">
        <f t="shared" si="9"/>
      </c>
      <c r="V1190" s="2">
        <f t="shared" si="10"/>
      </c>
      <c r="W1190" s="2">
        <f t="shared" si="11"/>
      </c>
      <c r="X1190" s="2">
        <f t="shared" si="12"/>
      </c>
      <c r="Y1190" s="2">
        <f t="shared" si="13"/>
        <v>0</v>
      </c>
      <c r="Z1190" s="2">
        <f t="shared" si="14"/>
      </c>
      <c r="AA1190" s="2">
        <f t="shared" si="15"/>
        <v>0</v>
      </c>
      <c r="AB1190" s="2">
        <f t="shared" si="16"/>
      </c>
      <c r="AC1190" s="2">
        <f t="shared" si="17"/>
      </c>
      <c r="AD1190" s="2">
        <f t="shared" si="18"/>
      </c>
      <c r="AE1190" s="2">
        <f t="shared" si="19"/>
      </c>
      <c r="AF1190" s="2">
        <f t="shared" si="20"/>
      </c>
      <c r="AG1190" s="2">
        <f t="shared" si="21"/>
      </c>
      <c r="AH1190" s="2">
        <f t="shared" si="22"/>
      </c>
      <c r="AI1190" s="2">
        <f t="shared" si="23"/>
      </c>
      <c r="AJ1190" s="2">
        <f t="shared" si="24"/>
        <v>0</v>
      </c>
      <c r="AK1190" s="2">
        <f t="shared" si="25"/>
        <v>0</v>
      </c>
      <c r="AL1190" s="2">
        <f t="shared" si="26"/>
        <v>0</v>
      </c>
      <c r="AM1190" s="2">
        <f t="shared" si="27"/>
        <v>0</v>
      </c>
      <c r="AN1190" s="2">
        <f t="shared" si="28"/>
        <v>0</v>
      </c>
      <c r="AO1190" s="2">
        <f t="shared" si="29"/>
      </c>
      <c r="AP1190" s="2">
        <f t="shared" si="30"/>
      </c>
      <c r="AQ1190" s="2">
        <f t="shared" si="31"/>
      </c>
    </row>
    <row r="1191">
      <c r="A1191" s="43">
        <f t="shared" si="3"/>
      </c>
      <c r="B1191" s="44" t="n"/>
      <c r="C1191" s="45" t="n"/>
      <c r="D1191" s="46" t="n"/>
      <c r="E1191" s="47" t="n"/>
      <c r="F1191" s="47" t="n"/>
      <c r="G1191" s="48">
        <f t="shared" si="4"/>
      </c>
      <c r="H1191" s="43">
        <f t="shared" si="0"/>
      </c>
      <c r="I1191" s="43">
        <f t="shared" si="5"/>
      </c>
      <c r="J1191" s="43">
        <f t="shared" si="1"/>
      </c>
      <c r="K1191" s="49">
        <f t="shared" si="2"/>
      </c>
      <c r="L1191" s="45" t="n"/>
      <c r="M1191" s="45" t="n"/>
      <c r="N1191" s="45" t="n"/>
      <c r="O1191" s="45" t="n"/>
      <c r="P1191" s="50" t="n"/>
      <c r="R1191" s="2">
        <f t="shared" si="6"/>
        <v>0</v>
      </c>
      <c r="S1191" s="2">
        <f t="shared" si="7"/>
      </c>
      <c r="T1191" s="2">
        <f t="shared" si="8"/>
      </c>
      <c r="U1191" s="2">
        <f t="shared" si="9"/>
      </c>
      <c r="V1191" s="2">
        <f t="shared" si="10"/>
      </c>
      <c r="W1191" s="2">
        <f t="shared" si="11"/>
      </c>
      <c r="X1191" s="2">
        <f t="shared" si="12"/>
      </c>
      <c r="Y1191" s="2">
        <f t="shared" si="13"/>
        <v>0</v>
      </c>
      <c r="Z1191" s="2">
        <f t="shared" si="14"/>
      </c>
      <c r="AA1191" s="2">
        <f t="shared" si="15"/>
        <v>0</v>
      </c>
      <c r="AB1191" s="2">
        <f t="shared" si="16"/>
      </c>
      <c r="AC1191" s="2">
        <f t="shared" si="17"/>
      </c>
      <c r="AD1191" s="2">
        <f t="shared" si="18"/>
      </c>
      <c r="AE1191" s="2">
        <f t="shared" si="19"/>
      </c>
      <c r="AF1191" s="2">
        <f t="shared" si="20"/>
      </c>
      <c r="AG1191" s="2">
        <f t="shared" si="21"/>
      </c>
      <c r="AH1191" s="2">
        <f t="shared" si="22"/>
      </c>
      <c r="AI1191" s="2">
        <f t="shared" si="23"/>
      </c>
      <c r="AJ1191" s="2">
        <f t="shared" si="24"/>
        <v>0</v>
      </c>
      <c r="AK1191" s="2">
        <f t="shared" si="25"/>
        <v>0</v>
      </c>
      <c r="AL1191" s="2">
        <f t="shared" si="26"/>
        <v>0</v>
      </c>
      <c r="AM1191" s="2">
        <f t="shared" si="27"/>
        <v>0</v>
      </c>
      <c r="AN1191" s="2">
        <f t="shared" si="28"/>
        <v>0</v>
      </c>
      <c r="AO1191" s="2">
        <f t="shared" si="29"/>
      </c>
      <c r="AP1191" s="2">
        <f t="shared" si="30"/>
      </c>
      <c r="AQ1191" s="2">
        <f t="shared" si="31"/>
      </c>
    </row>
    <row r="1192">
      <c r="A1192" s="43">
        <f t="shared" si="3"/>
      </c>
      <c r="B1192" s="44" t="n"/>
      <c r="C1192" s="45" t="n"/>
      <c r="D1192" s="46" t="n"/>
      <c r="E1192" s="47" t="n"/>
      <c r="F1192" s="47" t="n"/>
      <c r="G1192" s="48">
        <f t="shared" si="4"/>
      </c>
      <c r="H1192" s="43">
        <f t="shared" si="0"/>
      </c>
      <c r="I1192" s="43">
        <f t="shared" si="5"/>
      </c>
      <c r="J1192" s="43">
        <f t="shared" si="1"/>
      </c>
      <c r="K1192" s="49">
        <f t="shared" si="2"/>
      </c>
      <c r="L1192" s="45" t="n"/>
      <c r="M1192" s="45" t="n"/>
      <c r="N1192" s="45" t="n"/>
      <c r="O1192" s="45" t="n"/>
      <c r="P1192" s="50" t="n"/>
      <c r="R1192" s="2">
        <f t="shared" si="6"/>
        <v>0</v>
      </c>
      <c r="S1192" s="2">
        <f t="shared" si="7"/>
      </c>
      <c r="T1192" s="2">
        <f t="shared" si="8"/>
      </c>
      <c r="U1192" s="2">
        <f t="shared" si="9"/>
      </c>
      <c r="V1192" s="2">
        <f t="shared" si="10"/>
      </c>
      <c r="W1192" s="2">
        <f t="shared" si="11"/>
      </c>
      <c r="X1192" s="2">
        <f t="shared" si="12"/>
      </c>
      <c r="Y1192" s="2">
        <f t="shared" si="13"/>
        <v>0</v>
      </c>
      <c r="Z1192" s="2">
        <f t="shared" si="14"/>
      </c>
      <c r="AA1192" s="2">
        <f t="shared" si="15"/>
        <v>0</v>
      </c>
      <c r="AB1192" s="2">
        <f t="shared" si="16"/>
      </c>
      <c r="AC1192" s="2">
        <f t="shared" si="17"/>
      </c>
      <c r="AD1192" s="2">
        <f t="shared" si="18"/>
      </c>
      <c r="AE1192" s="2">
        <f t="shared" si="19"/>
      </c>
      <c r="AF1192" s="2">
        <f t="shared" si="20"/>
      </c>
      <c r="AG1192" s="2">
        <f t="shared" si="21"/>
      </c>
      <c r="AH1192" s="2">
        <f t="shared" si="22"/>
      </c>
      <c r="AI1192" s="2">
        <f t="shared" si="23"/>
      </c>
      <c r="AJ1192" s="2">
        <f t="shared" si="24"/>
        <v>0</v>
      </c>
      <c r="AK1192" s="2">
        <f t="shared" si="25"/>
        <v>0</v>
      </c>
      <c r="AL1192" s="2">
        <f t="shared" si="26"/>
        <v>0</v>
      </c>
      <c r="AM1192" s="2">
        <f t="shared" si="27"/>
        <v>0</v>
      </c>
      <c r="AN1192" s="2">
        <f t="shared" si="28"/>
        <v>0</v>
      </c>
      <c r="AO1192" s="2">
        <f t="shared" si="29"/>
      </c>
      <c r="AP1192" s="2">
        <f t="shared" si="30"/>
      </c>
      <c r="AQ1192" s="2">
        <f t="shared" si="31"/>
      </c>
    </row>
    <row r="1193">
      <c r="A1193" s="43">
        <f t="shared" si="3"/>
      </c>
      <c r="B1193" s="44" t="n"/>
      <c r="C1193" s="45" t="n"/>
      <c r="D1193" s="46" t="n"/>
      <c r="E1193" s="47" t="n"/>
      <c r="F1193" s="47" t="n"/>
      <c r="G1193" s="48">
        <f t="shared" si="4"/>
      </c>
      <c r="H1193" s="43">
        <f t="shared" si="0"/>
      </c>
      <c r="I1193" s="43">
        <f t="shared" si="5"/>
      </c>
      <c r="J1193" s="43">
        <f t="shared" si="1"/>
      </c>
      <c r="K1193" s="49">
        <f t="shared" si="2"/>
      </c>
      <c r="L1193" s="45" t="n"/>
      <c r="M1193" s="45" t="n"/>
      <c r="N1193" s="45" t="n"/>
      <c r="O1193" s="45" t="n"/>
      <c r="P1193" s="50" t="n"/>
      <c r="R1193" s="2">
        <f t="shared" si="6"/>
        <v>0</v>
      </c>
      <c r="S1193" s="2">
        <f t="shared" si="7"/>
      </c>
      <c r="T1193" s="2">
        <f t="shared" si="8"/>
      </c>
      <c r="U1193" s="2">
        <f t="shared" si="9"/>
      </c>
      <c r="V1193" s="2">
        <f t="shared" si="10"/>
      </c>
      <c r="W1193" s="2">
        <f t="shared" si="11"/>
      </c>
      <c r="X1193" s="2">
        <f t="shared" si="12"/>
      </c>
      <c r="Y1193" s="2">
        <f t="shared" si="13"/>
        <v>0</v>
      </c>
      <c r="Z1193" s="2">
        <f t="shared" si="14"/>
      </c>
      <c r="AA1193" s="2">
        <f t="shared" si="15"/>
        <v>0</v>
      </c>
      <c r="AB1193" s="2">
        <f t="shared" si="16"/>
      </c>
      <c r="AC1193" s="2">
        <f t="shared" si="17"/>
      </c>
      <c r="AD1193" s="2">
        <f t="shared" si="18"/>
      </c>
      <c r="AE1193" s="2">
        <f t="shared" si="19"/>
      </c>
      <c r="AF1193" s="2">
        <f t="shared" si="20"/>
      </c>
      <c r="AG1193" s="2">
        <f t="shared" si="21"/>
      </c>
      <c r="AH1193" s="2">
        <f t="shared" si="22"/>
      </c>
      <c r="AI1193" s="2">
        <f t="shared" si="23"/>
      </c>
      <c r="AJ1193" s="2">
        <f t="shared" si="24"/>
        <v>0</v>
      </c>
      <c r="AK1193" s="2">
        <f t="shared" si="25"/>
        <v>0</v>
      </c>
      <c r="AL1193" s="2">
        <f t="shared" si="26"/>
        <v>0</v>
      </c>
      <c r="AM1193" s="2">
        <f t="shared" si="27"/>
        <v>0</v>
      </c>
      <c r="AN1193" s="2">
        <f t="shared" si="28"/>
        <v>0</v>
      </c>
      <c r="AO1193" s="2">
        <f t="shared" si="29"/>
      </c>
      <c r="AP1193" s="2">
        <f t="shared" si="30"/>
      </c>
      <c r="AQ1193" s="2">
        <f t="shared" si="31"/>
      </c>
    </row>
    <row r="1194">
      <c r="A1194" s="43">
        <f t="shared" si="3"/>
      </c>
      <c r="B1194" s="44" t="n"/>
      <c r="C1194" s="45" t="n"/>
      <c r="D1194" s="46" t="n"/>
      <c r="E1194" s="47" t="n"/>
      <c r="F1194" s="47" t="n"/>
      <c r="G1194" s="48">
        <f t="shared" si="4"/>
      </c>
      <c r="H1194" s="43">
        <f t="shared" si="0"/>
      </c>
      <c r="I1194" s="43">
        <f t="shared" si="5"/>
      </c>
      <c r="J1194" s="43">
        <f t="shared" si="1"/>
      </c>
      <c r="K1194" s="49">
        <f t="shared" si="2"/>
      </c>
      <c r="L1194" s="45" t="n"/>
      <c r="M1194" s="45" t="n"/>
      <c r="N1194" s="45" t="n"/>
      <c r="O1194" s="45" t="n"/>
      <c r="P1194" s="50" t="n"/>
      <c r="R1194" s="2">
        <f t="shared" si="6"/>
        <v>0</v>
      </c>
      <c r="S1194" s="2">
        <f t="shared" si="7"/>
      </c>
      <c r="T1194" s="2">
        <f t="shared" si="8"/>
      </c>
      <c r="U1194" s="2">
        <f t="shared" si="9"/>
      </c>
      <c r="V1194" s="2">
        <f t="shared" si="10"/>
      </c>
      <c r="W1194" s="2">
        <f t="shared" si="11"/>
      </c>
      <c r="X1194" s="2">
        <f t="shared" si="12"/>
      </c>
      <c r="Y1194" s="2">
        <f t="shared" si="13"/>
        <v>0</v>
      </c>
      <c r="Z1194" s="2">
        <f t="shared" si="14"/>
      </c>
      <c r="AA1194" s="2">
        <f t="shared" si="15"/>
        <v>0</v>
      </c>
      <c r="AB1194" s="2">
        <f t="shared" si="16"/>
      </c>
      <c r="AC1194" s="2">
        <f t="shared" si="17"/>
      </c>
      <c r="AD1194" s="2">
        <f t="shared" si="18"/>
      </c>
      <c r="AE1194" s="2">
        <f t="shared" si="19"/>
      </c>
      <c r="AF1194" s="2">
        <f t="shared" si="20"/>
      </c>
      <c r="AG1194" s="2">
        <f t="shared" si="21"/>
      </c>
      <c r="AH1194" s="2">
        <f t="shared" si="22"/>
      </c>
      <c r="AI1194" s="2">
        <f t="shared" si="23"/>
      </c>
      <c r="AJ1194" s="2">
        <f t="shared" si="24"/>
        <v>0</v>
      </c>
      <c r="AK1194" s="2">
        <f t="shared" si="25"/>
        <v>0</v>
      </c>
      <c r="AL1194" s="2">
        <f t="shared" si="26"/>
        <v>0</v>
      </c>
      <c r="AM1194" s="2">
        <f t="shared" si="27"/>
        <v>0</v>
      </c>
      <c r="AN1194" s="2">
        <f t="shared" si="28"/>
        <v>0</v>
      </c>
      <c r="AO1194" s="2">
        <f t="shared" si="29"/>
      </c>
      <c r="AP1194" s="2">
        <f t="shared" si="30"/>
      </c>
      <c r="AQ1194" s="2">
        <f t="shared" si="31"/>
      </c>
    </row>
    <row r="1195">
      <c r="A1195" s="43">
        <f t="shared" si="3"/>
      </c>
      <c r="B1195" s="44" t="n"/>
      <c r="C1195" s="45" t="n"/>
      <c r="D1195" s="46" t="n"/>
      <c r="E1195" s="47" t="n"/>
      <c r="F1195" s="47" t="n"/>
      <c r="G1195" s="48">
        <f t="shared" si="4"/>
      </c>
      <c r="H1195" s="43">
        <f t="shared" si="0"/>
      </c>
      <c r="I1195" s="43">
        <f t="shared" si="5"/>
      </c>
      <c r="J1195" s="43">
        <f t="shared" si="1"/>
      </c>
      <c r="K1195" s="49">
        <f t="shared" si="2"/>
      </c>
      <c r="L1195" s="45" t="n"/>
      <c r="M1195" s="45" t="n"/>
      <c r="N1195" s="45" t="n"/>
      <c r="O1195" s="45" t="n"/>
      <c r="P1195" s="50" t="n"/>
      <c r="R1195" s="2">
        <f t="shared" si="6"/>
        <v>0</v>
      </c>
      <c r="S1195" s="2">
        <f t="shared" si="7"/>
      </c>
      <c r="T1195" s="2">
        <f t="shared" si="8"/>
      </c>
      <c r="U1195" s="2">
        <f t="shared" si="9"/>
      </c>
      <c r="V1195" s="2">
        <f t="shared" si="10"/>
      </c>
      <c r="W1195" s="2">
        <f t="shared" si="11"/>
      </c>
      <c r="X1195" s="2">
        <f t="shared" si="12"/>
      </c>
      <c r="Y1195" s="2">
        <f t="shared" si="13"/>
        <v>0</v>
      </c>
      <c r="Z1195" s="2">
        <f t="shared" si="14"/>
      </c>
      <c r="AA1195" s="2">
        <f t="shared" si="15"/>
        <v>0</v>
      </c>
      <c r="AB1195" s="2">
        <f t="shared" si="16"/>
      </c>
      <c r="AC1195" s="2">
        <f t="shared" si="17"/>
      </c>
      <c r="AD1195" s="2">
        <f t="shared" si="18"/>
      </c>
      <c r="AE1195" s="2">
        <f t="shared" si="19"/>
      </c>
      <c r="AF1195" s="2">
        <f t="shared" si="20"/>
      </c>
      <c r="AG1195" s="2">
        <f t="shared" si="21"/>
      </c>
      <c r="AH1195" s="2">
        <f t="shared" si="22"/>
      </c>
      <c r="AI1195" s="2">
        <f t="shared" si="23"/>
      </c>
      <c r="AJ1195" s="2">
        <f t="shared" si="24"/>
        <v>0</v>
      </c>
      <c r="AK1195" s="2">
        <f t="shared" si="25"/>
        <v>0</v>
      </c>
      <c r="AL1195" s="2">
        <f t="shared" si="26"/>
        <v>0</v>
      </c>
      <c r="AM1195" s="2">
        <f t="shared" si="27"/>
        <v>0</v>
      </c>
      <c r="AN1195" s="2">
        <f t="shared" si="28"/>
        <v>0</v>
      </c>
      <c r="AO1195" s="2">
        <f t="shared" si="29"/>
      </c>
      <c r="AP1195" s="2">
        <f t="shared" si="30"/>
      </c>
      <c r="AQ1195" s="2">
        <f t="shared" si="31"/>
      </c>
    </row>
    <row r="1196">
      <c r="A1196" s="43">
        <f t="shared" si="3"/>
      </c>
      <c r="B1196" s="44" t="n"/>
      <c r="C1196" s="45" t="n"/>
      <c r="D1196" s="46" t="n"/>
      <c r="E1196" s="47" t="n"/>
      <c r="F1196" s="47" t="n"/>
      <c r="G1196" s="48">
        <f t="shared" si="4"/>
      </c>
      <c r="H1196" s="43">
        <f t="shared" si="0"/>
      </c>
      <c r="I1196" s="43">
        <f t="shared" si="5"/>
      </c>
      <c r="J1196" s="43">
        <f t="shared" si="1"/>
      </c>
      <c r="K1196" s="49">
        <f t="shared" si="2"/>
      </c>
      <c r="L1196" s="45" t="n"/>
      <c r="M1196" s="45" t="n"/>
      <c r="N1196" s="45" t="n"/>
      <c r="O1196" s="45" t="n"/>
      <c r="P1196" s="50" t="n"/>
      <c r="R1196" s="2">
        <f t="shared" si="6"/>
        <v>0</v>
      </c>
      <c r="S1196" s="2">
        <f t="shared" si="7"/>
      </c>
      <c r="T1196" s="2">
        <f t="shared" si="8"/>
      </c>
      <c r="U1196" s="2">
        <f t="shared" si="9"/>
      </c>
      <c r="V1196" s="2">
        <f t="shared" si="10"/>
      </c>
      <c r="W1196" s="2">
        <f t="shared" si="11"/>
      </c>
      <c r="X1196" s="2">
        <f t="shared" si="12"/>
      </c>
      <c r="Y1196" s="2">
        <f t="shared" si="13"/>
        <v>0</v>
      </c>
      <c r="Z1196" s="2">
        <f t="shared" si="14"/>
      </c>
      <c r="AA1196" s="2">
        <f t="shared" si="15"/>
        <v>0</v>
      </c>
      <c r="AB1196" s="2">
        <f t="shared" si="16"/>
      </c>
      <c r="AC1196" s="2">
        <f t="shared" si="17"/>
      </c>
      <c r="AD1196" s="2">
        <f t="shared" si="18"/>
      </c>
      <c r="AE1196" s="2">
        <f t="shared" si="19"/>
      </c>
      <c r="AF1196" s="2">
        <f t="shared" si="20"/>
      </c>
      <c r="AG1196" s="2">
        <f t="shared" si="21"/>
      </c>
      <c r="AH1196" s="2">
        <f t="shared" si="22"/>
      </c>
      <c r="AI1196" s="2">
        <f t="shared" si="23"/>
      </c>
      <c r="AJ1196" s="2">
        <f t="shared" si="24"/>
        <v>0</v>
      </c>
      <c r="AK1196" s="2">
        <f t="shared" si="25"/>
        <v>0</v>
      </c>
      <c r="AL1196" s="2">
        <f t="shared" si="26"/>
        <v>0</v>
      </c>
      <c r="AM1196" s="2">
        <f t="shared" si="27"/>
        <v>0</v>
      </c>
      <c r="AN1196" s="2">
        <f t="shared" si="28"/>
        <v>0</v>
      </c>
      <c r="AO1196" s="2">
        <f t="shared" si="29"/>
      </c>
      <c r="AP1196" s="2">
        <f t="shared" si="30"/>
      </c>
      <c r="AQ1196" s="2">
        <f t="shared" si="31"/>
      </c>
    </row>
    <row r="1197">
      <c r="A1197" s="43">
        <f t="shared" si="3"/>
      </c>
      <c r="B1197" s="44" t="n"/>
      <c r="C1197" s="45" t="n"/>
      <c r="D1197" s="46" t="n"/>
      <c r="E1197" s="47" t="n"/>
      <c r="F1197" s="47" t="n"/>
      <c r="G1197" s="48">
        <f t="shared" si="4"/>
      </c>
      <c r="H1197" s="43">
        <f t="shared" si="0"/>
      </c>
      <c r="I1197" s="43">
        <f t="shared" si="5"/>
      </c>
      <c r="J1197" s="43">
        <f t="shared" si="1"/>
      </c>
      <c r="K1197" s="49">
        <f t="shared" si="2"/>
      </c>
      <c r="L1197" s="45" t="n"/>
      <c r="M1197" s="45" t="n"/>
      <c r="N1197" s="45" t="n"/>
      <c r="O1197" s="45" t="n"/>
      <c r="P1197" s="50" t="n"/>
      <c r="R1197" s="2">
        <f t="shared" si="6"/>
        <v>0</v>
      </c>
      <c r="S1197" s="2">
        <f t="shared" si="7"/>
      </c>
      <c r="T1197" s="2">
        <f t="shared" si="8"/>
      </c>
      <c r="U1197" s="2">
        <f t="shared" si="9"/>
      </c>
      <c r="V1197" s="2">
        <f t="shared" si="10"/>
      </c>
      <c r="W1197" s="2">
        <f t="shared" si="11"/>
      </c>
      <c r="X1197" s="2">
        <f t="shared" si="12"/>
      </c>
      <c r="Y1197" s="2">
        <f t="shared" si="13"/>
        <v>0</v>
      </c>
      <c r="Z1197" s="2">
        <f t="shared" si="14"/>
      </c>
      <c r="AA1197" s="2">
        <f t="shared" si="15"/>
        <v>0</v>
      </c>
      <c r="AB1197" s="2">
        <f t="shared" si="16"/>
      </c>
      <c r="AC1197" s="2">
        <f t="shared" si="17"/>
      </c>
      <c r="AD1197" s="2">
        <f t="shared" si="18"/>
      </c>
      <c r="AE1197" s="2">
        <f t="shared" si="19"/>
      </c>
      <c r="AF1197" s="2">
        <f t="shared" si="20"/>
      </c>
      <c r="AG1197" s="2">
        <f t="shared" si="21"/>
      </c>
      <c r="AH1197" s="2">
        <f t="shared" si="22"/>
      </c>
      <c r="AI1197" s="2">
        <f t="shared" si="23"/>
      </c>
      <c r="AJ1197" s="2">
        <f t="shared" si="24"/>
        <v>0</v>
      </c>
      <c r="AK1197" s="2">
        <f t="shared" si="25"/>
        <v>0</v>
      </c>
      <c r="AL1197" s="2">
        <f t="shared" si="26"/>
        <v>0</v>
      </c>
      <c r="AM1197" s="2">
        <f t="shared" si="27"/>
        <v>0</v>
      </c>
      <c r="AN1197" s="2">
        <f t="shared" si="28"/>
        <v>0</v>
      </c>
      <c r="AO1197" s="2">
        <f t="shared" si="29"/>
      </c>
      <c r="AP1197" s="2">
        <f t="shared" si="30"/>
      </c>
      <c r="AQ1197" s="2">
        <f t="shared" si="31"/>
      </c>
    </row>
    <row r="1198">
      <c r="A1198" s="43">
        <f t="shared" si="3"/>
      </c>
      <c r="B1198" s="44" t="n"/>
      <c r="C1198" s="45" t="n"/>
      <c r="D1198" s="46" t="n"/>
      <c r="E1198" s="47" t="n"/>
      <c r="F1198" s="47" t="n"/>
      <c r="G1198" s="48">
        <f t="shared" si="4"/>
      </c>
      <c r="H1198" s="43">
        <f t="shared" si="0"/>
      </c>
      <c r="I1198" s="43">
        <f t="shared" si="5"/>
      </c>
      <c r="J1198" s="43">
        <f t="shared" si="1"/>
      </c>
      <c r="K1198" s="49">
        <f t="shared" si="2"/>
      </c>
      <c r="L1198" s="45" t="n"/>
      <c r="M1198" s="45" t="n"/>
      <c r="N1198" s="45" t="n"/>
      <c r="O1198" s="45" t="n"/>
      <c r="P1198" s="50" t="n"/>
      <c r="R1198" s="2">
        <f t="shared" si="6"/>
        <v>0</v>
      </c>
      <c r="S1198" s="2">
        <f t="shared" si="7"/>
      </c>
      <c r="T1198" s="2">
        <f t="shared" si="8"/>
      </c>
      <c r="U1198" s="2">
        <f t="shared" si="9"/>
      </c>
      <c r="V1198" s="2">
        <f t="shared" si="10"/>
      </c>
      <c r="W1198" s="2">
        <f t="shared" si="11"/>
      </c>
      <c r="X1198" s="2">
        <f t="shared" si="12"/>
      </c>
      <c r="Y1198" s="2">
        <f t="shared" si="13"/>
        <v>0</v>
      </c>
      <c r="Z1198" s="2">
        <f t="shared" si="14"/>
      </c>
      <c r="AA1198" s="2">
        <f t="shared" si="15"/>
        <v>0</v>
      </c>
      <c r="AB1198" s="2">
        <f t="shared" si="16"/>
      </c>
      <c r="AC1198" s="2">
        <f t="shared" si="17"/>
      </c>
      <c r="AD1198" s="2">
        <f t="shared" si="18"/>
      </c>
      <c r="AE1198" s="2">
        <f t="shared" si="19"/>
      </c>
      <c r="AF1198" s="2">
        <f t="shared" si="20"/>
      </c>
      <c r="AG1198" s="2">
        <f t="shared" si="21"/>
      </c>
      <c r="AH1198" s="2">
        <f t="shared" si="22"/>
      </c>
      <c r="AI1198" s="2">
        <f t="shared" si="23"/>
      </c>
      <c r="AJ1198" s="2">
        <f t="shared" si="24"/>
        <v>0</v>
      </c>
      <c r="AK1198" s="2">
        <f t="shared" si="25"/>
        <v>0</v>
      </c>
      <c r="AL1198" s="2">
        <f t="shared" si="26"/>
        <v>0</v>
      </c>
      <c r="AM1198" s="2">
        <f t="shared" si="27"/>
        <v>0</v>
      </c>
      <c r="AN1198" s="2">
        <f t="shared" si="28"/>
        <v>0</v>
      </c>
      <c r="AO1198" s="2">
        <f t="shared" si="29"/>
      </c>
      <c r="AP1198" s="2">
        <f t="shared" si="30"/>
      </c>
      <c r="AQ1198" s="2">
        <f t="shared" si="31"/>
      </c>
    </row>
    <row r="1199">
      <c r="A1199" s="43">
        <f t="shared" si="3"/>
      </c>
      <c r="B1199" s="44" t="n"/>
      <c r="C1199" s="45" t="n"/>
      <c r="D1199" s="46" t="n"/>
      <c r="E1199" s="47" t="n"/>
      <c r="F1199" s="47" t="n"/>
      <c r="G1199" s="48">
        <f t="shared" si="4"/>
      </c>
      <c r="H1199" s="43">
        <f t="shared" si="0"/>
      </c>
      <c r="I1199" s="43">
        <f t="shared" si="5"/>
      </c>
      <c r="J1199" s="43">
        <f t="shared" si="1"/>
      </c>
      <c r="K1199" s="49">
        <f t="shared" si="2"/>
      </c>
      <c r="L1199" s="45" t="n"/>
      <c r="M1199" s="45" t="n"/>
      <c r="N1199" s="45" t="n"/>
      <c r="O1199" s="45" t="n"/>
      <c r="P1199" s="50" t="n"/>
      <c r="R1199" s="2">
        <f t="shared" si="6"/>
        <v>0</v>
      </c>
      <c r="S1199" s="2">
        <f t="shared" si="7"/>
      </c>
      <c r="T1199" s="2">
        <f t="shared" si="8"/>
      </c>
      <c r="U1199" s="2">
        <f t="shared" si="9"/>
      </c>
      <c r="V1199" s="2">
        <f t="shared" si="10"/>
      </c>
      <c r="W1199" s="2">
        <f t="shared" si="11"/>
      </c>
      <c r="X1199" s="2">
        <f t="shared" si="12"/>
      </c>
      <c r="Y1199" s="2">
        <f t="shared" si="13"/>
        <v>0</v>
      </c>
      <c r="Z1199" s="2">
        <f t="shared" si="14"/>
      </c>
      <c r="AA1199" s="2">
        <f t="shared" si="15"/>
        <v>0</v>
      </c>
      <c r="AB1199" s="2">
        <f t="shared" si="16"/>
      </c>
      <c r="AC1199" s="2">
        <f t="shared" si="17"/>
      </c>
      <c r="AD1199" s="2">
        <f t="shared" si="18"/>
      </c>
      <c r="AE1199" s="2">
        <f t="shared" si="19"/>
      </c>
      <c r="AF1199" s="2">
        <f t="shared" si="20"/>
      </c>
      <c r="AG1199" s="2">
        <f t="shared" si="21"/>
      </c>
      <c r="AH1199" s="2">
        <f t="shared" si="22"/>
      </c>
      <c r="AI1199" s="2">
        <f t="shared" si="23"/>
      </c>
      <c r="AJ1199" s="2">
        <f t="shared" si="24"/>
        <v>0</v>
      </c>
      <c r="AK1199" s="2">
        <f t="shared" si="25"/>
        <v>0</v>
      </c>
      <c r="AL1199" s="2">
        <f t="shared" si="26"/>
        <v>0</v>
      </c>
      <c r="AM1199" s="2">
        <f t="shared" si="27"/>
        <v>0</v>
      </c>
      <c r="AN1199" s="2">
        <f t="shared" si="28"/>
        <v>0</v>
      </c>
      <c r="AO1199" s="2">
        <f t="shared" si="29"/>
      </c>
      <c r="AP1199" s="2">
        <f t="shared" si="30"/>
      </c>
      <c r="AQ1199" s="2">
        <f t="shared" si="31"/>
      </c>
    </row>
    <row r="1200">
      <c r="A1200" s="43">
        <f t="shared" si="3"/>
      </c>
      <c r="B1200" s="44" t="n"/>
      <c r="C1200" s="45" t="n"/>
      <c r="D1200" s="46" t="n"/>
      <c r="E1200" s="47" t="n"/>
      <c r="F1200" s="47" t="n"/>
      <c r="G1200" s="48">
        <f t="shared" si="4"/>
      </c>
      <c r="H1200" s="43">
        <f t="shared" si="0"/>
      </c>
      <c r="I1200" s="43">
        <f t="shared" si="5"/>
      </c>
      <c r="J1200" s="43">
        <f t="shared" si="1"/>
      </c>
      <c r="K1200" s="49">
        <f t="shared" si="2"/>
      </c>
      <c r="L1200" s="45" t="n"/>
      <c r="M1200" s="45" t="n"/>
      <c r="N1200" s="45" t="n"/>
      <c r="O1200" s="45" t="n"/>
      <c r="P1200" s="50" t="n"/>
      <c r="R1200" s="2">
        <f t="shared" si="6"/>
        <v>0</v>
      </c>
      <c r="S1200" s="2">
        <f t="shared" si="7"/>
      </c>
      <c r="T1200" s="2">
        <f t="shared" si="8"/>
      </c>
      <c r="U1200" s="2">
        <f t="shared" si="9"/>
      </c>
      <c r="V1200" s="2">
        <f t="shared" si="10"/>
      </c>
      <c r="W1200" s="2">
        <f t="shared" si="11"/>
      </c>
      <c r="X1200" s="2">
        <f t="shared" si="12"/>
      </c>
      <c r="Y1200" s="2">
        <f t="shared" si="13"/>
        <v>0</v>
      </c>
      <c r="Z1200" s="2">
        <f t="shared" si="14"/>
      </c>
      <c r="AA1200" s="2">
        <f t="shared" si="15"/>
        <v>0</v>
      </c>
      <c r="AB1200" s="2">
        <f t="shared" si="16"/>
      </c>
      <c r="AC1200" s="2">
        <f t="shared" si="17"/>
      </c>
      <c r="AD1200" s="2">
        <f t="shared" si="18"/>
      </c>
      <c r="AE1200" s="2">
        <f t="shared" si="19"/>
      </c>
      <c r="AF1200" s="2">
        <f t="shared" si="20"/>
      </c>
      <c r="AG1200" s="2">
        <f t="shared" si="21"/>
      </c>
      <c r="AH1200" s="2">
        <f t="shared" si="22"/>
      </c>
      <c r="AI1200" s="2">
        <f t="shared" si="23"/>
      </c>
      <c r="AJ1200" s="2">
        <f t="shared" si="24"/>
        <v>0</v>
      </c>
      <c r="AK1200" s="2">
        <f t="shared" si="25"/>
        <v>0</v>
      </c>
      <c r="AL1200" s="2">
        <f t="shared" si="26"/>
        <v>0</v>
      </c>
      <c r="AM1200" s="2">
        <f t="shared" si="27"/>
        <v>0</v>
      </c>
      <c r="AN1200" s="2">
        <f t="shared" si="28"/>
        <v>0</v>
      </c>
      <c r="AO1200" s="2">
        <f t="shared" si="29"/>
      </c>
      <c r="AP1200" s="2">
        <f t="shared" si="30"/>
      </c>
      <c r="AQ1200" s="2">
        <f t="shared" si="31"/>
      </c>
    </row>
    <row r="1201">
      <c r="A1201" s="43">
        <f t="shared" si="3"/>
      </c>
      <c r="B1201" s="44" t="n"/>
      <c r="C1201" s="45" t="n"/>
      <c r="D1201" s="46" t="n"/>
      <c r="E1201" s="47" t="n"/>
      <c r="F1201" s="47" t="n"/>
      <c r="G1201" s="48">
        <f t="shared" si="4"/>
      </c>
      <c r="H1201" s="43">
        <f t="shared" si="0"/>
      </c>
      <c r="I1201" s="43">
        <f t="shared" si="5"/>
      </c>
      <c r="J1201" s="43">
        <f t="shared" si="1"/>
      </c>
      <c r="K1201" s="49">
        <f t="shared" si="2"/>
      </c>
      <c r="L1201" s="45" t="n"/>
      <c r="M1201" s="45" t="n"/>
      <c r="N1201" s="45" t="n"/>
      <c r="O1201" s="45" t="n"/>
      <c r="P1201" s="50" t="n"/>
      <c r="R1201" s="2">
        <f t="shared" si="6"/>
        <v>0</v>
      </c>
      <c r="S1201" s="2">
        <f t="shared" si="7"/>
      </c>
      <c r="T1201" s="2">
        <f t="shared" si="8"/>
      </c>
      <c r="U1201" s="2">
        <f t="shared" si="9"/>
      </c>
      <c r="V1201" s="2">
        <f t="shared" si="10"/>
      </c>
      <c r="W1201" s="2">
        <f t="shared" si="11"/>
      </c>
      <c r="X1201" s="2">
        <f t="shared" si="12"/>
      </c>
      <c r="Y1201" s="2">
        <f t="shared" si="13"/>
        <v>0</v>
      </c>
      <c r="Z1201" s="2">
        <f t="shared" si="14"/>
      </c>
      <c r="AA1201" s="2">
        <f t="shared" si="15"/>
        <v>0</v>
      </c>
      <c r="AB1201" s="2">
        <f t="shared" si="16"/>
      </c>
      <c r="AC1201" s="2">
        <f t="shared" si="17"/>
      </c>
      <c r="AD1201" s="2">
        <f t="shared" si="18"/>
      </c>
      <c r="AE1201" s="2">
        <f t="shared" si="19"/>
      </c>
      <c r="AF1201" s="2">
        <f t="shared" si="20"/>
      </c>
      <c r="AG1201" s="2">
        <f t="shared" si="21"/>
      </c>
      <c r="AH1201" s="2">
        <f t="shared" si="22"/>
      </c>
      <c r="AI1201" s="2">
        <f t="shared" si="23"/>
      </c>
      <c r="AJ1201" s="2">
        <f t="shared" si="24"/>
        <v>0</v>
      </c>
      <c r="AK1201" s="2">
        <f t="shared" si="25"/>
        <v>0</v>
      </c>
      <c r="AL1201" s="2">
        <f t="shared" si="26"/>
        <v>0</v>
      </c>
      <c r="AM1201" s="2">
        <f t="shared" si="27"/>
        <v>0</v>
      </c>
      <c r="AN1201" s="2">
        <f t="shared" si="28"/>
        <v>0</v>
      </c>
      <c r="AO1201" s="2">
        <f t="shared" si="29"/>
      </c>
      <c r="AP1201" s="2">
        <f t="shared" si="30"/>
      </c>
      <c r="AQ1201" s="2">
        <f t="shared" si="31"/>
      </c>
    </row>
    <row r="1202">
      <c r="A1202" s="43">
        <f t="shared" si="3"/>
      </c>
      <c r="B1202" s="44" t="n"/>
      <c r="C1202" s="45" t="n"/>
      <c r="D1202" s="46" t="n"/>
      <c r="E1202" s="47" t="n"/>
      <c r="F1202" s="47" t="n"/>
      <c r="G1202" s="48">
        <f t="shared" si="4"/>
      </c>
      <c r="H1202" s="43">
        <f t="shared" si="0"/>
      </c>
      <c r="I1202" s="43">
        <f t="shared" si="5"/>
      </c>
      <c r="J1202" s="43">
        <f t="shared" si="1"/>
      </c>
      <c r="K1202" s="49">
        <f t="shared" si="2"/>
      </c>
      <c r="L1202" s="45" t="n"/>
      <c r="M1202" s="45" t="n"/>
      <c r="N1202" s="45" t="n"/>
      <c r="O1202" s="45" t="n"/>
      <c r="P1202" s="50" t="n"/>
      <c r="R1202" s="2">
        <f t="shared" si="6"/>
        <v>0</v>
      </c>
      <c r="S1202" s="2">
        <f t="shared" si="7"/>
      </c>
      <c r="T1202" s="2">
        <f t="shared" si="8"/>
      </c>
      <c r="U1202" s="2">
        <f t="shared" si="9"/>
      </c>
      <c r="V1202" s="2">
        <f t="shared" si="10"/>
      </c>
      <c r="W1202" s="2">
        <f t="shared" si="11"/>
      </c>
      <c r="X1202" s="2">
        <f t="shared" si="12"/>
      </c>
      <c r="Y1202" s="2">
        <f t="shared" si="13"/>
        <v>0</v>
      </c>
      <c r="Z1202" s="2">
        <f t="shared" si="14"/>
      </c>
      <c r="AA1202" s="2">
        <f t="shared" si="15"/>
        <v>0</v>
      </c>
      <c r="AB1202" s="2">
        <f t="shared" si="16"/>
      </c>
      <c r="AC1202" s="2">
        <f t="shared" si="17"/>
      </c>
      <c r="AD1202" s="2">
        <f t="shared" si="18"/>
      </c>
      <c r="AE1202" s="2">
        <f t="shared" si="19"/>
      </c>
      <c r="AF1202" s="2">
        <f t="shared" si="20"/>
      </c>
      <c r="AG1202" s="2">
        <f t="shared" si="21"/>
      </c>
      <c r="AH1202" s="2">
        <f t="shared" si="22"/>
      </c>
      <c r="AI1202" s="2">
        <f t="shared" si="23"/>
      </c>
      <c r="AJ1202" s="2">
        <f t="shared" si="24"/>
        <v>0</v>
      </c>
      <c r="AK1202" s="2">
        <f t="shared" si="25"/>
        <v>0</v>
      </c>
      <c r="AL1202" s="2">
        <f t="shared" si="26"/>
        <v>0</v>
      </c>
      <c r="AM1202" s="2">
        <f t="shared" si="27"/>
        <v>0</v>
      </c>
      <c r="AN1202" s="2">
        <f t="shared" si="28"/>
        <v>0</v>
      </c>
      <c r="AO1202" s="2">
        <f t="shared" si="29"/>
      </c>
      <c r="AP1202" s="2">
        <f t="shared" si="30"/>
      </c>
      <c r="AQ1202" s="2">
        <f t="shared" si="31"/>
      </c>
    </row>
    <row r="1203">
      <c r="A1203" s="43">
        <f t="shared" si="3"/>
      </c>
      <c r="B1203" s="44" t="n"/>
      <c r="C1203" s="45" t="n"/>
      <c r="D1203" s="46" t="n"/>
      <c r="E1203" s="47" t="n"/>
      <c r="F1203" s="47" t="n"/>
      <c r="G1203" s="48">
        <f t="shared" si="4"/>
      </c>
      <c r="H1203" s="43">
        <f t="shared" si="0"/>
      </c>
      <c r="I1203" s="43">
        <f t="shared" si="5"/>
      </c>
      <c r="J1203" s="43">
        <f t="shared" si="1"/>
      </c>
      <c r="K1203" s="49">
        <f t="shared" si="2"/>
      </c>
      <c r="L1203" s="45" t="n"/>
      <c r="M1203" s="45" t="n"/>
      <c r="N1203" s="45" t="n"/>
      <c r="O1203" s="45" t="n"/>
      <c r="P1203" s="50" t="n"/>
      <c r="R1203" s="2">
        <f t="shared" si="6"/>
        <v>0</v>
      </c>
      <c r="S1203" s="2">
        <f t="shared" si="7"/>
      </c>
      <c r="T1203" s="2">
        <f t="shared" si="8"/>
      </c>
      <c r="U1203" s="2">
        <f t="shared" si="9"/>
      </c>
      <c r="V1203" s="2">
        <f t="shared" si="10"/>
      </c>
      <c r="W1203" s="2">
        <f t="shared" si="11"/>
      </c>
      <c r="X1203" s="2">
        <f t="shared" si="12"/>
      </c>
      <c r="Y1203" s="2">
        <f t="shared" si="13"/>
        <v>0</v>
      </c>
      <c r="Z1203" s="2">
        <f t="shared" si="14"/>
      </c>
      <c r="AA1203" s="2">
        <f t="shared" si="15"/>
        <v>0</v>
      </c>
      <c r="AB1203" s="2">
        <f t="shared" si="16"/>
      </c>
      <c r="AC1203" s="2">
        <f t="shared" si="17"/>
      </c>
      <c r="AD1203" s="2">
        <f t="shared" si="18"/>
      </c>
      <c r="AE1203" s="2">
        <f t="shared" si="19"/>
      </c>
      <c r="AF1203" s="2">
        <f t="shared" si="20"/>
      </c>
      <c r="AG1203" s="2">
        <f t="shared" si="21"/>
      </c>
      <c r="AH1203" s="2">
        <f t="shared" si="22"/>
      </c>
      <c r="AI1203" s="2">
        <f t="shared" si="23"/>
      </c>
      <c r="AJ1203" s="2">
        <f t="shared" si="24"/>
        <v>0</v>
      </c>
      <c r="AK1203" s="2">
        <f t="shared" si="25"/>
        <v>0</v>
      </c>
      <c r="AL1203" s="2">
        <f t="shared" si="26"/>
        <v>0</v>
      </c>
      <c r="AM1203" s="2">
        <f t="shared" si="27"/>
        <v>0</v>
      </c>
      <c r="AN1203" s="2">
        <f t="shared" si="28"/>
        <v>0</v>
      </c>
      <c r="AO1203" s="2">
        <f t="shared" si="29"/>
      </c>
      <c r="AP1203" s="2">
        <f t="shared" si="30"/>
      </c>
      <c r="AQ1203" s="2">
        <f t="shared" si="31"/>
      </c>
    </row>
    <row r="1204">
      <c r="A1204" s="43">
        <f t="shared" si="3"/>
      </c>
      <c r="B1204" s="44" t="n"/>
      <c r="C1204" s="45" t="n"/>
      <c r="D1204" s="46" t="n"/>
      <c r="E1204" s="47" t="n"/>
      <c r="F1204" s="47" t="n"/>
      <c r="G1204" s="48">
        <f t="shared" si="4"/>
      </c>
      <c r="H1204" s="43">
        <f t="shared" si="0"/>
      </c>
      <c r="I1204" s="43">
        <f t="shared" si="5"/>
      </c>
      <c r="J1204" s="43">
        <f t="shared" si="1"/>
      </c>
      <c r="K1204" s="49">
        <f t="shared" si="2"/>
      </c>
      <c r="L1204" s="45" t="n"/>
      <c r="M1204" s="45" t="n"/>
      <c r="N1204" s="45" t="n"/>
      <c r="O1204" s="45" t="n"/>
      <c r="P1204" s="50" t="n"/>
      <c r="R1204" s="2">
        <f t="shared" si="6"/>
        <v>0</v>
      </c>
      <c r="S1204" s="2">
        <f t="shared" si="7"/>
      </c>
      <c r="T1204" s="2">
        <f t="shared" si="8"/>
      </c>
      <c r="U1204" s="2">
        <f t="shared" si="9"/>
      </c>
      <c r="V1204" s="2">
        <f t="shared" si="10"/>
      </c>
      <c r="W1204" s="2">
        <f t="shared" si="11"/>
      </c>
      <c r="X1204" s="2">
        <f t="shared" si="12"/>
      </c>
      <c r="Y1204" s="2">
        <f t="shared" si="13"/>
        <v>0</v>
      </c>
      <c r="Z1204" s="2">
        <f t="shared" si="14"/>
      </c>
      <c r="AA1204" s="2">
        <f t="shared" si="15"/>
        <v>0</v>
      </c>
      <c r="AB1204" s="2">
        <f t="shared" si="16"/>
      </c>
      <c r="AC1204" s="2">
        <f t="shared" si="17"/>
      </c>
      <c r="AD1204" s="2">
        <f t="shared" si="18"/>
      </c>
      <c r="AE1204" s="2">
        <f t="shared" si="19"/>
      </c>
      <c r="AF1204" s="2">
        <f t="shared" si="20"/>
      </c>
      <c r="AG1204" s="2">
        <f t="shared" si="21"/>
      </c>
      <c r="AH1204" s="2">
        <f t="shared" si="22"/>
      </c>
      <c r="AI1204" s="2">
        <f t="shared" si="23"/>
      </c>
      <c r="AJ1204" s="2">
        <f t="shared" si="24"/>
        <v>0</v>
      </c>
      <c r="AK1204" s="2">
        <f t="shared" si="25"/>
        <v>0</v>
      </c>
      <c r="AL1204" s="2">
        <f t="shared" si="26"/>
        <v>0</v>
      </c>
      <c r="AM1204" s="2">
        <f t="shared" si="27"/>
        <v>0</v>
      </c>
      <c r="AN1204" s="2">
        <f t="shared" si="28"/>
        <v>0</v>
      </c>
      <c r="AO1204" s="2">
        <f t="shared" si="29"/>
      </c>
      <c r="AP1204" s="2">
        <f t="shared" si="30"/>
      </c>
      <c r="AQ1204" s="2">
        <f t="shared" si="31"/>
      </c>
    </row>
    <row r="1205">
      <c r="A1205" s="43">
        <f t="shared" si="3"/>
      </c>
      <c r="B1205" s="44" t="n"/>
      <c r="C1205" s="45" t="n"/>
      <c r="D1205" s="46" t="n"/>
      <c r="E1205" s="47" t="n"/>
      <c r="F1205" s="47" t="n"/>
      <c r="G1205" s="48">
        <f t="shared" si="4"/>
      </c>
      <c r="H1205" s="43">
        <f t="shared" si="0"/>
      </c>
      <c r="I1205" s="43">
        <f t="shared" si="5"/>
      </c>
      <c r="J1205" s="43">
        <f t="shared" si="1"/>
      </c>
      <c r="K1205" s="49">
        <f t="shared" si="2"/>
      </c>
      <c r="L1205" s="45" t="n"/>
      <c r="M1205" s="45" t="n"/>
      <c r="N1205" s="45" t="n"/>
      <c r="O1205" s="45" t="n"/>
      <c r="P1205" s="50" t="n"/>
      <c r="R1205" s="2">
        <f t="shared" si="6"/>
        <v>0</v>
      </c>
      <c r="S1205" s="2">
        <f t="shared" si="7"/>
      </c>
      <c r="T1205" s="2">
        <f t="shared" si="8"/>
      </c>
      <c r="U1205" s="2">
        <f t="shared" si="9"/>
      </c>
      <c r="V1205" s="2">
        <f t="shared" si="10"/>
      </c>
      <c r="W1205" s="2">
        <f t="shared" si="11"/>
      </c>
      <c r="X1205" s="2">
        <f t="shared" si="12"/>
      </c>
      <c r="Y1205" s="2">
        <f t="shared" si="13"/>
        <v>0</v>
      </c>
      <c r="Z1205" s="2">
        <f t="shared" si="14"/>
      </c>
      <c r="AA1205" s="2">
        <f t="shared" si="15"/>
        <v>0</v>
      </c>
      <c r="AB1205" s="2">
        <f t="shared" si="16"/>
      </c>
      <c r="AC1205" s="2">
        <f t="shared" si="17"/>
      </c>
      <c r="AD1205" s="2">
        <f t="shared" si="18"/>
      </c>
      <c r="AE1205" s="2">
        <f t="shared" si="19"/>
      </c>
      <c r="AF1205" s="2">
        <f t="shared" si="20"/>
      </c>
      <c r="AG1205" s="2">
        <f t="shared" si="21"/>
      </c>
      <c r="AH1205" s="2">
        <f t="shared" si="22"/>
      </c>
      <c r="AI1205" s="2">
        <f t="shared" si="23"/>
      </c>
      <c r="AJ1205" s="2">
        <f t="shared" si="24"/>
        <v>0</v>
      </c>
      <c r="AK1205" s="2">
        <f t="shared" si="25"/>
        <v>0</v>
      </c>
      <c r="AL1205" s="2">
        <f t="shared" si="26"/>
        <v>0</v>
      </c>
      <c r="AM1205" s="2">
        <f t="shared" si="27"/>
        <v>0</v>
      </c>
      <c r="AN1205" s="2">
        <f t="shared" si="28"/>
        <v>0</v>
      </c>
      <c r="AO1205" s="2">
        <f t="shared" si="29"/>
      </c>
      <c r="AP1205" s="2">
        <f t="shared" si="30"/>
      </c>
      <c r="AQ1205" s="2">
        <f t="shared" si="31"/>
      </c>
    </row>
    <row r="1206">
      <c r="A1206" s="43">
        <f t="shared" si="3"/>
      </c>
      <c r="B1206" s="44" t="n"/>
      <c r="C1206" s="45" t="n"/>
      <c r="D1206" s="46" t="n"/>
      <c r="E1206" s="47" t="n"/>
      <c r="F1206" s="47" t="n"/>
      <c r="G1206" s="48">
        <f t="shared" si="4"/>
      </c>
      <c r="H1206" s="43">
        <f t="shared" si="0"/>
      </c>
      <c r="I1206" s="43">
        <f t="shared" si="5"/>
      </c>
      <c r="J1206" s="43">
        <f t="shared" si="1"/>
      </c>
      <c r="K1206" s="49">
        <f t="shared" si="2"/>
      </c>
      <c r="L1206" s="45" t="n"/>
      <c r="M1206" s="45" t="n"/>
      <c r="N1206" s="45" t="n"/>
      <c r="O1206" s="45" t="n"/>
      <c r="P1206" s="50" t="n"/>
      <c r="R1206" s="2">
        <f t="shared" si="6"/>
        <v>0</v>
      </c>
      <c r="S1206" s="2">
        <f t="shared" si="7"/>
      </c>
      <c r="T1206" s="2">
        <f t="shared" si="8"/>
      </c>
      <c r="U1206" s="2">
        <f t="shared" si="9"/>
      </c>
      <c r="V1206" s="2">
        <f t="shared" si="10"/>
      </c>
      <c r="W1206" s="2">
        <f t="shared" si="11"/>
      </c>
      <c r="X1206" s="2">
        <f t="shared" si="12"/>
      </c>
      <c r="Y1206" s="2">
        <f t="shared" si="13"/>
        <v>0</v>
      </c>
      <c r="Z1206" s="2">
        <f t="shared" si="14"/>
      </c>
      <c r="AA1206" s="2">
        <f t="shared" si="15"/>
        <v>0</v>
      </c>
      <c r="AB1206" s="2">
        <f t="shared" si="16"/>
      </c>
      <c r="AC1206" s="2">
        <f t="shared" si="17"/>
      </c>
      <c r="AD1206" s="2">
        <f t="shared" si="18"/>
      </c>
      <c r="AE1206" s="2">
        <f t="shared" si="19"/>
      </c>
      <c r="AF1206" s="2">
        <f t="shared" si="20"/>
      </c>
      <c r="AG1206" s="2">
        <f t="shared" si="21"/>
      </c>
      <c r="AH1206" s="2">
        <f t="shared" si="22"/>
      </c>
      <c r="AI1206" s="2">
        <f t="shared" si="23"/>
      </c>
      <c r="AJ1206" s="2">
        <f t="shared" si="24"/>
        <v>0</v>
      </c>
      <c r="AK1206" s="2">
        <f t="shared" si="25"/>
        <v>0</v>
      </c>
      <c r="AL1206" s="2">
        <f t="shared" si="26"/>
        <v>0</v>
      </c>
      <c r="AM1206" s="2">
        <f t="shared" si="27"/>
        <v>0</v>
      </c>
      <c r="AN1206" s="2">
        <f t="shared" si="28"/>
        <v>0</v>
      </c>
      <c r="AO1206" s="2">
        <f t="shared" si="29"/>
      </c>
      <c r="AP1206" s="2">
        <f t="shared" si="30"/>
      </c>
      <c r="AQ1206" s="2">
        <f t="shared" si="31"/>
      </c>
    </row>
    <row r="1207">
      <c r="A1207" s="43">
        <f t="shared" si="3"/>
      </c>
      <c r="B1207" s="44" t="n"/>
      <c r="C1207" s="45" t="n"/>
      <c r="D1207" s="46" t="n"/>
      <c r="E1207" s="47" t="n"/>
      <c r="F1207" s="47" t="n"/>
      <c r="G1207" s="48">
        <f t="shared" si="4"/>
      </c>
      <c r="H1207" s="43">
        <f t="shared" si="0"/>
      </c>
      <c r="I1207" s="43">
        <f t="shared" si="5"/>
      </c>
      <c r="J1207" s="43">
        <f t="shared" si="1"/>
      </c>
      <c r="K1207" s="49">
        <f t="shared" si="2"/>
      </c>
      <c r="L1207" s="45" t="n"/>
      <c r="M1207" s="45" t="n"/>
      <c r="N1207" s="45" t="n"/>
      <c r="O1207" s="45" t="n"/>
      <c r="P1207" s="50" t="n"/>
      <c r="R1207" s="2">
        <f t="shared" si="6"/>
        <v>0</v>
      </c>
      <c r="S1207" s="2">
        <f t="shared" si="7"/>
      </c>
      <c r="T1207" s="2">
        <f t="shared" si="8"/>
      </c>
      <c r="U1207" s="2">
        <f t="shared" si="9"/>
      </c>
      <c r="V1207" s="2">
        <f t="shared" si="10"/>
      </c>
      <c r="W1207" s="2">
        <f t="shared" si="11"/>
      </c>
      <c r="X1207" s="2">
        <f t="shared" si="12"/>
      </c>
      <c r="Y1207" s="2">
        <f t="shared" si="13"/>
        <v>0</v>
      </c>
      <c r="Z1207" s="2">
        <f t="shared" si="14"/>
      </c>
      <c r="AA1207" s="2">
        <f t="shared" si="15"/>
        <v>0</v>
      </c>
      <c r="AB1207" s="2">
        <f t="shared" si="16"/>
      </c>
      <c r="AC1207" s="2">
        <f t="shared" si="17"/>
      </c>
      <c r="AD1207" s="2">
        <f t="shared" si="18"/>
      </c>
      <c r="AE1207" s="2">
        <f t="shared" si="19"/>
      </c>
      <c r="AF1207" s="2">
        <f t="shared" si="20"/>
      </c>
      <c r="AG1207" s="2">
        <f t="shared" si="21"/>
      </c>
      <c r="AH1207" s="2">
        <f t="shared" si="22"/>
      </c>
      <c r="AI1207" s="2">
        <f t="shared" si="23"/>
      </c>
      <c r="AJ1207" s="2">
        <f t="shared" si="24"/>
        <v>0</v>
      </c>
      <c r="AK1207" s="2">
        <f t="shared" si="25"/>
        <v>0</v>
      </c>
      <c r="AL1207" s="2">
        <f t="shared" si="26"/>
        <v>0</v>
      </c>
      <c r="AM1207" s="2">
        <f t="shared" si="27"/>
        <v>0</v>
      </c>
      <c r="AN1207" s="2">
        <f t="shared" si="28"/>
        <v>0</v>
      </c>
      <c r="AO1207" s="2">
        <f t="shared" si="29"/>
      </c>
      <c r="AP1207" s="2">
        <f t="shared" si="30"/>
      </c>
      <c r="AQ1207" s="2">
        <f t="shared" si="31"/>
      </c>
    </row>
    <row r="1208">
      <c r="A1208" s="43">
        <f t="shared" si="3"/>
      </c>
      <c r="B1208" s="44" t="n"/>
      <c r="C1208" s="45" t="n"/>
      <c r="D1208" s="46" t="n"/>
      <c r="E1208" s="47" t="n"/>
      <c r="F1208" s="47" t="n"/>
      <c r="G1208" s="48">
        <f t="shared" si="4"/>
      </c>
      <c r="H1208" s="43">
        <f t="shared" si="0"/>
      </c>
      <c r="I1208" s="43">
        <f t="shared" si="5"/>
      </c>
      <c r="J1208" s="43">
        <f t="shared" si="1"/>
      </c>
      <c r="K1208" s="49">
        <f t="shared" si="2"/>
      </c>
      <c r="L1208" s="45" t="n"/>
      <c r="M1208" s="45" t="n"/>
      <c r="N1208" s="45" t="n"/>
      <c r="O1208" s="45" t="n"/>
      <c r="P1208" s="50" t="n"/>
      <c r="R1208" s="2">
        <f t="shared" si="6"/>
        <v>0</v>
      </c>
      <c r="S1208" s="2">
        <f t="shared" si="7"/>
      </c>
      <c r="T1208" s="2">
        <f t="shared" si="8"/>
      </c>
      <c r="U1208" s="2">
        <f t="shared" si="9"/>
      </c>
      <c r="V1208" s="2">
        <f t="shared" si="10"/>
      </c>
      <c r="W1208" s="2">
        <f t="shared" si="11"/>
      </c>
      <c r="X1208" s="2">
        <f t="shared" si="12"/>
      </c>
      <c r="Y1208" s="2">
        <f t="shared" si="13"/>
        <v>0</v>
      </c>
      <c r="Z1208" s="2">
        <f t="shared" si="14"/>
      </c>
      <c r="AA1208" s="2">
        <f t="shared" si="15"/>
        <v>0</v>
      </c>
      <c r="AB1208" s="2">
        <f t="shared" si="16"/>
      </c>
      <c r="AC1208" s="2">
        <f t="shared" si="17"/>
      </c>
      <c r="AD1208" s="2">
        <f t="shared" si="18"/>
      </c>
      <c r="AE1208" s="2">
        <f t="shared" si="19"/>
      </c>
      <c r="AF1208" s="2">
        <f t="shared" si="20"/>
      </c>
      <c r="AG1208" s="2">
        <f t="shared" si="21"/>
      </c>
      <c r="AH1208" s="2">
        <f t="shared" si="22"/>
      </c>
      <c r="AI1208" s="2">
        <f t="shared" si="23"/>
      </c>
      <c r="AJ1208" s="2">
        <f t="shared" si="24"/>
        <v>0</v>
      </c>
      <c r="AK1208" s="2">
        <f t="shared" si="25"/>
        <v>0</v>
      </c>
      <c r="AL1208" s="2">
        <f t="shared" si="26"/>
        <v>0</v>
      </c>
      <c r="AM1208" s="2">
        <f t="shared" si="27"/>
        <v>0</v>
      </c>
      <c r="AN1208" s="2">
        <f t="shared" si="28"/>
        <v>0</v>
      </c>
      <c r="AO1208" s="2">
        <f t="shared" si="29"/>
      </c>
      <c r="AP1208" s="2">
        <f t="shared" si="30"/>
      </c>
      <c r="AQ1208" s="2">
        <f t="shared" si="31"/>
      </c>
    </row>
    <row r="1209">
      <c r="A1209" s="43">
        <f t="shared" si="3"/>
      </c>
      <c r="B1209" s="44" t="n"/>
      <c r="C1209" s="45" t="n"/>
      <c r="D1209" s="46" t="n"/>
      <c r="E1209" s="47" t="n"/>
      <c r="F1209" s="47" t="n"/>
      <c r="G1209" s="48">
        <f t="shared" si="4"/>
      </c>
      <c r="H1209" s="43">
        <f t="shared" si="0"/>
      </c>
      <c r="I1209" s="43">
        <f t="shared" si="5"/>
      </c>
      <c r="J1209" s="43">
        <f t="shared" si="1"/>
      </c>
      <c r="K1209" s="49">
        <f t="shared" si="2"/>
      </c>
      <c r="L1209" s="45" t="n"/>
      <c r="M1209" s="45" t="n"/>
      <c r="N1209" s="45" t="n"/>
      <c r="O1209" s="45" t="n"/>
      <c r="P1209" s="50" t="n"/>
      <c r="R1209" s="2">
        <f t="shared" si="6"/>
        <v>0</v>
      </c>
      <c r="S1209" s="2">
        <f t="shared" si="7"/>
      </c>
      <c r="T1209" s="2">
        <f t="shared" si="8"/>
      </c>
      <c r="U1209" s="2">
        <f t="shared" si="9"/>
      </c>
      <c r="V1209" s="2">
        <f t="shared" si="10"/>
      </c>
      <c r="W1209" s="2">
        <f t="shared" si="11"/>
      </c>
      <c r="X1209" s="2">
        <f t="shared" si="12"/>
      </c>
      <c r="Y1209" s="2">
        <f t="shared" si="13"/>
        <v>0</v>
      </c>
      <c r="Z1209" s="2">
        <f t="shared" si="14"/>
      </c>
      <c r="AA1209" s="2">
        <f t="shared" si="15"/>
        <v>0</v>
      </c>
      <c r="AB1209" s="2">
        <f t="shared" si="16"/>
      </c>
      <c r="AC1209" s="2">
        <f t="shared" si="17"/>
      </c>
      <c r="AD1209" s="2">
        <f t="shared" si="18"/>
      </c>
      <c r="AE1209" s="2">
        <f t="shared" si="19"/>
      </c>
      <c r="AF1209" s="2">
        <f t="shared" si="20"/>
      </c>
      <c r="AG1209" s="2">
        <f t="shared" si="21"/>
      </c>
      <c r="AH1209" s="2">
        <f t="shared" si="22"/>
      </c>
      <c r="AI1209" s="2">
        <f t="shared" si="23"/>
      </c>
      <c r="AJ1209" s="2">
        <f t="shared" si="24"/>
        <v>0</v>
      </c>
      <c r="AK1209" s="2">
        <f t="shared" si="25"/>
        <v>0</v>
      </c>
      <c r="AL1209" s="2">
        <f t="shared" si="26"/>
        <v>0</v>
      </c>
      <c r="AM1209" s="2">
        <f t="shared" si="27"/>
        <v>0</v>
      </c>
      <c r="AN1209" s="2">
        <f t="shared" si="28"/>
        <v>0</v>
      </c>
      <c r="AO1209" s="2">
        <f t="shared" si="29"/>
      </c>
      <c r="AP1209" s="2">
        <f t="shared" si="30"/>
      </c>
      <c r="AQ1209" s="2">
        <f t="shared" si="31"/>
      </c>
    </row>
    <row r="1210">
      <c r="A1210" s="43">
        <f t="shared" si="3"/>
      </c>
      <c r="B1210" s="44" t="n"/>
      <c r="C1210" s="45" t="n"/>
      <c r="D1210" s="46" t="n"/>
      <c r="E1210" s="47" t="n"/>
      <c r="F1210" s="47" t="n"/>
      <c r="G1210" s="48">
        <f t="shared" si="4"/>
      </c>
      <c r="H1210" s="43">
        <f t="shared" si="0"/>
      </c>
      <c r="I1210" s="43">
        <f t="shared" si="5"/>
      </c>
      <c r="J1210" s="43">
        <f t="shared" si="1"/>
      </c>
      <c r="K1210" s="49">
        <f t="shared" si="2"/>
      </c>
      <c r="L1210" s="45" t="n"/>
      <c r="M1210" s="45" t="n"/>
      <c r="N1210" s="45" t="n"/>
      <c r="O1210" s="45" t="n"/>
      <c r="P1210" s="50" t="n"/>
      <c r="R1210" s="2">
        <f t="shared" si="6"/>
        <v>0</v>
      </c>
      <c r="S1210" s="2">
        <f t="shared" si="7"/>
      </c>
      <c r="T1210" s="2">
        <f t="shared" si="8"/>
      </c>
      <c r="U1210" s="2">
        <f t="shared" si="9"/>
      </c>
      <c r="V1210" s="2">
        <f t="shared" si="10"/>
      </c>
      <c r="W1210" s="2">
        <f t="shared" si="11"/>
      </c>
      <c r="X1210" s="2">
        <f t="shared" si="12"/>
      </c>
      <c r="Y1210" s="2">
        <f t="shared" si="13"/>
        <v>0</v>
      </c>
      <c r="Z1210" s="2">
        <f t="shared" si="14"/>
      </c>
      <c r="AA1210" s="2">
        <f t="shared" si="15"/>
        <v>0</v>
      </c>
      <c r="AB1210" s="2">
        <f t="shared" si="16"/>
      </c>
      <c r="AC1210" s="2">
        <f t="shared" si="17"/>
      </c>
      <c r="AD1210" s="2">
        <f t="shared" si="18"/>
      </c>
      <c r="AE1210" s="2">
        <f t="shared" si="19"/>
      </c>
      <c r="AF1210" s="2">
        <f t="shared" si="20"/>
      </c>
      <c r="AG1210" s="2">
        <f t="shared" si="21"/>
      </c>
      <c r="AH1210" s="2">
        <f t="shared" si="22"/>
      </c>
      <c r="AI1210" s="2">
        <f t="shared" si="23"/>
      </c>
      <c r="AJ1210" s="2">
        <f t="shared" si="24"/>
        <v>0</v>
      </c>
      <c r="AK1210" s="2">
        <f t="shared" si="25"/>
        <v>0</v>
      </c>
      <c r="AL1210" s="2">
        <f t="shared" si="26"/>
        <v>0</v>
      </c>
      <c r="AM1210" s="2">
        <f t="shared" si="27"/>
        <v>0</v>
      </c>
      <c r="AN1210" s="2">
        <f t="shared" si="28"/>
        <v>0</v>
      </c>
      <c r="AO1210" s="2">
        <f t="shared" si="29"/>
      </c>
      <c r="AP1210" s="2">
        <f t="shared" si="30"/>
      </c>
      <c r="AQ1210" s="2">
        <f t="shared" si="31"/>
      </c>
    </row>
    <row r="1211">
      <c r="A1211" s="43">
        <f t="shared" si="3"/>
      </c>
      <c r="B1211" s="44" t="n"/>
      <c r="C1211" s="45" t="n"/>
      <c r="D1211" s="46" t="n"/>
      <c r="E1211" s="47" t="n"/>
      <c r="F1211" s="47" t="n"/>
      <c r="G1211" s="48">
        <f t="shared" si="4"/>
      </c>
      <c r="H1211" s="43">
        <f t="shared" si="0"/>
      </c>
      <c r="I1211" s="43">
        <f t="shared" si="5"/>
      </c>
      <c r="J1211" s="43">
        <f t="shared" si="1"/>
      </c>
      <c r="K1211" s="49">
        <f t="shared" si="2"/>
      </c>
      <c r="L1211" s="45" t="n"/>
      <c r="M1211" s="45" t="n"/>
      <c r="N1211" s="45" t="n"/>
      <c r="O1211" s="45" t="n"/>
      <c r="P1211" s="50" t="n"/>
      <c r="R1211" s="2">
        <f t="shared" si="6"/>
        <v>0</v>
      </c>
      <c r="S1211" s="2">
        <f t="shared" si="7"/>
      </c>
      <c r="T1211" s="2">
        <f t="shared" si="8"/>
      </c>
      <c r="U1211" s="2">
        <f t="shared" si="9"/>
      </c>
      <c r="V1211" s="2">
        <f t="shared" si="10"/>
      </c>
      <c r="W1211" s="2">
        <f t="shared" si="11"/>
      </c>
      <c r="X1211" s="2">
        <f t="shared" si="12"/>
      </c>
      <c r="Y1211" s="2">
        <f t="shared" si="13"/>
        <v>0</v>
      </c>
      <c r="Z1211" s="2">
        <f t="shared" si="14"/>
      </c>
      <c r="AA1211" s="2">
        <f t="shared" si="15"/>
        <v>0</v>
      </c>
      <c r="AB1211" s="2">
        <f t="shared" si="16"/>
      </c>
      <c r="AC1211" s="2">
        <f t="shared" si="17"/>
      </c>
      <c r="AD1211" s="2">
        <f t="shared" si="18"/>
      </c>
      <c r="AE1211" s="2">
        <f t="shared" si="19"/>
      </c>
      <c r="AF1211" s="2">
        <f t="shared" si="20"/>
      </c>
      <c r="AG1211" s="2">
        <f t="shared" si="21"/>
      </c>
      <c r="AH1211" s="2">
        <f t="shared" si="22"/>
      </c>
      <c r="AI1211" s="2">
        <f t="shared" si="23"/>
      </c>
      <c r="AJ1211" s="2">
        <f t="shared" si="24"/>
        <v>0</v>
      </c>
      <c r="AK1211" s="2">
        <f t="shared" si="25"/>
        <v>0</v>
      </c>
      <c r="AL1211" s="2">
        <f t="shared" si="26"/>
        <v>0</v>
      </c>
      <c r="AM1211" s="2">
        <f t="shared" si="27"/>
        <v>0</v>
      </c>
      <c r="AN1211" s="2">
        <f t="shared" si="28"/>
        <v>0</v>
      </c>
      <c r="AO1211" s="2">
        <f t="shared" si="29"/>
      </c>
      <c r="AP1211" s="2">
        <f t="shared" si="30"/>
      </c>
      <c r="AQ1211" s="2">
        <f t="shared" si="31"/>
      </c>
    </row>
    <row r="1212">
      <c r="A1212" s="43">
        <f t="shared" si="3"/>
      </c>
      <c r="B1212" s="44" t="n"/>
      <c r="C1212" s="45" t="n"/>
      <c r="D1212" s="46" t="n"/>
      <c r="E1212" s="47" t="n"/>
      <c r="F1212" s="47" t="n"/>
      <c r="G1212" s="48">
        <f t="shared" si="4"/>
      </c>
      <c r="H1212" s="43">
        <f t="shared" si="0"/>
      </c>
      <c r="I1212" s="43">
        <f t="shared" si="5"/>
      </c>
      <c r="J1212" s="43">
        <f t="shared" si="1"/>
      </c>
      <c r="K1212" s="49">
        <f t="shared" si="2"/>
      </c>
      <c r="L1212" s="45" t="n"/>
      <c r="M1212" s="45" t="n"/>
      <c r="N1212" s="45" t="n"/>
      <c r="O1212" s="45" t="n"/>
      <c r="P1212" s="50" t="n"/>
      <c r="R1212" s="2">
        <f t="shared" si="6"/>
        <v>0</v>
      </c>
      <c r="S1212" s="2">
        <f t="shared" si="7"/>
      </c>
      <c r="T1212" s="2">
        <f t="shared" si="8"/>
      </c>
      <c r="U1212" s="2">
        <f t="shared" si="9"/>
      </c>
      <c r="V1212" s="2">
        <f t="shared" si="10"/>
      </c>
      <c r="W1212" s="2">
        <f t="shared" si="11"/>
      </c>
      <c r="X1212" s="2">
        <f t="shared" si="12"/>
      </c>
      <c r="Y1212" s="2">
        <f t="shared" si="13"/>
        <v>0</v>
      </c>
      <c r="Z1212" s="2">
        <f t="shared" si="14"/>
      </c>
      <c r="AA1212" s="2">
        <f t="shared" si="15"/>
        <v>0</v>
      </c>
      <c r="AB1212" s="2">
        <f t="shared" si="16"/>
      </c>
      <c r="AC1212" s="2">
        <f t="shared" si="17"/>
      </c>
      <c r="AD1212" s="2">
        <f t="shared" si="18"/>
      </c>
      <c r="AE1212" s="2">
        <f t="shared" si="19"/>
      </c>
      <c r="AF1212" s="2">
        <f t="shared" si="20"/>
      </c>
      <c r="AG1212" s="2">
        <f t="shared" si="21"/>
      </c>
      <c r="AH1212" s="2">
        <f t="shared" si="22"/>
      </c>
      <c r="AI1212" s="2">
        <f t="shared" si="23"/>
      </c>
      <c r="AJ1212" s="2">
        <f t="shared" si="24"/>
        <v>0</v>
      </c>
      <c r="AK1212" s="2">
        <f t="shared" si="25"/>
        <v>0</v>
      </c>
      <c r="AL1212" s="2">
        <f t="shared" si="26"/>
        <v>0</v>
      </c>
      <c r="AM1212" s="2">
        <f t="shared" si="27"/>
        <v>0</v>
      </c>
      <c r="AN1212" s="2">
        <f t="shared" si="28"/>
        <v>0</v>
      </c>
      <c r="AO1212" s="2">
        <f t="shared" si="29"/>
      </c>
      <c r="AP1212" s="2">
        <f t="shared" si="30"/>
      </c>
      <c r="AQ1212" s="2">
        <f t="shared" si="31"/>
      </c>
    </row>
    <row r="1213">
      <c r="A1213" s="43">
        <f t="shared" si="3"/>
      </c>
      <c r="B1213" s="44" t="n"/>
      <c r="C1213" s="45" t="n"/>
      <c r="D1213" s="46" t="n"/>
      <c r="E1213" s="47" t="n"/>
      <c r="F1213" s="47" t="n"/>
      <c r="G1213" s="48">
        <f t="shared" si="4"/>
      </c>
      <c r="H1213" s="43">
        <f t="shared" si="0"/>
      </c>
      <c r="I1213" s="43">
        <f t="shared" si="5"/>
      </c>
      <c r="J1213" s="43">
        <f t="shared" si="1"/>
      </c>
      <c r="K1213" s="49">
        <f t="shared" si="2"/>
      </c>
      <c r="L1213" s="45" t="n"/>
      <c r="M1213" s="45" t="n"/>
      <c r="N1213" s="45" t="n"/>
      <c r="O1213" s="45" t="n"/>
      <c r="P1213" s="50" t="n"/>
      <c r="R1213" s="2">
        <f t="shared" si="6"/>
        <v>0</v>
      </c>
      <c r="S1213" s="2">
        <f t="shared" si="7"/>
      </c>
      <c r="T1213" s="2">
        <f t="shared" si="8"/>
      </c>
      <c r="U1213" s="2">
        <f t="shared" si="9"/>
      </c>
      <c r="V1213" s="2">
        <f t="shared" si="10"/>
      </c>
      <c r="W1213" s="2">
        <f t="shared" si="11"/>
      </c>
      <c r="X1213" s="2">
        <f t="shared" si="12"/>
      </c>
      <c r="Y1213" s="2">
        <f t="shared" si="13"/>
        <v>0</v>
      </c>
      <c r="Z1213" s="2">
        <f t="shared" si="14"/>
      </c>
      <c r="AA1213" s="2">
        <f t="shared" si="15"/>
        <v>0</v>
      </c>
      <c r="AB1213" s="2">
        <f t="shared" si="16"/>
      </c>
      <c r="AC1213" s="2">
        <f t="shared" si="17"/>
      </c>
      <c r="AD1213" s="2">
        <f t="shared" si="18"/>
      </c>
      <c r="AE1213" s="2">
        <f t="shared" si="19"/>
      </c>
      <c r="AF1213" s="2">
        <f t="shared" si="20"/>
      </c>
      <c r="AG1213" s="2">
        <f t="shared" si="21"/>
      </c>
      <c r="AH1213" s="2">
        <f t="shared" si="22"/>
      </c>
      <c r="AI1213" s="2">
        <f t="shared" si="23"/>
      </c>
      <c r="AJ1213" s="2">
        <f t="shared" si="24"/>
        <v>0</v>
      </c>
      <c r="AK1213" s="2">
        <f t="shared" si="25"/>
        <v>0</v>
      </c>
      <c r="AL1213" s="2">
        <f t="shared" si="26"/>
        <v>0</v>
      </c>
      <c r="AM1213" s="2">
        <f t="shared" si="27"/>
        <v>0</v>
      </c>
      <c r="AN1213" s="2">
        <f t="shared" si="28"/>
        <v>0</v>
      </c>
      <c r="AO1213" s="2">
        <f t="shared" si="29"/>
      </c>
      <c r="AP1213" s="2">
        <f t="shared" si="30"/>
      </c>
      <c r="AQ1213" s="2">
        <f t="shared" si="31"/>
      </c>
    </row>
    <row r="1214">
      <c r="A1214" s="43">
        <f t="shared" si="3"/>
      </c>
      <c r="B1214" s="44" t="n"/>
      <c r="C1214" s="45" t="n"/>
      <c r="D1214" s="46" t="n"/>
      <c r="E1214" s="47" t="n"/>
      <c r="F1214" s="47" t="n"/>
      <c r="G1214" s="48">
        <f t="shared" si="4"/>
      </c>
      <c r="H1214" s="43">
        <f t="shared" si="0"/>
      </c>
      <c r="I1214" s="43">
        <f t="shared" si="5"/>
      </c>
      <c r="J1214" s="43">
        <f t="shared" si="1"/>
      </c>
      <c r="K1214" s="49">
        <f t="shared" si="2"/>
      </c>
      <c r="L1214" s="45" t="n"/>
      <c r="M1214" s="45" t="n"/>
      <c r="N1214" s="45" t="n"/>
      <c r="O1214" s="45" t="n"/>
      <c r="P1214" s="50" t="n"/>
      <c r="R1214" s="2">
        <f t="shared" si="6"/>
        <v>0</v>
      </c>
      <c r="S1214" s="2">
        <f t="shared" si="7"/>
      </c>
      <c r="T1214" s="2">
        <f t="shared" si="8"/>
      </c>
      <c r="U1214" s="2">
        <f t="shared" si="9"/>
      </c>
      <c r="V1214" s="2">
        <f t="shared" si="10"/>
      </c>
      <c r="W1214" s="2">
        <f t="shared" si="11"/>
      </c>
      <c r="X1214" s="2">
        <f t="shared" si="12"/>
      </c>
      <c r="Y1214" s="2">
        <f t="shared" si="13"/>
        <v>0</v>
      </c>
      <c r="Z1214" s="2">
        <f t="shared" si="14"/>
      </c>
      <c r="AA1214" s="2">
        <f t="shared" si="15"/>
        <v>0</v>
      </c>
      <c r="AB1214" s="2">
        <f t="shared" si="16"/>
      </c>
      <c r="AC1214" s="2">
        <f t="shared" si="17"/>
      </c>
      <c r="AD1214" s="2">
        <f t="shared" si="18"/>
      </c>
      <c r="AE1214" s="2">
        <f t="shared" si="19"/>
      </c>
      <c r="AF1214" s="2">
        <f t="shared" si="20"/>
      </c>
      <c r="AG1214" s="2">
        <f t="shared" si="21"/>
      </c>
      <c r="AH1214" s="2">
        <f t="shared" si="22"/>
      </c>
      <c r="AI1214" s="2">
        <f t="shared" si="23"/>
      </c>
      <c r="AJ1214" s="2">
        <f t="shared" si="24"/>
        <v>0</v>
      </c>
      <c r="AK1214" s="2">
        <f t="shared" si="25"/>
        <v>0</v>
      </c>
      <c r="AL1214" s="2">
        <f t="shared" si="26"/>
        <v>0</v>
      </c>
      <c r="AM1214" s="2">
        <f t="shared" si="27"/>
        <v>0</v>
      </c>
      <c r="AN1214" s="2">
        <f t="shared" si="28"/>
        <v>0</v>
      </c>
      <c r="AO1214" s="2">
        <f t="shared" si="29"/>
      </c>
      <c r="AP1214" s="2">
        <f t="shared" si="30"/>
      </c>
      <c r="AQ1214" s="2">
        <f t="shared" si="31"/>
      </c>
    </row>
    <row r="1215">
      <c r="A1215" s="43">
        <f t="shared" si="3"/>
      </c>
      <c r="B1215" s="44" t="n"/>
      <c r="C1215" s="45" t="n"/>
      <c r="D1215" s="46" t="n"/>
      <c r="E1215" s="47" t="n"/>
      <c r="F1215" s="47" t="n"/>
      <c r="G1215" s="48">
        <f t="shared" si="4"/>
      </c>
      <c r="H1215" s="43">
        <f t="shared" si="0"/>
      </c>
      <c r="I1215" s="43">
        <f t="shared" si="5"/>
      </c>
      <c r="J1215" s="43">
        <f t="shared" si="1"/>
      </c>
      <c r="K1215" s="49">
        <f t="shared" si="2"/>
      </c>
      <c r="L1215" s="45" t="n"/>
      <c r="M1215" s="45" t="n"/>
      <c r="N1215" s="45" t="n"/>
      <c r="O1215" s="45" t="n"/>
      <c r="P1215" s="50" t="n"/>
      <c r="R1215" s="2">
        <f t="shared" si="6"/>
        <v>0</v>
      </c>
      <c r="S1215" s="2">
        <f t="shared" si="7"/>
      </c>
      <c r="T1215" s="2">
        <f t="shared" si="8"/>
      </c>
      <c r="U1215" s="2">
        <f t="shared" si="9"/>
      </c>
      <c r="V1215" s="2">
        <f t="shared" si="10"/>
      </c>
      <c r="W1215" s="2">
        <f t="shared" si="11"/>
      </c>
      <c r="X1215" s="2">
        <f t="shared" si="12"/>
      </c>
      <c r="Y1215" s="2">
        <f t="shared" si="13"/>
        <v>0</v>
      </c>
      <c r="Z1215" s="2">
        <f t="shared" si="14"/>
      </c>
      <c r="AA1215" s="2">
        <f t="shared" si="15"/>
        <v>0</v>
      </c>
      <c r="AB1215" s="2">
        <f t="shared" si="16"/>
      </c>
      <c r="AC1215" s="2">
        <f t="shared" si="17"/>
      </c>
      <c r="AD1215" s="2">
        <f t="shared" si="18"/>
      </c>
      <c r="AE1215" s="2">
        <f t="shared" si="19"/>
      </c>
      <c r="AF1215" s="2">
        <f t="shared" si="20"/>
      </c>
      <c r="AG1215" s="2">
        <f t="shared" si="21"/>
      </c>
      <c r="AH1215" s="2">
        <f t="shared" si="22"/>
      </c>
      <c r="AI1215" s="2">
        <f t="shared" si="23"/>
      </c>
      <c r="AJ1215" s="2">
        <f t="shared" si="24"/>
        <v>0</v>
      </c>
      <c r="AK1215" s="2">
        <f t="shared" si="25"/>
        <v>0</v>
      </c>
      <c r="AL1215" s="2">
        <f t="shared" si="26"/>
        <v>0</v>
      </c>
      <c r="AM1215" s="2">
        <f t="shared" si="27"/>
        <v>0</v>
      </c>
      <c r="AN1215" s="2">
        <f t="shared" si="28"/>
        <v>0</v>
      </c>
      <c r="AO1215" s="2">
        <f t="shared" si="29"/>
      </c>
      <c r="AP1215" s="2">
        <f t="shared" si="30"/>
      </c>
      <c r="AQ1215" s="2">
        <f t="shared" si="31"/>
      </c>
    </row>
    <row r="1216">
      <c r="A1216" s="43">
        <f t="shared" si="3"/>
      </c>
      <c r="B1216" s="44" t="n"/>
      <c r="C1216" s="45" t="n"/>
      <c r="D1216" s="46" t="n"/>
      <c r="E1216" s="47" t="n"/>
      <c r="F1216" s="47" t="n"/>
      <c r="G1216" s="48">
        <f t="shared" si="4"/>
      </c>
      <c r="H1216" s="43">
        <f t="shared" si="0"/>
      </c>
      <c r="I1216" s="43">
        <f t="shared" si="5"/>
      </c>
      <c r="J1216" s="43">
        <f t="shared" si="1"/>
      </c>
      <c r="K1216" s="49">
        <f t="shared" si="2"/>
      </c>
      <c r="L1216" s="45" t="n"/>
      <c r="M1216" s="45" t="n"/>
      <c r="N1216" s="45" t="n"/>
      <c r="O1216" s="45" t="n"/>
      <c r="P1216" s="50" t="n"/>
      <c r="R1216" s="2">
        <f t="shared" si="6"/>
        <v>0</v>
      </c>
      <c r="S1216" s="2">
        <f t="shared" si="7"/>
      </c>
      <c r="T1216" s="2">
        <f t="shared" si="8"/>
      </c>
      <c r="U1216" s="2">
        <f t="shared" si="9"/>
      </c>
      <c r="V1216" s="2">
        <f t="shared" si="10"/>
      </c>
      <c r="W1216" s="2">
        <f t="shared" si="11"/>
      </c>
      <c r="X1216" s="2">
        <f t="shared" si="12"/>
      </c>
      <c r="Y1216" s="2">
        <f t="shared" si="13"/>
        <v>0</v>
      </c>
      <c r="Z1216" s="2">
        <f t="shared" si="14"/>
      </c>
      <c r="AA1216" s="2">
        <f t="shared" si="15"/>
        <v>0</v>
      </c>
      <c r="AB1216" s="2">
        <f t="shared" si="16"/>
      </c>
      <c r="AC1216" s="2">
        <f t="shared" si="17"/>
      </c>
      <c r="AD1216" s="2">
        <f t="shared" si="18"/>
      </c>
      <c r="AE1216" s="2">
        <f t="shared" si="19"/>
      </c>
      <c r="AF1216" s="2">
        <f t="shared" si="20"/>
      </c>
      <c r="AG1216" s="2">
        <f t="shared" si="21"/>
      </c>
      <c r="AH1216" s="2">
        <f t="shared" si="22"/>
      </c>
      <c r="AI1216" s="2">
        <f t="shared" si="23"/>
      </c>
      <c r="AJ1216" s="2">
        <f t="shared" si="24"/>
        <v>0</v>
      </c>
      <c r="AK1216" s="2">
        <f t="shared" si="25"/>
        <v>0</v>
      </c>
      <c r="AL1216" s="2">
        <f t="shared" si="26"/>
        <v>0</v>
      </c>
      <c r="AM1216" s="2">
        <f t="shared" si="27"/>
        <v>0</v>
      </c>
      <c r="AN1216" s="2">
        <f t="shared" si="28"/>
        <v>0</v>
      </c>
      <c r="AO1216" s="2">
        <f t="shared" si="29"/>
      </c>
      <c r="AP1216" s="2">
        <f t="shared" si="30"/>
      </c>
      <c r="AQ1216" s="2">
        <f t="shared" si="31"/>
      </c>
    </row>
    <row r="1217">
      <c r="A1217" s="43">
        <f t="shared" si="3"/>
      </c>
      <c r="B1217" s="44" t="n"/>
      <c r="C1217" s="45" t="n"/>
      <c r="D1217" s="46" t="n"/>
      <c r="E1217" s="47" t="n"/>
      <c r="F1217" s="47" t="n"/>
      <c r="G1217" s="48">
        <f t="shared" si="4"/>
      </c>
      <c r="H1217" s="43">
        <f t="shared" si="0"/>
      </c>
      <c r="I1217" s="43">
        <f t="shared" si="5"/>
      </c>
      <c r="J1217" s="43">
        <f t="shared" si="1"/>
      </c>
      <c r="K1217" s="49">
        <f t="shared" si="2"/>
      </c>
      <c r="L1217" s="45" t="n"/>
      <c r="M1217" s="45" t="n"/>
      <c r="N1217" s="45" t="n"/>
      <c r="O1217" s="45" t="n"/>
      <c r="P1217" s="50" t="n"/>
      <c r="R1217" s="2">
        <f t="shared" si="6"/>
        <v>0</v>
      </c>
      <c r="S1217" s="2">
        <f t="shared" si="7"/>
      </c>
      <c r="T1217" s="2">
        <f t="shared" si="8"/>
      </c>
      <c r="U1217" s="2">
        <f t="shared" si="9"/>
      </c>
      <c r="V1217" s="2">
        <f t="shared" si="10"/>
      </c>
      <c r="W1217" s="2">
        <f t="shared" si="11"/>
      </c>
      <c r="X1217" s="2">
        <f t="shared" si="12"/>
      </c>
      <c r="Y1217" s="2">
        <f t="shared" si="13"/>
        <v>0</v>
      </c>
      <c r="Z1217" s="2">
        <f t="shared" si="14"/>
      </c>
      <c r="AA1217" s="2">
        <f t="shared" si="15"/>
        <v>0</v>
      </c>
      <c r="AB1217" s="2">
        <f t="shared" si="16"/>
      </c>
      <c r="AC1217" s="2">
        <f t="shared" si="17"/>
      </c>
      <c r="AD1217" s="2">
        <f t="shared" si="18"/>
      </c>
      <c r="AE1217" s="2">
        <f t="shared" si="19"/>
      </c>
      <c r="AF1217" s="2">
        <f t="shared" si="20"/>
      </c>
      <c r="AG1217" s="2">
        <f t="shared" si="21"/>
      </c>
      <c r="AH1217" s="2">
        <f t="shared" si="22"/>
      </c>
      <c r="AI1217" s="2">
        <f t="shared" si="23"/>
      </c>
      <c r="AJ1217" s="2">
        <f t="shared" si="24"/>
        <v>0</v>
      </c>
      <c r="AK1217" s="2">
        <f t="shared" si="25"/>
        <v>0</v>
      </c>
      <c r="AL1217" s="2">
        <f t="shared" si="26"/>
        <v>0</v>
      </c>
      <c r="AM1217" s="2">
        <f t="shared" si="27"/>
        <v>0</v>
      </c>
      <c r="AN1217" s="2">
        <f t="shared" si="28"/>
        <v>0</v>
      </c>
      <c r="AO1217" s="2">
        <f t="shared" si="29"/>
      </c>
      <c r="AP1217" s="2">
        <f t="shared" si="30"/>
      </c>
      <c r="AQ1217" s="2">
        <f t="shared" si="31"/>
      </c>
    </row>
    <row r="1218">
      <c r="A1218" s="43">
        <f t="shared" si="3"/>
      </c>
      <c r="B1218" s="44" t="n"/>
      <c r="C1218" s="45" t="n"/>
      <c r="D1218" s="46" t="n"/>
      <c r="E1218" s="47" t="n"/>
      <c r="F1218" s="47" t="n"/>
      <c r="G1218" s="48">
        <f t="shared" si="4"/>
      </c>
      <c r="H1218" s="43">
        <f t="shared" si="0"/>
      </c>
      <c r="I1218" s="43">
        <f t="shared" si="5"/>
      </c>
      <c r="J1218" s="43">
        <f t="shared" si="1"/>
      </c>
      <c r="K1218" s="49">
        <f t="shared" si="2"/>
      </c>
      <c r="L1218" s="45" t="n"/>
      <c r="M1218" s="45" t="n"/>
      <c r="N1218" s="45" t="n"/>
      <c r="O1218" s="45" t="n"/>
      <c r="P1218" s="50" t="n"/>
      <c r="R1218" s="2">
        <f t="shared" si="6"/>
        <v>0</v>
      </c>
      <c r="S1218" s="2">
        <f t="shared" si="7"/>
      </c>
      <c r="T1218" s="2">
        <f t="shared" si="8"/>
      </c>
      <c r="U1218" s="2">
        <f t="shared" si="9"/>
      </c>
      <c r="V1218" s="2">
        <f t="shared" si="10"/>
      </c>
      <c r="W1218" s="2">
        <f t="shared" si="11"/>
      </c>
      <c r="X1218" s="2">
        <f t="shared" si="12"/>
      </c>
      <c r="Y1218" s="2">
        <f t="shared" si="13"/>
        <v>0</v>
      </c>
      <c r="Z1218" s="2">
        <f t="shared" si="14"/>
      </c>
      <c r="AA1218" s="2">
        <f t="shared" si="15"/>
        <v>0</v>
      </c>
      <c r="AB1218" s="2">
        <f t="shared" si="16"/>
      </c>
      <c r="AC1218" s="2">
        <f t="shared" si="17"/>
      </c>
      <c r="AD1218" s="2">
        <f t="shared" si="18"/>
      </c>
      <c r="AE1218" s="2">
        <f t="shared" si="19"/>
      </c>
      <c r="AF1218" s="2">
        <f t="shared" si="20"/>
      </c>
      <c r="AG1218" s="2">
        <f t="shared" si="21"/>
      </c>
      <c r="AH1218" s="2">
        <f t="shared" si="22"/>
      </c>
      <c r="AI1218" s="2">
        <f t="shared" si="23"/>
      </c>
      <c r="AJ1218" s="2">
        <f t="shared" si="24"/>
        <v>0</v>
      </c>
      <c r="AK1218" s="2">
        <f t="shared" si="25"/>
        <v>0</v>
      </c>
      <c r="AL1218" s="2">
        <f t="shared" si="26"/>
        <v>0</v>
      </c>
      <c r="AM1218" s="2">
        <f t="shared" si="27"/>
        <v>0</v>
      </c>
      <c r="AN1218" s="2">
        <f t="shared" si="28"/>
        <v>0</v>
      </c>
      <c r="AO1218" s="2">
        <f t="shared" si="29"/>
      </c>
      <c r="AP1218" s="2">
        <f t="shared" si="30"/>
      </c>
      <c r="AQ1218" s="2">
        <f t="shared" si="31"/>
      </c>
    </row>
    <row r="1219">
      <c r="A1219" s="43">
        <f t="shared" si="3"/>
      </c>
      <c r="B1219" s="44" t="n"/>
      <c r="C1219" s="45" t="n"/>
      <c r="D1219" s="46" t="n"/>
      <c r="E1219" s="47" t="n"/>
      <c r="F1219" s="47" t="n"/>
      <c r="G1219" s="48">
        <f t="shared" si="4"/>
      </c>
      <c r="H1219" s="43">
        <f t="shared" si="0"/>
      </c>
      <c r="I1219" s="43">
        <f t="shared" si="5"/>
      </c>
      <c r="J1219" s="43">
        <f t="shared" si="1"/>
      </c>
      <c r="K1219" s="49">
        <f t="shared" si="2"/>
      </c>
      <c r="L1219" s="45" t="n"/>
      <c r="M1219" s="45" t="n"/>
      <c r="N1219" s="45" t="n"/>
      <c r="O1219" s="45" t="n"/>
      <c r="P1219" s="50" t="n"/>
      <c r="R1219" s="2">
        <f t="shared" si="6"/>
        <v>0</v>
      </c>
      <c r="S1219" s="2">
        <f t="shared" si="7"/>
      </c>
      <c r="T1219" s="2">
        <f t="shared" si="8"/>
      </c>
      <c r="U1219" s="2">
        <f t="shared" si="9"/>
      </c>
      <c r="V1219" s="2">
        <f t="shared" si="10"/>
      </c>
      <c r="W1219" s="2">
        <f t="shared" si="11"/>
      </c>
      <c r="X1219" s="2">
        <f t="shared" si="12"/>
      </c>
      <c r="Y1219" s="2">
        <f t="shared" si="13"/>
        <v>0</v>
      </c>
      <c r="Z1219" s="2">
        <f t="shared" si="14"/>
      </c>
      <c r="AA1219" s="2">
        <f t="shared" si="15"/>
        <v>0</v>
      </c>
      <c r="AB1219" s="2">
        <f t="shared" si="16"/>
      </c>
      <c r="AC1219" s="2">
        <f t="shared" si="17"/>
      </c>
      <c r="AD1219" s="2">
        <f t="shared" si="18"/>
      </c>
      <c r="AE1219" s="2">
        <f t="shared" si="19"/>
      </c>
      <c r="AF1219" s="2">
        <f t="shared" si="20"/>
      </c>
      <c r="AG1219" s="2">
        <f t="shared" si="21"/>
      </c>
      <c r="AH1219" s="2">
        <f t="shared" si="22"/>
      </c>
      <c r="AI1219" s="2">
        <f t="shared" si="23"/>
      </c>
      <c r="AJ1219" s="2">
        <f t="shared" si="24"/>
        <v>0</v>
      </c>
      <c r="AK1219" s="2">
        <f t="shared" si="25"/>
        <v>0</v>
      </c>
      <c r="AL1219" s="2">
        <f t="shared" si="26"/>
        <v>0</v>
      </c>
      <c r="AM1219" s="2">
        <f t="shared" si="27"/>
        <v>0</v>
      </c>
      <c r="AN1219" s="2">
        <f t="shared" si="28"/>
        <v>0</v>
      </c>
      <c r="AO1219" s="2">
        <f t="shared" si="29"/>
      </c>
      <c r="AP1219" s="2">
        <f t="shared" si="30"/>
      </c>
      <c r="AQ1219" s="2">
        <f t="shared" si="31"/>
      </c>
    </row>
    <row r="1220">
      <c r="A1220" s="43">
        <f t="shared" si="3"/>
      </c>
      <c r="B1220" s="44" t="n"/>
      <c r="C1220" s="45" t="n"/>
      <c r="D1220" s="46" t="n"/>
      <c r="E1220" s="47" t="n"/>
      <c r="F1220" s="47" t="n"/>
      <c r="G1220" s="48">
        <f t="shared" si="4"/>
      </c>
      <c r="H1220" s="43">
        <f t="shared" si="0"/>
      </c>
      <c r="I1220" s="43">
        <f t="shared" si="5"/>
      </c>
      <c r="J1220" s="43">
        <f t="shared" si="1"/>
      </c>
      <c r="K1220" s="49">
        <f t="shared" si="2"/>
      </c>
      <c r="L1220" s="45" t="n"/>
      <c r="M1220" s="45" t="n"/>
      <c r="N1220" s="45" t="n"/>
      <c r="O1220" s="45" t="n"/>
      <c r="P1220" s="50" t="n"/>
      <c r="R1220" s="2">
        <f t="shared" si="6"/>
        <v>0</v>
      </c>
      <c r="S1220" s="2">
        <f t="shared" si="7"/>
      </c>
      <c r="T1220" s="2">
        <f t="shared" si="8"/>
      </c>
      <c r="U1220" s="2">
        <f t="shared" si="9"/>
      </c>
      <c r="V1220" s="2">
        <f t="shared" si="10"/>
      </c>
      <c r="W1220" s="2">
        <f t="shared" si="11"/>
      </c>
      <c r="X1220" s="2">
        <f t="shared" si="12"/>
      </c>
      <c r="Y1220" s="2">
        <f t="shared" si="13"/>
        <v>0</v>
      </c>
      <c r="Z1220" s="2">
        <f t="shared" si="14"/>
      </c>
      <c r="AA1220" s="2">
        <f t="shared" si="15"/>
        <v>0</v>
      </c>
      <c r="AB1220" s="2">
        <f t="shared" si="16"/>
      </c>
      <c r="AC1220" s="2">
        <f t="shared" si="17"/>
      </c>
      <c r="AD1220" s="2">
        <f t="shared" si="18"/>
      </c>
      <c r="AE1220" s="2">
        <f t="shared" si="19"/>
      </c>
      <c r="AF1220" s="2">
        <f t="shared" si="20"/>
      </c>
      <c r="AG1220" s="2">
        <f t="shared" si="21"/>
      </c>
      <c r="AH1220" s="2">
        <f t="shared" si="22"/>
      </c>
      <c r="AI1220" s="2">
        <f t="shared" si="23"/>
      </c>
      <c r="AJ1220" s="2">
        <f t="shared" si="24"/>
        <v>0</v>
      </c>
      <c r="AK1220" s="2">
        <f t="shared" si="25"/>
        <v>0</v>
      </c>
      <c r="AL1220" s="2">
        <f t="shared" si="26"/>
        <v>0</v>
      </c>
      <c r="AM1220" s="2">
        <f t="shared" si="27"/>
        <v>0</v>
      </c>
      <c r="AN1220" s="2">
        <f t="shared" si="28"/>
        <v>0</v>
      </c>
      <c r="AO1220" s="2">
        <f t="shared" si="29"/>
      </c>
      <c r="AP1220" s="2">
        <f t="shared" si="30"/>
      </c>
      <c r="AQ1220" s="2">
        <f t="shared" si="31"/>
      </c>
    </row>
    <row r="1221">
      <c r="A1221" s="43">
        <f t="shared" si="3"/>
      </c>
      <c r="B1221" s="44" t="n"/>
      <c r="C1221" s="45" t="n"/>
      <c r="D1221" s="46" t="n"/>
      <c r="E1221" s="47" t="n"/>
      <c r="F1221" s="47" t="n"/>
      <c r="G1221" s="48">
        <f t="shared" si="4"/>
      </c>
      <c r="H1221" s="43">
        <f t="shared" si="0"/>
      </c>
      <c r="I1221" s="43">
        <f t="shared" si="5"/>
      </c>
      <c r="J1221" s="43">
        <f t="shared" si="1"/>
      </c>
      <c r="K1221" s="49">
        <f t="shared" si="2"/>
      </c>
      <c r="L1221" s="45" t="n"/>
      <c r="M1221" s="45" t="n"/>
      <c r="N1221" s="45" t="n"/>
      <c r="O1221" s="45" t="n"/>
      <c r="P1221" s="50" t="n"/>
      <c r="R1221" s="2">
        <f t="shared" si="6"/>
        <v>0</v>
      </c>
      <c r="S1221" s="2">
        <f t="shared" si="7"/>
      </c>
      <c r="T1221" s="2">
        <f t="shared" si="8"/>
      </c>
      <c r="U1221" s="2">
        <f t="shared" si="9"/>
      </c>
      <c r="V1221" s="2">
        <f t="shared" si="10"/>
      </c>
      <c r="W1221" s="2">
        <f t="shared" si="11"/>
      </c>
      <c r="X1221" s="2">
        <f t="shared" si="12"/>
      </c>
      <c r="Y1221" s="2">
        <f t="shared" si="13"/>
        <v>0</v>
      </c>
      <c r="Z1221" s="2">
        <f t="shared" si="14"/>
      </c>
      <c r="AA1221" s="2">
        <f t="shared" si="15"/>
        <v>0</v>
      </c>
      <c r="AB1221" s="2">
        <f t="shared" si="16"/>
      </c>
      <c r="AC1221" s="2">
        <f t="shared" si="17"/>
      </c>
      <c r="AD1221" s="2">
        <f t="shared" si="18"/>
      </c>
      <c r="AE1221" s="2">
        <f t="shared" si="19"/>
      </c>
      <c r="AF1221" s="2">
        <f t="shared" si="20"/>
      </c>
      <c r="AG1221" s="2">
        <f t="shared" si="21"/>
      </c>
      <c r="AH1221" s="2">
        <f t="shared" si="22"/>
      </c>
      <c r="AI1221" s="2">
        <f t="shared" si="23"/>
      </c>
      <c r="AJ1221" s="2">
        <f t="shared" si="24"/>
        <v>0</v>
      </c>
      <c r="AK1221" s="2">
        <f t="shared" si="25"/>
        <v>0</v>
      </c>
      <c r="AL1221" s="2">
        <f t="shared" si="26"/>
        <v>0</v>
      </c>
      <c r="AM1221" s="2">
        <f t="shared" si="27"/>
        <v>0</v>
      </c>
      <c r="AN1221" s="2">
        <f t="shared" si="28"/>
        <v>0</v>
      </c>
      <c r="AO1221" s="2">
        <f t="shared" si="29"/>
      </c>
      <c r="AP1221" s="2">
        <f t="shared" si="30"/>
      </c>
      <c r="AQ1221" s="2">
        <f t="shared" si="31"/>
      </c>
    </row>
    <row r="1222">
      <c r="A1222" s="43">
        <f t="shared" si="3"/>
      </c>
      <c r="B1222" s="44" t="n"/>
      <c r="C1222" s="45" t="n"/>
      <c r="D1222" s="46" t="n"/>
      <c r="E1222" s="47" t="n"/>
      <c r="F1222" s="47" t="n"/>
      <c r="G1222" s="48">
        <f t="shared" si="4"/>
      </c>
      <c r="H1222" s="43">
        <f t="shared" si="0"/>
      </c>
      <c r="I1222" s="43">
        <f t="shared" si="5"/>
      </c>
      <c r="J1222" s="43">
        <f t="shared" si="1"/>
      </c>
      <c r="K1222" s="49">
        <f t="shared" si="2"/>
      </c>
      <c r="L1222" s="45" t="n"/>
      <c r="M1222" s="45" t="n"/>
      <c r="N1222" s="45" t="n"/>
      <c r="O1222" s="45" t="n"/>
      <c r="P1222" s="50" t="n"/>
      <c r="R1222" s="2">
        <f t="shared" si="6"/>
        <v>0</v>
      </c>
      <c r="S1222" s="2">
        <f t="shared" si="7"/>
      </c>
      <c r="T1222" s="2">
        <f t="shared" si="8"/>
      </c>
      <c r="U1222" s="2">
        <f t="shared" si="9"/>
      </c>
      <c r="V1222" s="2">
        <f t="shared" si="10"/>
      </c>
      <c r="W1222" s="2">
        <f t="shared" si="11"/>
      </c>
      <c r="X1222" s="2">
        <f t="shared" si="12"/>
      </c>
      <c r="Y1222" s="2">
        <f t="shared" si="13"/>
        <v>0</v>
      </c>
      <c r="Z1222" s="2">
        <f t="shared" si="14"/>
      </c>
      <c r="AA1222" s="2">
        <f t="shared" si="15"/>
        <v>0</v>
      </c>
      <c r="AB1222" s="2">
        <f t="shared" si="16"/>
      </c>
      <c r="AC1222" s="2">
        <f t="shared" si="17"/>
      </c>
      <c r="AD1222" s="2">
        <f t="shared" si="18"/>
      </c>
      <c r="AE1222" s="2">
        <f t="shared" si="19"/>
      </c>
      <c r="AF1222" s="2">
        <f t="shared" si="20"/>
      </c>
      <c r="AG1222" s="2">
        <f t="shared" si="21"/>
      </c>
      <c r="AH1222" s="2">
        <f t="shared" si="22"/>
      </c>
      <c r="AI1222" s="2">
        <f t="shared" si="23"/>
      </c>
      <c r="AJ1222" s="2">
        <f t="shared" si="24"/>
        <v>0</v>
      </c>
      <c r="AK1222" s="2">
        <f t="shared" si="25"/>
        <v>0</v>
      </c>
      <c r="AL1222" s="2">
        <f t="shared" si="26"/>
        <v>0</v>
      </c>
      <c r="AM1222" s="2">
        <f t="shared" si="27"/>
        <v>0</v>
      </c>
      <c r="AN1222" s="2">
        <f t="shared" si="28"/>
        <v>0</v>
      </c>
      <c r="AO1222" s="2">
        <f t="shared" si="29"/>
      </c>
      <c r="AP1222" s="2">
        <f t="shared" si="30"/>
      </c>
      <c r="AQ1222" s="2">
        <f t="shared" si="31"/>
      </c>
    </row>
    <row r="1223">
      <c r="A1223" s="43">
        <f t="shared" si="3"/>
      </c>
      <c r="B1223" s="44" t="n"/>
      <c r="C1223" s="45" t="n"/>
      <c r="D1223" s="46" t="n"/>
      <c r="E1223" s="47" t="n"/>
      <c r="F1223" s="47" t="n"/>
      <c r="G1223" s="48">
        <f t="shared" si="4"/>
      </c>
      <c r="H1223" s="43">
        <f t="shared" si="0"/>
      </c>
      <c r="I1223" s="43">
        <f t="shared" si="5"/>
      </c>
      <c r="J1223" s="43">
        <f t="shared" si="1"/>
      </c>
      <c r="K1223" s="49">
        <f t="shared" si="2"/>
      </c>
      <c r="L1223" s="45" t="n"/>
      <c r="M1223" s="45" t="n"/>
      <c r="N1223" s="45" t="n"/>
      <c r="O1223" s="45" t="n"/>
      <c r="P1223" s="50" t="n"/>
      <c r="R1223" s="2">
        <f t="shared" si="6"/>
        <v>0</v>
      </c>
      <c r="S1223" s="2">
        <f t="shared" si="7"/>
      </c>
      <c r="T1223" s="2">
        <f t="shared" si="8"/>
      </c>
      <c r="U1223" s="2">
        <f t="shared" si="9"/>
      </c>
      <c r="V1223" s="2">
        <f t="shared" si="10"/>
      </c>
      <c r="W1223" s="2">
        <f t="shared" si="11"/>
      </c>
      <c r="X1223" s="2">
        <f t="shared" si="12"/>
      </c>
      <c r="Y1223" s="2">
        <f t="shared" si="13"/>
        <v>0</v>
      </c>
      <c r="Z1223" s="2">
        <f t="shared" si="14"/>
      </c>
      <c r="AA1223" s="2">
        <f t="shared" si="15"/>
        <v>0</v>
      </c>
      <c r="AB1223" s="2">
        <f t="shared" si="16"/>
      </c>
      <c r="AC1223" s="2">
        <f t="shared" si="17"/>
      </c>
      <c r="AD1223" s="2">
        <f t="shared" si="18"/>
      </c>
      <c r="AE1223" s="2">
        <f t="shared" si="19"/>
      </c>
      <c r="AF1223" s="2">
        <f t="shared" si="20"/>
      </c>
      <c r="AG1223" s="2">
        <f t="shared" si="21"/>
      </c>
      <c r="AH1223" s="2">
        <f t="shared" si="22"/>
      </c>
      <c r="AI1223" s="2">
        <f t="shared" si="23"/>
      </c>
      <c r="AJ1223" s="2">
        <f t="shared" si="24"/>
        <v>0</v>
      </c>
      <c r="AK1223" s="2">
        <f t="shared" si="25"/>
        <v>0</v>
      </c>
      <c r="AL1223" s="2">
        <f t="shared" si="26"/>
        <v>0</v>
      </c>
      <c r="AM1223" s="2">
        <f t="shared" si="27"/>
        <v>0</v>
      </c>
      <c r="AN1223" s="2">
        <f t="shared" si="28"/>
        <v>0</v>
      </c>
      <c r="AO1223" s="2">
        <f t="shared" si="29"/>
      </c>
      <c r="AP1223" s="2">
        <f t="shared" si="30"/>
      </c>
      <c r="AQ1223" s="2">
        <f t="shared" si="31"/>
      </c>
    </row>
    <row r="1224">
      <c r="A1224" s="43">
        <f t="shared" si="3"/>
      </c>
      <c r="B1224" s="44" t="n"/>
      <c r="C1224" s="45" t="n"/>
      <c r="D1224" s="46" t="n"/>
      <c r="E1224" s="47" t="n"/>
      <c r="F1224" s="47" t="n"/>
      <c r="G1224" s="48">
        <f t="shared" si="4"/>
      </c>
      <c r="H1224" s="43">
        <f t="shared" si="0"/>
      </c>
      <c r="I1224" s="43">
        <f t="shared" si="5"/>
      </c>
      <c r="J1224" s="43">
        <f t="shared" si="1"/>
      </c>
      <c r="K1224" s="49">
        <f t="shared" si="2"/>
      </c>
      <c r="L1224" s="45" t="n"/>
      <c r="M1224" s="45" t="n"/>
      <c r="N1224" s="45" t="n"/>
      <c r="O1224" s="45" t="n"/>
      <c r="P1224" s="50" t="n"/>
      <c r="R1224" s="2">
        <f t="shared" si="6"/>
        <v>0</v>
      </c>
      <c r="S1224" s="2">
        <f t="shared" si="7"/>
      </c>
      <c r="T1224" s="2">
        <f t="shared" si="8"/>
      </c>
      <c r="U1224" s="2">
        <f t="shared" si="9"/>
      </c>
      <c r="V1224" s="2">
        <f t="shared" si="10"/>
      </c>
      <c r="W1224" s="2">
        <f t="shared" si="11"/>
      </c>
      <c r="X1224" s="2">
        <f t="shared" si="12"/>
      </c>
      <c r="Y1224" s="2">
        <f t="shared" si="13"/>
        <v>0</v>
      </c>
      <c r="Z1224" s="2">
        <f t="shared" si="14"/>
      </c>
      <c r="AA1224" s="2">
        <f t="shared" si="15"/>
        <v>0</v>
      </c>
      <c r="AB1224" s="2">
        <f t="shared" si="16"/>
      </c>
      <c r="AC1224" s="2">
        <f t="shared" si="17"/>
      </c>
      <c r="AD1224" s="2">
        <f t="shared" si="18"/>
      </c>
      <c r="AE1224" s="2">
        <f t="shared" si="19"/>
      </c>
      <c r="AF1224" s="2">
        <f t="shared" si="20"/>
      </c>
      <c r="AG1224" s="2">
        <f t="shared" si="21"/>
      </c>
      <c r="AH1224" s="2">
        <f t="shared" si="22"/>
      </c>
      <c r="AI1224" s="2">
        <f t="shared" si="23"/>
      </c>
      <c r="AJ1224" s="2">
        <f t="shared" si="24"/>
        <v>0</v>
      </c>
      <c r="AK1224" s="2">
        <f t="shared" si="25"/>
        <v>0</v>
      </c>
      <c r="AL1224" s="2">
        <f t="shared" si="26"/>
        <v>0</v>
      </c>
      <c r="AM1224" s="2">
        <f t="shared" si="27"/>
        <v>0</v>
      </c>
      <c r="AN1224" s="2">
        <f t="shared" si="28"/>
        <v>0</v>
      </c>
      <c r="AO1224" s="2">
        <f t="shared" si="29"/>
      </c>
      <c r="AP1224" s="2">
        <f t="shared" si="30"/>
      </c>
      <c r="AQ1224" s="2">
        <f t="shared" si="31"/>
      </c>
    </row>
    <row r="1225">
      <c r="A1225" s="43">
        <f t="shared" si="3"/>
      </c>
      <c r="B1225" s="44" t="n"/>
      <c r="C1225" s="45" t="n"/>
      <c r="D1225" s="46" t="n"/>
      <c r="E1225" s="47" t="n"/>
      <c r="F1225" s="47" t="n"/>
      <c r="G1225" s="48">
        <f t="shared" si="4"/>
      </c>
      <c r="H1225" s="43">
        <f t="shared" si="0"/>
      </c>
      <c r="I1225" s="43">
        <f t="shared" si="5"/>
      </c>
      <c r="J1225" s="43">
        <f t="shared" si="1"/>
      </c>
      <c r="K1225" s="49">
        <f t="shared" si="2"/>
      </c>
      <c r="L1225" s="45" t="n"/>
      <c r="M1225" s="45" t="n"/>
      <c r="N1225" s="45" t="n"/>
      <c r="O1225" s="45" t="n"/>
      <c r="P1225" s="50" t="n"/>
      <c r="R1225" s="2">
        <f t="shared" si="6"/>
        <v>0</v>
      </c>
      <c r="S1225" s="2">
        <f t="shared" si="7"/>
      </c>
      <c r="T1225" s="2">
        <f t="shared" si="8"/>
      </c>
      <c r="U1225" s="2">
        <f t="shared" si="9"/>
      </c>
      <c r="V1225" s="2">
        <f t="shared" si="10"/>
      </c>
      <c r="W1225" s="2">
        <f t="shared" si="11"/>
      </c>
      <c r="X1225" s="2">
        <f t="shared" si="12"/>
      </c>
      <c r="Y1225" s="2">
        <f t="shared" si="13"/>
        <v>0</v>
      </c>
      <c r="Z1225" s="2">
        <f t="shared" si="14"/>
      </c>
      <c r="AA1225" s="2">
        <f t="shared" si="15"/>
        <v>0</v>
      </c>
      <c r="AB1225" s="2">
        <f t="shared" si="16"/>
      </c>
      <c r="AC1225" s="2">
        <f t="shared" si="17"/>
      </c>
      <c r="AD1225" s="2">
        <f t="shared" si="18"/>
      </c>
      <c r="AE1225" s="2">
        <f t="shared" si="19"/>
      </c>
      <c r="AF1225" s="2">
        <f t="shared" si="20"/>
      </c>
      <c r="AG1225" s="2">
        <f t="shared" si="21"/>
      </c>
      <c r="AH1225" s="2">
        <f t="shared" si="22"/>
      </c>
      <c r="AI1225" s="2">
        <f t="shared" si="23"/>
      </c>
      <c r="AJ1225" s="2">
        <f t="shared" si="24"/>
        <v>0</v>
      </c>
      <c r="AK1225" s="2">
        <f t="shared" si="25"/>
        <v>0</v>
      </c>
      <c r="AL1225" s="2">
        <f t="shared" si="26"/>
        <v>0</v>
      </c>
      <c r="AM1225" s="2">
        <f t="shared" si="27"/>
        <v>0</v>
      </c>
      <c r="AN1225" s="2">
        <f t="shared" si="28"/>
        <v>0</v>
      </c>
      <c r="AO1225" s="2">
        <f t="shared" si="29"/>
      </c>
      <c r="AP1225" s="2">
        <f t="shared" si="30"/>
      </c>
      <c r="AQ1225" s="2">
        <f t="shared" si="31"/>
      </c>
    </row>
    <row r="1226">
      <c r="A1226" s="43">
        <f t="shared" si="3"/>
      </c>
      <c r="B1226" s="44" t="n"/>
      <c r="C1226" s="45" t="n"/>
      <c r="D1226" s="46" t="n"/>
      <c r="E1226" s="47" t="n"/>
      <c r="F1226" s="47" t="n"/>
      <c r="G1226" s="48">
        <f t="shared" si="4"/>
      </c>
      <c r="H1226" s="43">
        <f t="shared" si="0"/>
      </c>
      <c r="I1226" s="43">
        <f t="shared" si="5"/>
      </c>
      <c r="J1226" s="43">
        <f t="shared" si="1"/>
      </c>
      <c r="K1226" s="49">
        <f t="shared" si="2"/>
      </c>
      <c r="L1226" s="45" t="n"/>
      <c r="M1226" s="45" t="n"/>
      <c r="N1226" s="45" t="n"/>
      <c r="O1226" s="45" t="n"/>
      <c r="P1226" s="50" t="n"/>
      <c r="R1226" s="2">
        <f t="shared" si="6"/>
        <v>0</v>
      </c>
      <c r="S1226" s="2">
        <f t="shared" si="7"/>
      </c>
      <c r="T1226" s="2">
        <f t="shared" si="8"/>
      </c>
      <c r="U1226" s="2">
        <f t="shared" si="9"/>
      </c>
      <c r="V1226" s="2">
        <f t="shared" si="10"/>
      </c>
      <c r="W1226" s="2">
        <f t="shared" si="11"/>
      </c>
      <c r="X1226" s="2">
        <f t="shared" si="12"/>
      </c>
      <c r="Y1226" s="2">
        <f t="shared" si="13"/>
        <v>0</v>
      </c>
      <c r="Z1226" s="2">
        <f t="shared" si="14"/>
      </c>
      <c r="AA1226" s="2">
        <f t="shared" si="15"/>
        <v>0</v>
      </c>
      <c r="AB1226" s="2">
        <f t="shared" si="16"/>
      </c>
      <c r="AC1226" s="2">
        <f t="shared" si="17"/>
      </c>
      <c r="AD1226" s="2">
        <f t="shared" si="18"/>
      </c>
      <c r="AE1226" s="2">
        <f t="shared" si="19"/>
      </c>
      <c r="AF1226" s="2">
        <f t="shared" si="20"/>
      </c>
      <c r="AG1226" s="2">
        <f t="shared" si="21"/>
      </c>
      <c r="AH1226" s="2">
        <f t="shared" si="22"/>
      </c>
      <c r="AI1226" s="2">
        <f t="shared" si="23"/>
      </c>
      <c r="AJ1226" s="2">
        <f t="shared" si="24"/>
        <v>0</v>
      </c>
      <c r="AK1226" s="2">
        <f t="shared" si="25"/>
        <v>0</v>
      </c>
      <c r="AL1226" s="2">
        <f t="shared" si="26"/>
        <v>0</v>
      </c>
      <c r="AM1226" s="2">
        <f t="shared" si="27"/>
        <v>0</v>
      </c>
      <c r="AN1226" s="2">
        <f t="shared" si="28"/>
        <v>0</v>
      </c>
      <c r="AO1226" s="2">
        <f t="shared" si="29"/>
      </c>
      <c r="AP1226" s="2">
        <f t="shared" si="30"/>
      </c>
      <c r="AQ1226" s="2">
        <f t="shared" si="31"/>
      </c>
    </row>
    <row r="1227">
      <c r="A1227" s="43">
        <f t="shared" si="3"/>
      </c>
      <c r="B1227" s="44" t="n"/>
      <c r="C1227" s="45" t="n"/>
      <c r="D1227" s="46" t="n"/>
      <c r="E1227" s="47" t="n"/>
      <c r="F1227" s="47" t="n"/>
      <c r="G1227" s="48">
        <f t="shared" si="4"/>
      </c>
      <c r="H1227" s="43">
        <f t="shared" si="0"/>
      </c>
      <c r="I1227" s="43">
        <f t="shared" si="5"/>
      </c>
      <c r="J1227" s="43">
        <f t="shared" si="1"/>
      </c>
      <c r="K1227" s="49">
        <f t="shared" si="2"/>
      </c>
      <c r="L1227" s="45" t="n"/>
      <c r="M1227" s="45" t="n"/>
      <c r="N1227" s="45" t="n"/>
      <c r="O1227" s="45" t="n"/>
      <c r="P1227" s="50" t="n"/>
      <c r="R1227" s="2">
        <f t="shared" si="6"/>
        <v>0</v>
      </c>
      <c r="S1227" s="2">
        <f t="shared" si="7"/>
      </c>
      <c r="T1227" s="2">
        <f t="shared" si="8"/>
      </c>
      <c r="U1227" s="2">
        <f t="shared" si="9"/>
      </c>
      <c r="V1227" s="2">
        <f t="shared" si="10"/>
      </c>
      <c r="W1227" s="2">
        <f t="shared" si="11"/>
      </c>
      <c r="X1227" s="2">
        <f t="shared" si="12"/>
      </c>
      <c r="Y1227" s="2">
        <f t="shared" si="13"/>
        <v>0</v>
      </c>
      <c r="Z1227" s="2">
        <f t="shared" si="14"/>
      </c>
      <c r="AA1227" s="2">
        <f t="shared" si="15"/>
        <v>0</v>
      </c>
      <c r="AB1227" s="2">
        <f t="shared" si="16"/>
      </c>
      <c r="AC1227" s="2">
        <f t="shared" si="17"/>
      </c>
      <c r="AD1227" s="2">
        <f t="shared" si="18"/>
      </c>
      <c r="AE1227" s="2">
        <f t="shared" si="19"/>
      </c>
      <c r="AF1227" s="2">
        <f t="shared" si="20"/>
      </c>
      <c r="AG1227" s="2">
        <f t="shared" si="21"/>
      </c>
      <c r="AH1227" s="2">
        <f t="shared" si="22"/>
      </c>
      <c r="AI1227" s="2">
        <f t="shared" si="23"/>
      </c>
      <c r="AJ1227" s="2">
        <f t="shared" si="24"/>
        <v>0</v>
      </c>
      <c r="AK1227" s="2">
        <f t="shared" si="25"/>
        <v>0</v>
      </c>
      <c r="AL1227" s="2">
        <f t="shared" si="26"/>
        <v>0</v>
      </c>
      <c r="AM1227" s="2">
        <f t="shared" si="27"/>
        <v>0</v>
      </c>
      <c r="AN1227" s="2">
        <f t="shared" si="28"/>
        <v>0</v>
      </c>
      <c r="AO1227" s="2">
        <f t="shared" si="29"/>
      </c>
      <c r="AP1227" s="2">
        <f t="shared" si="30"/>
      </c>
      <c r="AQ1227" s="2">
        <f t="shared" si="31"/>
      </c>
    </row>
    <row r="1228">
      <c r="A1228" s="43">
        <f t="shared" si="3"/>
      </c>
      <c r="B1228" s="44" t="n"/>
      <c r="C1228" s="45" t="n"/>
      <c r="D1228" s="46" t="n"/>
      <c r="E1228" s="47" t="n"/>
      <c r="F1228" s="47" t="n"/>
      <c r="G1228" s="48">
        <f t="shared" si="4"/>
      </c>
      <c r="H1228" s="43">
        <f t="shared" si="0"/>
      </c>
      <c r="I1228" s="43">
        <f t="shared" si="5"/>
      </c>
      <c r="J1228" s="43">
        <f t="shared" si="1"/>
      </c>
      <c r="K1228" s="49">
        <f t="shared" si="2"/>
      </c>
      <c r="L1228" s="45" t="n"/>
      <c r="M1228" s="45" t="n"/>
      <c r="N1228" s="45" t="n"/>
      <c r="O1228" s="45" t="n"/>
      <c r="P1228" s="50" t="n"/>
      <c r="R1228" s="2">
        <f t="shared" si="6"/>
        <v>0</v>
      </c>
      <c r="S1228" s="2">
        <f t="shared" si="7"/>
      </c>
      <c r="T1228" s="2">
        <f t="shared" si="8"/>
      </c>
      <c r="U1228" s="2">
        <f t="shared" si="9"/>
      </c>
      <c r="V1228" s="2">
        <f t="shared" si="10"/>
      </c>
      <c r="W1228" s="2">
        <f t="shared" si="11"/>
      </c>
      <c r="X1228" s="2">
        <f t="shared" si="12"/>
      </c>
      <c r="Y1228" s="2">
        <f t="shared" si="13"/>
        <v>0</v>
      </c>
      <c r="Z1228" s="2">
        <f t="shared" si="14"/>
      </c>
      <c r="AA1228" s="2">
        <f t="shared" si="15"/>
        <v>0</v>
      </c>
      <c r="AB1228" s="2">
        <f t="shared" si="16"/>
      </c>
      <c r="AC1228" s="2">
        <f t="shared" si="17"/>
      </c>
      <c r="AD1228" s="2">
        <f t="shared" si="18"/>
      </c>
      <c r="AE1228" s="2">
        <f t="shared" si="19"/>
      </c>
      <c r="AF1228" s="2">
        <f t="shared" si="20"/>
      </c>
      <c r="AG1228" s="2">
        <f t="shared" si="21"/>
      </c>
      <c r="AH1228" s="2">
        <f t="shared" si="22"/>
      </c>
      <c r="AI1228" s="2">
        <f t="shared" si="23"/>
      </c>
      <c r="AJ1228" s="2">
        <f t="shared" si="24"/>
        <v>0</v>
      </c>
      <c r="AK1228" s="2">
        <f t="shared" si="25"/>
        <v>0</v>
      </c>
      <c r="AL1228" s="2">
        <f t="shared" si="26"/>
        <v>0</v>
      </c>
      <c r="AM1228" s="2">
        <f t="shared" si="27"/>
        <v>0</v>
      </c>
      <c r="AN1228" s="2">
        <f t="shared" si="28"/>
        <v>0</v>
      </c>
      <c r="AO1228" s="2">
        <f t="shared" si="29"/>
      </c>
      <c r="AP1228" s="2">
        <f t="shared" si="30"/>
      </c>
      <c r="AQ1228" s="2">
        <f t="shared" si="31"/>
      </c>
    </row>
    <row r="1229">
      <c r="A1229" s="43">
        <f t="shared" si="3"/>
      </c>
      <c r="B1229" s="44" t="n"/>
      <c r="C1229" s="45" t="n"/>
      <c r="D1229" s="46" t="n"/>
      <c r="E1229" s="47" t="n"/>
      <c r="F1229" s="47" t="n"/>
      <c r="G1229" s="48">
        <f t="shared" si="4"/>
      </c>
      <c r="H1229" s="43">
        <f t="shared" si="0"/>
      </c>
      <c r="I1229" s="43">
        <f t="shared" si="5"/>
      </c>
      <c r="J1229" s="43">
        <f t="shared" si="1"/>
      </c>
      <c r="K1229" s="49">
        <f t="shared" si="2"/>
      </c>
      <c r="L1229" s="45" t="n"/>
      <c r="M1229" s="45" t="n"/>
      <c r="N1229" s="45" t="n"/>
      <c r="O1229" s="45" t="n"/>
      <c r="P1229" s="50" t="n"/>
      <c r="R1229" s="2">
        <f t="shared" si="6"/>
        <v>0</v>
      </c>
      <c r="S1229" s="2">
        <f t="shared" si="7"/>
      </c>
      <c r="T1229" s="2">
        <f t="shared" si="8"/>
      </c>
      <c r="U1229" s="2">
        <f t="shared" si="9"/>
      </c>
      <c r="V1229" s="2">
        <f t="shared" si="10"/>
      </c>
      <c r="W1229" s="2">
        <f t="shared" si="11"/>
      </c>
      <c r="X1229" s="2">
        <f t="shared" si="12"/>
      </c>
      <c r="Y1229" s="2">
        <f t="shared" si="13"/>
        <v>0</v>
      </c>
      <c r="Z1229" s="2">
        <f t="shared" si="14"/>
      </c>
      <c r="AA1229" s="2">
        <f t="shared" si="15"/>
        <v>0</v>
      </c>
      <c r="AB1229" s="2">
        <f t="shared" si="16"/>
      </c>
      <c r="AC1229" s="2">
        <f t="shared" si="17"/>
      </c>
      <c r="AD1229" s="2">
        <f t="shared" si="18"/>
      </c>
      <c r="AE1229" s="2">
        <f t="shared" si="19"/>
      </c>
      <c r="AF1229" s="2">
        <f t="shared" si="20"/>
      </c>
      <c r="AG1229" s="2">
        <f t="shared" si="21"/>
      </c>
      <c r="AH1229" s="2">
        <f t="shared" si="22"/>
      </c>
      <c r="AI1229" s="2">
        <f t="shared" si="23"/>
      </c>
      <c r="AJ1229" s="2">
        <f t="shared" si="24"/>
        <v>0</v>
      </c>
      <c r="AK1229" s="2">
        <f t="shared" si="25"/>
        <v>0</v>
      </c>
      <c r="AL1229" s="2">
        <f t="shared" si="26"/>
        <v>0</v>
      </c>
      <c r="AM1229" s="2">
        <f t="shared" si="27"/>
        <v>0</v>
      </c>
      <c r="AN1229" s="2">
        <f t="shared" si="28"/>
        <v>0</v>
      </c>
      <c r="AO1229" s="2">
        <f t="shared" si="29"/>
      </c>
      <c r="AP1229" s="2">
        <f t="shared" si="30"/>
      </c>
      <c r="AQ1229" s="2">
        <f t="shared" si="31"/>
      </c>
    </row>
    <row r="1230">
      <c r="A1230" s="43">
        <f t="shared" si="3"/>
      </c>
      <c r="B1230" s="44" t="n"/>
      <c r="C1230" s="45" t="n"/>
      <c r="D1230" s="46" t="n"/>
      <c r="E1230" s="47" t="n"/>
      <c r="F1230" s="47" t="n"/>
      <c r="G1230" s="48">
        <f t="shared" si="4"/>
      </c>
      <c r="H1230" s="43">
        <f t="shared" si="0"/>
      </c>
      <c r="I1230" s="43">
        <f t="shared" si="5"/>
      </c>
      <c r="J1230" s="43">
        <f t="shared" si="1"/>
      </c>
      <c r="K1230" s="49">
        <f t="shared" si="2"/>
      </c>
      <c r="L1230" s="45" t="n"/>
      <c r="M1230" s="45" t="n"/>
      <c r="N1230" s="45" t="n"/>
      <c r="O1230" s="45" t="n"/>
      <c r="P1230" s="50" t="n"/>
      <c r="R1230" s="2">
        <f t="shared" si="6"/>
        <v>0</v>
      </c>
      <c r="S1230" s="2">
        <f t="shared" si="7"/>
      </c>
      <c r="T1230" s="2">
        <f t="shared" si="8"/>
      </c>
      <c r="U1230" s="2">
        <f t="shared" si="9"/>
      </c>
      <c r="V1230" s="2">
        <f t="shared" si="10"/>
      </c>
      <c r="W1230" s="2">
        <f t="shared" si="11"/>
      </c>
      <c r="X1230" s="2">
        <f t="shared" si="12"/>
      </c>
      <c r="Y1230" s="2">
        <f t="shared" si="13"/>
        <v>0</v>
      </c>
      <c r="Z1230" s="2">
        <f t="shared" si="14"/>
      </c>
      <c r="AA1230" s="2">
        <f t="shared" si="15"/>
        <v>0</v>
      </c>
      <c r="AB1230" s="2">
        <f t="shared" si="16"/>
      </c>
      <c r="AC1230" s="2">
        <f t="shared" si="17"/>
      </c>
      <c r="AD1230" s="2">
        <f t="shared" si="18"/>
      </c>
      <c r="AE1230" s="2">
        <f t="shared" si="19"/>
      </c>
      <c r="AF1230" s="2">
        <f t="shared" si="20"/>
      </c>
      <c r="AG1230" s="2">
        <f t="shared" si="21"/>
      </c>
      <c r="AH1230" s="2">
        <f t="shared" si="22"/>
      </c>
      <c r="AI1230" s="2">
        <f t="shared" si="23"/>
      </c>
      <c r="AJ1230" s="2">
        <f t="shared" si="24"/>
        <v>0</v>
      </c>
      <c r="AK1230" s="2">
        <f t="shared" si="25"/>
        <v>0</v>
      </c>
      <c r="AL1230" s="2">
        <f t="shared" si="26"/>
        <v>0</v>
      </c>
      <c r="AM1230" s="2">
        <f t="shared" si="27"/>
        <v>0</v>
      </c>
      <c r="AN1230" s="2">
        <f t="shared" si="28"/>
        <v>0</v>
      </c>
      <c r="AO1230" s="2">
        <f t="shared" si="29"/>
      </c>
      <c r="AP1230" s="2">
        <f t="shared" si="30"/>
      </c>
      <c r="AQ1230" s="2">
        <f t="shared" si="31"/>
      </c>
    </row>
    <row r="1231">
      <c r="A1231" s="43">
        <f t="shared" si="3"/>
      </c>
      <c r="B1231" s="44" t="n"/>
      <c r="C1231" s="45" t="n"/>
      <c r="D1231" s="46" t="n"/>
      <c r="E1231" s="47" t="n"/>
      <c r="F1231" s="47" t="n"/>
      <c r="G1231" s="48">
        <f t="shared" si="4"/>
      </c>
      <c r="H1231" s="43">
        <f t="shared" si="0"/>
      </c>
      <c r="I1231" s="43">
        <f t="shared" si="5"/>
      </c>
      <c r="J1231" s="43">
        <f t="shared" si="1"/>
      </c>
      <c r="K1231" s="49">
        <f t="shared" si="2"/>
      </c>
      <c r="L1231" s="45" t="n"/>
      <c r="M1231" s="45" t="n"/>
      <c r="N1231" s="45" t="n"/>
      <c r="O1231" s="45" t="n"/>
      <c r="P1231" s="50" t="n"/>
      <c r="R1231" s="2">
        <f t="shared" si="6"/>
        <v>0</v>
      </c>
      <c r="S1231" s="2">
        <f t="shared" si="7"/>
      </c>
      <c r="T1231" s="2">
        <f t="shared" si="8"/>
      </c>
      <c r="U1231" s="2">
        <f t="shared" si="9"/>
      </c>
      <c r="V1231" s="2">
        <f t="shared" si="10"/>
      </c>
      <c r="W1231" s="2">
        <f t="shared" si="11"/>
      </c>
      <c r="X1231" s="2">
        <f t="shared" si="12"/>
      </c>
      <c r="Y1231" s="2">
        <f t="shared" si="13"/>
        <v>0</v>
      </c>
      <c r="Z1231" s="2">
        <f t="shared" si="14"/>
      </c>
      <c r="AA1231" s="2">
        <f t="shared" si="15"/>
        <v>0</v>
      </c>
      <c r="AB1231" s="2">
        <f t="shared" si="16"/>
      </c>
      <c r="AC1231" s="2">
        <f t="shared" si="17"/>
      </c>
      <c r="AD1231" s="2">
        <f t="shared" si="18"/>
      </c>
      <c r="AE1231" s="2">
        <f t="shared" si="19"/>
      </c>
      <c r="AF1231" s="2">
        <f t="shared" si="20"/>
      </c>
      <c r="AG1231" s="2">
        <f t="shared" si="21"/>
      </c>
      <c r="AH1231" s="2">
        <f t="shared" si="22"/>
      </c>
      <c r="AI1231" s="2">
        <f t="shared" si="23"/>
      </c>
      <c r="AJ1231" s="2">
        <f t="shared" si="24"/>
        <v>0</v>
      </c>
      <c r="AK1231" s="2">
        <f t="shared" si="25"/>
        <v>0</v>
      </c>
      <c r="AL1231" s="2">
        <f t="shared" si="26"/>
        <v>0</v>
      </c>
      <c r="AM1231" s="2">
        <f t="shared" si="27"/>
        <v>0</v>
      </c>
      <c r="AN1231" s="2">
        <f t="shared" si="28"/>
        <v>0</v>
      </c>
      <c r="AO1231" s="2">
        <f t="shared" si="29"/>
      </c>
      <c r="AP1231" s="2">
        <f t="shared" si="30"/>
      </c>
      <c r="AQ1231" s="2">
        <f t="shared" si="31"/>
      </c>
    </row>
    <row r="1232">
      <c r="A1232" s="43">
        <f t="shared" si="3"/>
      </c>
      <c r="B1232" s="44" t="n"/>
      <c r="C1232" s="45" t="n"/>
      <c r="D1232" s="46" t="n"/>
      <c r="E1232" s="47" t="n"/>
      <c r="F1232" s="47" t="n"/>
      <c r="G1232" s="48">
        <f t="shared" si="4"/>
      </c>
      <c r="H1232" s="43">
        <f t="shared" si="0"/>
      </c>
      <c r="I1232" s="43">
        <f t="shared" si="5"/>
      </c>
      <c r="J1232" s="43">
        <f t="shared" si="1"/>
      </c>
      <c r="K1232" s="49">
        <f t="shared" si="2"/>
      </c>
      <c r="L1232" s="45" t="n"/>
      <c r="M1232" s="45" t="n"/>
      <c r="N1232" s="45" t="n"/>
      <c r="O1232" s="45" t="n"/>
      <c r="P1232" s="50" t="n"/>
      <c r="R1232" s="2">
        <f t="shared" si="6"/>
        <v>0</v>
      </c>
      <c r="S1232" s="2">
        <f t="shared" si="7"/>
      </c>
      <c r="T1232" s="2">
        <f t="shared" si="8"/>
      </c>
      <c r="U1232" s="2">
        <f t="shared" si="9"/>
      </c>
      <c r="V1232" s="2">
        <f t="shared" si="10"/>
      </c>
      <c r="W1232" s="2">
        <f t="shared" si="11"/>
      </c>
      <c r="X1232" s="2">
        <f t="shared" si="12"/>
      </c>
      <c r="Y1232" s="2">
        <f t="shared" si="13"/>
        <v>0</v>
      </c>
      <c r="Z1232" s="2">
        <f t="shared" si="14"/>
      </c>
      <c r="AA1232" s="2">
        <f t="shared" si="15"/>
        <v>0</v>
      </c>
      <c r="AB1232" s="2">
        <f t="shared" si="16"/>
      </c>
      <c r="AC1232" s="2">
        <f t="shared" si="17"/>
      </c>
      <c r="AD1232" s="2">
        <f t="shared" si="18"/>
      </c>
      <c r="AE1232" s="2">
        <f t="shared" si="19"/>
      </c>
      <c r="AF1232" s="2">
        <f t="shared" si="20"/>
      </c>
      <c r="AG1232" s="2">
        <f t="shared" si="21"/>
      </c>
      <c r="AH1232" s="2">
        <f t="shared" si="22"/>
      </c>
      <c r="AI1232" s="2">
        <f t="shared" si="23"/>
      </c>
      <c r="AJ1232" s="2">
        <f t="shared" si="24"/>
        <v>0</v>
      </c>
      <c r="AK1232" s="2">
        <f t="shared" si="25"/>
        <v>0</v>
      </c>
      <c r="AL1232" s="2">
        <f t="shared" si="26"/>
        <v>0</v>
      </c>
      <c r="AM1232" s="2">
        <f t="shared" si="27"/>
        <v>0</v>
      </c>
      <c r="AN1232" s="2">
        <f t="shared" si="28"/>
        <v>0</v>
      </c>
      <c r="AO1232" s="2">
        <f t="shared" si="29"/>
      </c>
      <c r="AP1232" s="2">
        <f t="shared" si="30"/>
      </c>
      <c r="AQ1232" s="2">
        <f t="shared" si="31"/>
      </c>
    </row>
    <row r="1233">
      <c r="A1233" s="43">
        <f t="shared" si="3"/>
      </c>
      <c r="B1233" s="44" t="n"/>
      <c r="C1233" s="45" t="n"/>
      <c r="D1233" s="46" t="n"/>
      <c r="E1233" s="47" t="n"/>
      <c r="F1233" s="47" t="n"/>
      <c r="G1233" s="48">
        <f t="shared" si="4"/>
      </c>
      <c r="H1233" s="43">
        <f t="shared" si="0"/>
      </c>
      <c r="I1233" s="43">
        <f t="shared" si="5"/>
      </c>
      <c r="J1233" s="43">
        <f t="shared" si="1"/>
      </c>
      <c r="K1233" s="49">
        <f t="shared" si="2"/>
      </c>
      <c r="L1233" s="45" t="n"/>
      <c r="M1233" s="45" t="n"/>
      <c r="N1233" s="45" t="n"/>
      <c r="O1233" s="45" t="n"/>
      <c r="P1233" s="50" t="n"/>
      <c r="R1233" s="2">
        <f t="shared" si="6"/>
        <v>0</v>
      </c>
      <c r="S1233" s="2">
        <f t="shared" si="7"/>
      </c>
      <c r="T1233" s="2">
        <f t="shared" si="8"/>
      </c>
      <c r="U1233" s="2">
        <f t="shared" si="9"/>
      </c>
      <c r="V1233" s="2">
        <f t="shared" si="10"/>
      </c>
      <c r="W1233" s="2">
        <f t="shared" si="11"/>
      </c>
      <c r="X1233" s="2">
        <f t="shared" si="12"/>
      </c>
      <c r="Y1233" s="2">
        <f t="shared" si="13"/>
        <v>0</v>
      </c>
      <c r="Z1233" s="2">
        <f t="shared" si="14"/>
      </c>
      <c r="AA1233" s="2">
        <f t="shared" si="15"/>
        <v>0</v>
      </c>
      <c r="AB1233" s="2">
        <f t="shared" si="16"/>
      </c>
      <c r="AC1233" s="2">
        <f t="shared" si="17"/>
      </c>
      <c r="AD1233" s="2">
        <f t="shared" si="18"/>
      </c>
      <c r="AE1233" s="2">
        <f t="shared" si="19"/>
      </c>
      <c r="AF1233" s="2">
        <f t="shared" si="20"/>
      </c>
      <c r="AG1233" s="2">
        <f t="shared" si="21"/>
      </c>
      <c r="AH1233" s="2">
        <f t="shared" si="22"/>
      </c>
      <c r="AI1233" s="2">
        <f t="shared" si="23"/>
      </c>
      <c r="AJ1233" s="2">
        <f t="shared" si="24"/>
        <v>0</v>
      </c>
      <c r="AK1233" s="2">
        <f t="shared" si="25"/>
        <v>0</v>
      </c>
      <c r="AL1233" s="2">
        <f t="shared" si="26"/>
        <v>0</v>
      </c>
      <c r="AM1233" s="2">
        <f t="shared" si="27"/>
        <v>0</v>
      </c>
      <c r="AN1233" s="2">
        <f t="shared" si="28"/>
        <v>0</v>
      </c>
      <c r="AO1233" s="2">
        <f t="shared" si="29"/>
      </c>
      <c r="AP1233" s="2">
        <f t="shared" si="30"/>
      </c>
      <c r="AQ1233" s="2">
        <f t="shared" si="31"/>
      </c>
    </row>
    <row r="1234">
      <c r="A1234" s="43">
        <f t="shared" si="3"/>
      </c>
      <c r="B1234" s="44" t="n"/>
      <c r="C1234" s="45" t="n"/>
      <c r="D1234" s="46" t="n"/>
      <c r="E1234" s="47" t="n"/>
      <c r="F1234" s="47" t="n"/>
      <c r="G1234" s="48">
        <f t="shared" si="4"/>
      </c>
      <c r="H1234" s="43">
        <f t="shared" si="0"/>
      </c>
      <c r="I1234" s="43">
        <f t="shared" si="5"/>
      </c>
      <c r="J1234" s="43">
        <f t="shared" si="1"/>
      </c>
      <c r="K1234" s="49">
        <f t="shared" si="2"/>
      </c>
      <c r="L1234" s="45" t="n"/>
      <c r="M1234" s="45" t="n"/>
      <c r="N1234" s="45" t="n"/>
      <c r="O1234" s="45" t="n"/>
      <c r="P1234" s="50" t="n"/>
      <c r="R1234" s="2">
        <f t="shared" si="6"/>
        <v>0</v>
      </c>
      <c r="S1234" s="2">
        <f t="shared" si="7"/>
      </c>
      <c r="T1234" s="2">
        <f t="shared" si="8"/>
      </c>
      <c r="U1234" s="2">
        <f t="shared" si="9"/>
      </c>
      <c r="V1234" s="2">
        <f t="shared" si="10"/>
      </c>
      <c r="W1234" s="2">
        <f t="shared" si="11"/>
      </c>
      <c r="X1234" s="2">
        <f t="shared" si="12"/>
      </c>
      <c r="Y1234" s="2">
        <f t="shared" si="13"/>
        <v>0</v>
      </c>
      <c r="Z1234" s="2">
        <f t="shared" si="14"/>
      </c>
      <c r="AA1234" s="2">
        <f t="shared" si="15"/>
        <v>0</v>
      </c>
      <c r="AB1234" s="2">
        <f t="shared" si="16"/>
      </c>
      <c r="AC1234" s="2">
        <f t="shared" si="17"/>
      </c>
      <c r="AD1234" s="2">
        <f t="shared" si="18"/>
      </c>
      <c r="AE1234" s="2">
        <f t="shared" si="19"/>
      </c>
      <c r="AF1234" s="2">
        <f t="shared" si="20"/>
      </c>
      <c r="AG1234" s="2">
        <f t="shared" si="21"/>
      </c>
      <c r="AH1234" s="2">
        <f t="shared" si="22"/>
      </c>
      <c r="AI1234" s="2">
        <f t="shared" si="23"/>
      </c>
      <c r="AJ1234" s="2">
        <f t="shared" si="24"/>
        <v>0</v>
      </c>
      <c r="AK1234" s="2">
        <f t="shared" si="25"/>
        <v>0</v>
      </c>
      <c r="AL1234" s="2">
        <f t="shared" si="26"/>
        <v>0</v>
      </c>
      <c r="AM1234" s="2">
        <f t="shared" si="27"/>
        <v>0</v>
      </c>
      <c r="AN1234" s="2">
        <f t="shared" si="28"/>
        <v>0</v>
      </c>
      <c r="AO1234" s="2">
        <f t="shared" si="29"/>
      </c>
      <c r="AP1234" s="2">
        <f t="shared" si="30"/>
      </c>
      <c r="AQ1234" s="2">
        <f t="shared" si="31"/>
      </c>
    </row>
    <row r="1235">
      <c r="A1235" s="43">
        <f t="shared" si="3"/>
      </c>
      <c r="B1235" s="44" t="n"/>
      <c r="C1235" s="45" t="n"/>
      <c r="D1235" s="46" t="n"/>
      <c r="E1235" s="47" t="n"/>
      <c r="F1235" s="47" t="n"/>
      <c r="G1235" s="48">
        <f t="shared" si="4"/>
      </c>
      <c r="H1235" s="43">
        <f t="shared" si="0"/>
      </c>
      <c r="I1235" s="43">
        <f t="shared" si="5"/>
      </c>
      <c r="J1235" s="43">
        <f t="shared" si="1"/>
      </c>
      <c r="K1235" s="49">
        <f t="shared" si="2"/>
      </c>
      <c r="L1235" s="45" t="n"/>
      <c r="M1235" s="45" t="n"/>
      <c r="N1235" s="45" t="n"/>
      <c r="O1235" s="45" t="n"/>
      <c r="P1235" s="50" t="n"/>
      <c r="R1235" s="2">
        <f t="shared" si="6"/>
        <v>0</v>
      </c>
      <c r="S1235" s="2">
        <f t="shared" si="7"/>
      </c>
      <c r="T1235" s="2">
        <f t="shared" si="8"/>
      </c>
      <c r="U1235" s="2">
        <f t="shared" si="9"/>
      </c>
      <c r="V1235" s="2">
        <f t="shared" si="10"/>
      </c>
      <c r="W1235" s="2">
        <f t="shared" si="11"/>
      </c>
      <c r="X1235" s="2">
        <f t="shared" si="12"/>
      </c>
      <c r="Y1235" s="2">
        <f t="shared" si="13"/>
        <v>0</v>
      </c>
      <c r="Z1235" s="2">
        <f t="shared" si="14"/>
      </c>
      <c r="AA1235" s="2">
        <f t="shared" si="15"/>
        <v>0</v>
      </c>
      <c r="AB1235" s="2">
        <f t="shared" si="16"/>
      </c>
      <c r="AC1235" s="2">
        <f t="shared" si="17"/>
      </c>
      <c r="AD1235" s="2">
        <f t="shared" si="18"/>
      </c>
      <c r="AE1235" s="2">
        <f t="shared" si="19"/>
      </c>
      <c r="AF1235" s="2">
        <f t="shared" si="20"/>
      </c>
      <c r="AG1235" s="2">
        <f t="shared" si="21"/>
      </c>
      <c r="AH1235" s="2">
        <f t="shared" si="22"/>
      </c>
      <c r="AI1235" s="2">
        <f t="shared" si="23"/>
      </c>
      <c r="AJ1235" s="2">
        <f t="shared" si="24"/>
        <v>0</v>
      </c>
      <c r="AK1235" s="2">
        <f t="shared" si="25"/>
        <v>0</v>
      </c>
      <c r="AL1235" s="2">
        <f t="shared" si="26"/>
        <v>0</v>
      </c>
      <c r="AM1235" s="2">
        <f t="shared" si="27"/>
        <v>0</v>
      </c>
      <c r="AN1235" s="2">
        <f t="shared" si="28"/>
        <v>0</v>
      </c>
      <c r="AO1235" s="2">
        <f t="shared" si="29"/>
      </c>
      <c r="AP1235" s="2">
        <f t="shared" si="30"/>
      </c>
      <c r="AQ1235" s="2">
        <f t="shared" si="31"/>
      </c>
    </row>
    <row r="1236">
      <c r="A1236" s="43">
        <f t="shared" si="3"/>
      </c>
      <c r="B1236" s="44" t="n"/>
      <c r="C1236" s="45" t="n"/>
      <c r="D1236" s="46" t="n"/>
      <c r="E1236" s="47" t="n"/>
      <c r="F1236" s="47" t="n"/>
      <c r="G1236" s="48">
        <f t="shared" si="4"/>
      </c>
      <c r="H1236" s="43">
        <f t="shared" si="0"/>
      </c>
      <c r="I1236" s="43">
        <f t="shared" si="5"/>
      </c>
      <c r="J1236" s="43">
        <f t="shared" si="1"/>
      </c>
      <c r="K1236" s="49">
        <f t="shared" si="2"/>
      </c>
      <c r="L1236" s="45" t="n"/>
      <c r="M1236" s="45" t="n"/>
      <c r="N1236" s="45" t="n"/>
      <c r="O1236" s="45" t="n"/>
      <c r="P1236" s="50" t="n"/>
      <c r="R1236" s="2">
        <f t="shared" si="6"/>
        <v>0</v>
      </c>
      <c r="S1236" s="2">
        <f t="shared" si="7"/>
      </c>
      <c r="T1236" s="2">
        <f t="shared" si="8"/>
      </c>
      <c r="U1236" s="2">
        <f t="shared" si="9"/>
      </c>
      <c r="V1236" s="2">
        <f t="shared" si="10"/>
      </c>
      <c r="W1236" s="2">
        <f t="shared" si="11"/>
      </c>
      <c r="X1236" s="2">
        <f t="shared" si="12"/>
      </c>
      <c r="Y1236" s="2">
        <f t="shared" si="13"/>
        <v>0</v>
      </c>
      <c r="Z1236" s="2">
        <f t="shared" si="14"/>
      </c>
      <c r="AA1236" s="2">
        <f t="shared" si="15"/>
        <v>0</v>
      </c>
      <c r="AB1236" s="2">
        <f t="shared" si="16"/>
      </c>
      <c r="AC1236" s="2">
        <f t="shared" si="17"/>
      </c>
      <c r="AD1236" s="2">
        <f t="shared" si="18"/>
      </c>
      <c r="AE1236" s="2">
        <f t="shared" si="19"/>
      </c>
      <c r="AF1236" s="2">
        <f t="shared" si="20"/>
      </c>
      <c r="AG1236" s="2">
        <f t="shared" si="21"/>
      </c>
      <c r="AH1236" s="2">
        <f t="shared" si="22"/>
      </c>
      <c r="AI1236" s="2">
        <f t="shared" si="23"/>
      </c>
      <c r="AJ1236" s="2">
        <f t="shared" si="24"/>
        <v>0</v>
      </c>
      <c r="AK1236" s="2">
        <f t="shared" si="25"/>
        <v>0</v>
      </c>
      <c r="AL1236" s="2">
        <f t="shared" si="26"/>
        <v>0</v>
      </c>
      <c r="AM1236" s="2">
        <f t="shared" si="27"/>
        <v>0</v>
      </c>
      <c r="AN1236" s="2">
        <f t="shared" si="28"/>
        <v>0</v>
      </c>
      <c r="AO1236" s="2">
        <f t="shared" si="29"/>
      </c>
      <c r="AP1236" s="2">
        <f t="shared" si="30"/>
      </c>
      <c r="AQ1236" s="2">
        <f t="shared" si="31"/>
      </c>
    </row>
    <row r="1237">
      <c r="A1237" s="43">
        <f t="shared" si="3"/>
      </c>
      <c r="B1237" s="44" t="n"/>
      <c r="C1237" s="45" t="n"/>
      <c r="D1237" s="46" t="n"/>
      <c r="E1237" s="47" t="n"/>
      <c r="F1237" s="47" t="n"/>
      <c r="G1237" s="48">
        <f t="shared" si="4"/>
      </c>
      <c r="H1237" s="43">
        <f t="shared" si="0"/>
      </c>
      <c r="I1237" s="43">
        <f t="shared" si="5"/>
      </c>
      <c r="J1237" s="43">
        <f t="shared" si="1"/>
      </c>
      <c r="K1237" s="49">
        <f t="shared" si="2"/>
      </c>
      <c r="L1237" s="45" t="n"/>
      <c r="M1237" s="45" t="n"/>
      <c r="N1237" s="45" t="n"/>
      <c r="O1237" s="45" t="n"/>
      <c r="P1237" s="50" t="n"/>
      <c r="R1237" s="2">
        <f t="shared" si="6"/>
        <v>0</v>
      </c>
      <c r="S1237" s="2">
        <f t="shared" si="7"/>
      </c>
      <c r="T1237" s="2">
        <f t="shared" si="8"/>
      </c>
      <c r="U1237" s="2">
        <f t="shared" si="9"/>
      </c>
      <c r="V1237" s="2">
        <f t="shared" si="10"/>
      </c>
      <c r="W1237" s="2">
        <f t="shared" si="11"/>
      </c>
      <c r="X1237" s="2">
        <f t="shared" si="12"/>
      </c>
      <c r="Y1237" s="2">
        <f t="shared" si="13"/>
        <v>0</v>
      </c>
      <c r="Z1237" s="2">
        <f t="shared" si="14"/>
      </c>
      <c r="AA1237" s="2">
        <f t="shared" si="15"/>
        <v>0</v>
      </c>
      <c r="AB1237" s="2">
        <f t="shared" si="16"/>
      </c>
      <c r="AC1237" s="2">
        <f t="shared" si="17"/>
      </c>
      <c r="AD1237" s="2">
        <f t="shared" si="18"/>
      </c>
      <c r="AE1237" s="2">
        <f t="shared" si="19"/>
      </c>
      <c r="AF1237" s="2">
        <f t="shared" si="20"/>
      </c>
      <c r="AG1237" s="2">
        <f t="shared" si="21"/>
      </c>
      <c r="AH1237" s="2">
        <f t="shared" si="22"/>
      </c>
      <c r="AI1237" s="2">
        <f t="shared" si="23"/>
      </c>
      <c r="AJ1237" s="2">
        <f t="shared" si="24"/>
        <v>0</v>
      </c>
      <c r="AK1237" s="2">
        <f t="shared" si="25"/>
        <v>0</v>
      </c>
      <c r="AL1237" s="2">
        <f t="shared" si="26"/>
        <v>0</v>
      </c>
      <c r="AM1237" s="2">
        <f t="shared" si="27"/>
        <v>0</v>
      </c>
      <c r="AN1237" s="2">
        <f t="shared" si="28"/>
        <v>0</v>
      </c>
      <c r="AO1237" s="2">
        <f t="shared" si="29"/>
      </c>
      <c r="AP1237" s="2">
        <f t="shared" si="30"/>
      </c>
      <c r="AQ1237" s="2">
        <f t="shared" si="31"/>
      </c>
    </row>
    <row r="1238">
      <c r="A1238" s="43">
        <f t="shared" si="3"/>
      </c>
      <c r="B1238" s="44" t="n"/>
      <c r="C1238" s="45" t="n"/>
      <c r="D1238" s="46" t="n"/>
      <c r="E1238" s="47" t="n"/>
      <c r="F1238" s="47" t="n"/>
      <c r="G1238" s="48">
        <f t="shared" si="4"/>
      </c>
      <c r="H1238" s="43">
        <f t="shared" si="0"/>
      </c>
      <c r="I1238" s="43">
        <f t="shared" si="5"/>
      </c>
      <c r="J1238" s="43">
        <f t="shared" si="1"/>
      </c>
      <c r="K1238" s="49">
        <f t="shared" si="2"/>
      </c>
      <c r="L1238" s="45" t="n"/>
      <c r="M1238" s="45" t="n"/>
      <c r="N1238" s="45" t="n"/>
      <c r="O1238" s="45" t="n"/>
      <c r="P1238" s="50" t="n"/>
      <c r="R1238" s="2">
        <f t="shared" si="6"/>
        <v>0</v>
      </c>
      <c r="S1238" s="2">
        <f t="shared" si="7"/>
      </c>
      <c r="T1238" s="2">
        <f t="shared" si="8"/>
      </c>
      <c r="U1238" s="2">
        <f t="shared" si="9"/>
      </c>
      <c r="V1238" s="2">
        <f t="shared" si="10"/>
      </c>
      <c r="W1238" s="2">
        <f t="shared" si="11"/>
      </c>
      <c r="X1238" s="2">
        <f t="shared" si="12"/>
      </c>
      <c r="Y1238" s="2">
        <f t="shared" si="13"/>
        <v>0</v>
      </c>
      <c r="Z1238" s="2">
        <f t="shared" si="14"/>
      </c>
      <c r="AA1238" s="2">
        <f t="shared" si="15"/>
        <v>0</v>
      </c>
      <c r="AB1238" s="2">
        <f t="shared" si="16"/>
      </c>
      <c r="AC1238" s="2">
        <f t="shared" si="17"/>
      </c>
      <c r="AD1238" s="2">
        <f t="shared" si="18"/>
      </c>
      <c r="AE1238" s="2">
        <f t="shared" si="19"/>
      </c>
      <c r="AF1238" s="2">
        <f t="shared" si="20"/>
      </c>
      <c r="AG1238" s="2">
        <f t="shared" si="21"/>
      </c>
      <c r="AH1238" s="2">
        <f t="shared" si="22"/>
      </c>
      <c r="AI1238" s="2">
        <f t="shared" si="23"/>
      </c>
      <c r="AJ1238" s="2">
        <f t="shared" si="24"/>
        <v>0</v>
      </c>
      <c r="AK1238" s="2">
        <f t="shared" si="25"/>
        <v>0</v>
      </c>
      <c r="AL1238" s="2">
        <f t="shared" si="26"/>
        <v>0</v>
      </c>
      <c r="AM1238" s="2">
        <f t="shared" si="27"/>
        <v>0</v>
      </c>
      <c r="AN1238" s="2">
        <f t="shared" si="28"/>
        <v>0</v>
      </c>
      <c r="AO1238" s="2">
        <f t="shared" si="29"/>
      </c>
      <c r="AP1238" s="2">
        <f t="shared" si="30"/>
      </c>
      <c r="AQ1238" s="2">
        <f t="shared" si="31"/>
      </c>
    </row>
    <row r="1239">
      <c r="A1239" s="43">
        <f t="shared" si="3"/>
      </c>
      <c r="B1239" s="44" t="n"/>
      <c r="C1239" s="45" t="n"/>
      <c r="D1239" s="46" t="n"/>
      <c r="E1239" s="47" t="n"/>
      <c r="F1239" s="47" t="n"/>
      <c r="G1239" s="48">
        <f t="shared" si="4"/>
      </c>
      <c r="H1239" s="43">
        <f t="shared" si="0"/>
      </c>
      <c r="I1239" s="43">
        <f t="shared" si="5"/>
      </c>
      <c r="J1239" s="43">
        <f t="shared" si="1"/>
      </c>
      <c r="K1239" s="49">
        <f t="shared" si="2"/>
      </c>
      <c r="L1239" s="45" t="n"/>
      <c r="M1239" s="45" t="n"/>
      <c r="N1239" s="45" t="n"/>
      <c r="O1239" s="45" t="n"/>
      <c r="P1239" s="50" t="n"/>
      <c r="R1239" s="2">
        <f t="shared" si="6"/>
        <v>0</v>
      </c>
      <c r="S1239" s="2">
        <f t="shared" si="7"/>
      </c>
      <c r="T1239" s="2">
        <f t="shared" si="8"/>
      </c>
      <c r="U1239" s="2">
        <f t="shared" si="9"/>
      </c>
      <c r="V1239" s="2">
        <f t="shared" si="10"/>
      </c>
      <c r="W1239" s="2">
        <f t="shared" si="11"/>
      </c>
      <c r="X1239" s="2">
        <f t="shared" si="12"/>
      </c>
      <c r="Y1239" s="2">
        <f t="shared" si="13"/>
        <v>0</v>
      </c>
      <c r="Z1239" s="2">
        <f t="shared" si="14"/>
      </c>
      <c r="AA1239" s="2">
        <f t="shared" si="15"/>
        <v>0</v>
      </c>
      <c r="AB1239" s="2">
        <f t="shared" si="16"/>
      </c>
      <c r="AC1239" s="2">
        <f t="shared" si="17"/>
      </c>
      <c r="AD1239" s="2">
        <f t="shared" si="18"/>
      </c>
      <c r="AE1239" s="2">
        <f t="shared" si="19"/>
      </c>
      <c r="AF1239" s="2">
        <f t="shared" si="20"/>
      </c>
      <c r="AG1239" s="2">
        <f t="shared" si="21"/>
      </c>
      <c r="AH1239" s="2">
        <f t="shared" si="22"/>
      </c>
      <c r="AI1239" s="2">
        <f t="shared" si="23"/>
      </c>
      <c r="AJ1239" s="2">
        <f t="shared" si="24"/>
        <v>0</v>
      </c>
      <c r="AK1239" s="2">
        <f t="shared" si="25"/>
        <v>0</v>
      </c>
      <c r="AL1239" s="2">
        <f t="shared" si="26"/>
        <v>0</v>
      </c>
      <c r="AM1239" s="2">
        <f t="shared" si="27"/>
        <v>0</v>
      </c>
      <c r="AN1239" s="2">
        <f t="shared" si="28"/>
        <v>0</v>
      </c>
      <c r="AO1239" s="2">
        <f t="shared" si="29"/>
      </c>
      <c r="AP1239" s="2">
        <f t="shared" si="30"/>
      </c>
      <c r="AQ1239" s="2">
        <f t="shared" si="31"/>
      </c>
    </row>
    <row r="1240">
      <c r="A1240" s="43">
        <f t="shared" si="3"/>
      </c>
      <c r="B1240" s="44" t="n"/>
      <c r="C1240" s="45" t="n"/>
      <c r="D1240" s="46" t="n"/>
      <c r="E1240" s="47" t="n"/>
      <c r="F1240" s="47" t="n"/>
      <c r="G1240" s="48">
        <f t="shared" si="4"/>
      </c>
      <c r="H1240" s="43">
        <f t="shared" si="0"/>
      </c>
      <c r="I1240" s="43">
        <f t="shared" si="5"/>
      </c>
      <c r="J1240" s="43">
        <f t="shared" si="1"/>
      </c>
      <c r="K1240" s="49">
        <f t="shared" si="2"/>
      </c>
      <c r="L1240" s="45" t="n"/>
      <c r="M1240" s="45" t="n"/>
      <c r="N1240" s="45" t="n"/>
      <c r="O1240" s="45" t="n"/>
      <c r="P1240" s="50" t="n"/>
      <c r="R1240" s="2">
        <f t="shared" si="6"/>
        <v>0</v>
      </c>
      <c r="S1240" s="2">
        <f t="shared" si="7"/>
      </c>
      <c r="T1240" s="2">
        <f t="shared" si="8"/>
      </c>
      <c r="U1240" s="2">
        <f t="shared" si="9"/>
      </c>
      <c r="V1240" s="2">
        <f t="shared" si="10"/>
      </c>
      <c r="W1240" s="2">
        <f t="shared" si="11"/>
      </c>
      <c r="X1240" s="2">
        <f t="shared" si="12"/>
      </c>
      <c r="Y1240" s="2">
        <f t="shared" si="13"/>
        <v>0</v>
      </c>
      <c r="Z1240" s="2">
        <f t="shared" si="14"/>
      </c>
      <c r="AA1240" s="2">
        <f t="shared" si="15"/>
        <v>0</v>
      </c>
      <c r="AB1240" s="2">
        <f t="shared" si="16"/>
      </c>
      <c r="AC1240" s="2">
        <f t="shared" si="17"/>
      </c>
      <c r="AD1240" s="2">
        <f t="shared" si="18"/>
      </c>
      <c r="AE1240" s="2">
        <f t="shared" si="19"/>
      </c>
      <c r="AF1240" s="2">
        <f t="shared" si="20"/>
      </c>
      <c r="AG1240" s="2">
        <f t="shared" si="21"/>
      </c>
      <c r="AH1240" s="2">
        <f t="shared" si="22"/>
      </c>
      <c r="AI1240" s="2">
        <f t="shared" si="23"/>
      </c>
      <c r="AJ1240" s="2">
        <f t="shared" si="24"/>
        <v>0</v>
      </c>
      <c r="AK1240" s="2">
        <f t="shared" si="25"/>
        <v>0</v>
      </c>
      <c r="AL1240" s="2">
        <f t="shared" si="26"/>
        <v>0</v>
      </c>
      <c r="AM1240" s="2">
        <f t="shared" si="27"/>
        <v>0</v>
      </c>
      <c r="AN1240" s="2">
        <f t="shared" si="28"/>
        <v>0</v>
      </c>
      <c r="AO1240" s="2">
        <f t="shared" si="29"/>
      </c>
      <c r="AP1240" s="2">
        <f t="shared" si="30"/>
      </c>
      <c r="AQ1240" s="2">
        <f t="shared" si="31"/>
      </c>
    </row>
    <row r="1241">
      <c r="A1241" s="43">
        <f t="shared" si="3"/>
      </c>
      <c r="B1241" s="44" t="n"/>
      <c r="C1241" s="45" t="n"/>
      <c r="D1241" s="46" t="n"/>
      <c r="E1241" s="47" t="n"/>
      <c r="F1241" s="47" t="n"/>
      <c r="G1241" s="48">
        <f t="shared" si="4"/>
      </c>
      <c r="H1241" s="43">
        <f t="shared" si="0"/>
      </c>
      <c r="I1241" s="43">
        <f t="shared" si="5"/>
      </c>
      <c r="J1241" s="43">
        <f t="shared" si="1"/>
      </c>
      <c r="K1241" s="49">
        <f t="shared" si="2"/>
      </c>
      <c r="L1241" s="45" t="n"/>
      <c r="M1241" s="45" t="n"/>
      <c r="N1241" s="45" t="n"/>
      <c r="O1241" s="45" t="n"/>
      <c r="P1241" s="50" t="n"/>
      <c r="R1241" s="2">
        <f t="shared" si="6"/>
        <v>0</v>
      </c>
      <c r="S1241" s="2">
        <f t="shared" si="7"/>
      </c>
      <c r="T1241" s="2">
        <f t="shared" si="8"/>
      </c>
      <c r="U1241" s="2">
        <f t="shared" si="9"/>
      </c>
      <c r="V1241" s="2">
        <f t="shared" si="10"/>
      </c>
      <c r="W1241" s="2">
        <f t="shared" si="11"/>
      </c>
      <c r="X1241" s="2">
        <f t="shared" si="12"/>
      </c>
      <c r="Y1241" s="2">
        <f t="shared" si="13"/>
        <v>0</v>
      </c>
      <c r="Z1241" s="2">
        <f t="shared" si="14"/>
      </c>
      <c r="AA1241" s="2">
        <f t="shared" si="15"/>
        <v>0</v>
      </c>
      <c r="AB1241" s="2">
        <f t="shared" si="16"/>
      </c>
      <c r="AC1241" s="2">
        <f t="shared" si="17"/>
      </c>
      <c r="AD1241" s="2">
        <f t="shared" si="18"/>
      </c>
      <c r="AE1241" s="2">
        <f t="shared" si="19"/>
      </c>
      <c r="AF1241" s="2">
        <f t="shared" si="20"/>
      </c>
      <c r="AG1241" s="2">
        <f t="shared" si="21"/>
      </c>
      <c r="AH1241" s="2">
        <f t="shared" si="22"/>
      </c>
      <c r="AI1241" s="2">
        <f t="shared" si="23"/>
      </c>
      <c r="AJ1241" s="2">
        <f t="shared" si="24"/>
        <v>0</v>
      </c>
      <c r="AK1241" s="2">
        <f t="shared" si="25"/>
        <v>0</v>
      </c>
      <c r="AL1241" s="2">
        <f t="shared" si="26"/>
        <v>0</v>
      </c>
      <c r="AM1241" s="2">
        <f t="shared" si="27"/>
        <v>0</v>
      </c>
      <c r="AN1241" s="2">
        <f t="shared" si="28"/>
        <v>0</v>
      </c>
      <c r="AO1241" s="2">
        <f t="shared" si="29"/>
      </c>
      <c r="AP1241" s="2">
        <f t="shared" si="30"/>
      </c>
      <c r="AQ1241" s="2">
        <f t="shared" si="31"/>
      </c>
    </row>
    <row r="1242">
      <c r="A1242" s="43">
        <f t="shared" si="3"/>
      </c>
      <c r="B1242" s="44" t="n"/>
      <c r="C1242" s="45" t="n"/>
      <c r="D1242" s="46" t="n"/>
      <c r="E1242" s="47" t="n"/>
      <c r="F1242" s="47" t="n"/>
      <c r="G1242" s="48">
        <f t="shared" si="4"/>
      </c>
      <c r="H1242" s="43">
        <f t="shared" si="0"/>
      </c>
      <c r="I1242" s="43">
        <f t="shared" si="5"/>
      </c>
      <c r="J1242" s="43">
        <f t="shared" si="1"/>
      </c>
      <c r="K1242" s="49">
        <f t="shared" si="2"/>
      </c>
      <c r="L1242" s="45" t="n"/>
      <c r="M1242" s="45" t="n"/>
      <c r="N1242" s="45" t="n"/>
      <c r="O1242" s="45" t="n"/>
      <c r="P1242" s="50" t="n"/>
      <c r="R1242" s="2">
        <f t="shared" si="6"/>
        <v>0</v>
      </c>
      <c r="S1242" s="2">
        <f t="shared" si="7"/>
      </c>
      <c r="T1242" s="2">
        <f t="shared" si="8"/>
      </c>
      <c r="U1242" s="2">
        <f t="shared" si="9"/>
      </c>
      <c r="V1242" s="2">
        <f t="shared" si="10"/>
      </c>
      <c r="W1242" s="2">
        <f t="shared" si="11"/>
      </c>
      <c r="X1242" s="2">
        <f t="shared" si="12"/>
      </c>
      <c r="Y1242" s="2">
        <f t="shared" si="13"/>
        <v>0</v>
      </c>
      <c r="Z1242" s="2">
        <f t="shared" si="14"/>
      </c>
      <c r="AA1242" s="2">
        <f t="shared" si="15"/>
        <v>0</v>
      </c>
      <c r="AB1242" s="2">
        <f t="shared" si="16"/>
      </c>
      <c r="AC1242" s="2">
        <f t="shared" si="17"/>
      </c>
      <c r="AD1242" s="2">
        <f t="shared" si="18"/>
      </c>
      <c r="AE1242" s="2">
        <f t="shared" si="19"/>
      </c>
      <c r="AF1242" s="2">
        <f t="shared" si="20"/>
      </c>
      <c r="AG1242" s="2">
        <f t="shared" si="21"/>
      </c>
      <c r="AH1242" s="2">
        <f t="shared" si="22"/>
      </c>
      <c r="AI1242" s="2">
        <f t="shared" si="23"/>
      </c>
      <c r="AJ1242" s="2">
        <f t="shared" si="24"/>
        <v>0</v>
      </c>
      <c r="AK1242" s="2">
        <f t="shared" si="25"/>
        <v>0</v>
      </c>
      <c r="AL1242" s="2">
        <f t="shared" si="26"/>
        <v>0</v>
      </c>
      <c r="AM1242" s="2">
        <f t="shared" si="27"/>
        <v>0</v>
      </c>
      <c r="AN1242" s="2">
        <f t="shared" si="28"/>
        <v>0</v>
      </c>
      <c r="AO1242" s="2">
        <f t="shared" si="29"/>
      </c>
      <c r="AP1242" s="2">
        <f t="shared" si="30"/>
      </c>
      <c r="AQ1242" s="2">
        <f t="shared" si="31"/>
      </c>
    </row>
    <row r="1243">
      <c r="A1243" s="43">
        <f t="shared" si="3"/>
      </c>
      <c r="B1243" s="44" t="n"/>
      <c r="C1243" s="45" t="n"/>
      <c r="D1243" s="46" t="n"/>
      <c r="E1243" s="47" t="n"/>
      <c r="F1243" s="47" t="n"/>
      <c r="G1243" s="48">
        <f t="shared" si="4"/>
      </c>
      <c r="H1243" s="43">
        <f t="shared" si="0"/>
      </c>
      <c r="I1243" s="43">
        <f t="shared" si="5"/>
      </c>
      <c r="J1243" s="43">
        <f t="shared" si="1"/>
      </c>
      <c r="K1243" s="49">
        <f t="shared" si="2"/>
      </c>
      <c r="L1243" s="45" t="n"/>
      <c r="M1243" s="45" t="n"/>
      <c r="N1243" s="45" t="n"/>
      <c r="O1243" s="45" t="n"/>
      <c r="P1243" s="50" t="n"/>
      <c r="R1243" s="2">
        <f t="shared" si="6"/>
        <v>0</v>
      </c>
      <c r="S1243" s="2">
        <f t="shared" si="7"/>
      </c>
      <c r="T1243" s="2">
        <f t="shared" si="8"/>
      </c>
      <c r="U1243" s="2">
        <f t="shared" si="9"/>
      </c>
      <c r="V1243" s="2">
        <f t="shared" si="10"/>
      </c>
      <c r="W1243" s="2">
        <f t="shared" si="11"/>
      </c>
      <c r="X1243" s="2">
        <f t="shared" si="12"/>
      </c>
      <c r="Y1243" s="2">
        <f t="shared" si="13"/>
        <v>0</v>
      </c>
      <c r="Z1243" s="2">
        <f t="shared" si="14"/>
      </c>
      <c r="AA1243" s="2">
        <f t="shared" si="15"/>
        <v>0</v>
      </c>
      <c r="AB1243" s="2">
        <f t="shared" si="16"/>
      </c>
      <c r="AC1243" s="2">
        <f t="shared" si="17"/>
      </c>
      <c r="AD1243" s="2">
        <f t="shared" si="18"/>
      </c>
      <c r="AE1243" s="2">
        <f t="shared" si="19"/>
      </c>
      <c r="AF1243" s="2">
        <f t="shared" si="20"/>
      </c>
      <c r="AG1243" s="2">
        <f t="shared" si="21"/>
      </c>
      <c r="AH1243" s="2">
        <f t="shared" si="22"/>
      </c>
      <c r="AI1243" s="2">
        <f t="shared" si="23"/>
      </c>
      <c r="AJ1243" s="2">
        <f t="shared" si="24"/>
        <v>0</v>
      </c>
      <c r="AK1243" s="2">
        <f t="shared" si="25"/>
        <v>0</v>
      </c>
      <c r="AL1243" s="2">
        <f t="shared" si="26"/>
        <v>0</v>
      </c>
      <c r="AM1243" s="2">
        <f t="shared" si="27"/>
        <v>0</v>
      </c>
      <c r="AN1243" s="2">
        <f t="shared" si="28"/>
        <v>0</v>
      </c>
      <c r="AO1243" s="2">
        <f t="shared" si="29"/>
      </c>
      <c r="AP1243" s="2">
        <f t="shared" si="30"/>
      </c>
      <c r="AQ1243" s="2">
        <f t="shared" si="31"/>
      </c>
    </row>
    <row r="1244">
      <c r="A1244" s="43">
        <f t="shared" si="3"/>
      </c>
      <c r="B1244" s="44" t="n"/>
      <c r="C1244" s="45" t="n"/>
      <c r="D1244" s="46" t="n"/>
      <c r="E1244" s="47" t="n"/>
      <c r="F1244" s="47" t="n"/>
      <c r="G1244" s="48">
        <f t="shared" si="4"/>
      </c>
      <c r="H1244" s="43">
        <f t="shared" si="0"/>
      </c>
      <c r="I1244" s="43">
        <f t="shared" si="5"/>
      </c>
      <c r="J1244" s="43">
        <f t="shared" si="1"/>
      </c>
      <c r="K1244" s="49">
        <f t="shared" si="2"/>
      </c>
      <c r="L1244" s="45" t="n"/>
      <c r="M1244" s="45" t="n"/>
      <c r="N1244" s="45" t="n"/>
      <c r="O1244" s="45" t="n"/>
      <c r="P1244" s="50" t="n"/>
      <c r="R1244" s="2">
        <f t="shared" si="6"/>
        <v>0</v>
      </c>
      <c r="S1244" s="2">
        <f t="shared" si="7"/>
      </c>
      <c r="T1244" s="2">
        <f t="shared" si="8"/>
      </c>
      <c r="U1244" s="2">
        <f t="shared" si="9"/>
      </c>
      <c r="V1244" s="2">
        <f t="shared" si="10"/>
      </c>
      <c r="W1244" s="2">
        <f t="shared" si="11"/>
      </c>
      <c r="X1244" s="2">
        <f t="shared" si="12"/>
      </c>
      <c r="Y1244" s="2">
        <f t="shared" si="13"/>
        <v>0</v>
      </c>
      <c r="Z1244" s="2">
        <f t="shared" si="14"/>
      </c>
      <c r="AA1244" s="2">
        <f t="shared" si="15"/>
        <v>0</v>
      </c>
      <c r="AB1244" s="2">
        <f t="shared" si="16"/>
      </c>
      <c r="AC1244" s="2">
        <f t="shared" si="17"/>
      </c>
      <c r="AD1244" s="2">
        <f t="shared" si="18"/>
      </c>
      <c r="AE1244" s="2">
        <f t="shared" si="19"/>
      </c>
      <c r="AF1244" s="2">
        <f t="shared" si="20"/>
      </c>
      <c r="AG1244" s="2">
        <f t="shared" si="21"/>
      </c>
      <c r="AH1244" s="2">
        <f t="shared" si="22"/>
      </c>
      <c r="AI1244" s="2">
        <f t="shared" si="23"/>
      </c>
      <c r="AJ1244" s="2">
        <f t="shared" si="24"/>
        <v>0</v>
      </c>
      <c r="AK1244" s="2">
        <f t="shared" si="25"/>
        <v>0</v>
      </c>
      <c r="AL1244" s="2">
        <f t="shared" si="26"/>
        <v>0</v>
      </c>
      <c r="AM1244" s="2">
        <f t="shared" si="27"/>
        <v>0</v>
      </c>
      <c r="AN1244" s="2">
        <f t="shared" si="28"/>
        <v>0</v>
      </c>
      <c r="AO1244" s="2">
        <f t="shared" si="29"/>
      </c>
      <c r="AP1244" s="2">
        <f t="shared" si="30"/>
      </c>
      <c r="AQ1244" s="2">
        <f t="shared" si="31"/>
      </c>
    </row>
    <row r="1245">
      <c r="A1245" s="43">
        <f t="shared" si="3"/>
      </c>
      <c r="B1245" s="44" t="n"/>
      <c r="C1245" s="45" t="n"/>
      <c r="D1245" s="46" t="n"/>
      <c r="E1245" s="47" t="n"/>
      <c r="F1245" s="47" t="n"/>
      <c r="G1245" s="48">
        <f t="shared" si="4"/>
      </c>
      <c r="H1245" s="43">
        <f t="shared" si="0"/>
      </c>
      <c r="I1245" s="43">
        <f t="shared" si="5"/>
      </c>
      <c r="J1245" s="43">
        <f t="shared" si="1"/>
      </c>
      <c r="K1245" s="49">
        <f t="shared" si="2"/>
      </c>
      <c r="L1245" s="45" t="n"/>
      <c r="M1245" s="45" t="n"/>
      <c r="N1245" s="45" t="n"/>
      <c r="O1245" s="45" t="n"/>
      <c r="P1245" s="50" t="n"/>
      <c r="R1245" s="2">
        <f t="shared" si="6"/>
        <v>0</v>
      </c>
      <c r="S1245" s="2">
        <f t="shared" si="7"/>
      </c>
      <c r="T1245" s="2">
        <f t="shared" si="8"/>
      </c>
      <c r="U1245" s="2">
        <f t="shared" si="9"/>
      </c>
      <c r="V1245" s="2">
        <f t="shared" si="10"/>
      </c>
      <c r="W1245" s="2">
        <f t="shared" si="11"/>
      </c>
      <c r="X1245" s="2">
        <f t="shared" si="12"/>
      </c>
      <c r="Y1245" s="2">
        <f t="shared" si="13"/>
        <v>0</v>
      </c>
      <c r="Z1245" s="2">
        <f t="shared" si="14"/>
      </c>
      <c r="AA1245" s="2">
        <f t="shared" si="15"/>
        <v>0</v>
      </c>
      <c r="AB1245" s="2">
        <f t="shared" si="16"/>
      </c>
      <c r="AC1245" s="2">
        <f t="shared" si="17"/>
      </c>
      <c r="AD1245" s="2">
        <f t="shared" si="18"/>
      </c>
      <c r="AE1245" s="2">
        <f t="shared" si="19"/>
      </c>
      <c r="AF1245" s="2">
        <f t="shared" si="20"/>
      </c>
      <c r="AG1245" s="2">
        <f t="shared" si="21"/>
      </c>
      <c r="AH1245" s="2">
        <f t="shared" si="22"/>
      </c>
      <c r="AI1245" s="2">
        <f t="shared" si="23"/>
      </c>
      <c r="AJ1245" s="2">
        <f t="shared" si="24"/>
        <v>0</v>
      </c>
      <c r="AK1245" s="2">
        <f t="shared" si="25"/>
        <v>0</v>
      </c>
      <c r="AL1245" s="2">
        <f t="shared" si="26"/>
        <v>0</v>
      </c>
      <c r="AM1245" s="2">
        <f t="shared" si="27"/>
        <v>0</v>
      </c>
      <c r="AN1245" s="2">
        <f t="shared" si="28"/>
        <v>0</v>
      </c>
      <c r="AO1245" s="2">
        <f t="shared" si="29"/>
      </c>
      <c r="AP1245" s="2">
        <f t="shared" si="30"/>
      </c>
      <c r="AQ1245" s="2">
        <f t="shared" si="31"/>
      </c>
    </row>
    <row r="1246">
      <c r="A1246" s="43">
        <f t="shared" si="3"/>
      </c>
      <c r="B1246" s="44" t="n"/>
      <c r="C1246" s="45" t="n"/>
      <c r="D1246" s="46" t="n"/>
      <c r="E1246" s="47" t="n"/>
      <c r="F1246" s="47" t="n"/>
      <c r="G1246" s="48">
        <f t="shared" si="4"/>
      </c>
      <c r="H1246" s="43">
        <f t="shared" si="0"/>
      </c>
      <c r="I1246" s="43">
        <f t="shared" si="5"/>
      </c>
      <c r="J1246" s="43">
        <f t="shared" si="1"/>
      </c>
      <c r="K1246" s="49">
        <f t="shared" si="2"/>
      </c>
      <c r="L1246" s="45" t="n"/>
      <c r="M1246" s="45" t="n"/>
      <c r="N1246" s="45" t="n"/>
      <c r="O1246" s="45" t="n"/>
      <c r="P1246" s="50" t="n"/>
      <c r="R1246" s="2">
        <f t="shared" si="6"/>
        <v>0</v>
      </c>
      <c r="S1246" s="2">
        <f t="shared" si="7"/>
      </c>
      <c r="T1246" s="2">
        <f t="shared" si="8"/>
      </c>
      <c r="U1246" s="2">
        <f t="shared" si="9"/>
      </c>
      <c r="V1246" s="2">
        <f t="shared" si="10"/>
      </c>
      <c r="W1246" s="2">
        <f t="shared" si="11"/>
      </c>
      <c r="X1246" s="2">
        <f t="shared" si="12"/>
      </c>
      <c r="Y1246" s="2">
        <f t="shared" si="13"/>
        <v>0</v>
      </c>
      <c r="Z1246" s="2">
        <f t="shared" si="14"/>
      </c>
      <c r="AA1246" s="2">
        <f t="shared" si="15"/>
        <v>0</v>
      </c>
      <c r="AB1246" s="2">
        <f t="shared" si="16"/>
      </c>
      <c r="AC1246" s="2">
        <f t="shared" si="17"/>
      </c>
      <c r="AD1246" s="2">
        <f t="shared" si="18"/>
      </c>
      <c r="AE1246" s="2">
        <f t="shared" si="19"/>
      </c>
      <c r="AF1246" s="2">
        <f t="shared" si="20"/>
      </c>
      <c r="AG1246" s="2">
        <f t="shared" si="21"/>
      </c>
      <c r="AH1246" s="2">
        <f t="shared" si="22"/>
      </c>
      <c r="AI1246" s="2">
        <f t="shared" si="23"/>
      </c>
      <c r="AJ1246" s="2">
        <f t="shared" si="24"/>
        <v>0</v>
      </c>
      <c r="AK1246" s="2">
        <f t="shared" si="25"/>
        <v>0</v>
      </c>
      <c r="AL1246" s="2">
        <f t="shared" si="26"/>
        <v>0</v>
      </c>
      <c r="AM1246" s="2">
        <f t="shared" si="27"/>
        <v>0</v>
      </c>
      <c r="AN1246" s="2">
        <f t="shared" si="28"/>
        <v>0</v>
      </c>
      <c r="AO1246" s="2">
        <f t="shared" si="29"/>
      </c>
      <c r="AP1246" s="2">
        <f t="shared" si="30"/>
      </c>
      <c r="AQ1246" s="2">
        <f t="shared" si="31"/>
      </c>
    </row>
    <row r="1247">
      <c r="A1247" s="43">
        <f t="shared" si="3"/>
      </c>
      <c r="B1247" s="44" t="n"/>
      <c r="C1247" s="45" t="n"/>
      <c r="D1247" s="46" t="n"/>
      <c r="E1247" s="47" t="n"/>
      <c r="F1247" s="47" t="n"/>
      <c r="G1247" s="48">
        <f t="shared" si="4"/>
      </c>
      <c r="H1247" s="43">
        <f t="shared" si="0"/>
      </c>
      <c r="I1247" s="43">
        <f t="shared" si="5"/>
      </c>
      <c r="J1247" s="43">
        <f t="shared" si="1"/>
      </c>
      <c r="K1247" s="49">
        <f t="shared" si="2"/>
      </c>
      <c r="L1247" s="45" t="n"/>
      <c r="M1247" s="45" t="n"/>
      <c r="N1247" s="45" t="n"/>
      <c r="O1247" s="45" t="n"/>
      <c r="P1247" s="50" t="n"/>
      <c r="R1247" s="2">
        <f t="shared" si="6"/>
        <v>0</v>
      </c>
      <c r="S1247" s="2">
        <f t="shared" si="7"/>
      </c>
      <c r="T1247" s="2">
        <f t="shared" si="8"/>
      </c>
      <c r="U1247" s="2">
        <f t="shared" si="9"/>
      </c>
      <c r="V1247" s="2">
        <f t="shared" si="10"/>
      </c>
      <c r="W1247" s="2">
        <f t="shared" si="11"/>
      </c>
      <c r="X1247" s="2">
        <f t="shared" si="12"/>
      </c>
      <c r="Y1247" s="2">
        <f t="shared" si="13"/>
        <v>0</v>
      </c>
      <c r="Z1247" s="2">
        <f t="shared" si="14"/>
      </c>
      <c r="AA1247" s="2">
        <f t="shared" si="15"/>
        <v>0</v>
      </c>
      <c r="AB1247" s="2">
        <f t="shared" si="16"/>
      </c>
      <c r="AC1247" s="2">
        <f t="shared" si="17"/>
      </c>
      <c r="AD1247" s="2">
        <f t="shared" si="18"/>
      </c>
      <c r="AE1247" s="2">
        <f t="shared" si="19"/>
      </c>
      <c r="AF1247" s="2">
        <f t="shared" si="20"/>
      </c>
      <c r="AG1247" s="2">
        <f t="shared" si="21"/>
      </c>
      <c r="AH1247" s="2">
        <f t="shared" si="22"/>
      </c>
      <c r="AI1247" s="2">
        <f t="shared" si="23"/>
      </c>
      <c r="AJ1247" s="2">
        <f t="shared" si="24"/>
        <v>0</v>
      </c>
      <c r="AK1247" s="2">
        <f t="shared" si="25"/>
        <v>0</v>
      </c>
      <c r="AL1247" s="2">
        <f t="shared" si="26"/>
        <v>0</v>
      </c>
      <c r="AM1247" s="2">
        <f t="shared" si="27"/>
        <v>0</v>
      </c>
      <c r="AN1247" s="2">
        <f t="shared" si="28"/>
        <v>0</v>
      </c>
      <c r="AO1247" s="2">
        <f t="shared" si="29"/>
      </c>
      <c r="AP1247" s="2">
        <f t="shared" si="30"/>
      </c>
      <c r="AQ1247" s="2">
        <f t="shared" si="31"/>
      </c>
    </row>
    <row r="1248">
      <c r="A1248" s="43">
        <f t="shared" si="3"/>
      </c>
      <c r="B1248" s="44" t="n"/>
      <c r="C1248" s="45" t="n"/>
      <c r="D1248" s="46" t="n"/>
      <c r="E1248" s="47" t="n"/>
      <c r="F1248" s="47" t="n"/>
      <c r="G1248" s="48">
        <f t="shared" si="4"/>
      </c>
      <c r="H1248" s="43">
        <f t="shared" si="0"/>
      </c>
      <c r="I1248" s="43">
        <f t="shared" si="5"/>
      </c>
      <c r="J1248" s="43">
        <f t="shared" si="1"/>
      </c>
      <c r="K1248" s="49">
        <f t="shared" si="2"/>
      </c>
      <c r="L1248" s="45" t="n"/>
      <c r="M1248" s="45" t="n"/>
      <c r="N1248" s="45" t="n"/>
      <c r="O1248" s="45" t="n"/>
      <c r="P1248" s="50" t="n"/>
      <c r="R1248" s="2">
        <f t="shared" si="6"/>
        <v>0</v>
      </c>
      <c r="S1248" s="2">
        <f t="shared" si="7"/>
      </c>
      <c r="T1248" s="2">
        <f t="shared" si="8"/>
      </c>
      <c r="U1248" s="2">
        <f t="shared" si="9"/>
      </c>
      <c r="V1248" s="2">
        <f t="shared" si="10"/>
      </c>
      <c r="W1248" s="2">
        <f t="shared" si="11"/>
      </c>
      <c r="X1248" s="2">
        <f t="shared" si="12"/>
      </c>
      <c r="Y1248" s="2">
        <f t="shared" si="13"/>
        <v>0</v>
      </c>
      <c r="Z1248" s="2">
        <f t="shared" si="14"/>
      </c>
      <c r="AA1248" s="2">
        <f t="shared" si="15"/>
        <v>0</v>
      </c>
      <c r="AB1248" s="2">
        <f t="shared" si="16"/>
      </c>
      <c r="AC1248" s="2">
        <f t="shared" si="17"/>
      </c>
      <c r="AD1248" s="2">
        <f t="shared" si="18"/>
      </c>
      <c r="AE1248" s="2">
        <f t="shared" si="19"/>
      </c>
      <c r="AF1248" s="2">
        <f t="shared" si="20"/>
      </c>
      <c r="AG1248" s="2">
        <f t="shared" si="21"/>
      </c>
      <c r="AH1248" s="2">
        <f t="shared" si="22"/>
      </c>
      <c r="AI1248" s="2">
        <f t="shared" si="23"/>
      </c>
      <c r="AJ1248" s="2">
        <f t="shared" si="24"/>
        <v>0</v>
      </c>
      <c r="AK1248" s="2">
        <f t="shared" si="25"/>
        <v>0</v>
      </c>
      <c r="AL1248" s="2">
        <f t="shared" si="26"/>
        <v>0</v>
      </c>
      <c r="AM1248" s="2">
        <f t="shared" si="27"/>
        <v>0</v>
      </c>
      <c r="AN1248" s="2">
        <f t="shared" si="28"/>
        <v>0</v>
      </c>
      <c r="AO1248" s="2">
        <f t="shared" si="29"/>
      </c>
      <c r="AP1248" s="2">
        <f t="shared" si="30"/>
      </c>
      <c r="AQ1248" s="2">
        <f t="shared" si="31"/>
      </c>
    </row>
    <row r="1249">
      <c r="A1249" s="43">
        <f t="shared" si="3"/>
      </c>
      <c r="B1249" s="44" t="n"/>
      <c r="C1249" s="45" t="n"/>
      <c r="D1249" s="46" t="n"/>
      <c r="E1249" s="47" t="n"/>
      <c r="F1249" s="47" t="n"/>
      <c r="G1249" s="48">
        <f t="shared" si="4"/>
      </c>
      <c r="H1249" s="43">
        <f t="shared" si="0"/>
      </c>
      <c r="I1249" s="43">
        <f t="shared" si="5"/>
      </c>
      <c r="J1249" s="43">
        <f t="shared" si="1"/>
      </c>
      <c r="K1249" s="49">
        <f t="shared" si="2"/>
      </c>
      <c r="L1249" s="45" t="n"/>
      <c r="M1249" s="45" t="n"/>
      <c r="N1249" s="45" t="n"/>
      <c r="O1249" s="45" t="n"/>
      <c r="P1249" s="50" t="n"/>
      <c r="R1249" s="2">
        <f t="shared" si="6"/>
        <v>0</v>
      </c>
      <c r="S1249" s="2">
        <f t="shared" si="7"/>
      </c>
      <c r="T1249" s="2">
        <f t="shared" si="8"/>
      </c>
      <c r="U1249" s="2">
        <f t="shared" si="9"/>
      </c>
      <c r="V1249" s="2">
        <f t="shared" si="10"/>
      </c>
      <c r="W1249" s="2">
        <f t="shared" si="11"/>
      </c>
      <c r="X1249" s="2">
        <f t="shared" si="12"/>
      </c>
      <c r="Y1249" s="2">
        <f t="shared" si="13"/>
        <v>0</v>
      </c>
      <c r="Z1249" s="2">
        <f t="shared" si="14"/>
      </c>
      <c r="AA1249" s="2">
        <f t="shared" si="15"/>
        <v>0</v>
      </c>
      <c r="AB1249" s="2">
        <f t="shared" si="16"/>
      </c>
      <c r="AC1249" s="2">
        <f t="shared" si="17"/>
      </c>
      <c r="AD1249" s="2">
        <f t="shared" si="18"/>
      </c>
      <c r="AE1249" s="2">
        <f t="shared" si="19"/>
      </c>
      <c r="AF1249" s="2">
        <f t="shared" si="20"/>
      </c>
      <c r="AG1249" s="2">
        <f t="shared" si="21"/>
      </c>
      <c r="AH1249" s="2">
        <f t="shared" si="22"/>
      </c>
      <c r="AI1249" s="2">
        <f t="shared" si="23"/>
      </c>
      <c r="AJ1249" s="2">
        <f t="shared" si="24"/>
        <v>0</v>
      </c>
      <c r="AK1249" s="2">
        <f t="shared" si="25"/>
        <v>0</v>
      </c>
      <c r="AL1249" s="2">
        <f t="shared" si="26"/>
        <v>0</v>
      </c>
      <c r="AM1249" s="2">
        <f t="shared" si="27"/>
        <v>0</v>
      </c>
      <c r="AN1249" s="2">
        <f t="shared" si="28"/>
        <v>0</v>
      </c>
      <c r="AO1249" s="2">
        <f t="shared" si="29"/>
      </c>
      <c r="AP1249" s="2">
        <f t="shared" si="30"/>
      </c>
      <c r="AQ1249" s="2">
        <f t="shared" si="31"/>
      </c>
    </row>
    <row r="1250">
      <c r="A1250" s="43">
        <f t="shared" si="3"/>
      </c>
      <c r="B1250" s="44" t="n"/>
      <c r="C1250" s="45" t="n"/>
      <c r="D1250" s="46" t="n"/>
      <c r="E1250" s="47" t="n"/>
      <c r="F1250" s="47" t="n"/>
      <c r="G1250" s="48">
        <f t="shared" si="4"/>
      </c>
      <c r="H1250" s="43">
        <f t="shared" si="0"/>
      </c>
      <c r="I1250" s="43">
        <f t="shared" si="5"/>
      </c>
      <c r="J1250" s="43">
        <f t="shared" si="1"/>
      </c>
      <c r="K1250" s="49">
        <f t="shared" si="2"/>
      </c>
      <c r="L1250" s="45" t="n"/>
      <c r="M1250" s="45" t="n"/>
      <c r="N1250" s="45" t="n"/>
      <c r="O1250" s="45" t="n"/>
      <c r="P1250" s="50" t="n"/>
      <c r="R1250" s="2">
        <f t="shared" si="6"/>
        <v>0</v>
      </c>
      <c r="S1250" s="2">
        <f t="shared" si="7"/>
      </c>
      <c r="T1250" s="2">
        <f t="shared" si="8"/>
      </c>
      <c r="U1250" s="2">
        <f t="shared" si="9"/>
      </c>
      <c r="V1250" s="2">
        <f t="shared" si="10"/>
      </c>
      <c r="W1250" s="2">
        <f t="shared" si="11"/>
      </c>
      <c r="X1250" s="2">
        <f t="shared" si="12"/>
      </c>
      <c r="Y1250" s="2">
        <f t="shared" si="13"/>
        <v>0</v>
      </c>
      <c r="Z1250" s="2">
        <f t="shared" si="14"/>
      </c>
      <c r="AA1250" s="2">
        <f t="shared" si="15"/>
        <v>0</v>
      </c>
      <c r="AB1250" s="2">
        <f t="shared" si="16"/>
      </c>
      <c r="AC1250" s="2">
        <f t="shared" si="17"/>
      </c>
      <c r="AD1250" s="2">
        <f t="shared" si="18"/>
      </c>
      <c r="AE1250" s="2">
        <f t="shared" si="19"/>
      </c>
      <c r="AF1250" s="2">
        <f t="shared" si="20"/>
      </c>
      <c r="AG1250" s="2">
        <f t="shared" si="21"/>
      </c>
      <c r="AH1250" s="2">
        <f t="shared" si="22"/>
      </c>
      <c r="AI1250" s="2">
        <f t="shared" si="23"/>
      </c>
      <c r="AJ1250" s="2">
        <f t="shared" si="24"/>
        <v>0</v>
      </c>
      <c r="AK1250" s="2">
        <f t="shared" si="25"/>
        <v>0</v>
      </c>
      <c r="AL1250" s="2">
        <f t="shared" si="26"/>
        <v>0</v>
      </c>
      <c r="AM1250" s="2">
        <f t="shared" si="27"/>
        <v>0</v>
      </c>
      <c r="AN1250" s="2">
        <f t="shared" si="28"/>
        <v>0</v>
      </c>
      <c r="AO1250" s="2">
        <f t="shared" si="29"/>
      </c>
      <c r="AP1250" s="2">
        <f t="shared" si="30"/>
      </c>
      <c r="AQ1250" s="2">
        <f t="shared" si="31"/>
      </c>
    </row>
    <row r="1251">
      <c r="A1251" s="43">
        <f t="shared" si="3"/>
      </c>
      <c r="B1251" s="44" t="n"/>
      <c r="C1251" s="45" t="n"/>
      <c r="D1251" s="46" t="n"/>
      <c r="E1251" s="47" t="n"/>
      <c r="F1251" s="47" t="n"/>
      <c r="G1251" s="48">
        <f t="shared" si="4"/>
      </c>
      <c r="H1251" s="43">
        <f t="shared" si="0"/>
      </c>
      <c r="I1251" s="43">
        <f t="shared" si="5"/>
      </c>
      <c r="J1251" s="43">
        <f t="shared" si="1"/>
      </c>
      <c r="K1251" s="49">
        <f t="shared" si="2"/>
      </c>
      <c r="L1251" s="45" t="n"/>
      <c r="M1251" s="45" t="n"/>
      <c r="N1251" s="45" t="n"/>
      <c r="O1251" s="45" t="n"/>
      <c r="P1251" s="50" t="n"/>
      <c r="R1251" s="2">
        <f t="shared" si="6"/>
        <v>0</v>
      </c>
      <c r="S1251" s="2">
        <f t="shared" si="7"/>
      </c>
      <c r="T1251" s="2">
        <f t="shared" si="8"/>
      </c>
      <c r="U1251" s="2">
        <f t="shared" si="9"/>
      </c>
      <c r="V1251" s="2">
        <f t="shared" si="10"/>
      </c>
      <c r="W1251" s="2">
        <f t="shared" si="11"/>
      </c>
      <c r="X1251" s="2">
        <f t="shared" si="12"/>
      </c>
      <c r="Y1251" s="2">
        <f t="shared" si="13"/>
        <v>0</v>
      </c>
      <c r="Z1251" s="2">
        <f t="shared" si="14"/>
      </c>
      <c r="AA1251" s="2">
        <f t="shared" si="15"/>
        <v>0</v>
      </c>
      <c r="AB1251" s="2">
        <f t="shared" si="16"/>
      </c>
      <c r="AC1251" s="2">
        <f t="shared" si="17"/>
      </c>
      <c r="AD1251" s="2">
        <f t="shared" si="18"/>
      </c>
      <c r="AE1251" s="2">
        <f t="shared" si="19"/>
      </c>
      <c r="AF1251" s="2">
        <f t="shared" si="20"/>
      </c>
      <c r="AG1251" s="2">
        <f t="shared" si="21"/>
      </c>
      <c r="AH1251" s="2">
        <f t="shared" si="22"/>
      </c>
      <c r="AI1251" s="2">
        <f t="shared" si="23"/>
      </c>
      <c r="AJ1251" s="2">
        <f t="shared" si="24"/>
        <v>0</v>
      </c>
      <c r="AK1251" s="2">
        <f t="shared" si="25"/>
        <v>0</v>
      </c>
      <c r="AL1251" s="2">
        <f t="shared" si="26"/>
        <v>0</v>
      </c>
      <c r="AM1251" s="2">
        <f t="shared" si="27"/>
        <v>0</v>
      </c>
      <c r="AN1251" s="2">
        <f t="shared" si="28"/>
        <v>0</v>
      </c>
      <c r="AO1251" s="2">
        <f t="shared" si="29"/>
      </c>
      <c r="AP1251" s="2">
        <f t="shared" si="30"/>
      </c>
      <c r="AQ1251" s="2">
        <f t="shared" si="31"/>
      </c>
    </row>
    <row r="1252">
      <c r="A1252" s="43">
        <f t="shared" si="3"/>
      </c>
      <c r="B1252" s="44" t="n"/>
      <c r="C1252" s="45" t="n"/>
      <c r="D1252" s="46" t="n"/>
      <c r="E1252" s="47" t="n"/>
      <c r="F1252" s="47" t="n"/>
      <c r="G1252" s="48">
        <f t="shared" si="4"/>
      </c>
      <c r="H1252" s="43">
        <f t="shared" si="0"/>
      </c>
      <c r="I1252" s="43">
        <f t="shared" si="5"/>
      </c>
      <c r="J1252" s="43">
        <f t="shared" si="1"/>
      </c>
      <c r="K1252" s="49">
        <f t="shared" si="2"/>
      </c>
      <c r="L1252" s="45" t="n"/>
      <c r="M1252" s="45" t="n"/>
      <c r="N1252" s="45" t="n"/>
      <c r="O1252" s="45" t="n"/>
      <c r="P1252" s="50" t="n"/>
      <c r="R1252" s="2">
        <f t="shared" si="6"/>
        <v>0</v>
      </c>
      <c r="S1252" s="2">
        <f t="shared" si="7"/>
      </c>
      <c r="T1252" s="2">
        <f t="shared" si="8"/>
      </c>
      <c r="U1252" s="2">
        <f t="shared" si="9"/>
      </c>
      <c r="V1252" s="2">
        <f t="shared" si="10"/>
      </c>
      <c r="W1252" s="2">
        <f t="shared" si="11"/>
      </c>
      <c r="X1252" s="2">
        <f t="shared" si="12"/>
      </c>
      <c r="Y1252" s="2">
        <f t="shared" si="13"/>
        <v>0</v>
      </c>
      <c r="Z1252" s="2">
        <f t="shared" si="14"/>
      </c>
      <c r="AA1252" s="2">
        <f t="shared" si="15"/>
        <v>0</v>
      </c>
      <c r="AB1252" s="2">
        <f t="shared" si="16"/>
      </c>
      <c r="AC1252" s="2">
        <f t="shared" si="17"/>
      </c>
      <c r="AD1252" s="2">
        <f t="shared" si="18"/>
      </c>
      <c r="AE1252" s="2">
        <f t="shared" si="19"/>
      </c>
      <c r="AF1252" s="2">
        <f t="shared" si="20"/>
      </c>
      <c r="AG1252" s="2">
        <f t="shared" si="21"/>
      </c>
      <c r="AH1252" s="2">
        <f t="shared" si="22"/>
      </c>
      <c r="AI1252" s="2">
        <f t="shared" si="23"/>
      </c>
      <c r="AJ1252" s="2">
        <f t="shared" si="24"/>
        <v>0</v>
      </c>
      <c r="AK1252" s="2">
        <f t="shared" si="25"/>
        <v>0</v>
      </c>
      <c r="AL1252" s="2">
        <f t="shared" si="26"/>
        <v>0</v>
      </c>
      <c r="AM1252" s="2">
        <f t="shared" si="27"/>
        <v>0</v>
      </c>
      <c r="AN1252" s="2">
        <f t="shared" si="28"/>
        <v>0</v>
      </c>
      <c r="AO1252" s="2">
        <f t="shared" si="29"/>
      </c>
      <c r="AP1252" s="2">
        <f t="shared" si="30"/>
      </c>
      <c r="AQ1252" s="2">
        <f t="shared" si="31"/>
      </c>
    </row>
    <row r="1253">
      <c r="A1253" s="43">
        <f t="shared" si="3"/>
      </c>
      <c r="B1253" s="44" t="n"/>
      <c r="C1253" s="45" t="n"/>
      <c r="D1253" s="46" t="n"/>
      <c r="E1253" s="47" t="n"/>
      <c r="F1253" s="47" t="n"/>
      <c r="G1253" s="48">
        <f t="shared" si="4"/>
      </c>
      <c r="H1253" s="43">
        <f t="shared" si="0"/>
      </c>
      <c r="I1253" s="43">
        <f t="shared" si="5"/>
      </c>
      <c r="J1253" s="43">
        <f t="shared" si="1"/>
      </c>
      <c r="K1253" s="49">
        <f t="shared" si="2"/>
      </c>
      <c r="L1253" s="45" t="n"/>
      <c r="M1253" s="45" t="n"/>
      <c r="N1253" s="45" t="n"/>
      <c r="O1253" s="45" t="n"/>
      <c r="P1253" s="50" t="n"/>
      <c r="R1253" s="2">
        <f t="shared" si="6"/>
        <v>0</v>
      </c>
      <c r="S1253" s="2">
        <f t="shared" si="7"/>
      </c>
      <c r="T1253" s="2">
        <f t="shared" si="8"/>
      </c>
      <c r="U1253" s="2">
        <f t="shared" si="9"/>
      </c>
      <c r="V1253" s="2">
        <f t="shared" si="10"/>
      </c>
      <c r="W1253" s="2">
        <f t="shared" si="11"/>
      </c>
      <c r="X1253" s="2">
        <f t="shared" si="12"/>
      </c>
      <c r="Y1253" s="2">
        <f t="shared" si="13"/>
        <v>0</v>
      </c>
      <c r="Z1253" s="2">
        <f t="shared" si="14"/>
      </c>
      <c r="AA1253" s="2">
        <f t="shared" si="15"/>
        <v>0</v>
      </c>
      <c r="AB1253" s="2">
        <f t="shared" si="16"/>
      </c>
      <c r="AC1253" s="2">
        <f t="shared" si="17"/>
      </c>
      <c r="AD1253" s="2">
        <f t="shared" si="18"/>
      </c>
      <c r="AE1253" s="2">
        <f t="shared" si="19"/>
      </c>
      <c r="AF1253" s="2">
        <f t="shared" si="20"/>
      </c>
      <c r="AG1253" s="2">
        <f t="shared" si="21"/>
      </c>
      <c r="AH1253" s="2">
        <f t="shared" si="22"/>
      </c>
      <c r="AI1253" s="2">
        <f t="shared" si="23"/>
      </c>
      <c r="AJ1253" s="2">
        <f t="shared" si="24"/>
        <v>0</v>
      </c>
      <c r="AK1253" s="2">
        <f t="shared" si="25"/>
        <v>0</v>
      </c>
      <c r="AL1253" s="2">
        <f t="shared" si="26"/>
        <v>0</v>
      </c>
      <c r="AM1253" s="2">
        <f t="shared" si="27"/>
        <v>0</v>
      </c>
      <c r="AN1253" s="2">
        <f t="shared" si="28"/>
        <v>0</v>
      </c>
      <c r="AO1253" s="2">
        <f t="shared" si="29"/>
      </c>
      <c r="AP1253" s="2">
        <f t="shared" si="30"/>
      </c>
      <c r="AQ1253" s="2">
        <f t="shared" si="31"/>
      </c>
    </row>
    <row r="1254">
      <c r="A1254" s="43">
        <f t="shared" si="3"/>
      </c>
      <c r="B1254" s="44" t="n"/>
      <c r="C1254" s="45" t="n"/>
      <c r="D1254" s="46" t="n"/>
      <c r="E1254" s="47" t="n"/>
      <c r="F1254" s="47" t="n"/>
      <c r="G1254" s="48">
        <f t="shared" si="4"/>
      </c>
      <c r="H1254" s="43">
        <f t="shared" si="0"/>
      </c>
      <c r="I1254" s="43">
        <f t="shared" si="5"/>
      </c>
      <c r="J1254" s="43">
        <f t="shared" si="1"/>
      </c>
      <c r="K1254" s="49">
        <f t="shared" si="2"/>
      </c>
      <c r="L1254" s="45" t="n"/>
      <c r="M1254" s="45" t="n"/>
      <c r="N1254" s="45" t="n"/>
      <c r="O1254" s="45" t="n"/>
      <c r="P1254" s="50" t="n"/>
      <c r="R1254" s="2">
        <f t="shared" si="6"/>
        <v>0</v>
      </c>
      <c r="S1254" s="2">
        <f t="shared" si="7"/>
      </c>
      <c r="T1254" s="2">
        <f t="shared" si="8"/>
      </c>
      <c r="U1254" s="2">
        <f t="shared" si="9"/>
      </c>
      <c r="V1254" s="2">
        <f t="shared" si="10"/>
      </c>
      <c r="W1254" s="2">
        <f t="shared" si="11"/>
      </c>
      <c r="X1254" s="2">
        <f t="shared" si="12"/>
      </c>
      <c r="Y1254" s="2">
        <f t="shared" si="13"/>
        <v>0</v>
      </c>
      <c r="Z1254" s="2">
        <f t="shared" si="14"/>
      </c>
      <c r="AA1254" s="2">
        <f t="shared" si="15"/>
        <v>0</v>
      </c>
      <c r="AB1254" s="2">
        <f t="shared" si="16"/>
      </c>
      <c r="AC1254" s="2">
        <f t="shared" si="17"/>
      </c>
      <c r="AD1254" s="2">
        <f t="shared" si="18"/>
      </c>
      <c r="AE1254" s="2">
        <f t="shared" si="19"/>
      </c>
      <c r="AF1254" s="2">
        <f t="shared" si="20"/>
      </c>
      <c r="AG1254" s="2">
        <f t="shared" si="21"/>
      </c>
      <c r="AH1254" s="2">
        <f t="shared" si="22"/>
      </c>
      <c r="AI1254" s="2">
        <f t="shared" si="23"/>
      </c>
      <c r="AJ1254" s="2">
        <f t="shared" si="24"/>
        <v>0</v>
      </c>
      <c r="AK1254" s="2">
        <f t="shared" si="25"/>
        <v>0</v>
      </c>
      <c r="AL1254" s="2">
        <f t="shared" si="26"/>
        <v>0</v>
      </c>
      <c r="AM1254" s="2">
        <f t="shared" si="27"/>
        <v>0</v>
      </c>
      <c r="AN1254" s="2">
        <f t="shared" si="28"/>
        <v>0</v>
      </c>
      <c r="AO1254" s="2">
        <f t="shared" si="29"/>
      </c>
      <c r="AP1254" s="2">
        <f t="shared" si="30"/>
      </c>
      <c r="AQ1254" s="2">
        <f t="shared" si="31"/>
      </c>
    </row>
    <row r="1255">
      <c r="A1255" s="43">
        <f t="shared" si="3"/>
      </c>
      <c r="B1255" s="44" t="n"/>
      <c r="C1255" s="45" t="n"/>
      <c r="D1255" s="46" t="n"/>
      <c r="E1255" s="47" t="n"/>
      <c r="F1255" s="47" t="n"/>
      <c r="G1255" s="48">
        <f t="shared" si="4"/>
      </c>
      <c r="H1255" s="43">
        <f t="shared" si="0"/>
      </c>
      <c r="I1255" s="43">
        <f t="shared" si="5"/>
      </c>
      <c r="J1255" s="43">
        <f t="shared" si="1"/>
      </c>
      <c r="K1255" s="49">
        <f t="shared" si="2"/>
      </c>
      <c r="L1255" s="45" t="n"/>
      <c r="M1255" s="45" t="n"/>
      <c r="N1255" s="45" t="n"/>
      <c r="O1255" s="45" t="n"/>
      <c r="P1255" s="50" t="n"/>
      <c r="R1255" s="2">
        <f t="shared" si="6"/>
        <v>0</v>
      </c>
      <c r="S1255" s="2">
        <f t="shared" si="7"/>
      </c>
      <c r="T1255" s="2">
        <f t="shared" si="8"/>
      </c>
      <c r="U1255" s="2">
        <f t="shared" si="9"/>
      </c>
      <c r="V1255" s="2">
        <f t="shared" si="10"/>
      </c>
      <c r="W1255" s="2">
        <f t="shared" si="11"/>
      </c>
      <c r="X1255" s="2">
        <f t="shared" si="12"/>
      </c>
      <c r="Y1255" s="2">
        <f t="shared" si="13"/>
        <v>0</v>
      </c>
      <c r="Z1255" s="2">
        <f t="shared" si="14"/>
      </c>
      <c r="AA1255" s="2">
        <f t="shared" si="15"/>
        <v>0</v>
      </c>
      <c r="AB1255" s="2">
        <f t="shared" si="16"/>
      </c>
      <c r="AC1255" s="2">
        <f t="shared" si="17"/>
      </c>
      <c r="AD1255" s="2">
        <f t="shared" si="18"/>
      </c>
      <c r="AE1255" s="2">
        <f t="shared" si="19"/>
      </c>
      <c r="AF1255" s="2">
        <f t="shared" si="20"/>
      </c>
      <c r="AG1255" s="2">
        <f t="shared" si="21"/>
      </c>
      <c r="AH1255" s="2">
        <f t="shared" si="22"/>
      </c>
      <c r="AI1255" s="2">
        <f t="shared" si="23"/>
      </c>
      <c r="AJ1255" s="2">
        <f t="shared" si="24"/>
        <v>0</v>
      </c>
      <c r="AK1255" s="2">
        <f t="shared" si="25"/>
        <v>0</v>
      </c>
      <c r="AL1255" s="2">
        <f t="shared" si="26"/>
        <v>0</v>
      </c>
      <c r="AM1255" s="2">
        <f t="shared" si="27"/>
        <v>0</v>
      </c>
      <c r="AN1255" s="2">
        <f t="shared" si="28"/>
        <v>0</v>
      </c>
      <c r="AO1255" s="2">
        <f t="shared" si="29"/>
      </c>
      <c r="AP1255" s="2">
        <f t="shared" si="30"/>
      </c>
      <c r="AQ1255" s="2">
        <f t="shared" si="31"/>
      </c>
    </row>
    <row r="1256">
      <c r="A1256" s="43">
        <f t="shared" si="3"/>
      </c>
      <c r="B1256" s="44" t="n"/>
      <c r="C1256" s="45" t="n"/>
      <c r="D1256" s="46" t="n"/>
      <c r="E1256" s="47" t="n"/>
      <c r="F1256" s="47" t="n"/>
      <c r="G1256" s="48">
        <f t="shared" si="4"/>
      </c>
      <c r="H1256" s="43">
        <f t="shared" si="0"/>
      </c>
      <c r="I1256" s="43">
        <f t="shared" si="5"/>
      </c>
      <c r="J1256" s="43">
        <f t="shared" si="1"/>
      </c>
      <c r="K1256" s="49">
        <f t="shared" si="2"/>
      </c>
      <c r="L1256" s="45" t="n"/>
      <c r="M1256" s="45" t="n"/>
      <c r="N1256" s="45" t="n"/>
      <c r="O1256" s="45" t="n"/>
      <c r="P1256" s="50" t="n"/>
      <c r="R1256" s="2">
        <f t="shared" si="6"/>
        <v>0</v>
      </c>
      <c r="S1256" s="2">
        <f t="shared" si="7"/>
      </c>
      <c r="T1256" s="2">
        <f t="shared" si="8"/>
      </c>
      <c r="U1256" s="2">
        <f t="shared" si="9"/>
      </c>
      <c r="V1256" s="2">
        <f t="shared" si="10"/>
      </c>
      <c r="W1256" s="2">
        <f t="shared" si="11"/>
      </c>
      <c r="X1256" s="2">
        <f t="shared" si="12"/>
      </c>
      <c r="Y1256" s="2">
        <f t="shared" si="13"/>
        <v>0</v>
      </c>
      <c r="Z1256" s="2">
        <f t="shared" si="14"/>
      </c>
      <c r="AA1256" s="2">
        <f t="shared" si="15"/>
        <v>0</v>
      </c>
      <c r="AB1256" s="2">
        <f t="shared" si="16"/>
      </c>
      <c r="AC1256" s="2">
        <f t="shared" si="17"/>
      </c>
      <c r="AD1256" s="2">
        <f t="shared" si="18"/>
      </c>
      <c r="AE1256" s="2">
        <f t="shared" si="19"/>
      </c>
      <c r="AF1256" s="2">
        <f t="shared" si="20"/>
      </c>
      <c r="AG1256" s="2">
        <f t="shared" si="21"/>
      </c>
      <c r="AH1256" s="2">
        <f t="shared" si="22"/>
      </c>
      <c r="AI1256" s="2">
        <f t="shared" si="23"/>
      </c>
      <c r="AJ1256" s="2">
        <f t="shared" si="24"/>
        <v>0</v>
      </c>
      <c r="AK1256" s="2">
        <f t="shared" si="25"/>
        <v>0</v>
      </c>
      <c r="AL1256" s="2">
        <f t="shared" si="26"/>
        <v>0</v>
      </c>
      <c r="AM1256" s="2">
        <f t="shared" si="27"/>
        <v>0</v>
      </c>
      <c r="AN1256" s="2">
        <f t="shared" si="28"/>
        <v>0</v>
      </c>
      <c r="AO1256" s="2">
        <f t="shared" si="29"/>
      </c>
      <c r="AP1256" s="2">
        <f t="shared" si="30"/>
      </c>
      <c r="AQ1256" s="2">
        <f t="shared" si="31"/>
      </c>
    </row>
    <row r="1257">
      <c r="A1257" s="43">
        <f t="shared" si="3"/>
      </c>
      <c r="B1257" s="44" t="n"/>
      <c r="C1257" s="45" t="n"/>
      <c r="D1257" s="46" t="n"/>
      <c r="E1257" s="47" t="n"/>
      <c r="F1257" s="47" t="n"/>
      <c r="G1257" s="48">
        <f t="shared" si="4"/>
      </c>
      <c r="H1257" s="43">
        <f t="shared" si="0"/>
      </c>
      <c r="I1257" s="43">
        <f t="shared" si="5"/>
      </c>
      <c r="J1257" s="43">
        <f t="shared" si="1"/>
      </c>
      <c r="K1257" s="49">
        <f t="shared" si="2"/>
      </c>
      <c r="L1257" s="45" t="n"/>
      <c r="M1257" s="45" t="n"/>
      <c r="N1257" s="45" t="n"/>
      <c r="O1257" s="45" t="n"/>
      <c r="P1257" s="50" t="n"/>
      <c r="R1257" s="2">
        <f t="shared" si="6"/>
        <v>0</v>
      </c>
      <c r="S1257" s="2">
        <f t="shared" si="7"/>
      </c>
      <c r="T1257" s="2">
        <f t="shared" si="8"/>
      </c>
      <c r="U1257" s="2">
        <f t="shared" si="9"/>
      </c>
      <c r="V1257" s="2">
        <f t="shared" si="10"/>
      </c>
      <c r="W1257" s="2">
        <f t="shared" si="11"/>
      </c>
      <c r="X1257" s="2">
        <f t="shared" si="12"/>
      </c>
      <c r="Y1257" s="2">
        <f t="shared" si="13"/>
        <v>0</v>
      </c>
      <c r="Z1257" s="2">
        <f t="shared" si="14"/>
      </c>
      <c r="AA1257" s="2">
        <f t="shared" si="15"/>
        <v>0</v>
      </c>
      <c r="AB1257" s="2">
        <f t="shared" si="16"/>
      </c>
      <c r="AC1257" s="2">
        <f t="shared" si="17"/>
      </c>
      <c r="AD1257" s="2">
        <f t="shared" si="18"/>
      </c>
      <c r="AE1257" s="2">
        <f t="shared" si="19"/>
      </c>
      <c r="AF1257" s="2">
        <f t="shared" si="20"/>
      </c>
      <c r="AG1257" s="2">
        <f t="shared" si="21"/>
      </c>
      <c r="AH1257" s="2">
        <f t="shared" si="22"/>
      </c>
      <c r="AI1257" s="2">
        <f t="shared" si="23"/>
      </c>
      <c r="AJ1257" s="2">
        <f t="shared" si="24"/>
        <v>0</v>
      </c>
      <c r="AK1257" s="2">
        <f t="shared" si="25"/>
        <v>0</v>
      </c>
      <c r="AL1257" s="2">
        <f t="shared" si="26"/>
        <v>0</v>
      </c>
      <c r="AM1257" s="2">
        <f t="shared" si="27"/>
        <v>0</v>
      </c>
      <c r="AN1257" s="2">
        <f t="shared" si="28"/>
        <v>0</v>
      </c>
      <c r="AO1257" s="2">
        <f t="shared" si="29"/>
      </c>
      <c r="AP1257" s="2">
        <f t="shared" si="30"/>
      </c>
      <c r="AQ1257" s="2">
        <f t="shared" si="31"/>
      </c>
    </row>
    <row r="1258">
      <c r="A1258" s="43">
        <f t="shared" si="3"/>
      </c>
      <c r="B1258" s="44" t="n"/>
      <c r="C1258" s="45" t="n"/>
      <c r="D1258" s="46" t="n"/>
      <c r="E1258" s="47" t="n"/>
      <c r="F1258" s="47" t="n"/>
      <c r="G1258" s="48">
        <f t="shared" si="4"/>
      </c>
      <c r="H1258" s="43">
        <f t="shared" si="0"/>
      </c>
      <c r="I1258" s="43">
        <f t="shared" si="5"/>
      </c>
      <c r="J1258" s="43">
        <f t="shared" si="1"/>
      </c>
      <c r="K1258" s="49">
        <f t="shared" si="2"/>
      </c>
      <c r="L1258" s="45" t="n"/>
      <c r="M1258" s="45" t="n"/>
      <c r="N1258" s="45" t="n"/>
      <c r="O1258" s="45" t="n"/>
      <c r="P1258" s="50" t="n"/>
      <c r="R1258" s="2">
        <f t="shared" si="6"/>
        <v>0</v>
      </c>
      <c r="S1258" s="2">
        <f t="shared" si="7"/>
      </c>
      <c r="T1258" s="2">
        <f t="shared" si="8"/>
      </c>
      <c r="U1258" s="2">
        <f t="shared" si="9"/>
      </c>
      <c r="V1258" s="2">
        <f t="shared" si="10"/>
      </c>
      <c r="W1258" s="2">
        <f t="shared" si="11"/>
      </c>
      <c r="X1258" s="2">
        <f t="shared" si="12"/>
      </c>
      <c r="Y1258" s="2">
        <f t="shared" si="13"/>
        <v>0</v>
      </c>
      <c r="Z1258" s="2">
        <f t="shared" si="14"/>
      </c>
      <c r="AA1258" s="2">
        <f t="shared" si="15"/>
        <v>0</v>
      </c>
      <c r="AB1258" s="2">
        <f t="shared" si="16"/>
      </c>
      <c r="AC1258" s="2">
        <f t="shared" si="17"/>
      </c>
      <c r="AD1258" s="2">
        <f t="shared" si="18"/>
      </c>
      <c r="AE1258" s="2">
        <f t="shared" si="19"/>
      </c>
      <c r="AF1258" s="2">
        <f t="shared" si="20"/>
      </c>
      <c r="AG1258" s="2">
        <f t="shared" si="21"/>
      </c>
      <c r="AH1258" s="2">
        <f t="shared" si="22"/>
      </c>
      <c r="AI1258" s="2">
        <f t="shared" si="23"/>
      </c>
      <c r="AJ1258" s="2">
        <f t="shared" si="24"/>
        <v>0</v>
      </c>
      <c r="AK1258" s="2">
        <f t="shared" si="25"/>
        <v>0</v>
      </c>
      <c r="AL1258" s="2">
        <f t="shared" si="26"/>
        <v>0</v>
      </c>
      <c r="AM1258" s="2">
        <f t="shared" si="27"/>
        <v>0</v>
      </c>
      <c r="AN1258" s="2">
        <f t="shared" si="28"/>
        <v>0</v>
      </c>
      <c r="AO1258" s="2">
        <f t="shared" si="29"/>
      </c>
      <c r="AP1258" s="2">
        <f t="shared" si="30"/>
      </c>
      <c r="AQ1258" s="2">
        <f t="shared" si="31"/>
      </c>
    </row>
    <row r="1259">
      <c r="A1259" s="43">
        <f t="shared" si="3"/>
      </c>
      <c r="B1259" s="44" t="n"/>
      <c r="C1259" s="45" t="n"/>
      <c r="D1259" s="46" t="n"/>
      <c r="E1259" s="47" t="n"/>
      <c r="F1259" s="47" t="n"/>
      <c r="G1259" s="48">
        <f t="shared" si="4"/>
      </c>
      <c r="H1259" s="43">
        <f t="shared" si="0"/>
      </c>
      <c r="I1259" s="43">
        <f t="shared" si="5"/>
      </c>
      <c r="J1259" s="43">
        <f t="shared" si="1"/>
      </c>
      <c r="K1259" s="49">
        <f t="shared" si="2"/>
      </c>
      <c r="L1259" s="45" t="n"/>
      <c r="M1259" s="45" t="n"/>
      <c r="N1259" s="45" t="n"/>
      <c r="O1259" s="45" t="n"/>
      <c r="P1259" s="50" t="n"/>
      <c r="R1259" s="2">
        <f t="shared" si="6"/>
        <v>0</v>
      </c>
      <c r="S1259" s="2">
        <f t="shared" si="7"/>
      </c>
      <c r="T1259" s="2">
        <f t="shared" si="8"/>
      </c>
      <c r="U1259" s="2">
        <f t="shared" si="9"/>
      </c>
      <c r="V1259" s="2">
        <f t="shared" si="10"/>
      </c>
      <c r="W1259" s="2">
        <f t="shared" si="11"/>
      </c>
      <c r="X1259" s="2">
        <f t="shared" si="12"/>
      </c>
      <c r="Y1259" s="2">
        <f t="shared" si="13"/>
        <v>0</v>
      </c>
      <c r="Z1259" s="2">
        <f t="shared" si="14"/>
      </c>
      <c r="AA1259" s="2">
        <f t="shared" si="15"/>
        <v>0</v>
      </c>
      <c r="AB1259" s="2">
        <f t="shared" si="16"/>
      </c>
      <c r="AC1259" s="2">
        <f t="shared" si="17"/>
      </c>
      <c r="AD1259" s="2">
        <f t="shared" si="18"/>
      </c>
      <c r="AE1259" s="2">
        <f t="shared" si="19"/>
      </c>
      <c r="AF1259" s="2">
        <f t="shared" si="20"/>
      </c>
      <c r="AG1259" s="2">
        <f t="shared" si="21"/>
      </c>
      <c r="AH1259" s="2">
        <f t="shared" si="22"/>
      </c>
      <c r="AI1259" s="2">
        <f t="shared" si="23"/>
      </c>
      <c r="AJ1259" s="2">
        <f t="shared" si="24"/>
        <v>0</v>
      </c>
      <c r="AK1259" s="2">
        <f t="shared" si="25"/>
        <v>0</v>
      </c>
      <c r="AL1259" s="2">
        <f t="shared" si="26"/>
        <v>0</v>
      </c>
      <c r="AM1259" s="2">
        <f t="shared" si="27"/>
        <v>0</v>
      </c>
      <c r="AN1259" s="2">
        <f t="shared" si="28"/>
        <v>0</v>
      </c>
      <c r="AO1259" s="2">
        <f t="shared" si="29"/>
      </c>
      <c r="AP1259" s="2">
        <f t="shared" si="30"/>
      </c>
      <c r="AQ1259" s="2">
        <f t="shared" si="31"/>
      </c>
    </row>
    <row r="1260">
      <c r="A1260" s="43">
        <f t="shared" si="3"/>
      </c>
      <c r="B1260" s="44" t="n"/>
      <c r="C1260" s="45" t="n"/>
      <c r="D1260" s="46" t="n"/>
      <c r="E1260" s="47" t="n"/>
      <c r="F1260" s="47" t="n"/>
      <c r="G1260" s="48">
        <f t="shared" si="4"/>
      </c>
      <c r="H1260" s="43">
        <f t="shared" si="0"/>
      </c>
      <c r="I1260" s="43">
        <f t="shared" si="5"/>
      </c>
      <c r="J1260" s="43">
        <f t="shared" si="1"/>
      </c>
      <c r="K1260" s="49">
        <f t="shared" si="2"/>
      </c>
      <c r="L1260" s="45" t="n"/>
      <c r="M1260" s="45" t="n"/>
      <c r="N1260" s="45" t="n"/>
      <c r="O1260" s="45" t="n"/>
      <c r="P1260" s="50" t="n"/>
      <c r="R1260" s="2">
        <f t="shared" si="6"/>
        <v>0</v>
      </c>
      <c r="S1260" s="2">
        <f t="shared" si="7"/>
      </c>
      <c r="T1260" s="2">
        <f t="shared" si="8"/>
      </c>
      <c r="U1260" s="2">
        <f t="shared" si="9"/>
      </c>
      <c r="V1260" s="2">
        <f t="shared" si="10"/>
      </c>
      <c r="W1260" s="2">
        <f t="shared" si="11"/>
      </c>
      <c r="X1260" s="2">
        <f t="shared" si="12"/>
      </c>
      <c r="Y1260" s="2">
        <f t="shared" si="13"/>
        <v>0</v>
      </c>
      <c r="Z1260" s="2">
        <f t="shared" si="14"/>
      </c>
      <c r="AA1260" s="2">
        <f t="shared" si="15"/>
        <v>0</v>
      </c>
      <c r="AB1260" s="2">
        <f t="shared" si="16"/>
      </c>
      <c r="AC1260" s="2">
        <f t="shared" si="17"/>
      </c>
      <c r="AD1260" s="2">
        <f t="shared" si="18"/>
      </c>
      <c r="AE1260" s="2">
        <f t="shared" si="19"/>
      </c>
      <c r="AF1260" s="2">
        <f t="shared" si="20"/>
      </c>
      <c r="AG1260" s="2">
        <f t="shared" si="21"/>
      </c>
      <c r="AH1260" s="2">
        <f t="shared" si="22"/>
      </c>
      <c r="AI1260" s="2">
        <f t="shared" si="23"/>
      </c>
      <c r="AJ1260" s="2">
        <f t="shared" si="24"/>
        <v>0</v>
      </c>
      <c r="AK1260" s="2">
        <f t="shared" si="25"/>
        <v>0</v>
      </c>
      <c r="AL1260" s="2">
        <f t="shared" si="26"/>
        <v>0</v>
      </c>
      <c r="AM1260" s="2">
        <f t="shared" si="27"/>
        <v>0</v>
      </c>
      <c r="AN1260" s="2">
        <f t="shared" si="28"/>
        <v>0</v>
      </c>
      <c r="AO1260" s="2">
        <f t="shared" si="29"/>
      </c>
      <c r="AP1260" s="2">
        <f t="shared" si="30"/>
      </c>
      <c r="AQ1260" s="2">
        <f t="shared" si="31"/>
      </c>
    </row>
    <row r="1261">
      <c r="A1261" s="43">
        <f t="shared" si="3"/>
      </c>
      <c r="B1261" s="44" t="n"/>
      <c r="C1261" s="45" t="n"/>
      <c r="D1261" s="46" t="n"/>
      <c r="E1261" s="47" t="n"/>
      <c r="F1261" s="47" t="n"/>
      <c r="G1261" s="48">
        <f t="shared" si="4"/>
      </c>
      <c r="H1261" s="43">
        <f t="shared" si="0"/>
      </c>
      <c r="I1261" s="43">
        <f t="shared" si="5"/>
      </c>
      <c r="J1261" s="43">
        <f t="shared" si="1"/>
      </c>
      <c r="K1261" s="49">
        <f t="shared" si="2"/>
      </c>
      <c r="L1261" s="45" t="n"/>
      <c r="M1261" s="45" t="n"/>
      <c r="N1261" s="45" t="n"/>
      <c r="O1261" s="45" t="n"/>
      <c r="P1261" s="50" t="n"/>
      <c r="R1261" s="2">
        <f t="shared" si="6"/>
        <v>0</v>
      </c>
      <c r="S1261" s="2">
        <f t="shared" si="7"/>
      </c>
      <c r="T1261" s="2">
        <f t="shared" si="8"/>
      </c>
      <c r="U1261" s="2">
        <f t="shared" si="9"/>
      </c>
      <c r="V1261" s="2">
        <f t="shared" si="10"/>
      </c>
      <c r="W1261" s="2">
        <f t="shared" si="11"/>
      </c>
      <c r="X1261" s="2">
        <f t="shared" si="12"/>
      </c>
      <c r="Y1261" s="2">
        <f t="shared" si="13"/>
        <v>0</v>
      </c>
      <c r="Z1261" s="2">
        <f t="shared" si="14"/>
      </c>
      <c r="AA1261" s="2">
        <f t="shared" si="15"/>
        <v>0</v>
      </c>
      <c r="AB1261" s="2">
        <f t="shared" si="16"/>
      </c>
      <c r="AC1261" s="2">
        <f t="shared" si="17"/>
      </c>
      <c r="AD1261" s="2">
        <f t="shared" si="18"/>
      </c>
      <c r="AE1261" s="2">
        <f t="shared" si="19"/>
      </c>
      <c r="AF1261" s="2">
        <f t="shared" si="20"/>
      </c>
      <c r="AG1261" s="2">
        <f t="shared" si="21"/>
      </c>
      <c r="AH1261" s="2">
        <f t="shared" si="22"/>
      </c>
      <c r="AI1261" s="2">
        <f t="shared" si="23"/>
      </c>
      <c r="AJ1261" s="2">
        <f t="shared" si="24"/>
        <v>0</v>
      </c>
      <c r="AK1261" s="2">
        <f t="shared" si="25"/>
        <v>0</v>
      </c>
      <c r="AL1261" s="2">
        <f t="shared" si="26"/>
        <v>0</v>
      </c>
      <c r="AM1261" s="2">
        <f t="shared" si="27"/>
        <v>0</v>
      </c>
      <c r="AN1261" s="2">
        <f t="shared" si="28"/>
        <v>0</v>
      </c>
      <c r="AO1261" s="2">
        <f t="shared" si="29"/>
      </c>
      <c r="AP1261" s="2">
        <f t="shared" si="30"/>
      </c>
      <c r="AQ1261" s="2">
        <f t="shared" si="31"/>
      </c>
    </row>
    <row r="1262">
      <c r="A1262" s="43">
        <f t="shared" si="3"/>
      </c>
      <c r="B1262" s="44" t="n"/>
      <c r="C1262" s="45" t="n"/>
      <c r="D1262" s="46" t="n"/>
      <c r="E1262" s="47" t="n"/>
      <c r="F1262" s="47" t="n"/>
      <c r="G1262" s="48">
        <f t="shared" si="4"/>
      </c>
      <c r="H1262" s="43">
        <f t="shared" si="0"/>
      </c>
      <c r="I1262" s="43">
        <f t="shared" si="5"/>
      </c>
      <c r="J1262" s="43">
        <f t="shared" si="1"/>
      </c>
      <c r="K1262" s="49">
        <f t="shared" si="2"/>
      </c>
      <c r="L1262" s="45" t="n"/>
      <c r="M1262" s="45" t="n"/>
      <c r="N1262" s="45" t="n"/>
      <c r="O1262" s="45" t="n"/>
      <c r="P1262" s="50" t="n"/>
      <c r="R1262" s="2">
        <f t="shared" si="6"/>
        <v>0</v>
      </c>
      <c r="S1262" s="2">
        <f t="shared" si="7"/>
      </c>
      <c r="T1262" s="2">
        <f t="shared" si="8"/>
      </c>
      <c r="U1262" s="2">
        <f t="shared" si="9"/>
      </c>
      <c r="V1262" s="2">
        <f t="shared" si="10"/>
      </c>
      <c r="W1262" s="2">
        <f t="shared" si="11"/>
      </c>
      <c r="X1262" s="2">
        <f t="shared" si="12"/>
      </c>
      <c r="Y1262" s="2">
        <f t="shared" si="13"/>
        <v>0</v>
      </c>
      <c r="Z1262" s="2">
        <f t="shared" si="14"/>
      </c>
      <c r="AA1262" s="2">
        <f t="shared" si="15"/>
        <v>0</v>
      </c>
      <c r="AB1262" s="2">
        <f t="shared" si="16"/>
      </c>
      <c r="AC1262" s="2">
        <f t="shared" si="17"/>
      </c>
      <c r="AD1262" s="2">
        <f t="shared" si="18"/>
      </c>
      <c r="AE1262" s="2">
        <f t="shared" si="19"/>
      </c>
      <c r="AF1262" s="2">
        <f t="shared" si="20"/>
      </c>
      <c r="AG1262" s="2">
        <f t="shared" si="21"/>
      </c>
      <c r="AH1262" s="2">
        <f t="shared" si="22"/>
      </c>
      <c r="AI1262" s="2">
        <f t="shared" si="23"/>
      </c>
      <c r="AJ1262" s="2">
        <f t="shared" si="24"/>
        <v>0</v>
      </c>
      <c r="AK1262" s="2">
        <f t="shared" si="25"/>
        <v>0</v>
      </c>
      <c r="AL1262" s="2">
        <f t="shared" si="26"/>
        <v>0</v>
      </c>
      <c r="AM1262" s="2">
        <f t="shared" si="27"/>
        <v>0</v>
      </c>
      <c r="AN1262" s="2">
        <f t="shared" si="28"/>
        <v>0</v>
      </c>
      <c r="AO1262" s="2">
        <f t="shared" si="29"/>
      </c>
      <c r="AP1262" s="2">
        <f t="shared" si="30"/>
      </c>
      <c r="AQ1262" s="2">
        <f t="shared" si="31"/>
      </c>
    </row>
    <row r="1263">
      <c r="A1263" s="43">
        <f t="shared" si="3"/>
      </c>
      <c r="B1263" s="44" t="n"/>
      <c r="C1263" s="45" t="n"/>
      <c r="D1263" s="46" t="n"/>
      <c r="E1263" s="47" t="n"/>
      <c r="F1263" s="47" t="n"/>
      <c r="G1263" s="48">
        <f t="shared" si="4"/>
      </c>
      <c r="H1263" s="43">
        <f t="shared" si="0"/>
      </c>
      <c r="I1263" s="43">
        <f t="shared" si="5"/>
      </c>
      <c r="J1263" s="43">
        <f t="shared" si="1"/>
      </c>
      <c r="K1263" s="49">
        <f t="shared" si="2"/>
      </c>
      <c r="L1263" s="45" t="n"/>
      <c r="M1263" s="45" t="n"/>
      <c r="N1263" s="45" t="n"/>
      <c r="O1263" s="45" t="n"/>
      <c r="P1263" s="50" t="n"/>
      <c r="R1263" s="2">
        <f t="shared" si="6"/>
        <v>0</v>
      </c>
      <c r="S1263" s="2">
        <f t="shared" si="7"/>
      </c>
      <c r="T1263" s="2">
        <f t="shared" si="8"/>
      </c>
      <c r="U1263" s="2">
        <f t="shared" si="9"/>
      </c>
      <c r="V1263" s="2">
        <f t="shared" si="10"/>
      </c>
      <c r="W1263" s="2">
        <f t="shared" si="11"/>
      </c>
      <c r="X1263" s="2">
        <f t="shared" si="12"/>
      </c>
      <c r="Y1263" s="2">
        <f t="shared" si="13"/>
        <v>0</v>
      </c>
      <c r="Z1263" s="2">
        <f t="shared" si="14"/>
      </c>
      <c r="AA1263" s="2">
        <f t="shared" si="15"/>
        <v>0</v>
      </c>
      <c r="AB1263" s="2">
        <f t="shared" si="16"/>
      </c>
      <c r="AC1263" s="2">
        <f t="shared" si="17"/>
      </c>
      <c r="AD1263" s="2">
        <f t="shared" si="18"/>
      </c>
      <c r="AE1263" s="2">
        <f t="shared" si="19"/>
      </c>
      <c r="AF1263" s="2">
        <f t="shared" si="20"/>
      </c>
      <c r="AG1263" s="2">
        <f t="shared" si="21"/>
      </c>
      <c r="AH1263" s="2">
        <f t="shared" si="22"/>
      </c>
      <c r="AI1263" s="2">
        <f t="shared" si="23"/>
      </c>
      <c r="AJ1263" s="2">
        <f t="shared" si="24"/>
        <v>0</v>
      </c>
      <c r="AK1263" s="2">
        <f t="shared" si="25"/>
        <v>0</v>
      </c>
      <c r="AL1263" s="2">
        <f t="shared" si="26"/>
        <v>0</v>
      </c>
      <c r="AM1263" s="2">
        <f t="shared" si="27"/>
        <v>0</v>
      </c>
      <c r="AN1263" s="2">
        <f t="shared" si="28"/>
        <v>0</v>
      </c>
      <c r="AO1263" s="2">
        <f t="shared" si="29"/>
      </c>
      <c r="AP1263" s="2">
        <f t="shared" si="30"/>
      </c>
      <c r="AQ1263" s="2">
        <f t="shared" si="31"/>
      </c>
    </row>
    <row r="1264">
      <c r="A1264" s="43">
        <f t="shared" si="3"/>
      </c>
      <c r="B1264" s="44" t="n"/>
      <c r="C1264" s="45" t="n"/>
      <c r="D1264" s="46" t="n"/>
      <c r="E1264" s="47" t="n"/>
      <c r="F1264" s="47" t="n"/>
      <c r="G1264" s="48">
        <f t="shared" si="4"/>
      </c>
      <c r="H1264" s="43">
        <f t="shared" si="0"/>
      </c>
      <c r="I1264" s="43">
        <f t="shared" si="5"/>
      </c>
      <c r="J1264" s="43">
        <f t="shared" si="1"/>
      </c>
      <c r="K1264" s="49">
        <f t="shared" si="2"/>
      </c>
      <c r="L1264" s="45" t="n"/>
      <c r="M1264" s="45" t="n"/>
      <c r="N1264" s="45" t="n"/>
      <c r="O1264" s="45" t="n"/>
      <c r="P1264" s="50" t="n"/>
      <c r="R1264" s="2">
        <f t="shared" si="6"/>
        <v>0</v>
      </c>
      <c r="S1264" s="2">
        <f t="shared" si="7"/>
      </c>
      <c r="T1264" s="2">
        <f t="shared" si="8"/>
      </c>
      <c r="U1264" s="2">
        <f t="shared" si="9"/>
      </c>
      <c r="V1264" s="2">
        <f t="shared" si="10"/>
      </c>
      <c r="W1264" s="2">
        <f t="shared" si="11"/>
      </c>
      <c r="X1264" s="2">
        <f t="shared" si="12"/>
      </c>
      <c r="Y1264" s="2">
        <f t="shared" si="13"/>
        <v>0</v>
      </c>
      <c r="Z1264" s="2">
        <f t="shared" si="14"/>
      </c>
      <c r="AA1264" s="2">
        <f t="shared" si="15"/>
        <v>0</v>
      </c>
      <c r="AB1264" s="2">
        <f t="shared" si="16"/>
      </c>
      <c r="AC1264" s="2">
        <f t="shared" si="17"/>
      </c>
      <c r="AD1264" s="2">
        <f t="shared" si="18"/>
      </c>
      <c r="AE1264" s="2">
        <f t="shared" si="19"/>
      </c>
      <c r="AF1264" s="2">
        <f t="shared" si="20"/>
      </c>
      <c r="AG1264" s="2">
        <f t="shared" si="21"/>
      </c>
      <c r="AH1264" s="2">
        <f t="shared" si="22"/>
      </c>
      <c r="AI1264" s="2">
        <f t="shared" si="23"/>
      </c>
      <c r="AJ1264" s="2">
        <f t="shared" si="24"/>
        <v>0</v>
      </c>
      <c r="AK1264" s="2">
        <f t="shared" si="25"/>
        <v>0</v>
      </c>
      <c r="AL1264" s="2">
        <f t="shared" si="26"/>
        <v>0</v>
      </c>
      <c r="AM1264" s="2">
        <f t="shared" si="27"/>
        <v>0</v>
      </c>
      <c r="AN1264" s="2">
        <f t="shared" si="28"/>
        <v>0</v>
      </c>
      <c r="AO1264" s="2">
        <f t="shared" si="29"/>
      </c>
      <c r="AP1264" s="2">
        <f t="shared" si="30"/>
      </c>
      <c r="AQ1264" s="2">
        <f t="shared" si="31"/>
      </c>
    </row>
    <row r="1265">
      <c r="A1265" s="43">
        <f t="shared" si="3"/>
      </c>
      <c r="B1265" s="44" t="n"/>
      <c r="C1265" s="45" t="n"/>
      <c r="D1265" s="46" t="n"/>
      <c r="E1265" s="47" t="n"/>
      <c r="F1265" s="47" t="n"/>
      <c r="G1265" s="48">
        <f t="shared" si="4"/>
      </c>
      <c r="H1265" s="43">
        <f t="shared" si="0"/>
      </c>
      <c r="I1265" s="43">
        <f t="shared" si="5"/>
      </c>
      <c r="J1265" s="43">
        <f t="shared" si="1"/>
      </c>
      <c r="K1265" s="49">
        <f t="shared" si="2"/>
      </c>
      <c r="L1265" s="45" t="n"/>
      <c r="M1265" s="45" t="n"/>
      <c r="N1265" s="45" t="n"/>
      <c r="O1265" s="45" t="n"/>
      <c r="P1265" s="50" t="n"/>
      <c r="R1265" s="2">
        <f t="shared" si="6"/>
        <v>0</v>
      </c>
      <c r="S1265" s="2">
        <f t="shared" si="7"/>
      </c>
      <c r="T1265" s="2">
        <f t="shared" si="8"/>
      </c>
      <c r="U1265" s="2">
        <f t="shared" si="9"/>
      </c>
      <c r="V1265" s="2">
        <f t="shared" si="10"/>
      </c>
      <c r="W1265" s="2">
        <f t="shared" si="11"/>
      </c>
      <c r="X1265" s="2">
        <f t="shared" si="12"/>
      </c>
      <c r="Y1265" s="2">
        <f t="shared" si="13"/>
        <v>0</v>
      </c>
      <c r="Z1265" s="2">
        <f t="shared" si="14"/>
      </c>
      <c r="AA1265" s="2">
        <f t="shared" si="15"/>
        <v>0</v>
      </c>
      <c r="AB1265" s="2">
        <f t="shared" si="16"/>
      </c>
      <c r="AC1265" s="2">
        <f t="shared" si="17"/>
      </c>
      <c r="AD1265" s="2">
        <f t="shared" si="18"/>
      </c>
      <c r="AE1265" s="2">
        <f t="shared" si="19"/>
      </c>
      <c r="AF1265" s="2">
        <f t="shared" si="20"/>
      </c>
      <c r="AG1265" s="2">
        <f t="shared" si="21"/>
      </c>
      <c r="AH1265" s="2">
        <f t="shared" si="22"/>
      </c>
      <c r="AI1265" s="2">
        <f t="shared" si="23"/>
      </c>
      <c r="AJ1265" s="2">
        <f t="shared" si="24"/>
        <v>0</v>
      </c>
      <c r="AK1265" s="2">
        <f t="shared" si="25"/>
        <v>0</v>
      </c>
      <c r="AL1265" s="2">
        <f t="shared" si="26"/>
        <v>0</v>
      </c>
      <c r="AM1265" s="2">
        <f t="shared" si="27"/>
        <v>0</v>
      </c>
      <c r="AN1265" s="2">
        <f t="shared" si="28"/>
        <v>0</v>
      </c>
      <c r="AO1265" s="2">
        <f t="shared" si="29"/>
      </c>
      <c r="AP1265" s="2">
        <f t="shared" si="30"/>
      </c>
      <c r="AQ1265" s="2">
        <f t="shared" si="31"/>
      </c>
    </row>
    <row r="1266">
      <c r="A1266" s="43">
        <f t="shared" si="3"/>
      </c>
      <c r="B1266" s="44" t="n"/>
      <c r="C1266" s="45" t="n"/>
      <c r="D1266" s="46" t="n"/>
      <c r="E1266" s="47" t="n"/>
      <c r="F1266" s="47" t="n"/>
      <c r="G1266" s="48">
        <f t="shared" si="4"/>
      </c>
      <c r="H1266" s="43">
        <f t="shared" si="0"/>
      </c>
      <c r="I1266" s="43">
        <f t="shared" si="5"/>
      </c>
      <c r="J1266" s="43">
        <f t="shared" si="1"/>
      </c>
      <c r="K1266" s="49">
        <f t="shared" si="2"/>
      </c>
      <c r="L1266" s="45" t="n"/>
      <c r="M1266" s="45" t="n"/>
      <c r="N1266" s="45" t="n"/>
      <c r="O1266" s="45" t="n"/>
      <c r="P1266" s="50" t="n"/>
      <c r="R1266" s="2">
        <f t="shared" si="6"/>
        <v>0</v>
      </c>
      <c r="S1266" s="2">
        <f t="shared" si="7"/>
      </c>
      <c r="T1266" s="2">
        <f t="shared" si="8"/>
      </c>
      <c r="U1266" s="2">
        <f t="shared" si="9"/>
      </c>
      <c r="V1266" s="2">
        <f t="shared" si="10"/>
      </c>
      <c r="W1266" s="2">
        <f t="shared" si="11"/>
      </c>
      <c r="X1266" s="2">
        <f t="shared" si="12"/>
      </c>
      <c r="Y1266" s="2">
        <f t="shared" si="13"/>
        <v>0</v>
      </c>
      <c r="Z1266" s="2">
        <f t="shared" si="14"/>
      </c>
      <c r="AA1266" s="2">
        <f t="shared" si="15"/>
        <v>0</v>
      </c>
      <c r="AB1266" s="2">
        <f t="shared" si="16"/>
      </c>
      <c r="AC1266" s="2">
        <f t="shared" si="17"/>
      </c>
      <c r="AD1266" s="2">
        <f t="shared" si="18"/>
      </c>
      <c r="AE1266" s="2">
        <f t="shared" si="19"/>
      </c>
      <c r="AF1266" s="2">
        <f t="shared" si="20"/>
      </c>
      <c r="AG1266" s="2">
        <f t="shared" si="21"/>
      </c>
      <c r="AH1266" s="2">
        <f t="shared" si="22"/>
      </c>
      <c r="AI1266" s="2">
        <f t="shared" si="23"/>
      </c>
      <c r="AJ1266" s="2">
        <f t="shared" si="24"/>
        <v>0</v>
      </c>
      <c r="AK1266" s="2">
        <f t="shared" si="25"/>
        <v>0</v>
      </c>
      <c r="AL1266" s="2">
        <f t="shared" si="26"/>
        <v>0</v>
      </c>
      <c r="AM1266" s="2">
        <f t="shared" si="27"/>
        <v>0</v>
      </c>
      <c r="AN1266" s="2">
        <f t="shared" si="28"/>
        <v>0</v>
      </c>
      <c r="AO1266" s="2">
        <f t="shared" si="29"/>
      </c>
      <c r="AP1266" s="2">
        <f t="shared" si="30"/>
      </c>
      <c r="AQ1266" s="2">
        <f t="shared" si="31"/>
      </c>
    </row>
    <row r="1267">
      <c r="A1267" s="43">
        <f t="shared" si="3"/>
      </c>
      <c r="B1267" s="44" t="n"/>
      <c r="C1267" s="45" t="n"/>
      <c r="D1267" s="46" t="n"/>
      <c r="E1267" s="47" t="n"/>
      <c r="F1267" s="47" t="n"/>
      <c r="G1267" s="48">
        <f t="shared" si="4"/>
      </c>
      <c r="H1267" s="43">
        <f t="shared" si="0"/>
      </c>
      <c r="I1267" s="43">
        <f t="shared" si="5"/>
      </c>
      <c r="J1267" s="43">
        <f t="shared" si="1"/>
      </c>
      <c r="K1267" s="49">
        <f t="shared" si="2"/>
      </c>
      <c r="L1267" s="45" t="n"/>
      <c r="M1267" s="45" t="n"/>
      <c r="N1267" s="45" t="n"/>
      <c r="O1267" s="45" t="n"/>
      <c r="P1267" s="50" t="n"/>
      <c r="R1267" s="2">
        <f t="shared" si="6"/>
        <v>0</v>
      </c>
      <c r="S1267" s="2">
        <f t="shared" si="7"/>
      </c>
      <c r="T1267" s="2">
        <f t="shared" si="8"/>
      </c>
      <c r="U1267" s="2">
        <f t="shared" si="9"/>
      </c>
      <c r="V1267" s="2">
        <f t="shared" si="10"/>
      </c>
      <c r="W1267" s="2">
        <f t="shared" si="11"/>
      </c>
      <c r="X1267" s="2">
        <f t="shared" si="12"/>
      </c>
      <c r="Y1267" s="2">
        <f t="shared" si="13"/>
        <v>0</v>
      </c>
      <c r="Z1267" s="2">
        <f t="shared" si="14"/>
      </c>
      <c r="AA1267" s="2">
        <f t="shared" si="15"/>
        <v>0</v>
      </c>
      <c r="AB1267" s="2">
        <f t="shared" si="16"/>
      </c>
      <c r="AC1267" s="2">
        <f t="shared" si="17"/>
      </c>
      <c r="AD1267" s="2">
        <f t="shared" si="18"/>
      </c>
      <c r="AE1267" s="2">
        <f t="shared" si="19"/>
      </c>
      <c r="AF1267" s="2">
        <f t="shared" si="20"/>
      </c>
      <c r="AG1267" s="2">
        <f t="shared" si="21"/>
      </c>
      <c r="AH1267" s="2">
        <f t="shared" si="22"/>
      </c>
      <c r="AI1267" s="2">
        <f t="shared" si="23"/>
      </c>
      <c r="AJ1267" s="2">
        <f t="shared" si="24"/>
        <v>0</v>
      </c>
      <c r="AK1267" s="2">
        <f t="shared" si="25"/>
        <v>0</v>
      </c>
      <c r="AL1267" s="2">
        <f t="shared" si="26"/>
        <v>0</v>
      </c>
      <c r="AM1267" s="2">
        <f t="shared" si="27"/>
        <v>0</v>
      </c>
      <c r="AN1267" s="2">
        <f t="shared" si="28"/>
        <v>0</v>
      </c>
      <c r="AO1267" s="2">
        <f t="shared" si="29"/>
      </c>
      <c r="AP1267" s="2">
        <f t="shared" si="30"/>
      </c>
      <c r="AQ1267" s="2">
        <f t="shared" si="31"/>
      </c>
    </row>
    <row r="1268">
      <c r="A1268" s="43">
        <f t="shared" si="3"/>
      </c>
      <c r="B1268" s="44" t="n"/>
      <c r="C1268" s="45" t="n"/>
      <c r="D1268" s="46" t="n"/>
      <c r="E1268" s="47" t="n"/>
      <c r="F1268" s="47" t="n"/>
      <c r="G1268" s="48">
        <f t="shared" si="4"/>
      </c>
      <c r="H1268" s="43">
        <f t="shared" si="0"/>
      </c>
      <c r="I1268" s="43">
        <f t="shared" si="5"/>
      </c>
      <c r="J1268" s="43">
        <f t="shared" si="1"/>
      </c>
      <c r="K1268" s="49">
        <f t="shared" si="2"/>
      </c>
      <c r="L1268" s="45" t="n"/>
      <c r="M1268" s="45" t="n"/>
      <c r="N1268" s="45" t="n"/>
      <c r="O1268" s="45" t="n"/>
      <c r="P1268" s="50" t="n"/>
      <c r="R1268" s="2">
        <f t="shared" si="6"/>
        <v>0</v>
      </c>
      <c r="S1268" s="2">
        <f t="shared" si="7"/>
      </c>
      <c r="T1268" s="2">
        <f t="shared" si="8"/>
      </c>
      <c r="U1268" s="2">
        <f t="shared" si="9"/>
      </c>
      <c r="V1268" s="2">
        <f t="shared" si="10"/>
      </c>
      <c r="W1268" s="2">
        <f t="shared" si="11"/>
      </c>
      <c r="X1268" s="2">
        <f t="shared" si="12"/>
      </c>
      <c r="Y1268" s="2">
        <f t="shared" si="13"/>
        <v>0</v>
      </c>
      <c r="Z1268" s="2">
        <f t="shared" si="14"/>
      </c>
      <c r="AA1268" s="2">
        <f t="shared" si="15"/>
        <v>0</v>
      </c>
      <c r="AB1268" s="2">
        <f t="shared" si="16"/>
      </c>
      <c r="AC1268" s="2">
        <f t="shared" si="17"/>
      </c>
      <c r="AD1268" s="2">
        <f t="shared" si="18"/>
      </c>
      <c r="AE1268" s="2">
        <f t="shared" si="19"/>
      </c>
      <c r="AF1268" s="2">
        <f t="shared" si="20"/>
      </c>
      <c r="AG1268" s="2">
        <f t="shared" si="21"/>
      </c>
      <c r="AH1268" s="2">
        <f t="shared" si="22"/>
      </c>
      <c r="AI1268" s="2">
        <f t="shared" si="23"/>
      </c>
      <c r="AJ1268" s="2">
        <f t="shared" si="24"/>
        <v>0</v>
      </c>
      <c r="AK1268" s="2">
        <f t="shared" si="25"/>
        <v>0</v>
      </c>
      <c r="AL1268" s="2">
        <f t="shared" si="26"/>
        <v>0</v>
      </c>
      <c r="AM1268" s="2">
        <f t="shared" si="27"/>
        <v>0</v>
      </c>
      <c r="AN1268" s="2">
        <f t="shared" si="28"/>
        <v>0</v>
      </c>
      <c r="AO1268" s="2">
        <f t="shared" si="29"/>
      </c>
      <c r="AP1268" s="2">
        <f t="shared" si="30"/>
      </c>
      <c r="AQ1268" s="2">
        <f t="shared" si="31"/>
      </c>
    </row>
    <row r="1269">
      <c r="A1269" s="43">
        <f t="shared" si="3"/>
      </c>
      <c r="B1269" s="44" t="n"/>
      <c r="C1269" s="45" t="n"/>
      <c r="D1269" s="46" t="n"/>
      <c r="E1269" s="47" t="n"/>
      <c r="F1269" s="47" t="n"/>
      <c r="G1269" s="48">
        <f t="shared" si="4"/>
      </c>
      <c r="H1269" s="43">
        <f t="shared" si="0"/>
      </c>
      <c r="I1269" s="43">
        <f t="shared" si="5"/>
      </c>
      <c r="J1269" s="43">
        <f t="shared" si="1"/>
      </c>
      <c r="K1269" s="49">
        <f t="shared" si="2"/>
      </c>
      <c r="L1269" s="45" t="n"/>
      <c r="M1269" s="45" t="n"/>
      <c r="N1269" s="45" t="n"/>
      <c r="O1269" s="45" t="n"/>
      <c r="P1269" s="50" t="n"/>
      <c r="R1269" s="2">
        <f t="shared" si="6"/>
        <v>0</v>
      </c>
      <c r="S1269" s="2">
        <f t="shared" si="7"/>
      </c>
      <c r="T1269" s="2">
        <f t="shared" si="8"/>
      </c>
      <c r="U1269" s="2">
        <f t="shared" si="9"/>
      </c>
      <c r="V1269" s="2">
        <f t="shared" si="10"/>
      </c>
      <c r="W1269" s="2">
        <f t="shared" si="11"/>
      </c>
      <c r="X1269" s="2">
        <f t="shared" si="12"/>
      </c>
      <c r="Y1269" s="2">
        <f t="shared" si="13"/>
        <v>0</v>
      </c>
      <c r="Z1269" s="2">
        <f t="shared" si="14"/>
      </c>
      <c r="AA1269" s="2">
        <f t="shared" si="15"/>
        <v>0</v>
      </c>
      <c r="AB1269" s="2">
        <f t="shared" si="16"/>
      </c>
      <c r="AC1269" s="2">
        <f t="shared" si="17"/>
      </c>
      <c r="AD1269" s="2">
        <f t="shared" si="18"/>
      </c>
      <c r="AE1269" s="2">
        <f t="shared" si="19"/>
      </c>
      <c r="AF1269" s="2">
        <f t="shared" si="20"/>
      </c>
      <c r="AG1269" s="2">
        <f t="shared" si="21"/>
      </c>
      <c r="AH1269" s="2">
        <f t="shared" si="22"/>
      </c>
      <c r="AI1269" s="2">
        <f t="shared" si="23"/>
      </c>
      <c r="AJ1269" s="2">
        <f t="shared" si="24"/>
        <v>0</v>
      </c>
      <c r="AK1269" s="2">
        <f t="shared" si="25"/>
        <v>0</v>
      </c>
      <c r="AL1269" s="2">
        <f t="shared" si="26"/>
        <v>0</v>
      </c>
      <c r="AM1269" s="2">
        <f t="shared" si="27"/>
        <v>0</v>
      </c>
      <c r="AN1269" s="2">
        <f t="shared" si="28"/>
        <v>0</v>
      </c>
      <c r="AO1269" s="2">
        <f t="shared" si="29"/>
      </c>
      <c r="AP1269" s="2">
        <f t="shared" si="30"/>
      </c>
      <c r="AQ1269" s="2">
        <f t="shared" si="31"/>
      </c>
    </row>
    <row r="1270">
      <c r="A1270" s="43">
        <f t="shared" si="3"/>
      </c>
      <c r="B1270" s="44" t="n"/>
      <c r="C1270" s="45" t="n"/>
      <c r="D1270" s="46" t="n"/>
      <c r="E1270" s="47" t="n"/>
      <c r="F1270" s="47" t="n"/>
      <c r="G1270" s="48">
        <f t="shared" si="4"/>
      </c>
      <c r="H1270" s="43">
        <f t="shared" si="0"/>
      </c>
      <c r="I1270" s="43">
        <f t="shared" si="5"/>
      </c>
      <c r="J1270" s="43">
        <f t="shared" si="1"/>
      </c>
      <c r="K1270" s="49">
        <f t="shared" si="2"/>
      </c>
      <c r="L1270" s="45" t="n"/>
      <c r="M1270" s="45" t="n"/>
      <c r="N1270" s="45" t="n"/>
      <c r="O1270" s="45" t="n"/>
      <c r="P1270" s="50" t="n"/>
      <c r="R1270" s="2">
        <f t="shared" si="6"/>
        <v>0</v>
      </c>
      <c r="S1270" s="2">
        <f t="shared" si="7"/>
      </c>
      <c r="T1270" s="2">
        <f t="shared" si="8"/>
      </c>
      <c r="U1270" s="2">
        <f t="shared" si="9"/>
      </c>
      <c r="V1270" s="2">
        <f t="shared" si="10"/>
      </c>
      <c r="W1270" s="2">
        <f t="shared" si="11"/>
      </c>
      <c r="X1270" s="2">
        <f t="shared" si="12"/>
      </c>
      <c r="Y1270" s="2">
        <f t="shared" si="13"/>
        <v>0</v>
      </c>
      <c r="Z1270" s="2">
        <f t="shared" si="14"/>
      </c>
      <c r="AA1270" s="2">
        <f t="shared" si="15"/>
        <v>0</v>
      </c>
      <c r="AB1270" s="2">
        <f t="shared" si="16"/>
      </c>
      <c r="AC1270" s="2">
        <f t="shared" si="17"/>
      </c>
      <c r="AD1270" s="2">
        <f t="shared" si="18"/>
      </c>
      <c r="AE1270" s="2">
        <f t="shared" si="19"/>
      </c>
      <c r="AF1270" s="2">
        <f t="shared" si="20"/>
      </c>
      <c r="AG1270" s="2">
        <f t="shared" si="21"/>
      </c>
      <c r="AH1270" s="2">
        <f t="shared" si="22"/>
      </c>
      <c r="AI1270" s="2">
        <f t="shared" si="23"/>
      </c>
      <c r="AJ1270" s="2">
        <f t="shared" si="24"/>
        <v>0</v>
      </c>
      <c r="AK1270" s="2">
        <f t="shared" si="25"/>
        <v>0</v>
      </c>
      <c r="AL1270" s="2">
        <f t="shared" si="26"/>
        <v>0</v>
      </c>
      <c r="AM1270" s="2">
        <f t="shared" si="27"/>
        <v>0</v>
      </c>
      <c r="AN1270" s="2">
        <f t="shared" si="28"/>
        <v>0</v>
      </c>
      <c r="AO1270" s="2">
        <f t="shared" si="29"/>
      </c>
      <c r="AP1270" s="2">
        <f t="shared" si="30"/>
      </c>
      <c r="AQ1270" s="2">
        <f t="shared" si="31"/>
      </c>
    </row>
    <row r="1271">
      <c r="A1271" s="43">
        <f t="shared" si="3"/>
      </c>
      <c r="B1271" s="44" t="n"/>
      <c r="C1271" s="45" t="n"/>
      <c r="D1271" s="46" t="n"/>
      <c r="E1271" s="47" t="n"/>
      <c r="F1271" s="47" t="n"/>
      <c r="G1271" s="48">
        <f t="shared" si="4"/>
      </c>
      <c r="H1271" s="43">
        <f t="shared" si="0"/>
      </c>
      <c r="I1271" s="43">
        <f t="shared" si="5"/>
      </c>
      <c r="J1271" s="43">
        <f t="shared" si="1"/>
      </c>
      <c r="K1271" s="49">
        <f t="shared" si="2"/>
      </c>
      <c r="L1271" s="45" t="n"/>
      <c r="M1271" s="45" t="n"/>
      <c r="N1271" s="45" t="n"/>
      <c r="O1271" s="45" t="n"/>
      <c r="P1271" s="50" t="n"/>
      <c r="R1271" s="2">
        <f t="shared" si="6"/>
        <v>0</v>
      </c>
      <c r="S1271" s="2">
        <f t="shared" si="7"/>
      </c>
      <c r="T1271" s="2">
        <f t="shared" si="8"/>
      </c>
      <c r="U1271" s="2">
        <f t="shared" si="9"/>
      </c>
      <c r="V1271" s="2">
        <f t="shared" si="10"/>
      </c>
      <c r="W1271" s="2">
        <f t="shared" si="11"/>
      </c>
      <c r="X1271" s="2">
        <f t="shared" si="12"/>
      </c>
      <c r="Y1271" s="2">
        <f t="shared" si="13"/>
        <v>0</v>
      </c>
      <c r="Z1271" s="2">
        <f t="shared" si="14"/>
      </c>
      <c r="AA1271" s="2">
        <f t="shared" si="15"/>
        <v>0</v>
      </c>
      <c r="AB1271" s="2">
        <f t="shared" si="16"/>
      </c>
      <c r="AC1271" s="2">
        <f t="shared" si="17"/>
      </c>
      <c r="AD1271" s="2">
        <f t="shared" si="18"/>
      </c>
      <c r="AE1271" s="2">
        <f t="shared" si="19"/>
      </c>
      <c r="AF1271" s="2">
        <f t="shared" si="20"/>
      </c>
      <c r="AG1271" s="2">
        <f t="shared" si="21"/>
      </c>
      <c r="AH1271" s="2">
        <f t="shared" si="22"/>
      </c>
      <c r="AI1271" s="2">
        <f t="shared" si="23"/>
      </c>
      <c r="AJ1271" s="2">
        <f t="shared" si="24"/>
        <v>0</v>
      </c>
      <c r="AK1271" s="2">
        <f t="shared" si="25"/>
        <v>0</v>
      </c>
      <c r="AL1271" s="2">
        <f t="shared" si="26"/>
        <v>0</v>
      </c>
      <c r="AM1271" s="2">
        <f t="shared" si="27"/>
        <v>0</v>
      </c>
      <c r="AN1271" s="2">
        <f t="shared" si="28"/>
        <v>0</v>
      </c>
      <c r="AO1271" s="2">
        <f t="shared" si="29"/>
      </c>
      <c r="AP1271" s="2">
        <f t="shared" si="30"/>
      </c>
      <c r="AQ1271" s="2">
        <f t="shared" si="31"/>
      </c>
    </row>
    <row r="1272">
      <c r="A1272" s="43">
        <f t="shared" si="3"/>
      </c>
      <c r="B1272" s="44" t="n"/>
      <c r="C1272" s="45" t="n"/>
      <c r="D1272" s="46" t="n"/>
      <c r="E1272" s="47" t="n"/>
      <c r="F1272" s="47" t="n"/>
      <c r="G1272" s="48">
        <f t="shared" si="4"/>
      </c>
      <c r="H1272" s="43">
        <f t="shared" si="0"/>
      </c>
      <c r="I1272" s="43">
        <f t="shared" si="5"/>
      </c>
      <c r="J1272" s="43">
        <f t="shared" si="1"/>
      </c>
      <c r="K1272" s="49">
        <f t="shared" si="2"/>
      </c>
      <c r="L1272" s="45" t="n"/>
      <c r="M1272" s="45" t="n"/>
      <c r="N1272" s="45" t="n"/>
      <c r="O1272" s="45" t="n"/>
      <c r="P1272" s="50" t="n"/>
      <c r="R1272" s="2">
        <f t="shared" si="6"/>
        <v>0</v>
      </c>
      <c r="S1272" s="2">
        <f t="shared" si="7"/>
      </c>
      <c r="T1272" s="2">
        <f t="shared" si="8"/>
      </c>
      <c r="U1272" s="2">
        <f t="shared" si="9"/>
      </c>
      <c r="V1272" s="2">
        <f t="shared" si="10"/>
      </c>
      <c r="W1272" s="2">
        <f t="shared" si="11"/>
      </c>
      <c r="X1272" s="2">
        <f t="shared" si="12"/>
      </c>
      <c r="Y1272" s="2">
        <f t="shared" si="13"/>
        <v>0</v>
      </c>
      <c r="Z1272" s="2">
        <f t="shared" si="14"/>
      </c>
      <c r="AA1272" s="2">
        <f t="shared" si="15"/>
        <v>0</v>
      </c>
      <c r="AB1272" s="2">
        <f t="shared" si="16"/>
      </c>
      <c r="AC1272" s="2">
        <f t="shared" si="17"/>
      </c>
      <c r="AD1272" s="2">
        <f t="shared" si="18"/>
      </c>
      <c r="AE1272" s="2">
        <f t="shared" si="19"/>
      </c>
      <c r="AF1272" s="2">
        <f t="shared" si="20"/>
      </c>
      <c r="AG1272" s="2">
        <f t="shared" si="21"/>
      </c>
      <c r="AH1272" s="2">
        <f t="shared" si="22"/>
      </c>
      <c r="AI1272" s="2">
        <f t="shared" si="23"/>
      </c>
      <c r="AJ1272" s="2">
        <f t="shared" si="24"/>
        <v>0</v>
      </c>
      <c r="AK1272" s="2">
        <f t="shared" si="25"/>
        <v>0</v>
      </c>
      <c r="AL1272" s="2">
        <f t="shared" si="26"/>
        <v>0</v>
      </c>
      <c r="AM1272" s="2">
        <f t="shared" si="27"/>
        <v>0</v>
      </c>
      <c r="AN1272" s="2">
        <f t="shared" si="28"/>
        <v>0</v>
      </c>
      <c r="AO1272" s="2">
        <f t="shared" si="29"/>
      </c>
      <c r="AP1272" s="2">
        <f t="shared" si="30"/>
      </c>
      <c r="AQ1272" s="2">
        <f t="shared" si="31"/>
      </c>
    </row>
    <row r="1273">
      <c r="A1273" s="43">
        <f t="shared" si="3"/>
      </c>
      <c r="B1273" s="44" t="n"/>
      <c r="C1273" s="45" t="n"/>
      <c r="D1273" s="46" t="n"/>
      <c r="E1273" s="47" t="n"/>
      <c r="F1273" s="47" t="n"/>
      <c r="G1273" s="48">
        <f t="shared" si="4"/>
      </c>
      <c r="H1273" s="43">
        <f t="shared" si="0"/>
      </c>
      <c r="I1273" s="43">
        <f t="shared" si="5"/>
      </c>
      <c r="J1273" s="43">
        <f t="shared" si="1"/>
      </c>
      <c r="K1273" s="49">
        <f t="shared" si="2"/>
      </c>
      <c r="L1273" s="45" t="n"/>
      <c r="M1273" s="45" t="n"/>
      <c r="N1273" s="45" t="n"/>
      <c r="O1273" s="45" t="n"/>
      <c r="P1273" s="50" t="n"/>
      <c r="R1273" s="2">
        <f t="shared" si="6"/>
        <v>0</v>
      </c>
      <c r="S1273" s="2">
        <f t="shared" si="7"/>
      </c>
      <c r="T1273" s="2">
        <f t="shared" si="8"/>
      </c>
      <c r="U1273" s="2">
        <f t="shared" si="9"/>
      </c>
      <c r="V1273" s="2">
        <f t="shared" si="10"/>
      </c>
      <c r="W1273" s="2">
        <f t="shared" si="11"/>
      </c>
      <c r="X1273" s="2">
        <f t="shared" si="12"/>
      </c>
      <c r="Y1273" s="2">
        <f t="shared" si="13"/>
        <v>0</v>
      </c>
      <c r="Z1273" s="2">
        <f t="shared" si="14"/>
      </c>
      <c r="AA1273" s="2">
        <f t="shared" si="15"/>
        <v>0</v>
      </c>
      <c r="AB1273" s="2">
        <f t="shared" si="16"/>
      </c>
      <c r="AC1273" s="2">
        <f t="shared" si="17"/>
      </c>
      <c r="AD1273" s="2">
        <f t="shared" si="18"/>
      </c>
      <c r="AE1273" s="2">
        <f t="shared" si="19"/>
      </c>
      <c r="AF1273" s="2">
        <f t="shared" si="20"/>
      </c>
      <c r="AG1273" s="2">
        <f t="shared" si="21"/>
      </c>
      <c r="AH1273" s="2">
        <f t="shared" si="22"/>
      </c>
      <c r="AI1273" s="2">
        <f t="shared" si="23"/>
      </c>
      <c r="AJ1273" s="2">
        <f t="shared" si="24"/>
        <v>0</v>
      </c>
      <c r="AK1273" s="2">
        <f t="shared" si="25"/>
        <v>0</v>
      </c>
      <c r="AL1273" s="2">
        <f t="shared" si="26"/>
        <v>0</v>
      </c>
      <c r="AM1273" s="2">
        <f t="shared" si="27"/>
        <v>0</v>
      </c>
      <c r="AN1273" s="2">
        <f t="shared" si="28"/>
        <v>0</v>
      </c>
      <c r="AO1273" s="2">
        <f t="shared" si="29"/>
      </c>
      <c r="AP1273" s="2">
        <f t="shared" si="30"/>
      </c>
      <c r="AQ1273" s="2">
        <f t="shared" si="31"/>
      </c>
    </row>
    <row r="1274">
      <c r="A1274" s="43">
        <f t="shared" si="3"/>
      </c>
      <c r="B1274" s="44" t="n"/>
      <c r="C1274" s="45" t="n"/>
      <c r="D1274" s="46" t="n"/>
      <c r="E1274" s="47" t="n"/>
      <c r="F1274" s="47" t="n"/>
      <c r="G1274" s="48">
        <f t="shared" si="4"/>
      </c>
      <c r="H1274" s="43">
        <f t="shared" si="0"/>
      </c>
      <c r="I1274" s="43">
        <f t="shared" si="5"/>
      </c>
      <c r="J1274" s="43">
        <f t="shared" si="1"/>
      </c>
      <c r="K1274" s="49">
        <f t="shared" si="2"/>
      </c>
      <c r="L1274" s="45" t="n"/>
      <c r="M1274" s="45" t="n"/>
      <c r="N1274" s="45" t="n"/>
      <c r="O1274" s="45" t="n"/>
      <c r="P1274" s="50" t="n"/>
      <c r="R1274" s="2">
        <f t="shared" si="6"/>
        <v>0</v>
      </c>
      <c r="S1274" s="2">
        <f t="shared" si="7"/>
      </c>
      <c r="T1274" s="2">
        <f t="shared" si="8"/>
      </c>
      <c r="U1274" s="2">
        <f t="shared" si="9"/>
      </c>
      <c r="V1274" s="2">
        <f t="shared" si="10"/>
      </c>
      <c r="W1274" s="2">
        <f t="shared" si="11"/>
      </c>
      <c r="X1274" s="2">
        <f t="shared" si="12"/>
      </c>
      <c r="Y1274" s="2">
        <f t="shared" si="13"/>
        <v>0</v>
      </c>
      <c r="Z1274" s="2">
        <f t="shared" si="14"/>
      </c>
      <c r="AA1274" s="2">
        <f t="shared" si="15"/>
        <v>0</v>
      </c>
      <c r="AB1274" s="2">
        <f t="shared" si="16"/>
      </c>
      <c r="AC1274" s="2">
        <f t="shared" si="17"/>
      </c>
      <c r="AD1274" s="2">
        <f t="shared" si="18"/>
      </c>
      <c r="AE1274" s="2">
        <f t="shared" si="19"/>
      </c>
      <c r="AF1274" s="2">
        <f t="shared" si="20"/>
      </c>
      <c r="AG1274" s="2">
        <f t="shared" si="21"/>
      </c>
      <c r="AH1274" s="2">
        <f t="shared" si="22"/>
      </c>
      <c r="AI1274" s="2">
        <f t="shared" si="23"/>
      </c>
      <c r="AJ1274" s="2">
        <f t="shared" si="24"/>
        <v>0</v>
      </c>
      <c r="AK1274" s="2">
        <f t="shared" si="25"/>
        <v>0</v>
      </c>
      <c r="AL1274" s="2">
        <f t="shared" si="26"/>
        <v>0</v>
      </c>
      <c r="AM1274" s="2">
        <f t="shared" si="27"/>
        <v>0</v>
      </c>
      <c r="AN1274" s="2">
        <f t="shared" si="28"/>
        <v>0</v>
      </c>
      <c r="AO1274" s="2">
        <f t="shared" si="29"/>
      </c>
      <c r="AP1274" s="2">
        <f t="shared" si="30"/>
      </c>
      <c r="AQ1274" s="2">
        <f t="shared" si="31"/>
      </c>
    </row>
    <row r="1275">
      <c r="A1275" s="43">
        <f t="shared" si="3"/>
      </c>
      <c r="B1275" s="44" t="n"/>
      <c r="C1275" s="45" t="n"/>
      <c r="D1275" s="46" t="n"/>
      <c r="E1275" s="47" t="n"/>
      <c r="F1275" s="47" t="n"/>
      <c r="G1275" s="48">
        <f t="shared" si="4"/>
      </c>
      <c r="H1275" s="43">
        <f t="shared" si="0"/>
      </c>
      <c r="I1275" s="43">
        <f t="shared" si="5"/>
      </c>
      <c r="J1275" s="43">
        <f t="shared" si="1"/>
      </c>
      <c r="K1275" s="49">
        <f t="shared" si="2"/>
      </c>
      <c r="L1275" s="45" t="n"/>
      <c r="M1275" s="45" t="n"/>
      <c r="N1275" s="45" t="n"/>
      <c r="O1275" s="45" t="n"/>
      <c r="P1275" s="50" t="n"/>
      <c r="R1275" s="2">
        <f t="shared" si="6"/>
        <v>0</v>
      </c>
      <c r="S1275" s="2">
        <f t="shared" si="7"/>
      </c>
      <c r="T1275" s="2">
        <f t="shared" si="8"/>
      </c>
      <c r="U1275" s="2">
        <f t="shared" si="9"/>
      </c>
      <c r="V1275" s="2">
        <f t="shared" si="10"/>
      </c>
      <c r="W1275" s="2">
        <f t="shared" si="11"/>
      </c>
      <c r="X1275" s="2">
        <f t="shared" si="12"/>
      </c>
      <c r="Y1275" s="2">
        <f t="shared" si="13"/>
        <v>0</v>
      </c>
      <c r="Z1275" s="2">
        <f t="shared" si="14"/>
      </c>
      <c r="AA1275" s="2">
        <f t="shared" si="15"/>
        <v>0</v>
      </c>
      <c r="AB1275" s="2">
        <f t="shared" si="16"/>
      </c>
      <c r="AC1275" s="2">
        <f t="shared" si="17"/>
      </c>
      <c r="AD1275" s="2">
        <f t="shared" si="18"/>
      </c>
      <c r="AE1275" s="2">
        <f t="shared" si="19"/>
      </c>
      <c r="AF1275" s="2">
        <f t="shared" si="20"/>
      </c>
      <c r="AG1275" s="2">
        <f t="shared" si="21"/>
      </c>
      <c r="AH1275" s="2">
        <f t="shared" si="22"/>
      </c>
      <c r="AI1275" s="2">
        <f t="shared" si="23"/>
      </c>
      <c r="AJ1275" s="2">
        <f t="shared" si="24"/>
        <v>0</v>
      </c>
      <c r="AK1275" s="2">
        <f t="shared" si="25"/>
        <v>0</v>
      </c>
      <c r="AL1275" s="2">
        <f t="shared" si="26"/>
        <v>0</v>
      </c>
      <c r="AM1275" s="2">
        <f t="shared" si="27"/>
        <v>0</v>
      </c>
      <c r="AN1275" s="2">
        <f t="shared" si="28"/>
        <v>0</v>
      </c>
      <c r="AO1275" s="2">
        <f t="shared" si="29"/>
      </c>
      <c r="AP1275" s="2">
        <f t="shared" si="30"/>
      </c>
      <c r="AQ1275" s="2">
        <f t="shared" si="31"/>
      </c>
    </row>
    <row r="1276">
      <c r="A1276" s="43">
        <f t="shared" si="3"/>
      </c>
      <c r="B1276" s="44" t="n"/>
      <c r="C1276" s="45" t="n"/>
      <c r="D1276" s="46" t="n"/>
      <c r="E1276" s="47" t="n"/>
      <c r="F1276" s="47" t="n"/>
      <c r="G1276" s="48">
        <f t="shared" si="4"/>
      </c>
      <c r="H1276" s="43">
        <f t="shared" si="0"/>
      </c>
      <c r="I1276" s="43">
        <f t="shared" si="5"/>
      </c>
      <c r="J1276" s="43">
        <f t="shared" si="1"/>
      </c>
      <c r="K1276" s="49">
        <f t="shared" si="2"/>
      </c>
      <c r="L1276" s="45" t="n"/>
      <c r="M1276" s="45" t="n"/>
      <c r="N1276" s="45" t="n"/>
      <c r="O1276" s="45" t="n"/>
      <c r="P1276" s="50" t="n"/>
      <c r="R1276" s="2">
        <f t="shared" si="6"/>
        <v>0</v>
      </c>
      <c r="S1276" s="2">
        <f t="shared" si="7"/>
      </c>
      <c r="T1276" s="2">
        <f t="shared" si="8"/>
      </c>
      <c r="U1276" s="2">
        <f t="shared" si="9"/>
      </c>
      <c r="V1276" s="2">
        <f t="shared" si="10"/>
      </c>
      <c r="W1276" s="2">
        <f t="shared" si="11"/>
      </c>
      <c r="X1276" s="2">
        <f t="shared" si="12"/>
      </c>
      <c r="Y1276" s="2">
        <f t="shared" si="13"/>
        <v>0</v>
      </c>
      <c r="Z1276" s="2">
        <f t="shared" si="14"/>
      </c>
      <c r="AA1276" s="2">
        <f t="shared" si="15"/>
        <v>0</v>
      </c>
      <c r="AB1276" s="2">
        <f t="shared" si="16"/>
      </c>
      <c r="AC1276" s="2">
        <f t="shared" si="17"/>
      </c>
      <c r="AD1276" s="2">
        <f t="shared" si="18"/>
      </c>
      <c r="AE1276" s="2">
        <f t="shared" si="19"/>
      </c>
      <c r="AF1276" s="2">
        <f t="shared" si="20"/>
      </c>
      <c r="AG1276" s="2">
        <f t="shared" si="21"/>
      </c>
      <c r="AH1276" s="2">
        <f t="shared" si="22"/>
      </c>
      <c r="AI1276" s="2">
        <f t="shared" si="23"/>
      </c>
      <c r="AJ1276" s="2">
        <f t="shared" si="24"/>
        <v>0</v>
      </c>
      <c r="AK1276" s="2">
        <f t="shared" si="25"/>
        <v>0</v>
      </c>
      <c r="AL1276" s="2">
        <f t="shared" si="26"/>
        <v>0</v>
      </c>
      <c r="AM1276" s="2">
        <f t="shared" si="27"/>
        <v>0</v>
      </c>
      <c r="AN1276" s="2">
        <f t="shared" si="28"/>
        <v>0</v>
      </c>
      <c r="AO1276" s="2">
        <f t="shared" si="29"/>
      </c>
      <c r="AP1276" s="2">
        <f t="shared" si="30"/>
      </c>
      <c r="AQ1276" s="2">
        <f t="shared" si="31"/>
      </c>
    </row>
    <row r="1277">
      <c r="A1277" s="43">
        <f t="shared" si="3"/>
      </c>
      <c r="B1277" s="44" t="n"/>
      <c r="C1277" s="45" t="n"/>
      <c r="D1277" s="46" t="n"/>
      <c r="E1277" s="47" t="n"/>
      <c r="F1277" s="47" t="n"/>
      <c r="G1277" s="48">
        <f t="shared" si="4"/>
      </c>
      <c r="H1277" s="43">
        <f t="shared" si="0"/>
      </c>
      <c r="I1277" s="43">
        <f t="shared" si="5"/>
      </c>
      <c r="J1277" s="43">
        <f t="shared" si="1"/>
      </c>
      <c r="K1277" s="49">
        <f t="shared" si="2"/>
      </c>
      <c r="L1277" s="45" t="n"/>
      <c r="M1277" s="45" t="n"/>
      <c r="N1277" s="45" t="n"/>
      <c r="O1277" s="45" t="n"/>
      <c r="P1277" s="50" t="n"/>
      <c r="R1277" s="2">
        <f t="shared" si="6"/>
        <v>0</v>
      </c>
      <c r="S1277" s="2">
        <f t="shared" si="7"/>
      </c>
      <c r="T1277" s="2">
        <f t="shared" si="8"/>
      </c>
      <c r="U1277" s="2">
        <f t="shared" si="9"/>
      </c>
      <c r="V1277" s="2">
        <f t="shared" si="10"/>
      </c>
      <c r="W1277" s="2">
        <f t="shared" si="11"/>
      </c>
      <c r="X1277" s="2">
        <f t="shared" si="12"/>
      </c>
      <c r="Y1277" s="2">
        <f t="shared" si="13"/>
        <v>0</v>
      </c>
      <c r="Z1277" s="2">
        <f t="shared" si="14"/>
      </c>
      <c r="AA1277" s="2">
        <f t="shared" si="15"/>
        <v>0</v>
      </c>
      <c r="AB1277" s="2">
        <f t="shared" si="16"/>
      </c>
      <c r="AC1277" s="2">
        <f t="shared" si="17"/>
      </c>
      <c r="AD1277" s="2">
        <f t="shared" si="18"/>
      </c>
      <c r="AE1277" s="2">
        <f t="shared" si="19"/>
      </c>
      <c r="AF1277" s="2">
        <f t="shared" si="20"/>
      </c>
      <c r="AG1277" s="2">
        <f t="shared" si="21"/>
      </c>
      <c r="AH1277" s="2">
        <f t="shared" si="22"/>
      </c>
      <c r="AI1277" s="2">
        <f t="shared" si="23"/>
      </c>
      <c r="AJ1277" s="2">
        <f t="shared" si="24"/>
        <v>0</v>
      </c>
      <c r="AK1277" s="2">
        <f t="shared" si="25"/>
        <v>0</v>
      </c>
      <c r="AL1277" s="2">
        <f t="shared" si="26"/>
        <v>0</v>
      </c>
      <c r="AM1277" s="2">
        <f t="shared" si="27"/>
        <v>0</v>
      </c>
      <c r="AN1277" s="2">
        <f t="shared" si="28"/>
        <v>0</v>
      </c>
      <c r="AO1277" s="2">
        <f t="shared" si="29"/>
      </c>
      <c r="AP1277" s="2">
        <f t="shared" si="30"/>
      </c>
      <c r="AQ1277" s="2">
        <f t="shared" si="31"/>
      </c>
    </row>
    <row r="1278">
      <c r="A1278" s="43">
        <f t="shared" si="3"/>
      </c>
      <c r="B1278" s="44" t="n"/>
      <c r="C1278" s="45" t="n"/>
      <c r="D1278" s="46" t="n"/>
      <c r="E1278" s="47" t="n"/>
      <c r="F1278" s="47" t="n"/>
      <c r="G1278" s="48">
        <f t="shared" si="4"/>
      </c>
      <c r="H1278" s="43">
        <f t="shared" si="0"/>
      </c>
      <c r="I1278" s="43">
        <f t="shared" si="5"/>
      </c>
      <c r="J1278" s="43">
        <f t="shared" si="1"/>
      </c>
      <c r="K1278" s="49">
        <f t="shared" si="2"/>
      </c>
      <c r="L1278" s="45" t="n"/>
      <c r="M1278" s="45" t="n"/>
      <c r="N1278" s="45" t="n"/>
      <c r="O1278" s="45" t="n"/>
      <c r="P1278" s="50" t="n"/>
      <c r="R1278" s="2">
        <f t="shared" si="6"/>
        <v>0</v>
      </c>
      <c r="S1278" s="2">
        <f t="shared" si="7"/>
      </c>
      <c r="T1278" s="2">
        <f t="shared" si="8"/>
      </c>
      <c r="U1278" s="2">
        <f t="shared" si="9"/>
      </c>
      <c r="V1278" s="2">
        <f t="shared" si="10"/>
      </c>
      <c r="W1278" s="2">
        <f t="shared" si="11"/>
      </c>
      <c r="X1278" s="2">
        <f t="shared" si="12"/>
      </c>
      <c r="Y1278" s="2">
        <f t="shared" si="13"/>
        <v>0</v>
      </c>
      <c r="Z1278" s="2">
        <f t="shared" si="14"/>
      </c>
      <c r="AA1278" s="2">
        <f t="shared" si="15"/>
        <v>0</v>
      </c>
      <c r="AB1278" s="2">
        <f t="shared" si="16"/>
      </c>
      <c r="AC1278" s="2">
        <f t="shared" si="17"/>
      </c>
      <c r="AD1278" s="2">
        <f t="shared" si="18"/>
      </c>
      <c r="AE1278" s="2">
        <f t="shared" si="19"/>
      </c>
      <c r="AF1278" s="2">
        <f t="shared" si="20"/>
      </c>
      <c r="AG1278" s="2">
        <f t="shared" si="21"/>
      </c>
      <c r="AH1278" s="2">
        <f t="shared" si="22"/>
      </c>
      <c r="AI1278" s="2">
        <f t="shared" si="23"/>
      </c>
      <c r="AJ1278" s="2">
        <f t="shared" si="24"/>
        <v>0</v>
      </c>
      <c r="AK1278" s="2">
        <f t="shared" si="25"/>
        <v>0</v>
      </c>
      <c r="AL1278" s="2">
        <f t="shared" si="26"/>
        <v>0</v>
      </c>
      <c r="AM1278" s="2">
        <f t="shared" si="27"/>
        <v>0</v>
      </c>
      <c r="AN1278" s="2">
        <f t="shared" si="28"/>
        <v>0</v>
      </c>
      <c r="AO1278" s="2">
        <f t="shared" si="29"/>
      </c>
      <c r="AP1278" s="2">
        <f t="shared" si="30"/>
      </c>
      <c r="AQ1278" s="2">
        <f t="shared" si="31"/>
      </c>
    </row>
    <row r="1279">
      <c r="A1279" s="43">
        <f t="shared" si="3"/>
      </c>
      <c r="B1279" s="44" t="n"/>
      <c r="C1279" s="45" t="n"/>
      <c r="D1279" s="46" t="n"/>
      <c r="E1279" s="47" t="n"/>
      <c r="F1279" s="47" t="n"/>
      <c r="G1279" s="48">
        <f t="shared" si="4"/>
      </c>
      <c r="H1279" s="43">
        <f t="shared" si="0"/>
      </c>
      <c r="I1279" s="43">
        <f t="shared" si="5"/>
      </c>
      <c r="J1279" s="43">
        <f t="shared" si="1"/>
      </c>
      <c r="K1279" s="49">
        <f t="shared" si="2"/>
      </c>
      <c r="L1279" s="45" t="n"/>
      <c r="M1279" s="45" t="n"/>
      <c r="N1279" s="45" t="n"/>
      <c r="O1279" s="45" t="n"/>
      <c r="P1279" s="50" t="n"/>
      <c r="R1279" s="2">
        <f t="shared" si="6"/>
        <v>0</v>
      </c>
      <c r="S1279" s="2">
        <f t="shared" si="7"/>
      </c>
      <c r="T1279" s="2">
        <f t="shared" si="8"/>
      </c>
      <c r="U1279" s="2">
        <f t="shared" si="9"/>
      </c>
      <c r="V1279" s="2">
        <f t="shared" si="10"/>
      </c>
      <c r="W1279" s="2">
        <f t="shared" si="11"/>
      </c>
      <c r="X1279" s="2">
        <f t="shared" si="12"/>
      </c>
      <c r="Y1279" s="2">
        <f t="shared" si="13"/>
        <v>0</v>
      </c>
      <c r="Z1279" s="2">
        <f t="shared" si="14"/>
      </c>
      <c r="AA1279" s="2">
        <f t="shared" si="15"/>
        <v>0</v>
      </c>
      <c r="AB1279" s="2">
        <f t="shared" si="16"/>
      </c>
      <c r="AC1279" s="2">
        <f t="shared" si="17"/>
      </c>
      <c r="AD1279" s="2">
        <f t="shared" si="18"/>
      </c>
      <c r="AE1279" s="2">
        <f t="shared" si="19"/>
      </c>
      <c r="AF1279" s="2">
        <f t="shared" si="20"/>
      </c>
      <c r="AG1279" s="2">
        <f t="shared" si="21"/>
      </c>
      <c r="AH1279" s="2">
        <f t="shared" si="22"/>
      </c>
      <c r="AI1279" s="2">
        <f t="shared" si="23"/>
      </c>
      <c r="AJ1279" s="2">
        <f t="shared" si="24"/>
        <v>0</v>
      </c>
      <c r="AK1279" s="2">
        <f t="shared" si="25"/>
        <v>0</v>
      </c>
      <c r="AL1279" s="2">
        <f t="shared" si="26"/>
        <v>0</v>
      </c>
      <c r="AM1279" s="2">
        <f t="shared" si="27"/>
        <v>0</v>
      </c>
      <c r="AN1279" s="2">
        <f t="shared" si="28"/>
        <v>0</v>
      </c>
      <c r="AO1279" s="2">
        <f t="shared" si="29"/>
      </c>
      <c r="AP1279" s="2">
        <f t="shared" si="30"/>
      </c>
      <c r="AQ1279" s="2">
        <f t="shared" si="31"/>
      </c>
    </row>
    <row r="1280">
      <c r="A1280" s="43">
        <f t="shared" si="3"/>
      </c>
      <c r="B1280" s="44" t="n"/>
      <c r="C1280" s="45" t="n"/>
      <c r="D1280" s="46" t="n"/>
      <c r="E1280" s="47" t="n"/>
      <c r="F1280" s="47" t="n"/>
      <c r="G1280" s="48">
        <f t="shared" si="4"/>
      </c>
      <c r="H1280" s="43">
        <f t="shared" si="0"/>
      </c>
      <c r="I1280" s="43">
        <f t="shared" si="5"/>
      </c>
      <c r="J1280" s="43">
        <f t="shared" si="1"/>
      </c>
      <c r="K1280" s="49">
        <f t="shared" si="2"/>
      </c>
      <c r="L1280" s="45" t="n"/>
      <c r="M1280" s="45" t="n"/>
      <c r="N1280" s="45" t="n"/>
      <c r="O1280" s="45" t="n"/>
      <c r="P1280" s="50" t="n"/>
      <c r="R1280" s="2">
        <f t="shared" si="6"/>
        <v>0</v>
      </c>
      <c r="S1280" s="2">
        <f t="shared" si="7"/>
      </c>
      <c r="T1280" s="2">
        <f t="shared" si="8"/>
      </c>
      <c r="U1280" s="2">
        <f t="shared" si="9"/>
      </c>
      <c r="V1280" s="2">
        <f t="shared" si="10"/>
      </c>
      <c r="W1280" s="2">
        <f t="shared" si="11"/>
      </c>
      <c r="X1280" s="2">
        <f t="shared" si="12"/>
      </c>
      <c r="Y1280" s="2">
        <f t="shared" si="13"/>
        <v>0</v>
      </c>
      <c r="Z1280" s="2">
        <f t="shared" si="14"/>
      </c>
      <c r="AA1280" s="2">
        <f t="shared" si="15"/>
        <v>0</v>
      </c>
      <c r="AB1280" s="2">
        <f t="shared" si="16"/>
      </c>
      <c r="AC1280" s="2">
        <f t="shared" si="17"/>
      </c>
      <c r="AD1280" s="2">
        <f t="shared" si="18"/>
      </c>
      <c r="AE1280" s="2">
        <f t="shared" si="19"/>
      </c>
      <c r="AF1280" s="2">
        <f t="shared" si="20"/>
      </c>
      <c r="AG1280" s="2">
        <f t="shared" si="21"/>
      </c>
      <c r="AH1280" s="2">
        <f t="shared" si="22"/>
      </c>
      <c r="AI1280" s="2">
        <f t="shared" si="23"/>
      </c>
      <c r="AJ1280" s="2">
        <f t="shared" si="24"/>
        <v>0</v>
      </c>
      <c r="AK1280" s="2">
        <f t="shared" si="25"/>
        <v>0</v>
      </c>
      <c r="AL1280" s="2">
        <f t="shared" si="26"/>
        <v>0</v>
      </c>
      <c r="AM1280" s="2">
        <f t="shared" si="27"/>
        <v>0</v>
      </c>
      <c r="AN1280" s="2">
        <f t="shared" si="28"/>
        <v>0</v>
      </c>
      <c r="AO1280" s="2">
        <f t="shared" si="29"/>
      </c>
      <c r="AP1280" s="2">
        <f t="shared" si="30"/>
      </c>
      <c r="AQ1280" s="2">
        <f t="shared" si="31"/>
      </c>
    </row>
    <row r="1281">
      <c r="A1281" s="43">
        <f t="shared" si="3"/>
      </c>
      <c r="B1281" s="44" t="n"/>
      <c r="C1281" s="45" t="n"/>
      <c r="D1281" s="46" t="n"/>
      <c r="E1281" s="47" t="n"/>
      <c r="F1281" s="47" t="n"/>
      <c r="G1281" s="48">
        <f t="shared" si="4"/>
      </c>
      <c r="H1281" s="43">
        <f t="shared" si="0"/>
      </c>
      <c r="I1281" s="43">
        <f t="shared" si="5"/>
      </c>
      <c r="J1281" s="43">
        <f t="shared" si="1"/>
      </c>
      <c r="K1281" s="49">
        <f t="shared" si="2"/>
      </c>
      <c r="L1281" s="45" t="n"/>
      <c r="M1281" s="45" t="n"/>
      <c r="N1281" s="45" t="n"/>
      <c r="O1281" s="45" t="n"/>
      <c r="P1281" s="50" t="n"/>
      <c r="R1281" s="2">
        <f t="shared" si="6"/>
        <v>0</v>
      </c>
      <c r="S1281" s="2">
        <f t="shared" si="7"/>
      </c>
      <c r="T1281" s="2">
        <f t="shared" si="8"/>
      </c>
      <c r="U1281" s="2">
        <f t="shared" si="9"/>
      </c>
      <c r="V1281" s="2">
        <f t="shared" si="10"/>
      </c>
      <c r="W1281" s="2">
        <f t="shared" si="11"/>
      </c>
      <c r="X1281" s="2">
        <f t="shared" si="12"/>
      </c>
      <c r="Y1281" s="2">
        <f t="shared" si="13"/>
        <v>0</v>
      </c>
      <c r="Z1281" s="2">
        <f t="shared" si="14"/>
      </c>
      <c r="AA1281" s="2">
        <f t="shared" si="15"/>
        <v>0</v>
      </c>
      <c r="AB1281" s="2">
        <f t="shared" si="16"/>
      </c>
      <c r="AC1281" s="2">
        <f t="shared" si="17"/>
      </c>
      <c r="AD1281" s="2">
        <f t="shared" si="18"/>
      </c>
      <c r="AE1281" s="2">
        <f t="shared" si="19"/>
      </c>
      <c r="AF1281" s="2">
        <f t="shared" si="20"/>
      </c>
      <c r="AG1281" s="2">
        <f t="shared" si="21"/>
      </c>
      <c r="AH1281" s="2">
        <f t="shared" si="22"/>
      </c>
      <c r="AI1281" s="2">
        <f t="shared" si="23"/>
      </c>
      <c r="AJ1281" s="2">
        <f t="shared" si="24"/>
        <v>0</v>
      </c>
      <c r="AK1281" s="2">
        <f t="shared" si="25"/>
        <v>0</v>
      </c>
      <c r="AL1281" s="2">
        <f t="shared" si="26"/>
        <v>0</v>
      </c>
      <c r="AM1281" s="2">
        <f t="shared" si="27"/>
        <v>0</v>
      </c>
      <c r="AN1281" s="2">
        <f t="shared" si="28"/>
        <v>0</v>
      </c>
      <c r="AO1281" s="2">
        <f t="shared" si="29"/>
      </c>
      <c r="AP1281" s="2">
        <f t="shared" si="30"/>
      </c>
      <c r="AQ1281" s="2">
        <f t="shared" si="31"/>
      </c>
    </row>
    <row r="1282">
      <c r="A1282" s="43">
        <f t="shared" si="3"/>
      </c>
      <c r="B1282" s="44" t="n"/>
      <c r="C1282" s="45" t="n"/>
      <c r="D1282" s="46" t="n"/>
      <c r="E1282" s="47" t="n"/>
      <c r="F1282" s="47" t="n"/>
      <c r="G1282" s="48">
        <f t="shared" si="4"/>
      </c>
      <c r="H1282" s="43">
        <f t="shared" si="0"/>
      </c>
      <c r="I1282" s="43">
        <f t="shared" si="5"/>
      </c>
      <c r="J1282" s="43">
        <f t="shared" si="1"/>
      </c>
      <c r="K1282" s="49">
        <f t="shared" si="2"/>
      </c>
      <c r="L1282" s="45" t="n"/>
      <c r="M1282" s="45" t="n"/>
      <c r="N1282" s="45" t="n"/>
      <c r="O1282" s="45" t="n"/>
      <c r="P1282" s="50" t="n"/>
      <c r="R1282" s="2">
        <f t="shared" si="6"/>
        <v>0</v>
      </c>
      <c r="S1282" s="2">
        <f t="shared" si="7"/>
      </c>
      <c r="T1282" s="2">
        <f t="shared" si="8"/>
      </c>
      <c r="U1282" s="2">
        <f t="shared" si="9"/>
      </c>
      <c r="V1282" s="2">
        <f t="shared" si="10"/>
      </c>
      <c r="W1282" s="2">
        <f t="shared" si="11"/>
      </c>
      <c r="X1282" s="2">
        <f t="shared" si="12"/>
      </c>
      <c r="Y1282" s="2">
        <f t="shared" si="13"/>
        <v>0</v>
      </c>
      <c r="Z1282" s="2">
        <f t="shared" si="14"/>
      </c>
      <c r="AA1282" s="2">
        <f t="shared" si="15"/>
        <v>0</v>
      </c>
      <c r="AB1282" s="2">
        <f t="shared" si="16"/>
      </c>
      <c r="AC1282" s="2">
        <f t="shared" si="17"/>
      </c>
      <c r="AD1282" s="2">
        <f t="shared" si="18"/>
      </c>
      <c r="AE1282" s="2">
        <f t="shared" si="19"/>
      </c>
      <c r="AF1282" s="2">
        <f t="shared" si="20"/>
      </c>
      <c r="AG1282" s="2">
        <f t="shared" si="21"/>
      </c>
      <c r="AH1282" s="2">
        <f t="shared" si="22"/>
      </c>
      <c r="AI1282" s="2">
        <f t="shared" si="23"/>
      </c>
      <c r="AJ1282" s="2">
        <f t="shared" si="24"/>
        <v>0</v>
      </c>
      <c r="AK1282" s="2">
        <f t="shared" si="25"/>
        <v>0</v>
      </c>
      <c r="AL1282" s="2">
        <f t="shared" si="26"/>
        <v>0</v>
      </c>
      <c r="AM1282" s="2">
        <f t="shared" si="27"/>
        <v>0</v>
      </c>
      <c r="AN1282" s="2">
        <f t="shared" si="28"/>
        <v>0</v>
      </c>
      <c r="AO1282" s="2">
        <f t="shared" si="29"/>
      </c>
      <c r="AP1282" s="2">
        <f t="shared" si="30"/>
      </c>
      <c r="AQ1282" s="2">
        <f t="shared" si="31"/>
      </c>
    </row>
    <row r="1283">
      <c r="A1283" s="43">
        <f t="shared" si="3"/>
      </c>
      <c r="B1283" s="44" t="n"/>
      <c r="C1283" s="45" t="n"/>
      <c r="D1283" s="46" t="n"/>
      <c r="E1283" s="47" t="n"/>
      <c r="F1283" s="47" t="n"/>
      <c r="G1283" s="48">
        <f t="shared" si="4"/>
      </c>
      <c r="H1283" s="43">
        <f t="shared" si="0"/>
      </c>
      <c r="I1283" s="43">
        <f t="shared" si="5"/>
      </c>
      <c r="J1283" s="43">
        <f t="shared" si="1"/>
      </c>
      <c r="K1283" s="49">
        <f t="shared" si="2"/>
      </c>
      <c r="L1283" s="45" t="n"/>
      <c r="M1283" s="45" t="n"/>
      <c r="N1283" s="45" t="n"/>
      <c r="O1283" s="45" t="n"/>
      <c r="P1283" s="50" t="n"/>
      <c r="R1283" s="2">
        <f t="shared" si="6"/>
        <v>0</v>
      </c>
      <c r="S1283" s="2">
        <f t="shared" si="7"/>
      </c>
      <c r="T1283" s="2">
        <f t="shared" si="8"/>
      </c>
      <c r="U1283" s="2">
        <f t="shared" si="9"/>
      </c>
      <c r="V1283" s="2">
        <f t="shared" si="10"/>
      </c>
      <c r="W1283" s="2">
        <f t="shared" si="11"/>
      </c>
      <c r="X1283" s="2">
        <f t="shared" si="12"/>
      </c>
      <c r="Y1283" s="2">
        <f t="shared" si="13"/>
        <v>0</v>
      </c>
      <c r="Z1283" s="2">
        <f t="shared" si="14"/>
      </c>
      <c r="AA1283" s="2">
        <f t="shared" si="15"/>
        <v>0</v>
      </c>
      <c r="AB1283" s="2">
        <f t="shared" si="16"/>
      </c>
      <c r="AC1283" s="2">
        <f t="shared" si="17"/>
      </c>
      <c r="AD1283" s="2">
        <f t="shared" si="18"/>
      </c>
      <c r="AE1283" s="2">
        <f t="shared" si="19"/>
      </c>
      <c r="AF1283" s="2">
        <f t="shared" si="20"/>
      </c>
      <c r="AG1283" s="2">
        <f t="shared" si="21"/>
      </c>
      <c r="AH1283" s="2">
        <f t="shared" si="22"/>
      </c>
      <c r="AI1283" s="2">
        <f t="shared" si="23"/>
      </c>
      <c r="AJ1283" s="2">
        <f t="shared" si="24"/>
        <v>0</v>
      </c>
      <c r="AK1283" s="2">
        <f t="shared" si="25"/>
        <v>0</v>
      </c>
      <c r="AL1283" s="2">
        <f t="shared" si="26"/>
        <v>0</v>
      </c>
      <c r="AM1283" s="2">
        <f t="shared" si="27"/>
        <v>0</v>
      </c>
      <c r="AN1283" s="2">
        <f t="shared" si="28"/>
        <v>0</v>
      </c>
      <c r="AO1283" s="2">
        <f t="shared" si="29"/>
      </c>
      <c r="AP1283" s="2">
        <f t="shared" si="30"/>
      </c>
      <c r="AQ1283" s="2">
        <f t="shared" si="31"/>
      </c>
    </row>
    <row r="1284">
      <c r="A1284" s="43">
        <f t="shared" si="3"/>
      </c>
      <c r="B1284" s="44" t="n"/>
      <c r="C1284" s="45" t="n"/>
      <c r="D1284" s="46" t="n"/>
      <c r="E1284" s="47" t="n"/>
      <c r="F1284" s="47" t="n"/>
      <c r="G1284" s="48">
        <f t="shared" si="4"/>
      </c>
      <c r="H1284" s="43">
        <f t="shared" si="0"/>
      </c>
      <c r="I1284" s="43">
        <f t="shared" si="5"/>
      </c>
      <c r="J1284" s="43">
        <f t="shared" si="1"/>
      </c>
      <c r="K1284" s="49">
        <f t="shared" si="2"/>
      </c>
      <c r="L1284" s="45" t="n"/>
      <c r="M1284" s="45" t="n"/>
      <c r="N1284" s="45" t="n"/>
      <c r="O1284" s="45" t="n"/>
      <c r="P1284" s="50" t="n"/>
      <c r="R1284" s="2">
        <f t="shared" si="6"/>
        <v>0</v>
      </c>
      <c r="S1284" s="2">
        <f t="shared" si="7"/>
      </c>
      <c r="T1284" s="2">
        <f t="shared" si="8"/>
      </c>
      <c r="U1284" s="2">
        <f t="shared" si="9"/>
      </c>
      <c r="V1284" s="2">
        <f t="shared" si="10"/>
      </c>
      <c r="W1284" s="2">
        <f t="shared" si="11"/>
      </c>
      <c r="X1284" s="2">
        <f t="shared" si="12"/>
      </c>
      <c r="Y1284" s="2">
        <f t="shared" si="13"/>
        <v>0</v>
      </c>
      <c r="Z1284" s="2">
        <f t="shared" si="14"/>
      </c>
      <c r="AA1284" s="2">
        <f t="shared" si="15"/>
        <v>0</v>
      </c>
      <c r="AB1284" s="2">
        <f t="shared" si="16"/>
      </c>
      <c r="AC1284" s="2">
        <f t="shared" si="17"/>
      </c>
      <c r="AD1284" s="2">
        <f t="shared" si="18"/>
      </c>
      <c r="AE1284" s="2">
        <f t="shared" si="19"/>
      </c>
      <c r="AF1284" s="2">
        <f t="shared" si="20"/>
      </c>
      <c r="AG1284" s="2">
        <f t="shared" si="21"/>
      </c>
      <c r="AH1284" s="2">
        <f t="shared" si="22"/>
      </c>
      <c r="AI1284" s="2">
        <f t="shared" si="23"/>
      </c>
      <c r="AJ1284" s="2">
        <f t="shared" si="24"/>
        <v>0</v>
      </c>
      <c r="AK1284" s="2">
        <f t="shared" si="25"/>
        <v>0</v>
      </c>
      <c r="AL1284" s="2">
        <f t="shared" si="26"/>
        <v>0</v>
      </c>
      <c r="AM1284" s="2">
        <f t="shared" si="27"/>
        <v>0</v>
      </c>
      <c r="AN1284" s="2">
        <f t="shared" si="28"/>
        <v>0</v>
      </c>
      <c r="AO1284" s="2">
        <f t="shared" si="29"/>
      </c>
      <c r="AP1284" s="2">
        <f t="shared" si="30"/>
      </c>
      <c r="AQ1284" s="2">
        <f t="shared" si="31"/>
      </c>
    </row>
    <row r="1285">
      <c r="A1285" s="43">
        <f t="shared" si="3"/>
      </c>
      <c r="B1285" s="44" t="n"/>
      <c r="C1285" s="45" t="n"/>
      <c r="D1285" s="46" t="n"/>
      <c r="E1285" s="47" t="n"/>
      <c r="F1285" s="47" t="n"/>
      <c r="G1285" s="48">
        <f t="shared" si="4"/>
      </c>
      <c r="H1285" s="43">
        <f t="shared" si="0"/>
      </c>
      <c r="I1285" s="43">
        <f t="shared" si="5"/>
      </c>
      <c r="J1285" s="43">
        <f t="shared" si="1"/>
      </c>
      <c r="K1285" s="49">
        <f t="shared" si="2"/>
      </c>
      <c r="L1285" s="45" t="n"/>
      <c r="M1285" s="45" t="n"/>
      <c r="N1285" s="45" t="n"/>
      <c r="O1285" s="45" t="n"/>
      <c r="P1285" s="50" t="n"/>
      <c r="R1285" s="2">
        <f t="shared" si="6"/>
        <v>0</v>
      </c>
      <c r="S1285" s="2">
        <f t="shared" si="7"/>
      </c>
      <c r="T1285" s="2">
        <f t="shared" si="8"/>
      </c>
      <c r="U1285" s="2">
        <f t="shared" si="9"/>
      </c>
      <c r="V1285" s="2">
        <f t="shared" si="10"/>
      </c>
      <c r="W1285" s="2">
        <f t="shared" si="11"/>
      </c>
      <c r="X1285" s="2">
        <f t="shared" si="12"/>
      </c>
      <c r="Y1285" s="2">
        <f t="shared" si="13"/>
        <v>0</v>
      </c>
      <c r="Z1285" s="2">
        <f t="shared" si="14"/>
      </c>
      <c r="AA1285" s="2">
        <f t="shared" si="15"/>
        <v>0</v>
      </c>
      <c r="AB1285" s="2">
        <f t="shared" si="16"/>
      </c>
      <c r="AC1285" s="2">
        <f t="shared" si="17"/>
      </c>
      <c r="AD1285" s="2">
        <f t="shared" si="18"/>
      </c>
      <c r="AE1285" s="2">
        <f t="shared" si="19"/>
      </c>
      <c r="AF1285" s="2">
        <f t="shared" si="20"/>
      </c>
      <c r="AG1285" s="2">
        <f t="shared" si="21"/>
      </c>
      <c r="AH1285" s="2">
        <f t="shared" si="22"/>
      </c>
      <c r="AI1285" s="2">
        <f t="shared" si="23"/>
      </c>
      <c r="AJ1285" s="2">
        <f t="shared" si="24"/>
        <v>0</v>
      </c>
      <c r="AK1285" s="2">
        <f t="shared" si="25"/>
        <v>0</v>
      </c>
      <c r="AL1285" s="2">
        <f t="shared" si="26"/>
        <v>0</v>
      </c>
      <c r="AM1285" s="2">
        <f t="shared" si="27"/>
        <v>0</v>
      </c>
      <c r="AN1285" s="2">
        <f t="shared" si="28"/>
        <v>0</v>
      </c>
      <c r="AO1285" s="2">
        <f t="shared" si="29"/>
      </c>
      <c r="AP1285" s="2">
        <f t="shared" si="30"/>
      </c>
      <c r="AQ1285" s="2">
        <f t="shared" si="31"/>
      </c>
    </row>
    <row r="1286">
      <c r="A1286" s="43">
        <f t="shared" si="3"/>
      </c>
      <c r="B1286" s="44" t="n"/>
      <c r="C1286" s="45" t="n"/>
      <c r="D1286" s="46" t="n"/>
      <c r="E1286" s="47" t="n"/>
      <c r="F1286" s="47" t="n"/>
      <c r="G1286" s="48">
        <f t="shared" si="4"/>
      </c>
      <c r="H1286" s="43">
        <f t="shared" si="0"/>
      </c>
      <c r="I1286" s="43">
        <f t="shared" si="5"/>
      </c>
      <c r="J1286" s="43">
        <f t="shared" si="1"/>
      </c>
      <c r="K1286" s="49">
        <f t="shared" si="2"/>
      </c>
      <c r="L1286" s="45" t="n"/>
      <c r="M1286" s="45" t="n"/>
      <c r="N1286" s="45" t="n"/>
      <c r="O1286" s="45" t="n"/>
      <c r="P1286" s="50" t="n"/>
      <c r="R1286" s="2">
        <f t="shared" si="6"/>
        <v>0</v>
      </c>
      <c r="S1286" s="2">
        <f t="shared" si="7"/>
      </c>
      <c r="T1286" s="2">
        <f t="shared" si="8"/>
      </c>
      <c r="U1286" s="2">
        <f t="shared" si="9"/>
      </c>
      <c r="V1286" s="2">
        <f t="shared" si="10"/>
      </c>
      <c r="W1286" s="2">
        <f t="shared" si="11"/>
      </c>
      <c r="X1286" s="2">
        <f t="shared" si="12"/>
      </c>
      <c r="Y1286" s="2">
        <f t="shared" si="13"/>
        <v>0</v>
      </c>
      <c r="Z1286" s="2">
        <f t="shared" si="14"/>
      </c>
      <c r="AA1286" s="2">
        <f t="shared" si="15"/>
        <v>0</v>
      </c>
      <c r="AB1286" s="2">
        <f t="shared" si="16"/>
      </c>
      <c r="AC1286" s="2">
        <f t="shared" si="17"/>
      </c>
      <c r="AD1286" s="2">
        <f t="shared" si="18"/>
      </c>
      <c r="AE1286" s="2">
        <f t="shared" si="19"/>
      </c>
      <c r="AF1286" s="2">
        <f t="shared" si="20"/>
      </c>
      <c r="AG1286" s="2">
        <f t="shared" si="21"/>
      </c>
      <c r="AH1286" s="2">
        <f t="shared" si="22"/>
      </c>
      <c r="AI1286" s="2">
        <f t="shared" si="23"/>
      </c>
      <c r="AJ1286" s="2">
        <f t="shared" si="24"/>
        <v>0</v>
      </c>
      <c r="AK1286" s="2">
        <f t="shared" si="25"/>
        <v>0</v>
      </c>
      <c r="AL1286" s="2">
        <f t="shared" si="26"/>
        <v>0</v>
      </c>
      <c r="AM1286" s="2">
        <f t="shared" si="27"/>
        <v>0</v>
      </c>
      <c r="AN1286" s="2">
        <f t="shared" si="28"/>
        <v>0</v>
      </c>
      <c r="AO1286" s="2">
        <f t="shared" si="29"/>
      </c>
      <c r="AP1286" s="2">
        <f t="shared" si="30"/>
      </c>
      <c r="AQ1286" s="2">
        <f t="shared" si="31"/>
      </c>
    </row>
    <row r="1287">
      <c r="A1287" s="43">
        <f t="shared" si="3"/>
      </c>
      <c r="B1287" s="44" t="n"/>
      <c r="C1287" s="45" t="n"/>
      <c r="D1287" s="46" t="n"/>
      <c r="E1287" s="47" t="n"/>
      <c r="F1287" s="47" t="n"/>
      <c r="G1287" s="48">
        <f t="shared" si="4"/>
      </c>
      <c r="H1287" s="43">
        <f t="shared" si="0"/>
      </c>
      <c r="I1287" s="43">
        <f t="shared" si="5"/>
      </c>
      <c r="J1287" s="43">
        <f t="shared" si="1"/>
      </c>
      <c r="K1287" s="49">
        <f t="shared" si="2"/>
      </c>
      <c r="L1287" s="45" t="n"/>
      <c r="M1287" s="45" t="n"/>
      <c r="N1287" s="45" t="n"/>
      <c r="O1287" s="45" t="n"/>
      <c r="P1287" s="50" t="n"/>
      <c r="R1287" s="2">
        <f t="shared" si="6"/>
        <v>0</v>
      </c>
      <c r="S1287" s="2">
        <f t="shared" si="7"/>
      </c>
      <c r="T1287" s="2">
        <f t="shared" si="8"/>
      </c>
      <c r="U1287" s="2">
        <f t="shared" si="9"/>
      </c>
      <c r="V1287" s="2">
        <f t="shared" si="10"/>
      </c>
      <c r="W1287" s="2">
        <f t="shared" si="11"/>
      </c>
      <c r="X1287" s="2">
        <f t="shared" si="12"/>
      </c>
      <c r="Y1287" s="2">
        <f t="shared" si="13"/>
        <v>0</v>
      </c>
      <c r="Z1287" s="2">
        <f t="shared" si="14"/>
      </c>
      <c r="AA1287" s="2">
        <f t="shared" si="15"/>
        <v>0</v>
      </c>
      <c r="AB1287" s="2">
        <f t="shared" si="16"/>
      </c>
      <c r="AC1287" s="2">
        <f t="shared" si="17"/>
      </c>
      <c r="AD1287" s="2">
        <f t="shared" si="18"/>
      </c>
      <c r="AE1287" s="2">
        <f t="shared" si="19"/>
      </c>
      <c r="AF1287" s="2">
        <f t="shared" si="20"/>
      </c>
      <c r="AG1287" s="2">
        <f t="shared" si="21"/>
      </c>
      <c r="AH1287" s="2">
        <f t="shared" si="22"/>
      </c>
      <c r="AI1287" s="2">
        <f t="shared" si="23"/>
      </c>
      <c r="AJ1287" s="2">
        <f t="shared" si="24"/>
        <v>0</v>
      </c>
      <c r="AK1287" s="2">
        <f t="shared" si="25"/>
        <v>0</v>
      </c>
      <c r="AL1287" s="2">
        <f t="shared" si="26"/>
        <v>0</v>
      </c>
      <c r="AM1287" s="2">
        <f t="shared" si="27"/>
        <v>0</v>
      </c>
      <c r="AN1287" s="2">
        <f t="shared" si="28"/>
        <v>0</v>
      </c>
      <c r="AO1287" s="2">
        <f t="shared" si="29"/>
      </c>
      <c r="AP1287" s="2">
        <f t="shared" si="30"/>
      </c>
      <c r="AQ1287" s="2">
        <f t="shared" si="31"/>
      </c>
    </row>
    <row r="1288">
      <c r="A1288" s="43">
        <f t="shared" si="3"/>
      </c>
      <c r="B1288" s="44" t="n"/>
      <c r="C1288" s="45" t="n"/>
      <c r="D1288" s="46" t="n"/>
      <c r="E1288" s="47" t="n"/>
      <c r="F1288" s="47" t="n"/>
      <c r="G1288" s="48">
        <f t="shared" si="4"/>
      </c>
      <c r="H1288" s="43">
        <f t="shared" si="0"/>
      </c>
      <c r="I1288" s="43">
        <f t="shared" si="5"/>
      </c>
      <c r="J1288" s="43">
        <f t="shared" si="1"/>
      </c>
      <c r="K1288" s="49">
        <f t="shared" si="2"/>
      </c>
      <c r="L1288" s="45" t="n"/>
      <c r="M1288" s="45" t="n"/>
      <c r="N1288" s="45" t="n"/>
      <c r="O1288" s="45" t="n"/>
      <c r="P1288" s="50" t="n"/>
      <c r="R1288" s="2">
        <f t="shared" si="6"/>
        <v>0</v>
      </c>
      <c r="S1288" s="2">
        <f t="shared" si="7"/>
      </c>
      <c r="T1288" s="2">
        <f t="shared" si="8"/>
      </c>
      <c r="U1288" s="2">
        <f t="shared" si="9"/>
      </c>
      <c r="V1288" s="2">
        <f t="shared" si="10"/>
      </c>
      <c r="W1288" s="2">
        <f t="shared" si="11"/>
      </c>
      <c r="X1288" s="2">
        <f t="shared" si="12"/>
      </c>
      <c r="Y1288" s="2">
        <f t="shared" si="13"/>
        <v>0</v>
      </c>
      <c r="Z1288" s="2">
        <f t="shared" si="14"/>
      </c>
      <c r="AA1288" s="2">
        <f t="shared" si="15"/>
        <v>0</v>
      </c>
      <c r="AB1288" s="2">
        <f t="shared" si="16"/>
      </c>
      <c r="AC1288" s="2">
        <f t="shared" si="17"/>
      </c>
      <c r="AD1288" s="2">
        <f t="shared" si="18"/>
      </c>
      <c r="AE1288" s="2">
        <f t="shared" si="19"/>
      </c>
      <c r="AF1288" s="2">
        <f t="shared" si="20"/>
      </c>
      <c r="AG1288" s="2">
        <f t="shared" si="21"/>
      </c>
      <c r="AH1288" s="2">
        <f t="shared" si="22"/>
      </c>
      <c r="AI1288" s="2">
        <f t="shared" si="23"/>
      </c>
      <c r="AJ1288" s="2">
        <f t="shared" si="24"/>
        <v>0</v>
      </c>
      <c r="AK1288" s="2">
        <f t="shared" si="25"/>
        <v>0</v>
      </c>
      <c r="AL1288" s="2">
        <f t="shared" si="26"/>
        <v>0</v>
      </c>
      <c r="AM1288" s="2">
        <f t="shared" si="27"/>
        <v>0</v>
      </c>
      <c r="AN1288" s="2">
        <f t="shared" si="28"/>
        <v>0</v>
      </c>
      <c r="AO1288" s="2">
        <f t="shared" si="29"/>
      </c>
      <c r="AP1288" s="2">
        <f t="shared" si="30"/>
      </c>
      <c r="AQ1288" s="2">
        <f t="shared" si="31"/>
      </c>
    </row>
    <row r="1289">
      <c r="A1289" s="43">
        <f t="shared" si="3"/>
      </c>
      <c r="B1289" s="44" t="n"/>
      <c r="C1289" s="45" t="n"/>
      <c r="D1289" s="46" t="n"/>
      <c r="E1289" s="47" t="n"/>
      <c r="F1289" s="47" t="n"/>
      <c r="G1289" s="48">
        <f t="shared" si="4"/>
      </c>
      <c r="H1289" s="43">
        <f t="shared" si="0"/>
      </c>
      <c r="I1289" s="43">
        <f t="shared" si="5"/>
      </c>
      <c r="J1289" s="43">
        <f t="shared" si="1"/>
      </c>
      <c r="K1289" s="49">
        <f t="shared" si="2"/>
      </c>
      <c r="L1289" s="45" t="n"/>
      <c r="M1289" s="45" t="n"/>
      <c r="N1289" s="45" t="n"/>
      <c r="O1289" s="45" t="n"/>
      <c r="P1289" s="50" t="n"/>
      <c r="R1289" s="2">
        <f t="shared" si="6"/>
        <v>0</v>
      </c>
      <c r="S1289" s="2">
        <f t="shared" si="7"/>
      </c>
      <c r="T1289" s="2">
        <f t="shared" si="8"/>
      </c>
      <c r="U1289" s="2">
        <f t="shared" si="9"/>
      </c>
      <c r="V1289" s="2">
        <f t="shared" si="10"/>
      </c>
      <c r="W1289" s="2">
        <f t="shared" si="11"/>
      </c>
      <c r="X1289" s="2">
        <f t="shared" si="12"/>
      </c>
      <c r="Y1289" s="2">
        <f t="shared" si="13"/>
        <v>0</v>
      </c>
      <c r="Z1289" s="2">
        <f t="shared" si="14"/>
      </c>
      <c r="AA1289" s="2">
        <f t="shared" si="15"/>
        <v>0</v>
      </c>
      <c r="AB1289" s="2">
        <f t="shared" si="16"/>
      </c>
      <c r="AC1289" s="2">
        <f t="shared" si="17"/>
      </c>
      <c r="AD1289" s="2">
        <f t="shared" si="18"/>
      </c>
      <c r="AE1289" s="2">
        <f t="shared" si="19"/>
      </c>
      <c r="AF1289" s="2">
        <f t="shared" si="20"/>
      </c>
      <c r="AG1289" s="2">
        <f t="shared" si="21"/>
      </c>
      <c r="AH1289" s="2">
        <f t="shared" si="22"/>
      </c>
      <c r="AI1289" s="2">
        <f t="shared" si="23"/>
      </c>
      <c r="AJ1289" s="2">
        <f t="shared" si="24"/>
        <v>0</v>
      </c>
      <c r="AK1289" s="2">
        <f t="shared" si="25"/>
        <v>0</v>
      </c>
      <c r="AL1289" s="2">
        <f t="shared" si="26"/>
        <v>0</v>
      </c>
      <c r="AM1289" s="2">
        <f t="shared" si="27"/>
        <v>0</v>
      </c>
      <c r="AN1289" s="2">
        <f t="shared" si="28"/>
        <v>0</v>
      </c>
      <c r="AO1289" s="2">
        <f t="shared" si="29"/>
      </c>
      <c r="AP1289" s="2">
        <f t="shared" si="30"/>
      </c>
      <c r="AQ1289" s="2">
        <f t="shared" si="31"/>
      </c>
    </row>
    <row r="1290">
      <c r="A1290" s="43">
        <f t="shared" si="3"/>
      </c>
      <c r="B1290" s="44" t="n"/>
      <c r="C1290" s="45" t="n"/>
      <c r="D1290" s="46" t="n"/>
      <c r="E1290" s="47" t="n"/>
      <c r="F1290" s="47" t="n"/>
      <c r="G1290" s="48">
        <f t="shared" si="4"/>
      </c>
      <c r="H1290" s="43">
        <f t="shared" si="0"/>
      </c>
      <c r="I1290" s="43">
        <f t="shared" si="5"/>
      </c>
      <c r="J1290" s="43">
        <f t="shared" si="1"/>
      </c>
      <c r="K1290" s="49">
        <f t="shared" si="2"/>
      </c>
      <c r="L1290" s="45" t="n"/>
      <c r="M1290" s="45" t="n"/>
      <c r="N1290" s="45" t="n"/>
      <c r="O1290" s="45" t="n"/>
      <c r="P1290" s="50" t="n"/>
      <c r="R1290" s="2">
        <f t="shared" si="6"/>
        <v>0</v>
      </c>
      <c r="S1290" s="2">
        <f t="shared" si="7"/>
      </c>
      <c r="T1290" s="2">
        <f t="shared" si="8"/>
      </c>
      <c r="U1290" s="2">
        <f t="shared" si="9"/>
      </c>
      <c r="V1290" s="2">
        <f t="shared" si="10"/>
      </c>
      <c r="W1290" s="2">
        <f t="shared" si="11"/>
      </c>
      <c r="X1290" s="2">
        <f t="shared" si="12"/>
      </c>
      <c r="Y1290" s="2">
        <f t="shared" si="13"/>
        <v>0</v>
      </c>
      <c r="Z1290" s="2">
        <f t="shared" si="14"/>
      </c>
      <c r="AA1290" s="2">
        <f t="shared" si="15"/>
        <v>0</v>
      </c>
      <c r="AB1290" s="2">
        <f t="shared" si="16"/>
      </c>
      <c r="AC1290" s="2">
        <f t="shared" si="17"/>
      </c>
      <c r="AD1290" s="2">
        <f t="shared" si="18"/>
      </c>
      <c r="AE1290" s="2">
        <f t="shared" si="19"/>
      </c>
      <c r="AF1290" s="2">
        <f t="shared" si="20"/>
      </c>
      <c r="AG1290" s="2">
        <f t="shared" si="21"/>
      </c>
      <c r="AH1290" s="2">
        <f t="shared" si="22"/>
      </c>
      <c r="AI1290" s="2">
        <f t="shared" si="23"/>
      </c>
      <c r="AJ1290" s="2">
        <f t="shared" si="24"/>
        <v>0</v>
      </c>
      <c r="AK1290" s="2">
        <f t="shared" si="25"/>
        <v>0</v>
      </c>
      <c r="AL1290" s="2">
        <f t="shared" si="26"/>
        <v>0</v>
      </c>
      <c r="AM1290" s="2">
        <f t="shared" si="27"/>
        <v>0</v>
      </c>
      <c r="AN1290" s="2">
        <f t="shared" si="28"/>
        <v>0</v>
      </c>
      <c r="AO1290" s="2">
        <f t="shared" si="29"/>
      </c>
      <c r="AP1290" s="2">
        <f t="shared" si="30"/>
      </c>
      <c r="AQ1290" s="2">
        <f t="shared" si="31"/>
      </c>
    </row>
    <row r="1291">
      <c r="A1291" s="43">
        <f t="shared" si="3"/>
      </c>
      <c r="B1291" s="44" t="n"/>
      <c r="C1291" s="45" t="n"/>
      <c r="D1291" s="46" t="n"/>
      <c r="E1291" s="47" t="n"/>
      <c r="F1291" s="47" t="n"/>
      <c r="G1291" s="48">
        <f t="shared" si="4"/>
      </c>
      <c r="H1291" s="43">
        <f t="shared" si="0"/>
      </c>
      <c r="I1291" s="43">
        <f t="shared" si="5"/>
      </c>
      <c r="J1291" s="43">
        <f t="shared" si="1"/>
      </c>
      <c r="K1291" s="49">
        <f t="shared" si="2"/>
      </c>
      <c r="L1291" s="45" t="n"/>
      <c r="M1291" s="45" t="n"/>
      <c r="N1291" s="45" t="n"/>
      <c r="O1291" s="45" t="n"/>
      <c r="P1291" s="50" t="n"/>
      <c r="R1291" s="2">
        <f t="shared" si="6"/>
        <v>0</v>
      </c>
      <c r="S1291" s="2">
        <f t="shared" si="7"/>
      </c>
      <c r="T1291" s="2">
        <f t="shared" si="8"/>
      </c>
      <c r="U1291" s="2">
        <f t="shared" si="9"/>
      </c>
      <c r="V1291" s="2">
        <f t="shared" si="10"/>
      </c>
      <c r="W1291" s="2">
        <f t="shared" si="11"/>
      </c>
      <c r="X1291" s="2">
        <f t="shared" si="12"/>
      </c>
      <c r="Y1291" s="2">
        <f t="shared" si="13"/>
        <v>0</v>
      </c>
      <c r="Z1291" s="2">
        <f t="shared" si="14"/>
      </c>
      <c r="AA1291" s="2">
        <f t="shared" si="15"/>
        <v>0</v>
      </c>
      <c r="AB1291" s="2">
        <f t="shared" si="16"/>
      </c>
      <c r="AC1291" s="2">
        <f t="shared" si="17"/>
      </c>
      <c r="AD1291" s="2">
        <f t="shared" si="18"/>
      </c>
      <c r="AE1291" s="2">
        <f t="shared" si="19"/>
      </c>
      <c r="AF1291" s="2">
        <f t="shared" si="20"/>
      </c>
      <c r="AG1291" s="2">
        <f t="shared" si="21"/>
      </c>
      <c r="AH1291" s="2">
        <f t="shared" si="22"/>
      </c>
      <c r="AI1291" s="2">
        <f t="shared" si="23"/>
      </c>
      <c r="AJ1291" s="2">
        <f t="shared" si="24"/>
        <v>0</v>
      </c>
      <c r="AK1291" s="2">
        <f t="shared" si="25"/>
        <v>0</v>
      </c>
      <c r="AL1291" s="2">
        <f t="shared" si="26"/>
        <v>0</v>
      </c>
      <c r="AM1291" s="2">
        <f t="shared" si="27"/>
        <v>0</v>
      </c>
      <c r="AN1291" s="2">
        <f t="shared" si="28"/>
        <v>0</v>
      </c>
      <c r="AO1291" s="2">
        <f t="shared" si="29"/>
      </c>
      <c r="AP1291" s="2">
        <f t="shared" si="30"/>
      </c>
      <c r="AQ1291" s="2">
        <f t="shared" si="31"/>
      </c>
    </row>
    <row r="1292">
      <c r="A1292" s="43">
        <f t="shared" si="3"/>
      </c>
      <c r="B1292" s="44" t="n"/>
      <c r="C1292" s="45" t="n"/>
      <c r="D1292" s="46" t="n"/>
      <c r="E1292" s="47" t="n"/>
      <c r="F1292" s="47" t="n"/>
      <c r="G1292" s="48">
        <f t="shared" si="4"/>
      </c>
      <c r="H1292" s="43">
        <f t="shared" si="0"/>
      </c>
      <c r="I1292" s="43">
        <f t="shared" si="5"/>
      </c>
      <c r="J1292" s="43">
        <f t="shared" si="1"/>
      </c>
      <c r="K1292" s="49">
        <f t="shared" si="2"/>
      </c>
      <c r="L1292" s="45" t="n"/>
      <c r="M1292" s="45" t="n"/>
      <c r="N1292" s="45" t="n"/>
      <c r="O1292" s="45" t="n"/>
      <c r="P1292" s="50" t="n"/>
      <c r="R1292" s="2">
        <f t="shared" si="6"/>
        <v>0</v>
      </c>
      <c r="S1292" s="2">
        <f t="shared" si="7"/>
      </c>
      <c r="T1292" s="2">
        <f t="shared" si="8"/>
      </c>
      <c r="U1292" s="2">
        <f t="shared" si="9"/>
      </c>
      <c r="V1292" s="2">
        <f t="shared" si="10"/>
      </c>
      <c r="W1292" s="2">
        <f t="shared" si="11"/>
      </c>
      <c r="X1292" s="2">
        <f t="shared" si="12"/>
      </c>
      <c r="Y1292" s="2">
        <f t="shared" si="13"/>
        <v>0</v>
      </c>
      <c r="Z1292" s="2">
        <f t="shared" si="14"/>
      </c>
      <c r="AA1292" s="2">
        <f t="shared" si="15"/>
        <v>0</v>
      </c>
      <c r="AB1292" s="2">
        <f t="shared" si="16"/>
      </c>
      <c r="AC1292" s="2">
        <f t="shared" si="17"/>
      </c>
      <c r="AD1292" s="2">
        <f t="shared" si="18"/>
      </c>
      <c r="AE1292" s="2">
        <f t="shared" si="19"/>
      </c>
      <c r="AF1292" s="2">
        <f t="shared" si="20"/>
      </c>
      <c r="AG1292" s="2">
        <f t="shared" si="21"/>
      </c>
      <c r="AH1292" s="2">
        <f t="shared" si="22"/>
      </c>
      <c r="AI1292" s="2">
        <f t="shared" si="23"/>
      </c>
      <c r="AJ1292" s="2">
        <f t="shared" si="24"/>
        <v>0</v>
      </c>
      <c r="AK1292" s="2">
        <f t="shared" si="25"/>
        <v>0</v>
      </c>
      <c r="AL1292" s="2">
        <f t="shared" si="26"/>
        <v>0</v>
      </c>
      <c r="AM1292" s="2">
        <f t="shared" si="27"/>
        <v>0</v>
      </c>
      <c r="AN1292" s="2">
        <f t="shared" si="28"/>
        <v>0</v>
      </c>
      <c r="AO1292" s="2">
        <f t="shared" si="29"/>
      </c>
      <c r="AP1292" s="2">
        <f t="shared" si="30"/>
      </c>
      <c r="AQ1292" s="2">
        <f t="shared" si="31"/>
      </c>
    </row>
    <row r="1293">
      <c r="A1293" s="43">
        <f t="shared" si="3"/>
      </c>
      <c r="B1293" s="44" t="n"/>
      <c r="C1293" s="45" t="n"/>
      <c r="D1293" s="46" t="n"/>
      <c r="E1293" s="47" t="n"/>
      <c r="F1293" s="47" t="n"/>
      <c r="G1293" s="48">
        <f t="shared" si="4"/>
      </c>
      <c r="H1293" s="43">
        <f t="shared" si="0"/>
      </c>
      <c r="I1293" s="43">
        <f t="shared" si="5"/>
      </c>
      <c r="J1293" s="43">
        <f t="shared" si="1"/>
      </c>
      <c r="K1293" s="49">
        <f t="shared" si="2"/>
      </c>
      <c r="L1293" s="45" t="n"/>
      <c r="M1293" s="45" t="n"/>
      <c r="N1293" s="45" t="n"/>
      <c r="O1293" s="45" t="n"/>
      <c r="P1293" s="50" t="n"/>
      <c r="R1293" s="2">
        <f t="shared" si="6"/>
        <v>0</v>
      </c>
      <c r="S1293" s="2">
        <f t="shared" si="7"/>
      </c>
      <c r="T1293" s="2">
        <f t="shared" si="8"/>
      </c>
      <c r="U1293" s="2">
        <f t="shared" si="9"/>
      </c>
      <c r="V1293" s="2">
        <f t="shared" si="10"/>
      </c>
      <c r="W1293" s="2">
        <f t="shared" si="11"/>
      </c>
      <c r="X1293" s="2">
        <f t="shared" si="12"/>
      </c>
      <c r="Y1293" s="2">
        <f t="shared" si="13"/>
        <v>0</v>
      </c>
      <c r="Z1293" s="2">
        <f t="shared" si="14"/>
      </c>
      <c r="AA1293" s="2">
        <f t="shared" si="15"/>
        <v>0</v>
      </c>
      <c r="AB1293" s="2">
        <f t="shared" si="16"/>
      </c>
      <c r="AC1293" s="2">
        <f t="shared" si="17"/>
      </c>
      <c r="AD1293" s="2">
        <f t="shared" si="18"/>
      </c>
      <c r="AE1293" s="2">
        <f t="shared" si="19"/>
      </c>
      <c r="AF1293" s="2">
        <f t="shared" si="20"/>
      </c>
      <c r="AG1293" s="2">
        <f t="shared" si="21"/>
      </c>
      <c r="AH1293" s="2">
        <f t="shared" si="22"/>
      </c>
      <c r="AI1293" s="2">
        <f t="shared" si="23"/>
      </c>
      <c r="AJ1293" s="2">
        <f t="shared" si="24"/>
        <v>0</v>
      </c>
      <c r="AK1293" s="2">
        <f t="shared" si="25"/>
        <v>0</v>
      </c>
      <c r="AL1293" s="2">
        <f t="shared" si="26"/>
        <v>0</v>
      </c>
      <c r="AM1293" s="2">
        <f t="shared" si="27"/>
        <v>0</v>
      </c>
      <c r="AN1293" s="2">
        <f t="shared" si="28"/>
        <v>0</v>
      </c>
      <c r="AO1293" s="2">
        <f t="shared" si="29"/>
      </c>
      <c r="AP1293" s="2">
        <f t="shared" si="30"/>
      </c>
      <c r="AQ1293" s="2">
        <f t="shared" si="31"/>
      </c>
    </row>
    <row r="1294">
      <c r="A1294" s="43">
        <f t="shared" si="3"/>
      </c>
      <c r="B1294" s="44" t="n"/>
      <c r="C1294" s="45" t="n"/>
      <c r="D1294" s="46" t="n"/>
      <c r="E1294" s="47" t="n"/>
      <c r="F1294" s="47" t="n"/>
      <c r="G1294" s="48">
        <f t="shared" si="4"/>
      </c>
      <c r="H1294" s="43">
        <f t="shared" si="0"/>
      </c>
      <c r="I1294" s="43">
        <f t="shared" si="5"/>
      </c>
      <c r="J1294" s="43">
        <f t="shared" si="1"/>
      </c>
      <c r="K1294" s="49">
        <f t="shared" si="2"/>
      </c>
      <c r="L1294" s="45" t="n"/>
      <c r="M1294" s="45" t="n"/>
      <c r="N1294" s="45" t="n"/>
      <c r="O1294" s="45" t="n"/>
      <c r="P1294" s="50" t="n"/>
      <c r="R1294" s="2">
        <f t="shared" si="6"/>
        <v>0</v>
      </c>
      <c r="S1294" s="2">
        <f t="shared" si="7"/>
      </c>
      <c r="T1294" s="2">
        <f t="shared" si="8"/>
      </c>
      <c r="U1294" s="2">
        <f t="shared" si="9"/>
      </c>
      <c r="V1294" s="2">
        <f t="shared" si="10"/>
      </c>
      <c r="W1294" s="2">
        <f t="shared" si="11"/>
      </c>
      <c r="X1294" s="2">
        <f t="shared" si="12"/>
      </c>
      <c r="Y1294" s="2">
        <f t="shared" si="13"/>
        <v>0</v>
      </c>
      <c r="Z1294" s="2">
        <f t="shared" si="14"/>
      </c>
      <c r="AA1294" s="2">
        <f t="shared" si="15"/>
        <v>0</v>
      </c>
      <c r="AB1294" s="2">
        <f t="shared" si="16"/>
      </c>
      <c r="AC1294" s="2">
        <f t="shared" si="17"/>
      </c>
      <c r="AD1294" s="2">
        <f t="shared" si="18"/>
      </c>
      <c r="AE1294" s="2">
        <f t="shared" si="19"/>
      </c>
      <c r="AF1294" s="2">
        <f t="shared" si="20"/>
      </c>
      <c r="AG1294" s="2">
        <f t="shared" si="21"/>
      </c>
      <c r="AH1294" s="2">
        <f t="shared" si="22"/>
      </c>
      <c r="AI1294" s="2">
        <f t="shared" si="23"/>
      </c>
      <c r="AJ1294" s="2">
        <f t="shared" si="24"/>
        <v>0</v>
      </c>
      <c r="AK1294" s="2">
        <f t="shared" si="25"/>
        <v>0</v>
      </c>
      <c r="AL1294" s="2">
        <f t="shared" si="26"/>
        <v>0</v>
      </c>
      <c r="AM1294" s="2">
        <f t="shared" si="27"/>
        <v>0</v>
      </c>
      <c r="AN1294" s="2">
        <f t="shared" si="28"/>
        <v>0</v>
      </c>
      <c r="AO1294" s="2">
        <f t="shared" si="29"/>
      </c>
      <c r="AP1294" s="2">
        <f t="shared" si="30"/>
      </c>
      <c r="AQ1294" s="2">
        <f t="shared" si="31"/>
      </c>
    </row>
    <row r="1295">
      <c r="A1295" s="43">
        <f t="shared" si="3"/>
      </c>
      <c r="B1295" s="44" t="n"/>
      <c r="C1295" s="45" t="n"/>
      <c r="D1295" s="46" t="n"/>
      <c r="E1295" s="47" t="n"/>
      <c r="F1295" s="47" t="n"/>
      <c r="G1295" s="48">
        <f t="shared" si="4"/>
      </c>
      <c r="H1295" s="43">
        <f t="shared" si="0"/>
      </c>
      <c r="I1295" s="43">
        <f t="shared" si="5"/>
      </c>
      <c r="J1295" s="43">
        <f t="shared" si="1"/>
      </c>
      <c r="K1295" s="49">
        <f t="shared" si="2"/>
      </c>
      <c r="L1295" s="45" t="n"/>
      <c r="M1295" s="45" t="n"/>
      <c r="N1295" s="45" t="n"/>
      <c r="O1295" s="45" t="n"/>
      <c r="P1295" s="50" t="n"/>
      <c r="R1295" s="2">
        <f t="shared" si="6"/>
        <v>0</v>
      </c>
      <c r="S1295" s="2">
        <f t="shared" si="7"/>
      </c>
      <c r="T1295" s="2">
        <f t="shared" si="8"/>
      </c>
      <c r="U1295" s="2">
        <f t="shared" si="9"/>
      </c>
      <c r="V1295" s="2">
        <f t="shared" si="10"/>
      </c>
      <c r="W1295" s="2">
        <f t="shared" si="11"/>
      </c>
      <c r="X1295" s="2">
        <f t="shared" si="12"/>
      </c>
      <c r="Y1295" s="2">
        <f t="shared" si="13"/>
        <v>0</v>
      </c>
      <c r="Z1295" s="2">
        <f t="shared" si="14"/>
      </c>
      <c r="AA1295" s="2">
        <f t="shared" si="15"/>
        <v>0</v>
      </c>
      <c r="AB1295" s="2">
        <f t="shared" si="16"/>
      </c>
      <c r="AC1295" s="2">
        <f t="shared" si="17"/>
      </c>
      <c r="AD1295" s="2">
        <f t="shared" si="18"/>
      </c>
      <c r="AE1295" s="2">
        <f t="shared" si="19"/>
      </c>
      <c r="AF1295" s="2">
        <f t="shared" si="20"/>
      </c>
      <c r="AG1295" s="2">
        <f t="shared" si="21"/>
      </c>
      <c r="AH1295" s="2">
        <f t="shared" si="22"/>
      </c>
      <c r="AI1295" s="2">
        <f t="shared" si="23"/>
      </c>
      <c r="AJ1295" s="2">
        <f t="shared" si="24"/>
        <v>0</v>
      </c>
      <c r="AK1295" s="2">
        <f t="shared" si="25"/>
        <v>0</v>
      </c>
      <c r="AL1295" s="2">
        <f t="shared" si="26"/>
        <v>0</v>
      </c>
      <c r="AM1295" s="2">
        <f t="shared" si="27"/>
        <v>0</v>
      </c>
      <c r="AN1295" s="2">
        <f t="shared" si="28"/>
        <v>0</v>
      </c>
      <c r="AO1295" s="2">
        <f t="shared" si="29"/>
      </c>
      <c r="AP1295" s="2">
        <f t="shared" si="30"/>
      </c>
      <c r="AQ1295" s="2">
        <f t="shared" si="31"/>
      </c>
    </row>
    <row r="1296">
      <c r="A1296" s="43">
        <f t="shared" si="3"/>
      </c>
      <c r="B1296" s="44" t="n"/>
      <c r="C1296" s="45" t="n"/>
      <c r="D1296" s="46" t="n"/>
      <c r="E1296" s="47" t="n"/>
      <c r="F1296" s="47" t="n"/>
      <c r="G1296" s="48">
        <f t="shared" si="4"/>
      </c>
      <c r="H1296" s="43">
        <f t="shared" si="0"/>
      </c>
      <c r="I1296" s="43">
        <f t="shared" si="5"/>
      </c>
      <c r="J1296" s="43">
        <f t="shared" si="1"/>
      </c>
      <c r="K1296" s="49">
        <f t="shared" si="2"/>
      </c>
      <c r="L1296" s="45" t="n"/>
      <c r="M1296" s="45" t="n"/>
      <c r="N1296" s="45" t="n"/>
      <c r="O1296" s="45" t="n"/>
      <c r="P1296" s="50" t="n"/>
      <c r="R1296" s="2">
        <f t="shared" si="6"/>
        <v>0</v>
      </c>
      <c r="S1296" s="2">
        <f t="shared" si="7"/>
      </c>
      <c r="T1296" s="2">
        <f t="shared" si="8"/>
      </c>
      <c r="U1296" s="2">
        <f t="shared" si="9"/>
      </c>
      <c r="V1296" s="2">
        <f t="shared" si="10"/>
      </c>
      <c r="W1296" s="2">
        <f t="shared" si="11"/>
      </c>
      <c r="X1296" s="2">
        <f t="shared" si="12"/>
      </c>
      <c r="Y1296" s="2">
        <f t="shared" si="13"/>
        <v>0</v>
      </c>
      <c r="Z1296" s="2">
        <f t="shared" si="14"/>
      </c>
      <c r="AA1296" s="2">
        <f t="shared" si="15"/>
        <v>0</v>
      </c>
      <c r="AB1296" s="2">
        <f t="shared" si="16"/>
      </c>
      <c r="AC1296" s="2">
        <f t="shared" si="17"/>
      </c>
      <c r="AD1296" s="2">
        <f t="shared" si="18"/>
      </c>
      <c r="AE1296" s="2">
        <f t="shared" si="19"/>
      </c>
      <c r="AF1296" s="2">
        <f t="shared" si="20"/>
      </c>
      <c r="AG1296" s="2">
        <f t="shared" si="21"/>
      </c>
      <c r="AH1296" s="2">
        <f t="shared" si="22"/>
      </c>
      <c r="AI1296" s="2">
        <f t="shared" si="23"/>
      </c>
      <c r="AJ1296" s="2">
        <f t="shared" si="24"/>
        <v>0</v>
      </c>
      <c r="AK1296" s="2">
        <f t="shared" si="25"/>
        <v>0</v>
      </c>
      <c r="AL1296" s="2">
        <f t="shared" si="26"/>
        <v>0</v>
      </c>
      <c r="AM1296" s="2">
        <f t="shared" si="27"/>
        <v>0</v>
      </c>
      <c r="AN1296" s="2">
        <f t="shared" si="28"/>
        <v>0</v>
      </c>
      <c r="AO1296" s="2">
        <f t="shared" si="29"/>
      </c>
      <c r="AP1296" s="2">
        <f t="shared" si="30"/>
      </c>
      <c r="AQ1296" s="2">
        <f t="shared" si="31"/>
      </c>
    </row>
    <row r="1297">
      <c r="A1297" s="43">
        <f t="shared" si="3"/>
      </c>
      <c r="B1297" s="44" t="n"/>
      <c r="C1297" s="45" t="n"/>
      <c r="D1297" s="46" t="n"/>
      <c r="E1297" s="47" t="n"/>
      <c r="F1297" s="47" t="n"/>
      <c r="G1297" s="48">
        <f t="shared" si="4"/>
      </c>
      <c r="H1297" s="43">
        <f t="shared" si="0"/>
      </c>
      <c r="I1297" s="43">
        <f t="shared" si="5"/>
      </c>
      <c r="J1297" s="43">
        <f t="shared" si="1"/>
      </c>
      <c r="K1297" s="49">
        <f t="shared" si="2"/>
      </c>
      <c r="L1297" s="45" t="n"/>
      <c r="M1297" s="45" t="n"/>
      <c r="N1297" s="45" t="n"/>
      <c r="O1297" s="45" t="n"/>
      <c r="P1297" s="50" t="n"/>
      <c r="R1297" s="2">
        <f t="shared" si="6"/>
        <v>0</v>
      </c>
      <c r="S1297" s="2">
        <f t="shared" si="7"/>
      </c>
      <c r="T1297" s="2">
        <f t="shared" si="8"/>
      </c>
      <c r="U1297" s="2">
        <f t="shared" si="9"/>
      </c>
      <c r="V1297" s="2">
        <f t="shared" si="10"/>
      </c>
      <c r="W1297" s="2">
        <f t="shared" si="11"/>
      </c>
      <c r="X1297" s="2">
        <f t="shared" si="12"/>
      </c>
      <c r="Y1297" s="2">
        <f t="shared" si="13"/>
        <v>0</v>
      </c>
      <c r="Z1297" s="2">
        <f t="shared" si="14"/>
      </c>
      <c r="AA1297" s="2">
        <f t="shared" si="15"/>
        <v>0</v>
      </c>
      <c r="AB1297" s="2">
        <f t="shared" si="16"/>
      </c>
      <c r="AC1297" s="2">
        <f t="shared" si="17"/>
      </c>
      <c r="AD1297" s="2">
        <f t="shared" si="18"/>
      </c>
      <c r="AE1297" s="2">
        <f t="shared" si="19"/>
      </c>
      <c r="AF1297" s="2">
        <f t="shared" si="20"/>
      </c>
      <c r="AG1297" s="2">
        <f t="shared" si="21"/>
      </c>
      <c r="AH1297" s="2">
        <f t="shared" si="22"/>
      </c>
      <c r="AI1297" s="2">
        <f t="shared" si="23"/>
      </c>
      <c r="AJ1297" s="2">
        <f t="shared" si="24"/>
        <v>0</v>
      </c>
      <c r="AK1297" s="2">
        <f t="shared" si="25"/>
        <v>0</v>
      </c>
      <c r="AL1297" s="2">
        <f t="shared" si="26"/>
        <v>0</v>
      </c>
      <c r="AM1297" s="2">
        <f t="shared" si="27"/>
        <v>0</v>
      </c>
      <c r="AN1297" s="2">
        <f t="shared" si="28"/>
        <v>0</v>
      </c>
      <c r="AO1297" s="2">
        <f t="shared" si="29"/>
      </c>
      <c r="AP1297" s="2">
        <f t="shared" si="30"/>
      </c>
      <c r="AQ1297" s="2">
        <f t="shared" si="31"/>
      </c>
    </row>
    <row r="1298">
      <c r="A1298" s="43">
        <f t="shared" si="3"/>
      </c>
      <c r="B1298" s="44" t="n"/>
      <c r="C1298" s="45" t="n"/>
      <c r="D1298" s="46" t="n"/>
      <c r="E1298" s="47" t="n"/>
      <c r="F1298" s="47" t="n"/>
      <c r="G1298" s="48">
        <f t="shared" si="4"/>
      </c>
      <c r="H1298" s="43">
        <f t="shared" si="0"/>
      </c>
      <c r="I1298" s="43">
        <f t="shared" si="5"/>
      </c>
      <c r="J1298" s="43">
        <f t="shared" si="1"/>
      </c>
      <c r="K1298" s="49">
        <f t="shared" si="2"/>
      </c>
      <c r="L1298" s="45" t="n"/>
      <c r="M1298" s="45" t="n"/>
      <c r="N1298" s="45" t="n"/>
      <c r="O1298" s="45" t="n"/>
      <c r="P1298" s="50" t="n"/>
      <c r="R1298" s="2">
        <f t="shared" si="6"/>
        <v>0</v>
      </c>
      <c r="S1298" s="2">
        <f t="shared" si="7"/>
      </c>
      <c r="T1298" s="2">
        <f t="shared" si="8"/>
      </c>
      <c r="U1298" s="2">
        <f t="shared" si="9"/>
      </c>
      <c r="V1298" s="2">
        <f t="shared" si="10"/>
      </c>
      <c r="W1298" s="2">
        <f t="shared" si="11"/>
      </c>
      <c r="X1298" s="2">
        <f t="shared" si="12"/>
      </c>
      <c r="Y1298" s="2">
        <f t="shared" si="13"/>
        <v>0</v>
      </c>
      <c r="Z1298" s="2">
        <f t="shared" si="14"/>
      </c>
      <c r="AA1298" s="2">
        <f t="shared" si="15"/>
        <v>0</v>
      </c>
      <c r="AB1298" s="2">
        <f t="shared" si="16"/>
      </c>
      <c r="AC1298" s="2">
        <f t="shared" si="17"/>
      </c>
      <c r="AD1298" s="2">
        <f t="shared" si="18"/>
      </c>
      <c r="AE1298" s="2">
        <f t="shared" si="19"/>
      </c>
      <c r="AF1298" s="2">
        <f t="shared" si="20"/>
      </c>
      <c r="AG1298" s="2">
        <f t="shared" si="21"/>
      </c>
      <c r="AH1298" s="2">
        <f t="shared" si="22"/>
      </c>
      <c r="AI1298" s="2">
        <f t="shared" si="23"/>
      </c>
      <c r="AJ1298" s="2">
        <f t="shared" si="24"/>
        <v>0</v>
      </c>
      <c r="AK1298" s="2">
        <f t="shared" si="25"/>
        <v>0</v>
      </c>
      <c r="AL1298" s="2">
        <f t="shared" si="26"/>
        <v>0</v>
      </c>
      <c r="AM1298" s="2">
        <f t="shared" si="27"/>
        <v>0</v>
      </c>
      <c r="AN1298" s="2">
        <f t="shared" si="28"/>
        <v>0</v>
      </c>
      <c r="AO1298" s="2">
        <f t="shared" si="29"/>
      </c>
      <c r="AP1298" s="2">
        <f t="shared" si="30"/>
      </c>
      <c r="AQ1298" s="2">
        <f t="shared" si="31"/>
      </c>
    </row>
    <row r="1299">
      <c r="A1299" s="43">
        <f t="shared" si="3"/>
      </c>
      <c r="B1299" s="44" t="n"/>
      <c r="C1299" s="45" t="n"/>
      <c r="D1299" s="46" t="n"/>
      <c r="E1299" s="47" t="n"/>
      <c r="F1299" s="47" t="n"/>
      <c r="G1299" s="48">
        <f t="shared" si="4"/>
      </c>
      <c r="H1299" s="43">
        <f t="shared" si="0"/>
      </c>
      <c r="I1299" s="43">
        <f t="shared" si="5"/>
      </c>
      <c r="J1299" s="43">
        <f t="shared" si="1"/>
      </c>
      <c r="K1299" s="49">
        <f t="shared" si="2"/>
      </c>
      <c r="L1299" s="45" t="n"/>
      <c r="M1299" s="45" t="n"/>
      <c r="N1299" s="45" t="n"/>
      <c r="O1299" s="45" t="n"/>
      <c r="P1299" s="50" t="n"/>
      <c r="R1299" s="2">
        <f t="shared" si="6"/>
        <v>0</v>
      </c>
      <c r="S1299" s="2">
        <f t="shared" si="7"/>
      </c>
      <c r="T1299" s="2">
        <f t="shared" si="8"/>
      </c>
      <c r="U1299" s="2">
        <f t="shared" si="9"/>
      </c>
      <c r="V1299" s="2">
        <f t="shared" si="10"/>
      </c>
      <c r="W1299" s="2">
        <f t="shared" si="11"/>
      </c>
      <c r="X1299" s="2">
        <f t="shared" si="12"/>
      </c>
      <c r="Y1299" s="2">
        <f t="shared" si="13"/>
        <v>0</v>
      </c>
      <c r="Z1299" s="2">
        <f t="shared" si="14"/>
      </c>
      <c r="AA1299" s="2">
        <f t="shared" si="15"/>
        <v>0</v>
      </c>
      <c r="AB1299" s="2">
        <f t="shared" si="16"/>
      </c>
      <c r="AC1299" s="2">
        <f t="shared" si="17"/>
      </c>
      <c r="AD1299" s="2">
        <f t="shared" si="18"/>
      </c>
      <c r="AE1299" s="2">
        <f t="shared" si="19"/>
      </c>
      <c r="AF1299" s="2">
        <f t="shared" si="20"/>
      </c>
      <c r="AG1299" s="2">
        <f t="shared" si="21"/>
      </c>
      <c r="AH1299" s="2">
        <f t="shared" si="22"/>
      </c>
      <c r="AI1299" s="2">
        <f t="shared" si="23"/>
      </c>
      <c r="AJ1299" s="2">
        <f t="shared" si="24"/>
        <v>0</v>
      </c>
      <c r="AK1299" s="2">
        <f t="shared" si="25"/>
        <v>0</v>
      </c>
      <c r="AL1299" s="2">
        <f t="shared" si="26"/>
        <v>0</v>
      </c>
      <c r="AM1299" s="2">
        <f t="shared" si="27"/>
        <v>0</v>
      </c>
      <c r="AN1299" s="2">
        <f t="shared" si="28"/>
        <v>0</v>
      </c>
      <c r="AO1299" s="2">
        <f t="shared" si="29"/>
      </c>
      <c r="AP1299" s="2">
        <f t="shared" si="30"/>
      </c>
      <c r="AQ1299" s="2">
        <f t="shared" si="31"/>
      </c>
    </row>
    <row r="1300">
      <c r="A1300" s="43">
        <f t="shared" si="3"/>
      </c>
      <c r="B1300" s="44" t="n"/>
      <c r="C1300" s="45" t="n"/>
      <c r="D1300" s="46" t="n"/>
      <c r="E1300" s="47" t="n"/>
      <c r="F1300" s="47" t="n"/>
      <c r="G1300" s="48">
        <f t="shared" si="4"/>
      </c>
      <c r="H1300" s="43">
        <f t="shared" si="0"/>
      </c>
      <c r="I1300" s="43">
        <f t="shared" si="5"/>
      </c>
      <c r="J1300" s="43">
        <f t="shared" si="1"/>
      </c>
      <c r="K1300" s="49">
        <f t="shared" si="2"/>
      </c>
      <c r="L1300" s="45" t="n"/>
      <c r="M1300" s="45" t="n"/>
      <c r="N1300" s="45" t="n"/>
      <c r="O1300" s="45" t="n"/>
      <c r="P1300" s="50" t="n"/>
      <c r="R1300" s="2">
        <f t="shared" si="6"/>
        <v>0</v>
      </c>
      <c r="S1300" s="2">
        <f t="shared" si="7"/>
      </c>
      <c r="T1300" s="2">
        <f t="shared" si="8"/>
      </c>
      <c r="U1300" s="2">
        <f t="shared" si="9"/>
      </c>
      <c r="V1300" s="2">
        <f t="shared" si="10"/>
      </c>
      <c r="W1300" s="2">
        <f t="shared" si="11"/>
      </c>
      <c r="X1300" s="2">
        <f t="shared" si="12"/>
      </c>
      <c r="Y1300" s="2">
        <f t="shared" si="13"/>
        <v>0</v>
      </c>
      <c r="Z1300" s="2">
        <f t="shared" si="14"/>
      </c>
      <c r="AA1300" s="2">
        <f t="shared" si="15"/>
        <v>0</v>
      </c>
      <c r="AB1300" s="2">
        <f t="shared" si="16"/>
      </c>
      <c r="AC1300" s="2">
        <f t="shared" si="17"/>
      </c>
      <c r="AD1300" s="2">
        <f t="shared" si="18"/>
      </c>
      <c r="AE1300" s="2">
        <f t="shared" si="19"/>
      </c>
      <c r="AF1300" s="2">
        <f t="shared" si="20"/>
      </c>
      <c r="AG1300" s="2">
        <f t="shared" si="21"/>
      </c>
      <c r="AH1300" s="2">
        <f t="shared" si="22"/>
      </c>
      <c r="AI1300" s="2">
        <f t="shared" si="23"/>
      </c>
      <c r="AJ1300" s="2">
        <f t="shared" si="24"/>
        <v>0</v>
      </c>
      <c r="AK1300" s="2">
        <f t="shared" si="25"/>
        <v>0</v>
      </c>
      <c r="AL1300" s="2">
        <f t="shared" si="26"/>
        <v>0</v>
      </c>
      <c r="AM1300" s="2">
        <f t="shared" si="27"/>
        <v>0</v>
      </c>
      <c r="AN1300" s="2">
        <f t="shared" si="28"/>
        <v>0</v>
      </c>
      <c r="AO1300" s="2">
        <f t="shared" si="29"/>
      </c>
      <c r="AP1300" s="2">
        <f t="shared" si="30"/>
      </c>
      <c r="AQ1300" s="2">
        <f t="shared" si="31"/>
      </c>
    </row>
    <row r="1301">
      <c r="A1301" s="43">
        <f t="shared" si="3"/>
      </c>
      <c r="B1301" s="44" t="n"/>
      <c r="C1301" s="45" t="n"/>
      <c r="D1301" s="46" t="n"/>
      <c r="E1301" s="47" t="n"/>
      <c r="F1301" s="47" t="n"/>
      <c r="G1301" s="48">
        <f t="shared" si="4"/>
      </c>
      <c r="H1301" s="43">
        <f t="shared" si="0"/>
      </c>
      <c r="I1301" s="43">
        <f t="shared" si="5"/>
      </c>
      <c r="J1301" s="43">
        <f t="shared" si="1"/>
      </c>
      <c r="K1301" s="49">
        <f t="shared" si="2"/>
      </c>
      <c r="L1301" s="45" t="n"/>
      <c r="M1301" s="45" t="n"/>
      <c r="N1301" s="45" t="n"/>
      <c r="O1301" s="45" t="n"/>
      <c r="P1301" s="50" t="n"/>
      <c r="R1301" s="2">
        <f t="shared" si="6"/>
        <v>0</v>
      </c>
      <c r="S1301" s="2">
        <f t="shared" si="7"/>
      </c>
      <c r="T1301" s="2">
        <f t="shared" si="8"/>
      </c>
      <c r="U1301" s="2">
        <f t="shared" si="9"/>
      </c>
      <c r="V1301" s="2">
        <f t="shared" si="10"/>
      </c>
      <c r="W1301" s="2">
        <f t="shared" si="11"/>
      </c>
      <c r="X1301" s="2">
        <f t="shared" si="12"/>
      </c>
      <c r="Y1301" s="2">
        <f t="shared" si="13"/>
        <v>0</v>
      </c>
      <c r="Z1301" s="2">
        <f t="shared" si="14"/>
      </c>
      <c r="AA1301" s="2">
        <f t="shared" si="15"/>
        <v>0</v>
      </c>
      <c r="AB1301" s="2">
        <f t="shared" si="16"/>
      </c>
      <c r="AC1301" s="2">
        <f t="shared" si="17"/>
      </c>
      <c r="AD1301" s="2">
        <f t="shared" si="18"/>
      </c>
      <c r="AE1301" s="2">
        <f t="shared" si="19"/>
      </c>
      <c r="AF1301" s="2">
        <f t="shared" si="20"/>
      </c>
      <c r="AG1301" s="2">
        <f t="shared" si="21"/>
      </c>
      <c r="AH1301" s="2">
        <f t="shared" si="22"/>
      </c>
      <c r="AI1301" s="2">
        <f t="shared" si="23"/>
      </c>
      <c r="AJ1301" s="2">
        <f t="shared" si="24"/>
        <v>0</v>
      </c>
      <c r="AK1301" s="2">
        <f t="shared" si="25"/>
        <v>0</v>
      </c>
      <c r="AL1301" s="2">
        <f t="shared" si="26"/>
        <v>0</v>
      </c>
      <c r="AM1301" s="2">
        <f t="shared" si="27"/>
        <v>0</v>
      </c>
      <c r="AN1301" s="2">
        <f t="shared" si="28"/>
        <v>0</v>
      </c>
      <c r="AO1301" s="2">
        <f t="shared" si="29"/>
      </c>
      <c r="AP1301" s="2">
        <f t="shared" si="30"/>
      </c>
      <c r="AQ1301" s="2">
        <f t="shared" si="31"/>
      </c>
    </row>
    <row r="1302">
      <c r="A1302" s="43">
        <f t="shared" si="3"/>
      </c>
      <c r="B1302" s="44" t="n"/>
      <c r="C1302" s="45" t="n"/>
      <c r="D1302" s="46" t="n"/>
      <c r="E1302" s="47" t="n"/>
      <c r="F1302" s="47" t="n"/>
      <c r="G1302" s="48">
        <f t="shared" si="4"/>
      </c>
      <c r="H1302" s="43">
        <f t="shared" si="0"/>
      </c>
      <c r="I1302" s="43">
        <f t="shared" si="5"/>
      </c>
      <c r="J1302" s="43">
        <f t="shared" si="1"/>
      </c>
      <c r="K1302" s="49">
        <f t="shared" si="2"/>
      </c>
      <c r="L1302" s="45" t="n"/>
      <c r="M1302" s="45" t="n"/>
      <c r="N1302" s="45" t="n"/>
      <c r="O1302" s="45" t="n"/>
      <c r="P1302" s="50" t="n"/>
      <c r="R1302" s="2">
        <f t="shared" si="6"/>
        <v>0</v>
      </c>
      <c r="S1302" s="2">
        <f t="shared" si="7"/>
      </c>
      <c r="T1302" s="2">
        <f t="shared" si="8"/>
      </c>
      <c r="U1302" s="2">
        <f t="shared" si="9"/>
      </c>
      <c r="V1302" s="2">
        <f t="shared" si="10"/>
      </c>
      <c r="W1302" s="2">
        <f t="shared" si="11"/>
      </c>
      <c r="X1302" s="2">
        <f t="shared" si="12"/>
      </c>
      <c r="Y1302" s="2">
        <f t="shared" si="13"/>
        <v>0</v>
      </c>
      <c r="Z1302" s="2">
        <f t="shared" si="14"/>
      </c>
      <c r="AA1302" s="2">
        <f t="shared" si="15"/>
        <v>0</v>
      </c>
      <c r="AB1302" s="2">
        <f t="shared" si="16"/>
      </c>
      <c r="AC1302" s="2">
        <f t="shared" si="17"/>
      </c>
      <c r="AD1302" s="2">
        <f t="shared" si="18"/>
      </c>
      <c r="AE1302" s="2">
        <f t="shared" si="19"/>
      </c>
      <c r="AF1302" s="2">
        <f t="shared" si="20"/>
      </c>
      <c r="AG1302" s="2">
        <f t="shared" si="21"/>
      </c>
      <c r="AH1302" s="2">
        <f t="shared" si="22"/>
      </c>
      <c r="AI1302" s="2">
        <f t="shared" si="23"/>
      </c>
      <c r="AJ1302" s="2">
        <f t="shared" si="24"/>
        <v>0</v>
      </c>
      <c r="AK1302" s="2">
        <f t="shared" si="25"/>
        <v>0</v>
      </c>
      <c r="AL1302" s="2">
        <f t="shared" si="26"/>
        <v>0</v>
      </c>
      <c r="AM1302" s="2">
        <f t="shared" si="27"/>
        <v>0</v>
      </c>
      <c r="AN1302" s="2">
        <f t="shared" si="28"/>
        <v>0</v>
      </c>
      <c r="AO1302" s="2">
        <f t="shared" si="29"/>
      </c>
      <c r="AP1302" s="2">
        <f t="shared" si="30"/>
      </c>
      <c r="AQ1302" s="2">
        <f t="shared" si="31"/>
      </c>
    </row>
    <row r="1303">
      <c r="A1303" s="43">
        <f t="shared" si="3"/>
      </c>
      <c r="B1303" s="44" t="n"/>
      <c r="C1303" s="45" t="n"/>
      <c r="D1303" s="46" t="n"/>
      <c r="E1303" s="47" t="n"/>
      <c r="F1303" s="47" t="n"/>
      <c r="G1303" s="48">
        <f t="shared" si="4"/>
      </c>
      <c r="H1303" s="43">
        <f t="shared" si="0"/>
      </c>
      <c r="I1303" s="43">
        <f t="shared" si="5"/>
      </c>
      <c r="J1303" s="43">
        <f t="shared" si="1"/>
      </c>
      <c r="K1303" s="49">
        <f t="shared" si="2"/>
      </c>
      <c r="L1303" s="45" t="n"/>
      <c r="M1303" s="45" t="n"/>
      <c r="N1303" s="45" t="n"/>
      <c r="O1303" s="45" t="n"/>
      <c r="P1303" s="50" t="n"/>
      <c r="R1303" s="2">
        <f t="shared" si="6"/>
        <v>0</v>
      </c>
      <c r="S1303" s="2">
        <f t="shared" si="7"/>
      </c>
      <c r="T1303" s="2">
        <f t="shared" si="8"/>
      </c>
      <c r="U1303" s="2">
        <f t="shared" si="9"/>
      </c>
      <c r="V1303" s="2">
        <f t="shared" si="10"/>
      </c>
      <c r="W1303" s="2">
        <f t="shared" si="11"/>
      </c>
      <c r="X1303" s="2">
        <f t="shared" si="12"/>
      </c>
      <c r="Y1303" s="2">
        <f t="shared" si="13"/>
        <v>0</v>
      </c>
      <c r="Z1303" s="2">
        <f t="shared" si="14"/>
      </c>
      <c r="AA1303" s="2">
        <f t="shared" si="15"/>
        <v>0</v>
      </c>
      <c r="AB1303" s="2">
        <f t="shared" si="16"/>
      </c>
      <c r="AC1303" s="2">
        <f t="shared" si="17"/>
      </c>
      <c r="AD1303" s="2">
        <f t="shared" si="18"/>
      </c>
      <c r="AE1303" s="2">
        <f t="shared" si="19"/>
      </c>
      <c r="AF1303" s="2">
        <f t="shared" si="20"/>
      </c>
      <c r="AG1303" s="2">
        <f t="shared" si="21"/>
      </c>
      <c r="AH1303" s="2">
        <f t="shared" si="22"/>
      </c>
      <c r="AI1303" s="2">
        <f t="shared" si="23"/>
      </c>
      <c r="AJ1303" s="2">
        <f t="shared" si="24"/>
        <v>0</v>
      </c>
      <c r="AK1303" s="2">
        <f t="shared" si="25"/>
        <v>0</v>
      </c>
      <c r="AL1303" s="2">
        <f t="shared" si="26"/>
        <v>0</v>
      </c>
      <c r="AM1303" s="2">
        <f t="shared" si="27"/>
        <v>0</v>
      </c>
      <c r="AN1303" s="2">
        <f t="shared" si="28"/>
        <v>0</v>
      </c>
      <c r="AO1303" s="2">
        <f t="shared" si="29"/>
      </c>
      <c r="AP1303" s="2">
        <f t="shared" si="30"/>
      </c>
      <c r="AQ1303" s="2">
        <f t="shared" si="31"/>
      </c>
    </row>
    <row r="1304">
      <c r="A1304" s="43">
        <f t="shared" si="3"/>
      </c>
      <c r="B1304" s="44" t="n"/>
      <c r="C1304" s="45" t="n"/>
      <c r="D1304" s="46" t="n"/>
      <c r="E1304" s="47" t="n"/>
      <c r="F1304" s="47" t="n"/>
      <c r="G1304" s="48">
        <f t="shared" si="4"/>
      </c>
      <c r="H1304" s="43">
        <f t="shared" si="0"/>
      </c>
      <c r="I1304" s="43">
        <f t="shared" si="5"/>
      </c>
      <c r="J1304" s="43">
        <f t="shared" si="1"/>
      </c>
      <c r="K1304" s="49">
        <f t="shared" si="2"/>
      </c>
      <c r="L1304" s="45" t="n"/>
      <c r="M1304" s="45" t="n"/>
      <c r="N1304" s="45" t="n"/>
      <c r="O1304" s="45" t="n"/>
      <c r="P1304" s="50" t="n"/>
      <c r="R1304" s="2">
        <f t="shared" si="6"/>
        <v>0</v>
      </c>
      <c r="S1304" s="2">
        <f t="shared" si="7"/>
      </c>
      <c r="T1304" s="2">
        <f t="shared" si="8"/>
      </c>
      <c r="U1304" s="2">
        <f t="shared" si="9"/>
      </c>
      <c r="V1304" s="2">
        <f t="shared" si="10"/>
      </c>
      <c r="W1304" s="2">
        <f t="shared" si="11"/>
      </c>
      <c r="X1304" s="2">
        <f t="shared" si="12"/>
      </c>
      <c r="Y1304" s="2">
        <f t="shared" si="13"/>
        <v>0</v>
      </c>
      <c r="Z1304" s="2">
        <f t="shared" si="14"/>
      </c>
      <c r="AA1304" s="2">
        <f t="shared" si="15"/>
        <v>0</v>
      </c>
      <c r="AB1304" s="2">
        <f t="shared" si="16"/>
      </c>
      <c r="AC1304" s="2">
        <f t="shared" si="17"/>
      </c>
      <c r="AD1304" s="2">
        <f t="shared" si="18"/>
      </c>
      <c r="AE1304" s="2">
        <f t="shared" si="19"/>
      </c>
      <c r="AF1304" s="2">
        <f t="shared" si="20"/>
      </c>
      <c r="AG1304" s="2">
        <f t="shared" si="21"/>
      </c>
      <c r="AH1304" s="2">
        <f t="shared" si="22"/>
      </c>
      <c r="AI1304" s="2">
        <f t="shared" si="23"/>
      </c>
      <c r="AJ1304" s="2">
        <f t="shared" si="24"/>
        <v>0</v>
      </c>
      <c r="AK1304" s="2">
        <f t="shared" si="25"/>
        <v>0</v>
      </c>
      <c r="AL1304" s="2">
        <f t="shared" si="26"/>
        <v>0</v>
      </c>
      <c r="AM1304" s="2">
        <f t="shared" si="27"/>
        <v>0</v>
      </c>
      <c r="AN1304" s="2">
        <f t="shared" si="28"/>
        <v>0</v>
      </c>
      <c r="AO1304" s="2">
        <f t="shared" si="29"/>
      </c>
      <c r="AP1304" s="2">
        <f t="shared" si="30"/>
      </c>
      <c r="AQ1304" s="2">
        <f t="shared" si="31"/>
      </c>
    </row>
    <row r="1305">
      <c r="A1305" s="43">
        <f t="shared" si="3"/>
      </c>
      <c r="B1305" s="44" t="n"/>
      <c r="C1305" s="45" t="n"/>
      <c r="D1305" s="46" t="n"/>
      <c r="E1305" s="47" t="n"/>
      <c r="F1305" s="47" t="n"/>
      <c r="G1305" s="48">
        <f t="shared" si="4"/>
      </c>
      <c r="H1305" s="43">
        <f t="shared" si="0"/>
      </c>
      <c r="I1305" s="43">
        <f t="shared" si="5"/>
      </c>
      <c r="J1305" s="43">
        <f t="shared" si="1"/>
      </c>
      <c r="K1305" s="49">
        <f t="shared" si="2"/>
      </c>
      <c r="L1305" s="45" t="n"/>
      <c r="M1305" s="45" t="n"/>
      <c r="N1305" s="45" t="n"/>
      <c r="O1305" s="45" t="n"/>
      <c r="P1305" s="50" t="n"/>
      <c r="R1305" s="2">
        <f t="shared" si="6"/>
        <v>0</v>
      </c>
      <c r="S1305" s="2">
        <f t="shared" si="7"/>
      </c>
      <c r="T1305" s="2">
        <f t="shared" si="8"/>
      </c>
      <c r="U1305" s="2">
        <f t="shared" si="9"/>
      </c>
      <c r="V1305" s="2">
        <f t="shared" si="10"/>
      </c>
      <c r="W1305" s="2">
        <f t="shared" si="11"/>
      </c>
      <c r="X1305" s="2">
        <f t="shared" si="12"/>
      </c>
      <c r="Y1305" s="2">
        <f t="shared" si="13"/>
        <v>0</v>
      </c>
      <c r="Z1305" s="2">
        <f t="shared" si="14"/>
      </c>
      <c r="AA1305" s="2">
        <f t="shared" si="15"/>
        <v>0</v>
      </c>
      <c r="AB1305" s="2">
        <f t="shared" si="16"/>
      </c>
      <c r="AC1305" s="2">
        <f t="shared" si="17"/>
      </c>
      <c r="AD1305" s="2">
        <f t="shared" si="18"/>
      </c>
      <c r="AE1305" s="2">
        <f t="shared" si="19"/>
      </c>
      <c r="AF1305" s="2">
        <f t="shared" si="20"/>
      </c>
      <c r="AG1305" s="2">
        <f t="shared" si="21"/>
      </c>
      <c r="AH1305" s="2">
        <f t="shared" si="22"/>
      </c>
      <c r="AI1305" s="2">
        <f t="shared" si="23"/>
      </c>
      <c r="AJ1305" s="2">
        <f t="shared" si="24"/>
        <v>0</v>
      </c>
      <c r="AK1305" s="2">
        <f t="shared" si="25"/>
        <v>0</v>
      </c>
      <c r="AL1305" s="2">
        <f t="shared" si="26"/>
        <v>0</v>
      </c>
      <c r="AM1305" s="2">
        <f t="shared" si="27"/>
        <v>0</v>
      </c>
      <c r="AN1305" s="2">
        <f t="shared" si="28"/>
        <v>0</v>
      </c>
      <c r="AO1305" s="2">
        <f t="shared" si="29"/>
      </c>
      <c r="AP1305" s="2">
        <f t="shared" si="30"/>
      </c>
      <c r="AQ1305" s="2">
        <f t="shared" si="31"/>
      </c>
    </row>
    <row r="1306">
      <c r="A1306" s="43">
        <f t="shared" si="3"/>
      </c>
      <c r="B1306" s="44" t="n"/>
      <c r="C1306" s="45" t="n"/>
      <c r="D1306" s="46" t="n"/>
      <c r="E1306" s="47" t="n"/>
      <c r="F1306" s="47" t="n"/>
      <c r="G1306" s="48">
        <f t="shared" si="4"/>
      </c>
      <c r="H1306" s="43">
        <f t="shared" si="0"/>
      </c>
      <c r="I1306" s="43">
        <f t="shared" si="5"/>
      </c>
      <c r="J1306" s="43">
        <f t="shared" si="1"/>
      </c>
      <c r="K1306" s="49">
        <f t="shared" si="2"/>
      </c>
      <c r="L1306" s="45" t="n"/>
      <c r="M1306" s="45" t="n"/>
      <c r="N1306" s="45" t="n"/>
      <c r="O1306" s="45" t="n"/>
      <c r="P1306" s="50" t="n"/>
      <c r="R1306" s="2">
        <f t="shared" si="6"/>
        <v>0</v>
      </c>
      <c r="S1306" s="2">
        <f t="shared" si="7"/>
      </c>
      <c r="T1306" s="2">
        <f t="shared" si="8"/>
      </c>
      <c r="U1306" s="2">
        <f t="shared" si="9"/>
      </c>
      <c r="V1306" s="2">
        <f t="shared" si="10"/>
      </c>
      <c r="W1306" s="2">
        <f t="shared" si="11"/>
      </c>
      <c r="X1306" s="2">
        <f t="shared" si="12"/>
      </c>
      <c r="Y1306" s="2">
        <f t="shared" si="13"/>
        <v>0</v>
      </c>
      <c r="Z1306" s="2">
        <f t="shared" si="14"/>
      </c>
      <c r="AA1306" s="2">
        <f t="shared" si="15"/>
        <v>0</v>
      </c>
      <c r="AB1306" s="2">
        <f t="shared" si="16"/>
      </c>
      <c r="AC1306" s="2">
        <f t="shared" si="17"/>
      </c>
      <c r="AD1306" s="2">
        <f t="shared" si="18"/>
      </c>
      <c r="AE1306" s="2">
        <f t="shared" si="19"/>
      </c>
      <c r="AF1306" s="2">
        <f t="shared" si="20"/>
      </c>
      <c r="AG1306" s="2">
        <f t="shared" si="21"/>
      </c>
      <c r="AH1306" s="2">
        <f t="shared" si="22"/>
      </c>
      <c r="AI1306" s="2">
        <f t="shared" si="23"/>
      </c>
      <c r="AJ1306" s="2">
        <f t="shared" si="24"/>
        <v>0</v>
      </c>
      <c r="AK1306" s="2">
        <f t="shared" si="25"/>
        <v>0</v>
      </c>
      <c r="AL1306" s="2">
        <f t="shared" si="26"/>
        <v>0</v>
      </c>
      <c r="AM1306" s="2">
        <f t="shared" si="27"/>
        <v>0</v>
      </c>
      <c r="AN1306" s="2">
        <f t="shared" si="28"/>
        <v>0</v>
      </c>
      <c r="AO1306" s="2">
        <f t="shared" si="29"/>
      </c>
      <c r="AP1306" s="2">
        <f t="shared" si="30"/>
      </c>
      <c r="AQ1306" s="2">
        <f t="shared" si="31"/>
      </c>
    </row>
    <row r="1307">
      <c r="A1307" s="43">
        <f t="shared" si="3"/>
      </c>
      <c r="B1307" s="44" t="n"/>
      <c r="C1307" s="45" t="n"/>
      <c r="D1307" s="46" t="n"/>
      <c r="E1307" s="47" t="n"/>
      <c r="F1307" s="47" t="n"/>
      <c r="G1307" s="48">
        <f t="shared" si="4"/>
      </c>
      <c r="H1307" s="43">
        <f t="shared" si="0"/>
      </c>
      <c r="I1307" s="43">
        <f t="shared" si="5"/>
      </c>
      <c r="J1307" s="43">
        <f t="shared" si="1"/>
      </c>
      <c r="K1307" s="49">
        <f t="shared" si="2"/>
      </c>
      <c r="L1307" s="45" t="n"/>
      <c r="M1307" s="45" t="n"/>
      <c r="N1307" s="45" t="n"/>
      <c r="O1307" s="45" t="n"/>
      <c r="P1307" s="50" t="n"/>
      <c r="R1307" s="2">
        <f t="shared" si="6"/>
        <v>0</v>
      </c>
      <c r="S1307" s="2">
        <f t="shared" si="7"/>
      </c>
      <c r="T1307" s="2">
        <f t="shared" si="8"/>
      </c>
      <c r="U1307" s="2">
        <f t="shared" si="9"/>
      </c>
      <c r="V1307" s="2">
        <f t="shared" si="10"/>
      </c>
      <c r="W1307" s="2">
        <f t="shared" si="11"/>
      </c>
      <c r="X1307" s="2">
        <f t="shared" si="12"/>
      </c>
      <c r="Y1307" s="2">
        <f t="shared" si="13"/>
        <v>0</v>
      </c>
      <c r="Z1307" s="2">
        <f t="shared" si="14"/>
      </c>
      <c r="AA1307" s="2">
        <f t="shared" si="15"/>
        <v>0</v>
      </c>
      <c r="AB1307" s="2">
        <f t="shared" si="16"/>
      </c>
      <c r="AC1307" s="2">
        <f t="shared" si="17"/>
      </c>
      <c r="AD1307" s="2">
        <f t="shared" si="18"/>
      </c>
      <c r="AE1307" s="2">
        <f t="shared" si="19"/>
      </c>
      <c r="AF1307" s="2">
        <f t="shared" si="20"/>
      </c>
      <c r="AG1307" s="2">
        <f t="shared" si="21"/>
      </c>
      <c r="AH1307" s="2">
        <f t="shared" si="22"/>
      </c>
      <c r="AI1307" s="2">
        <f t="shared" si="23"/>
      </c>
      <c r="AJ1307" s="2">
        <f t="shared" si="24"/>
        <v>0</v>
      </c>
      <c r="AK1307" s="2">
        <f t="shared" si="25"/>
        <v>0</v>
      </c>
      <c r="AL1307" s="2">
        <f t="shared" si="26"/>
        <v>0</v>
      </c>
      <c r="AM1307" s="2">
        <f t="shared" si="27"/>
        <v>0</v>
      </c>
      <c r="AN1307" s="2">
        <f t="shared" si="28"/>
        <v>0</v>
      </c>
      <c r="AO1307" s="2">
        <f t="shared" si="29"/>
      </c>
      <c r="AP1307" s="2">
        <f t="shared" si="30"/>
      </c>
      <c r="AQ1307" s="2">
        <f t="shared" si="31"/>
      </c>
    </row>
    <row r="1308">
      <c r="A1308" s="43">
        <f t="shared" si="3"/>
      </c>
      <c r="B1308" s="44" t="n"/>
      <c r="C1308" s="45" t="n"/>
      <c r="D1308" s="46" t="n"/>
      <c r="E1308" s="47" t="n"/>
      <c r="F1308" s="47" t="n"/>
      <c r="G1308" s="48">
        <f t="shared" si="4"/>
      </c>
      <c r="H1308" s="43">
        <f t="shared" si="0"/>
      </c>
      <c r="I1308" s="43">
        <f t="shared" si="5"/>
      </c>
      <c r="J1308" s="43">
        <f t="shared" si="1"/>
      </c>
      <c r="K1308" s="49">
        <f t="shared" si="2"/>
      </c>
      <c r="L1308" s="45" t="n"/>
      <c r="M1308" s="45" t="n"/>
      <c r="N1308" s="45" t="n"/>
      <c r="O1308" s="45" t="n"/>
      <c r="P1308" s="50" t="n"/>
      <c r="R1308" s="2">
        <f t="shared" si="6"/>
        <v>0</v>
      </c>
      <c r="S1308" s="2">
        <f t="shared" si="7"/>
      </c>
      <c r="T1308" s="2">
        <f t="shared" si="8"/>
      </c>
      <c r="U1308" s="2">
        <f t="shared" si="9"/>
      </c>
      <c r="V1308" s="2">
        <f t="shared" si="10"/>
      </c>
      <c r="W1308" s="2">
        <f t="shared" si="11"/>
      </c>
      <c r="X1308" s="2">
        <f t="shared" si="12"/>
      </c>
      <c r="Y1308" s="2">
        <f t="shared" si="13"/>
        <v>0</v>
      </c>
      <c r="Z1308" s="2">
        <f t="shared" si="14"/>
      </c>
      <c r="AA1308" s="2">
        <f t="shared" si="15"/>
        <v>0</v>
      </c>
      <c r="AB1308" s="2">
        <f t="shared" si="16"/>
      </c>
      <c r="AC1308" s="2">
        <f t="shared" si="17"/>
      </c>
      <c r="AD1308" s="2">
        <f t="shared" si="18"/>
      </c>
      <c r="AE1308" s="2">
        <f t="shared" si="19"/>
      </c>
      <c r="AF1308" s="2">
        <f t="shared" si="20"/>
      </c>
      <c r="AG1308" s="2">
        <f t="shared" si="21"/>
      </c>
      <c r="AH1308" s="2">
        <f t="shared" si="22"/>
      </c>
      <c r="AI1308" s="2">
        <f t="shared" si="23"/>
      </c>
      <c r="AJ1308" s="2">
        <f t="shared" si="24"/>
        <v>0</v>
      </c>
      <c r="AK1308" s="2">
        <f t="shared" si="25"/>
        <v>0</v>
      </c>
      <c r="AL1308" s="2">
        <f t="shared" si="26"/>
        <v>0</v>
      </c>
      <c r="AM1308" s="2">
        <f t="shared" si="27"/>
        <v>0</v>
      </c>
      <c r="AN1308" s="2">
        <f t="shared" si="28"/>
        <v>0</v>
      </c>
      <c r="AO1308" s="2">
        <f t="shared" si="29"/>
      </c>
      <c r="AP1308" s="2">
        <f t="shared" si="30"/>
      </c>
      <c r="AQ1308" s="2">
        <f t="shared" si="31"/>
      </c>
    </row>
    <row r="1309">
      <c r="A1309" s="43">
        <f t="shared" si="3"/>
      </c>
      <c r="B1309" s="44" t="n"/>
      <c r="C1309" s="45" t="n"/>
      <c r="D1309" s="46" t="n"/>
      <c r="E1309" s="47" t="n"/>
      <c r="F1309" s="47" t="n"/>
      <c r="G1309" s="48">
        <f t="shared" si="4"/>
      </c>
      <c r="H1309" s="43">
        <f t="shared" si="0"/>
      </c>
      <c r="I1309" s="43">
        <f t="shared" si="5"/>
      </c>
      <c r="J1309" s="43">
        <f t="shared" si="1"/>
      </c>
      <c r="K1309" s="49">
        <f t="shared" si="2"/>
      </c>
      <c r="L1309" s="45" t="n"/>
      <c r="M1309" s="45" t="n"/>
      <c r="N1309" s="45" t="n"/>
      <c r="O1309" s="45" t="n"/>
      <c r="P1309" s="50" t="n"/>
      <c r="R1309" s="2">
        <f t="shared" si="6"/>
        <v>0</v>
      </c>
      <c r="S1309" s="2">
        <f t="shared" si="7"/>
      </c>
      <c r="T1309" s="2">
        <f t="shared" si="8"/>
      </c>
      <c r="U1309" s="2">
        <f t="shared" si="9"/>
      </c>
      <c r="V1309" s="2">
        <f t="shared" si="10"/>
      </c>
      <c r="W1309" s="2">
        <f t="shared" si="11"/>
      </c>
      <c r="X1309" s="2">
        <f t="shared" si="12"/>
      </c>
      <c r="Y1309" s="2">
        <f t="shared" si="13"/>
        <v>0</v>
      </c>
      <c r="Z1309" s="2">
        <f t="shared" si="14"/>
      </c>
      <c r="AA1309" s="2">
        <f t="shared" si="15"/>
        <v>0</v>
      </c>
      <c r="AB1309" s="2">
        <f t="shared" si="16"/>
      </c>
      <c r="AC1309" s="2">
        <f t="shared" si="17"/>
      </c>
      <c r="AD1309" s="2">
        <f t="shared" si="18"/>
      </c>
      <c r="AE1309" s="2">
        <f t="shared" si="19"/>
      </c>
      <c r="AF1309" s="2">
        <f t="shared" si="20"/>
      </c>
      <c r="AG1309" s="2">
        <f t="shared" si="21"/>
      </c>
      <c r="AH1309" s="2">
        <f t="shared" si="22"/>
      </c>
      <c r="AI1309" s="2">
        <f t="shared" si="23"/>
      </c>
      <c r="AJ1309" s="2">
        <f t="shared" si="24"/>
        <v>0</v>
      </c>
      <c r="AK1309" s="2">
        <f t="shared" si="25"/>
        <v>0</v>
      </c>
      <c r="AL1309" s="2">
        <f t="shared" si="26"/>
        <v>0</v>
      </c>
      <c r="AM1309" s="2">
        <f t="shared" si="27"/>
        <v>0</v>
      </c>
      <c r="AN1309" s="2">
        <f t="shared" si="28"/>
        <v>0</v>
      </c>
      <c r="AO1309" s="2">
        <f t="shared" si="29"/>
      </c>
      <c r="AP1309" s="2">
        <f t="shared" si="30"/>
      </c>
      <c r="AQ1309" s="2">
        <f t="shared" si="31"/>
      </c>
    </row>
    <row r="1310">
      <c r="A1310" s="43">
        <f t="shared" si="3"/>
      </c>
      <c r="B1310" s="44" t="n"/>
      <c r="C1310" s="45" t="n"/>
      <c r="D1310" s="46" t="n"/>
      <c r="E1310" s="47" t="n"/>
      <c r="F1310" s="47" t="n"/>
      <c r="G1310" s="48">
        <f t="shared" si="4"/>
      </c>
      <c r="H1310" s="43">
        <f t="shared" si="0"/>
      </c>
      <c r="I1310" s="43">
        <f t="shared" si="5"/>
      </c>
      <c r="J1310" s="43">
        <f t="shared" si="1"/>
      </c>
      <c r="K1310" s="49">
        <f t="shared" si="2"/>
      </c>
      <c r="L1310" s="45" t="n"/>
      <c r="M1310" s="45" t="n"/>
      <c r="N1310" s="45" t="n"/>
      <c r="O1310" s="45" t="n"/>
      <c r="P1310" s="50" t="n"/>
      <c r="R1310" s="2">
        <f t="shared" si="6"/>
        <v>0</v>
      </c>
      <c r="S1310" s="2">
        <f t="shared" si="7"/>
      </c>
      <c r="T1310" s="2">
        <f t="shared" si="8"/>
      </c>
      <c r="U1310" s="2">
        <f t="shared" si="9"/>
      </c>
      <c r="V1310" s="2">
        <f t="shared" si="10"/>
      </c>
      <c r="W1310" s="2">
        <f t="shared" si="11"/>
      </c>
      <c r="X1310" s="2">
        <f t="shared" si="12"/>
      </c>
      <c r="Y1310" s="2">
        <f t="shared" si="13"/>
        <v>0</v>
      </c>
      <c r="Z1310" s="2">
        <f t="shared" si="14"/>
      </c>
      <c r="AA1310" s="2">
        <f t="shared" si="15"/>
        <v>0</v>
      </c>
      <c r="AB1310" s="2">
        <f t="shared" si="16"/>
      </c>
      <c r="AC1310" s="2">
        <f t="shared" si="17"/>
      </c>
      <c r="AD1310" s="2">
        <f t="shared" si="18"/>
      </c>
      <c r="AE1310" s="2">
        <f t="shared" si="19"/>
      </c>
      <c r="AF1310" s="2">
        <f t="shared" si="20"/>
      </c>
      <c r="AG1310" s="2">
        <f t="shared" si="21"/>
      </c>
      <c r="AH1310" s="2">
        <f t="shared" si="22"/>
      </c>
      <c r="AI1310" s="2">
        <f t="shared" si="23"/>
      </c>
      <c r="AJ1310" s="2">
        <f t="shared" si="24"/>
        <v>0</v>
      </c>
      <c r="AK1310" s="2">
        <f t="shared" si="25"/>
        <v>0</v>
      </c>
      <c r="AL1310" s="2">
        <f t="shared" si="26"/>
        <v>0</v>
      </c>
      <c r="AM1310" s="2">
        <f t="shared" si="27"/>
        <v>0</v>
      </c>
      <c r="AN1310" s="2">
        <f t="shared" si="28"/>
        <v>0</v>
      </c>
      <c r="AO1310" s="2">
        <f t="shared" si="29"/>
      </c>
      <c r="AP1310" s="2">
        <f t="shared" si="30"/>
      </c>
      <c r="AQ1310" s="2">
        <f t="shared" si="31"/>
      </c>
    </row>
    <row r="1311">
      <c r="A1311" s="43">
        <f t="shared" si="3"/>
      </c>
      <c r="B1311" s="44" t="n"/>
      <c r="C1311" s="45" t="n"/>
      <c r="D1311" s="46" t="n"/>
      <c r="E1311" s="47" t="n"/>
      <c r="F1311" s="47" t="n"/>
      <c r="G1311" s="48">
        <f t="shared" si="4"/>
      </c>
      <c r="H1311" s="43">
        <f t="shared" si="0"/>
      </c>
      <c r="I1311" s="43">
        <f t="shared" si="5"/>
      </c>
      <c r="J1311" s="43">
        <f t="shared" si="1"/>
      </c>
      <c r="K1311" s="49">
        <f t="shared" si="2"/>
      </c>
      <c r="L1311" s="45" t="n"/>
      <c r="M1311" s="45" t="n"/>
      <c r="N1311" s="45" t="n"/>
      <c r="O1311" s="45" t="n"/>
      <c r="P1311" s="50" t="n"/>
      <c r="R1311" s="2">
        <f t="shared" si="6"/>
        <v>0</v>
      </c>
      <c r="S1311" s="2">
        <f t="shared" si="7"/>
      </c>
      <c r="T1311" s="2">
        <f t="shared" si="8"/>
      </c>
      <c r="U1311" s="2">
        <f t="shared" si="9"/>
      </c>
      <c r="V1311" s="2">
        <f t="shared" si="10"/>
      </c>
      <c r="W1311" s="2">
        <f t="shared" si="11"/>
      </c>
      <c r="X1311" s="2">
        <f t="shared" si="12"/>
      </c>
      <c r="Y1311" s="2">
        <f t="shared" si="13"/>
        <v>0</v>
      </c>
      <c r="Z1311" s="2">
        <f t="shared" si="14"/>
      </c>
      <c r="AA1311" s="2">
        <f t="shared" si="15"/>
        <v>0</v>
      </c>
      <c r="AB1311" s="2">
        <f t="shared" si="16"/>
      </c>
      <c r="AC1311" s="2">
        <f t="shared" si="17"/>
      </c>
      <c r="AD1311" s="2">
        <f t="shared" si="18"/>
      </c>
      <c r="AE1311" s="2">
        <f t="shared" si="19"/>
      </c>
      <c r="AF1311" s="2">
        <f t="shared" si="20"/>
      </c>
      <c r="AG1311" s="2">
        <f t="shared" si="21"/>
      </c>
      <c r="AH1311" s="2">
        <f t="shared" si="22"/>
      </c>
      <c r="AI1311" s="2">
        <f t="shared" si="23"/>
      </c>
      <c r="AJ1311" s="2">
        <f t="shared" si="24"/>
        <v>0</v>
      </c>
      <c r="AK1311" s="2">
        <f t="shared" si="25"/>
        <v>0</v>
      </c>
      <c r="AL1311" s="2">
        <f t="shared" si="26"/>
        <v>0</v>
      </c>
      <c r="AM1311" s="2">
        <f t="shared" si="27"/>
        <v>0</v>
      </c>
      <c r="AN1311" s="2">
        <f t="shared" si="28"/>
        <v>0</v>
      </c>
      <c r="AO1311" s="2">
        <f t="shared" si="29"/>
      </c>
      <c r="AP1311" s="2">
        <f t="shared" si="30"/>
      </c>
      <c r="AQ1311" s="2">
        <f t="shared" si="31"/>
      </c>
    </row>
    <row r="1312">
      <c r="A1312" s="43">
        <f t="shared" si="3"/>
      </c>
      <c r="B1312" s="44" t="n"/>
      <c r="C1312" s="45" t="n"/>
      <c r="D1312" s="46" t="n"/>
      <c r="E1312" s="47" t="n"/>
      <c r="F1312" s="47" t="n"/>
      <c r="G1312" s="48">
        <f t="shared" si="4"/>
      </c>
      <c r="H1312" s="43">
        <f t="shared" si="0"/>
      </c>
      <c r="I1312" s="43">
        <f t="shared" si="5"/>
      </c>
      <c r="J1312" s="43">
        <f t="shared" si="1"/>
      </c>
      <c r="K1312" s="49">
        <f t="shared" si="2"/>
      </c>
      <c r="L1312" s="45" t="n"/>
      <c r="M1312" s="45" t="n"/>
      <c r="N1312" s="45" t="n"/>
      <c r="O1312" s="45" t="n"/>
      <c r="P1312" s="50" t="n"/>
      <c r="R1312" s="2">
        <f t="shared" si="6"/>
        <v>0</v>
      </c>
      <c r="S1312" s="2">
        <f t="shared" si="7"/>
      </c>
      <c r="T1312" s="2">
        <f t="shared" si="8"/>
      </c>
      <c r="U1312" s="2">
        <f t="shared" si="9"/>
      </c>
      <c r="V1312" s="2">
        <f t="shared" si="10"/>
      </c>
      <c r="W1312" s="2">
        <f t="shared" si="11"/>
      </c>
      <c r="X1312" s="2">
        <f t="shared" si="12"/>
      </c>
      <c r="Y1312" s="2">
        <f t="shared" si="13"/>
        <v>0</v>
      </c>
      <c r="Z1312" s="2">
        <f t="shared" si="14"/>
      </c>
      <c r="AA1312" s="2">
        <f t="shared" si="15"/>
        <v>0</v>
      </c>
      <c r="AB1312" s="2">
        <f t="shared" si="16"/>
      </c>
      <c r="AC1312" s="2">
        <f t="shared" si="17"/>
      </c>
      <c r="AD1312" s="2">
        <f t="shared" si="18"/>
      </c>
      <c r="AE1312" s="2">
        <f t="shared" si="19"/>
      </c>
      <c r="AF1312" s="2">
        <f t="shared" si="20"/>
      </c>
      <c r="AG1312" s="2">
        <f t="shared" si="21"/>
      </c>
      <c r="AH1312" s="2">
        <f t="shared" si="22"/>
      </c>
      <c r="AI1312" s="2">
        <f t="shared" si="23"/>
      </c>
      <c r="AJ1312" s="2">
        <f t="shared" si="24"/>
        <v>0</v>
      </c>
      <c r="AK1312" s="2">
        <f t="shared" si="25"/>
        <v>0</v>
      </c>
      <c r="AL1312" s="2">
        <f t="shared" si="26"/>
        <v>0</v>
      </c>
      <c r="AM1312" s="2">
        <f t="shared" si="27"/>
        <v>0</v>
      </c>
      <c r="AN1312" s="2">
        <f t="shared" si="28"/>
        <v>0</v>
      </c>
      <c r="AO1312" s="2">
        <f t="shared" si="29"/>
      </c>
      <c r="AP1312" s="2">
        <f t="shared" si="30"/>
      </c>
      <c r="AQ1312" s="2">
        <f t="shared" si="31"/>
      </c>
    </row>
    <row r="1313">
      <c r="A1313" s="43">
        <f t="shared" si="3"/>
      </c>
      <c r="B1313" s="44" t="n"/>
      <c r="C1313" s="45" t="n"/>
      <c r="D1313" s="46" t="n"/>
      <c r="E1313" s="47" t="n"/>
      <c r="F1313" s="47" t="n"/>
      <c r="G1313" s="48">
        <f t="shared" si="4"/>
      </c>
      <c r="H1313" s="43">
        <f t="shared" si="0"/>
      </c>
      <c r="I1313" s="43">
        <f t="shared" si="5"/>
      </c>
      <c r="J1313" s="43">
        <f t="shared" si="1"/>
      </c>
      <c r="K1313" s="49">
        <f t="shared" si="2"/>
      </c>
      <c r="L1313" s="45" t="n"/>
      <c r="M1313" s="45" t="n"/>
      <c r="N1313" s="45" t="n"/>
      <c r="O1313" s="45" t="n"/>
      <c r="P1313" s="50" t="n"/>
      <c r="R1313" s="2">
        <f t="shared" si="6"/>
        <v>0</v>
      </c>
      <c r="S1313" s="2">
        <f t="shared" si="7"/>
      </c>
      <c r="T1313" s="2">
        <f t="shared" si="8"/>
      </c>
      <c r="U1313" s="2">
        <f t="shared" si="9"/>
      </c>
      <c r="V1313" s="2">
        <f t="shared" si="10"/>
      </c>
      <c r="W1313" s="2">
        <f t="shared" si="11"/>
      </c>
      <c r="X1313" s="2">
        <f t="shared" si="12"/>
      </c>
      <c r="Y1313" s="2">
        <f t="shared" si="13"/>
        <v>0</v>
      </c>
      <c r="Z1313" s="2">
        <f t="shared" si="14"/>
      </c>
      <c r="AA1313" s="2">
        <f t="shared" si="15"/>
        <v>0</v>
      </c>
      <c r="AB1313" s="2">
        <f t="shared" si="16"/>
      </c>
      <c r="AC1313" s="2">
        <f t="shared" si="17"/>
      </c>
      <c r="AD1313" s="2">
        <f t="shared" si="18"/>
      </c>
      <c r="AE1313" s="2">
        <f t="shared" si="19"/>
      </c>
      <c r="AF1313" s="2">
        <f t="shared" si="20"/>
      </c>
      <c r="AG1313" s="2">
        <f t="shared" si="21"/>
      </c>
      <c r="AH1313" s="2">
        <f t="shared" si="22"/>
      </c>
      <c r="AI1313" s="2">
        <f t="shared" si="23"/>
      </c>
      <c r="AJ1313" s="2">
        <f t="shared" si="24"/>
        <v>0</v>
      </c>
      <c r="AK1313" s="2">
        <f t="shared" si="25"/>
        <v>0</v>
      </c>
      <c r="AL1313" s="2">
        <f t="shared" si="26"/>
        <v>0</v>
      </c>
      <c r="AM1313" s="2">
        <f t="shared" si="27"/>
        <v>0</v>
      </c>
      <c r="AN1313" s="2">
        <f t="shared" si="28"/>
        <v>0</v>
      </c>
      <c r="AO1313" s="2">
        <f t="shared" si="29"/>
      </c>
      <c r="AP1313" s="2">
        <f t="shared" si="30"/>
      </c>
      <c r="AQ1313" s="2">
        <f t="shared" si="31"/>
      </c>
    </row>
    <row r="1314">
      <c r="A1314" s="43">
        <f t="shared" si="3"/>
      </c>
      <c r="B1314" s="44" t="n"/>
      <c r="C1314" s="45" t="n"/>
      <c r="D1314" s="46" t="n"/>
      <c r="E1314" s="47" t="n"/>
      <c r="F1314" s="47" t="n"/>
      <c r="G1314" s="48">
        <f t="shared" si="4"/>
      </c>
      <c r="H1314" s="43">
        <f t="shared" si="0"/>
      </c>
      <c r="I1314" s="43">
        <f t="shared" si="5"/>
      </c>
      <c r="J1314" s="43">
        <f t="shared" si="1"/>
      </c>
      <c r="K1314" s="49">
        <f t="shared" si="2"/>
      </c>
      <c r="L1314" s="45" t="n"/>
      <c r="M1314" s="45" t="n"/>
      <c r="N1314" s="45" t="n"/>
      <c r="O1314" s="45" t="n"/>
      <c r="P1314" s="50" t="n"/>
      <c r="R1314" s="2">
        <f t="shared" si="6"/>
        <v>0</v>
      </c>
      <c r="S1314" s="2">
        <f t="shared" si="7"/>
      </c>
      <c r="T1314" s="2">
        <f t="shared" si="8"/>
      </c>
      <c r="U1314" s="2">
        <f t="shared" si="9"/>
      </c>
      <c r="V1314" s="2">
        <f t="shared" si="10"/>
      </c>
      <c r="W1314" s="2">
        <f t="shared" si="11"/>
      </c>
      <c r="X1314" s="2">
        <f t="shared" si="12"/>
      </c>
      <c r="Y1314" s="2">
        <f t="shared" si="13"/>
        <v>0</v>
      </c>
      <c r="Z1314" s="2">
        <f t="shared" si="14"/>
      </c>
      <c r="AA1314" s="2">
        <f t="shared" si="15"/>
        <v>0</v>
      </c>
      <c r="AB1314" s="2">
        <f t="shared" si="16"/>
      </c>
      <c r="AC1314" s="2">
        <f t="shared" si="17"/>
      </c>
      <c r="AD1314" s="2">
        <f t="shared" si="18"/>
      </c>
      <c r="AE1314" s="2">
        <f t="shared" si="19"/>
      </c>
      <c r="AF1314" s="2">
        <f t="shared" si="20"/>
      </c>
      <c r="AG1314" s="2">
        <f t="shared" si="21"/>
      </c>
      <c r="AH1314" s="2">
        <f t="shared" si="22"/>
      </c>
      <c r="AI1314" s="2">
        <f t="shared" si="23"/>
      </c>
      <c r="AJ1314" s="2">
        <f t="shared" si="24"/>
        <v>0</v>
      </c>
      <c r="AK1314" s="2">
        <f t="shared" si="25"/>
        <v>0</v>
      </c>
      <c r="AL1314" s="2">
        <f t="shared" si="26"/>
        <v>0</v>
      </c>
      <c r="AM1314" s="2">
        <f t="shared" si="27"/>
        <v>0</v>
      </c>
      <c r="AN1314" s="2">
        <f t="shared" si="28"/>
        <v>0</v>
      </c>
      <c r="AO1314" s="2">
        <f t="shared" si="29"/>
      </c>
      <c r="AP1314" s="2">
        <f t="shared" si="30"/>
      </c>
      <c r="AQ1314" s="2">
        <f t="shared" si="31"/>
      </c>
    </row>
    <row r="1315">
      <c r="A1315" s="43">
        <f t="shared" si="3"/>
      </c>
      <c r="B1315" s="44" t="n"/>
      <c r="C1315" s="45" t="n"/>
      <c r="D1315" s="46" t="n"/>
      <c r="E1315" s="47" t="n"/>
      <c r="F1315" s="47" t="n"/>
      <c r="G1315" s="48">
        <f t="shared" si="4"/>
      </c>
      <c r="H1315" s="43">
        <f t="shared" si="0"/>
      </c>
      <c r="I1315" s="43">
        <f t="shared" si="5"/>
      </c>
      <c r="J1315" s="43">
        <f t="shared" si="1"/>
      </c>
      <c r="K1315" s="49">
        <f t="shared" si="2"/>
      </c>
      <c r="L1315" s="45" t="n"/>
      <c r="M1315" s="45" t="n"/>
      <c r="N1315" s="45" t="n"/>
      <c r="O1315" s="45" t="n"/>
      <c r="P1315" s="50" t="n"/>
      <c r="R1315" s="2">
        <f t="shared" si="6"/>
        <v>0</v>
      </c>
      <c r="S1315" s="2">
        <f t="shared" si="7"/>
      </c>
      <c r="T1315" s="2">
        <f t="shared" si="8"/>
      </c>
      <c r="U1315" s="2">
        <f t="shared" si="9"/>
      </c>
      <c r="V1315" s="2">
        <f t="shared" si="10"/>
      </c>
      <c r="W1315" s="2">
        <f t="shared" si="11"/>
      </c>
      <c r="X1315" s="2">
        <f t="shared" si="12"/>
      </c>
      <c r="Y1315" s="2">
        <f t="shared" si="13"/>
        <v>0</v>
      </c>
      <c r="Z1315" s="2">
        <f t="shared" si="14"/>
      </c>
      <c r="AA1315" s="2">
        <f t="shared" si="15"/>
        <v>0</v>
      </c>
      <c r="AB1315" s="2">
        <f t="shared" si="16"/>
      </c>
      <c r="AC1315" s="2">
        <f t="shared" si="17"/>
      </c>
      <c r="AD1315" s="2">
        <f t="shared" si="18"/>
      </c>
      <c r="AE1315" s="2">
        <f t="shared" si="19"/>
      </c>
      <c r="AF1315" s="2">
        <f t="shared" si="20"/>
      </c>
      <c r="AG1315" s="2">
        <f t="shared" si="21"/>
      </c>
      <c r="AH1315" s="2">
        <f t="shared" si="22"/>
      </c>
      <c r="AI1315" s="2">
        <f t="shared" si="23"/>
      </c>
      <c r="AJ1315" s="2">
        <f t="shared" si="24"/>
        <v>0</v>
      </c>
      <c r="AK1315" s="2">
        <f t="shared" si="25"/>
        <v>0</v>
      </c>
      <c r="AL1315" s="2">
        <f t="shared" si="26"/>
        <v>0</v>
      </c>
      <c r="AM1315" s="2">
        <f t="shared" si="27"/>
        <v>0</v>
      </c>
      <c r="AN1315" s="2">
        <f t="shared" si="28"/>
        <v>0</v>
      </c>
      <c r="AO1315" s="2">
        <f t="shared" si="29"/>
      </c>
      <c r="AP1315" s="2">
        <f t="shared" si="30"/>
      </c>
      <c r="AQ1315" s="2">
        <f t="shared" si="31"/>
      </c>
    </row>
    <row r="1316">
      <c r="A1316" s="43">
        <f t="shared" si="3"/>
      </c>
      <c r="B1316" s="44" t="n"/>
      <c r="C1316" s="45" t="n"/>
      <c r="D1316" s="46" t="n"/>
      <c r="E1316" s="47" t="n"/>
      <c r="F1316" s="47" t="n"/>
      <c r="G1316" s="48">
        <f t="shared" si="4"/>
      </c>
      <c r="H1316" s="43">
        <f t="shared" si="0"/>
      </c>
      <c r="I1316" s="43">
        <f t="shared" si="5"/>
      </c>
      <c r="J1316" s="43">
        <f t="shared" si="1"/>
      </c>
      <c r="K1316" s="49">
        <f t="shared" si="2"/>
      </c>
      <c r="L1316" s="45" t="n"/>
      <c r="M1316" s="45" t="n"/>
      <c r="N1316" s="45" t="n"/>
      <c r="O1316" s="45" t="n"/>
      <c r="P1316" s="50" t="n"/>
      <c r="R1316" s="2">
        <f t="shared" si="6"/>
        <v>0</v>
      </c>
      <c r="S1316" s="2">
        <f t="shared" si="7"/>
      </c>
      <c r="T1316" s="2">
        <f t="shared" si="8"/>
      </c>
      <c r="U1316" s="2">
        <f t="shared" si="9"/>
      </c>
      <c r="V1316" s="2">
        <f t="shared" si="10"/>
      </c>
      <c r="W1316" s="2">
        <f t="shared" si="11"/>
      </c>
      <c r="X1316" s="2">
        <f t="shared" si="12"/>
      </c>
      <c r="Y1316" s="2">
        <f t="shared" si="13"/>
        <v>0</v>
      </c>
      <c r="Z1316" s="2">
        <f t="shared" si="14"/>
      </c>
      <c r="AA1316" s="2">
        <f t="shared" si="15"/>
        <v>0</v>
      </c>
      <c r="AB1316" s="2">
        <f t="shared" si="16"/>
      </c>
      <c r="AC1316" s="2">
        <f t="shared" si="17"/>
      </c>
      <c r="AD1316" s="2">
        <f t="shared" si="18"/>
      </c>
      <c r="AE1316" s="2">
        <f t="shared" si="19"/>
      </c>
      <c r="AF1316" s="2">
        <f t="shared" si="20"/>
      </c>
      <c r="AG1316" s="2">
        <f t="shared" si="21"/>
      </c>
      <c r="AH1316" s="2">
        <f t="shared" si="22"/>
      </c>
      <c r="AI1316" s="2">
        <f t="shared" si="23"/>
      </c>
      <c r="AJ1316" s="2">
        <f t="shared" si="24"/>
        <v>0</v>
      </c>
      <c r="AK1316" s="2">
        <f t="shared" si="25"/>
        <v>0</v>
      </c>
      <c r="AL1316" s="2">
        <f t="shared" si="26"/>
        <v>0</v>
      </c>
      <c r="AM1316" s="2">
        <f t="shared" si="27"/>
        <v>0</v>
      </c>
      <c r="AN1316" s="2">
        <f t="shared" si="28"/>
        <v>0</v>
      </c>
      <c r="AO1316" s="2">
        <f t="shared" si="29"/>
      </c>
      <c r="AP1316" s="2">
        <f t="shared" si="30"/>
      </c>
      <c r="AQ1316" s="2">
        <f t="shared" si="31"/>
      </c>
    </row>
    <row r="1317">
      <c r="A1317" s="43">
        <f t="shared" si="3"/>
      </c>
      <c r="B1317" s="44" t="n"/>
      <c r="C1317" s="45" t="n"/>
      <c r="D1317" s="46" t="n"/>
      <c r="E1317" s="47" t="n"/>
      <c r="F1317" s="47" t="n"/>
      <c r="G1317" s="48">
        <f t="shared" si="4"/>
      </c>
      <c r="H1317" s="43">
        <f t="shared" si="0"/>
      </c>
      <c r="I1317" s="43">
        <f t="shared" si="5"/>
      </c>
      <c r="J1317" s="43">
        <f t="shared" si="1"/>
      </c>
      <c r="K1317" s="49">
        <f t="shared" si="2"/>
      </c>
      <c r="L1317" s="45" t="n"/>
      <c r="M1317" s="45" t="n"/>
      <c r="N1317" s="45" t="n"/>
      <c r="O1317" s="45" t="n"/>
      <c r="P1317" s="50" t="n"/>
      <c r="R1317" s="2">
        <f t="shared" si="6"/>
        <v>0</v>
      </c>
      <c r="S1317" s="2">
        <f t="shared" si="7"/>
      </c>
      <c r="T1317" s="2">
        <f t="shared" si="8"/>
      </c>
      <c r="U1317" s="2">
        <f t="shared" si="9"/>
      </c>
      <c r="V1317" s="2">
        <f t="shared" si="10"/>
      </c>
      <c r="W1317" s="2">
        <f t="shared" si="11"/>
      </c>
      <c r="X1317" s="2">
        <f t="shared" si="12"/>
      </c>
      <c r="Y1317" s="2">
        <f t="shared" si="13"/>
        <v>0</v>
      </c>
      <c r="Z1317" s="2">
        <f t="shared" si="14"/>
      </c>
      <c r="AA1317" s="2">
        <f t="shared" si="15"/>
        <v>0</v>
      </c>
      <c r="AB1317" s="2">
        <f t="shared" si="16"/>
      </c>
      <c r="AC1317" s="2">
        <f t="shared" si="17"/>
      </c>
      <c r="AD1317" s="2">
        <f t="shared" si="18"/>
      </c>
      <c r="AE1317" s="2">
        <f t="shared" si="19"/>
      </c>
      <c r="AF1317" s="2">
        <f t="shared" si="20"/>
      </c>
      <c r="AG1317" s="2">
        <f t="shared" si="21"/>
      </c>
      <c r="AH1317" s="2">
        <f t="shared" si="22"/>
      </c>
      <c r="AI1317" s="2">
        <f t="shared" si="23"/>
      </c>
      <c r="AJ1317" s="2">
        <f t="shared" si="24"/>
        <v>0</v>
      </c>
      <c r="AK1317" s="2">
        <f t="shared" si="25"/>
        <v>0</v>
      </c>
      <c r="AL1317" s="2">
        <f t="shared" si="26"/>
        <v>0</v>
      </c>
      <c r="AM1317" s="2">
        <f t="shared" si="27"/>
        <v>0</v>
      </c>
      <c r="AN1317" s="2">
        <f t="shared" si="28"/>
        <v>0</v>
      </c>
      <c r="AO1317" s="2">
        <f t="shared" si="29"/>
      </c>
      <c r="AP1317" s="2">
        <f t="shared" si="30"/>
      </c>
      <c r="AQ1317" s="2">
        <f t="shared" si="31"/>
      </c>
    </row>
    <row r="1318">
      <c r="A1318" s="43">
        <f t="shared" si="3"/>
      </c>
      <c r="B1318" s="44" t="n"/>
      <c r="C1318" s="45" t="n"/>
      <c r="D1318" s="46" t="n"/>
      <c r="E1318" s="47" t="n"/>
      <c r="F1318" s="47" t="n"/>
      <c r="G1318" s="48">
        <f t="shared" si="4"/>
      </c>
      <c r="H1318" s="43">
        <f t="shared" si="0"/>
      </c>
      <c r="I1318" s="43">
        <f t="shared" si="5"/>
      </c>
      <c r="J1318" s="43">
        <f t="shared" si="1"/>
      </c>
      <c r="K1318" s="49">
        <f t="shared" si="2"/>
      </c>
      <c r="L1318" s="45" t="n"/>
      <c r="M1318" s="45" t="n"/>
      <c r="N1318" s="45" t="n"/>
      <c r="O1318" s="45" t="n"/>
      <c r="P1318" s="50" t="n"/>
      <c r="R1318" s="2">
        <f t="shared" si="6"/>
        <v>0</v>
      </c>
      <c r="S1318" s="2">
        <f t="shared" si="7"/>
      </c>
      <c r="T1318" s="2">
        <f t="shared" si="8"/>
      </c>
      <c r="U1318" s="2">
        <f t="shared" si="9"/>
      </c>
      <c r="V1318" s="2">
        <f t="shared" si="10"/>
      </c>
      <c r="W1318" s="2">
        <f t="shared" si="11"/>
      </c>
      <c r="X1318" s="2">
        <f t="shared" si="12"/>
      </c>
      <c r="Y1318" s="2">
        <f t="shared" si="13"/>
        <v>0</v>
      </c>
      <c r="Z1318" s="2">
        <f t="shared" si="14"/>
      </c>
      <c r="AA1318" s="2">
        <f t="shared" si="15"/>
        <v>0</v>
      </c>
      <c r="AB1318" s="2">
        <f t="shared" si="16"/>
      </c>
      <c r="AC1318" s="2">
        <f t="shared" si="17"/>
      </c>
      <c r="AD1318" s="2">
        <f t="shared" si="18"/>
      </c>
      <c r="AE1318" s="2">
        <f t="shared" si="19"/>
      </c>
      <c r="AF1318" s="2">
        <f t="shared" si="20"/>
      </c>
      <c r="AG1318" s="2">
        <f t="shared" si="21"/>
      </c>
      <c r="AH1318" s="2">
        <f t="shared" si="22"/>
      </c>
      <c r="AI1318" s="2">
        <f t="shared" si="23"/>
      </c>
      <c r="AJ1318" s="2">
        <f t="shared" si="24"/>
        <v>0</v>
      </c>
      <c r="AK1318" s="2">
        <f t="shared" si="25"/>
        <v>0</v>
      </c>
      <c r="AL1318" s="2">
        <f t="shared" si="26"/>
        <v>0</v>
      </c>
      <c r="AM1318" s="2">
        <f t="shared" si="27"/>
        <v>0</v>
      </c>
      <c r="AN1318" s="2">
        <f t="shared" si="28"/>
        <v>0</v>
      </c>
      <c r="AO1318" s="2">
        <f t="shared" si="29"/>
      </c>
      <c r="AP1318" s="2">
        <f t="shared" si="30"/>
      </c>
      <c r="AQ1318" s="2">
        <f t="shared" si="31"/>
      </c>
    </row>
    <row r="1319">
      <c r="A1319" s="43">
        <f t="shared" si="3"/>
      </c>
      <c r="B1319" s="44" t="n"/>
      <c r="C1319" s="45" t="n"/>
      <c r="D1319" s="46" t="n"/>
      <c r="E1319" s="47" t="n"/>
      <c r="F1319" s="47" t="n"/>
      <c r="G1319" s="48">
        <f t="shared" si="4"/>
      </c>
      <c r="H1319" s="43">
        <f t="shared" si="0"/>
      </c>
      <c r="I1319" s="43">
        <f t="shared" si="5"/>
      </c>
      <c r="J1319" s="43">
        <f t="shared" si="1"/>
      </c>
      <c r="K1319" s="49">
        <f t="shared" si="2"/>
      </c>
      <c r="L1319" s="45" t="n"/>
      <c r="M1319" s="45" t="n"/>
      <c r="N1319" s="45" t="n"/>
      <c r="O1319" s="45" t="n"/>
      <c r="P1319" s="50" t="n"/>
      <c r="R1319" s="2">
        <f t="shared" si="6"/>
        <v>0</v>
      </c>
      <c r="S1319" s="2">
        <f t="shared" si="7"/>
      </c>
      <c r="T1319" s="2">
        <f t="shared" si="8"/>
      </c>
      <c r="U1319" s="2">
        <f t="shared" si="9"/>
      </c>
      <c r="V1319" s="2">
        <f t="shared" si="10"/>
      </c>
      <c r="W1319" s="2">
        <f t="shared" si="11"/>
      </c>
      <c r="X1319" s="2">
        <f t="shared" si="12"/>
      </c>
      <c r="Y1319" s="2">
        <f t="shared" si="13"/>
        <v>0</v>
      </c>
      <c r="Z1319" s="2">
        <f t="shared" si="14"/>
      </c>
      <c r="AA1319" s="2">
        <f t="shared" si="15"/>
        <v>0</v>
      </c>
      <c r="AB1319" s="2">
        <f t="shared" si="16"/>
      </c>
      <c r="AC1319" s="2">
        <f t="shared" si="17"/>
      </c>
      <c r="AD1319" s="2">
        <f t="shared" si="18"/>
      </c>
      <c r="AE1319" s="2">
        <f t="shared" si="19"/>
      </c>
      <c r="AF1319" s="2">
        <f t="shared" si="20"/>
      </c>
      <c r="AG1319" s="2">
        <f t="shared" si="21"/>
      </c>
      <c r="AH1319" s="2">
        <f t="shared" si="22"/>
      </c>
      <c r="AI1319" s="2">
        <f t="shared" si="23"/>
      </c>
      <c r="AJ1319" s="2">
        <f t="shared" si="24"/>
        <v>0</v>
      </c>
      <c r="AK1319" s="2">
        <f t="shared" si="25"/>
        <v>0</v>
      </c>
      <c r="AL1319" s="2">
        <f t="shared" si="26"/>
        <v>0</v>
      </c>
      <c r="AM1319" s="2">
        <f t="shared" si="27"/>
        <v>0</v>
      </c>
      <c r="AN1319" s="2">
        <f t="shared" si="28"/>
        <v>0</v>
      </c>
      <c r="AO1319" s="2">
        <f t="shared" si="29"/>
      </c>
      <c r="AP1319" s="2">
        <f t="shared" si="30"/>
      </c>
      <c r="AQ1319" s="2">
        <f t="shared" si="31"/>
      </c>
    </row>
    <row r="1320">
      <c r="A1320" s="43">
        <f t="shared" si="3"/>
      </c>
      <c r="B1320" s="44" t="n"/>
      <c r="C1320" s="45" t="n"/>
      <c r="D1320" s="46" t="n"/>
      <c r="E1320" s="47" t="n"/>
      <c r="F1320" s="47" t="n"/>
      <c r="G1320" s="48">
        <f t="shared" si="4"/>
      </c>
      <c r="H1320" s="43">
        <f t="shared" si="0"/>
      </c>
      <c r="I1320" s="43">
        <f t="shared" si="5"/>
      </c>
      <c r="J1320" s="43">
        <f t="shared" si="1"/>
      </c>
      <c r="K1320" s="49">
        <f t="shared" si="2"/>
      </c>
      <c r="L1320" s="45" t="n"/>
      <c r="M1320" s="45" t="n"/>
      <c r="N1320" s="45" t="n"/>
      <c r="O1320" s="45" t="n"/>
      <c r="P1320" s="50" t="n"/>
      <c r="R1320" s="2">
        <f t="shared" si="6"/>
        <v>0</v>
      </c>
      <c r="S1320" s="2">
        <f t="shared" si="7"/>
      </c>
      <c r="T1320" s="2">
        <f t="shared" si="8"/>
      </c>
      <c r="U1320" s="2">
        <f t="shared" si="9"/>
      </c>
      <c r="V1320" s="2">
        <f t="shared" si="10"/>
      </c>
      <c r="W1320" s="2">
        <f t="shared" si="11"/>
      </c>
      <c r="X1320" s="2">
        <f t="shared" si="12"/>
      </c>
      <c r="Y1320" s="2">
        <f t="shared" si="13"/>
        <v>0</v>
      </c>
      <c r="Z1320" s="2">
        <f t="shared" si="14"/>
      </c>
      <c r="AA1320" s="2">
        <f t="shared" si="15"/>
        <v>0</v>
      </c>
      <c r="AB1320" s="2">
        <f t="shared" si="16"/>
      </c>
      <c r="AC1320" s="2">
        <f t="shared" si="17"/>
      </c>
      <c r="AD1320" s="2">
        <f t="shared" si="18"/>
      </c>
      <c r="AE1320" s="2">
        <f t="shared" si="19"/>
      </c>
      <c r="AF1320" s="2">
        <f t="shared" si="20"/>
      </c>
      <c r="AG1320" s="2">
        <f t="shared" si="21"/>
      </c>
      <c r="AH1320" s="2">
        <f t="shared" si="22"/>
      </c>
      <c r="AI1320" s="2">
        <f t="shared" si="23"/>
      </c>
      <c r="AJ1320" s="2">
        <f t="shared" si="24"/>
        <v>0</v>
      </c>
      <c r="AK1320" s="2">
        <f t="shared" si="25"/>
        <v>0</v>
      </c>
      <c r="AL1320" s="2">
        <f t="shared" si="26"/>
        <v>0</v>
      </c>
      <c r="AM1320" s="2">
        <f t="shared" si="27"/>
        <v>0</v>
      </c>
      <c r="AN1320" s="2">
        <f t="shared" si="28"/>
        <v>0</v>
      </c>
      <c r="AO1320" s="2">
        <f t="shared" si="29"/>
      </c>
      <c r="AP1320" s="2">
        <f t="shared" si="30"/>
      </c>
      <c r="AQ1320" s="2">
        <f t="shared" si="31"/>
      </c>
    </row>
    <row r="1321">
      <c r="A1321" s="43">
        <f t="shared" si="3"/>
      </c>
      <c r="B1321" s="44" t="n"/>
      <c r="C1321" s="45" t="n"/>
      <c r="D1321" s="46" t="n"/>
      <c r="E1321" s="47" t="n"/>
      <c r="F1321" s="47" t="n"/>
      <c r="G1321" s="48">
        <f t="shared" si="4"/>
      </c>
      <c r="H1321" s="43">
        <f t="shared" si="0"/>
      </c>
      <c r="I1321" s="43">
        <f t="shared" si="5"/>
      </c>
      <c r="J1321" s="43">
        <f t="shared" si="1"/>
      </c>
      <c r="K1321" s="49">
        <f t="shared" si="2"/>
      </c>
      <c r="L1321" s="45" t="n"/>
      <c r="M1321" s="45" t="n"/>
      <c r="N1321" s="45" t="n"/>
      <c r="O1321" s="45" t="n"/>
      <c r="P1321" s="50" t="n"/>
      <c r="R1321" s="2">
        <f t="shared" si="6"/>
        <v>0</v>
      </c>
      <c r="S1321" s="2">
        <f t="shared" si="7"/>
      </c>
      <c r="T1321" s="2">
        <f t="shared" si="8"/>
      </c>
      <c r="U1321" s="2">
        <f t="shared" si="9"/>
      </c>
      <c r="V1321" s="2">
        <f t="shared" si="10"/>
      </c>
      <c r="W1321" s="2">
        <f t="shared" si="11"/>
      </c>
      <c r="X1321" s="2">
        <f t="shared" si="12"/>
      </c>
      <c r="Y1321" s="2">
        <f t="shared" si="13"/>
        <v>0</v>
      </c>
      <c r="Z1321" s="2">
        <f t="shared" si="14"/>
      </c>
      <c r="AA1321" s="2">
        <f t="shared" si="15"/>
        <v>0</v>
      </c>
      <c r="AB1321" s="2">
        <f t="shared" si="16"/>
      </c>
      <c r="AC1321" s="2">
        <f t="shared" si="17"/>
      </c>
      <c r="AD1321" s="2">
        <f t="shared" si="18"/>
      </c>
      <c r="AE1321" s="2">
        <f t="shared" si="19"/>
      </c>
      <c r="AF1321" s="2">
        <f t="shared" si="20"/>
      </c>
      <c r="AG1321" s="2">
        <f t="shared" si="21"/>
      </c>
      <c r="AH1321" s="2">
        <f t="shared" si="22"/>
      </c>
      <c r="AI1321" s="2">
        <f t="shared" si="23"/>
      </c>
      <c r="AJ1321" s="2">
        <f t="shared" si="24"/>
        <v>0</v>
      </c>
      <c r="AK1321" s="2">
        <f t="shared" si="25"/>
        <v>0</v>
      </c>
      <c r="AL1321" s="2">
        <f t="shared" si="26"/>
        <v>0</v>
      </c>
      <c r="AM1321" s="2">
        <f t="shared" si="27"/>
        <v>0</v>
      </c>
      <c r="AN1321" s="2">
        <f t="shared" si="28"/>
        <v>0</v>
      </c>
      <c r="AO1321" s="2">
        <f t="shared" si="29"/>
      </c>
      <c r="AP1321" s="2">
        <f t="shared" si="30"/>
      </c>
      <c r="AQ1321" s="2">
        <f t="shared" si="31"/>
      </c>
    </row>
    <row r="1322">
      <c r="A1322" s="43">
        <f t="shared" si="3"/>
      </c>
      <c r="B1322" s="44" t="n"/>
      <c r="C1322" s="45" t="n"/>
      <c r="D1322" s="46" t="n"/>
      <c r="E1322" s="47" t="n"/>
      <c r="F1322" s="47" t="n"/>
      <c r="G1322" s="48">
        <f t="shared" si="4"/>
      </c>
      <c r="H1322" s="43">
        <f t="shared" si="0"/>
      </c>
      <c r="I1322" s="43">
        <f t="shared" si="5"/>
      </c>
      <c r="J1322" s="43">
        <f t="shared" si="1"/>
      </c>
      <c r="K1322" s="49">
        <f t="shared" si="2"/>
      </c>
      <c r="L1322" s="45" t="n"/>
      <c r="M1322" s="45" t="n"/>
      <c r="N1322" s="45" t="n"/>
      <c r="O1322" s="45" t="n"/>
      <c r="P1322" s="50" t="n"/>
      <c r="R1322" s="2">
        <f t="shared" si="6"/>
        <v>0</v>
      </c>
      <c r="S1322" s="2">
        <f t="shared" si="7"/>
      </c>
      <c r="T1322" s="2">
        <f t="shared" si="8"/>
      </c>
      <c r="U1322" s="2">
        <f t="shared" si="9"/>
      </c>
      <c r="V1322" s="2">
        <f t="shared" si="10"/>
      </c>
      <c r="W1322" s="2">
        <f t="shared" si="11"/>
      </c>
      <c r="X1322" s="2">
        <f t="shared" si="12"/>
      </c>
      <c r="Y1322" s="2">
        <f t="shared" si="13"/>
        <v>0</v>
      </c>
      <c r="Z1322" s="2">
        <f t="shared" si="14"/>
      </c>
      <c r="AA1322" s="2">
        <f t="shared" si="15"/>
        <v>0</v>
      </c>
      <c r="AB1322" s="2">
        <f t="shared" si="16"/>
      </c>
      <c r="AC1322" s="2">
        <f t="shared" si="17"/>
      </c>
      <c r="AD1322" s="2">
        <f t="shared" si="18"/>
      </c>
      <c r="AE1322" s="2">
        <f t="shared" si="19"/>
      </c>
      <c r="AF1322" s="2">
        <f t="shared" si="20"/>
      </c>
      <c r="AG1322" s="2">
        <f t="shared" si="21"/>
      </c>
      <c r="AH1322" s="2">
        <f t="shared" si="22"/>
      </c>
      <c r="AI1322" s="2">
        <f t="shared" si="23"/>
      </c>
      <c r="AJ1322" s="2">
        <f t="shared" si="24"/>
        <v>0</v>
      </c>
      <c r="AK1322" s="2">
        <f t="shared" si="25"/>
        <v>0</v>
      </c>
      <c r="AL1322" s="2">
        <f t="shared" si="26"/>
        <v>0</v>
      </c>
      <c r="AM1322" s="2">
        <f t="shared" si="27"/>
        <v>0</v>
      </c>
      <c r="AN1322" s="2">
        <f t="shared" si="28"/>
        <v>0</v>
      </c>
      <c r="AO1322" s="2">
        <f t="shared" si="29"/>
      </c>
      <c r="AP1322" s="2">
        <f t="shared" si="30"/>
      </c>
      <c r="AQ1322" s="2">
        <f t="shared" si="31"/>
      </c>
    </row>
    <row r="1323">
      <c r="A1323" s="43">
        <f t="shared" si="3"/>
      </c>
      <c r="B1323" s="44" t="n"/>
      <c r="C1323" s="45" t="n"/>
      <c r="D1323" s="46" t="n"/>
      <c r="E1323" s="47" t="n"/>
      <c r="F1323" s="47" t="n"/>
      <c r="G1323" s="48">
        <f t="shared" si="4"/>
      </c>
      <c r="H1323" s="43">
        <f t="shared" si="0"/>
      </c>
      <c r="I1323" s="43">
        <f t="shared" si="5"/>
      </c>
      <c r="J1323" s="43">
        <f t="shared" si="1"/>
      </c>
      <c r="K1323" s="49">
        <f t="shared" si="2"/>
      </c>
      <c r="L1323" s="45" t="n"/>
      <c r="M1323" s="45" t="n"/>
      <c r="N1323" s="45" t="n"/>
      <c r="O1323" s="45" t="n"/>
      <c r="P1323" s="50" t="n"/>
      <c r="R1323" s="2">
        <f t="shared" si="6"/>
        <v>0</v>
      </c>
      <c r="S1323" s="2">
        <f t="shared" si="7"/>
      </c>
      <c r="T1323" s="2">
        <f t="shared" si="8"/>
      </c>
      <c r="U1323" s="2">
        <f t="shared" si="9"/>
      </c>
      <c r="V1323" s="2">
        <f t="shared" si="10"/>
      </c>
      <c r="W1323" s="2">
        <f t="shared" si="11"/>
      </c>
      <c r="X1323" s="2">
        <f t="shared" si="12"/>
      </c>
      <c r="Y1323" s="2">
        <f t="shared" si="13"/>
        <v>0</v>
      </c>
      <c r="Z1323" s="2">
        <f t="shared" si="14"/>
      </c>
      <c r="AA1323" s="2">
        <f t="shared" si="15"/>
        <v>0</v>
      </c>
      <c r="AB1323" s="2">
        <f t="shared" si="16"/>
      </c>
      <c r="AC1323" s="2">
        <f t="shared" si="17"/>
      </c>
      <c r="AD1323" s="2">
        <f t="shared" si="18"/>
      </c>
      <c r="AE1323" s="2">
        <f t="shared" si="19"/>
      </c>
      <c r="AF1323" s="2">
        <f t="shared" si="20"/>
      </c>
      <c r="AG1323" s="2">
        <f t="shared" si="21"/>
      </c>
      <c r="AH1323" s="2">
        <f t="shared" si="22"/>
      </c>
      <c r="AI1323" s="2">
        <f t="shared" si="23"/>
      </c>
      <c r="AJ1323" s="2">
        <f t="shared" si="24"/>
        <v>0</v>
      </c>
      <c r="AK1323" s="2">
        <f t="shared" si="25"/>
        <v>0</v>
      </c>
      <c r="AL1323" s="2">
        <f t="shared" si="26"/>
        <v>0</v>
      </c>
      <c r="AM1323" s="2">
        <f t="shared" si="27"/>
        <v>0</v>
      </c>
      <c r="AN1323" s="2">
        <f t="shared" si="28"/>
        <v>0</v>
      </c>
      <c r="AO1323" s="2">
        <f t="shared" si="29"/>
      </c>
      <c r="AP1323" s="2">
        <f t="shared" si="30"/>
      </c>
      <c r="AQ1323" s="2">
        <f t="shared" si="31"/>
      </c>
    </row>
    <row r="1324">
      <c r="A1324" s="43">
        <f t="shared" si="3"/>
      </c>
      <c r="B1324" s="44" t="n"/>
      <c r="C1324" s="45" t="n"/>
      <c r="D1324" s="46" t="n"/>
      <c r="E1324" s="47" t="n"/>
      <c r="F1324" s="47" t="n"/>
      <c r="G1324" s="48">
        <f t="shared" si="4"/>
      </c>
      <c r="H1324" s="43">
        <f t="shared" si="0"/>
      </c>
      <c r="I1324" s="43">
        <f t="shared" si="5"/>
      </c>
      <c r="J1324" s="43">
        <f t="shared" si="1"/>
      </c>
      <c r="K1324" s="49">
        <f t="shared" si="2"/>
      </c>
      <c r="L1324" s="45" t="n"/>
      <c r="M1324" s="45" t="n"/>
      <c r="N1324" s="45" t="n"/>
      <c r="O1324" s="45" t="n"/>
      <c r="P1324" s="50" t="n"/>
      <c r="R1324" s="2">
        <f t="shared" si="6"/>
        <v>0</v>
      </c>
      <c r="S1324" s="2">
        <f t="shared" si="7"/>
      </c>
      <c r="T1324" s="2">
        <f t="shared" si="8"/>
      </c>
      <c r="U1324" s="2">
        <f t="shared" si="9"/>
      </c>
      <c r="V1324" s="2">
        <f t="shared" si="10"/>
      </c>
      <c r="W1324" s="2">
        <f t="shared" si="11"/>
      </c>
      <c r="X1324" s="2">
        <f t="shared" si="12"/>
      </c>
      <c r="Y1324" s="2">
        <f t="shared" si="13"/>
        <v>0</v>
      </c>
      <c r="Z1324" s="2">
        <f t="shared" si="14"/>
      </c>
      <c r="AA1324" s="2">
        <f t="shared" si="15"/>
        <v>0</v>
      </c>
      <c r="AB1324" s="2">
        <f t="shared" si="16"/>
      </c>
      <c r="AC1324" s="2">
        <f t="shared" si="17"/>
      </c>
      <c r="AD1324" s="2">
        <f t="shared" si="18"/>
      </c>
      <c r="AE1324" s="2">
        <f t="shared" si="19"/>
      </c>
      <c r="AF1324" s="2">
        <f t="shared" si="20"/>
      </c>
      <c r="AG1324" s="2">
        <f t="shared" si="21"/>
      </c>
      <c r="AH1324" s="2">
        <f t="shared" si="22"/>
      </c>
      <c r="AI1324" s="2">
        <f t="shared" si="23"/>
      </c>
      <c r="AJ1324" s="2">
        <f t="shared" si="24"/>
        <v>0</v>
      </c>
      <c r="AK1324" s="2">
        <f t="shared" si="25"/>
        <v>0</v>
      </c>
      <c r="AL1324" s="2">
        <f t="shared" si="26"/>
        <v>0</v>
      </c>
      <c r="AM1324" s="2">
        <f t="shared" si="27"/>
        <v>0</v>
      </c>
      <c r="AN1324" s="2">
        <f t="shared" si="28"/>
        <v>0</v>
      </c>
      <c r="AO1324" s="2">
        <f t="shared" si="29"/>
      </c>
      <c r="AP1324" s="2">
        <f t="shared" si="30"/>
      </c>
      <c r="AQ1324" s="2">
        <f t="shared" si="31"/>
      </c>
    </row>
    <row r="1325">
      <c r="A1325" s="43">
        <f t="shared" si="3"/>
      </c>
      <c r="B1325" s="44" t="n"/>
      <c r="C1325" s="45" t="n"/>
      <c r="D1325" s="46" t="n"/>
      <c r="E1325" s="47" t="n"/>
      <c r="F1325" s="47" t="n"/>
      <c r="G1325" s="48">
        <f t="shared" si="4"/>
      </c>
      <c r="H1325" s="43">
        <f t="shared" si="0"/>
      </c>
      <c r="I1325" s="43">
        <f t="shared" si="5"/>
      </c>
      <c r="J1325" s="43">
        <f t="shared" si="1"/>
      </c>
      <c r="K1325" s="49">
        <f t="shared" si="2"/>
      </c>
      <c r="L1325" s="45" t="n"/>
      <c r="M1325" s="45" t="n"/>
      <c r="N1325" s="45" t="n"/>
      <c r="O1325" s="45" t="n"/>
      <c r="P1325" s="50" t="n"/>
      <c r="R1325" s="2">
        <f t="shared" si="6"/>
        <v>0</v>
      </c>
      <c r="S1325" s="2">
        <f t="shared" si="7"/>
      </c>
      <c r="T1325" s="2">
        <f t="shared" si="8"/>
      </c>
      <c r="U1325" s="2">
        <f t="shared" si="9"/>
      </c>
      <c r="V1325" s="2">
        <f t="shared" si="10"/>
      </c>
      <c r="W1325" s="2">
        <f t="shared" si="11"/>
      </c>
      <c r="X1325" s="2">
        <f t="shared" si="12"/>
      </c>
      <c r="Y1325" s="2">
        <f t="shared" si="13"/>
        <v>0</v>
      </c>
      <c r="Z1325" s="2">
        <f t="shared" si="14"/>
      </c>
      <c r="AA1325" s="2">
        <f t="shared" si="15"/>
        <v>0</v>
      </c>
      <c r="AB1325" s="2">
        <f t="shared" si="16"/>
      </c>
      <c r="AC1325" s="2">
        <f t="shared" si="17"/>
      </c>
      <c r="AD1325" s="2">
        <f t="shared" si="18"/>
      </c>
      <c r="AE1325" s="2">
        <f t="shared" si="19"/>
      </c>
      <c r="AF1325" s="2">
        <f t="shared" si="20"/>
      </c>
      <c r="AG1325" s="2">
        <f t="shared" si="21"/>
      </c>
      <c r="AH1325" s="2">
        <f t="shared" si="22"/>
      </c>
      <c r="AI1325" s="2">
        <f t="shared" si="23"/>
      </c>
      <c r="AJ1325" s="2">
        <f t="shared" si="24"/>
        <v>0</v>
      </c>
      <c r="AK1325" s="2">
        <f t="shared" si="25"/>
        <v>0</v>
      </c>
      <c r="AL1325" s="2">
        <f t="shared" si="26"/>
        <v>0</v>
      </c>
      <c r="AM1325" s="2">
        <f t="shared" si="27"/>
        <v>0</v>
      </c>
      <c r="AN1325" s="2">
        <f t="shared" si="28"/>
        <v>0</v>
      </c>
      <c r="AO1325" s="2">
        <f t="shared" si="29"/>
      </c>
      <c r="AP1325" s="2">
        <f t="shared" si="30"/>
      </c>
      <c r="AQ1325" s="2">
        <f t="shared" si="31"/>
      </c>
    </row>
    <row r="1326">
      <c r="A1326" s="43">
        <f t="shared" si="3"/>
      </c>
      <c r="B1326" s="44" t="n"/>
      <c r="C1326" s="45" t="n"/>
      <c r="D1326" s="46" t="n"/>
      <c r="E1326" s="47" t="n"/>
      <c r="F1326" s="47" t="n"/>
      <c r="G1326" s="48">
        <f t="shared" si="4"/>
      </c>
      <c r="H1326" s="43">
        <f t="shared" si="0"/>
      </c>
      <c r="I1326" s="43">
        <f t="shared" si="5"/>
      </c>
      <c r="J1326" s="43">
        <f t="shared" si="1"/>
      </c>
      <c r="K1326" s="49">
        <f t="shared" si="2"/>
      </c>
      <c r="L1326" s="45" t="n"/>
      <c r="M1326" s="45" t="n"/>
      <c r="N1326" s="45" t="n"/>
      <c r="O1326" s="45" t="n"/>
      <c r="P1326" s="50" t="n"/>
      <c r="R1326" s="2">
        <f t="shared" si="6"/>
        <v>0</v>
      </c>
      <c r="S1326" s="2">
        <f t="shared" si="7"/>
      </c>
      <c r="T1326" s="2">
        <f t="shared" si="8"/>
      </c>
      <c r="U1326" s="2">
        <f t="shared" si="9"/>
      </c>
      <c r="V1326" s="2">
        <f t="shared" si="10"/>
      </c>
      <c r="W1326" s="2">
        <f t="shared" si="11"/>
      </c>
      <c r="X1326" s="2">
        <f t="shared" si="12"/>
      </c>
      <c r="Y1326" s="2">
        <f t="shared" si="13"/>
        <v>0</v>
      </c>
      <c r="Z1326" s="2">
        <f t="shared" si="14"/>
      </c>
      <c r="AA1326" s="2">
        <f t="shared" si="15"/>
        <v>0</v>
      </c>
      <c r="AB1326" s="2">
        <f t="shared" si="16"/>
      </c>
      <c r="AC1326" s="2">
        <f t="shared" si="17"/>
      </c>
      <c r="AD1326" s="2">
        <f t="shared" si="18"/>
      </c>
      <c r="AE1326" s="2">
        <f t="shared" si="19"/>
      </c>
      <c r="AF1326" s="2">
        <f t="shared" si="20"/>
      </c>
      <c r="AG1326" s="2">
        <f t="shared" si="21"/>
      </c>
      <c r="AH1326" s="2">
        <f t="shared" si="22"/>
      </c>
      <c r="AI1326" s="2">
        <f t="shared" si="23"/>
      </c>
      <c r="AJ1326" s="2">
        <f t="shared" si="24"/>
        <v>0</v>
      </c>
      <c r="AK1326" s="2">
        <f t="shared" si="25"/>
        <v>0</v>
      </c>
      <c r="AL1326" s="2">
        <f t="shared" si="26"/>
        <v>0</v>
      </c>
      <c r="AM1326" s="2">
        <f t="shared" si="27"/>
        <v>0</v>
      </c>
      <c r="AN1326" s="2">
        <f t="shared" si="28"/>
        <v>0</v>
      </c>
      <c r="AO1326" s="2">
        <f t="shared" si="29"/>
      </c>
      <c r="AP1326" s="2">
        <f t="shared" si="30"/>
      </c>
      <c r="AQ1326" s="2">
        <f t="shared" si="31"/>
      </c>
    </row>
    <row r="1327">
      <c r="A1327" s="43">
        <f t="shared" si="3"/>
      </c>
      <c r="B1327" s="44" t="n"/>
      <c r="C1327" s="45" t="n"/>
      <c r="D1327" s="46" t="n"/>
      <c r="E1327" s="47" t="n"/>
      <c r="F1327" s="47" t="n"/>
      <c r="G1327" s="48">
        <f t="shared" si="4"/>
      </c>
      <c r="H1327" s="43">
        <f t="shared" si="0"/>
      </c>
      <c r="I1327" s="43">
        <f t="shared" si="5"/>
      </c>
      <c r="J1327" s="43">
        <f t="shared" si="1"/>
      </c>
      <c r="K1327" s="49">
        <f t="shared" si="2"/>
      </c>
      <c r="L1327" s="45" t="n"/>
      <c r="M1327" s="45" t="n"/>
      <c r="N1327" s="45" t="n"/>
      <c r="O1327" s="45" t="n"/>
      <c r="P1327" s="50" t="n"/>
      <c r="R1327" s="2">
        <f t="shared" si="6"/>
        <v>0</v>
      </c>
      <c r="S1327" s="2">
        <f t="shared" si="7"/>
      </c>
      <c r="T1327" s="2">
        <f t="shared" si="8"/>
      </c>
      <c r="U1327" s="2">
        <f t="shared" si="9"/>
      </c>
      <c r="V1327" s="2">
        <f t="shared" si="10"/>
      </c>
      <c r="W1327" s="2">
        <f t="shared" si="11"/>
      </c>
      <c r="X1327" s="2">
        <f t="shared" si="12"/>
      </c>
      <c r="Y1327" s="2">
        <f t="shared" si="13"/>
        <v>0</v>
      </c>
      <c r="Z1327" s="2">
        <f t="shared" si="14"/>
      </c>
      <c r="AA1327" s="2">
        <f t="shared" si="15"/>
        <v>0</v>
      </c>
      <c r="AB1327" s="2">
        <f t="shared" si="16"/>
      </c>
      <c r="AC1327" s="2">
        <f t="shared" si="17"/>
      </c>
      <c r="AD1327" s="2">
        <f t="shared" si="18"/>
      </c>
      <c r="AE1327" s="2">
        <f t="shared" si="19"/>
      </c>
      <c r="AF1327" s="2">
        <f t="shared" si="20"/>
      </c>
      <c r="AG1327" s="2">
        <f t="shared" si="21"/>
      </c>
      <c r="AH1327" s="2">
        <f t="shared" si="22"/>
      </c>
      <c r="AI1327" s="2">
        <f t="shared" si="23"/>
      </c>
      <c r="AJ1327" s="2">
        <f t="shared" si="24"/>
        <v>0</v>
      </c>
      <c r="AK1327" s="2">
        <f t="shared" si="25"/>
        <v>0</v>
      </c>
      <c r="AL1327" s="2">
        <f t="shared" si="26"/>
        <v>0</v>
      </c>
      <c r="AM1327" s="2">
        <f t="shared" si="27"/>
        <v>0</v>
      </c>
      <c r="AN1327" s="2">
        <f t="shared" si="28"/>
        <v>0</v>
      </c>
      <c r="AO1327" s="2">
        <f t="shared" si="29"/>
      </c>
      <c r="AP1327" s="2">
        <f t="shared" si="30"/>
      </c>
      <c r="AQ1327" s="2">
        <f t="shared" si="31"/>
      </c>
    </row>
    <row r="1328">
      <c r="A1328" s="43">
        <f t="shared" si="3"/>
      </c>
      <c r="B1328" s="44" t="n"/>
      <c r="C1328" s="45" t="n"/>
      <c r="D1328" s="46" t="n"/>
      <c r="E1328" s="47" t="n"/>
      <c r="F1328" s="47" t="n"/>
      <c r="G1328" s="48">
        <f t="shared" si="4"/>
      </c>
      <c r="H1328" s="43">
        <f t="shared" si="0"/>
      </c>
      <c r="I1328" s="43">
        <f t="shared" si="5"/>
      </c>
      <c r="J1328" s="43">
        <f t="shared" si="1"/>
      </c>
      <c r="K1328" s="49">
        <f t="shared" si="2"/>
      </c>
      <c r="L1328" s="45" t="n"/>
      <c r="M1328" s="45" t="n"/>
      <c r="N1328" s="45" t="n"/>
      <c r="O1328" s="45" t="n"/>
      <c r="P1328" s="50" t="n"/>
      <c r="R1328" s="2">
        <f t="shared" si="6"/>
        <v>0</v>
      </c>
      <c r="S1328" s="2">
        <f t="shared" si="7"/>
      </c>
      <c r="T1328" s="2">
        <f t="shared" si="8"/>
      </c>
      <c r="U1328" s="2">
        <f t="shared" si="9"/>
      </c>
      <c r="V1328" s="2">
        <f t="shared" si="10"/>
      </c>
      <c r="W1328" s="2">
        <f t="shared" si="11"/>
      </c>
      <c r="X1328" s="2">
        <f t="shared" si="12"/>
      </c>
      <c r="Y1328" s="2">
        <f t="shared" si="13"/>
        <v>0</v>
      </c>
      <c r="Z1328" s="2">
        <f t="shared" si="14"/>
      </c>
      <c r="AA1328" s="2">
        <f t="shared" si="15"/>
        <v>0</v>
      </c>
      <c r="AB1328" s="2">
        <f t="shared" si="16"/>
      </c>
      <c r="AC1328" s="2">
        <f t="shared" si="17"/>
      </c>
      <c r="AD1328" s="2">
        <f t="shared" si="18"/>
      </c>
      <c r="AE1328" s="2">
        <f t="shared" si="19"/>
      </c>
      <c r="AF1328" s="2">
        <f t="shared" si="20"/>
      </c>
      <c r="AG1328" s="2">
        <f t="shared" si="21"/>
      </c>
      <c r="AH1328" s="2">
        <f t="shared" si="22"/>
      </c>
      <c r="AI1328" s="2">
        <f t="shared" si="23"/>
      </c>
      <c r="AJ1328" s="2">
        <f t="shared" si="24"/>
        <v>0</v>
      </c>
      <c r="AK1328" s="2">
        <f t="shared" si="25"/>
        <v>0</v>
      </c>
      <c r="AL1328" s="2">
        <f t="shared" si="26"/>
        <v>0</v>
      </c>
      <c r="AM1328" s="2">
        <f t="shared" si="27"/>
        <v>0</v>
      </c>
      <c r="AN1328" s="2">
        <f t="shared" si="28"/>
        <v>0</v>
      </c>
      <c r="AO1328" s="2">
        <f t="shared" si="29"/>
      </c>
      <c r="AP1328" s="2">
        <f t="shared" si="30"/>
      </c>
      <c r="AQ1328" s="2">
        <f t="shared" si="31"/>
      </c>
    </row>
    <row r="1329">
      <c r="A1329" s="43">
        <f t="shared" si="3"/>
      </c>
      <c r="B1329" s="44" t="n"/>
      <c r="C1329" s="45" t="n"/>
      <c r="D1329" s="46" t="n"/>
      <c r="E1329" s="47" t="n"/>
      <c r="F1329" s="47" t="n"/>
      <c r="G1329" s="48">
        <f t="shared" si="4"/>
      </c>
      <c r="H1329" s="43">
        <f t="shared" si="0"/>
      </c>
      <c r="I1329" s="43">
        <f t="shared" si="5"/>
      </c>
      <c r="J1329" s="43">
        <f t="shared" si="1"/>
      </c>
      <c r="K1329" s="49">
        <f t="shared" si="2"/>
      </c>
      <c r="L1329" s="45" t="n"/>
      <c r="M1329" s="45" t="n"/>
      <c r="N1329" s="45" t="n"/>
      <c r="O1329" s="45" t="n"/>
      <c r="P1329" s="50" t="n"/>
      <c r="R1329" s="2">
        <f t="shared" si="6"/>
        <v>0</v>
      </c>
      <c r="S1329" s="2">
        <f t="shared" si="7"/>
      </c>
      <c r="T1329" s="2">
        <f t="shared" si="8"/>
      </c>
      <c r="U1329" s="2">
        <f t="shared" si="9"/>
      </c>
      <c r="V1329" s="2">
        <f t="shared" si="10"/>
      </c>
      <c r="W1329" s="2">
        <f t="shared" si="11"/>
      </c>
      <c r="X1329" s="2">
        <f t="shared" si="12"/>
      </c>
      <c r="Y1329" s="2">
        <f t="shared" si="13"/>
        <v>0</v>
      </c>
      <c r="Z1329" s="2">
        <f t="shared" si="14"/>
      </c>
      <c r="AA1329" s="2">
        <f t="shared" si="15"/>
        <v>0</v>
      </c>
      <c r="AB1329" s="2">
        <f t="shared" si="16"/>
      </c>
      <c r="AC1329" s="2">
        <f t="shared" si="17"/>
      </c>
      <c r="AD1329" s="2">
        <f t="shared" si="18"/>
      </c>
      <c r="AE1329" s="2">
        <f t="shared" si="19"/>
      </c>
      <c r="AF1329" s="2">
        <f t="shared" si="20"/>
      </c>
      <c r="AG1329" s="2">
        <f t="shared" si="21"/>
      </c>
      <c r="AH1329" s="2">
        <f t="shared" si="22"/>
      </c>
      <c r="AI1329" s="2">
        <f t="shared" si="23"/>
      </c>
      <c r="AJ1329" s="2">
        <f t="shared" si="24"/>
        <v>0</v>
      </c>
      <c r="AK1329" s="2">
        <f t="shared" si="25"/>
        <v>0</v>
      </c>
      <c r="AL1329" s="2">
        <f t="shared" si="26"/>
        <v>0</v>
      </c>
      <c r="AM1329" s="2">
        <f t="shared" si="27"/>
        <v>0</v>
      </c>
      <c r="AN1329" s="2">
        <f t="shared" si="28"/>
        <v>0</v>
      </c>
      <c r="AO1329" s="2">
        <f t="shared" si="29"/>
      </c>
      <c r="AP1329" s="2">
        <f t="shared" si="30"/>
      </c>
      <c r="AQ1329" s="2">
        <f t="shared" si="31"/>
      </c>
    </row>
    <row r="1330">
      <c r="A1330" s="43">
        <f t="shared" si="3"/>
      </c>
      <c r="B1330" s="44" t="n"/>
      <c r="C1330" s="45" t="n"/>
      <c r="D1330" s="46" t="n"/>
      <c r="E1330" s="47" t="n"/>
      <c r="F1330" s="47" t="n"/>
      <c r="G1330" s="48">
        <f t="shared" si="4"/>
      </c>
      <c r="H1330" s="43">
        <f t="shared" si="0"/>
      </c>
      <c r="I1330" s="43">
        <f t="shared" si="5"/>
      </c>
      <c r="J1330" s="43">
        <f t="shared" si="1"/>
      </c>
      <c r="K1330" s="49">
        <f t="shared" si="2"/>
      </c>
      <c r="L1330" s="45" t="n"/>
      <c r="M1330" s="45" t="n"/>
      <c r="N1330" s="45" t="n"/>
      <c r="O1330" s="45" t="n"/>
      <c r="P1330" s="50" t="n"/>
      <c r="R1330" s="2">
        <f t="shared" si="6"/>
        <v>0</v>
      </c>
      <c r="S1330" s="2">
        <f t="shared" si="7"/>
      </c>
      <c r="T1330" s="2">
        <f t="shared" si="8"/>
      </c>
      <c r="U1330" s="2">
        <f t="shared" si="9"/>
      </c>
      <c r="V1330" s="2">
        <f t="shared" si="10"/>
      </c>
      <c r="W1330" s="2">
        <f t="shared" si="11"/>
      </c>
      <c r="X1330" s="2">
        <f t="shared" si="12"/>
      </c>
      <c r="Y1330" s="2">
        <f t="shared" si="13"/>
        <v>0</v>
      </c>
      <c r="Z1330" s="2">
        <f t="shared" si="14"/>
      </c>
      <c r="AA1330" s="2">
        <f t="shared" si="15"/>
        <v>0</v>
      </c>
      <c r="AB1330" s="2">
        <f t="shared" si="16"/>
      </c>
      <c r="AC1330" s="2">
        <f t="shared" si="17"/>
      </c>
      <c r="AD1330" s="2">
        <f t="shared" si="18"/>
      </c>
      <c r="AE1330" s="2">
        <f t="shared" si="19"/>
      </c>
      <c r="AF1330" s="2">
        <f t="shared" si="20"/>
      </c>
      <c r="AG1330" s="2">
        <f t="shared" si="21"/>
      </c>
      <c r="AH1330" s="2">
        <f t="shared" si="22"/>
      </c>
      <c r="AI1330" s="2">
        <f t="shared" si="23"/>
      </c>
      <c r="AJ1330" s="2">
        <f t="shared" si="24"/>
        <v>0</v>
      </c>
      <c r="AK1330" s="2">
        <f t="shared" si="25"/>
        <v>0</v>
      </c>
      <c r="AL1330" s="2">
        <f t="shared" si="26"/>
        <v>0</v>
      </c>
      <c r="AM1330" s="2">
        <f t="shared" si="27"/>
        <v>0</v>
      </c>
      <c r="AN1330" s="2">
        <f t="shared" si="28"/>
        <v>0</v>
      </c>
      <c r="AO1330" s="2">
        <f t="shared" si="29"/>
      </c>
      <c r="AP1330" s="2">
        <f t="shared" si="30"/>
      </c>
      <c r="AQ1330" s="2">
        <f t="shared" si="31"/>
      </c>
    </row>
    <row r="1331">
      <c r="A1331" s="43">
        <f t="shared" si="3"/>
      </c>
      <c r="B1331" s="44" t="n"/>
      <c r="C1331" s="45" t="n"/>
      <c r="D1331" s="46" t="n"/>
      <c r="E1331" s="47" t="n"/>
      <c r="F1331" s="47" t="n"/>
      <c r="G1331" s="48">
        <f t="shared" si="4"/>
      </c>
      <c r="H1331" s="43">
        <f t="shared" si="0"/>
      </c>
      <c r="I1331" s="43">
        <f t="shared" si="5"/>
      </c>
      <c r="J1331" s="43">
        <f t="shared" si="1"/>
      </c>
      <c r="K1331" s="49">
        <f t="shared" si="2"/>
      </c>
      <c r="L1331" s="45" t="n"/>
      <c r="M1331" s="45" t="n"/>
      <c r="N1331" s="45" t="n"/>
      <c r="O1331" s="45" t="n"/>
      <c r="P1331" s="50" t="n"/>
      <c r="R1331" s="2">
        <f t="shared" si="6"/>
        <v>0</v>
      </c>
      <c r="S1331" s="2">
        <f t="shared" si="7"/>
      </c>
      <c r="T1331" s="2">
        <f t="shared" si="8"/>
      </c>
      <c r="U1331" s="2">
        <f t="shared" si="9"/>
      </c>
      <c r="V1331" s="2">
        <f t="shared" si="10"/>
      </c>
      <c r="W1331" s="2">
        <f t="shared" si="11"/>
      </c>
      <c r="X1331" s="2">
        <f t="shared" si="12"/>
      </c>
      <c r="Y1331" s="2">
        <f t="shared" si="13"/>
        <v>0</v>
      </c>
      <c r="Z1331" s="2">
        <f t="shared" si="14"/>
      </c>
      <c r="AA1331" s="2">
        <f t="shared" si="15"/>
        <v>0</v>
      </c>
      <c r="AB1331" s="2">
        <f t="shared" si="16"/>
      </c>
      <c r="AC1331" s="2">
        <f t="shared" si="17"/>
      </c>
      <c r="AD1331" s="2">
        <f t="shared" si="18"/>
      </c>
      <c r="AE1331" s="2">
        <f t="shared" si="19"/>
      </c>
      <c r="AF1331" s="2">
        <f t="shared" si="20"/>
      </c>
      <c r="AG1331" s="2">
        <f t="shared" si="21"/>
      </c>
      <c r="AH1331" s="2">
        <f t="shared" si="22"/>
      </c>
      <c r="AI1331" s="2">
        <f t="shared" si="23"/>
      </c>
      <c r="AJ1331" s="2">
        <f t="shared" si="24"/>
        <v>0</v>
      </c>
      <c r="AK1331" s="2">
        <f t="shared" si="25"/>
        <v>0</v>
      </c>
      <c r="AL1331" s="2">
        <f t="shared" si="26"/>
        <v>0</v>
      </c>
      <c r="AM1331" s="2">
        <f t="shared" si="27"/>
        <v>0</v>
      </c>
      <c r="AN1331" s="2">
        <f t="shared" si="28"/>
        <v>0</v>
      </c>
      <c r="AO1331" s="2">
        <f t="shared" si="29"/>
      </c>
      <c r="AP1331" s="2">
        <f t="shared" si="30"/>
      </c>
      <c r="AQ1331" s="2">
        <f t="shared" si="31"/>
      </c>
    </row>
    <row r="1332">
      <c r="A1332" s="43">
        <f t="shared" si="3"/>
      </c>
      <c r="B1332" s="44" t="n"/>
      <c r="C1332" s="45" t="n"/>
      <c r="D1332" s="46" t="n"/>
      <c r="E1332" s="47" t="n"/>
      <c r="F1332" s="47" t="n"/>
      <c r="G1332" s="48">
        <f t="shared" si="4"/>
      </c>
      <c r="H1332" s="43">
        <f t="shared" si="0"/>
      </c>
      <c r="I1332" s="43">
        <f t="shared" si="5"/>
      </c>
      <c r="J1332" s="43">
        <f t="shared" si="1"/>
      </c>
      <c r="K1332" s="49">
        <f t="shared" si="2"/>
      </c>
      <c r="L1332" s="45" t="n"/>
      <c r="M1332" s="45" t="n"/>
      <c r="N1332" s="45" t="n"/>
      <c r="O1332" s="45" t="n"/>
      <c r="P1332" s="50" t="n"/>
      <c r="R1332" s="2">
        <f t="shared" si="6"/>
        <v>0</v>
      </c>
      <c r="S1332" s="2">
        <f t="shared" si="7"/>
      </c>
      <c r="T1332" s="2">
        <f t="shared" si="8"/>
      </c>
      <c r="U1332" s="2">
        <f t="shared" si="9"/>
      </c>
      <c r="V1332" s="2">
        <f t="shared" si="10"/>
      </c>
      <c r="W1332" s="2">
        <f t="shared" si="11"/>
      </c>
      <c r="X1332" s="2">
        <f t="shared" si="12"/>
      </c>
      <c r="Y1332" s="2">
        <f t="shared" si="13"/>
        <v>0</v>
      </c>
      <c r="Z1332" s="2">
        <f t="shared" si="14"/>
      </c>
      <c r="AA1332" s="2">
        <f t="shared" si="15"/>
        <v>0</v>
      </c>
      <c r="AB1332" s="2">
        <f t="shared" si="16"/>
      </c>
      <c r="AC1332" s="2">
        <f t="shared" si="17"/>
      </c>
      <c r="AD1332" s="2">
        <f t="shared" si="18"/>
      </c>
      <c r="AE1332" s="2">
        <f t="shared" si="19"/>
      </c>
      <c r="AF1332" s="2">
        <f t="shared" si="20"/>
      </c>
      <c r="AG1332" s="2">
        <f t="shared" si="21"/>
      </c>
      <c r="AH1332" s="2">
        <f t="shared" si="22"/>
      </c>
      <c r="AI1332" s="2">
        <f t="shared" si="23"/>
      </c>
      <c r="AJ1332" s="2">
        <f t="shared" si="24"/>
        <v>0</v>
      </c>
      <c r="AK1332" s="2">
        <f t="shared" si="25"/>
        <v>0</v>
      </c>
      <c r="AL1332" s="2">
        <f t="shared" si="26"/>
        <v>0</v>
      </c>
      <c r="AM1332" s="2">
        <f t="shared" si="27"/>
        <v>0</v>
      </c>
      <c r="AN1332" s="2">
        <f t="shared" si="28"/>
        <v>0</v>
      </c>
      <c r="AO1332" s="2">
        <f t="shared" si="29"/>
      </c>
      <c r="AP1332" s="2">
        <f t="shared" si="30"/>
      </c>
      <c r="AQ1332" s="2">
        <f t="shared" si="31"/>
      </c>
    </row>
    <row r="1333">
      <c r="A1333" s="43">
        <f t="shared" si="3"/>
      </c>
      <c r="B1333" s="44" t="n"/>
      <c r="C1333" s="45" t="n"/>
      <c r="D1333" s="46" t="n"/>
      <c r="E1333" s="47" t="n"/>
      <c r="F1333" s="47" t="n"/>
      <c r="G1333" s="48">
        <f t="shared" si="4"/>
      </c>
      <c r="H1333" s="43">
        <f t="shared" si="0"/>
      </c>
      <c r="I1333" s="43">
        <f t="shared" si="5"/>
      </c>
      <c r="J1333" s="43">
        <f t="shared" si="1"/>
      </c>
      <c r="K1333" s="49">
        <f t="shared" si="2"/>
      </c>
      <c r="L1333" s="45" t="n"/>
      <c r="M1333" s="45" t="n"/>
      <c r="N1333" s="45" t="n"/>
      <c r="O1333" s="45" t="n"/>
      <c r="P1333" s="50" t="n"/>
      <c r="R1333" s="2">
        <f t="shared" si="6"/>
        <v>0</v>
      </c>
      <c r="S1333" s="2">
        <f t="shared" si="7"/>
      </c>
      <c r="T1333" s="2">
        <f t="shared" si="8"/>
      </c>
      <c r="U1333" s="2">
        <f t="shared" si="9"/>
      </c>
      <c r="V1333" s="2">
        <f t="shared" si="10"/>
      </c>
      <c r="W1333" s="2">
        <f t="shared" si="11"/>
      </c>
      <c r="X1333" s="2">
        <f t="shared" si="12"/>
      </c>
      <c r="Y1333" s="2">
        <f t="shared" si="13"/>
        <v>0</v>
      </c>
      <c r="Z1333" s="2">
        <f t="shared" si="14"/>
      </c>
      <c r="AA1333" s="2">
        <f t="shared" si="15"/>
        <v>0</v>
      </c>
      <c r="AB1333" s="2">
        <f t="shared" si="16"/>
      </c>
      <c r="AC1333" s="2">
        <f t="shared" si="17"/>
      </c>
      <c r="AD1333" s="2">
        <f t="shared" si="18"/>
      </c>
      <c r="AE1333" s="2">
        <f t="shared" si="19"/>
      </c>
      <c r="AF1333" s="2">
        <f t="shared" si="20"/>
      </c>
      <c r="AG1333" s="2">
        <f t="shared" si="21"/>
      </c>
      <c r="AH1333" s="2">
        <f t="shared" si="22"/>
      </c>
      <c r="AI1333" s="2">
        <f t="shared" si="23"/>
      </c>
      <c r="AJ1333" s="2">
        <f t="shared" si="24"/>
        <v>0</v>
      </c>
      <c r="AK1333" s="2">
        <f t="shared" si="25"/>
        <v>0</v>
      </c>
      <c r="AL1333" s="2">
        <f t="shared" si="26"/>
        <v>0</v>
      </c>
      <c r="AM1333" s="2">
        <f t="shared" si="27"/>
        <v>0</v>
      </c>
      <c r="AN1333" s="2">
        <f t="shared" si="28"/>
        <v>0</v>
      </c>
      <c r="AO1333" s="2">
        <f t="shared" si="29"/>
      </c>
      <c r="AP1333" s="2">
        <f t="shared" si="30"/>
      </c>
      <c r="AQ1333" s="2">
        <f t="shared" si="31"/>
      </c>
    </row>
    <row r="1334">
      <c r="A1334" s="43">
        <f t="shared" si="3"/>
      </c>
      <c r="B1334" s="44" t="n"/>
      <c r="C1334" s="45" t="n"/>
      <c r="D1334" s="46" t="n"/>
      <c r="E1334" s="47" t="n"/>
      <c r="F1334" s="47" t="n"/>
      <c r="G1334" s="48">
        <f t="shared" si="4"/>
      </c>
      <c r="H1334" s="43">
        <f t="shared" si="0"/>
      </c>
      <c r="I1334" s="43">
        <f t="shared" si="5"/>
      </c>
      <c r="J1334" s="43">
        <f t="shared" si="1"/>
      </c>
      <c r="K1334" s="49">
        <f t="shared" si="2"/>
      </c>
      <c r="L1334" s="45" t="n"/>
      <c r="M1334" s="45" t="n"/>
      <c r="N1334" s="45" t="n"/>
      <c r="O1334" s="45" t="n"/>
      <c r="P1334" s="50" t="n"/>
      <c r="R1334" s="2">
        <f t="shared" si="6"/>
        <v>0</v>
      </c>
      <c r="S1334" s="2">
        <f t="shared" si="7"/>
      </c>
      <c r="T1334" s="2">
        <f t="shared" si="8"/>
      </c>
      <c r="U1334" s="2">
        <f t="shared" si="9"/>
      </c>
      <c r="V1334" s="2">
        <f t="shared" si="10"/>
      </c>
      <c r="W1334" s="2">
        <f t="shared" si="11"/>
      </c>
      <c r="X1334" s="2">
        <f t="shared" si="12"/>
      </c>
      <c r="Y1334" s="2">
        <f t="shared" si="13"/>
        <v>0</v>
      </c>
      <c r="Z1334" s="2">
        <f t="shared" si="14"/>
      </c>
      <c r="AA1334" s="2">
        <f t="shared" si="15"/>
        <v>0</v>
      </c>
      <c r="AB1334" s="2">
        <f t="shared" si="16"/>
      </c>
      <c r="AC1334" s="2">
        <f t="shared" si="17"/>
      </c>
      <c r="AD1334" s="2">
        <f t="shared" si="18"/>
      </c>
      <c r="AE1334" s="2">
        <f t="shared" si="19"/>
      </c>
      <c r="AF1334" s="2">
        <f t="shared" si="20"/>
      </c>
      <c r="AG1334" s="2">
        <f t="shared" si="21"/>
      </c>
      <c r="AH1334" s="2">
        <f t="shared" si="22"/>
      </c>
      <c r="AI1334" s="2">
        <f t="shared" si="23"/>
      </c>
      <c r="AJ1334" s="2">
        <f t="shared" si="24"/>
        <v>0</v>
      </c>
      <c r="AK1334" s="2">
        <f t="shared" si="25"/>
        <v>0</v>
      </c>
      <c r="AL1334" s="2">
        <f t="shared" si="26"/>
        <v>0</v>
      </c>
      <c r="AM1334" s="2">
        <f t="shared" si="27"/>
        <v>0</v>
      </c>
      <c r="AN1334" s="2">
        <f t="shared" si="28"/>
        <v>0</v>
      </c>
      <c r="AO1334" s="2">
        <f t="shared" si="29"/>
      </c>
      <c r="AP1334" s="2">
        <f t="shared" si="30"/>
      </c>
      <c r="AQ1334" s="2">
        <f t="shared" si="31"/>
      </c>
    </row>
    <row r="1335">
      <c r="A1335" s="43">
        <f t="shared" si="3"/>
      </c>
      <c r="B1335" s="44" t="n"/>
      <c r="C1335" s="45" t="n"/>
      <c r="D1335" s="46" t="n"/>
      <c r="E1335" s="47" t="n"/>
      <c r="F1335" s="47" t="n"/>
      <c r="G1335" s="48">
        <f t="shared" si="4"/>
      </c>
      <c r="H1335" s="43">
        <f t="shared" si="0"/>
      </c>
      <c r="I1335" s="43">
        <f t="shared" si="5"/>
      </c>
      <c r="J1335" s="43">
        <f t="shared" si="1"/>
      </c>
      <c r="K1335" s="49">
        <f t="shared" si="2"/>
      </c>
      <c r="L1335" s="45" t="n"/>
      <c r="M1335" s="45" t="n"/>
      <c r="N1335" s="45" t="n"/>
      <c r="O1335" s="45" t="n"/>
      <c r="P1335" s="50" t="n"/>
      <c r="R1335" s="2">
        <f t="shared" si="6"/>
        <v>0</v>
      </c>
      <c r="S1335" s="2">
        <f t="shared" si="7"/>
      </c>
      <c r="T1335" s="2">
        <f t="shared" si="8"/>
      </c>
      <c r="U1335" s="2">
        <f t="shared" si="9"/>
      </c>
      <c r="V1335" s="2">
        <f t="shared" si="10"/>
      </c>
      <c r="W1335" s="2">
        <f t="shared" si="11"/>
      </c>
      <c r="X1335" s="2">
        <f t="shared" si="12"/>
      </c>
      <c r="Y1335" s="2">
        <f t="shared" si="13"/>
        <v>0</v>
      </c>
      <c r="Z1335" s="2">
        <f t="shared" si="14"/>
      </c>
      <c r="AA1335" s="2">
        <f t="shared" si="15"/>
        <v>0</v>
      </c>
      <c r="AB1335" s="2">
        <f t="shared" si="16"/>
      </c>
      <c r="AC1335" s="2">
        <f t="shared" si="17"/>
      </c>
      <c r="AD1335" s="2">
        <f t="shared" si="18"/>
      </c>
      <c r="AE1335" s="2">
        <f t="shared" si="19"/>
      </c>
      <c r="AF1335" s="2">
        <f t="shared" si="20"/>
      </c>
      <c r="AG1335" s="2">
        <f t="shared" si="21"/>
      </c>
      <c r="AH1335" s="2">
        <f t="shared" si="22"/>
      </c>
      <c r="AI1335" s="2">
        <f t="shared" si="23"/>
      </c>
      <c r="AJ1335" s="2">
        <f t="shared" si="24"/>
        <v>0</v>
      </c>
      <c r="AK1335" s="2">
        <f t="shared" si="25"/>
        <v>0</v>
      </c>
      <c r="AL1335" s="2">
        <f t="shared" si="26"/>
        <v>0</v>
      </c>
      <c r="AM1335" s="2">
        <f t="shared" si="27"/>
        <v>0</v>
      </c>
      <c r="AN1335" s="2">
        <f t="shared" si="28"/>
        <v>0</v>
      </c>
      <c r="AO1335" s="2">
        <f t="shared" si="29"/>
      </c>
      <c r="AP1335" s="2">
        <f t="shared" si="30"/>
      </c>
      <c r="AQ1335" s="2">
        <f t="shared" si="31"/>
      </c>
    </row>
    <row r="1336">
      <c r="A1336" s="43">
        <f t="shared" si="3"/>
      </c>
      <c r="B1336" s="44" t="n"/>
      <c r="C1336" s="45" t="n"/>
      <c r="D1336" s="46" t="n"/>
      <c r="E1336" s="47" t="n"/>
      <c r="F1336" s="47" t="n"/>
      <c r="G1336" s="48">
        <f t="shared" si="4"/>
      </c>
      <c r="H1336" s="43">
        <f t="shared" si="0"/>
      </c>
      <c r="I1336" s="43">
        <f t="shared" si="5"/>
      </c>
      <c r="J1336" s="43">
        <f t="shared" si="1"/>
      </c>
      <c r="K1336" s="49">
        <f t="shared" si="2"/>
      </c>
      <c r="L1336" s="45" t="n"/>
      <c r="M1336" s="45" t="n"/>
      <c r="N1336" s="45" t="n"/>
      <c r="O1336" s="45" t="n"/>
      <c r="P1336" s="50" t="n"/>
      <c r="R1336" s="2">
        <f t="shared" si="6"/>
        <v>0</v>
      </c>
      <c r="S1336" s="2">
        <f t="shared" si="7"/>
      </c>
      <c r="T1336" s="2">
        <f t="shared" si="8"/>
      </c>
      <c r="U1336" s="2">
        <f t="shared" si="9"/>
      </c>
      <c r="V1336" s="2">
        <f t="shared" si="10"/>
      </c>
      <c r="W1336" s="2">
        <f t="shared" si="11"/>
      </c>
      <c r="X1336" s="2">
        <f t="shared" si="12"/>
      </c>
      <c r="Y1336" s="2">
        <f t="shared" si="13"/>
        <v>0</v>
      </c>
      <c r="Z1336" s="2">
        <f t="shared" si="14"/>
      </c>
      <c r="AA1336" s="2">
        <f t="shared" si="15"/>
        <v>0</v>
      </c>
      <c r="AB1336" s="2">
        <f t="shared" si="16"/>
      </c>
      <c r="AC1336" s="2">
        <f t="shared" si="17"/>
      </c>
      <c r="AD1336" s="2">
        <f t="shared" si="18"/>
      </c>
      <c r="AE1336" s="2">
        <f t="shared" si="19"/>
      </c>
      <c r="AF1336" s="2">
        <f t="shared" si="20"/>
      </c>
      <c r="AG1336" s="2">
        <f t="shared" si="21"/>
      </c>
      <c r="AH1336" s="2">
        <f t="shared" si="22"/>
      </c>
      <c r="AI1336" s="2">
        <f t="shared" si="23"/>
      </c>
      <c r="AJ1336" s="2">
        <f t="shared" si="24"/>
        <v>0</v>
      </c>
      <c r="AK1336" s="2">
        <f t="shared" si="25"/>
        <v>0</v>
      </c>
      <c r="AL1336" s="2">
        <f t="shared" si="26"/>
        <v>0</v>
      </c>
      <c r="AM1336" s="2">
        <f t="shared" si="27"/>
        <v>0</v>
      </c>
      <c r="AN1336" s="2">
        <f t="shared" si="28"/>
        <v>0</v>
      </c>
      <c r="AO1336" s="2">
        <f t="shared" si="29"/>
      </c>
      <c r="AP1336" s="2">
        <f t="shared" si="30"/>
      </c>
      <c r="AQ1336" s="2">
        <f t="shared" si="31"/>
      </c>
    </row>
    <row r="1337">
      <c r="A1337" s="43">
        <f t="shared" si="3"/>
      </c>
      <c r="B1337" s="44" t="n"/>
      <c r="C1337" s="45" t="n"/>
      <c r="D1337" s="46" t="n"/>
      <c r="E1337" s="47" t="n"/>
      <c r="F1337" s="47" t="n"/>
      <c r="G1337" s="48">
        <f t="shared" si="4"/>
      </c>
      <c r="H1337" s="43">
        <f t="shared" si="0"/>
      </c>
      <c r="I1337" s="43">
        <f t="shared" si="5"/>
      </c>
      <c r="J1337" s="43">
        <f t="shared" si="1"/>
      </c>
      <c r="K1337" s="49">
        <f t="shared" si="2"/>
      </c>
      <c r="L1337" s="45" t="n"/>
      <c r="M1337" s="45" t="n"/>
      <c r="N1337" s="45" t="n"/>
      <c r="O1337" s="45" t="n"/>
      <c r="P1337" s="50" t="n"/>
      <c r="R1337" s="2">
        <f t="shared" si="6"/>
        <v>0</v>
      </c>
      <c r="S1337" s="2">
        <f t="shared" si="7"/>
      </c>
      <c r="T1337" s="2">
        <f t="shared" si="8"/>
      </c>
      <c r="U1337" s="2">
        <f t="shared" si="9"/>
      </c>
      <c r="V1337" s="2">
        <f t="shared" si="10"/>
      </c>
      <c r="W1337" s="2">
        <f t="shared" si="11"/>
      </c>
      <c r="X1337" s="2">
        <f t="shared" si="12"/>
      </c>
      <c r="Y1337" s="2">
        <f t="shared" si="13"/>
        <v>0</v>
      </c>
      <c r="Z1337" s="2">
        <f t="shared" si="14"/>
      </c>
      <c r="AA1337" s="2">
        <f t="shared" si="15"/>
        <v>0</v>
      </c>
      <c r="AB1337" s="2">
        <f t="shared" si="16"/>
      </c>
      <c r="AC1337" s="2">
        <f t="shared" si="17"/>
      </c>
      <c r="AD1337" s="2">
        <f t="shared" si="18"/>
      </c>
      <c r="AE1337" s="2">
        <f t="shared" si="19"/>
      </c>
      <c r="AF1337" s="2">
        <f t="shared" si="20"/>
      </c>
      <c r="AG1337" s="2">
        <f t="shared" si="21"/>
      </c>
      <c r="AH1337" s="2">
        <f t="shared" si="22"/>
      </c>
      <c r="AI1337" s="2">
        <f t="shared" si="23"/>
      </c>
      <c r="AJ1337" s="2">
        <f t="shared" si="24"/>
        <v>0</v>
      </c>
      <c r="AK1337" s="2">
        <f t="shared" si="25"/>
        <v>0</v>
      </c>
      <c r="AL1337" s="2">
        <f t="shared" si="26"/>
        <v>0</v>
      </c>
      <c r="AM1337" s="2">
        <f t="shared" si="27"/>
        <v>0</v>
      </c>
      <c r="AN1337" s="2">
        <f t="shared" si="28"/>
        <v>0</v>
      </c>
      <c r="AO1337" s="2">
        <f t="shared" si="29"/>
      </c>
      <c r="AP1337" s="2">
        <f t="shared" si="30"/>
      </c>
      <c r="AQ1337" s="2">
        <f t="shared" si="31"/>
      </c>
    </row>
    <row r="1338">
      <c r="A1338" s="43">
        <f t="shared" si="3"/>
      </c>
      <c r="B1338" s="44" t="n"/>
      <c r="C1338" s="45" t="n"/>
      <c r="D1338" s="46" t="n"/>
      <c r="E1338" s="47" t="n"/>
      <c r="F1338" s="47" t="n"/>
      <c r="G1338" s="48">
        <f t="shared" si="4"/>
      </c>
      <c r="H1338" s="43">
        <f t="shared" si="0"/>
      </c>
      <c r="I1338" s="43">
        <f t="shared" si="5"/>
      </c>
      <c r="J1338" s="43">
        <f t="shared" si="1"/>
      </c>
      <c r="K1338" s="49">
        <f t="shared" si="2"/>
      </c>
      <c r="L1338" s="45" t="n"/>
      <c r="M1338" s="45" t="n"/>
      <c r="N1338" s="45" t="n"/>
      <c r="O1338" s="45" t="n"/>
      <c r="P1338" s="50" t="n"/>
      <c r="R1338" s="2">
        <f t="shared" si="6"/>
        <v>0</v>
      </c>
      <c r="S1338" s="2">
        <f t="shared" si="7"/>
      </c>
      <c r="T1338" s="2">
        <f t="shared" si="8"/>
      </c>
      <c r="U1338" s="2">
        <f t="shared" si="9"/>
      </c>
      <c r="V1338" s="2">
        <f t="shared" si="10"/>
      </c>
      <c r="W1338" s="2">
        <f t="shared" si="11"/>
      </c>
      <c r="X1338" s="2">
        <f t="shared" si="12"/>
      </c>
      <c r="Y1338" s="2">
        <f t="shared" si="13"/>
        <v>0</v>
      </c>
      <c r="Z1338" s="2">
        <f t="shared" si="14"/>
      </c>
      <c r="AA1338" s="2">
        <f t="shared" si="15"/>
        <v>0</v>
      </c>
      <c r="AB1338" s="2">
        <f t="shared" si="16"/>
      </c>
      <c r="AC1338" s="2">
        <f t="shared" si="17"/>
      </c>
      <c r="AD1338" s="2">
        <f t="shared" si="18"/>
      </c>
      <c r="AE1338" s="2">
        <f t="shared" si="19"/>
      </c>
      <c r="AF1338" s="2">
        <f t="shared" si="20"/>
      </c>
      <c r="AG1338" s="2">
        <f t="shared" si="21"/>
      </c>
      <c r="AH1338" s="2">
        <f t="shared" si="22"/>
      </c>
      <c r="AI1338" s="2">
        <f t="shared" si="23"/>
      </c>
      <c r="AJ1338" s="2">
        <f t="shared" si="24"/>
        <v>0</v>
      </c>
      <c r="AK1338" s="2">
        <f t="shared" si="25"/>
        <v>0</v>
      </c>
      <c r="AL1338" s="2">
        <f t="shared" si="26"/>
        <v>0</v>
      </c>
      <c r="AM1338" s="2">
        <f t="shared" si="27"/>
        <v>0</v>
      </c>
      <c r="AN1338" s="2">
        <f t="shared" si="28"/>
        <v>0</v>
      </c>
      <c r="AO1338" s="2">
        <f t="shared" si="29"/>
      </c>
      <c r="AP1338" s="2">
        <f t="shared" si="30"/>
      </c>
      <c r="AQ1338" s="2">
        <f t="shared" si="31"/>
      </c>
    </row>
    <row r="1339">
      <c r="A1339" s="43">
        <f t="shared" si="3"/>
      </c>
      <c r="B1339" s="44" t="n"/>
      <c r="C1339" s="45" t="n"/>
      <c r="D1339" s="46" t="n"/>
      <c r="E1339" s="47" t="n"/>
      <c r="F1339" s="47" t="n"/>
      <c r="G1339" s="48">
        <f t="shared" si="4"/>
      </c>
      <c r="H1339" s="43">
        <f t="shared" si="0"/>
      </c>
      <c r="I1339" s="43">
        <f t="shared" si="5"/>
      </c>
      <c r="J1339" s="43">
        <f t="shared" si="1"/>
      </c>
      <c r="K1339" s="49">
        <f t="shared" si="2"/>
      </c>
      <c r="L1339" s="45" t="n"/>
      <c r="M1339" s="45" t="n"/>
      <c r="N1339" s="45" t="n"/>
      <c r="O1339" s="45" t="n"/>
      <c r="P1339" s="50" t="n"/>
      <c r="R1339" s="2">
        <f t="shared" si="6"/>
        <v>0</v>
      </c>
      <c r="S1339" s="2">
        <f t="shared" si="7"/>
      </c>
      <c r="T1339" s="2">
        <f t="shared" si="8"/>
      </c>
      <c r="U1339" s="2">
        <f t="shared" si="9"/>
      </c>
      <c r="V1339" s="2">
        <f t="shared" si="10"/>
      </c>
      <c r="W1339" s="2">
        <f t="shared" si="11"/>
      </c>
      <c r="X1339" s="2">
        <f t="shared" si="12"/>
      </c>
      <c r="Y1339" s="2">
        <f t="shared" si="13"/>
        <v>0</v>
      </c>
      <c r="Z1339" s="2">
        <f t="shared" si="14"/>
      </c>
      <c r="AA1339" s="2">
        <f t="shared" si="15"/>
        <v>0</v>
      </c>
      <c r="AB1339" s="2">
        <f t="shared" si="16"/>
      </c>
      <c r="AC1339" s="2">
        <f t="shared" si="17"/>
      </c>
      <c r="AD1339" s="2">
        <f t="shared" si="18"/>
      </c>
      <c r="AE1339" s="2">
        <f t="shared" si="19"/>
      </c>
      <c r="AF1339" s="2">
        <f t="shared" si="20"/>
      </c>
      <c r="AG1339" s="2">
        <f t="shared" si="21"/>
      </c>
      <c r="AH1339" s="2">
        <f t="shared" si="22"/>
      </c>
      <c r="AI1339" s="2">
        <f t="shared" si="23"/>
      </c>
      <c r="AJ1339" s="2">
        <f t="shared" si="24"/>
        <v>0</v>
      </c>
      <c r="AK1339" s="2">
        <f t="shared" si="25"/>
        <v>0</v>
      </c>
      <c r="AL1339" s="2">
        <f t="shared" si="26"/>
        <v>0</v>
      </c>
      <c r="AM1339" s="2">
        <f t="shared" si="27"/>
        <v>0</v>
      </c>
      <c r="AN1339" s="2">
        <f t="shared" si="28"/>
        <v>0</v>
      </c>
      <c r="AO1339" s="2">
        <f t="shared" si="29"/>
      </c>
      <c r="AP1339" s="2">
        <f t="shared" si="30"/>
      </c>
      <c r="AQ1339" s="2">
        <f t="shared" si="31"/>
      </c>
    </row>
    <row r="1340">
      <c r="A1340" s="43">
        <f t="shared" si="3"/>
      </c>
      <c r="B1340" s="44" t="n"/>
      <c r="C1340" s="45" t="n"/>
      <c r="D1340" s="46" t="n"/>
      <c r="E1340" s="47" t="n"/>
      <c r="F1340" s="47" t="n"/>
      <c r="G1340" s="48">
        <f t="shared" si="4"/>
      </c>
      <c r="H1340" s="43">
        <f t="shared" si="0"/>
      </c>
      <c r="I1340" s="43">
        <f t="shared" si="5"/>
      </c>
      <c r="J1340" s="43">
        <f t="shared" si="1"/>
      </c>
      <c r="K1340" s="49">
        <f t="shared" si="2"/>
      </c>
      <c r="L1340" s="45" t="n"/>
      <c r="M1340" s="45" t="n"/>
      <c r="N1340" s="45" t="n"/>
      <c r="O1340" s="45" t="n"/>
      <c r="P1340" s="50" t="n"/>
      <c r="R1340" s="2">
        <f t="shared" si="6"/>
        <v>0</v>
      </c>
      <c r="S1340" s="2">
        <f t="shared" si="7"/>
      </c>
      <c r="T1340" s="2">
        <f t="shared" si="8"/>
      </c>
      <c r="U1340" s="2">
        <f t="shared" si="9"/>
      </c>
      <c r="V1340" s="2">
        <f t="shared" si="10"/>
      </c>
      <c r="W1340" s="2">
        <f t="shared" si="11"/>
      </c>
      <c r="X1340" s="2">
        <f t="shared" si="12"/>
      </c>
      <c r="Y1340" s="2">
        <f t="shared" si="13"/>
        <v>0</v>
      </c>
      <c r="Z1340" s="2">
        <f t="shared" si="14"/>
      </c>
      <c r="AA1340" s="2">
        <f t="shared" si="15"/>
        <v>0</v>
      </c>
      <c r="AB1340" s="2">
        <f t="shared" si="16"/>
      </c>
      <c r="AC1340" s="2">
        <f t="shared" si="17"/>
      </c>
      <c r="AD1340" s="2">
        <f t="shared" si="18"/>
      </c>
      <c r="AE1340" s="2">
        <f t="shared" si="19"/>
      </c>
      <c r="AF1340" s="2">
        <f t="shared" si="20"/>
      </c>
      <c r="AG1340" s="2">
        <f t="shared" si="21"/>
      </c>
      <c r="AH1340" s="2">
        <f t="shared" si="22"/>
      </c>
      <c r="AI1340" s="2">
        <f t="shared" si="23"/>
      </c>
      <c r="AJ1340" s="2">
        <f t="shared" si="24"/>
        <v>0</v>
      </c>
      <c r="AK1340" s="2">
        <f t="shared" si="25"/>
        <v>0</v>
      </c>
      <c r="AL1340" s="2">
        <f t="shared" si="26"/>
        <v>0</v>
      </c>
      <c r="AM1340" s="2">
        <f t="shared" si="27"/>
        <v>0</v>
      </c>
      <c r="AN1340" s="2">
        <f t="shared" si="28"/>
        <v>0</v>
      </c>
      <c r="AO1340" s="2">
        <f t="shared" si="29"/>
      </c>
      <c r="AP1340" s="2">
        <f t="shared" si="30"/>
      </c>
      <c r="AQ1340" s="2">
        <f t="shared" si="31"/>
      </c>
    </row>
    <row r="1341">
      <c r="A1341" s="43">
        <f t="shared" si="3"/>
      </c>
      <c r="B1341" s="44" t="n"/>
      <c r="C1341" s="45" t="n"/>
      <c r="D1341" s="46" t="n"/>
      <c r="E1341" s="47" t="n"/>
      <c r="F1341" s="47" t="n"/>
      <c r="G1341" s="48">
        <f t="shared" si="4"/>
      </c>
      <c r="H1341" s="43">
        <f t="shared" si="0"/>
      </c>
      <c r="I1341" s="43">
        <f t="shared" si="5"/>
      </c>
      <c r="J1341" s="43">
        <f t="shared" si="1"/>
      </c>
      <c r="K1341" s="49">
        <f t="shared" si="2"/>
      </c>
      <c r="L1341" s="45" t="n"/>
      <c r="M1341" s="45" t="n"/>
      <c r="N1341" s="45" t="n"/>
      <c r="O1341" s="45" t="n"/>
      <c r="P1341" s="50" t="n"/>
      <c r="R1341" s="2">
        <f t="shared" si="6"/>
        <v>0</v>
      </c>
      <c r="S1341" s="2">
        <f t="shared" si="7"/>
      </c>
      <c r="T1341" s="2">
        <f t="shared" si="8"/>
      </c>
      <c r="U1341" s="2">
        <f t="shared" si="9"/>
      </c>
      <c r="V1341" s="2">
        <f t="shared" si="10"/>
      </c>
      <c r="W1341" s="2">
        <f t="shared" si="11"/>
      </c>
      <c r="X1341" s="2">
        <f t="shared" si="12"/>
      </c>
      <c r="Y1341" s="2">
        <f t="shared" si="13"/>
        <v>0</v>
      </c>
      <c r="Z1341" s="2">
        <f t="shared" si="14"/>
      </c>
      <c r="AA1341" s="2">
        <f t="shared" si="15"/>
        <v>0</v>
      </c>
      <c r="AB1341" s="2">
        <f t="shared" si="16"/>
      </c>
      <c r="AC1341" s="2">
        <f t="shared" si="17"/>
      </c>
      <c r="AD1341" s="2">
        <f t="shared" si="18"/>
      </c>
      <c r="AE1341" s="2">
        <f t="shared" si="19"/>
      </c>
      <c r="AF1341" s="2">
        <f t="shared" si="20"/>
      </c>
      <c r="AG1341" s="2">
        <f t="shared" si="21"/>
      </c>
      <c r="AH1341" s="2">
        <f t="shared" si="22"/>
      </c>
      <c r="AI1341" s="2">
        <f t="shared" si="23"/>
      </c>
      <c r="AJ1341" s="2">
        <f t="shared" si="24"/>
        <v>0</v>
      </c>
      <c r="AK1341" s="2">
        <f t="shared" si="25"/>
        <v>0</v>
      </c>
      <c r="AL1341" s="2">
        <f t="shared" si="26"/>
        <v>0</v>
      </c>
      <c r="AM1341" s="2">
        <f t="shared" si="27"/>
        <v>0</v>
      </c>
      <c r="AN1341" s="2">
        <f t="shared" si="28"/>
        <v>0</v>
      </c>
      <c r="AO1341" s="2">
        <f t="shared" si="29"/>
      </c>
      <c r="AP1341" s="2">
        <f t="shared" si="30"/>
      </c>
      <c r="AQ1341" s="2">
        <f t="shared" si="31"/>
      </c>
    </row>
    <row r="1342">
      <c r="A1342" s="43">
        <f t="shared" si="3"/>
      </c>
      <c r="B1342" s="44" t="n"/>
      <c r="C1342" s="45" t="n"/>
      <c r="D1342" s="46" t="n"/>
      <c r="E1342" s="47" t="n"/>
      <c r="F1342" s="47" t="n"/>
      <c r="G1342" s="48">
        <f t="shared" si="4"/>
      </c>
      <c r="H1342" s="43">
        <f t="shared" si="0"/>
      </c>
      <c r="I1342" s="43">
        <f t="shared" si="5"/>
      </c>
      <c r="J1342" s="43">
        <f t="shared" si="1"/>
      </c>
      <c r="K1342" s="49">
        <f t="shared" si="2"/>
      </c>
      <c r="L1342" s="45" t="n"/>
      <c r="M1342" s="45" t="n"/>
      <c r="N1342" s="45" t="n"/>
      <c r="O1342" s="45" t="n"/>
      <c r="P1342" s="50" t="n"/>
      <c r="R1342" s="2">
        <f t="shared" si="6"/>
        <v>0</v>
      </c>
      <c r="S1342" s="2">
        <f t="shared" si="7"/>
      </c>
      <c r="T1342" s="2">
        <f t="shared" si="8"/>
      </c>
      <c r="U1342" s="2">
        <f t="shared" si="9"/>
      </c>
      <c r="V1342" s="2">
        <f t="shared" si="10"/>
      </c>
      <c r="W1342" s="2">
        <f t="shared" si="11"/>
      </c>
      <c r="X1342" s="2">
        <f t="shared" si="12"/>
      </c>
      <c r="Y1342" s="2">
        <f t="shared" si="13"/>
        <v>0</v>
      </c>
      <c r="Z1342" s="2">
        <f t="shared" si="14"/>
      </c>
      <c r="AA1342" s="2">
        <f t="shared" si="15"/>
        <v>0</v>
      </c>
      <c r="AB1342" s="2">
        <f t="shared" si="16"/>
      </c>
      <c r="AC1342" s="2">
        <f t="shared" si="17"/>
      </c>
      <c r="AD1342" s="2">
        <f t="shared" si="18"/>
      </c>
      <c r="AE1342" s="2">
        <f t="shared" si="19"/>
      </c>
      <c r="AF1342" s="2">
        <f t="shared" si="20"/>
      </c>
      <c r="AG1342" s="2">
        <f t="shared" si="21"/>
      </c>
      <c r="AH1342" s="2">
        <f t="shared" si="22"/>
      </c>
      <c r="AI1342" s="2">
        <f t="shared" si="23"/>
      </c>
      <c r="AJ1342" s="2">
        <f t="shared" si="24"/>
        <v>0</v>
      </c>
      <c r="AK1342" s="2">
        <f t="shared" si="25"/>
        <v>0</v>
      </c>
      <c r="AL1342" s="2">
        <f t="shared" si="26"/>
        <v>0</v>
      </c>
      <c r="AM1342" s="2">
        <f t="shared" si="27"/>
        <v>0</v>
      </c>
      <c r="AN1342" s="2">
        <f t="shared" si="28"/>
        <v>0</v>
      </c>
      <c r="AO1342" s="2">
        <f t="shared" si="29"/>
      </c>
      <c r="AP1342" s="2">
        <f t="shared" si="30"/>
      </c>
      <c r="AQ1342" s="2">
        <f t="shared" si="31"/>
      </c>
    </row>
    <row r="1343">
      <c r="A1343" s="43">
        <f t="shared" si="3"/>
      </c>
      <c r="B1343" s="44" t="n"/>
      <c r="C1343" s="45" t="n"/>
      <c r="D1343" s="46" t="n"/>
      <c r="E1343" s="47" t="n"/>
      <c r="F1343" s="47" t="n"/>
      <c r="G1343" s="48">
        <f t="shared" si="4"/>
      </c>
      <c r="H1343" s="43">
        <f t="shared" si="0"/>
      </c>
      <c r="I1343" s="43">
        <f t="shared" si="5"/>
      </c>
      <c r="J1343" s="43">
        <f t="shared" si="1"/>
      </c>
      <c r="K1343" s="49">
        <f t="shared" si="2"/>
      </c>
      <c r="L1343" s="45" t="n"/>
      <c r="M1343" s="45" t="n"/>
      <c r="N1343" s="45" t="n"/>
      <c r="O1343" s="45" t="n"/>
      <c r="P1343" s="50" t="n"/>
      <c r="R1343" s="2">
        <f t="shared" si="6"/>
        <v>0</v>
      </c>
      <c r="S1343" s="2">
        <f t="shared" si="7"/>
      </c>
      <c r="T1343" s="2">
        <f t="shared" si="8"/>
      </c>
      <c r="U1343" s="2">
        <f t="shared" si="9"/>
      </c>
      <c r="V1343" s="2">
        <f t="shared" si="10"/>
      </c>
      <c r="W1343" s="2">
        <f t="shared" si="11"/>
      </c>
      <c r="X1343" s="2">
        <f t="shared" si="12"/>
      </c>
      <c r="Y1343" s="2">
        <f t="shared" si="13"/>
        <v>0</v>
      </c>
      <c r="Z1343" s="2">
        <f t="shared" si="14"/>
      </c>
      <c r="AA1343" s="2">
        <f t="shared" si="15"/>
        <v>0</v>
      </c>
      <c r="AB1343" s="2">
        <f t="shared" si="16"/>
      </c>
      <c r="AC1343" s="2">
        <f t="shared" si="17"/>
      </c>
      <c r="AD1343" s="2">
        <f t="shared" si="18"/>
      </c>
      <c r="AE1343" s="2">
        <f t="shared" si="19"/>
      </c>
      <c r="AF1343" s="2">
        <f t="shared" si="20"/>
      </c>
      <c r="AG1343" s="2">
        <f t="shared" si="21"/>
      </c>
      <c r="AH1343" s="2">
        <f t="shared" si="22"/>
      </c>
      <c r="AI1343" s="2">
        <f t="shared" si="23"/>
      </c>
      <c r="AJ1343" s="2">
        <f t="shared" si="24"/>
        <v>0</v>
      </c>
      <c r="AK1343" s="2">
        <f t="shared" si="25"/>
        <v>0</v>
      </c>
      <c r="AL1343" s="2">
        <f t="shared" si="26"/>
        <v>0</v>
      </c>
      <c r="AM1343" s="2">
        <f t="shared" si="27"/>
        <v>0</v>
      </c>
      <c r="AN1343" s="2">
        <f t="shared" si="28"/>
        <v>0</v>
      </c>
      <c r="AO1343" s="2">
        <f t="shared" si="29"/>
      </c>
      <c r="AP1343" s="2">
        <f t="shared" si="30"/>
      </c>
      <c r="AQ1343" s="2">
        <f t="shared" si="31"/>
      </c>
    </row>
    <row r="1344">
      <c r="A1344" s="43">
        <f t="shared" si="3"/>
      </c>
      <c r="B1344" s="44" t="n"/>
      <c r="C1344" s="45" t="n"/>
      <c r="D1344" s="46" t="n"/>
      <c r="E1344" s="47" t="n"/>
      <c r="F1344" s="47" t="n"/>
      <c r="G1344" s="48">
        <f t="shared" si="4"/>
      </c>
      <c r="H1344" s="43">
        <f t="shared" si="0"/>
      </c>
      <c r="I1344" s="43">
        <f t="shared" si="5"/>
      </c>
      <c r="J1344" s="43">
        <f t="shared" si="1"/>
      </c>
      <c r="K1344" s="49">
        <f t="shared" si="2"/>
      </c>
      <c r="L1344" s="45" t="n"/>
      <c r="M1344" s="45" t="n"/>
      <c r="N1344" s="45" t="n"/>
      <c r="O1344" s="45" t="n"/>
      <c r="P1344" s="50" t="n"/>
      <c r="R1344" s="2">
        <f t="shared" si="6"/>
        <v>0</v>
      </c>
      <c r="S1344" s="2">
        <f t="shared" si="7"/>
      </c>
      <c r="T1344" s="2">
        <f t="shared" si="8"/>
      </c>
      <c r="U1344" s="2">
        <f t="shared" si="9"/>
      </c>
      <c r="V1344" s="2">
        <f t="shared" si="10"/>
      </c>
      <c r="W1344" s="2">
        <f t="shared" si="11"/>
      </c>
      <c r="X1344" s="2">
        <f t="shared" si="12"/>
      </c>
      <c r="Y1344" s="2">
        <f t="shared" si="13"/>
        <v>0</v>
      </c>
      <c r="Z1344" s="2">
        <f t="shared" si="14"/>
      </c>
      <c r="AA1344" s="2">
        <f t="shared" si="15"/>
        <v>0</v>
      </c>
      <c r="AB1344" s="2">
        <f t="shared" si="16"/>
      </c>
      <c r="AC1344" s="2">
        <f t="shared" si="17"/>
      </c>
      <c r="AD1344" s="2">
        <f t="shared" si="18"/>
      </c>
      <c r="AE1344" s="2">
        <f t="shared" si="19"/>
      </c>
      <c r="AF1344" s="2">
        <f t="shared" si="20"/>
      </c>
      <c r="AG1344" s="2">
        <f t="shared" si="21"/>
      </c>
      <c r="AH1344" s="2">
        <f t="shared" si="22"/>
      </c>
      <c r="AI1344" s="2">
        <f t="shared" si="23"/>
      </c>
      <c r="AJ1344" s="2">
        <f t="shared" si="24"/>
        <v>0</v>
      </c>
      <c r="AK1344" s="2">
        <f t="shared" si="25"/>
        <v>0</v>
      </c>
      <c r="AL1344" s="2">
        <f t="shared" si="26"/>
        <v>0</v>
      </c>
      <c r="AM1344" s="2">
        <f t="shared" si="27"/>
        <v>0</v>
      </c>
      <c r="AN1344" s="2">
        <f t="shared" si="28"/>
        <v>0</v>
      </c>
      <c r="AO1344" s="2">
        <f t="shared" si="29"/>
      </c>
      <c r="AP1344" s="2">
        <f t="shared" si="30"/>
      </c>
      <c r="AQ1344" s="2">
        <f t="shared" si="31"/>
      </c>
    </row>
    <row r="1345">
      <c r="A1345" s="43">
        <f t="shared" si="3"/>
      </c>
      <c r="B1345" s="44" t="n"/>
      <c r="C1345" s="45" t="n"/>
      <c r="D1345" s="46" t="n"/>
      <c r="E1345" s="47" t="n"/>
      <c r="F1345" s="47" t="n"/>
      <c r="G1345" s="48">
        <f t="shared" si="4"/>
      </c>
      <c r="H1345" s="43">
        <f t="shared" si="0"/>
      </c>
      <c r="I1345" s="43">
        <f t="shared" si="5"/>
      </c>
      <c r="J1345" s="43">
        <f t="shared" si="1"/>
      </c>
      <c r="K1345" s="49">
        <f t="shared" si="2"/>
      </c>
      <c r="L1345" s="45" t="n"/>
      <c r="M1345" s="45" t="n"/>
      <c r="N1345" s="45" t="n"/>
      <c r="O1345" s="45" t="n"/>
      <c r="P1345" s="50" t="n"/>
      <c r="R1345" s="2">
        <f t="shared" si="6"/>
        <v>0</v>
      </c>
      <c r="S1345" s="2">
        <f t="shared" si="7"/>
      </c>
      <c r="T1345" s="2">
        <f t="shared" si="8"/>
      </c>
      <c r="U1345" s="2">
        <f t="shared" si="9"/>
      </c>
      <c r="V1345" s="2">
        <f t="shared" si="10"/>
      </c>
      <c r="W1345" s="2">
        <f t="shared" si="11"/>
      </c>
      <c r="X1345" s="2">
        <f t="shared" si="12"/>
      </c>
      <c r="Y1345" s="2">
        <f t="shared" si="13"/>
        <v>0</v>
      </c>
      <c r="Z1345" s="2">
        <f t="shared" si="14"/>
      </c>
      <c r="AA1345" s="2">
        <f t="shared" si="15"/>
        <v>0</v>
      </c>
      <c r="AB1345" s="2">
        <f t="shared" si="16"/>
      </c>
      <c r="AC1345" s="2">
        <f t="shared" si="17"/>
      </c>
      <c r="AD1345" s="2">
        <f t="shared" si="18"/>
      </c>
      <c r="AE1345" s="2">
        <f t="shared" si="19"/>
      </c>
      <c r="AF1345" s="2">
        <f t="shared" si="20"/>
      </c>
      <c r="AG1345" s="2">
        <f t="shared" si="21"/>
      </c>
      <c r="AH1345" s="2">
        <f t="shared" si="22"/>
      </c>
      <c r="AI1345" s="2">
        <f t="shared" si="23"/>
      </c>
      <c r="AJ1345" s="2">
        <f t="shared" si="24"/>
        <v>0</v>
      </c>
      <c r="AK1345" s="2">
        <f t="shared" si="25"/>
        <v>0</v>
      </c>
      <c r="AL1345" s="2">
        <f t="shared" si="26"/>
        <v>0</v>
      </c>
      <c r="AM1345" s="2">
        <f t="shared" si="27"/>
        <v>0</v>
      </c>
      <c r="AN1345" s="2">
        <f t="shared" si="28"/>
        <v>0</v>
      </c>
      <c r="AO1345" s="2">
        <f t="shared" si="29"/>
      </c>
      <c r="AP1345" s="2">
        <f t="shared" si="30"/>
      </c>
      <c r="AQ1345" s="2">
        <f t="shared" si="31"/>
      </c>
    </row>
    <row r="1346">
      <c r="A1346" s="43">
        <f t="shared" si="3"/>
      </c>
      <c r="B1346" s="44" t="n"/>
      <c r="C1346" s="45" t="n"/>
      <c r="D1346" s="46" t="n"/>
      <c r="E1346" s="47" t="n"/>
      <c r="F1346" s="47" t="n"/>
      <c r="G1346" s="48">
        <f t="shared" si="4"/>
      </c>
      <c r="H1346" s="43">
        <f t="shared" si="0"/>
      </c>
      <c r="I1346" s="43">
        <f t="shared" si="5"/>
      </c>
      <c r="J1346" s="43">
        <f t="shared" si="1"/>
      </c>
      <c r="K1346" s="49">
        <f t="shared" si="2"/>
      </c>
      <c r="L1346" s="45" t="n"/>
      <c r="M1346" s="45" t="n"/>
      <c r="N1346" s="45" t="n"/>
      <c r="O1346" s="45" t="n"/>
      <c r="P1346" s="50" t="n"/>
      <c r="R1346" s="2">
        <f t="shared" si="6"/>
        <v>0</v>
      </c>
      <c r="S1346" s="2">
        <f t="shared" si="7"/>
      </c>
      <c r="T1346" s="2">
        <f t="shared" si="8"/>
      </c>
      <c r="U1346" s="2">
        <f t="shared" si="9"/>
      </c>
      <c r="V1346" s="2">
        <f t="shared" si="10"/>
      </c>
      <c r="W1346" s="2">
        <f t="shared" si="11"/>
      </c>
      <c r="X1346" s="2">
        <f t="shared" si="12"/>
      </c>
      <c r="Y1346" s="2">
        <f t="shared" si="13"/>
        <v>0</v>
      </c>
      <c r="Z1346" s="2">
        <f t="shared" si="14"/>
      </c>
      <c r="AA1346" s="2">
        <f t="shared" si="15"/>
        <v>0</v>
      </c>
      <c r="AB1346" s="2">
        <f t="shared" si="16"/>
      </c>
      <c r="AC1346" s="2">
        <f t="shared" si="17"/>
      </c>
      <c r="AD1346" s="2">
        <f t="shared" si="18"/>
      </c>
      <c r="AE1346" s="2">
        <f t="shared" si="19"/>
      </c>
      <c r="AF1346" s="2">
        <f t="shared" si="20"/>
      </c>
      <c r="AG1346" s="2">
        <f t="shared" si="21"/>
      </c>
      <c r="AH1346" s="2">
        <f t="shared" si="22"/>
      </c>
      <c r="AI1346" s="2">
        <f t="shared" si="23"/>
      </c>
      <c r="AJ1346" s="2">
        <f t="shared" si="24"/>
        <v>0</v>
      </c>
      <c r="AK1346" s="2">
        <f t="shared" si="25"/>
        <v>0</v>
      </c>
      <c r="AL1346" s="2">
        <f t="shared" si="26"/>
        <v>0</v>
      </c>
      <c r="AM1346" s="2">
        <f t="shared" si="27"/>
        <v>0</v>
      </c>
      <c r="AN1346" s="2">
        <f t="shared" si="28"/>
        <v>0</v>
      </c>
      <c r="AO1346" s="2">
        <f t="shared" si="29"/>
      </c>
      <c r="AP1346" s="2">
        <f t="shared" si="30"/>
      </c>
      <c r="AQ1346" s="2">
        <f t="shared" si="31"/>
      </c>
    </row>
    <row r="1347">
      <c r="A1347" s="43">
        <f t="shared" si="3"/>
      </c>
      <c r="B1347" s="44" t="n"/>
      <c r="C1347" s="45" t="n"/>
      <c r="D1347" s="46" t="n"/>
      <c r="E1347" s="47" t="n"/>
      <c r="F1347" s="47" t="n"/>
      <c r="G1347" s="48">
        <f t="shared" si="4"/>
      </c>
      <c r="H1347" s="43">
        <f t="shared" si="0"/>
      </c>
      <c r="I1347" s="43">
        <f t="shared" si="5"/>
      </c>
      <c r="J1347" s="43">
        <f t="shared" si="1"/>
      </c>
      <c r="K1347" s="49">
        <f t="shared" si="2"/>
      </c>
      <c r="L1347" s="45" t="n"/>
      <c r="M1347" s="45" t="n"/>
      <c r="N1347" s="45" t="n"/>
      <c r="O1347" s="45" t="n"/>
      <c r="P1347" s="50" t="n"/>
      <c r="R1347" s="2">
        <f t="shared" si="6"/>
        <v>0</v>
      </c>
      <c r="S1347" s="2">
        <f t="shared" si="7"/>
      </c>
      <c r="T1347" s="2">
        <f t="shared" si="8"/>
      </c>
      <c r="U1347" s="2">
        <f t="shared" si="9"/>
      </c>
      <c r="V1347" s="2">
        <f t="shared" si="10"/>
      </c>
      <c r="W1347" s="2">
        <f t="shared" si="11"/>
      </c>
      <c r="X1347" s="2">
        <f t="shared" si="12"/>
      </c>
      <c r="Y1347" s="2">
        <f t="shared" si="13"/>
        <v>0</v>
      </c>
      <c r="Z1347" s="2">
        <f t="shared" si="14"/>
      </c>
      <c r="AA1347" s="2">
        <f t="shared" si="15"/>
        <v>0</v>
      </c>
      <c r="AB1347" s="2">
        <f t="shared" si="16"/>
      </c>
      <c r="AC1347" s="2">
        <f t="shared" si="17"/>
      </c>
      <c r="AD1347" s="2">
        <f t="shared" si="18"/>
      </c>
      <c r="AE1347" s="2">
        <f t="shared" si="19"/>
      </c>
      <c r="AF1347" s="2">
        <f t="shared" si="20"/>
      </c>
      <c r="AG1347" s="2">
        <f t="shared" si="21"/>
      </c>
      <c r="AH1347" s="2">
        <f t="shared" si="22"/>
      </c>
      <c r="AI1347" s="2">
        <f t="shared" si="23"/>
      </c>
      <c r="AJ1347" s="2">
        <f t="shared" si="24"/>
        <v>0</v>
      </c>
      <c r="AK1347" s="2">
        <f t="shared" si="25"/>
        <v>0</v>
      </c>
      <c r="AL1347" s="2">
        <f t="shared" si="26"/>
        <v>0</v>
      </c>
      <c r="AM1347" s="2">
        <f t="shared" si="27"/>
        <v>0</v>
      </c>
      <c r="AN1347" s="2">
        <f t="shared" si="28"/>
        <v>0</v>
      </c>
      <c r="AO1347" s="2">
        <f t="shared" si="29"/>
      </c>
      <c r="AP1347" s="2">
        <f t="shared" si="30"/>
      </c>
      <c r="AQ1347" s="2">
        <f t="shared" si="31"/>
      </c>
    </row>
    <row r="1348">
      <c r="A1348" s="43">
        <f t="shared" si="3"/>
      </c>
      <c r="B1348" s="44" t="n"/>
      <c r="C1348" s="45" t="n"/>
      <c r="D1348" s="46" t="n"/>
      <c r="E1348" s="47" t="n"/>
      <c r="F1348" s="47" t="n"/>
      <c r="G1348" s="48">
        <f t="shared" si="4"/>
      </c>
      <c r="H1348" s="43">
        <f t="shared" si="0"/>
      </c>
      <c r="I1348" s="43">
        <f t="shared" si="5"/>
      </c>
      <c r="J1348" s="43">
        <f t="shared" si="1"/>
      </c>
      <c r="K1348" s="49">
        <f t="shared" si="2"/>
      </c>
      <c r="L1348" s="45" t="n"/>
      <c r="M1348" s="45" t="n"/>
      <c r="N1348" s="45" t="n"/>
      <c r="O1348" s="45" t="n"/>
      <c r="P1348" s="50" t="n"/>
      <c r="R1348" s="2">
        <f t="shared" si="6"/>
        <v>0</v>
      </c>
      <c r="S1348" s="2">
        <f t="shared" si="7"/>
      </c>
      <c r="T1348" s="2">
        <f t="shared" si="8"/>
      </c>
      <c r="U1348" s="2">
        <f t="shared" si="9"/>
      </c>
      <c r="V1348" s="2">
        <f t="shared" si="10"/>
      </c>
      <c r="W1348" s="2">
        <f t="shared" si="11"/>
      </c>
      <c r="X1348" s="2">
        <f t="shared" si="12"/>
      </c>
      <c r="Y1348" s="2">
        <f t="shared" si="13"/>
        <v>0</v>
      </c>
      <c r="Z1348" s="2">
        <f t="shared" si="14"/>
      </c>
      <c r="AA1348" s="2">
        <f t="shared" si="15"/>
        <v>0</v>
      </c>
      <c r="AB1348" s="2">
        <f t="shared" si="16"/>
      </c>
      <c r="AC1348" s="2">
        <f t="shared" si="17"/>
      </c>
      <c r="AD1348" s="2">
        <f t="shared" si="18"/>
      </c>
      <c r="AE1348" s="2">
        <f t="shared" si="19"/>
      </c>
      <c r="AF1348" s="2">
        <f t="shared" si="20"/>
      </c>
      <c r="AG1348" s="2">
        <f t="shared" si="21"/>
      </c>
      <c r="AH1348" s="2">
        <f t="shared" si="22"/>
      </c>
      <c r="AI1348" s="2">
        <f t="shared" si="23"/>
      </c>
      <c r="AJ1348" s="2">
        <f t="shared" si="24"/>
        <v>0</v>
      </c>
      <c r="AK1348" s="2">
        <f t="shared" si="25"/>
        <v>0</v>
      </c>
      <c r="AL1348" s="2">
        <f t="shared" si="26"/>
        <v>0</v>
      </c>
      <c r="AM1348" s="2">
        <f t="shared" si="27"/>
        <v>0</v>
      </c>
      <c r="AN1348" s="2">
        <f t="shared" si="28"/>
        <v>0</v>
      </c>
      <c r="AO1348" s="2">
        <f t="shared" si="29"/>
      </c>
      <c r="AP1348" s="2">
        <f t="shared" si="30"/>
      </c>
      <c r="AQ1348" s="2">
        <f t="shared" si="31"/>
      </c>
    </row>
    <row r="1349">
      <c r="A1349" s="43">
        <f t="shared" si="3"/>
      </c>
      <c r="B1349" s="44" t="n"/>
      <c r="C1349" s="45" t="n"/>
      <c r="D1349" s="46" t="n"/>
      <c r="E1349" s="47" t="n"/>
      <c r="F1349" s="47" t="n"/>
      <c r="G1349" s="48">
        <f t="shared" si="4"/>
      </c>
      <c r="H1349" s="43">
        <f t="shared" si="0"/>
      </c>
      <c r="I1349" s="43">
        <f t="shared" si="5"/>
      </c>
      <c r="J1349" s="43">
        <f t="shared" si="1"/>
      </c>
      <c r="K1349" s="49">
        <f t="shared" si="2"/>
      </c>
      <c r="L1349" s="45" t="n"/>
      <c r="M1349" s="45" t="n"/>
      <c r="N1349" s="45" t="n"/>
      <c r="O1349" s="45" t="n"/>
      <c r="P1349" s="50" t="n"/>
      <c r="R1349" s="2">
        <f t="shared" si="6"/>
        <v>0</v>
      </c>
      <c r="S1349" s="2">
        <f t="shared" si="7"/>
      </c>
      <c r="T1349" s="2">
        <f t="shared" si="8"/>
      </c>
      <c r="U1349" s="2">
        <f t="shared" si="9"/>
      </c>
      <c r="V1349" s="2">
        <f t="shared" si="10"/>
      </c>
      <c r="W1349" s="2">
        <f t="shared" si="11"/>
      </c>
      <c r="X1349" s="2">
        <f t="shared" si="12"/>
      </c>
      <c r="Y1349" s="2">
        <f t="shared" si="13"/>
        <v>0</v>
      </c>
      <c r="Z1349" s="2">
        <f t="shared" si="14"/>
      </c>
      <c r="AA1349" s="2">
        <f t="shared" si="15"/>
        <v>0</v>
      </c>
      <c r="AB1349" s="2">
        <f t="shared" si="16"/>
      </c>
      <c r="AC1349" s="2">
        <f t="shared" si="17"/>
      </c>
      <c r="AD1349" s="2">
        <f t="shared" si="18"/>
      </c>
      <c r="AE1349" s="2">
        <f t="shared" si="19"/>
      </c>
      <c r="AF1349" s="2">
        <f t="shared" si="20"/>
      </c>
      <c r="AG1349" s="2">
        <f t="shared" si="21"/>
      </c>
      <c r="AH1349" s="2">
        <f t="shared" si="22"/>
      </c>
      <c r="AI1349" s="2">
        <f t="shared" si="23"/>
      </c>
      <c r="AJ1349" s="2">
        <f t="shared" si="24"/>
        <v>0</v>
      </c>
      <c r="AK1349" s="2">
        <f t="shared" si="25"/>
        <v>0</v>
      </c>
      <c r="AL1349" s="2">
        <f t="shared" si="26"/>
        <v>0</v>
      </c>
      <c r="AM1349" s="2">
        <f t="shared" si="27"/>
        <v>0</v>
      </c>
      <c r="AN1349" s="2">
        <f t="shared" si="28"/>
        <v>0</v>
      </c>
      <c r="AO1349" s="2">
        <f t="shared" si="29"/>
      </c>
      <c r="AP1349" s="2">
        <f t="shared" si="30"/>
      </c>
      <c r="AQ1349" s="2">
        <f t="shared" si="31"/>
      </c>
    </row>
    <row r="1350">
      <c r="A1350" s="43">
        <f t="shared" si="3"/>
      </c>
      <c r="B1350" s="44" t="n"/>
      <c r="C1350" s="45" t="n"/>
      <c r="D1350" s="46" t="n"/>
      <c r="E1350" s="47" t="n"/>
      <c r="F1350" s="47" t="n"/>
      <c r="G1350" s="48">
        <f t="shared" si="4"/>
      </c>
      <c r="H1350" s="43">
        <f t="shared" si="0"/>
      </c>
      <c r="I1350" s="43">
        <f t="shared" si="5"/>
      </c>
      <c r="J1350" s="43">
        <f t="shared" si="1"/>
      </c>
      <c r="K1350" s="49">
        <f t="shared" si="2"/>
      </c>
      <c r="L1350" s="45" t="n"/>
      <c r="M1350" s="45" t="n"/>
      <c r="N1350" s="45" t="n"/>
      <c r="O1350" s="45" t="n"/>
      <c r="P1350" s="50" t="n"/>
      <c r="R1350" s="2">
        <f t="shared" si="6"/>
        <v>0</v>
      </c>
      <c r="S1350" s="2">
        <f t="shared" si="7"/>
      </c>
      <c r="T1350" s="2">
        <f t="shared" si="8"/>
      </c>
      <c r="U1350" s="2">
        <f t="shared" si="9"/>
      </c>
      <c r="V1350" s="2">
        <f t="shared" si="10"/>
      </c>
      <c r="W1350" s="2">
        <f t="shared" si="11"/>
      </c>
      <c r="X1350" s="2">
        <f t="shared" si="12"/>
      </c>
      <c r="Y1350" s="2">
        <f t="shared" si="13"/>
        <v>0</v>
      </c>
      <c r="Z1350" s="2">
        <f t="shared" si="14"/>
      </c>
      <c r="AA1350" s="2">
        <f t="shared" si="15"/>
        <v>0</v>
      </c>
      <c r="AB1350" s="2">
        <f t="shared" si="16"/>
      </c>
      <c r="AC1350" s="2">
        <f t="shared" si="17"/>
      </c>
      <c r="AD1350" s="2">
        <f t="shared" si="18"/>
      </c>
      <c r="AE1350" s="2">
        <f t="shared" si="19"/>
      </c>
      <c r="AF1350" s="2">
        <f t="shared" si="20"/>
      </c>
      <c r="AG1350" s="2">
        <f t="shared" si="21"/>
      </c>
      <c r="AH1350" s="2">
        <f t="shared" si="22"/>
      </c>
      <c r="AI1350" s="2">
        <f t="shared" si="23"/>
      </c>
      <c r="AJ1350" s="2">
        <f t="shared" si="24"/>
        <v>0</v>
      </c>
      <c r="AK1350" s="2">
        <f t="shared" si="25"/>
        <v>0</v>
      </c>
      <c r="AL1350" s="2">
        <f t="shared" si="26"/>
        <v>0</v>
      </c>
      <c r="AM1350" s="2">
        <f t="shared" si="27"/>
        <v>0</v>
      </c>
      <c r="AN1350" s="2">
        <f t="shared" si="28"/>
        <v>0</v>
      </c>
      <c r="AO1350" s="2">
        <f t="shared" si="29"/>
      </c>
      <c r="AP1350" s="2">
        <f t="shared" si="30"/>
      </c>
      <c r="AQ1350" s="2">
        <f t="shared" si="31"/>
      </c>
    </row>
    <row r="1351">
      <c r="A1351" s="43">
        <f t="shared" si="3"/>
      </c>
      <c r="B1351" s="44" t="n"/>
      <c r="C1351" s="45" t="n"/>
      <c r="D1351" s="46" t="n"/>
      <c r="E1351" s="47" t="n"/>
      <c r="F1351" s="47" t="n"/>
      <c r="G1351" s="48">
        <f t="shared" si="4"/>
      </c>
      <c r="H1351" s="43">
        <f t="shared" si="0"/>
      </c>
      <c r="I1351" s="43">
        <f t="shared" si="5"/>
      </c>
      <c r="J1351" s="43">
        <f t="shared" si="1"/>
      </c>
      <c r="K1351" s="49">
        <f t="shared" si="2"/>
      </c>
      <c r="L1351" s="45" t="n"/>
      <c r="M1351" s="45" t="n"/>
      <c r="N1351" s="45" t="n"/>
      <c r="O1351" s="45" t="n"/>
      <c r="P1351" s="50" t="n"/>
      <c r="R1351" s="2">
        <f t="shared" si="6"/>
        <v>0</v>
      </c>
      <c r="S1351" s="2">
        <f t="shared" si="7"/>
      </c>
      <c r="T1351" s="2">
        <f t="shared" si="8"/>
      </c>
      <c r="U1351" s="2">
        <f t="shared" si="9"/>
      </c>
      <c r="V1351" s="2">
        <f t="shared" si="10"/>
      </c>
      <c r="W1351" s="2">
        <f t="shared" si="11"/>
      </c>
      <c r="X1351" s="2">
        <f t="shared" si="12"/>
      </c>
      <c r="Y1351" s="2">
        <f t="shared" si="13"/>
        <v>0</v>
      </c>
      <c r="Z1351" s="2">
        <f t="shared" si="14"/>
      </c>
      <c r="AA1351" s="2">
        <f t="shared" si="15"/>
        <v>0</v>
      </c>
      <c r="AB1351" s="2">
        <f t="shared" si="16"/>
      </c>
      <c r="AC1351" s="2">
        <f t="shared" si="17"/>
      </c>
      <c r="AD1351" s="2">
        <f t="shared" si="18"/>
      </c>
      <c r="AE1351" s="2">
        <f t="shared" si="19"/>
      </c>
      <c r="AF1351" s="2">
        <f t="shared" si="20"/>
      </c>
      <c r="AG1351" s="2">
        <f t="shared" si="21"/>
      </c>
      <c r="AH1351" s="2">
        <f t="shared" si="22"/>
      </c>
      <c r="AI1351" s="2">
        <f t="shared" si="23"/>
      </c>
      <c r="AJ1351" s="2">
        <f t="shared" si="24"/>
        <v>0</v>
      </c>
      <c r="AK1351" s="2">
        <f t="shared" si="25"/>
        <v>0</v>
      </c>
      <c r="AL1351" s="2">
        <f t="shared" si="26"/>
        <v>0</v>
      </c>
      <c r="AM1351" s="2">
        <f t="shared" si="27"/>
        <v>0</v>
      </c>
      <c r="AN1351" s="2">
        <f t="shared" si="28"/>
        <v>0</v>
      </c>
      <c r="AO1351" s="2">
        <f t="shared" si="29"/>
      </c>
      <c r="AP1351" s="2">
        <f t="shared" si="30"/>
      </c>
      <c r="AQ1351" s="2">
        <f t="shared" si="31"/>
      </c>
    </row>
    <row r="1352">
      <c r="A1352" s="43">
        <f t="shared" si="3"/>
      </c>
      <c r="B1352" s="44" t="n"/>
      <c r="C1352" s="45" t="n"/>
      <c r="D1352" s="46" t="n"/>
      <c r="E1352" s="47" t="n"/>
      <c r="F1352" s="47" t="n"/>
      <c r="G1352" s="48">
        <f t="shared" si="4"/>
      </c>
      <c r="H1352" s="43">
        <f t="shared" si="0"/>
      </c>
      <c r="I1352" s="43">
        <f t="shared" si="5"/>
      </c>
      <c r="J1352" s="43">
        <f t="shared" si="1"/>
      </c>
      <c r="K1352" s="49">
        <f t="shared" si="2"/>
      </c>
      <c r="L1352" s="45" t="n"/>
      <c r="M1352" s="45" t="n"/>
      <c r="N1352" s="45" t="n"/>
      <c r="O1352" s="45" t="n"/>
      <c r="P1352" s="50" t="n"/>
      <c r="R1352" s="2">
        <f t="shared" si="6"/>
        <v>0</v>
      </c>
      <c r="S1352" s="2">
        <f t="shared" si="7"/>
      </c>
      <c r="T1352" s="2">
        <f t="shared" si="8"/>
      </c>
      <c r="U1352" s="2">
        <f t="shared" si="9"/>
      </c>
      <c r="V1352" s="2">
        <f t="shared" si="10"/>
      </c>
      <c r="W1352" s="2">
        <f t="shared" si="11"/>
      </c>
      <c r="X1352" s="2">
        <f t="shared" si="12"/>
      </c>
      <c r="Y1352" s="2">
        <f t="shared" si="13"/>
        <v>0</v>
      </c>
      <c r="Z1352" s="2">
        <f t="shared" si="14"/>
      </c>
      <c r="AA1352" s="2">
        <f t="shared" si="15"/>
        <v>0</v>
      </c>
      <c r="AB1352" s="2">
        <f t="shared" si="16"/>
      </c>
      <c r="AC1352" s="2">
        <f t="shared" si="17"/>
      </c>
      <c r="AD1352" s="2">
        <f t="shared" si="18"/>
      </c>
      <c r="AE1352" s="2">
        <f t="shared" si="19"/>
      </c>
      <c r="AF1352" s="2">
        <f t="shared" si="20"/>
      </c>
      <c r="AG1352" s="2">
        <f t="shared" si="21"/>
      </c>
      <c r="AH1352" s="2">
        <f t="shared" si="22"/>
      </c>
      <c r="AI1352" s="2">
        <f t="shared" si="23"/>
      </c>
      <c r="AJ1352" s="2">
        <f t="shared" si="24"/>
        <v>0</v>
      </c>
      <c r="AK1352" s="2">
        <f t="shared" si="25"/>
        <v>0</v>
      </c>
      <c r="AL1352" s="2">
        <f t="shared" si="26"/>
        <v>0</v>
      </c>
      <c r="AM1352" s="2">
        <f t="shared" si="27"/>
        <v>0</v>
      </c>
      <c r="AN1352" s="2">
        <f t="shared" si="28"/>
        <v>0</v>
      </c>
      <c r="AO1352" s="2">
        <f t="shared" si="29"/>
      </c>
      <c r="AP1352" s="2">
        <f t="shared" si="30"/>
      </c>
      <c r="AQ1352" s="2">
        <f t="shared" si="31"/>
      </c>
    </row>
    <row r="1353">
      <c r="A1353" s="43">
        <f t="shared" si="3"/>
      </c>
      <c r="B1353" s="44" t="n"/>
      <c r="C1353" s="45" t="n"/>
      <c r="D1353" s="46" t="n"/>
      <c r="E1353" s="47" t="n"/>
      <c r="F1353" s="47" t="n"/>
      <c r="G1353" s="48">
        <f t="shared" si="4"/>
      </c>
      <c r="H1353" s="43">
        <f t="shared" si="0"/>
      </c>
      <c r="I1353" s="43">
        <f t="shared" si="5"/>
      </c>
      <c r="J1353" s="43">
        <f t="shared" si="1"/>
      </c>
      <c r="K1353" s="49">
        <f t="shared" si="2"/>
      </c>
      <c r="L1353" s="45" t="n"/>
      <c r="M1353" s="45" t="n"/>
      <c r="N1353" s="45" t="n"/>
      <c r="O1353" s="45" t="n"/>
      <c r="P1353" s="50" t="n"/>
      <c r="R1353" s="2">
        <f t="shared" si="6"/>
        <v>0</v>
      </c>
      <c r="S1353" s="2">
        <f t="shared" si="7"/>
      </c>
      <c r="T1353" s="2">
        <f t="shared" si="8"/>
      </c>
      <c r="U1353" s="2">
        <f t="shared" si="9"/>
      </c>
      <c r="V1353" s="2">
        <f t="shared" si="10"/>
      </c>
      <c r="W1353" s="2">
        <f t="shared" si="11"/>
      </c>
      <c r="X1353" s="2">
        <f t="shared" si="12"/>
      </c>
      <c r="Y1353" s="2">
        <f t="shared" si="13"/>
        <v>0</v>
      </c>
      <c r="Z1353" s="2">
        <f t="shared" si="14"/>
      </c>
      <c r="AA1353" s="2">
        <f t="shared" si="15"/>
        <v>0</v>
      </c>
      <c r="AB1353" s="2">
        <f t="shared" si="16"/>
      </c>
      <c r="AC1353" s="2">
        <f t="shared" si="17"/>
      </c>
      <c r="AD1353" s="2">
        <f t="shared" si="18"/>
      </c>
      <c r="AE1353" s="2">
        <f t="shared" si="19"/>
      </c>
      <c r="AF1353" s="2">
        <f t="shared" si="20"/>
      </c>
      <c r="AG1353" s="2">
        <f t="shared" si="21"/>
      </c>
      <c r="AH1353" s="2">
        <f t="shared" si="22"/>
      </c>
      <c r="AI1353" s="2">
        <f t="shared" si="23"/>
      </c>
      <c r="AJ1353" s="2">
        <f t="shared" si="24"/>
        <v>0</v>
      </c>
      <c r="AK1353" s="2">
        <f t="shared" si="25"/>
        <v>0</v>
      </c>
      <c r="AL1353" s="2">
        <f t="shared" si="26"/>
        <v>0</v>
      </c>
      <c r="AM1353" s="2">
        <f t="shared" si="27"/>
        <v>0</v>
      </c>
      <c r="AN1353" s="2">
        <f t="shared" si="28"/>
        <v>0</v>
      </c>
      <c r="AO1353" s="2">
        <f t="shared" si="29"/>
      </c>
      <c r="AP1353" s="2">
        <f t="shared" si="30"/>
      </c>
      <c r="AQ1353" s="2">
        <f t="shared" si="31"/>
      </c>
    </row>
    <row r="1354">
      <c r="A1354" s="43">
        <f t="shared" si="3"/>
      </c>
      <c r="B1354" s="44" t="n"/>
      <c r="C1354" s="45" t="n"/>
      <c r="D1354" s="46" t="n"/>
      <c r="E1354" s="47" t="n"/>
      <c r="F1354" s="47" t="n"/>
      <c r="G1354" s="48">
        <f t="shared" si="4"/>
      </c>
      <c r="H1354" s="43">
        <f t="shared" si="0"/>
      </c>
      <c r="I1354" s="43">
        <f t="shared" si="5"/>
      </c>
      <c r="J1354" s="43">
        <f t="shared" si="1"/>
      </c>
      <c r="K1354" s="49">
        <f t="shared" si="2"/>
      </c>
      <c r="L1354" s="45" t="n"/>
      <c r="M1354" s="45" t="n"/>
      <c r="N1354" s="45" t="n"/>
      <c r="O1354" s="45" t="n"/>
      <c r="P1354" s="50" t="n"/>
      <c r="R1354" s="2">
        <f t="shared" si="6"/>
        <v>0</v>
      </c>
      <c r="S1354" s="2">
        <f t="shared" si="7"/>
      </c>
      <c r="T1354" s="2">
        <f t="shared" si="8"/>
      </c>
      <c r="U1354" s="2">
        <f t="shared" si="9"/>
      </c>
      <c r="V1354" s="2">
        <f t="shared" si="10"/>
      </c>
      <c r="W1354" s="2">
        <f t="shared" si="11"/>
      </c>
      <c r="X1354" s="2">
        <f t="shared" si="12"/>
      </c>
      <c r="Y1354" s="2">
        <f t="shared" si="13"/>
        <v>0</v>
      </c>
      <c r="Z1354" s="2">
        <f t="shared" si="14"/>
      </c>
      <c r="AA1354" s="2">
        <f t="shared" si="15"/>
        <v>0</v>
      </c>
      <c r="AB1354" s="2">
        <f t="shared" si="16"/>
      </c>
      <c r="AC1354" s="2">
        <f t="shared" si="17"/>
      </c>
      <c r="AD1354" s="2">
        <f t="shared" si="18"/>
      </c>
      <c r="AE1354" s="2">
        <f t="shared" si="19"/>
      </c>
      <c r="AF1354" s="2">
        <f t="shared" si="20"/>
      </c>
      <c r="AG1354" s="2">
        <f t="shared" si="21"/>
      </c>
      <c r="AH1354" s="2">
        <f t="shared" si="22"/>
      </c>
      <c r="AI1354" s="2">
        <f t="shared" si="23"/>
      </c>
      <c r="AJ1354" s="2">
        <f t="shared" si="24"/>
        <v>0</v>
      </c>
      <c r="AK1354" s="2">
        <f t="shared" si="25"/>
        <v>0</v>
      </c>
      <c r="AL1354" s="2">
        <f t="shared" si="26"/>
        <v>0</v>
      </c>
      <c r="AM1354" s="2">
        <f t="shared" si="27"/>
        <v>0</v>
      </c>
      <c r="AN1354" s="2">
        <f t="shared" si="28"/>
        <v>0</v>
      </c>
      <c r="AO1354" s="2">
        <f t="shared" si="29"/>
      </c>
      <c r="AP1354" s="2">
        <f t="shared" si="30"/>
      </c>
      <c r="AQ1354" s="2">
        <f t="shared" si="31"/>
      </c>
    </row>
    <row r="1355">
      <c r="A1355" s="43">
        <f t="shared" si="3"/>
      </c>
      <c r="B1355" s="44" t="n"/>
      <c r="C1355" s="45" t="n"/>
      <c r="D1355" s="46" t="n"/>
      <c r="E1355" s="47" t="n"/>
      <c r="F1355" s="47" t="n"/>
      <c r="G1355" s="48">
        <f t="shared" si="4"/>
      </c>
      <c r="H1355" s="43">
        <f t="shared" si="0"/>
      </c>
      <c r="I1355" s="43">
        <f t="shared" si="5"/>
      </c>
      <c r="J1355" s="43">
        <f t="shared" si="1"/>
      </c>
      <c r="K1355" s="49">
        <f t="shared" si="2"/>
      </c>
      <c r="L1355" s="45" t="n"/>
      <c r="M1355" s="45" t="n"/>
      <c r="N1355" s="45" t="n"/>
      <c r="O1355" s="45" t="n"/>
      <c r="P1355" s="50" t="n"/>
      <c r="R1355" s="2">
        <f t="shared" si="6"/>
        <v>0</v>
      </c>
      <c r="S1355" s="2">
        <f t="shared" si="7"/>
      </c>
      <c r="T1355" s="2">
        <f t="shared" si="8"/>
      </c>
      <c r="U1355" s="2">
        <f t="shared" si="9"/>
      </c>
      <c r="V1355" s="2">
        <f t="shared" si="10"/>
      </c>
      <c r="W1355" s="2">
        <f t="shared" si="11"/>
      </c>
      <c r="X1355" s="2">
        <f t="shared" si="12"/>
      </c>
      <c r="Y1355" s="2">
        <f t="shared" si="13"/>
        <v>0</v>
      </c>
      <c r="Z1355" s="2">
        <f t="shared" si="14"/>
      </c>
      <c r="AA1355" s="2">
        <f t="shared" si="15"/>
        <v>0</v>
      </c>
      <c r="AB1355" s="2">
        <f t="shared" si="16"/>
      </c>
      <c r="AC1355" s="2">
        <f t="shared" si="17"/>
      </c>
      <c r="AD1355" s="2">
        <f t="shared" si="18"/>
      </c>
      <c r="AE1355" s="2">
        <f t="shared" si="19"/>
      </c>
      <c r="AF1355" s="2">
        <f t="shared" si="20"/>
      </c>
      <c r="AG1355" s="2">
        <f t="shared" si="21"/>
      </c>
      <c r="AH1355" s="2">
        <f t="shared" si="22"/>
      </c>
      <c r="AI1355" s="2">
        <f t="shared" si="23"/>
      </c>
      <c r="AJ1355" s="2">
        <f t="shared" si="24"/>
        <v>0</v>
      </c>
      <c r="AK1355" s="2">
        <f t="shared" si="25"/>
        <v>0</v>
      </c>
      <c r="AL1355" s="2">
        <f t="shared" si="26"/>
        <v>0</v>
      </c>
      <c r="AM1355" s="2">
        <f t="shared" si="27"/>
        <v>0</v>
      </c>
      <c r="AN1355" s="2">
        <f t="shared" si="28"/>
        <v>0</v>
      </c>
      <c r="AO1355" s="2">
        <f t="shared" si="29"/>
      </c>
      <c r="AP1355" s="2">
        <f t="shared" si="30"/>
      </c>
      <c r="AQ1355" s="2">
        <f t="shared" si="31"/>
      </c>
    </row>
    <row r="1356">
      <c r="A1356" s="43">
        <f t="shared" si="3"/>
      </c>
      <c r="B1356" s="44" t="n"/>
      <c r="C1356" s="45" t="n"/>
      <c r="D1356" s="46" t="n"/>
      <c r="E1356" s="47" t="n"/>
      <c r="F1356" s="47" t="n"/>
      <c r="G1356" s="48">
        <f t="shared" si="4"/>
      </c>
      <c r="H1356" s="43">
        <f t="shared" si="0"/>
      </c>
      <c r="I1356" s="43">
        <f t="shared" si="5"/>
      </c>
      <c r="J1356" s="43">
        <f t="shared" si="1"/>
      </c>
      <c r="K1356" s="49">
        <f t="shared" si="2"/>
      </c>
      <c r="L1356" s="45" t="n"/>
      <c r="M1356" s="45" t="n"/>
      <c r="N1356" s="45" t="n"/>
      <c r="O1356" s="45" t="n"/>
      <c r="P1356" s="50" t="n"/>
      <c r="R1356" s="2">
        <f t="shared" si="6"/>
        <v>0</v>
      </c>
      <c r="S1356" s="2">
        <f t="shared" si="7"/>
      </c>
      <c r="T1356" s="2">
        <f t="shared" si="8"/>
      </c>
      <c r="U1356" s="2">
        <f t="shared" si="9"/>
      </c>
      <c r="V1356" s="2">
        <f t="shared" si="10"/>
      </c>
      <c r="W1356" s="2">
        <f t="shared" si="11"/>
      </c>
      <c r="X1356" s="2">
        <f t="shared" si="12"/>
      </c>
      <c r="Y1356" s="2">
        <f t="shared" si="13"/>
        <v>0</v>
      </c>
      <c r="Z1356" s="2">
        <f t="shared" si="14"/>
      </c>
      <c r="AA1356" s="2">
        <f t="shared" si="15"/>
        <v>0</v>
      </c>
      <c r="AB1356" s="2">
        <f t="shared" si="16"/>
      </c>
      <c r="AC1356" s="2">
        <f t="shared" si="17"/>
      </c>
      <c r="AD1356" s="2">
        <f t="shared" si="18"/>
      </c>
      <c r="AE1356" s="2">
        <f t="shared" si="19"/>
      </c>
      <c r="AF1356" s="2">
        <f t="shared" si="20"/>
      </c>
      <c r="AG1356" s="2">
        <f t="shared" si="21"/>
      </c>
      <c r="AH1356" s="2">
        <f t="shared" si="22"/>
      </c>
      <c r="AI1356" s="2">
        <f t="shared" si="23"/>
      </c>
      <c r="AJ1356" s="2">
        <f t="shared" si="24"/>
        <v>0</v>
      </c>
      <c r="AK1356" s="2">
        <f t="shared" si="25"/>
        <v>0</v>
      </c>
      <c r="AL1356" s="2">
        <f t="shared" si="26"/>
        <v>0</v>
      </c>
      <c r="AM1356" s="2">
        <f t="shared" si="27"/>
        <v>0</v>
      </c>
      <c r="AN1356" s="2">
        <f t="shared" si="28"/>
        <v>0</v>
      </c>
      <c r="AO1356" s="2">
        <f t="shared" si="29"/>
      </c>
      <c r="AP1356" s="2">
        <f t="shared" si="30"/>
      </c>
      <c r="AQ1356" s="2">
        <f t="shared" si="31"/>
      </c>
    </row>
    <row r="1357">
      <c r="A1357" s="43">
        <f t="shared" si="3"/>
      </c>
      <c r="B1357" s="44" t="n"/>
      <c r="C1357" s="45" t="n"/>
      <c r="D1357" s="46" t="n"/>
      <c r="E1357" s="47" t="n"/>
      <c r="F1357" s="47" t="n"/>
      <c r="G1357" s="48">
        <f t="shared" si="4"/>
      </c>
      <c r="H1357" s="43">
        <f t="shared" si="0"/>
      </c>
      <c r="I1357" s="43">
        <f t="shared" si="5"/>
      </c>
      <c r="J1357" s="43">
        <f t="shared" si="1"/>
      </c>
      <c r="K1357" s="49">
        <f t="shared" si="2"/>
      </c>
      <c r="L1357" s="45" t="n"/>
      <c r="M1357" s="45" t="n"/>
      <c r="N1357" s="45" t="n"/>
      <c r="O1357" s="45" t="n"/>
      <c r="P1357" s="50" t="n"/>
      <c r="R1357" s="2">
        <f t="shared" si="6"/>
        <v>0</v>
      </c>
      <c r="S1357" s="2">
        <f t="shared" si="7"/>
      </c>
      <c r="T1357" s="2">
        <f t="shared" si="8"/>
      </c>
      <c r="U1357" s="2">
        <f t="shared" si="9"/>
      </c>
      <c r="V1357" s="2">
        <f t="shared" si="10"/>
      </c>
      <c r="W1357" s="2">
        <f t="shared" si="11"/>
      </c>
      <c r="X1357" s="2">
        <f t="shared" si="12"/>
      </c>
      <c r="Y1357" s="2">
        <f t="shared" si="13"/>
        <v>0</v>
      </c>
      <c r="Z1357" s="2">
        <f t="shared" si="14"/>
      </c>
      <c r="AA1357" s="2">
        <f t="shared" si="15"/>
        <v>0</v>
      </c>
      <c r="AB1357" s="2">
        <f t="shared" si="16"/>
      </c>
      <c r="AC1357" s="2">
        <f t="shared" si="17"/>
      </c>
      <c r="AD1357" s="2">
        <f t="shared" si="18"/>
      </c>
      <c r="AE1357" s="2">
        <f t="shared" si="19"/>
      </c>
      <c r="AF1357" s="2">
        <f t="shared" si="20"/>
      </c>
      <c r="AG1357" s="2">
        <f t="shared" si="21"/>
      </c>
      <c r="AH1357" s="2">
        <f t="shared" si="22"/>
      </c>
      <c r="AI1357" s="2">
        <f t="shared" si="23"/>
      </c>
      <c r="AJ1357" s="2">
        <f t="shared" si="24"/>
        <v>0</v>
      </c>
      <c r="AK1357" s="2">
        <f t="shared" si="25"/>
        <v>0</v>
      </c>
      <c r="AL1357" s="2">
        <f t="shared" si="26"/>
        <v>0</v>
      </c>
      <c r="AM1357" s="2">
        <f t="shared" si="27"/>
        <v>0</v>
      </c>
      <c r="AN1357" s="2">
        <f t="shared" si="28"/>
        <v>0</v>
      </c>
      <c r="AO1357" s="2">
        <f t="shared" si="29"/>
      </c>
      <c r="AP1357" s="2">
        <f t="shared" si="30"/>
      </c>
      <c r="AQ1357" s="2">
        <f t="shared" si="31"/>
      </c>
    </row>
    <row r="1358">
      <c r="A1358" s="43">
        <f t="shared" si="3"/>
      </c>
      <c r="B1358" s="44" t="n"/>
      <c r="C1358" s="45" t="n"/>
      <c r="D1358" s="46" t="n"/>
      <c r="E1358" s="47" t="n"/>
      <c r="F1358" s="47" t="n"/>
      <c r="G1358" s="48">
        <f t="shared" si="4"/>
      </c>
      <c r="H1358" s="43">
        <f t="shared" si="0"/>
      </c>
      <c r="I1358" s="43">
        <f t="shared" si="5"/>
      </c>
      <c r="J1358" s="43">
        <f t="shared" si="1"/>
      </c>
      <c r="K1358" s="49">
        <f t="shared" si="2"/>
      </c>
      <c r="L1358" s="45" t="n"/>
      <c r="M1358" s="45" t="n"/>
      <c r="N1358" s="45" t="n"/>
      <c r="O1358" s="45" t="n"/>
      <c r="P1358" s="50" t="n"/>
      <c r="R1358" s="2">
        <f t="shared" si="6"/>
        <v>0</v>
      </c>
      <c r="S1358" s="2">
        <f t="shared" si="7"/>
      </c>
      <c r="T1358" s="2">
        <f t="shared" si="8"/>
      </c>
      <c r="U1358" s="2">
        <f t="shared" si="9"/>
      </c>
      <c r="V1358" s="2">
        <f t="shared" si="10"/>
      </c>
      <c r="W1358" s="2">
        <f t="shared" si="11"/>
      </c>
      <c r="X1358" s="2">
        <f t="shared" si="12"/>
      </c>
      <c r="Y1358" s="2">
        <f t="shared" si="13"/>
        <v>0</v>
      </c>
      <c r="Z1358" s="2">
        <f t="shared" si="14"/>
      </c>
      <c r="AA1358" s="2">
        <f t="shared" si="15"/>
        <v>0</v>
      </c>
      <c r="AB1358" s="2">
        <f t="shared" si="16"/>
      </c>
      <c r="AC1358" s="2">
        <f t="shared" si="17"/>
      </c>
      <c r="AD1358" s="2">
        <f t="shared" si="18"/>
      </c>
      <c r="AE1358" s="2">
        <f t="shared" si="19"/>
      </c>
      <c r="AF1358" s="2">
        <f t="shared" si="20"/>
      </c>
      <c r="AG1358" s="2">
        <f t="shared" si="21"/>
      </c>
      <c r="AH1358" s="2">
        <f t="shared" si="22"/>
      </c>
      <c r="AI1358" s="2">
        <f t="shared" si="23"/>
      </c>
      <c r="AJ1358" s="2">
        <f t="shared" si="24"/>
        <v>0</v>
      </c>
      <c r="AK1358" s="2">
        <f t="shared" si="25"/>
        <v>0</v>
      </c>
      <c r="AL1358" s="2">
        <f t="shared" si="26"/>
        <v>0</v>
      </c>
      <c r="AM1358" s="2">
        <f t="shared" si="27"/>
        <v>0</v>
      </c>
      <c r="AN1358" s="2">
        <f t="shared" si="28"/>
        <v>0</v>
      </c>
      <c r="AO1358" s="2">
        <f t="shared" si="29"/>
      </c>
      <c r="AP1358" s="2">
        <f t="shared" si="30"/>
      </c>
      <c r="AQ1358" s="2">
        <f t="shared" si="31"/>
      </c>
    </row>
    <row r="1359">
      <c r="A1359" s="43">
        <f t="shared" si="3"/>
      </c>
      <c r="B1359" s="44" t="n"/>
      <c r="C1359" s="45" t="n"/>
      <c r="D1359" s="46" t="n"/>
      <c r="E1359" s="47" t="n"/>
      <c r="F1359" s="47" t="n"/>
      <c r="G1359" s="48">
        <f t="shared" si="4"/>
      </c>
      <c r="H1359" s="43">
        <f t="shared" si="0"/>
      </c>
      <c r="I1359" s="43">
        <f t="shared" si="5"/>
      </c>
      <c r="J1359" s="43">
        <f t="shared" si="1"/>
      </c>
      <c r="K1359" s="49">
        <f t="shared" si="2"/>
      </c>
      <c r="L1359" s="45" t="n"/>
      <c r="M1359" s="45" t="n"/>
      <c r="N1359" s="45" t="n"/>
      <c r="O1359" s="45" t="n"/>
      <c r="P1359" s="50" t="n"/>
      <c r="R1359" s="2">
        <f t="shared" si="6"/>
        <v>0</v>
      </c>
      <c r="S1359" s="2">
        <f t="shared" si="7"/>
      </c>
      <c r="T1359" s="2">
        <f t="shared" si="8"/>
      </c>
      <c r="U1359" s="2">
        <f t="shared" si="9"/>
      </c>
      <c r="V1359" s="2">
        <f t="shared" si="10"/>
      </c>
      <c r="W1359" s="2">
        <f t="shared" si="11"/>
      </c>
      <c r="X1359" s="2">
        <f t="shared" si="12"/>
      </c>
      <c r="Y1359" s="2">
        <f t="shared" si="13"/>
        <v>0</v>
      </c>
      <c r="Z1359" s="2">
        <f t="shared" si="14"/>
      </c>
      <c r="AA1359" s="2">
        <f t="shared" si="15"/>
        <v>0</v>
      </c>
      <c r="AB1359" s="2">
        <f t="shared" si="16"/>
      </c>
      <c r="AC1359" s="2">
        <f t="shared" si="17"/>
      </c>
      <c r="AD1359" s="2">
        <f t="shared" si="18"/>
      </c>
      <c r="AE1359" s="2">
        <f t="shared" si="19"/>
      </c>
      <c r="AF1359" s="2">
        <f t="shared" si="20"/>
      </c>
      <c r="AG1359" s="2">
        <f t="shared" si="21"/>
      </c>
      <c r="AH1359" s="2">
        <f t="shared" si="22"/>
      </c>
      <c r="AI1359" s="2">
        <f t="shared" si="23"/>
      </c>
      <c r="AJ1359" s="2">
        <f t="shared" si="24"/>
        <v>0</v>
      </c>
      <c r="AK1359" s="2">
        <f t="shared" si="25"/>
        <v>0</v>
      </c>
      <c r="AL1359" s="2">
        <f t="shared" si="26"/>
        <v>0</v>
      </c>
      <c r="AM1359" s="2">
        <f t="shared" si="27"/>
        <v>0</v>
      </c>
      <c r="AN1359" s="2">
        <f t="shared" si="28"/>
        <v>0</v>
      </c>
      <c r="AO1359" s="2">
        <f t="shared" si="29"/>
      </c>
      <c r="AP1359" s="2">
        <f t="shared" si="30"/>
      </c>
      <c r="AQ1359" s="2">
        <f t="shared" si="31"/>
      </c>
    </row>
    <row r="1360">
      <c r="A1360" s="43">
        <f t="shared" si="3"/>
      </c>
      <c r="B1360" s="44" t="n"/>
      <c r="C1360" s="45" t="n"/>
      <c r="D1360" s="46" t="n"/>
      <c r="E1360" s="47" t="n"/>
      <c r="F1360" s="47" t="n"/>
      <c r="G1360" s="48">
        <f t="shared" si="4"/>
      </c>
      <c r="H1360" s="43">
        <f t="shared" si="0"/>
      </c>
      <c r="I1360" s="43">
        <f t="shared" si="5"/>
      </c>
      <c r="J1360" s="43">
        <f t="shared" si="1"/>
      </c>
      <c r="K1360" s="49">
        <f t="shared" si="2"/>
      </c>
      <c r="L1360" s="45" t="n"/>
      <c r="M1360" s="45" t="n"/>
      <c r="N1360" s="45" t="n"/>
      <c r="O1360" s="45" t="n"/>
      <c r="P1360" s="50" t="n"/>
      <c r="R1360" s="2">
        <f t="shared" si="6"/>
        <v>0</v>
      </c>
      <c r="S1360" s="2">
        <f t="shared" si="7"/>
      </c>
      <c r="T1360" s="2">
        <f t="shared" si="8"/>
      </c>
      <c r="U1360" s="2">
        <f t="shared" si="9"/>
      </c>
      <c r="V1360" s="2">
        <f t="shared" si="10"/>
      </c>
      <c r="W1360" s="2">
        <f t="shared" si="11"/>
      </c>
      <c r="X1360" s="2">
        <f t="shared" si="12"/>
      </c>
      <c r="Y1360" s="2">
        <f t="shared" si="13"/>
        <v>0</v>
      </c>
      <c r="Z1360" s="2">
        <f t="shared" si="14"/>
      </c>
      <c r="AA1360" s="2">
        <f t="shared" si="15"/>
        <v>0</v>
      </c>
      <c r="AB1360" s="2">
        <f t="shared" si="16"/>
      </c>
      <c r="AC1360" s="2">
        <f t="shared" si="17"/>
      </c>
      <c r="AD1360" s="2">
        <f t="shared" si="18"/>
      </c>
      <c r="AE1360" s="2">
        <f t="shared" si="19"/>
      </c>
      <c r="AF1360" s="2">
        <f t="shared" si="20"/>
      </c>
      <c r="AG1360" s="2">
        <f t="shared" si="21"/>
      </c>
      <c r="AH1360" s="2">
        <f t="shared" si="22"/>
      </c>
      <c r="AI1360" s="2">
        <f t="shared" si="23"/>
      </c>
      <c r="AJ1360" s="2">
        <f t="shared" si="24"/>
        <v>0</v>
      </c>
      <c r="AK1360" s="2">
        <f t="shared" si="25"/>
        <v>0</v>
      </c>
      <c r="AL1360" s="2">
        <f t="shared" si="26"/>
        <v>0</v>
      </c>
      <c r="AM1360" s="2">
        <f t="shared" si="27"/>
        <v>0</v>
      </c>
      <c r="AN1360" s="2">
        <f t="shared" si="28"/>
        <v>0</v>
      </c>
      <c r="AO1360" s="2">
        <f t="shared" si="29"/>
      </c>
      <c r="AP1360" s="2">
        <f t="shared" si="30"/>
      </c>
      <c r="AQ1360" s="2">
        <f t="shared" si="31"/>
      </c>
    </row>
    <row r="1361">
      <c r="A1361" s="43">
        <f t="shared" si="3"/>
      </c>
      <c r="B1361" s="44" t="n"/>
      <c r="C1361" s="45" t="n"/>
      <c r="D1361" s="46" t="n"/>
      <c r="E1361" s="47" t="n"/>
      <c r="F1361" s="47" t="n"/>
      <c r="G1361" s="48">
        <f t="shared" si="4"/>
      </c>
      <c r="H1361" s="43">
        <f t="shared" si="0"/>
      </c>
      <c r="I1361" s="43">
        <f t="shared" si="5"/>
      </c>
      <c r="J1361" s="43">
        <f t="shared" si="1"/>
      </c>
      <c r="K1361" s="49">
        <f t="shared" si="2"/>
      </c>
      <c r="L1361" s="45" t="n"/>
      <c r="M1361" s="45" t="n"/>
      <c r="N1361" s="45" t="n"/>
      <c r="O1361" s="45" t="n"/>
      <c r="P1361" s="50" t="n"/>
      <c r="R1361" s="2">
        <f t="shared" si="6"/>
        <v>0</v>
      </c>
      <c r="S1361" s="2">
        <f t="shared" si="7"/>
      </c>
      <c r="T1361" s="2">
        <f t="shared" si="8"/>
      </c>
      <c r="U1361" s="2">
        <f t="shared" si="9"/>
      </c>
      <c r="V1361" s="2">
        <f t="shared" si="10"/>
      </c>
      <c r="W1361" s="2">
        <f t="shared" si="11"/>
      </c>
      <c r="X1361" s="2">
        <f t="shared" si="12"/>
      </c>
      <c r="Y1361" s="2">
        <f t="shared" si="13"/>
        <v>0</v>
      </c>
      <c r="Z1361" s="2">
        <f t="shared" si="14"/>
      </c>
      <c r="AA1361" s="2">
        <f t="shared" si="15"/>
        <v>0</v>
      </c>
      <c r="AB1361" s="2">
        <f t="shared" si="16"/>
      </c>
      <c r="AC1361" s="2">
        <f t="shared" si="17"/>
      </c>
      <c r="AD1361" s="2">
        <f t="shared" si="18"/>
      </c>
      <c r="AE1361" s="2">
        <f t="shared" si="19"/>
      </c>
      <c r="AF1361" s="2">
        <f t="shared" si="20"/>
      </c>
      <c r="AG1361" s="2">
        <f t="shared" si="21"/>
      </c>
      <c r="AH1361" s="2">
        <f t="shared" si="22"/>
      </c>
      <c r="AI1361" s="2">
        <f t="shared" si="23"/>
      </c>
      <c r="AJ1361" s="2">
        <f t="shared" si="24"/>
        <v>0</v>
      </c>
      <c r="AK1361" s="2">
        <f t="shared" si="25"/>
        <v>0</v>
      </c>
      <c r="AL1361" s="2">
        <f t="shared" si="26"/>
        <v>0</v>
      </c>
      <c r="AM1361" s="2">
        <f t="shared" si="27"/>
        <v>0</v>
      </c>
      <c r="AN1361" s="2">
        <f t="shared" si="28"/>
        <v>0</v>
      </c>
      <c r="AO1361" s="2">
        <f t="shared" si="29"/>
      </c>
      <c r="AP1361" s="2">
        <f t="shared" si="30"/>
      </c>
      <c r="AQ1361" s="2">
        <f t="shared" si="31"/>
      </c>
    </row>
    <row r="1362">
      <c r="A1362" s="43">
        <f t="shared" si="3"/>
      </c>
      <c r="B1362" s="44" t="n"/>
      <c r="C1362" s="45" t="n"/>
      <c r="D1362" s="46" t="n"/>
      <c r="E1362" s="47" t="n"/>
      <c r="F1362" s="47" t="n"/>
      <c r="G1362" s="48">
        <f t="shared" si="4"/>
      </c>
      <c r="H1362" s="43">
        <f t="shared" si="0"/>
      </c>
      <c r="I1362" s="43">
        <f t="shared" si="5"/>
      </c>
      <c r="J1362" s="43">
        <f t="shared" si="1"/>
      </c>
      <c r="K1362" s="49">
        <f t="shared" si="2"/>
      </c>
      <c r="L1362" s="45" t="n"/>
      <c r="M1362" s="45" t="n"/>
      <c r="N1362" s="45" t="n"/>
      <c r="O1362" s="45" t="n"/>
      <c r="P1362" s="50" t="n"/>
      <c r="R1362" s="2">
        <f t="shared" si="6"/>
        <v>0</v>
      </c>
      <c r="S1362" s="2">
        <f t="shared" si="7"/>
      </c>
      <c r="T1362" s="2">
        <f t="shared" si="8"/>
      </c>
      <c r="U1362" s="2">
        <f t="shared" si="9"/>
      </c>
      <c r="V1362" s="2">
        <f t="shared" si="10"/>
      </c>
      <c r="W1362" s="2">
        <f t="shared" si="11"/>
      </c>
      <c r="X1362" s="2">
        <f t="shared" si="12"/>
      </c>
      <c r="Y1362" s="2">
        <f t="shared" si="13"/>
        <v>0</v>
      </c>
      <c r="Z1362" s="2">
        <f t="shared" si="14"/>
      </c>
      <c r="AA1362" s="2">
        <f t="shared" si="15"/>
        <v>0</v>
      </c>
      <c r="AB1362" s="2">
        <f t="shared" si="16"/>
      </c>
      <c r="AC1362" s="2">
        <f t="shared" si="17"/>
      </c>
      <c r="AD1362" s="2">
        <f t="shared" si="18"/>
      </c>
      <c r="AE1362" s="2">
        <f t="shared" si="19"/>
      </c>
      <c r="AF1362" s="2">
        <f t="shared" si="20"/>
      </c>
      <c r="AG1362" s="2">
        <f t="shared" si="21"/>
      </c>
      <c r="AH1362" s="2">
        <f t="shared" si="22"/>
      </c>
      <c r="AI1362" s="2">
        <f t="shared" si="23"/>
      </c>
      <c r="AJ1362" s="2">
        <f t="shared" si="24"/>
        <v>0</v>
      </c>
      <c r="AK1362" s="2">
        <f t="shared" si="25"/>
        <v>0</v>
      </c>
      <c r="AL1362" s="2">
        <f t="shared" si="26"/>
        <v>0</v>
      </c>
      <c r="AM1362" s="2">
        <f t="shared" si="27"/>
        <v>0</v>
      </c>
      <c r="AN1362" s="2">
        <f t="shared" si="28"/>
        <v>0</v>
      </c>
      <c r="AO1362" s="2">
        <f t="shared" si="29"/>
      </c>
      <c r="AP1362" s="2">
        <f t="shared" si="30"/>
      </c>
      <c r="AQ1362" s="2">
        <f t="shared" si="31"/>
      </c>
    </row>
    <row r="1363">
      <c r="A1363" s="43">
        <f t="shared" si="3"/>
      </c>
      <c r="B1363" s="44" t="n"/>
      <c r="C1363" s="45" t="n"/>
      <c r="D1363" s="46" t="n"/>
      <c r="E1363" s="47" t="n"/>
      <c r="F1363" s="47" t="n"/>
      <c r="G1363" s="48">
        <f t="shared" si="4"/>
      </c>
      <c r="H1363" s="43">
        <f t="shared" si="0"/>
      </c>
      <c r="I1363" s="43">
        <f t="shared" si="5"/>
      </c>
      <c r="J1363" s="43">
        <f t="shared" si="1"/>
      </c>
      <c r="K1363" s="49">
        <f t="shared" si="2"/>
      </c>
      <c r="L1363" s="45" t="n"/>
      <c r="M1363" s="45" t="n"/>
      <c r="N1363" s="45" t="n"/>
      <c r="O1363" s="45" t="n"/>
      <c r="P1363" s="50" t="n"/>
      <c r="R1363" s="2">
        <f t="shared" si="6"/>
        <v>0</v>
      </c>
      <c r="S1363" s="2">
        <f t="shared" si="7"/>
      </c>
      <c r="T1363" s="2">
        <f t="shared" si="8"/>
      </c>
      <c r="U1363" s="2">
        <f t="shared" si="9"/>
      </c>
      <c r="V1363" s="2">
        <f t="shared" si="10"/>
      </c>
      <c r="W1363" s="2">
        <f t="shared" si="11"/>
      </c>
      <c r="X1363" s="2">
        <f t="shared" si="12"/>
      </c>
      <c r="Y1363" s="2">
        <f t="shared" si="13"/>
        <v>0</v>
      </c>
      <c r="Z1363" s="2">
        <f t="shared" si="14"/>
      </c>
      <c r="AA1363" s="2">
        <f t="shared" si="15"/>
        <v>0</v>
      </c>
      <c r="AB1363" s="2">
        <f t="shared" si="16"/>
      </c>
      <c r="AC1363" s="2">
        <f t="shared" si="17"/>
      </c>
      <c r="AD1363" s="2">
        <f t="shared" si="18"/>
      </c>
      <c r="AE1363" s="2">
        <f t="shared" si="19"/>
      </c>
      <c r="AF1363" s="2">
        <f t="shared" si="20"/>
      </c>
      <c r="AG1363" s="2">
        <f t="shared" si="21"/>
      </c>
      <c r="AH1363" s="2">
        <f t="shared" si="22"/>
      </c>
      <c r="AI1363" s="2">
        <f t="shared" si="23"/>
      </c>
      <c r="AJ1363" s="2">
        <f t="shared" si="24"/>
        <v>0</v>
      </c>
      <c r="AK1363" s="2">
        <f t="shared" si="25"/>
        <v>0</v>
      </c>
      <c r="AL1363" s="2">
        <f t="shared" si="26"/>
        <v>0</v>
      </c>
      <c r="AM1363" s="2">
        <f t="shared" si="27"/>
        <v>0</v>
      </c>
      <c r="AN1363" s="2">
        <f t="shared" si="28"/>
        <v>0</v>
      </c>
      <c r="AO1363" s="2">
        <f t="shared" si="29"/>
      </c>
      <c r="AP1363" s="2">
        <f t="shared" si="30"/>
      </c>
      <c r="AQ1363" s="2">
        <f t="shared" si="31"/>
      </c>
    </row>
    <row r="1364">
      <c r="A1364" s="43">
        <f t="shared" si="3"/>
      </c>
      <c r="B1364" s="44" t="n"/>
      <c r="C1364" s="45" t="n"/>
      <c r="D1364" s="46" t="n"/>
      <c r="E1364" s="47" t="n"/>
      <c r="F1364" s="47" t="n"/>
      <c r="G1364" s="48">
        <f t="shared" si="4"/>
      </c>
      <c r="H1364" s="43">
        <f t="shared" si="0"/>
      </c>
      <c r="I1364" s="43">
        <f t="shared" si="5"/>
      </c>
      <c r="J1364" s="43">
        <f t="shared" si="1"/>
      </c>
      <c r="K1364" s="49">
        <f t="shared" si="2"/>
      </c>
      <c r="L1364" s="45" t="n"/>
      <c r="M1364" s="45" t="n"/>
      <c r="N1364" s="45" t="n"/>
      <c r="O1364" s="45" t="n"/>
      <c r="P1364" s="50" t="n"/>
      <c r="R1364" s="2">
        <f t="shared" si="6"/>
        <v>0</v>
      </c>
      <c r="S1364" s="2">
        <f t="shared" si="7"/>
      </c>
      <c r="T1364" s="2">
        <f t="shared" si="8"/>
      </c>
      <c r="U1364" s="2">
        <f t="shared" si="9"/>
      </c>
      <c r="V1364" s="2">
        <f t="shared" si="10"/>
      </c>
      <c r="W1364" s="2">
        <f t="shared" si="11"/>
      </c>
      <c r="X1364" s="2">
        <f t="shared" si="12"/>
      </c>
      <c r="Y1364" s="2">
        <f t="shared" si="13"/>
        <v>0</v>
      </c>
      <c r="Z1364" s="2">
        <f t="shared" si="14"/>
      </c>
      <c r="AA1364" s="2">
        <f t="shared" si="15"/>
        <v>0</v>
      </c>
      <c r="AB1364" s="2">
        <f t="shared" si="16"/>
      </c>
      <c r="AC1364" s="2">
        <f t="shared" si="17"/>
      </c>
      <c r="AD1364" s="2">
        <f t="shared" si="18"/>
      </c>
      <c r="AE1364" s="2">
        <f t="shared" si="19"/>
      </c>
      <c r="AF1364" s="2">
        <f t="shared" si="20"/>
      </c>
      <c r="AG1364" s="2">
        <f t="shared" si="21"/>
      </c>
      <c r="AH1364" s="2">
        <f t="shared" si="22"/>
      </c>
      <c r="AI1364" s="2">
        <f t="shared" si="23"/>
      </c>
      <c r="AJ1364" s="2">
        <f t="shared" si="24"/>
        <v>0</v>
      </c>
      <c r="AK1364" s="2">
        <f t="shared" si="25"/>
        <v>0</v>
      </c>
      <c r="AL1364" s="2">
        <f t="shared" si="26"/>
        <v>0</v>
      </c>
      <c r="AM1364" s="2">
        <f t="shared" si="27"/>
        <v>0</v>
      </c>
      <c r="AN1364" s="2">
        <f t="shared" si="28"/>
        <v>0</v>
      </c>
      <c r="AO1364" s="2">
        <f t="shared" si="29"/>
      </c>
      <c r="AP1364" s="2">
        <f t="shared" si="30"/>
      </c>
      <c r="AQ1364" s="2">
        <f t="shared" si="31"/>
      </c>
    </row>
    <row r="1365">
      <c r="A1365" s="43">
        <f t="shared" si="3"/>
      </c>
      <c r="B1365" s="44" t="n"/>
      <c r="C1365" s="45" t="n"/>
      <c r="D1365" s="46" t="n"/>
      <c r="E1365" s="47" t="n"/>
      <c r="F1365" s="47" t="n"/>
      <c r="G1365" s="48">
        <f t="shared" si="4"/>
      </c>
      <c r="H1365" s="43">
        <f t="shared" si="0"/>
      </c>
      <c r="I1365" s="43">
        <f t="shared" si="5"/>
      </c>
      <c r="J1365" s="43">
        <f t="shared" si="1"/>
      </c>
      <c r="K1365" s="49">
        <f t="shared" si="2"/>
      </c>
      <c r="L1365" s="45" t="n"/>
      <c r="M1365" s="45" t="n"/>
      <c r="N1365" s="45" t="n"/>
      <c r="O1365" s="45" t="n"/>
      <c r="P1365" s="50" t="n"/>
      <c r="R1365" s="2">
        <f t="shared" si="6"/>
        <v>0</v>
      </c>
      <c r="S1365" s="2">
        <f t="shared" si="7"/>
      </c>
      <c r="T1365" s="2">
        <f t="shared" si="8"/>
      </c>
      <c r="U1365" s="2">
        <f t="shared" si="9"/>
      </c>
      <c r="V1365" s="2">
        <f t="shared" si="10"/>
      </c>
      <c r="W1365" s="2">
        <f t="shared" si="11"/>
      </c>
      <c r="X1365" s="2">
        <f t="shared" si="12"/>
      </c>
      <c r="Y1365" s="2">
        <f t="shared" si="13"/>
        <v>0</v>
      </c>
      <c r="Z1365" s="2">
        <f t="shared" si="14"/>
      </c>
      <c r="AA1365" s="2">
        <f t="shared" si="15"/>
        <v>0</v>
      </c>
      <c r="AB1365" s="2">
        <f t="shared" si="16"/>
      </c>
      <c r="AC1365" s="2">
        <f t="shared" si="17"/>
      </c>
      <c r="AD1365" s="2">
        <f t="shared" si="18"/>
      </c>
      <c r="AE1365" s="2">
        <f t="shared" si="19"/>
      </c>
      <c r="AF1365" s="2">
        <f t="shared" si="20"/>
      </c>
      <c r="AG1365" s="2">
        <f t="shared" si="21"/>
      </c>
      <c r="AH1365" s="2">
        <f t="shared" si="22"/>
      </c>
      <c r="AI1365" s="2">
        <f t="shared" si="23"/>
      </c>
      <c r="AJ1365" s="2">
        <f t="shared" si="24"/>
        <v>0</v>
      </c>
      <c r="AK1365" s="2">
        <f t="shared" si="25"/>
        <v>0</v>
      </c>
      <c r="AL1365" s="2">
        <f t="shared" si="26"/>
        <v>0</v>
      </c>
      <c r="AM1365" s="2">
        <f t="shared" si="27"/>
        <v>0</v>
      </c>
      <c r="AN1365" s="2">
        <f t="shared" si="28"/>
        <v>0</v>
      </c>
      <c r="AO1365" s="2">
        <f t="shared" si="29"/>
      </c>
      <c r="AP1365" s="2">
        <f t="shared" si="30"/>
      </c>
      <c r="AQ1365" s="2">
        <f t="shared" si="31"/>
      </c>
    </row>
    <row r="1366">
      <c r="A1366" s="43">
        <f t="shared" si="3"/>
      </c>
      <c r="B1366" s="44" t="n"/>
      <c r="C1366" s="45" t="n"/>
      <c r="D1366" s="46" t="n"/>
      <c r="E1366" s="47" t="n"/>
      <c r="F1366" s="47" t="n"/>
      <c r="G1366" s="48">
        <f t="shared" si="4"/>
      </c>
      <c r="H1366" s="43">
        <f t="shared" si="0"/>
      </c>
      <c r="I1366" s="43">
        <f t="shared" si="5"/>
      </c>
      <c r="J1366" s="43">
        <f t="shared" si="1"/>
      </c>
      <c r="K1366" s="49">
        <f t="shared" si="2"/>
      </c>
      <c r="L1366" s="45" t="n"/>
      <c r="M1366" s="45" t="n"/>
      <c r="N1366" s="45" t="n"/>
      <c r="O1366" s="45" t="n"/>
      <c r="P1366" s="50" t="n"/>
      <c r="R1366" s="2">
        <f t="shared" si="6"/>
        <v>0</v>
      </c>
      <c r="S1366" s="2">
        <f t="shared" si="7"/>
      </c>
      <c r="T1366" s="2">
        <f t="shared" si="8"/>
      </c>
      <c r="U1366" s="2">
        <f t="shared" si="9"/>
      </c>
      <c r="V1366" s="2">
        <f t="shared" si="10"/>
      </c>
      <c r="W1366" s="2">
        <f t="shared" si="11"/>
      </c>
      <c r="X1366" s="2">
        <f t="shared" si="12"/>
      </c>
      <c r="Y1366" s="2">
        <f t="shared" si="13"/>
        <v>0</v>
      </c>
      <c r="Z1366" s="2">
        <f t="shared" si="14"/>
      </c>
      <c r="AA1366" s="2">
        <f t="shared" si="15"/>
        <v>0</v>
      </c>
      <c r="AB1366" s="2">
        <f t="shared" si="16"/>
      </c>
      <c r="AC1366" s="2">
        <f t="shared" si="17"/>
      </c>
      <c r="AD1366" s="2">
        <f t="shared" si="18"/>
      </c>
      <c r="AE1366" s="2">
        <f t="shared" si="19"/>
      </c>
      <c r="AF1366" s="2">
        <f t="shared" si="20"/>
      </c>
      <c r="AG1366" s="2">
        <f t="shared" si="21"/>
      </c>
      <c r="AH1366" s="2">
        <f t="shared" si="22"/>
      </c>
      <c r="AI1366" s="2">
        <f t="shared" si="23"/>
      </c>
      <c r="AJ1366" s="2">
        <f t="shared" si="24"/>
        <v>0</v>
      </c>
      <c r="AK1366" s="2">
        <f t="shared" si="25"/>
        <v>0</v>
      </c>
      <c r="AL1366" s="2">
        <f t="shared" si="26"/>
        <v>0</v>
      </c>
      <c r="AM1366" s="2">
        <f t="shared" si="27"/>
        <v>0</v>
      </c>
      <c r="AN1366" s="2">
        <f t="shared" si="28"/>
        <v>0</v>
      </c>
      <c r="AO1366" s="2">
        <f t="shared" si="29"/>
      </c>
      <c r="AP1366" s="2">
        <f t="shared" si="30"/>
      </c>
      <c r="AQ1366" s="2">
        <f t="shared" si="31"/>
      </c>
    </row>
    <row r="1367">
      <c r="A1367" s="43">
        <f t="shared" si="3"/>
      </c>
      <c r="B1367" s="44" t="n"/>
      <c r="C1367" s="45" t="n"/>
      <c r="D1367" s="46" t="n"/>
      <c r="E1367" s="47" t="n"/>
      <c r="F1367" s="47" t="n"/>
      <c r="G1367" s="48">
        <f t="shared" si="4"/>
      </c>
      <c r="H1367" s="43">
        <f t="shared" si="0"/>
      </c>
      <c r="I1367" s="43">
        <f t="shared" si="5"/>
      </c>
      <c r="J1367" s="43">
        <f t="shared" si="1"/>
      </c>
      <c r="K1367" s="49">
        <f t="shared" si="2"/>
      </c>
      <c r="L1367" s="45" t="n"/>
      <c r="M1367" s="45" t="n"/>
      <c r="N1367" s="45" t="n"/>
      <c r="O1367" s="45" t="n"/>
      <c r="P1367" s="50" t="n"/>
      <c r="R1367" s="2">
        <f t="shared" si="6"/>
        <v>0</v>
      </c>
      <c r="S1367" s="2">
        <f t="shared" si="7"/>
      </c>
      <c r="T1367" s="2">
        <f t="shared" si="8"/>
      </c>
      <c r="U1367" s="2">
        <f t="shared" si="9"/>
      </c>
      <c r="V1367" s="2">
        <f t="shared" si="10"/>
      </c>
      <c r="W1367" s="2">
        <f t="shared" si="11"/>
      </c>
      <c r="X1367" s="2">
        <f t="shared" si="12"/>
      </c>
      <c r="Y1367" s="2">
        <f t="shared" si="13"/>
        <v>0</v>
      </c>
      <c r="Z1367" s="2">
        <f t="shared" si="14"/>
      </c>
      <c r="AA1367" s="2">
        <f t="shared" si="15"/>
        <v>0</v>
      </c>
      <c r="AB1367" s="2">
        <f t="shared" si="16"/>
      </c>
      <c r="AC1367" s="2">
        <f t="shared" si="17"/>
      </c>
      <c r="AD1367" s="2">
        <f t="shared" si="18"/>
      </c>
      <c r="AE1367" s="2">
        <f t="shared" si="19"/>
      </c>
      <c r="AF1367" s="2">
        <f t="shared" si="20"/>
      </c>
      <c r="AG1367" s="2">
        <f t="shared" si="21"/>
      </c>
      <c r="AH1367" s="2">
        <f t="shared" si="22"/>
      </c>
      <c r="AI1367" s="2">
        <f t="shared" si="23"/>
      </c>
      <c r="AJ1367" s="2">
        <f t="shared" si="24"/>
        <v>0</v>
      </c>
      <c r="AK1367" s="2">
        <f t="shared" si="25"/>
        <v>0</v>
      </c>
      <c r="AL1367" s="2">
        <f t="shared" si="26"/>
        <v>0</v>
      </c>
      <c r="AM1367" s="2">
        <f t="shared" si="27"/>
        <v>0</v>
      </c>
      <c r="AN1367" s="2">
        <f t="shared" si="28"/>
        <v>0</v>
      </c>
      <c r="AO1367" s="2">
        <f t="shared" si="29"/>
      </c>
      <c r="AP1367" s="2">
        <f t="shared" si="30"/>
      </c>
      <c r="AQ1367" s="2">
        <f t="shared" si="31"/>
      </c>
    </row>
    <row r="1368">
      <c r="A1368" s="43">
        <f t="shared" si="3"/>
      </c>
      <c r="B1368" s="44" t="n"/>
      <c r="C1368" s="45" t="n"/>
      <c r="D1368" s="46" t="n"/>
      <c r="E1368" s="47" t="n"/>
      <c r="F1368" s="47" t="n"/>
      <c r="G1368" s="48">
        <f t="shared" si="4"/>
      </c>
      <c r="H1368" s="43">
        <f t="shared" si="0"/>
      </c>
      <c r="I1368" s="43">
        <f t="shared" si="5"/>
      </c>
      <c r="J1368" s="43">
        <f t="shared" si="1"/>
      </c>
      <c r="K1368" s="49">
        <f t="shared" si="2"/>
      </c>
      <c r="L1368" s="45" t="n"/>
      <c r="M1368" s="45" t="n"/>
      <c r="N1368" s="45" t="n"/>
      <c r="O1368" s="45" t="n"/>
      <c r="P1368" s="50" t="n"/>
      <c r="R1368" s="2">
        <f t="shared" si="6"/>
        <v>0</v>
      </c>
      <c r="S1368" s="2">
        <f t="shared" si="7"/>
      </c>
      <c r="T1368" s="2">
        <f t="shared" si="8"/>
      </c>
      <c r="U1368" s="2">
        <f t="shared" si="9"/>
      </c>
      <c r="V1368" s="2">
        <f t="shared" si="10"/>
      </c>
      <c r="W1368" s="2">
        <f t="shared" si="11"/>
      </c>
      <c r="X1368" s="2">
        <f t="shared" si="12"/>
      </c>
      <c r="Y1368" s="2">
        <f t="shared" si="13"/>
        <v>0</v>
      </c>
      <c r="Z1368" s="2">
        <f t="shared" si="14"/>
      </c>
      <c r="AA1368" s="2">
        <f t="shared" si="15"/>
        <v>0</v>
      </c>
      <c r="AB1368" s="2">
        <f t="shared" si="16"/>
      </c>
      <c r="AC1368" s="2">
        <f t="shared" si="17"/>
      </c>
      <c r="AD1368" s="2">
        <f t="shared" si="18"/>
      </c>
      <c r="AE1368" s="2">
        <f t="shared" si="19"/>
      </c>
      <c r="AF1368" s="2">
        <f t="shared" si="20"/>
      </c>
      <c r="AG1368" s="2">
        <f t="shared" si="21"/>
      </c>
      <c r="AH1368" s="2">
        <f t="shared" si="22"/>
      </c>
      <c r="AI1368" s="2">
        <f t="shared" si="23"/>
      </c>
      <c r="AJ1368" s="2">
        <f t="shared" si="24"/>
        <v>0</v>
      </c>
      <c r="AK1368" s="2">
        <f t="shared" si="25"/>
        <v>0</v>
      </c>
      <c r="AL1368" s="2">
        <f t="shared" si="26"/>
        <v>0</v>
      </c>
      <c r="AM1368" s="2">
        <f t="shared" si="27"/>
        <v>0</v>
      </c>
      <c r="AN1368" s="2">
        <f t="shared" si="28"/>
        <v>0</v>
      </c>
      <c r="AO1368" s="2">
        <f t="shared" si="29"/>
      </c>
      <c r="AP1368" s="2">
        <f t="shared" si="30"/>
      </c>
      <c r="AQ1368" s="2">
        <f t="shared" si="31"/>
      </c>
    </row>
    <row r="1369">
      <c r="A1369" s="43">
        <f t="shared" si="3"/>
      </c>
      <c r="B1369" s="44" t="n"/>
      <c r="C1369" s="45" t="n"/>
      <c r="D1369" s="46" t="n"/>
      <c r="E1369" s="47" t="n"/>
      <c r="F1369" s="47" t="n"/>
      <c r="G1369" s="48">
        <f t="shared" si="4"/>
      </c>
      <c r="H1369" s="43">
        <f t="shared" si="0"/>
      </c>
      <c r="I1369" s="43">
        <f t="shared" si="5"/>
      </c>
      <c r="J1369" s="43">
        <f t="shared" si="1"/>
      </c>
      <c r="K1369" s="49">
        <f t="shared" si="2"/>
      </c>
      <c r="L1369" s="45" t="n"/>
      <c r="M1369" s="45" t="n"/>
      <c r="N1369" s="45" t="n"/>
      <c r="O1369" s="45" t="n"/>
      <c r="P1369" s="50" t="n"/>
      <c r="R1369" s="2">
        <f t="shared" si="6"/>
        <v>0</v>
      </c>
      <c r="S1369" s="2">
        <f t="shared" si="7"/>
      </c>
      <c r="T1369" s="2">
        <f t="shared" si="8"/>
      </c>
      <c r="U1369" s="2">
        <f t="shared" si="9"/>
      </c>
      <c r="V1369" s="2">
        <f t="shared" si="10"/>
      </c>
      <c r="W1369" s="2">
        <f t="shared" si="11"/>
      </c>
      <c r="X1369" s="2">
        <f t="shared" si="12"/>
      </c>
      <c r="Y1369" s="2">
        <f t="shared" si="13"/>
        <v>0</v>
      </c>
      <c r="Z1369" s="2">
        <f t="shared" si="14"/>
      </c>
      <c r="AA1369" s="2">
        <f t="shared" si="15"/>
        <v>0</v>
      </c>
      <c r="AB1369" s="2">
        <f t="shared" si="16"/>
      </c>
      <c r="AC1369" s="2">
        <f t="shared" si="17"/>
      </c>
      <c r="AD1369" s="2">
        <f t="shared" si="18"/>
      </c>
      <c r="AE1369" s="2">
        <f t="shared" si="19"/>
      </c>
      <c r="AF1369" s="2">
        <f t="shared" si="20"/>
      </c>
      <c r="AG1369" s="2">
        <f t="shared" si="21"/>
      </c>
      <c r="AH1369" s="2">
        <f t="shared" si="22"/>
      </c>
      <c r="AI1369" s="2">
        <f t="shared" si="23"/>
      </c>
      <c r="AJ1369" s="2">
        <f t="shared" si="24"/>
        <v>0</v>
      </c>
      <c r="AK1369" s="2">
        <f t="shared" si="25"/>
        <v>0</v>
      </c>
      <c r="AL1369" s="2">
        <f t="shared" si="26"/>
        <v>0</v>
      </c>
      <c r="AM1369" s="2">
        <f t="shared" si="27"/>
        <v>0</v>
      </c>
      <c r="AN1369" s="2">
        <f t="shared" si="28"/>
        <v>0</v>
      </c>
      <c r="AO1369" s="2">
        <f t="shared" si="29"/>
      </c>
      <c r="AP1369" s="2">
        <f t="shared" si="30"/>
      </c>
      <c r="AQ1369" s="2">
        <f t="shared" si="31"/>
      </c>
    </row>
    <row r="1370">
      <c r="A1370" s="43">
        <f t="shared" si="3"/>
      </c>
      <c r="B1370" s="44" t="n"/>
      <c r="C1370" s="45" t="n"/>
      <c r="D1370" s="46" t="n"/>
      <c r="E1370" s="47" t="n"/>
      <c r="F1370" s="47" t="n"/>
      <c r="G1370" s="48">
        <f t="shared" si="4"/>
      </c>
      <c r="H1370" s="43">
        <f t="shared" si="0"/>
      </c>
      <c r="I1370" s="43">
        <f t="shared" si="5"/>
      </c>
      <c r="J1370" s="43">
        <f t="shared" si="1"/>
      </c>
      <c r="K1370" s="49">
        <f t="shared" si="2"/>
      </c>
      <c r="L1370" s="45" t="n"/>
      <c r="M1370" s="45" t="n"/>
      <c r="N1370" s="45" t="n"/>
      <c r="O1370" s="45" t="n"/>
      <c r="P1370" s="50" t="n"/>
      <c r="R1370" s="2">
        <f t="shared" si="6"/>
        <v>0</v>
      </c>
      <c r="S1370" s="2">
        <f t="shared" si="7"/>
      </c>
      <c r="T1370" s="2">
        <f t="shared" si="8"/>
      </c>
      <c r="U1370" s="2">
        <f t="shared" si="9"/>
      </c>
      <c r="V1370" s="2">
        <f t="shared" si="10"/>
      </c>
      <c r="W1370" s="2">
        <f t="shared" si="11"/>
      </c>
      <c r="X1370" s="2">
        <f t="shared" si="12"/>
      </c>
      <c r="Y1370" s="2">
        <f t="shared" si="13"/>
        <v>0</v>
      </c>
      <c r="Z1370" s="2">
        <f t="shared" si="14"/>
      </c>
      <c r="AA1370" s="2">
        <f t="shared" si="15"/>
        <v>0</v>
      </c>
      <c r="AB1370" s="2">
        <f t="shared" si="16"/>
      </c>
      <c r="AC1370" s="2">
        <f t="shared" si="17"/>
      </c>
      <c r="AD1370" s="2">
        <f t="shared" si="18"/>
      </c>
      <c r="AE1370" s="2">
        <f t="shared" si="19"/>
      </c>
      <c r="AF1370" s="2">
        <f t="shared" si="20"/>
      </c>
      <c r="AG1370" s="2">
        <f t="shared" si="21"/>
      </c>
      <c r="AH1370" s="2">
        <f t="shared" si="22"/>
      </c>
      <c r="AI1370" s="2">
        <f t="shared" si="23"/>
      </c>
      <c r="AJ1370" s="2">
        <f t="shared" si="24"/>
        <v>0</v>
      </c>
      <c r="AK1370" s="2">
        <f t="shared" si="25"/>
        <v>0</v>
      </c>
      <c r="AL1370" s="2">
        <f t="shared" si="26"/>
        <v>0</v>
      </c>
      <c r="AM1370" s="2">
        <f t="shared" si="27"/>
        <v>0</v>
      </c>
      <c r="AN1370" s="2">
        <f t="shared" si="28"/>
        <v>0</v>
      </c>
      <c r="AO1370" s="2">
        <f t="shared" si="29"/>
      </c>
      <c r="AP1370" s="2">
        <f t="shared" si="30"/>
      </c>
      <c r="AQ1370" s="2">
        <f t="shared" si="31"/>
      </c>
    </row>
    <row r="1371">
      <c r="A1371" s="43">
        <f t="shared" si="3"/>
      </c>
      <c r="B1371" s="44" t="n"/>
      <c r="C1371" s="45" t="n"/>
      <c r="D1371" s="46" t="n"/>
      <c r="E1371" s="47" t="n"/>
      <c r="F1371" s="47" t="n"/>
      <c r="G1371" s="48">
        <f t="shared" si="4"/>
      </c>
      <c r="H1371" s="43">
        <f t="shared" si="0"/>
      </c>
      <c r="I1371" s="43">
        <f t="shared" si="5"/>
      </c>
      <c r="J1371" s="43">
        <f t="shared" si="1"/>
      </c>
      <c r="K1371" s="49">
        <f t="shared" si="2"/>
      </c>
      <c r="L1371" s="45" t="n"/>
      <c r="M1371" s="45" t="n"/>
      <c r="N1371" s="45" t="n"/>
      <c r="O1371" s="45" t="n"/>
      <c r="P1371" s="50" t="n"/>
      <c r="R1371" s="2">
        <f t="shared" si="6"/>
        <v>0</v>
      </c>
      <c r="S1371" s="2">
        <f t="shared" si="7"/>
      </c>
      <c r="T1371" s="2">
        <f t="shared" si="8"/>
      </c>
      <c r="U1371" s="2">
        <f t="shared" si="9"/>
      </c>
      <c r="V1371" s="2">
        <f t="shared" si="10"/>
      </c>
      <c r="W1371" s="2">
        <f t="shared" si="11"/>
      </c>
      <c r="X1371" s="2">
        <f t="shared" si="12"/>
      </c>
      <c r="Y1371" s="2">
        <f t="shared" si="13"/>
        <v>0</v>
      </c>
      <c r="Z1371" s="2">
        <f t="shared" si="14"/>
      </c>
      <c r="AA1371" s="2">
        <f t="shared" si="15"/>
        <v>0</v>
      </c>
      <c r="AB1371" s="2">
        <f t="shared" si="16"/>
      </c>
      <c r="AC1371" s="2">
        <f t="shared" si="17"/>
      </c>
      <c r="AD1371" s="2">
        <f t="shared" si="18"/>
      </c>
      <c r="AE1371" s="2">
        <f t="shared" si="19"/>
      </c>
      <c r="AF1371" s="2">
        <f t="shared" si="20"/>
      </c>
      <c r="AG1371" s="2">
        <f t="shared" si="21"/>
      </c>
      <c r="AH1371" s="2">
        <f t="shared" si="22"/>
      </c>
      <c r="AI1371" s="2">
        <f t="shared" si="23"/>
      </c>
      <c r="AJ1371" s="2">
        <f t="shared" si="24"/>
        <v>0</v>
      </c>
      <c r="AK1371" s="2">
        <f t="shared" si="25"/>
        <v>0</v>
      </c>
      <c r="AL1371" s="2">
        <f t="shared" si="26"/>
        <v>0</v>
      </c>
      <c r="AM1371" s="2">
        <f t="shared" si="27"/>
        <v>0</v>
      </c>
      <c r="AN1371" s="2">
        <f t="shared" si="28"/>
        <v>0</v>
      </c>
      <c r="AO1371" s="2">
        <f t="shared" si="29"/>
      </c>
      <c r="AP1371" s="2">
        <f t="shared" si="30"/>
      </c>
      <c r="AQ1371" s="2">
        <f t="shared" si="31"/>
      </c>
    </row>
    <row r="1372">
      <c r="A1372" s="43">
        <f t="shared" si="3"/>
      </c>
      <c r="B1372" s="44" t="n"/>
      <c r="C1372" s="45" t="n"/>
      <c r="D1372" s="46" t="n"/>
      <c r="E1372" s="47" t="n"/>
      <c r="F1372" s="47" t="n"/>
      <c r="G1372" s="48">
        <f t="shared" si="4"/>
      </c>
      <c r="H1372" s="43">
        <f t="shared" si="0"/>
      </c>
      <c r="I1372" s="43">
        <f t="shared" si="5"/>
      </c>
      <c r="J1372" s="43">
        <f t="shared" si="1"/>
      </c>
      <c r="K1372" s="49">
        <f t="shared" si="2"/>
      </c>
      <c r="L1372" s="45" t="n"/>
      <c r="M1372" s="45" t="n"/>
      <c r="N1372" s="45" t="n"/>
      <c r="O1372" s="45" t="n"/>
      <c r="P1372" s="50" t="n"/>
      <c r="R1372" s="2">
        <f t="shared" si="6"/>
        <v>0</v>
      </c>
      <c r="S1372" s="2">
        <f t="shared" si="7"/>
      </c>
      <c r="T1372" s="2">
        <f t="shared" si="8"/>
      </c>
      <c r="U1372" s="2">
        <f t="shared" si="9"/>
      </c>
      <c r="V1372" s="2">
        <f t="shared" si="10"/>
      </c>
      <c r="W1372" s="2">
        <f t="shared" si="11"/>
      </c>
      <c r="X1372" s="2">
        <f t="shared" si="12"/>
      </c>
      <c r="Y1372" s="2">
        <f t="shared" si="13"/>
        <v>0</v>
      </c>
      <c r="Z1372" s="2">
        <f t="shared" si="14"/>
      </c>
      <c r="AA1372" s="2">
        <f t="shared" si="15"/>
        <v>0</v>
      </c>
      <c r="AB1372" s="2">
        <f t="shared" si="16"/>
      </c>
      <c r="AC1372" s="2">
        <f t="shared" si="17"/>
      </c>
      <c r="AD1372" s="2">
        <f t="shared" si="18"/>
      </c>
      <c r="AE1372" s="2">
        <f t="shared" si="19"/>
      </c>
      <c r="AF1372" s="2">
        <f t="shared" si="20"/>
      </c>
      <c r="AG1372" s="2">
        <f t="shared" si="21"/>
      </c>
      <c r="AH1372" s="2">
        <f t="shared" si="22"/>
      </c>
      <c r="AI1372" s="2">
        <f t="shared" si="23"/>
      </c>
      <c r="AJ1372" s="2">
        <f t="shared" si="24"/>
        <v>0</v>
      </c>
      <c r="AK1372" s="2">
        <f t="shared" si="25"/>
        <v>0</v>
      </c>
      <c r="AL1372" s="2">
        <f t="shared" si="26"/>
        <v>0</v>
      </c>
      <c r="AM1372" s="2">
        <f t="shared" si="27"/>
        <v>0</v>
      </c>
      <c r="AN1372" s="2">
        <f t="shared" si="28"/>
        <v>0</v>
      </c>
      <c r="AO1372" s="2">
        <f t="shared" si="29"/>
      </c>
      <c r="AP1372" s="2">
        <f t="shared" si="30"/>
      </c>
      <c r="AQ1372" s="2">
        <f t="shared" si="31"/>
      </c>
    </row>
    <row r="1373">
      <c r="A1373" s="43">
        <f t="shared" si="3"/>
      </c>
      <c r="B1373" s="44" t="n"/>
      <c r="C1373" s="45" t="n"/>
      <c r="D1373" s="46" t="n"/>
      <c r="E1373" s="47" t="n"/>
      <c r="F1373" s="47" t="n"/>
      <c r="G1373" s="48">
        <f t="shared" si="4"/>
      </c>
      <c r="H1373" s="43">
        <f t="shared" si="0"/>
      </c>
      <c r="I1373" s="43">
        <f t="shared" si="5"/>
      </c>
      <c r="J1373" s="43">
        <f t="shared" si="1"/>
      </c>
      <c r="K1373" s="49">
        <f t="shared" si="2"/>
      </c>
      <c r="L1373" s="45" t="n"/>
      <c r="M1373" s="45" t="n"/>
      <c r="N1373" s="45" t="n"/>
      <c r="O1373" s="45" t="n"/>
      <c r="P1373" s="50" t="n"/>
      <c r="R1373" s="2">
        <f t="shared" si="6"/>
        <v>0</v>
      </c>
      <c r="S1373" s="2">
        <f t="shared" si="7"/>
      </c>
      <c r="T1373" s="2">
        <f t="shared" si="8"/>
      </c>
      <c r="U1373" s="2">
        <f t="shared" si="9"/>
      </c>
      <c r="V1373" s="2">
        <f t="shared" si="10"/>
      </c>
      <c r="W1373" s="2">
        <f t="shared" si="11"/>
      </c>
      <c r="X1373" s="2">
        <f t="shared" si="12"/>
      </c>
      <c r="Y1373" s="2">
        <f t="shared" si="13"/>
        <v>0</v>
      </c>
      <c r="Z1373" s="2">
        <f t="shared" si="14"/>
      </c>
      <c r="AA1373" s="2">
        <f t="shared" si="15"/>
        <v>0</v>
      </c>
      <c r="AB1373" s="2">
        <f t="shared" si="16"/>
      </c>
      <c r="AC1373" s="2">
        <f t="shared" si="17"/>
      </c>
      <c r="AD1373" s="2">
        <f t="shared" si="18"/>
      </c>
      <c r="AE1373" s="2">
        <f t="shared" si="19"/>
      </c>
      <c r="AF1373" s="2">
        <f t="shared" si="20"/>
      </c>
      <c r="AG1373" s="2">
        <f t="shared" si="21"/>
      </c>
      <c r="AH1373" s="2">
        <f t="shared" si="22"/>
      </c>
      <c r="AI1373" s="2">
        <f t="shared" si="23"/>
      </c>
      <c r="AJ1373" s="2">
        <f t="shared" si="24"/>
        <v>0</v>
      </c>
      <c r="AK1373" s="2">
        <f t="shared" si="25"/>
        <v>0</v>
      </c>
      <c r="AL1373" s="2">
        <f t="shared" si="26"/>
        <v>0</v>
      </c>
      <c r="AM1373" s="2">
        <f t="shared" si="27"/>
        <v>0</v>
      </c>
      <c r="AN1373" s="2">
        <f t="shared" si="28"/>
        <v>0</v>
      </c>
      <c r="AO1373" s="2">
        <f t="shared" si="29"/>
      </c>
      <c r="AP1373" s="2">
        <f t="shared" si="30"/>
      </c>
      <c r="AQ1373" s="2">
        <f t="shared" si="31"/>
      </c>
    </row>
    <row r="1374">
      <c r="A1374" s="43">
        <f t="shared" si="3"/>
      </c>
      <c r="B1374" s="44" t="n"/>
      <c r="C1374" s="45" t="n"/>
      <c r="D1374" s="46" t="n"/>
      <c r="E1374" s="47" t="n"/>
      <c r="F1374" s="47" t="n"/>
      <c r="G1374" s="48">
        <f t="shared" si="4"/>
      </c>
      <c r="H1374" s="43">
        <f t="shared" si="0"/>
      </c>
      <c r="I1374" s="43">
        <f t="shared" si="5"/>
      </c>
      <c r="J1374" s="43">
        <f t="shared" si="1"/>
      </c>
      <c r="K1374" s="49">
        <f t="shared" si="2"/>
      </c>
      <c r="L1374" s="45" t="n"/>
      <c r="M1374" s="45" t="n"/>
      <c r="N1374" s="45" t="n"/>
      <c r="O1374" s="45" t="n"/>
      <c r="P1374" s="50" t="n"/>
      <c r="R1374" s="2">
        <f t="shared" si="6"/>
        <v>0</v>
      </c>
      <c r="S1374" s="2">
        <f t="shared" si="7"/>
      </c>
      <c r="T1374" s="2">
        <f t="shared" si="8"/>
      </c>
      <c r="U1374" s="2">
        <f t="shared" si="9"/>
      </c>
      <c r="V1374" s="2">
        <f t="shared" si="10"/>
      </c>
      <c r="W1374" s="2">
        <f t="shared" si="11"/>
      </c>
      <c r="X1374" s="2">
        <f t="shared" si="12"/>
      </c>
      <c r="Y1374" s="2">
        <f t="shared" si="13"/>
        <v>0</v>
      </c>
      <c r="Z1374" s="2">
        <f t="shared" si="14"/>
      </c>
      <c r="AA1374" s="2">
        <f t="shared" si="15"/>
        <v>0</v>
      </c>
      <c r="AB1374" s="2">
        <f t="shared" si="16"/>
      </c>
      <c r="AC1374" s="2">
        <f t="shared" si="17"/>
      </c>
      <c r="AD1374" s="2">
        <f t="shared" si="18"/>
      </c>
      <c r="AE1374" s="2">
        <f t="shared" si="19"/>
      </c>
      <c r="AF1374" s="2">
        <f t="shared" si="20"/>
      </c>
      <c r="AG1374" s="2">
        <f t="shared" si="21"/>
      </c>
      <c r="AH1374" s="2">
        <f t="shared" si="22"/>
      </c>
      <c r="AI1374" s="2">
        <f t="shared" si="23"/>
      </c>
      <c r="AJ1374" s="2">
        <f t="shared" si="24"/>
        <v>0</v>
      </c>
      <c r="AK1374" s="2">
        <f t="shared" si="25"/>
        <v>0</v>
      </c>
      <c r="AL1374" s="2">
        <f t="shared" si="26"/>
        <v>0</v>
      </c>
      <c r="AM1374" s="2">
        <f t="shared" si="27"/>
        <v>0</v>
      </c>
      <c r="AN1374" s="2">
        <f t="shared" si="28"/>
        <v>0</v>
      </c>
      <c r="AO1374" s="2">
        <f t="shared" si="29"/>
      </c>
      <c r="AP1374" s="2">
        <f t="shared" si="30"/>
      </c>
      <c r="AQ1374" s="2">
        <f t="shared" si="31"/>
      </c>
    </row>
    <row r="1375">
      <c r="A1375" s="43">
        <f t="shared" si="3"/>
      </c>
      <c r="B1375" s="44" t="n"/>
      <c r="C1375" s="45" t="n"/>
      <c r="D1375" s="46" t="n"/>
      <c r="E1375" s="47" t="n"/>
      <c r="F1375" s="47" t="n"/>
      <c r="G1375" s="48">
        <f t="shared" si="4"/>
      </c>
      <c r="H1375" s="43">
        <f t="shared" si="0"/>
      </c>
      <c r="I1375" s="43">
        <f t="shared" si="5"/>
      </c>
      <c r="J1375" s="43">
        <f t="shared" si="1"/>
      </c>
      <c r="K1375" s="49">
        <f t="shared" si="2"/>
      </c>
      <c r="L1375" s="45" t="n"/>
      <c r="M1375" s="45" t="n"/>
      <c r="N1375" s="45" t="n"/>
      <c r="O1375" s="45" t="n"/>
      <c r="P1375" s="50" t="n"/>
      <c r="R1375" s="2">
        <f t="shared" si="6"/>
        <v>0</v>
      </c>
      <c r="S1375" s="2">
        <f t="shared" si="7"/>
      </c>
      <c r="T1375" s="2">
        <f t="shared" si="8"/>
      </c>
      <c r="U1375" s="2">
        <f t="shared" si="9"/>
      </c>
      <c r="V1375" s="2">
        <f t="shared" si="10"/>
      </c>
      <c r="W1375" s="2">
        <f t="shared" si="11"/>
      </c>
      <c r="X1375" s="2">
        <f t="shared" si="12"/>
      </c>
      <c r="Y1375" s="2">
        <f t="shared" si="13"/>
        <v>0</v>
      </c>
      <c r="Z1375" s="2">
        <f t="shared" si="14"/>
      </c>
      <c r="AA1375" s="2">
        <f t="shared" si="15"/>
        <v>0</v>
      </c>
      <c r="AB1375" s="2">
        <f t="shared" si="16"/>
      </c>
      <c r="AC1375" s="2">
        <f t="shared" si="17"/>
      </c>
      <c r="AD1375" s="2">
        <f t="shared" si="18"/>
      </c>
      <c r="AE1375" s="2">
        <f t="shared" si="19"/>
      </c>
      <c r="AF1375" s="2">
        <f t="shared" si="20"/>
      </c>
      <c r="AG1375" s="2">
        <f t="shared" si="21"/>
      </c>
      <c r="AH1375" s="2">
        <f t="shared" si="22"/>
      </c>
      <c r="AI1375" s="2">
        <f t="shared" si="23"/>
      </c>
      <c r="AJ1375" s="2">
        <f t="shared" si="24"/>
        <v>0</v>
      </c>
      <c r="AK1375" s="2">
        <f t="shared" si="25"/>
        <v>0</v>
      </c>
      <c r="AL1375" s="2">
        <f t="shared" si="26"/>
        <v>0</v>
      </c>
      <c r="AM1375" s="2">
        <f t="shared" si="27"/>
        <v>0</v>
      </c>
      <c r="AN1375" s="2">
        <f t="shared" si="28"/>
        <v>0</v>
      </c>
      <c r="AO1375" s="2">
        <f t="shared" si="29"/>
      </c>
      <c r="AP1375" s="2">
        <f t="shared" si="30"/>
      </c>
      <c r="AQ1375" s="2">
        <f t="shared" si="31"/>
      </c>
    </row>
    <row r="1376">
      <c r="A1376" s="43">
        <f t="shared" si="3"/>
      </c>
      <c r="B1376" s="44" t="n"/>
      <c r="C1376" s="45" t="n"/>
      <c r="D1376" s="46" t="n"/>
      <c r="E1376" s="47" t="n"/>
      <c r="F1376" s="47" t="n"/>
      <c r="G1376" s="48">
        <f t="shared" si="4"/>
      </c>
      <c r="H1376" s="43">
        <f t="shared" si="0"/>
      </c>
      <c r="I1376" s="43">
        <f t="shared" si="5"/>
      </c>
      <c r="J1376" s="43">
        <f t="shared" si="1"/>
      </c>
      <c r="K1376" s="49">
        <f t="shared" si="2"/>
      </c>
      <c r="L1376" s="45" t="n"/>
      <c r="M1376" s="45" t="n"/>
      <c r="N1376" s="45" t="n"/>
      <c r="O1376" s="45" t="n"/>
      <c r="P1376" s="50" t="n"/>
      <c r="R1376" s="2">
        <f t="shared" si="6"/>
        <v>0</v>
      </c>
      <c r="S1376" s="2">
        <f t="shared" si="7"/>
      </c>
      <c r="T1376" s="2">
        <f t="shared" si="8"/>
      </c>
      <c r="U1376" s="2">
        <f t="shared" si="9"/>
      </c>
      <c r="V1376" s="2">
        <f t="shared" si="10"/>
      </c>
      <c r="W1376" s="2">
        <f t="shared" si="11"/>
      </c>
      <c r="X1376" s="2">
        <f t="shared" si="12"/>
      </c>
      <c r="Y1376" s="2">
        <f t="shared" si="13"/>
        <v>0</v>
      </c>
      <c r="Z1376" s="2">
        <f t="shared" si="14"/>
      </c>
      <c r="AA1376" s="2">
        <f t="shared" si="15"/>
        <v>0</v>
      </c>
      <c r="AB1376" s="2">
        <f t="shared" si="16"/>
      </c>
      <c r="AC1376" s="2">
        <f t="shared" si="17"/>
      </c>
      <c r="AD1376" s="2">
        <f t="shared" si="18"/>
      </c>
      <c r="AE1376" s="2">
        <f t="shared" si="19"/>
      </c>
      <c r="AF1376" s="2">
        <f t="shared" si="20"/>
      </c>
      <c r="AG1376" s="2">
        <f t="shared" si="21"/>
      </c>
      <c r="AH1376" s="2">
        <f t="shared" si="22"/>
      </c>
      <c r="AI1376" s="2">
        <f t="shared" si="23"/>
      </c>
      <c r="AJ1376" s="2">
        <f t="shared" si="24"/>
        <v>0</v>
      </c>
      <c r="AK1376" s="2">
        <f t="shared" si="25"/>
        <v>0</v>
      </c>
      <c r="AL1376" s="2">
        <f t="shared" si="26"/>
        <v>0</v>
      </c>
      <c r="AM1376" s="2">
        <f t="shared" si="27"/>
        <v>0</v>
      </c>
      <c r="AN1376" s="2">
        <f t="shared" si="28"/>
        <v>0</v>
      </c>
      <c r="AO1376" s="2">
        <f t="shared" si="29"/>
      </c>
      <c r="AP1376" s="2">
        <f t="shared" si="30"/>
      </c>
      <c r="AQ1376" s="2">
        <f t="shared" si="31"/>
      </c>
    </row>
    <row r="1377">
      <c r="A1377" s="43">
        <f t="shared" si="3"/>
      </c>
      <c r="B1377" s="44" t="n"/>
      <c r="C1377" s="45" t="n"/>
      <c r="D1377" s="46" t="n"/>
      <c r="E1377" s="47" t="n"/>
      <c r="F1377" s="47" t="n"/>
      <c r="G1377" s="48">
        <f t="shared" si="4"/>
      </c>
      <c r="H1377" s="43">
        <f t="shared" si="0"/>
      </c>
      <c r="I1377" s="43">
        <f t="shared" si="5"/>
      </c>
      <c r="J1377" s="43">
        <f t="shared" si="1"/>
      </c>
      <c r="K1377" s="49">
        <f t="shared" si="2"/>
      </c>
      <c r="L1377" s="45" t="n"/>
      <c r="M1377" s="45" t="n"/>
      <c r="N1377" s="45" t="n"/>
      <c r="O1377" s="45" t="n"/>
      <c r="P1377" s="50" t="n"/>
      <c r="R1377" s="2">
        <f t="shared" si="6"/>
        <v>0</v>
      </c>
      <c r="S1377" s="2">
        <f t="shared" si="7"/>
      </c>
      <c r="T1377" s="2">
        <f t="shared" si="8"/>
      </c>
      <c r="U1377" s="2">
        <f t="shared" si="9"/>
      </c>
      <c r="V1377" s="2">
        <f t="shared" si="10"/>
      </c>
      <c r="W1377" s="2">
        <f t="shared" si="11"/>
      </c>
      <c r="X1377" s="2">
        <f t="shared" si="12"/>
      </c>
      <c r="Y1377" s="2">
        <f t="shared" si="13"/>
        <v>0</v>
      </c>
      <c r="Z1377" s="2">
        <f t="shared" si="14"/>
      </c>
      <c r="AA1377" s="2">
        <f t="shared" si="15"/>
        <v>0</v>
      </c>
      <c r="AB1377" s="2">
        <f t="shared" si="16"/>
      </c>
      <c r="AC1377" s="2">
        <f t="shared" si="17"/>
      </c>
      <c r="AD1377" s="2">
        <f t="shared" si="18"/>
      </c>
      <c r="AE1377" s="2">
        <f t="shared" si="19"/>
      </c>
      <c r="AF1377" s="2">
        <f t="shared" si="20"/>
      </c>
      <c r="AG1377" s="2">
        <f t="shared" si="21"/>
      </c>
      <c r="AH1377" s="2">
        <f t="shared" si="22"/>
      </c>
      <c r="AI1377" s="2">
        <f t="shared" si="23"/>
      </c>
      <c r="AJ1377" s="2">
        <f t="shared" si="24"/>
        <v>0</v>
      </c>
      <c r="AK1377" s="2">
        <f t="shared" si="25"/>
        <v>0</v>
      </c>
      <c r="AL1377" s="2">
        <f t="shared" si="26"/>
        <v>0</v>
      </c>
      <c r="AM1377" s="2">
        <f t="shared" si="27"/>
        <v>0</v>
      </c>
      <c r="AN1377" s="2">
        <f t="shared" si="28"/>
        <v>0</v>
      </c>
      <c r="AO1377" s="2">
        <f t="shared" si="29"/>
      </c>
      <c r="AP1377" s="2">
        <f t="shared" si="30"/>
      </c>
      <c r="AQ1377" s="2">
        <f t="shared" si="31"/>
      </c>
    </row>
    <row r="1378">
      <c r="A1378" s="43">
        <f t="shared" si="3"/>
      </c>
      <c r="B1378" s="44" t="n"/>
      <c r="C1378" s="45" t="n"/>
      <c r="D1378" s="46" t="n"/>
      <c r="E1378" s="47" t="n"/>
      <c r="F1378" s="47" t="n"/>
      <c r="G1378" s="48">
        <f t="shared" si="4"/>
      </c>
      <c r="H1378" s="43">
        <f t="shared" si="0"/>
      </c>
      <c r="I1378" s="43">
        <f t="shared" si="5"/>
      </c>
      <c r="J1378" s="43">
        <f t="shared" si="1"/>
      </c>
      <c r="K1378" s="49">
        <f t="shared" si="2"/>
      </c>
      <c r="L1378" s="45" t="n"/>
      <c r="M1378" s="45" t="n"/>
      <c r="N1378" s="45" t="n"/>
      <c r="O1378" s="45" t="n"/>
      <c r="P1378" s="50" t="n"/>
      <c r="R1378" s="2">
        <f t="shared" si="6"/>
        <v>0</v>
      </c>
      <c r="S1378" s="2">
        <f t="shared" si="7"/>
      </c>
      <c r="T1378" s="2">
        <f t="shared" si="8"/>
      </c>
      <c r="U1378" s="2">
        <f t="shared" si="9"/>
      </c>
      <c r="V1378" s="2">
        <f t="shared" si="10"/>
      </c>
      <c r="W1378" s="2">
        <f t="shared" si="11"/>
      </c>
      <c r="X1378" s="2">
        <f t="shared" si="12"/>
      </c>
      <c r="Y1378" s="2">
        <f t="shared" si="13"/>
        <v>0</v>
      </c>
      <c r="Z1378" s="2">
        <f t="shared" si="14"/>
      </c>
      <c r="AA1378" s="2">
        <f t="shared" si="15"/>
        <v>0</v>
      </c>
      <c r="AB1378" s="2">
        <f t="shared" si="16"/>
      </c>
      <c r="AC1378" s="2">
        <f t="shared" si="17"/>
      </c>
      <c r="AD1378" s="2">
        <f t="shared" si="18"/>
      </c>
      <c r="AE1378" s="2">
        <f t="shared" si="19"/>
      </c>
      <c r="AF1378" s="2">
        <f t="shared" si="20"/>
      </c>
      <c r="AG1378" s="2">
        <f t="shared" si="21"/>
      </c>
      <c r="AH1378" s="2">
        <f t="shared" si="22"/>
      </c>
      <c r="AI1378" s="2">
        <f t="shared" si="23"/>
      </c>
      <c r="AJ1378" s="2">
        <f t="shared" si="24"/>
        <v>0</v>
      </c>
      <c r="AK1378" s="2">
        <f t="shared" si="25"/>
        <v>0</v>
      </c>
      <c r="AL1378" s="2">
        <f t="shared" si="26"/>
        <v>0</v>
      </c>
      <c r="AM1378" s="2">
        <f t="shared" si="27"/>
        <v>0</v>
      </c>
      <c r="AN1378" s="2">
        <f t="shared" si="28"/>
        <v>0</v>
      </c>
      <c r="AO1378" s="2">
        <f t="shared" si="29"/>
      </c>
      <c r="AP1378" s="2">
        <f t="shared" si="30"/>
      </c>
      <c r="AQ1378" s="2">
        <f t="shared" si="31"/>
      </c>
    </row>
    <row r="1379">
      <c r="A1379" s="43">
        <f t="shared" si="3"/>
      </c>
      <c r="B1379" s="44" t="n"/>
      <c r="C1379" s="45" t="n"/>
      <c r="D1379" s="46" t="n"/>
      <c r="E1379" s="47" t="n"/>
      <c r="F1379" s="47" t="n"/>
      <c r="G1379" s="48">
        <f t="shared" si="4"/>
      </c>
      <c r="H1379" s="43">
        <f t="shared" si="0"/>
      </c>
      <c r="I1379" s="43">
        <f t="shared" si="5"/>
      </c>
      <c r="J1379" s="43">
        <f t="shared" si="1"/>
      </c>
      <c r="K1379" s="49">
        <f t="shared" si="2"/>
      </c>
      <c r="L1379" s="45" t="n"/>
      <c r="M1379" s="45" t="n"/>
      <c r="N1379" s="45" t="n"/>
      <c r="O1379" s="45" t="n"/>
      <c r="P1379" s="50" t="n"/>
      <c r="R1379" s="2">
        <f t="shared" si="6"/>
        <v>0</v>
      </c>
      <c r="S1379" s="2">
        <f t="shared" si="7"/>
      </c>
      <c r="T1379" s="2">
        <f t="shared" si="8"/>
      </c>
      <c r="U1379" s="2">
        <f t="shared" si="9"/>
      </c>
      <c r="V1379" s="2">
        <f t="shared" si="10"/>
      </c>
      <c r="W1379" s="2">
        <f t="shared" si="11"/>
      </c>
      <c r="X1379" s="2">
        <f t="shared" si="12"/>
      </c>
      <c r="Y1379" s="2">
        <f t="shared" si="13"/>
        <v>0</v>
      </c>
      <c r="Z1379" s="2">
        <f t="shared" si="14"/>
      </c>
      <c r="AA1379" s="2">
        <f t="shared" si="15"/>
        <v>0</v>
      </c>
      <c r="AB1379" s="2">
        <f t="shared" si="16"/>
      </c>
      <c r="AC1379" s="2">
        <f t="shared" si="17"/>
      </c>
      <c r="AD1379" s="2">
        <f t="shared" si="18"/>
      </c>
      <c r="AE1379" s="2">
        <f t="shared" si="19"/>
      </c>
      <c r="AF1379" s="2">
        <f t="shared" si="20"/>
      </c>
      <c r="AG1379" s="2">
        <f t="shared" si="21"/>
      </c>
      <c r="AH1379" s="2">
        <f t="shared" si="22"/>
      </c>
      <c r="AI1379" s="2">
        <f t="shared" si="23"/>
      </c>
      <c r="AJ1379" s="2">
        <f t="shared" si="24"/>
        <v>0</v>
      </c>
      <c r="AK1379" s="2">
        <f t="shared" si="25"/>
        <v>0</v>
      </c>
      <c r="AL1379" s="2">
        <f t="shared" si="26"/>
        <v>0</v>
      </c>
      <c r="AM1379" s="2">
        <f t="shared" si="27"/>
        <v>0</v>
      </c>
      <c r="AN1379" s="2">
        <f t="shared" si="28"/>
        <v>0</v>
      </c>
      <c r="AO1379" s="2">
        <f t="shared" si="29"/>
      </c>
      <c r="AP1379" s="2">
        <f t="shared" si="30"/>
      </c>
      <c r="AQ1379" s="2">
        <f t="shared" si="31"/>
      </c>
    </row>
    <row r="1380">
      <c r="A1380" s="43">
        <f t="shared" si="3"/>
      </c>
      <c r="B1380" s="44" t="n"/>
      <c r="C1380" s="45" t="n"/>
      <c r="D1380" s="46" t="n"/>
      <c r="E1380" s="47" t="n"/>
      <c r="F1380" s="47" t="n"/>
      <c r="G1380" s="48">
        <f t="shared" si="4"/>
      </c>
      <c r="H1380" s="43">
        <f t="shared" si="0"/>
      </c>
      <c r="I1380" s="43">
        <f t="shared" si="5"/>
      </c>
      <c r="J1380" s="43">
        <f t="shared" si="1"/>
      </c>
      <c r="K1380" s="49">
        <f t="shared" si="2"/>
      </c>
      <c r="L1380" s="45" t="n"/>
      <c r="M1380" s="45" t="n"/>
      <c r="N1380" s="45" t="n"/>
      <c r="O1380" s="45" t="n"/>
      <c r="P1380" s="50" t="n"/>
      <c r="R1380" s="2">
        <f t="shared" si="6"/>
        <v>0</v>
      </c>
      <c r="S1380" s="2">
        <f t="shared" si="7"/>
      </c>
      <c r="T1380" s="2">
        <f t="shared" si="8"/>
      </c>
      <c r="U1380" s="2">
        <f t="shared" si="9"/>
      </c>
      <c r="V1380" s="2">
        <f t="shared" si="10"/>
      </c>
      <c r="W1380" s="2">
        <f t="shared" si="11"/>
      </c>
      <c r="X1380" s="2">
        <f t="shared" si="12"/>
      </c>
      <c r="Y1380" s="2">
        <f t="shared" si="13"/>
        <v>0</v>
      </c>
      <c r="Z1380" s="2">
        <f t="shared" si="14"/>
      </c>
      <c r="AA1380" s="2">
        <f t="shared" si="15"/>
        <v>0</v>
      </c>
      <c r="AB1380" s="2">
        <f t="shared" si="16"/>
      </c>
      <c r="AC1380" s="2">
        <f t="shared" si="17"/>
      </c>
      <c r="AD1380" s="2">
        <f t="shared" si="18"/>
      </c>
      <c r="AE1380" s="2">
        <f t="shared" si="19"/>
      </c>
      <c r="AF1380" s="2">
        <f t="shared" si="20"/>
      </c>
      <c r="AG1380" s="2">
        <f t="shared" si="21"/>
      </c>
      <c r="AH1380" s="2">
        <f t="shared" si="22"/>
      </c>
      <c r="AI1380" s="2">
        <f t="shared" si="23"/>
      </c>
      <c r="AJ1380" s="2">
        <f t="shared" si="24"/>
        <v>0</v>
      </c>
      <c r="AK1380" s="2">
        <f t="shared" si="25"/>
        <v>0</v>
      </c>
      <c r="AL1380" s="2">
        <f t="shared" si="26"/>
        <v>0</v>
      </c>
      <c r="AM1380" s="2">
        <f t="shared" si="27"/>
        <v>0</v>
      </c>
      <c r="AN1380" s="2">
        <f t="shared" si="28"/>
        <v>0</v>
      </c>
      <c r="AO1380" s="2">
        <f t="shared" si="29"/>
      </c>
      <c r="AP1380" s="2">
        <f t="shared" si="30"/>
      </c>
      <c r="AQ1380" s="2">
        <f t="shared" si="31"/>
      </c>
    </row>
    <row r="1381">
      <c r="A1381" s="43">
        <f t="shared" si="3"/>
      </c>
      <c r="B1381" s="44" t="n"/>
      <c r="C1381" s="45" t="n"/>
      <c r="D1381" s="46" t="n"/>
      <c r="E1381" s="47" t="n"/>
      <c r="F1381" s="47" t="n"/>
      <c r="G1381" s="48">
        <f t="shared" si="4"/>
      </c>
      <c r="H1381" s="43">
        <f t="shared" si="0"/>
      </c>
      <c r="I1381" s="43">
        <f t="shared" si="5"/>
      </c>
      <c r="J1381" s="43">
        <f t="shared" si="1"/>
      </c>
      <c r="K1381" s="49">
        <f t="shared" si="2"/>
      </c>
      <c r="L1381" s="45" t="n"/>
      <c r="M1381" s="45" t="n"/>
      <c r="N1381" s="45" t="n"/>
      <c r="O1381" s="45" t="n"/>
      <c r="P1381" s="50" t="n"/>
      <c r="R1381" s="2">
        <f t="shared" si="6"/>
        <v>0</v>
      </c>
      <c r="S1381" s="2">
        <f t="shared" si="7"/>
      </c>
      <c r="T1381" s="2">
        <f t="shared" si="8"/>
      </c>
      <c r="U1381" s="2">
        <f t="shared" si="9"/>
      </c>
      <c r="V1381" s="2">
        <f t="shared" si="10"/>
      </c>
      <c r="W1381" s="2">
        <f t="shared" si="11"/>
      </c>
      <c r="X1381" s="2">
        <f t="shared" si="12"/>
      </c>
      <c r="Y1381" s="2">
        <f t="shared" si="13"/>
        <v>0</v>
      </c>
      <c r="Z1381" s="2">
        <f t="shared" si="14"/>
      </c>
      <c r="AA1381" s="2">
        <f t="shared" si="15"/>
        <v>0</v>
      </c>
      <c r="AB1381" s="2">
        <f t="shared" si="16"/>
      </c>
      <c r="AC1381" s="2">
        <f t="shared" si="17"/>
      </c>
      <c r="AD1381" s="2">
        <f t="shared" si="18"/>
      </c>
      <c r="AE1381" s="2">
        <f t="shared" si="19"/>
      </c>
      <c r="AF1381" s="2">
        <f t="shared" si="20"/>
      </c>
      <c r="AG1381" s="2">
        <f t="shared" si="21"/>
      </c>
      <c r="AH1381" s="2">
        <f t="shared" si="22"/>
      </c>
      <c r="AI1381" s="2">
        <f t="shared" si="23"/>
      </c>
      <c r="AJ1381" s="2">
        <f t="shared" si="24"/>
        <v>0</v>
      </c>
      <c r="AK1381" s="2">
        <f t="shared" si="25"/>
        <v>0</v>
      </c>
      <c r="AL1381" s="2">
        <f t="shared" si="26"/>
        <v>0</v>
      </c>
      <c r="AM1381" s="2">
        <f t="shared" si="27"/>
        <v>0</v>
      </c>
      <c r="AN1381" s="2">
        <f t="shared" si="28"/>
        <v>0</v>
      </c>
      <c r="AO1381" s="2">
        <f t="shared" si="29"/>
      </c>
      <c r="AP1381" s="2">
        <f t="shared" si="30"/>
      </c>
      <c r="AQ1381" s="2">
        <f t="shared" si="31"/>
      </c>
    </row>
    <row r="1382">
      <c r="A1382" s="43">
        <f t="shared" si="3"/>
      </c>
      <c r="B1382" s="44" t="n"/>
      <c r="C1382" s="45" t="n"/>
      <c r="D1382" s="46" t="n"/>
      <c r="E1382" s="47" t="n"/>
      <c r="F1382" s="47" t="n"/>
      <c r="G1382" s="48">
        <f t="shared" si="4"/>
      </c>
      <c r="H1382" s="43">
        <f t="shared" si="0"/>
      </c>
      <c r="I1382" s="43">
        <f t="shared" si="5"/>
      </c>
      <c r="J1382" s="43">
        <f t="shared" si="1"/>
      </c>
      <c r="K1382" s="49">
        <f t="shared" si="2"/>
      </c>
      <c r="L1382" s="45" t="n"/>
      <c r="M1382" s="45" t="n"/>
      <c r="N1382" s="45" t="n"/>
      <c r="O1382" s="45" t="n"/>
      <c r="P1382" s="50" t="n"/>
      <c r="R1382" s="2">
        <f t="shared" si="6"/>
        <v>0</v>
      </c>
      <c r="S1382" s="2">
        <f t="shared" si="7"/>
      </c>
      <c r="T1382" s="2">
        <f t="shared" si="8"/>
      </c>
      <c r="U1382" s="2">
        <f t="shared" si="9"/>
      </c>
      <c r="V1382" s="2">
        <f t="shared" si="10"/>
      </c>
      <c r="W1382" s="2">
        <f t="shared" si="11"/>
      </c>
      <c r="X1382" s="2">
        <f t="shared" si="12"/>
      </c>
      <c r="Y1382" s="2">
        <f t="shared" si="13"/>
        <v>0</v>
      </c>
      <c r="Z1382" s="2">
        <f t="shared" si="14"/>
      </c>
      <c r="AA1382" s="2">
        <f t="shared" si="15"/>
        <v>0</v>
      </c>
      <c r="AB1382" s="2">
        <f t="shared" si="16"/>
      </c>
      <c r="AC1382" s="2">
        <f t="shared" si="17"/>
      </c>
      <c r="AD1382" s="2">
        <f t="shared" si="18"/>
      </c>
      <c r="AE1382" s="2">
        <f t="shared" si="19"/>
      </c>
      <c r="AF1382" s="2">
        <f t="shared" si="20"/>
      </c>
      <c r="AG1382" s="2">
        <f t="shared" si="21"/>
      </c>
      <c r="AH1382" s="2">
        <f t="shared" si="22"/>
      </c>
      <c r="AI1382" s="2">
        <f t="shared" si="23"/>
      </c>
      <c r="AJ1382" s="2">
        <f t="shared" si="24"/>
        <v>0</v>
      </c>
      <c r="AK1382" s="2">
        <f t="shared" si="25"/>
        <v>0</v>
      </c>
      <c r="AL1382" s="2">
        <f t="shared" si="26"/>
        <v>0</v>
      </c>
      <c r="AM1382" s="2">
        <f t="shared" si="27"/>
        <v>0</v>
      </c>
      <c r="AN1382" s="2">
        <f t="shared" si="28"/>
        <v>0</v>
      </c>
      <c r="AO1382" s="2">
        <f t="shared" si="29"/>
      </c>
      <c r="AP1382" s="2">
        <f t="shared" si="30"/>
      </c>
      <c r="AQ1382" s="2">
        <f t="shared" si="31"/>
      </c>
    </row>
    <row r="1383">
      <c r="A1383" s="43">
        <f t="shared" si="3"/>
      </c>
      <c r="B1383" s="44" t="n"/>
      <c r="C1383" s="45" t="n"/>
      <c r="D1383" s="46" t="n"/>
      <c r="E1383" s="47" t="n"/>
      <c r="F1383" s="47" t="n"/>
      <c r="G1383" s="48">
        <f t="shared" si="4"/>
      </c>
      <c r="H1383" s="43">
        <f t="shared" si="0"/>
      </c>
      <c r="I1383" s="43">
        <f t="shared" si="5"/>
      </c>
      <c r="J1383" s="43">
        <f t="shared" si="1"/>
      </c>
      <c r="K1383" s="49">
        <f t="shared" si="2"/>
      </c>
      <c r="L1383" s="45" t="n"/>
      <c r="M1383" s="45" t="n"/>
      <c r="N1383" s="45" t="n"/>
      <c r="O1383" s="45" t="n"/>
      <c r="P1383" s="50" t="n"/>
      <c r="R1383" s="2">
        <f t="shared" si="6"/>
        <v>0</v>
      </c>
      <c r="S1383" s="2">
        <f t="shared" si="7"/>
      </c>
      <c r="T1383" s="2">
        <f t="shared" si="8"/>
      </c>
      <c r="U1383" s="2">
        <f t="shared" si="9"/>
      </c>
      <c r="V1383" s="2">
        <f t="shared" si="10"/>
      </c>
      <c r="W1383" s="2">
        <f t="shared" si="11"/>
      </c>
      <c r="X1383" s="2">
        <f t="shared" si="12"/>
      </c>
      <c r="Y1383" s="2">
        <f t="shared" si="13"/>
        <v>0</v>
      </c>
      <c r="Z1383" s="2">
        <f t="shared" si="14"/>
      </c>
      <c r="AA1383" s="2">
        <f t="shared" si="15"/>
        <v>0</v>
      </c>
      <c r="AB1383" s="2">
        <f t="shared" si="16"/>
      </c>
      <c r="AC1383" s="2">
        <f t="shared" si="17"/>
      </c>
      <c r="AD1383" s="2">
        <f t="shared" si="18"/>
      </c>
      <c r="AE1383" s="2">
        <f t="shared" si="19"/>
      </c>
      <c r="AF1383" s="2">
        <f t="shared" si="20"/>
      </c>
      <c r="AG1383" s="2">
        <f t="shared" si="21"/>
      </c>
      <c r="AH1383" s="2">
        <f t="shared" si="22"/>
      </c>
      <c r="AI1383" s="2">
        <f t="shared" si="23"/>
      </c>
      <c r="AJ1383" s="2">
        <f t="shared" si="24"/>
        <v>0</v>
      </c>
      <c r="AK1383" s="2">
        <f t="shared" si="25"/>
        <v>0</v>
      </c>
      <c r="AL1383" s="2">
        <f t="shared" si="26"/>
        <v>0</v>
      </c>
      <c r="AM1383" s="2">
        <f t="shared" si="27"/>
        <v>0</v>
      </c>
      <c r="AN1383" s="2">
        <f t="shared" si="28"/>
        <v>0</v>
      </c>
      <c r="AO1383" s="2">
        <f t="shared" si="29"/>
      </c>
      <c r="AP1383" s="2">
        <f t="shared" si="30"/>
      </c>
      <c r="AQ1383" s="2">
        <f t="shared" si="31"/>
      </c>
    </row>
    <row r="1384">
      <c r="A1384" s="43">
        <f t="shared" si="3"/>
      </c>
      <c r="B1384" s="44" t="n"/>
      <c r="C1384" s="45" t="n"/>
      <c r="D1384" s="46" t="n"/>
      <c r="E1384" s="47" t="n"/>
      <c r="F1384" s="47" t="n"/>
      <c r="G1384" s="48">
        <f t="shared" si="4"/>
      </c>
      <c r="H1384" s="43">
        <f t="shared" si="0"/>
      </c>
      <c r="I1384" s="43">
        <f t="shared" si="5"/>
      </c>
      <c r="J1384" s="43">
        <f t="shared" si="1"/>
      </c>
      <c r="K1384" s="49">
        <f t="shared" si="2"/>
      </c>
      <c r="L1384" s="45" t="n"/>
      <c r="M1384" s="45" t="n"/>
      <c r="N1384" s="45" t="n"/>
      <c r="O1384" s="45" t="n"/>
      <c r="P1384" s="50" t="n"/>
      <c r="R1384" s="2">
        <f t="shared" si="6"/>
        <v>0</v>
      </c>
      <c r="S1384" s="2">
        <f t="shared" si="7"/>
      </c>
      <c r="T1384" s="2">
        <f t="shared" si="8"/>
      </c>
      <c r="U1384" s="2">
        <f t="shared" si="9"/>
      </c>
      <c r="V1384" s="2">
        <f t="shared" si="10"/>
      </c>
      <c r="W1384" s="2">
        <f t="shared" si="11"/>
      </c>
      <c r="X1384" s="2">
        <f t="shared" si="12"/>
      </c>
      <c r="Y1384" s="2">
        <f t="shared" si="13"/>
        <v>0</v>
      </c>
      <c r="Z1384" s="2">
        <f t="shared" si="14"/>
      </c>
      <c r="AA1384" s="2">
        <f t="shared" si="15"/>
        <v>0</v>
      </c>
      <c r="AB1384" s="2">
        <f t="shared" si="16"/>
      </c>
      <c r="AC1384" s="2">
        <f t="shared" si="17"/>
      </c>
      <c r="AD1384" s="2">
        <f t="shared" si="18"/>
      </c>
      <c r="AE1384" s="2">
        <f t="shared" si="19"/>
      </c>
      <c r="AF1384" s="2">
        <f t="shared" si="20"/>
      </c>
      <c r="AG1384" s="2">
        <f t="shared" si="21"/>
      </c>
      <c r="AH1384" s="2">
        <f t="shared" si="22"/>
      </c>
      <c r="AI1384" s="2">
        <f t="shared" si="23"/>
      </c>
      <c r="AJ1384" s="2">
        <f t="shared" si="24"/>
        <v>0</v>
      </c>
      <c r="AK1384" s="2">
        <f t="shared" si="25"/>
        <v>0</v>
      </c>
      <c r="AL1384" s="2">
        <f t="shared" si="26"/>
        <v>0</v>
      </c>
      <c r="AM1384" s="2">
        <f t="shared" si="27"/>
        <v>0</v>
      </c>
      <c r="AN1384" s="2">
        <f t="shared" si="28"/>
        <v>0</v>
      </c>
      <c r="AO1384" s="2">
        <f t="shared" si="29"/>
      </c>
      <c r="AP1384" s="2">
        <f t="shared" si="30"/>
      </c>
      <c r="AQ1384" s="2">
        <f t="shared" si="31"/>
      </c>
    </row>
    <row r="1385">
      <c r="A1385" s="43">
        <f t="shared" si="3"/>
      </c>
      <c r="B1385" s="44" t="n"/>
      <c r="C1385" s="45" t="n"/>
      <c r="D1385" s="46" t="n"/>
      <c r="E1385" s="47" t="n"/>
      <c r="F1385" s="47" t="n"/>
      <c r="G1385" s="48">
        <f t="shared" si="4"/>
      </c>
      <c r="H1385" s="43">
        <f t="shared" si="0"/>
      </c>
      <c r="I1385" s="43">
        <f t="shared" si="5"/>
      </c>
      <c r="J1385" s="43">
        <f t="shared" si="1"/>
      </c>
      <c r="K1385" s="49">
        <f t="shared" si="2"/>
      </c>
      <c r="L1385" s="45" t="n"/>
      <c r="M1385" s="45" t="n"/>
      <c r="N1385" s="45" t="n"/>
      <c r="O1385" s="45" t="n"/>
      <c r="P1385" s="50" t="n"/>
      <c r="R1385" s="2">
        <f t="shared" si="6"/>
        <v>0</v>
      </c>
      <c r="S1385" s="2">
        <f t="shared" si="7"/>
      </c>
      <c r="T1385" s="2">
        <f t="shared" si="8"/>
      </c>
      <c r="U1385" s="2">
        <f t="shared" si="9"/>
      </c>
      <c r="V1385" s="2">
        <f t="shared" si="10"/>
      </c>
      <c r="W1385" s="2">
        <f t="shared" si="11"/>
      </c>
      <c r="X1385" s="2">
        <f t="shared" si="12"/>
      </c>
      <c r="Y1385" s="2">
        <f t="shared" si="13"/>
        <v>0</v>
      </c>
      <c r="Z1385" s="2">
        <f t="shared" si="14"/>
      </c>
      <c r="AA1385" s="2">
        <f t="shared" si="15"/>
        <v>0</v>
      </c>
      <c r="AB1385" s="2">
        <f t="shared" si="16"/>
      </c>
      <c r="AC1385" s="2">
        <f t="shared" si="17"/>
      </c>
      <c r="AD1385" s="2">
        <f t="shared" si="18"/>
      </c>
      <c r="AE1385" s="2">
        <f t="shared" si="19"/>
      </c>
      <c r="AF1385" s="2">
        <f t="shared" si="20"/>
      </c>
      <c r="AG1385" s="2">
        <f t="shared" si="21"/>
      </c>
      <c r="AH1385" s="2">
        <f t="shared" si="22"/>
      </c>
      <c r="AI1385" s="2">
        <f t="shared" si="23"/>
      </c>
      <c r="AJ1385" s="2">
        <f t="shared" si="24"/>
        <v>0</v>
      </c>
      <c r="AK1385" s="2">
        <f t="shared" si="25"/>
        <v>0</v>
      </c>
      <c r="AL1385" s="2">
        <f t="shared" si="26"/>
        <v>0</v>
      </c>
      <c r="AM1385" s="2">
        <f t="shared" si="27"/>
        <v>0</v>
      </c>
      <c r="AN1385" s="2">
        <f t="shared" si="28"/>
        <v>0</v>
      </c>
      <c r="AO1385" s="2">
        <f t="shared" si="29"/>
      </c>
      <c r="AP1385" s="2">
        <f t="shared" si="30"/>
      </c>
      <c r="AQ1385" s="2">
        <f t="shared" si="31"/>
      </c>
    </row>
    <row r="1386">
      <c r="A1386" s="43">
        <f t="shared" si="3"/>
      </c>
      <c r="B1386" s="44" t="n"/>
      <c r="C1386" s="45" t="n"/>
      <c r="D1386" s="46" t="n"/>
      <c r="E1386" s="47" t="n"/>
      <c r="F1386" s="47" t="n"/>
      <c r="G1386" s="48">
        <f t="shared" si="4"/>
      </c>
      <c r="H1386" s="43">
        <f t="shared" si="0"/>
      </c>
      <c r="I1386" s="43">
        <f t="shared" si="5"/>
      </c>
      <c r="J1386" s="43">
        <f t="shared" si="1"/>
      </c>
      <c r="K1386" s="49">
        <f t="shared" si="2"/>
      </c>
      <c r="L1386" s="45" t="n"/>
      <c r="M1386" s="45" t="n"/>
      <c r="N1386" s="45" t="n"/>
      <c r="O1386" s="45" t="n"/>
      <c r="P1386" s="50" t="n"/>
      <c r="R1386" s="2">
        <f t="shared" si="6"/>
        <v>0</v>
      </c>
      <c r="S1386" s="2">
        <f t="shared" si="7"/>
      </c>
      <c r="T1386" s="2">
        <f t="shared" si="8"/>
      </c>
      <c r="U1386" s="2">
        <f t="shared" si="9"/>
      </c>
      <c r="V1386" s="2">
        <f t="shared" si="10"/>
      </c>
      <c r="W1386" s="2">
        <f t="shared" si="11"/>
      </c>
      <c r="X1386" s="2">
        <f t="shared" si="12"/>
      </c>
      <c r="Y1386" s="2">
        <f t="shared" si="13"/>
        <v>0</v>
      </c>
      <c r="Z1386" s="2">
        <f t="shared" si="14"/>
      </c>
      <c r="AA1386" s="2">
        <f t="shared" si="15"/>
        <v>0</v>
      </c>
      <c r="AB1386" s="2">
        <f t="shared" si="16"/>
      </c>
      <c r="AC1386" s="2">
        <f t="shared" si="17"/>
      </c>
      <c r="AD1386" s="2">
        <f t="shared" si="18"/>
      </c>
      <c r="AE1386" s="2">
        <f t="shared" si="19"/>
      </c>
      <c r="AF1386" s="2">
        <f t="shared" si="20"/>
      </c>
      <c r="AG1386" s="2">
        <f t="shared" si="21"/>
      </c>
      <c r="AH1386" s="2">
        <f t="shared" si="22"/>
      </c>
      <c r="AI1386" s="2">
        <f t="shared" si="23"/>
      </c>
      <c r="AJ1386" s="2">
        <f t="shared" si="24"/>
        <v>0</v>
      </c>
      <c r="AK1386" s="2">
        <f t="shared" si="25"/>
        <v>0</v>
      </c>
      <c r="AL1386" s="2">
        <f t="shared" si="26"/>
        <v>0</v>
      </c>
      <c r="AM1386" s="2">
        <f t="shared" si="27"/>
        <v>0</v>
      </c>
      <c r="AN1386" s="2">
        <f t="shared" si="28"/>
        <v>0</v>
      </c>
      <c r="AO1386" s="2">
        <f t="shared" si="29"/>
      </c>
      <c r="AP1386" s="2">
        <f t="shared" si="30"/>
      </c>
      <c r="AQ1386" s="2">
        <f t="shared" si="31"/>
      </c>
    </row>
    <row r="1387">
      <c r="A1387" s="43">
        <f t="shared" si="3"/>
      </c>
      <c r="B1387" s="44" t="n"/>
      <c r="C1387" s="45" t="n"/>
      <c r="D1387" s="46" t="n"/>
      <c r="E1387" s="47" t="n"/>
      <c r="F1387" s="47" t="n"/>
      <c r="G1387" s="48">
        <f t="shared" si="4"/>
      </c>
      <c r="H1387" s="43">
        <f t="shared" si="0"/>
      </c>
      <c r="I1387" s="43">
        <f t="shared" si="5"/>
      </c>
      <c r="J1387" s="43">
        <f t="shared" si="1"/>
      </c>
      <c r="K1387" s="49">
        <f t="shared" si="2"/>
      </c>
      <c r="L1387" s="45" t="n"/>
      <c r="M1387" s="45" t="n"/>
      <c r="N1387" s="45" t="n"/>
      <c r="O1387" s="45" t="n"/>
      <c r="P1387" s="50" t="n"/>
      <c r="R1387" s="2">
        <f t="shared" si="6"/>
        <v>0</v>
      </c>
      <c r="S1387" s="2">
        <f t="shared" si="7"/>
      </c>
      <c r="T1387" s="2">
        <f t="shared" si="8"/>
      </c>
      <c r="U1387" s="2">
        <f t="shared" si="9"/>
      </c>
      <c r="V1387" s="2">
        <f t="shared" si="10"/>
      </c>
      <c r="W1387" s="2">
        <f t="shared" si="11"/>
      </c>
      <c r="X1387" s="2">
        <f t="shared" si="12"/>
      </c>
      <c r="Y1387" s="2">
        <f t="shared" si="13"/>
        <v>0</v>
      </c>
      <c r="Z1387" s="2">
        <f t="shared" si="14"/>
      </c>
      <c r="AA1387" s="2">
        <f t="shared" si="15"/>
        <v>0</v>
      </c>
      <c r="AB1387" s="2">
        <f t="shared" si="16"/>
      </c>
      <c r="AC1387" s="2">
        <f t="shared" si="17"/>
      </c>
      <c r="AD1387" s="2">
        <f t="shared" si="18"/>
      </c>
      <c r="AE1387" s="2">
        <f t="shared" si="19"/>
      </c>
      <c r="AF1387" s="2">
        <f t="shared" si="20"/>
      </c>
      <c r="AG1387" s="2">
        <f t="shared" si="21"/>
      </c>
      <c r="AH1387" s="2">
        <f t="shared" si="22"/>
      </c>
      <c r="AI1387" s="2">
        <f t="shared" si="23"/>
      </c>
      <c r="AJ1387" s="2">
        <f t="shared" si="24"/>
        <v>0</v>
      </c>
      <c r="AK1387" s="2">
        <f t="shared" si="25"/>
        <v>0</v>
      </c>
      <c r="AL1387" s="2">
        <f t="shared" si="26"/>
        <v>0</v>
      </c>
      <c r="AM1387" s="2">
        <f t="shared" si="27"/>
        <v>0</v>
      </c>
      <c r="AN1387" s="2">
        <f t="shared" si="28"/>
        <v>0</v>
      </c>
      <c r="AO1387" s="2">
        <f t="shared" si="29"/>
      </c>
      <c r="AP1387" s="2">
        <f t="shared" si="30"/>
      </c>
      <c r="AQ1387" s="2">
        <f t="shared" si="31"/>
      </c>
    </row>
    <row r="1388">
      <c r="A1388" s="43">
        <f t="shared" si="3"/>
      </c>
      <c r="B1388" s="44" t="n"/>
      <c r="C1388" s="45" t="n"/>
      <c r="D1388" s="46" t="n"/>
      <c r="E1388" s="47" t="n"/>
      <c r="F1388" s="47" t="n"/>
      <c r="G1388" s="48">
        <f t="shared" si="4"/>
      </c>
      <c r="H1388" s="43">
        <f t="shared" si="0"/>
      </c>
      <c r="I1388" s="43">
        <f t="shared" si="5"/>
      </c>
      <c r="J1388" s="43">
        <f t="shared" si="1"/>
      </c>
      <c r="K1388" s="49">
        <f t="shared" si="2"/>
      </c>
      <c r="L1388" s="45" t="n"/>
      <c r="M1388" s="45" t="n"/>
      <c r="N1388" s="45" t="n"/>
      <c r="O1388" s="45" t="n"/>
      <c r="P1388" s="50" t="n"/>
      <c r="R1388" s="2">
        <f t="shared" si="6"/>
        <v>0</v>
      </c>
      <c r="S1388" s="2">
        <f t="shared" si="7"/>
      </c>
      <c r="T1388" s="2">
        <f t="shared" si="8"/>
      </c>
      <c r="U1388" s="2">
        <f t="shared" si="9"/>
      </c>
      <c r="V1388" s="2">
        <f t="shared" si="10"/>
      </c>
      <c r="W1388" s="2">
        <f t="shared" si="11"/>
      </c>
      <c r="X1388" s="2">
        <f t="shared" si="12"/>
      </c>
      <c r="Y1388" s="2">
        <f t="shared" si="13"/>
        <v>0</v>
      </c>
      <c r="Z1388" s="2">
        <f t="shared" si="14"/>
      </c>
      <c r="AA1388" s="2">
        <f t="shared" si="15"/>
        <v>0</v>
      </c>
      <c r="AB1388" s="2">
        <f t="shared" si="16"/>
      </c>
      <c r="AC1388" s="2">
        <f t="shared" si="17"/>
      </c>
      <c r="AD1388" s="2">
        <f t="shared" si="18"/>
      </c>
      <c r="AE1388" s="2">
        <f t="shared" si="19"/>
      </c>
      <c r="AF1388" s="2">
        <f t="shared" si="20"/>
      </c>
      <c r="AG1388" s="2">
        <f t="shared" si="21"/>
      </c>
      <c r="AH1388" s="2">
        <f t="shared" si="22"/>
      </c>
      <c r="AI1388" s="2">
        <f t="shared" si="23"/>
      </c>
      <c r="AJ1388" s="2">
        <f t="shared" si="24"/>
        <v>0</v>
      </c>
      <c r="AK1388" s="2">
        <f t="shared" si="25"/>
        <v>0</v>
      </c>
      <c r="AL1388" s="2">
        <f t="shared" si="26"/>
        <v>0</v>
      </c>
      <c r="AM1388" s="2">
        <f t="shared" si="27"/>
        <v>0</v>
      </c>
      <c r="AN1388" s="2">
        <f t="shared" si="28"/>
        <v>0</v>
      </c>
      <c r="AO1388" s="2">
        <f t="shared" si="29"/>
      </c>
      <c r="AP1388" s="2">
        <f t="shared" si="30"/>
      </c>
      <c r="AQ1388" s="2">
        <f t="shared" si="31"/>
      </c>
    </row>
    <row r="1389">
      <c r="A1389" s="43">
        <f t="shared" si="3"/>
      </c>
      <c r="B1389" s="44" t="n"/>
      <c r="C1389" s="45" t="n"/>
      <c r="D1389" s="46" t="n"/>
      <c r="E1389" s="47" t="n"/>
      <c r="F1389" s="47" t="n"/>
      <c r="G1389" s="48">
        <f t="shared" si="4"/>
      </c>
      <c r="H1389" s="43">
        <f t="shared" si="0"/>
      </c>
      <c r="I1389" s="43">
        <f t="shared" si="5"/>
      </c>
      <c r="J1389" s="43">
        <f t="shared" si="1"/>
      </c>
      <c r="K1389" s="49">
        <f t="shared" si="2"/>
      </c>
      <c r="L1389" s="45" t="n"/>
      <c r="M1389" s="45" t="n"/>
      <c r="N1389" s="45" t="n"/>
      <c r="O1389" s="45" t="n"/>
      <c r="P1389" s="50" t="n"/>
      <c r="R1389" s="2">
        <f t="shared" si="6"/>
        <v>0</v>
      </c>
      <c r="S1389" s="2">
        <f t="shared" si="7"/>
      </c>
      <c r="T1389" s="2">
        <f t="shared" si="8"/>
      </c>
      <c r="U1389" s="2">
        <f t="shared" si="9"/>
      </c>
      <c r="V1389" s="2">
        <f t="shared" si="10"/>
      </c>
      <c r="W1389" s="2">
        <f t="shared" si="11"/>
      </c>
      <c r="X1389" s="2">
        <f t="shared" si="12"/>
      </c>
      <c r="Y1389" s="2">
        <f t="shared" si="13"/>
        <v>0</v>
      </c>
      <c r="Z1389" s="2">
        <f t="shared" si="14"/>
      </c>
      <c r="AA1389" s="2">
        <f t="shared" si="15"/>
        <v>0</v>
      </c>
      <c r="AB1389" s="2">
        <f t="shared" si="16"/>
      </c>
      <c r="AC1389" s="2">
        <f t="shared" si="17"/>
      </c>
      <c r="AD1389" s="2">
        <f t="shared" si="18"/>
      </c>
      <c r="AE1389" s="2">
        <f t="shared" si="19"/>
      </c>
      <c r="AF1389" s="2">
        <f t="shared" si="20"/>
      </c>
      <c r="AG1389" s="2">
        <f t="shared" si="21"/>
      </c>
      <c r="AH1389" s="2">
        <f t="shared" si="22"/>
      </c>
      <c r="AI1389" s="2">
        <f t="shared" si="23"/>
      </c>
      <c r="AJ1389" s="2">
        <f t="shared" si="24"/>
        <v>0</v>
      </c>
      <c r="AK1389" s="2">
        <f t="shared" si="25"/>
        <v>0</v>
      </c>
      <c r="AL1389" s="2">
        <f t="shared" si="26"/>
        <v>0</v>
      </c>
      <c r="AM1389" s="2">
        <f t="shared" si="27"/>
        <v>0</v>
      </c>
      <c r="AN1389" s="2">
        <f t="shared" si="28"/>
        <v>0</v>
      </c>
      <c r="AO1389" s="2">
        <f t="shared" si="29"/>
      </c>
      <c r="AP1389" s="2">
        <f t="shared" si="30"/>
      </c>
      <c r="AQ1389" s="2">
        <f t="shared" si="31"/>
      </c>
    </row>
    <row r="1390">
      <c r="A1390" s="43">
        <f t="shared" si="3"/>
      </c>
      <c r="B1390" s="44" t="n"/>
      <c r="C1390" s="45" t="n"/>
      <c r="D1390" s="46" t="n"/>
      <c r="E1390" s="47" t="n"/>
      <c r="F1390" s="47" t="n"/>
      <c r="G1390" s="48">
        <f t="shared" si="4"/>
      </c>
      <c r="H1390" s="43">
        <f t="shared" si="0"/>
      </c>
      <c r="I1390" s="43">
        <f t="shared" si="5"/>
      </c>
      <c r="J1390" s="43">
        <f t="shared" si="1"/>
      </c>
      <c r="K1390" s="49">
        <f t="shared" si="2"/>
      </c>
      <c r="L1390" s="45" t="n"/>
      <c r="M1390" s="45" t="n"/>
      <c r="N1390" s="45" t="n"/>
      <c r="O1390" s="45" t="n"/>
      <c r="P1390" s="50" t="n"/>
      <c r="R1390" s="2">
        <f t="shared" si="6"/>
        <v>0</v>
      </c>
      <c r="S1390" s="2">
        <f t="shared" si="7"/>
      </c>
      <c r="T1390" s="2">
        <f t="shared" si="8"/>
      </c>
      <c r="U1390" s="2">
        <f t="shared" si="9"/>
      </c>
      <c r="V1390" s="2">
        <f t="shared" si="10"/>
      </c>
      <c r="W1390" s="2">
        <f t="shared" si="11"/>
      </c>
      <c r="X1390" s="2">
        <f t="shared" si="12"/>
      </c>
      <c r="Y1390" s="2">
        <f t="shared" si="13"/>
        <v>0</v>
      </c>
      <c r="Z1390" s="2">
        <f t="shared" si="14"/>
      </c>
      <c r="AA1390" s="2">
        <f t="shared" si="15"/>
        <v>0</v>
      </c>
      <c r="AB1390" s="2">
        <f t="shared" si="16"/>
      </c>
      <c r="AC1390" s="2">
        <f t="shared" si="17"/>
      </c>
      <c r="AD1390" s="2">
        <f t="shared" si="18"/>
      </c>
      <c r="AE1390" s="2">
        <f t="shared" si="19"/>
      </c>
      <c r="AF1390" s="2">
        <f t="shared" si="20"/>
      </c>
      <c r="AG1390" s="2">
        <f t="shared" si="21"/>
      </c>
      <c r="AH1390" s="2">
        <f t="shared" si="22"/>
      </c>
      <c r="AI1390" s="2">
        <f t="shared" si="23"/>
      </c>
      <c r="AJ1390" s="2">
        <f t="shared" si="24"/>
        <v>0</v>
      </c>
      <c r="AK1390" s="2">
        <f t="shared" si="25"/>
        <v>0</v>
      </c>
      <c r="AL1390" s="2">
        <f t="shared" si="26"/>
        <v>0</v>
      </c>
      <c r="AM1390" s="2">
        <f t="shared" si="27"/>
        <v>0</v>
      </c>
      <c r="AN1390" s="2">
        <f t="shared" si="28"/>
        <v>0</v>
      </c>
      <c r="AO1390" s="2">
        <f t="shared" si="29"/>
      </c>
      <c r="AP1390" s="2">
        <f t="shared" si="30"/>
      </c>
      <c r="AQ1390" s="2">
        <f t="shared" si="31"/>
      </c>
    </row>
    <row r="1391">
      <c r="A1391" s="43">
        <f t="shared" si="3"/>
      </c>
      <c r="B1391" s="44" t="n"/>
      <c r="C1391" s="45" t="n"/>
      <c r="D1391" s="46" t="n"/>
      <c r="E1391" s="47" t="n"/>
      <c r="F1391" s="47" t="n"/>
      <c r="G1391" s="48">
        <f t="shared" si="4"/>
      </c>
      <c r="H1391" s="43">
        <f t="shared" si="0"/>
      </c>
      <c r="I1391" s="43">
        <f t="shared" si="5"/>
      </c>
      <c r="J1391" s="43">
        <f t="shared" si="1"/>
      </c>
      <c r="K1391" s="49">
        <f t="shared" si="2"/>
      </c>
      <c r="L1391" s="45" t="n"/>
      <c r="M1391" s="45" t="n"/>
      <c r="N1391" s="45" t="n"/>
      <c r="O1391" s="45" t="n"/>
      <c r="P1391" s="50" t="n"/>
      <c r="R1391" s="2">
        <f t="shared" si="6"/>
        <v>0</v>
      </c>
      <c r="S1391" s="2">
        <f t="shared" si="7"/>
      </c>
      <c r="T1391" s="2">
        <f t="shared" si="8"/>
      </c>
      <c r="U1391" s="2">
        <f t="shared" si="9"/>
      </c>
      <c r="V1391" s="2">
        <f t="shared" si="10"/>
      </c>
      <c r="W1391" s="2">
        <f t="shared" si="11"/>
      </c>
      <c r="X1391" s="2">
        <f t="shared" si="12"/>
      </c>
      <c r="Y1391" s="2">
        <f t="shared" si="13"/>
        <v>0</v>
      </c>
      <c r="Z1391" s="2">
        <f t="shared" si="14"/>
      </c>
      <c r="AA1391" s="2">
        <f t="shared" si="15"/>
        <v>0</v>
      </c>
      <c r="AB1391" s="2">
        <f t="shared" si="16"/>
      </c>
      <c r="AC1391" s="2">
        <f t="shared" si="17"/>
      </c>
      <c r="AD1391" s="2">
        <f t="shared" si="18"/>
      </c>
      <c r="AE1391" s="2">
        <f t="shared" si="19"/>
      </c>
      <c r="AF1391" s="2">
        <f t="shared" si="20"/>
      </c>
      <c r="AG1391" s="2">
        <f t="shared" si="21"/>
      </c>
      <c r="AH1391" s="2">
        <f t="shared" si="22"/>
      </c>
      <c r="AI1391" s="2">
        <f t="shared" si="23"/>
      </c>
      <c r="AJ1391" s="2">
        <f t="shared" si="24"/>
        <v>0</v>
      </c>
      <c r="AK1391" s="2">
        <f t="shared" si="25"/>
        <v>0</v>
      </c>
      <c r="AL1391" s="2">
        <f t="shared" si="26"/>
        <v>0</v>
      </c>
      <c r="AM1391" s="2">
        <f t="shared" si="27"/>
        <v>0</v>
      </c>
      <c r="AN1391" s="2">
        <f t="shared" si="28"/>
        <v>0</v>
      </c>
      <c r="AO1391" s="2">
        <f t="shared" si="29"/>
      </c>
      <c r="AP1391" s="2">
        <f t="shared" si="30"/>
      </c>
      <c r="AQ1391" s="2">
        <f t="shared" si="31"/>
      </c>
    </row>
    <row r="1392">
      <c r="A1392" s="43">
        <f t="shared" si="3"/>
      </c>
      <c r="B1392" s="44" t="n"/>
      <c r="C1392" s="45" t="n"/>
      <c r="D1392" s="46" t="n"/>
      <c r="E1392" s="47" t="n"/>
      <c r="F1392" s="47" t="n"/>
      <c r="G1392" s="48">
        <f t="shared" si="4"/>
      </c>
      <c r="H1392" s="43">
        <f t="shared" si="0"/>
      </c>
      <c r="I1392" s="43">
        <f t="shared" si="5"/>
      </c>
      <c r="J1392" s="43">
        <f t="shared" si="1"/>
      </c>
      <c r="K1392" s="49">
        <f t="shared" si="2"/>
      </c>
      <c r="L1392" s="45" t="n"/>
      <c r="M1392" s="45" t="n"/>
      <c r="N1392" s="45" t="n"/>
      <c r="O1392" s="45" t="n"/>
      <c r="P1392" s="50" t="n"/>
      <c r="R1392" s="2">
        <f t="shared" si="6"/>
        <v>0</v>
      </c>
      <c r="S1392" s="2">
        <f t="shared" si="7"/>
      </c>
      <c r="T1392" s="2">
        <f t="shared" si="8"/>
      </c>
      <c r="U1392" s="2">
        <f t="shared" si="9"/>
      </c>
      <c r="V1392" s="2">
        <f t="shared" si="10"/>
      </c>
      <c r="W1392" s="2">
        <f t="shared" si="11"/>
      </c>
      <c r="X1392" s="2">
        <f t="shared" si="12"/>
      </c>
      <c r="Y1392" s="2">
        <f t="shared" si="13"/>
        <v>0</v>
      </c>
      <c r="Z1392" s="2">
        <f t="shared" si="14"/>
      </c>
      <c r="AA1392" s="2">
        <f t="shared" si="15"/>
        <v>0</v>
      </c>
      <c r="AB1392" s="2">
        <f t="shared" si="16"/>
      </c>
      <c r="AC1392" s="2">
        <f t="shared" si="17"/>
      </c>
      <c r="AD1392" s="2">
        <f t="shared" si="18"/>
      </c>
      <c r="AE1392" s="2">
        <f t="shared" si="19"/>
      </c>
      <c r="AF1392" s="2">
        <f t="shared" si="20"/>
      </c>
      <c r="AG1392" s="2">
        <f t="shared" si="21"/>
      </c>
      <c r="AH1392" s="2">
        <f t="shared" si="22"/>
      </c>
      <c r="AI1392" s="2">
        <f t="shared" si="23"/>
      </c>
      <c r="AJ1392" s="2">
        <f t="shared" si="24"/>
        <v>0</v>
      </c>
      <c r="AK1392" s="2">
        <f t="shared" si="25"/>
        <v>0</v>
      </c>
      <c r="AL1392" s="2">
        <f t="shared" si="26"/>
        <v>0</v>
      </c>
      <c r="AM1392" s="2">
        <f t="shared" si="27"/>
        <v>0</v>
      </c>
      <c r="AN1392" s="2">
        <f t="shared" si="28"/>
        <v>0</v>
      </c>
      <c r="AO1392" s="2">
        <f t="shared" si="29"/>
      </c>
      <c r="AP1392" s="2">
        <f t="shared" si="30"/>
      </c>
      <c r="AQ1392" s="2">
        <f t="shared" si="31"/>
      </c>
    </row>
    <row r="1393">
      <c r="A1393" s="43">
        <f t="shared" si="3"/>
      </c>
      <c r="B1393" s="44" t="n"/>
      <c r="C1393" s="45" t="n"/>
      <c r="D1393" s="46" t="n"/>
      <c r="E1393" s="47" t="n"/>
      <c r="F1393" s="47" t="n"/>
      <c r="G1393" s="48">
        <f t="shared" si="4"/>
      </c>
      <c r="H1393" s="43">
        <f t="shared" si="0"/>
      </c>
      <c r="I1393" s="43">
        <f t="shared" si="5"/>
      </c>
      <c r="J1393" s="43">
        <f t="shared" si="1"/>
      </c>
      <c r="K1393" s="49">
        <f t="shared" si="2"/>
      </c>
      <c r="L1393" s="45" t="n"/>
      <c r="M1393" s="45" t="n"/>
      <c r="N1393" s="45" t="n"/>
      <c r="O1393" s="45" t="n"/>
      <c r="P1393" s="50" t="n"/>
      <c r="R1393" s="2">
        <f t="shared" si="6"/>
        <v>0</v>
      </c>
      <c r="S1393" s="2">
        <f t="shared" si="7"/>
      </c>
      <c r="T1393" s="2">
        <f t="shared" si="8"/>
      </c>
      <c r="U1393" s="2">
        <f t="shared" si="9"/>
      </c>
      <c r="V1393" s="2">
        <f t="shared" si="10"/>
      </c>
      <c r="W1393" s="2">
        <f t="shared" si="11"/>
      </c>
      <c r="X1393" s="2">
        <f t="shared" si="12"/>
      </c>
      <c r="Y1393" s="2">
        <f t="shared" si="13"/>
        <v>0</v>
      </c>
      <c r="Z1393" s="2">
        <f t="shared" si="14"/>
      </c>
      <c r="AA1393" s="2">
        <f t="shared" si="15"/>
        <v>0</v>
      </c>
      <c r="AB1393" s="2">
        <f t="shared" si="16"/>
      </c>
      <c r="AC1393" s="2">
        <f t="shared" si="17"/>
      </c>
      <c r="AD1393" s="2">
        <f t="shared" si="18"/>
      </c>
      <c r="AE1393" s="2">
        <f t="shared" si="19"/>
      </c>
      <c r="AF1393" s="2">
        <f t="shared" si="20"/>
      </c>
      <c r="AG1393" s="2">
        <f t="shared" si="21"/>
      </c>
      <c r="AH1393" s="2">
        <f t="shared" si="22"/>
      </c>
      <c r="AI1393" s="2">
        <f t="shared" si="23"/>
      </c>
      <c r="AJ1393" s="2">
        <f t="shared" si="24"/>
        <v>0</v>
      </c>
      <c r="AK1393" s="2">
        <f t="shared" si="25"/>
        <v>0</v>
      </c>
      <c r="AL1393" s="2">
        <f t="shared" si="26"/>
        <v>0</v>
      </c>
      <c r="AM1393" s="2">
        <f t="shared" si="27"/>
        <v>0</v>
      </c>
      <c r="AN1393" s="2">
        <f t="shared" si="28"/>
        <v>0</v>
      </c>
      <c r="AO1393" s="2">
        <f t="shared" si="29"/>
      </c>
      <c r="AP1393" s="2">
        <f t="shared" si="30"/>
      </c>
      <c r="AQ1393" s="2">
        <f t="shared" si="31"/>
      </c>
    </row>
    <row r="1394">
      <c r="A1394" s="43">
        <f t="shared" si="3"/>
      </c>
      <c r="B1394" s="44" t="n"/>
      <c r="C1394" s="45" t="n"/>
      <c r="D1394" s="46" t="n"/>
      <c r="E1394" s="47" t="n"/>
      <c r="F1394" s="47" t="n"/>
      <c r="G1394" s="48">
        <f t="shared" si="4"/>
      </c>
      <c r="H1394" s="43">
        <f t="shared" si="0"/>
      </c>
      <c r="I1394" s="43">
        <f t="shared" si="5"/>
      </c>
      <c r="J1394" s="43">
        <f t="shared" si="1"/>
      </c>
      <c r="K1394" s="49">
        <f t="shared" si="2"/>
      </c>
      <c r="L1394" s="45" t="n"/>
      <c r="M1394" s="45" t="n"/>
      <c r="N1394" s="45" t="n"/>
      <c r="O1394" s="45" t="n"/>
      <c r="P1394" s="50" t="n"/>
      <c r="R1394" s="2">
        <f t="shared" si="6"/>
        <v>0</v>
      </c>
      <c r="S1394" s="2">
        <f t="shared" si="7"/>
      </c>
      <c r="T1394" s="2">
        <f t="shared" si="8"/>
      </c>
      <c r="U1394" s="2">
        <f t="shared" si="9"/>
      </c>
      <c r="V1394" s="2">
        <f t="shared" si="10"/>
      </c>
      <c r="W1394" s="2">
        <f t="shared" si="11"/>
      </c>
      <c r="X1394" s="2">
        <f t="shared" si="12"/>
      </c>
      <c r="Y1394" s="2">
        <f t="shared" si="13"/>
        <v>0</v>
      </c>
      <c r="Z1394" s="2">
        <f t="shared" si="14"/>
      </c>
      <c r="AA1394" s="2">
        <f t="shared" si="15"/>
        <v>0</v>
      </c>
      <c r="AB1394" s="2">
        <f t="shared" si="16"/>
      </c>
      <c r="AC1394" s="2">
        <f t="shared" si="17"/>
      </c>
      <c r="AD1394" s="2">
        <f t="shared" si="18"/>
      </c>
      <c r="AE1394" s="2">
        <f t="shared" si="19"/>
      </c>
      <c r="AF1394" s="2">
        <f t="shared" si="20"/>
      </c>
      <c r="AG1394" s="2">
        <f t="shared" si="21"/>
      </c>
      <c r="AH1394" s="2">
        <f t="shared" si="22"/>
      </c>
      <c r="AI1394" s="2">
        <f t="shared" si="23"/>
      </c>
      <c r="AJ1394" s="2">
        <f t="shared" si="24"/>
        <v>0</v>
      </c>
      <c r="AK1394" s="2">
        <f t="shared" si="25"/>
        <v>0</v>
      </c>
      <c r="AL1394" s="2">
        <f t="shared" si="26"/>
        <v>0</v>
      </c>
      <c r="AM1394" s="2">
        <f t="shared" si="27"/>
        <v>0</v>
      </c>
      <c r="AN1394" s="2">
        <f t="shared" si="28"/>
        <v>0</v>
      </c>
      <c r="AO1394" s="2">
        <f t="shared" si="29"/>
      </c>
      <c r="AP1394" s="2">
        <f t="shared" si="30"/>
      </c>
      <c r="AQ1394" s="2">
        <f t="shared" si="31"/>
      </c>
    </row>
    <row r="1395">
      <c r="A1395" s="43">
        <f t="shared" si="3"/>
      </c>
      <c r="B1395" s="44" t="n"/>
      <c r="C1395" s="45" t="n"/>
      <c r="D1395" s="46" t="n"/>
      <c r="E1395" s="47" t="n"/>
      <c r="F1395" s="47" t="n"/>
      <c r="G1395" s="48">
        <f t="shared" si="4"/>
      </c>
      <c r="H1395" s="43">
        <f t="shared" si="0"/>
      </c>
      <c r="I1395" s="43">
        <f t="shared" si="5"/>
      </c>
      <c r="J1395" s="43">
        <f t="shared" si="1"/>
      </c>
      <c r="K1395" s="49">
        <f t="shared" si="2"/>
      </c>
      <c r="L1395" s="45" t="n"/>
      <c r="M1395" s="45" t="n"/>
      <c r="N1395" s="45" t="n"/>
      <c r="O1395" s="45" t="n"/>
      <c r="P1395" s="50" t="n"/>
      <c r="R1395" s="2">
        <f t="shared" si="6"/>
        <v>0</v>
      </c>
      <c r="S1395" s="2">
        <f t="shared" si="7"/>
      </c>
      <c r="T1395" s="2">
        <f t="shared" si="8"/>
      </c>
      <c r="U1395" s="2">
        <f t="shared" si="9"/>
      </c>
      <c r="V1395" s="2">
        <f t="shared" si="10"/>
      </c>
      <c r="W1395" s="2">
        <f t="shared" si="11"/>
      </c>
      <c r="X1395" s="2">
        <f t="shared" si="12"/>
      </c>
      <c r="Y1395" s="2">
        <f t="shared" si="13"/>
        <v>0</v>
      </c>
      <c r="Z1395" s="2">
        <f t="shared" si="14"/>
      </c>
      <c r="AA1395" s="2">
        <f t="shared" si="15"/>
        <v>0</v>
      </c>
      <c r="AB1395" s="2">
        <f t="shared" si="16"/>
      </c>
      <c r="AC1395" s="2">
        <f t="shared" si="17"/>
      </c>
      <c r="AD1395" s="2">
        <f t="shared" si="18"/>
      </c>
      <c r="AE1395" s="2">
        <f t="shared" si="19"/>
      </c>
      <c r="AF1395" s="2">
        <f t="shared" si="20"/>
      </c>
      <c r="AG1395" s="2">
        <f t="shared" si="21"/>
      </c>
      <c r="AH1395" s="2">
        <f t="shared" si="22"/>
      </c>
      <c r="AI1395" s="2">
        <f t="shared" si="23"/>
      </c>
      <c r="AJ1395" s="2">
        <f t="shared" si="24"/>
        <v>0</v>
      </c>
      <c r="AK1395" s="2">
        <f t="shared" si="25"/>
        <v>0</v>
      </c>
      <c r="AL1395" s="2">
        <f t="shared" si="26"/>
        <v>0</v>
      </c>
      <c r="AM1395" s="2">
        <f t="shared" si="27"/>
        <v>0</v>
      </c>
      <c r="AN1395" s="2">
        <f t="shared" si="28"/>
        <v>0</v>
      </c>
      <c r="AO1395" s="2">
        <f t="shared" si="29"/>
      </c>
      <c r="AP1395" s="2">
        <f t="shared" si="30"/>
      </c>
      <c r="AQ1395" s="2">
        <f t="shared" si="31"/>
      </c>
    </row>
    <row r="1396">
      <c r="A1396" s="43">
        <f t="shared" si="3"/>
      </c>
      <c r="B1396" s="44" t="n"/>
      <c r="C1396" s="45" t="n"/>
      <c r="D1396" s="46" t="n"/>
      <c r="E1396" s="47" t="n"/>
      <c r="F1396" s="47" t="n"/>
      <c r="G1396" s="48">
        <f t="shared" si="4"/>
      </c>
      <c r="H1396" s="43">
        <f t="shared" si="0"/>
      </c>
      <c r="I1396" s="43">
        <f t="shared" si="5"/>
      </c>
      <c r="J1396" s="43">
        <f t="shared" si="1"/>
      </c>
      <c r="K1396" s="49">
        <f t="shared" si="2"/>
      </c>
      <c r="L1396" s="45" t="n"/>
      <c r="M1396" s="45" t="n"/>
      <c r="N1396" s="45" t="n"/>
      <c r="O1396" s="45" t="n"/>
      <c r="P1396" s="50" t="n"/>
      <c r="R1396" s="2">
        <f t="shared" si="6"/>
        <v>0</v>
      </c>
      <c r="S1396" s="2">
        <f t="shared" si="7"/>
      </c>
      <c r="T1396" s="2">
        <f t="shared" si="8"/>
      </c>
      <c r="U1396" s="2">
        <f t="shared" si="9"/>
      </c>
      <c r="V1396" s="2">
        <f t="shared" si="10"/>
      </c>
      <c r="W1396" s="2">
        <f t="shared" si="11"/>
      </c>
      <c r="X1396" s="2">
        <f t="shared" si="12"/>
      </c>
      <c r="Y1396" s="2">
        <f t="shared" si="13"/>
        <v>0</v>
      </c>
      <c r="Z1396" s="2">
        <f t="shared" si="14"/>
      </c>
      <c r="AA1396" s="2">
        <f t="shared" si="15"/>
        <v>0</v>
      </c>
      <c r="AB1396" s="2">
        <f t="shared" si="16"/>
      </c>
      <c r="AC1396" s="2">
        <f t="shared" si="17"/>
      </c>
      <c r="AD1396" s="2">
        <f t="shared" si="18"/>
      </c>
      <c r="AE1396" s="2">
        <f t="shared" si="19"/>
      </c>
      <c r="AF1396" s="2">
        <f t="shared" si="20"/>
      </c>
      <c r="AG1396" s="2">
        <f t="shared" si="21"/>
      </c>
      <c r="AH1396" s="2">
        <f t="shared" si="22"/>
      </c>
      <c r="AI1396" s="2">
        <f t="shared" si="23"/>
      </c>
      <c r="AJ1396" s="2">
        <f t="shared" si="24"/>
        <v>0</v>
      </c>
      <c r="AK1396" s="2">
        <f t="shared" si="25"/>
        <v>0</v>
      </c>
      <c r="AL1396" s="2">
        <f t="shared" si="26"/>
        <v>0</v>
      </c>
      <c r="AM1396" s="2">
        <f t="shared" si="27"/>
        <v>0</v>
      </c>
      <c r="AN1396" s="2">
        <f t="shared" si="28"/>
        <v>0</v>
      </c>
      <c r="AO1396" s="2">
        <f t="shared" si="29"/>
      </c>
      <c r="AP1396" s="2">
        <f t="shared" si="30"/>
      </c>
      <c r="AQ1396" s="2">
        <f t="shared" si="31"/>
      </c>
    </row>
    <row r="1397">
      <c r="A1397" s="43">
        <f t="shared" si="3"/>
      </c>
      <c r="B1397" s="44" t="n"/>
      <c r="C1397" s="45" t="n"/>
      <c r="D1397" s="46" t="n"/>
      <c r="E1397" s="47" t="n"/>
      <c r="F1397" s="47" t="n"/>
      <c r="G1397" s="48">
        <f t="shared" si="4"/>
      </c>
      <c r="H1397" s="43">
        <f t="shared" si="0"/>
      </c>
      <c r="I1397" s="43">
        <f t="shared" si="5"/>
      </c>
      <c r="J1397" s="43">
        <f t="shared" si="1"/>
      </c>
      <c r="K1397" s="49">
        <f t="shared" si="2"/>
      </c>
      <c r="L1397" s="45" t="n"/>
      <c r="M1397" s="45" t="n"/>
      <c r="N1397" s="45" t="n"/>
      <c r="O1397" s="45" t="n"/>
      <c r="P1397" s="50" t="n"/>
      <c r="R1397" s="2">
        <f t="shared" si="6"/>
        <v>0</v>
      </c>
      <c r="S1397" s="2">
        <f t="shared" si="7"/>
      </c>
      <c r="T1397" s="2">
        <f t="shared" si="8"/>
      </c>
      <c r="U1397" s="2">
        <f t="shared" si="9"/>
      </c>
      <c r="V1397" s="2">
        <f t="shared" si="10"/>
      </c>
      <c r="W1397" s="2">
        <f t="shared" si="11"/>
      </c>
      <c r="X1397" s="2">
        <f t="shared" si="12"/>
      </c>
      <c r="Y1397" s="2">
        <f t="shared" si="13"/>
        <v>0</v>
      </c>
      <c r="Z1397" s="2">
        <f t="shared" si="14"/>
      </c>
      <c r="AA1397" s="2">
        <f t="shared" si="15"/>
        <v>0</v>
      </c>
      <c r="AB1397" s="2">
        <f t="shared" si="16"/>
      </c>
      <c r="AC1397" s="2">
        <f t="shared" si="17"/>
      </c>
      <c r="AD1397" s="2">
        <f t="shared" si="18"/>
      </c>
      <c r="AE1397" s="2">
        <f t="shared" si="19"/>
      </c>
      <c r="AF1397" s="2">
        <f t="shared" si="20"/>
      </c>
      <c r="AG1397" s="2">
        <f t="shared" si="21"/>
      </c>
      <c r="AH1397" s="2">
        <f t="shared" si="22"/>
      </c>
      <c r="AI1397" s="2">
        <f t="shared" si="23"/>
      </c>
      <c r="AJ1397" s="2">
        <f t="shared" si="24"/>
        <v>0</v>
      </c>
      <c r="AK1397" s="2">
        <f t="shared" si="25"/>
        <v>0</v>
      </c>
      <c r="AL1397" s="2">
        <f t="shared" si="26"/>
        <v>0</v>
      </c>
      <c r="AM1397" s="2">
        <f t="shared" si="27"/>
        <v>0</v>
      </c>
      <c r="AN1397" s="2">
        <f t="shared" si="28"/>
        <v>0</v>
      </c>
      <c r="AO1397" s="2">
        <f t="shared" si="29"/>
      </c>
      <c r="AP1397" s="2">
        <f t="shared" si="30"/>
      </c>
      <c r="AQ1397" s="2">
        <f t="shared" si="31"/>
      </c>
    </row>
    <row r="1398">
      <c r="A1398" s="43">
        <f t="shared" si="3"/>
      </c>
      <c r="B1398" s="44" t="n"/>
      <c r="C1398" s="45" t="n"/>
      <c r="D1398" s="46" t="n"/>
      <c r="E1398" s="47" t="n"/>
      <c r="F1398" s="47" t="n"/>
      <c r="G1398" s="48">
        <f t="shared" si="4"/>
      </c>
      <c r="H1398" s="43">
        <f t="shared" si="0"/>
      </c>
      <c r="I1398" s="43">
        <f t="shared" si="5"/>
      </c>
      <c r="J1398" s="43">
        <f t="shared" si="1"/>
      </c>
      <c r="K1398" s="49">
        <f t="shared" si="2"/>
      </c>
      <c r="L1398" s="45" t="n"/>
      <c r="M1398" s="45" t="n"/>
      <c r="N1398" s="45" t="n"/>
      <c r="O1398" s="45" t="n"/>
      <c r="P1398" s="50" t="n"/>
      <c r="R1398" s="2">
        <f t="shared" si="6"/>
        <v>0</v>
      </c>
      <c r="S1398" s="2">
        <f t="shared" si="7"/>
      </c>
      <c r="T1398" s="2">
        <f t="shared" si="8"/>
      </c>
      <c r="U1398" s="2">
        <f t="shared" si="9"/>
      </c>
      <c r="V1398" s="2">
        <f t="shared" si="10"/>
      </c>
      <c r="W1398" s="2">
        <f t="shared" si="11"/>
      </c>
      <c r="X1398" s="2">
        <f t="shared" si="12"/>
      </c>
      <c r="Y1398" s="2">
        <f t="shared" si="13"/>
        <v>0</v>
      </c>
      <c r="Z1398" s="2">
        <f t="shared" si="14"/>
      </c>
      <c r="AA1398" s="2">
        <f t="shared" si="15"/>
        <v>0</v>
      </c>
      <c r="AB1398" s="2">
        <f t="shared" si="16"/>
      </c>
      <c r="AC1398" s="2">
        <f t="shared" si="17"/>
      </c>
      <c r="AD1398" s="2">
        <f t="shared" si="18"/>
      </c>
      <c r="AE1398" s="2">
        <f t="shared" si="19"/>
      </c>
      <c r="AF1398" s="2">
        <f t="shared" si="20"/>
      </c>
      <c r="AG1398" s="2">
        <f t="shared" si="21"/>
      </c>
      <c r="AH1398" s="2">
        <f t="shared" si="22"/>
      </c>
      <c r="AI1398" s="2">
        <f t="shared" si="23"/>
      </c>
      <c r="AJ1398" s="2">
        <f t="shared" si="24"/>
        <v>0</v>
      </c>
      <c r="AK1398" s="2">
        <f t="shared" si="25"/>
        <v>0</v>
      </c>
      <c r="AL1398" s="2">
        <f t="shared" si="26"/>
        <v>0</v>
      </c>
      <c r="AM1398" s="2">
        <f t="shared" si="27"/>
        <v>0</v>
      </c>
      <c r="AN1398" s="2">
        <f t="shared" si="28"/>
        <v>0</v>
      </c>
      <c r="AO1398" s="2">
        <f t="shared" si="29"/>
      </c>
      <c r="AP1398" s="2">
        <f t="shared" si="30"/>
      </c>
      <c r="AQ1398" s="2">
        <f t="shared" si="31"/>
      </c>
    </row>
    <row r="1399">
      <c r="A1399" s="43">
        <f t="shared" si="3"/>
      </c>
      <c r="B1399" s="44" t="n"/>
      <c r="C1399" s="45" t="n"/>
      <c r="D1399" s="46" t="n"/>
      <c r="E1399" s="47" t="n"/>
      <c r="F1399" s="47" t="n"/>
      <c r="G1399" s="48">
        <f t="shared" si="4"/>
      </c>
      <c r="H1399" s="43">
        <f t="shared" si="0"/>
      </c>
      <c r="I1399" s="43">
        <f t="shared" si="5"/>
      </c>
      <c r="J1399" s="43">
        <f t="shared" si="1"/>
      </c>
      <c r="K1399" s="49">
        <f t="shared" si="2"/>
      </c>
      <c r="L1399" s="45" t="n"/>
      <c r="M1399" s="45" t="n"/>
      <c r="N1399" s="45" t="n"/>
      <c r="O1399" s="45" t="n"/>
      <c r="P1399" s="50" t="n"/>
      <c r="R1399" s="2">
        <f t="shared" si="6"/>
        <v>0</v>
      </c>
      <c r="S1399" s="2">
        <f t="shared" si="7"/>
      </c>
      <c r="T1399" s="2">
        <f t="shared" si="8"/>
      </c>
      <c r="U1399" s="2">
        <f t="shared" si="9"/>
      </c>
      <c r="V1399" s="2">
        <f t="shared" si="10"/>
      </c>
      <c r="W1399" s="2">
        <f t="shared" si="11"/>
      </c>
      <c r="X1399" s="2">
        <f t="shared" si="12"/>
      </c>
      <c r="Y1399" s="2">
        <f t="shared" si="13"/>
        <v>0</v>
      </c>
      <c r="Z1399" s="2">
        <f t="shared" si="14"/>
      </c>
      <c r="AA1399" s="2">
        <f t="shared" si="15"/>
        <v>0</v>
      </c>
      <c r="AB1399" s="2">
        <f t="shared" si="16"/>
      </c>
      <c r="AC1399" s="2">
        <f t="shared" si="17"/>
      </c>
      <c r="AD1399" s="2">
        <f t="shared" si="18"/>
      </c>
      <c r="AE1399" s="2">
        <f t="shared" si="19"/>
      </c>
      <c r="AF1399" s="2">
        <f t="shared" si="20"/>
      </c>
      <c r="AG1399" s="2">
        <f t="shared" si="21"/>
      </c>
      <c r="AH1399" s="2">
        <f t="shared" si="22"/>
      </c>
      <c r="AI1399" s="2">
        <f t="shared" si="23"/>
      </c>
      <c r="AJ1399" s="2">
        <f t="shared" si="24"/>
        <v>0</v>
      </c>
      <c r="AK1399" s="2">
        <f t="shared" si="25"/>
        <v>0</v>
      </c>
      <c r="AL1399" s="2">
        <f t="shared" si="26"/>
        <v>0</v>
      </c>
      <c r="AM1399" s="2">
        <f t="shared" si="27"/>
        <v>0</v>
      </c>
      <c r="AN1399" s="2">
        <f t="shared" si="28"/>
        <v>0</v>
      </c>
      <c r="AO1399" s="2">
        <f t="shared" si="29"/>
      </c>
      <c r="AP1399" s="2">
        <f t="shared" si="30"/>
      </c>
      <c r="AQ1399" s="2">
        <f t="shared" si="31"/>
      </c>
    </row>
    <row r="1400">
      <c r="A1400" s="43">
        <f t="shared" si="3"/>
      </c>
      <c r="B1400" s="44" t="n"/>
      <c r="C1400" s="45" t="n"/>
      <c r="D1400" s="46" t="n"/>
      <c r="E1400" s="47" t="n"/>
      <c r="F1400" s="47" t="n"/>
      <c r="G1400" s="48">
        <f t="shared" si="4"/>
      </c>
      <c r="H1400" s="43">
        <f t="shared" si="0"/>
      </c>
      <c r="I1400" s="43">
        <f t="shared" si="5"/>
      </c>
      <c r="J1400" s="43">
        <f t="shared" si="1"/>
      </c>
      <c r="K1400" s="49">
        <f t="shared" si="2"/>
      </c>
      <c r="L1400" s="45" t="n"/>
      <c r="M1400" s="45" t="n"/>
      <c r="N1400" s="45" t="n"/>
      <c r="O1400" s="45" t="n"/>
      <c r="P1400" s="50" t="n"/>
      <c r="R1400" s="2">
        <f t="shared" si="6"/>
        <v>0</v>
      </c>
      <c r="S1400" s="2">
        <f t="shared" si="7"/>
      </c>
      <c r="T1400" s="2">
        <f t="shared" si="8"/>
      </c>
      <c r="U1400" s="2">
        <f t="shared" si="9"/>
      </c>
      <c r="V1400" s="2">
        <f t="shared" si="10"/>
      </c>
      <c r="W1400" s="2">
        <f t="shared" si="11"/>
      </c>
      <c r="X1400" s="2">
        <f t="shared" si="12"/>
      </c>
      <c r="Y1400" s="2">
        <f t="shared" si="13"/>
        <v>0</v>
      </c>
      <c r="Z1400" s="2">
        <f t="shared" si="14"/>
      </c>
      <c r="AA1400" s="2">
        <f t="shared" si="15"/>
        <v>0</v>
      </c>
      <c r="AB1400" s="2">
        <f t="shared" si="16"/>
      </c>
      <c r="AC1400" s="2">
        <f t="shared" si="17"/>
      </c>
      <c r="AD1400" s="2">
        <f t="shared" si="18"/>
      </c>
      <c r="AE1400" s="2">
        <f t="shared" si="19"/>
      </c>
      <c r="AF1400" s="2">
        <f t="shared" si="20"/>
      </c>
      <c r="AG1400" s="2">
        <f t="shared" si="21"/>
      </c>
      <c r="AH1400" s="2">
        <f t="shared" si="22"/>
      </c>
      <c r="AI1400" s="2">
        <f t="shared" si="23"/>
      </c>
      <c r="AJ1400" s="2">
        <f t="shared" si="24"/>
        <v>0</v>
      </c>
      <c r="AK1400" s="2">
        <f t="shared" si="25"/>
        <v>0</v>
      </c>
      <c r="AL1400" s="2">
        <f t="shared" si="26"/>
        <v>0</v>
      </c>
      <c r="AM1400" s="2">
        <f t="shared" si="27"/>
        <v>0</v>
      </c>
      <c r="AN1400" s="2">
        <f t="shared" si="28"/>
        <v>0</v>
      </c>
      <c r="AO1400" s="2">
        <f t="shared" si="29"/>
      </c>
      <c r="AP1400" s="2">
        <f t="shared" si="30"/>
      </c>
      <c r="AQ1400" s="2">
        <f t="shared" si="31"/>
      </c>
    </row>
    <row r="1401">
      <c r="A1401" s="43">
        <f t="shared" si="3"/>
      </c>
      <c r="B1401" s="44" t="n"/>
      <c r="C1401" s="45" t="n"/>
      <c r="D1401" s="46" t="n"/>
      <c r="E1401" s="47" t="n"/>
      <c r="F1401" s="47" t="n"/>
      <c r="G1401" s="48">
        <f t="shared" si="4"/>
      </c>
      <c r="H1401" s="43">
        <f t="shared" si="0"/>
      </c>
      <c r="I1401" s="43">
        <f t="shared" si="5"/>
      </c>
      <c r="J1401" s="43">
        <f t="shared" si="1"/>
      </c>
      <c r="K1401" s="49">
        <f t="shared" si="2"/>
      </c>
      <c r="L1401" s="45" t="n"/>
      <c r="M1401" s="45" t="n"/>
      <c r="N1401" s="45" t="n"/>
      <c r="O1401" s="45" t="n"/>
      <c r="P1401" s="50" t="n"/>
      <c r="R1401" s="2">
        <f t="shared" si="6"/>
        <v>0</v>
      </c>
      <c r="S1401" s="2">
        <f t="shared" si="7"/>
      </c>
      <c r="T1401" s="2">
        <f t="shared" si="8"/>
      </c>
      <c r="U1401" s="2">
        <f t="shared" si="9"/>
      </c>
      <c r="V1401" s="2">
        <f t="shared" si="10"/>
      </c>
      <c r="W1401" s="2">
        <f t="shared" si="11"/>
      </c>
      <c r="X1401" s="2">
        <f t="shared" si="12"/>
      </c>
      <c r="Y1401" s="2">
        <f t="shared" si="13"/>
        <v>0</v>
      </c>
      <c r="Z1401" s="2">
        <f t="shared" si="14"/>
      </c>
      <c r="AA1401" s="2">
        <f t="shared" si="15"/>
        <v>0</v>
      </c>
      <c r="AB1401" s="2">
        <f t="shared" si="16"/>
      </c>
      <c r="AC1401" s="2">
        <f t="shared" si="17"/>
      </c>
      <c r="AD1401" s="2">
        <f t="shared" si="18"/>
      </c>
      <c r="AE1401" s="2">
        <f t="shared" si="19"/>
      </c>
      <c r="AF1401" s="2">
        <f t="shared" si="20"/>
      </c>
      <c r="AG1401" s="2">
        <f t="shared" si="21"/>
      </c>
      <c r="AH1401" s="2">
        <f t="shared" si="22"/>
      </c>
      <c r="AI1401" s="2">
        <f t="shared" si="23"/>
      </c>
      <c r="AJ1401" s="2">
        <f t="shared" si="24"/>
        <v>0</v>
      </c>
      <c r="AK1401" s="2">
        <f t="shared" si="25"/>
        <v>0</v>
      </c>
      <c r="AL1401" s="2">
        <f t="shared" si="26"/>
        <v>0</v>
      </c>
      <c r="AM1401" s="2">
        <f t="shared" si="27"/>
        <v>0</v>
      </c>
      <c r="AN1401" s="2">
        <f t="shared" si="28"/>
        <v>0</v>
      </c>
      <c r="AO1401" s="2">
        <f t="shared" si="29"/>
      </c>
      <c r="AP1401" s="2">
        <f t="shared" si="30"/>
      </c>
      <c r="AQ1401" s="2">
        <f t="shared" si="31"/>
      </c>
    </row>
    <row r="1402">
      <c r="A1402" s="43">
        <f t="shared" si="3"/>
      </c>
      <c r="B1402" s="44" t="n"/>
      <c r="C1402" s="45" t="n"/>
      <c r="D1402" s="46" t="n"/>
      <c r="E1402" s="47" t="n"/>
      <c r="F1402" s="47" t="n"/>
      <c r="G1402" s="48">
        <f t="shared" si="4"/>
      </c>
      <c r="H1402" s="43">
        <f t="shared" si="0"/>
      </c>
      <c r="I1402" s="43">
        <f t="shared" si="5"/>
      </c>
      <c r="J1402" s="43">
        <f t="shared" si="1"/>
      </c>
      <c r="K1402" s="49">
        <f t="shared" si="2"/>
      </c>
      <c r="L1402" s="45" t="n"/>
      <c r="M1402" s="45" t="n"/>
      <c r="N1402" s="45" t="n"/>
      <c r="O1402" s="45" t="n"/>
      <c r="P1402" s="50" t="n"/>
      <c r="R1402" s="2">
        <f t="shared" si="6"/>
        <v>0</v>
      </c>
      <c r="S1402" s="2">
        <f t="shared" si="7"/>
      </c>
      <c r="T1402" s="2">
        <f t="shared" si="8"/>
      </c>
      <c r="U1402" s="2">
        <f t="shared" si="9"/>
      </c>
      <c r="V1402" s="2">
        <f t="shared" si="10"/>
      </c>
      <c r="W1402" s="2">
        <f t="shared" si="11"/>
      </c>
      <c r="X1402" s="2">
        <f t="shared" si="12"/>
      </c>
      <c r="Y1402" s="2">
        <f t="shared" si="13"/>
        <v>0</v>
      </c>
      <c r="Z1402" s="2">
        <f t="shared" si="14"/>
      </c>
      <c r="AA1402" s="2">
        <f t="shared" si="15"/>
        <v>0</v>
      </c>
      <c r="AB1402" s="2">
        <f t="shared" si="16"/>
      </c>
      <c r="AC1402" s="2">
        <f t="shared" si="17"/>
      </c>
      <c r="AD1402" s="2">
        <f t="shared" si="18"/>
      </c>
      <c r="AE1402" s="2">
        <f t="shared" si="19"/>
      </c>
      <c r="AF1402" s="2">
        <f t="shared" si="20"/>
      </c>
      <c r="AG1402" s="2">
        <f t="shared" si="21"/>
      </c>
      <c r="AH1402" s="2">
        <f t="shared" si="22"/>
      </c>
      <c r="AI1402" s="2">
        <f t="shared" si="23"/>
      </c>
      <c r="AJ1402" s="2">
        <f t="shared" si="24"/>
        <v>0</v>
      </c>
      <c r="AK1402" s="2">
        <f t="shared" si="25"/>
        <v>0</v>
      </c>
      <c r="AL1402" s="2">
        <f t="shared" si="26"/>
        <v>0</v>
      </c>
      <c r="AM1402" s="2">
        <f t="shared" si="27"/>
        <v>0</v>
      </c>
      <c r="AN1402" s="2">
        <f t="shared" si="28"/>
        <v>0</v>
      </c>
      <c r="AO1402" s="2">
        <f t="shared" si="29"/>
      </c>
      <c r="AP1402" s="2">
        <f t="shared" si="30"/>
      </c>
      <c r="AQ1402" s="2">
        <f t="shared" si="31"/>
      </c>
    </row>
    <row r="1403">
      <c r="A1403" s="43">
        <f t="shared" si="3"/>
      </c>
      <c r="B1403" s="44" t="n"/>
      <c r="C1403" s="45" t="n"/>
      <c r="D1403" s="46" t="n"/>
      <c r="E1403" s="47" t="n"/>
      <c r="F1403" s="47" t="n"/>
      <c r="G1403" s="48">
        <f t="shared" si="4"/>
      </c>
      <c r="H1403" s="43">
        <f t="shared" si="0"/>
      </c>
      <c r="I1403" s="43">
        <f t="shared" si="5"/>
      </c>
      <c r="J1403" s="43">
        <f t="shared" si="1"/>
      </c>
      <c r="K1403" s="49">
        <f t="shared" si="2"/>
      </c>
      <c r="L1403" s="45" t="n"/>
      <c r="M1403" s="45" t="n"/>
      <c r="N1403" s="45" t="n"/>
      <c r="O1403" s="45" t="n"/>
      <c r="P1403" s="50" t="n"/>
      <c r="R1403" s="2">
        <f t="shared" si="6"/>
        <v>0</v>
      </c>
      <c r="S1403" s="2">
        <f t="shared" si="7"/>
      </c>
      <c r="T1403" s="2">
        <f t="shared" si="8"/>
      </c>
      <c r="U1403" s="2">
        <f t="shared" si="9"/>
      </c>
      <c r="V1403" s="2">
        <f t="shared" si="10"/>
      </c>
      <c r="W1403" s="2">
        <f t="shared" si="11"/>
      </c>
      <c r="X1403" s="2">
        <f t="shared" si="12"/>
      </c>
      <c r="Y1403" s="2">
        <f t="shared" si="13"/>
        <v>0</v>
      </c>
      <c r="Z1403" s="2">
        <f t="shared" si="14"/>
      </c>
      <c r="AA1403" s="2">
        <f t="shared" si="15"/>
        <v>0</v>
      </c>
      <c r="AB1403" s="2">
        <f t="shared" si="16"/>
      </c>
      <c r="AC1403" s="2">
        <f t="shared" si="17"/>
      </c>
      <c r="AD1403" s="2">
        <f t="shared" si="18"/>
      </c>
      <c r="AE1403" s="2">
        <f t="shared" si="19"/>
      </c>
      <c r="AF1403" s="2">
        <f t="shared" si="20"/>
      </c>
      <c r="AG1403" s="2">
        <f t="shared" si="21"/>
      </c>
      <c r="AH1403" s="2">
        <f t="shared" si="22"/>
      </c>
      <c r="AI1403" s="2">
        <f t="shared" si="23"/>
      </c>
      <c r="AJ1403" s="2">
        <f t="shared" si="24"/>
        <v>0</v>
      </c>
      <c r="AK1403" s="2">
        <f t="shared" si="25"/>
        <v>0</v>
      </c>
      <c r="AL1403" s="2">
        <f t="shared" si="26"/>
        <v>0</v>
      </c>
      <c r="AM1403" s="2">
        <f t="shared" si="27"/>
        <v>0</v>
      </c>
      <c r="AN1403" s="2">
        <f t="shared" si="28"/>
        <v>0</v>
      </c>
      <c r="AO1403" s="2">
        <f t="shared" si="29"/>
      </c>
      <c r="AP1403" s="2">
        <f t="shared" si="30"/>
      </c>
      <c r="AQ1403" s="2">
        <f t="shared" si="31"/>
      </c>
    </row>
    <row r="1404">
      <c r="A1404" s="43">
        <f t="shared" si="3"/>
      </c>
      <c r="B1404" s="44" t="n"/>
      <c r="C1404" s="45" t="n"/>
      <c r="D1404" s="46" t="n"/>
      <c r="E1404" s="47" t="n"/>
      <c r="F1404" s="47" t="n"/>
      <c r="G1404" s="48">
        <f t="shared" si="4"/>
      </c>
      <c r="H1404" s="43">
        <f t="shared" si="0"/>
      </c>
      <c r="I1404" s="43">
        <f t="shared" si="5"/>
      </c>
      <c r="J1404" s="43">
        <f t="shared" si="1"/>
      </c>
      <c r="K1404" s="49">
        <f t="shared" si="2"/>
      </c>
      <c r="L1404" s="45" t="n"/>
      <c r="M1404" s="45" t="n"/>
      <c r="N1404" s="45" t="n"/>
      <c r="O1404" s="45" t="n"/>
      <c r="P1404" s="50" t="n"/>
      <c r="R1404" s="2">
        <f t="shared" si="6"/>
        <v>0</v>
      </c>
      <c r="S1404" s="2">
        <f t="shared" si="7"/>
      </c>
      <c r="T1404" s="2">
        <f t="shared" si="8"/>
      </c>
      <c r="U1404" s="2">
        <f t="shared" si="9"/>
      </c>
      <c r="V1404" s="2">
        <f t="shared" si="10"/>
      </c>
      <c r="W1404" s="2">
        <f t="shared" si="11"/>
      </c>
      <c r="X1404" s="2">
        <f t="shared" si="12"/>
      </c>
      <c r="Y1404" s="2">
        <f t="shared" si="13"/>
        <v>0</v>
      </c>
      <c r="Z1404" s="2">
        <f t="shared" si="14"/>
      </c>
      <c r="AA1404" s="2">
        <f t="shared" si="15"/>
        <v>0</v>
      </c>
      <c r="AB1404" s="2">
        <f t="shared" si="16"/>
      </c>
      <c r="AC1404" s="2">
        <f t="shared" si="17"/>
      </c>
      <c r="AD1404" s="2">
        <f t="shared" si="18"/>
      </c>
      <c r="AE1404" s="2">
        <f t="shared" si="19"/>
      </c>
      <c r="AF1404" s="2">
        <f t="shared" si="20"/>
      </c>
      <c r="AG1404" s="2">
        <f t="shared" si="21"/>
      </c>
      <c r="AH1404" s="2">
        <f t="shared" si="22"/>
      </c>
      <c r="AI1404" s="2">
        <f t="shared" si="23"/>
      </c>
      <c r="AJ1404" s="2">
        <f t="shared" si="24"/>
        <v>0</v>
      </c>
      <c r="AK1404" s="2">
        <f t="shared" si="25"/>
        <v>0</v>
      </c>
      <c r="AL1404" s="2">
        <f t="shared" si="26"/>
        <v>0</v>
      </c>
      <c r="AM1404" s="2">
        <f t="shared" si="27"/>
        <v>0</v>
      </c>
      <c r="AN1404" s="2">
        <f t="shared" si="28"/>
        <v>0</v>
      </c>
      <c r="AO1404" s="2">
        <f t="shared" si="29"/>
      </c>
      <c r="AP1404" s="2">
        <f t="shared" si="30"/>
      </c>
      <c r="AQ1404" s="2">
        <f t="shared" si="31"/>
      </c>
    </row>
    <row r="1405">
      <c r="A1405" s="43">
        <f t="shared" si="3"/>
      </c>
      <c r="B1405" s="44" t="n"/>
      <c r="C1405" s="45" t="n"/>
      <c r="D1405" s="46" t="n"/>
      <c r="E1405" s="47" t="n"/>
      <c r="F1405" s="47" t="n"/>
      <c r="G1405" s="48">
        <f t="shared" si="4"/>
      </c>
      <c r="H1405" s="43">
        <f t="shared" si="0"/>
      </c>
      <c r="I1405" s="43">
        <f t="shared" si="5"/>
      </c>
      <c r="J1405" s="43">
        <f t="shared" si="1"/>
      </c>
      <c r="K1405" s="49">
        <f t="shared" si="2"/>
      </c>
      <c r="L1405" s="45" t="n"/>
      <c r="M1405" s="45" t="n"/>
      <c r="N1405" s="45" t="n"/>
      <c r="O1405" s="45" t="n"/>
      <c r="P1405" s="50" t="n"/>
      <c r="R1405" s="2">
        <f t="shared" si="6"/>
        <v>0</v>
      </c>
      <c r="S1405" s="2">
        <f t="shared" si="7"/>
      </c>
      <c r="T1405" s="2">
        <f t="shared" si="8"/>
      </c>
      <c r="U1405" s="2">
        <f t="shared" si="9"/>
      </c>
      <c r="V1405" s="2">
        <f t="shared" si="10"/>
      </c>
      <c r="W1405" s="2">
        <f t="shared" si="11"/>
      </c>
      <c r="X1405" s="2">
        <f t="shared" si="12"/>
      </c>
      <c r="Y1405" s="2">
        <f t="shared" si="13"/>
        <v>0</v>
      </c>
      <c r="Z1405" s="2">
        <f t="shared" si="14"/>
      </c>
      <c r="AA1405" s="2">
        <f t="shared" si="15"/>
        <v>0</v>
      </c>
      <c r="AB1405" s="2">
        <f t="shared" si="16"/>
      </c>
      <c r="AC1405" s="2">
        <f t="shared" si="17"/>
      </c>
      <c r="AD1405" s="2">
        <f t="shared" si="18"/>
      </c>
      <c r="AE1405" s="2">
        <f t="shared" si="19"/>
      </c>
      <c r="AF1405" s="2">
        <f t="shared" si="20"/>
      </c>
      <c r="AG1405" s="2">
        <f t="shared" si="21"/>
      </c>
      <c r="AH1405" s="2">
        <f t="shared" si="22"/>
      </c>
      <c r="AI1405" s="2">
        <f t="shared" si="23"/>
      </c>
      <c r="AJ1405" s="2">
        <f t="shared" si="24"/>
        <v>0</v>
      </c>
      <c r="AK1405" s="2">
        <f t="shared" si="25"/>
        <v>0</v>
      </c>
      <c r="AL1405" s="2">
        <f t="shared" si="26"/>
        <v>0</v>
      </c>
      <c r="AM1405" s="2">
        <f t="shared" si="27"/>
        <v>0</v>
      </c>
      <c r="AN1405" s="2">
        <f t="shared" si="28"/>
        <v>0</v>
      </c>
      <c r="AO1405" s="2">
        <f t="shared" si="29"/>
      </c>
      <c r="AP1405" s="2">
        <f t="shared" si="30"/>
      </c>
      <c r="AQ1405" s="2">
        <f t="shared" si="31"/>
      </c>
    </row>
    <row r="1406">
      <c r="A1406" s="43">
        <f t="shared" si="3"/>
      </c>
      <c r="B1406" s="44" t="n"/>
      <c r="C1406" s="45" t="n"/>
      <c r="D1406" s="46" t="n"/>
      <c r="E1406" s="47" t="n"/>
      <c r="F1406" s="47" t="n"/>
      <c r="G1406" s="48">
        <f t="shared" si="4"/>
      </c>
      <c r="H1406" s="43">
        <f t="shared" si="0"/>
      </c>
      <c r="I1406" s="43">
        <f t="shared" si="5"/>
      </c>
      <c r="J1406" s="43">
        <f t="shared" si="1"/>
      </c>
      <c r="K1406" s="49">
        <f t="shared" si="2"/>
      </c>
      <c r="L1406" s="45" t="n"/>
      <c r="M1406" s="45" t="n"/>
      <c r="N1406" s="45" t="n"/>
      <c r="O1406" s="45" t="n"/>
      <c r="P1406" s="50" t="n"/>
      <c r="R1406" s="2">
        <f t="shared" si="6"/>
        <v>0</v>
      </c>
      <c r="S1406" s="2">
        <f t="shared" si="7"/>
      </c>
      <c r="T1406" s="2">
        <f t="shared" si="8"/>
      </c>
      <c r="U1406" s="2">
        <f t="shared" si="9"/>
      </c>
      <c r="V1406" s="2">
        <f t="shared" si="10"/>
      </c>
      <c r="W1406" s="2">
        <f t="shared" si="11"/>
      </c>
      <c r="X1406" s="2">
        <f t="shared" si="12"/>
      </c>
      <c r="Y1406" s="2">
        <f t="shared" si="13"/>
        <v>0</v>
      </c>
      <c r="Z1406" s="2">
        <f t="shared" si="14"/>
      </c>
      <c r="AA1406" s="2">
        <f t="shared" si="15"/>
        <v>0</v>
      </c>
      <c r="AB1406" s="2">
        <f t="shared" si="16"/>
      </c>
      <c r="AC1406" s="2">
        <f t="shared" si="17"/>
      </c>
      <c r="AD1406" s="2">
        <f t="shared" si="18"/>
      </c>
      <c r="AE1406" s="2">
        <f t="shared" si="19"/>
      </c>
      <c r="AF1406" s="2">
        <f t="shared" si="20"/>
      </c>
      <c r="AG1406" s="2">
        <f t="shared" si="21"/>
      </c>
      <c r="AH1406" s="2">
        <f t="shared" si="22"/>
      </c>
      <c r="AI1406" s="2">
        <f t="shared" si="23"/>
      </c>
      <c r="AJ1406" s="2">
        <f t="shared" si="24"/>
        <v>0</v>
      </c>
      <c r="AK1406" s="2">
        <f t="shared" si="25"/>
        <v>0</v>
      </c>
      <c r="AL1406" s="2">
        <f t="shared" si="26"/>
        <v>0</v>
      </c>
      <c r="AM1406" s="2">
        <f t="shared" si="27"/>
        <v>0</v>
      </c>
      <c r="AN1406" s="2">
        <f t="shared" si="28"/>
        <v>0</v>
      </c>
      <c r="AO1406" s="2">
        <f t="shared" si="29"/>
      </c>
      <c r="AP1406" s="2">
        <f t="shared" si="30"/>
      </c>
      <c r="AQ1406" s="2">
        <f t="shared" si="31"/>
      </c>
    </row>
    <row r="1407">
      <c r="A1407" s="43">
        <f t="shared" si="3"/>
      </c>
      <c r="B1407" s="44" t="n"/>
      <c r="C1407" s="45" t="n"/>
      <c r="D1407" s="46" t="n"/>
      <c r="E1407" s="47" t="n"/>
      <c r="F1407" s="47" t="n"/>
      <c r="G1407" s="48">
        <f t="shared" si="4"/>
      </c>
      <c r="H1407" s="43">
        <f t="shared" si="0"/>
      </c>
      <c r="I1407" s="43">
        <f t="shared" si="5"/>
      </c>
      <c r="J1407" s="43">
        <f t="shared" si="1"/>
      </c>
      <c r="K1407" s="49">
        <f t="shared" si="2"/>
      </c>
      <c r="L1407" s="45" t="n"/>
      <c r="M1407" s="45" t="n"/>
      <c r="N1407" s="45" t="n"/>
      <c r="O1407" s="45" t="n"/>
      <c r="P1407" s="50" t="n"/>
      <c r="R1407" s="2">
        <f t="shared" si="6"/>
        <v>0</v>
      </c>
      <c r="S1407" s="2">
        <f t="shared" si="7"/>
      </c>
      <c r="T1407" s="2">
        <f t="shared" si="8"/>
      </c>
      <c r="U1407" s="2">
        <f t="shared" si="9"/>
      </c>
      <c r="V1407" s="2">
        <f t="shared" si="10"/>
      </c>
      <c r="W1407" s="2">
        <f t="shared" si="11"/>
      </c>
      <c r="X1407" s="2">
        <f t="shared" si="12"/>
      </c>
      <c r="Y1407" s="2">
        <f t="shared" si="13"/>
        <v>0</v>
      </c>
      <c r="Z1407" s="2">
        <f t="shared" si="14"/>
      </c>
      <c r="AA1407" s="2">
        <f t="shared" si="15"/>
        <v>0</v>
      </c>
      <c r="AB1407" s="2">
        <f t="shared" si="16"/>
      </c>
      <c r="AC1407" s="2">
        <f t="shared" si="17"/>
      </c>
      <c r="AD1407" s="2">
        <f t="shared" si="18"/>
      </c>
      <c r="AE1407" s="2">
        <f t="shared" si="19"/>
      </c>
      <c r="AF1407" s="2">
        <f t="shared" si="20"/>
      </c>
      <c r="AG1407" s="2">
        <f t="shared" si="21"/>
      </c>
      <c r="AH1407" s="2">
        <f t="shared" si="22"/>
      </c>
      <c r="AI1407" s="2">
        <f t="shared" si="23"/>
      </c>
      <c r="AJ1407" s="2">
        <f t="shared" si="24"/>
        <v>0</v>
      </c>
      <c r="AK1407" s="2">
        <f t="shared" si="25"/>
        <v>0</v>
      </c>
      <c r="AL1407" s="2">
        <f t="shared" si="26"/>
        <v>0</v>
      </c>
      <c r="AM1407" s="2">
        <f t="shared" si="27"/>
        <v>0</v>
      </c>
      <c r="AN1407" s="2">
        <f t="shared" si="28"/>
        <v>0</v>
      </c>
      <c r="AO1407" s="2">
        <f t="shared" si="29"/>
      </c>
      <c r="AP1407" s="2">
        <f t="shared" si="30"/>
      </c>
      <c r="AQ1407" s="2">
        <f t="shared" si="31"/>
      </c>
    </row>
    <row r="1408">
      <c r="A1408" s="43">
        <f t="shared" si="3"/>
      </c>
      <c r="B1408" s="44" t="n"/>
      <c r="C1408" s="45" t="n"/>
      <c r="D1408" s="46" t="n"/>
      <c r="E1408" s="47" t="n"/>
      <c r="F1408" s="47" t="n"/>
      <c r="G1408" s="48">
        <f t="shared" si="4"/>
      </c>
      <c r="H1408" s="43">
        <f t="shared" si="0"/>
      </c>
      <c r="I1408" s="43">
        <f t="shared" si="5"/>
      </c>
      <c r="J1408" s="43">
        <f t="shared" si="1"/>
      </c>
      <c r="K1408" s="49">
        <f t="shared" si="2"/>
      </c>
      <c r="L1408" s="45" t="n"/>
      <c r="M1408" s="45" t="n"/>
      <c r="N1408" s="45" t="n"/>
      <c r="O1408" s="45" t="n"/>
      <c r="P1408" s="50" t="n"/>
      <c r="R1408" s="2">
        <f t="shared" si="6"/>
        <v>0</v>
      </c>
      <c r="S1408" s="2">
        <f t="shared" si="7"/>
      </c>
      <c r="T1408" s="2">
        <f t="shared" si="8"/>
      </c>
      <c r="U1408" s="2">
        <f t="shared" si="9"/>
      </c>
      <c r="V1408" s="2">
        <f t="shared" si="10"/>
      </c>
      <c r="W1408" s="2">
        <f t="shared" si="11"/>
      </c>
      <c r="X1408" s="2">
        <f t="shared" si="12"/>
      </c>
      <c r="Y1408" s="2">
        <f t="shared" si="13"/>
        <v>0</v>
      </c>
      <c r="Z1408" s="2">
        <f t="shared" si="14"/>
      </c>
      <c r="AA1408" s="2">
        <f t="shared" si="15"/>
        <v>0</v>
      </c>
      <c r="AB1408" s="2">
        <f t="shared" si="16"/>
      </c>
      <c r="AC1408" s="2">
        <f t="shared" si="17"/>
      </c>
      <c r="AD1408" s="2">
        <f t="shared" si="18"/>
      </c>
      <c r="AE1408" s="2">
        <f t="shared" si="19"/>
      </c>
      <c r="AF1408" s="2">
        <f t="shared" si="20"/>
      </c>
      <c r="AG1408" s="2">
        <f t="shared" si="21"/>
      </c>
      <c r="AH1408" s="2">
        <f t="shared" si="22"/>
      </c>
      <c r="AI1408" s="2">
        <f t="shared" si="23"/>
      </c>
      <c r="AJ1408" s="2">
        <f t="shared" si="24"/>
        <v>0</v>
      </c>
      <c r="AK1408" s="2">
        <f t="shared" si="25"/>
        <v>0</v>
      </c>
      <c r="AL1408" s="2">
        <f t="shared" si="26"/>
        <v>0</v>
      </c>
      <c r="AM1408" s="2">
        <f t="shared" si="27"/>
        <v>0</v>
      </c>
      <c r="AN1408" s="2">
        <f t="shared" si="28"/>
        <v>0</v>
      </c>
      <c r="AO1408" s="2">
        <f t="shared" si="29"/>
      </c>
      <c r="AP1408" s="2">
        <f t="shared" si="30"/>
      </c>
      <c r="AQ1408" s="2">
        <f t="shared" si="31"/>
      </c>
    </row>
    <row r="1409">
      <c r="A1409" s="43">
        <f t="shared" si="3"/>
      </c>
      <c r="B1409" s="44" t="n"/>
      <c r="C1409" s="45" t="n"/>
      <c r="D1409" s="46" t="n"/>
      <c r="E1409" s="47" t="n"/>
      <c r="F1409" s="47" t="n"/>
      <c r="G1409" s="48">
        <f t="shared" si="4"/>
      </c>
      <c r="H1409" s="43">
        <f t="shared" si="0"/>
      </c>
      <c r="I1409" s="43">
        <f t="shared" si="5"/>
      </c>
      <c r="J1409" s="43">
        <f t="shared" si="1"/>
      </c>
      <c r="K1409" s="49">
        <f t="shared" si="2"/>
      </c>
      <c r="L1409" s="45" t="n"/>
      <c r="M1409" s="45" t="n"/>
      <c r="N1409" s="45" t="n"/>
      <c r="O1409" s="45" t="n"/>
      <c r="P1409" s="50" t="n"/>
      <c r="R1409" s="2">
        <f t="shared" si="6"/>
        <v>0</v>
      </c>
      <c r="S1409" s="2">
        <f t="shared" si="7"/>
      </c>
      <c r="T1409" s="2">
        <f t="shared" si="8"/>
      </c>
      <c r="U1409" s="2">
        <f t="shared" si="9"/>
      </c>
      <c r="V1409" s="2">
        <f t="shared" si="10"/>
      </c>
      <c r="W1409" s="2">
        <f t="shared" si="11"/>
      </c>
      <c r="X1409" s="2">
        <f t="shared" si="12"/>
      </c>
      <c r="Y1409" s="2">
        <f t="shared" si="13"/>
        <v>0</v>
      </c>
      <c r="Z1409" s="2">
        <f t="shared" si="14"/>
      </c>
      <c r="AA1409" s="2">
        <f t="shared" si="15"/>
        <v>0</v>
      </c>
      <c r="AB1409" s="2">
        <f t="shared" si="16"/>
      </c>
      <c r="AC1409" s="2">
        <f t="shared" si="17"/>
      </c>
      <c r="AD1409" s="2">
        <f t="shared" si="18"/>
      </c>
      <c r="AE1409" s="2">
        <f t="shared" si="19"/>
      </c>
      <c r="AF1409" s="2">
        <f t="shared" si="20"/>
      </c>
      <c r="AG1409" s="2">
        <f t="shared" si="21"/>
      </c>
      <c r="AH1409" s="2">
        <f t="shared" si="22"/>
      </c>
      <c r="AI1409" s="2">
        <f t="shared" si="23"/>
      </c>
      <c r="AJ1409" s="2">
        <f t="shared" si="24"/>
        <v>0</v>
      </c>
      <c r="AK1409" s="2">
        <f t="shared" si="25"/>
        <v>0</v>
      </c>
      <c r="AL1409" s="2">
        <f t="shared" si="26"/>
        <v>0</v>
      </c>
      <c r="AM1409" s="2">
        <f t="shared" si="27"/>
        <v>0</v>
      </c>
      <c r="AN1409" s="2">
        <f t="shared" si="28"/>
        <v>0</v>
      </c>
      <c r="AO1409" s="2">
        <f t="shared" si="29"/>
      </c>
      <c r="AP1409" s="2">
        <f t="shared" si="30"/>
      </c>
      <c r="AQ1409" s="2">
        <f t="shared" si="31"/>
      </c>
    </row>
    <row r="1410">
      <c r="A1410" s="43">
        <f t="shared" si="3"/>
      </c>
      <c r="B1410" s="44" t="n"/>
      <c r="C1410" s="45" t="n"/>
      <c r="D1410" s="46" t="n"/>
      <c r="E1410" s="47" t="n"/>
      <c r="F1410" s="47" t="n"/>
      <c r="G1410" s="48">
        <f t="shared" si="4"/>
      </c>
      <c r="H1410" s="43">
        <f t="shared" si="0"/>
      </c>
      <c r="I1410" s="43">
        <f t="shared" si="5"/>
      </c>
      <c r="J1410" s="43">
        <f t="shared" si="1"/>
      </c>
      <c r="K1410" s="49">
        <f t="shared" si="2"/>
      </c>
      <c r="L1410" s="45" t="n"/>
      <c r="M1410" s="45" t="n"/>
      <c r="N1410" s="45" t="n"/>
      <c r="O1410" s="45" t="n"/>
      <c r="P1410" s="50" t="n"/>
      <c r="R1410" s="2">
        <f t="shared" si="6"/>
        <v>0</v>
      </c>
      <c r="S1410" s="2">
        <f t="shared" si="7"/>
      </c>
      <c r="T1410" s="2">
        <f t="shared" si="8"/>
      </c>
      <c r="U1410" s="2">
        <f t="shared" si="9"/>
      </c>
      <c r="V1410" s="2">
        <f t="shared" si="10"/>
      </c>
      <c r="W1410" s="2">
        <f t="shared" si="11"/>
      </c>
      <c r="X1410" s="2">
        <f t="shared" si="12"/>
      </c>
      <c r="Y1410" s="2">
        <f t="shared" si="13"/>
        <v>0</v>
      </c>
      <c r="Z1410" s="2">
        <f t="shared" si="14"/>
      </c>
      <c r="AA1410" s="2">
        <f t="shared" si="15"/>
        <v>0</v>
      </c>
      <c r="AB1410" s="2">
        <f t="shared" si="16"/>
      </c>
      <c r="AC1410" s="2">
        <f t="shared" si="17"/>
      </c>
      <c r="AD1410" s="2">
        <f t="shared" si="18"/>
      </c>
      <c r="AE1410" s="2">
        <f t="shared" si="19"/>
      </c>
      <c r="AF1410" s="2">
        <f t="shared" si="20"/>
      </c>
      <c r="AG1410" s="2">
        <f t="shared" si="21"/>
      </c>
      <c r="AH1410" s="2">
        <f t="shared" si="22"/>
      </c>
      <c r="AI1410" s="2">
        <f t="shared" si="23"/>
      </c>
      <c r="AJ1410" s="2">
        <f t="shared" si="24"/>
        <v>0</v>
      </c>
      <c r="AK1410" s="2">
        <f t="shared" si="25"/>
        <v>0</v>
      </c>
      <c r="AL1410" s="2">
        <f t="shared" si="26"/>
        <v>0</v>
      </c>
      <c r="AM1410" s="2">
        <f t="shared" si="27"/>
        <v>0</v>
      </c>
      <c r="AN1410" s="2">
        <f t="shared" si="28"/>
        <v>0</v>
      </c>
      <c r="AO1410" s="2">
        <f t="shared" si="29"/>
      </c>
      <c r="AP1410" s="2">
        <f t="shared" si="30"/>
      </c>
      <c r="AQ1410" s="2">
        <f t="shared" si="31"/>
      </c>
    </row>
    <row r="1411">
      <c r="A1411" s="43">
        <f t="shared" si="3"/>
      </c>
      <c r="B1411" s="44" t="n"/>
      <c r="C1411" s="45" t="n"/>
      <c r="D1411" s="46" t="n"/>
      <c r="E1411" s="47" t="n"/>
      <c r="F1411" s="47" t="n"/>
      <c r="G1411" s="48">
        <f t="shared" si="4"/>
      </c>
      <c r="H1411" s="43">
        <f t="shared" si="0"/>
      </c>
      <c r="I1411" s="43">
        <f t="shared" si="5"/>
      </c>
      <c r="J1411" s="43">
        <f t="shared" si="1"/>
      </c>
      <c r="K1411" s="49">
        <f t="shared" si="2"/>
      </c>
      <c r="L1411" s="45" t="n"/>
      <c r="M1411" s="45" t="n"/>
      <c r="N1411" s="45" t="n"/>
      <c r="O1411" s="45" t="n"/>
      <c r="P1411" s="50" t="n"/>
      <c r="R1411" s="2">
        <f t="shared" si="6"/>
        <v>0</v>
      </c>
      <c r="S1411" s="2">
        <f t="shared" si="7"/>
      </c>
      <c r="T1411" s="2">
        <f t="shared" si="8"/>
      </c>
      <c r="U1411" s="2">
        <f t="shared" si="9"/>
      </c>
      <c r="V1411" s="2">
        <f t="shared" si="10"/>
      </c>
      <c r="W1411" s="2">
        <f t="shared" si="11"/>
      </c>
      <c r="X1411" s="2">
        <f t="shared" si="12"/>
      </c>
      <c r="Y1411" s="2">
        <f t="shared" si="13"/>
        <v>0</v>
      </c>
      <c r="Z1411" s="2">
        <f t="shared" si="14"/>
      </c>
      <c r="AA1411" s="2">
        <f t="shared" si="15"/>
        <v>0</v>
      </c>
      <c r="AB1411" s="2">
        <f t="shared" si="16"/>
      </c>
      <c r="AC1411" s="2">
        <f t="shared" si="17"/>
      </c>
      <c r="AD1411" s="2">
        <f t="shared" si="18"/>
      </c>
      <c r="AE1411" s="2">
        <f t="shared" si="19"/>
      </c>
      <c r="AF1411" s="2">
        <f t="shared" si="20"/>
      </c>
      <c r="AG1411" s="2">
        <f t="shared" si="21"/>
      </c>
      <c r="AH1411" s="2">
        <f t="shared" si="22"/>
      </c>
      <c r="AI1411" s="2">
        <f t="shared" si="23"/>
      </c>
      <c r="AJ1411" s="2">
        <f t="shared" si="24"/>
        <v>0</v>
      </c>
      <c r="AK1411" s="2">
        <f t="shared" si="25"/>
        <v>0</v>
      </c>
      <c r="AL1411" s="2">
        <f t="shared" si="26"/>
        <v>0</v>
      </c>
      <c r="AM1411" s="2">
        <f t="shared" si="27"/>
        <v>0</v>
      </c>
      <c r="AN1411" s="2">
        <f t="shared" si="28"/>
        <v>0</v>
      </c>
      <c r="AO1411" s="2">
        <f t="shared" si="29"/>
      </c>
      <c r="AP1411" s="2">
        <f t="shared" si="30"/>
      </c>
      <c r="AQ1411" s="2">
        <f t="shared" si="31"/>
      </c>
    </row>
    <row r="1412">
      <c r="A1412" s="43">
        <f t="shared" si="3"/>
      </c>
      <c r="B1412" s="44" t="n"/>
      <c r="C1412" s="45" t="n"/>
      <c r="D1412" s="46" t="n"/>
      <c r="E1412" s="47" t="n"/>
      <c r="F1412" s="47" t="n"/>
      <c r="G1412" s="48">
        <f t="shared" si="4"/>
      </c>
      <c r="H1412" s="43">
        <f t="shared" si="0"/>
      </c>
      <c r="I1412" s="43">
        <f t="shared" si="5"/>
      </c>
      <c r="J1412" s="43">
        <f t="shared" si="1"/>
      </c>
      <c r="K1412" s="49">
        <f t="shared" si="2"/>
      </c>
      <c r="L1412" s="45" t="n"/>
      <c r="M1412" s="45" t="n"/>
      <c r="N1412" s="45" t="n"/>
      <c r="O1412" s="45" t="n"/>
      <c r="P1412" s="50" t="n"/>
      <c r="R1412" s="2">
        <f t="shared" si="6"/>
        <v>0</v>
      </c>
      <c r="S1412" s="2">
        <f t="shared" si="7"/>
      </c>
      <c r="T1412" s="2">
        <f t="shared" si="8"/>
      </c>
      <c r="U1412" s="2">
        <f t="shared" si="9"/>
      </c>
      <c r="V1412" s="2">
        <f t="shared" si="10"/>
      </c>
      <c r="W1412" s="2">
        <f t="shared" si="11"/>
      </c>
      <c r="X1412" s="2">
        <f t="shared" si="12"/>
      </c>
      <c r="Y1412" s="2">
        <f t="shared" si="13"/>
        <v>0</v>
      </c>
      <c r="Z1412" s="2">
        <f t="shared" si="14"/>
      </c>
      <c r="AA1412" s="2">
        <f t="shared" si="15"/>
        <v>0</v>
      </c>
      <c r="AB1412" s="2">
        <f t="shared" si="16"/>
      </c>
      <c r="AC1412" s="2">
        <f t="shared" si="17"/>
      </c>
      <c r="AD1412" s="2">
        <f t="shared" si="18"/>
      </c>
      <c r="AE1412" s="2">
        <f t="shared" si="19"/>
      </c>
      <c r="AF1412" s="2">
        <f t="shared" si="20"/>
      </c>
      <c r="AG1412" s="2">
        <f t="shared" si="21"/>
      </c>
      <c r="AH1412" s="2">
        <f t="shared" si="22"/>
      </c>
      <c r="AI1412" s="2">
        <f t="shared" si="23"/>
      </c>
      <c r="AJ1412" s="2">
        <f t="shared" si="24"/>
        <v>0</v>
      </c>
      <c r="AK1412" s="2">
        <f t="shared" si="25"/>
        <v>0</v>
      </c>
      <c r="AL1412" s="2">
        <f t="shared" si="26"/>
        <v>0</v>
      </c>
      <c r="AM1412" s="2">
        <f t="shared" si="27"/>
        <v>0</v>
      </c>
      <c r="AN1412" s="2">
        <f t="shared" si="28"/>
        <v>0</v>
      </c>
      <c r="AO1412" s="2">
        <f t="shared" si="29"/>
      </c>
      <c r="AP1412" s="2">
        <f t="shared" si="30"/>
      </c>
      <c r="AQ1412" s="2">
        <f t="shared" si="31"/>
      </c>
    </row>
    <row r="1413">
      <c r="A1413" s="43">
        <f t="shared" si="3"/>
      </c>
      <c r="B1413" s="44" t="n"/>
      <c r="C1413" s="45" t="n"/>
      <c r="D1413" s="46" t="n"/>
      <c r="E1413" s="47" t="n"/>
      <c r="F1413" s="47" t="n"/>
      <c r="G1413" s="48">
        <f t="shared" si="4"/>
      </c>
      <c r="H1413" s="43">
        <f t="shared" si="0"/>
      </c>
      <c r="I1413" s="43">
        <f t="shared" si="5"/>
      </c>
      <c r="J1413" s="43">
        <f t="shared" si="1"/>
      </c>
      <c r="K1413" s="49">
        <f t="shared" si="2"/>
      </c>
      <c r="L1413" s="45" t="n"/>
      <c r="M1413" s="45" t="n"/>
      <c r="N1413" s="45" t="n"/>
      <c r="O1413" s="45" t="n"/>
      <c r="P1413" s="50" t="n"/>
      <c r="R1413" s="2">
        <f t="shared" si="6"/>
        <v>0</v>
      </c>
      <c r="S1413" s="2">
        <f t="shared" si="7"/>
      </c>
      <c r="T1413" s="2">
        <f t="shared" si="8"/>
      </c>
      <c r="U1413" s="2">
        <f t="shared" si="9"/>
      </c>
      <c r="V1413" s="2">
        <f t="shared" si="10"/>
      </c>
      <c r="W1413" s="2">
        <f t="shared" si="11"/>
      </c>
      <c r="X1413" s="2">
        <f t="shared" si="12"/>
      </c>
      <c r="Y1413" s="2">
        <f t="shared" si="13"/>
        <v>0</v>
      </c>
      <c r="Z1413" s="2">
        <f t="shared" si="14"/>
      </c>
      <c r="AA1413" s="2">
        <f t="shared" si="15"/>
        <v>0</v>
      </c>
      <c r="AB1413" s="2">
        <f t="shared" si="16"/>
      </c>
      <c r="AC1413" s="2">
        <f t="shared" si="17"/>
      </c>
      <c r="AD1413" s="2">
        <f t="shared" si="18"/>
      </c>
      <c r="AE1413" s="2">
        <f t="shared" si="19"/>
      </c>
      <c r="AF1413" s="2">
        <f t="shared" si="20"/>
      </c>
      <c r="AG1413" s="2">
        <f t="shared" si="21"/>
      </c>
      <c r="AH1413" s="2">
        <f t="shared" si="22"/>
      </c>
      <c r="AI1413" s="2">
        <f t="shared" si="23"/>
      </c>
      <c r="AJ1413" s="2">
        <f t="shared" si="24"/>
        <v>0</v>
      </c>
      <c r="AK1413" s="2">
        <f t="shared" si="25"/>
        <v>0</v>
      </c>
      <c r="AL1413" s="2">
        <f t="shared" si="26"/>
        <v>0</v>
      </c>
      <c r="AM1413" s="2">
        <f t="shared" si="27"/>
        <v>0</v>
      </c>
      <c r="AN1413" s="2">
        <f t="shared" si="28"/>
        <v>0</v>
      </c>
      <c r="AO1413" s="2">
        <f t="shared" si="29"/>
      </c>
      <c r="AP1413" s="2">
        <f t="shared" si="30"/>
      </c>
      <c r="AQ1413" s="2">
        <f t="shared" si="31"/>
      </c>
    </row>
    <row r="1414">
      <c r="A1414" s="43">
        <f t="shared" si="3"/>
      </c>
      <c r="B1414" s="44" t="n"/>
      <c r="C1414" s="45" t="n"/>
      <c r="D1414" s="46" t="n"/>
      <c r="E1414" s="47" t="n"/>
      <c r="F1414" s="47" t="n"/>
      <c r="G1414" s="48">
        <f t="shared" si="4"/>
      </c>
      <c r="H1414" s="43">
        <f t="shared" si="0"/>
      </c>
      <c r="I1414" s="43">
        <f t="shared" si="5"/>
      </c>
      <c r="J1414" s="43">
        <f t="shared" si="1"/>
      </c>
      <c r="K1414" s="49">
        <f t="shared" si="2"/>
      </c>
      <c r="L1414" s="45" t="n"/>
      <c r="M1414" s="45" t="n"/>
      <c r="N1414" s="45" t="n"/>
      <c r="O1414" s="45" t="n"/>
      <c r="P1414" s="50" t="n"/>
      <c r="R1414" s="2">
        <f t="shared" si="6"/>
        <v>0</v>
      </c>
      <c r="S1414" s="2">
        <f t="shared" si="7"/>
      </c>
      <c r="T1414" s="2">
        <f t="shared" si="8"/>
      </c>
      <c r="U1414" s="2">
        <f t="shared" si="9"/>
      </c>
      <c r="V1414" s="2">
        <f t="shared" si="10"/>
      </c>
      <c r="W1414" s="2">
        <f t="shared" si="11"/>
      </c>
      <c r="X1414" s="2">
        <f t="shared" si="12"/>
      </c>
      <c r="Y1414" s="2">
        <f t="shared" si="13"/>
        <v>0</v>
      </c>
      <c r="Z1414" s="2">
        <f t="shared" si="14"/>
      </c>
      <c r="AA1414" s="2">
        <f t="shared" si="15"/>
        <v>0</v>
      </c>
      <c r="AB1414" s="2">
        <f t="shared" si="16"/>
      </c>
      <c r="AC1414" s="2">
        <f t="shared" si="17"/>
      </c>
      <c r="AD1414" s="2">
        <f t="shared" si="18"/>
      </c>
      <c r="AE1414" s="2">
        <f t="shared" si="19"/>
      </c>
      <c r="AF1414" s="2">
        <f t="shared" si="20"/>
      </c>
      <c r="AG1414" s="2">
        <f t="shared" si="21"/>
      </c>
      <c r="AH1414" s="2">
        <f t="shared" si="22"/>
      </c>
      <c r="AI1414" s="2">
        <f t="shared" si="23"/>
      </c>
      <c r="AJ1414" s="2">
        <f t="shared" si="24"/>
        <v>0</v>
      </c>
      <c r="AK1414" s="2">
        <f t="shared" si="25"/>
        <v>0</v>
      </c>
      <c r="AL1414" s="2">
        <f t="shared" si="26"/>
        <v>0</v>
      </c>
      <c r="AM1414" s="2">
        <f t="shared" si="27"/>
        <v>0</v>
      </c>
      <c r="AN1414" s="2">
        <f t="shared" si="28"/>
        <v>0</v>
      </c>
      <c r="AO1414" s="2">
        <f t="shared" si="29"/>
      </c>
      <c r="AP1414" s="2">
        <f t="shared" si="30"/>
      </c>
      <c r="AQ1414" s="2">
        <f t="shared" si="31"/>
      </c>
    </row>
    <row r="1415">
      <c r="A1415" s="43">
        <f t="shared" si="3"/>
      </c>
      <c r="B1415" s="44" t="n"/>
      <c r="C1415" s="45" t="n"/>
      <c r="D1415" s="46" t="n"/>
      <c r="E1415" s="47" t="n"/>
      <c r="F1415" s="47" t="n"/>
      <c r="G1415" s="48">
        <f t="shared" si="4"/>
      </c>
      <c r="H1415" s="43">
        <f t="shared" si="0"/>
      </c>
      <c r="I1415" s="43">
        <f t="shared" si="5"/>
      </c>
      <c r="J1415" s="43">
        <f t="shared" si="1"/>
      </c>
      <c r="K1415" s="49">
        <f t="shared" si="2"/>
      </c>
      <c r="L1415" s="45" t="n"/>
      <c r="M1415" s="45" t="n"/>
      <c r="N1415" s="45" t="n"/>
      <c r="O1415" s="45" t="n"/>
      <c r="P1415" s="50" t="n"/>
      <c r="R1415" s="2">
        <f t="shared" si="6"/>
        <v>0</v>
      </c>
      <c r="S1415" s="2">
        <f t="shared" si="7"/>
      </c>
      <c r="T1415" s="2">
        <f t="shared" si="8"/>
      </c>
      <c r="U1415" s="2">
        <f t="shared" si="9"/>
      </c>
      <c r="V1415" s="2">
        <f t="shared" si="10"/>
      </c>
      <c r="W1415" s="2">
        <f t="shared" si="11"/>
      </c>
      <c r="X1415" s="2">
        <f t="shared" si="12"/>
      </c>
      <c r="Y1415" s="2">
        <f t="shared" si="13"/>
        <v>0</v>
      </c>
      <c r="Z1415" s="2">
        <f t="shared" si="14"/>
      </c>
      <c r="AA1415" s="2">
        <f t="shared" si="15"/>
        <v>0</v>
      </c>
      <c r="AB1415" s="2">
        <f t="shared" si="16"/>
      </c>
      <c r="AC1415" s="2">
        <f t="shared" si="17"/>
      </c>
      <c r="AD1415" s="2">
        <f t="shared" si="18"/>
      </c>
      <c r="AE1415" s="2">
        <f t="shared" si="19"/>
      </c>
      <c r="AF1415" s="2">
        <f t="shared" si="20"/>
      </c>
      <c r="AG1415" s="2">
        <f t="shared" si="21"/>
      </c>
      <c r="AH1415" s="2">
        <f t="shared" si="22"/>
      </c>
      <c r="AI1415" s="2">
        <f t="shared" si="23"/>
      </c>
      <c r="AJ1415" s="2">
        <f t="shared" si="24"/>
        <v>0</v>
      </c>
      <c r="AK1415" s="2">
        <f t="shared" si="25"/>
        <v>0</v>
      </c>
      <c r="AL1415" s="2">
        <f t="shared" si="26"/>
        <v>0</v>
      </c>
      <c r="AM1415" s="2">
        <f t="shared" si="27"/>
        <v>0</v>
      </c>
      <c r="AN1415" s="2">
        <f t="shared" si="28"/>
        <v>0</v>
      </c>
      <c r="AO1415" s="2">
        <f t="shared" si="29"/>
      </c>
      <c r="AP1415" s="2">
        <f t="shared" si="30"/>
      </c>
      <c r="AQ1415" s="2">
        <f t="shared" si="31"/>
      </c>
    </row>
    <row r="1416">
      <c r="A1416" s="43">
        <f t="shared" si="3"/>
      </c>
      <c r="B1416" s="44" t="n"/>
      <c r="C1416" s="45" t="n"/>
      <c r="D1416" s="46" t="n"/>
      <c r="E1416" s="47" t="n"/>
      <c r="F1416" s="47" t="n"/>
      <c r="G1416" s="48">
        <f t="shared" si="4"/>
      </c>
      <c r="H1416" s="43">
        <f t="shared" si="0"/>
      </c>
      <c r="I1416" s="43">
        <f t="shared" si="5"/>
      </c>
      <c r="J1416" s="43">
        <f t="shared" si="1"/>
      </c>
      <c r="K1416" s="49">
        <f t="shared" si="2"/>
      </c>
      <c r="L1416" s="45" t="n"/>
      <c r="M1416" s="45" t="n"/>
      <c r="N1416" s="45" t="n"/>
      <c r="O1416" s="45" t="n"/>
      <c r="P1416" s="50" t="n"/>
      <c r="R1416" s="2">
        <f t="shared" si="6"/>
        <v>0</v>
      </c>
      <c r="S1416" s="2">
        <f t="shared" si="7"/>
      </c>
      <c r="T1416" s="2">
        <f t="shared" si="8"/>
      </c>
      <c r="U1416" s="2">
        <f t="shared" si="9"/>
      </c>
      <c r="V1416" s="2">
        <f t="shared" si="10"/>
      </c>
      <c r="W1416" s="2">
        <f t="shared" si="11"/>
      </c>
      <c r="X1416" s="2">
        <f t="shared" si="12"/>
      </c>
      <c r="Y1416" s="2">
        <f t="shared" si="13"/>
        <v>0</v>
      </c>
      <c r="Z1416" s="2">
        <f t="shared" si="14"/>
      </c>
      <c r="AA1416" s="2">
        <f t="shared" si="15"/>
        <v>0</v>
      </c>
      <c r="AB1416" s="2">
        <f t="shared" si="16"/>
      </c>
      <c r="AC1416" s="2">
        <f t="shared" si="17"/>
      </c>
      <c r="AD1416" s="2">
        <f t="shared" si="18"/>
      </c>
      <c r="AE1416" s="2">
        <f t="shared" si="19"/>
      </c>
      <c r="AF1416" s="2">
        <f t="shared" si="20"/>
      </c>
      <c r="AG1416" s="2">
        <f t="shared" si="21"/>
      </c>
      <c r="AH1416" s="2">
        <f t="shared" si="22"/>
      </c>
      <c r="AI1416" s="2">
        <f t="shared" si="23"/>
      </c>
      <c r="AJ1416" s="2">
        <f t="shared" si="24"/>
        <v>0</v>
      </c>
      <c r="AK1416" s="2">
        <f t="shared" si="25"/>
        <v>0</v>
      </c>
      <c r="AL1416" s="2">
        <f t="shared" si="26"/>
        <v>0</v>
      </c>
      <c r="AM1416" s="2">
        <f t="shared" si="27"/>
        <v>0</v>
      </c>
      <c r="AN1416" s="2">
        <f t="shared" si="28"/>
        <v>0</v>
      </c>
      <c r="AO1416" s="2">
        <f t="shared" si="29"/>
      </c>
      <c r="AP1416" s="2">
        <f t="shared" si="30"/>
      </c>
      <c r="AQ1416" s="2">
        <f t="shared" si="31"/>
      </c>
    </row>
    <row r="1417">
      <c r="A1417" s="43">
        <f t="shared" si="3"/>
      </c>
      <c r="B1417" s="44" t="n"/>
      <c r="C1417" s="45" t="n"/>
      <c r="D1417" s="46" t="n"/>
      <c r="E1417" s="47" t="n"/>
      <c r="F1417" s="47" t="n"/>
      <c r="G1417" s="48">
        <f t="shared" si="4"/>
      </c>
      <c r="H1417" s="43">
        <f t="shared" si="0"/>
      </c>
      <c r="I1417" s="43">
        <f t="shared" si="5"/>
      </c>
      <c r="J1417" s="43">
        <f t="shared" si="1"/>
      </c>
      <c r="K1417" s="49">
        <f t="shared" si="2"/>
      </c>
      <c r="L1417" s="45" t="n"/>
      <c r="M1417" s="45" t="n"/>
      <c r="N1417" s="45" t="n"/>
      <c r="O1417" s="45" t="n"/>
      <c r="P1417" s="50" t="n"/>
      <c r="R1417" s="2">
        <f t="shared" si="6"/>
        <v>0</v>
      </c>
      <c r="S1417" s="2">
        <f t="shared" si="7"/>
      </c>
      <c r="T1417" s="2">
        <f t="shared" si="8"/>
      </c>
      <c r="U1417" s="2">
        <f t="shared" si="9"/>
      </c>
      <c r="V1417" s="2">
        <f t="shared" si="10"/>
      </c>
      <c r="W1417" s="2">
        <f t="shared" si="11"/>
      </c>
      <c r="X1417" s="2">
        <f t="shared" si="12"/>
      </c>
      <c r="Y1417" s="2">
        <f t="shared" si="13"/>
        <v>0</v>
      </c>
      <c r="Z1417" s="2">
        <f t="shared" si="14"/>
      </c>
      <c r="AA1417" s="2">
        <f t="shared" si="15"/>
        <v>0</v>
      </c>
      <c r="AB1417" s="2">
        <f t="shared" si="16"/>
      </c>
      <c r="AC1417" s="2">
        <f t="shared" si="17"/>
      </c>
      <c r="AD1417" s="2">
        <f t="shared" si="18"/>
      </c>
      <c r="AE1417" s="2">
        <f t="shared" si="19"/>
      </c>
      <c r="AF1417" s="2">
        <f t="shared" si="20"/>
      </c>
      <c r="AG1417" s="2">
        <f t="shared" si="21"/>
      </c>
      <c r="AH1417" s="2">
        <f t="shared" si="22"/>
      </c>
      <c r="AI1417" s="2">
        <f t="shared" si="23"/>
      </c>
      <c r="AJ1417" s="2">
        <f t="shared" si="24"/>
        <v>0</v>
      </c>
      <c r="AK1417" s="2">
        <f t="shared" si="25"/>
        <v>0</v>
      </c>
      <c r="AL1417" s="2">
        <f t="shared" si="26"/>
        <v>0</v>
      </c>
      <c r="AM1417" s="2">
        <f t="shared" si="27"/>
        <v>0</v>
      </c>
      <c r="AN1417" s="2">
        <f t="shared" si="28"/>
        <v>0</v>
      </c>
      <c r="AO1417" s="2">
        <f t="shared" si="29"/>
      </c>
      <c r="AP1417" s="2">
        <f t="shared" si="30"/>
      </c>
      <c r="AQ1417" s="2">
        <f t="shared" si="31"/>
      </c>
    </row>
    <row r="1418">
      <c r="A1418" s="43">
        <f t="shared" si="3"/>
      </c>
      <c r="B1418" s="44" t="n"/>
      <c r="C1418" s="45" t="n"/>
      <c r="D1418" s="46" t="n"/>
      <c r="E1418" s="47" t="n"/>
      <c r="F1418" s="47" t="n"/>
      <c r="G1418" s="48">
        <f t="shared" si="4"/>
      </c>
      <c r="H1418" s="43">
        <f t="shared" si="0"/>
      </c>
      <c r="I1418" s="43">
        <f t="shared" si="5"/>
      </c>
      <c r="J1418" s="43">
        <f t="shared" si="1"/>
      </c>
      <c r="K1418" s="49">
        <f t="shared" si="2"/>
      </c>
      <c r="L1418" s="45" t="n"/>
      <c r="M1418" s="45" t="n"/>
      <c r="N1418" s="45" t="n"/>
      <c r="O1418" s="45" t="n"/>
      <c r="P1418" s="50" t="n"/>
      <c r="R1418" s="2">
        <f t="shared" si="6"/>
        <v>0</v>
      </c>
      <c r="S1418" s="2">
        <f t="shared" si="7"/>
      </c>
      <c r="T1418" s="2">
        <f t="shared" si="8"/>
      </c>
      <c r="U1418" s="2">
        <f t="shared" si="9"/>
      </c>
      <c r="V1418" s="2">
        <f t="shared" si="10"/>
      </c>
      <c r="W1418" s="2">
        <f t="shared" si="11"/>
      </c>
      <c r="X1418" s="2">
        <f t="shared" si="12"/>
      </c>
      <c r="Y1418" s="2">
        <f t="shared" si="13"/>
        <v>0</v>
      </c>
      <c r="Z1418" s="2">
        <f t="shared" si="14"/>
      </c>
      <c r="AA1418" s="2">
        <f t="shared" si="15"/>
        <v>0</v>
      </c>
      <c r="AB1418" s="2">
        <f t="shared" si="16"/>
      </c>
      <c r="AC1418" s="2">
        <f t="shared" si="17"/>
      </c>
      <c r="AD1418" s="2">
        <f t="shared" si="18"/>
      </c>
      <c r="AE1418" s="2">
        <f t="shared" si="19"/>
      </c>
      <c r="AF1418" s="2">
        <f t="shared" si="20"/>
      </c>
      <c r="AG1418" s="2">
        <f t="shared" si="21"/>
      </c>
      <c r="AH1418" s="2">
        <f t="shared" si="22"/>
      </c>
      <c r="AI1418" s="2">
        <f t="shared" si="23"/>
      </c>
      <c r="AJ1418" s="2">
        <f t="shared" si="24"/>
        <v>0</v>
      </c>
      <c r="AK1418" s="2">
        <f t="shared" si="25"/>
        <v>0</v>
      </c>
      <c r="AL1418" s="2">
        <f t="shared" si="26"/>
        <v>0</v>
      </c>
      <c r="AM1418" s="2">
        <f t="shared" si="27"/>
        <v>0</v>
      </c>
      <c r="AN1418" s="2">
        <f t="shared" si="28"/>
        <v>0</v>
      </c>
      <c r="AO1418" s="2">
        <f t="shared" si="29"/>
      </c>
      <c r="AP1418" s="2">
        <f t="shared" si="30"/>
      </c>
      <c r="AQ1418" s="2">
        <f t="shared" si="31"/>
      </c>
    </row>
    <row r="1419">
      <c r="A1419" s="43">
        <f t="shared" si="3"/>
      </c>
      <c r="B1419" s="44" t="n"/>
      <c r="C1419" s="45" t="n"/>
      <c r="D1419" s="46" t="n"/>
      <c r="E1419" s="47" t="n"/>
      <c r="F1419" s="47" t="n"/>
      <c r="G1419" s="48">
        <f t="shared" si="4"/>
      </c>
      <c r="H1419" s="43">
        <f t="shared" si="0"/>
      </c>
      <c r="I1419" s="43">
        <f t="shared" si="5"/>
      </c>
      <c r="J1419" s="43">
        <f t="shared" si="1"/>
      </c>
      <c r="K1419" s="49">
        <f t="shared" si="2"/>
      </c>
      <c r="L1419" s="45" t="n"/>
      <c r="M1419" s="45" t="n"/>
      <c r="N1419" s="45" t="n"/>
      <c r="O1419" s="45" t="n"/>
      <c r="P1419" s="50" t="n"/>
      <c r="R1419" s="2">
        <f t="shared" si="6"/>
        <v>0</v>
      </c>
      <c r="S1419" s="2">
        <f t="shared" si="7"/>
      </c>
      <c r="T1419" s="2">
        <f t="shared" si="8"/>
      </c>
      <c r="U1419" s="2">
        <f t="shared" si="9"/>
      </c>
      <c r="V1419" s="2">
        <f t="shared" si="10"/>
      </c>
      <c r="W1419" s="2">
        <f t="shared" si="11"/>
      </c>
      <c r="X1419" s="2">
        <f t="shared" si="12"/>
      </c>
      <c r="Y1419" s="2">
        <f t="shared" si="13"/>
        <v>0</v>
      </c>
      <c r="Z1419" s="2">
        <f t="shared" si="14"/>
      </c>
      <c r="AA1419" s="2">
        <f t="shared" si="15"/>
        <v>0</v>
      </c>
      <c r="AB1419" s="2">
        <f t="shared" si="16"/>
      </c>
      <c r="AC1419" s="2">
        <f t="shared" si="17"/>
      </c>
      <c r="AD1419" s="2">
        <f t="shared" si="18"/>
      </c>
      <c r="AE1419" s="2">
        <f t="shared" si="19"/>
      </c>
      <c r="AF1419" s="2">
        <f t="shared" si="20"/>
      </c>
      <c r="AG1419" s="2">
        <f t="shared" si="21"/>
      </c>
      <c r="AH1419" s="2">
        <f t="shared" si="22"/>
      </c>
      <c r="AI1419" s="2">
        <f t="shared" si="23"/>
      </c>
      <c r="AJ1419" s="2">
        <f t="shared" si="24"/>
        <v>0</v>
      </c>
      <c r="AK1419" s="2">
        <f t="shared" si="25"/>
        <v>0</v>
      </c>
      <c r="AL1419" s="2">
        <f t="shared" si="26"/>
        <v>0</v>
      </c>
      <c r="AM1419" s="2">
        <f t="shared" si="27"/>
        <v>0</v>
      </c>
      <c r="AN1419" s="2">
        <f t="shared" si="28"/>
        <v>0</v>
      </c>
      <c r="AO1419" s="2">
        <f t="shared" si="29"/>
      </c>
      <c r="AP1419" s="2">
        <f t="shared" si="30"/>
      </c>
      <c r="AQ1419" s="2">
        <f t="shared" si="31"/>
      </c>
    </row>
    <row r="1420">
      <c r="A1420" s="43">
        <f t="shared" si="3"/>
      </c>
      <c r="B1420" s="44" t="n"/>
      <c r="C1420" s="45" t="n"/>
      <c r="D1420" s="46" t="n"/>
      <c r="E1420" s="47" t="n"/>
      <c r="F1420" s="47" t="n"/>
      <c r="G1420" s="48">
        <f t="shared" si="4"/>
      </c>
      <c r="H1420" s="43">
        <f t="shared" si="0"/>
      </c>
      <c r="I1420" s="43">
        <f t="shared" si="5"/>
      </c>
      <c r="J1420" s="43">
        <f t="shared" si="1"/>
      </c>
      <c r="K1420" s="49">
        <f t="shared" si="2"/>
      </c>
      <c r="L1420" s="45" t="n"/>
      <c r="M1420" s="45" t="n"/>
      <c r="N1420" s="45" t="n"/>
      <c r="O1420" s="45" t="n"/>
      <c r="P1420" s="50" t="n"/>
      <c r="R1420" s="2">
        <f t="shared" si="6"/>
        <v>0</v>
      </c>
      <c r="S1420" s="2">
        <f t="shared" si="7"/>
      </c>
      <c r="T1420" s="2">
        <f t="shared" si="8"/>
      </c>
      <c r="U1420" s="2">
        <f t="shared" si="9"/>
      </c>
      <c r="V1420" s="2">
        <f t="shared" si="10"/>
      </c>
      <c r="W1420" s="2">
        <f t="shared" si="11"/>
      </c>
      <c r="X1420" s="2">
        <f t="shared" si="12"/>
      </c>
      <c r="Y1420" s="2">
        <f t="shared" si="13"/>
        <v>0</v>
      </c>
      <c r="Z1420" s="2">
        <f t="shared" si="14"/>
      </c>
      <c r="AA1420" s="2">
        <f t="shared" si="15"/>
        <v>0</v>
      </c>
      <c r="AB1420" s="2">
        <f t="shared" si="16"/>
      </c>
      <c r="AC1420" s="2">
        <f t="shared" si="17"/>
      </c>
      <c r="AD1420" s="2">
        <f t="shared" si="18"/>
      </c>
      <c r="AE1420" s="2">
        <f t="shared" si="19"/>
      </c>
      <c r="AF1420" s="2">
        <f t="shared" si="20"/>
      </c>
      <c r="AG1420" s="2">
        <f t="shared" si="21"/>
      </c>
      <c r="AH1420" s="2">
        <f t="shared" si="22"/>
      </c>
      <c r="AI1420" s="2">
        <f t="shared" si="23"/>
      </c>
      <c r="AJ1420" s="2">
        <f t="shared" si="24"/>
        <v>0</v>
      </c>
      <c r="AK1420" s="2">
        <f t="shared" si="25"/>
        <v>0</v>
      </c>
      <c r="AL1420" s="2">
        <f t="shared" si="26"/>
        <v>0</v>
      </c>
      <c r="AM1420" s="2">
        <f t="shared" si="27"/>
        <v>0</v>
      </c>
      <c r="AN1420" s="2">
        <f t="shared" si="28"/>
        <v>0</v>
      </c>
      <c r="AO1420" s="2">
        <f t="shared" si="29"/>
      </c>
      <c r="AP1420" s="2">
        <f t="shared" si="30"/>
      </c>
      <c r="AQ1420" s="2">
        <f t="shared" si="31"/>
      </c>
    </row>
    <row r="1421">
      <c r="A1421" s="43">
        <f t="shared" si="3"/>
      </c>
      <c r="B1421" s="44" t="n"/>
      <c r="C1421" s="45" t="n"/>
      <c r="D1421" s="46" t="n"/>
      <c r="E1421" s="47" t="n"/>
      <c r="F1421" s="47" t="n"/>
      <c r="G1421" s="48">
        <f t="shared" si="4"/>
      </c>
      <c r="H1421" s="43">
        <f t="shared" si="0"/>
      </c>
      <c r="I1421" s="43">
        <f t="shared" si="5"/>
      </c>
      <c r="J1421" s="43">
        <f t="shared" si="1"/>
      </c>
      <c r="K1421" s="49">
        <f t="shared" si="2"/>
      </c>
      <c r="L1421" s="45" t="n"/>
      <c r="M1421" s="45" t="n"/>
      <c r="N1421" s="45" t="n"/>
      <c r="O1421" s="45" t="n"/>
      <c r="P1421" s="50" t="n"/>
      <c r="R1421" s="2">
        <f t="shared" si="6"/>
        <v>0</v>
      </c>
      <c r="S1421" s="2">
        <f t="shared" si="7"/>
      </c>
      <c r="T1421" s="2">
        <f t="shared" si="8"/>
      </c>
      <c r="U1421" s="2">
        <f t="shared" si="9"/>
      </c>
      <c r="V1421" s="2">
        <f t="shared" si="10"/>
      </c>
      <c r="W1421" s="2">
        <f t="shared" si="11"/>
      </c>
      <c r="X1421" s="2">
        <f t="shared" si="12"/>
      </c>
      <c r="Y1421" s="2">
        <f t="shared" si="13"/>
        <v>0</v>
      </c>
      <c r="Z1421" s="2">
        <f t="shared" si="14"/>
      </c>
      <c r="AA1421" s="2">
        <f t="shared" si="15"/>
        <v>0</v>
      </c>
      <c r="AB1421" s="2">
        <f t="shared" si="16"/>
      </c>
      <c r="AC1421" s="2">
        <f t="shared" si="17"/>
      </c>
      <c r="AD1421" s="2">
        <f t="shared" si="18"/>
      </c>
      <c r="AE1421" s="2">
        <f t="shared" si="19"/>
      </c>
      <c r="AF1421" s="2">
        <f t="shared" si="20"/>
      </c>
      <c r="AG1421" s="2">
        <f t="shared" si="21"/>
      </c>
      <c r="AH1421" s="2">
        <f t="shared" si="22"/>
      </c>
      <c r="AI1421" s="2">
        <f t="shared" si="23"/>
      </c>
      <c r="AJ1421" s="2">
        <f t="shared" si="24"/>
        <v>0</v>
      </c>
      <c r="AK1421" s="2">
        <f t="shared" si="25"/>
        <v>0</v>
      </c>
      <c r="AL1421" s="2">
        <f t="shared" si="26"/>
        <v>0</v>
      </c>
      <c r="AM1421" s="2">
        <f t="shared" si="27"/>
        <v>0</v>
      </c>
      <c r="AN1421" s="2">
        <f t="shared" si="28"/>
        <v>0</v>
      </c>
      <c r="AO1421" s="2">
        <f t="shared" si="29"/>
      </c>
      <c r="AP1421" s="2">
        <f t="shared" si="30"/>
      </c>
      <c r="AQ1421" s="2">
        <f t="shared" si="31"/>
      </c>
    </row>
    <row r="1422">
      <c r="A1422" s="43">
        <f t="shared" si="3"/>
      </c>
      <c r="B1422" s="44" t="n"/>
      <c r="C1422" s="45" t="n"/>
      <c r="D1422" s="46" t="n"/>
      <c r="E1422" s="47" t="n"/>
      <c r="F1422" s="47" t="n"/>
      <c r="G1422" s="48">
        <f t="shared" si="4"/>
      </c>
      <c r="H1422" s="43">
        <f t="shared" si="0"/>
      </c>
      <c r="I1422" s="43">
        <f t="shared" si="5"/>
      </c>
      <c r="J1422" s="43">
        <f t="shared" si="1"/>
      </c>
      <c r="K1422" s="49">
        <f t="shared" si="2"/>
      </c>
      <c r="L1422" s="45" t="n"/>
      <c r="M1422" s="45" t="n"/>
      <c r="N1422" s="45" t="n"/>
      <c r="O1422" s="45" t="n"/>
      <c r="P1422" s="50" t="n"/>
      <c r="R1422" s="2">
        <f t="shared" si="6"/>
        <v>0</v>
      </c>
      <c r="S1422" s="2">
        <f t="shared" si="7"/>
      </c>
      <c r="T1422" s="2">
        <f t="shared" si="8"/>
      </c>
      <c r="U1422" s="2">
        <f t="shared" si="9"/>
      </c>
      <c r="V1422" s="2">
        <f t="shared" si="10"/>
      </c>
      <c r="W1422" s="2">
        <f t="shared" si="11"/>
      </c>
      <c r="X1422" s="2">
        <f t="shared" si="12"/>
      </c>
      <c r="Y1422" s="2">
        <f t="shared" si="13"/>
        <v>0</v>
      </c>
      <c r="Z1422" s="2">
        <f t="shared" si="14"/>
      </c>
      <c r="AA1422" s="2">
        <f t="shared" si="15"/>
        <v>0</v>
      </c>
      <c r="AB1422" s="2">
        <f t="shared" si="16"/>
      </c>
      <c r="AC1422" s="2">
        <f t="shared" si="17"/>
      </c>
      <c r="AD1422" s="2">
        <f t="shared" si="18"/>
      </c>
      <c r="AE1422" s="2">
        <f t="shared" si="19"/>
      </c>
      <c r="AF1422" s="2">
        <f t="shared" si="20"/>
      </c>
      <c r="AG1422" s="2">
        <f t="shared" si="21"/>
      </c>
      <c r="AH1422" s="2">
        <f t="shared" si="22"/>
      </c>
      <c r="AI1422" s="2">
        <f t="shared" si="23"/>
      </c>
      <c r="AJ1422" s="2">
        <f t="shared" si="24"/>
        <v>0</v>
      </c>
      <c r="AK1422" s="2">
        <f t="shared" si="25"/>
        <v>0</v>
      </c>
      <c r="AL1422" s="2">
        <f t="shared" si="26"/>
        <v>0</v>
      </c>
      <c r="AM1422" s="2">
        <f t="shared" si="27"/>
        <v>0</v>
      </c>
      <c r="AN1422" s="2">
        <f t="shared" si="28"/>
        <v>0</v>
      </c>
      <c r="AO1422" s="2">
        <f t="shared" si="29"/>
      </c>
      <c r="AP1422" s="2">
        <f t="shared" si="30"/>
      </c>
      <c r="AQ1422" s="2">
        <f t="shared" si="31"/>
      </c>
    </row>
    <row r="1423">
      <c r="A1423" s="43">
        <f t="shared" si="3"/>
      </c>
      <c r="B1423" s="44" t="n"/>
      <c r="C1423" s="45" t="n"/>
      <c r="D1423" s="46" t="n"/>
      <c r="E1423" s="47" t="n"/>
      <c r="F1423" s="47" t="n"/>
      <c r="G1423" s="48">
        <f t="shared" si="4"/>
      </c>
      <c r="H1423" s="43">
        <f t="shared" si="0"/>
      </c>
      <c r="I1423" s="43">
        <f t="shared" si="5"/>
      </c>
      <c r="J1423" s="43">
        <f t="shared" si="1"/>
      </c>
      <c r="K1423" s="49">
        <f t="shared" si="2"/>
      </c>
      <c r="L1423" s="45" t="n"/>
      <c r="M1423" s="45" t="n"/>
      <c r="N1423" s="45" t="n"/>
      <c r="O1423" s="45" t="n"/>
      <c r="P1423" s="50" t="n"/>
      <c r="R1423" s="2">
        <f t="shared" si="6"/>
        <v>0</v>
      </c>
      <c r="S1423" s="2">
        <f t="shared" si="7"/>
      </c>
      <c r="T1423" s="2">
        <f t="shared" si="8"/>
      </c>
      <c r="U1423" s="2">
        <f t="shared" si="9"/>
      </c>
      <c r="V1423" s="2">
        <f t="shared" si="10"/>
      </c>
      <c r="W1423" s="2">
        <f t="shared" si="11"/>
      </c>
      <c r="X1423" s="2">
        <f t="shared" si="12"/>
      </c>
      <c r="Y1423" s="2">
        <f t="shared" si="13"/>
        <v>0</v>
      </c>
      <c r="Z1423" s="2">
        <f t="shared" si="14"/>
      </c>
      <c r="AA1423" s="2">
        <f t="shared" si="15"/>
        <v>0</v>
      </c>
      <c r="AB1423" s="2">
        <f t="shared" si="16"/>
      </c>
      <c r="AC1423" s="2">
        <f t="shared" si="17"/>
      </c>
      <c r="AD1423" s="2">
        <f t="shared" si="18"/>
      </c>
      <c r="AE1423" s="2">
        <f t="shared" si="19"/>
      </c>
      <c r="AF1423" s="2">
        <f t="shared" si="20"/>
      </c>
      <c r="AG1423" s="2">
        <f t="shared" si="21"/>
      </c>
      <c r="AH1423" s="2">
        <f t="shared" si="22"/>
      </c>
      <c r="AI1423" s="2">
        <f t="shared" si="23"/>
      </c>
      <c r="AJ1423" s="2">
        <f t="shared" si="24"/>
        <v>0</v>
      </c>
      <c r="AK1423" s="2">
        <f t="shared" si="25"/>
        <v>0</v>
      </c>
      <c r="AL1423" s="2">
        <f t="shared" si="26"/>
        <v>0</v>
      </c>
      <c r="AM1423" s="2">
        <f t="shared" si="27"/>
        <v>0</v>
      </c>
      <c r="AN1423" s="2">
        <f t="shared" si="28"/>
        <v>0</v>
      </c>
      <c r="AO1423" s="2">
        <f t="shared" si="29"/>
      </c>
      <c r="AP1423" s="2">
        <f t="shared" si="30"/>
      </c>
      <c r="AQ1423" s="2">
        <f t="shared" si="31"/>
      </c>
    </row>
    <row r="1424">
      <c r="A1424" s="43">
        <f t="shared" si="3"/>
      </c>
      <c r="B1424" s="44" t="n"/>
      <c r="C1424" s="45" t="n"/>
      <c r="D1424" s="46" t="n"/>
      <c r="E1424" s="47" t="n"/>
      <c r="F1424" s="47" t="n"/>
      <c r="G1424" s="48">
        <f t="shared" si="4"/>
      </c>
      <c r="H1424" s="43">
        <f t="shared" si="0"/>
      </c>
      <c r="I1424" s="43">
        <f t="shared" si="5"/>
      </c>
      <c r="J1424" s="43">
        <f t="shared" si="1"/>
      </c>
      <c r="K1424" s="49">
        <f t="shared" si="2"/>
      </c>
      <c r="L1424" s="45" t="n"/>
      <c r="M1424" s="45" t="n"/>
      <c r="N1424" s="45" t="n"/>
      <c r="O1424" s="45" t="n"/>
      <c r="P1424" s="50" t="n"/>
      <c r="R1424" s="2">
        <f t="shared" si="6"/>
        <v>0</v>
      </c>
      <c r="S1424" s="2">
        <f t="shared" si="7"/>
      </c>
      <c r="T1424" s="2">
        <f t="shared" si="8"/>
      </c>
      <c r="U1424" s="2">
        <f t="shared" si="9"/>
      </c>
      <c r="V1424" s="2">
        <f t="shared" si="10"/>
      </c>
      <c r="W1424" s="2">
        <f t="shared" si="11"/>
      </c>
      <c r="X1424" s="2">
        <f t="shared" si="12"/>
      </c>
      <c r="Y1424" s="2">
        <f t="shared" si="13"/>
        <v>0</v>
      </c>
      <c r="Z1424" s="2">
        <f t="shared" si="14"/>
      </c>
      <c r="AA1424" s="2">
        <f t="shared" si="15"/>
        <v>0</v>
      </c>
      <c r="AB1424" s="2">
        <f t="shared" si="16"/>
      </c>
      <c r="AC1424" s="2">
        <f t="shared" si="17"/>
      </c>
      <c r="AD1424" s="2">
        <f t="shared" si="18"/>
      </c>
      <c r="AE1424" s="2">
        <f t="shared" si="19"/>
      </c>
      <c r="AF1424" s="2">
        <f t="shared" si="20"/>
      </c>
      <c r="AG1424" s="2">
        <f t="shared" si="21"/>
      </c>
      <c r="AH1424" s="2">
        <f t="shared" si="22"/>
      </c>
      <c r="AI1424" s="2">
        <f t="shared" si="23"/>
      </c>
      <c r="AJ1424" s="2">
        <f t="shared" si="24"/>
        <v>0</v>
      </c>
      <c r="AK1424" s="2">
        <f t="shared" si="25"/>
        <v>0</v>
      </c>
      <c r="AL1424" s="2">
        <f t="shared" si="26"/>
        <v>0</v>
      </c>
      <c r="AM1424" s="2">
        <f t="shared" si="27"/>
        <v>0</v>
      </c>
      <c r="AN1424" s="2">
        <f t="shared" si="28"/>
        <v>0</v>
      </c>
      <c r="AO1424" s="2">
        <f t="shared" si="29"/>
      </c>
      <c r="AP1424" s="2">
        <f t="shared" si="30"/>
      </c>
      <c r="AQ1424" s="2">
        <f t="shared" si="31"/>
      </c>
    </row>
    <row r="1425">
      <c r="A1425" s="43">
        <f t="shared" si="3"/>
      </c>
      <c r="B1425" s="44" t="n"/>
      <c r="C1425" s="45" t="n"/>
      <c r="D1425" s="46" t="n"/>
      <c r="E1425" s="47" t="n"/>
      <c r="F1425" s="47" t="n"/>
      <c r="G1425" s="48">
        <f t="shared" si="4"/>
      </c>
      <c r="H1425" s="43">
        <f t="shared" si="0"/>
      </c>
      <c r="I1425" s="43">
        <f t="shared" si="5"/>
      </c>
      <c r="J1425" s="43">
        <f t="shared" si="1"/>
      </c>
      <c r="K1425" s="49">
        <f t="shared" si="2"/>
      </c>
      <c r="L1425" s="45" t="n"/>
      <c r="M1425" s="45" t="n"/>
      <c r="N1425" s="45" t="n"/>
      <c r="O1425" s="45" t="n"/>
      <c r="P1425" s="50" t="n"/>
      <c r="R1425" s="2">
        <f t="shared" si="6"/>
        <v>0</v>
      </c>
      <c r="S1425" s="2">
        <f t="shared" si="7"/>
      </c>
      <c r="T1425" s="2">
        <f t="shared" si="8"/>
      </c>
      <c r="U1425" s="2">
        <f t="shared" si="9"/>
      </c>
      <c r="V1425" s="2">
        <f t="shared" si="10"/>
      </c>
      <c r="W1425" s="2">
        <f t="shared" si="11"/>
      </c>
      <c r="X1425" s="2">
        <f t="shared" si="12"/>
      </c>
      <c r="Y1425" s="2">
        <f t="shared" si="13"/>
        <v>0</v>
      </c>
      <c r="Z1425" s="2">
        <f t="shared" si="14"/>
      </c>
      <c r="AA1425" s="2">
        <f t="shared" si="15"/>
        <v>0</v>
      </c>
      <c r="AB1425" s="2">
        <f t="shared" si="16"/>
      </c>
      <c r="AC1425" s="2">
        <f t="shared" si="17"/>
      </c>
      <c r="AD1425" s="2">
        <f t="shared" si="18"/>
      </c>
      <c r="AE1425" s="2">
        <f t="shared" si="19"/>
      </c>
      <c r="AF1425" s="2">
        <f t="shared" si="20"/>
      </c>
      <c r="AG1425" s="2">
        <f t="shared" si="21"/>
      </c>
      <c r="AH1425" s="2">
        <f t="shared" si="22"/>
      </c>
      <c r="AI1425" s="2">
        <f t="shared" si="23"/>
      </c>
      <c r="AJ1425" s="2">
        <f t="shared" si="24"/>
        <v>0</v>
      </c>
      <c r="AK1425" s="2">
        <f t="shared" si="25"/>
        <v>0</v>
      </c>
      <c r="AL1425" s="2">
        <f t="shared" si="26"/>
        <v>0</v>
      </c>
      <c r="AM1425" s="2">
        <f t="shared" si="27"/>
        <v>0</v>
      </c>
      <c r="AN1425" s="2">
        <f t="shared" si="28"/>
        <v>0</v>
      </c>
      <c r="AO1425" s="2">
        <f t="shared" si="29"/>
      </c>
      <c r="AP1425" s="2">
        <f t="shared" si="30"/>
      </c>
      <c r="AQ1425" s="2">
        <f t="shared" si="31"/>
      </c>
    </row>
    <row r="1426">
      <c r="A1426" s="43">
        <f t="shared" si="3"/>
      </c>
      <c r="B1426" s="44" t="n"/>
      <c r="C1426" s="45" t="n"/>
      <c r="D1426" s="46" t="n"/>
      <c r="E1426" s="47" t="n"/>
      <c r="F1426" s="47" t="n"/>
      <c r="G1426" s="48">
        <f t="shared" si="4"/>
      </c>
      <c r="H1426" s="43">
        <f t="shared" si="0"/>
      </c>
      <c r="I1426" s="43">
        <f t="shared" si="5"/>
      </c>
      <c r="J1426" s="43">
        <f t="shared" si="1"/>
      </c>
      <c r="K1426" s="49">
        <f t="shared" si="2"/>
      </c>
      <c r="L1426" s="45" t="n"/>
      <c r="M1426" s="45" t="n"/>
      <c r="N1426" s="45" t="n"/>
      <c r="O1426" s="45" t="n"/>
      <c r="P1426" s="50" t="n"/>
      <c r="R1426" s="2">
        <f t="shared" si="6"/>
        <v>0</v>
      </c>
      <c r="S1426" s="2">
        <f t="shared" si="7"/>
      </c>
      <c r="T1426" s="2">
        <f t="shared" si="8"/>
      </c>
      <c r="U1426" s="2">
        <f t="shared" si="9"/>
      </c>
      <c r="V1426" s="2">
        <f t="shared" si="10"/>
      </c>
      <c r="W1426" s="2">
        <f t="shared" si="11"/>
      </c>
      <c r="X1426" s="2">
        <f t="shared" si="12"/>
      </c>
      <c r="Y1426" s="2">
        <f t="shared" si="13"/>
        <v>0</v>
      </c>
      <c r="Z1426" s="2">
        <f t="shared" si="14"/>
      </c>
      <c r="AA1426" s="2">
        <f t="shared" si="15"/>
        <v>0</v>
      </c>
      <c r="AB1426" s="2">
        <f t="shared" si="16"/>
      </c>
      <c r="AC1426" s="2">
        <f t="shared" si="17"/>
      </c>
      <c r="AD1426" s="2">
        <f t="shared" si="18"/>
      </c>
      <c r="AE1426" s="2">
        <f t="shared" si="19"/>
      </c>
      <c r="AF1426" s="2">
        <f t="shared" si="20"/>
      </c>
      <c r="AG1426" s="2">
        <f t="shared" si="21"/>
      </c>
      <c r="AH1426" s="2">
        <f t="shared" si="22"/>
      </c>
      <c r="AI1426" s="2">
        <f t="shared" si="23"/>
      </c>
      <c r="AJ1426" s="2">
        <f t="shared" si="24"/>
        <v>0</v>
      </c>
      <c r="AK1426" s="2">
        <f t="shared" si="25"/>
        <v>0</v>
      </c>
      <c r="AL1426" s="2">
        <f t="shared" si="26"/>
        <v>0</v>
      </c>
      <c r="AM1426" s="2">
        <f t="shared" si="27"/>
        <v>0</v>
      </c>
      <c r="AN1426" s="2">
        <f t="shared" si="28"/>
        <v>0</v>
      </c>
      <c r="AO1426" s="2">
        <f t="shared" si="29"/>
      </c>
      <c r="AP1426" s="2">
        <f t="shared" si="30"/>
      </c>
      <c r="AQ1426" s="2">
        <f t="shared" si="31"/>
      </c>
    </row>
    <row r="1427">
      <c r="A1427" s="43">
        <f t="shared" si="3"/>
      </c>
      <c r="B1427" s="44" t="n"/>
      <c r="C1427" s="45" t="n"/>
      <c r="D1427" s="46" t="n"/>
      <c r="E1427" s="47" t="n"/>
      <c r="F1427" s="47" t="n"/>
      <c r="G1427" s="48">
        <f t="shared" si="4"/>
      </c>
      <c r="H1427" s="43">
        <f t="shared" si="0"/>
      </c>
      <c r="I1427" s="43">
        <f t="shared" si="5"/>
      </c>
      <c r="J1427" s="43">
        <f t="shared" si="1"/>
      </c>
      <c r="K1427" s="49">
        <f t="shared" si="2"/>
      </c>
      <c r="L1427" s="45" t="n"/>
      <c r="M1427" s="45" t="n"/>
      <c r="N1427" s="45" t="n"/>
      <c r="O1427" s="45" t="n"/>
      <c r="P1427" s="50" t="n"/>
      <c r="R1427" s="2">
        <f t="shared" si="6"/>
        <v>0</v>
      </c>
      <c r="S1427" s="2">
        <f t="shared" si="7"/>
      </c>
      <c r="T1427" s="2">
        <f t="shared" si="8"/>
      </c>
      <c r="U1427" s="2">
        <f t="shared" si="9"/>
      </c>
      <c r="V1427" s="2">
        <f t="shared" si="10"/>
      </c>
      <c r="W1427" s="2">
        <f t="shared" si="11"/>
      </c>
      <c r="X1427" s="2">
        <f t="shared" si="12"/>
      </c>
      <c r="Y1427" s="2">
        <f t="shared" si="13"/>
        <v>0</v>
      </c>
      <c r="Z1427" s="2">
        <f t="shared" si="14"/>
      </c>
      <c r="AA1427" s="2">
        <f t="shared" si="15"/>
        <v>0</v>
      </c>
      <c r="AB1427" s="2">
        <f t="shared" si="16"/>
      </c>
      <c r="AC1427" s="2">
        <f t="shared" si="17"/>
      </c>
      <c r="AD1427" s="2">
        <f t="shared" si="18"/>
      </c>
      <c r="AE1427" s="2">
        <f t="shared" si="19"/>
      </c>
      <c r="AF1427" s="2">
        <f t="shared" si="20"/>
      </c>
      <c r="AG1427" s="2">
        <f t="shared" si="21"/>
      </c>
      <c r="AH1427" s="2">
        <f t="shared" si="22"/>
      </c>
      <c r="AI1427" s="2">
        <f t="shared" si="23"/>
      </c>
      <c r="AJ1427" s="2">
        <f t="shared" si="24"/>
        <v>0</v>
      </c>
      <c r="AK1427" s="2">
        <f t="shared" si="25"/>
        <v>0</v>
      </c>
      <c r="AL1427" s="2">
        <f t="shared" si="26"/>
        <v>0</v>
      </c>
      <c r="AM1427" s="2">
        <f t="shared" si="27"/>
        <v>0</v>
      </c>
      <c r="AN1427" s="2">
        <f t="shared" si="28"/>
        <v>0</v>
      </c>
      <c r="AO1427" s="2">
        <f t="shared" si="29"/>
      </c>
      <c r="AP1427" s="2">
        <f t="shared" si="30"/>
      </c>
      <c r="AQ1427" s="2">
        <f t="shared" si="31"/>
      </c>
    </row>
    <row r="1428">
      <c r="A1428" s="43">
        <f t="shared" si="3"/>
      </c>
      <c r="B1428" s="44" t="n"/>
      <c r="C1428" s="45" t="n"/>
      <c r="D1428" s="46" t="n"/>
      <c r="E1428" s="47" t="n"/>
      <c r="F1428" s="47" t="n"/>
      <c r="G1428" s="48">
        <f t="shared" si="4"/>
      </c>
      <c r="H1428" s="43">
        <f t="shared" si="0"/>
      </c>
      <c r="I1428" s="43">
        <f t="shared" si="5"/>
      </c>
      <c r="J1428" s="43">
        <f t="shared" si="1"/>
      </c>
      <c r="K1428" s="49">
        <f t="shared" si="2"/>
      </c>
      <c r="L1428" s="45" t="n"/>
      <c r="M1428" s="45" t="n"/>
      <c r="N1428" s="45" t="n"/>
      <c r="O1428" s="45" t="n"/>
      <c r="P1428" s="50" t="n"/>
      <c r="R1428" s="2">
        <f t="shared" si="6"/>
        <v>0</v>
      </c>
      <c r="S1428" s="2">
        <f t="shared" si="7"/>
      </c>
      <c r="T1428" s="2">
        <f t="shared" si="8"/>
      </c>
      <c r="U1428" s="2">
        <f t="shared" si="9"/>
      </c>
      <c r="V1428" s="2">
        <f t="shared" si="10"/>
      </c>
      <c r="W1428" s="2">
        <f t="shared" si="11"/>
      </c>
      <c r="X1428" s="2">
        <f t="shared" si="12"/>
      </c>
      <c r="Y1428" s="2">
        <f t="shared" si="13"/>
        <v>0</v>
      </c>
      <c r="Z1428" s="2">
        <f t="shared" si="14"/>
      </c>
      <c r="AA1428" s="2">
        <f t="shared" si="15"/>
        <v>0</v>
      </c>
      <c r="AB1428" s="2">
        <f t="shared" si="16"/>
      </c>
      <c r="AC1428" s="2">
        <f t="shared" si="17"/>
      </c>
      <c r="AD1428" s="2">
        <f t="shared" si="18"/>
      </c>
      <c r="AE1428" s="2">
        <f t="shared" si="19"/>
      </c>
      <c r="AF1428" s="2">
        <f t="shared" si="20"/>
      </c>
      <c r="AG1428" s="2">
        <f t="shared" si="21"/>
      </c>
      <c r="AH1428" s="2">
        <f t="shared" si="22"/>
      </c>
      <c r="AI1428" s="2">
        <f t="shared" si="23"/>
      </c>
      <c r="AJ1428" s="2">
        <f t="shared" si="24"/>
        <v>0</v>
      </c>
      <c r="AK1428" s="2">
        <f t="shared" si="25"/>
        <v>0</v>
      </c>
      <c r="AL1428" s="2">
        <f t="shared" si="26"/>
        <v>0</v>
      </c>
      <c r="AM1428" s="2">
        <f t="shared" si="27"/>
        <v>0</v>
      </c>
      <c r="AN1428" s="2">
        <f t="shared" si="28"/>
        <v>0</v>
      </c>
      <c r="AO1428" s="2">
        <f t="shared" si="29"/>
      </c>
      <c r="AP1428" s="2">
        <f t="shared" si="30"/>
      </c>
      <c r="AQ1428" s="2">
        <f t="shared" si="31"/>
      </c>
    </row>
    <row r="1429">
      <c r="A1429" s="43">
        <f t="shared" si="3"/>
      </c>
      <c r="B1429" s="44" t="n"/>
      <c r="C1429" s="45" t="n"/>
      <c r="D1429" s="46" t="n"/>
      <c r="E1429" s="47" t="n"/>
      <c r="F1429" s="47" t="n"/>
      <c r="G1429" s="48">
        <f t="shared" si="4"/>
      </c>
      <c r="H1429" s="43">
        <f t="shared" si="0"/>
      </c>
      <c r="I1429" s="43">
        <f t="shared" si="5"/>
      </c>
      <c r="J1429" s="43">
        <f t="shared" si="1"/>
      </c>
      <c r="K1429" s="49">
        <f t="shared" si="2"/>
      </c>
      <c r="L1429" s="45" t="n"/>
      <c r="M1429" s="45" t="n"/>
      <c r="N1429" s="45" t="n"/>
      <c r="O1429" s="45" t="n"/>
      <c r="P1429" s="50" t="n"/>
      <c r="R1429" s="2">
        <f t="shared" si="6"/>
        <v>0</v>
      </c>
      <c r="S1429" s="2">
        <f t="shared" si="7"/>
      </c>
      <c r="T1429" s="2">
        <f t="shared" si="8"/>
      </c>
      <c r="U1429" s="2">
        <f t="shared" si="9"/>
      </c>
      <c r="V1429" s="2">
        <f t="shared" si="10"/>
      </c>
      <c r="W1429" s="2">
        <f t="shared" si="11"/>
      </c>
      <c r="X1429" s="2">
        <f t="shared" si="12"/>
      </c>
      <c r="Y1429" s="2">
        <f t="shared" si="13"/>
        <v>0</v>
      </c>
      <c r="Z1429" s="2">
        <f t="shared" si="14"/>
      </c>
      <c r="AA1429" s="2">
        <f t="shared" si="15"/>
        <v>0</v>
      </c>
      <c r="AB1429" s="2">
        <f t="shared" si="16"/>
      </c>
      <c r="AC1429" s="2">
        <f t="shared" si="17"/>
      </c>
      <c r="AD1429" s="2">
        <f t="shared" si="18"/>
      </c>
      <c r="AE1429" s="2">
        <f t="shared" si="19"/>
      </c>
      <c r="AF1429" s="2">
        <f t="shared" si="20"/>
      </c>
      <c r="AG1429" s="2">
        <f t="shared" si="21"/>
      </c>
      <c r="AH1429" s="2">
        <f t="shared" si="22"/>
      </c>
      <c r="AI1429" s="2">
        <f t="shared" si="23"/>
      </c>
      <c r="AJ1429" s="2">
        <f t="shared" si="24"/>
        <v>0</v>
      </c>
      <c r="AK1429" s="2">
        <f t="shared" si="25"/>
        <v>0</v>
      </c>
      <c r="AL1429" s="2">
        <f t="shared" si="26"/>
        <v>0</v>
      </c>
      <c r="AM1429" s="2">
        <f t="shared" si="27"/>
        <v>0</v>
      </c>
      <c r="AN1429" s="2">
        <f t="shared" si="28"/>
        <v>0</v>
      </c>
      <c r="AO1429" s="2">
        <f t="shared" si="29"/>
      </c>
      <c r="AP1429" s="2">
        <f t="shared" si="30"/>
      </c>
      <c r="AQ1429" s="2">
        <f t="shared" si="31"/>
      </c>
    </row>
    <row r="1430">
      <c r="A1430" s="43">
        <f t="shared" si="3"/>
      </c>
      <c r="B1430" s="44" t="n"/>
      <c r="C1430" s="45" t="n"/>
      <c r="D1430" s="46" t="n"/>
      <c r="E1430" s="47" t="n"/>
      <c r="F1430" s="47" t="n"/>
      <c r="G1430" s="48">
        <f t="shared" si="4"/>
      </c>
      <c r="H1430" s="43">
        <f t="shared" si="0"/>
      </c>
      <c r="I1430" s="43">
        <f t="shared" si="5"/>
      </c>
      <c r="J1430" s="43">
        <f t="shared" si="1"/>
      </c>
      <c r="K1430" s="49">
        <f t="shared" si="2"/>
      </c>
      <c r="L1430" s="45" t="n"/>
      <c r="M1430" s="45" t="n"/>
      <c r="N1430" s="45" t="n"/>
      <c r="O1430" s="45" t="n"/>
      <c r="P1430" s="50" t="n"/>
      <c r="R1430" s="2">
        <f t="shared" si="6"/>
        <v>0</v>
      </c>
      <c r="S1430" s="2">
        <f t="shared" si="7"/>
      </c>
      <c r="T1430" s="2">
        <f t="shared" si="8"/>
      </c>
      <c r="U1430" s="2">
        <f t="shared" si="9"/>
      </c>
      <c r="V1430" s="2">
        <f t="shared" si="10"/>
      </c>
      <c r="W1430" s="2">
        <f t="shared" si="11"/>
      </c>
      <c r="X1430" s="2">
        <f t="shared" si="12"/>
      </c>
      <c r="Y1430" s="2">
        <f t="shared" si="13"/>
        <v>0</v>
      </c>
      <c r="Z1430" s="2">
        <f t="shared" si="14"/>
      </c>
      <c r="AA1430" s="2">
        <f t="shared" si="15"/>
        <v>0</v>
      </c>
      <c r="AB1430" s="2">
        <f t="shared" si="16"/>
      </c>
      <c r="AC1430" s="2">
        <f t="shared" si="17"/>
      </c>
      <c r="AD1430" s="2">
        <f t="shared" si="18"/>
      </c>
      <c r="AE1430" s="2">
        <f t="shared" si="19"/>
      </c>
      <c r="AF1430" s="2">
        <f t="shared" si="20"/>
      </c>
      <c r="AG1430" s="2">
        <f t="shared" si="21"/>
      </c>
      <c r="AH1430" s="2">
        <f t="shared" si="22"/>
      </c>
      <c r="AI1430" s="2">
        <f t="shared" si="23"/>
      </c>
      <c r="AJ1430" s="2">
        <f t="shared" si="24"/>
        <v>0</v>
      </c>
      <c r="AK1430" s="2">
        <f t="shared" si="25"/>
        <v>0</v>
      </c>
      <c r="AL1430" s="2">
        <f t="shared" si="26"/>
        <v>0</v>
      </c>
      <c r="AM1430" s="2">
        <f t="shared" si="27"/>
        <v>0</v>
      </c>
      <c r="AN1430" s="2">
        <f t="shared" si="28"/>
        <v>0</v>
      </c>
      <c r="AO1430" s="2">
        <f t="shared" si="29"/>
      </c>
      <c r="AP1430" s="2">
        <f t="shared" si="30"/>
      </c>
      <c r="AQ1430" s="2">
        <f t="shared" si="31"/>
      </c>
    </row>
    <row r="1431">
      <c r="A1431" s="43">
        <f t="shared" si="3"/>
      </c>
      <c r="B1431" s="44" t="n"/>
      <c r="C1431" s="45" t="n"/>
      <c r="D1431" s="46" t="n"/>
      <c r="E1431" s="47" t="n"/>
      <c r="F1431" s="47" t="n"/>
      <c r="G1431" s="48">
        <f t="shared" si="4"/>
      </c>
      <c r="H1431" s="43">
        <f t="shared" si="0"/>
      </c>
      <c r="I1431" s="43">
        <f t="shared" si="5"/>
      </c>
      <c r="J1431" s="43">
        <f t="shared" si="1"/>
      </c>
      <c r="K1431" s="49">
        <f t="shared" si="2"/>
      </c>
      <c r="L1431" s="45" t="n"/>
      <c r="M1431" s="45" t="n"/>
      <c r="N1431" s="45" t="n"/>
      <c r="O1431" s="45" t="n"/>
      <c r="P1431" s="50" t="n"/>
      <c r="R1431" s="2">
        <f t="shared" si="6"/>
        <v>0</v>
      </c>
      <c r="S1431" s="2">
        <f t="shared" si="7"/>
      </c>
      <c r="T1431" s="2">
        <f t="shared" si="8"/>
      </c>
      <c r="U1431" s="2">
        <f t="shared" si="9"/>
      </c>
      <c r="V1431" s="2">
        <f t="shared" si="10"/>
      </c>
      <c r="W1431" s="2">
        <f t="shared" si="11"/>
      </c>
      <c r="X1431" s="2">
        <f t="shared" si="12"/>
      </c>
      <c r="Y1431" s="2">
        <f t="shared" si="13"/>
        <v>0</v>
      </c>
      <c r="Z1431" s="2">
        <f t="shared" si="14"/>
      </c>
      <c r="AA1431" s="2">
        <f t="shared" si="15"/>
        <v>0</v>
      </c>
      <c r="AB1431" s="2">
        <f t="shared" si="16"/>
      </c>
      <c r="AC1431" s="2">
        <f t="shared" si="17"/>
      </c>
      <c r="AD1431" s="2">
        <f t="shared" si="18"/>
      </c>
      <c r="AE1431" s="2">
        <f t="shared" si="19"/>
      </c>
      <c r="AF1431" s="2">
        <f t="shared" si="20"/>
      </c>
      <c r="AG1431" s="2">
        <f t="shared" si="21"/>
      </c>
      <c r="AH1431" s="2">
        <f t="shared" si="22"/>
      </c>
      <c r="AI1431" s="2">
        <f t="shared" si="23"/>
      </c>
      <c r="AJ1431" s="2">
        <f t="shared" si="24"/>
        <v>0</v>
      </c>
      <c r="AK1431" s="2">
        <f t="shared" si="25"/>
        <v>0</v>
      </c>
      <c r="AL1431" s="2">
        <f t="shared" si="26"/>
        <v>0</v>
      </c>
      <c r="AM1431" s="2">
        <f t="shared" si="27"/>
        <v>0</v>
      </c>
      <c r="AN1431" s="2">
        <f t="shared" si="28"/>
        <v>0</v>
      </c>
      <c r="AO1431" s="2">
        <f t="shared" si="29"/>
      </c>
      <c r="AP1431" s="2">
        <f t="shared" si="30"/>
      </c>
      <c r="AQ1431" s="2">
        <f t="shared" si="31"/>
      </c>
    </row>
    <row r="1432">
      <c r="A1432" s="43">
        <f t="shared" si="3"/>
      </c>
      <c r="B1432" s="44" t="n"/>
      <c r="C1432" s="45" t="n"/>
      <c r="D1432" s="46" t="n"/>
      <c r="E1432" s="47" t="n"/>
      <c r="F1432" s="47" t="n"/>
      <c r="G1432" s="48">
        <f t="shared" si="4"/>
      </c>
      <c r="H1432" s="43">
        <f t="shared" si="0"/>
      </c>
      <c r="I1432" s="43">
        <f t="shared" si="5"/>
      </c>
      <c r="J1432" s="43">
        <f t="shared" si="1"/>
      </c>
      <c r="K1432" s="49">
        <f t="shared" si="2"/>
      </c>
      <c r="L1432" s="45" t="n"/>
      <c r="M1432" s="45" t="n"/>
      <c r="N1432" s="45" t="n"/>
      <c r="O1432" s="45" t="n"/>
      <c r="P1432" s="50" t="n"/>
      <c r="R1432" s="2">
        <f t="shared" si="6"/>
        <v>0</v>
      </c>
      <c r="S1432" s="2">
        <f t="shared" si="7"/>
      </c>
      <c r="T1432" s="2">
        <f t="shared" si="8"/>
      </c>
      <c r="U1432" s="2">
        <f t="shared" si="9"/>
      </c>
      <c r="V1432" s="2">
        <f t="shared" si="10"/>
      </c>
      <c r="W1432" s="2">
        <f t="shared" si="11"/>
      </c>
      <c r="X1432" s="2">
        <f t="shared" si="12"/>
      </c>
      <c r="Y1432" s="2">
        <f t="shared" si="13"/>
        <v>0</v>
      </c>
      <c r="Z1432" s="2">
        <f t="shared" si="14"/>
      </c>
      <c r="AA1432" s="2">
        <f t="shared" si="15"/>
        <v>0</v>
      </c>
      <c r="AB1432" s="2">
        <f t="shared" si="16"/>
      </c>
      <c r="AC1432" s="2">
        <f t="shared" si="17"/>
      </c>
      <c r="AD1432" s="2">
        <f t="shared" si="18"/>
      </c>
      <c r="AE1432" s="2">
        <f t="shared" si="19"/>
      </c>
      <c r="AF1432" s="2">
        <f t="shared" si="20"/>
      </c>
      <c r="AG1432" s="2">
        <f t="shared" si="21"/>
      </c>
      <c r="AH1432" s="2">
        <f t="shared" si="22"/>
      </c>
      <c r="AI1432" s="2">
        <f t="shared" si="23"/>
      </c>
      <c r="AJ1432" s="2">
        <f t="shared" si="24"/>
        <v>0</v>
      </c>
      <c r="AK1432" s="2">
        <f t="shared" si="25"/>
        <v>0</v>
      </c>
      <c r="AL1432" s="2">
        <f t="shared" si="26"/>
        <v>0</v>
      </c>
      <c r="AM1432" s="2">
        <f t="shared" si="27"/>
        <v>0</v>
      </c>
      <c r="AN1432" s="2">
        <f t="shared" si="28"/>
        <v>0</v>
      </c>
      <c r="AO1432" s="2">
        <f t="shared" si="29"/>
      </c>
      <c r="AP1432" s="2">
        <f t="shared" si="30"/>
      </c>
      <c r="AQ1432" s="2">
        <f t="shared" si="31"/>
      </c>
    </row>
    <row r="1433">
      <c r="A1433" s="43">
        <f t="shared" si="3"/>
      </c>
      <c r="B1433" s="44" t="n"/>
      <c r="C1433" s="45" t="n"/>
      <c r="D1433" s="46" t="n"/>
      <c r="E1433" s="47" t="n"/>
      <c r="F1433" s="47" t="n"/>
      <c r="G1433" s="48">
        <f t="shared" si="4"/>
      </c>
      <c r="H1433" s="43">
        <f t="shared" si="0"/>
      </c>
      <c r="I1433" s="43">
        <f t="shared" si="5"/>
      </c>
      <c r="J1433" s="43">
        <f t="shared" si="1"/>
      </c>
      <c r="K1433" s="49">
        <f t="shared" si="2"/>
      </c>
      <c r="L1433" s="45" t="n"/>
      <c r="M1433" s="45" t="n"/>
      <c r="N1433" s="45" t="n"/>
      <c r="O1433" s="45" t="n"/>
      <c r="P1433" s="50" t="n"/>
      <c r="R1433" s="2">
        <f t="shared" si="6"/>
        <v>0</v>
      </c>
      <c r="S1433" s="2">
        <f t="shared" si="7"/>
      </c>
      <c r="T1433" s="2">
        <f t="shared" si="8"/>
      </c>
      <c r="U1433" s="2">
        <f t="shared" si="9"/>
      </c>
      <c r="V1433" s="2">
        <f t="shared" si="10"/>
      </c>
      <c r="W1433" s="2">
        <f t="shared" si="11"/>
      </c>
      <c r="X1433" s="2">
        <f t="shared" si="12"/>
      </c>
      <c r="Y1433" s="2">
        <f t="shared" si="13"/>
        <v>0</v>
      </c>
      <c r="Z1433" s="2">
        <f t="shared" si="14"/>
      </c>
      <c r="AA1433" s="2">
        <f t="shared" si="15"/>
        <v>0</v>
      </c>
      <c r="AB1433" s="2">
        <f t="shared" si="16"/>
      </c>
      <c r="AC1433" s="2">
        <f t="shared" si="17"/>
      </c>
      <c r="AD1433" s="2">
        <f t="shared" si="18"/>
      </c>
      <c r="AE1433" s="2">
        <f t="shared" si="19"/>
      </c>
      <c r="AF1433" s="2">
        <f t="shared" si="20"/>
      </c>
      <c r="AG1433" s="2">
        <f t="shared" si="21"/>
      </c>
      <c r="AH1433" s="2">
        <f t="shared" si="22"/>
      </c>
      <c r="AI1433" s="2">
        <f t="shared" si="23"/>
      </c>
      <c r="AJ1433" s="2">
        <f t="shared" si="24"/>
        <v>0</v>
      </c>
      <c r="AK1433" s="2">
        <f t="shared" si="25"/>
        <v>0</v>
      </c>
      <c r="AL1433" s="2">
        <f t="shared" si="26"/>
        <v>0</v>
      </c>
      <c r="AM1433" s="2">
        <f t="shared" si="27"/>
        <v>0</v>
      </c>
      <c r="AN1433" s="2">
        <f t="shared" si="28"/>
        <v>0</v>
      </c>
      <c r="AO1433" s="2">
        <f t="shared" si="29"/>
      </c>
      <c r="AP1433" s="2">
        <f t="shared" si="30"/>
      </c>
      <c r="AQ1433" s="2">
        <f t="shared" si="31"/>
      </c>
    </row>
    <row r="1434">
      <c r="A1434" s="43">
        <f t="shared" si="3"/>
      </c>
      <c r="B1434" s="44" t="n"/>
      <c r="C1434" s="45" t="n"/>
      <c r="D1434" s="46" t="n"/>
      <c r="E1434" s="47" t="n"/>
      <c r="F1434" s="47" t="n"/>
      <c r="G1434" s="48">
        <f t="shared" si="4"/>
      </c>
      <c r="H1434" s="43">
        <f t="shared" si="0"/>
      </c>
      <c r="I1434" s="43">
        <f t="shared" si="5"/>
      </c>
      <c r="J1434" s="43">
        <f t="shared" si="1"/>
      </c>
      <c r="K1434" s="49">
        <f t="shared" si="2"/>
      </c>
      <c r="L1434" s="45" t="n"/>
      <c r="M1434" s="45" t="n"/>
      <c r="N1434" s="45" t="n"/>
      <c r="O1434" s="45" t="n"/>
      <c r="P1434" s="50" t="n"/>
      <c r="R1434" s="2">
        <f t="shared" si="6"/>
        <v>0</v>
      </c>
      <c r="S1434" s="2">
        <f t="shared" si="7"/>
      </c>
      <c r="T1434" s="2">
        <f t="shared" si="8"/>
      </c>
      <c r="U1434" s="2">
        <f t="shared" si="9"/>
      </c>
      <c r="V1434" s="2">
        <f t="shared" si="10"/>
      </c>
      <c r="W1434" s="2">
        <f t="shared" si="11"/>
      </c>
      <c r="X1434" s="2">
        <f t="shared" si="12"/>
      </c>
      <c r="Y1434" s="2">
        <f t="shared" si="13"/>
        <v>0</v>
      </c>
      <c r="Z1434" s="2">
        <f t="shared" si="14"/>
      </c>
      <c r="AA1434" s="2">
        <f t="shared" si="15"/>
        <v>0</v>
      </c>
      <c r="AB1434" s="2">
        <f t="shared" si="16"/>
      </c>
      <c r="AC1434" s="2">
        <f t="shared" si="17"/>
      </c>
      <c r="AD1434" s="2">
        <f t="shared" si="18"/>
      </c>
      <c r="AE1434" s="2">
        <f t="shared" si="19"/>
      </c>
      <c r="AF1434" s="2">
        <f t="shared" si="20"/>
      </c>
      <c r="AG1434" s="2">
        <f t="shared" si="21"/>
      </c>
      <c r="AH1434" s="2">
        <f t="shared" si="22"/>
      </c>
      <c r="AI1434" s="2">
        <f t="shared" si="23"/>
      </c>
      <c r="AJ1434" s="2">
        <f t="shared" si="24"/>
        <v>0</v>
      </c>
      <c r="AK1434" s="2">
        <f t="shared" si="25"/>
        <v>0</v>
      </c>
      <c r="AL1434" s="2">
        <f t="shared" si="26"/>
        <v>0</v>
      </c>
      <c r="AM1434" s="2">
        <f t="shared" si="27"/>
        <v>0</v>
      </c>
      <c r="AN1434" s="2">
        <f t="shared" si="28"/>
        <v>0</v>
      </c>
      <c r="AO1434" s="2">
        <f t="shared" si="29"/>
      </c>
      <c r="AP1434" s="2">
        <f t="shared" si="30"/>
      </c>
      <c r="AQ1434" s="2">
        <f t="shared" si="31"/>
      </c>
    </row>
    <row r="1435">
      <c r="A1435" s="43">
        <f t="shared" si="3"/>
      </c>
      <c r="B1435" s="44" t="n"/>
      <c r="C1435" s="45" t="n"/>
      <c r="D1435" s="46" t="n"/>
      <c r="E1435" s="47" t="n"/>
      <c r="F1435" s="47" t="n"/>
      <c r="G1435" s="48">
        <f t="shared" si="4"/>
      </c>
      <c r="H1435" s="43">
        <f t="shared" si="0"/>
      </c>
      <c r="I1435" s="43">
        <f t="shared" si="5"/>
      </c>
      <c r="J1435" s="43">
        <f t="shared" si="1"/>
      </c>
      <c r="K1435" s="49">
        <f t="shared" si="2"/>
      </c>
      <c r="L1435" s="45" t="n"/>
      <c r="M1435" s="45" t="n"/>
      <c r="N1435" s="45" t="n"/>
      <c r="O1435" s="45" t="n"/>
      <c r="P1435" s="50" t="n"/>
      <c r="R1435" s="2">
        <f t="shared" si="6"/>
        <v>0</v>
      </c>
      <c r="S1435" s="2">
        <f t="shared" si="7"/>
      </c>
      <c r="T1435" s="2">
        <f t="shared" si="8"/>
      </c>
      <c r="U1435" s="2">
        <f t="shared" si="9"/>
      </c>
      <c r="V1435" s="2">
        <f t="shared" si="10"/>
      </c>
      <c r="W1435" s="2">
        <f t="shared" si="11"/>
      </c>
      <c r="X1435" s="2">
        <f t="shared" si="12"/>
      </c>
      <c r="Y1435" s="2">
        <f t="shared" si="13"/>
        <v>0</v>
      </c>
      <c r="Z1435" s="2">
        <f t="shared" si="14"/>
      </c>
      <c r="AA1435" s="2">
        <f t="shared" si="15"/>
        <v>0</v>
      </c>
      <c r="AB1435" s="2">
        <f t="shared" si="16"/>
      </c>
      <c r="AC1435" s="2">
        <f t="shared" si="17"/>
      </c>
      <c r="AD1435" s="2">
        <f t="shared" si="18"/>
      </c>
      <c r="AE1435" s="2">
        <f t="shared" si="19"/>
      </c>
      <c r="AF1435" s="2">
        <f t="shared" si="20"/>
      </c>
      <c r="AG1435" s="2">
        <f t="shared" si="21"/>
      </c>
      <c r="AH1435" s="2">
        <f t="shared" si="22"/>
      </c>
      <c r="AI1435" s="2">
        <f t="shared" si="23"/>
      </c>
      <c r="AJ1435" s="2">
        <f t="shared" si="24"/>
        <v>0</v>
      </c>
      <c r="AK1435" s="2">
        <f t="shared" si="25"/>
        <v>0</v>
      </c>
      <c r="AL1435" s="2">
        <f t="shared" si="26"/>
        <v>0</v>
      </c>
      <c r="AM1435" s="2">
        <f t="shared" si="27"/>
        <v>0</v>
      </c>
      <c r="AN1435" s="2">
        <f t="shared" si="28"/>
        <v>0</v>
      </c>
      <c r="AO1435" s="2">
        <f t="shared" si="29"/>
      </c>
      <c r="AP1435" s="2">
        <f t="shared" si="30"/>
      </c>
      <c r="AQ1435" s="2">
        <f t="shared" si="31"/>
      </c>
    </row>
    <row r="1436">
      <c r="A1436" s="43">
        <f t="shared" si="3"/>
      </c>
      <c r="B1436" s="44" t="n"/>
      <c r="C1436" s="45" t="n"/>
      <c r="D1436" s="46" t="n"/>
      <c r="E1436" s="47" t="n"/>
      <c r="F1436" s="47" t="n"/>
      <c r="G1436" s="48">
        <f t="shared" si="4"/>
      </c>
      <c r="H1436" s="43">
        <f t="shared" si="0"/>
      </c>
      <c r="I1436" s="43">
        <f t="shared" si="5"/>
      </c>
      <c r="J1436" s="43">
        <f t="shared" si="1"/>
      </c>
      <c r="K1436" s="49">
        <f t="shared" si="2"/>
      </c>
      <c r="L1436" s="45" t="n"/>
      <c r="M1436" s="45" t="n"/>
      <c r="N1436" s="45" t="n"/>
      <c r="O1436" s="45" t="n"/>
      <c r="P1436" s="50" t="n"/>
      <c r="R1436" s="2">
        <f t="shared" si="6"/>
        <v>0</v>
      </c>
      <c r="S1436" s="2">
        <f t="shared" si="7"/>
      </c>
      <c r="T1436" s="2">
        <f t="shared" si="8"/>
      </c>
      <c r="U1436" s="2">
        <f t="shared" si="9"/>
      </c>
      <c r="V1436" s="2">
        <f t="shared" si="10"/>
      </c>
      <c r="W1436" s="2">
        <f t="shared" si="11"/>
      </c>
      <c r="X1436" s="2">
        <f t="shared" si="12"/>
      </c>
      <c r="Y1436" s="2">
        <f t="shared" si="13"/>
        <v>0</v>
      </c>
      <c r="Z1436" s="2">
        <f t="shared" si="14"/>
      </c>
      <c r="AA1436" s="2">
        <f t="shared" si="15"/>
        <v>0</v>
      </c>
      <c r="AB1436" s="2">
        <f t="shared" si="16"/>
      </c>
      <c r="AC1436" s="2">
        <f t="shared" si="17"/>
      </c>
      <c r="AD1436" s="2">
        <f t="shared" si="18"/>
      </c>
      <c r="AE1436" s="2">
        <f t="shared" si="19"/>
      </c>
      <c r="AF1436" s="2">
        <f t="shared" si="20"/>
      </c>
      <c r="AG1436" s="2">
        <f t="shared" si="21"/>
      </c>
      <c r="AH1436" s="2">
        <f t="shared" si="22"/>
      </c>
      <c r="AI1436" s="2">
        <f t="shared" si="23"/>
      </c>
      <c r="AJ1436" s="2">
        <f t="shared" si="24"/>
        <v>0</v>
      </c>
      <c r="AK1436" s="2">
        <f t="shared" si="25"/>
        <v>0</v>
      </c>
      <c r="AL1436" s="2">
        <f t="shared" si="26"/>
        <v>0</v>
      </c>
      <c r="AM1436" s="2">
        <f t="shared" si="27"/>
        <v>0</v>
      </c>
      <c r="AN1436" s="2">
        <f t="shared" si="28"/>
        <v>0</v>
      </c>
      <c r="AO1436" s="2">
        <f t="shared" si="29"/>
      </c>
      <c r="AP1436" s="2">
        <f t="shared" si="30"/>
      </c>
      <c r="AQ1436" s="2">
        <f t="shared" si="31"/>
      </c>
    </row>
    <row r="1437">
      <c r="A1437" s="43">
        <f t="shared" si="3"/>
      </c>
      <c r="B1437" s="44" t="n"/>
      <c r="C1437" s="45" t="n"/>
      <c r="D1437" s="46" t="n"/>
      <c r="E1437" s="47" t="n"/>
      <c r="F1437" s="47" t="n"/>
      <c r="G1437" s="48">
        <f t="shared" si="4"/>
      </c>
      <c r="H1437" s="43">
        <f t="shared" si="0"/>
      </c>
      <c r="I1437" s="43">
        <f t="shared" si="5"/>
      </c>
      <c r="J1437" s="43">
        <f t="shared" si="1"/>
      </c>
      <c r="K1437" s="49">
        <f t="shared" si="2"/>
      </c>
      <c r="L1437" s="45" t="n"/>
      <c r="M1437" s="45" t="n"/>
      <c r="N1437" s="45" t="n"/>
      <c r="O1437" s="45" t="n"/>
      <c r="P1437" s="50" t="n"/>
      <c r="R1437" s="2">
        <f t="shared" si="6"/>
        <v>0</v>
      </c>
      <c r="S1437" s="2">
        <f t="shared" si="7"/>
      </c>
      <c r="T1437" s="2">
        <f t="shared" si="8"/>
      </c>
      <c r="U1437" s="2">
        <f t="shared" si="9"/>
      </c>
      <c r="V1437" s="2">
        <f t="shared" si="10"/>
      </c>
      <c r="W1437" s="2">
        <f t="shared" si="11"/>
      </c>
      <c r="X1437" s="2">
        <f t="shared" si="12"/>
      </c>
      <c r="Y1437" s="2">
        <f t="shared" si="13"/>
        <v>0</v>
      </c>
      <c r="Z1437" s="2">
        <f t="shared" si="14"/>
      </c>
      <c r="AA1437" s="2">
        <f t="shared" si="15"/>
        <v>0</v>
      </c>
      <c r="AB1437" s="2">
        <f t="shared" si="16"/>
      </c>
      <c r="AC1437" s="2">
        <f t="shared" si="17"/>
      </c>
      <c r="AD1437" s="2">
        <f t="shared" si="18"/>
      </c>
      <c r="AE1437" s="2">
        <f t="shared" si="19"/>
      </c>
      <c r="AF1437" s="2">
        <f t="shared" si="20"/>
      </c>
      <c r="AG1437" s="2">
        <f t="shared" si="21"/>
      </c>
      <c r="AH1437" s="2">
        <f t="shared" si="22"/>
      </c>
      <c r="AI1437" s="2">
        <f t="shared" si="23"/>
      </c>
      <c r="AJ1437" s="2">
        <f t="shared" si="24"/>
        <v>0</v>
      </c>
      <c r="AK1437" s="2">
        <f t="shared" si="25"/>
        <v>0</v>
      </c>
      <c r="AL1437" s="2">
        <f t="shared" si="26"/>
        <v>0</v>
      </c>
      <c r="AM1437" s="2">
        <f t="shared" si="27"/>
        <v>0</v>
      </c>
      <c r="AN1437" s="2">
        <f t="shared" si="28"/>
        <v>0</v>
      </c>
      <c r="AO1437" s="2">
        <f t="shared" si="29"/>
      </c>
      <c r="AP1437" s="2">
        <f t="shared" si="30"/>
      </c>
      <c r="AQ1437" s="2">
        <f t="shared" si="31"/>
      </c>
    </row>
    <row r="1438">
      <c r="A1438" s="43">
        <f t="shared" si="3"/>
      </c>
      <c r="B1438" s="44" t="n"/>
      <c r="C1438" s="45" t="n"/>
      <c r="D1438" s="46" t="n"/>
      <c r="E1438" s="47" t="n"/>
      <c r="F1438" s="47" t="n"/>
      <c r="G1438" s="48">
        <f t="shared" si="4"/>
      </c>
      <c r="H1438" s="43">
        <f t="shared" si="0"/>
      </c>
      <c r="I1438" s="43">
        <f t="shared" si="5"/>
      </c>
      <c r="J1438" s="43">
        <f t="shared" si="1"/>
      </c>
      <c r="K1438" s="49">
        <f t="shared" si="2"/>
      </c>
      <c r="L1438" s="45" t="n"/>
      <c r="M1438" s="45" t="n"/>
      <c r="N1438" s="45" t="n"/>
      <c r="O1438" s="45" t="n"/>
      <c r="P1438" s="50" t="n"/>
      <c r="R1438" s="2">
        <f t="shared" si="6"/>
        <v>0</v>
      </c>
      <c r="S1438" s="2">
        <f t="shared" si="7"/>
      </c>
      <c r="T1438" s="2">
        <f t="shared" si="8"/>
      </c>
      <c r="U1438" s="2">
        <f t="shared" si="9"/>
      </c>
      <c r="V1438" s="2">
        <f t="shared" si="10"/>
      </c>
      <c r="W1438" s="2">
        <f t="shared" si="11"/>
      </c>
      <c r="X1438" s="2">
        <f t="shared" si="12"/>
      </c>
      <c r="Y1438" s="2">
        <f t="shared" si="13"/>
        <v>0</v>
      </c>
      <c r="Z1438" s="2">
        <f t="shared" si="14"/>
      </c>
      <c r="AA1438" s="2">
        <f t="shared" si="15"/>
        <v>0</v>
      </c>
      <c r="AB1438" s="2">
        <f t="shared" si="16"/>
      </c>
      <c r="AC1438" s="2">
        <f t="shared" si="17"/>
      </c>
      <c r="AD1438" s="2">
        <f t="shared" si="18"/>
      </c>
      <c r="AE1438" s="2">
        <f t="shared" si="19"/>
      </c>
      <c r="AF1438" s="2">
        <f t="shared" si="20"/>
      </c>
      <c r="AG1438" s="2">
        <f t="shared" si="21"/>
      </c>
      <c r="AH1438" s="2">
        <f t="shared" si="22"/>
      </c>
      <c r="AI1438" s="2">
        <f t="shared" si="23"/>
      </c>
      <c r="AJ1438" s="2">
        <f t="shared" si="24"/>
        <v>0</v>
      </c>
      <c r="AK1438" s="2">
        <f t="shared" si="25"/>
        <v>0</v>
      </c>
      <c r="AL1438" s="2">
        <f t="shared" si="26"/>
        <v>0</v>
      </c>
      <c r="AM1438" s="2">
        <f t="shared" si="27"/>
        <v>0</v>
      </c>
      <c r="AN1438" s="2">
        <f t="shared" si="28"/>
        <v>0</v>
      </c>
      <c r="AO1438" s="2">
        <f t="shared" si="29"/>
      </c>
      <c r="AP1438" s="2">
        <f t="shared" si="30"/>
      </c>
      <c r="AQ1438" s="2">
        <f t="shared" si="31"/>
      </c>
    </row>
    <row r="1439">
      <c r="A1439" s="43">
        <f t="shared" si="3"/>
      </c>
      <c r="B1439" s="44" t="n"/>
      <c r="C1439" s="45" t="n"/>
      <c r="D1439" s="46" t="n"/>
      <c r="E1439" s="47" t="n"/>
      <c r="F1439" s="47" t="n"/>
      <c r="G1439" s="48">
        <f t="shared" si="4"/>
      </c>
      <c r="H1439" s="43">
        <f t="shared" si="0"/>
      </c>
      <c r="I1439" s="43">
        <f t="shared" si="5"/>
      </c>
      <c r="J1439" s="43">
        <f t="shared" si="1"/>
      </c>
      <c r="K1439" s="49">
        <f t="shared" si="2"/>
      </c>
      <c r="L1439" s="45" t="n"/>
      <c r="M1439" s="45" t="n"/>
      <c r="N1439" s="45" t="n"/>
      <c r="O1439" s="45" t="n"/>
      <c r="P1439" s="50" t="n"/>
      <c r="R1439" s="2">
        <f t="shared" si="6"/>
        <v>0</v>
      </c>
      <c r="S1439" s="2">
        <f t="shared" si="7"/>
      </c>
      <c r="T1439" s="2">
        <f t="shared" si="8"/>
      </c>
      <c r="U1439" s="2">
        <f t="shared" si="9"/>
      </c>
      <c r="V1439" s="2">
        <f t="shared" si="10"/>
      </c>
      <c r="W1439" s="2">
        <f t="shared" si="11"/>
      </c>
      <c r="X1439" s="2">
        <f t="shared" si="12"/>
      </c>
      <c r="Y1439" s="2">
        <f t="shared" si="13"/>
        <v>0</v>
      </c>
      <c r="Z1439" s="2">
        <f t="shared" si="14"/>
      </c>
      <c r="AA1439" s="2">
        <f t="shared" si="15"/>
        <v>0</v>
      </c>
      <c r="AB1439" s="2">
        <f t="shared" si="16"/>
      </c>
      <c r="AC1439" s="2">
        <f t="shared" si="17"/>
      </c>
      <c r="AD1439" s="2">
        <f t="shared" si="18"/>
      </c>
      <c r="AE1439" s="2">
        <f t="shared" si="19"/>
      </c>
      <c r="AF1439" s="2">
        <f t="shared" si="20"/>
      </c>
      <c r="AG1439" s="2">
        <f t="shared" si="21"/>
      </c>
      <c r="AH1439" s="2">
        <f t="shared" si="22"/>
      </c>
      <c r="AI1439" s="2">
        <f t="shared" si="23"/>
      </c>
      <c r="AJ1439" s="2">
        <f t="shared" si="24"/>
        <v>0</v>
      </c>
      <c r="AK1439" s="2">
        <f t="shared" si="25"/>
        <v>0</v>
      </c>
      <c r="AL1439" s="2">
        <f t="shared" si="26"/>
        <v>0</v>
      </c>
      <c r="AM1439" s="2">
        <f t="shared" si="27"/>
        <v>0</v>
      </c>
      <c r="AN1439" s="2">
        <f t="shared" si="28"/>
        <v>0</v>
      </c>
      <c r="AO1439" s="2">
        <f t="shared" si="29"/>
      </c>
      <c r="AP1439" s="2">
        <f t="shared" si="30"/>
      </c>
      <c r="AQ1439" s="2">
        <f t="shared" si="31"/>
      </c>
    </row>
    <row r="1440">
      <c r="A1440" s="43">
        <f t="shared" si="3"/>
      </c>
      <c r="B1440" s="44" t="n"/>
      <c r="C1440" s="45" t="n"/>
      <c r="D1440" s="46" t="n"/>
      <c r="E1440" s="47" t="n"/>
      <c r="F1440" s="47" t="n"/>
      <c r="G1440" s="48">
        <f t="shared" si="4"/>
      </c>
      <c r="H1440" s="43">
        <f t="shared" si="0"/>
      </c>
      <c r="I1440" s="43">
        <f t="shared" si="5"/>
      </c>
      <c r="J1440" s="43">
        <f t="shared" si="1"/>
      </c>
      <c r="K1440" s="49">
        <f t="shared" si="2"/>
      </c>
      <c r="L1440" s="45" t="n"/>
      <c r="M1440" s="45" t="n"/>
      <c r="N1440" s="45" t="n"/>
      <c r="O1440" s="45" t="n"/>
      <c r="P1440" s="50" t="n"/>
      <c r="R1440" s="2">
        <f t="shared" si="6"/>
        <v>0</v>
      </c>
      <c r="S1440" s="2">
        <f t="shared" si="7"/>
      </c>
      <c r="T1440" s="2">
        <f t="shared" si="8"/>
      </c>
      <c r="U1440" s="2">
        <f t="shared" si="9"/>
      </c>
      <c r="V1440" s="2">
        <f t="shared" si="10"/>
      </c>
      <c r="W1440" s="2">
        <f t="shared" si="11"/>
      </c>
      <c r="X1440" s="2">
        <f t="shared" si="12"/>
      </c>
      <c r="Y1440" s="2">
        <f t="shared" si="13"/>
        <v>0</v>
      </c>
      <c r="Z1440" s="2">
        <f t="shared" si="14"/>
      </c>
      <c r="AA1440" s="2">
        <f t="shared" si="15"/>
        <v>0</v>
      </c>
      <c r="AB1440" s="2">
        <f t="shared" si="16"/>
      </c>
      <c r="AC1440" s="2">
        <f t="shared" si="17"/>
      </c>
      <c r="AD1440" s="2">
        <f t="shared" si="18"/>
      </c>
      <c r="AE1440" s="2">
        <f t="shared" si="19"/>
      </c>
      <c r="AF1440" s="2">
        <f t="shared" si="20"/>
      </c>
      <c r="AG1440" s="2">
        <f t="shared" si="21"/>
      </c>
      <c r="AH1440" s="2">
        <f t="shared" si="22"/>
      </c>
      <c r="AI1440" s="2">
        <f t="shared" si="23"/>
      </c>
      <c r="AJ1440" s="2">
        <f t="shared" si="24"/>
        <v>0</v>
      </c>
      <c r="AK1440" s="2">
        <f t="shared" si="25"/>
        <v>0</v>
      </c>
      <c r="AL1440" s="2">
        <f t="shared" si="26"/>
        <v>0</v>
      </c>
      <c r="AM1440" s="2">
        <f t="shared" si="27"/>
        <v>0</v>
      </c>
      <c r="AN1440" s="2">
        <f t="shared" si="28"/>
        <v>0</v>
      </c>
      <c r="AO1440" s="2">
        <f t="shared" si="29"/>
      </c>
      <c r="AP1440" s="2">
        <f t="shared" si="30"/>
      </c>
      <c r="AQ1440" s="2">
        <f t="shared" si="31"/>
      </c>
    </row>
    <row r="1441">
      <c r="A1441" s="43">
        <f t="shared" si="3"/>
      </c>
      <c r="B1441" s="44" t="n"/>
      <c r="C1441" s="45" t="n"/>
      <c r="D1441" s="46" t="n"/>
      <c r="E1441" s="47" t="n"/>
      <c r="F1441" s="47" t="n"/>
      <c r="G1441" s="48">
        <f t="shared" si="4"/>
      </c>
      <c r="H1441" s="43">
        <f t="shared" si="0"/>
      </c>
      <c r="I1441" s="43">
        <f t="shared" si="5"/>
      </c>
      <c r="J1441" s="43">
        <f t="shared" si="1"/>
      </c>
      <c r="K1441" s="49">
        <f t="shared" si="2"/>
      </c>
      <c r="L1441" s="45" t="n"/>
      <c r="M1441" s="45" t="n"/>
      <c r="N1441" s="45" t="n"/>
      <c r="O1441" s="45" t="n"/>
      <c r="P1441" s="50" t="n"/>
      <c r="R1441" s="2">
        <f t="shared" si="6"/>
        <v>0</v>
      </c>
      <c r="S1441" s="2">
        <f t="shared" si="7"/>
      </c>
      <c r="T1441" s="2">
        <f t="shared" si="8"/>
      </c>
      <c r="U1441" s="2">
        <f t="shared" si="9"/>
      </c>
      <c r="V1441" s="2">
        <f t="shared" si="10"/>
      </c>
      <c r="W1441" s="2">
        <f t="shared" si="11"/>
      </c>
      <c r="X1441" s="2">
        <f t="shared" si="12"/>
      </c>
      <c r="Y1441" s="2">
        <f t="shared" si="13"/>
        <v>0</v>
      </c>
      <c r="Z1441" s="2">
        <f t="shared" si="14"/>
      </c>
      <c r="AA1441" s="2">
        <f t="shared" si="15"/>
        <v>0</v>
      </c>
      <c r="AB1441" s="2">
        <f t="shared" si="16"/>
      </c>
      <c r="AC1441" s="2">
        <f t="shared" si="17"/>
      </c>
      <c r="AD1441" s="2">
        <f t="shared" si="18"/>
      </c>
      <c r="AE1441" s="2">
        <f t="shared" si="19"/>
      </c>
      <c r="AF1441" s="2">
        <f t="shared" si="20"/>
      </c>
      <c r="AG1441" s="2">
        <f t="shared" si="21"/>
      </c>
      <c r="AH1441" s="2">
        <f t="shared" si="22"/>
      </c>
      <c r="AI1441" s="2">
        <f t="shared" si="23"/>
      </c>
      <c r="AJ1441" s="2">
        <f t="shared" si="24"/>
        <v>0</v>
      </c>
      <c r="AK1441" s="2">
        <f t="shared" si="25"/>
        <v>0</v>
      </c>
      <c r="AL1441" s="2">
        <f t="shared" si="26"/>
        <v>0</v>
      </c>
      <c r="AM1441" s="2">
        <f t="shared" si="27"/>
        <v>0</v>
      </c>
      <c r="AN1441" s="2">
        <f t="shared" si="28"/>
        <v>0</v>
      </c>
      <c r="AO1441" s="2">
        <f t="shared" si="29"/>
      </c>
      <c r="AP1441" s="2">
        <f t="shared" si="30"/>
      </c>
      <c r="AQ1441" s="2">
        <f t="shared" si="31"/>
      </c>
    </row>
    <row r="1442">
      <c r="A1442" s="43">
        <f t="shared" si="3"/>
      </c>
      <c r="B1442" s="44" t="n"/>
      <c r="C1442" s="45" t="n"/>
      <c r="D1442" s="46" t="n"/>
      <c r="E1442" s="47" t="n"/>
      <c r="F1442" s="47" t="n"/>
      <c r="G1442" s="48">
        <f t="shared" si="4"/>
      </c>
      <c r="H1442" s="43">
        <f t="shared" si="0"/>
      </c>
      <c r="I1442" s="43">
        <f t="shared" si="5"/>
      </c>
      <c r="J1442" s="43">
        <f t="shared" si="1"/>
      </c>
      <c r="K1442" s="49">
        <f t="shared" si="2"/>
      </c>
      <c r="L1442" s="45" t="n"/>
      <c r="M1442" s="45" t="n"/>
      <c r="N1442" s="45" t="n"/>
      <c r="O1442" s="45" t="n"/>
      <c r="P1442" s="50" t="n"/>
      <c r="R1442" s="2">
        <f t="shared" si="6"/>
        <v>0</v>
      </c>
      <c r="S1442" s="2">
        <f t="shared" si="7"/>
      </c>
      <c r="T1442" s="2">
        <f t="shared" si="8"/>
      </c>
      <c r="U1442" s="2">
        <f t="shared" si="9"/>
      </c>
      <c r="V1442" s="2">
        <f t="shared" si="10"/>
      </c>
      <c r="W1442" s="2">
        <f t="shared" si="11"/>
      </c>
      <c r="X1442" s="2">
        <f t="shared" si="12"/>
      </c>
      <c r="Y1442" s="2">
        <f t="shared" si="13"/>
        <v>0</v>
      </c>
      <c r="Z1442" s="2">
        <f t="shared" si="14"/>
      </c>
      <c r="AA1442" s="2">
        <f t="shared" si="15"/>
        <v>0</v>
      </c>
      <c r="AB1442" s="2">
        <f t="shared" si="16"/>
      </c>
      <c r="AC1442" s="2">
        <f t="shared" si="17"/>
      </c>
      <c r="AD1442" s="2">
        <f t="shared" si="18"/>
      </c>
      <c r="AE1442" s="2">
        <f t="shared" si="19"/>
      </c>
      <c r="AF1442" s="2">
        <f t="shared" si="20"/>
      </c>
      <c r="AG1442" s="2">
        <f t="shared" si="21"/>
      </c>
      <c r="AH1442" s="2">
        <f t="shared" si="22"/>
      </c>
      <c r="AI1442" s="2">
        <f t="shared" si="23"/>
      </c>
      <c r="AJ1442" s="2">
        <f t="shared" si="24"/>
        <v>0</v>
      </c>
      <c r="AK1442" s="2">
        <f t="shared" si="25"/>
        <v>0</v>
      </c>
      <c r="AL1442" s="2">
        <f t="shared" si="26"/>
        <v>0</v>
      </c>
      <c r="AM1442" s="2">
        <f t="shared" si="27"/>
        <v>0</v>
      </c>
      <c r="AN1442" s="2">
        <f t="shared" si="28"/>
        <v>0</v>
      </c>
      <c r="AO1442" s="2">
        <f t="shared" si="29"/>
      </c>
      <c r="AP1442" s="2">
        <f t="shared" si="30"/>
      </c>
      <c r="AQ1442" s="2">
        <f t="shared" si="31"/>
      </c>
    </row>
    <row r="1443">
      <c r="A1443" s="43">
        <f t="shared" si="3"/>
      </c>
      <c r="B1443" s="44" t="n"/>
      <c r="C1443" s="45" t="n"/>
      <c r="D1443" s="46" t="n"/>
      <c r="E1443" s="47" t="n"/>
      <c r="F1443" s="47" t="n"/>
      <c r="G1443" s="48">
        <f t="shared" si="4"/>
      </c>
      <c r="H1443" s="43">
        <f t="shared" si="0"/>
      </c>
      <c r="I1443" s="43">
        <f t="shared" si="5"/>
      </c>
      <c r="J1443" s="43">
        <f t="shared" si="1"/>
      </c>
      <c r="K1443" s="49">
        <f t="shared" si="2"/>
      </c>
      <c r="L1443" s="45" t="n"/>
      <c r="M1443" s="45" t="n"/>
      <c r="N1443" s="45" t="n"/>
      <c r="O1443" s="45" t="n"/>
      <c r="P1443" s="50" t="n"/>
      <c r="R1443" s="2">
        <f t="shared" si="6"/>
        <v>0</v>
      </c>
      <c r="S1443" s="2">
        <f t="shared" si="7"/>
      </c>
      <c r="T1443" s="2">
        <f t="shared" si="8"/>
      </c>
      <c r="U1443" s="2">
        <f t="shared" si="9"/>
      </c>
      <c r="V1443" s="2">
        <f t="shared" si="10"/>
      </c>
      <c r="W1443" s="2">
        <f t="shared" si="11"/>
      </c>
      <c r="X1443" s="2">
        <f t="shared" si="12"/>
      </c>
      <c r="Y1443" s="2">
        <f t="shared" si="13"/>
        <v>0</v>
      </c>
      <c r="Z1443" s="2">
        <f t="shared" si="14"/>
      </c>
      <c r="AA1443" s="2">
        <f t="shared" si="15"/>
        <v>0</v>
      </c>
      <c r="AB1443" s="2">
        <f t="shared" si="16"/>
      </c>
      <c r="AC1443" s="2">
        <f t="shared" si="17"/>
      </c>
      <c r="AD1443" s="2">
        <f t="shared" si="18"/>
      </c>
      <c r="AE1443" s="2">
        <f t="shared" si="19"/>
      </c>
      <c r="AF1443" s="2">
        <f t="shared" si="20"/>
      </c>
      <c r="AG1443" s="2">
        <f t="shared" si="21"/>
      </c>
      <c r="AH1443" s="2">
        <f t="shared" si="22"/>
      </c>
      <c r="AI1443" s="2">
        <f t="shared" si="23"/>
      </c>
      <c r="AJ1443" s="2">
        <f t="shared" si="24"/>
        <v>0</v>
      </c>
      <c r="AK1443" s="2">
        <f t="shared" si="25"/>
        <v>0</v>
      </c>
      <c r="AL1443" s="2">
        <f t="shared" si="26"/>
        <v>0</v>
      </c>
      <c r="AM1443" s="2">
        <f t="shared" si="27"/>
        <v>0</v>
      </c>
      <c r="AN1443" s="2">
        <f t="shared" si="28"/>
        <v>0</v>
      </c>
      <c r="AO1443" s="2">
        <f t="shared" si="29"/>
      </c>
      <c r="AP1443" s="2">
        <f t="shared" si="30"/>
      </c>
      <c r="AQ1443" s="2">
        <f t="shared" si="31"/>
      </c>
    </row>
    <row r="1444">
      <c r="A1444" s="43">
        <f t="shared" si="3"/>
      </c>
      <c r="B1444" s="44" t="n"/>
      <c r="C1444" s="45" t="n"/>
      <c r="D1444" s="46" t="n"/>
      <c r="E1444" s="47" t="n"/>
      <c r="F1444" s="47" t="n"/>
      <c r="G1444" s="48">
        <f t="shared" si="4"/>
      </c>
      <c r="H1444" s="43">
        <f t="shared" si="0"/>
      </c>
      <c r="I1444" s="43">
        <f t="shared" si="5"/>
      </c>
      <c r="J1444" s="43">
        <f t="shared" si="1"/>
      </c>
      <c r="K1444" s="49">
        <f t="shared" si="2"/>
      </c>
      <c r="L1444" s="45" t="n"/>
      <c r="M1444" s="45" t="n"/>
      <c r="N1444" s="45" t="n"/>
      <c r="O1444" s="45" t="n"/>
      <c r="P1444" s="50" t="n"/>
      <c r="R1444" s="2">
        <f t="shared" si="6"/>
        <v>0</v>
      </c>
      <c r="S1444" s="2">
        <f t="shared" si="7"/>
      </c>
      <c r="T1444" s="2">
        <f t="shared" si="8"/>
      </c>
      <c r="U1444" s="2">
        <f t="shared" si="9"/>
      </c>
      <c r="V1444" s="2">
        <f t="shared" si="10"/>
      </c>
      <c r="W1444" s="2">
        <f t="shared" si="11"/>
      </c>
      <c r="X1444" s="2">
        <f t="shared" si="12"/>
      </c>
      <c r="Y1444" s="2">
        <f t="shared" si="13"/>
        <v>0</v>
      </c>
      <c r="Z1444" s="2">
        <f t="shared" si="14"/>
      </c>
      <c r="AA1444" s="2">
        <f t="shared" si="15"/>
        <v>0</v>
      </c>
      <c r="AB1444" s="2">
        <f t="shared" si="16"/>
      </c>
      <c r="AC1444" s="2">
        <f t="shared" si="17"/>
      </c>
      <c r="AD1444" s="2">
        <f t="shared" si="18"/>
      </c>
      <c r="AE1444" s="2">
        <f t="shared" si="19"/>
      </c>
      <c r="AF1444" s="2">
        <f t="shared" si="20"/>
      </c>
      <c r="AG1444" s="2">
        <f t="shared" si="21"/>
      </c>
      <c r="AH1444" s="2">
        <f t="shared" si="22"/>
      </c>
      <c r="AI1444" s="2">
        <f t="shared" si="23"/>
      </c>
      <c r="AJ1444" s="2">
        <f t="shared" si="24"/>
        <v>0</v>
      </c>
      <c r="AK1444" s="2">
        <f t="shared" si="25"/>
        <v>0</v>
      </c>
      <c r="AL1444" s="2">
        <f t="shared" si="26"/>
        <v>0</v>
      </c>
      <c r="AM1444" s="2">
        <f t="shared" si="27"/>
        <v>0</v>
      </c>
      <c r="AN1444" s="2">
        <f t="shared" si="28"/>
        <v>0</v>
      </c>
      <c r="AO1444" s="2">
        <f t="shared" si="29"/>
      </c>
      <c r="AP1444" s="2">
        <f t="shared" si="30"/>
      </c>
      <c r="AQ1444" s="2">
        <f t="shared" si="31"/>
      </c>
    </row>
    <row r="1445">
      <c r="A1445" s="43">
        <f t="shared" si="3"/>
      </c>
      <c r="B1445" s="44" t="n"/>
      <c r="C1445" s="45" t="n"/>
      <c r="D1445" s="46" t="n"/>
      <c r="E1445" s="47" t="n"/>
      <c r="F1445" s="47" t="n"/>
      <c r="G1445" s="48">
        <f t="shared" si="4"/>
      </c>
      <c r="H1445" s="43">
        <f t="shared" si="0"/>
      </c>
      <c r="I1445" s="43">
        <f t="shared" si="5"/>
      </c>
      <c r="J1445" s="43">
        <f t="shared" si="1"/>
      </c>
      <c r="K1445" s="49">
        <f t="shared" si="2"/>
      </c>
      <c r="L1445" s="45" t="n"/>
      <c r="M1445" s="45" t="n"/>
      <c r="N1445" s="45" t="n"/>
      <c r="O1445" s="45" t="n"/>
      <c r="P1445" s="50" t="n"/>
      <c r="R1445" s="2">
        <f t="shared" si="6"/>
        <v>0</v>
      </c>
      <c r="S1445" s="2">
        <f t="shared" si="7"/>
      </c>
      <c r="T1445" s="2">
        <f t="shared" si="8"/>
      </c>
      <c r="U1445" s="2">
        <f t="shared" si="9"/>
      </c>
      <c r="V1445" s="2">
        <f t="shared" si="10"/>
      </c>
      <c r="W1445" s="2">
        <f t="shared" si="11"/>
      </c>
      <c r="X1445" s="2">
        <f t="shared" si="12"/>
      </c>
      <c r="Y1445" s="2">
        <f t="shared" si="13"/>
        <v>0</v>
      </c>
      <c r="Z1445" s="2">
        <f t="shared" si="14"/>
      </c>
      <c r="AA1445" s="2">
        <f t="shared" si="15"/>
        <v>0</v>
      </c>
      <c r="AB1445" s="2">
        <f t="shared" si="16"/>
      </c>
      <c r="AC1445" s="2">
        <f t="shared" si="17"/>
      </c>
      <c r="AD1445" s="2">
        <f t="shared" si="18"/>
      </c>
      <c r="AE1445" s="2">
        <f t="shared" si="19"/>
      </c>
      <c r="AF1445" s="2">
        <f t="shared" si="20"/>
      </c>
      <c r="AG1445" s="2">
        <f t="shared" si="21"/>
      </c>
      <c r="AH1445" s="2">
        <f t="shared" si="22"/>
      </c>
      <c r="AI1445" s="2">
        <f t="shared" si="23"/>
      </c>
      <c r="AJ1445" s="2">
        <f t="shared" si="24"/>
        <v>0</v>
      </c>
      <c r="AK1445" s="2">
        <f t="shared" si="25"/>
        <v>0</v>
      </c>
      <c r="AL1445" s="2">
        <f t="shared" si="26"/>
        <v>0</v>
      </c>
      <c r="AM1445" s="2">
        <f t="shared" si="27"/>
        <v>0</v>
      </c>
      <c r="AN1445" s="2">
        <f t="shared" si="28"/>
        <v>0</v>
      </c>
      <c r="AO1445" s="2">
        <f t="shared" si="29"/>
      </c>
      <c r="AP1445" s="2">
        <f t="shared" si="30"/>
      </c>
      <c r="AQ1445" s="2">
        <f t="shared" si="31"/>
      </c>
    </row>
    <row r="1446">
      <c r="A1446" s="43">
        <f t="shared" si="3"/>
      </c>
      <c r="B1446" s="44" t="n"/>
      <c r="C1446" s="45" t="n"/>
      <c r="D1446" s="46" t="n"/>
      <c r="E1446" s="47" t="n"/>
      <c r="F1446" s="47" t="n"/>
      <c r="G1446" s="48">
        <f t="shared" si="4"/>
      </c>
      <c r="H1446" s="43">
        <f t="shared" si="0"/>
      </c>
      <c r="I1446" s="43">
        <f t="shared" si="5"/>
      </c>
      <c r="J1446" s="43">
        <f t="shared" si="1"/>
      </c>
      <c r="K1446" s="49">
        <f t="shared" si="2"/>
      </c>
      <c r="L1446" s="45" t="n"/>
      <c r="M1446" s="45" t="n"/>
      <c r="N1446" s="45" t="n"/>
      <c r="O1446" s="45" t="n"/>
      <c r="P1446" s="50" t="n"/>
      <c r="R1446" s="2">
        <f t="shared" si="6"/>
        <v>0</v>
      </c>
      <c r="S1446" s="2">
        <f t="shared" si="7"/>
      </c>
      <c r="T1446" s="2">
        <f t="shared" si="8"/>
      </c>
      <c r="U1446" s="2">
        <f t="shared" si="9"/>
      </c>
      <c r="V1446" s="2">
        <f t="shared" si="10"/>
      </c>
      <c r="W1446" s="2">
        <f t="shared" si="11"/>
      </c>
      <c r="X1446" s="2">
        <f t="shared" si="12"/>
      </c>
      <c r="Y1446" s="2">
        <f t="shared" si="13"/>
        <v>0</v>
      </c>
      <c r="Z1446" s="2">
        <f t="shared" si="14"/>
      </c>
      <c r="AA1446" s="2">
        <f t="shared" si="15"/>
        <v>0</v>
      </c>
      <c r="AB1446" s="2">
        <f t="shared" si="16"/>
      </c>
      <c r="AC1446" s="2">
        <f t="shared" si="17"/>
      </c>
      <c r="AD1446" s="2">
        <f t="shared" si="18"/>
      </c>
      <c r="AE1446" s="2">
        <f t="shared" si="19"/>
      </c>
      <c r="AF1446" s="2">
        <f t="shared" si="20"/>
      </c>
      <c r="AG1446" s="2">
        <f t="shared" si="21"/>
      </c>
      <c r="AH1446" s="2">
        <f t="shared" si="22"/>
      </c>
      <c r="AI1446" s="2">
        <f t="shared" si="23"/>
      </c>
      <c r="AJ1446" s="2">
        <f t="shared" si="24"/>
        <v>0</v>
      </c>
      <c r="AK1446" s="2">
        <f t="shared" si="25"/>
        <v>0</v>
      </c>
      <c r="AL1446" s="2">
        <f t="shared" si="26"/>
        <v>0</v>
      </c>
      <c r="AM1446" s="2">
        <f t="shared" si="27"/>
        <v>0</v>
      </c>
      <c r="AN1446" s="2">
        <f t="shared" si="28"/>
        <v>0</v>
      </c>
      <c r="AO1446" s="2">
        <f t="shared" si="29"/>
      </c>
      <c r="AP1446" s="2">
        <f t="shared" si="30"/>
      </c>
      <c r="AQ1446" s="2">
        <f t="shared" si="31"/>
      </c>
    </row>
    <row r="1447">
      <c r="A1447" s="43">
        <f t="shared" si="3"/>
      </c>
      <c r="B1447" s="44" t="n"/>
      <c r="C1447" s="45" t="n"/>
      <c r="D1447" s="46" t="n"/>
      <c r="E1447" s="47" t="n"/>
      <c r="F1447" s="47" t="n"/>
      <c r="G1447" s="48">
        <f t="shared" si="4"/>
      </c>
      <c r="H1447" s="43">
        <f t="shared" si="0"/>
      </c>
      <c r="I1447" s="43">
        <f t="shared" si="5"/>
      </c>
      <c r="J1447" s="43">
        <f t="shared" si="1"/>
      </c>
      <c r="K1447" s="49">
        <f t="shared" si="2"/>
      </c>
      <c r="L1447" s="45" t="n"/>
      <c r="M1447" s="45" t="n"/>
      <c r="N1447" s="45" t="n"/>
      <c r="O1447" s="45" t="n"/>
      <c r="P1447" s="50" t="n"/>
      <c r="R1447" s="2">
        <f t="shared" si="6"/>
        <v>0</v>
      </c>
      <c r="S1447" s="2">
        <f t="shared" si="7"/>
      </c>
      <c r="T1447" s="2">
        <f t="shared" si="8"/>
      </c>
      <c r="U1447" s="2">
        <f t="shared" si="9"/>
      </c>
      <c r="V1447" s="2">
        <f t="shared" si="10"/>
      </c>
      <c r="W1447" s="2">
        <f t="shared" si="11"/>
      </c>
      <c r="X1447" s="2">
        <f t="shared" si="12"/>
      </c>
      <c r="Y1447" s="2">
        <f t="shared" si="13"/>
        <v>0</v>
      </c>
      <c r="Z1447" s="2">
        <f t="shared" si="14"/>
      </c>
      <c r="AA1447" s="2">
        <f t="shared" si="15"/>
        <v>0</v>
      </c>
      <c r="AB1447" s="2">
        <f t="shared" si="16"/>
      </c>
      <c r="AC1447" s="2">
        <f t="shared" si="17"/>
      </c>
      <c r="AD1447" s="2">
        <f t="shared" si="18"/>
      </c>
      <c r="AE1447" s="2">
        <f t="shared" si="19"/>
      </c>
      <c r="AF1447" s="2">
        <f t="shared" si="20"/>
      </c>
      <c r="AG1447" s="2">
        <f t="shared" si="21"/>
      </c>
      <c r="AH1447" s="2">
        <f t="shared" si="22"/>
      </c>
      <c r="AI1447" s="2">
        <f t="shared" si="23"/>
      </c>
      <c r="AJ1447" s="2">
        <f t="shared" si="24"/>
        <v>0</v>
      </c>
      <c r="AK1447" s="2">
        <f t="shared" si="25"/>
        <v>0</v>
      </c>
      <c r="AL1447" s="2">
        <f t="shared" si="26"/>
        <v>0</v>
      </c>
      <c r="AM1447" s="2">
        <f t="shared" si="27"/>
        <v>0</v>
      </c>
      <c r="AN1447" s="2">
        <f t="shared" si="28"/>
        <v>0</v>
      </c>
      <c r="AO1447" s="2">
        <f t="shared" si="29"/>
      </c>
      <c r="AP1447" s="2">
        <f t="shared" si="30"/>
      </c>
      <c r="AQ1447" s="2">
        <f t="shared" si="31"/>
      </c>
    </row>
    <row r="1448">
      <c r="A1448" s="43">
        <f t="shared" si="3"/>
      </c>
      <c r="B1448" s="44" t="n"/>
      <c r="C1448" s="45" t="n"/>
      <c r="D1448" s="46" t="n"/>
      <c r="E1448" s="47" t="n"/>
      <c r="F1448" s="47" t="n"/>
      <c r="G1448" s="48">
        <f t="shared" si="4"/>
      </c>
      <c r="H1448" s="43">
        <f t="shared" si="0"/>
      </c>
      <c r="I1448" s="43">
        <f t="shared" si="5"/>
      </c>
      <c r="J1448" s="43">
        <f t="shared" si="1"/>
      </c>
      <c r="K1448" s="49">
        <f t="shared" si="2"/>
      </c>
      <c r="L1448" s="45" t="n"/>
      <c r="M1448" s="45" t="n"/>
      <c r="N1448" s="45" t="n"/>
      <c r="O1448" s="45" t="n"/>
      <c r="P1448" s="50" t="n"/>
      <c r="R1448" s="2">
        <f t="shared" si="6"/>
        <v>0</v>
      </c>
      <c r="S1448" s="2">
        <f t="shared" si="7"/>
      </c>
      <c r="T1448" s="2">
        <f t="shared" si="8"/>
      </c>
      <c r="U1448" s="2">
        <f t="shared" si="9"/>
      </c>
      <c r="V1448" s="2">
        <f t="shared" si="10"/>
      </c>
      <c r="W1448" s="2">
        <f t="shared" si="11"/>
      </c>
      <c r="X1448" s="2">
        <f t="shared" si="12"/>
      </c>
      <c r="Y1448" s="2">
        <f t="shared" si="13"/>
        <v>0</v>
      </c>
      <c r="Z1448" s="2">
        <f t="shared" si="14"/>
      </c>
      <c r="AA1448" s="2">
        <f t="shared" si="15"/>
        <v>0</v>
      </c>
      <c r="AB1448" s="2">
        <f t="shared" si="16"/>
      </c>
      <c r="AC1448" s="2">
        <f t="shared" si="17"/>
      </c>
      <c r="AD1448" s="2">
        <f t="shared" si="18"/>
      </c>
      <c r="AE1448" s="2">
        <f t="shared" si="19"/>
      </c>
      <c r="AF1448" s="2">
        <f t="shared" si="20"/>
      </c>
      <c r="AG1448" s="2">
        <f t="shared" si="21"/>
      </c>
      <c r="AH1448" s="2">
        <f t="shared" si="22"/>
      </c>
      <c r="AI1448" s="2">
        <f t="shared" si="23"/>
      </c>
      <c r="AJ1448" s="2">
        <f t="shared" si="24"/>
        <v>0</v>
      </c>
      <c r="AK1448" s="2">
        <f t="shared" si="25"/>
        <v>0</v>
      </c>
      <c r="AL1448" s="2">
        <f t="shared" si="26"/>
        <v>0</v>
      </c>
      <c r="AM1448" s="2">
        <f t="shared" si="27"/>
        <v>0</v>
      </c>
      <c r="AN1448" s="2">
        <f t="shared" si="28"/>
        <v>0</v>
      </c>
      <c r="AO1448" s="2">
        <f t="shared" si="29"/>
      </c>
      <c r="AP1448" s="2">
        <f t="shared" si="30"/>
      </c>
      <c r="AQ1448" s="2">
        <f t="shared" si="31"/>
      </c>
    </row>
    <row r="1449">
      <c r="A1449" s="43">
        <f t="shared" si="3"/>
      </c>
      <c r="B1449" s="44" t="n"/>
      <c r="C1449" s="45" t="n"/>
      <c r="D1449" s="46" t="n"/>
      <c r="E1449" s="47" t="n"/>
      <c r="F1449" s="47" t="n"/>
      <c r="G1449" s="48">
        <f t="shared" si="4"/>
      </c>
      <c r="H1449" s="43">
        <f t="shared" si="0"/>
      </c>
      <c r="I1449" s="43">
        <f t="shared" si="5"/>
      </c>
      <c r="J1449" s="43">
        <f t="shared" si="1"/>
      </c>
      <c r="K1449" s="49">
        <f t="shared" si="2"/>
      </c>
      <c r="L1449" s="45" t="n"/>
      <c r="M1449" s="45" t="n"/>
      <c r="N1449" s="45" t="n"/>
      <c r="O1449" s="45" t="n"/>
      <c r="P1449" s="50" t="n"/>
      <c r="R1449" s="2">
        <f t="shared" si="6"/>
        <v>0</v>
      </c>
      <c r="S1449" s="2">
        <f t="shared" si="7"/>
      </c>
      <c r="T1449" s="2">
        <f t="shared" si="8"/>
      </c>
      <c r="U1449" s="2">
        <f t="shared" si="9"/>
      </c>
      <c r="V1449" s="2">
        <f t="shared" si="10"/>
      </c>
      <c r="W1449" s="2">
        <f t="shared" si="11"/>
      </c>
      <c r="X1449" s="2">
        <f t="shared" si="12"/>
      </c>
      <c r="Y1449" s="2">
        <f t="shared" si="13"/>
        <v>0</v>
      </c>
      <c r="Z1449" s="2">
        <f t="shared" si="14"/>
      </c>
      <c r="AA1449" s="2">
        <f t="shared" si="15"/>
        <v>0</v>
      </c>
      <c r="AB1449" s="2">
        <f t="shared" si="16"/>
      </c>
      <c r="AC1449" s="2">
        <f t="shared" si="17"/>
      </c>
      <c r="AD1449" s="2">
        <f t="shared" si="18"/>
      </c>
      <c r="AE1449" s="2">
        <f t="shared" si="19"/>
      </c>
      <c r="AF1449" s="2">
        <f t="shared" si="20"/>
      </c>
      <c r="AG1449" s="2">
        <f t="shared" si="21"/>
      </c>
      <c r="AH1449" s="2">
        <f t="shared" si="22"/>
      </c>
      <c r="AI1449" s="2">
        <f t="shared" si="23"/>
      </c>
      <c r="AJ1449" s="2">
        <f t="shared" si="24"/>
        <v>0</v>
      </c>
      <c r="AK1449" s="2">
        <f t="shared" si="25"/>
        <v>0</v>
      </c>
      <c r="AL1449" s="2">
        <f t="shared" si="26"/>
        <v>0</v>
      </c>
      <c r="AM1449" s="2">
        <f t="shared" si="27"/>
        <v>0</v>
      </c>
      <c r="AN1449" s="2">
        <f t="shared" si="28"/>
        <v>0</v>
      </c>
      <c r="AO1449" s="2">
        <f t="shared" si="29"/>
      </c>
      <c r="AP1449" s="2">
        <f t="shared" si="30"/>
      </c>
      <c r="AQ1449" s="2">
        <f t="shared" si="31"/>
      </c>
    </row>
    <row r="1450">
      <c r="A1450" s="43">
        <f t="shared" si="3"/>
      </c>
      <c r="B1450" s="44" t="n"/>
      <c r="C1450" s="45" t="n"/>
      <c r="D1450" s="46" t="n"/>
      <c r="E1450" s="47" t="n"/>
      <c r="F1450" s="47" t="n"/>
      <c r="G1450" s="48">
        <f t="shared" si="4"/>
      </c>
      <c r="H1450" s="43">
        <f t="shared" si="0"/>
      </c>
      <c r="I1450" s="43">
        <f t="shared" si="5"/>
      </c>
      <c r="J1450" s="43">
        <f t="shared" si="1"/>
      </c>
      <c r="K1450" s="49">
        <f t="shared" si="2"/>
      </c>
      <c r="L1450" s="45" t="n"/>
      <c r="M1450" s="45" t="n"/>
      <c r="N1450" s="45" t="n"/>
      <c r="O1450" s="45" t="n"/>
      <c r="P1450" s="50" t="n"/>
      <c r="R1450" s="2">
        <f t="shared" si="6"/>
        <v>0</v>
      </c>
      <c r="S1450" s="2">
        <f t="shared" si="7"/>
      </c>
      <c r="T1450" s="2">
        <f t="shared" si="8"/>
      </c>
      <c r="U1450" s="2">
        <f t="shared" si="9"/>
      </c>
      <c r="V1450" s="2">
        <f t="shared" si="10"/>
      </c>
      <c r="W1450" s="2">
        <f t="shared" si="11"/>
      </c>
      <c r="X1450" s="2">
        <f t="shared" si="12"/>
      </c>
      <c r="Y1450" s="2">
        <f t="shared" si="13"/>
        <v>0</v>
      </c>
      <c r="Z1450" s="2">
        <f t="shared" si="14"/>
      </c>
      <c r="AA1450" s="2">
        <f t="shared" si="15"/>
        <v>0</v>
      </c>
      <c r="AB1450" s="2">
        <f t="shared" si="16"/>
      </c>
      <c r="AC1450" s="2">
        <f t="shared" si="17"/>
      </c>
      <c r="AD1450" s="2">
        <f t="shared" si="18"/>
      </c>
      <c r="AE1450" s="2">
        <f t="shared" si="19"/>
      </c>
      <c r="AF1450" s="2">
        <f t="shared" si="20"/>
      </c>
      <c r="AG1450" s="2">
        <f t="shared" si="21"/>
      </c>
      <c r="AH1450" s="2">
        <f t="shared" si="22"/>
      </c>
      <c r="AI1450" s="2">
        <f t="shared" si="23"/>
      </c>
      <c r="AJ1450" s="2">
        <f t="shared" si="24"/>
        <v>0</v>
      </c>
      <c r="AK1450" s="2">
        <f t="shared" si="25"/>
        <v>0</v>
      </c>
      <c r="AL1450" s="2">
        <f t="shared" si="26"/>
        <v>0</v>
      </c>
      <c r="AM1450" s="2">
        <f t="shared" si="27"/>
        <v>0</v>
      </c>
      <c r="AN1450" s="2">
        <f t="shared" si="28"/>
        <v>0</v>
      </c>
      <c r="AO1450" s="2">
        <f t="shared" si="29"/>
      </c>
      <c r="AP1450" s="2">
        <f t="shared" si="30"/>
      </c>
      <c r="AQ1450" s="2">
        <f t="shared" si="31"/>
      </c>
    </row>
    <row r="1451">
      <c r="A1451" s="43">
        <f t="shared" si="3"/>
      </c>
      <c r="B1451" s="44" t="n"/>
      <c r="C1451" s="45" t="n"/>
      <c r="D1451" s="46" t="n"/>
      <c r="E1451" s="47" t="n"/>
      <c r="F1451" s="47" t="n"/>
      <c r="G1451" s="48">
        <f t="shared" si="4"/>
      </c>
      <c r="H1451" s="43">
        <f t="shared" si="0"/>
      </c>
      <c r="I1451" s="43">
        <f t="shared" si="5"/>
      </c>
      <c r="J1451" s="43">
        <f t="shared" si="1"/>
      </c>
      <c r="K1451" s="49">
        <f t="shared" si="2"/>
      </c>
      <c r="L1451" s="45" t="n"/>
      <c r="M1451" s="45" t="n"/>
      <c r="N1451" s="45" t="n"/>
      <c r="O1451" s="45" t="n"/>
      <c r="P1451" s="50" t="n"/>
      <c r="R1451" s="2">
        <f t="shared" si="6"/>
        <v>0</v>
      </c>
      <c r="S1451" s="2">
        <f t="shared" si="7"/>
      </c>
      <c r="T1451" s="2">
        <f t="shared" si="8"/>
      </c>
      <c r="U1451" s="2">
        <f t="shared" si="9"/>
      </c>
      <c r="V1451" s="2">
        <f t="shared" si="10"/>
      </c>
      <c r="W1451" s="2">
        <f t="shared" si="11"/>
      </c>
      <c r="X1451" s="2">
        <f t="shared" si="12"/>
      </c>
      <c r="Y1451" s="2">
        <f t="shared" si="13"/>
        <v>0</v>
      </c>
      <c r="Z1451" s="2">
        <f t="shared" si="14"/>
      </c>
      <c r="AA1451" s="2">
        <f t="shared" si="15"/>
        <v>0</v>
      </c>
      <c r="AB1451" s="2">
        <f t="shared" si="16"/>
      </c>
      <c r="AC1451" s="2">
        <f t="shared" si="17"/>
      </c>
      <c r="AD1451" s="2">
        <f t="shared" si="18"/>
      </c>
      <c r="AE1451" s="2">
        <f t="shared" si="19"/>
      </c>
      <c r="AF1451" s="2">
        <f t="shared" si="20"/>
      </c>
      <c r="AG1451" s="2">
        <f t="shared" si="21"/>
      </c>
      <c r="AH1451" s="2">
        <f t="shared" si="22"/>
      </c>
      <c r="AI1451" s="2">
        <f t="shared" si="23"/>
      </c>
      <c r="AJ1451" s="2">
        <f t="shared" si="24"/>
        <v>0</v>
      </c>
      <c r="AK1451" s="2">
        <f t="shared" si="25"/>
        <v>0</v>
      </c>
      <c r="AL1451" s="2">
        <f t="shared" si="26"/>
        <v>0</v>
      </c>
      <c r="AM1451" s="2">
        <f t="shared" si="27"/>
        <v>0</v>
      </c>
      <c r="AN1451" s="2">
        <f t="shared" si="28"/>
        <v>0</v>
      </c>
      <c r="AO1451" s="2">
        <f t="shared" si="29"/>
      </c>
      <c r="AP1451" s="2">
        <f t="shared" si="30"/>
      </c>
      <c r="AQ1451" s="2">
        <f t="shared" si="31"/>
      </c>
    </row>
    <row r="1452">
      <c r="A1452" s="43">
        <f t="shared" si="3"/>
      </c>
      <c r="B1452" s="44" t="n"/>
      <c r="C1452" s="45" t="n"/>
      <c r="D1452" s="46" t="n"/>
      <c r="E1452" s="47" t="n"/>
      <c r="F1452" s="47" t="n"/>
      <c r="G1452" s="48">
        <f t="shared" si="4"/>
      </c>
      <c r="H1452" s="43">
        <f t="shared" si="0"/>
      </c>
      <c r="I1452" s="43">
        <f t="shared" si="5"/>
      </c>
      <c r="J1452" s="43">
        <f t="shared" si="1"/>
      </c>
      <c r="K1452" s="49">
        <f t="shared" si="2"/>
      </c>
      <c r="L1452" s="45" t="n"/>
      <c r="M1452" s="45" t="n"/>
      <c r="N1452" s="45" t="n"/>
      <c r="O1452" s="45" t="n"/>
      <c r="P1452" s="50" t="n"/>
      <c r="R1452" s="2">
        <f t="shared" si="6"/>
        <v>0</v>
      </c>
      <c r="S1452" s="2">
        <f t="shared" si="7"/>
      </c>
      <c r="T1452" s="2">
        <f t="shared" si="8"/>
      </c>
      <c r="U1452" s="2">
        <f t="shared" si="9"/>
      </c>
      <c r="V1452" s="2">
        <f t="shared" si="10"/>
      </c>
      <c r="W1452" s="2">
        <f t="shared" si="11"/>
      </c>
      <c r="X1452" s="2">
        <f t="shared" si="12"/>
      </c>
      <c r="Y1452" s="2">
        <f t="shared" si="13"/>
        <v>0</v>
      </c>
      <c r="Z1452" s="2">
        <f t="shared" si="14"/>
      </c>
      <c r="AA1452" s="2">
        <f t="shared" si="15"/>
        <v>0</v>
      </c>
      <c r="AB1452" s="2">
        <f t="shared" si="16"/>
      </c>
      <c r="AC1452" s="2">
        <f t="shared" si="17"/>
      </c>
      <c r="AD1452" s="2">
        <f t="shared" si="18"/>
      </c>
      <c r="AE1452" s="2">
        <f t="shared" si="19"/>
      </c>
      <c r="AF1452" s="2">
        <f t="shared" si="20"/>
      </c>
      <c r="AG1452" s="2">
        <f t="shared" si="21"/>
      </c>
      <c r="AH1452" s="2">
        <f t="shared" si="22"/>
      </c>
      <c r="AI1452" s="2">
        <f t="shared" si="23"/>
      </c>
      <c r="AJ1452" s="2">
        <f t="shared" si="24"/>
        <v>0</v>
      </c>
      <c r="AK1452" s="2">
        <f t="shared" si="25"/>
        <v>0</v>
      </c>
      <c r="AL1452" s="2">
        <f t="shared" si="26"/>
        <v>0</v>
      </c>
      <c r="AM1452" s="2">
        <f t="shared" si="27"/>
        <v>0</v>
      </c>
      <c r="AN1452" s="2">
        <f t="shared" si="28"/>
        <v>0</v>
      </c>
      <c r="AO1452" s="2">
        <f t="shared" si="29"/>
      </c>
      <c r="AP1452" s="2">
        <f t="shared" si="30"/>
      </c>
      <c r="AQ1452" s="2">
        <f t="shared" si="31"/>
      </c>
    </row>
    <row r="1453">
      <c r="A1453" s="43">
        <f t="shared" si="3"/>
      </c>
      <c r="B1453" s="44" t="n"/>
      <c r="C1453" s="45" t="n"/>
      <c r="D1453" s="46" t="n"/>
      <c r="E1453" s="47" t="n"/>
      <c r="F1453" s="47" t="n"/>
      <c r="G1453" s="48">
        <f t="shared" si="4"/>
      </c>
      <c r="H1453" s="43">
        <f t="shared" si="0"/>
      </c>
      <c r="I1453" s="43">
        <f t="shared" si="5"/>
      </c>
      <c r="J1453" s="43">
        <f t="shared" si="1"/>
      </c>
      <c r="K1453" s="49">
        <f t="shared" si="2"/>
      </c>
      <c r="L1453" s="45" t="n"/>
      <c r="M1453" s="45" t="n"/>
      <c r="N1453" s="45" t="n"/>
      <c r="O1453" s="45" t="n"/>
      <c r="P1453" s="50" t="n"/>
      <c r="R1453" s="2">
        <f t="shared" si="6"/>
        <v>0</v>
      </c>
      <c r="S1453" s="2">
        <f t="shared" si="7"/>
      </c>
      <c r="T1453" s="2">
        <f t="shared" si="8"/>
      </c>
      <c r="U1453" s="2">
        <f t="shared" si="9"/>
      </c>
      <c r="V1453" s="2">
        <f t="shared" si="10"/>
      </c>
      <c r="W1453" s="2">
        <f t="shared" si="11"/>
      </c>
      <c r="X1453" s="2">
        <f t="shared" si="12"/>
      </c>
      <c r="Y1453" s="2">
        <f t="shared" si="13"/>
        <v>0</v>
      </c>
      <c r="Z1453" s="2">
        <f t="shared" si="14"/>
      </c>
      <c r="AA1453" s="2">
        <f t="shared" si="15"/>
        <v>0</v>
      </c>
      <c r="AB1453" s="2">
        <f t="shared" si="16"/>
      </c>
      <c r="AC1453" s="2">
        <f t="shared" si="17"/>
      </c>
      <c r="AD1453" s="2">
        <f t="shared" si="18"/>
      </c>
      <c r="AE1453" s="2">
        <f t="shared" si="19"/>
      </c>
      <c r="AF1453" s="2">
        <f t="shared" si="20"/>
      </c>
      <c r="AG1453" s="2">
        <f t="shared" si="21"/>
      </c>
      <c r="AH1453" s="2">
        <f t="shared" si="22"/>
      </c>
      <c r="AI1453" s="2">
        <f t="shared" si="23"/>
      </c>
      <c r="AJ1453" s="2">
        <f t="shared" si="24"/>
        <v>0</v>
      </c>
      <c r="AK1453" s="2">
        <f t="shared" si="25"/>
        <v>0</v>
      </c>
      <c r="AL1453" s="2">
        <f t="shared" si="26"/>
        <v>0</v>
      </c>
      <c r="AM1453" s="2">
        <f t="shared" si="27"/>
        <v>0</v>
      </c>
      <c r="AN1453" s="2">
        <f t="shared" si="28"/>
        <v>0</v>
      </c>
      <c r="AO1453" s="2">
        <f t="shared" si="29"/>
      </c>
      <c r="AP1453" s="2">
        <f t="shared" si="30"/>
      </c>
      <c r="AQ1453" s="2">
        <f t="shared" si="31"/>
      </c>
    </row>
    <row r="1454">
      <c r="A1454" s="43">
        <f t="shared" si="3"/>
      </c>
      <c r="B1454" s="44" t="n"/>
      <c r="C1454" s="45" t="n"/>
      <c r="D1454" s="46" t="n"/>
      <c r="E1454" s="47" t="n"/>
      <c r="F1454" s="47" t="n"/>
      <c r="G1454" s="48">
        <f t="shared" si="4"/>
      </c>
      <c r="H1454" s="43">
        <f t="shared" si="0"/>
      </c>
      <c r="I1454" s="43">
        <f t="shared" si="5"/>
      </c>
      <c r="J1454" s="43">
        <f t="shared" si="1"/>
      </c>
      <c r="K1454" s="49">
        <f t="shared" si="2"/>
      </c>
      <c r="L1454" s="45" t="n"/>
      <c r="M1454" s="45" t="n"/>
      <c r="N1454" s="45" t="n"/>
      <c r="O1454" s="45" t="n"/>
      <c r="P1454" s="50" t="n"/>
      <c r="R1454" s="2">
        <f t="shared" si="6"/>
        <v>0</v>
      </c>
      <c r="S1454" s="2">
        <f t="shared" si="7"/>
      </c>
      <c r="T1454" s="2">
        <f t="shared" si="8"/>
      </c>
      <c r="U1454" s="2">
        <f t="shared" si="9"/>
      </c>
      <c r="V1454" s="2">
        <f t="shared" si="10"/>
      </c>
      <c r="W1454" s="2">
        <f t="shared" si="11"/>
      </c>
      <c r="X1454" s="2">
        <f t="shared" si="12"/>
      </c>
      <c r="Y1454" s="2">
        <f t="shared" si="13"/>
        <v>0</v>
      </c>
      <c r="Z1454" s="2">
        <f t="shared" si="14"/>
      </c>
      <c r="AA1454" s="2">
        <f t="shared" si="15"/>
        <v>0</v>
      </c>
      <c r="AB1454" s="2">
        <f t="shared" si="16"/>
      </c>
      <c r="AC1454" s="2">
        <f t="shared" si="17"/>
      </c>
      <c r="AD1454" s="2">
        <f t="shared" si="18"/>
      </c>
      <c r="AE1454" s="2">
        <f t="shared" si="19"/>
      </c>
      <c r="AF1454" s="2">
        <f t="shared" si="20"/>
      </c>
      <c r="AG1454" s="2">
        <f t="shared" si="21"/>
      </c>
      <c r="AH1454" s="2">
        <f t="shared" si="22"/>
      </c>
      <c r="AI1454" s="2">
        <f t="shared" si="23"/>
      </c>
      <c r="AJ1454" s="2">
        <f t="shared" si="24"/>
        <v>0</v>
      </c>
      <c r="AK1454" s="2">
        <f t="shared" si="25"/>
        <v>0</v>
      </c>
      <c r="AL1454" s="2">
        <f t="shared" si="26"/>
        <v>0</v>
      </c>
      <c r="AM1454" s="2">
        <f t="shared" si="27"/>
        <v>0</v>
      </c>
      <c r="AN1454" s="2">
        <f t="shared" si="28"/>
        <v>0</v>
      </c>
      <c r="AO1454" s="2">
        <f t="shared" si="29"/>
      </c>
      <c r="AP1454" s="2">
        <f t="shared" si="30"/>
      </c>
      <c r="AQ1454" s="2">
        <f t="shared" si="31"/>
      </c>
    </row>
    <row r="1455">
      <c r="A1455" s="43">
        <f t="shared" si="3"/>
      </c>
      <c r="B1455" s="44" t="n"/>
      <c r="C1455" s="45" t="n"/>
      <c r="D1455" s="46" t="n"/>
      <c r="E1455" s="47" t="n"/>
      <c r="F1455" s="47" t="n"/>
      <c r="G1455" s="48">
        <f t="shared" si="4"/>
      </c>
      <c r="H1455" s="43">
        <f t="shared" si="0"/>
      </c>
      <c r="I1455" s="43">
        <f t="shared" si="5"/>
      </c>
      <c r="J1455" s="43">
        <f t="shared" si="1"/>
      </c>
      <c r="K1455" s="49">
        <f t="shared" si="2"/>
      </c>
      <c r="L1455" s="45" t="n"/>
      <c r="M1455" s="45" t="n"/>
      <c r="N1455" s="45" t="n"/>
      <c r="O1455" s="45" t="n"/>
      <c r="P1455" s="50" t="n"/>
      <c r="R1455" s="2">
        <f t="shared" si="6"/>
        <v>0</v>
      </c>
      <c r="S1455" s="2">
        <f t="shared" si="7"/>
      </c>
      <c r="T1455" s="2">
        <f t="shared" si="8"/>
      </c>
      <c r="U1455" s="2">
        <f t="shared" si="9"/>
      </c>
      <c r="V1455" s="2">
        <f t="shared" si="10"/>
      </c>
      <c r="W1455" s="2">
        <f t="shared" si="11"/>
      </c>
      <c r="X1455" s="2">
        <f t="shared" si="12"/>
      </c>
      <c r="Y1455" s="2">
        <f t="shared" si="13"/>
        <v>0</v>
      </c>
      <c r="Z1455" s="2">
        <f t="shared" si="14"/>
      </c>
      <c r="AA1455" s="2">
        <f t="shared" si="15"/>
        <v>0</v>
      </c>
      <c r="AB1455" s="2">
        <f t="shared" si="16"/>
      </c>
      <c r="AC1455" s="2">
        <f t="shared" si="17"/>
      </c>
      <c r="AD1455" s="2">
        <f t="shared" si="18"/>
      </c>
      <c r="AE1455" s="2">
        <f t="shared" si="19"/>
      </c>
      <c r="AF1455" s="2">
        <f t="shared" si="20"/>
      </c>
      <c r="AG1455" s="2">
        <f t="shared" si="21"/>
      </c>
      <c r="AH1455" s="2">
        <f t="shared" si="22"/>
      </c>
      <c r="AI1455" s="2">
        <f t="shared" si="23"/>
      </c>
      <c r="AJ1455" s="2">
        <f t="shared" si="24"/>
        <v>0</v>
      </c>
      <c r="AK1455" s="2">
        <f t="shared" si="25"/>
        <v>0</v>
      </c>
      <c r="AL1455" s="2">
        <f t="shared" si="26"/>
        <v>0</v>
      </c>
      <c r="AM1455" s="2">
        <f t="shared" si="27"/>
        <v>0</v>
      </c>
      <c r="AN1455" s="2">
        <f t="shared" si="28"/>
        <v>0</v>
      </c>
      <c r="AO1455" s="2">
        <f t="shared" si="29"/>
      </c>
      <c r="AP1455" s="2">
        <f t="shared" si="30"/>
      </c>
      <c r="AQ1455" s="2">
        <f t="shared" si="31"/>
      </c>
    </row>
    <row r="1456">
      <c r="A1456" s="43">
        <f t="shared" si="3"/>
      </c>
      <c r="B1456" s="44" t="n"/>
      <c r="C1456" s="45" t="n"/>
      <c r="D1456" s="46" t="n"/>
      <c r="E1456" s="47" t="n"/>
      <c r="F1456" s="47" t="n"/>
      <c r="G1456" s="48">
        <f t="shared" si="4"/>
      </c>
      <c r="H1456" s="43">
        <f t="shared" si="0"/>
      </c>
      <c r="I1456" s="43">
        <f t="shared" si="5"/>
      </c>
      <c r="J1456" s="43">
        <f t="shared" si="1"/>
      </c>
      <c r="K1456" s="49">
        <f t="shared" si="2"/>
      </c>
      <c r="L1456" s="45" t="n"/>
      <c r="M1456" s="45" t="n"/>
      <c r="N1456" s="45" t="n"/>
      <c r="O1456" s="45" t="n"/>
      <c r="P1456" s="50" t="n"/>
      <c r="R1456" s="2">
        <f t="shared" si="6"/>
        <v>0</v>
      </c>
      <c r="S1456" s="2">
        <f t="shared" si="7"/>
      </c>
      <c r="T1456" s="2">
        <f t="shared" si="8"/>
      </c>
      <c r="U1456" s="2">
        <f t="shared" si="9"/>
      </c>
      <c r="V1456" s="2">
        <f t="shared" si="10"/>
      </c>
      <c r="W1456" s="2">
        <f t="shared" si="11"/>
      </c>
      <c r="X1456" s="2">
        <f t="shared" si="12"/>
      </c>
      <c r="Y1456" s="2">
        <f t="shared" si="13"/>
        <v>0</v>
      </c>
      <c r="Z1456" s="2">
        <f t="shared" si="14"/>
      </c>
      <c r="AA1456" s="2">
        <f t="shared" si="15"/>
        <v>0</v>
      </c>
      <c r="AB1456" s="2">
        <f t="shared" si="16"/>
      </c>
      <c r="AC1456" s="2">
        <f t="shared" si="17"/>
      </c>
      <c r="AD1456" s="2">
        <f t="shared" si="18"/>
      </c>
      <c r="AE1456" s="2">
        <f t="shared" si="19"/>
      </c>
      <c r="AF1456" s="2">
        <f t="shared" si="20"/>
      </c>
      <c r="AG1456" s="2">
        <f t="shared" si="21"/>
      </c>
      <c r="AH1456" s="2">
        <f t="shared" si="22"/>
      </c>
      <c r="AI1456" s="2">
        <f t="shared" si="23"/>
      </c>
      <c r="AJ1456" s="2">
        <f t="shared" si="24"/>
        <v>0</v>
      </c>
      <c r="AK1456" s="2">
        <f t="shared" si="25"/>
        <v>0</v>
      </c>
      <c r="AL1456" s="2">
        <f t="shared" si="26"/>
        <v>0</v>
      </c>
      <c r="AM1456" s="2">
        <f t="shared" si="27"/>
        <v>0</v>
      </c>
      <c r="AN1456" s="2">
        <f t="shared" si="28"/>
        <v>0</v>
      </c>
      <c r="AO1456" s="2">
        <f t="shared" si="29"/>
      </c>
      <c r="AP1456" s="2">
        <f t="shared" si="30"/>
      </c>
      <c r="AQ1456" s="2">
        <f t="shared" si="31"/>
      </c>
    </row>
    <row r="1457">
      <c r="A1457" s="43">
        <f t="shared" si="3"/>
      </c>
      <c r="B1457" s="44" t="n"/>
      <c r="C1457" s="45" t="n"/>
      <c r="D1457" s="46" t="n"/>
      <c r="E1457" s="47" t="n"/>
      <c r="F1457" s="47" t="n"/>
      <c r="G1457" s="48">
        <f t="shared" si="4"/>
      </c>
      <c r="H1457" s="43">
        <f t="shared" si="0"/>
      </c>
      <c r="I1457" s="43">
        <f t="shared" si="5"/>
      </c>
      <c r="J1457" s="43">
        <f t="shared" si="1"/>
      </c>
      <c r="K1457" s="49">
        <f t="shared" si="2"/>
      </c>
      <c r="L1457" s="45" t="n"/>
      <c r="M1457" s="45" t="n"/>
      <c r="N1457" s="45" t="n"/>
      <c r="O1457" s="45" t="n"/>
      <c r="P1457" s="50" t="n"/>
      <c r="R1457" s="2">
        <f t="shared" si="6"/>
        <v>0</v>
      </c>
      <c r="S1457" s="2">
        <f t="shared" si="7"/>
      </c>
      <c r="T1457" s="2">
        <f t="shared" si="8"/>
      </c>
      <c r="U1457" s="2">
        <f t="shared" si="9"/>
      </c>
      <c r="V1457" s="2">
        <f t="shared" si="10"/>
      </c>
      <c r="W1457" s="2">
        <f t="shared" si="11"/>
      </c>
      <c r="X1457" s="2">
        <f t="shared" si="12"/>
      </c>
      <c r="Y1457" s="2">
        <f t="shared" si="13"/>
        <v>0</v>
      </c>
      <c r="Z1457" s="2">
        <f t="shared" si="14"/>
      </c>
      <c r="AA1457" s="2">
        <f t="shared" si="15"/>
        <v>0</v>
      </c>
      <c r="AB1457" s="2">
        <f t="shared" si="16"/>
      </c>
      <c r="AC1457" s="2">
        <f t="shared" si="17"/>
      </c>
      <c r="AD1457" s="2">
        <f t="shared" si="18"/>
      </c>
      <c r="AE1457" s="2">
        <f t="shared" si="19"/>
      </c>
      <c r="AF1457" s="2">
        <f t="shared" si="20"/>
      </c>
      <c r="AG1457" s="2">
        <f t="shared" si="21"/>
      </c>
      <c r="AH1457" s="2">
        <f t="shared" si="22"/>
      </c>
      <c r="AI1457" s="2">
        <f t="shared" si="23"/>
      </c>
      <c r="AJ1457" s="2">
        <f t="shared" si="24"/>
        <v>0</v>
      </c>
      <c r="AK1457" s="2">
        <f t="shared" si="25"/>
        <v>0</v>
      </c>
      <c r="AL1457" s="2">
        <f t="shared" si="26"/>
        <v>0</v>
      </c>
      <c r="AM1457" s="2">
        <f t="shared" si="27"/>
        <v>0</v>
      </c>
      <c r="AN1457" s="2">
        <f t="shared" si="28"/>
        <v>0</v>
      </c>
      <c r="AO1457" s="2">
        <f t="shared" si="29"/>
      </c>
      <c r="AP1457" s="2">
        <f t="shared" si="30"/>
      </c>
      <c r="AQ1457" s="2">
        <f t="shared" si="31"/>
      </c>
    </row>
    <row r="1458">
      <c r="A1458" s="43">
        <f t="shared" si="3"/>
      </c>
      <c r="B1458" s="44" t="n"/>
      <c r="C1458" s="45" t="n"/>
      <c r="D1458" s="46" t="n"/>
      <c r="E1458" s="47" t="n"/>
      <c r="F1458" s="47" t="n"/>
      <c r="G1458" s="48">
        <f t="shared" si="4"/>
      </c>
      <c r="H1458" s="43">
        <f t="shared" si="0"/>
      </c>
      <c r="I1458" s="43">
        <f t="shared" si="5"/>
      </c>
      <c r="J1458" s="43">
        <f t="shared" si="1"/>
      </c>
      <c r="K1458" s="49">
        <f t="shared" si="2"/>
      </c>
      <c r="L1458" s="45" t="n"/>
      <c r="M1458" s="45" t="n"/>
      <c r="N1458" s="45" t="n"/>
      <c r="O1458" s="45" t="n"/>
      <c r="P1458" s="50" t="n"/>
      <c r="R1458" s="2">
        <f t="shared" si="6"/>
        <v>0</v>
      </c>
      <c r="S1458" s="2">
        <f t="shared" si="7"/>
      </c>
      <c r="T1458" s="2">
        <f t="shared" si="8"/>
      </c>
      <c r="U1458" s="2">
        <f t="shared" si="9"/>
      </c>
      <c r="V1458" s="2">
        <f t="shared" si="10"/>
      </c>
      <c r="W1458" s="2">
        <f t="shared" si="11"/>
      </c>
      <c r="X1458" s="2">
        <f t="shared" si="12"/>
      </c>
      <c r="Y1458" s="2">
        <f t="shared" si="13"/>
        <v>0</v>
      </c>
      <c r="Z1458" s="2">
        <f t="shared" si="14"/>
      </c>
      <c r="AA1458" s="2">
        <f t="shared" si="15"/>
        <v>0</v>
      </c>
      <c r="AB1458" s="2">
        <f t="shared" si="16"/>
      </c>
      <c r="AC1458" s="2">
        <f t="shared" si="17"/>
      </c>
      <c r="AD1458" s="2">
        <f t="shared" si="18"/>
      </c>
      <c r="AE1458" s="2">
        <f t="shared" si="19"/>
      </c>
      <c r="AF1458" s="2">
        <f t="shared" si="20"/>
      </c>
      <c r="AG1458" s="2">
        <f t="shared" si="21"/>
      </c>
      <c r="AH1458" s="2">
        <f t="shared" si="22"/>
      </c>
      <c r="AI1458" s="2">
        <f t="shared" si="23"/>
      </c>
      <c r="AJ1458" s="2">
        <f t="shared" si="24"/>
        <v>0</v>
      </c>
      <c r="AK1458" s="2">
        <f t="shared" si="25"/>
        <v>0</v>
      </c>
      <c r="AL1458" s="2">
        <f t="shared" si="26"/>
        <v>0</v>
      </c>
      <c r="AM1458" s="2">
        <f t="shared" si="27"/>
        <v>0</v>
      </c>
      <c r="AN1458" s="2">
        <f t="shared" si="28"/>
        <v>0</v>
      </c>
      <c r="AO1458" s="2">
        <f t="shared" si="29"/>
      </c>
      <c r="AP1458" s="2">
        <f t="shared" si="30"/>
      </c>
      <c r="AQ1458" s="2">
        <f t="shared" si="31"/>
      </c>
    </row>
    <row r="1459">
      <c r="A1459" s="43">
        <f t="shared" si="3"/>
      </c>
      <c r="B1459" s="44" t="n"/>
      <c r="C1459" s="45" t="n"/>
      <c r="D1459" s="46" t="n"/>
      <c r="E1459" s="47" t="n"/>
      <c r="F1459" s="47" t="n"/>
      <c r="G1459" s="48">
        <f t="shared" si="4"/>
      </c>
      <c r="H1459" s="43">
        <f t="shared" si="0"/>
      </c>
      <c r="I1459" s="43">
        <f t="shared" si="5"/>
      </c>
      <c r="J1459" s="43">
        <f t="shared" si="1"/>
      </c>
      <c r="K1459" s="49">
        <f t="shared" si="2"/>
      </c>
      <c r="L1459" s="45" t="n"/>
      <c r="M1459" s="45" t="n"/>
      <c r="N1459" s="45" t="n"/>
      <c r="O1459" s="45" t="n"/>
      <c r="P1459" s="50" t="n"/>
      <c r="R1459" s="2">
        <f t="shared" si="6"/>
        <v>0</v>
      </c>
      <c r="S1459" s="2">
        <f t="shared" si="7"/>
      </c>
      <c r="T1459" s="2">
        <f t="shared" si="8"/>
      </c>
      <c r="U1459" s="2">
        <f t="shared" si="9"/>
      </c>
      <c r="V1459" s="2">
        <f t="shared" si="10"/>
      </c>
      <c r="W1459" s="2">
        <f t="shared" si="11"/>
      </c>
      <c r="X1459" s="2">
        <f t="shared" si="12"/>
      </c>
      <c r="Y1459" s="2">
        <f t="shared" si="13"/>
        <v>0</v>
      </c>
      <c r="Z1459" s="2">
        <f t="shared" si="14"/>
      </c>
      <c r="AA1459" s="2">
        <f t="shared" si="15"/>
        <v>0</v>
      </c>
      <c r="AB1459" s="2">
        <f t="shared" si="16"/>
      </c>
      <c r="AC1459" s="2">
        <f t="shared" si="17"/>
      </c>
      <c r="AD1459" s="2">
        <f t="shared" si="18"/>
      </c>
      <c r="AE1459" s="2">
        <f t="shared" si="19"/>
      </c>
      <c r="AF1459" s="2">
        <f t="shared" si="20"/>
      </c>
      <c r="AG1459" s="2">
        <f t="shared" si="21"/>
      </c>
      <c r="AH1459" s="2">
        <f t="shared" si="22"/>
      </c>
      <c r="AI1459" s="2">
        <f t="shared" si="23"/>
      </c>
      <c r="AJ1459" s="2">
        <f t="shared" si="24"/>
        <v>0</v>
      </c>
      <c r="AK1459" s="2">
        <f t="shared" si="25"/>
        <v>0</v>
      </c>
      <c r="AL1459" s="2">
        <f t="shared" si="26"/>
        <v>0</v>
      </c>
      <c r="AM1459" s="2">
        <f t="shared" si="27"/>
        <v>0</v>
      </c>
      <c r="AN1459" s="2">
        <f t="shared" si="28"/>
        <v>0</v>
      </c>
      <c r="AO1459" s="2">
        <f t="shared" si="29"/>
      </c>
      <c r="AP1459" s="2">
        <f t="shared" si="30"/>
      </c>
      <c r="AQ1459" s="2">
        <f t="shared" si="31"/>
      </c>
    </row>
    <row r="1460">
      <c r="A1460" s="43">
        <f t="shared" si="3"/>
      </c>
      <c r="B1460" s="44" t="n"/>
      <c r="C1460" s="45" t="n"/>
      <c r="D1460" s="46" t="n"/>
      <c r="E1460" s="47" t="n"/>
      <c r="F1460" s="47" t="n"/>
      <c r="G1460" s="48">
        <f t="shared" si="4"/>
      </c>
      <c r="H1460" s="43">
        <f t="shared" si="0"/>
      </c>
      <c r="I1460" s="43">
        <f t="shared" si="5"/>
      </c>
      <c r="J1460" s="43">
        <f t="shared" si="1"/>
      </c>
      <c r="K1460" s="49">
        <f t="shared" si="2"/>
      </c>
      <c r="L1460" s="45" t="n"/>
      <c r="M1460" s="45" t="n"/>
      <c r="N1460" s="45" t="n"/>
      <c r="O1460" s="45" t="n"/>
      <c r="P1460" s="50" t="n"/>
      <c r="R1460" s="2">
        <f t="shared" si="6"/>
        <v>0</v>
      </c>
      <c r="S1460" s="2">
        <f t="shared" si="7"/>
      </c>
      <c r="T1460" s="2">
        <f t="shared" si="8"/>
      </c>
      <c r="U1460" s="2">
        <f t="shared" si="9"/>
      </c>
      <c r="V1460" s="2">
        <f t="shared" si="10"/>
      </c>
      <c r="W1460" s="2">
        <f t="shared" si="11"/>
      </c>
      <c r="X1460" s="2">
        <f t="shared" si="12"/>
      </c>
      <c r="Y1460" s="2">
        <f t="shared" si="13"/>
        <v>0</v>
      </c>
      <c r="Z1460" s="2">
        <f t="shared" si="14"/>
      </c>
      <c r="AA1460" s="2">
        <f t="shared" si="15"/>
        <v>0</v>
      </c>
      <c r="AB1460" s="2">
        <f t="shared" si="16"/>
      </c>
      <c r="AC1460" s="2">
        <f t="shared" si="17"/>
      </c>
      <c r="AD1460" s="2">
        <f t="shared" si="18"/>
      </c>
      <c r="AE1460" s="2">
        <f t="shared" si="19"/>
      </c>
      <c r="AF1460" s="2">
        <f t="shared" si="20"/>
      </c>
      <c r="AG1460" s="2">
        <f t="shared" si="21"/>
      </c>
      <c r="AH1460" s="2">
        <f t="shared" si="22"/>
      </c>
      <c r="AI1460" s="2">
        <f t="shared" si="23"/>
      </c>
      <c r="AJ1460" s="2">
        <f t="shared" si="24"/>
        <v>0</v>
      </c>
      <c r="AK1460" s="2">
        <f t="shared" si="25"/>
        <v>0</v>
      </c>
      <c r="AL1460" s="2">
        <f t="shared" si="26"/>
        <v>0</v>
      </c>
      <c r="AM1460" s="2">
        <f t="shared" si="27"/>
        <v>0</v>
      </c>
      <c r="AN1460" s="2">
        <f t="shared" si="28"/>
        <v>0</v>
      </c>
      <c r="AO1460" s="2">
        <f t="shared" si="29"/>
      </c>
      <c r="AP1460" s="2">
        <f t="shared" si="30"/>
      </c>
      <c r="AQ1460" s="2">
        <f t="shared" si="31"/>
      </c>
    </row>
    <row r="1461">
      <c r="A1461" s="43">
        <f t="shared" si="3"/>
      </c>
      <c r="B1461" s="44" t="n"/>
      <c r="C1461" s="45" t="n"/>
      <c r="D1461" s="46" t="n"/>
      <c r="E1461" s="47" t="n"/>
      <c r="F1461" s="47" t="n"/>
      <c r="G1461" s="48">
        <f t="shared" si="4"/>
      </c>
      <c r="H1461" s="43">
        <f t="shared" si="0"/>
      </c>
      <c r="I1461" s="43">
        <f t="shared" si="5"/>
      </c>
      <c r="J1461" s="43">
        <f t="shared" si="1"/>
      </c>
      <c r="K1461" s="49">
        <f t="shared" si="2"/>
      </c>
      <c r="L1461" s="45" t="n"/>
      <c r="M1461" s="45" t="n"/>
      <c r="N1461" s="45" t="n"/>
      <c r="O1461" s="45" t="n"/>
      <c r="P1461" s="50" t="n"/>
      <c r="R1461" s="2">
        <f t="shared" si="6"/>
        <v>0</v>
      </c>
      <c r="S1461" s="2">
        <f t="shared" si="7"/>
      </c>
      <c r="T1461" s="2">
        <f t="shared" si="8"/>
      </c>
      <c r="U1461" s="2">
        <f t="shared" si="9"/>
      </c>
      <c r="V1461" s="2">
        <f t="shared" si="10"/>
      </c>
      <c r="W1461" s="2">
        <f t="shared" si="11"/>
      </c>
      <c r="X1461" s="2">
        <f t="shared" si="12"/>
      </c>
      <c r="Y1461" s="2">
        <f t="shared" si="13"/>
        <v>0</v>
      </c>
      <c r="Z1461" s="2">
        <f t="shared" si="14"/>
      </c>
      <c r="AA1461" s="2">
        <f t="shared" si="15"/>
        <v>0</v>
      </c>
      <c r="AB1461" s="2">
        <f t="shared" si="16"/>
      </c>
      <c r="AC1461" s="2">
        <f t="shared" si="17"/>
      </c>
      <c r="AD1461" s="2">
        <f t="shared" si="18"/>
      </c>
      <c r="AE1461" s="2">
        <f t="shared" si="19"/>
      </c>
      <c r="AF1461" s="2">
        <f t="shared" si="20"/>
      </c>
      <c r="AG1461" s="2">
        <f t="shared" si="21"/>
      </c>
      <c r="AH1461" s="2">
        <f t="shared" si="22"/>
      </c>
      <c r="AI1461" s="2">
        <f t="shared" si="23"/>
      </c>
      <c r="AJ1461" s="2">
        <f t="shared" si="24"/>
        <v>0</v>
      </c>
      <c r="AK1461" s="2">
        <f t="shared" si="25"/>
        <v>0</v>
      </c>
      <c r="AL1461" s="2">
        <f t="shared" si="26"/>
        <v>0</v>
      </c>
      <c r="AM1461" s="2">
        <f t="shared" si="27"/>
        <v>0</v>
      </c>
      <c r="AN1461" s="2">
        <f t="shared" si="28"/>
        <v>0</v>
      </c>
      <c r="AO1461" s="2">
        <f t="shared" si="29"/>
      </c>
      <c r="AP1461" s="2">
        <f t="shared" si="30"/>
      </c>
      <c r="AQ1461" s="2">
        <f t="shared" si="31"/>
      </c>
    </row>
    <row r="1462">
      <c r="A1462" s="43">
        <f t="shared" si="3"/>
      </c>
      <c r="B1462" s="44" t="n"/>
      <c r="C1462" s="45" t="n"/>
      <c r="D1462" s="46" t="n"/>
      <c r="E1462" s="47" t="n"/>
      <c r="F1462" s="47" t="n"/>
      <c r="G1462" s="48">
        <f t="shared" si="4"/>
      </c>
      <c r="H1462" s="43">
        <f t="shared" si="0"/>
      </c>
      <c r="I1462" s="43">
        <f t="shared" si="5"/>
      </c>
      <c r="J1462" s="43">
        <f t="shared" si="1"/>
      </c>
      <c r="K1462" s="49">
        <f t="shared" si="2"/>
      </c>
      <c r="L1462" s="45" t="n"/>
      <c r="M1462" s="45" t="n"/>
      <c r="N1462" s="45" t="n"/>
      <c r="O1462" s="45" t="n"/>
      <c r="P1462" s="50" t="n"/>
      <c r="R1462" s="2">
        <f t="shared" si="6"/>
        <v>0</v>
      </c>
      <c r="S1462" s="2">
        <f t="shared" si="7"/>
      </c>
      <c r="T1462" s="2">
        <f t="shared" si="8"/>
      </c>
      <c r="U1462" s="2">
        <f t="shared" si="9"/>
      </c>
      <c r="V1462" s="2">
        <f t="shared" si="10"/>
      </c>
      <c r="W1462" s="2">
        <f t="shared" si="11"/>
      </c>
      <c r="X1462" s="2">
        <f t="shared" si="12"/>
      </c>
      <c r="Y1462" s="2">
        <f t="shared" si="13"/>
        <v>0</v>
      </c>
      <c r="Z1462" s="2">
        <f t="shared" si="14"/>
      </c>
      <c r="AA1462" s="2">
        <f t="shared" si="15"/>
        <v>0</v>
      </c>
      <c r="AB1462" s="2">
        <f t="shared" si="16"/>
      </c>
      <c r="AC1462" s="2">
        <f t="shared" si="17"/>
      </c>
      <c r="AD1462" s="2">
        <f t="shared" si="18"/>
      </c>
      <c r="AE1462" s="2">
        <f t="shared" si="19"/>
      </c>
      <c r="AF1462" s="2">
        <f t="shared" si="20"/>
      </c>
      <c r="AG1462" s="2">
        <f t="shared" si="21"/>
      </c>
      <c r="AH1462" s="2">
        <f t="shared" si="22"/>
      </c>
      <c r="AI1462" s="2">
        <f t="shared" si="23"/>
      </c>
      <c r="AJ1462" s="2">
        <f t="shared" si="24"/>
        <v>0</v>
      </c>
      <c r="AK1462" s="2">
        <f t="shared" si="25"/>
        <v>0</v>
      </c>
      <c r="AL1462" s="2">
        <f t="shared" si="26"/>
        <v>0</v>
      </c>
      <c r="AM1462" s="2">
        <f t="shared" si="27"/>
        <v>0</v>
      </c>
      <c r="AN1462" s="2">
        <f t="shared" si="28"/>
        <v>0</v>
      </c>
      <c r="AO1462" s="2">
        <f t="shared" si="29"/>
      </c>
      <c r="AP1462" s="2">
        <f t="shared" si="30"/>
      </c>
      <c r="AQ1462" s="2">
        <f t="shared" si="31"/>
      </c>
    </row>
    <row r="1463">
      <c r="A1463" s="43">
        <f t="shared" si="3"/>
      </c>
      <c r="B1463" s="44" t="n"/>
      <c r="C1463" s="45" t="n"/>
      <c r="D1463" s="46" t="n"/>
      <c r="E1463" s="47" t="n"/>
      <c r="F1463" s="47" t="n"/>
      <c r="G1463" s="48">
        <f t="shared" si="4"/>
      </c>
      <c r="H1463" s="43">
        <f t="shared" si="0"/>
      </c>
      <c r="I1463" s="43">
        <f t="shared" si="5"/>
      </c>
      <c r="J1463" s="43">
        <f t="shared" si="1"/>
      </c>
      <c r="K1463" s="49">
        <f t="shared" si="2"/>
      </c>
      <c r="L1463" s="45" t="n"/>
      <c r="M1463" s="45" t="n"/>
      <c r="N1463" s="45" t="n"/>
      <c r="O1463" s="45" t="n"/>
      <c r="P1463" s="50" t="n"/>
      <c r="R1463" s="2">
        <f t="shared" si="6"/>
        <v>0</v>
      </c>
      <c r="S1463" s="2">
        <f t="shared" si="7"/>
      </c>
      <c r="T1463" s="2">
        <f t="shared" si="8"/>
      </c>
      <c r="U1463" s="2">
        <f t="shared" si="9"/>
      </c>
      <c r="V1463" s="2">
        <f t="shared" si="10"/>
      </c>
      <c r="W1463" s="2">
        <f t="shared" si="11"/>
      </c>
      <c r="X1463" s="2">
        <f t="shared" si="12"/>
      </c>
      <c r="Y1463" s="2">
        <f t="shared" si="13"/>
        <v>0</v>
      </c>
      <c r="Z1463" s="2">
        <f t="shared" si="14"/>
      </c>
      <c r="AA1463" s="2">
        <f t="shared" si="15"/>
        <v>0</v>
      </c>
      <c r="AB1463" s="2">
        <f t="shared" si="16"/>
      </c>
      <c r="AC1463" s="2">
        <f t="shared" si="17"/>
      </c>
      <c r="AD1463" s="2">
        <f t="shared" si="18"/>
      </c>
      <c r="AE1463" s="2">
        <f t="shared" si="19"/>
      </c>
      <c r="AF1463" s="2">
        <f t="shared" si="20"/>
      </c>
      <c r="AG1463" s="2">
        <f t="shared" si="21"/>
      </c>
      <c r="AH1463" s="2">
        <f t="shared" si="22"/>
      </c>
      <c r="AI1463" s="2">
        <f t="shared" si="23"/>
      </c>
      <c r="AJ1463" s="2">
        <f t="shared" si="24"/>
        <v>0</v>
      </c>
      <c r="AK1463" s="2">
        <f t="shared" si="25"/>
        <v>0</v>
      </c>
      <c r="AL1463" s="2">
        <f t="shared" si="26"/>
        <v>0</v>
      </c>
      <c r="AM1463" s="2">
        <f t="shared" si="27"/>
        <v>0</v>
      </c>
      <c r="AN1463" s="2">
        <f t="shared" si="28"/>
        <v>0</v>
      </c>
      <c r="AO1463" s="2">
        <f t="shared" si="29"/>
      </c>
      <c r="AP1463" s="2">
        <f t="shared" si="30"/>
      </c>
      <c r="AQ1463" s="2">
        <f t="shared" si="31"/>
      </c>
    </row>
    <row r="1464">
      <c r="A1464" s="43">
        <f t="shared" si="3"/>
      </c>
      <c r="B1464" s="44" t="n"/>
      <c r="C1464" s="45" t="n"/>
      <c r="D1464" s="46" t="n"/>
      <c r="E1464" s="47" t="n"/>
      <c r="F1464" s="47" t="n"/>
      <c r="G1464" s="48">
        <f t="shared" si="4"/>
      </c>
      <c r="H1464" s="43">
        <f t="shared" si="0"/>
      </c>
      <c r="I1464" s="43">
        <f t="shared" si="5"/>
      </c>
      <c r="J1464" s="43">
        <f t="shared" si="1"/>
      </c>
      <c r="K1464" s="49">
        <f t="shared" si="2"/>
      </c>
      <c r="L1464" s="45" t="n"/>
      <c r="M1464" s="45" t="n"/>
      <c r="N1464" s="45" t="n"/>
      <c r="O1464" s="45" t="n"/>
      <c r="P1464" s="50" t="n"/>
      <c r="R1464" s="2">
        <f t="shared" si="6"/>
        <v>0</v>
      </c>
      <c r="S1464" s="2">
        <f t="shared" si="7"/>
      </c>
      <c r="T1464" s="2">
        <f t="shared" si="8"/>
      </c>
      <c r="U1464" s="2">
        <f t="shared" si="9"/>
      </c>
      <c r="V1464" s="2">
        <f t="shared" si="10"/>
      </c>
      <c r="W1464" s="2">
        <f t="shared" si="11"/>
      </c>
      <c r="X1464" s="2">
        <f t="shared" si="12"/>
      </c>
      <c r="Y1464" s="2">
        <f t="shared" si="13"/>
        <v>0</v>
      </c>
      <c r="Z1464" s="2">
        <f t="shared" si="14"/>
      </c>
      <c r="AA1464" s="2">
        <f t="shared" si="15"/>
        <v>0</v>
      </c>
      <c r="AB1464" s="2">
        <f t="shared" si="16"/>
      </c>
      <c r="AC1464" s="2">
        <f t="shared" si="17"/>
      </c>
      <c r="AD1464" s="2">
        <f t="shared" si="18"/>
      </c>
      <c r="AE1464" s="2">
        <f t="shared" si="19"/>
      </c>
      <c r="AF1464" s="2">
        <f t="shared" si="20"/>
      </c>
      <c r="AG1464" s="2">
        <f t="shared" si="21"/>
      </c>
      <c r="AH1464" s="2">
        <f t="shared" si="22"/>
      </c>
      <c r="AI1464" s="2">
        <f t="shared" si="23"/>
      </c>
      <c r="AJ1464" s="2">
        <f t="shared" si="24"/>
        <v>0</v>
      </c>
      <c r="AK1464" s="2">
        <f t="shared" si="25"/>
        <v>0</v>
      </c>
      <c r="AL1464" s="2">
        <f t="shared" si="26"/>
        <v>0</v>
      </c>
      <c r="AM1464" s="2">
        <f t="shared" si="27"/>
        <v>0</v>
      </c>
      <c r="AN1464" s="2">
        <f t="shared" si="28"/>
        <v>0</v>
      </c>
      <c r="AO1464" s="2">
        <f t="shared" si="29"/>
      </c>
      <c r="AP1464" s="2">
        <f t="shared" si="30"/>
      </c>
      <c r="AQ1464" s="2">
        <f t="shared" si="31"/>
      </c>
    </row>
    <row r="1465">
      <c r="A1465" s="43">
        <f t="shared" si="3"/>
      </c>
      <c r="B1465" s="44" t="n"/>
      <c r="C1465" s="45" t="n"/>
      <c r="D1465" s="46" t="n"/>
      <c r="E1465" s="47" t="n"/>
      <c r="F1465" s="47" t="n"/>
      <c r="G1465" s="48">
        <f t="shared" si="4"/>
      </c>
      <c r="H1465" s="43">
        <f t="shared" si="0"/>
      </c>
      <c r="I1465" s="43">
        <f t="shared" si="5"/>
      </c>
      <c r="J1465" s="43">
        <f t="shared" si="1"/>
      </c>
      <c r="K1465" s="49">
        <f t="shared" si="2"/>
      </c>
      <c r="L1465" s="45" t="n"/>
      <c r="M1465" s="45" t="n"/>
      <c r="N1465" s="45" t="n"/>
      <c r="O1465" s="45" t="n"/>
      <c r="P1465" s="50" t="n"/>
      <c r="R1465" s="2">
        <f t="shared" si="6"/>
        <v>0</v>
      </c>
      <c r="S1465" s="2">
        <f t="shared" si="7"/>
      </c>
      <c r="T1465" s="2">
        <f t="shared" si="8"/>
      </c>
      <c r="U1465" s="2">
        <f t="shared" si="9"/>
      </c>
      <c r="V1465" s="2">
        <f t="shared" si="10"/>
      </c>
      <c r="W1465" s="2">
        <f t="shared" si="11"/>
      </c>
      <c r="X1465" s="2">
        <f t="shared" si="12"/>
      </c>
      <c r="Y1465" s="2">
        <f t="shared" si="13"/>
        <v>0</v>
      </c>
      <c r="Z1465" s="2">
        <f t="shared" si="14"/>
      </c>
      <c r="AA1465" s="2">
        <f t="shared" si="15"/>
        <v>0</v>
      </c>
      <c r="AB1465" s="2">
        <f t="shared" si="16"/>
      </c>
      <c r="AC1465" s="2">
        <f t="shared" si="17"/>
      </c>
      <c r="AD1465" s="2">
        <f t="shared" si="18"/>
      </c>
      <c r="AE1465" s="2">
        <f t="shared" si="19"/>
      </c>
      <c r="AF1465" s="2">
        <f t="shared" si="20"/>
      </c>
      <c r="AG1465" s="2">
        <f t="shared" si="21"/>
      </c>
      <c r="AH1465" s="2">
        <f t="shared" si="22"/>
      </c>
      <c r="AI1465" s="2">
        <f t="shared" si="23"/>
      </c>
      <c r="AJ1465" s="2">
        <f t="shared" si="24"/>
        <v>0</v>
      </c>
      <c r="AK1465" s="2">
        <f t="shared" si="25"/>
        <v>0</v>
      </c>
      <c r="AL1465" s="2">
        <f t="shared" si="26"/>
        <v>0</v>
      </c>
      <c r="AM1465" s="2">
        <f t="shared" si="27"/>
        <v>0</v>
      </c>
      <c r="AN1465" s="2">
        <f t="shared" si="28"/>
        <v>0</v>
      </c>
      <c r="AO1465" s="2">
        <f t="shared" si="29"/>
      </c>
      <c r="AP1465" s="2">
        <f t="shared" si="30"/>
      </c>
      <c r="AQ1465" s="2">
        <f t="shared" si="31"/>
      </c>
    </row>
    <row r="1466">
      <c r="A1466" s="43">
        <f t="shared" si="3"/>
      </c>
      <c r="B1466" s="44" t="n"/>
      <c r="C1466" s="45" t="n"/>
      <c r="D1466" s="46" t="n"/>
      <c r="E1466" s="47" t="n"/>
      <c r="F1466" s="47" t="n"/>
      <c r="G1466" s="48">
        <f t="shared" si="4"/>
      </c>
      <c r="H1466" s="43">
        <f t="shared" si="0"/>
      </c>
      <c r="I1466" s="43">
        <f t="shared" si="5"/>
      </c>
      <c r="J1466" s="43">
        <f t="shared" si="1"/>
      </c>
      <c r="K1466" s="49">
        <f t="shared" si="2"/>
      </c>
      <c r="L1466" s="45" t="n"/>
      <c r="M1466" s="45" t="n"/>
      <c r="N1466" s="45" t="n"/>
      <c r="O1466" s="45" t="n"/>
      <c r="P1466" s="50" t="n"/>
      <c r="R1466" s="2">
        <f t="shared" si="6"/>
        <v>0</v>
      </c>
      <c r="S1466" s="2">
        <f t="shared" si="7"/>
      </c>
      <c r="T1466" s="2">
        <f t="shared" si="8"/>
      </c>
      <c r="U1466" s="2">
        <f t="shared" si="9"/>
      </c>
      <c r="V1466" s="2">
        <f t="shared" si="10"/>
      </c>
      <c r="W1466" s="2">
        <f t="shared" si="11"/>
      </c>
      <c r="X1466" s="2">
        <f t="shared" si="12"/>
      </c>
      <c r="Y1466" s="2">
        <f t="shared" si="13"/>
        <v>0</v>
      </c>
      <c r="Z1466" s="2">
        <f t="shared" si="14"/>
      </c>
      <c r="AA1466" s="2">
        <f t="shared" si="15"/>
        <v>0</v>
      </c>
      <c r="AB1466" s="2">
        <f t="shared" si="16"/>
      </c>
      <c r="AC1466" s="2">
        <f t="shared" si="17"/>
      </c>
      <c r="AD1466" s="2">
        <f t="shared" si="18"/>
      </c>
      <c r="AE1466" s="2">
        <f t="shared" si="19"/>
      </c>
      <c r="AF1466" s="2">
        <f t="shared" si="20"/>
      </c>
      <c r="AG1466" s="2">
        <f t="shared" si="21"/>
      </c>
      <c r="AH1466" s="2">
        <f t="shared" si="22"/>
      </c>
      <c r="AI1466" s="2">
        <f t="shared" si="23"/>
      </c>
      <c r="AJ1466" s="2">
        <f t="shared" si="24"/>
        <v>0</v>
      </c>
      <c r="AK1466" s="2">
        <f t="shared" si="25"/>
        <v>0</v>
      </c>
      <c r="AL1466" s="2">
        <f t="shared" si="26"/>
        <v>0</v>
      </c>
      <c r="AM1466" s="2">
        <f t="shared" si="27"/>
        <v>0</v>
      </c>
      <c r="AN1466" s="2">
        <f t="shared" si="28"/>
        <v>0</v>
      </c>
      <c r="AO1466" s="2">
        <f t="shared" si="29"/>
      </c>
      <c r="AP1466" s="2">
        <f t="shared" si="30"/>
      </c>
      <c r="AQ1466" s="2">
        <f t="shared" si="31"/>
      </c>
    </row>
    <row r="1467">
      <c r="A1467" s="43">
        <f t="shared" si="3"/>
      </c>
      <c r="B1467" s="44" t="n"/>
      <c r="C1467" s="45" t="n"/>
      <c r="D1467" s="46" t="n"/>
      <c r="E1467" s="47" t="n"/>
      <c r="F1467" s="47" t="n"/>
      <c r="G1467" s="48">
        <f t="shared" si="4"/>
      </c>
      <c r="H1467" s="43">
        <f t="shared" si="0"/>
      </c>
      <c r="I1467" s="43">
        <f t="shared" si="5"/>
      </c>
      <c r="J1467" s="43">
        <f t="shared" si="1"/>
      </c>
      <c r="K1467" s="49">
        <f t="shared" si="2"/>
      </c>
      <c r="L1467" s="45" t="n"/>
      <c r="M1467" s="45" t="n"/>
      <c r="N1467" s="45" t="n"/>
      <c r="O1467" s="45" t="n"/>
      <c r="P1467" s="50" t="n"/>
      <c r="R1467" s="2">
        <f t="shared" si="6"/>
        <v>0</v>
      </c>
      <c r="S1467" s="2">
        <f t="shared" si="7"/>
      </c>
      <c r="T1467" s="2">
        <f t="shared" si="8"/>
      </c>
      <c r="U1467" s="2">
        <f t="shared" si="9"/>
      </c>
      <c r="V1467" s="2">
        <f t="shared" si="10"/>
      </c>
      <c r="W1467" s="2">
        <f t="shared" si="11"/>
      </c>
      <c r="X1467" s="2">
        <f t="shared" si="12"/>
      </c>
      <c r="Y1467" s="2">
        <f t="shared" si="13"/>
        <v>0</v>
      </c>
      <c r="Z1467" s="2">
        <f t="shared" si="14"/>
      </c>
      <c r="AA1467" s="2">
        <f t="shared" si="15"/>
        <v>0</v>
      </c>
      <c r="AB1467" s="2">
        <f t="shared" si="16"/>
      </c>
      <c r="AC1467" s="2">
        <f t="shared" si="17"/>
      </c>
      <c r="AD1467" s="2">
        <f t="shared" si="18"/>
      </c>
      <c r="AE1467" s="2">
        <f t="shared" si="19"/>
      </c>
      <c r="AF1467" s="2">
        <f t="shared" si="20"/>
      </c>
      <c r="AG1467" s="2">
        <f t="shared" si="21"/>
      </c>
      <c r="AH1467" s="2">
        <f t="shared" si="22"/>
      </c>
      <c r="AI1467" s="2">
        <f t="shared" si="23"/>
      </c>
      <c r="AJ1467" s="2">
        <f t="shared" si="24"/>
        <v>0</v>
      </c>
      <c r="AK1467" s="2">
        <f t="shared" si="25"/>
        <v>0</v>
      </c>
      <c r="AL1467" s="2">
        <f t="shared" si="26"/>
        <v>0</v>
      </c>
      <c r="AM1467" s="2">
        <f t="shared" si="27"/>
        <v>0</v>
      </c>
      <c r="AN1467" s="2">
        <f t="shared" si="28"/>
        <v>0</v>
      </c>
      <c r="AO1467" s="2">
        <f t="shared" si="29"/>
      </c>
      <c r="AP1467" s="2">
        <f t="shared" si="30"/>
      </c>
      <c r="AQ1467" s="2">
        <f t="shared" si="31"/>
      </c>
    </row>
    <row r="1468">
      <c r="A1468" s="43">
        <f t="shared" si="3"/>
      </c>
      <c r="B1468" s="44" t="n"/>
      <c r="C1468" s="45" t="n"/>
      <c r="D1468" s="46" t="n"/>
      <c r="E1468" s="47" t="n"/>
      <c r="F1468" s="47" t="n"/>
      <c r="G1468" s="48">
        <f t="shared" si="4"/>
      </c>
      <c r="H1468" s="43">
        <f t="shared" si="0"/>
      </c>
      <c r="I1468" s="43">
        <f t="shared" si="5"/>
      </c>
      <c r="J1468" s="43">
        <f t="shared" si="1"/>
      </c>
      <c r="K1468" s="49">
        <f t="shared" si="2"/>
      </c>
      <c r="L1468" s="45" t="n"/>
      <c r="M1468" s="45" t="n"/>
      <c r="N1468" s="45" t="n"/>
      <c r="O1468" s="45" t="n"/>
      <c r="P1468" s="50" t="n"/>
      <c r="R1468" s="2">
        <f t="shared" si="6"/>
        <v>0</v>
      </c>
      <c r="S1468" s="2">
        <f t="shared" si="7"/>
      </c>
      <c r="T1468" s="2">
        <f t="shared" si="8"/>
      </c>
      <c r="U1468" s="2">
        <f t="shared" si="9"/>
      </c>
      <c r="V1468" s="2">
        <f t="shared" si="10"/>
      </c>
      <c r="W1468" s="2">
        <f t="shared" si="11"/>
      </c>
      <c r="X1468" s="2">
        <f t="shared" si="12"/>
      </c>
      <c r="Y1468" s="2">
        <f t="shared" si="13"/>
        <v>0</v>
      </c>
      <c r="Z1468" s="2">
        <f t="shared" si="14"/>
      </c>
      <c r="AA1468" s="2">
        <f t="shared" si="15"/>
        <v>0</v>
      </c>
      <c r="AB1468" s="2">
        <f t="shared" si="16"/>
      </c>
      <c r="AC1468" s="2">
        <f t="shared" si="17"/>
      </c>
      <c r="AD1468" s="2">
        <f t="shared" si="18"/>
      </c>
      <c r="AE1468" s="2">
        <f t="shared" si="19"/>
      </c>
      <c r="AF1468" s="2">
        <f t="shared" si="20"/>
      </c>
      <c r="AG1468" s="2">
        <f t="shared" si="21"/>
      </c>
      <c r="AH1468" s="2">
        <f t="shared" si="22"/>
      </c>
      <c r="AI1468" s="2">
        <f t="shared" si="23"/>
      </c>
      <c r="AJ1468" s="2">
        <f t="shared" si="24"/>
        <v>0</v>
      </c>
      <c r="AK1468" s="2">
        <f t="shared" si="25"/>
        <v>0</v>
      </c>
      <c r="AL1468" s="2">
        <f t="shared" si="26"/>
        <v>0</v>
      </c>
      <c r="AM1468" s="2">
        <f t="shared" si="27"/>
        <v>0</v>
      </c>
      <c r="AN1468" s="2">
        <f t="shared" si="28"/>
        <v>0</v>
      </c>
      <c r="AO1468" s="2">
        <f t="shared" si="29"/>
      </c>
      <c r="AP1468" s="2">
        <f t="shared" si="30"/>
      </c>
      <c r="AQ1468" s="2">
        <f t="shared" si="31"/>
      </c>
    </row>
    <row r="1469">
      <c r="A1469" s="43">
        <f t="shared" si="3"/>
      </c>
      <c r="B1469" s="44" t="n"/>
      <c r="C1469" s="45" t="n"/>
      <c r="D1469" s="46" t="n"/>
      <c r="E1469" s="47" t="n"/>
      <c r="F1469" s="47" t="n"/>
      <c r="G1469" s="48">
        <f t="shared" si="4"/>
      </c>
      <c r="H1469" s="43">
        <f t="shared" si="0"/>
      </c>
      <c r="I1469" s="43">
        <f t="shared" si="5"/>
      </c>
      <c r="J1469" s="43">
        <f t="shared" si="1"/>
      </c>
      <c r="K1469" s="49">
        <f t="shared" si="2"/>
      </c>
      <c r="L1469" s="45" t="n"/>
      <c r="M1469" s="45" t="n"/>
      <c r="N1469" s="45" t="n"/>
      <c r="O1469" s="45" t="n"/>
      <c r="P1469" s="50" t="n"/>
      <c r="R1469" s="2">
        <f t="shared" si="6"/>
        <v>0</v>
      </c>
      <c r="S1469" s="2">
        <f t="shared" si="7"/>
      </c>
      <c r="T1469" s="2">
        <f t="shared" si="8"/>
      </c>
      <c r="U1469" s="2">
        <f t="shared" si="9"/>
      </c>
      <c r="V1469" s="2">
        <f t="shared" si="10"/>
      </c>
      <c r="W1469" s="2">
        <f t="shared" si="11"/>
      </c>
      <c r="X1469" s="2">
        <f t="shared" si="12"/>
      </c>
      <c r="Y1469" s="2">
        <f t="shared" si="13"/>
        <v>0</v>
      </c>
      <c r="Z1469" s="2">
        <f t="shared" si="14"/>
      </c>
      <c r="AA1469" s="2">
        <f t="shared" si="15"/>
        <v>0</v>
      </c>
      <c r="AB1469" s="2">
        <f t="shared" si="16"/>
      </c>
      <c r="AC1469" s="2">
        <f t="shared" si="17"/>
      </c>
      <c r="AD1469" s="2">
        <f t="shared" si="18"/>
      </c>
      <c r="AE1469" s="2">
        <f t="shared" si="19"/>
      </c>
      <c r="AF1469" s="2">
        <f t="shared" si="20"/>
      </c>
      <c r="AG1469" s="2">
        <f t="shared" si="21"/>
      </c>
      <c r="AH1469" s="2">
        <f t="shared" si="22"/>
      </c>
      <c r="AI1469" s="2">
        <f t="shared" si="23"/>
      </c>
      <c r="AJ1469" s="2">
        <f t="shared" si="24"/>
        <v>0</v>
      </c>
      <c r="AK1469" s="2">
        <f t="shared" si="25"/>
        <v>0</v>
      </c>
      <c r="AL1469" s="2">
        <f t="shared" si="26"/>
        <v>0</v>
      </c>
      <c r="AM1469" s="2">
        <f t="shared" si="27"/>
        <v>0</v>
      </c>
      <c r="AN1469" s="2">
        <f t="shared" si="28"/>
        <v>0</v>
      </c>
      <c r="AO1469" s="2">
        <f t="shared" si="29"/>
      </c>
      <c r="AP1469" s="2">
        <f t="shared" si="30"/>
      </c>
      <c r="AQ1469" s="2">
        <f t="shared" si="31"/>
      </c>
    </row>
    <row r="1470">
      <c r="A1470" s="43">
        <f t="shared" si="3"/>
      </c>
      <c r="B1470" s="44" t="n"/>
      <c r="C1470" s="45" t="n"/>
      <c r="D1470" s="46" t="n"/>
      <c r="E1470" s="47" t="n"/>
      <c r="F1470" s="47" t="n"/>
      <c r="G1470" s="48">
        <f t="shared" si="4"/>
      </c>
      <c r="H1470" s="43">
        <f t="shared" si="0"/>
      </c>
      <c r="I1470" s="43">
        <f t="shared" si="5"/>
      </c>
      <c r="J1470" s="43">
        <f t="shared" si="1"/>
      </c>
      <c r="K1470" s="49">
        <f t="shared" si="2"/>
      </c>
      <c r="L1470" s="45" t="n"/>
      <c r="M1470" s="45" t="n"/>
      <c r="N1470" s="45" t="n"/>
      <c r="O1470" s="45" t="n"/>
      <c r="P1470" s="50" t="n"/>
      <c r="R1470" s="2">
        <f t="shared" si="6"/>
        <v>0</v>
      </c>
      <c r="S1470" s="2">
        <f t="shared" si="7"/>
      </c>
      <c r="T1470" s="2">
        <f t="shared" si="8"/>
      </c>
      <c r="U1470" s="2">
        <f t="shared" si="9"/>
      </c>
      <c r="V1470" s="2">
        <f t="shared" si="10"/>
      </c>
      <c r="W1470" s="2">
        <f t="shared" si="11"/>
      </c>
      <c r="X1470" s="2">
        <f t="shared" si="12"/>
      </c>
      <c r="Y1470" s="2">
        <f t="shared" si="13"/>
        <v>0</v>
      </c>
      <c r="Z1470" s="2">
        <f t="shared" si="14"/>
      </c>
      <c r="AA1470" s="2">
        <f t="shared" si="15"/>
        <v>0</v>
      </c>
      <c r="AB1470" s="2">
        <f t="shared" si="16"/>
      </c>
      <c r="AC1470" s="2">
        <f t="shared" si="17"/>
      </c>
      <c r="AD1470" s="2">
        <f t="shared" si="18"/>
      </c>
      <c r="AE1470" s="2">
        <f t="shared" si="19"/>
      </c>
      <c r="AF1470" s="2">
        <f t="shared" si="20"/>
      </c>
      <c r="AG1470" s="2">
        <f t="shared" si="21"/>
      </c>
      <c r="AH1470" s="2">
        <f t="shared" si="22"/>
      </c>
      <c r="AI1470" s="2">
        <f t="shared" si="23"/>
      </c>
      <c r="AJ1470" s="2">
        <f t="shared" si="24"/>
        <v>0</v>
      </c>
      <c r="AK1470" s="2">
        <f t="shared" si="25"/>
        <v>0</v>
      </c>
      <c r="AL1470" s="2">
        <f t="shared" si="26"/>
        <v>0</v>
      </c>
      <c r="AM1470" s="2">
        <f t="shared" si="27"/>
        <v>0</v>
      </c>
      <c r="AN1470" s="2">
        <f t="shared" si="28"/>
        <v>0</v>
      </c>
      <c r="AO1470" s="2">
        <f t="shared" si="29"/>
      </c>
      <c r="AP1470" s="2">
        <f t="shared" si="30"/>
      </c>
      <c r="AQ1470" s="2">
        <f t="shared" si="31"/>
      </c>
    </row>
    <row r="1471">
      <c r="A1471" s="43">
        <f t="shared" si="3"/>
      </c>
      <c r="B1471" s="44" t="n"/>
      <c r="C1471" s="45" t="n"/>
      <c r="D1471" s="46" t="n"/>
      <c r="E1471" s="47" t="n"/>
      <c r="F1471" s="47" t="n"/>
      <c r="G1471" s="48">
        <f t="shared" si="4"/>
      </c>
      <c r="H1471" s="43">
        <f t="shared" si="0"/>
      </c>
      <c r="I1471" s="43">
        <f t="shared" si="5"/>
      </c>
      <c r="J1471" s="43">
        <f t="shared" si="1"/>
      </c>
      <c r="K1471" s="49">
        <f t="shared" si="2"/>
      </c>
      <c r="L1471" s="45" t="n"/>
      <c r="M1471" s="45" t="n"/>
      <c r="N1471" s="45" t="n"/>
      <c r="O1471" s="45" t="n"/>
      <c r="P1471" s="50" t="n"/>
      <c r="R1471" s="2">
        <f t="shared" si="6"/>
        <v>0</v>
      </c>
      <c r="S1471" s="2">
        <f t="shared" si="7"/>
      </c>
      <c r="T1471" s="2">
        <f t="shared" si="8"/>
      </c>
      <c r="U1471" s="2">
        <f t="shared" si="9"/>
      </c>
      <c r="V1471" s="2">
        <f t="shared" si="10"/>
      </c>
      <c r="W1471" s="2">
        <f t="shared" si="11"/>
      </c>
      <c r="X1471" s="2">
        <f t="shared" si="12"/>
      </c>
      <c r="Y1471" s="2">
        <f t="shared" si="13"/>
        <v>0</v>
      </c>
      <c r="Z1471" s="2">
        <f t="shared" si="14"/>
      </c>
      <c r="AA1471" s="2">
        <f t="shared" si="15"/>
        <v>0</v>
      </c>
      <c r="AB1471" s="2">
        <f t="shared" si="16"/>
      </c>
      <c r="AC1471" s="2">
        <f t="shared" si="17"/>
      </c>
      <c r="AD1471" s="2">
        <f t="shared" si="18"/>
      </c>
      <c r="AE1471" s="2">
        <f t="shared" si="19"/>
      </c>
      <c r="AF1471" s="2">
        <f t="shared" si="20"/>
      </c>
      <c r="AG1471" s="2">
        <f t="shared" si="21"/>
      </c>
      <c r="AH1471" s="2">
        <f t="shared" si="22"/>
      </c>
      <c r="AI1471" s="2">
        <f t="shared" si="23"/>
      </c>
      <c r="AJ1471" s="2">
        <f t="shared" si="24"/>
        <v>0</v>
      </c>
      <c r="AK1471" s="2">
        <f t="shared" si="25"/>
        <v>0</v>
      </c>
      <c r="AL1471" s="2">
        <f t="shared" si="26"/>
        <v>0</v>
      </c>
      <c r="AM1471" s="2">
        <f t="shared" si="27"/>
        <v>0</v>
      </c>
      <c r="AN1471" s="2">
        <f t="shared" si="28"/>
        <v>0</v>
      </c>
      <c r="AO1471" s="2">
        <f t="shared" si="29"/>
      </c>
      <c r="AP1471" s="2">
        <f t="shared" si="30"/>
      </c>
      <c r="AQ1471" s="2">
        <f t="shared" si="31"/>
      </c>
    </row>
    <row r="1472">
      <c r="A1472" s="43">
        <f t="shared" si="3"/>
      </c>
      <c r="B1472" s="44" t="n"/>
      <c r="C1472" s="45" t="n"/>
      <c r="D1472" s="46" t="n"/>
      <c r="E1472" s="47" t="n"/>
      <c r="F1472" s="47" t="n"/>
      <c r="G1472" s="48">
        <f t="shared" si="4"/>
      </c>
      <c r="H1472" s="43">
        <f t="shared" si="0"/>
      </c>
      <c r="I1472" s="43">
        <f t="shared" si="5"/>
      </c>
      <c r="J1472" s="43">
        <f t="shared" si="1"/>
      </c>
      <c r="K1472" s="49">
        <f t="shared" si="2"/>
      </c>
      <c r="L1472" s="45" t="n"/>
      <c r="M1472" s="45" t="n"/>
      <c r="N1472" s="45" t="n"/>
      <c r="O1472" s="45" t="n"/>
      <c r="P1472" s="50" t="n"/>
      <c r="R1472" s="2">
        <f t="shared" si="6"/>
        <v>0</v>
      </c>
      <c r="S1472" s="2">
        <f t="shared" si="7"/>
      </c>
      <c r="T1472" s="2">
        <f t="shared" si="8"/>
      </c>
      <c r="U1472" s="2">
        <f t="shared" si="9"/>
      </c>
      <c r="V1472" s="2">
        <f t="shared" si="10"/>
      </c>
      <c r="W1472" s="2">
        <f t="shared" si="11"/>
      </c>
      <c r="X1472" s="2">
        <f t="shared" si="12"/>
      </c>
      <c r="Y1472" s="2">
        <f t="shared" si="13"/>
        <v>0</v>
      </c>
      <c r="Z1472" s="2">
        <f t="shared" si="14"/>
      </c>
      <c r="AA1472" s="2">
        <f t="shared" si="15"/>
        <v>0</v>
      </c>
      <c r="AB1472" s="2">
        <f t="shared" si="16"/>
      </c>
      <c r="AC1472" s="2">
        <f t="shared" si="17"/>
      </c>
      <c r="AD1472" s="2">
        <f t="shared" si="18"/>
      </c>
      <c r="AE1472" s="2">
        <f t="shared" si="19"/>
      </c>
      <c r="AF1472" s="2">
        <f t="shared" si="20"/>
      </c>
      <c r="AG1472" s="2">
        <f t="shared" si="21"/>
      </c>
      <c r="AH1472" s="2">
        <f t="shared" si="22"/>
      </c>
      <c r="AI1472" s="2">
        <f t="shared" si="23"/>
      </c>
      <c r="AJ1472" s="2">
        <f t="shared" si="24"/>
        <v>0</v>
      </c>
      <c r="AK1472" s="2">
        <f t="shared" si="25"/>
        <v>0</v>
      </c>
      <c r="AL1472" s="2">
        <f t="shared" si="26"/>
        <v>0</v>
      </c>
      <c r="AM1472" s="2">
        <f t="shared" si="27"/>
        <v>0</v>
      </c>
      <c r="AN1472" s="2">
        <f t="shared" si="28"/>
        <v>0</v>
      </c>
      <c r="AO1472" s="2">
        <f t="shared" si="29"/>
      </c>
      <c r="AP1472" s="2">
        <f t="shared" si="30"/>
      </c>
      <c r="AQ1472" s="2">
        <f t="shared" si="31"/>
      </c>
    </row>
    <row r="1473">
      <c r="A1473" s="43">
        <f t="shared" si="3"/>
      </c>
      <c r="B1473" s="44" t="n"/>
      <c r="C1473" s="45" t="n"/>
      <c r="D1473" s="46" t="n"/>
      <c r="E1473" s="47" t="n"/>
      <c r="F1473" s="47" t="n"/>
      <c r="G1473" s="48">
        <f t="shared" si="4"/>
      </c>
      <c r="H1473" s="43">
        <f t="shared" si="0"/>
      </c>
      <c r="I1473" s="43">
        <f t="shared" si="5"/>
      </c>
      <c r="J1473" s="43">
        <f t="shared" si="1"/>
      </c>
      <c r="K1473" s="49">
        <f t="shared" si="2"/>
      </c>
      <c r="L1473" s="45" t="n"/>
      <c r="M1473" s="45" t="n"/>
      <c r="N1473" s="45" t="n"/>
      <c r="O1473" s="45" t="n"/>
      <c r="P1473" s="50" t="n"/>
      <c r="R1473" s="2">
        <f t="shared" si="6"/>
        <v>0</v>
      </c>
      <c r="S1473" s="2">
        <f t="shared" si="7"/>
      </c>
      <c r="T1473" s="2">
        <f t="shared" si="8"/>
      </c>
      <c r="U1473" s="2">
        <f t="shared" si="9"/>
      </c>
      <c r="V1473" s="2">
        <f t="shared" si="10"/>
      </c>
      <c r="W1473" s="2">
        <f t="shared" si="11"/>
      </c>
      <c r="X1473" s="2">
        <f t="shared" si="12"/>
      </c>
      <c r="Y1473" s="2">
        <f t="shared" si="13"/>
        <v>0</v>
      </c>
      <c r="Z1473" s="2">
        <f t="shared" si="14"/>
      </c>
      <c r="AA1473" s="2">
        <f t="shared" si="15"/>
        <v>0</v>
      </c>
      <c r="AB1473" s="2">
        <f t="shared" si="16"/>
      </c>
      <c r="AC1473" s="2">
        <f t="shared" si="17"/>
      </c>
      <c r="AD1473" s="2">
        <f t="shared" si="18"/>
      </c>
      <c r="AE1473" s="2">
        <f t="shared" si="19"/>
      </c>
      <c r="AF1473" s="2">
        <f t="shared" si="20"/>
      </c>
      <c r="AG1473" s="2">
        <f t="shared" si="21"/>
      </c>
      <c r="AH1473" s="2">
        <f t="shared" si="22"/>
      </c>
      <c r="AI1473" s="2">
        <f t="shared" si="23"/>
      </c>
      <c r="AJ1473" s="2">
        <f t="shared" si="24"/>
        <v>0</v>
      </c>
      <c r="AK1473" s="2">
        <f t="shared" si="25"/>
        <v>0</v>
      </c>
      <c r="AL1473" s="2">
        <f t="shared" si="26"/>
        <v>0</v>
      </c>
      <c r="AM1473" s="2">
        <f t="shared" si="27"/>
        <v>0</v>
      </c>
      <c r="AN1473" s="2">
        <f t="shared" si="28"/>
        <v>0</v>
      </c>
      <c r="AO1473" s="2">
        <f t="shared" si="29"/>
      </c>
      <c r="AP1473" s="2">
        <f t="shared" si="30"/>
      </c>
      <c r="AQ1473" s="2">
        <f t="shared" si="31"/>
      </c>
    </row>
    <row r="1474">
      <c r="A1474" s="43">
        <f t="shared" si="3"/>
      </c>
      <c r="B1474" s="44" t="n"/>
      <c r="C1474" s="45" t="n"/>
      <c r="D1474" s="46" t="n"/>
      <c r="E1474" s="47" t="n"/>
      <c r="F1474" s="47" t="n"/>
      <c r="G1474" s="48">
        <f t="shared" si="4"/>
      </c>
      <c r="H1474" s="43">
        <f t="shared" si="0"/>
      </c>
      <c r="I1474" s="43">
        <f t="shared" si="5"/>
      </c>
      <c r="J1474" s="43">
        <f t="shared" si="1"/>
      </c>
      <c r="K1474" s="49">
        <f t="shared" si="2"/>
      </c>
      <c r="L1474" s="45" t="n"/>
      <c r="M1474" s="45" t="n"/>
      <c r="N1474" s="45" t="n"/>
      <c r="O1474" s="45" t="n"/>
      <c r="P1474" s="50" t="n"/>
      <c r="R1474" s="2">
        <f t="shared" si="6"/>
        <v>0</v>
      </c>
      <c r="S1474" s="2">
        <f t="shared" si="7"/>
      </c>
      <c r="T1474" s="2">
        <f t="shared" si="8"/>
      </c>
      <c r="U1474" s="2">
        <f t="shared" si="9"/>
      </c>
      <c r="V1474" s="2">
        <f t="shared" si="10"/>
      </c>
      <c r="W1474" s="2">
        <f t="shared" si="11"/>
      </c>
      <c r="X1474" s="2">
        <f t="shared" si="12"/>
      </c>
      <c r="Y1474" s="2">
        <f t="shared" si="13"/>
        <v>0</v>
      </c>
      <c r="Z1474" s="2">
        <f t="shared" si="14"/>
      </c>
      <c r="AA1474" s="2">
        <f t="shared" si="15"/>
        <v>0</v>
      </c>
      <c r="AB1474" s="2">
        <f t="shared" si="16"/>
      </c>
      <c r="AC1474" s="2">
        <f t="shared" si="17"/>
      </c>
      <c r="AD1474" s="2">
        <f t="shared" si="18"/>
      </c>
      <c r="AE1474" s="2">
        <f t="shared" si="19"/>
      </c>
      <c r="AF1474" s="2">
        <f t="shared" si="20"/>
      </c>
      <c r="AG1474" s="2">
        <f t="shared" si="21"/>
      </c>
      <c r="AH1474" s="2">
        <f t="shared" si="22"/>
      </c>
      <c r="AI1474" s="2">
        <f t="shared" si="23"/>
      </c>
      <c r="AJ1474" s="2">
        <f t="shared" si="24"/>
        <v>0</v>
      </c>
      <c r="AK1474" s="2">
        <f t="shared" si="25"/>
        <v>0</v>
      </c>
      <c r="AL1474" s="2">
        <f t="shared" si="26"/>
        <v>0</v>
      </c>
      <c r="AM1474" s="2">
        <f t="shared" si="27"/>
        <v>0</v>
      </c>
      <c r="AN1474" s="2">
        <f t="shared" si="28"/>
        <v>0</v>
      </c>
      <c r="AO1474" s="2">
        <f t="shared" si="29"/>
      </c>
      <c r="AP1474" s="2">
        <f t="shared" si="30"/>
      </c>
      <c r="AQ1474" s="2">
        <f t="shared" si="31"/>
      </c>
    </row>
    <row r="1475">
      <c r="A1475" s="43">
        <f t="shared" si="3"/>
      </c>
      <c r="B1475" s="44" t="n"/>
      <c r="C1475" s="45" t="n"/>
      <c r="D1475" s="46" t="n"/>
      <c r="E1475" s="47" t="n"/>
      <c r="F1475" s="47" t="n"/>
      <c r="G1475" s="48">
        <f t="shared" si="4"/>
      </c>
      <c r="H1475" s="43">
        <f t="shared" si="0"/>
      </c>
      <c r="I1475" s="43">
        <f t="shared" si="5"/>
      </c>
      <c r="J1475" s="43">
        <f t="shared" si="1"/>
      </c>
      <c r="K1475" s="49">
        <f t="shared" si="2"/>
      </c>
      <c r="L1475" s="45" t="n"/>
      <c r="M1475" s="45" t="n"/>
      <c r="N1475" s="45" t="n"/>
      <c r="O1475" s="45" t="n"/>
      <c r="P1475" s="50" t="n"/>
      <c r="R1475" s="2">
        <f t="shared" si="6"/>
        <v>0</v>
      </c>
      <c r="S1475" s="2">
        <f t="shared" si="7"/>
      </c>
      <c r="T1475" s="2">
        <f t="shared" si="8"/>
      </c>
      <c r="U1475" s="2">
        <f t="shared" si="9"/>
      </c>
      <c r="V1475" s="2">
        <f t="shared" si="10"/>
      </c>
      <c r="W1475" s="2">
        <f t="shared" si="11"/>
      </c>
      <c r="X1475" s="2">
        <f t="shared" si="12"/>
      </c>
      <c r="Y1475" s="2">
        <f t="shared" si="13"/>
        <v>0</v>
      </c>
      <c r="Z1475" s="2">
        <f t="shared" si="14"/>
      </c>
      <c r="AA1475" s="2">
        <f t="shared" si="15"/>
        <v>0</v>
      </c>
      <c r="AB1475" s="2">
        <f t="shared" si="16"/>
      </c>
      <c r="AC1475" s="2">
        <f t="shared" si="17"/>
      </c>
      <c r="AD1475" s="2">
        <f t="shared" si="18"/>
      </c>
      <c r="AE1475" s="2">
        <f t="shared" si="19"/>
      </c>
      <c r="AF1475" s="2">
        <f t="shared" si="20"/>
      </c>
      <c r="AG1475" s="2">
        <f t="shared" si="21"/>
      </c>
      <c r="AH1475" s="2">
        <f t="shared" si="22"/>
      </c>
      <c r="AI1475" s="2">
        <f t="shared" si="23"/>
      </c>
      <c r="AJ1475" s="2">
        <f t="shared" si="24"/>
        <v>0</v>
      </c>
      <c r="AK1475" s="2">
        <f t="shared" si="25"/>
        <v>0</v>
      </c>
      <c r="AL1475" s="2">
        <f t="shared" si="26"/>
        <v>0</v>
      </c>
      <c r="AM1475" s="2">
        <f t="shared" si="27"/>
        <v>0</v>
      </c>
      <c r="AN1475" s="2">
        <f t="shared" si="28"/>
        <v>0</v>
      </c>
      <c r="AO1475" s="2">
        <f t="shared" si="29"/>
      </c>
      <c r="AP1475" s="2">
        <f t="shared" si="30"/>
      </c>
      <c r="AQ1475" s="2">
        <f t="shared" si="31"/>
      </c>
    </row>
    <row r="1476">
      <c r="A1476" s="43">
        <f t="shared" si="3"/>
      </c>
      <c r="B1476" s="44" t="n"/>
      <c r="C1476" s="45" t="n"/>
      <c r="D1476" s="46" t="n"/>
      <c r="E1476" s="47" t="n"/>
      <c r="F1476" s="47" t="n"/>
      <c r="G1476" s="48">
        <f t="shared" si="4"/>
      </c>
      <c r="H1476" s="43">
        <f t="shared" si="0"/>
      </c>
      <c r="I1476" s="43">
        <f t="shared" si="5"/>
      </c>
      <c r="J1476" s="43">
        <f t="shared" si="1"/>
      </c>
      <c r="K1476" s="49">
        <f t="shared" si="2"/>
      </c>
      <c r="L1476" s="45" t="n"/>
      <c r="M1476" s="45" t="n"/>
      <c r="N1476" s="45" t="n"/>
      <c r="O1476" s="45" t="n"/>
      <c r="P1476" s="50" t="n"/>
      <c r="R1476" s="2">
        <f t="shared" si="6"/>
        <v>0</v>
      </c>
      <c r="S1476" s="2">
        <f t="shared" si="7"/>
      </c>
      <c r="T1476" s="2">
        <f t="shared" si="8"/>
      </c>
      <c r="U1476" s="2">
        <f t="shared" si="9"/>
      </c>
      <c r="V1476" s="2">
        <f t="shared" si="10"/>
      </c>
      <c r="W1476" s="2">
        <f t="shared" si="11"/>
      </c>
      <c r="X1476" s="2">
        <f t="shared" si="12"/>
      </c>
      <c r="Y1476" s="2">
        <f t="shared" si="13"/>
        <v>0</v>
      </c>
      <c r="Z1476" s="2">
        <f t="shared" si="14"/>
      </c>
      <c r="AA1476" s="2">
        <f t="shared" si="15"/>
        <v>0</v>
      </c>
      <c r="AB1476" s="2">
        <f t="shared" si="16"/>
      </c>
      <c r="AC1476" s="2">
        <f t="shared" si="17"/>
      </c>
      <c r="AD1476" s="2">
        <f t="shared" si="18"/>
      </c>
      <c r="AE1476" s="2">
        <f t="shared" si="19"/>
      </c>
      <c r="AF1476" s="2">
        <f t="shared" si="20"/>
      </c>
      <c r="AG1476" s="2">
        <f t="shared" si="21"/>
      </c>
      <c r="AH1476" s="2">
        <f t="shared" si="22"/>
      </c>
      <c r="AI1476" s="2">
        <f t="shared" si="23"/>
      </c>
      <c r="AJ1476" s="2">
        <f t="shared" si="24"/>
        <v>0</v>
      </c>
      <c r="AK1476" s="2">
        <f t="shared" si="25"/>
        <v>0</v>
      </c>
      <c r="AL1476" s="2">
        <f t="shared" si="26"/>
        <v>0</v>
      </c>
      <c r="AM1476" s="2">
        <f t="shared" si="27"/>
        <v>0</v>
      </c>
      <c r="AN1476" s="2">
        <f t="shared" si="28"/>
        <v>0</v>
      </c>
      <c r="AO1476" s="2">
        <f t="shared" si="29"/>
      </c>
      <c r="AP1476" s="2">
        <f t="shared" si="30"/>
      </c>
      <c r="AQ1476" s="2">
        <f t="shared" si="31"/>
      </c>
    </row>
    <row r="1477">
      <c r="A1477" s="43">
        <f t="shared" si="3"/>
      </c>
      <c r="B1477" s="44" t="n"/>
      <c r="C1477" s="45" t="n"/>
      <c r="D1477" s="46" t="n"/>
      <c r="E1477" s="47" t="n"/>
      <c r="F1477" s="47" t="n"/>
      <c r="G1477" s="48">
        <f t="shared" si="4"/>
      </c>
      <c r="H1477" s="43">
        <f t="shared" si="0"/>
      </c>
      <c r="I1477" s="43">
        <f t="shared" si="5"/>
      </c>
      <c r="J1477" s="43">
        <f t="shared" si="1"/>
      </c>
      <c r="K1477" s="49">
        <f t="shared" si="2"/>
      </c>
      <c r="L1477" s="45" t="n"/>
      <c r="M1477" s="45" t="n"/>
      <c r="N1477" s="45" t="n"/>
      <c r="O1477" s="45" t="n"/>
      <c r="P1477" s="50" t="n"/>
      <c r="R1477" s="2">
        <f t="shared" si="6"/>
        <v>0</v>
      </c>
      <c r="S1477" s="2">
        <f t="shared" si="7"/>
      </c>
      <c r="T1477" s="2">
        <f t="shared" si="8"/>
      </c>
      <c r="U1477" s="2">
        <f t="shared" si="9"/>
      </c>
      <c r="V1477" s="2">
        <f t="shared" si="10"/>
      </c>
      <c r="W1477" s="2">
        <f t="shared" si="11"/>
      </c>
      <c r="X1477" s="2">
        <f t="shared" si="12"/>
      </c>
      <c r="Y1477" s="2">
        <f t="shared" si="13"/>
        <v>0</v>
      </c>
      <c r="Z1477" s="2">
        <f t="shared" si="14"/>
      </c>
      <c r="AA1477" s="2">
        <f t="shared" si="15"/>
        <v>0</v>
      </c>
      <c r="AB1477" s="2">
        <f t="shared" si="16"/>
      </c>
      <c r="AC1477" s="2">
        <f t="shared" si="17"/>
      </c>
      <c r="AD1477" s="2">
        <f t="shared" si="18"/>
      </c>
      <c r="AE1477" s="2">
        <f t="shared" si="19"/>
      </c>
      <c r="AF1477" s="2">
        <f t="shared" si="20"/>
      </c>
      <c r="AG1477" s="2">
        <f t="shared" si="21"/>
      </c>
      <c r="AH1477" s="2">
        <f t="shared" si="22"/>
      </c>
      <c r="AI1477" s="2">
        <f t="shared" si="23"/>
      </c>
      <c r="AJ1477" s="2">
        <f t="shared" si="24"/>
        <v>0</v>
      </c>
      <c r="AK1477" s="2">
        <f t="shared" si="25"/>
        <v>0</v>
      </c>
      <c r="AL1477" s="2">
        <f t="shared" si="26"/>
        <v>0</v>
      </c>
      <c r="AM1477" s="2">
        <f t="shared" si="27"/>
        <v>0</v>
      </c>
      <c r="AN1477" s="2">
        <f t="shared" si="28"/>
        <v>0</v>
      </c>
      <c r="AO1477" s="2">
        <f t="shared" si="29"/>
      </c>
      <c r="AP1477" s="2">
        <f t="shared" si="30"/>
      </c>
      <c r="AQ1477" s="2">
        <f t="shared" si="31"/>
      </c>
    </row>
    <row r="1478">
      <c r="A1478" s="43">
        <f t="shared" si="3"/>
      </c>
      <c r="B1478" s="44" t="n"/>
      <c r="C1478" s="45" t="n"/>
      <c r="D1478" s="46" t="n"/>
      <c r="E1478" s="47" t="n"/>
      <c r="F1478" s="47" t="n"/>
      <c r="G1478" s="48">
        <f t="shared" si="4"/>
      </c>
      <c r="H1478" s="43">
        <f t="shared" si="0"/>
      </c>
      <c r="I1478" s="43">
        <f t="shared" si="5"/>
      </c>
      <c r="J1478" s="43">
        <f t="shared" si="1"/>
      </c>
      <c r="K1478" s="49">
        <f t="shared" si="2"/>
      </c>
      <c r="L1478" s="45" t="n"/>
      <c r="M1478" s="45" t="n"/>
      <c r="N1478" s="45" t="n"/>
      <c r="O1478" s="45" t="n"/>
      <c r="P1478" s="50" t="n"/>
      <c r="R1478" s="2">
        <f t="shared" si="6"/>
        <v>0</v>
      </c>
      <c r="S1478" s="2">
        <f t="shared" si="7"/>
      </c>
      <c r="T1478" s="2">
        <f t="shared" si="8"/>
      </c>
      <c r="U1478" s="2">
        <f t="shared" si="9"/>
      </c>
      <c r="V1478" s="2">
        <f t="shared" si="10"/>
      </c>
      <c r="W1478" s="2">
        <f t="shared" si="11"/>
      </c>
      <c r="X1478" s="2">
        <f t="shared" si="12"/>
      </c>
      <c r="Y1478" s="2">
        <f t="shared" si="13"/>
        <v>0</v>
      </c>
      <c r="Z1478" s="2">
        <f t="shared" si="14"/>
      </c>
      <c r="AA1478" s="2">
        <f t="shared" si="15"/>
        <v>0</v>
      </c>
      <c r="AB1478" s="2">
        <f t="shared" si="16"/>
      </c>
      <c r="AC1478" s="2">
        <f t="shared" si="17"/>
      </c>
      <c r="AD1478" s="2">
        <f t="shared" si="18"/>
      </c>
      <c r="AE1478" s="2">
        <f t="shared" si="19"/>
      </c>
      <c r="AF1478" s="2">
        <f t="shared" si="20"/>
      </c>
      <c r="AG1478" s="2">
        <f t="shared" si="21"/>
      </c>
      <c r="AH1478" s="2">
        <f t="shared" si="22"/>
      </c>
      <c r="AI1478" s="2">
        <f t="shared" si="23"/>
      </c>
      <c r="AJ1478" s="2">
        <f t="shared" si="24"/>
        <v>0</v>
      </c>
      <c r="AK1478" s="2">
        <f t="shared" si="25"/>
        <v>0</v>
      </c>
      <c r="AL1478" s="2">
        <f t="shared" si="26"/>
        <v>0</v>
      </c>
      <c r="AM1478" s="2">
        <f t="shared" si="27"/>
        <v>0</v>
      </c>
      <c r="AN1478" s="2">
        <f t="shared" si="28"/>
        <v>0</v>
      </c>
      <c r="AO1478" s="2">
        <f t="shared" si="29"/>
      </c>
      <c r="AP1478" s="2">
        <f t="shared" si="30"/>
      </c>
      <c r="AQ1478" s="2">
        <f t="shared" si="31"/>
      </c>
    </row>
    <row r="1479">
      <c r="A1479" s="43">
        <f t="shared" si="3"/>
      </c>
      <c r="B1479" s="44" t="n"/>
      <c r="C1479" s="45" t="n"/>
      <c r="D1479" s="46" t="n"/>
      <c r="E1479" s="47" t="n"/>
      <c r="F1479" s="47" t="n"/>
      <c r="G1479" s="48">
        <f t="shared" si="4"/>
      </c>
      <c r="H1479" s="43">
        <f t="shared" si="0"/>
      </c>
      <c r="I1479" s="43">
        <f t="shared" si="5"/>
      </c>
      <c r="J1479" s="43">
        <f t="shared" si="1"/>
      </c>
      <c r="K1479" s="49">
        <f t="shared" si="2"/>
      </c>
      <c r="L1479" s="45" t="n"/>
      <c r="M1479" s="45" t="n"/>
      <c r="N1479" s="45" t="n"/>
      <c r="O1479" s="45" t="n"/>
      <c r="P1479" s="50" t="n"/>
      <c r="R1479" s="2">
        <f t="shared" si="6"/>
        <v>0</v>
      </c>
      <c r="S1479" s="2">
        <f t="shared" si="7"/>
      </c>
      <c r="T1479" s="2">
        <f t="shared" si="8"/>
      </c>
      <c r="U1479" s="2">
        <f t="shared" si="9"/>
      </c>
      <c r="V1479" s="2">
        <f t="shared" si="10"/>
      </c>
      <c r="W1479" s="2">
        <f t="shared" si="11"/>
      </c>
      <c r="X1479" s="2">
        <f t="shared" si="12"/>
      </c>
      <c r="Y1479" s="2">
        <f t="shared" si="13"/>
        <v>0</v>
      </c>
      <c r="Z1479" s="2">
        <f t="shared" si="14"/>
      </c>
      <c r="AA1479" s="2">
        <f t="shared" si="15"/>
        <v>0</v>
      </c>
      <c r="AB1479" s="2">
        <f t="shared" si="16"/>
      </c>
      <c r="AC1479" s="2">
        <f t="shared" si="17"/>
      </c>
      <c r="AD1479" s="2">
        <f t="shared" si="18"/>
      </c>
      <c r="AE1479" s="2">
        <f t="shared" si="19"/>
      </c>
      <c r="AF1479" s="2">
        <f t="shared" si="20"/>
      </c>
      <c r="AG1479" s="2">
        <f t="shared" si="21"/>
      </c>
      <c r="AH1479" s="2">
        <f t="shared" si="22"/>
      </c>
      <c r="AI1479" s="2">
        <f t="shared" si="23"/>
      </c>
      <c r="AJ1479" s="2">
        <f t="shared" si="24"/>
        <v>0</v>
      </c>
      <c r="AK1479" s="2">
        <f t="shared" si="25"/>
        <v>0</v>
      </c>
      <c r="AL1479" s="2">
        <f t="shared" si="26"/>
        <v>0</v>
      </c>
      <c r="AM1479" s="2">
        <f t="shared" si="27"/>
        <v>0</v>
      </c>
      <c r="AN1479" s="2">
        <f t="shared" si="28"/>
        <v>0</v>
      </c>
      <c r="AO1479" s="2">
        <f t="shared" si="29"/>
      </c>
      <c r="AP1479" s="2">
        <f t="shared" si="30"/>
      </c>
      <c r="AQ1479" s="2">
        <f t="shared" si="31"/>
      </c>
    </row>
    <row r="1480">
      <c r="A1480" s="43">
        <f t="shared" si="3"/>
      </c>
      <c r="B1480" s="44" t="n"/>
      <c r="C1480" s="45" t="n"/>
      <c r="D1480" s="46" t="n"/>
      <c r="E1480" s="47" t="n"/>
      <c r="F1480" s="47" t="n"/>
      <c r="G1480" s="48">
        <f t="shared" si="4"/>
      </c>
      <c r="H1480" s="43">
        <f t="shared" si="0"/>
      </c>
      <c r="I1480" s="43">
        <f t="shared" si="5"/>
      </c>
      <c r="J1480" s="43">
        <f t="shared" si="1"/>
      </c>
      <c r="K1480" s="49">
        <f t="shared" si="2"/>
      </c>
      <c r="L1480" s="45" t="n"/>
      <c r="M1480" s="45" t="n"/>
      <c r="N1480" s="45" t="n"/>
      <c r="O1480" s="45" t="n"/>
      <c r="P1480" s="50" t="n"/>
      <c r="R1480" s="2">
        <f t="shared" si="6"/>
        <v>0</v>
      </c>
      <c r="S1480" s="2">
        <f t="shared" si="7"/>
      </c>
      <c r="T1480" s="2">
        <f t="shared" si="8"/>
      </c>
      <c r="U1480" s="2">
        <f t="shared" si="9"/>
      </c>
      <c r="V1480" s="2">
        <f t="shared" si="10"/>
      </c>
      <c r="W1480" s="2">
        <f t="shared" si="11"/>
      </c>
      <c r="X1480" s="2">
        <f t="shared" si="12"/>
      </c>
      <c r="Y1480" s="2">
        <f t="shared" si="13"/>
        <v>0</v>
      </c>
      <c r="Z1480" s="2">
        <f t="shared" si="14"/>
      </c>
      <c r="AA1480" s="2">
        <f t="shared" si="15"/>
        <v>0</v>
      </c>
      <c r="AB1480" s="2">
        <f t="shared" si="16"/>
      </c>
      <c r="AC1480" s="2">
        <f t="shared" si="17"/>
      </c>
      <c r="AD1480" s="2">
        <f t="shared" si="18"/>
      </c>
      <c r="AE1480" s="2">
        <f t="shared" si="19"/>
      </c>
      <c r="AF1480" s="2">
        <f t="shared" si="20"/>
      </c>
      <c r="AG1480" s="2">
        <f t="shared" si="21"/>
      </c>
      <c r="AH1480" s="2">
        <f t="shared" si="22"/>
      </c>
      <c r="AI1480" s="2">
        <f t="shared" si="23"/>
      </c>
      <c r="AJ1480" s="2">
        <f t="shared" si="24"/>
        <v>0</v>
      </c>
      <c r="AK1480" s="2">
        <f t="shared" si="25"/>
        <v>0</v>
      </c>
      <c r="AL1480" s="2">
        <f t="shared" si="26"/>
        <v>0</v>
      </c>
      <c r="AM1480" s="2">
        <f t="shared" si="27"/>
        <v>0</v>
      </c>
      <c r="AN1480" s="2">
        <f t="shared" si="28"/>
        <v>0</v>
      </c>
      <c r="AO1480" s="2">
        <f t="shared" si="29"/>
      </c>
      <c r="AP1480" s="2">
        <f t="shared" si="30"/>
      </c>
      <c r="AQ1480" s="2">
        <f t="shared" si="31"/>
      </c>
    </row>
    <row r="1481">
      <c r="A1481" s="43">
        <f t="shared" si="3"/>
      </c>
      <c r="B1481" s="44" t="n"/>
      <c r="C1481" s="45" t="n"/>
      <c r="D1481" s="46" t="n"/>
      <c r="E1481" s="47" t="n"/>
      <c r="F1481" s="47" t="n"/>
      <c r="G1481" s="48">
        <f t="shared" si="4"/>
      </c>
      <c r="H1481" s="43">
        <f t="shared" si="0"/>
      </c>
      <c r="I1481" s="43">
        <f t="shared" si="5"/>
      </c>
      <c r="J1481" s="43">
        <f t="shared" si="1"/>
      </c>
      <c r="K1481" s="49">
        <f t="shared" si="2"/>
      </c>
      <c r="L1481" s="45" t="n"/>
      <c r="M1481" s="45" t="n"/>
      <c r="N1481" s="45" t="n"/>
      <c r="O1481" s="45" t="n"/>
      <c r="P1481" s="50" t="n"/>
      <c r="R1481" s="2">
        <f t="shared" si="6"/>
        <v>0</v>
      </c>
      <c r="S1481" s="2">
        <f t="shared" si="7"/>
      </c>
      <c r="T1481" s="2">
        <f t="shared" si="8"/>
      </c>
      <c r="U1481" s="2">
        <f t="shared" si="9"/>
      </c>
      <c r="V1481" s="2">
        <f t="shared" si="10"/>
      </c>
      <c r="W1481" s="2">
        <f t="shared" si="11"/>
      </c>
      <c r="X1481" s="2">
        <f t="shared" si="12"/>
      </c>
      <c r="Y1481" s="2">
        <f t="shared" si="13"/>
        <v>0</v>
      </c>
      <c r="Z1481" s="2">
        <f t="shared" si="14"/>
      </c>
      <c r="AA1481" s="2">
        <f t="shared" si="15"/>
        <v>0</v>
      </c>
      <c r="AB1481" s="2">
        <f t="shared" si="16"/>
      </c>
      <c r="AC1481" s="2">
        <f t="shared" si="17"/>
      </c>
      <c r="AD1481" s="2">
        <f t="shared" si="18"/>
      </c>
      <c r="AE1481" s="2">
        <f t="shared" si="19"/>
      </c>
      <c r="AF1481" s="2">
        <f t="shared" si="20"/>
      </c>
      <c r="AG1481" s="2">
        <f t="shared" si="21"/>
      </c>
      <c r="AH1481" s="2">
        <f t="shared" si="22"/>
      </c>
      <c r="AI1481" s="2">
        <f t="shared" si="23"/>
      </c>
      <c r="AJ1481" s="2">
        <f t="shared" si="24"/>
        <v>0</v>
      </c>
      <c r="AK1481" s="2">
        <f t="shared" si="25"/>
        <v>0</v>
      </c>
      <c r="AL1481" s="2">
        <f t="shared" si="26"/>
        <v>0</v>
      </c>
      <c r="AM1481" s="2">
        <f t="shared" si="27"/>
        <v>0</v>
      </c>
      <c r="AN1481" s="2">
        <f t="shared" si="28"/>
        <v>0</v>
      </c>
      <c r="AO1481" s="2">
        <f t="shared" si="29"/>
      </c>
      <c r="AP1481" s="2">
        <f t="shared" si="30"/>
      </c>
      <c r="AQ1481" s="2">
        <f t="shared" si="31"/>
      </c>
    </row>
    <row r="1482">
      <c r="A1482" s="43">
        <f t="shared" si="3"/>
      </c>
      <c r="B1482" s="44" t="n"/>
      <c r="C1482" s="45" t="n"/>
      <c r="D1482" s="46" t="n"/>
      <c r="E1482" s="47" t="n"/>
      <c r="F1482" s="47" t="n"/>
      <c r="G1482" s="48">
        <f t="shared" si="4"/>
      </c>
      <c r="H1482" s="43">
        <f t="shared" si="0"/>
      </c>
      <c r="I1482" s="43">
        <f t="shared" si="5"/>
      </c>
      <c r="J1482" s="43">
        <f t="shared" si="1"/>
      </c>
      <c r="K1482" s="49">
        <f t="shared" si="2"/>
      </c>
      <c r="L1482" s="45" t="n"/>
      <c r="M1482" s="45" t="n"/>
      <c r="N1482" s="45" t="n"/>
      <c r="O1482" s="45" t="n"/>
      <c r="P1482" s="50" t="n"/>
      <c r="R1482" s="2">
        <f t="shared" si="6"/>
        <v>0</v>
      </c>
      <c r="S1482" s="2">
        <f t="shared" si="7"/>
      </c>
      <c r="T1482" s="2">
        <f t="shared" si="8"/>
      </c>
      <c r="U1482" s="2">
        <f t="shared" si="9"/>
      </c>
      <c r="V1482" s="2">
        <f t="shared" si="10"/>
      </c>
      <c r="W1482" s="2">
        <f t="shared" si="11"/>
      </c>
      <c r="X1482" s="2">
        <f t="shared" si="12"/>
      </c>
      <c r="Y1482" s="2">
        <f t="shared" si="13"/>
        <v>0</v>
      </c>
      <c r="Z1482" s="2">
        <f t="shared" si="14"/>
      </c>
      <c r="AA1482" s="2">
        <f t="shared" si="15"/>
        <v>0</v>
      </c>
      <c r="AB1482" s="2">
        <f t="shared" si="16"/>
      </c>
      <c r="AC1482" s="2">
        <f t="shared" si="17"/>
      </c>
      <c r="AD1482" s="2">
        <f t="shared" si="18"/>
      </c>
      <c r="AE1482" s="2">
        <f t="shared" si="19"/>
      </c>
      <c r="AF1482" s="2">
        <f t="shared" si="20"/>
      </c>
      <c r="AG1482" s="2">
        <f t="shared" si="21"/>
      </c>
      <c r="AH1482" s="2">
        <f t="shared" si="22"/>
      </c>
      <c r="AI1482" s="2">
        <f t="shared" si="23"/>
      </c>
      <c r="AJ1482" s="2">
        <f t="shared" si="24"/>
        <v>0</v>
      </c>
      <c r="AK1482" s="2">
        <f t="shared" si="25"/>
        <v>0</v>
      </c>
      <c r="AL1482" s="2">
        <f t="shared" si="26"/>
        <v>0</v>
      </c>
      <c r="AM1482" s="2">
        <f t="shared" si="27"/>
        <v>0</v>
      </c>
      <c r="AN1482" s="2">
        <f t="shared" si="28"/>
        <v>0</v>
      </c>
      <c r="AO1482" s="2">
        <f t="shared" si="29"/>
      </c>
      <c r="AP1482" s="2">
        <f t="shared" si="30"/>
      </c>
      <c r="AQ1482" s="2">
        <f t="shared" si="31"/>
      </c>
    </row>
    <row r="1483">
      <c r="A1483" s="43">
        <f t="shared" si="3"/>
      </c>
      <c r="B1483" s="44" t="n"/>
      <c r="C1483" s="45" t="n"/>
      <c r="D1483" s="46" t="n"/>
      <c r="E1483" s="47" t="n"/>
      <c r="F1483" s="47" t="n"/>
      <c r="G1483" s="48">
        <f t="shared" si="4"/>
      </c>
      <c r="H1483" s="43">
        <f t="shared" si="0"/>
      </c>
      <c r="I1483" s="43">
        <f t="shared" si="5"/>
      </c>
      <c r="J1483" s="43">
        <f t="shared" si="1"/>
      </c>
      <c r="K1483" s="49">
        <f t="shared" si="2"/>
      </c>
      <c r="L1483" s="45" t="n"/>
      <c r="M1483" s="45" t="n"/>
      <c r="N1483" s="45" t="n"/>
      <c r="O1483" s="45" t="n"/>
      <c r="P1483" s="50" t="n"/>
      <c r="R1483" s="2">
        <f t="shared" si="6"/>
        <v>0</v>
      </c>
      <c r="S1483" s="2">
        <f t="shared" si="7"/>
      </c>
      <c r="T1483" s="2">
        <f t="shared" si="8"/>
      </c>
      <c r="U1483" s="2">
        <f t="shared" si="9"/>
      </c>
      <c r="V1483" s="2">
        <f t="shared" si="10"/>
      </c>
      <c r="W1483" s="2">
        <f t="shared" si="11"/>
      </c>
      <c r="X1483" s="2">
        <f t="shared" si="12"/>
      </c>
      <c r="Y1483" s="2">
        <f t="shared" si="13"/>
        <v>0</v>
      </c>
      <c r="Z1483" s="2">
        <f t="shared" si="14"/>
      </c>
      <c r="AA1483" s="2">
        <f t="shared" si="15"/>
        <v>0</v>
      </c>
      <c r="AB1483" s="2">
        <f t="shared" si="16"/>
      </c>
      <c r="AC1483" s="2">
        <f t="shared" si="17"/>
      </c>
      <c r="AD1483" s="2">
        <f t="shared" si="18"/>
      </c>
      <c r="AE1483" s="2">
        <f t="shared" si="19"/>
      </c>
      <c r="AF1483" s="2">
        <f t="shared" si="20"/>
      </c>
      <c r="AG1483" s="2">
        <f t="shared" si="21"/>
      </c>
      <c r="AH1483" s="2">
        <f t="shared" si="22"/>
      </c>
      <c r="AI1483" s="2">
        <f t="shared" si="23"/>
      </c>
      <c r="AJ1483" s="2">
        <f t="shared" si="24"/>
        <v>0</v>
      </c>
      <c r="AK1483" s="2">
        <f t="shared" si="25"/>
        <v>0</v>
      </c>
      <c r="AL1483" s="2">
        <f t="shared" si="26"/>
        <v>0</v>
      </c>
      <c r="AM1483" s="2">
        <f t="shared" si="27"/>
        <v>0</v>
      </c>
      <c r="AN1483" s="2">
        <f t="shared" si="28"/>
        <v>0</v>
      </c>
      <c r="AO1483" s="2">
        <f t="shared" si="29"/>
      </c>
      <c r="AP1483" s="2">
        <f t="shared" si="30"/>
      </c>
      <c r="AQ1483" s="2">
        <f t="shared" si="31"/>
      </c>
    </row>
    <row r="1484">
      <c r="A1484" s="43">
        <f t="shared" si="3"/>
      </c>
      <c r="B1484" s="44" t="n"/>
      <c r="C1484" s="45" t="n"/>
      <c r="D1484" s="46" t="n"/>
      <c r="E1484" s="47" t="n"/>
      <c r="F1484" s="47" t="n"/>
      <c r="G1484" s="48">
        <f t="shared" si="4"/>
      </c>
      <c r="H1484" s="43">
        <f t="shared" si="0"/>
      </c>
      <c r="I1484" s="43">
        <f t="shared" si="5"/>
      </c>
      <c r="J1484" s="43">
        <f t="shared" si="1"/>
      </c>
      <c r="K1484" s="49">
        <f t="shared" si="2"/>
      </c>
      <c r="L1484" s="45" t="n"/>
      <c r="M1484" s="45" t="n"/>
      <c r="N1484" s="45" t="n"/>
      <c r="O1484" s="45" t="n"/>
      <c r="P1484" s="50" t="n"/>
      <c r="R1484" s="2">
        <f t="shared" si="6"/>
        <v>0</v>
      </c>
      <c r="S1484" s="2">
        <f t="shared" si="7"/>
      </c>
      <c r="T1484" s="2">
        <f t="shared" si="8"/>
      </c>
      <c r="U1484" s="2">
        <f t="shared" si="9"/>
      </c>
      <c r="V1484" s="2">
        <f t="shared" si="10"/>
      </c>
      <c r="W1484" s="2">
        <f t="shared" si="11"/>
      </c>
      <c r="X1484" s="2">
        <f t="shared" si="12"/>
      </c>
      <c r="Y1484" s="2">
        <f t="shared" si="13"/>
        <v>0</v>
      </c>
      <c r="Z1484" s="2">
        <f t="shared" si="14"/>
      </c>
      <c r="AA1484" s="2">
        <f t="shared" si="15"/>
        <v>0</v>
      </c>
      <c r="AB1484" s="2">
        <f t="shared" si="16"/>
      </c>
      <c r="AC1484" s="2">
        <f t="shared" si="17"/>
      </c>
      <c r="AD1484" s="2">
        <f t="shared" si="18"/>
      </c>
      <c r="AE1484" s="2">
        <f t="shared" si="19"/>
      </c>
      <c r="AF1484" s="2">
        <f t="shared" si="20"/>
      </c>
      <c r="AG1484" s="2">
        <f t="shared" si="21"/>
      </c>
      <c r="AH1484" s="2">
        <f t="shared" si="22"/>
      </c>
      <c r="AI1484" s="2">
        <f t="shared" si="23"/>
      </c>
      <c r="AJ1484" s="2">
        <f t="shared" si="24"/>
        <v>0</v>
      </c>
      <c r="AK1484" s="2">
        <f t="shared" si="25"/>
        <v>0</v>
      </c>
      <c r="AL1484" s="2">
        <f t="shared" si="26"/>
        <v>0</v>
      </c>
      <c r="AM1484" s="2">
        <f t="shared" si="27"/>
        <v>0</v>
      </c>
      <c r="AN1484" s="2">
        <f t="shared" si="28"/>
        <v>0</v>
      </c>
      <c r="AO1484" s="2">
        <f t="shared" si="29"/>
      </c>
      <c r="AP1484" s="2">
        <f t="shared" si="30"/>
      </c>
      <c r="AQ1484" s="2">
        <f t="shared" si="31"/>
      </c>
    </row>
    <row r="1485">
      <c r="A1485" s="43">
        <f t="shared" si="3"/>
      </c>
      <c r="B1485" s="44" t="n"/>
      <c r="C1485" s="45" t="n"/>
      <c r="D1485" s="46" t="n"/>
      <c r="E1485" s="47" t="n"/>
      <c r="F1485" s="47" t="n"/>
      <c r="G1485" s="48">
        <f t="shared" si="4"/>
      </c>
      <c r="H1485" s="43">
        <f t="shared" si="0"/>
      </c>
      <c r="I1485" s="43">
        <f t="shared" si="5"/>
      </c>
      <c r="J1485" s="43">
        <f t="shared" si="1"/>
      </c>
      <c r="K1485" s="49">
        <f t="shared" si="2"/>
      </c>
      <c r="L1485" s="45" t="n"/>
      <c r="M1485" s="45" t="n"/>
      <c r="N1485" s="45" t="n"/>
      <c r="O1485" s="45" t="n"/>
      <c r="P1485" s="50" t="n"/>
      <c r="R1485" s="2">
        <f t="shared" si="6"/>
        <v>0</v>
      </c>
      <c r="S1485" s="2">
        <f t="shared" si="7"/>
      </c>
      <c r="T1485" s="2">
        <f t="shared" si="8"/>
      </c>
      <c r="U1485" s="2">
        <f t="shared" si="9"/>
      </c>
      <c r="V1485" s="2">
        <f t="shared" si="10"/>
      </c>
      <c r="W1485" s="2">
        <f t="shared" si="11"/>
      </c>
      <c r="X1485" s="2">
        <f t="shared" si="12"/>
      </c>
      <c r="Y1485" s="2">
        <f t="shared" si="13"/>
        <v>0</v>
      </c>
      <c r="Z1485" s="2">
        <f t="shared" si="14"/>
      </c>
      <c r="AA1485" s="2">
        <f t="shared" si="15"/>
        <v>0</v>
      </c>
      <c r="AB1485" s="2">
        <f t="shared" si="16"/>
      </c>
      <c r="AC1485" s="2">
        <f t="shared" si="17"/>
      </c>
      <c r="AD1485" s="2">
        <f t="shared" si="18"/>
      </c>
      <c r="AE1485" s="2">
        <f t="shared" si="19"/>
      </c>
      <c r="AF1485" s="2">
        <f t="shared" si="20"/>
      </c>
      <c r="AG1485" s="2">
        <f t="shared" si="21"/>
      </c>
      <c r="AH1485" s="2">
        <f t="shared" si="22"/>
      </c>
      <c r="AI1485" s="2">
        <f t="shared" si="23"/>
      </c>
      <c r="AJ1485" s="2">
        <f t="shared" si="24"/>
        <v>0</v>
      </c>
      <c r="AK1485" s="2">
        <f t="shared" si="25"/>
        <v>0</v>
      </c>
      <c r="AL1485" s="2">
        <f t="shared" si="26"/>
        <v>0</v>
      </c>
      <c r="AM1485" s="2">
        <f t="shared" si="27"/>
        <v>0</v>
      </c>
      <c r="AN1485" s="2">
        <f t="shared" si="28"/>
        <v>0</v>
      </c>
      <c r="AO1485" s="2">
        <f t="shared" si="29"/>
      </c>
      <c r="AP1485" s="2">
        <f t="shared" si="30"/>
      </c>
      <c r="AQ1485" s="2">
        <f t="shared" si="31"/>
      </c>
    </row>
    <row r="1486">
      <c r="A1486" s="43">
        <f t="shared" si="3"/>
      </c>
      <c r="B1486" s="44" t="n"/>
      <c r="C1486" s="45" t="n"/>
      <c r="D1486" s="46" t="n"/>
      <c r="E1486" s="47" t="n"/>
      <c r="F1486" s="47" t="n"/>
      <c r="G1486" s="48">
        <f t="shared" si="4"/>
      </c>
      <c r="H1486" s="43">
        <f t="shared" si="0"/>
      </c>
      <c r="I1486" s="43">
        <f t="shared" si="5"/>
      </c>
      <c r="J1486" s="43">
        <f t="shared" si="1"/>
      </c>
      <c r="K1486" s="49">
        <f t="shared" si="2"/>
      </c>
      <c r="L1486" s="45" t="n"/>
      <c r="M1486" s="45" t="n"/>
      <c r="N1486" s="45" t="n"/>
      <c r="O1486" s="45" t="n"/>
      <c r="P1486" s="50" t="n"/>
      <c r="R1486" s="2">
        <f t="shared" si="6"/>
        <v>0</v>
      </c>
      <c r="S1486" s="2">
        <f t="shared" si="7"/>
      </c>
      <c r="T1486" s="2">
        <f t="shared" si="8"/>
      </c>
      <c r="U1486" s="2">
        <f t="shared" si="9"/>
      </c>
      <c r="V1486" s="2">
        <f t="shared" si="10"/>
      </c>
      <c r="W1486" s="2">
        <f t="shared" si="11"/>
      </c>
      <c r="X1486" s="2">
        <f t="shared" si="12"/>
      </c>
      <c r="Y1486" s="2">
        <f t="shared" si="13"/>
        <v>0</v>
      </c>
      <c r="Z1486" s="2">
        <f t="shared" si="14"/>
      </c>
      <c r="AA1486" s="2">
        <f t="shared" si="15"/>
        <v>0</v>
      </c>
      <c r="AB1486" s="2">
        <f t="shared" si="16"/>
      </c>
      <c r="AC1486" s="2">
        <f t="shared" si="17"/>
      </c>
      <c r="AD1486" s="2">
        <f t="shared" si="18"/>
      </c>
      <c r="AE1486" s="2">
        <f t="shared" si="19"/>
      </c>
      <c r="AF1486" s="2">
        <f t="shared" si="20"/>
      </c>
      <c r="AG1486" s="2">
        <f t="shared" si="21"/>
      </c>
      <c r="AH1486" s="2">
        <f t="shared" si="22"/>
      </c>
      <c r="AI1486" s="2">
        <f t="shared" si="23"/>
      </c>
      <c r="AJ1486" s="2">
        <f t="shared" si="24"/>
        <v>0</v>
      </c>
      <c r="AK1486" s="2">
        <f t="shared" si="25"/>
        <v>0</v>
      </c>
      <c r="AL1486" s="2">
        <f t="shared" si="26"/>
        <v>0</v>
      </c>
      <c r="AM1486" s="2">
        <f t="shared" si="27"/>
        <v>0</v>
      </c>
      <c r="AN1486" s="2">
        <f t="shared" si="28"/>
        <v>0</v>
      </c>
      <c r="AO1486" s="2">
        <f t="shared" si="29"/>
      </c>
      <c r="AP1486" s="2">
        <f t="shared" si="30"/>
      </c>
      <c r="AQ1486" s="2">
        <f t="shared" si="31"/>
      </c>
    </row>
    <row r="1487">
      <c r="A1487" s="43">
        <f t="shared" si="3"/>
      </c>
      <c r="B1487" s="44" t="n"/>
      <c r="C1487" s="45" t="n"/>
      <c r="D1487" s="46" t="n"/>
      <c r="E1487" s="47" t="n"/>
      <c r="F1487" s="47" t="n"/>
      <c r="G1487" s="48">
        <f t="shared" si="4"/>
      </c>
      <c r="H1487" s="43">
        <f t="shared" si="0"/>
      </c>
      <c r="I1487" s="43">
        <f t="shared" si="5"/>
      </c>
      <c r="J1487" s="43">
        <f t="shared" si="1"/>
      </c>
      <c r="K1487" s="49">
        <f t="shared" si="2"/>
      </c>
      <c r="L1487" s="45" t="n"/>
      <c r="M1487" s="45" t="n"/>
      <c r="N1487" s="45" t="n"/>
      <c r="O1487" s="45" t="n"/>
      <c r="P1487" s="50" t="n"/>
      <c r="R1487" s="2">
        <f t="shared" si="6"/>
        <v>0</v>
      </c>
      <c r="S1487" s="2">
        <f t="shared" si="7"/>
      </c>
      <c r="T1487" s="2">
        <f t="shared" si="8"/>
      </c>
      <c r="U1487" s="2">
        <f t="shared" si="9"/>
      </c>
      <c r="V1487" s="2">
        <f t="shared" si="10"/>
      </c>
      <c r="W1487" s="2">
        <f t="shared" si="11"/>
      </c>
      <c r="X1487" s="2">
        <f t="shared" si="12"/>
      </c>
      <c r="Y1487" s="2">
        <f t="shared" si="13"/>
        <v>0</v>
      </c>
      <c r="Z1487" s="2">
        <f t="shared" si="14"/>
      </c>
      <c r="AA1487" s="2">
        <f t="shared" si="15"/>
        <v>0</v>
      </c>
      <c r="AB1487" s="2">
        <f t="shared" si="16"/>
      </c>
      <c r="AC1487" s="2">
        <f t="shared" si="17"/>
      </c>
      <c r="AD1487" s="2">
        <f t="shared" si="18"/>
      </c>
      <c r="AE1487" s="2">
        <f t="shared" si="19"/>
      </c>
      <c r="AF1487" s="2">
        <f t="shared" si="20"/>
      </c>
      <c r="AG1487" s="2">
        <f t="shared" si="21"/>
      </c>
      <c r="AH1487" s="2">
        <f t="shared" si="22"/>
      </c>
      <c r="AI1487" s="2">
        <f t="shared" si="23"/>
      </c>
      <c r="AJ1487" s="2">
        <f t="shared" si="24"/>
        <v>0</v>
      </c>
      <c r="AK1487" s="2">
        <f t="shared" si="25"/>
        <v>0</v>
      </c>
      <c r="AL1487" s="2">
        <f t="shared" si="26"/>
        <v>0</v>
      </c>
      <c r="AM1487" s="2">
        <f t="shared" si="27"/>
        <v>0</v>
      </c>
      <c r="AN1487" s="2">
        <f t="shared" si="28"/>
        <v>0</v>
      </c>
      <c r="AO1487" s="2">
        <f t="shared" si="29"/>
      </c>
      <c r="AP1487" s="2">
        <f t="shared" si="30"/>
      </c>
      <c r="AQ1487" s="2">
        <f t="shared" si="31"/>
      </c>
    </row>
    <row r="1488">
      <c r="A1488" s="43">
        <f t="shared" si="3"/>
      </c>
      <c r="B1488" s="44" t="n"/>
      <c r="C1488" s="45" t="n"/>
      <c r="D1488" s="46" t="n"/>
      <c r="E1488" s="47" t="n"/>
      <c r="F1488" s="47" t="n"/>
      <c r="G1488" s="48">
        <f t="shared" si="4"/>
      </c>
      <c r="H1488" s="43">
        <f t="shared" si="0"/>
      </c>
      <c r="I1488" s="43">
        <f t="shared" si="5"/>
      </c>
      <c r="J1488" s="43">
        <f t="shared" si="1"/>
      </c>
      <c r="K1488" s="49">
        <f t="shared" si="2"/>
      </c>
      <c r="L1488" s="45" t="n"/>
      <c r="M1488" s="45" t="n"/>
      <c r="N1488" s="45" t="n"/>
      <c r="O1488" s="45" t="n"/>
      <c r="P1488" s="50" t="n"/>
      <c r="R1488" s="2">
        <f t="shared" si="6"/>
        <v>0</v>
      </c>
      <c r="S1488" s="2">
        <f t="shared" si="7"/>
      </c>
      <c r="T1488" s="2">
        <f t="shared" si="8"/>
      </c>
      <c r="U1488" s="2">
        <f t="shared" si="9"/>
      </c>
      <c r="V1488" s="2">
        <f t="shared" si="10"/>
      </c>
      <c r="W1488" s="2">
        <f t="shared" si="11"/>
      </c>
      <c r="X1488" s="2">
        <f t="shared" si="12"/>
      </c>
      <c r="Y1488" s="2">
        <f t="shared" si="13"/>
        <v>0</v>
      </c>
      <c r="Z1488" s="2">
        <f t="shared" si="14"/>
      </c>
      <c r="AA1488" s="2">
        <f t="shared" si="15"/>
        <v>0</v>
      </c>
      <c r="AB1488" s="2">
        <f t="shared" si="16"/>
      </c>
      <c r="AC1488" s="2">
        <f t="shared" si="17"/>
      </c>
      <c r="AD1488" s="2">
        <f t="shared" si="18"/>
      </c>
      <c r="AE1488" s="2">
        <f t="shared" si="19"/>
      </c>
      <c r="AF1488" s="2">
        <f t="shared" si="20"/>
      </c>
      <c r="AG1488" s="2">
        <f t="shared" si="21"/>
      </c>
      <c r="AH1488" s="2">
        <f t="shared" si="22"/>
      </c>
      <c r="AI1488" s="2">
        <f t="shared" si="23"/>
      </c>
      <c r="AJ1488" s="2">
        <f t="shared" si="24"/>
        <v>0</v>
      </c>
      <c r="AK1488" s="2">
        <f t="shared" si="25"/>
        <v>0</v>
      </c>
      <c r="AL1488" s="2">
        <f t="shared" si="26"/>
        <v>0</v>
      </c>
      <c r="AM1488" s="2">
        <f t="shared" si="27"/>
        <v>0</v>
      </c>
      <c r="AN1488" s="2">
        <f t="shared" si="28"/>
        <v>0</v>
      </c>
      <c r="AO1488" s="2">
        <f t="shared" si="29"/>
      </c>
      <c r="AP1488" s="2">
        <f t="shared" si="30"/>
      </c>
      <c r="AQ1488" s="2">
        <f t="shared" si="31"/>
      </c>
    </row>
    <row r="1489">
      <c r="A1489" s="43">
        <f t="shared" si="3"/>
      </c>
      <c r="B1489" s="44" t="n"/>
      <c r="C1489" s="45" t="n"/>
      <c r="D1489" s="46" t="n"/>
      <c r="E1489" s="47" t="n"/>
      <c r="F1489" s="47" t="n"/>
      <c r="G1489" s="48">
        <f t="shared" si="4"/>
      </c>
      <c r="H1489" s="43">
        <f t="shared" si="0"/>
      </c>
      <c r="I1489" s="43">
        <f t="shared" si="5"/>
      </c>
      <c r="J1489" s="43">
        <f t="shared" si="1"/>
      </c>
      <c r="K1489" s="49">
        <f t="shared" si="2"/>
      </c>
      <c r="L1489" s="45" t="n"/>
      <c r="M1489" s="45" t="n"/>
      <c r="N1489" s="45" t="n"/>
      <c r="O1489" s="45" t="n"/>
      <c r="P1489" s="50" t="n"/>
      <c r="R1489" s="2">
        <f t="shared" si="6"/>
        <v>0</v>
      </c>
      <c r="S1489" s="2">
        <f t="shared" si="7"/>
      </c>
      <c r="T1489" s="2">
        <f t="shared" si="8"/>
      </c>
      <c r="U1489" s="2">
        <f t="shared" si="9"/>
      </c>
      <c r="V1489" s="2">
        <f t="shared" si="10"/>
      </c>
      <c r="W1489" s="2">
        <f t="shared" si="11"/>
      </c>
      <c r="X1489" s="2">
        <f t="shared" si="12"/>
      </c>
      <c r="Y1489" s="2">
        <f t="shared" si="13"/>
        <v>0</v>
      </c>
      <c r="Z1489" s="2">
        <f t="shared" si="14"/>
      </c>
      <c r="AA1489" s="2">
        <f t="shared" si="15"/>
        <v>0</v>
      </c>
      <c r="AB1489" s="2">
        <f t="shared" si="16"/>
      </c>
      <c r="AC1489" s="2">
        <f t="shared" si="17"/>
      </c>
      <c r="AD1489" s="2">
        <f t="shared" si="18"/>
      </c>
      <c r="AE1489" s="2">
        <f t="shared" si="19"/>
      </c>
      <c r="AF1489" s="2">
        <f t="shared" si="20"/>
      </c>
      <c r="AG1489" s="2">
        <f t="shared" si="21"/>
      </c>
      <c r="AH1489" s="2">
        <f t="shared" si="22"/>
      </c>
      <c r="AI1489" s="2">
        <f t="shared" si="23"/>
      </c>
      <c r="AJ1489" s="2">
        <f t="shared" si="24"/>
        <v>0</v>
      </c>
      <c r="AK1489" s="2">
        <f t="shared" si="25"/>
        <v>0</v>
      </c>
      <c r="AL1489" s="2">
        <f t="shared" si="26"/>
        <v>0</v>
      </c>
      <c r="AM1489" s="2">
        <f t="shared" si="27"/>
        <v>0</v>
      </c>
      <c r="AN1489" s="2">
        <f t="shared" si="28"/>
        <v>0</v>
      </c>
      <c r="AO1489" s="2">
        <f t="shared" si="29"/>
      </c>
      <c r="AP1489" s="2">
        <f t="shared" si="30"/>
      </c>
      <c r="AQ1489" s="2">
        <f t="shared" si="31"/>
      </c>
    </row>
    <row r="1490">
      <c r="A1490" s="43">
        <f t="shared" si="3"/>
      </c>
      <c r="B1490" s="44" t="n"/>
      <c r="C1490" s="45" t="n"/>
      <c r="D1490" s="46" t="n"/>
      <c r="E1490" s="47" t="n"/>
      <c r="F1490" s="47" t="n"/>
      <c r="G1490" s="48">
        <f t="shared" si="4"/>
      </c>
      <c r="H1490" s="43">
        <f t="shared" si="0"/>
      </c>
      <c r="I1490" s="43">
        <f t="shared" si="5"/>
      </c>
      <c r="J1490" s="43">
        <f t="shared" si="1"/>
      </c>
      <c r="K1490" s="49">
        <f t="shared" si="2"/>
      </c>
      <c r="L1490" s="45" t="n"/>
      <c r="M1490" s="45" t="n"/>
      <c r="N1490" s="45" t="n"/>
      <c r="O1490" s="45" t="n"/>
      <c r="P1490" s="50" t="n"/>
      <c r="R1490" s="2">
        <f t="shared" si="6"/>
        <v>0</v>
      </c>
      <c r="S1490" s="2">
        <f t="shared" si="7"/>
      </c>
      <c r="T1490" s="2">
        <f t="shared" si="8"/>
      </c>
      <c r="U1490" s="2">
        <f t="shared" si="9"/>
      </c>
      <c r="V1490" s="2">
        <f t="shared" si="10"/>
      </c>
      <c r="W1490" s="2">
        <f t="shared" si="11"/>
      </c>
      <c r="X1490" s="2">
        <f t="shared" si="12"/>
      </c>
      <c r="Y1490" s="2">
        <f t="shared" si="13"/>
        <v>0</v>
      </c>
      <c r="Z1490" s="2">
        <f t="shared" si="14"/>
      </c>
      <c r="AA1490" s="2">
        <f t="shared" si="15"/>
        <v>0</v>
      </c>
      <c r="AB1490" s="2">
        <f t="shared" si="16"/>
      </c>
      <c r="AC1490" s="2">
        <f t="shared" si="17"/>
      </c>
      <c r="AD1490" s="2">
        <f t="shared" si="18"/>
      </c>
      <c r="AE1490" s="2">
        <f t="shared" si="19"/>
      </c>
      <c r="AF1490" s="2">
        <f t="shared" si="20"/>
      </c>
      <c r="AG1490" s="2">
        <f t="shared" si="21"/>
      </c>
      <c r="AH1490" s="2">
        <f t="shared" si="22"/>
      </c>
      <c r="AI1490" s="2">
        <f t="shared" si="23"/>
      </c>
      <c r="AJ1490" s="2">
        <f t="shared" si="24"/>
        <v>0</v>
      </c>
      <c r="AK1490" s="2">
        <f t="shared" si="25"/>
        <v>0</v>
      </c>
      <c r="AL1490" s="2">
        <f t="shared" si="26"/>
        <v>0</v>
      </c>
      <c r="AM1490" s="2">
        <f t="shared" si="27"/>
        <v>0</v>
      </c>
      <c r="AN1490" s="2">
        <f t="shared" si="28"/>
        <v>0</v>
      </c>
      <c r="AO1490" s="2">
        <f t="shared" si="29"/>
      </c>
      <c r="AP1490" s="2">
        <f t="shared" si="30"/>
      </c>
      <c r="AQ1490" s="2">
        <f t="shared" si="31"/>
      </c>
    </row>
    <row r="1491">
      <c r="A1491" s="43">
        <f t="shared" si="3"/>
      </c>
      <c r="B1491" s="44" t="n"/>
      <c r="C1491" s="45" t="n"/>
      <c r="D1491" s="46" t="n"/>
      <c r="E1491" s="47" t="n"/>
      <c r="F1491" s="47" t="n"/>
      <c r="G1491" s="48">
        <f t="shared" si="4"/>
      </c>
      <c r="H1491" s="43">
        <f t="shared" si="0"/>
      </c>
      <c r="I1491" s="43">
        <f t="shared" si="5"/>
      </c>
      <c r="J1491" s="43">
        <f t="shared" si="1"/>
      </c>
      <c r="K1491" s="49">
        <f t="shared" si="2"/>
      </c>
      <c r="L1491" s="45" t="n"/>
      <c r="M1491" s="45" t="n"/>
      <c r="N1491" s="45" t="n"/>
      <c r="O1491" s="45" t="n"/>
      <c r="P1491" s="50" t="n"/>
      <c r="R1491" s="2">
        <f t="shared" si="6"/>
        <v>0</v>
      </c>
      <c r="S1491" s="2">
        <f t="shared" si="7"/>
      </c>
      <c r="T1491" s="2">
        <f t="shared" si="8"/>
      </c>
      <c r="U1491" s="2">
        <f t="shared" si="9"/>
      </c>
      <c r="V1491" s="2">
        <f t="shared" si="10"/>
      </c>
      <c r="W1491" s="2">
        <f t="shared" si="11"/>
      </c>
      <c r="X1491" s="2">
        <f t="shared" si="12"/>
      </c>
      <c r="Y1491" s="2">
        <f t="shared" si="13"/>
        <v>0</v>
      </c>
      <c r="Z1491" s="2">
        <f t="shared" si="14"/>
      </c>
      <c r="AA1491" s="2">
        <f t="shared" si="15"/>
        <v>0</v>
      </c>
      <c r="AB1491" s="2">
        <f t="shared" si="16"/>
      </c>
      <c r="AC1491" s="2">
        <f t="shared" si="17"/>
      </c>
      <c r="AD1491" s="2">
        <f t="shared" si="18"/>
      </c>
      <c r="AE1491" s="2">
        <f t="shared" si="19"/>
      </c>
      <c r="AF1491" s="2">
        <f t="shared" si="20"/>
      </c>
      <c r="AG1491" s="2">
        <f t="shared" si="21"/>
      </c>
      <c r="AH1491" s="2">
        <f t="shared" si="22"/>
      </c>
      <c r="AI1491" s="2">
        <f t="shared" si="23"/>
      </c>
      <c r="AJ1491" s="2">
        <f t="shared" si="24"/>
        <v>0</v>
      </c>
      <c r="AK1491" s="2">
        <f t="shared" si="25"/>
        <v>0</v>
      </c>
      <c r="AL1491" s="2">
        <f t="shared" si="26"/>
        <v>0</v>
      </c>
      <c r="AM1491" s="2">
        <f t="shared" si="27"/>
        <v>0</v>
      </c>
      <c r="AN1491" s="2">
        <f t="shared" si="28"/>
        <v>0</v>
      </c>
      <c r="AO1491" s="2">
        <f t="shared" si="29"/>
      </c>
      <c r="AP1491" s="2">
        <f t="shared" si="30"/>
      </c>
      <c r="AQ1491" s="2">
        <f t="shared" si="31"/>
      </c>
    </row>
    <row r="1492">
      <c r="A1492" s="43">
        <f t="shared" si="3"/>
      </c>
      <c r="B1492" s="44" t="n"/>
      <c r="C1492" s="45" t="n"/>
      <c r="D1492" s="46" t="n"/>
      <c r="E1492" s="47" t="n"/>
      <c r="F1492" s="47" t="n"/>
      <c r="G1492" s="48">
        <f t="shared" si="4"/>
      </c>
      <c r="H1492" s="43">
        <f t="shared" si="0"/>
      </c>
      <c r="I1492" s="43">
        <f t="shared" si="5"/>
      </c>
      <c r="J1492" s="43">
        <f t="shared" si="1"/>
      </c>
      <c r="K1492" s="49">
        <f t="shared" si="2"/>
      </c>
      <c r="L1492" s="45" t="n"/>
      <c r="M1492" s="45" t="n"/>
      <c r="N1492" s="45" t="n"/>
      <c r="O1492" s="45" t="n"/>
      <c r="P1492" s="50" t="n"/>
      <c r="R1492" s="2">
        <f t="shared" si="6"/>
        <v>0</v>
      </c>
      <c r="S1492" s="2">
        <f t="shared" si="7"/>
      </c>
      <c r="T1492" s="2">
        <f t="shared" si="8"/>
      </c>
      <c r="U1492" s="2">
        <f t="shared" si="9"/>
      </c>
      <c r="V1492" s="2">
        <f t="shared" si="10"/>
      </c>
      <c r="W1492" s="2">
        <f t="shared" si="11"/>
      </c>
      <c r="X1492" s="2">
        <f t="shared" si="12"/>
      </c>
      <c r="Y1492" s="2">
        <f t="shared" si="13"/>
        <v>0</v>
      </c>
      <c r="Z1492" s="2">
        <f t="shared" si="14"/>
      </c>
      <c r="AA1492" s="2">
        <f t="shared" si="15"/>
        <v>0</v>
      </c>
      <c r="AB1492" s="2">
        <f t="shared" si="16"/>
      </c>
      <c r="AC1492" s="2">
        <f t="shared" si="17"/>
      </c>
      <c r="AD1492" s="2">
        <f t="shared" si="18"/>
      </c>
      <c r="AE1492" s="2">
        <f t="shared" si="19"/>
      </c>
      <c r="AF1492" s="2">
        <f t="shared" si="20"/>
      </c>
      <c r="AG1492" s="2">
        <f t="shared" si="21"/>
      </c>
      <c r="AH1492" s="2">
        <f t="shared" si="22"/>
      </c>
      <c r="AI1492" s="2">
        <f t="shared" si="23"/>
      </c>
      <c r="AJ1492" s="2">
        <f t="shared" si="24"/>
        <v>0</v>
      </c>
      <c r="AK1492" s="2">
        <f t="shared" si="25"/>
        <v>0</v>
      </c>
      <c r="AL1492" s="2">
        <f t="shared" si="26"/>
        <v>0</v>
      </c>
      <c r="AM1492" s="2">
        <f t="shared" si="27"/>
        <v>0</v>
      </c>
      <c r="AN1492" s="2">
        <f t="shared" si="28"/>
        <v>0</v>
      </c>
      <c r="AO1492" s="2">
        <f t="shared" si="29"/>
      </c>
      <c r="AP1492" s="2">
        <f t="shared" si="30"/>
      </c>
      <c r="AQ1492" s="2">
        <f t="shared" si="31"/>
      </c>
    </row>
    <row r="1493">
      <c r="A1493" s="43">
        <f t="shared" si="3"/>
      </c>
      <c r="B1493" s="44" t="n"/>
      <c r="C1493" s="45" t="n"/>
      <c r="D1493" s="46" t="n"/>
      <c r="E1493" s="47" t="n"/>
      <c r="F1493" s="47" t="n"/>
      <c r="G1493" s="48">
        <f t="shared" si="4"/>
      </c>
      <c r="H1493" s="43">
        <f t="shared" si="0"/>
      </c>
      <c r="I1493" s="43">
        <f t="shared" si="5"/>
      </c>
      <c r="J1493" s="43">
        <f t="shared" si="1"/>
      </c>
      <c r="K1493" s="49">
        <f t="shared" si="2"/>
      </c>
      <c r="L1493" s="45" t="n"/>
      <c r="M1493" s="45" t="n"/>
      <c r="N1493" s="45" t="n"/>
      <c r="O1493" s="45" t="n"/>
      <c r="P1493" s="50" t="n"/>
      <c r="R1493" s="2">
        <f t="shared" si="6"/>
        <v>0</v>
      </c>
      <c r="S1493" s="2">
        <f t="shared" si="7"/>
      </c>
      <c r="T1493" s="2">
        <f t="shared" si="8"/>
      </c>
      <c r="U1493" s="2">
        <f t="shared" si="9"/>
      </c>
      <c r="V1493" s="2">
        <f t="shared" si="10"/>
      </c>
      <c r="W1493" s="2">
        <f t="shared" si="11"/>
      </c>
      <c r="X1493" s="2">
        <f t="shared" si="12"/>
      </c>
      <c r="Y1493" s="2">
        <f t="shared" si="13"/>
        <v>0</v>
      </c>
      <c r="Z1493" s="2">
        <f t="shared" si="14"/>
      </c>
      <c r="AA1493" s="2">
        <f t="shared" si="15"/>
        <v>0</v>
      </c>
      <c r="AB1493" s="2">
        <f t="shared" si="16"/>
      </c>
      <c r="AC1493" s="2">
        <f t="shared" si="17"/>
      </c>
      <c r="AD1493" s="2">
        <f t="shared" si="18"/>
      </c>
      <c r="AE1493" s="2">
        <f t="shared" si="19"/>
      </c>
      <c r="AF1493" s="2">
        <f t="shared" si="20"/>
      </c>
      <c r="AG1493" s="2">
        <f t="shared" si="21"/>
      </c>
      <c r="AH1493" s="2">
        <f t="shared" si="22"/>
      </c>
      <c r="AI1493" s="2">
        <f t="shared" si="23"/>
      </c>
      <c r="AJ1493" s="2">
        <f t="shared" si="24"/>
        <v>0</v>
      </c>
      <c r="AK1493" s="2">
        <f t="shared" si="25"/>
        <v>0</v>
      </c>
      <c r="AL1493" s="2">
        <f t="shared" si="26"/>
        <v>0</v>
      </c>
      <c r="AM1493" s="2">
        <f t="shared" si="27"/>
        <v>0</v>
      </c>
      <c r="AN1493" s="2">
        <f t="shared" si="28"/>
        <v>0</v>
      </c>
      <c r="AO1493" s="2">
        <f t="shared" si="29"/>
      </c>
      <c r="AP1493" s="2">
        <f t="shared" si="30"/>
      </c>
      <c r="AQ1493" s="2">
        <f t="shared" si="31"/>
      </c>
    </row>
    <row r="1494">
      <c r="A1494" s="43">
        <f t="shared" si="3"/>
      </c>
      <c r="B1494" s="44" t="n"/>
      <c r="C1494" s="45" t="n"/>
      <c r="D1494" s="46" t="n"/>
      <c r="E1494" s="47" t="n"/>
      <c r="F1494" s="47" t="n"/>
      <c r="G1494" s="48">
        <f t="shared" si="4"/>
      </c>
      <c r="H1494" s="43">
        <f t="shared" si="0"/>
      </c>
      <c r="I1494" s="43">
        <f t="shared" si="5"/>
      </c>
      <c r="J1494" s="43">
        <f t="shared" si="1"/>
      </c>
      <c r="K1494" s="49">
        <f t="shared" si="2"/>
      </c>
      <c r="L1494" s="45" t="n"/>
      <c r="M1494" s="45" t="n"/>
      <c r="N1494" s="45" t="n"/>
      <c r="O1494" s="45" t="n"/>
      <c r="P1494" s="50" t="n"/>
      <c r="R1494" s="2">
        <f t="shared" si="6"/>
        <v>0</v>
      </c>
      <c r="S1494" s="2">
        <f t="shared" si="7"/>
      </c>
      <c r="T1494" s="2">
        <f t="shared" si="8"/>
      </c>
      <c r="U1494" s="2">
        <f t="shared" si="9"/>
      </c>
      <c r="V1494" s="2">
        <f t="shared" si="10"/>
      </c>
      <c r="W1494" s="2">
        <f t="shared" si="11"/>
      </c>
      <c r="X1494" s="2">
        <f t="shared" si="12"/>
      </c>
      <c r="Y1494" s="2">
        <f t="shared" si="13"/>
        <v>0</v>
      </c>
      <c r="Z1494" s="2">
        <f t="shared" si="14"/>
      </c>
      <c r="AA1494" s="2">
        <f t="shared" si="15"/>
        <v>0</v>
      </c>
      <c r="AB1494" s="2">
        <f t="shared" si="16"/>
      </c>
      <c r="AC1494" s="2">
        <f t="shared" si="17"/>
      </c>
      <c r="AD1494" s="2">
        <f t="shared" si="18"/>
      </c>
      <c r="AE1494" s="2">
        <f t="shared" si="19"/>
      </c>
      <c r="AF1494" s="2">
        <f t="shared" si="20"/>
      </c>
      <c r="AG1494" s="2">
        <f t="shared" si="21"/>
      </c>
      <c r="AH1494" s="2">
        <f t="shared" si="22"/>
      </c>
      <c r="AI1494" s="2">
        <f t="shared" si="23"/>
      </c>
      <c r="AJ1494" s="2">
        <f t="shared" si="24"/>
        <v>0</v>
      </c>
      <c r="AK1494" s="2">
        <f t="shared" si="25"/>
        <v>0</v>
      </c>
      <c r="AL1494" s="2">
        <f t="shared" si="26"/>
        <v>0</v>
      </c>
      <c r="AM1494" s="2">
        <f t="shared" si="27"/>
        <v>0</v>
      </c>
      <c r="AN1494" s="2">
        <f t="shared" si="28"/>
        <v>0</v>
      </c>
      <c r="AO1494" s="2">
        <f t="shared" si="29"/>
      </c>
      <c r="AP1494" s="2">
        <f t="shared" si="30"/>
      </c>
      <c r="AQ1494" s="2">
        <f t="shared" si="31"/>
      </c>
    </row>
    <row r="1495">
      <c r="A1495" s="43">
        <f t="shared" si="3"/>
      </c>
      <c r="B1495" s="44" t="n"/>
      <c r="C1495" s="45" t="n"/>
      <c r="D1495" s="46" t="n"/>
      <c r="E1495" s="47" t="n"/>
      <c r="F1495" s="47" t="n"/>
      <c r="G1495" s="48">
        <f t="shared" si="4"/>
      </c>
      <c r="H1495" s="43">
        <f t="shared" si="0"/>
      </c>
      <c r="I1495" s="43">
        <f t="shared" si="5"/>
      </c>
      <c r="J1495" s="43">
        <f t="shared" si="1"/>
      </c>
      <c r="K1495" s="49">
        <f t="shared" si="2"/>
      </c>
      <c r="L1495" s="45" t="n"/>
      <c r="M1495" s="45" t="n"/>
      <c r="N1495" s="45" t="n"/>
      <c r="O1495" s="45" t="n"/>
      <c r="P1495" s="50" t="n"/>
      <c r="R1495" s="2">
        <f t="shared" si="6"/>
        <v>0</v>
      </c>
      <c r="S1495" s="2">
        <f t="shared" si="7"/>
      </c>
      <c r="T1495" s="2">
        <f t="shared" si="8"/>
      </c>
      <c r="U1495" s="2">
        <f t="shared" si="9"/>
      </c>
      <c r="V1495" s="2">
        <f t="shared" si="10"/>
      </c>
      <c r="W1495" s="2">
        <f t="shared" si="11"/>
      </c>
      <c r="X1495" s="2">
        <f t="shared" si="12"/>
      </c>
      <c r="Y1495" s="2">
        <f t="shared" si="13"/>
        <v>0</v>
      </c>
      <c r="Z1495" s="2">
        <f t="shared" si="14"/>
      </c>
      <c r="AA1495" s="2">
        <f t="shared" si="15"/>
        <v>0</v>
      </c>
      <c r="AB1495" s="2">
        <f t="shared" si="16"/>
      </c>
      <c r="AC1495" s="2">
        <f t="shared" si="17"/>
      </c>
      <c r="AD1495" s="2">
        <f t="shared" si="18"/>
      </c>
      <c r="AE1495" s="2">
        <f t="shared" si="19"/>
      </c>
      <c r="AF1495" s="2">
        <f t="shared" si="20"/>
      </c>
      <c r="AG1495" s="2">
        <f t="shared" si="21"/>
      </c>
      <c r="AH1495" s="2">
        <f t="shared" si="22"/>
      </c>
      <c r="AI1495" s="2">
        <f t="shared" si="23"/>
      </c>
      <c r="AJ1495" s="2">
        <f t="shared" si="24"/>
        <v>0</v>
      </c>
      <c r="AK1495" s="2">
        <f t="shared" si="25"/>
        <v>0</v>
      </c>
      <c r="AL1495" s="2">
        <f t="shared" si="26"/>
        <v>0</v>
      </c>
      <c r="AM1495" s="2">
        <f t="shared" si="27"/>
        <v>0</v>
      </c>
      <c r="AN1495" s="2">
        <f t="shared" si="28"/>
        <v>0</v>
      </c>
      <c r="AO1495" s="2">
        <f t="shared" si="29"/>
      </c>
      <c r="AP1495" s="2">
        <f t="shared" si="30"/>
      </c>
      <c r="AQ1495" s="2">
        <f t="shared" si="31"/>
      </c>
    </row>
    <row r="1496">
      <c r="A1496" s="43">
        <f t="shared" si="3"/>
      </c>
      <c r="B1496" s="44" t="n"/>
      <c r="C1496" s="45" t="n"/>
      <c r="D1496" s="46" t="n"/>
      <c r="E1496" s="47" t="n"/>
      <c r="F1496" s="47" t="n"/>
      <c r="G1496" s="48">
        <f t="shared" si="4"/>
      </c>
      <c r="H1496" s="43">
        <f t="shared" si="0"/>
      </c>
      <c r="I1496" s="43">
        <f t="shared" si="5"/>
      </c>
      <c r="J1496" s="43">
        <f t="shared" si="1"/>
      </c>
      <c r="K1496" s="49">
        <f t="shared" si="2"/>
      </c>
      <c r="L1496" s="45" t="n"/>
      <c r="M1496" s="45" t="n"/>
      <c r="N1496" s="45" t="n"/>
      <c r="O1496" s="45" t="n"/>
      <c r="P1496" s="50" t="n"/>
      <c r="R1496" s="2">
        <f t="shared" si="6"/>
        <v>0</v>
      </c>
      <c r="S1496" s="2">
        <f t="shared" si="7"/>
      </c>
      <c r="T1496" s="2">
        <f t="shared" si="8"/>
      </c>
      <c r="U1496" s="2">
        <f t="shared" si="9"/>
      </c>
      <c r="V1496" s="2">
        <f t="shared" si="10"/>
      </c>
      <c r="W1496" s="2">
        <f t="shared" si="11"/>
      </c>
      <c r="X1496" s="2">
        <f t="shared" si="12"/>
      </c>
      <c r="Y1496" s="2">
        <f t="shared" si="13"/>
        <v>0</v>
      </c>
      <c r="Z1496" s="2">
        <f t="shared" si="14"/>
      </c>
      <c r="AA1496" s="2">
        <f t="shared" si="15"/>
        <v>0</v>
      </c>
      <c r="AB1496" s="2">
        <f t="shared" si="16"/>
      </c>
      <c r="AC1496" s="2">
        <f t="shared" si="17"/>
      </c>
      <c r="AD1496" s="2">
        <f t="shared" si="18"/>
      </c>
      <c r="AE1496" s="2">
        <f t="shared" si="19"/>
      </c>
      <c r="AF1496" s="2">
        <f t="shared" si="20"/>
      </c>
      <c r="AG1496" s="2">
        <f t="shared" si="21"/>
      </c>
      <c r="AH1496" s="2">
        <f t="shared" si="22"/>
      </c>
      <c r="AI1496" s="2">
        <f t="shared" si="23"/>
      </c>
      <c r="AJ1496" s="2">
        <f t="shared" si="24"/>
        <v>0</v>
      </c>
      <c r="AK1496" s="2">
        <f t="shared" si="25"/>
        <v>0</v>
      </c>
      <c r="AL1496" s="2">
        <f t="shared" si="26"/>
        <v>0</v>
      </c>
      <c r="AM1496" s="2">
        <f t="shared" si="27"/>
        <v>0</v>
      </c>
      <c r="AN1496" s="2">
        <f t="shared" si="28"/>
        <v>0</v>
      </c>
      <c r="AO1496" s="2">
        <f t="shared" si="29"/>
      </c>
      <c r="AP1496" s="2">
        <f t="shared" si="30"/>
      </c>
      <c r="AQ1496" s="2">
        <f t="shared" si="31"/>
      </c>
    </row>
    <row r="1497">
      <c r="A1497" s="43">
        <f t="shared" si="3"/>
      </c>
      <c r="B1497" s="44" t="n"/>
      <c r="C1497" s="45" t="n"/>
      <c r="D1497" s="46" t="n"/>
      <c r="E1497" s="47" t="n"/>
      <c r="F1497" s="47" t="n"/>
      <c r="G1497" s="48">
        <f t="shared" si="4"/>
      </c>
      <c r="H1497" s="43">
        <f t="shared" si="0"/>
      </c>
      <c r="I1497" s="43">
        <f t="shared" si="5"/>
      </c>
      <c r="J1497" s="43">
        <f t="shared" si="1"/>
      </c>
      <c r="K1497" s="49">
        <f t="shared" si="2"/>
      </c>
      <c r="L1497" s="45" t="n"/>
      <c r="M1497" s="45" t="n"/>
      <c r="N1497" s="45" t="n"/>
      <c r="O1497" s="45" t="n"/>
      <c r="P1497" s="50" t="n"/>
      <c r="R1497" s="2">
        <f t="shared" si="6"/>
        <v>0</v>
      </c>
      <c r="S1497" s="2">
        <f t="shared" si="7"/>
      </c>
      <c r="T1497" s="2">
        <f t="shared" si="8"/>
      </c>
      <c r="U1497" s="2">
        <f t="shared" si="9"/>
      </c>
      <c r="V1497" s="2">
        <f t="shared" si="10"/>
      </c>
      <c r="W1497" s="2">
        <f t="shared" si="11"/>
      </c>
      <c r="X1497" s="2">
        <f t="shared" si="12"/>
      </c>
      <c r="Y1497" s="2">
        <f t="shared" si="13"/>
        <v>0</v>
      </c>
      <c r="Z1497" s="2">
        <f t="shared" si="14"/>
      </c>
      <c r="AA1497" s="2">
        <f t="shared" si="15"/>
        <v>0</v>
      </c>
      <c r="AB1497" s="2">
        <f t="shared" si="16"/>
      </c>
      <c r="AC1497" s="2">
        <f t="shared" si="17"/>
      </c>
      <c r="AD1497" s="2">
        <f t="shared" si="18"/>
      </c>
      <c r="AE1497" s="2">
        <f t="shared" si="19"/>
      </c>
      <c r="AF1497" s="2">
        <f t="shared" si="20"/>
      </c>
      <c r="AG1497" s="2">
        <f t="shared" si="21"/>
      </c>
      <c r="AH1497" s="2">
        <f t="shared" si="22"/>
      </c>
      <c r="AI1497" s="2">
        <f t="shared" si="23"/>
      </c>
      <c r="AJ1497" s="2">
        <f t="shared" si="24"/>
        <v>0</v>
      </c>
      <c r="AK1497" s="2">
        <f t="shared" si="25"/>
        <v>0</v>
      </c>
      <c r="AL1497" s="2">
        <f t="shared" si="26"/>
        <v>0</v>
      </c>
      <c r="AM1497" s="2">
        <f t="shared" si="27"/>
        <v>0</v>
      </c>
      <c r="AN1497" s="2">
        <f t="shared" si="28"/>
        <v>0</v>
      </c>
      <c r="AO1497" s="2">
        <f t="shared" si="29"/>
      </c>
      <c r="AP1497" s="2">
        <f t="shared" si="30"/>
      </c>
      <c r="AQ1497" s="2">
        <f t="shared" si="31"/>
      </c>
    </row>
    <row r="1498">
      <c r="A1498" s="43">
        <f t="shared" si="3"/>
      </c>
      <c r="B1498" s="44" t="n"/>
      <c r="C1498" s="45" t="n"/>
      <c r="D1498" s="46" t="n"/>
      <c r="E1498" s="47" t="n"/>
      <c r="F1498" s="47" t="n"/>
      <c r="G1498" s="48">
        <f t="shared" si="4"/>
      </c>
      <c r="H1498" s="43">
        <f t="shared" si="0"/>
      </c>
      <c r="I1498" s="43">
        <f t="shared" si="5"/>
      </c>
      <c r="J1498" s="43">
        <f t="shared" si="1"/>
      </c>
      <c r="K1498" s="49">
        <f t="shared" si="2"/>
      </c>
      <c r="L1498" s="45" t="n"/>
      <c r="M1498" s="45" t="n"/>
      <c r="N1498" s="45" t="n"/>
      <c r="O1498" s="45" t="n"/>
      <c r="P1498" s="50" t="n"/>
      <c r="R1498" s="2">
        <f t="shared" si="6"/>
        <v>0</v>
      </c>
      <c r="S1498" s="2">
        <f t="shared" si="7"/>
      </c>
      <c r="T1498" s="2">
        <f t="shared" si="8"/>
      </c>
      <c r="U1498" s="2">
        <f t="shared" si="9"/>
      </c>
      <c r="V1498" s="2">
        <f t="shared" si="10"/>
      </c>
      <c r="W1498" s="2">
        <f t="shared" si="11"/>
      </c>
      <c r="X1498" s="2">
        <f t="shared" si="12"/>
      </c>
      <c r="Y1498" s="2">
        <f t="shared" si="13"/>
        <v>0</v>
      </c>
      <c r="Z1498" s="2">
        <f t="shared" si="14"/>
      </c>
      <c r="AA1498" s="2">
        <f t="shared" si="15"/>
        <v>0</v>
      </c>
      <c r="AB1498" s="2">
        <f t="shared" si="16"/>
      </c>
      <c r="AC1498" s="2">
        <f t="shared" si="17"/>
      </c>
      <c r="AD1498" s="2">
        <f t="shared" si="18"/>
      </c>
      <c r="AE1498" s="2">
        <f t="shared" si="19"/>
      </c>
      <c r="AF1498" s="2">
        <f t="shared" si="20"/>
      </c>
      <c r="AG1498" s="2">
        <f t="shared" si="21"/>
      </c>
      <c r="AH1498" s="2">
        <f t="shared" si="22"/>
      </c>
      <c r="AI1498" s="2">
        <f t="shared" si="23"/>
      </c>
      <c r="AJ1498" s="2">
        <f t="shared" si="24"/>
        <v>0</v>
      </c>
      <c r="AK1498" s="2">
        <f t="shared" si="25"/>
        <v>0</v>
      </c>
      <c r="AL1498" s="2">
        <f t="shared" si="26"/>
        <v>0</v>
      </c>
      <c r="AM1498" s="2">
        <f t="shared" si="27"/>
        <v>0</v>
      </c>
      <c r="AN1498" s="2">
        <f t="shared" si="28"/>
        <v>0</v>
      </c>
      <c r="AO1498" s="2">
        <f t="shared" si="29"/>
      </c>
      <c r="AP1498" s="2">
        <f t="shared" si="30"/>
      </c>
      <c r="AQ1498" s="2">
        <f t="shared" si="31"/>
      </c>
    </row>
    <row r="1499">
      <c r="A1499" s="43">
        <f t="shared" si="3"/>
      </c>
      <c r="B1499" s="44" t="n"/>
      <c r="C1499" s="45" t="n"/>
      <c r="D1499" s="46" t="n"/>
      <c r="E1499" s="47" t="n"/>
      <c r="F1499" s="47" t="n"/>
      <c r="G1499" s="48">
        <f t="shared" si="4"/>
      </c>
      <c r="H1499" s="43">
        <f t="shared" si="0"/>
      </c>
      <c r="I1499" s="43">
        <f t="shared" si="5"/>
      </c>
      <c r="J1499" s="43">
        <f t="shared" si="1"/>
      </c>
      <c r="K1499" s="49">
        <f t="shared" si="2"/>
      </c>
      <c r="L1499" s="45" t="n"/>
      <c r="M1499" s="45" t="n"/>
      <c r="N1499" s="45" t="n"/>
      <c r="O1499" s="45" t="n"/>
      <c r="P1499" s="50" t="n"/>
      <c r="R1499" s="2">
        <f t="shared" si="6"/>
        <v>0</v>
      </c>
      <c r="S1499" s="2">
        <f t="shared" si="7"/>
      </c>
      <c r="T1499" s="2">
        <f t="shared" si="8"/>
      </c>
      <c r="U1499" s="2">
        <f t="shared" si="9"/>
      </c>
      <c r="V1499" s="2">
        <f t="shared" si="10"/>
      </c>
      <c r="W1499" s="2">
        <f t="shared" si="11"/>
      </c>
      <c r="X1499" s="2">
        <f t="shared" si="12"/>
      </c>
      <c r="Y1499" s="2">
        <f t="shared" si="13"/>
        <v>0</v>
      </c>
      <c r="Z1499" s="2">
        <f t="shared" si="14"/>
      </c>
      <c r="AA1499" s="2">
        <f t="shared" si="15"/>
        <v>0</v>
      </c>
      <c r="AB1499" s="2">
        <f t="shared" si="16"/>
      </c>
      <c r="AC1499" s="2">
        <f t="shared" si="17"/>
      </c>
      <c r="AD1499" s="2">
        <f t="shared" si="18"/>
      </c>
      <c r="AE1499" s="2">
        <f t="shared" si="19"/>
      </c>
      <c r="AF1499" s="2">
        <f t="shared" si="20"/>
      </c>
      <c r="AG1499" s="2">
        <f t="shared" si="21"/>
      </c>
      <c r="AH1499" s="2">
        <f t="shared" si="22"/>
      </c>
      <c r="AI1499" s="2">
        <f t="shared" si="23"/>
      </c>
      <c r="AJ1499" s="2">
        <f t="shared" si="24"/>
        <v>0</v>
      </c>
      <c r="AK1499" s="2">
        <f t="shared" si="25"/>
        <v>0</v>
      </c>
      <c r="AL1499" s="2">
        <f t="shared" si="26"/>
        <v>0</v>
      </c>
      <c r="AM1499" s="2">
        <f t="shared" si="27"/>
        <v>0</v>
      </c>
      <c r="AN1499" s="2">
        <f t="shared" si="28"/>
        <v>0</v>
      </c>
      <c r="AO1499" s="2">
        <f t="shared" si="29"/>
      </c>
      <c r="AP1499" s="2">
        <f t="shared" si="30"/>
      </c>
      <c r="AQ1499" s="2">
        <f t="shared" si="31"/>
      </c>
    </row>
    <row r="1500">
      <c r="A1500" s="43">
        <f t="shared" si="3"/>
      </c>
      <c r="B1500" s="44" t="n"/>
      <c r="C1500" s="45" t="n"/>
      <c r="D1500" s="46" t="n"/>
      <c r="E1500" s="47" t="n"/>
      <c r="F1500" s="47" t="n"/>
      <c r="G1500" s="48">
        <f t="shared" si="4"/>
      </c>
      <c r="H1500" s="43">
        <f t="shared" si="0"/>
      </c>
      <c r="I1500" s="43">
        <f t="shared" si="5"/>
      </c>
      <c r="J1500" s="43">
        <f t="shared" si="1"/>
      </c>
      <c r="K1500" s="49">
        <f t="shared" si="2"/>
      </c>
      <c r="L1500" s="45" t="n"/>
      <c r="M1500" s="45" t="n"/>
      <c r="N1500" s="45" t="n"/>
      <c r="O1500" s="45" t="n"/>
      <c r="P1500" s="50" t="n"/>
      <c r="R1500" s="2">
        <f t="shared" si="6"/>
        <v>0</v>
      </c>
      <c r="S1500" s="2">
        <f t="shared" si="7"/>
      </c>
      <c r="T1500" s="2">
        <f t="shared" si="8"/>
      </c>
      <c r="U1500" s="2">
        <f t="shared" si="9"/>
      </c>
      <c r="V1500" s="2">
        <f t="shared" si="10"/>
      </c>
      <c r="W1500" s="2">
        <f t="shared" si="11"/>
      </c>
      <c r="X1500" s="2">
        <f t="shared" si="12"/>
      </c>
      <c r="Y1500" s="2">
        <f t="shared" si="13"/>
        <v>0</v>
      </c>
      <c r="Z1500" s="2">
        <f t="shared" si="14"/>
      </c>
      <c r="AA1500" s="2">
        <f t="shared" si="15"/>
        <v>0</v>
      </c>
      <c r="AB1500" s="2">
        <f t="shared" si="16"/>
      </c>
      <c r="AC1500" s="2">
        <f t="shared" si="17"/>
      </c>
      <c r="AD1500" s="2">
        <f t="shared" si="18"/>
      </c>
      <c r="AE1500" s="2">
        <f t="shared" si="19"/>
      </c>
      <c r="AF1500" s="2">
        <f t="shared" si="20"/>
      </c>
      <c r="AG1500" s="2">
        <f t="shared" si="21"/>
      </c>
      <c r="AH1500" s="2">
        <f t="shared" si="22"/>
      </c>
      <c r="AI1500" s="2">
        <f t="shared" si="23"/>
      </c>
      <c r="AJ1500" s="2">
        <f t="shared" si="24"/>
        <v>0</v>
      </c>
      <c r="AK1500" s="2">
        <f t="shared" si="25"/>
        <v>0</v>
      </c>
      <c r="AL1500" s="2">
        <f t="shared" si="26"/>
        <v>0</v>
      </c>
      <c r="AM1500" s="2">
        <f t="shared" si="27"/>
        <v>0</v>
      </c>
      <c r="AN1500" s="2">
        <f t="shared" si="28"/>
        <v>0</v>
      </c>
      <c r="AO1500" s="2">
        <f t="shared" si="29"/>
      </c>
      <c r="AP1500" s="2">
        <f t="shared" si="30"/>
      </c>
      <c r="AQ1500" s="2">
        <f t="shared" si="31"/>
      </c>
    </row>
    <row r="1501">
      <c r="A1501" s="43">
        <f t="shared" si="3"/>
      </c>
      <c r="B1501" s="44" t="n"/>
      <c r="C1501" s="45" t="n"/>
      <c r="D1501" s="46" t="n"/>
      <c r="E1501" s="47" t="n"/>
      <c r="F1501" s="47" t="n"/>
      <c r="G1501" s="48">
        <f t="shared" si="4"/>
      </c>
      <c r="H1501" s="43">
        <f t="shared" si="0"/>
      </c>
      <c r="I1501" s="43">
        <f t="shared" si="5"/>
      </c>
      <c r="J1501" s="43">
        <f t="shared" si="1"/>
      </c>
      <c r="K1501" s="49">
        <f t="shared" si="2"/>
      </c>
      <c r="L1501" s="45" t="n"/>
      <c r="M1501" s="45" t="n"/>
      <c r="N1501" s="45" t="n"/>
      <c r="O1501" s="45" t="n"/>
      <c r="P1501" s="50" t="n"/>
      <c r="R1501" s="2">
        <f t="shared" si="6"/>
        <v>0</v>
      </c>
      <c r="S1501" s="2">
        <f t="shared" si="7"/>
      </c>
      <c r="T1501" s="2">
        <f t="shared" si="8"/>
      </c>
      <c r="U1501" s="2">
        <f t="shared" si="9"/>
      </c>
      <c r="V1501" s="2">
        <f t="shared" si="10"/>
      </c>
      <c r="W1501" s="2">
        <f t="shared" si="11"/>
      </c>
      <c r="X1501" s="2">
        <f t="shared" si="12"/>
      </c>
      <c r="Y1501" s="2">
        <f t="shared" si="13"/>
        <v>0</v>
      </c>
      <c r="Z1501" s="2">
        <f t="shared" si="14"/>
      </c>
      <c r="AA1501" s="2">
        <f t="shared" si="15"/>
        <v>0</v>
      </c>
      <c r="AB1501" s="2">
        <f t="shared" si="16"/>
      </c>
      <c r="AC1501" s="2">
        <f t="shared" si="17"/>
      </c>
      <c r="AD1501" s="2">
        <f t="shared" si="18"/>
      </c>
      <c r="AE1501" s="2">
        <f t="shared" si="19"/>
      </c>
      <c r="AF1501" s="2">
        <f t="shared" si="20"/>
      </c>
      <c r="AG1501" s="2">
        <f t="shared" si="21"/>
      </c>
      <c r="AH1501" s="2">
        <f t="shared" si="22"/>
      </c>
      <c r="AI1501" s="2">
        <f t="shared" si="23"/>
      </c>
      <c r="AJ1501" s="2">
        <f t="shared" si="24"/>
        <v>0</v>
      </c>
      <c r="AK1501" s="2">
        <f t="shared" si="25"/>
        <v>0</v>
      </c>
      <c r="AL1501" s="2">
        <f t="shared" si="26"/>
        <v>0</v>
      </c>
      <c r="AM1501" s="2">
        <f t="shared" si="27"/>
        <v>0</v>
      </c>
      <c r="AN1501" s="2">
        <f t="shared" si="28"/>
        <v>0</v>
      </c>
      <c r="AO1501" s="2">
        <f t="shared" si="29"/>
      </c>
      <c r="AP1501" s="2">
        <f t="shared" si="30"/>
      </c>
      <c r="AQ1501" s="2">
        <f t="shared" si="31"/>
      </c>
    </row>
    <row r="1502">
      <c r="A1502" s="43">
        <f t="shared" si="3"/>
      </c>
      <c r="B1502" s="44" t="n"/>
      <c r="C1502" s="45" t="n"/>
      <c r="D1502" s="46" t="n"/>
      <c r="E1502" s="47" t="n"/>
      <c r="F1502" s="47" t="n"/>
      <c r="G1502" s="48">
        <f t="shared" si="4"/>
      </c>
      <c r="H1502" s="43">
        <f t="shared" si="0"/>
      </c>
      <c r="I1502" s="43">
        <f t="shared" si="5"/>
      </c>
      <c r="J1502" s="43">
        <f t="shared" si="1"/>
      </c>
      <c r="K1502" s="49">
        <f t="shared" si="2"/>
      </c>
      <c r="L1502" s="45" t="n"/>
      <c r="M1502" s="45" t="n"/>
      <c r="N1502" s="45" t="n"/>
      <c r="O1502" s="45" t="n"/>
      <c r="P1502" s="50" t="n"/>
      <c r="R1502" s="2">
        <f t="shared" si="6"/>
        <v>0</v>
      </c>
      <c r="S1502" s="2">
        <f t="shared" si="7"/>
      </c>
      <c r="T1502" s="2">
        <f t="shared" si="8"/>
      </c>
      <c r="U1502" s="2">
        <f t="shared" si="9"/>
      </c>
      <c r="V1502" s="2">
        <f t="shared" si="10"/>
      </c>
      <c r="W1502" s="2">
        <f t="shared" si="11"/>
      </c>
      <c r="X1502" s="2">
        <f t="shared" si="12"/>
      </c>
      <c r="Y1502" s="2">
        <f t="shared" si="13"/>
        <v>0</v>
      </c>
      <c r="Z1502" s="2">
        <f t="shared" si="14"/>
      </c>
      <c r="AA1502" s="2">
        <f t="shared" si="15"/>
        <v>0</v>
      </c>
      <c r="AB1502" s="2">
        <f t="shared" si="16"/>
      </c>
      <c r="AC1502" s="2">
        <f t="shared" si="17"/>
      </c>
      <c r="AD1502" s="2">
        <f t="shared" si="18"/>
      </c>
      <c r="AE1502" s="2">
        <f t="shared" si="19"/>
      </c>
      <c r="AF1502" s="2">
        <f t="shared" si="20"/>
      </c>
      <c r="AG1502" s="2">
        <f t="shared" si="21"/>
      </c>
      <c r="AH1502" s="2">
        <f t="shared" si="22"/>
      </c>
      <c r="AI1502" s="2">
        <f t="shared" si="23"/>
      </c>
      <c r="AJ1502" s="2">
        <f t="shared" si="24"/>
        <v>0</v>
      </c>
      <c r="AK1502" s="2">
        <f t="shared" si="25"/>
        <v>0</v>
      </c>
      <c r="AL1502" s="2">
        <f t="shared" si="26"/>
        <v>0</v>
      </c>
      <c r="AM1502" s="2">
        <f t="shared" si="27"/>
        <v>0</v>
      </c>
      <c r="AN1502" s="2">
        <f t="shared" si="28"/>
        <v>0</v>
      </c>
      <c r="AO1502" s="2">
        <f t="shared" si="29"/>
      </c>
      <c r="AP1502" s="2">
        <f t="shared" si="30"/>
      </c>
      <c r="AQ1502" s="2">
        <f t="shared" si="31"/>
      </c>
    </row>
    <row r="1503">
      <c r="A1503" s="43">
        <f t="shared" si="3"/>
      </c>
      <c r="B1503" s="44" t="n"/>
      <c r="C1503" s="45" t="n"/>
      <c r="D1503" s="46" t="n"/>
      <c r="E1503" s="47" t="n"/>
      <c r="F1503" s="47" t="n"/>
      <c r="G1503" s="48">
        <f t="shared" si="4"/>
      </c>
      <c r="H1503" s="43">
        <f t="shared" si="0"/>
      </c>
      <c r="I1503" s="43">
        <f t="shared" si="5"/>
      </c>
      <c r="J1503" s="43">
        <f t="shared" si="1"/>
      </c>
      <c r="K1503" s="49">
        <f t="shared" si="2"/>
      </c>
      <c r="L1503" s="45" t="n"/>
      <c r="M1503" s="45" t="n"/>
      <c r="N1503" s="45" t="n"/>
      <c r="O1503" s="45" t="n"/>
      <c r="P1503" s="50" t="n"/>
      <c r="R1503" s="2">
        <f t="shared" si="6"/>
        <v>0</v>
      </c>
      <c r="S1503" s="2">
        <f t="shared" si="7"/>
      </c>
      <c r="T1503" s="2">
        <f t="shared" si="8"/>
      </c>
      <c r="U1503" s="2">
        <f t="shared" si="9"/>
      </c>
      <c r="V1503" s="2">
        <f t="shared" si="10"/>
      </c>
      <c r="W1503" s="2">
        <f t="shared" si="11"/>
      </c>
      <c r="X1503" s="2">
        <f t="shared" si="12"/>
      </c>
      <c r="Y1503" s="2">
        <f t="shared" si="13"/>
        <v>0</v>
      </c>
      <c r="Z1503" s="2">
        <f t="shared" si="14"/>
      </c>
      <c r="AA1503" s="2">
        <f t="shared" si="15"/>
        <v>0</v>
      </c>
      <c r="AB1503" s="2">
        <f t="shared" si="16"/>
      </c>
      <c r="AC1503" s="2">
        <f t="shared" si="17"/>
      </c>
      <c r="AD1503" s="2">
        <f t="shared" si="18"/>
      </c>
      <c r="AE1503" s="2">
        <f t="shared" si="19"/>
      </c>
      <c r="AF1503" s="2">
        <f t="shared" si="20"/>
      </c>
      <c r="AG1503" s="2">
        <f t="shared" si="21"/>
      </c>
      <c r="AH1503" s="2">
        <f t="shared" si="22"/>
      </c>
      <c r="AI1503" s="2">
        <f t="shared" si="23"/>
      </c>
      <c r="AJ1503" s="2">
        <f t="shared" si="24"/>
        <v>0</v>
      </c>
      <c r="AK1503" s="2">
        <f t="shared" si="25"/>
        <v>0</v>
      </c>
      <c r="AL1503" s="2">
        <f t="shared" si="26"/>
        <v>0</v>
      </c>
      <c r="AM1503" s="2">
        <f t="shared" si="27"/>
        <v>0</v>
      </c>
      <c r="AN1503" s="2">
        <f t="shared" si="28"/>
        <v>0</v>
      </c>
      <c r="AO1503" s="2">
        <f t="shared" si="29"/>
      </c>
      <c r="AP1503" s="2">
        <f t="shared" si="30"/>
      </c>
      <c r="AQ1503" s="2">
        <f t="shared" si="31"/>
      </c>
    </row>
    <row r="1504">
      <c r="A1504" s="43">
        <f t="shared" si="3"/>
      </c>
      <c r="B1504" s="44" t="n"/>
      <c r="C1504" s="45" t="n"/>
      <c r="D1504" s="46" t="n"/>
      <c r="E1504" s="47" t="n"/>
      <c r="F1504" s="47" t="n"/>
      <c r="G1504" s="48">
        <f t="shared" si="4"/>
      </c>
      <c r="H1504" s="43">
        <f t="shared" si="0"/>
      </c>
      <c r="I1504" s="43">
        <f t="shared" si="5"/>
      </c>
      <c r="J1504" s="43">
        <f t="shared" si="1"/>
      </c>
      <c r="K1504" s="49">
        <f t="shared" si="2"/>
      </c>
      <c r="L1504" s="45" t="n"/>
      <c r="M1504" s="45" t="n"/>
      <c r="N1504" s="45" t="n"/>
      <c r="O1504" s="45" t="n"/>
      <c r="P1504" s="50" t="n"/>
      <c r="R1504" s="2">
        <f t="shared" si="6"/>
        <v>0</v>
      </c>
      <c r="S1504" s="2">
        <f t="shared" si="7"/>
      </c>
      <c r="T1504" s="2">
        <f t="shared" si="8"/>
      </c>
      <c r="U1504" s="2">
        <f t="shared" si="9"/>
      </c>
      <c r="V1504" s="2">
        <f t="shared" si="10"/>
      </c>
      <c r="W1504" s="2">
        <f t="shared" si="11"/>
      </c>
      <c r="X1504" s="2">
        <f t="shared" si="12"/>
      </c>
      <c r="Y1504" s="2">
        <f t="shared" si="13"/>
        <v>0</v>
      </c>
      <c r="Z1504" s="2">
        <f t="shared" si="14"/>
      </c>
      <c r="AA1504" s="2">
        <f t="shared" si="15"/>
        <v>0</v>
      </c>
      <c r="AB1504" s="2">
        <f t="shared" si="16"/>
      </c>
      <c r="AC1504" s="2">
        <f t="shared" si="17"/>
      </c>
      <c r="AD1504" s="2">
        <f t="shared" si="18"/>
      </c>
      <c r="AE1504" s="2">
        <f t="shared" si="19"/>
      </c>
      <c r="AF1504" s="2">
        <f t="shared" si="20"/>
      </c>
      <c r="AG1504" s="2">
        <f t="shared" si="21"/>
      </c>
      <c r="AH1504" s="2">
        <f t="shared" si="22"/>
      </c>
      <c r="AI1504" s="2">
        <f t="shared" si="23"/>
      </c>
      <c r="AJ1504" s="2">
        <f t="shared" si="24"/>
        <v>0</v>
      </c>
      <c r="AK1504" s="2">
        <f t="shared" si="25"/>
        <v>0</v>
      </c>
      <c r="AL1504" s="2">
        <f t="shared" si="26"/>
        <v>0</v>
      </c>
      <c r="AM1504" s="2">
        <f t="shared" si="27"/>
        <v>0</v>
      </c>
      <c r="AN1504" s="2">
        <f t="shared" si="28"/>
        <v>0</v>
      </c>
      <c r="AO1504" s="2">
        <f t="shared" si="29"/>
      </c>
      <c r="AP1504" s="2">
        <f t="shared" si="30"/>
      </c>
      <c r="AQ1504" s="2">
        <f t="shared" si="31"/>
      </c>
    </row>
    <row r="1505">
      <c r="A1505" s="43">
        <f t="shared" si="3"/>
      </c>
      <c r="B1505" s="44" t="n"/>
      <c r="C1505" s="45" t="n"/>
      <c r="D1505" s="46" t="n"/>
      <c r="E1505" s="47" t="n"/>
      <c r="F1505" s="47" t="n"/>
      <c r="G1505" s="48">
        <f t="shared" si="4"/>
      </c>
      <c r="H1505" s="43">
        <f t="shared" si="0"/>
      </c>
      <c r="I1505" s="43">
        <f t="shared" si="5"/>
      </c>
      <c r="J1505" s="43">
        <f t="shared" si="1"/>
      </c>
      <c r="K1505" s="49">
        <f t="shared" si="2"/>
      </c>
      <c r="L1505" s="45" t="n"/>
      <c r="M1505" s="45" t="n"/>
      <c r="N1505" s="45" t="n"/>
      <c r="O1505" s="45" t="n"/>
      <c r="P1505" s="50" t="n"/>
      <c r="R1505" s="2">
        <f t="shared" si="6"/>
        <v>0</v>
      </c>
      <c r="S1505" s="2">
        <f t="shared" si="7"/>
      </c>
      <c r="T1505" s="2">
        <f t="shared" si="8"/>
      </c>
      <c r="U1505" s="2">
        <f t="shared" si="9"/>
      </c>
      <c r="V1505" s="2">
        <f t="shared" si="10"/>
      </c>
      <c r="W1505" s="2">
        <f t="shared" si="11"/>
      </c>
      <c r="X1505" s="2">
        <f t="shared" si="12"/>
      </c>
      <c r="Y1505" s="2">
        <f t="shared" si="13"/>
        <v>0</v>
      </c>
      <c r="Z1505" s="2">
        <f t="shared" si="14"/>
      </c>
      <c r="AA1505" s="2">
        <f t="shared" si="15"/>
        <v>0</v>
      </c>
      <c r="AB1505" s="2">
        <f t="shared" si="16"/>
      </c>
      <c r="AC1505" s="2">
        <f t="shared" si="17"/>
      </c>
      <c r="AD1505" s="2">
        <f t="shared" si="18"/>
      </c>
      <c r="AE1505" s="2">
        <f t="shared" si="19"/>
      </c>
      <c r="AF1505" s="2">
        <f t="shared" si="20"/>
      </c>
      <c r="AG1505" s="2">
        <f t="shared" si="21"/>
      </c>
      <c r="AH1505" s="2">
        <f t="shared" si="22"/>
      </c>
      <c r="AI1505" s="2">
        <f t="shared" si="23"/>
      </c>
      <c r="AJ1505" s="2">
        <f t="shared" si="24"/>
        <v>0</v>
      </c>
      <c r="AK1505" s="2">
        <f t="shared" si="25"/>
        <v>0</v>
      </c>
      <c r="AL1505" s="2">
        <f t="shared" si="26"/>
        <v>0</v>
      </c>
      <c r="AM1505" s="2">
        <f t="shared" si="27"/>
        <v>0</v>
      </c>
      <c r="AN1505" s="2">
        <f t="shared" si="28"/>
        <v>0</v>
      </c>
      <c r="AO1505" s="2">
        <f t="shared" si="29"/>
      </c>
      <c r="AP1505" s="2">
        <f t="shared" si="30"/>
      </c>
      <c r="AQ1505" s="2">
        <f t="shared" si="31"/>
      </c>
    </row>
    <row r="1506">
      <c r="A1506" s="43">
        <f t="shared" si="3"/>
      </c>
      <c r="B1506" s="44" t="n"/>
      <c r="C1506" s="45" t="n"/>
      <c r="D1506" s="46" t="n"/>
      <c r="E1506" s="47" t="n"/>
      <c r="F1506" s="47" t="n"/>
      <c r="G1506" s="48">
        <f t="shared" si="4"/>
      </c>
      <c r="H1506" s="43">
        <f t="shared" si="0"/>
      </c>
      <c r="I1506" s="43">
        <f t="shared" si="5"/>
      </c>
      <c r="J1506" s="43">
        <f t="shared" si="1"/>
      </c>
      <c r="K1506" s="49">
        <f t="shared" si="2"/>
      </c>
      <c r="L1506" s="45" t="n"/>
      <c r="M1506" s="45" t="n"/>
      <c r="N1506" s="45" t="n"/>
      <c r="O1506" s="45" t="n"/>
      <c r="P1506" s="50" t="n"/>
      <c r="R1506" s="2">
        <f t="shared" si="6"/>
        <v>0</v>
      </c>
      <c r="S1506" s="2">
        <f t="shared" si="7"/>
      </c>
      <c r="T1506" s="2">
        <f t="shared" si="8"/>
      </c>
      <c r="U1506" s="2">
        <f t="shared" si="9"/>
      </c>
      <c r="V1506" s="2">
        <f t="shared" si="10"/>
      </c>
      <c r="W1506" s="2">
        <f t="shared" si="11"/>
      </c>
      <c r="X1506" s="2">
        <f t="shared" si="12"/>
      </c>
      <c r="Y1506" s="2">
        <f t="shared" si="13"/>
        <v>0</v>
      </c>
      <c r="Z1506" s="2">
        <f t="shared" si="14"/>
      </c>
      <c r="AA1506" s="2">
        <f t="shared" si="15"/>
        <v>0</v>
      </c>
      <c r="AB1506" s="2">
        <f t="shared" si="16"/>
      </c>
      <c r="AC1506" s="2">
        <f t="shared" si="17"/>
      </c>
      <c r="AD1506" s="2">
        <f t="shared" si="18"/>
      </c>
      <c r="AE1506" s="2">
        <f t="shared" si="19"/>
      </c>
      <c r="AF1506" s="2">
        <f t="shared" si="20"/>
      </c>
      <c r="AG1506" s="2">
        <f t="shared" si="21"/>
      </c>
      <c r="AH1506" s="2">
        <f t="shared" si="22"/>
      </c>
      <c r="AI1506" s="2">
        <f t="shared" si="23"/>
      </c>
      <c r="AJ1506" s="2">
        <f t="shared" si="24"/>
        <v>0</v>
      </c>
      <c r="AK1506" s="2">
        <f t="shared" si="25"/>
        <v>0</v>
      </c>
      <c r="AL1506" s="2">
        <f t="shared" si="26"/>
        <v>0</v>
      </c>
      <c r="AM1506" s="2">
        <f t="shared" si="27"/>
        <v>0</v>
      </c>
      <c r="AN1506" s="2">
        <f t="shared" si="28"/>
        <v>0</v>
      </c>
      <c r="AO1506" s="2">
        <f t="shared" si="29"/>
      </c>
      <c r="AP1506" s="2">
        <f t="shared" si="30"/>
      </c>
      <c r="AQ1506" s="2">
        <f t="shared" si="31"/>
      </c>
    </row>
    <row r="1507">
      <c r="A1507" s="43">
        <f t="shared" si="3"/>
      </c>
      <c r="B1507" s="44" t="n"/>
      <c r="C1507" s="45" t="n"/>
      <c r="D1507" s="46" t="n"/>
      <c r="E1507" s="47" t="n"/>
      <c r="F1507" s="47" t="n"/>
      <c r="G1507" s="48">
        <f t="shared" si="4"/>
      </c>
      <c r="H1507" s="43">
        <f t="shared" si="0"/>
      </c>
      <c r="I1507" s="43">
        <f t="shared" si="5"/>
      </c>
      <c r="J1507" s="43">
        <f t="shared" si="1"/>
      </c>
      <c r="K1507" s="49">
        <f t="shared" si="2"/>
      </c>
      <c r="L1507" s="45" t="n"/>
      <c r="M1507" s="45" t="n"/>
      <c r="N1507" s="45" t="n"/>
      <c r="O1507" s="45" t="n"/>
      <c r="P1507" s="50" t="n"/>
      <c r="R1507" s="2">
        <f t="shared" si="6"/>
        <v>0</v>
      </c>
      <c r="S1507" s="2">
        <f t="shared" si="7"/>
      </c>
      <c r="T1507" s="2">
        <f t="shared" si="8"/>
      </c>
      <c r="U1507" s="2">
        <f t="shared" si="9"/>
      </c>
      <c r="V1507" s="2">
        <f t="shared" si="10"/>
      </c>
      <c r="W1507" s="2">
        <f t="shared" si="11"/>
      </c>
      <c r="X1507" s="2">
        <f t="shared" si="12"/>
      </c>
      <c r="Y1507" s="2">
        <f t="shared" si="13"/>
        <v>0</v>
      </c>
      <c r="Z1507" s="2">
        <f t="shared" si="14"/>
      </c>
      <c r="AA1507" s="2">
        <f t="shared" si="15"/>
        <v>0</v>
      </c>
      <c r="AB1507" s="2">
        <f t="shared" si="16"/>
      </c>
      <c r="AC1507" s="2">
        <f t="shared" si="17"/>
      </c>
      <c r="AD1507" s="2">
        <f t="shared" si="18"/>
      </c>
      <c r="AE1507" s="2">
        <f t="shared" si="19"/>
      </c>
      <c r="AF1507" s="2">
        <f t="shared" si="20"/>
      </c>
      <c r="AG1507" s="2">
        <f t="shared" si="21"/>
      </c>
      <c r="AH1507" s="2">
        <f t="shared" si="22"/>
      </c>
      <c r="AI1507" s="2">
        <f t="shared" si="23"/>
      </c>
      <c r="AJ1507" s="2">
        <f t="shared" si="24"/>
        <v>0</v>
      </c>
      <c r="AK1507" s="2">
        <f t="shared" si="25"/>
        <v>0</v>
      </c>
      <c r="AL1507" s="2">
        <f t="shared" si="26"/>
        <v>0</v>
      </c>
      <c r="AM1507" s="2">
        <f t="shared" si="27"/>
        <v>0</v>
      </c>
      <c r="AN1507" s="2">
        <f t="shared" si="28"/>
        <v>0</v>
      </c>
      <c r="AO1507" s="2">
        <f t="shared" si="29"/>
      </c>
      <c r="AP1507" s="2">
        <f t="shared" si="30"/>
      </c>
      <c r="AQ1507" s="2">
        <f t="shared" si="31"/>
      </c>
    </row>
    <row r="1508">
      <c r="A1508" s="43">
        <f t="shared" si="3"/>
      </c>
      <c r="B1508" s="44" t="n"/>
      <c r="C1508" s="45" t="n"/>
      <c r="D1508" s="46" t="n"/>
      <c r="E1508" s="47" t="n"/>
      <c r="F1508" s="47" t="n"/>
      <c r="G1508" s="48">
        <f t="shared" si="4"/>
      </c>
      <c r="H1508" s="43">
        <f t="shared" si="0"/>
      </c>
      <c r="I1508" s="43">
        <f t="shared" si="5"/>
      </c>
      <c r="J1508" s="43">
        <f t="shared" si="1"/>
      </c>
      <c r="K1508" s="49">
        <f t="shared" si="2"/>
      </c>
      <c r="L1508" s="45" t="n"/>
      <c r="M1508" s="45" t="n"/>
      <c r="N1508" s="45" t="n"/>
      <c r="O1508" s="45" t="n"/>
      <c r="P1508" s="50" t="n"/>
      <c r="R1508" s="2">
        <f t="shared" si="6"/>
        <v>0</v>
      </c>
      <c r="S1508" s="2">
        <f t="shared" si="7"/>
      </c>
      <c r="T1508" s="2">
        <f t="shared" si="8"/>
      </c>
      <c r="U1508" s="2">
        <f t="shared" si="9"/>
      </c>
      <c r="V1508" s="2">
        <f t="shared" si="10"/>
      </c>
      <c r="W1508" s="2">
        <f t="shared" si="11"/>
      </c>
      <c r="X1508" s="2">
        <f t="shared" si="12"/>
      </c>
      <c r="Y1508" s="2">
        <f t="shared" si="13"/>
        <v>0</v>
      </c>
      <c r="Z1508" s="2">
        <f t="shared" si="14"/>
      </c>
      <c r="AA1508" s="2">
        <f t="shared" si="15"/>
        <v>0</v>
      </c>
      <c r="AB1508" s="2">
        <f t="shared" si="16"/>
      </c>
      <c r="AC1508" s="2">
        <f t="shared" si="17"/>
      </c>
      <c r="AD1508" s="2">
        <f t="shared" si="18"/>
      </c>
      <c r="AE1508" s="2">
        <f t="shared" si="19"/>
      </c>
      <c r="AF1508" s="2">
        <f t="shared" si="20"/>
      </c>
      <c r="AG1508" s="2">
        <f t="shared" si="21"/>
      </c>
      <c r="AH1508" s="2">
        <f t="shared" si="22"/>
      </c>
      <c r="AI1508" s="2">
        <f t="shared" si="23"/>
      </c>
      <c r="AJ1508" s="2">
        <f t="shared" si="24"/>
        <v>0</v>
      </c>
      <c r="AK1508" s="2">
        <f t="shared" si="25"/>
        <v>0</v>
      </c>
      <c r="AL1508" s="2">
        <f t="shared" si="26"/>
        <v>0</v>
      </c>
      <c r="AM1508" s="2">
        <f t="shared" si="27"/>
        <v>0</v>
      </c>
      <c r="AN1508" s="2">
        <f t="shared" si="28"/>
        <v>0</v>
      </c>
      <c r="AO1508" s="2">
        <f t="shared" si="29"/>
      </c>
      <c r="AP1508" s="2">
        <f t="shared" si="30"/>
      </c>
      <c r="AQ1508" s="2">
        <f t="shared" si="31"/>
      </c>
    </row>
    <row r="1509">
      <c r="A1509" s="43">
        <f t="shared" si="3"/>
      </c>
      <c r="B1509" s="44" t="n"/>
      <c r="C1509" s="45" t="n"/>
      <c r="D1509" s="46" t="n"/>
      <c r="E1509" s="47" t="n"/>
      <c r="F1509" s="47" t="n"/>
      <c r="G1509" s="48">
        <f t="shared" si="4"/>
      </c>
      <c r="H1509" s="43">
        <f t="shared" si="0"/>
      </c>
      <c r="I1509" s="43">
        <f t="shared" si="5"/>
      </c>
      <c r="J1509" s="43">
        <f t="shared" si="1"/>
      </c>
      <c r="K1509" s="49">
        <f t="shared" si="2"/>
      </c>
      <c r="L1509" s="45" t="n"/>
      <c r="M1509" s="45" t="n"/>
      <c r="N1509" s="45" t="n"/>
      <c r="O1509" s="45" t="n"/>
      <c r="P1509" s="50" t="n"/>
      <c r="R1509" s="2">
        <f t="shared" si="6"/>
        <v>0</v>
      </c>
      <c r="S1509" s="2">
        <f t="shared" si="7"/>
      </c>
      <c r="T1509" s="2">
        <f t="shared" si="8"/>
      </c>
      <c r="U1509" s="2">
        <f t="shared" si="9"/>
      </c>
      <c r="V1509" s="2">
        <f t="shared" si="10"/>
      </c>
      <c r="W1509" s="2">
        <f t="shared" si="11"/>
      </c>
      <c r="X1509" s="2">
        <f t="shared" si="12"/>
      </c>
      <c r="Y1509" s="2">
        <f t="shared" si="13"/>
        <v>0</v>
      </c>
      <c r="Z1509" s="2">
        <f t="shared" si="14"/>
      </c>
      <c r="AA1509" s="2">
        <f t="shared" si="15"/>
        <v>0</v>
      </c>
      <c r="AB1509" s="2">
        <f t="shared" si="16"/>
      </c>
      <c r="AC1509" s="2">
        <f t="shared" si="17"/>
      </c>
      <c r="AD1509" s="2">
        <f t="shared" si="18"/>
      </c>
      <c r="AE1509" s="2">
        <f t="shared" si="19"/>
      </c>
      <c r="AF1509" s="2">
        <f t="shared" si="20"/>
      </c>
      <c r="AG1509" s="2">
        <f t="shared" si="21"/>
      </c>
      <c r="AH1509" s="2">
        <f t="shared" si="22"/>
      </c>
      <c r="AI1509" s="2">
        <f t="shared" si="23"/>
      </c>
      <c r="AJ1509" s="2">
        <f t="shared" si="24"/>
        <v>0</v>
      </c>
      <c r="AK1509" s="2">
        <f t="shared" si="25"/>
        <v>0</v>
      </c>
      <c r="AL1509" s="2">
        <f t="shared" si="26"/>
        <v>0</v>
      </c>
      <c r="AM1509" s="2">
        <f t="shared" si="27"/>
        <v>0</v>
      </c>
      <c r="AN1509" s="2">
        <f t="shared" si="28"/>
        <v>0</v>
      </c>
      <c r="AO1509" s="2">
        <f t="shared" si="29"/>
      </c>
      <c r="AP1509" s="2">
        <f t="shared" si="30"/>
      </c>
      <c r="AQ1509" s="2">
        <f t="shared" si="31"/>
      </c>
    </row>
    <row r="1510">
      <c r="A1510" s="43">
        <f t="shared" si="3"/>
      </c>
      <c r="B1510" s="44" t="n"/>
      <c r="C1510" s="45" t="n"/>
      <c r="D1510" s="46" t="n"/>
      <c r="E1510" s="47" t="n"/>
      <c r="F1510" s="47" t="n"/>
      <c r="G1510" s="48">
        <f t="shared" si="4"/>
      </c>
      <c r="H1510" s="43">
        <f t="shared" si="0"/>
      </c>
      <c r="I1510" s="43">
        <f t="shared" si="5"/>
      </c>
      <c r="J1510" s="43">
        <f t="shared" si="1"/>
      </c>
      <c r="K1510" s="49">
        <f t="shared" si="2"/>
      </c>
      <c r="L1510" s="45" t="n"/>
      <c r="M1510" s="45" t="n"/>
      <c r="N1510" s="45" t="n"/>
      <c r="O1510" s="45" t="n"/>
      <c r="P1510" s="50" t="n"/>
      <c r="R1510" s="2">
        <f t="shared" si="6"/>
        <v>0</v>
      </c>
      <c r="S1510" s="2">
        <f t="shared" si="7"/>
      </c>
      <c r="T1510" s="2">
        <f t="shared" si="8"/>
      </c>
      <c r="U1510" s="2">
        <f t="shared" si="9"/>
      </c>
      <c r="V1510" s="2">
        <f t="shared" si="10"/>
      </c>
      <c r="W1510" s="2">
        <f t="shared" si="11"/>
      </c>
      <c r="X1510" s="2">
        <f t="shared" si="12"/>
      </c>
      <c r="Y1510" s="2">
        <f t="shared" si="13"/>
        <v>0</v>
      </c>
      <c r="Z1510" s="2">
        <f t="shared" si="14"/>
      </c>
      <c r="AA1510" s="2">
        <f t="shared" si="15"/>
        <v>0</v>
      </c>
      <c r="AB1510" s="2">
        <f t="shared" si="16"/>
      </c>
      <c r="AC1510" s="2">
        <f t="shared" si="17"/>
      </c>
      <c r="AD1510" s="2">
        <f t="shared" si="18"/>
      </c>
      <c r="AE1510" s="2">
        <f t="shared" si="19"/>
      </c>
      <c r="AF1510" s="2">
        <f t="shared" si="20"/>
      </c>
      <c r="AG1510" s="2">
        <f t="shared" si="21"/>
      </c>
      <c r="AH1510" s="2">
        <f t="shared" si="22"/>
      </c>
      <c r="AI1510" s="2">
        <f t="shared" si="23"/>
      </c>
      <c r="AJ1510" s="2">
        <f t="shared" si="24"/>
        <v>0</v>
      </c>
      <c r="AK1510" s="2">
        <f t="shared" si="25"/>
        <v>0</v>
      </c>
      <c r="AL1510" s="2">
        <f t="shared" si="26"/>
        <v>0</v>
      </c>
      <c r="AM1510" s="2">
        <f t="shared" si="27"/>
        <v>0</v>
      </c>
      <c r="AN1510" s="2">
        <f t="shared" si="28"/>
        <v>0</v>
      </c>
      <c r="AO1510" s="2">
        <f t="shared" si="29"/>
      </c>
      <c r="AP1510" s="2">
        <f t="shared" si="30"/>
      </c>
      <c r="AQ1510" s="2">
        <f t="shared" si="31"/>
      </c>
    </row>
    <row r="1511">
      <c r="A1511" s="43">
        <f t="shared" si="3"/>
      </c>
      <c r="B1511" s="44" t="n"/>
      <c r="C1511" s="45" t="n"/>
      <c r="D1511" s="46" t="n"/>
      <c r="E1511" s="47" t="n"/>
      <c r="F1511" s="47" t="n"/>
      <c r="G1511" s="48">
        <f t="shared" si="4"/>
      </c>
      <c r="H1511" s="43">
        <f t="shared" si="0"/>
      </c>
      <c r="I1511" s="43">
        <f t="shared" si="5"/>
      </c>
      <c r="J1511" s="43">
        <f t="shared" si="1"/>
      </c>
      <c r="K1511" s="49">
        <f t="shared" si="2"/>
      </c>
      <c r="L1511" s="45" t="n"/>
      <c r="M1511" s="45" t="n"/>
      <c r="N1511" s="45" t="n"/>
      <c r="O1511" s="45" t="n"/>
      <c r="P1511" s="50" t="n"/>
      <c r="R1511" s="2">
        <f t="shared" si="6"/>
        <v>0</v>
      </c>
      <c r="S1511" s="2">
        <f t="shared" si="7"/>
      </c>
      <c r="T1511" s="2">
        <f t="shared" si="8"/>
      </c>
      <c r="U1511" s="2">
        <f t="shared" si="9"/>
      </c>
      <c r="V1511" s="2">
        <f t="shared" si="10"/>
      </c>
      <c r="W1511" s="2">
        <f t="shared" si="11"/>
      </c>
      <c r="X1511" s="2">
        <f t="shared" si="12"/>
      </c>
      <c r="Y1511" s="2">
        <f t="shared" si="13"/>
        <v>0</v>
      </c>
      <c r="Z1511" s="2">
        <f t="shared" si="14"/>
      </c>
      <c r="AA1511" s="2">
        <f t="shared" si="15"/>
        <v>0</v>
      </c>
      <c r="AB1511" s="2">
        <f t="shared" si="16"/>
      </c>
      <c r="AC1511" s="2">
        <f t="shared" si="17"/>
      </c>
      <c r="AD1511" s="2">
        <f t="shared" si="18"/>
      </c>
      <c r="AE1511" s="2">
        <f t="shared" si="19"/>
      </c>
      <c r="AF1511" s="2">
        <f t="shared" si="20"/>
      </c>
      <c r="AG1511" s="2">
        <f t="shared" si="21"/>
      </c>
      <c r="AH1511" s="2">
        <f t="shared" si="22"/>
      </c>
      <c r="AI1511" s="2">
        <f t="shared" si="23"/>
      </c>
      <c r="AJ1511" s="2">
        <f t="shared" si="24"/>
        <v>0</v>
      </c>
      <c r="AK1511" s="2">
        <f t="shared" si="25"/>
        <v>0</v>
      </c>
      <c r="AL1511" s="2">
        <f t="shared" si="26"/>
        <v>0</v>
      </c>
      <c r="AM1511" s="2">
        <f t="shared" si="27"/>
        <v>0</v>
      </c>
      <c r="AN1511" s="2">
        <f t="shared" si="28"/>
        <v>0</v>
      </c>
      <c r="AO1511" s="2">
        <f t="shared" si="29"/>
      </c>
      <c r="AP1511" s="2">
        <f t="shared" si="30"/>
      </c>
      <c r="AQ1511" s="2">
        <f t="shared" si="31"/>
      </c>
    </row>
    <row r="1512">
      <c r="A1512" s="43">
        <f t="shared" si="3"/>
      </c>
      <c r="B1512" s="44" t="n"/>
      <c r="C1512" s="45" t="n"/>
      <c r="D1512" s="46" t="n"/>
      <c r="E1512" s="47" t="n"/>
      <c r="F1512" s="47" t="n"/>
      <c r="G1512" s="48">
        <f t="shared" si="4"/>
      </c>
      <c r="H1512" s="43">
        <f t="shared" si="0"/>
      </c>
      <c r="I1512" s="43">
        <f t="shared" si="5"/>
      </c>
      <c r="J1512" s="43">
        <f t="shared" si="1"/>
      </c>
      <c r="K1512" s="49">
        <f t="shared" si="2"/>
      </c>
      <c r="L1512" s="45" t="n"/>
      <c r="M1512" s="45" t="n"/>
      <c r="N1512" s="45" t="n"/>
      <c r="O1512" s="45" t="n"/>
      <c r="P1512" s="50" t="n"/>
      <c r="R1512" s="2">
        <f t="shared" si="6"/>
        <v>0</v>
      </c>
      <c r="S1512" s="2">
        <f t="shared" si="7"/>
      </c>
      <c r="T1512" s="2">
        <f t="shared" si="8"/>
      </c>
      <c r="U1512" s="2">
        <f t="shared" si="9"/>
      </c>
      <c r="V1512" s="2">
        <f t="shared" si="10"/>
      </c>
      <c r="W1512" s="2">
        <f t="shared" si="11"/>
      </c>
      <c r="X1512" s="2">
        <f t="shared" si="12"/>
      </c>
      <c r="Y1512" s="2">
        <f t="shared" si="13"/>
        <v>0</v>
      </c>
      <c r="Z1512" s="2">
        <f t="shared" si="14"/>
      </c>
      <c r="AA1512" s="2">
        <f t="shared" si="15"/>
        <v>0</v>
      </c>
      <c r="AB1512" s="2">
        <f t="shared" si="16"/>
      </c>
      <c r="AC1512" s="2">
        <f t="shared" si="17"/>
      </c>
      <c r="AD1512" s="2">
        <f t="shared" si="18"/>
      </c>
      <c r="AE1512" s="2">
        <f t="shared" si="19"/>
      </c>
      <c r="AF1512" s="2">
        <f t="shared" si="20"/>
      </c>
      <c r="AG1512" s="2">
        <f t="shared" si="21"/>
      </c>
      <c r="AH1512" s="2">
        <f t="shared" si="22"/>
      </c>
      <c r="AI1512" s="2">
        <f t="shared" si="23"/>
      </c>
      <c r="AJ1512" s="2">
        <f t="shared" si="24"/>
        <v>0</v>
      </c>
      <c r="AK1512" s="2">
        <f t="shared" si="25"/>
        <v>0</v>
      </c>
      <c r="AL1512" s="2">
        <f t="shared" si="26"/>
        <v>0</v>
      </c>
      <c r="AM1512" s="2">
        <f t="shared" si="27"/>
        <v>0</v>
      </c>
      <c r="AN1512" s="2">
        <f t="shared" si="28"/>
        <v>0</v>
      </c>
      <c r="AO1512" s="2">
        <f t="shared" si="29"/>
      </c>
      <c r="AP1512" s="2">
        <f t="shared" si="30"/>
      </c>
      <c r="AQ1512" s="2">
        <f t="shared" si="31"/>
      </c>
    </row>
    <row r="1513">
      <c r="A1513" s="43">
        <f t="shared" si="3"/>
      </c>
      <c r="B1513" s="44" t="n"/>
      <c r="C1513" s="45" t="n"/>
      <c r="D1513" s="46" t="n"/>
      <c r="E1513" s="47" t="n"/>
      <c r="F1513" s="47" t="n"/>
      <c r="G1513" s="48">
        <f t="shared" si="4"/>
      </c>
      <c r="H1513" s="43">
        <f t="shared" si="0"/>
      </c>
      <c r="I1513" s="43">
        <f t="shared" si="5"/>
      </c>
      <c r="J1513" s="43">
        <f t="shared" si="1"/>
      </c>
      <c r="K1513" s="49">
        <f t="shared" si="2"/>
      </c>
      <c r="L1513" s="45" t="n"/>
      <c r="M1513" s="45" t="n"/>
      <c r="N1513" s="45" t="n"/>
      <c r="O1513" s="45" t="n"/>
      <c r="P1513" s="50" t="n"/>
      <c r="R1513" s="2">
        <f t="shared" si="6"/>
        <v>0</v>
      </c>
      <c r="S1513" s="2">
        <f t="shared" si="7"/>
      </c>
      <c r="T1513" s="2">
        <f t="shared" si="8"/>
      </c>
      <c r="U1513" s="2">
        <f t="shared" si="9"/>
      </c>
      <c r="V1513" s="2">
        <f t="shared" si="10"/>
      </c>
      <c r="W1513" s="2">
        <f t="shared" si="11"/>
      </c>
      <c r="X1513" s="2">
        <f t="shared" si="12"/>
      </c>
      <c r="Y1513" s="2">
        <f t="shared" si="13"/>
        <v>0</v>
      </c>
      <c r="Z1513" s="2">
        <f t="shared" si="14"/>
      </c>
      <c r="AA1513" s="2">
        <f t="shared" si="15"/>
        <v>0</v>
      </c>
      <c r="AB1513" s="2">
        <f t="shared" si="16"/>
      </c>
      <c r="AC1513" s="2">
        <f t="shared" si="17"/>
      </c>
      <c r="AD1513" s="2">
        <f t="shared" si="18"/>
      </c>
      <c r="AE1513" s="2">
        <f t="shared" si="19"/>
      </c>
      <c r="AF1513" s="2">
        <f t="shared" si="20"/>
      </c>
      <c r="AG1513" s="2">
        <f t="shared" si="21"/>
      </c>
      <c r="AH1513" s="2">
        <f t="shared" si="22"/>
      </c>
      <c r="AI1513" s="2">
        <f t="shared" si="23"/>
      </c>
      <c r="AJ1513" s="2">
        <f t="shared" si="24"/>
        <v>0</v>
      </c>
      <c r="AK1513" s="2">
        <f t="shared" si="25"/>
        <v>0</v>
      </c>
      <c r="AL1513" s="2">
        <f t="shared" si="26"/>
        <v>0</v>
      </c>
      <c r="AM1513" s="2">
        <f t="shared" si="27"/>
        <v>0</v>
      </c>
      <c r="AN1513" s="2">
        <f t="shared" si="28"/>
        <v>0</v>
      </c>
      <c r="AO1513" s="2">
        <f t="shared" si="29"/>
      </c>
      <c r="AP1513" s="2">
        <f t="shared" si="30"/>
      </c>
      <c r="AQ1513" s="2">
        <f t="shared" si="31"/>
      </c>
    </row>
    <row r="1514">
      <c r="A1514" s="43">
        <f t="shared" si="3"/>
      </c>
      <c r="B1514" s="44" t="n"/>
      <c r="C1514" s="45" t="n"/>
      <c r="D1514" s="46" t="n"/>
      <c r="E1514" s="47" t="n"/>
      <c r="F1514" s="47" t="n"/>
      <c r="G1514" s="48">
        <f t="shared" si="4"/>
      </c>
      <c r="H1514" s="43">
        <f t="shared" si="0"/>
      </c>
      <c r="I1514" s="43">
        <f t="shared" si="5"/>
      </c>
      <c r="J1514" s="43">
        <f t="shared" si="1"/>
      </c>
      <c r="K1514" s="49">
        <f t="shared" si="2"/>
      </c>
      <c r="L1514" s="45" t="n"/>
      <c r="M1514" s="45" t="n"/>
      <c r="N1514" s="45" t="n"/>
      <c r="O1514" s="45" t="n"/>
      <c r="P1514" s="50" t="n"/>
      <c r="R1514" s="2">
        <f t="shared" si="6"/>
        <v>0</v>
      </c>
      <c r="S1514" s="2">
        <f t="shared" si="7"/>
      </c>
      <c r="T1514" s="2">
        <f t="shared" si="8"/>
      </c>
      <c r="U1514" s="2">
        <f t="shared" si="9"/>
      </c>
      <c r="V1514" s="2">
        <f t="shared" si="10"/>
      </c>
      <c r="W1514" s="2">
        <f t="shared" si="11"/>
      </c>
      <c r="X1514" s="2">
        <f t="shared" si="12"/>
      </c>
      <c r="Y1514" s="2">
        <f t="shared" si="13"/>
        <v>0</v>
      </c>
      <c r="Z1514" s="2">
        <f t="shared" si="14"/>
      </c>
      <c r="AA1514" s="2">
        <f t="shared" si="15"/>
        <v>0</v>
      </c>
      <c r="AB1514" s="2">
        <f t="shared" si="16"/>
      </c>
      <c r="AC1514" s="2">
        <f t="shared" si="17"/>
      </c>
      <c r="AD1514" s="2">
        <f t="shared" si="18"/>
      </c>
      <c r="AE1514" s="2">
        <f t="shared" si="19"/>
      </c>
      <c r="AF1514" s="2">
        <f t="shared" si="20"/>
      </c>
      <c r="AG1514" s="2">
        <f t="shared" si="21"/>
      </c>
      <c r="AH1514" s="2">
        <f t="shared" si="22"/>
      </c>
      <c r="AI1514" s="2">
        <f t="shared" si="23"/>
      </c>
      <c r="AJ1514" s="2">
        <f t="shared" si="24"/>
        <v>0</v>
      </c>
      <c r="AK1514" s="2">
        <f t="shared" si="25"/>
        <v>0</v>
      </c>
      <c r="AL1514" s="2">
        <f t="shared" si="26"/>
        <v>0</v>
      </c>
      <c r="AM1514" s="2">
        <f t="shared" si="27"/>
        <v>0</v>
      </c>
      <c r="AN1514" s="2">
        <f t="shared" si="28"/>
        <v>0</v>
      </c>
      <c r="AO1514" s="2">
        <f t="shared" si="29"/>
      </c>
      <c r="AP1514" s="2">
        <f t="shared" si="30"/>
      </c>
      <c r="AQ1514" s="2">
        <f t="shared" si="31"/>
      </c>
    </row>
    <row r="1515">
      <c r="A1515" s="43">
        <f t="shared" si="3"/>
      </c>
      <c r="B1515" s="44" t="n"/>
      <c r="C1515" s="45" t="n"/>
      <c r="D1515" s="46" t="n"/>
      <c r="E1515" s="47" t="n"/>
      <c r="F1515" s="47" t="n"/>
      <c r="G1515" s="48">
        <f t="shared" si="4"/>
      </c>
      <c r="H1515" s="43">
        <f t="shared" si="0"/>
      </c>
      <c r="I1515" s="43">
        <f t="shared" si="5"/>
      </c>
      <c r="J1515" s="43">
        <f t="shared" si="1"/>
      </c>
      <c r="K1515" s="49">
        <f t="shared" si="2"/>
      </c>
      <c r="L1515" s="45" t="n"/>
      <c r="M1515" s="45" t="n"/>
      <c r="N1515" s="45" t="n"/>
      <c r="O1515" s="45" t="n"/>
      <c r="P1515" s="50" t="n"/>
      <c r="R1515" s="2">
        <f t="shared" si="6"/>
        <v>0</v>
      </c>
      <c r="S1515" s="2">
        <f t="shared" si="7"/>
      </c>
      <c r="T1515" s="2">
        <f t="shared" si="8"/>
      </c>
      <c r="U1515" s="2">
        <f t="shared" si="9"/>
      </c>
      <c r="V1515" s="2">
        <f t="shared" si="10"/>
      </c>
      <c r="W1515" s="2">
        <f t="shared" si="11"/>
      </c>
      <c r="X1515" s="2">
        <f t="shared" si="12"/>
      </c>
      <c r="Y1515" s="2">
        <f t="shared" si="13"/>
        <v>0</v>
      </c>
      <c r="Z1515" s="2">
        <f t="shared" si="14"/>
      </c>
      <c r="AA1515" s="2">
        <f t="shared" si="15"/>
        <v>0</v>
      </c>
      <c r="AB1515" s="2">
        <f t="shared" si="16"/>
      </c>
      <c r="AC1515" s="2">
        <f t="shared" si="17"/>
      </c>
      <c r="AD1515" s="2">
        <f t="shared" si="18"/>
      </c>
      <c r="AE1515" s="2">
        <f t="shared" si="19"/>
      </c>
      <c r="AF1515" s="2">
        <f t="shared" si="20"/>
      </c>
      <c r="AG1515" s="2">
        <f t="shared" si="21"/>
      </c>
      <c r="AH1515" s="2">
        <f t="shared" si="22"/>
      </c>
      <c r="AI1515" s="2">
        <f t="shared" si="23"/>
      </c>
      <c r="AJ1515" s="2">
        <f t="shared" si="24"/>
        <v>0</v>
      </c>
      <c r="AK1515" s="2">
        <f t="shared" si="25"/>
        <v>0</v>
      </c>
      <c r="AL1515" s="2">
        <f t="shared" si="26"/>
        <v>0</v>
      </c>
      <c r="AM1515" s="2">
        <f t="shared" si="27"/>
        <v>0</v>
      </c>
      <c r="AN1515" s="2">
        <f t="shared" si="28"/>
        <v>0</v>
      </c>
      <c r="AO1515" s="2">
        <f t="shared" si="29"/>
      </c>
      <c r="AP1515" s="2">
        <f t="shared" si="30"/>
      </c>
      <c r="AQ1515" s="2">
        <f t="shared" si="31"/>
      </c>
    </row>
    <row r="1516">
      <c r="A1516" s="43">
        <f t="shared" si="3"/>
      </c>
      <c r="B1516" s="44" t="n"/>
      <c r="C1516" s="45" t="n"/>
      <c r="D1516" s="46" t="n"/>
      <c r="E1516" s="47" t="n"/>
      <c r="F1516" s="47" t="n"/>
      <c r="G1516" s="48">
        <f t="shared" si="4"/>
      </c>
      <c r="H1516" s="43">
        <f t="shared" si="0"/>
      </c>
      <c r="I1516" s="43">
        <f t="shared" si="5"/>
      </c>
      <c r="J1516" s="43">
        <f t="shared" si="1"/>
      </c>
      <c r="K1516" s="49">
        <f t="shared" si="2"/>
      </c>
      <c r="L1516" s="45" t="n"/>
      <c r="M1516" s="45" t="n"/>
      <c r="N1516" s="45" t="n"/>
      <c r="O1516" s="45" t="n"/>
      <c r="P1516" s="50" t="n"/>
      <c r="R1516" s="2">
        <f t="shared" si="6"/>
        <v>0</v>
      </c>
      <c r="S1516" s="2">
        <f t="shared" si="7"/>
      </c>
      <c r="T1516" s="2">
        <f t="shared" si="8"/>
      </c>
      <c r="U1516" s="2">
        <f t="shared" si="9"/>
      </c>
      <c r="V1516" s="2">
        <f t="shared" si="10"/>
      </c>
      <c r="W1516" s="2">
        <f t="shared" si="11"/>
      </c>
      <c r="X1516" s="2">
        <f t="shared" si="12"/>
      </c>
      <c r="Y1516" s="2">
        <f t="shared" si="13"/>
        <v>0</v>
      </c>
      <c r="Z1516" s="2">
        <f t="shared" si="14"/>
      </c>
      <c r="AA1516" s="2">
        <f t="shared" si="15"/>
        <v>0</v>
      </c>
      <c r="AB1516" s="2">
        <f t="shared" si="16"/>
      </c>
      <c r="AC1516" s="2">
        <f t="shared" si="17"/>
      </c>
      <c r="AD1516" s="2">
        <f t="shared" si="18"/>
      </c>
      <c r="AE1516" s="2">
        <f t="shared" si="19"/>
      </c>
      <c r="AF1516" s="2">
        <f t="shared" si="20"/>
      </c>
      <c r="AG1516" s="2">
        <f t="shared" si="21"/>
      </c>
      <c r="AH1516" s="2">
        <f t="shared" si="22"/>
      </c>
      <c r="AI1516" s="2">
        <f t="shared" si="23"/>
      </c>
      <c r="AJ1516" s="2">
        <f t="shared" si="24"/>
        <v>0</v>
      </c>
      <c r="AK1516" s="2">
        <f t="shared" si="25"/>
        <v>0</v>
      </c>
      <c r="AL1516" s="2">
        <f t="shared" si="26"/>
        <v>0</v>
      </c>
      <c r="AM1516" s="2">
        <f t="shared" si="27"/>
        <v>0</v>
      </c>
      <c r="AN1516" s="2">
        <f t="shared" si="28"/>
        <v>0</v>
      </c>
      <c r="AO1516" s="2">
        <f t="shared" si="29"/>
      </c>
      <c r="AP1516" s="2">
        <f t="shared" si="30"/>
      </c>
      <c r="AQ1516" s="2">
        <f t="shared" si="31"/>
      </c>
    </row>
    <row r="1517">
      <c r="A1517" s="43">
        <f t="shared" si="3"/>
      </c>
      <c r="B1517" s="44" t="n"/>
      <c r="C1517" s="45" t="n"/>
      <c r="D1517" s="46" t="n"/>
      <c r="E1517" s="47" t="n"/>
      <c r="F1517" s="47" t="n"/>
      <c r="G1517" s="48">
        <f t="shared" si="4"/>
      </c>
      <c r="H1517" s="43">
        <f t="shared" si="0"/>
      </c>
      <c r="I1517" s="43">
        <f t="shared" si="5"/>
      </c>
      <c r="J1517" s="43">
        <f t="shared" si="1"/>
      </c>
      <c r="K1517" s="49">
        <f t="shared" si="2"/>
      </c>
      <c r="L1517" s="45" t="n"/>
      <c r="M1517" s="45" t="n"/>
      <c r="N1517" s="45" t="n"/>
      <c r="O1517" s="45" t="n"/>
      <c r="P1517" s="50" t="n"/>
      <c r="R1517" s="2">
        <f t="shared" si="6"/>
        <v>0</v>
      </c>
      <c r="S1517" s="2">
        <f t="shared" si="7"/>
      </c>
      <c r="T1517" s="2">
        <f t="shared" si="8"/>
      </c>
      <c r="U1517" s="2">
        <f t="shared" si="9"/>
      </c>
      <c r="V1517" s="2">
        <f t="shared" si="10"/>
      </c>
      <c r="W1517" s="2">
        <f t="shared" si="11"/>
      </c>
      <c r="X1517" s="2">
        <f t="shared" si="12"/>
      </c>
      <c r="Y1517" s="2">
        <f t="shared" si="13"/>
        <v>0</v>
      </c>
      <c r="Z1517" s="2">
        <f t="shared" si="14"/>
      </c>
      <c r="AA1517" s="2">
        <f t="shared" si="15"/>
        <v>0</v>
      </c>
      <c r="AB1517" s="2">
        <f t="shared" si="16"/>
      </c>
      <c r="AC1517" s="2">
        <f t="shared" si="17"/>
      </c>
      <c r="AD1517" s="2">
        <f t="shared" si="18"/>
      </c>
      <c r="AE1517" s="2">
        <f t="shared" si="19"/>
      </c>
      <c r="AF1517" s="2">
        <f t="shared" si="20"/>
      </c>
      <c r="AG1517" s="2">
        <f t="shared" si="21"/>
      </c>
      <c r="AH1517" s="2">
        <f t="shared" si="22"/>
      </c>
      <c r="AI1517" s="2">
        <f t="shared" si="23"/>
      </c>
      <c r="AJ1517" s="2">
        <f t="shared" si="24"/>
        <v>0</v>
      </c>
      <c r="AK1517" s="2">
        <f t="shared" si="25"/>
        <v>0</v>
      </c>
      <c r="AL1517" s="2">
        <f t="shared" si="26"/>
        <v>0</v>
      </c>
      <c r="AM1517" s="2">
        <f t="shared" si="27"/>
        <v>0</v>
      </c>
      <c r="AN1517" s="2">
        <f t="shared" si="28"/>
        <v>0</v>
      </c>
      <c r="AO1517" s="2">
        <f t="shared" si="29"/>
      </c>
      <c r="AP1517" s="2">
        <f t="shared" si="30"/>
      </c>
      <c r="AQ1517" s="2">
        <f t="shared" si="31"/>
      </c>
    </row>
    <row r="1518">
      <c r="A1518" s="43">
        <f t="shared" si="3"/>
      </c>
      <c r="B1518" s="44" t="n"/>
      <c r="C1518" s="45" t="n"/>
      <c r="D1518" s="46" t="n"/>
      <c r="E1518" s="47" t="n"/>
      <c r="F1518" s="47" t="n"/>
      <c r="G1518" s="48">
        <f t="shared" si="4"/>
      </c>
      <c r="H1518" s="43">
        <f t="shared" si="0"/>
      </c>
      <c r="I1518" s="43">
        <f t="shared" si="5"/>
      </c>
      <c r="J1518" s="43">
        <f t="shared" si="1"/>
      </c>
      <c r="K1518" s="49">
        <f t="shared" si="2"/>
      </c>
      <c r="L1518" s="45" t="n"/>
      <c r="M1518" s="45" t="n"/>
      <c r="N1518" s="45" t="n"/>
      <c r="O1518" s="45" t="n"/>
      <c r="P1518" s="50" t="n"/>
      <c r="R1518" s="2">
        <f t="shared" si="6"/>
        <v>0</v>
      </c>
      <c r="S1518" s="2">
        <f t="shared" si="7"/>
      </c>
      <c r="T1518" s="2">
        <f t="shared" si="8"/>
      </c>
      <c r="U1518" s="2">
        <f t="shared" si="9"/>
      </c>
      <c r="V1518" s="2">
        <f t="shared" si="10"/>
      </c>
      <c r="W1518" s="2">
        <f t="shared" si="11"/>
      </c>
      <c r="X1518" s="2">
        <f t="shared" si="12"/>
      </c>
      <c r="Y1518" s="2">
        <f t="shared" si="13"/>
        <v>0</v>
      </c>
      <c r="Z1518" s="2">
        <f t="shared" si="14"/>
      </c>
      <c r="AA1518" s="2">
        <f t="shared" si="15"/>
        <v>0</v>
      </c>
      <c r="AB1518" s="2">
        <f t="shared" si="16"/>
      </c>
      <c r="AC1518" s="2">
        <f t="shared" si="17"/>
      </c>
      <c r="AD1518" s="2">
        <f t="shared" si="18"/>
      </c>
      <c r="AE1518" s="2">
        <f t="shared" si="19"/>
      </c>
      <c r="AF1518" s="2">
        <f t="shared" si="20"/>
      </c>
      <c r="AG1518" s="2">
        <f t="shared" si="21"/>
      </c>
      <c r="AH1518" s="2">
        <f t="shared" si="22"/>
      </c>
      <c r="AI1518" s="2">
        <f t="shared" si="23"/>
      </c>
      <c r="AJ1518" s="2">
        <f t="shared" si="24"/>
        <v>0</v>
      </c>
      <c r="AK1518" s="2">
        <f t="shared" si="25"/>
        <v>0</v>
      </c>
      <c r="AL1518" s="2">
        <f t="shared" si="26"/>
        <v>0</v>
      </c>
      <c r="AM1518" s="2">
        <f t="shared" si="27"/>
        <v>0</v>
      </c>
      <c r="AN1518" s="2">
        <f t="shared" si="28"/>
        <v>0</v>
      </c>
      <c r="AO1518" s="2">
        <f t="shared" si="29"/>
      </c>
      <c r="AP1518" s="2">
        <f t="shared" si="30"/>
      </c>
      <c r="AQ1518" s="2">
        <f t="shared" si="31"/>
      </c>
    </row>
    <row r="1519">
      <c r="A1519" s="43">
        <f t="shared" si="3"/>
      </c>
      <c r="B1519" s="44" t="n"/>
      <c r="C1519" s="45" t="n"/>
      <c r="D1519" s="46" t="n"/>
      <c r="E1519" s="47" t="n"/>
      <c r="F1519" s="47" t="n"/>
      <c r="G1519" s="48">
        <f t="shared" si="4"/>
      </c>
      <c r="H1519" s="43">
        <f t="shared" si="0"/>
      </c>
      <c r="I1519" s="43">
        <f t="shared" si="5"/>
      </c>
      <c r="J1519" s="43">
        <f t="shared" si="1"/>
      </c>
      <c r="K1519" s="49">
        <f t="shared" si="2"/>
      </c>
      <c r="L1519" s="45" t="n"/>
      <c r="M1519" s="45" t="n"/>
      <c r="N1519" s="45" t="n"/>
      <c r="O1519" s="45" t="n"/>
      <c r="P1519" s="50" t="n"/>
      <c r="R1519" s="2">
        <f t="shared" si="6"/>
        <v>0</v>
      </c>
      <c r="S1519" s="2">
        <f t="shared" si="7"/>
      </c>
      <c r="T1519" s="2">
        <f t="shared" si="8"/>
      </c>
      <c r="U1519" s="2">
        <f t="shared" si="9"/>
      </c>
      <c r="V1519" s="2">
        <f t="shared" si="10"/>
      </c>
      <c r="W1519" s="2">
        <f t="shared" si="11"/>
      </c>
      <c r="X1519" s="2">
        <f t="shared" si="12"/>
      </c>
      <c r="Y1519" s="2">
        <f t="shared" si="13"/>
        <v>0</v>
      </c>
      <c r="Z1519" s="2">
        <f t="shared" si="14"/>
      </c>
      <c r="AA1519" s="2">
        <f t="shared" si="15"/>
        <v>0</v>
      </c>
      <c r="AB1519" s="2">
        <f t="shared" si="16"/>
      </c>
      <c r="AC1519" s="2">
        <f t="shared" si="17"/>
      </c>
      <c r="AD1519" s="2">
        <f t="shared" si="18"/>
      </c>
      <c r="AE1519" s="2">
        <f t="shared" si="19"/>
      </c>
      <c r="AF1519" s="2">
        <f t="shared" si="20"/>
      </c>
      <c r="AG1519" s="2">
        <f t="shared" si="21"/>
      </c>
      <c r="AH1519" s="2">
        <f t="shared" si="22"/>
      </c>
      <c r="AI1519" s="2">
        <f t="shared" si="23"/>
      </c>
      <c r="AJ1519" s="2">
        <f t="shared" si="24"/>
        <v>0</v>
      </c>
      <c r="AK1519" s="2">
        <f t="shared" si="25"/>
        <v>0</v>
      </c>
      <c r="AL1519" s="2">
        <f t="shared" si="26"/>
        <v>0</v>
      </c>
      <c r="AM1519" s="2">
        <f t="shared" si="27"/>
        <v>0</v>
      </c>
      <c r="AN1519" s="2">
        <f t="shared" si="28"/>
        <v>0</v>
      </c>
      <c r="AO1519" s="2">
        <f t="shared" si="29"/>
      </c>
      <c r="AP1519" s="2">
        <f t="shared" si="30"/>
      </c>
      <c r="AQ1519" s="2">
        <f t="shared" si="31"/>
      </c>
    </row>
    <row r="1520">
      <c r="A1520" s="43">
        <f t="shared" si="3"/>
      </c>
      <c r="B1520" s="44" t="n"/>
      <c r="C1520" s="45" t="n"/>
      <c r="D1520" s="46" t="n"/>
      <c r="E1520" s="47" t="n"/>
      <c r="F1520" s="47" t="n"/>
      <c r="G1520" s="48">
        <f t="shared" si="4"/>
      </c>
      <c r="H1520" s="43">
        <f t="shared" si="0"/>
      </c>
      <c r="I1520" s="43">
        <f t="shared" si="5"/>
      </c>
      <c r="J1520" s="43">
        <f t="shared" si="1"/>
      </c>
      <c r="K1520" s="49">
        <f t="shared" si="2"/>
      </c>
      <c r="L1520" s="45" t="n"/>
      <c r="M1520" s="45" t="n"/>
      <c r="N1520" s="45" t="n"/>
      <c r="O1520" s="45" t="n"/>
      <c r="P1520" s="50" t="n"/>
      <c r="R1520" s="2">
        <f t="shared" si="6"/>
        <v>0</v>
      </c>
      <c r="S1520" s="2">
        <f t="shared" si="7"/>
      </c>
      <c r="T1520" s="2">
        <f t="shared" si="8"/>
      </c>
      <c r="U1520" s="2">
        <f t="shared" si="9"/>
      </c>
      <c r="V1520" s="2">
        <f t="shared" si="10"/>
      </c>
      <c r="W1520" s="2">
        <f t="shared" si="11"/>
      </c>
      <c r="X1520" s="2">
        <f t="shared" si="12"/>
      </c>
      <c r="Y1520" s="2">
        <f t="shared" si="13"/>
        <v>0</v>
      </c>
      <c r="Z1520" s="2">
        <f t="shared" si="14"/>
      </c>
      <c r="AA1520" s="2">
        <f t="shared" si="15"/>
        <v>0</v>
      </c>
      <c r="AB1520" s="2">
        <f t="shared" si="16"/>
      </c>
      <c r="AC1520" s="2">
        <f t="shared" si="17"/>
      </c>
      <c r="AD1520" s="2">
        <f t="shared" si="18"/>
      </c>
      <c r="AE1520" s="2">
        <f t="shared" si="19"/>
      </c>
      <c r="AF1520" s="2">
        <f t="shared" si="20"/>
      </c>
      <c r="AG1520" s="2">
        <f t="shared" si="21"/>
      </c>
      <c r="AH1520" s="2">
        <f t="shared" si="22"/>
      </c>
      <c r="AI1520" s="2">
        <f t="shared" si="23"/>
      </c>
      <c r="AJ1520" s="2">
        <f t="shared" si="24"/>
        <v>0</v>
      </c>
      <c r="AK1520" s="2">
        <f t="shared" si="25"/>
        <v>0</v>
      </c>
      <c r="AL1520" s="2">
        <f t="shared" si="26"/>
        <v>0</v>
      </c>
      <c r="AM1520" s="2">
        <f t="shared" si="27"/>
        <v>0</v>
      </c>
      <c r="AN1520" s="2">
        <f t="shared" si="28"/>
        <v>0</v>
      </c>
      <c r="AO1520" s="2">
        <f t="shared" si="29"/>
      </c>
      <c r="AP1520" s="2">
        <f t="shared" si="30"/>
      </c>
      <c r="AQ1520" s="2">
        <f t="shared" si="31"/>
      </c>
    </row>
    <row r="1521">
      <c r="A1521" s="43">
        <f t="shared" si="3"/>
      </c>
      <c r="B1521" s="44" t="n"/>
      <c r="C1521" s="45" t="n"/>
      <c r="D1521" s="46" t="n"/>
      <c r="E1521" s="47" t="n"/>
      <c r="F1521" s="47" t="n"/>
      <c r="G1521" s="48">
        <f t="shared" si="4"/>
      </c>
      <c r="H1521" s="43">
        <f t="shared" si="0"/>
      </c>
      <c r="I1521" s="43">
        <f t="shared" si="5"/>
      </c>
      <c r="J1521" s="43">
        <f t="shared" si="1"/>
      </c>
      <c r="K1521" s="49">
        <f t="shared" si="2"/>
      </c>
      <c r="L1521" s="45" t="n"/>
      <c r="M1521" s="45" t="n"/>
      <c r="N1521" s="45" t="n"/>
      <c r="O1521" s="45" t="n"/>
      <c r="P1521" s="50" t="n"/>
      <c r="R1521" s="2">
        <f t="shared" si="6"/>
        <v>0</v>
      </c>
      <c r="S1521" s="2">
        <f t="shared" si="7"/>
      </c>
      <c r="T1521" s="2">
        <f t="shared" si="8"/>
      </c>
      <c r="U1521" s="2">
        <f t="shared" si="9"/>
      </c>
      <c r="V1521" s="2">
        <f t="shared" si="10"/>
      </c>
      <c r="W1521" s="2">
        <f t="shared" si="11"/>
      </c>
      <c r="X1521" s="2">
        <f t="shared" si="12"/>
      </c>
      <c r="Y1521" s="2">
        <f t="shared" si="13"/>
        <v>0</v>
      </c>
      <c r="Z1521" s="2">
        <f t="shared" si="14"/>
      </c>
      <c r="AA1521" s="2">
        <f t="shared" si="15"/>
        <v>0</v>
      </c>
      <c r="AB1521" s="2">
        <f t="shared" si="16"/>
      </c>
      <c r="AC1521" s="2">
        <f t="shared" si="17"/>
      </c>
      <c r="AD1521" s="2">
        <f t="shared" si="18"/>
      </c>
      <c r="AE1521" s="2">
        <f t="shared" si="19"/>
      </c>
      <c r="AF1521" s="2">
        <f t="shared" si="20"/>
      </c>
      <c r="AG1521" s="2">
        <f t="shared" si="21"/>
      </c>
      <c r="AH1521" s="2">
        <f t="shared" si="22"/>
      </c>
      <c r="AI1521" s="2">
        <f t="shared" si="23"/>
      </c>
      <c r="AJ1521" s="2">
        <f t="shared" si="24"/>
        <v>0</v>
      </c>
      <c r="AK1521" s="2">
        <f t="shared" si="25"/>
        <v>0</v>
      </c>
      <c r="AL1521" s="2">
        <f t="shared" si="26"/>
        <v>0</v>
      </c>
      <c r="AM1521" s="2">
        <f t="shared" si="27"/>
        <v>0</v>
      </c>
      <c r="AN1521" s="2">
        <f t="shared" si="28"/>
        <v>0</v>
      </c>
      <c r="AO1521" s="2">
        <f t="shared" si="29"/>
      </c>
      <c r="AP1521" s="2">
        <f t="shared" si="30"/>
      </c>
      <c r="AQ1521" s="2">
        <f t="shared" si="31"/>
      </c>
    </row>
    <row r="1522">
      <c r="A1522" s="43">
        <f t="shared" si="3"/>
      </c>
      <c r="B1522" s="44" t="n"/>
      <c r="C1522" s="45" t="n"/>
      <c r="D1522" s="46" t="n"/>
      <c r="E1522" s="47" t="n"/>
      <c r="F1522" s="47" t="n"/>
      <c r="G1522" s="48">
        <f t="shared" si="4"/>
      </c>
      <c r="H1522" s="43">
        <f t="shared" si="0"/>
      </c>
      <c r="I1522" s="43">
        <f t="shared" si="5"/>
      </c>
      <c r="J1522" s="43">
        <f t="shared" si="1"/>
      </c>
      <c r="K1522" s="49">
        <f t="shared" si="2"/>
      </c>
      <c r="L1522" s="45" t="n"/>
      <c r="M1522" s="45" t="n"/>
      <c r="N1522" s="45" t="n"/>
      <c r="O1522" s="45" t="n"/>
      <c r="P1522" s="50" t="n"/>
      <c r="R1522" s="2">
        <f t="shared" si="6"/>
        <v>0</v>
      </c>
      <c r="S1522" s="2">
        <f t="shared" si="7"/>
      </c>
      <c r="T1522" s="2">
        <f t="shared" si="8"/>
      </c>
      <c r="U1522" s="2">
        <f t="shared" si="9"/>
      </c>
      <c r="V1522" s="2">
        <f t="shared" si="10"/>
      </c>
      <c r="W1522" s="2">
        <f t="shared" si="11"/>
      </c>
      <c r="X1522" s="2">
        <f t="shared" si="12"/>
      </c>
      <c r="Y1522" s="2">
        <f t="shared" si="13"/>
        <v>0</v>
      </c>
      <c r="Z1522" s="2">
        <f t="shared" si="14"/>
      </c>
      <c r="AA1522" s="2">
        <f t="shared" si="15"/>
        <v>0</v>
      </c>
      <c r="AB1522" s="2">
        <f t="shared" si="16"/>
      </c>
      <c r="AC1522" s="2">
        <f t="shared" si="17"/>
      </c>
      <c r="AD1522" s="2">
        <f t="shared" si="18"/>
      </c>
      <c r="AE1522" s="2">
        <f t="shared" si="19"/>
      </c>
      <c r="AF1522" s="2">
        <f t="shared" si="20"/>
      </c>
      <c r="AG1522" s="2">
        <f t="shared" si="21"/>
      </c>
      <c r="AH1522" s="2">
        <f t="shared" si="22"/>
      </c>
      <c r="AI1522" s="2">
        <f t="shared" si="23"/>
      </c>
      <c r="AJ1522" s="2">
        <f t="shared" si="24"/>
        <v>0</v>
      </c>
      <c r="AK1522" s="2">
        <f t="shared" si="25"/>
        <v>0</v>
      </c>
      <c r="AL1522" s="2">
        <f t="shared" si="26"/>
        <v>0</v>
      </c>
      <c r="AM1522" s="2">
        <f t="shared" si="27"/>
        <v>0</v>
      </c>
      <c r="AN1522" s="2">
        <f t="shared" si="28"/>
        <v>0</v>
      </c>
      <c r="AO1522" s="2">
        <f t="shared" si="29"/>
      </c>
      <c r="AP1522" s="2">
        <f t="shared" si="30"/>
      </c>
      <c r="AQ1522" s="2">
        <f t="shared" si="31"/>
      </c>
    </row>
    <row r="1523">
      <c r="A1523" s="43">
        <f t="shared" si="3"/>
      </c>
      <c r="B1523" s="44" t="n"/>
      <c r="C1523" s="45" t="n"/>
      <c r="D1523" s="46" t="n"/>
      <c r="E1523" s="47" t="n"/>
      <c r="F1523" s="47" t="n"/>
      <c r="G1523" s="48">
        <f t="shared" si="4"/>
      </c>
      <c r="H1523" s="43">
        <f t="shared" si="0"/>
      </c>
      <c r="I1523" s="43">
        <f t="shared" si="5"/>
      </c>
      <c r="J1523" s="43">
        <f t="shared" si="1"/>
      </c>
      <c r="K1523" s="49">
        <f t="shared" si="2"/>
      </c>
      <c r="L1523" s="45" t="n"/>
      <c r="M1523" s="45" t="n"/>
      <c r="N1523" s="45" t="n"/>
      <c r="O1523" s="45" t="n"/>
      <c r="P1523" s="50" t="n"/>
      <c r="R1523" s="2">
        <f t="shared" si="6"/>
        <v>0</v>
      </c>
      <c r="S1523" s="2">
        <f t="shared" si="7"/>
      </c>
      <c r="T1523" s="2">
        <f t="shared" si="8"/>
      </c>
      <c r="U1523" s="2">
        <f t="shared" si="9"/>
      </c>
      <c r="V1523" s="2">
        <f t="shared" si="10"/>
      </c>
      <c r="W1523" s="2">
        <f t="shared" si="11"/>
      </c>
      <c r="X1523" s="2">
        <f t="shared" si="12"/>
      </c>
      <c r="Y1523" s="2">
        <f t="shared" si="13"/>
        <v>0</v>
      </c>
      <c r="Z1523" s="2">
        <f t="shared" si="14"/>
      </c>
      <c r="AA1523" s="2">
        <f t="shared" si="15"/>
        <v>0</v>
      </c>
      <c r="AB1523" s="2">
        <f t="shared" si="16"/>
      </c>
      <c r="AC1523" s="2">
        <f t="shared" si="17"/>
      </c>
      <c r="AD1523" s="2">
        <f t="shared" si="18"/>
      </c>
      <c r="AE1523" s="2">
        <f t="shared" si="19"/>
      </c>
      <c r="AF1523" s="2">
        <f t="shared" si="20"/>
      </c>
      <c r="AG1523" s="2">
        <f t="shared" si="21"/>
      </c>
      <c r="AH1523" s="2">
        <f t="shared" si="22"/>
      </c>
      <c r="AI1523" s="2">
        <f t="shared" si="23"/>
      </c>
      <c r="AJ1523" s="2">
        <f t="shared" si="24"/>
        <v>0</v>
      </c>
      <c r="AK1523" s="2">
        <f t="shared" si="25"/>
        <v>0</v>
      </c>
      <c r="AL1523" s="2">
        <f t="shared" si="26"/>
        <v>0</v>
      </c>
      <c r="AM1523" s="2">
        <f t="shared" si="27"/>
        <v>0</v>
      </c>
      <c r="AN1523" s="2">
        <f t="shared" si="28"/>
        <v>0</v>
      </c>
      <c r="AO1523" s="2">
        <f t="shared" si="29"/>
      </c>
      <c r="AP1523" s="2">
        <f t="shared" si="30"/>
      </c>
      <c r="AQ1523" s="2">
        <f t="shared" si="31"/>
      </c>
    </row>
    <row r="1524">
      <c r="A1524" s="43">
        <f t="shared" si="3"/>
      </c>
      <c r="B1524" s="44" t="n"/>
      <c r="C1524" s="45" t="n"/>
      <c r="D1524" s="46" t="n"/>
      <c r="E1524" s="47" t="n"/>
      <c r="F1524" s="47" t="n"/>
      <c r="G1524" s="48">
        <f t="shared" si="4"/>
      </c>
      <c r="H1524" s="43">
        <f t="shared" si="0"/>
      </c>
      <c r="I1524" s="43">
        <f t="shared" si="5"/>
      </c>
      <c r="J1524" s="43">
        <f t="shared" si="1"/>
      </c>
      <c r="K1524" s="49">
        <f t="shared" si="2"/>
      </c>
      <c r="L1524" s="45" t="n"/>
      <c r="M1524" s="45" t="n"/>
      <c r="N1524" s="45" t="n"/>
      <c r="O1524" s="45" t="n"/>
      <c r="P1524" s="50" t="n"/>
      <c r="R1524" s="2">
        <f t="shared" si="6"/>
        <v>0</v>
      </c>
      <c r="S1524" s="2">
        <f t="shared" si="7"/>
      </c>
      <c r="T1524" s="2">
        <f t="shared" si="8"/>
      </c>
      <c r="U1524" s="2">
        <f t="shared" si="9"/>
      </c>
      <c r="V1524" s="2">
        <f t="shared" si="10"/>
      </c>
      <c r="W1524" s="2">
        <f t="shared" si="11"/>
      </c>
      <c r="X1524" s="2">
        <f t="shared" si="12"/>
      </c>
      <c r="Y1524" s="2">
        <f t="shared" si="13"/>
        <v>0</v>
      </c>
      <c r="Z1524" s="2">
        <f t="shared" si="14"/>
      </c>
      <c r="AA1524" s="2">
        <f t="shared" si="15"/>
        <v>0</v>
      </c>
      <c r="AB1524" s="2">
        <f t="shared" si="16"/>
      </c>
      <c r="AC1524" s="2">
        <f t="shared" si="17"/>
      </c>
      <c r="AD1524" s="2">
        <f t="shared" si="18"/>
      </c>
      <c r="AE1524" s="2">
        <f t="shared" si="19"/>
      </c>
      <c r="AF1524" s="2">
        <f t="shared" si="20"/>
      </c>
      <c r="AG1524" s="2">
        <f t="shared" si="21"/>
      </c>
      <c r="AH1524" s="2">
        <f t="shared" si="22"/>
      </c>
      <c r="AI1524" s="2">
        <f t="shared" si="23"/>
      </c>
      <c r="AJ1524" s="2">
        <f t="shared" si="24"/>
        <v>0</v>
      </c>
      <c r="AK1524" s="2">
        <f t="shared" si="25"/>
        <v>0</v>
      </c>
      <c r="AL1524" s="2">
        <f t="shared" si="26"/>
        <v>0</v>
      </c>
      <c r="AM1524" s="2">
        <f t="shared" si="27"/>
        <v>0</v>
      </c>
      <c r="AN1524" s="2">
        <f t="shared" si="28"/>
        <v>0</v>
      </c>
      <c r="AO1524" s="2">
        <f t="shared" si="29"/>
      </c>
      <c r="AP1524" s="2">
        <f t="shared" si="30"/>
      </c>
      <c r="AQ1524" s="2">
        <f t="shared" si="31"/>
      </c>
    </row>
    <row r="1525">
      <c r="A1525" s="43">
        <f t="shared" si="3"/>
      </c>
      <c r="B1525" s="44" t="n"/>
      <c r="C1525" s="45" t="n"/>
      <c r="D1525" s="46" t="n"/>
      <c r="E1525" s="47" t="n"/>
      <c r="F1525" s="47" t="n"/>
      <c r="G1525" s="48">
        <f t="shared" si="4"/>
      </c>
      <c r="H1525" s="43">
        <f t="shared" si="0"/>
      </c>
      <c r="I1525" s="43">
        <f t="shared" si="5"/>
      </c>
      <c r="J1525" s="43">
        <f t="shared" si="1"/>
      </c>
      <c r="K1525" s="49">
        <f t="shared" si="2"/>
      </c>
      <c r="L1525" s="45" t="n"/>
      <c r="M1525" s="45" t="n"/>
      <c r="N1525" s="45" t="n"/>
      <c r="O1525" s="45" t="n"/>
      <c r="P1525" s="50" t="n"/>
      <c r="R1525" s="2">
        <f t="shared" si="6"/>
        <v>0</v>
      </c>
      <c r="S1525" s="2">
        <f t="shared" si="7"/>
      </c>
      <c r="T1525" s="2">
        <f t="shared" si="8"/>
      </c>
      <c r="U1525" s="2">
        <f t="shared" si="9"/>
      </c>
      <c r="V1525" s="2">
        <f t="shared" si="10"/>
      </c>
      <c r="W1525" s="2">
        <f t="shared" si="11"/>
      </c>
      <c r="X1525" s="2">
        <f t="shared" si="12"/>
      </c>
      <c r="Y1525" s="2">
        <f t="shared" si="13"/>
        <v>0</v>
      </c>
      <c r="Z1525" s="2">
        <f t="shared" si="14"/>
      </c>
      <c r="AA1525" s="2">
        <f t="shared" si="15"/>
        <v>0</v>
      </c>
      <c r="AB1525" s="2">
        <f t="shared" si="16"/>
      </c>
      <c r="AC1525" s="2">
        <f t="shared" si="17"/>
      </c>
      <c r="AD1525" s="2">
        <f t="shared" si="18"/>
      </c>
      <c r="AE1525" s="2">
        <f t="shared" si="19"/>
      </c>
      <c r="AF1525" s="2">
        <f t="shared" si="20"/>
      </c>
      <c r="AG1525" s="2">
        <f t="shared" si="21"/>
      </c>
      <c r="AH1525" s="2">
        <f t="shared" si="22"/>
      </c>
      <c r="AI1525" s="2">
        <f t="shared" si="23"/>
      </c>
      <c r="AJ1525" s="2">
        <f t="shared" si="24"/>
        <v>0</v>
      </c>
      <c r="AK1525" s="2">
        <f t="shared" si="25"/>
        <v>0</v>
      </c>
      <c r="AL1525" s="2">
        <f t="shared" si="26"/>
        <v>0</v>
      </c>
      <c r="AM1525" s="2">
        <f t="shared" si="27"/>
        <v>0</v>
      </c>
      <c r="AN1525" s="2">
        <f t="shared" si="28"/>
        <v>0</v>
      </c>
      <c r="AO1525" s="2">
        <f t="shared" si="29"/>
      </c>
      <c r="AP1525" s="2">
        <f t="shared" si="30"/>
      </c>
      <c r="AQ1525" s="2">
        <f t="shared" si="31"/>
      </c>
    </row>
    <row r="1526">
      <c r="A1526" s="43">
        <f t="shared" si="3"/>
      </c>
      <c r="B1526" s="44" t="n"/>
      <c r="C1526" s="45" t="n"/>
      <c r="D1526" s="46" t="n"/>
      <c r="E1526" s="47" t="n"/>
      <c r="F1526" s="47" t="n"/>
      <c r="G1526" s="48">
        <f t="shared" si="4"/>
      </c>
      <c r="H1526" s="43">
        <f t="shared" si="0"/>
      </c>
      <c r="I1526" s="43">
        <f t="shared" si="5"/>
      </c>
      <c r="J1526" s="43">
        <f t="shared" si="1"/>
      </c>
      <c r="K1526" s="49">
        <f t="shared" si="2"/>
      </c>
      <c r="L1526" s="45" t="n"/>
      <c r="M1526" s="45" t="n"/>
      <c r="N1526" s="45" t="n"/>
      <c r="O1526" s="45" t="n"/>
      <c r="P1526" s="50" t="n"/>
      <c r="R1526" s="2">
        <f t="shared" si="6"/>
        <v>0</v>
      </c>
      <c r="S1526" s="2">
        <f t="shared" si="7"/>
      </c>
      <c r="T1526" s="2">
        <f t="shared" si="8"/>
      </c>
      <c r="U1526" s="2">
        <f t="shared" si="9"/>
      </c>
      <c r="V1526" s="2">
        <f t="shared" si="10"/>
      </c>
      <c r="W1526" s="2">
        <f t="shared" si="11"/>
      </c>
      <c r="X1526" s="2">
        <f t="shared" si="12"/>
      </c>
      <c r="Y1526" s="2">
        <f t="shared" si="13"/>
        <v>0</v>
      </c>
      <c r="Z1526" s="2">
        <f t="shared" si="14"/>
      </c>
      <c r="AA1526" s="2">
        <f t="shared" si="15"/>
        <v>0</v>
      </c>
      <c r="AB1526" s="2">
        <f t="shared" si="16"/>
      </c>
      <c r="AC1526" s="2">
        <f t="shared" si="17"/>
      </c>
      <c r="AD1526" s="2">
        <f t="shared" si="18"/>
      </c>
      <c r="AE1526" s="2">
        <f t="shared" si="19"/>
      </c>
      <c r="AF1526" s="2">
        <f t="shared" si="20"/>
      </c>
      <c r="AG1526" s="2">
        <f t="shared" si="21"/>
      </c>
      <c r="AH1526" s="2">
        <f t="shared" si="22"/>
      </c>
      <c r="AI1526" s="2">
        <f t="shared" si="23"/>
      </c>
      <c r="AJ1526" s="2">
        <f t="shared" si="24"/>
        <v>0</v>
      </c>
      <c r="AK1526" s="2">
        <f t="shared" si="25"/>
        <v>0</v>
      </c>
      <c r="AL1526" s="2">
        <f t="shared" si="26"/>
        <v>0</v>
      </c>
      <c r="AM1526" s="2">
        <f t="shared" si="27"/>
        <v>0</v>
      </c>
      <c r="AN1526" s="2">
        <f t="shared" si="28"/>
        <v>0</v>
      </c>
      <c r="AO1526" s="2">
        <f t="shared" si="29"/>
      </c>
      <c r="AP1526" s="2">
        <f t="shared" si="30"/>
      </c>
      <c r="AQ1526" s="2">
        <f t="shared" si="31"/>
      </c>
    </row>
    <row r="1527">
      <c r="A1527" s="43">
        <f t="shared" si="3"/>
      </c>
      <c r="B1527" s="44" t="n"/>
      <c r="C1527" s="45" t="n"/>
      <c r="D1527" s="46" t="n"/>
      <c r="E1527" s="47" t="n"/>
      <c r="F1527" s="47" t="n"/>
      <c r="G1527" s="48">
        <f t="shared" si="4"/>
      </c>
      <c r="H1527" s="43">
        <f t="shared" si="0"/>
      </c>
      <c r="I1527" s="43">
        <f t="shared" si="5"/>
      </c>
      <c r="J1527" s="43">
        <f t="shared" si="1"/>
      </c>
      <c r="K1527" s="49">
        <f t="shared" si="2"/>
      </c>
      <c r="L1527" s="45" t="n"/>
      <c r="M1527" s="45" t="n"/>
      <c r="N1527" s="45" t="n"/>
      <c r="O1527" s="45" t="n"/>
      <c r="P1527" s="50" t="n"/>
      <c r="R1527" s="2">
        <f t="shared" si="6"/>
        <v>0</v>
      </c>
      <c r="S1527" s="2">
        <f t="shared" si="7"/>
      </c>
      <c r="T1527" s="2">
        <f t="shared" si="8"/>
      </c>
      <c r="U1527" s="2">
        <f t="shared" si="9"/>
      </c>
      <c r="V1527" s="2">
        <f t="shared" si="10"/>
      </c>
      <c r="W1527" s="2">
        <f t="shared" si="11"/>
      </c>
      <c r="X1527" s="2">
        <f t="shared" si="12"/>
      </c>
      <c r="Y1527" s="2">
        <f t="shared" si="13"/>
        <v>0</v>
      </c>
      <c r="Z1527" s="2">
        <f t="shared" si="14"/>
      </c>
      <c r="AA1527" s="2">
        <f t="shared" si="15"/>
        <v>0</v>
      </c>
      <c r="AB1527" s="2">
        <f t="shared" si="16"/>
      </c>
      <c r="AC1527" s="2">
        <f t="shared" si="17"/>
      </c>
      <c r="AD1527" s="2">
        <f t="shared" si="18"/>
      </c>
      <c r="AE1527" s="2">
        <f t="shared" si="19"/>
      </c>
      <c r="AF1527" s="2">
        <f t="shared" si="20"/>
      </c>
      <c r="AG1527" s="2">
        <f t="shared" si="21"/>
      </c>
      <c r="AH1527" s="2">
        <f t="shared" si="22"/>
      </c>
      <c r="AI1527" s="2">
        <f t="shared" si="23"/>
      </c>
      <c r="AJ1527" s="2">
        <f t="shared" si="24"/>
        <v>0</v>
      </c>
      <c r="AK1527" s="2">
        <f t="shared" si="25"/>
        <v>0</v>
      </c>
      <c r="AL1527" s="2">
        <f t="shared" si="26"/>
        <v>0</v>
      </c>
      <c r="AM1527" s="2">
        <f t="shared" si="27"/>
        <v>0</v>
      </c>
      <c r="AN1527" s="2">
        <f t="shared" si="28"/>
        <v>0</v>
      </c>
      <c r="AO1527" s="2">
        <f t="shared" si="29"/>
      </c>
      <c r="AP1527" s="2">
        <f t="shared" si="30"/>
      </c>
      <c r="AQ1527" s="2">
        <f t="shared" si="31"/>
      </c>
    </row>
    <row r="1528">
      <c r="A1528" s="43">
        <f t="shared" si="3"/>
      </c>
      <c r="B1528" s="44" t="n"/>
      <c r="C1528" s="45" t="n"/>
      <c r="D1528" s="46" t="n"/>
      <c r="E1528" s="47" t="n"/>
      <c r="F1528" s="47" t="n"/>
      <c r="G1528" s="48">
        <f t="shared" si="4"/>
      </c>
      <c r="H1528" s="43">
        <f t="shared" si="0"/>
      </c>
      <c r="I1528" s="43">
        <f t="shared" si="5"/>
      </c>
      <c r="J1528" s="43">
        <f t="shared" si="1"/>
      </c>
      <c r="K1528" s="49">
        <f t="shared" si="2"/>
      </c>
      <c r="L1528" s="45" t="n"/>
      <c r="M1528" s="45" t="n"/>
      <c r="N1528" s="45" t="n"/>
      <c r="O1528" s="45" t="n"/>
      <c r="P1528" s="50" t="n"/>
      <c r="R1528" s="2">
        <f t="shared" si="6"/>
        <v>0</v>
      </c>
      <c r="S1528" s="2">
        <f t="shared" si="7"/>
      </c>
      <c r="T1528" s="2">
        <f t="shared" si="8"/>
      </c>
      <c r="U1528" s="2">
        <f t="shared" si="9"/>
      </c>
      <c r="V1528" s="2">
        <f t="shared" si="10"/>
      </c>
      <c r="W1528" s="2">
        <f t="shared" si="11"/>
      </c>
      <c r="X1528" s="2">
        <f t="shared" si="12"/>
      </c>
      <c r="Y1528" s="2">
        <f t="shared" si="13"/>
        <v>0</v>
      </c>
      <c r="Z1528" s="2">
        <f t="shared" si="14"/>
      </c>
      <c r="AA1528" s="2">
        <f t="shared" si="15"/>
        <v>0</v>
      </c>
      <c r="AB1528" s="2">
        <f t="shared" si="16"/>
      </c>
      <c r="AC1528" s="2">
        <f t="shared" si="17"/>
      </c>
      <c r="AD1528" s="2">
        <f t="shared" si="18"/>
      </c>
      <c r="AE1528" s="2">
        <f t="shared" si="19"/>
      </c>
      <c r="AF1528" s="2">
        <f t="shared" si="20"/>
      </c>
      <c r="AG1528" s="2">
        <f t="shared" si="21"/>
      </c>
      <c r="AH1528" s="2">
        <f t="shared" si="22"/>
      </c>
      <c r="AI1528" s="2">
        <f t="shared" si="23"/>
      </c>
      <c r="AJ1528" s="2">
        <f t="shared" si="24"/>
        <v>0</v>
      </c>
      <c r="AK1528" s="2">
        <f t="shared" si="25"/>
        <v>0</v>
      </c>
      <c r="AL1528" s="2">
        <f t="shared" si="26"/>
        <v>0</v>
      </c>
      <c r="AM1528" s="2">
        <f t="shared" si="27"/>
        <v>0</v>
      </c>
      <c r="AN1528" s="2">
        <f t="shared" si="28"/>
        <v>0</v>
      </c>
      <c r="AO1528" s="2">
        <f t="shared" si="29"/>
      </c>
      <c r="AP1528" s="2">
        <f t="shared" si="30"/>
      </c>
      <c r="AQ1528" s="2">
        <f t="shared" si="31"/>
      </c>
    </row>
    <row r="1529">
      <c r="A1529" s="43">
        <f t="shared" si="3"/>
      </c>
      <c r="B1529" s="44" t="n"/>
      <c r="C1529" s="45" t="n"/>
      <c r="D1529" s="46" t="n"/>
      <c r="E1529" s="47" t="n"/>
      <c r="F1529" s="47" t="n"/>
      <c r="G1529" s="48">
        <f t="shared" si="4"/>
      </c>
      <c r="H1529" s="43">
        <f t="shared" si="0"/>
      </c>
      <c r="I1529" s="43">
        <f t="shared" si="5"/>
      </c>
      <c r="J1529" s="43">
        <f t="shared" si="1"/>
      </c>
      <c r="K1529" s="49">
        <f t="shared" si="2"/>
      </c>
      <c r="L1529" s="45" t="n"/>
      <c r="M1529" s="45" t="n"/>
      <c r="N1529" s="45" t="n"/>
      <c r="O1529" s="45" t="n"/>
      <c r="P1529" s="50" t="n"/>
      <c r="R1529" s="2">
        <f t="shared" si="6"/>
        <v>0</v>
      </c>
      <c r="S1529" s="2">
        <f t="shared" si="7"/>
      </c>
      <c r="T1529" s="2">
        <f t="shared" si="8"/>
      </c>
      <c r="U1529" s="2">
        <f t="shared" si="9"/>
      </c>
      <c r="V1529" s="2">
        <f t="shared" si="10"/>
      </c>
      <c r="W1529" s="2">
        <f t="shared" si="11"/>
      </c>
      <c r="X1529" s="2">
        <f t="shared" si="12"/>
      </c>
      <c r="Y1529" s="2">
        <f t="shared" si="13"/>
        <v>0</v>
      </c>
      <c r="Z1529" s="2">
        <f t="shared" si="14"/>
      </c>
      <c r="AA1529" s="2">
        <f t="shared" si="15"/>
        <v>0</v>
      </c>
      <c r="AB1529" s="2">
        <f t="shared" si="16"/>
      </c>
      <c r="AC1529" s="2">
        <f t="shared" si="17"/>
      </c>
      <c r="AD1529" s="2">
        <f t="shared" si="18"/>
      </c>
      <c r="AE1529" s="2">
        <f t="shared" si="19"/>
      </c>
      <c r="AF1529" s="2">
        <f t="shared" si="20"/>
      </c>
      <c r="AG1529" s="2">
        <f t="shared" si="21"/>
      </c>
      <c r="AH1529" s="2">
        <f t="shared" si="22"/>
      </c>
      <c r="AI1529" s="2">
        <f t="shared" si="23"/>
      </c>
      <c r="AJ1529" s="2">
        <f t="shared" si="24"/>
        <v>0</v>
      </c>
      <c r="AK1529" s="2">
        <f t="shared" si="25"/>
        <v>0</v>
      </c>
      <c r="AL1529" s="2">
        <f t="shared" si="26"/>
        <v>0</v>
      </c>
      <c r="AM1529" s="2">
        <f t="shared" si="27"/>
        <v>0</v>
      </c>
      <c r="AN1529" s="2">
        <f t="shared" si="28"/>
        <v>0</v>
      </c>
      <c r="AO1529" s="2">
        <f t="shared" si="29"/>
      </c>
      <c r="AP1529" s="2">
        <f t="shared" si="30"/>
      </c>
      <c r="AQ1529" s="2">
        <f t="shared" si="31"/>
      </c>
    </row>
    <row r="1530">
      <c r="A1530" s="43">
        <f t="shared" si="3"/>
      </c>
      <c r="B1530" s="44" t="n"/>
      <c r="C1530" s="45" t="n"/>
      <c r="D1530" s="46" t="n"/>
      <c r="E1530" s="47" t="n"/>
      <c r="F1530" s="47" t="n"/>
      <c r="G1530" s="48">
        <f t="shared" si="4"/>
      </c>
      <c r="H1530" s="43">
        <f t="shared" si="0"/>
      </c>
      <c r="I1530" s="43">
        <f t="shared" si="5"/>
      </c>
      <c r="J1530" s="43">
        <f t="shared" si="1"/>
      </c>
      <c r="K1530" s="49">
        <f t="shared" si="2"/>
      </c>
      <c r="L1530" s="45" t="n"/>
      <c r="M1530" s="45" t="n"/>
      <c r="N1530" s="45" t="n"/>
      <c r="O1530" s="45" t="n"/>
      <c r="P1530" s="50" t="n"/>
      <c r="R1530" s="2">
        <f t="shared" si="6"/>
        <v>0</v>
      </c>
      <c r="S1530" s="2">
        <f t="shared" si="7"/>
      </c>
      <c r="T1530" s="2">
        <f t="shared" si="8"/>
      </c>
      <c r="U1530" s="2">
        <f t="shared" si="9"/>
      </c>
      <c r="V1530" s="2">
        <f t="shared" si="10"/>
      </c>
      <c r="W1530" s="2">
        <f t="shared" si="11"/>
      </c>
      <c r="X1530" s="2">
        <f t="shared" si="12"/>
      </c>
      <c r="Y1530" s="2">
        <f t="shared" si="13"/>
        <v>0</v>
      </c>
      <c r="Z1530" s="2">
        <f t="shared" si="14"/>
      </c>
      <c r="AA1530" s="2">
        <f t="shared" si="15"/>
        <v>0</v>
      </c>
      <c r="AB1530" s="2">
        <f t="shared" si="16"/>
      </c>
      <c r="AC1530" s="2">
        <f t="shared" si="17"/>
      </c>
      <c r="AD1530" s="2">
        <f t="shared" si="18"/>
      </c>
      <c r="AE1530" s="2">
        <f t="shared" si="19"/>
      </c>
      <c r="AF1530" s="2">
        <f t="shared" si="20"/>
      </c>
      <c r="AG1530" s="2">
        <f t="shared" si="21"/>
      </c>
      <c r="AH1530" s="2">
        <f t="shared" si="22"/>
      </c>
      <c r="AI1530" s="2">
        <f t="shared" si="23"/>
      </c>
      <c r="AJ1530" s="2">
        <f t="shared" si="24"/>
        <v>0</v>
      </c>
      <c r="AK1530" s="2">
        <f t="shared" si="25"/>
        <v>0</v>
      </c>
      <c r="AL1530" s="2">
        <f t="shared" si="26"/>
        <v>0</v>
      </c>
      <c r="AM1530" s="2">
        <f t="shared" si="27"/>
        <v>0</v>
      </c>
      <c r="AN1530" s="2">
        <f t="shared" si="28"/>
        <v>0</v>
      </c>
      <c r="AO1530" s="2">
        <f t="shared" si="29"/>
      </c>
      <c r="AP1530" s="2">
        <f t="shared" si="30"/>
      </c>
      <c r="AQ1530" s="2">
        <f t="shared" si="31"/>
      </c>
    </row>
    <row r="1531">
      <c r="A1531" s="43">
        <f t="shared" si="3"/>
      </c>
      <c r="B1531" s="44" t="n"/>
      <c r="C1531" s="45" t="n"/>
      <c r="D1531" s="46" t="n"/>
      <c r="E1531" s="47" t="n"/>
      <c r="F1531" s="47" t="n"/>
      <c r="G1531" s="48">
        <f t="shared" si="4"/>
      </c>
      <c r="H1531" s="43">
        <f t="shared" si="0"/>
      </c>
      <c r="I1531" s="43">
        <f t="shared" si="5"/>
      </c>
      <c r="J1531" s="43">
        <f t="shared" si="1"/>
      </c>
      <c r="K1531" s="49">
        <f t="shared" si="2"/>
      </c>
      <c r="L1531" s="45" t="n"/>
      <c r="M1531" s="45" t="n"/>
      <c r="N1531" s="45" t="n"/>
      <c r="O1531" s="45" t="n"/>
      <c r="P1531" s="50" t="n"/>
      <c r="R1531" s="2">
        <f t="shared" si="6"/>
        <v>0</v>
      </c>
      <c r="S1531" s="2">
        <f t="shared" si="7"/>
      </c>
      <c r="T1531" s="2">
        <f t="shared" si="8"/>
      </c>
      <c r="U1531" s="2">
        <f t="shared" si="9"/>
      </c>
      <c r="V1531" s="2">
        <f t="shared" si="10"/>
      </c>
      <c r="W1531" s="2">
        <f t="shared" si="11"/>
      </c>
      <c r="X1531" s="2">
        <f t="shared" si="12"/>
      </c>
      <c r="Y1531" s="2">
        <f t="shared" si="13"/>
        <v>0</v>
      </c>
      <c r="Z1531" s="2">
        <f t="shared" si="14"/>
      </c>
      <c r="AA1531" s="2">
        <f t="shared" si="15"/>
        <v>0</v>
      </c>
      <c r="AB1531" s="2">
        <f t="shared" si="16"/>
      </c>
      <c r="AC1531" s="2">
        <f t="shared" si="17"/>
      </c>
      <c r="AD1531" s="2">
        <f t="shared" si="18"/>
      </c>
      <c r="AE1531" s="2">
        <f t="shared" si="19"/>
      </c>
      <c r="AF1531" s="2">
        <f t="shared" si="20"/>
      </c>
      <c r="AG1531" s="2">
        <f t="shared" si="21"/>
      </c>
      <c r="AH1531" s="2">
        <f t="shared" si="22"/>
      </c>
      <c r="AI1531" s="2">
        <f t="shared" si="23"/>
      </c>
      <c r="AJ1531" s="2">
        <f t="shared" si="24"/>
        <v>0</v>
      </c>
      <c r="AK1531" s="2">
        <f t="shared" si="25"/>
        <v>0</v>
      </c>
      <c r="AL1531" s="2">
        <f t="shared" si="26"/>
        <v>0</v>
      </c>
      <c r="AM1531" s="2">
        <f t="shared" si="27"/>
        <v>0</v>
      </c>
      <c r="AN1531" s="2">
        <f t="shared" si="28"/>
        <v>0</v>
      </c>
      <c r="AO1531" s="2">
        <f t="shared" si="29"/>
      </c>
      <c r="AP1531" s="2">
        <f t="shared" si="30"/>
      </c>
      <c r="AQ1531" s="2">
        <f t="shared" si="31"/>
      </c>
    </row>
    <row r="1532">
      <c r="A1532" s="43">
        <f t="shared" si="3"/>
      </c>
      <c r="B1532" s="44" t="n"/>
      <c r="C1532" s="45" t="n"/>
      <c r="D1532" s="46" t="n"/>
      <c r="E1532" s="47" t="n"/>
      <c r="F1532" s="47" t="n"/>
      <c r="G1532" s="48">
        <f t="shared" si="4"/>
      </c>
      <c r="H1532" s="43">
        <f t="shared" si="0"/>
      </c>
      <c r="I1532" s="43">
        <f t="shared" si="5"/>
      </c>
      <c r="J1532" s="43">
        <f t="shared" si="1"/>
      </c>
      <c r="K1532" s="49">
        <f t="shared" si="2"/>
      </c>
      <c r="L1532" s="45" t="n"/>
      <c r="M1532" s="45" t="n"/>
      <c r="N1532" s="45" t="n"/>
      <c r="O1532" s="45" t="n"/>
      <c r="P1532" s="50" t="n"/>
      <c r="R1532" s="2">
        <f t="shared" si="6"/>
        <v>0</v>
      </c>
      <c r="S1532" s="2">
        <f t="shared" si="7"/>
      </c>
      <c r="T1532" s="2">
        <f t="shared" si="8"/>
      </c>
      <c r="U1532" s="2">
        <f t="shared" si="9"/>
      </c>
      <c r="V1532" s="2">
        <f t="shared" si="10"/>
      </c>
      <c r="W1532" s="2">
        <f t="shared" si="11"/>
      </c>
      <c r="X1532" s="2">
        <f t="shared" si="12"/>
      </c>
      <c r="Y1532" s="2">
        <f t="shared" si="13"/>
        <v>0</v>
      </c>
      <c r="Z1532" s="2">
        <f t="shared" si="14"/>
      </c>
      <c r="AA1532" s="2">
        <f t="shared" si="15"/>
        <v>0</v>
      </c>
      <c r="AB1532" s="2">
        <f t="shared" si="16"/>
      </c>
      <c r="AC1532" s="2">
        <f t="shared" si="17"/>
      </c>
      <c r="AD1532" s="2">
        <f t="shared" si="18"/>
      </c>
      <c r="AE1532" s="2">
        <f t="shared" si="19"/>
      </c>
      <c r="AF1532" s="2">
        <f t="shared" si="20"/>
      </c>
      <c r="AG1532" s="2">
        <f t="shared" si="21"/>
      </c>
      <c r="AH1532" s="2">
        <f t="shared" si="22"/>
      </c>
      <c r="AI1532" s="2">
        <f t="shared" si="23"/>
      </c>
      <c r="AJ1532" s="2">
        <f t="shared" si="24"/>
        <v>0</v>
      </c>
      <c r="AK1532" s="2">
        <f t="shared" si="25"/>
        <v>0</v>
      </c>
      <c r="AL1532" s="2">
        <f t="shared" si="26"/>
        <v>0</v>
      </c>
      <c r="AM1532" s="2">
        <f t="shared" si="27"/>
        <v>0</v>
      </c>
      <c r="AN1532" s="2">
        <f t="shared" si="28"/>
        <v>0</v>
      </c>
      <c r="AO1532" s="2">
        <f t="shared" si="29"/>
      </c>
      <c r="AP1532" s="2">
        <f t="shared" si="30"/>
      </c>
      <c r="AQ1532" s="2">
        <f t="shared" si="31"/>
      </c>
    </row>
    <row r="1533">
      <c r="A1533" s="43">
        <f t="shared" si="3"/>
      </c>
      <c r="B1533" s="44" t="n"/>
      <c r="C1533" s="45" t="n"/>
      <c r="D1533" s="46" t="n"/>
      <c r="E1533" s="47" t="n"/>
      <c r="F1533" s="47" t="n"/>
      <c r="G1533" s="48">
        <f t="shared" si="4"/>
      </c>
      <c r="H1533" s="43">
        <f t="shared" si="0"/>
      </c>
      <c r="I1533" s="43">
        <f t="shared" si="5"/>
      </c>
      <c r="J1533" s="43">
        <f t="shared" si="1"/>
      </c>
      <c r="K1533" s="49">
        <f t="shared" si="2"/>
      </c>
      <c r="L1533" s="45" t="n"/>
      <c r="M1533" s="45" t="n"/>
      <c r="N1533" s="45" t="n"/>
      <c r="O1533" s="45" t="n"/>
      <c r="P1533" s="50" t="n"/>
      <c r="R1533" s="2">
        <f t="shared" si="6"/>
        <v>0</v>
      </c>
      <c r="S1533" s="2">
        <f t="shared" si="7"/>
      </c>
      <c r="T1533" s="2">
        <f t="shared" si="8"/>
      </c>
      <c r="U1533" s="2">
        <f t="shared" si="9"/>
      </c>
      <c r="V1533" s="2">
        <f t="shared" si="10"/>
      </c>
      <c r="W1533" s="2">
        <f t="shared" si="11"/>
      </c>
      <c r="X1533" s="2">
        <f t="shared" si="12"/>
      </c>
      <c r="Y1533" s="2">
        <f t="shared" si="13"/>
        <v>0</v>
      </c>
      <c r="Z1533" s="2">
        <f t="shared" si="14"/>
      </c>
      <c r="AA1533" s="2">
        <f t="shared" si="15"/>
        <v>0</v>
      </c>
      <c r="AB1533" s="2">
        <f t="shared" si="16"/>
      </c>
      <c r="AC1533" s="2">
        <f t="shared" si="17"/>
      </c>
      <c r="AD1533" s="2">
        <f t="shared" si="18"/>
      </c>
      <c r="AE1533" s="2">
        <f t="shared" si="19"/>
      </c>
      <c r="AF1533" s="2">
        <f t="shared" si="20"/>
      </c>
      <c r="AG1533" s="2">
        <f t="shared" si="21"/>
      </c>
      <c r="AH1533" s="2">
        <f t="shared" si="22"/>
      </c>
      <c r="AI1533" s="2">
        <f t="shared" si="23"/>
      </c>
      <c r="AJ1533" s="2">
        <f t="shared" si="24"/>
        <v>0</v>
      </c>
      <c r="AK1533" s="2">
        <f t="shared" si="25"/>
        <v>0</v>
      </c>
      <c r="AL1533" s="2">
        <f t="shared" si="26"/>
        <v>0</v>
      </c>
      <c r="AM1533" s="2">
        <f t="shared" si="27"/>
        <v>0</v>
      </c>
      <c r="AN1533" s="2">
        <f t="shared" si="28"/>
        <v>0</v>
      </c>
      <c r="AO1533" s="2">
        <f t="shared" si="29"/>
      </c>
      <c r="AP1533" s="2">
        <f t="shared" si="30"/>
      </c>
      <c r="AQ1533" s="2">
        <f t="shared" si="31"/>
      </c>
    </row>
    <row r="1534">
      <c r="A1534" s="43">
        <f t="shared" si="3"/>
      </c>
      <c r="B1534" s="44" t="n"/>
      <c r="C1534" s="45" t="n"/>
      <c r="D1534" s="46" t="n"/>
      <c r="E1534" s="47" t="n"/>
      <c r="F1534" s="47" t="n"/>
      <c r="G1534" s="48">
        <f t="shared" si="4"/>
      </c>
      <c r="H1534" s="43">
        <f t="shared" si="0"/>
      </c>
      <c r="I1534" s="43">
        <f t="shared" si="5"/>
      </c>
      <c r="J1534" s="43">
        <f t="shared" si="1"/>
      </c>
      <c r="K1534" s="49">
        <f t="shared" si="2"/>
      </c>
      <c r="L1534" s="45" t="n"/>
      <c r="M1534" s="45" t="n"/>
      <c r="N1534" s="45" t="n"/>
      <c r="O1534" s="45" t="n"/>
      <c r="P1534" s="50" t="n"/>
      <c r="R1534" s="2">
        <f t="shared" si="6"/>
        <v>0</v>
      </c>
      <c r="S1534" s="2">
        <f t="shared" si="7"/>
      </c>
      <c r="T1534" s="2">
        <f t="shared" si="8"/>
      </c>
      <c r="U1534" s="2">
        <f t="shared" si="9"/>
      </c>
      <c r="V1534" s="2">
        <f t="shared" si="10"/>
      </c>
      <c r="W1534" s="2">
        <f t="shared" si="11"/>
      </c>
      <c r="X1534" s="2">
        <f t="shared" si="12"/>
      </c>
      <c r="Y1534" s="2">
        <f t="shared" si="13"/>
        <v>0</v>
      </c>
      <c r="Z1534" s="2">
        <f t="shared" si="14"/>
      </c>
      <c r="AA1534" s="2">
        <f t="shared" si="15"/>
        <v>0</v>
      </c>
      <c r="AB1534" s="2">
        <f t="shared" si="16"/>
      </c>
      <c r="AC1534" s="2">
        <f t="shared" si="17"/>
      </c>
      <c r="AD1534" s="2">
        <f t="shared" si="18"/>
      </c>
      <c r="AE1534" s="2">
        <f t="shared" si="19"/>
      </c>
      <c r="AF1534" s="2">
        <f t="shared" si="20"/>
      </c>
      <c r="AG1534" s="2">
        <f t="shared" si="21"/>
      </c>
      <c r="AH1534" s="2">
        <f t="shared" si="22"/>
      </c>
      <c r="AI1534" s="2">
        <f t="shared" si="23"/>
      </c>
      <c r="AJ1534" s="2">
        <f t="shared" si="24"/>
        <v>0</v>
      </c>
      <c r="AK1534" s="2">
        <f t="shared" si="25"/>
        <v>0</v>
      </c>
      <c r="AL1534" s="2">
        <f t="shared" si="26"/>
        <v>0</v>
      </c>
      <c r="AM1534" s="2">
        <f t="shared" si="27"/>
        <v>0</v>
      </c>
      <c r="AN1534" s="2">
        <f t="shared" si="28"/>
        <v>0</v>
      </c>
      <c r="AO1534" s="2">
        <f t="shared" si="29"/>
      </c>
      <c r="AP1534" s="2">
        <f t="shared" si="30"/>
      </c>
      <c r="AQ1534" s="2">
        <f t="shared" si="31"/>
      </c>
    </row>
    <row r="1535">
      <c r="A1535" s="43">
        <f t="shared" si="3"/>
      </c>
      <c r="B1535" s="44" t="n"/>
      <c r="C1535" s="45" t="n"/>
      <c r="D1535" s="46" t="n"/>
      <c r="E1535" s="47" t="n"/>
      <c r="F1535" s="47" t="n"/>
      <c r="G1535" s="48">
        <f t="shared" si="4"/>
      </c>
      <c r="H1535" s="43">
        <f t="shared" si="0"/>
      </c>
      <c r="I1535" s="43">
        <f t="shared" si="5"/>
      </c>
      <c r="J1535" s="43">
        <f t="shared" si="1"/>
      </c>
      <c r="K1535" s="49">
        <f t="shared" si="2"/>
      </c>
      <c r="L1535" s="45" t="n"/>
      <c r="M1535" s="45" t="n"/>
      <c r="N1535" s="45" t="n"/>
      <c r="O1535" s="45" t="n"/>
      <c r="P1535" s="50" t="n"/>
      <c r="R1535" s="2">
        <f t="shared" si="6"/>
        <v>0</v>
      </c>
      <c r="S1535" s="2">
        <f t="shared" si="7"/>
      </c>
      <c r="T1535" s="2">
        <f t="shared" si="8"/>
      </c>
      <c r="U1535" s="2">
        <f t="shared" si="9"/>
      </c>
      <c r="V1535" s="2">
        <f t="shared" si="10"/>
      </c>
      <c r="W1535" s="2">
        <f t="shared" si="11"/>
      </c>
      <c r="X1535" s="2">
        <f t="shared" si="12"/>
      </c>
      <c r="Y1535" s="2">
        <f t="shared" si="13"/>
        <v>0</v>
      </c>
      <c r="Z1535" s="2">
        <f t="shared" si="14"/>
      </c>
      <c r="AA1535" s="2">
        <f t="shared" si="15"/>
        <v>0</v>
      </c>
      <c r="AB1535" s="2">
        <f t="shared" si="16"/>
      </c>
      <c r="AC1535" s="2">
        <f t="shared" si="17"/>
      </c>
      <c r="AD1535" s="2">
        <f t="shared" si="18"/>
      </c>
      <c r="AE1535" s="2">
        <f t="shared" si="19"/>
      </c>
      <c r="AF1535" s="2">
        <f t="shared" si="20"/>
      </c>
      <c r="AG1535" s="2">
        <f t="shared" si="21"/>
      </c>
      <c r="AH1535" s="2">
        <f t="shared" si="22"/>
      </c>
      <c r="AI1535" s="2">
        <f t="shared" si="23"/>
      </c>
      <c r="AJ1535" s="2">
        <f t="shared" si="24"/>
        <v>0</v>
      </c>
      <c r="AK1535" s="2">
        <f t="shared" si="25"/>
        <v>0</v>
      </c>
      <c r="AL1535" s="2">
        <f t="shared" si="26"/>
        <v>0</v>
      </c>
      <c r="AM1535" s="2">
        <f t="shared" si="27"/>
        <v>0</v>
      </c>
      <c r="AN1535" s="2">
        <f t="shared" si="28"/>
        <v>0</v>
      </c>
      <c r="AO1535" s="2">
        <f t="shared" si="29"/>
      </c>
      <c r="AP1535" s="2">
        <f t="shared" si="30"/>
      </c>
      <c r="AQ1535" s="2">
        <f t="shared" si="31"/>
      </c>
    </row>
    <row r="1536">
      <c r="A1536" s="43">
        <f t="shared" si="3"/>
      </c>
      <c r="B1536" s="44" t="n"/>
      <c r="C1536" s="45" t="n"/>
      <c r="D1536" s="46" t="n"/>
      <c r="E1536" s="47" t="n"/>
      <c r="F1536" s="47" t="n"/>
      <c r="G1536" s="48">
        <f t="shared" si="4"/>
      </c>
      <c r="H1536" s="43">
        <f t="shared" si="0"/>
      </c>
      <c r="I1536" s="43">
        <f t="shared" si="5"/>
      </c>
      <c r="J1536" s="43">
        <f t="shared" si="1"/>
      </c>
      <c r="K1536" s="49">
        <f t="shared" si="2"/>
      </c>
      <c r="L1536" s="45" t="n"/>
      <c r="M1536" s="45" t="n"/>
      <c r="N1536" s="45" t="n"/>
      <c r="O1536" s="45" t="n"/>
      <c r="P1536" s="50" t="n"/>
      <c r="R1536" s="2">
        <f t="shared" si="6"/>
        <v>0</v>
      </c>
      <c r="S1536" s="2">
        <f t="shared" si="7"/>
      </c>
      <c r="T1536" s="2">
        <f t="shared" si="8"/>
      </c>
      <c r="U1536" s="2">
        <f t="shared" si="9"/>
      </c>
      <c r="V1536" s="2">
        <f t="shared" si="10"/>
      </c>
      <c r="W1536" s="2">
        <f t="shared" si="11"/>
      </c>
      <c r="X1536" s="2">
        <f t="shared" si="12"/>
      </c>
      <c r="Y1536" s="2">
        <f t="shared" si="13"/>
        <v>0</v>
      </c>
      <c r="Z1536" s="2">
        <f t="shared" si="14"/>
      </c>
      <c r="AA1536" s="2">
        <f t="shared" si="15"/>
        <v>0</v>
      </c>
      <c r="AB1536" s="2">
        <f t="shared" si="16"/>
      </c>
      <c r="AC1536" s="2">
        <f t="shared" si="17"/>
      </c>
      <c r="AD1536" s="2">
        <f t="shared" si="18"/>
      </c>
      <c r="AE1536" s="2">
        <f t="shared" si="19"/>
      </c>
      <c r="AF1536" s="2">
        <f t="shared" si="20"/>
      </c>
      <c r="AG1536" s="2">
        <f t="shared" si="21"/>
      </c>
      <c r="AH1536" s="2">
        <f t="shared" si="22"/>
      </c>
      <c r="AI1536" s="2">
        <f t="shared" si="23"/>
      </c>
      <c r="AJ1536" s="2">
        <f t="shared" si="24"/>
        <v>0</v>
      </c>
      <c r="AK1536" s="2">
        <f t="shared" si="25"/>
        <v>0</v>
      </c>
      <c r="AL1536" s="2">
        <f t="shared" si="26"/>
        <v>0</v>
      </c>
      <c r="AM1536" s="2">
        <f t="shared" si="27"/>
        <v>0</v>
      </c>
      <c r="AN1536" s="2">
        <f t="shared" si="28"/>
        <v>0</v>
      </c>
      <c r="AO1536" s="2">
        <f t="shared" si="29"/>
      </c>
      <c r="AP1536" s="2">
        <f t="shared" si="30"/>
      </c>
      <c r="AQ1536" s="2">
        <f t="shared" si="31"/>
      </c>
    </row>
    <row r="1537">
      <c r="A1537" s="43">
        <f t="shared" si="3"/>
      </c>
      <c r="B1537" s="44" t="n"/>
      <c r="C1537" s="45" t="n"/>
      <c r="D1537" s="46" t="n"/>
      <c r="E1537" s="47" t="n"/>
      <c r="F1537" s="47" t="n"/>
      <c r="G1537" s="48">
        <f t="shared" si="4"/>
      </c>
      <c r="H1537" s="43">
        <f t="shared" si="0"/>
      </c>
      <c r="I1537" s="43">
        <f t="shared" si="5"/>
      </c>
      <c r="J1537" s="43">
        <f t="shared" si="1"/>
      </c>
      <c r="K1537" s="49">
        <f t="shared" si="2"/>
      </c>
      <c r="L1537" s="45" t="n"/>
      <c r="M1537" s="45" t="n"/>
      <c r="N1537" s="45" t="n"/>
      <c r="O1537" s="45" t="n"/>
      <c r="P1537" s="50" t="n"/>
      <c r="R1537" s="2">
        <f t="shared" si="6"/>
        <v>0</v>
      </c>
      <c r="S1537" s="2">
        <f t="shared" si="7"/>
      </c>
      <c r="T1537" s="2">
        <f t="shared" si="8"/>
      </c>
      <c r="U1537" s="2">
        <f t="shared" si="9"/>
      </c>
      <c r="V1537" s="2">
        <f t="shared" si="10"/>
      </c>
      <c r="W1537" s="2">
        <f t="shared" si="11"/>
      </c>
      <c r="X1537" s="2">
        <f t="shared" si="12"/>
      </c>
      <c r="Y1537" s="2">
        <f t="shared" si="13"/>
        <v>0</v>
      </c>
      <c r="Z1537" s="2">
        <f t="shared" si="14"/>
      </c>
      <c r="AA1537" s="2">
        <f t="shared" si="15"/>
        <v>0</v>
      </c>
      <c r="AB1537" s="2">
        <f t="shared" si="16"/>
      </c>
      <c r="AC1537" s="2">
        <f t="shared" si="17"/>
      </c>
      <c r="AD1537" s="2">
        <f t="shared" si="18"/>
      </c>
      <c r="AE1537" s="2">
        <f t="shared" si="19"/>
      </c>
      <c r="AF1537" s="2">
        <f t="shared" si="20"/>
      </c>
      <c r="AG1537" s="2">
        <f t="shared" si="21"/>
      </c>
      <c r="AH1537" s="2">
        <f t="shared" si="22"/>
      </c>
      <c r="AI1537" s="2">
        <f t="shared" si="23"/>
      </c>
      <c r="AJ1537" s="2">
        <f t="shared" si="24"/>
        <v>0</v>
      </c>
      <c r="AK1537" s="2">
        <f t="shared" si="25"/>
        <v>0</v>
      </c>
      <c r="AL1537" s="2">
        <f t="shared" si="26"/>
        <v>0</v>
      </c>
      <c r="AM1537" s="2">
        <f t="shared" si="27"/>
        <v>0</v>
      </c>
      <c r="AN1537" s="2">
        <f t="shared" si="28"/>
        <v>0</v>
      </c>
      <c r="AO1537" s="2">
        <f t="shared" si="29"/>
      </c>
      <c r="AP1537" s="2">
        <f t="shared" si="30"/>
      </c>
      <c r="AQ1537" s="2">
        <f t="shared" si="31"/>
      </c>
    </row>
    <row r="1538">
      <c r="A1538" s="43">
        <f t="shared" si="3"/>
      </c>
      <c r="B1538" s="44" t="n"/>
      <c r="C1538" s="45" t="n"/>
      <c r="D1538" s="46" t="n"/>
      <c r="E1538" s="47" t="n"/>
      <c r="F1538" s="47" t="n"/>
      <c r="G1538" s="48">
        <f t="shared" si="4"/>
      </c>
      <c r="H1538" s="43">
        <f t="shared" si="0"/>
      </c>
      <c r="I1538" s="43">
        <f t="shared" si="5"/>
      </c>
      <c r="J1538" s="43">
        <f t="shared" si="1"/>
      </c>
      <c r="K1538" s="49">
        <f t="shared" si="2"/>
      </c>
      <c r="L1538" s="45" t="n"/>
      <c r="M1538" s="45" t="n"/>
      <c r="N1538" s="45" t="n"/>
      <c r="O1538" s="45" t="n"/>
      <c r="P1538" s="50" t="n"/>
      <c r="R1538" s="2">
        <f t="shared" si="6"/>
        <v>0</v>
      </c>
      <c r="S1538" s="2">
        <f t="shared" si="7"/>
      </c>
      <c r="T1538" s="2">
        <f t="shared" si="8"/>
      </c>
      <c r="U1538" s="2">
        <f t="shared" si="9"/>
      </c>
      <c r="V1538" s="2">
        <f t="shared" si="10"/>
      </c>
      <c r="W1538" s="2">
        <f t="shared" si="11"/>
      </c>
      <c r="X1538" s="2">
        <f t="shared" si="12"/>
      </c>
      <c r="Y1538" s="2">
        <f t="shared" si="13"/>
        <v>0</v>
      </c>
      <c r="Z1538" s="2">
        <f t="shared" si="14"/>
      </c>
      <c r="AA1538" s="2">
        <f t="shared" si="15"/>
        <v>0</v>
      </c>
      <c r="AB1538" s="2">
        <f t="shared" si="16"/>
      </c>
      <c r="AC1538" s="2">
        <f t="shared" si="17"/>
      </c>
      <c r="AD1538" s="2">
        <f t="shared" si="18"/>
      </c>
      <c r="AE1538" s="2">
        <f t="shared" si="19"/>
      </c>
      <c r="AF1538" s="2">
        <f t="shared" si="20"/>
      </c>
      <c r="AG1538" s="2">
        <f t="shared" si="21"/>
      </c>
      <c r="AH1538" s="2">
        <f t="shared" si="22"/>
      </c>
      <c r="AI1538" s="2">
        <f t="shared" si="23"/>
      </c>
      <c r="AJ1538" s="2">
        <f t="shared" si="24"/>
        <v>0</v>
      </c>
      <c r="AK1538" s="2">
        <f t="shared" si="25"/>
        <v>0</v>
      </c>
      <c r="AL1538" s="2">
        <f t="shared" si="26"/>
        <v>0</v>
      </c>
      <c r="AM1538" s="2">
        <f t="shared" si="27"/>
        <v>0</v>
      </c>
      <c r="AN1538" s="2">
        <f t="shared" si="28"/>
        <v>0</v>
      </c>
      <c r="AO1538" s="2">
        <f t="shared" si="29"/>
      </c>
      <c r="AP1538" s="2">
        <f t="shared" si="30"/>
      </c>
      <c r="AQ1538" s="2">
        <f t="shared" si="31"/>
      </c>
    </row>
    <row r="1539">
      <c r="A1539" s="43">
        <f t="shared" si="3"/>
      </c>
      <c r="B1539" s="44" t="n"/>
      <c r="C1539" s="45" t="n"/>
      <c r="D1539" s="46" t="n"/>
      <c r="E1539" s="47" t="n"/>
      <c r="F1539" s="47" t="n"/>
      <c r="G1539" s="48">
        <f t="shared" si="4"/>
      </c>
      <c r="H1539" s="43">
        <f t="shared" si="0"/>
      </c>
      <c r="I1539" s="43">
        <f t="shared" si="5"/>
      </c>
      <c r="J1539" s="43">
        <f t="shared" si="1"/>
      </c>
      <c r="K1539" s="49">
        <f t="shared" si="2"/>
      </c>
      <c r="L1539" s="45" t="n"/>
      <c r="M1539" s="45" t="n"/>
      <c r="N1539" s="45" t="n"/>
      <c r="O1539" s="45" t="n"/>
      <c r="P1539" s="50" t="n"/>
      <c r="R1539" s="2">
        <f t="shared" si="6"/>
        <v>0</v>
      </c>
      <c r="S1539" s="2">
        <f t="shared" si="7"/>
      </c>
      <c r="T1539" s="2">
        <f t="shared" si="8"/>
      </c>
      <c r="U1539" s="2">
        <f t="shared" si="9"/>
      </c>
      <c r="V1539" s="2">
        <f t="shared" si="10"/>
      </c>
      <c r="W1539" s="2">
        <f t="shared" si="11"/>
      </c>
      <c r="X1539" s="2">
        <f t="shared" si="12"/>
      </c>
      <c r="Y1539" s="2">
        <f t="shared" si="13"/>
        <v>0</v>
      </c>
      <c r="Z1539" s="2">
        <f t="shared" si="14"/>
      </c>
      <c r="AA1539" s="2">
        <f t="shared" si="15"/>
        <v>0</v>
      </c>
      <c r="AB1539" s="2">
        <f t="shared" si="16"/>
      </c>
      <c r="AC1539" s="2">
        <f t="shared" si="17"/>
      </c>
      <c r="AD1539" s="2">
        <f t="shared" si="18"/>
      </c>
      <c r="AE1539" s="2">
        <f t="shared" si="19"/>
      </c>
      <c r="AF1539" s="2">
        <f t="shared" si="20"/>
      </c>
      <c r="AG1539" s="2">
        <f t="shared" si="21"/>
      </c>
      <c r="AH1539" s="2">
        <f t="shared" si="22"/>
      </c>
      <c r="AI1539" s="2">
        <f t="shared" si="23"/>
      </c>
      <c r="AJ1539" s="2">
        <f t="shared" si="24"/>
        <v>0</v>
      </c>
      <c r="AK1539" s="2">
        <f t="shared" si="25"/>
        <v>0</v>
      </c>
      <c r="AL1539" s="2">
        <f t="shared" si="26"/>
        <v>0</v>
      </c>
      <c r="AM1539" s="2">
        <f t="shared" si="27"/>
        <v>0</v>
      </c>
      <c r="AN1539" s="2">
        <f t="shared" si="28"/>
        <v>0</v>
      </c>
      <c r="AO1539" s="2">
        <f t="shared" si="29"/>
      </c>
      <c r="AP1539" s="2">
        <f t="shared" si="30"/>
      </c>
      <c r="AQ1539" s="2">
        <f t="shared" si="31"/>
      </c>
    </row>
    <row r="1540">
      <c r="A1540" s="43">
        <f t="shared" si="3"/>
      </c>
      <c r="B1540" s="44" t="n"/>
      <c r="C1540" s="45" t="n"/>
      <c r="D1540" s="46" t="n"/>
      <c r="E1540" s="47" t="n"/>
      <c r="F1540" s="47" t="n"/>
      <c r="G1540" s="48">
        <f t="shared" si="4"/>
      </c>
      <c r="H1540" s="43">
        <f t="shared" si="0"/>
      </c>
      <c r="I1540" s="43">
        <f t="shared" si="5"/>
      </c>
      <c r="J1540" s="43">
        <f t="shared" si="1"/>
      </c>
      <c r="K1540" s="49">
        <f t="shared" si="2"/>
      </c>
      <c r="L1540" s="45" t="n"/>
      <c r="M1540" s="45" t="n"/>
      <c r="N1540" s="45" t="n"/>
      <c r="O1540" s="45" t="n"/>
      <c r="P1540" s="50" t="n"/>
      <c r="R1540" s="2">
        <f t="shared" si="6"/>
        <v>0</v>
      </c>
      <c r="S1540" s="2">
        <f t="shared" si="7"/>
      </c>
      <c r="T1540" s="2">
        <f t="shared" si="8"/>
      </c>
      <c r="U1540" s="2">
        <f t="shared" si="9"/>
      </c>
      <c r="V1540" s="2">
        <f t="shared" si="10"/>
      </c>
      <c r="W1540" s="2">
        <f t="shared" si="11"/>
      </c>
      <c r="X1540" s="2">
        <f t="shared" si="12"/>
      </c>
      <c r="Y1540" s="2">
        <f t="shared" si="13"/>
        <v>0</v>
      </c>
      <c r="Z1540" s="2">
        <f t="shared" si="14"/>
      </c>
      <c r="AA1540" s="2">
        <f t="shared" si="15"/>
        <v>0</v>
      </c>
      <c r="AB1540" s="2">
        <f t="shared" si="16"/>
      </c>
      <c r="AC1540" s="2">
        <f t="shared" si="17"/>
      </c>
      <c r="AD1540" s="2">
        <f t="shared" si="18"/>
      </c>
      <c r="AE1540" s="2">
        <f t="shared" si="19"/>
      </c>
      <c r="AF1540" s="2">
        <f t="shared" si="20"/>
      </c>
      <c r="AG1540" s="2">
        <f t="shared" si="21"/>
      </c>
      <c r="AH1540" s="2">
        <f t="shared" si="22"/>
      </c>
      <c r="AI1540" s="2">
        <f t="shared" si="23"/>
      </c>
      <c r="AJ1540" s="2">
        <f t="shared" si="24"/>
        <v>0</v>
      </c>
      <c r="AK1540" s="2">
        <f t="shared" si="25"/>
        <v>0</v>
      </c>
      <c r="AL1540" s="2">
        <f t="shared" si="26"/>
        <v>0</v>
      </c>
      <c r="AM1540" s="2">
        <f t="shared" si="27"/>
        <v>0</v>
      </c>
      <c r="AN1540" s="2">
        <f t="shared" si="28"/>
        <v>0</v>
      </c>
      <c r="AO1540" s="2">
        <f t="shared" si="29"/>
      </c>
      <c r="AP1540" s="2">
        <f t="shared" si="30"/>
      </c>
      <c r="AQ1540" s="2">
        <f t="shared" si="31"/>
      </c>
    </row>
    <row r="1541">
      <c r="A1541" s="43">
        <f t="shared" si="3"/>
      </c>
      <c r="B1541" s="44" t="n"/>
      <c r="C1541" s="45" t="n"/>
      <c r="D1541" s="46" t="n"/>
      <c r="E1541" s="47" t="n"/>
      <c r="F1541" s="47" t="n"/>
      <c r="G1541" s="48">
        <f t="shared" si="4"/>
      </c>
      <c r="H1541" s="43">
        <f t="shared" si="0"/>
      </c>
      <c r="I1541" s="43">
        <f t="shared" si="5"/>
      </c>
      <c r="J1541" s="43">
        <f t="shared" si="1"/>
      </c>
      <c r="K1541" s="49">
        <f t="shared" si="2"/>
      </c>
      <c r="L1541" s="45" t="n"/>
      <c r="M1541" s="45" t="n"/>
      <c r="N1541" s="45" t="n"/>
      <c r="O1541" s="45" t="n"/>
      <c r="P1541" s="50" t="n"/>
      <c r="R1541" s="2">
        <f t="shared" si="6"/>
        <v>0</v>
      </c>
      <c r="S1541" s="2">
        <f t="shared" si="7"/>
      </c>
      <c r="T1541" s="2">
        <f t="shared" si="8"/>
      </c>
      <c r="U1541" s="2">
        <f t="shared" si="9"/>
      </c>
      <c r="V1541" s="2">
        <f t="shared" si="10"/>
      </c>
      <c r="W1541" s="2">
        <f t="shared" si="11"/>
      </c>
      <c r="X1541" s="2">
        <f t="shared" si="12"/>
      </c>
      <c r="Y1541" s="2">
        <f t="shared" si="13"/>
        <v>0</v>
      </c>
      <c r="Z1541" s="2">
        <f t="shared" si="14"/>
      </c>
      <c r="AA1541" s="2">
        <f t="shared" si="15"/>
        <v>0</v>
      </c>
      <c r="AB1541" s="2">
        <f t="shared" si="16"/>
      </c>
      <c r="AC1541" s="2">
        <f t="shared" si="17"/>
      </c>
      <c r="AD1541" s="2">
        <f t="shared" si="18"/>
      </c>
      <c r="AE1541" s="2">
        <f t="shared" si="19"/>
      </c>
      <c r="AF1541" s="2">
        <f t="shared" si="20"/>
      </c>
      <c r="AG1541" s="2">
        <f t="shared" si="21"/>
      </c>
      <c r="AH1541" s="2">
        <f t="shared" si="22"/>
      </c>
      <c r="AI1541" s="2">
        <f t="shared" si="23"/>
      </c>
      <c r="AJ1541" s="2">
        <f t="shared" si="24"/>
        <v>0</v>
      </c>
      <c r="AK1541" s="2">
        <f t="shared" si="25"/>
        <v>0</v>
      </c>
      <c r="AL1541" s="2">
        <f t="shared" si="26"/>
        <v>0</v>
      </c>
      <c r="AM1541" s="2">
        <f t="shared" si="27"/>
        <v>0</v>
      </c>
      <c r="AN1541" s="2">
        <f t="shared" si="28"/>
        <v>0</v>
      </c>
      <c r="AO1541" s="2">
        <f t="shared" si="29"/>
      </c>
      <c r="AP1541" s="2">
        <f t="shared" si="30"/>
      </c>
      <c r="AQ1541" s="2">
        <f t="shared" si="31"/>
      </c>
    </row>
    <row r="1542">
      <c r="A1542" s="43">
        <f t="shared" si="3"/>
      </c>
      <c r="B1542" s="44" t="n"/>
      <c r="C1542" s="45" t="n"/>
      <c r="D1542" s="46" t="n"/>
      <c r="E1542" s="47" t="n"/>
      <c r="F1542" s="47" t="n"/>
      <c r="G1542" s="48">
        <f t="shared" si="4"/>
      </c>
      <c r="H1542" s="43">
        <f t="shared" si="0"/>
      </c>
      <c r="I1542" s="43">
        <f t="shared" si="5"/>
      </c>
      <c r="J1542" s="43">
        <f t="shared" si="1"/>
      </c>
      <c r="K1542" s="49">
        <f t="shared" si="2"/>
      </c>
      <c r="L1542" s="45" t="n"/>
      <c r="M1542" s="45" t="n"/>
      <c r="N1542" s="45" t="n"/>
      <c r="O1542" s="45" t="n"/>
      <c r="P1542" s="50" t="n"/>
      <c r="R1542" s="2">
        <f t="shared" si="6"/>
        <v>0</v>
      </c>
      <c r="S1542" s="2">
        <f t="shared" si="7"/>
      </c>
      <c r="T1542" s="2">
        <f t="shared" si="8"/>
      </c>
      <c r="U1542" s="2">
        <f t="shared" si="9"/>
      </c>
      <c r="V1542" s="2">
        <f t="shared" si="10"/>
      </c>
      <c r="W1542" s="2">
        <f t="shared" si="11"/>
      </c>
      <c r="X1542" s="2">
        <f t="shared" si="12"/>
      </c>
      <c r="Y1542" s="2">
        <f t="shared" si="13"/>
        <v>0</v>
      </c>
      <c r="Z1542" s="2">
        <f t="shared" si="14"/>
      </c>
      <c r="AA1542" s="2">
        <f t="shared" si="15"/>
        <v>0</v>
      </c>
      <c r="AB1542" s="2">
        <f t="shared" si="16"/>
      </c>
      <c r="AC1542" s="2">
        <f t="shared" si="17"/>
      </c>
      <c r="AD1542" s="2">
        <f t="shared" si="18"/>
      </c>
      <c r="AE1542" s="2">
        <f t="shared" si="19"/>
      </c>
      <c r="AF1542" s="2">
        <f t="shared" si="20"/>
      </c>
      <c r="AG1542" s="2">
        <f t="shared" si="21"/>
      </c>
      <c r="AH1542" s="2">
        <f t="shared" si="22"/>
      </c>
      <c r="AI1542" s="2">
        <f t="shared" si="23"/>
      </c>
      <c r="AJ1542" s="2">
        <f t="shared" si="24"/>
        <v>0</v>
      </c>
      <c r="AK1542" s="2">
        <f t="shared" si="25"/>
        <v>0</v>
      </c>
      <c r="AL1542" s="2">
        <f t="shared" si="26"/>
        <v>0</v>
      </c>
      <c r="AM1542" s="2">
        <f t="shared" si="27"/>
        <v>0</v>
      </c>
      <c r="AN1542" s="2">
        <f t="shared" si="28"/>
        <v>0</v>
      </c>
      <c r="AO1542" s="2">
        <f t="shared" si="29"/>
      </c>
      <c r="AP1542" s="2">
        <f t="shared" si="30"/>
      </c>
      <c r="AQ1542" s="2">
        <f t="shared" si="31"/>
      </c>
    </row>
    <row r="1543">
      <c r="A1543" s="43">
        <f t="shared" si="3"/>
      </c>
      <c r="B1543" s="44" t="n"/>
      <c r="C1543" s="45" t="n"/>
      <c r="D1543" s="46" t="n"/>
      <c r="E1543" s="47" t="n"/>
      <c r="F1543" s="47" t="n"/>
      <c r="G1543" s="48">
        <f t="shared" si="4"/>
      </c>
      <c r="H1543" s="43">
        <f t="shared" si="0"/>
      </c>
      <c r="I1543" s="43">
        <f t="shared" si="5"/>
      </c>
      <c r="J1543" s="43">
        <f t="shared" si="1"/>
      </c>
      <c r="K1543" s="49">
        <f t="shared" si="2"/>
      </c>
      <c r="L1543" s="45" t="n"/>
      <c r="M1543" s="45" t="n"/>
      <c r="N1543" s="45" t="n"/>
      <c r="O1543" s="45" t="n"/>
      <c r="P1543" s="50" t="n"/>
      <c r="R1543" s="2">
        <f t="shared" si="6"/>
        <v>0</v>
      </c>
      <c r="S1543" s="2">
        <f t="shared" si="7"/>
      </c>
      <c r="T1543" s="2">
        <f t="shared" si="8"/>
      </c>
      <c r="U1543" s="2">
        <f t="shared" si="9"/>
      </c>
      <c r="V1543" s="2">
        <f t="shared" si="10"/>
      </c>
      <c r="W1543" s="2">
        <f t="shared" si="11"/>
      </c>
      <c r="X1543" s="2">
        <f t="shared" si="12"/>
      </c>
      <c r="Y1543" s="2">
        <f t="shared" si="13"/>
        <v>0</v>
      </c>
      <c r="Z1543" s="2">
        <f t="shared" si="14"/>
      </c>
      <c r="AA1543" s="2">
        <f t="shared" si="15"/>
        <v>0</v>
      </c>
      <c r="AB1543" s="2">
        <f t="shared" si="16"/>
      </c>
      <c r="AC1543" s="2">
        <f t="shared" si="17"/>
      </c>
      <c r="AD1543" s="2">
        <f t="shared" si="18"/>
      </c>
      <c r="AE1543" s="2">
        <f t="shared" si="19"/>
      </c>
      <c r="AF1543" s="2">
        <f t="shared" si="20"/>
      </c>
      <c r="AG1543" s="2">
        <f t="shared" si="21"/>
      </c>
      <c r="AH1543" s="2">
        <f t="shared" si="22"/>
      </c>
      <c r="AI1543" s="2">
        <f t="shared" si="23"/>
      </c>
      <c r="AJ1543" s="2">
        <f t="shared" si="24"/>
        <v>0</v>
      </c>
      <c r="AK1543" s="2">
        <f t="shared" si="25"/>
        <v>0</v>
      </c>
      <c r="AL1543" s="2">
        <f t="shared" si="26"/>
        <v>0</v>
      </c>
      <c r="AM1543" s="2">
        <f t="shared" si="27"/>
        <v>0</v>
      </c>
      <c r="AN1543" s="2">
        <f t="shared" si="28"/>
        <v>0</v>
      </c>
      <c r="AO1543" s="2">
        <f t="shared" si="29"/>
      </c>
      <c r="AP1543" s="2">
        <f t="shared" si="30"/>
      </c>
      <c r="AQ1543" s="2">
        <f t="shared" si="31"/>
      </c>
    </row>
    <row r="1544">
      <c r="A1544" s="43">
        <f t="shared" si="3"/>
      </c>
      <c r="B1544" s="44" t="n"/>
      <c r="C1544" s="45" t="n"/>
      <c r="D1544" s="46" t="n"/>
      <c r="E1544" s="47" t="n"/>
      <c r="F1544" s="47" t="n"/>
      <c r="G1544" s="48">
        <f t="shared" si="4"/>
      </c>
      <c r="H1544" s="43">
        <f t="shared" si="0"/>
      </c>
      <c r="I1544" s="43">
        <f t="shared" si="5"/>
      </c>
      <c r="J1544" s="43">
        <f t="shared" si="1"/>
      </c>
      <c r="K1544" s="49">
        <f t="shared" si="2"/>
      </c>
      <c r="L1544" s="45" t="n"/>
      <c r="M1544" s="45" t="n"/>
      <c r="N1544" s="45" t="n"/>
      <c r="O1544" s="45" t="n"/>
      <c r="P1544" s="50" t="n"/>
      <c r="R1544" s="2">
        <f t="shared" si="6"/>
        <v>0</v>
      </c>
      <c r="S1544" s="2">
        <f t="shared" si="7"/>
      </c>
      <c r="T1544" s="2">
        <f t="shared" si="8"/>
      </c>
      <c r="U1544" s="2">
        <f t="shared" si="9"/>
      </c>
      <c r="V1544" s="2">
        <f t="shared" si="10"/>
      </c>
      <c r="W1544" s="2">
        <f t="shared" si="11"/>
      </c>
      <c r="X1544" s="2">
        <f t="shared" si="12"/>
      </c>
      <c r="Y1544" s="2">
        <f t="shared" si="13"/>
        <v>0</v>
      </c>
      <c r="Z1544" s="2">
        <f t="shared" si="14"/>
      </c>
      <c r="AA1544" s="2">
        <f t="shared" si="15"/>
        <v>0</v>
      </c>
      <c r="AB1544" s="2">
        <f t="shared" si="16"/>
      </c>
      <c r="AC1544" s="2">
        <f t="shared" si="17"/>
      </c>
      <c r="AD1544" s="2">
        <f t="shared" si="18"/>
      </c>
      <c r="AE1544" s="2">
        <f t="shared" si="19"/>
      </c>
      <c r="AF1544" s="2">
        <f t="shared" si="20"/>
      </c>
      <c r="AG1544" s="2">
        <f t="shared" si="21"/>
      </c>
      <c r="AH1544" s="2">
        <f t="shared" si="22"/>
      </c>
      <c r="AI1544" s="2">
        <f t="shared" si="23"/>
      </c>
      <c r="AJ1544" s="2">
        <f t="shared" si="24"/>
        <v>0</v>
      </c>
      <c r="AK1544" s="2">
        <f t="shared" si="25"/>
        <v>0</v>
      </c>
      <c r="AL1544" s="2">
        <f t="shared" si="26"/>
        <v>0</v>
      </c>
      <c r="AM1544" s="2">
        <f t="shared" si="27"/>
        <v>0</v>
      </c>
      <c r="AN1544" s="2">
        <f t="shared" si="28"/>
        <v>0</v>
      </c>
      <c r="AO1544" s="2">
        <f t="shared" si="29"/>
      </c>
      <c r="AP1544" s="2">
        <f t="shared" si="30"/>
      </c>
      <c r="AQ1544" s="2">
        <f t="shared" si="31"/>
      </c>
    </row>
    <row r="1545">
      <c r="A1545" s="43">
        <f t="shared" si="3"/>
      </c>
      <c r="B1545" s="44" t="n"/>
      <c r="C1545" s="45" t="n"/>
      <c r="D1545" s="46" t="n"/>
      <c r="E1545" s="47" t="n"/>
      <c r="F1545" s="47" t="n"/>
      <c r="G1545" s="48">
        <f t="shared" si="4"/>
      </c>
      <c r="H1545" s="43">
        <f t="shared" si="0"/>
      </c>
      <c r="I1545" s="43">
        <f t="shared" si="5"/>
      </c>
      <c r="J1545" s="43">
        <f t="shared" si="1"/>
      </c>
      <c r="K1545" s="49">
        <f t="shared" si="2"/>
      </c>
      <c r="L1545" s="45" t="n"/>
      <c r="M1545" s="45" t="n"/>
      <c r="N1545" s="45" t="n"/>
      <c r="O1545" s="45" t="n"/>
      <c r="P1545" s="50" t="n"/>
      <c r="R1545" s="2">
        <f t="shared" si="6"/>
        <v>0</v>
      </c>
      <c r="S1545" s="2">
        <f t="shared" si="7"/>
      </c>
      <c r="T1545" s="2">
        <f t="shared" si="8"/>
      </c>
      <c r="U1545" s="2">
        <f t="shared" si="9"/>
      </c>
      <c r="V1545" s="2">
        <f t="shared" si="10"/>
      </c>
      <c r="W1545" s="2">
        <f t="shared" si="11"/>
      </c>
      <c r="X1545" s="2">
        <f t="shared" si="12"/>
      </c>
      <c r="Y1545" s="2">
        <f t="shared" si="13"/>
        <v>0</v>
      </c>
      <c r="Z1545" s="2">
        <f t="shared" si="14"/>
      </c>
      <c r="AA1545" s="2">
        <f t="shared" si="15"/>
        <v>0</v>
      </c>
      <c r="AB1545" s="2">
        <f t="shared" si="16"/>
      </c>
      <c r="AC1545" s="2">
        <f t="shared" si="17"/>
      </c>
      <c r="AD1545" s="2">
        <f t="shared" si="18"/>
      </c>
      <c r="AE1545" s="2">
        <f t="shared" si="19"/>
      </c>
      <c r="AF1545" s="2">
        <f t="shared" si="20"/>
      </c>
      <c r="AG1545" s="2">
        <f t="shared" si="21"/>
      </c>
      <c r="AH1545" s="2">
        <f t="shared" si="22"/>
      </c>
      <c r="AI1545" s="2">
        <f t="shared" si="23"/>
      </c>
      <c r="AJ1545" s="2">
        <f t="shared" si="24"/>
        <v>0</v>
      </c>
      <c r="AK1545" s="2">
        <f t="shared" si="25"/>
        <v>0</v>
      </c>
      <c r="AL1545" s="2">
        <f t="shared" si="26"/>
        <v>0</v>
      </c>
      <c r="AM1545" s="2">
        <f t="shared" si="27"/>
        <v>0</v>
      </c>
      <c r="AN1545" s="2">
        <f t="shared" si="28"/>
        <v>0</v>
      </c>
      <c r="AO1545" s="2">
        <f t="shared" si="29"/>
      </c>
      <c r="AP1545" s="2">
        <f t="shared" si="30"/>
      </c>
      <c r="AQ1545" s="2">
        <f t="shared" si="31"/>
      </c>
    </row>
    <row r="1546">
      <c r="A1546" s="43">
        <f t="shared" si="3"/>
      </c>
      <c r="B1546" s="44" t="n"/>
      <c r="C1546" s="45" t="n"/>
      <c r="D1546" s="46" t="n"/>
      <c r="E1546" s="47" t="n"/>
      <c r="F1546" s="47" t="n"/>
      <c r="G1546" s="48">
        <f t="shared" si="4"/>
      </c>
      <c r="H1546" s="43">
        <f t="shared" si="0"/>
      </c>
      <c r="I1546" s="43">
        <f t="shared" si="5"/>
      </c>
      <c r="J1546" s="43">
        <f t="shared" si="1"/>
      </c>
      <c r="K1546" s="49">
        <f t="shared" si="2"/>
      </c>
      <c r="L1546" s="45" t="n"/>
      <c r="M1546" s="45" t="n"/>
      <c r="N1546" s="45" t="n"/>
      <c r="O1546" s="45" t="n"/>
      <c r="P1546" s="50" t="n"/>
      <c r="R1546" s="2">
        <f t="shared" si="6"/>
        <v>0</v>
      </c>
      <c r="S1546" s="2">
        <f t="shared" si="7"/>
      </c>
      <c r="T1546" s="2">
        <f t="shared" si="8"/>
      </c>
      <c r="U1546" s="2">
        <f t="shared" si="9"/>
      </c>
      <c r="V1546" s="2">
        <f t="shared" si="10"/>
      </c>
      <c r="W1546" s="2">
        <f t="shared" si="11"/>
      </c>
      <c r="X1546" s="2">
        <f t="shared" si="12"/>
      </c>
      <c r="Y1546" s="2">
        <f t="shared" si="13"/>
        <v>0</v>
      </c>
      <c r="Z1546" s="2">
        <f t="shared" si="14"/>
      </c>
      <c r="AA1546" s="2">
        <f t="shared" si="15"/>
        <v>0</v>
      </c>
      <c r="AB1546" s="2">
        <f t="shared" si="16"/>
      </c>
      <c r="AC1546" s="2">
        <f t="shared" si="17"/>
      </c>
      <c r="AD1546" s="2">
        <f t="shared" si="18"/>
      </c>
      <c r="AE1546" s="2">
        <f t="shared" si="19"/>
      </c>
      <c r="AF1546" s="2">
        <f t="shared" si="20"/>
      </c>
      <c r="AG1546" s="2">
        <f t="shared" si="21"/>
      </c>
      <c r="AH1546" s="2">
        <f t="shared" si="22"/>
      </c>
      <c r="AI1546" s="2">
        <f t="shared" si="23"/>
      </c>
      <c r="AJ1546" s="2">
        <f t="shared" si="24"/>
        <v>0</v>
      </c>
      <c r="AK1546" s="2">
        <f t="shared" si="25"/>
        <v>0</v>
      </c>
      <c r="AL1546" s="2">
        <f t="shared" si="26"/>
        <v>0</v>
      </c>
      <c r="AM1546" s="2">
        <f t="shared" si="27"/>
        <v>0</v>
      </c>
      <c r="AN1546" s="2">
        <f t="shared" si="28"/>
        <v>0</v>
      </c>
      <c r="AO1546" s="2">
        <f t="shared" si="29"/>
      </c>
      <c r="AP1546" s="2">
        <f t="shared" si="30"/>
      </c>
      <c r="AQ1546" s="2">
        <f t="shared" si="31"/>
      </c>
    </row>
    <row r="1547">
      <c r="A1547" s="43">
        <f t="shared" si="3"/>
      </c>
      <c r="B1547" s="44" t="n"/>
      <c r="C1547" s="45" t="n"/>
      <c r="D1547" s="46" t="n"/>
      <c r="E1547" s="47" t="n"/>
      <c r="F1547" s="47" t="n"/>
      <c r="G1547" s="48">
        <f t="shared" si="4"/>
      </c>
      <c r="H1547" s="43">
        <f t="shared" si="0"/>
      </c>
      <c r="I1547" s="43">
        <f t="shared" si="5"/>
      </c>
      <c r="J1547" s="43">
        <f t="shared" si="1"/>
      </c>
      <c r="K1547" s="49">
        <f t="shared" si="2"/>
      </c>
      <c r="L1547" s="45" t="n"/>
      <c r="M1547" s="45" t="n"/>
      <c r="N1547" s="45" t="n"/>
      <c r="O1547" s="45" t="n"/>
      <c r="P1547" s="50" t="n"/>
      <c r="R1547" s="2">
        <f t="shared" si="6"/>
        <v>0</v>
      </c>
      <c r="S1547" s="2">
        <f t="shared" si="7"/>
      </c>
      <c r="T1547" s="2">
        <f t="shared" si="8"/>
      </c>
      <c r="U1547" s="2">
        <f t="shared" si="9"/>
      </c>
      <c r="V1547" s="2">
        <f t="shared" si="10"/>
      </c>
      <c r="W1547" s="2">
        <f t="shared" si="11"/>
      </c>
      <c r="X1547" s="2">
        <f t="shared" si="12"/>
      </c>
      <c r="Y1547" s="2">
        <f t="shared" si="13"/>
        <v>0</v>
      </c>
      <c r="Z1547" s="2">
        <f t="shared" si="14"/>
      </c>
      <c r="AA1547" s="2">
        <f t="shared" si="15"/>
        <v>0</v>
      </c>
      <c r="AB1547" s="2">
        <f t="shared" si="16"/>
      </c>
      <c r="AC1547" s="2">
        <f t="shared" si="17"/>
      </c>
      <c r="AD1547" s="2">
        <f t="shared" si="18"/>
      </c>
      <c r="AE1547" s="2">
        <f t="shared" si="19"/>
      </c>
      <c r="AF1547" s="2">
        <f t="shared" si="20"/>
      </c>
      <c r="AG1547" s="2">
        <f t="shared" si="21"/>
      </c>
      <c r="AH1547" s="2">
        <f t="shared" si="22"/>
      </c>
      <c r="AI1547" s="2">
        <f t="shared" si="23"/>
      </c>
      <c r="AJ1547" s="2">
        <f t="shared" si="24"/>
        <v>0</v>
      </c>
      <c r="AK1547" s="2">
        <f t="shared" si="25"/>
        <v>0</v>
      </c>
      <c r="AL1547" s="2">
        <f t="shared" si="26"/>
        <v>0</v>
      </c>
      <c r="AM1547" s="2">
        <f t="shared" si="27"/>
        <v>0</v>
      </c>
      <c r="AN1547" s="2">
        <f t="shared" si="28"/>
        <v>0</v>
      </c>
      <c r="AO1547" s="2">
        <f t="shared" si="29"/>
      </c>
      <c r="AP1547" s="2">
        <f t="shared" si="30"/>
      </c>
      <c r="AQ1547" s="2">
        <f t="shared" si="31"/>
      </c>
    </row>
    <row r="1548">
      <c r="A1548" s="43">
        <f t="shared" si="3"/>
      </c>
      <c r="B1548" s="44" t="n"/>
      <c r="C1548" s="45" t="n"/>
      <c r="D1548" s="46" t="n"/>
      <c r="E1548" s="47" t="n"/>
      <c r="F1548" s="47" t="n"/>
      <c r="G1548" s="48">
        <f t="shared" si="4"/>
      </c>
      <c r="H1548" s="43">
        <f t="shared" si="0"/>
      </c>
      <c r="I1548" s="43">
        <f t="shared" si="5"/>
      </c>
      <c r="J1548" s="43">
        <f t="shared" si="1"/>
      </c>
      <c r="K1548" s="49">
        <f t="shared" si="2"/>
      </c>
      <c r="L1548" s="45" t="n"/>
      <c r="M1548" s="45" t="n"/>
      <c r="N1548" s="45" t="n"/>
      <c r="O1548" s="45" t="n"/>
      <c r="P1548" s="50" t="n"/>
      <c r="R1548" s="2">
        <f t="shared" si="6"/>
        <v>0</v>
      </c>
      <c r="S1548" s="2">
        <f t="shared" si="7"/>
      </c>
      <c r="T1548" s="2">
        <f t="shared" si="8"/>
      </c>
      <c r="U1548" s="2">
        <f t="shared" si="9"/>
      </c>
      <c r="V1548" s="2">
        <f t="shared" si="10"/>
      </c>
      <c r="W1548" s="2">
        <f t="shared" si="11"/>
      </c>
      <c r="X1548" s="2">
        <f t="shared" si="12"/>
      </c>
      <c r="Y1548" s="2">
        <f t="shared" si="13"/>
        <v>0</v>
      </c>
      <c r="Z1548" s="2">
        <f t="shared" si="14"/>
      </c>
      <c r="AA1548" s="2">
        <f t="shared" si="15"/>
        <v>0</v>
      </c>
      <c r="AB1548" s="2">
        <f t="shared" si="16"/>
      </c>
      <c r="AC1548" s="2">
        <f t="shared" si="17"/>
      </c>
      <c r="AD1548" s="2">
        <f t="shared" si="18"/>
      </c>
      <c r="AE1548" s="2">
        <f t="shared" si="19"/>
      </c>
      <c r="AF1548" s="2">
        <f t="shared" si="20"/>
      </c>
      <c r="AG1548" s="2">
        <f t="shared" si="21"/>
      </c>
      <c r="AH1548" s="2">
        <f t="shared" si="22"/>
      </c>
      <c r="AI1548" s="2">
        <f t="shared" si="23"/>
      </c>
      <c r="AJ1548" s="2">
        <f t="shared" si="24"/>
        <v>0</v>
      </c>
      <c r="AK1548" s="2">
        <f t="shared" si="25"/>
        <v>0</v>
      </c>
      <c r="AL1548" s="2">
        <f t="shared" si="26"/>
        <v>0</v>
      </c>
      <c r="AM1548" s="2">
        <f t="shared" si="27"/>
        <v>0</v>
      </c>
      <c r="AN1548" s="2">
        <f t="shared" si="28"/>
        <v>0</v>
      </c>
      <c r="AO1548" s="2">
        <f t="shared" si="29"/>
      </c>
      <c r="AP1548" s="2">
        <f t="shared" si="30"/>
      </c>
      <c r="AQ1548" s="2">
        <f t="shared" si="31"/>
      </c>
    </row>
    <row r="1549">
      <c r="A1549" s="43">
        <f t="shared" si="3"/>
      </c>
      <c r="B1549" s="44" t="n"/>
      <c r="C1549" s="45" t="n"/>
      <c r="D1549" s="46" t="n"/>
      <c r="E1549" s="47" t="n"/>
      <c r="F1549" s="47" t="n"/>
      <c r="G1549" s="48">
        <f t="shared" si="4"/>
      </c>
      <c r="H1549" s="43">
        <f t="shared" si="0"/>
      </c>
      <c r="I1549" s="43">
        <f t="shared" si="5"/>
      </c>
      <c r="J1549" s="43">
        <f t="shared" si="1"/>
      </c>
      <c r="K1549" s="49">
        <f t="shared" si="2"/>
      </c>
      <c r="L1549" s="45" t="n"/>
      <c r="M1549" s="45" t="n"/>
      <c r="N1549" s="45" t="n"/>
      <c r="O1549" s="45" t="n"/>
      <c r="P1549" s="50" t="n"/>
      <c r="R1549" s="2">
        <f t="shared" si="6"/>
        <v>0</v>
      </c>
      <c r="S1549" s="2">
        <f t="shared" si="7"/>
      </c>
      <c r="T1549" s="2">
        <f t="shared" si="8"/>
      </c>
      <c r="U1549" s="2">
        <f t="shared" si="9"/>
      </c>
      <c r="V1549" s="2">
        <f t="shared" si="10"/>
      </c>
      <c r="W1549" s="2">
        <f t="shared" si="11"/>
      </c>
      <c r="X1549" s="2">
        <f t="shared" si="12"/>
      </c>
      <c r="Y1549" s="2">
        <f t="shared" si="13"/>
        <v>0</v>
      </c>
      <c r="Z1549" s="2">
        <f t="shared" si="14"/>
      </c>
      <c r="AA1549" s="2">
        <f t="shared" si="15"/>
        <v>0</v>
      </c>
      <c r="AB1549" s="2">
        <f t="shared" si="16"/>
      </c>
      <c r="AC1549" s="2">
        <f t="shared" si="17"/>
      </c>
      <c r="AD1549" s="2">
        <f t="shared" si="18"/>
      </c>
      <c r="AE1549" s="2">
        <f t="shared" si="19"/>
      </c>
      <c r="AF1549" s="2">
        <f t="shared" si="20"/>
      </c>
      <c r="AG1549" s="2">
        <f t="shared" si="21"/>
      </c>
      <c r="AH1549" s="2">
        <f t="shared" si="22"/>
      </c>
      <c r="AI1549" s="2">
        <f t="shared" si="23"/>
      </c>
      <c r="AJ1549" s="2">
        <f t="shared" si="24"/>
        <v>0</v>
      </c>
      <c r="AK1549" s="2">
        <f t="shared" si="25"/>
        <v>0</v>
      </c>
      <c r="AL1549" s="2">
        <f t="shared" si="26"/>
        <v>0</v>
      </c>
      <c r="AM1549" s="2">
        <f t="shared" si="27"/>
        <v>0</v>
      </c>
      <c r="AN1549" s="2">
        <f t="shared" si="28"/>
        <v>0</v>
      </c>
      <c r="AO1549" s="2">
        <f t="shared" si="29"/>
      </c>
      <c r="AP1549" s="2">
        <f t="shared" si="30"/>
      </c>
      <c r="AQ1549" s="2">
        <f t="shared" si="31"/>
      </c>
    </row>
    <row r="1550">
      <c r="A1550" s="43">
        <f t="shared" si="3"/>
      </c>
      <c r="B1550" s="44" t="n"/>
      <c r="C1550" s="45" t="n"/>
      <c r="D1550" s="46" t="n"/>
      <c r="E1550" s="47" t="n"/>
      <c r="F1550" s="47" t="n"/>
      <c r="G1550" s="48">
        <f t="shared" si="4"/>
      </c>
      <c r="H1550" s="43">
        <f t="shared" si="0"/>
      </c>
      <c r="I1550" s="43">
        <f t="shared" si="5"/>
      </c>
      <c r="J1550" s="43">
        <f t="shared" si="1"/>
      </c>
      <c r="K1550" s="49">
        <f t="shared" si="2"/>
      </c>
      <c r="L1550" s="45" t="n"/>
      <c r="M1550" s="45" t="n"/>
      <c r="N1550" s="45" t="n"/>
      <c r="O1550" s="45" t="n"/>
      <c r="P1550" s="50" t="n"/>
      <c r="R1550" s="2">
        <f t="shared" si="6"/>
        <v>0</v>
      </c>
      <c r="S1550" s="2">
        <f t="shared" si="7"/>
      </c>
      <c r="T1550" s="2">
        <f t="shared" si="8"/>
      </c>
      <c r="U1550" s="2">
        <f t="shared" si="9"/>
      </c>
      <c r="V1550" s="2">
        <f t="shared" si="10"/>
      </c>
      <c r="W1550" s="2">
        <f t="shared" si="11"/>
      </c>
      <c r="X1550" s="2">
        <f t="shared" si="12"/>
      </c>
      <c r="Y1550" s="2">
        <f t="shared" si="13"/>
        <v>0</v>
      </c>
      <c r="Z1550" s="2">
        <f t="shared" si="14"/>
      </c>
      <c r="AA1550" s="2">
        <f t="shared" si="15"/>
        <v>0</v>
      </c>
      <c r="AB1550" s="2">
        <f t="shared" si="16"/>
      </c>
      <c r="AC1550" s="2">
        <f t="shared" si="17"/>
      </c>
      <c r="AD1550" s="2">
        <f t="shared" si="18"/>
      </c>
      <c r="AE1550" s="2">
        <f t="shared" si="19"/>
      </c>
      <c r="AF1550" s="2">
        <f t="shared" si="20"/>
      </c>
      <c r="AG1550" s="2">
        <f t="shared" si="21"/>
      </c>
      <c r="AH1550" s="2">
        <f t="shared" si="22"/>
      </c>
      <c r="AI1550" s="2">
        <f t="shared" si="23"/>
      </c>
      <c r="AJ1550" s="2">
        <f t="shared" si="24"/>
        <v>0</v>
      </c>
      <c r="AK1550" s="2">
        <f t="shared" si="25"/>
        <v>0</v>
      </c>
      <c r="AL1550" s="2">
        <f t="shared" si="26"/>
        <v>0</v>
      </c>
      <c r="AM1550" s="2">
        <f t="shared" si="27"/>
        <v>0</v>
      </c>
      <c r="AN1550" s="2">
        <f t="shared" si="28"/>
        <v>0</v>
      </c>
      <c r="AO1550" s="2">
        <f t="shared" si="29"/>
      </c>
      <c r="AP1550" s="2">
        <f t="shared" si="30"/>
      </c>
      <c r="AQ1550" s="2">
        <f t="shared" si="31"/>
      </c>
    </row>
    <row r="1551">
      <c r="A1551" s="43">
        <f t="shared" si="3"/>
      </c>
      <c r="B1551" s="44" t="n"/>
      <c r="C1551" s="45" t="n"/>
      <c r="D1551" s="46" t="n"/>
      <c r="E1551" s="47" t="n"/>
      <c r="F1551" s="47" t="n"/>
      <c r="G1551" s="48">
        <f t="shared" si="4"/>
      </c>
      <c r="H1551" s="43">
        <f t="shared" si="0"/>
      </c>
      <c r="I1551" s="43">
        <f t="shared" si="5"/>
      </c>
      <c r="J1551" s="43">
        <f t="shared" si="1"/>
      </c>
      <c r="K1551" s="49">
        <f t="shared" si="2"/>
      </c>
      <c r="L1551" s="45" t="n"/>
      <c r="M1551" s="45" t="n"/>
      <c r="N1551" s="45" t="n"/>
      <c r="O1551" s="45" t="n"/>
      <c r="P1551" s="50" t="n"/>
      <c r="R1551" s="2">
        <f t="shared" si="6"/>
        <v>0</v>
      </c>
      <c r="S1551" s="2">
        <f t="shared" si="7"/>
      </c>
      <c r="T1551" s="2">
        <f t="shared" si="8"/>
      </c>
      <c r="U1551" s="2">
        <f t="shared" si="9"/>
      </c>
      <c r="V1551" s="2">
        <f t="shared" si="10"/>
      </c>
      <c r="W1551" s="2">
        <f t="shared" si="11"/>
      </c>
      <c r="X1551" s="2">
        <f t="shared" si="12"/>
      </c>
      <c r="Y1551" s="2">
        <f t="shared" si="13"/>
        <v>0</v>
      </c>
      <c r="Z1551" s="2">
        <f t="shared" si="14"/>
      </c>
      <c r="AA1551" s="2">
        <f t="shared" si="15"/>
        <v>0</v>
      </c>
      <c r="AB1551" s="2">
        <f t="shared" si="16"/>
      </c>
      <c r="AC1551" s="2">
        <f t="shared" si="17"/>
      </c>
      <c r="AD1551" s="2">
        <f t="shared" si="18"/>
      </c>
      <c r="AE1551" s="2">
        <f t="shared" si="19"/>
      </c>
      <c r="AF1551" s="2">
        <f t="shared" si="20"/>
      </c>
      <c r="AG1551" s="2">
        <f t="shared" si="21"/>
      </c>
      <c r="AH1551" s="2">
        <f t="shared" si="22"/>
      </c>
      <c r="AI1551" s="2">
        <f t="shared" si="23"/>
      </c>
      <c r="AJ1551" s="2">
        <f t="shared" si="24"/>
        <v>0</v>
      </c>
      <c r="AK1551" s="2">
        <f t="shared" si="25"/>
        <v>0</v>
      </c>
      <c r="AL1551" s="2">
        <f t="shared" si="26"/>
        <v>0</v>
      </c>
      <c r="AM1551" s="2">
        <f t="shared" si="27"/>
        <v>0</v>
      </c>
      <c r="AN1551" s="2">
        <f t="shared" si="28"/>
        <v>0</v>
      </c>
      <c r="AO1551" s="2">
        <f t="shared" si="29"/>
      </c>
      <c r="AP1551" s="2">
        <f t="shared" si="30"/>
      </c>
      <c r="AQ1551" s="2">
        <f t="shared" si="31"/>
      </c>
    </row>
    <row r="1552">
      <c r="A1552" s="43">
        <f t="shared" si="3"/>
      </c>
      <c r="B1552" s="44" t="n"/>
      <c r="C1552" s="45" t="n"/>
      <c r="D1552" s="46" t="n"/>
      <c r="E1552" s="47" t="n"/>
      <c r="F1552" s="47" t="n"/>
      <c r="G1552" s="48">
        <f t="shared" si="4"/>
      </c>
      <c r="H1552" s="43">
        <f t="shared" si="0"/>
      </c>
      <c r="I1552" s="43">
        <f t="shared" si="5"/>
      </c>
      <c r="J1552" s="43">
        <f t="shared" si="1"/>
      </c>
      <c r="K1552" s="49">
        <f t="shared" si="2"/>
      </c>
      <c r="L1552" s="45" t="n"/>
      <c r="M1552" s="45" t="n"/>
      <c r="N1552" s="45" t="n"/>
      <c r="O1552" s="45" t="n"/>
      <c r="P1552" s="50" t="n"/>
      <c r="R1552" s="2">
        <f t="shared" si="6"/>
        <v>0</v>
      </c>
      <c r="S1552" s="2">
        <f t="shared" si="7"/>
      </c>
      <c r="T1552" s="2">
        <f t="shared" si="8"/>
      </c>
      <c r="U1552" s="2">
        <f t="shared" si="9"/>
      </c>
      <c r="V1552" s="2">
        <f t="shared" si="10"/>
      </c>
      <c r="W1552" s="2">
        <f t="shared" si="11"/>
      </c>
      <c r="X1552" s="2">
        <f t="shared" si="12"/>
      </c>
      <c r="Y1552" s="2">
        <f t="shared" si="13"/>
        <v>0</v>
      </c>
      <c r="Z1552" s="2">
        <f t="shared" si="14"/>
      </c>
      <c r="AA1552" s="2">
        <f t="shared" si="15"/>
        <v>0</v>
      </c>
      <c r="AB1552" s="2">
        <f t="shared" si="16"/>
      </c>
      <c r="AC1552" s="2">
        <f t="shared" si="17"/>
      </c>
      <c r="AD1552" s="2">
        <f t="shared" si="18"/>
      </c>
      <c r="AE1552" s="2">
        <f t="shared" si="19"/>
      </c>
      <c r="AF1552" s="2">
        <f t="shared" si="20"/>
      </c>
      <c r="AG1552" s="2">
        <f t="shared" si="21"/>
      </c>
      <c r="AH1552" s="2">
        <f t="shared" si="22"/>
      </c>
      <c r="AI1552" s="2">
        <f t="shared" si="23"/>
      </c>
      <c r="AJ1552" s="2">
        <f t="shared" si="24"/>
        <v>0</v>
      </c>
      <c r="AK1552" s="2">
        <f t="shared" si="25"/>
        <v>0</v>
      </c>
      <c r="AL1552" s="2">
        <f t="shared" si="26"/>
        <v>0</v>
      </c>
      <c r="AM1552" s="2">
        <f t="shared" si="27"/>
        <v>0</v>
      </c>
      <c r="AN1552" s="2">
        <f t="shared" si="28"/>
        <v>0</v>
      </c>
      <c r="AO1552" s="2">
        <f t="shared" si="29"/>
      </c>
      <c r="AP1552" s="2">
        <f t="shared" si="30"/>
      </c>
      <c r="AQ1552" s="2">
        <f t="shared" si="31"/>
      </c>
    </row>
    <row r="1553">
      <c r="A1553" s="43">
        <f t="shared" si="3"/>
      </c>
      <c r="B1553" s="44" t="n"/>
      <c r="C1553" s="45" t="n"/>
      <c r="D1553" s="46" t="n"/>
      <c r="E1553" s="47" t="n"/>
      <c r="F1553" s="47" t="n"/>
      <c r="G1553" s="48">
        <f t="shared" si="4"/>
      </c>
      <c r="H1553" s="43">
        <f t="shared" si="0"/>
      </c>
      <c r="I1553" s="43">
        <f t="shared" si="5"/>
      </c>
      <c r="J1553" s="43">
        <f t="shared" si="1"/>
      </c>
      <c r="K1553" s="49">
        <f t="shared" si="2"/>
      </c>
      <c r="L1553" s="45" t="n"/>
      <c r="M1553" s="45" t="n"/>
      <c r="N1553" s="45" t="n"/>
      <c r="O1553" s="45" t="n"/>
      <c r="P1553" s="50" t="n"/>
      <c r="R1553" s="2">
        <f t="shared" si="6"/>
        <v>0</v>
      </c>
      <c r="S1553" s="2">
        <f t="shared" si="7"/>
      </c>
      <c r="T1553" s="2">
        <f t="shared" si="8"/>
      </c>
      <c r="U1553" s="2">
        <f t="shared" si="9"/>
      </c>
      <c r="V1553" s="2">
        <f t="shared" si="10"/>
      </c>
      <c r="W1553" s="2">
        <f t="shared" si="11"/>
      </c>
      <c r="X1553" s="2">
        <f t="shared" si="12"/>
      </c>
      <c r="Y1553" s="2">
        <f t="shared" si="13"/>
        <v>0</v>
      </c>
      <c r="Z1553" s="2">
        <f t="shared" si="14"/>
      </c>
      <c r="AA1553" s="2">
        <f t="shared" si="15"/>
        <v>0</v>
      </c>
      <c r="AB1553" s="2">
        <f t="shared" si="16"/>
      </c>
      <c r="AC1553" s="2">
        <f t="shared" si="17"/>
      </c>
      <c r="AD1553" s="2">
        <f t="shared" si="18"/>
      </c>
      <c r="AE1553" s="2">
        <f t="shared" si="19"/>
      </c>
      <c r="AF1553" s="2">
        <f t="shared" si="20"/>
      </c>
      <c r="AG1553" s="2">
        <f t="shared" si="21"/>
      </c>
      <c r="AH1553" s="2">
        <f t="shared" si="22"/>
      </c>
      <c r="AI1553" s="2">
        <f t="shared" si="23"/>
      </c>
      <c r="AJ1553" s="2">
        <f t="shared" si="24"/>
        <v>0</v>
      </c>
      <c r="AK1553" s="2">
        <f t="shared" si="25"/>
        <v>0</v>
      </c>
      <c r="AL1553" s="2">
        <f t="shared" si="26"/>
        <v>0</v>
      </c>
      <c r="AM1553" s="2">
        <f t="shared" si="27"/>
        <v>0</v>
      </c>
      <c r="AN1553" s="2">
        <f t="shared" si="28"/>
        <v>0</v>
      </c>
      <c r="AO1553" s="2">
        <f t="shared" si="29"/>
      </c>
      <c r="AP1553" s="2">
        <f t="shared" si="30"/>
      </c>
      <c r="AQ1553" s="2">
        <f t="shared" si="31"/>
      </c>
    </row>
    <row r="1554">
      <c r="A1554" s="43">
        <f t="shared" si="3"/>
      </c>
      <c r="B1554" s="44" t="n"/>
      <c r="C1554" s="45" t="n"/>
      <c r="D1554" s="46" t="n"/>
      <c r="E1554" s="47" t="n"/>
      <c r="F1554" s="47" t="n"/>
      <c r="G1554" s="48">
        <f t="shared" si="4"/>
      </c>
      <c r="H1554" s="43">
        <f t="shared" si="0"/>
      </c>
      <c r="I1554" s="43">
        <f t="shared" si="5"/>
      </c>
      <c r="J1554" s="43">
        <f t="shared" si="1"/>
      </c>
      <c r="K1554" s="49">
        <f t="shared" si="2"/>
      </c>
      <c r="L1554" s="45" t="n"/>
      <c r="M1554" s="45" t="n"/>
      <c r="N1554" s="45" t="n"/>
      <c r="O1554" s="45" t="n"/>
      <c r="P1554" s="50" t="n"/>
      <c r="R1554" s="2">
        <f t="shared" si="6"/>
        <v>0</v>
      </c>
      <c r="S1554" s="2">
        <f t="shared" si="7"/>
      </c>
      <c r="T1554" s="2">
        <f t="shared" si="8"/>
      </c>
      <c r="U1554" s="2">
        <f t="shared" si="9"/>
      </c>
      <c r="V1554" s="2">
        <f t="shared" si="10"/>
      </c>
      <c r="W1554" s="2">
        <f t="shared" si="11"/>
      </c>
      <c r="X1554" s="2">
        <f t="shared" si="12"/>
      </c>
      <c r="Y1554" s="2">
        <f t="shared" si="13"/>
        <v>0</v>
      </c>
      <c r="Z1554" s="2">
        <f t="shared" si="14"/>
      </c>
      <c r="AA1554" s="2">
        <f t="shared" si="15"/>
        <v>0</v>
      </c>
      <c r="AB1554" s="2">
        <f t="shared" si="16"/>
      </c>
      <c r="AC1554" s="2">
        <f t="shared" si="17"/>
      </c>
      <c r="AD1554" s="2">
        <f t="shared" si="18"/>
      </c>
      <c r="AE1554" s="2">
        <f t="shared" si="19"/>
      </c>
      <c r="AF1554" s="2">
        <f t="shared" si="20"/>
      </c>
      <c r="AG1554" s="2">
        <f t="shared" si="21"/>
      </c>
      <c r="AH1554" s="2">
        <f t="shared" si="22"/>
      </c>
      <c r="AI1554" s="2">
        <f t="shared" si="23"/>
      </c>
      <c r="AJ1554" s="2">
        <f t="shared" si="24"/>
        <v>0</v>
      </c>
      <c r="AK1554" s="2">
        <f t="shared" si="25"/>
        <v>0</v>
      </c>
      <c r="AL1554" s="2">
        <f t="shared" si="26"/>
        <v>0</v>
      </c>
      <c r="AM1554" s="2">
        <f t="shared" si="27"/>
        <v>0</v>
      </c>
      <c r="AN1554" s="2">
        <f t="shared" si="28"/>
        <v>0</v>
      </c>
      <c r="AO1554" s="2">
        <f t="shared" si="29"/>
      </c>
      <c r="AP1554" s="2">
        <f t="shared" si="30"/>
      </c>
      <c r="AQ1554" s="2">
        <f t="shared" si="31"/>
      </c>
    </row>
    <row r="1555">
      <c r="A1555" s="43">
        <f t="shared" si="3"/>
      </c>
      <c r="B1555" s="44" t="n"/>
      <c r="C1555" s="45" t="n"/>
      <c r="D1555" s="46" t="n"/>
      <c r="E1555" s="47" t="n"/>
      <c r="F1555" s="47" t="n"/>
      <c r="G1555" s="48">
        <f t="shared" si="4"/>
      </c>
      <c r="H1555" s="43">
        <f t="shared" si="0"/>
      </c>
      <c r="I1555" s="43">
        <f t="shared" si="5"/>
      </c>
      <c r="J1555" s="43">
        <f t="shared" si="1"/>
      </c>
      <c r="K1555" s="49">
        <f t="shared" si="2"/>
      </c>
      <c r="L1555" s="45" t="n"/>
      <c r="M1555" s="45" t="n"/>
      <c r="N1555" s="45" t="n"/>
      <c r="O1555" s="45" t="n"/>
      <c r="P1555" s="50" t="n"/>
      <c r="R1555" s="2">
        <f t="shared" si="6"/>
        <v>0</v>
      </c>
      <c r="S1555" s="2">
        <f t="shared" si="7"/>
      </c>
      <c r="T1555" s="2">
        <f t="shared" si="8"/>
      </c>
      <c r="U1555" s="2">
        <f t="shared" si="9"/>
      </c>
      <c r="V1555" s="2">
        <f t="shared" si="10"/>
      </c>
      <c r="W1555" s="2">
        <f t="shared" si="11"/>
      </c>
      <c r="X1555" s="2">
        <f t="shared" si="12"/>
      </c>
      <c r="Y1555" s="2">
        <f t="shared" si="13"/>
        <v>0</v>
      </c>
      <c r="Z1555" s="2">
        <f t="shared" si="14"/>
      </c>
      <c r="AA1555" s="2">
        <f t="shared" si="15"/>
        <v>0</v>
      </c>
      <c r="AB1555" s="2">
        <f t="shared" si="16"/>
      </c>
      <c r="AC1555" s="2">
        <f t="shared" si="17"/>
      </c>
      <c r="AD1555" s="2">
        <f t="shared" si="18"/>
      </c>
      <c r="AE1555" s="2">
        <f t="shared" si="19"/>
      </c>
      <c r="AF1555" s="2">
        <f t="shared" si="20"/>
      </c>
      <c r="AG1555" s="2">
        <f t="shared" si="21"/>
      </c>
      <c r="AH1555" s="2">
        <f t="shared" si="22"/>
      </c>
      <c r="AI1555" s="2">
        <f t="shared" si="23"/>
      </c>
      <c r="AJ1555" s="2">
        <f t="shared" si="24"/>
        <v>0</v>
      </c>
      <c r="AK1555" s="2">
        <f t="shared" si="25"/>
        <v>0</v>
      </c>
      <c r="AL1555" s="2">
        <f t="shared" si="26"/>
        <v>0</v>
      </c>
      <c r="AM1555" s="2">
        <f t="shared" si="27"/>
        <v>0</v>
      </c>
      <c r="AN1555" s="2">
        <f t="shared" si="28"/>
        <v>0</v>
      </c>
      <c r="AO1555" s="2">
        <f t="shared" si="29"/>
      </c>
      <c r="AP1555" s="2">
        <f t="shared" si="30"/>
      </c>
      <c r="AQ1555" s="2">
        <f t="shared" si="31"/>
      </c>
    </row>
    <row r="1556">
      <c r="A1556" s="43">
        <f t="shared" si="3"/>
      </c>
      <c r="B1556" s="44" t="n"/>
      <c r="C1556" s="45" t="n"/>
      <c r="D1556" s="46" t="n"/>
      <c r="E1556" s="47" t="n"/>
      <c r="F1556" s="47" t="n"/>
      <c r="G1556" s="48">
        <f t="shared" si="4"/>
      </c>
      <c r="H1556" s="43">
        <f t="shared" si="0"/>
      </c>
      <c r="I1556" s="43">
        <f t="shared" si="5"/>
      </c>
      <c r="J1556" s="43">
        <f t="shared" si="1"/>
      </c>
      <c r="K1556" s="49">
        <f t="shared" si="2"/>
      </c>
      <c r="L1556" s="45" t="n"/>
      <c r="M1556" s="45" t="n"/>
      <c r="N1556" s="45" t="n"/>
      <c r="O1556" s="45" t="n"/>
      <c r="P1556" s="50" t="n"/>
      <c r="R1556" s="2">
        <f t="shared" si="6"/>
        <v>0</v>
      </c>
      <c r="S1556" s="2">
        <f t="shared" si="7"/>
      </c>
      <c r="T1556" s="2">
        <f t="shared" si="8"/>
      </c>
      <c r="U1556" s="2">
        <f t="shared" si="9"/>
      </c>
      <c r="V1556" s="2">
        <f t="shared" si="10"/>
      </c>
      <c r="W1556" s="2">
        <f t="shared" si="11"/>
      </c>
      <c r="X1556" s="2">
        <f t="shared" si="12"/>
      </c>
      <c r="Y1556" s="2">
        <f t="shared" si="13"/>
        <v>0</v>
      </c>
      <c r="Z1556" s="2">
        <f t="shared" si="14"/>
      </c>
      <c r="AA1556" s="2">
        <f t="shared" si="15"/>
        <v>0</v>
      </c>
      <c r="AB1556" s="2">
        <f t="shared" si="16"/>
      </c>
      <c r="AC1556" s="2">
        <f t="shared" si="17"/>
      </c>
      <c r="AD1556" s="2">
        <f t="shared" si="18"/>
      </c>
      <c r="AE1556" s="2">
        <f t="shared" si="19"/>
      </c>
      <c r="AF1556" s="2">
        <f t="shared" si="20"/>
      </c>
      <c r="AG1556" s="2">
        <f t="shared" si="21"/>
      </c>
      <c r="AH1556" s="2">
        <f t="shared" si="22"/>
      </c>
      <c r="AI1556" s="2">
        <f t="shared" si="23"/>
      </c>
      <c r="AJ1556" s="2">
        <f t="shared" si="24"/>
        <v>0</v>
      </c>
      <c r="AK1556" s="2">
        <f t="shared" si="25"/>
        <v>0</v>
      </c>
      <c r="AL1556" s="2">
        <f t="shared" si="26"/>
        <v>0</v>
      </c>
      <c r="AM1556" s="2">
        <f t="shared" si="27"/>
        <v>0</v>
      </c>
      <c r="AN1556" s="2">
        <f t="shared" si="28"/>
        <v>0</v>
      </c>
      <c r="AO1556" s="2">
        <f t="shared" si="29"/>
      </c>
      <c r="AP1556" s="2">
        <f t="shared" si="30"/>
      </c>
      <c r="AQ1556" s="2">
        <f t="shared" si="31"/>
      </c>
    </row>
    <row r="1557">
      <c r="A1557" s="43">
        <f t="shared" si="3"/>
      </c>
      <c r="B1557" s="44" t="n"/>
      <c r="C1557" s="45" t="n"/>
      <c r="D1557" s="46" t="n"/>
      <c r="E1557" s="47" t="n"/>
      <c r="F1557" s="47" t="n"/>
      <c r="G1557" s="48">
        <f t="shared" si="4"/>
      </c>
      <c r="H1557" s="43">
        <f t="shared" si="0"/>
      </c>
      <c r="I1557" s="43">
        <f t="shared" si="5"/>
      </c>
      <c r="J1557" s="43">
        <f t="shared" si="1"/>
      </c>
      <c r="K1557" s="49">
        <f t="shared" si="2"/>
      </c>
      <c r="L1557" s="45" t="n"/>
      <c r="M1557" s="45" t="n"/>
      <c r="N1557" s="45" t="n"/>
      <c r="O1557" s="45" t="n"/>
      <c r="P1557" s="50" t="n"/>
      <c r="R1557" s="2">
        <f t="shared" si="6"/>
        <v>0</v>
      </c>
      <c r="S1557" s="2">
        <f t="shared" si="7"/>
      </c>
      <c r="T1557" s="2">
        <f t="shared" si="8"/>
      </c>
      <c r="U1557" s="2">
        <f t="shared" si="9"/>
      </c>
      <c r="V1557" s="2">
        <f t="shared" si="10"/>
      </c>
      <c r="W1557" s="2">
        <f t="shared" si="11"/>
      </c>
      <c r="X1557" s="2">
        <f t="shared" si="12"/>
      </c>
      <c r="Y1557" s="2">
        <f t="shared" si="13"/>
        <v>0</v>
      </c>
      <c r="Z1557" s="2">
        <f t="shared" si="14"/>
      </c>
      <c r="AA1557" s="2">
        <f t="shared" si="15"/>
        <v>0</v>
      </c>
      <c r="AB1557" s="2">
        <f t="shared" si="16"/>
      </c>
      <c r="AC1557" s="2">
        <f t="shared" si="17"/>
      </c>
      <c r="AD1557" s="2">
        <f t="shared" si="18"/>
      </c>
      <c r="AE1557" s="2">
        <f t="shared" si="19"/>
      </c>
      <c r="AF1557" s="2">
        <f t="shared" si="20"/>
      </c>
      <c r="AG1557" s="2">
        <f t="shared" si="21"/>
      </c>
      <c r="AH1557" s="2">
        <f t="shared" si="22"/>
      </c>
      <c r="AI1557" s="2">
        <f t="shared" si="23"/>
      </c>
      <c r="AJ1557" s="2">
        <f t="shared" si="24"/>
        <v>0</v>
      </c>
      <c r="AK1557" s="2">
        <f t="shared" si="25"/>
        <v>0</v>
      </c>
      <c r="AL1557" s="2">
        <f t="shared" si="26"/>
        <v>0</v>
      </c>
      <c r="AM1557" s="2">
        <f t="shared" si="27"/>
        <v>0</v>
      </c>
      <c r="AN1557" s="2">
        <f t="shared" si="28"/>
        <v>0</v>
      </c>
      <c r="AO1557" s="2">
        <f t="shared" si="29"/>
      </c>
      <c r="AP1557" s="2">
        <f t="shared" si="30"/>
      </c>
      <c r="AQ1557" s="2">
        <f t="shared" si="31"/>
      </c>
    </row>
    <row r="1558">
      <c r="A1558" s="43">
        <f t="shared" si="3"/>
      </c>
      <c r="B1558" s="44" t="n"/>
      <c r="C1558" s="45" t="n"/>
      <c r="D1558" s="46" t="n"/>
      <c r="E1558" s="47" t="n"/>
      <c r="F1558" s="47" t="n"/>
      <c r="G1558" s="48">
        <f t="shared" si="4"/>
      </c>
      <c r="H1558" s="43">
        <f t="shared" si="0"/>
      </c>
      <c r="I1558" s="43">
        <f t="shared" si="5"/>
      </c>
      <c r="J1558" s="43">
        <f t="shared" si="1"/>
      </c>
      <c r="K1558" s="49">
        <f t="shared" si="2"/>
      </c>
      <c r="L1558" s="45" t="n"/>
      <c r="M1558" s="45" t="n"/>
      <c r="N1558" s="45" t="n"/>
      <c r="O1558" s="45" t="n"/>
      <c r="P1558" s="50" t="n"/>
      <c r="R1558" s="2">
        <f t="shared" si="6"/>
        <v>0</v>
      </c>
      <c r="S1558" s="2">
        <f t="shared" si="7"/>
      </c>
      <c r="T1558" s="2">
        <f t="shared" si="8"/>
      </c>
      <c r="U1558" s="2">
        <f t="shared" si="9"/>
      </c>
      <c r="V1558" s="2">
        <f t="shared" si="10"/>
      </c>
      <c r="W1558" s="2">
        <f t="shared" si="11"/>
      </c>
      <c r="X1558" s="2">
        <f t="shared" si="12"/>
      </c>
      <c r="Y1558" s="2">
        <f t="shared" si="13"/>
        <v>0</v>
      </c>
      <c r="Z1558" s="2">
        <f t="shared" si="14"/>
      </c>
      <c r="AA1558" s="2">
        <f t="shared" si="15"/>
        <v>0</v>
      </c>
      <c r="AB1558" s="2">
        <f t="shared" si="16"/>
      </c>
      <c r="AC1558" s="2">
        <f t="shared" si="17"/>
      </c>
      <c r="AD1558" s="2">
        <f t="shared" si="18"/>
      </c>
      <c r="AE1558" s="2">
        <f t="shared" si="19"/>
      </c>
      <c r="AF1558" s="2">
        <f t="shared" si="20"/>
      </c>
      <c r="AG1558" s="2">
        <f t="shared" si="21"/>
      </c>
      <c r="AH1558" s="2">
        <f t="shared" si="22"/>
      </c>
      <c r="AI1558" s="2">
        <f t="shared" si="23"/>
      </c>
      <c r="AJ1558" s="2">
        <f t="shared" si="24"/>
        <v>0</v>
      </c>
      <c r="AK1558" s="2">
        <f t="shared" si="25"/>
        <v>0</v>
      </c>
      <c r="AL1558" s="2">
        <f t="shared" si="26"/>
        <v>0</v>
      </c>
      <c r="AM1558" s="2">
        <f t="shared" si="27"/>
        <v>0</v>
      </c>
      <c r="AN1558" s="2">
        <f t="shared" si="28"/>
        <v>0</v>
      </c>
      <c r="AO1558" s="2">
        <f t="shared" si="29"/>
      </c>
      <c r="AP1558" s="2">
        <f t="shared" si="30"/>
      </c>
      <c r="AQ1558" s="2">
        <f t="shared" si="31"/>
      </c>
    </row>
    <row r="1559">
      <c r="A1559" s="43">
        <f t="shared" si="3"/>
      </c>
      <c r="B1559" s="44" t="n"/>
      <c r="C1559" s="45" t="n"/>
      <c r="D1559" s="46" t="n"/>
      <c r="E1559" s="47" t="n"/>
      <c r="F1559" s="47" t="n"/>
      <c r="G1559" s="48">
        <f t="shared" si="4"/>
      </c>
      <c r="H1559" s="43">
        <f t="shared" si="0"/>
      </c>
      <c r="I1559" s="43">
        <f t="shared" si="5"/>
      </c>
      <c r="J1559" s="43">
        <f t="shared" si="1"/>
      </c>
      <c r="K1559" s="49">
        <f t="shared" si="2"/>
      </c>
      <c r="L1559" s="45" t="n"/>
      <c r="M1559" s="45" t="n"/>
      <c r="N1559" s="45" t="n"/>
      <c r="O1559" s="45" t="n"/>
      <c r="P1559" s="50" t="n"/>
      <c r="R1559" s="2">
        <f t="shared" si="6"/>
        <v>0</v>
      </c>
      <c r="S1559" s="2">
        <f t="shared" si="7"/>
      </c>
      <c r="T1559" s="2">
        <f t="shared" si="8"/>
      </c>
      <c r="U1559" s="2">
        <f t="shared" si="9"/>
      </c>
      <c r="V1559" s="2">
        <f t="shared" si="10"/>
      </c>
      <c r="W1559" s="2">
        <f t="shared" si="11"/>
      </c>
      <c r="X1559" s="2">
        <f t="shared" si="12"/>
      </c>
      <c r="Y1559" s="2">
        <f t="shared" si="13"/>
        <v>0</v>
      </c>
      <c r="Z1559" s="2">
        <f t="shared" si="14"/>
      </c>
      <c r="AA1559" s="2">
        <f t="shared" si="15"/>
        <v>0</v>
      </c>
      <c r="AB1559" s="2">
        <f t="shared" si="16"/>
      </c>
      <c r="AC1559" s="2">
        <f t="shared" si="17"/>
      </c>
      <c r="AD1559" s="2">
        <f t="shared" si="18"/>
      </c>
      <c r="AE1559" s="2">
        <f t="shared" si="19"/>
      </c>
      <c r="AF1559" s="2">
        <f t="shared" si="20"/>
      </c>
      <c r="AG1559" s="2">
        <f t="shared" si="21"/>
      </c>
      <c r="AH1559" s="2">
        <f t="shared" si="22"/>
      </c>
      <c r="AI1559" s="2">
        <f t="shared" si="23"/>
      </c>
      <c r="AJ1559" s="2">
        <f t="shared" si="24"/>
        <v>0</v>
      </c>
      <c r="AK1559" s="2">
        <f t="shared" si="25"/>
        <v>0</v>
      </c>
      <c r="AL1559" s="2">
        <f t="shared" si="26"/>
        <v>0</v>
      </c>
      <c r="AM1559" s="2">
        <f t="shared" si="27"/>
        <v>0</v>
      </c>
      <c r="AN1559" s="2">
        <f t="shared" si="28"/>
        <v>0</v>
      </c>
      <c r="AO1559" s="2">
        <f t="shared" si="29"/>
      </c>
      <c r="AP1559" s="2">
        <f t="shared" si="30"/>
      </c>
      <c r="AQ1559" s="2">
        <f t="shared" si="31"/>
      </c>
    </row>
    <row r="1560">
      <c r="A1560" s="43">
        <f t="shared" si="3"/>
      </c>
      <c r="B1560" s="44" t="n"/>
      <c r="C1560" s="45" t="n"/>
      <c r="D1560" s="46" t="n"/>
      <c r="E1560" s="47" t="n"/>
      <c r="F1560" s="47" t="n"/>
      <c r="G1560" s="48">
        <f t="shared" si="4"/>
      </c>
      <c r="H1560" s="43">
        <f t="shared" si="0"/>
      </c>
      <c r="I1560" s="43">
        <f t="shared" si="5"/>
      </c>
      <c r="J1560" s="43">
        <f t="shared" si="1"/>
      </c>
      <c r="K1560" s="49">
        <f t="shared" si="2"/>
      </c>
      <c r="L1560" s="45" t="n"/>
      <c r="M1560" s="45" t="n"/>
      <c r="N1560" s="45" t="n"/>
      <c r="O1560" s="45" t="n"/>
      <c r="P1560" s="50" t="n"/>
      <c r="R1560" s="2">
        <f t="shared" si="6"/>
        <v>0</v>
      </c>
      <c r="S1560" s="2">
        <f t="shared" si="7"/>
      </c>
      <c r="T1560" s="2">
        <f t="shared" si="8"/>
      </c>
      <c r="U1560" s="2">
        <f t="shared" si="9"/>
      </c>
      <c r="V1560" s="2">
        <f t="shared" si="10"/>
      </c>
      <c r="W1560" s="2">
        <f t="shared" si="11"/>
      </c>
      <c r="X1560" s="2">
        <f t="shared" si="12"/>
      </c>
      <c r="Y1560" s="2">
        <f t="shared" si="13"/>
        <v>0</v>
      </c>
      <c r="Z1560" s="2">
        <f t="shared" si="14"/>
      </c>
      <c r="AA1560" s="2">
        <f t="shared" si="15"/>
        <v>0</v>
      </c>
      <c r="AB1560" s="2">
        <f t="shared" si="16"/>
      </c>
      <c r="AC1560" s="2">
        <f t="shared" si="17"/>
      </c>
      <c r="AD1560" s="2">
        <f t="shared" si="18"/>
      </c>
      <c r="AE1560" s="2">
        <f t="shared" si="19"/>
      </c>
      <c r="AF1560" s="2">
        <f t="shared" si="20"/>
      </c>
      <c r="AG1560" s="2">
        <f t="shared" si="21"/>
      </c>
      <c r="AH1560" s="2">
        <f t="shared" si="22"/>
      </c>
      <c r="AI1560" s="2">
        <f t="shared" si="23"/>
      </c>
      <c r="AJ1560" s="2">
        <f t="shared" si="24"/>
        <v>0</v>
      </c>
      <c r="AK1560" s="2">
        <f t="shared" si="25"/>
        <v>0</v>
      </c>
      <c r="AL1560" s="2">
        <f t="shared" si="26"/>
        <v>0</v>
      </c>
      <c r="AM1560" s="2">
        <f t="shared" si="27"/>
        <v>0</v>
      </c>
      <c r="AN1560" s="2">
        <f t="shared" si="28"/>
        <v>0</v>
      </c>
      <c r="AO1560" s="2">
        <f t="shared" si="29"/>
      </c>
      <c r="AP1560" s="2">
        <f t="shared" si="30"/>
      </c>
      <c r="AQ1560" s="2">
        <f t="shared" si="31"/>
      </c>
    </row>
    <row r="1561">
      <c r="A1561" s="43">
        <f t="shared" si="3"/>
      </c>
      <c r="B1561" s="44" t="n"/>
      <c r="C1561" s="45" t="n"/>
      <c r="D1561" s="46" t="n"/>
      <c r="E1561" s="47" t="n"/>
      <c r="F1561" s="47" t="n"/>
      <c r="G1561" s="48">
        <f t="shared" si="4"/>
      </c>
      <c r="H1561" s="43">
        <f t="shared" si="0"/>
      </c>
      <c r="I1561" s="43">
        <f t="shared" si="5"/>
      </c>
      <c r="J1561" s="43">
        <f t="shared" si="1"/>
      </c>
      <c r="K1561" s="49">
        <f t="shared" si="2"/>
      </c>
      <c r="L1561" s="45" t="n"/>
      <c r="M1561" s="45" t="n"/>
      <c r="N1561" s="45" t="n"/>
      <c r="O1561" s="45" t="n"/>
      <c r="P1561" s="50" t="n"/>
      <c r="R1561" s="2">
        <f t="shared" si="6"/>
        <v>0</v>
      </c>
      <c r="S1561" s="2">
        <f t="shared" si="7"/>
      </c>
      <c r="T1561" s="2">
        <f t="shared" si="8"/>
      </c>
      <c r="U1561" s="2">
        <f t="shared" si="9"/>
      </c>
      <c r="V1561" s="2">
        <f t="shared" si="10"/>
      </c>
      <c r="W1561" s="2">
        <f t="shared" si="11"/>
      </c>
      <c r="X1561" s="2">
        <f t="shared" si="12"/>
      </c>
      <c r="Y1561" s="2">
        <f t="shared" si="13"/>
        <v>0</v>
      </c>
      <c r="Z1561" s="2">
        <f t="shared" si="14"/>
      </c>
      <c r="AA1561" s="2">
        <f t="shared" si="15"/>
        <v>0</v>
      </c>
      <c r="AB1561" s="2">
        <f t="shared" si="16"/>
      </c>
      <c r="AC1561" s="2">
        <f t="shared" si="17"/>
      </c>
      <c r="AD1561" s="2">
        <f t="shared" si="18"/>
      </c>
      <c r="AE1561" s="2">
        <f t="shared" si="19"/>
      </c>
      <c r="AF1561" s="2">
        <f t="shared" si="20"/>
      </c>
      <c r="AG1561" s="2">
        <f t="shared" si="21"/>
      </c>
      <c r="AH1561" s="2">
        <f t="shared" si="22"/>
      </c>
      <c r="AI1561" s="2">
        <f t="shared" si="23"/>
      </c>
      <c r="AJ1561" s="2">
        <f t="shared" si="24"/>
        <v>0</v>
      </c>
      <c r="AK1561" s="2">
        <f t="shared" si="25"/>
        <v>0</v>
      </c>
      <c r="AL1561" s="2">
        <f t="shared" si="26"/>
        <v>0</v>
      </c>
      <c r="AM1561" s="2">
        <f t="shared" si="27"/>
        <v>0</v>
      </c>
      <c r="AN1561" s="2">
        <f t="shared" si="28"/>
        <v>0</v>
      </c>
      <c r="AO1561" s="2">
        <f t="shared" si="29"/>
      </c>
      <c r="AP1561" s="2">
        <f t="shared" si="30"/>
      </c>
      <c r="AQ1561" s="2">
        <f t="shared" si="31"/>
      </c>
    </row>
    <row r="1562">
      <c r="A1562" s="43">
        <f t="shared" si="3"/>
      </c>
      <c r="B1562" s="44" t="n"/>
      <c r="C1562" s="45" t="n"/>
      <c r="D1562" s="46" t="n"/>
      <c r="E1562" s="47" t="n"/>
      <c r="F1562" s="47" t="n"/>
      <c r="G1562" s="48">
        <f t="shared" si="4"/>
      </c>
      <c r="H1562" s="43">
        <f t="shared" si="0"/>
      </c>
      <c r="I1562" s="43">
        <f t="shared" si="5"/>
      </c>
      <c r="J1562" s="43">
        <f t="shared" si="1"/>
      </c>
      <c r="K1562" s="49">
        <f t="shared" si="2"/>
      </c>
      <c r="L1562" s="45" t="n"/>
      <c r="M1562" s="45" t="n"/>
      <c r="N1562" s="45" t="n"/>
      <c r="O1562" s="45" t="n"/>
      <c r="P1562" s="50" t="n"/>
      <c r="R1562" s="2">
        <f t="shared" si="6"/>
        <v>0</v>
      </c>
      <c r="S1562" s="2">
        <f t="shared" si="7"/>
      </c>
      <c r="T1562" s="2">
        <f t="shared" si="8"/>
      </c>
      <c r="U1562" s="2">
        <f t="shared" si="9"/>
      </c>
      <c r="V1562" s="2">
        <f t="shared" si="10"/>
      </c>
      <c r="W1562" s="2">
        <f t="shared" si="11"/>
      </c>
      <c r="X1562" s="2">
        <f t="shared" si="12"/>
      </c>
      <c r="Y1562" s="2">
        <f t="shared" si="13"/>
        <v>0</v>
      </c>
      <c r="Z1562" s="2">
        <f t="shared" si="14"/>
      </c>
      <c r="AA1562" s="2">
        <f t="shared" si="15"/>
        <v>0</v>
      </c>
      <c r="AB1562" s="2">
        <f t="shared" si="16"/>
      </c>
      <c r="AC1562" s="2">
        <f t="shared" si="17"/>
      </c>
      <c r="AD1562" s="2">
        <f t="shared" si="18"/>
      </c>
      <c r="AE1562" s="2">
        <f t="shared" si="19"/>
      </c>
      <c r="AF1562" s="2">
        <f t="shared" si="20"/>
      </c>
      <c r="AG1562" s="2">
        <f t="shared" si="21"/>
      </c>
      <c r="AH1562" s="2">
        <f t="shared" si="22"/>
      </c>
      <c r="AI1562" s="2">
        <f t="shared" si="23"/>
      </c>
      <c r="AJ1562" s="2">
        <f t="shared" si="24"/>
        <v>0</v>
      </c>
      <c r="AK1562" s="2">
        <f t="shared" si="25"/>
        <v>0</v>
      </c>
      <c r="AL1562" s="2">
        <f t="shared" si="26"/>
        <v>0</v>
      </c>
      <c r="AM1562" s="2">
        <f t="shared" si="27"/>
        <v>0</v>
      </c>
      <c r="AN1562" s="2">
        <f t="shared" si="28"/>
        <v>0</v>
      </c>
      <c r="AO1562" s="2">
        <f t="shared" si="29"/>
      </c>
      <c r="AP1562" s="2">
        <f t="shared" si="30"/>
      </c>
      <c r="AQ1562" s="2">
        <f t="shared" si="31"/>
      </c>
    </row>
    <row r="1563">
      <c r="A1563" s="43">
        <f t="shared" si="3"/>
      </c>
      <c r="B1563" s="44" t="n"/>
      <c r="C1563" s="45" t="n"/>
      <c r="D1563" s="46" t="n"/>
      <c r="E1563" s="47" t="n"/>
      <c r="F1563" s="47" t="n"/>
      <c r="G1563" s="48">
        <f t="shared" si="4"/>
      </c>
      <c r="H1563" s="43">
        <f t="shared" si="0"/>
      </c>
      <c r="I1563" s="43">
        <f t="shared" si="5"/>
      </c>
      <c r="J1563" s="43">
        <f t="shared" si="1"/>
      </c>
      <c r="K1563" s="49">
        <f t="shared" si="2"/>
      </c>
      <c r="L1563" s="45" t="n"/>
      <c r="M1563" s="45" t="n"/>
      <c r="N1563" s="45" t="n"/>
      <c r="O1563" s="45" t="n"/>
      <c r="P1563" s="50" t="n"/>
      <c r="R1563" s="2">
        <f t="shared" si="6"/>
        <v>0</v>
      </c>
      <c r="S1563" s="2">
        <f t="shared" si="7"/>
      </c>
      <c r="T1563" s="2">
        <f t="shared" si="8"/>
      </c>
      <c r="U1563" s="2">
        <f t="shared" si="9"/>
      </c>
      <c r="V1563" s="2">
        <f t="shared" si="10"/>
      </c>
      <c r="W1563" s="2">
        <f t="shared" si="11"/>
      </c>
      <c r="X1563" s="2">
        <f t="shared" si="12"/>
      </c>
      <c r="Y1563" s="2">
        <f t="shared" si="13"/>
        <v>0</v>
      </c>
      <c r="Z1563" s="2">
        <f t="shared" si="14"/>
      </c>
      <c r="AA1563" s="2">
        <f t="shared" si="15"/>
        <v>0</v>
      </c>
      <c r="AB1563" s="2">
        <f t="shared" si="16"/>
      </c>
      <c r="AC1563" s="2">
        <f t="shared" si="17"/>
      </c>
      <c r="AD1563" s="2">
        <f t="shared" si="18"/>
      </c>
      <c r="AE1563" s="2">
        <f t="shared" si="19"/>
      </c>
      <c r="AF1563" s="2">
        <f t="shared" si="20"/>
      </c>
      <c r="AG1563" s="2">
        <f t="shared" si="21"/>
      </c>
      <c r="AH1563" s="2">
        <f t="shared" si="22"/>
      </c>
      <c r="AI1563" s="2">
        <f t="shared" si="23"/>
      </c>
      <c r="AJ1563" s="2">
        <f t="shared" si="24"/>
        <v>0</v>
      </c>
      <c r="AK1563" s="2">
        <f t="shared" si="25"/>
        <v>0</v>
      </c>
      <c r="AL1563" s="2">
        <f t="shared" si="26"/>
        <v>0</v>
      </c>
      <c r="AM1563" s="2">
        <f t="shared" si="27"/>
        <v>0</v>
      </c>
      <c r="AN1563" s="2">
        <f t="shared" si="28"/>
        <v>0</v>
      </c>
      <c r="AO1563" s="2">
        <f t="shared" si="29"/>
      </c>
      <c r="AP1563" s="2">
        <f t="shared" si="30"/>
      </c>
      <c r="AQ1563" s="2">
        <f t="shared" si="31"/>
      </c>
    </row>
    <row r="1564">
      <c r="A1564" s="43">
        <f t="shared" si="3"/>
      </c>
      <c r="B1564" s="44" t="n"/>
      <c r="C1564" s="45" t="n"/>
      <c r="D1564" s="46" t="n"/>
      <c r="E1564" s="47" t="n"/>
      <c r="F1564" s="47" t="n"/>
      <c r="G1564" s="48">
        <f t="shared" si="4"/>
      </c>
      <c r="H1564" s="43">
        <f t="shared" si="0"/>
      </c>
      <c r="I1564" s="43">
        <f t="shared" si="5"/>
      </c>
      <c r="J1564" s="43">
        <f t="shared" si="1"/>
      </c>
      <c r="K1564" s="49">
        <f t="shared" si="2"/>
      </c>
      <c r="L1564" s="45" t="n"/>
      <c r="M1564" s="45" t="n"/>
      <c r="N1564" s="45" t="n"/>
      <c r="O1564" s="45" t="n"/>
      <c r="P1564" s="50" t="n"/>
      <c r="R1564" s="2">
        <f t="shared" si="6"/>
        <v>0</v>
      </c>
      <c r="S1564" s="2">
        <f t="shared" si="7"/>
      </c>
      <c r="T1564" s="2">
        <f t="shared" si="8"/>
      </c>
      <c r="U1564" s="2">
        <f t="shared" si="9"/>
      </c>
      <c r="V1564" s="2">
        <f t="shared" si="10"/>
      </c>
      <c r="W1564" s="2">
        <f t="shared" si="11"/>
      </c>
      <c r="X1564" s="2">
        <f t="shared" si="12"/>
      </c>
      <c r="Y1564" s="2">
        <f t="shared" si="13"/>
        <v>0</v>
      </c>
      <c r="Z1564" s="2">
        <f t="shared" si="14"/>
      </c>
      <c r="AA1564" s="2">
        <f t="shared" si="15"/>
        <v>0</v>
      </c>
      <c r="AB1564" s="2">
        <f t="shared" si="16"/>
      </c>
      <c r="AC1564" s="2">
        <f t="shared" si="17"/>
      </c>
      <c r="AD1564" s="2">
        <f t="shared" si="18"/>
      </c>
      <c r="AE1564" s="2">
        <f t="shared" si="19"/>
      </c>
      <c r="AF1564" s="2">
        <f t="shared" si="20"/>
      </c>
      <c r="AG1564" s="2">
        <f t="shared" si="21"/>
      </c>
      <c r="AH1564" s="2">
        <f t="shared" si="22"/>
      </c>
      <c r="AI1564" s="2">
        <f t="shared" si="23"/>
      </c>
      <c r="AJ1564" s="2">
        <f t="shared" si="24"/>
        <v>0</v>
      </c>
      <c r="AK1564" s="2">
        <f t="shared" si="25"/>
        <v>0</v>
      </c>
      <c r="AL1564" s="2">
        <f t="shared" si="26"/>
        <v>0</v>
      </c>
      <c r="AM1564" s="2">
        <f t="shared" si="27"/>
        <v>0</v>
      </c>
      <c r="AN1564" s="2">
        <f t="shared" si="28"/>
        <v>0</v>
      </c>
      <c r="AO1564" s="2">
        <f t="shared" si="29"/>
      </c>
      <c r="AP1564" s="2">
        <f t="shared" si="30"/>
      </c>
      <c r="AQ1564" s="2">
        <f t="shared" si="31"/>
      </c>
    </row>
    <row r="1565">
      <c r="A1565" s="43">
        <f t="shared" si="3"/>
      </c>
      <c r="B1565" s="44" t="n"/>
      <c r="C1565" s="45" t="n"/>
      <c r="D1565" s="46" t="n"/>
      <c r="E1565" s="47" t="n"/>
      <c r="F1565" s="47" t="n"/>
      <c r="G1565" s="48">
        <f t="shared" si="4"/>
      </c>
      <c r="H1565" s="43">
        <f t="shared" si="0"/>
      </c>
      <c r="I1565" s="43">
        <f t="shared" si="5"/>
      </c>
      <c r="J1565" s="43">
        <f t="shared" si="1"/>
      </c>
      <c r="K1565" s="49">
        <f t="shared" si="2"/>
      </c>
      <c r="L1565" s="45" t="n"/>
      <c r="M1565" s="45" t="n"/>
      <c r="N1565" s="45" t="n"/>
      <c r="O1565" s="45" t="n"/>
      <c r="P1565" s="50" t="n"/>
      <c r="R1565" s="2">
        <f t="shared" si="6"/>
        <v>0</v>
      </c>
      <c r="S1565" s="2">
        <f t="shared" si="7"/>
      </c>
      <c r="T1565" s="2">
        <f t="shared" si="8"/>
      </c>
      <c r="U1565" s="2">
        <f t="shared" si="9"/>
      </c>
      <c r="V1565" s="2">
        <f t="shared" si="10"/>
      </c>
      <c r="W1565" s="2">
        <f t="shared" si="11"/>
      </c>
      <c r="X1565" s="2">
        <f t="shared" si="12"/>
      </c>
      <c r="Y1565" s="2">
        <f t="shared" si="13"/>
        <v>0</v>
      </c>
      <c r="Z1565" s="2">
        <f t="shared" si="14"/>
      </c>
      <c r="AA1565" s="2">
        <f t="shared" si="15"/>
        <v>0</v>
      </c>
      <c r="AB1565" s="2">
        <f t="shared" si="16"/>
      </c>
      <c r="AC1565" s="2">
        <f t="shared" si="17"/>
      </c>
      <c r="AD1565" s="2">
        <f t="shared" si="18"/>
      </c>
      <c r="AE1565" s="2">
        <f t="shared" si="19"/>
      </c>
      <c r="AF1565" s="2">
        <f t="shared" si="20"/>
      </c>
      <c r="AG1565" s="2">
        <f t="shared" si="21"/>
      </c>
      <c r="AH1565" s="2">
        <f t="shared" si="22"/>
      </c>
      <c r="AI1565" s="2">
        <f t="shared" si="23"/>
      </c>
      <c r="AJ1565" s="2">
        <f t="shared" si="24"/>
        <v>0</v>
      </c>
      <c r="AK1565" s="2">
        <f t="shared" si="25"/>
        <v>0</v>
      </c>
      <c r="AL1565" s="2">
        <f t="shared" si="26"/>
        <v>0</v>
      </c>
      <c r="AM1565" s="2">
        <f t="shared" si="27"/>
        <v>0</v>
      </c>
      <c r="AN1565" s="2">
        <f t="shared" si="28"/>
        <v>0</v>
      </c>
      <c r="AO1565" s="2">
        <f t="shared" si="29"/>
      </c>
      <c r="AP1565" s="2">
        <f t="shared" si="30"/>
      </c>
      <c r="AQ1565" s="2">
        <f t="shared" si="31"/>
      </c>
    </row>
    <row r="1566">
      <c r="A1566" s="43">
        <f t="shared" si="3"/>
      </c>
      <c r="B1566" s="44" t="n"/>
      <c r="C1566" s="45" t="n"/>
      <c r="D1566" s="46" t="n"/>
      <c r="E1566" s="47" t="n"/>
      <c r="F1566" s="47" t="n"/>
      <c r="G1566" s="48">
        <f t="shared" si="4"/>
      </c>
      <c r="H1566" s="43">
        <f t="shared" si="0"/>
      </c>
      <c r="I1566" s="43">
        <f t="shared" si="5"/>
      </c>
      <c r="J1566" s="43">
        <f t="shared" si="1"/>
      </c>
      <c r="K1566" s="49">
        <f t="shared" si="2"/>
      </c>
      <c r="L1566" s="45" t="n"/>
      <c r="M1566" s="45" t="n"/>
      <c r="N1566" s="45" t="n"/>
      <c r="O1566" s="45" t="n"/>
      <c r="P1566" s="50" t="n"/>
      <c r="R1566" s="2">
        <f t="shared" si="6"/>
        <v>0</v>
      </c>
      <c r="S1566" s="2">
        <f t="shared" si="7"/>
      </c>
      <c r="T1566" s="2">
        <f t="shared" si="8"/>
      </c>
      <c r="U1566" s="2">
        <f t="shared" si="9"/>
      </c>
      <c r="V1566" s="2">
        <f t="shared" si="10"/>
      </c>
      <c r="W1566" s="2">
        <f t="shared" si="11"/>
      </c>
      <c r="X1566" s="2">
        <f t="shared" si="12"/>
      </c>
      <c r="Y1566" s="2">
        <f t="shared" si="13"/>
        <v>0</v>
      </c>
      <c r="Z1566" s="2">
        <f t="shared" si="14"/>
      </c>
      <c r="AA1566" s="2">
        <f t="shared" si="15"/>
        <v>0</v>
      </c>
      <c r="AB1566" s="2">
        <f t="shared" si="16"/>
      </c>
      <c r="AC1566" s="2">
        <f t="shared" si="17"/>
      </c>
      <c r="AD1566" s="2">
        <f t="shared" si="18"/>
      </c>
      <c r="AE1566" s="2">
        <f t="shared" si="19"/>
      </c>
      <c r="AF1566" s="2">
        <f t="shared" si="20"/>
      </c>
      <c r="AG1566" s="2">
        <f t="shared" si="21"/>
      </c>
      <c r="AH1566" s="2">
        <f t="shared" si="22"/>
      </c>
      <c r="AI1566" s="2">
        <f t="shared" si="23"/>
      </c>
      <c r="AJ1566" s="2">
        <f t="shared" si="24"/>
        <v>0</v>
      </c>
      <c r="AK1566" s="2">
        <f t="shared" si="25"/>
        <v>0</v>
      </c>
      <c r="AL1566" s="2">
        <f t="shared" si="26"/>
        <v>0</v>
      </c>
      <c r="AM1566" s="2">
        <f t="shared" si="27"/>
        <v>0</v>
      </c>
      <c r="AN1566" s="2">
        <f t="shared" si="28"/>
        <v>0</v>
      </c>
      <c r="AO1566" s="2">
        <f t="shared" si="29"/>
      </c>
      <c r="AP1566" s="2">
        <f t="shared" si="30"/>
      </c>
      <c r="AQ1566" s="2">
        <f t="shared" si="31"/>
      </c>
    </row>
    <row r="1567">
      <c r="A1567" s="43">
        <f t="shared" si="3"/>
      </c>
      <c r="B1567" s="44" t="n"/>
      <c r="C1567" s="45" t="n"/>
      <c r="D1567" s="46" t="n"/>
      <c r="E1567" s="47" t="n"/>
      <c r="F1567" s="47" t="n"/>
      <c r="G1567" s="48">
        <f t="shared" si="4"/>
      </c>
      <c r="H1567" s="43">
        <f t="shared" si="0"/>
      </c>
      <c r="I1567" s="43">
        <f t="shared" si="5"/>
      </c>
      <c r="J1567" s="43">
        <f t="shared" si="1"/>
      </c>
      <c r="K1567" s="49">
        <f t="shared" si="2"/>
      </c>
      <c r="L1567" s="45" t="n"/>
      <c r="M1567" s="45" t="n"/>
      <c r="N1567" s="45" t="n"/>
      <c r="O1567" s="45" t="n"/>
      <c r="P1567" s="50" t="n"/>
      <c r="R1567" s="2">
        <f t="shared" si="6"/>
        <v>0</v>
      </c>
      <c r="S1567" s="2">
        <f t="shared" si="7"/>
      </c>
      <c r="T1567" s="2">
        <f t="shared" si="8"/>
      </c>
      <c r="U1567" s="2">
        <f t="shared" si="9"/>
      </c>
      <c r="V1567" s="2">
        <f t="shared" si="10"/>
      </c>
      <c r="W1567" s="2">
        <f t="shared" si="11"/>
      </c>
      <c r="X1567" s="2">
        <f t="shared" si="12"/>
      </c>
      <c r="Y1567" s="2">
        <f t="shared" si="13"/>
        <v>0</v>
      </c>
      <c r="Z1567" s="2">
        <f t="shared" si="14"/>
      </c>
      <c r="AA1567" s="2">
        <f t="shared" si="15"/>
        <v>0</v>
      </c>
      <c r="AB1567" s="2">
        <f t="shared" si="16"/>
      </c>
      <c r="AC1567" s="2">
        <f t="shared" si="17"/>
      </c>
      <c r="AD1567" s="2">
        <f t="shared" si="18"/>
      </c>
      <c r="AE1567" s="2">
        <f t="shared" si="19"/>
      </c>
      <c r="AF1567" s="2">
        <f t="shared" si="20"/>
      </c>
      <c r="AG1567" s="2">
        <f t="shared" si="21"/>
      </c>
      <c r="AH1567" s="2">
        <f t="shared" si="22"/>
      </c>
      <c r="AI1567" s="2">
        <f t="shared" si="23"/>
      </c>
      <c r="AJ1567" s="2">
        <f t="shared" si="24"/>
        <v>0</v>
      </c>
      <c r="AK1567" s="2">
        <f t="shared" si="25"/>
        <v>0</v>
      </c>
      <c r="AL1567" s="2">
        <f t="shared" si="26"/>
        <v>0</v>
      </c>
      <c r="AM1567" s="2">
        <f t="shared" si="27"/>
        <v>0</v>
      </c>
      <c r="AN1567" s="2">
        <f t="shared" si="28"/>
        <v>0</v>
      </c>
      <c r="AO1567" s="2">
        <f t="shared" si="29"/>
      </c>
      <c r="AP1567" s="2">
        <f t="shared" si="30"/>
      </c>
      <c r="AQ1567" s="2">
        <f t="shared" si="31"/>
      </c>
    </row>
    <row r="1568">
      <c r="A1568" s="43">
        <f t="shared" si="3"/>
      </c>
      <c r="B1568" s="44" t="n"/>
      <c r="C1568" s="45" t="n"/>
      <c r="D1568" s="46" t="n"/>
      <c r="E1568" s="47" t="n"/>
      <c r="F1568" s="47" t="n"/>
      <c r="G1568" s="48">
        <f t="shared" si="4"/>
      </c>
      <c r="H1568" s="43">
        <f t="shared" si="0"/>
      </c>
      <c r="I1568" s="43">
        <f t="shared" si="5"/>
      </c>
      <c r="J1568" s="43">
        <f t="shared" si="1"/>
      </c>
      <c r="K1568" s="49">
        <f t="shared" si="2"/>
      </c>
      <c r="L1568" s="45" t="n"/>
      <c r="M1568" s="45" t="n"/>
      <c r="N1568" s="45" t="n"/>
      <c r="O1568" s="45" t="n"/>
      <c r="P1568" s="50" t="n"/>
      <c r="R1568" s="2">
        <f t="shared" si="6"/>
        <v>0</v>
      </c>
      <c r="S1568" s="2">
        <f t="shared" si="7"/>
      </c>
      <c r="T1568" s="2">
        <f t="shared" si="8"/>
      </c>
      <c r="U1568" s="2">
        <f t="shared" si="9"/>
      </c>
      <c r="V1568" s="2">
        <f t="shared" si="10"/>
      </c>
      <c r="W1568" s="2">
        <f t="shared" si="11"/>
      </c>
      <c r="X1568" s="2">
        <f t="shared" si="12"/>
      </c>
      <c r="Y1568" s="2">
        <f t="shared" si="13"/>
        <v>0</v>
      </c>
      <c r="Z1568" s="2">
        <f t="shared" si="14"/>
      </c>
      <c r="AA1568" s="2">
        <f t="shared" si="15"/>
        <v>0</v>
      </c>
      <c r="AB1568" s="2">
        <f t="shared" si="16"/>
      </c>
      <c r="AC1568" s="2">
        <f t="shared" si="17"/>
      </c>
      <c r="AD1568" s="2">
        <f t="shared" si="18"/>
      </c>
      <c r="AE1568" s="2">
        <f t="shared" si="19"/>
      </c>
      <c r="AF1568" s="2">
        <f t="shared" si="20"/>
      </c>
      <c r="AG1568" s="2">
        <f t="shared" si="21"/>
      </c>
      <c r="AH1568" s="2">
        <f t="shared" si="22"/>
      </c>
      <c r="AI1568" s="2">
        <f t="shared" si="23"/>
      </c>
      <c r="AJ1568" s="2">
        <f t="shared" si="24"/>
        <v>0</v>
      </c>
      <c r="AK1568" s="2">
        <f t="shared" si="25"/>
        <v>0</v>
      </c>
      <c r="AL1568" s="2">
        <f t="shared" si="26"/>
        <v>0</v>
      </c>
      <c r="AM1568" s="2">
        <f t="shared" si="27"/>
        <v>0</v>
      </c>
      <c r="AN1568" s="2">
        <f t="shared" si="28"/>
        <v>0</v>
      </c>
      <c r="AO1568" s="2">
        <f t="shared" si="29"/>
      </c>
      <c r="AP1568" s="2">
        <f t="shared" si="30"/>
      </c>
      <c r="AQ1568" s="2">
        <f t="shared" si="31"/>
      </c>
    </row>
    <row r="1569">
      <c r="A1569" s="43">
        <f t="shared" si="3"/>
      </c>
      <c r="B1569" s="44" t="n"/>
      <c r="C1569" s="45" t="n"/>
      <c r="D1569" s="46" t="n"/>
      <c r="E1569" s="47" t="n"/>
      <c r="F1569" s="47" t="n"/>
      <c r="G1569" s="48">
        <f t="shared" si="4"/>
      </c>
      <c r="H1569" s="43">
        <f t="shared" si="0"/>
      </c>
      <c r="I1569" s="43">
        <f t="shared" si="5"/>
      </c>
      <c r="J1569" s="43">
        <f t="shared" si="1"/>
      </c>
      <c r="K1569" s="49">
        <f t="shared" si="2"/>
      </c>
      <c r="L1569" s="45" t="n"/>
      <c r="M1569" s="45" t="n"/>
      <c r="N1569" s="45" t="n"/>
      <c r="O1569" s="45" t="n"/>
      <c r="P1569" s="50" t="n"/>
      <c r="R1569" s="2">
        <f t="shared" si="6"/>
        <v>0</v>
      </c>
      <c r="S1569" s="2">
        <f t="shared" si="7"/>
      </c>
      <c r="T1569" s="2">
        <f t="shared" si="8"/>
      </c>
      <c r="U1569" s="2">
        <f t="shared" si="9"/>
      </c>
      <c r="V1569" s="2">
        <f t="shared" si="10"/>
      </c>
      <c r="W1569" s="2">
        <f t="shared" si="11"/>
      </c>
      <c r="X1569" s="2">
        <f t="shared" si="12"/>
      </c>
      <c r="Y1569" s="2">
        <f t="shared" si="13"/>
        <v>0</v>
      </c>
      <c r="Z1569" s="2">
        <f t="shared" si="14"/>
      </c>
      <c r="AA1569" s="2">
        <f t="shared" si="15"/>
        <v>0</v>
      </c>
      <c r="AB1569" s="2">
        <f t="shared" si="16"/>
      </c>
      <c r="AC1569" s="2">
        <f t="shared" si="17"/>
      </c>
      <c r="AD1569" s="2">
        <f t="shared" si="18"/>
      </c>
      <c r="AE1569" s="2">
        <f t="shared" si="19"/>
      </c>
      <c r="AF1569" s="2">
        <f t="shared" si="20"/>
      </c>
      <c r="AG1569" s="2">
        <f t="shared" si="21"/>
      </c>
      <c r="AH1569" s="2">
        <f t="shared" si="22"/>
      </c>
      <c r="AI1569" s="2">
        <f t="shared" si="23"/>
      </c>
      <c r="AJ1569" s="2">
        <f t="shared" si="24"/>
        <v>0</v>
      </c>
      <c r="AK1569" s="2">
        <f t="shared" si="25"/>
        <v>0</v>
      </c>
      <c r="AL1569" s="2">
        <f t="shared" si="26"/>
        <v>0</v>
      </c>
      <c r="AM1569" s="2">
        <f t="shared" si="27"/>
        <v>0</v>
      </c>
      <c r="AN1569" s="2">
        <f t="shared" si="28"/>
        <v>0</v>
      </c>
      <c r="AO1569" s="2">
        <f t="shared" si="29"/>
      </c>
      <c r="AP1569" s="2">
        <f t="shared" si="30"/>
      </c>
      <c r="AQ1569" s="2">
        <f t="shared" si="31"/>
      </c>
    </row>
    <row r="1570">
      <c r="A1570" s="43">
        <f t="shared" si="3"/>
      </c>
      <c r="B1570" s="44" t="n"/>
      <c r="C1570" s="45" t="n"/>
      <c r="D1570" s="46" t="n"/>
      <c r="E1570" s="47" t="n"/>
      <c r="F1570" s="47" t="n"/>
      <c r="G1570" s="48">
        <f t="shared" si="4"/>
      </c>
      <c r="H1570" s="43">
        <f t="shared" si="0"/>
      </c>
      <c r="I1570" s="43">
        <f t="shared" si="5"/>
      </c>
      <c r="J1570" s="43">
        <f t="shared" si="1"/>
      </c>
      <c r="K1570" s="49">
        <f t="shared" si="2"/>
      </c>
      <c r="L1570" s="45" t="n"/>
      <c r="M1570" s="45" t="n"/>
      <c r="N1570" s="45" t="n"/>
      <c r="O1570" s="45" t="n"/>
      <c r="P1570" s="50" t="n"/>
      <c r="R1570" s="2">
        <f t="shared" si="6"/>
        <v>0</v>
      </c>
      <c r="S1570" s="2">
        <f t="shared" si="7"/>
      </c>
      <c r="T1570" s="2">
        <f t="shared" si="8"/>
      </c>
      <c r="U1570" s="2">
        <f t="shared" si="9"/>
      </c>
      <c r="V1570" s="2">
        <f t="shared" si="10"/>
      </c>
      <c r="W1570" s="2">
        <f t="shared" si="11"/>
      </c>
      <c r="X1570" s="2">
        <f t="shared" si="12"/>
      </c>
      <c r="Y1570" s="2">
        <f t="shared" si="13"/>
        <v>0</v>
      </c>
      <c r="Z1570" s="2">
        <f t="shared" si="14"/>
      </c>
      <c r="AA1570" s="2">
        <f t="shared" si="15"/>
        <v>0</v>
      </c>
      <c r="AB1570" s="2">
        <f t="shared" si="16"/>
      </c>
      <c r="AC1570" s="2">
        <f t="shared" si="17"/>
      </c>
      <c r="AD1570" s="2">
        <f t="shared" si="18"/>
      </c>
      <c r="AE1570" s="2">
        <f t="shared" si="19"/>
      </c>
      <c r="AF1570" s="2">
        <f t="shared" si="20"/>
      </c>
      <c r="AG1570" s="2">
        <f t="shared" si="21"/>
      </c>
      <c r="AH1570" s="2">
        <f t="shared" si="22"/>
      </c>
      <c r="AI1570" s="2">
        <f t="shared" si="23"/>
      </c>
      <c r="AJ1570" s="2">
        <f t="shared" si="24"/>
        <v>0</v>
      </c>
      <c r="AK1570" s="2">
        <f t="shared" si="25"/>
        <v>0</v>
      </c>
      <c r="AL1570" s="2">
        <f t="shared" si="26"/>
        <v>0</v>
      </c>
      <c r="AM1570" s="2">
        <f t="shared" si="27"/>
        <v>0</v>
      </c>
      <c r="AN1570" s="2">
        <f t="shared" si="28"/>
        <v>0</v>
      </c>
      <c r="AO1570" s="2">
        <f t="shared" si="29"/>
      </c>
      <c r="AP1570" s="2">
        <f t="shared" si="30"/>
      </c>
      <c r="AQ1570" s="2">
        <f t="shared" si="31"/>
      </c>
    </row>
    <row r="1571">
      <c r="A1571" s="43">
        <f t="shared" si="3"/>
      </c>
      <c r="B1571" s="44" t="n"/>
      <c r="C1571" s="45" t="n"/>
      <c r="D1571" s="46" t="n"/>
      <c r="E1571" s="47" t="n"/>
      <c r="F1571" s="47" t="n"/>
      <c r="G1571" s="48">
        <f t="shared" si="4"/>
      </c>
      <c r="H1571" s="43">
        <f t="shared" si="0"/>
      </c>
      <c r="I1571" s="43">
        <f t="shared" si="5"/>
      </c>
      <c r="J1571" s="43">
        <f t="shared" si="1"/>
      </c>
      <c r="K1571" s="49">
        <f t="shared" si="2"/>
      </c>
      <c r="L1571" s="45" t="n"/>
      <c r="M1571" s="45" t="n"/>
      <c r="N1571" s="45" t="n"/>
      <c r="O1571" s="45" t="n"/>
      <c r="P1571" s="50" t="n"/>
      <c r="R1571" s="2">
        <f t="shared" si="6"/>
        <v>0</v>
      </c>
      <c r="S1571" s="2">
        <f t="shared" si="7"/>
      </c>
      <c r="T1571" s="2">
        <f t="shared" si="8"/>
      </c>
      <c r="U1571" s="2">
        <f t="shared" si="9"/>
      </c>
      <c r="V1571" s="2">
        <f t="shared" si="10"/>
      </c>
      <c r="W1571" s="2">
        <f t="shared" si="11"/>
      </c>
      <c r="X1571" s="2">
        <f t="shared" si="12"/>
      </c>
      <c r="Y1571" s="2">
        <f t="shared" si="13"/>
        <v>0</v>
      </c>
      <c r="Z1571" s="2">
        <f t="shared" si="14"/>
      </c>
      <c r="AA1571" s="2">
        <f t="shared" si="15"/>
        <v>0</v>
      </c>
      <c r="AB1571" s="2">
        <f t="shared" si="16"/>
      </c>
      <c r="AC1571" s="2">
        <f t="shared" si="17"/>
      </c>
      <c r="AD1571" s="2">
        <f t="shared" si="18"/>
      </c>
      <c r="AE1571" s="2">
        <f t="shared" si="19"/>
      </c>
      <c r="AF1571" s="2">
        <f t="shared" si="20"/>
      </c>
      <c r="AG1571" s="2">
        <f t="shared" si="21"/>
      </c>
      <c r="AH1571" s="2">
        <f t="shared" si="22"/>
      </c>
      <c r="AI1571" s="2">
        <f t="shared" si="23"/>
      </c>
      <c r="AJ1571" s="2">
        <f t="shared" si="24"/>
        <v>0</v>
      </c>
      <c r="AK1571" s="2">
        <f t="shared" si="25"/>
        <v>0</v>
      </c>
      <c r="AL1571" s="2">
        <f t="shared" si="26"/>
        <v>0</v>
      </c>
      <c r="AM1571" s="2">
        <f t="shared" si="27"/>
        <v>0</v>
      </c>
      <c r="AN1571" s="2">
        <f t="shared" si="28"/>
        <v>0</v>
      </c>
      <c r="AO1571" s="2">
        <f t="shared" si="29"/>
      </c>
      <c r="AP1571" s="2">
        <f t="shared" si="30"/>
      </c>
      <c r="AQ1571" s="2">
        <f t="shared" si="31"/>
      </c>
    </row>
    <row r="1572">
      <c r="A1572" s="43">
        <f t="shared" si="3"/>
      </c>
      <c r="B1572" s="44" t="n"/>
      <c r="C1572" s="45" t="n"/>
      <c r="D1572" s="46" t="n"/>
      <c r="E1572" s="47" t="n"/>
      <c r="F1572" s="47" t="n"/>
      <c r="G1572" s="48">
        <f t="shared" si="4"/>
      </c>
      <c r="H1572" s="43">
        <f t="shared" si="0"/>
      </c>
      <c r="I1572" s="43">
        <f t="shared" si="5"/>
      </c>
      <c r="J1572" s="43">
        <f t="shared" si="1"/>
      </c>
      <c r="K1572" s="49">
        <f t="shared" si="2"/>
      </c>
      <c r="L1572" s="45" t="n"/>
      <c r="M1572" s="45" t="n"/>
      <c r="N1572" s="45" t="n"/>
      <c r="O1572" s="45" t="n"/>
      <c r="P1572" s="50" t="n"/>
      <c r="R1572" s="2">
        <f t="shared" si="6"/>
        <v>0</v>
      </c>
      <c r="S1572" s="2">
        <f t="shared" si="7"/>
      </c>
      <c r="T1572" s="2">
        <f t="shared" si="8"/>
      </c>
      <c r="U1572" s="2">
        <f t="shared" si="9"/>
      </c>
      <c r="V1572" s="2">
        <f t="shared" si="10"/>
      </c>
      <c r="W1572" s="2">
        <f t="shared" si="11"/>
      </c>
      <c r="X1572" s="2">
        <f t="shared" si="12"/>
      </c>
      <c r="Y1572" s="2">
        <f t="shared" si="13"/>
        <v>0</v>
      </c>
      <c r="Z1572" s="2">
        <f t="shared" si="14"/>
      </c>
      <c r="AA1572" s="2">
        <f t="shared" si="15"/>
        <v>0</v>
      </c>
      <c r="AB1572" s="2">
        <f t="shared" si="16"/>
      </c>
      <c r="AC1572" s="2">
        <f t="shared" si="17"/>
      </c>
      <c r="AD1572" s="2">
        <f t="shared" si="18"/>
      </c>
      <c r="AE1572" s="2">
        <f t="shared" si="19"/>
      </c>
      <c r="AF1572" s="2">
        <f t="shared" si="20"/>
      </c>
      <c r="AG1572" s="2">
        <f t="shared" si="21"/>
      </c>
      <c r="AH1572" s="2">
        <f t="shared" si="22"/>
      </c>
      <c r="AI1572" s="2">
        <f t="shared" si="23"/>
      </c>
      <c r="AJ1572" s="2">
        <f t="shared" si="24"/>
        <v>0</v>
      </c>
      <c r="AK1572" s="2">
        <f t="shared" si="25"/>
        <v>0</v>
      </c>
      <c r="AL1572" s="2">
        <f t="shared" si="26"/>
        <v>0</v>
      </c>
      <c r="AM1572" s="2">
        <f t="shared" si="27"/>
        <v>0</v>
      </c>
      <c r="AN1572" s="2">
        <f t="shared" si="28"/>
        <v>0</v>
      </c>
      <c r="AO1572" s="2">
        <f t="shared" si="29"/>
      </c>
      <c r="AP1572" s="2">
        <f t="shared" si="30"/>
      </c>
      <c r="AQ1572" s="2">
        <f t="shared" si="31"/>
      </c>
    </row>
    <row r="1573">
      <c r="A1573" s="43">
        <f t="shared" si="3"/>
      </c>
      <c r="B1573" s="44" t="n"/>
      <c r="C1573" s="45" t="n"/>
      <c r="D1573" s="46" t="n"/>
      <c r="E1573" s="47" t="n"/>
      <c r="F1573" s="47" t="n"/>
      <c r="G1573" s="48">
        <f t="shared" si="4"/>
      </c>
      <c r="H1573" s="43">
        <f t="shared" si="0"/>
      </c>
      <c r="I1573" s="43">
        <f t="shared" si="5"/>
      </c>
      <c r="J1573" s="43">
        <f t="shared" si="1"/>
      </c>
      <c r="K1573" s="49">
        <f t="shared" si="2"/>
      </c>
      <c r="L1573" s="45" t="n"/>
      <c r="M1573" s="45" t="n"/>
      <c r="N1573" s="45" t="n"/>
      <c r="O1573" s="45" t="n"/>
      <c r="P1573" s="50" t="n"/>
      <c r="R1573" s="2">
        <f t="shared" si="6"/>
        <v>0</v>
      </c>
      <c r="S1573" s="2">
        <f t="shared" si="7"/>
      </c>
      <c r="T1573" s="2">
        <f t="shared" si="8"/>
      </c>
      <c r="U1573" s="2">
        <f t="shared" si="9"/>
      </c>
      <c r="V1573" s="2">
        <f t="shared" si="10"/>
      </c>
      <c r="W1573" s="2">
        <f t="shared" si="11"/>
      </c>
      <c r="X1573" s="2">
        <f t="shared" si="12"/>
      </c>
      <c r="Y1573" s="2">
        <f t="shared" si="13"/>
        <v>0</v>
      </c>
      <c r="Z1573" s="2">
        <f t="shared" si="14"/>
      </c>
      <c r="AA1573" s="2">
        <f t="shared" si="15"/>
        <v>0</v>
      </c>
      <c r="AB1573" s="2">
        <f t="shared" si="16"/>
      </c>
      <c r="AC1573" s="2">
        <f t="shared" si="17"/>
      </c>
      <c r="AD1573" s="2">
        <f t="shared" si="18"/>
      </c>
      <c r="AE1573" s="2">
        <f t="shared" si="19"/>
      </c>
      <c r="AF1573" s="2">
        <f t="shared" si="20"/>
      </c>
      <c r="AG1573" s="2">
        <f t="shared" si="21"/>
      </c>
      <c r="AH1573" s="2">
        <f t="shared" si="22"/>
      </c>
      <c r="AI1573" s="2">
        <f t="shared" si="23"/>
      </c>
      <c r="AJ1573" s="2">
        <f t="shared" si="24"/>
        <v>0</v>
      </c>
      <c r="AK1573" s="2">
        <f t="shared" si="25"/>
        <v>0</v>
      </c>
      <c r="AL1573" s="2">
        <f t="shared" si="26"/>
        <v>0</v>
      </c>
      <c r="AM1573" s="2">
        <f t="shared" si="27"/>
        <v>0</v>
      </c>
      <c r="AN1573" s="2">
        <f t="shared" si="28"/>
        <v>0</v>
      </c>
      <c r="AO1573" s="2">
        <f t="shared" si="29"/>
      </c>
      <c r="AP1573" s="2">
        <f t="shared" si="30"/>
      </c>
      <c r="AQ1573" s="2">
        <f t="shared" si="31"/>
      </c>
    </row>
    <row r="1574">
      <c r="A1574" s="43">
        <f t="shared" si="3"/>
      </c>
      <c r="B1574" s="44" t="n"/>
      <c r="C1574" s="45" t="n"/>
      <c r="D1574" s="46" t="n"/>
      <c r="E1574" s="47" t="n"/>
      <c r="F1574" s="47" t="n"/>
      <c r="G1574" s="48">
        <f t="shared" si="4"/>
      </c>
      <c r="H1574" s="43">
        <f t="shared" si="0"/>
      </c>
      <c r="I1574" s="43">
        <f t="shared" si="5"/>
      </c>
      <c r="J1574" s="43">
        <f t="shared" si="1"/>
      </c>
      <c r="K1574" s="49">
        <f t="shared" si="2"/>
      </c>
      <c r="L1574" s="45" t="n"/>
      <c r="M1574" s="45" t="n"/>
      <c r="N1574" s="45" t="n"/>
      <c r="O1574" s="45" t="n"/>
      <c r="P1574" s="50" t="n"/>
      <c r="R1574" s="2">
        <f t="shared" si="6"/>
        <v>0</v>
      </c>
      <c r="S1574" s="2">
        <f t="shared" si="7"/>
      </c>
      <c r="T1574" s="2">
        <f t="shared" si="8"/>
      </c>
      <c r="U1574" s="2">
        <f t="shared" si="9"/>
      </c>
      <c r="V1574" s="2">
        <f t="shared" si="10"/>
      </c>
      <c r="W1574" s="2">
        <f t="shared" si="11"/>
      </c>
      <c r="X1574" s="2">
        <f t="shared" si="12"/>
      </c>
      <c r="Y1574" s="2">
        <f t="shared" si="13"/>
        <v>0</v>
      </c>
      <c r="Z1574" s="2">
        <f t="shared" si="14"/>
      </c>
      <c r="AA1574" s="2">
        <f t="shared" si="15"/>
        <v>0</v>
      </c>
      <c r="AB1574" s="2">
        <f t="shared" si="16"/>
      </c>
      <c r="AC1574" s="2">
        <f t="shared" si="17"/>
      </c>
      <c r="AD1574" s="2">
        <f t="shared" si="18"/>
      </c>
      <c r="AE1574" s="2">
        <f t="shared" si="19"/>
      </c>
      <c r="AF1574" s="2">
        <f t="shared" si="20"/>
      </c>
      <c r="AG1574" s="2">
        <f t="shared" si="21"/>
      </c>
      <c r="AH1574" s="2">
        <f t="shared" si="22"/>
      </c>
      <c r="AI1574" s="2">
        <f t="shared" si="23"/>
      </c>
      <c r="AJ1574" s="2">
        <f t="shared" si="24"/>
        <v>0</v>
      </c>
      <c r="AK1574" s="2">
        <f t="shared" si="25"/>
        <v>0</v>
      </c>
      <c r="AL1574" s="2">
        <f t="shared" si="26"/>
        <v>0</v>
      </c>
      <c r="AM1574" s="2">
        <f t="shared" si="27"/>
        <v>0</v>
      </c>
      <c r="AN1574" s="2">
        <f t="shared" si="28"/>
        <v>0</v>
      </c>
      <c r="AO1574" s="2">
        <f t="shared" si="29"/>
      </c>
      <c r="AP1574" s="2">
        <f t="shared" si="30"/>
      </c>
      <c r="AQ1574" s="2">
        <f t="shared" si="31"/>
      </c>
    </row>
    <row r="1575">
      <c r="A1575" s="43">
        <f t="shared" si="3"/>
      </c>
      <c r="B1575" s="44" t="n"/>
      <c r="C1575" s="45" t="n"/>
      <c r="D1575" s="46" t="n"/>
      <c r="E1575" s="47" t="n"/>
      <c r="F1575" s="47" t="n"/>
      <c r="G1575" s="48">
        <f t="shared" si="4"/>
      </c>
      <c r="H1575" s="43">
        <f t="shared" si="0"/>
      </c>
      <c r="I1575" s="43">
        <f t="shared" si="5"/>
      </c>
      <c r="J1575" s="43">
        <f t="shared" si="1"/>
      </c>
      <c r="K1575" s="49">
        <f t="shared" si="2"/>
      </c>
      <c r="L1575" s="45" t="n"/>
      <c r="M1575" s="45" t="n"/>
      <c r="N1575" s="45" t="n"/>
      <c r="O1575" s="45" t="n"/>
      <c r="P1575" s="50" t="n"/>
      <c r="R1575" s="2">
        <f t="shared" si="6"/>
        <v>0</v>
      </c>
      <c r="S1575" s="2">
        <f t="shared" si="7"/>
      </c>
      <c r="T1575" s="2">
        <f t="shared" si="8"/>
      </c>
      <c r="U1575" s="2">
        <f t="shared" si="9"/>
      </c>
      <c r="V1575" s="2">
        <f t="shared" si="10"/>
      </c>
      <c r="W1575" s="2">
        <f t="shared" si="11"/>
      </c>
      <c r="X1575" s="2">
        <f t="shared" si="12"/>
      </c>
      <c r="Y1575" s="2">
        <f t="shared" si="13"/>
        <v>0</v>
      </c>
      <c r="Z1575" s="2">
        <f t="shared" si="14"/>
      </c>
      <c r="AA1575" s="2">
        <f t="shared" si="15"/>
        <v>0</v>
      </c>
      <c r="AB1575" s="2">
        <f t="shared" si="16"/>
      </c>
      <c r="AC1575" s="2">
        <f t="shared" si="17"/>
      </c>
      <c r="AD1575" s="2">
        <f t="shared" si="18"/>
      </c>
      <c r="AE1575" s="2">
        <f t="shared" si="19"/>
      </c>
      <c r="AF1575" s="2">
        <f t="shared" si="20"/>
      </c>
      <c r="AG1575" s="2">
        <f t="shared" si="21"/>
      </c>
      <c r="AH1575" s="2">
        <f t="shared" si="22"/>
      </c>
      <c r="AI1575" s="2">
        <f t="shared" si="23"/>
      </c>
      <c r="AJ1575" s="2">
        <f t="shared" si="24"/>
        <v>0</v>
      </c>
      <c r="AK1575" s="2">
        <f t="shared" si="25"/>
        <v>0</v>
      </c>
      <c r="AL1575" s="2">
        <f t="shared" si="26"/>
        <v>0</v>
      </c>
      <c r="AM1575" s="2">
        <f t="shared" si="27"/>
        <v>0</v>
      </c>
      <c r="AN1575" s="2">
        <f t="shared" si="28"/>
        <v>0</v>
      </c>
      <c r="AO1575" s="2">
        <f t="shared" si="29"/>
      </c>
      <c r="AP1575" s="2">
        <f t="shared" si="30"/>
      </c>
      <c r="AQ1575" s="2">
        <f t="shared" si="31"/>
      </c>
    </row>
    <row r="1576">
      <c r="A1576" s="43">
        <f t="shared" si="3"/>
      </c>
      <c r="B1576" s="44" t="n"/>
      <c r="C1576" s="45" t="n"/>
      <c r="D1576" s="46" t="n"/>
      <c r="E1576" s="47" t="n"/>
      <c r="F1576" s="47" t="n"/>
      <c r="G1576" s="48">
        <f t="shared" si="4"/>
      </c>
      <c r="H1576" s="43">
        <f t="shared" si="0"/>
      </c>
      <c r="I1576" s="43">
        <f t="shared" si="5"/>
      </c>
      <c r="J1576" s="43">
        <f t="shared" si="1"/>
      </c>
      <c r="K1576" s="49">
        <f t="shared" si="2"/>
      </c>
      <c r="L1576" s="45" t="n"/>
      <c r="M1576" s="45" t="n"/>
      <c r="N1576" s="45" t="n"/>
      <c r="O1576" s="45" t="n"/>
      <c r="P1576" s="50" t="n"/>
      <c r="R1576" s="2">
        <f t="shared" si="6"/>
        <v>0</v>
      </c>
      <c r="S1576" s="2">
        <f t="shared" si="7"/>
      </c>
      <c r="T1576" s="2">
        <f t="shared" si="8"/>
      </c>
      <c r="U1576" s="2">
        <f t="shared" si="9"/>
      </c>
      <c r="V1576" s="2">
        <f t="shared" si="10"/>
      </c>
      <c r="W1576" s="2">
        <f t="shared" si="11"/>
      </c>
      <c r="X1576" s="2">
        <f t="shared" si="12"/>
      </c>
      <c r="Y1576" s="2">
        <f t="shared" si="13"/>
        <v>0</v>
      </c>
      <c r="Z1576" s="2">
        <f t="shared" si="14"/>
      </c>
      <c r="AA1576" s="2">
        <f t="shared" si="15"/>
        <v>0</v>
      </c>
      <c r="AB1576" s="2">
        <f t="shared" si="16"/>
      </c>
      <c r="AC1576" s="2">
        <f t="shared" si="17"/>
      </c>
      <c r="AD1576" s="2">
        <f t="shared" si="18"/>
      </c>
      <c r="AE1576" s="2">
        <f t="shared" si="19"/>
      </c>
      <c r="AF1576" s="2">
        <f t="shared" si="20"/>
      </c>
      <c r="AG1576" s="2">
        <f t="shared" si="21"/>
      </c>
      <c r="AH1576" s="2">
        <f t="shared" si="22"/>
      </c>
      <c r="AI1576" s="2">
        <f t="shared" si="23"/>
      </c>
      <c r="AJ1576" s="2">
        <f t="shared" si="24"/>
        <v>0</v>
      </c>
      <c r="AK1576" s="2">
        <f t="shared" si="25"/>
        <v>0</v>
      </c>
      <c r="AL1576" s="2">
        <f t="shared" si="26"/>
        <v>0</v>
      </c>
      <c r="AM1576" s="2">
        <f t="shared" si="27"/>
        <v>0</v>
      </c>
      <c r="AN1576" s="2">
        <f t="shared" si="28"/>
        <v>0</v>
      </c>
      <c r="AO1576" s="2">
        <f t="shared" si="29"/>
      </c>
      <c r="AP1576" s="2">
        <f t="shared" si="30"/>
      </c>
      <c r="AQ1576" s="2">
        <f t="shared" si="31"/>
      </c>
    </row>
    <row r="1577">
      <c r="A1577" s="43">
        <f t="shared" si="3"/>
      </c>
      <c r="B1577" s="44" t="n"/>
      <c r="C1577" s="45" t="n"/>
      <c r="D1577" s="46" t="n"/>
      <c r="E1577" s="47" t="n"/>
      <c r="F1577" s="47" t="n"/>
      <c r="G1577" s="48">
        <f t="shared" si="4"/>
      </c>
      <c r="H1577" s="43">
        <f t="shared" si="0"/>
      </c>
      <c r="I1577" s="43">
        <f t="shared" si="5"/>
      </c>
      <c r="J1577" s="43">
        <f t="shared" si="1"/>
      </c>
      <c r="K1577" s="49">
        <f t="shared" si="2"/>
      </c>
      <c r="L1577" s="45" t="n"/>
      <c r="M1577" s="45" t="n"/>
      <c r="N1577" s="45" t="n"/>
      <c r="O1577" s="45" t="n"/>
      <c r="P1577" s="50" t="n"/>
      <c r="R1577" s="2">
        <f t="shared" si="6"/>
        <v>0</v>
      </c>
      <c r="S1577" s="2">
        <f t="shared" si="7"/>
      </c>
      <c r="T1577" s="2">
        <f t="shared" si="8"/>
      </c>
      <c r="U1577" s="2">
        <f t="shared" si="9"/>
      </c>
      <c r="V1577" s="2">
        <f t="shared" si="10"/>
      </c>
      <c r="W1577" s="2">
        <f t="shared" si="11"/>
      </c>
      <c r="X1577" s="2">
        <f t="shared" si="12"/>
      </c>
      <c r="Y1577" s="2">
        <f t="shared" si="13"/>
        <v>0</v>
      </c>
      <c r="Z1577" s="2">
        <f t="shared" si="14"/>
      </c>
      <c r="AA1577" s="2">
        <f t="shared" si="15"/>
        <v>0</v>
      </c>
      <c r="AB1577" s="2">
        <f t="shared" si="16"/>
      </c>
      <c r="AC1577" s="2">
        <f t="shared" si="17"/>
      </c>
      <c r="AD1577" s="2">
        <f t="shared" si="18"/>
      </c>
      <c r="AE1577" s="2">
        <f t="shared" si="19"/>
      </c>
      <c r="AF1577" s="2">
        <f t="shared" si="20"/>
      </c>
      <c r="AG1577" s="2">
        <f t="shared" si="21"/>
      </c>
      <c r="AH1577" s="2">
        <f t="shared" si="22"/>
      </c>
      <c r="AI1577" s="2">
        <f t="shared" si="23"/>
      </c>
      <c r="AJ1577" s="2">
        <f t="shared" si="24"/>
        <v>0</v>
      </c>
      <c r="AK1577" s="2">
        <f t="shared" si="25"/>
        <v>0</v>
      </c>
      <c r="AL1577" s="2">
        <f t="shared" si="26"/>
        <v>0</v>
      </c>
      <c r="AM1577" s="2">
        <f t="shared" si="27"/>
        <v>0</v>
      </c>
      <c r="AN1577" s="2">
        <f t="shared" si="28"/>
        <v>0</v>
      </c>
      <c r="AO1577" s="2">
        <f t="shared" si="29"/>
      </c>
      <c r="AP1577" s="2">
        <f t="shared" si="30"/>
      </c>
      <c r="AQ1577" s="2">
        <f t="shared" si="31"/>
      </c>
    </row>
    <row r="1578">
      <c r="A1578" s="43">
        <f t="shared" si="3"/>
      </c>
      <c r="B1578" s="44" t="n"/>
      <c r="C1578" s="45" t="n"/>
      <c r="D1578" s="46" t="n"/>
      <c r="E1578" s="47" t="n"/>
      <c r="F1578" s="47" t="n"/>
      <c r="G1578" s="48">
        <f t="shared" si="4"/>
      </c>
      <c r="H1578" s="43">
        <f t="shared" si="0"/>
      </c>
      <c r="I1578" s="43">
        <f t="shared" si="5"/>
      </c>
      <c r="J1578" s="43">
        <f t="shared" si="1"/>
      </c>
      <c r="K1578" s="49">
        <f t="shared" si="2"/>
      </c>
      <c r="L1578" s="45" t="n"/>
      <c r="M1578" s="45" t="n"/>
      <c r="N1578" s="45" t="n"/>
      <c r="O1578" s="45" t="n"/>
      <c r="P1578" s="50" t="n"/>
      <c r="R1578" s="2">
        <f t="shared" si="6"/>
        <v>0</v>
      </c>
      <c r="S1578" s="2">
        <f t="shared" si="7"/>
      </c>
      <c r="T1578" s="2">
        <f t="shared" si="8"/>
      </c>
      <c r="U1578" s="2">
        <f t="shared" si="9"/>
      </c>
      <c r="V1578" s="2">
        <f t="shared" si="10"/>
      </c>
      <c r="W1578" s="2">
        <f t="shared" si="11"/>
      </c>
      <c r="X1578" s="2">
        <f t="shared" si="12"/>
      </c>
      <c r="Y1578" s="2">
        <f t="shared" si="13"/>
        <v>0</v>
      </c>
      <c r="Z1578" s="2">
        <f t="shared" si="14"/>
      </c>
      <c r="AA1578" s="2">
        <f t="shared" si="15"/>
        <v>0</v>
      </c>
      <c r="AB1578" s="2">
        <f t="shared" si="16"/>
      </c>
      <c r="AC1578" s="2">
        <f t="shared" si="17"/>
      </c>
      <c r="AD1578" s="2">
        <f t="shared" si="18"/>
      </c>
      <c r="AE1578" s="2">
        <f t="shared" si="19"/>
      </c>
      <c r="AF1578" s="2">
        <f t="shared" si="20"/>
      </c>
      <c r="AG1578" s="2">
        <f t="shared" si="21"/>
      </c>
      <c r="AH1578" s="2">
        <f t="shared" si="22"/>
      </c>
      <c r="AI1578" s="2">
        <f t="shared" si="23"/>
      </c>
      <c r="AJ1578" s="2">
        <f t="shared" si="24"/>
        <v>0</v>
      </c>
      <c r="AK1578" s="2">
        <f t="shared" si="25"/>
        <v>0</v>
      </c>
      <c r="AL1578" s="2">
        <f t="shared" si="26"/>
        <v>0</v>
      </c>
      <c r="AM1578" s="2">
        <f t="shared" si="27"/>
        <v>0</v>
      </c>
      <c r="AN1578" s="2">
        <f t="shared" si="28"/>
        <v>0</v>
      </c>
      <c r="AO1578" s="2">
        <f t="shared" si="29"/>
      </c>
      <c r="AP1578" s="2">
        <f t="shared" si="30"/>
      </c>
      <c r="AQ1578" s="2">
        <f t="shared" si="31"/>
      </c>
    </row>
    <row r="1579">
      <c r="A1579" s="43">
        <f t="shared" si="3"/>
      </c>
      <c r="B1579" s="44" t="n"/>
      <c r="C1579" s="45" t="n"/>
      <c r="D1579" s="46" t="n"/>
      <c r="E1579" s="47" t="n"/>
      <c r="F1579" s="47" t="n"/>
      <c r="G1579" s="48">
        <f t="shared" si="4"/>
      </c>
      <c r="H1579" s="43">
        <f t="shared" si="0"/>
      </c>
      <c r="I1579" s="43">
        <f t="shared" si="5"/>
      </c>
      <c r="J1579" s="43">
        <f t="shared" si="1"/>
      </c>
      <c r="K1579" s="49">
        <f t="shared" si="2"/>
      </c>
      <c r="L1579" s="45" t="n"/>
      <c r="M1579" s="45" t="n"/>
      <c r="N1579" s="45" t="n"/>
      <c r="O1579" s="45" t="n"/>
      <c r="P1579" s="50" t="n"/>
      <c r="R1579" s="2">
        <f t="shared" si="6"/>
        <v>0</v>
      </c>
      <c r="S1579" s="2">
        <f t="shared" si="7"/>
      </c>
      <c r="T1579" s="2">
        <f t="shared" si="8"/>
      </c>
      <c r="U1579" s="2">
        <f t="shared" si="9"/>
      </c>
      <c r="V1579" s="2">
        <f t="shared" si="10"/>
      </c>
      <c r="W1579" s="2">
        <f t="shared" si="11"/>
      </c>
      <c r="X1579" s="2">
        <f t="shared" si="12"/>
      </c>
      <c r="Y1579" s="2">
        <f t="shared" si="13"/>
        <v>0</v>
      </c>
      <c r="Z1579" s="2">
        <f t="shared" si="14"/>
      </c>
      <c r="AA1579" s="2">
        <f t="shared" si="15"/>
        <v>0</v>
      </c>
      <c r="AB1579" s="2">
        <f t="shared" si="16"/>
      </c>
      <c r="AC1579" s="2">
        <f t="shared" si="17"/>
      </c>
      <c r="AD1579" s="2">
        <f t="shared" si="18"/>
      </c>
      <c r="AE1579" s="2">
        <f t="shared" si="19"/>
      </c>
      <c r="AF1579" s="2">
        <f t="shared" si="20"/>
      </c>
      <c r="AG1579" s="2">
        <f t="shared" si="21"/>
      </c>
      <c r="AH1579" s="2">
        <f t="shared" si="22"/>
      </c>
      <c r="AI1579" s="2">
        <f t="shared" si="23"/>
      </c>
      <c r="AJ1579" s="2">
        <f t="shared" si="24"/>
        <v>0</v>
      </c>
      <c r="AK1579" s="2">
        <f t="shared" si="25"/>
        <v>0</v>
      </c>
      <c r="AL1579" s="2">
        <f t="shared" si="26"/>
        <v>0</v>
      </c>
      <c r="AM1579" s="2">
        <f t="shared" si="27"/>
        <v>0</v>
      </c>
      <c r="AN1579" s="2">
        <f t="shared" si="28"/>
        <v>0</v>
      </c>
      <c r="AO1579" s="2">
        <f t="shared" si="29"/>
      </c>
      <c r="AP1579" s="2">
        <f t="shared" si="30"/>
      </c>
      <c r="AQ1579" s="2">
        <f t="shared" si="31"/>
      </c>
    </row>
    <row r="1580">
      <c r="A1580" s="43">
        <f t="shared" si="3"/>
      </c>
      <c r="B1580" s="44" t="n"/>
      <c r="C1580" s="45" t="n"/>
      <c r="D1580" s="46" t="n"/>
      <c r="E1580" s="47" t="n"/>
      <c r="F1580" s="47" t="n"/>
      <c r="G1580" s="48">
        <f t="shared" si="4"/>
      </c>
      <c r="H1580" s="43">
        <f t="shared" si="0"/>
      </c>
      <c r="I1580" s="43">
        <f t="shared" si="5"/>
      </c>
      <c r="J1580" s="43">
        <f t="shared" si="1"/>
      </c>
      <c r="K1580" s="49">
        <f t="shared" si="2"/>
      </c>
      <c r="L1580" s="45" t="n"/>
      <c r="M1580" s="45" t="n"/>
      <c r="N1580" s="45" t="n"/>
      <c r="O1580" s="45" t="n"/>
      <c r="P1580" s="50" t="n"/>
      <c r="R1580" s="2">
        <f t="shared" si="6"/>
        <v>0</v>
      </c>
      <c r="S1580" s="2">
        <f t="shared" si="7"/>
      </c>
      <c r="T1580" s="2">
        <f t="shared" si="8"/>
      </c>
      <c r="U1580" s="2">
        <f t="shared" si="9"/>
      </c>
      <c r="V1580" s="2">
        <f t="shared" si="10"/>
      </c>
      <c r="W1580" s="2">
        <f t="shared" si="11"/>
      </c>
      <c r="X1580" s="2">
        <f t="shared" si="12"/>
      </c>
      <c r="Y1580" s="2">
        <f t="shared" si="13"/>
        <v>0</v>
      </c>
      <c r="Z1580" s="2">
        <f t="shared" si="14"/>
      </c>
      <c r="AA1580" s="2">
        <f t="shared" si="15"/>
        <v>0</v>
      </c>
      <c r="AB1580" s="2">
        <f t="shared" si="16"/>
      </c>
      <c r="AC1580" s="2">
        <f t="shared" si="17"/>
      </c>
      <c r="AD1580" s="2">
        <f t="shared" si="18"/>
      </c>
      <c r="AE1580" s="2">
        <f t="shared" si="19"/>
      </c>
      <c r="AF1580" s="2">
        <f t="shared" si="20"/>
      </c>
      <c r="AG1580" s="2">
        <f t="shared" si="21"/>
      </c>
      <c r="AH1580" s="2">
        <f t="shared" si="22"/>
      </c>
      <c r="AI1580" s="2">
        <f t="shared" si="23"/>
      </c>
      <c r="AJ1580" s="2">
        <f t="shared" si="24"/>
        <v>0</v>
      </c>
      <c r="AK1580" s="2">
        <f t="shared" si="25"/>
        <v>0</v>
      </c>
      <c r="AL1580" s="2">
        <f t="shared" si="26"/>
        <v>0</v>
      </c>
      <c r="AM1580" s="2">
        <f t="shared" si="27"/>
        <v>0</v>
      </c>
      <c r="AN1580" s="2">
        <f t="shared" si="28"/>
        <v>0</v>
      </c>
      <c r="AO1580" s="2">
        <f t="shared" si="29"/>
      </c>
      <c r="AP1580" s="2">
        <f t="shared" si="30"/>
      </c>
      <c r="AQ1580" s="2">
        <f t="shared" si="31"/>
      </c>
    </row>
    <row r="1581">
      <c r="A1581" s="43">
        <f t="shared" si="3"/>
      </c>
      <c r="B1581" s="44" t="n"/>
      <c r="C1581" s="45" t="n"/>
      <c r="D1581" s="46" t="n"/>
      <c r="E1581" s="47" t="n"/>
      <c r="F1581" s="47" t="n"/>
      <c r="G1581" s="48">
        <f t="shared" si="4"/>
      </c>
      <c r="H1581" s="43">
        <f t="shared" si="0"/>
      </c>
      <c r="I1581" s="43">
        <f t="shared" si="5"/>
      </c>
      <c r="J1581" s="43">
        <f t="shared" si="1"/>
      </c>
      <c r="K1581" s="49">
        <f t="shared" si="2"/>
      </c>
      <c r="L1581" s="45" t="n"/>
      <c r="M1581" s="45" t="n"/>
      <c r="N1581" s="45" t="n"/>
      <c r="O1581" s="45" t="n"/>
      <c r="P1581" s="50" t="n"/>
      <c r="R1581" s="2">
        <f t="shared" si="6"/>
        <v>0</v>
      </c>
      <c r="S1581" s="2">
        <f t="shared" si="7"/>
      </c>
      <c r="T1581" s="2">
        <f t="shared" si="8"/>
      </c>
      <c r="U1581" s="2">
        <f t="shared" si="9"/>
      </c>
      <c r="V1581" s="2">
        <f t="shared" si="10"/>
      </c>
      <c r="W1581" s="2">
        <f t="shared" si="11"/>
      </c>
      <c r="X1581" s="2">
        <f t="shared" si="12"/>
      </c>
      <c r="Y1581" s="2">
        <f t="shared" si="13"/>
        <v>0</v>
      </c>
      <c r="Z1581" s="2">
        <f t="shared" si="14"/>
      </c>
      <c r="AA1581" s="2">
        <f t="shared" si="15"/>
        <v>0</v>
      </c>
      <c r="AB1581" s="2">
        <f t="shared" si="16"/>
      </c>
      <c r="AC1581" s="2">
        <f t="shared" si="17"/>
      </c>
      <c r="AD1581" s="2">
        <f t="shared" si="18"/>
      </c>
      <c r="AE1581" s="2">
        <f t="shared" si="19"/>
      </c>
      <c r="AF1581" s="2">
        <f t="shared" si="20"/>
      </c>
      <c r="AG1581" s="2">
        <f t="shared" si="21"/>
      </c>
      <c r="AH1581" s="2">
        <f t="shared" si="22"/>
      </c>
      <c r="AI1581" s="2">
        <f t="shared" si="23"/>
      </c>
      <c r="AJ1581" s="2">
        <f t="shared" si="24"/>
        <v>0</v>
      </c>
      <c r="AK1581" s="2">
        <f t="shared" si="25"/>
        <v>0</v>
      </c>
      <c r="AL1581" s="2">
        <f t="shared" si="26"/>
        <v>0</v>
      </c>
      <c r="AM1581" s="2">
        <f t="shared" si="27"/>
        <v>0</v>
      </c>
      <c r="AN1581" s="2">
        <f t="shared" si="28"/>
        <v>0</v>
      </c>
      <c r="AO1581" s="2">
        <f t="shared" si="29"/>
      </c>
      <c r="AP1581" s="2">
        <f t="shared" si="30"/>
      </c>
      <c r="AQ1581" s="2">
        <f t="shared" si="31"/>
      </c>
    </row>
    <row r="1582">
      <c r="A1582" s="43">
        <f t="shared" si="3"/>
      </c>
      <c r="B1582" s="44" t="n"/>
      <c r="C1582" s="45" t="n"/>
      <c r="D1582" s="46" t="n"/>
      <c r="E1582" s="47" t="n"/>
      <c r="F1582" s="47" t="n"/>
      <c r="G1582" s="48">
        <f t="shared" si="4"/>
      </c>
      <c r="H1582" s="43">
        <f t="shared" si="0"/>
      </c>
      <c r="I1582" s="43">
        <f t="shared" si="5"/>
      </c>
      <c r="J1582" s="43">
        <f t="shared" si="1"/>
      </c>
      <c r="K1582" s="49">
        <f t="shared" si="2"/>
      </c>
      <c r="L1582" s="45" t="n"/>
      <c r="M1582" s="45" t="n"/>
      <c r="N1582" s="45" t="n"/>
      <c r="O1582" s="45" t="n"/>
      <c r="P1582" s="50" t="n"/>
      <c r="R1582" s="2">
        <f t="shared" si="6"/>
        <v>0</v>
      </c>
      <c r="S1582" s="2">
        <f t="shared" si="7"/>
      </c>
      <c r="T1582" s="2">
        <f t="shared" si="8"/>
      </c>
      <c r="U1582" s="2">
        <f t="shared" si="9"/>
      </c>
      <c r="V1582" s="2">
        <f t="shared" si="10"/>
      </c>
      <c r="W1582" s="2">
        <f t="shared" si="11"/>
      </c>
      <c r="X1582" s="2">
        <f t="shared" si="12"/>
      </c>
      <c r="Y1582" s="2">
        <f t="shared" si="13"/>
        <v>0</v>
      </c>
      <c r="Z1582" s="2">
        <f t="shared" si="14"/>
      </c>
      <c r="AA1582" s="2">
        <f t="shared" si="15"/>
        <v>0</v>
      </c>
      <c r="AB1582" s="2">
        <f t="shared" si="16"/>
      </c>
      <c r="AC1582" s="2">
        <f t="shared" si="17"/>
      </c>
      <c r="AD1582" s="2">
        <f t="shared" si="18"/>
      </c>
      <c r="AE1582" s="2">
        <f t="shared" si="19"/>
      </c>
      <c r="AF1582" s="2">
        <f t="shared" si="20"/>
      </c>
      <c r="AG1582" s="2">
        <f t="shared" si="21"/>
      </c>
      <c r="AH1582" s="2">
        <f t="shared" si="22"/>
      </c>
      <c r="AI1582" s="2">
        <f t="shared" si="23"/>
      </c>
      <c r="AJ1582" s="2">
        <f t="shared" si="24"/>
        <v>0</v>
      </c>
      <c r="AK1582" s="2">
        <f t="shared" si="25"/>
        <v>0</v>
      </c>
      <c r="AL1582" s="2">
        <f t="shared" si="26"/>
        <v>0</v>
      </c>
      <c r="AM1582" s="2">
        <f t="shared" si="27"/>
        <v>0</v>
      </c>
      <c r="AN1582" s="2">
        <f t="shared" si="28"/>
        <v>0</v>
      </c>
      <c r="AO1582" s="2">
        <f t="shared" si="29"/>
      </c>
      <c r="AP1582" s="2">
        <f t="shared" si="30"/>
      </c>
      <c r="AQ1582" s="2">
        <f t="shared" si="31"/>
      </c>
    </row>
    <row r="1583">
      <c r="A1583" s="43">
        <f t="shared" si="3"/>
      </c>
      <c r="B1583" s="44" t="n"/>
      <c r="C1583" s="45" t="n"/>
      <c r="D1583" s="46" t="n"/>
      <c r="E1583" s="47" t="n"/>
      <c r="F1583" s="47" t="n"/>
      <c r="G1583" s="48">
        <f t="shared" si="4"/>
      </c>
      <c r="H1583" s="43">
        <f t="shared" si="0"/>
      </c>
      <c r="I1583" s="43">
        <f t="shared" si="5"/>
      </c>
      <c r="J1583" s="43">
        <f t="shared" si="1"/>
      </c>
      <c r="K1583" s="49">
        <f t="shared" si="2"/>
      </c>
      <c r="L1583" s="45" t="n"/>
      <c r="M1583" s="45" t="n"/>
      <c r="N1583" s="45" t="n"/>
      <c r="O1583" s="45" t="n"/>
      <c r="P1583" s="50" t="n"/>
      <c r="R1583" s="2">
        <f t="shared" si="6"/>
        <v>0</v>
      </c>
      <c r="S1583" s="2">
        <f t="shared" si="7"/>
      </c>
      <c r="T1583" s="2">
        <f t="shared" si="8"/>
      </c>
      <c r="U1583" s="2">
        <f t="shared" si="9"/>
      </c>
      <c r="V1583" s="2">
        <f t="shared" si="10"/>
      </c>
      <c r="W1583" s="2">
        <f t="shared" si="11"/>
      </c>
      <c r="X1583" s="2">
        <f t="shared" si="12"/>
      </c>
      <c r="Y1583" s="2">
        <f t="shared" si="13"/>
        <v>0</v>
      </c>
      <c r="Z1583" s="2">
        <f t="shared" si="14"/>
      </c>
      <c r="AA1583" s="2">
        <f t="shared" si="15"/>
        <v>0</v>
      </c>
      <c r="AB1583" s="2">
        <f t="shared" si="16"/>
      </c>
      <c r="AC1583" s="2">
        <f t="shared" si="17"/>
      </c>
      <c r="AD1583" s="2">
        <f t="shared" si="18"/>
      </c>
      <c r="AE1583" s="2">
        <f t="shared" si="19"/>
      </c>
      <c r="AF1583" s="2">
        <f t="shared" si="20"/>
      </c>
      <c r="AG1583" s="2">
        <f t="shared" si="21"/>
      </c>
      <c r="AH1583" s="2">
        <f t="shared" si="22"/>
      </c>
      <c r="AI1583" s="2">
        <f t="shared" si="23"/>
      </c>
      <c r="AJ1583" s="2">
        <f t="shared" si="24"/>
        <v>0</v>
      </c>
      <c r="AK1583" s="2">
        <f t="shared" si="25"/>
        <v>0</v>
      </c>
      <c r="AL1583" s="2">
        <f t="shared" si="26"/>
        <v>0</v>
      </c>
      <c r="AM1583" s="2">
        <f t="shared" si="27"/>
        <v>0</v>
      </c>
      <c r="AN1583" s="2">
        <f t="shared" si="28"/>
        <v>0</v>
      </c>
      <c r="AO1583" s="2">
        <f t="shared" si="29"/>
      </c>
      <c r="AP1583" s="2">
        <f t="shared" si="30"/>
      </c>
      <c r="AQ1583" s="2">
        <f t="shared" si="31"/>
      </c>
    </row>
    <row r="1584">
      <c r="A1584" s="43">
        <f t="shared" si="3"/>
      </c>
      <c r="B1584" s="44" t="n"/>
      <c r="C1584" s="45" t="n"/>
      <c r="D1584" s="46" t="n"/>
      <c r="E1584" s="47" t="n"/>
      <c r="F1584" s="47" t="n"/>
      <c r="G1584" s="48">
        <f t="shared" si="4"/>
      </c>
      <c r="H1584" s="43">
        <f t="shared" si="0"/>
      </c>
      <c r="I1584" s="43">
        <f t="shared" si="5"/>
      </c>
      <c r="J1584" s="43">
        <f t="shared" si="1"/>
      </c>
      <c r="K1584" s="49">
        <f t="shared" si="2"/>
      </c>
      <c r="L1584" s="45" t="n"/>
      <c r="M1584" s="45" t="n"/>
      <c r="N1584" s="45" t="n"/>
      <c r="O1584" s="45" t="n"/>
      <c r="P1584" s="50" t="n"/>
      <c r="R1584" s="2">
        <f t="shared" si="6"/>
        <v>0</v>
      </c>
      <c r="S1584" s="2">
        <f t="shared" si="7"/>
      </c>
      <c r="T1584" s="2">
        <f t="shared" si="8"/>
      </c>
      <c r="U1584" s="2">
        <f t="shared" si="9"/>
      </c>
      <c r="V1584" s="2">
        <f t="shared" si="10"/>
      </c>
      <c r="W1584" s="2">
        <f t="shared" si="11"/>
      </c>
      <c r="X1584" s="2">
        <f t="shared" si="12"/>
      </c>
      <c r="Y1584" s="2">
        <f t="shared" si="13"/>
        <v>0</v>
      </c>
      <c r="Z1584" s="2">
        <f t="shared" si="14"/>
      </c>
      <c r="AA1584" s="2">
        <f t="shared" si="15"/>
        <v>0</v>
      </c>
      <c r="AB1584" s="2">
        <f t="shared" si="16"/>
      </c>
      <c r="AC1584" s="2">
        <f t="shared" si="17"/>
      </c>
      <c r="AD1584" s="2">
        <f t="shared" si="18"/>
      </c>
      <c r="AE1584" s="2">
        <f t="shared" si="19"/>
      </c>
      <c r="AF1584" s="2">
        <f t="shared" si="20"/>
      </c>
      <c r="AG1584" s="2">
        <f t="shared" si="21"/>
      </c>
      <c r="AH1584" s="2">
        <f t="shared" si="22"/>
      </c>
      <c r="AI1584" s="2">
        <f t="shared" si="23"/>
      </c>
      <c r="AJ1584" s="2">
        <f t="shared" si="24"/>
        <v>0</v>
      </c>
      <c r="AK1584" s="2">
        <f t="shared" si="25"/>
        <v>0</v>
      </c>
      <c r="AL1584" s="2">
        <f t="shared" si="26"/>
        <v>0</v>
      </c>
      <c r="AM1584" s="2">
        <f t="shared" si="27"/>
        <v>0</v>
      </c>
      <c r="AN1584" s="2">
        <f t="shared" si="28"/>
        <v>0</v>
      </c>
      <c r="AO1584" s="2">
        <f t="shared" si="29"/>
      </c>
      <c r="AP1584" s="2">
        <f t="shared" si="30"/>
      </c>
      <c r="AQ1584" s="2">
        <f t="shared" si="31"/>
      </c>
    </row>
    <row r="1585">
      <c r="A1585" s="43">
        <f t="shared" si="3"/>
      </c>
      <c r="B1585" s="44" t="n"/>
      <c r="C1585" s="45" t="n"/>
      <c r="D1585" s="46" t="n"/>
      <c r="E1585" s="47" t="n"/>
      <c r="F1585" s="47" t="n"/>
      <c r="G1585" s="48">
        <f t="shared" si="4"/>
      </c>
      <c r="H1585" s="43">
        <f t="shared" si="0"/>
      </c>
      <c r="I1585" s="43">
        <f t="shared" si="5"/>
      </c>
      <c r="J1585" s="43">
        <f t="shared" si="1"/>
      </c>
      <c r="K1585" s="49">
        <f t="shared" si="2"/>
      </c>
      <c r="L1585" s="45" t="n"/>
      <c r="M1585" s="45" t="n"/>
      <c r="N1585" s="45" t="n"/>
      <c r="O1585" s="45" t="n"/>
      <c r="P1585" s="50" t="n"/>
      <c r="R1585" s="2">
        <f t="shared" si="6"/>
        <v>0</v>
      </c>
      <c r="S1585" s="2">
        <f t="shared" si="7"/>
      </c>
      <c r="T1585" s="2">
        <f t="shared" si="8"/>
      </c>
      <c r="U1585" s="2">
        <f t="shared" si="9"/>
      </c>
      <c r="V1585" s="2">
        <f t="shared" si="10"/>
      </c>
      <c r="W1585" s="2">
        <f t="shared" si="11"/>
      </c>
      <c r="X1585" s="2">
        <f t="shared" si="12"/>
      </c>
      <c r="Y1585" s="2">
        <f t="shared" si="13"/>
        <v>0</v>
      </c>
      <c r="Z1585" s="2">
        <f t="shared" si="14"/>
      </c>
      <c r="AA1585" s="2">
        <f t="shared" si="15"/>
        <v>0</v>
      </c>
      <c r="AB1585" s="2">
        <f t="shared" si="16"/>
      </c>
      <c r="AC1585" s="2">
        <f t="shared" si="17"/>
      </c>
      <c r="AD1585" s="2">
        <f t="shared" si="18"/>
      </c>
      <c r="AE1585" s="2">
        <f t="shared" si="19"/>
      </c>
      <c r="AF1585" s="2">
        <f t="shared" si="20"/>
      </c>
      <c r="AG1585" s="2">
        <f t="shared" si="21"/>
      </c>
      <c r="AH1585" s="2">
        <f t="shared" si="22"/>
      </c>
      <c r="AI1585" s="2">
        <f t="shared" si="23"/>
      </c>
      <c r="AJ1585" s="2">
        <f t="shared" si="24"/>
        <v>0</v>
      </c>
      <c r="AK1585" s="2">
        <f t="shared" si="25"/>
        <v>0</v>
      </c>
      <c r="AL1585" s="2">
        <f t="shared" si="26"/>
        <v>0</v>
      </c>
      <c r="AM1585" s="2">
        <f t="shared" si="27"/>
        <v>0</v>
      </c>
      <c r="AN1585" s="2">
        <f t="shared" si="28"/>
        <v>0</v>
      </c>
      <c r="AO1585" s="2">
        <f t="shared" si="29"/>
      </c>
      <c r="AP1585" s="2">
        <f t="shared" si="30"/>
      </c>
      <c r="AQ1585" s="2">
        <f t="shared" si="31"/>
      </c>
    </row>
    <row r="1586">
      <c r="A1586" s="43">
        <f t="shared" si="3"/>
      </c>
      <c r="B1586" s="44" t="n"/>
      <c r="C1586" s="45" t="n"/>
      <c r="D1586" s="46" t="n"/>
      <c r="E1586" s="47" t="n"/>
      <c r="F1586" s="47" t="n"/>
      <c r="G1586" s="48">
        <f t="shared" si="4"/>
      </c>
      <c r="H1586" s="43">
        <f t="shared" si="0"/>
      </c>
      <c r="I1586" s="43">
        <f t="shared" si="5"/>
      </c>
      <c r="J1586" s="43">
        <f t="shared" si="1"/>
      </c>
      <c r="K1586" s="49">
        <f t="shared" si="2"/>
      </c>
      <c r="L1586" s="45" t="n"/>
      <c r="M1586" s="45" t="n"/>
      <c r="N1586" s="45" t="n"/>
      <c r="O1586" s="45" t="n"/>
      <c r="P1586" s="50" t="n"/>
      <c r="R1586" s="2">
        <f t="shared" si="6"/>
        <v>0</v>
      </c>
      <c r="S1586" s="2">
        <f t="shared" si="7"/>
      </c>
      <c r="T1586" s="2">
        <f t="shared" si="8"/>
      </c>
      <c r="U1586" s="2">
        <f t="shared" si="9"/>
      </c>
      <c r="V1586" s="2">
        <f t="shared" si="10"/>
      </c>
      <c r="W1586" s="2">
        <f t="shared" si="11"/>
      </c>
      <c r="X1586" s="2">
        <f t="shared" si="12"/>
      </c>
      <c r="Y1586" s="2">
        <f t="shared" si="13"/>
        <v>0</v>
      </c>
      <c r="Z1586" s="2">
        <f t="shared" si="14"/>
      </c>
      <c r="AA1586" s="2">
        <f t="shared" si="15"/>
        <v>0</v>
      </c>
      <c r="AB1586" s="2">
        <f t="shared" si="16"/>
      </c>
      <c r="AC1586" s="2">
        <f t="shared" si="17"/>
      </c>
      <c r="AD1586" s="2">
        <f t="shared" si="18"/>
      </c>
      <c r="AE1586" s="2">
        <f t="shared" si="19"/>
      </c>
      <c r="AF1586" s="2">
        <f t="shared" si="20"/>
      </c>
      <c r="AG1586" s="2">
        <f t="shared" si="21"/>
      </c>
      <c r="AH1586" s="2">
        <f t="shared" si="22"/>
      </c>
      <c r="AI1586" s="2">
        <f t="shared" si="23"/>
      </c>
      <c r="AJ1586" s="2">
        <f t="shared" si="24"/>
        <v>0</v>
      </c>
      <c r="AK1586" s="2">
        <f t="shared" si="25"/>
        <v>0</v>
      </c>
      <c r="AL1586" s="2">
        <f t="shared" si="26"/>
        <v>0</v>
      </c>
      <c r="AM1586" s="2">
        <f t="shared" si="27"/>
        <v>0</v>
      </c>
      <c r="AN1586" s="2">
        <f t="shared" si="28"/>
        <v>0</v>
      </c>
      <c r="AO1586" s="2">
        <f t="shared" si="29"/>
      </c>
      <c r="AP1586" s="2">
        <f t="shared" si="30"/>
      </c>
      <c r="AQ1586" s="2">
        <f t="shared" si="31"/>
      </c>
    </row>
    <row r="1587">
      <c r="A1587" s="43">
        <f t="shared" si="3"/>
      </c>
      <c r="B1587" s="44" t="n"/>
      <c r="C1587" s="45" t="n"/>
      <c r="D1587" s="46" t="n"/>
      <c r="E1587" s="47" t="n"/>
      <c r="F1587" s="47" t="n"/>
      <c r="G1587" s="48">
        <f t="shared" si="4"/>
      </c>
      <c r="H1587" s="43">
        <f t="shared" si="0"/>
      </c>
      <c r="I1587" s="43">
        <f t="shared" si="5"/>
      </c>
      <c r="J1587" s="43">
        <f t="shared" si="1"/>
      </c>
      <c r="K1587" s="49">
        <f t="shared" si="2"/>
      </c>
      <c r="L1587" s="45" t="n"/>
      <c r="M1587" s="45" t="n"/>
      <c r="N1587" s="45" t="n"/>
      <c r="O1587" s="45" t="n"/>
      <c r="P1587" s="50" t="n"/>
      <c r="R1587" s="2">
        <f t="shared" si="6"/>
        <v>0</v>
      </c>
      <c r="S1587" s="2">
        <f t="shared" si="7"/>
      </c>
      <c r="T1587" s="2">
        <f t="shared" si="8"/>
      </c>
      <c r="U1587" s="2">
        <f t="shared" si="9"/>
      </c>
      <c r="V1587" s="2">
        <f t="shared" si="10"/>
      </c>
      <c r="W1587" s="2">
        <f t="shared" si="11"/>
      </c>
      <c r="X1587" s="2">
        <f t="shared" si="12"/>
      </c>
      <c r="Y1587" s="2">
        <f t="shared" si="13"/>
        <v>0</v>
      </c>
      <c r="Z1587" s="2">
        <f t="shared" si="14"/>
      </c>
      <c r="AA1587" s="2">
        <f t="shared" si="15"/>
        <v>0</v>
      </c>
      <c r="AB1587" s="2">
        <f t="shared" si="16"/>
      </c>
      <c r="AC1587" s="2">
        <f t="shared" si="17"/>
      </c>
      <c r="AD1587" s="2">
        <f t="shared" si="18"/>
      </c>
      <c r="AE1587" s="2">
        <f t="shared" si="19"/>
      </c>
      <c r="AF1587" s="2">
        <f t="shared" si="20"/>
      </c>
      <c r="AG1587" s="2">
        <f t="shared" si="21"/>
      </c>
      <c r="AH1587" s="2">
        <f t="shared" si="22"/>
      </c>
      <c r="AI1587" s="2">
        <f t="shared" si="23"/>
      </c>
      <c r="AJ1587" s="2">
        <f t="shared" si="24"/>
        <v>0</v>
      </c>
      <c r="AK1587" s="2">
        <f t="shared" si="25"/>
        <v>0</v>
      </c>
      <c r="AL1587" s="2">
        <f t="shared" si="26"/>
        <v>0</v>
      </c>
      <c r="AM1587" s="2">
        <f t="shared" si="27"/>
        <v>0</v>
      </c>
      <c r="AN1587" s="2">
        <f t="shared" si="28"/>
        <v>0</v>
      </c>
      <c r="AO1587" s="2">
        <f t="shared" si="29"/>
      </c>
      <c r="AP1587" s="2">
        <f t="shared" si="30"/>
      </c>
      <c r="AQ1587" s="2">
        <f t="shared" si="31"/>
      </c>
    </row>
    <row r="1588">
      <c r="A1588" s="43">
        <f t="shared" si="3"/>
      </c>
      <c r="B1588" s="44" t="n"/>
      <c r="C1588" s="45" t="n"/>
      <c r="D1588" s="46" t="n"/>
      <c r="E1588" s="47" t="n"/>
      <c r="F1588" s="47" t="n"/>
      <c r="G1588" s="48">
        <f t="shared" si="4"/>
      </c>
      <c r="H1588" s="43">
        <f t="shared" si="0"/>
      </c>
      <c r="I1588" s="43">
        <f t="shared" si="5"/>
      </c>
      <c r="J1588" s="43">
        <f t="shared" si="1"/>
      </c>
      <c r="K1588" s="49">
        <f t="shared" si="2"/>
      </c>
      <c r="L1588" s="45" t="n"/>
      <c r="M1588" s="45" t="n"/>
      <c r="N1588" s="45" t="n"/>
      <c r="O1588" s="45" t="n"/>
      <c r="P1588" s="50" t="n"/>
      <c r="R1588" s="2">
        <f t="shared" si="6"/>
        <v>0</v>
      </c>
      <c r="S1588" s="2">
        <f t="shared" si="7"/>
      </c>
      <c r="T1588" s="2">
        <f t="shared" si="8"/>
      </c>
      <c r="U1588" s="2">
        <f t="shared" si="9"/>
      </c>
      <c r="V1588" s="2">
        <f t="shared" si="10"/>
      </c>
      <c r="W1588" s="2">
        <f t="shared" si="11"/>
      </c>
      <c r="X1588" s="2">
        <f t="shared" si="12"/>
      </c>
      <c r="Y1588" s="2">
        <f t="shared" si="13"/>
        <v>0</v>
      </c>
      <c r="Z1588" s="2">
        <f t="shared" si="14"/>
      </c>
      <c r="AA1588" s="2">
        <f t="shared" si="15"/>
        <v>0</v>
      </c>
      <c r="AB1588" s="2">
        <f t="shared" si="16"/>
      </c>
      <c r="AC1588" s="2">
        <f t="shared" si="17"/>
      </c>
      <c r="AD1588" s="2">
        <f t="shared" si="18"/>
      </c>
      <c r="AE1588" s="2">
        <f t="shared" si="19"/>
      </c>
      <c r="AF1588" s="2">
        <f t="shared" si="20"/>
      </c>
      <c r="AG1588" s="2">
        <f t="shared" si="21"/>
      </c>
      <c r="AH1588" s="2">
        <f t="shared" si="22"/>
      </c>
      <c r="AI1588" s="2">
        <f t="shared" si="23"/>
      </c>
      <c r="AJ1588" s="2">
        <f t="shared" si="24"/>
        <v>0</v>
      </c>
      <c r="AK1588" s="2">
        <f t="shared" si="25"/>
        <v>0</v>
      </c>
      <c r="AL1588" s="2">
        <f t="shared" si="26"/>
        <v>0</v>
      </c>
      <c r="AM1588" s="2">
        <f t="shared" si="27"/>
        <v>0</v>
      </c>
      <c r="AN1588" s="2">
        <f t="shared" si="28"/>
        <v>0</v>
      </c>
      <c r="AO1588" s="2">
        <f t="shared" si="29"/>
      </c>
      <c r="AP1588" s="2">
        <f t="shared" si="30"/>
      </c>
      <c r="AQ1588" s="2">
        <f t="shared" si="31"/>
      </c>
    </row>
    <row r="1589">
      <c r="A1589" s="43">
        <f t="shared" si="3"/>
      </c>
      <c r="B1589" s="44" t="n"/>
      <c r="C1589" s="45" t="n"/>
      <c r="D1589" s="46" t="n"/>
      <c r="E1589" s="47" t="n"/>
      <c r="F1589" s="47" t="n"/>
      <c r="G1589" s="48">
        <f t="shared" si="4"/>
      </c>
      <c r="H1589" s="43">
        <f t="shared" si="0"/>
      </c>
      <c r="I1589" s="43">
        <f t="shared" si="5"/>
      </c>
      <c r="J1589" s="43">
        <f t="shared" si="1"/>
      </c>
      <c r="K1589" s="49">
        <f t="shared" si="2"/>
      </c>
      <c r="L1589" s="45" t="n"/>
      <c r="M1589" s="45" t="n"/>
      <c r="N1589" s="45" t="n"/>
      <c r="O1589" s="45" t="n"/>
      <c r="P1589" s="50" t="n"/>
      <c r="R1589" s="2">
        <f t="shared" si="6"/>
        <v>0</v>
      </c>
      <c r="S1589" s="2">
        <f t="shared" si="7"/>
      </c>
      <c r="T1589" s="2">
        <f t="shared" si="8"/>
      </c>
      <c r="U1589" s="2">
        <f t="shared" si="9"/>
      </c>
      <c r="V1589" s="2">
        <f t="shared" si="10"/>
      </c>
      <c r="W1589" s="2">
        <f t="shared" si="11"/>
      </c>
      <c r="X1589" s="2">
        <f t="shared" si="12"/>
      </c>
      <c r="Y1589" s="2">
        <f t="shared" si="13"/>
        <v>0</v>
      </c>
      <c r="Z1589" s="2">
        <f t="shared" si="14"/>
      </c>
      <c r="AA1589" s="2">
        <f t="shared" si="15"/>
        <v>0</v>
      </c>
      <c r="AB1589" s="2">
        <f t="shared" si="16"/>
      </c>
      <c r="AC1589" s="2">
        <f t="shared" si="17"/>
      </c>
      <c r="AD1589" s="2">
        <f t="shared" si="18"/>
      </c>
      <c r="AE1589" s="2">
        <f t="shared" si="19"/>
      </c>
      <c r="AF1589" s="2">
        <f t="shared" si="20"/>
      </c>
      <c r="AG1589" s="2">
        <f t="shared" si="21"/>
      </c>
      <c r="AH1589" s="2">
        <f t="shared" si="22"/>
      </c>
      <c r="AI1589" s="2">
        <f t="shared" si="23"/>
      </c>
      <c r="AJ1589" s="2">
        <f t="shared" si="24"/>
        <v>0</v>
      </c>
      <c r="AK1589" s="2">
        <f t="shared" si="25"/>
        <v>0</v>
      </c>
      <c r="AL1589" s="2">
        <f t="shared" si="26"/>
        <v>0</v>
      </c>
      <c r="AM1589" s="2">
        <f t="shared" si="27"/>
        <v>0</v>
      </c>
      <c r="AN1589" s="2">
        <f t="shared" si="28"/>
        <v>0</v>
      </c>
      <c r="AO1589" s="2">
        <f t="shared" si="29"/>
      </c>
      <c r="AP1589" s="2">
        <f t="shared" si="30"/>
      </c>
      <c r="AQ1589" s="2">
        <f t="shared" si="31"/>
      </c>
    </row>
    <row r="1590">
      <c r="A1590" s="43">
        <f t="shared" si="3"/>
      </c>
      <c r="B1590" s="44" t="n"/>
      <c r="C1590" s="45" t="n"/>
      <c r="D1590" s="46" t="n"/>
      <c r="E1590" s="47" t="n"/>
      <c r="F1590" s="47" t="n"/>
      <c r="G1590" s="48">
        <f t="shared" si="4"/>
      </c>
      <c r="H1590" s="43">
        <f t="shared" si="0"/>
      </c>
      <c r="I1590" s="43">
        <f t="shared" si="5"/>
      </c>
      <c r="J1590" s="43">
        <f t="shared" si="1"/>
      </c>
      <c r="K1590" s="49">
        <f t="shared" si="2"/>
      </c>
      <c r="L1590" s="45" t="n"/>
      <c r="M1590" s="45" t="n"/>
      <c r="N1590" s="45" t="n"/>
      <c r="O1590" s="45" t="n"/>
      <c r="P1590" s="50" t="n"/>
      <c r="R1590" s="2">
        <f t="shared" si="6"/>
        <v>0</v>
      </c>
      <c r="S1590" s="2">
        <f t="shared" si="7"/>
      </c>
      <c r="T1590" s="2">
        <f t="shared" si="8"/>
      </c>
      <c r="U1590" s="2">
        <f t="shared" si="9"/>
      </c>
      <c r="V1590" s="2">
        <f t="shared" si="10"/>
      </c>
      <c r="W1590" s="2">
        <f t="shared" si="11"/>
      </c>
      <c r="X1590" s="2">
        <f t="shared" si="12"/>
      </c>
      <c r="Y1590" s="2">
        <f t="shared" si="13"/>
        <v>0</v>
      </c>
      <c r="Z1590" s="2">
        <f t="shared" si="14"/>
      </c>
      <c r="AA1590" s="2">
        <f t="shared" si="15"/>
        <v>0</v>
      </c>
      <c r="AB1590" s="2">
        <f t="shared" si="16"/>
      </c>
      <c r="AC1590" s="2">
        <f t="shared" si="17"/>
      </c>
      <c r="AD1590" s="2">
        <f t="shared" si="18"/>
      </c>
      <c r="AE1590" s="2">
        <f t="shared" si="19"/>
      </c>
      <c r="AF1590" s="2">
        <f t="shared" si="20"/>
      </c>
      <c r="AG1590" s="2">
        <f t="shared" si="21"/>
      </c>
      <c r="AH1590" s="2">
        <f t="shared" si="22"/>
      </c>
      <c r="AI1590" s="2">
        <f t="shared" si="23"/>
      </c>
      <c r="AJ1590" s="2">
        <f t="shared" si="24"/>
        <v>0</v>
      </c>
      <c r="AK1590" s="2">
        <f t="shared" si="25"/>
        <v>0</v>
      </c>
      <c r="AL1590" s="2">
        <f t="shared" si="26"/>
        <v>0</v>
      </c>
      <c r="AM1590" s="2">
        <f t="shared" si="27"/>
        <v>0</v>
      </c>
      <c r="AN1590" s="2">
        <f t="shared" si="28"/>
        <v>0</v>
      </c>
      <c r="AO1590" s="2">
        <f t="shared" si="29"/>
      </c>
      <c r="AP1590" s="2">
        <f t="shared" si="30"/>
      </c>
      <c r="AQ1590" s="2">
        <f t="shared" si="31"/>
      </c>
    </row>
    <row r="1591">
      <c r="A1591" s="43">
        <f t="shared" si="3"/>
      </c>
      <c r="B1591" s="44" t="n"/>
      <c r="C1591" s="45" t="n"/>
      <c r="D1591" s="46" t="n"/>
      <c r="E1591" s="47" t="n"/>
      <c r="F1591" s="47" t="n"/>
      <c r="G1591" s="48">
        <f t="shared" si="4"/>
      </c>
      <c r="H1591" s="43">
        <f t="shared" si="0"/>
      </c>
      <c r="I1591" s="43">
        <f t="shared" si="5"/>
      </c>
      <c r="J1591" s="43">
        <f t="shared" si="1"/>
      </c>
      <c r="K1591" s="49">
        <f t="shared" si="2"/>
      </c>
      <c r="L1591" s="45" t="n"/>
      <c r="M1591" s="45" t="n"/>
      <c r="N1591" s="45" t="n"/>
      <c r="O1591" s="45" t="n"/>
      <c r="P1591" s="50" t="n"/>
      <c r="R1591" s="2">
        <f t="shared" si="6"/>
        <v>0</v>
      </c>
      <c r="S1591" s="2">
        <f t="shared" si="7"/>
      </c>
      <c r="T1591" s="2">
        <f t="shared" si="8"/>
      </c>
      <c r="U1591" s="2">
        <f t="shared" si="9"/>
      </c>
      <c r="V1591" s="2">
        <f t="shared" si="10"/>
      </c>
      <c r="W1591" s="2">
        <f t="shared" si="11"/>
      </c>
      <c r="X1591" s="2">
        <f t="shared" si="12"/>
      </c>
      <c r="Y1591" s="2">
        <f t="shared" si="13"/>
        <v>0</v>
      </c>
      <c r="Z1591" s="2">
        <f t="shared" si="14"/>
      </c>
      <c r="AA1591" s="2">
        <f t="shared" si="15"/>
        <v>0</v>
      </c>
      <c r="AB1591" s="2">
        <f t="shared" si="16"/>
      </c>
      <c r="AC1591" s="2">
        <f t="shared" si="17"/>
      </c>
      <c r="AD1591" s="2">
        <f t="shared" si="18"/>
      </c>
      <c r="AE1591" s="2">
        <f t="shared" si="19"/>
      </c>
      <c r="AF1591" s="2">
        <f t="shared" si="20"/>
      </c>
      <c r="AG1591" s="2">
        <f t="shared" si="21"/>
      </c>
      <c r="AH1591" s="2">
        <f t="shared" si="22"/>
      </c>
      <c r="AI1591" s="2">
        <f t="shared" si="23"/>
      </c>
      <c r="AJ1591" s="2">
        <f t="shared" si="24"/>
        <v>0</v>
      </c>
      <c r="AK1591" s="2">
        <f t="shared" si="25"/>
        <v>0</v>
      </c>
      <c r="AL1591" s="2">
        <f t="shared" si="26"/>
        <v>0</v>
      </c>
      <c r="AM1591" s="2">
        <f t="shared" si="27"/>
        <v>0</v>
      </c>
      <c r="AN1591" s="2">
        <f t="shared" si="28"/>
        <v>0</v>
      </c>
      <c r="AO1591" s="2">
        <f t="shared" si="29"/>
      </c>
      <c r="AP1591" s="2">
        <f t="shared" si="30"/>
      </c>
      <c r="AQ1591" s="2">
        <f t="shared" si="31"/>
      </c>
    </row>
    <row r="1592">
      <c r="A1592" s="43">
        <f t="shared" si="3"/>
      </c>
      <c r="B1592" s="44" t="n"/>
      <c r="C1592" s="45" t="n"/>
      <c r="D1592" s="46" t="n"/>
      <c r="E1592" s="47" t="n"/>
      <c r="F1592" s="47" t="n"/>
      <c r="G1592" s="48">
        <f t="shared" si="4"/>
      </c>
      <c r="H1592" s="43">
        <f t="shared" si="0"/>
      </c>
      <c r="I1592" s="43">
        <f t="shared" si="5"/>
      </c>
      <c r="J1592" s="43">
        <f t="shared" si="1"/>
      </c>
      <c r="K1592" s="49">
        <f t="shared" si="2"/>
      </c>
      <c r="L1592" s="45" t="n"/>
      <c r="M1592" s="45" t="n"/>
      <c r="N1592" s="45" t="n"/>
      <c r="O1592" s="45" t="n"/>
      <c r="P1592" s="50" t="n"/>
      <c r="R1592" s="2">
        <f t="shared" si="6"/>
        <v>0</v>
      </c>
      <c r="S1592" s="2">
        <f t="shared" si="7"/>
      </c>
      <c r="T1592" s="2">
        <f t="shared" si="8"/>
      </c>
      <c r="U1592" s="2">
        <f t="shared" si="9"/>
      </c>
      <c r="V1592" s="2">
        <f t="shared" si="10"/>
      </c>
      <c r="W1592" s="2">
        <f t="shared" si="11"/>
      </c>
      <c r="X1592" s="2">
        <f t="shared" si="12"/>
      </c>
      <c r="Y1592" s="2">
        <f t="shared" si="13"/>
        <v>0</v>
      </c>
      <c r="Z1592" s="2">
        <f t="shared" si="14"/>
      </c>
      <c r="AA1592" s="2">
        <f t="shared" si="15"/>
        <v>0</v>
      </c>
      <c r="AB1592" s="2">
        <f t="shared" si="16"/>
      </c>
      <c r="AC1592" s="2">
        <f t="shared" si="17"/>
      </c>
      <c r="AD1592" s="2">
        <f t="shared" si="18"/>
      </c>
      <c r="AE1592" s="2">
        <f t="shared" si="19"/>
      </c>
      <c r="AF1592" s="2">
        <f t="shared" si="20"/>
      </c>
      <c r="AG1592" s="2">
        <f t="shared" si="21"/>
      </c>
      <c r="AH1592" s="2">
        <f t="shared" si="22"/>
      </c>
      <c r="AI1592" s="2">
        <f t="shared" si="23"/>
      </c>
      <c r="AJ1592" s="2">
        <f t="shared" si="24"/>
        <v>0</v>
      </c>
      <c r="AK1592" s="2">
        <f t="shared" si="25"/>
        <v>0</v>
      </c>
      <c r="AL1592" s="2">
        <f t="shared" si="26"/>
        <v>0</v>
      </c>
      <c r="AM1592" s="2">
        <f t="shared" si="27"/>
        <v>0</v>
      </c>
      <c r="AN1592" s="2">
        <f t="shared" si="28"/>
        <v>0</v>
      </c>
      <c r="AO1592" s="2">
        <f t="shared" si="29"/>
      </c>
      <c r="AP1592" s="2">
        <f t="shared" si="30"/>
      </c>
      <c r="AQ1592" s="2">
        <f t="shared" si="31"/>
      </c>
    </row>
    <row r="1593">
      <c r="A1593" s="43">
        <f t="shared" si="3"/>
      </c>
      <c r="B1593" s="44" t="n"/>
      <c r="C1593" s="45" t="n"/>
      <c r="D1593" s="46" t="n"/>
      <c r="E1593" s="47" t="n"/>
      <c r="F1593" s="47" t="n"/>
      <c r="G1593" s="48">
        <f t="shared" si="4"/>
      </c>
      <c r="H1593" s="43">
        <f t="shared" si="0"/>
      </c>
      <c r="I1593" s="43">
        <f t="shared" si="5"/>
      </c>
      <c r="J1593" s="43">
        <f t="shared" si="1"/>
      </c>
      <c r="K1593" s="49">
        <f t="shared" si="2"/>
      </c>
      <c r="L1593" s="45" t="n"/>
      <c r="M1593" s="45" t="n"/>
      <c r="N1593" s="45" t="n"/>
      <c r="O1593" s="45" t="n"/>
      <c r="P1593" s="50" t="n"/>
      <c r="R1593" s="2">
        <f t="shared" si="6"/>
        <v>0</v>
      </c>
      <c r="S1593" s="2">
        <f t="shared" si="7"/>
      </c>
      <c r="T1593" s="2">
        <f t="shared" si="8"/>
      </c>
      <c r="U1593" s="2">
        <f t="shared" si="9"/>
      </c>
      <c r="V1593" s="2">
        <f t="shared" si="10"/>
      </c>
      <c r="W1593" s="2">
        <f t="shared" si="11"/>
      </c>
      <c r="X1593" s="2">
        <f t="shared" si="12"/>
      </c>
      <c r="Y1593" s="2">
        <f t="shared" si="13"/>
        <v>0</v>
      </c>
      <c r="Z1593" s="2">
        <f t="shared" si="14"/>
      </c>
      <c r="AA1593" s="2">
        <f t="shared" si="15"/>
        <v>0</v>
      </c>
      <c r="AB1593" s="2">
        <f t="shared" si="16"/>
      </c>
      <c r="AC1593" s="2">
        <f t="shared" si="17"/>
      </c>
      <c r="AD1593" s="2">
        <f t="shared" si="18"/>
      </c>
      <c r="AE1593" s="2">
        <f t="shared" si="19"/>
      </c>
      <c r="AF1593" s="2">
        <f t="shared" si="20"/>
      </c>
      <c r="AG1593" s="2">
        <f t="shared" si="21"/>
      </c>
      <c r="AH1593" s="2">
        <f t="shared" si="22"/>
      </c>
      <c r="AI1593" s="2">
        <f t="shared" si="23"/>
      </c>
      <c r="AJ1593" s="2">
        <f t="shared" si="24"/>
        <v>0</v>
      </c>
      <c r="AK1593" s="2">
        <f t="shared" si="25"/>
        <v>0</v>
      </c>
      <c r="AL1593" s="2">
        <f t="shared" si="26"/>
        <v>0</v>
      </c>
      <c r="AM1593" s="2">
        <f t="shared" si="27"/>
        <v>0</v>
      </c>
      <c r="AN1593" s="2">
        <f t="shared" si="28"/>
        <v>0</v>
      </c>
      <c r="AO1593" s="2">
        <f t="shared" si="29"/>
      </c>
      <c r="AP1593" s="2">
        <f t="shared" si="30"/>
      </c>
      <c r="AQ1593" s="2">
        <f t="shared" si="31"/>
      </c>
    </row>
    <row r="1594">
      <c r="A1594" s="43">
        <f t="shared" si="3"/>
      </c>
      <c r="B1594" s="44" t="n"/>
      <c r="C1594" s="45" t="n"/>
      <c r="D1594" s="46" t="n"/>
      <c r="E1594" s="47" t="n"/>
      <c r="F1594" s="47" t="n"/>
      <c r="G1594" s="48">
        <f t="shared" si="4"/>
      </c>
      <c r="H1594" s="43">
        <f t="shared" si="0"/>
      </c>
      <c r="I1594" s="43">
        <f t="shared" si="5"/>
      </c>
      <c r="J1594" s="43">
        <f t="shared" si="1"/>
      </c>
      <c r="K1594" s="49">
        <f t="shared" si="2"/>
      </c>
      <c r="L1594" s="45" t="n"/>
      <c r="M1594" s="45" t="n"/>
      <c r="N1594" s="45" t="n"/>
      <c r="O1594" s="45" t="n"/>
      <c r="P1594" s="50" t="n"/>
      <c r="R1594" s="2">
        <f t="shared" si="6"/>
        <v>0</v>
      </c>
      <c r="S1594" s="2">
        <f t="shared" si="7"/>
      </c>
      <c r="T1594" s="2">
        <f t="shared" si="8"/>
      </c>
      <c r="U1594" s="2">
        <f t="shared" si="9"/>
      </c>
      <c r="V1594" s="2">
        <f t="shared" si="10"/>
      </c>
      <c r="W1594" s="2">
        <f t="shared" si="11"/>
      </c>
      <c r="X1594" s="2">
        <f t="shared" si="12"/>
      </c>
      <c r="Y1594" s="2">
        <f t="shared" si="13"/>
        <v>0</v>
      </c>
      <c r="Z1594" s="2">
        <f t="shared" si="14"/>
      </c>
      <c r="AA1594" s="2">
        <f t="shared" si="15"/>
        <v>0</v>
      </c>
      <c r="AB1594" s="2">
        <f t="shared" si="16"/>
      </c>
      <c r="AC1594" s="2">
        <f t="shared" si="17"/>
      </c>
      <c r="AD1594" s="2">
        <f t="shared" si="18"/>
      </c>
      <c r="AE1594" s="2">
        <f t="shared" si="19"/>
      </c>
      <c r="AF1594" s="2">
        <f t="shared" si="20"/>
      </c>
      <c r="AG1594" s="2">
        <f t="shared" si="21"/>
      </c>
      <c r="AH1594" s="2">
        <f t="shared" si="22"/>
      </c>
      <c r="AI1594" s="2">
        <f t="shared" si="23"/>
      </c>
      <c r="AJ1594" s="2">
        <f t="shared" si="24"/>
        <v>0</v>
      </c>
      <c r="AK1594" s="2">
        <f t="shared" si="25"/>
        <v>0</v>
      </c>
      <c r="AL1594" s="2">
        <f t="shared" si="26"/>
        <v>0</v>
      </c>
      <c r="AM1594" s="2">
        <f t="shared" si="27"/>
        <v>0</v>
      </c>
      <c r="AN1594" s="2">
        <f t="shared" si="28"/>
        <v>0</v>
      </c>
      <c r="AO1594" s="2">
        <f t="shared" si="29"/>
      </c>
      <c r="AP1594" s="2">
        <f t="shared" si="30"/>
      </c>
      <c r="AQ1594" s="2">
        <f t="shared" si="31"/>
      </c>
    </row>
    <row r="1595">
      <c r="A1595" s="43">
        <f t="shared" si="3"/>
      </c>
      <c r="B1595" s="44" t="n"/>
      <c r="C1595" s="45" t="n"/>
      <c r="D1595" s="46" t="n"/>
      <c r="E1595" s="47" t="n"/>
      <c r="F1595" s="47" t="n"/>
      <c r="G1595" s="48">
        <f t="shared" si="4"/>
      </c>
      <c r="H1595" s="43">
        <f t="shared" si="0"/>
      </c>
      <c r="I1595" s="43">
        <f t="shared" si="5"/>
      </c>
      <c r="J1595" s="43">
        <f t="shared" si="1"/>
      </c>
      <c r="K1595" s="49">
        <f t="shared" si="2"/>
      </c>
      <c r="L1595" s="45" t="n"/>
      <c r="M1595" s="45" t="n"/>
      <c r="N1595" s="45" t="n"/>
      <c r="O1595" s="45" t="n"/>
      <c r="P1595" s="50" t="n"/>
      <c r="R1595" s="2">
        <f t="shared" si="6"/>
        <v>0</v>
      </c>
      <c r="S1595" s="2">
        <f t="shared" si="7"/>
      </c>
      <c r="T1595" s="2">
        <f t="shared" si="8"/>
      </c>
      <c r="U1595" s="2">
        <f t="shared" si="9"/>
      </c>
      <c r="V1595" s="2">
        <f t="shared" si="10"/>
      </c>
      <c r="W1595" s="2">
        <f t="shared" si="11"/>
      </c>
      <c r="X1595" s="2">
        <f t="shared" si="12"/>
      </c>
      <c r="Y1595" s="2">
        <f t="shared" si="13"/>
        <v>0</v>
      </c>
      <c r="Z1595" s="2">
        <f t="shared" si="14"/>
      </c>
      <c r="AA1595" s="2">
        <f t="shared" si="15"/>
        <v>0</v>
      </c>
      <c r="AB1595" s="2">
        <f t="shared" si="16"/>
      </c>
      <c r="AC1595" s="2">
        <f t="shared" si="17"/>
      </c>
      <c r="AD1595" s="2">
        <f t="shared" si="18"/>
      </c>
      <c r="AE1595" s="2">
        <f t="shared" si="19"/>
      </c>
      <c r="AF1595" s="2">
        <f t="shared" si="20"/>
      </c>
      <c r="AG1595" s="2">
        <f t="shared" si="21"/>
      </c>
      <c r="AH1595" s="2">
        <f t="shared" si="22"/>
      </c>
      <c r="AI1595" s="2">
        <f t="shared" si="23"/>
      </c>
      <c r="AJ1595" s="2">
        <f t="shared" si="24"/>
        <v>0</v>
      </c>
      <c r="AK1595" s="2">
        <f t="shared" si="25"/>
        <v>0</v>
      </c>
      <c r="AL1595" s="2">
        <f t="shared" si="26"/>
        <v>0</v>
      </c>
      <c r="AM1595" s="2">
        <f t="shared" si="27"/>
        <v>0</v>
      </c>
      <c r="AN1595" s="2">
        <f t="shared" si="28"/>
        <v>0</v>
      </c>
      <c r="AO1595" s="2">
        <f t="shared" si="29"/>
      </c>
      <c r="AP1595" s="2">
        <f t="shared" si="30"/>
      </c>
      <c r="AQ1595" s="2">
        <f t="shared" si="31"/>
      </c>
    </row>
    <row r="1596">
      <c r="A1596" s="43">
        <f t="shared" si="3"/>
      </c>
      <c r="B1596" s="44" t="n"/>
      <c r="C1596" s="45" t="n"/>
      <c r="D1596" s="46" t="n"/>
      <c r="E1596" s="47" t="n"/>
      <c r="F1596" s="47" t="n"/>
      <c r="G1596" s="48">
        <f t="shared" si="4"/>
      </c>
      <c r="H1596" s="43">
        <f t="shared" si="0"/>
      </c>
      <c r="I1596" s="43">
        <f t="shared" si="5"/>
      </c>
      <c r="J1596" s="43">
        <f t="shared" si="1"/>
      </c>
      <c r="K1596" s="49">
        <f t="shared" si="2"/>
      </c>
      <c r="L1596" s="45" t="n"/>
      <c r="M1596" s="45" t="n"/>
      <c r="N1596" s="45" t="n"/>
      <c r="O1596" s="45" t="n"/>
      <c r="P1596" s="50" t="n"/>
      <c r="R1596" s="2">
        <f t="shared" si="6"/>
        <v>0</v>
      </c>
      <c r="S1596" s="2">
        <f t="shared" si="7"/>
      </c>
      <c r="T1596" s="2">
        <f t="shared" si="8"/>
      </c>
      <c r="U1596" s="2">
        <f t="shared" si="9"/>
      </c>
      <c r="V1596" s="2">
        <f t="shared" si="10"/>
      </c>
      <c r="W1596" s="2">
        <f t="shared" si="11"/>
      </c>
      <c r="X1596" s="2">
        <f t="shared" si="12"/>
      </c>
      <c r="Y1596" s="2">
        <f t="shared" si="13"/>
        <v>0</v>
      </c>
      <c r="Z1596" s="2">
        <f t="shared" si="14"/>
      </c>
      <c r="AA1596" s="2">
        <f t="shared" si="15"/>
        <v>0</v>
      </c>
      <c r="AB1596" s="2">
        <f t="shared" si="16"/>
      </c>
      <c r="AC1596" s="2">
        <f t="shared" si="17"/>
      </c>
      <c r="AD1596" s="2">
        <f t="shared" si="18"/>
      </c>
      <c r="AE1596" s="2">
        <f t="shared" si="19"/>
      </c>
      <c r="AF1596" s="2">
        <f t="shared" si="20"/>
      </c>
      <c r="AG1596" s="2">
        <f t="shared" si="21"/>
      </c>
      <c r="AH1596" s="2">
        <f t="shared" si="22"/>
      </c>
      <c r="AI1596" s="2">
        <f t="shared" si="23"/>
      </c>
      <c r="AJ1596" s="2">
        <f t="shared" si="24"/>
        <v>0</v>
      </c>
      <c r="AK1596" s="2">
        <f t="shared" si="25"/>
        <v>0</v>
      </c>
      <c r="AL1596" s="2">
        <f t="shared" si="26"/>
        <v>0</v>
      </c>
      <c r="AM1596" s="2">
        <f t="shared" si="27"/>
        <v>0</v>
      </c>
      <c r="AN1596" s="2">
        <f t="shared" si="28"/>
        <v>0</v>
      </c>
      <c r="AO1596" s="2">
        <f t="shared" si="29"/>
      </c>
      <c r="AP1596" s="2">
        <f t="shared" si="30"/>
      </c>
      <c r="AQ1596" s="2">
        <f t="shared" si="31"/>
      </c>
    </row>
    <row r="1597">
      <c r="A1597" s="43">
        <f t="shared" si="3"/>
      </c>
      <c r="B1597" s="44" t="n"/>
      <c r="C1597" s="45" t="n"/>
      <c r="D1597" s="46" t="n"/>
      <c r="E1597" s="47" t="n"/>
      <c r="F1597" s="47" t="n"/>
      <c r="G1597" s="48">
        <f t="shared" si="4"/>
      </c>
      <c r="H1597" s="43">
        <f t="shared" si="0"/>
      </c>
      <c r="I1597" s="43">
        <f t="shared" si="5"/>
      </c>
      <c r="J1597" s="43">
        <f t="shared" si="1"/>
      </c>
      <c r="K1597" s="49">
        <f t="shared" si="2"/>
      </c>
      <c r="L1597" s="45" t="n"/>
      <c r="M1597" s="45" t="n"/>
      <c r="N1597" s="45" t="n"/>
      <c r="O1597" s="45" t="n"/>
      <c r="P1597" s="50" t="n"/>
      <c r="R1597" s="2">
        <f t="shared" si="6"/>
        <v>0</v>
      </c>
      <c r="S1597" s="2">
        <f t="shared" si="7"/>
      </c>
      <c r="T1597" s="2">
        <f t="shared" si="8"/>
      </c>
      <c r="U1597" s="2">
        <f t="shared" si="9"/>
      </c>
      <c r="V1597" s="2">
        <f t="shared" si="10"/>
      </c>
      <c r="W1597" s="2">
        <f t="shared" si="11"/>
      </c>
      <c r="X1597" s="2">
        <f t="shared" si="12"/>
      </c>
      <c r="Y1597" s="2">
        <f t="shared" si="13"/>
        <v>0</v>
      </c>
      <c r="Z1597" s="2">
        <f t="shared" si="14"/>
      </c>
      <c r="AA1597" s="2">
        <f t="shared" si="15"/>
        <v>0</v>
      </c>
      <c r="AB1597" s="2">
        <f t="shared" si="16"/>
      </c>
      <c r="AC1597" s="2">
        <f t="shared" si="17"/>
      </c>
      <c r="AD1597" s="2">
        <f t="shared" si="18"/>
      </c>
      <c r="AE1597" s="2">
        <f t="shared" si="19"/>
      </c>
      <c r="AF1597" s="2">
        <f t="shared" si="20"/>
      </c>
      <c r="AG1597" s="2">
        <f t="shared" si="21"/>
      </c>
      <c r="AH1597" s="2">
        <f t="shared" si="22"/>
      </c>
      <c r="AI1597" s="2">
        <f t="shared" si="23"/>
      </c>
      <c r="AJ1597" s="2">
        <f t="shared" si="24"/>
        <v>0</v>
      </c>
      <c r="AK1597" s="2">
        <f t="shared" si="25"/>
        <v>0</v>
      </c>
      <c r="AL1597" s="2">
        <f t="shared" si="26"/>
        <v>0</v>
      </c>
      <c r="AM1597" s="2">
        <f t="shared" si="27"/>
        <v>0</v>
      </c>
      <c r="AN1597" s="2">
        <f t="shared" si="28"/>
        <v>0</v>
      </c>
      <c r="AO1597" s="2">
        <f t="shared" si="29"/>
      </c>
      <c r="AP1597" s="2">
        <f t="shared" si="30"/>
      </c>
      <c r="AQ1597" s="2">
        <f t="shared" si="31"/>
      </c>
    </row>
    <row r="1598">
      <c r="A1598" s="43">
        <f t="shared" si="3"/>
      </c>
      <c r="B1598" s="44" t="n"/>
      <c r="C1598" s="45" t="n"/>
      <c r="D1598" s="46" t="n"/>
      <c r="E1598" s="47" t="n"/>
      <c r="F1598" s="47" t="n"/>
      <c r="G1598" s="48">
        <f t="shared" si="4"/>
      </c>
      <c r="H1598" s="43">
        <f t="shared" si="0"/>
      </c>
      <c r="I1598" s="43">
        <f t="shared" si="5"/>
      </c>
      <c r="J1598" s="43">
        <f t="shared" si="1"/>
      </c>
      <c r="K1598" s="49">
        <f t="shared" si="2"/>
      </c>
      <c r="L1598" s="45" t="n"/>
      <c r="M1598" s="45" t="n"/>
      <c r="N1598" s="45" t="n"/>
      <c r="O1598" s="45" t="n"/>
      <c r="P1598" s="50" t="n"/>
      <c r="R1598" s="2">
        <f t="shared" si="6"/>
        <v>0</v>
      </c>
      <c r="S1598" s="2">
        <f t="shared" si="7"/>
      </c>
      <c r="T1598" s="2">
        <f t="shared" si="8"/>
      </c>
      <c r="U1598" s="2">
        <f t="shared" si="9"/>
      </c>
      <c r="V1598" s="2">
        <f t="shared" si="10"/>
      </c>
      <c r="W1598" s="2">
        <f t="shared" si="11"/>
      </c>
      <c r="X1598" s="2">
        <f t="shared" si="12"/>
      </c>
      <c r="Y1598" s="2">
        <f t="shared" si="13"/>
        <v>0</v>
      </c>
      <c r="Z1598" s="2">
        <f t="shared" si="14"/>
      </c>
      <c r="AA1598" s="2">
        <f t="shared" si="15"/>
        <v>0</v>
      </c>
      <c r="AB1598" s="2">
        <f t="shared" si="16"/>
      </c>
      <c r="AC1598" s="2">
        <f t="shared" si="17"/>
      </c>
      <c r="AD1598" s="2">
        <f t="shared" si="18"/>
      </c>
      <c r="AE1598" s="2">
        <f t="shared" si="19"/>
      </c>
      <c r="AF1598" s="2">
        <f t="shared" si="20"/>
      </c>
      <c r="AG1598" s="2">
        <f t="shared" si="21"/>
      </c>
      <c r="AH1598" s="2">
        <f t="shared" si="22"/>
      </c>
      <c r="AI1598" s="2">
        <f t="shared" si="23"/>
      </c>
      <c r="AJ1598" s="2">
        <f t="shared" si="24"/>
        <v>0</v>
      </c>
      <c r="AK1598" s="2">
        <f t="shared" si="25"/>
        <v>0</v>
      </c>
      <c r="AL1598" s="2">
        <f t="shared" si="26"/>
        <v>0</v>
      </c>
      <c r="AM1598" s="2">
        <f t="shared" si="27"/>
        <v>0</v>
      </c>
      <c r="AN1598" s="2">
        <f t="shared" si="28"/>
        <v>0</v>
      </c>
      <c r="AO1598" s="2">
        <f t="shared" si="29"/>
      </c>
      <c r="AP1598" s="2">
        <f t="shared" si="30"/>
      </c>
      <c r="AQ1598" s="2">
        <f t="shared" si="31"/>
      </c>
    </row>
    <row r="1599">
      <c r="A1599" s="43">
        <f t="shared" si="3"/>
      </c>
      <c r="B1599" s="44" t="n"/>
      <c r="C1599" s="45" t="n"/>
      <c r="D1599" s="46" t="n"/>
      <c r="E1599" s="47" t="n"/>
      <c r="F1599" s="47" t="n"/>
      <c r="G1599" s="48">
        <f t="shared" si="4"/>
      </c>
      <c r="H1599" s="43">
        <f t="shared" si="0"/>
      </c>
      <c r="I1599" s="43">
        <f t="shared" si="5"/>
      </c>
      <c r="J1599" s="43">
        <f t="shared" si="1"/>
      </c>
      <c r="K1599" s="49">
        <f t="shared" si="2"/>
      </c>
      <c r="L1599" s="45" t="n"/>
      <c r="M1599" s="45" t="n"/>
      <c r="N1599" s="45" t="n"/>
      <c r="O1599" s="45" t="n"/>
      <c r="P1599" s="50" t="n"/>
      <c r="R1599" s="2">
        <f t="shared" si="6"/>
        <v>0</v>
      </c>
      <c r="S1599" s="2">
        <f t="shared" si="7"/>
      </c>
      <c r="T1599" s="2">
        <f t="shared" si="8"/>
      </c>
      <c r="U1599" s="2">
        <f t="shared" si="9"/>
      </c>
      <c r="V1599" s="2">
        <f t="shared" si="10"/>
      </c>
      <c r="W1599" s="2">
        <f t="shared" si="11"/>
      </c>
      <c r="X1599" s="2">
        <f t="shared" si="12"/>
      </c>
      <c r="Y1599" s="2">
        <f t="shared" si="13"/>
        <v>0</v>
      </c>
      <c r="Z1599" s="2">
        <f t="shared" si="14"/>
      </c>
      <c r="AA1599" s="2">
        <f t="shared" si="15"/>
        <v>0</v>
      </c>
      <c r="AB1599" s="2">
        <f t="shared" si="16"/>
      </c>
      <c r="AC1599" s="2">
        <f t="shared" si="17"/>
      </c>
      <c r="AD1599" s="2">
        <f t="shared" si="18"/>
      </c>
      <c r="AE1599" s="2">
        <f t="shared" si="19"/>
      </c>
      <c r="AF1599" s="2">
        <f t="shared" si="20"/>
      </c>
      <c r="AG1599" s="2">
        <f t="shared" si="21"/>
      </c>
      <c r="AH1599" s="2">
        <f t="shared" si="22"/>
      </c>
      <c r="AI1599" s="2">
        <f t="shared" si="23"/>
      </c>
      <c r="AJ1599" s="2">
        <f t="shared" si="24"/>
        <v>0</v>
      </c>
      <c r="AK1599" s="2">
        <f t="shared" si="25"/>
        <v>0</v>
      </c>
      <c r="AL1599" s="2">
        <f t="shared" si="26"/>
        <v>0</v>
      </c>
      <c r="AM1599" s="2">
        <f t="shared" si="27"/>
        <v>0</v>
      </c>
      <c r="AN1599" s="2">
        <f t="shared" si="28"/>
        <v>0</v>
      </c>
      <c r="AO1599" s="2">
        <f t="shared" si="29"/>
      </c>
      <c r="AP1599" s="2">
        <f t="shared" si="30"/>
      </c>
      <c r="AQ1599" s="2">
        <f t="shared" si="31"/>
      </c>
    </row>
    <row r="1600">
      <c r="A1600" s="43">
        <f t="shared" si="3"/>
      </c>
      <c r="B1600" s="44" t="n"/>
      <c r="C1600" s="45" t="n"/>
      <c r="D1600" s="46" t="n"/>
      <c r="E1600" s="47" t="n"/>
      <c r="F1600" s="47" t="n"/>
      <c r="G1600" s="48">
        <f t="shared" si="4"/>
      </c>
      <c r="H1600" s="43">
        <f t="shared" si="0"/>
      </c>
      <c r="I1600" s="43">
        <f t="shared" si="5"/>
      </c>
      <c r="J1600" s="43">
        <f t="shared" si="1"/>
      </c>
      <c r="K1600" s="49">
        <f t="shared" si="2"/>
      </c>
      <c r="L1600" s="45" t="n"/>
      <c r="M1600" s="45" t="n"/>
      <c r="N1600" s="45" t="n"/>
      <c r="O1600" s="45" t="n"/>
      <c r="P1600" s="50" t="n"/>
      <c r="R1600" s="2">
        <f t="shared" si="6"/>
        <v>0</v>
      </c>
      <c r="S1600" s="2">
        <f t="shared" si="7"/>
      </c>
      <c r="T1600" s="2">
        <f t="shared" si="8"/>
      </c>
      <c r="U1600" s="2">
        <f t="shared" si="9"/>
      </c>
      <c r="V1600" s="2">
        <f t="shared" si="10"/>
      </c>
      <c r="W1600" s="2">
        <f t="shared" si="11"/>
      </c>
      <c r="X1600" s="2">
        <f t="shared" si="12"/>
      </c>
      <c r="Y1600" s="2">
        <f t="shared" si="13"/>
        <v>0</v>
      </c>
      <c r="Z1600" s="2">
        <f t="shared" si="14"/>
      </c>
      <c r="AA1600" s="2">
        <f t="shared" si="15"/>
        <v>0</v>
      </c>
      <c r="AB1600" s="2">
        <f t="shared" si="16"/>
      </c>
      <c r="AC1600" s="2">
        <f t="shared" si="17"/>
      </c>
      <c r="AD1600" s="2">
        <f t="shared" si="18"/>
      </c>
      <c r="AE1600" s="2">
        <f t="shared" si="19"/>
      </c>
      <c r="AF1600" s="2">
        <f t="shared" si="20"/>
      </c>
      <c r="AG1600" s="2">
        <f t="shared" si="21"/>
      </c>
      <c r="AH1600" s="2">
        <f t="shared" si="22"/>
      </c>
      <c r="AI1600" s="2">
        <f t="shared" si="23"/>
      </c>
      <c r="AJ1600" s="2">
        <f t="shared" si="24"/>
        <v>0</v>
      </c>
      <c r="AK1600" s="2">
        <f t="shared" si="25"/>
        <v>0</v>
      </c>
      <c r="AL1600" s="2">
        <f t="shared" si="26"/>
        <v>0</v>
      </c>
      <c r="AM1600" s="2">
        <f t="shared" si="27"/>
        <v>0</v>
      </c>
      <c r="AN1600" s="2">
        <f t="shared" si="28"/>
        <v>0</v>
      </c>
      <c r="AO1600" s="2">
        <f t="shared" si="29"/>
      </c>
      <c r="AP1600" s="2">
        <f t="shared" si="30"/>
      </c>
      <c r="AQ1600" s="2">
        <f t="shared" si="31"/>
      </c>
    </row>
    <row r="1601">
      <c r="A1601" s="43">
        <f t="shared" si="3"/>
      </c>
      <c r="B1601" s="44" t="n"/>
      <c r="C1601" s="45" t="n"/>
      <c r="D1601" s="46" t="n"/>
      <c r="E1601" s="47" t="n"/>
      <c r="F1601" s="47" t="n"/>
      <c r="G1601" s="48">
        <f t="shared" si="4"/>
      </c>
      <c r="H1601" s="43">
        <f t="shared" si="0"/>
      </c>
      <c r="I1601" s="43">
        <f t="shared" si="5"/>
      </c>
      <c r="J1601" s="43">
        <f t="shared" si="1"/>
      </c>
      <c r="K1601" s="49">
        <f t="shared" si="2"/>
      </c>
      <c r="L1601" s="45" t="n"/>
      <c r="M1601" s="45" t="n"/>
      <c r="N1601" s="45" t="n"/>
      <c r="O1601" s="45" t="n"/>
      <c r="P1601" s="50" t="n"/>
      <c r="R1601" s="2">
        <f t="shared" si="6"/>
        <v>0</v>
      </c>
      <c r="S1601" s="2">
        <f t="shared" si="7"/>
      </c>
      <c r="T1601" s="2">
        <f t="shared" si="8"/>
      </c>
      <c r="U1601" s="2">
        <f t="shared" si="9"/>
      </c>
      <c r="V1601" s="2">
        <f t="shared" si="10"/>
      </c>
      <c r="W1601" s="2">
        <f t="shared" si="11"/>
      </c>
      <c r="X1601" s="2">
        <f t="shared" si="12"/>
      </c>
      <c r="Y1601" s="2">
        <f t="shared" si="13"/>
        <v>0</v>
      </c>
      <c r="Z1601" s="2">
        <f t="shared" si="14"/>
      </c>
      <c r="AA1601" s="2">
        <f t="shared" si="15"/>
        <v>0</v>
      </c>
      <c r="AB1601" s="2">
        <f t="shared" si="16"/>
      </c>
      <c r="AC1601" s="2">
        <f t="shared" si="17"/>
      </c>
      <c r="AD1601" s="2">
        <f t="shared" si="18"/>
      </c>
      <c r="AE1601" s="2">
        <f t="shared" si="19"/>
      </c>
      <c r="AF1601" s="2">
        <f t="shared" si="20"/>
      </c>
      <c r="AG1601" s="2">
        <f t="shared" si="21"/>
      </c>
      <c r="AH1601" s="2">
        <f t="shared" si="22"/>
      </c>
      <c r="AI1601" s="2">
        <f t="shared" si="23"/>
      </c>
      <c r="AJ1601" s="2">
        <f t="shared" si="24"/>
        <v>0</v>
      </c>
      <c r="AK1601" s="2">
        <f t="shared" si="25"/>
        <v>0</v>
      </c>
      <c r="AL1601" s="2">
        <f t="shared" si="26"/>
        <v>0</v>
      </c>
      <c r="AM1601" s="2">
        <f t="shared" si="27"/>
        <v>0</v>
      </c>
      <c r="AN1601" s="2">
        <f t="shared" si="28"/>
        <v>0</v>
      </c>
      <c r="AO1601" s="2">
        <f t="shared" si="29"/>
      </c>
      <c r="AP1601" s="2">
        <f t="shared" si="30"/>
      </c>
      <c r="AQ1601" s="2">
        <f t="shared" si="31"/>
      </c>
    </row>
    <row r="1602">
      <c r="A1602" s="43">
        <f t="shared" si="3"/>
      </c>
      <c r="B1602" s="44" t="n"/>
      <c r="C1602" s="45" t="n"/>
      <c r="D1602" s="46" t="n"/>
      <c r="E1602" s="47" t="n"/>
      <c r="F1602" s="47" t="n"/>
      <c r="G1602" s="48">
        <f t="shared" si="4"/>
      </c>
      <c r="H1602" s="43">
        <f t="shared" si="0"/>
      </c>
      <c r="I1602" s="43">
        <f t="shared" si="5"/>
      </c>
      <c r="J1602" s="43">
        <f t="shared" si="1"/>
      </c>
      <c r="K1602" s="49">
        <f t="shared" si="2"/>
      </c>
      <c r="L1602" s="45" t="n"/>
      <c r="M1602" s="45" t="n"/>
      <c r="N1602" s="45" t="n"/>
      <c r="O1602" s="45" t="n"/>
      <c r="P1602" s="50" t="n"/>
      <c r="R1602" s="2">
        <f t="shared" si="6"/>
        <v>0</v>
      </c>
      <c r="S1602" s="2">
        <f t="shared" si="7"/>
      </c>
      <c r="T1602" s="2">
        <f t="shared" si="8"/>
      </c>
      <c r="U1602" s="2">
        <f t="shared" si="9"/>
      </c>
      <c r="V1602" s="2">
        <f t="shared" si="10"/>
      </c>
      <c r="W1602" s="2">
        <f t="shared" si="11"/>
      </c>
      <c r="X1602" s="2">
        <f t="shared" si="12"/>
      </c>
      <c r="Y1602" s="2">
        <f t="shared" si="13"/>
        <v>0</v>
      </c>
      <c r="Z1602" s="2">
        <f t="shared" si="14"/>
      </c>
      <c r="AA1602" s="2">
        <f t="shared" si="15"/>
        <v>0</v>
      </c>
      <c r="AB1602" s="2">
        <f t="shared" si="16"/>
      </c>
      <c r="AC1602" s="2">
        <f t="shared" si="17"/>
      </c>
      <c r="AD1602" s="2">
        <f t="shared" si="18"/>
      </c>
      <c r="AE1602" s="2">
        <f t="shared" si="19"/>
      </c>
      <c r="AF1602" s="2">
        <f t="shared" si="20"/>
      </c>
      <c r="AG1602" s="2">
        <f t="shared" si="21"/>
      </c>
      <c r="AH1602" s="2">
        <f t="shared" si="22"/>
      </c>
      <c r="AI1602" s="2">
        <f t="shared" si="23"/>
      </c>
      <c r="AJ1602" s="2">
        <f t="shared" si="24"/>
        <v>0</v>
      </c>
      <c r="AK1602" s="2">
        <f t="shared" si="25"/>
        <v>0</v>
      </c>
      <c r="AL1602" s="2">
        <f t="shared" si="26"/>
        <v>0</v>
      </c>
      <c r="AM1602" s="2">
        <f t="shared" si="27"/>
        <v>0</v>
      </c>
      <c r="AN1602" s="2">
        <f t="shared" si="28"/>
        <v>0</v>
      </c>
      <c r="AO1602" s="2">
        <f t="shared" si="29"/>
      </c>
      <c r="AP1602" s="2">
        <f t="shared" si="30"/>
      </c>
      <c r="AQ1602" s="2">
        <f t="shared" si="31"/>
      </c>
    </row>
    <row r="1603">
      <c r="A1603" s="43">
        <f t="shared" si="3"/>
      </c>
      <c r="B1603" s="44" t="n"/>
      <c r="C1603" s="45" t="n"/>
      <c r="D1603" s="46" t="n"/>
      <c r="E1603" s="47" t="n"/>
      <c r="F1603" s="47" t="n"/>
      <c r="G1603" s="48">
        <f t="shared" si="4"/>
      </c>
      <c r="H1603" s="43">
        <f t="shared" si="0"/>
      </c>
      <c r="I1603" s="43">
        <f t="shared" si="5"/>
      </c>
      <c r="J1603" s="43">
        <f t="shared" si="1"/>
      </c>
      <c r="K1603" s="49">
        <f t="shared" si="2"/>
      </c>
      <c r="L1603" s="45" t="n"/>
      <c r="M1603" s="45" t="n"/>
      <c r="N1603" s="45" t="n"/>
      <c r="O1603" s="45" t="n"/>
      <c r="P1603" s="50" t="n"/>
      <c r="R1603" s="2">
        <f t="shared" si="6"/>
        <v>0</v>
      </c>
      <c r="S1603" s="2">
        <f t="shared" si="7"/>
      </c>
      <c r="T1603" s="2">
        <f t="shared" si="8"/>
      </c>
      <c r="U1603" s="2">
        <f t="shared" si="9"/>
      </c>
      <c r="V1603" s="2">
        <f t="shared" si="10"/>
      </c>
      <c r="W1603" s="2">
        <f t="shared" si="11"/>
      </c>
      <c r="X1603" s="2">
        <f t="shared" si="12"/>
      </c>
      <c r="Y1603" s="2">
        <f t="shared" si="13"/>
        <v>0</v>
      </c>
      <c r="Z1603" s="2">
        <f t="shared" si="14"/>
      </c>
      <c r="AA1603" s="2">
        <f t="shared" si="15"/>
        <v>0</v>
      </c>
      <c r="AB1603" s="2">
        <f t="shared" si="16"/>
      </c>
      <c r="AC1603" s="2">
        <f t="shared" si="17"/>
      </c>
      <c r="AD1603" s="2">
        <f t="shared" si="18"/>
      </c>
      <c r="AE1603" s="2">
        <f t="shared" si="19"/>
      </c>
      <c r="AF1603" s="2">
        <f t="shared" si="20"/>
      </c>
      <c r="AG1603" s="2">
        <f t="shared" si="21"/>
      </c>
      <c r="AH1603" s="2">
        <f t="shared" si="22"/>
      </c>
      <c r="AI1603" s="2">
        <f t="shared" si="23"/>
      </c>
      <c r="AJ1603" s="2">
        <f t="shared" si="24"/>
        <v>0</v>
      </c>
      <c r="AK1603" s="2">
        <f t="shared" si="25"/>
        <v>0</v>
      </c>
      <c r="AL1603" s="2">
        <f t="shared" si="26"/>
        <v>0</v>
      </c>
      <c r="AM1603" s="2">
        <f t="shared" si="27"/>
        <v>0</v>
      </c>
      <c r="AN1603" s="2">
        <f t="shared" si="28"/>
        <v>0</v>
      </c>
      <c r="AO1603" s="2">
        <f t="shared" si="29"/>
      </c>
      <c r="AP1603" s="2">
        <f t="shared" si="30"/>
      </c>
      <c r="AQ1603" s="2">
        <f t="shared" si="31"/>
      </c>
    </row>
    <row r="1604">
      <c r="A1604" s="43">
        <f t="shared" si="3"/>
      </c>
      <c r="B1604" s="44" t="n"/>
      <c r="C1604" s="45" t="n"/>
      <c r="D1604" s="46" t="n"/>
      <c r="E1604" s="47" t="n"/>
      <c r="F1604" s="47" t="n"/>
      <c r="G1604" s="48">
        <f t="shared" si="4"/>
      </c>
      <c r="H1604" s="43">
        <f t="shared" si="0"/>
      </c>
      <c r="I1604" s="43">
        <f t="shared" si="5"/>
      </c>
      <c r="J1604" s="43">
        <f t="shared" si="1"/>
      </c>
      <c r="K1604" s="49">
        <f t="shared" si="2"/>
      </c>
      <c r="L1604" s="45" t="n"/>
      <c r="M1604" s="45" t="n"/>
      <c r="N1604" s="45" t="n"/>
      <c r="O1604" s="45" t="n"/>
      <c r="P1604" s="50" t="n"/>
      <c r="R1604" s="2">
        <f t="shared" si="6"/>
        <v>0</v>
      </c>
      <c r="S1604" s="2">
        <f t="shared" si="7"/>
      </c>
      <c r="T1604" s="2">
        <f t="shared" si="8"/>
      </c>
      <c r="U1604" s="2">
        <f t="shared" si="9"/>
      </c>
      <c r="V1604" s="2">
        <f t="shared" si="10"/>
      </c>
      <c r="W1604" s="2">
        <f t="shared" si="11"/>
      </c>
      <c r="X1604" s="2">
        <f t="shared" si="12"/>
      </c>
      <c r="Y1604" s="2">
        <f t="shared" si="13"/>
        <v>0</v>
      </c>
      <c r="Z1604" s="2">
        <f t="shared" si="14"/>
      </c>
      <c r="AA1604" s="2">
        <f t="shared" si="15"/>
        <v>0</v>
      </c>
      <c r="AB1604" s="2">
        <f t="shared" si="16"/>
      </c>
      <c r="AC1604" s="2">
        <f t="shared" si="17"/>
      </c>
      <c r="AD1604" s="2">
        <f t="shared" si="18"/>
      </c>
      <c r="AE1604" s="2">
        <f t="shared" si="19"/>
      </c>
      <c r="AF1604" s="2">
        <f t="shared" si="20"/>
      </c>
      <c r="AG1604" s="2">
        <f t="shared" si="21"/>
      </c>
      <c r="AH1604" s="2">
        <f t="shared" si="22"/>
      </c>
      <c r="AI1604" s="2">
        <f t="shared" si="23"/>
      </c>
      <c r="AJ1604" s="2">
        <f t="shared" si="24"/>
        <v>0</v>
      </c>
      <c r="AK1604" s="2">
        <f t="shared" si="25"/>
        <v>0</v>
      </c>
      <c r="AL1604" s="2">
        <f t="shared" si="26"/>
        <v>0</v>
      </c>
      <c r="AM1604" s="2">
        <f t="shared" si="27"/>
        <v>0</v>
      </c>
      <c r="AN1604" s="2">
        <f t="shared" si="28"/>
        <v>0</v>
      </c>
      <c r="AO1604" s="2">
        <f t="shared" si="29"/>
      </c>
      <c r="AP1604" s="2">
        <f t="shared" si="30"/>
      </c>
      <c r="AQ1604" s="2">
        <f t="shared" si="31"/>
      </c>
    </row>
    <row r="1605">
      <c r="A1605" s="43">
        <f t="shared" si="3"/>
      </c>
      <c r="B1605" s="44" t="n"/>
      <c r="C1605" s="45" t="n"/>
      <c r="D1605" s="46" t="n"/>
      <c r="E1605" s="47" t="n"/>
      <c r="F1605" s="47" t="n"/>
      <c r="G1605" s="48">
        <f t="shared" si="4"/>
      </c>
      <c r="H1605" s="43">
        <f t="shared" si="0"/>
      </c>
      <c r="I1605" s="43">
        <f t="shared" si="5"/>
      </c>
      <c r="J1605" s="43">
        <f t="shared" si="1"/>
      </c>
      <c r="K1605" s="49">
        <f t="shared" si="2"/>
      </c>
      <c r="L1605" s="45" t="n"/>
      <c r="M1605" s="45" t="n"/>
      <c r="N1605" s="45" t="n"/>
      <c r="O1605" s="45" t="n"/>
      <c r="P1605" s="50" t="n"/>
      <c r="R1605" s="2">
        <f t="shared" si="6"/>
        <v>0</v>
      </c>
      <c r="S1605" s="2">
        <f t="shared" si="7"/>
      </c>
      <c r="T1605" s="2">
        <f t="shared" si="8"/>
      </c>
      <c r="U1605" s="2">
        <f t="shared" si="9"/>
      </c>
      <c r="V1605" s="2">
        <f t="shared" si="10"/>
      </c>
      <c r="W1605" s="2">
        <f t="shared" si="11"/>
      </c>
      <c r="X1605" s="2">
        <f t="shared" si="12"/>
      </c>
      <c r="Y1605" s="2">
        <f t="shared" si="13"/>
        <v>0</v>
      </c>
      <c r="Z1605" s="2">
        <f t="shared" si="14"/>
      </c>
      <c r="AA1605" s="2">
        <f t="shared" si="15"/>
        <v>0</v>
      </c>
      <c r="AB1605" s="2">
        <f t="shared" si="16"/>
      </c>
      <c r="AC1605" s="2">
        <f t="shared" si="17"/>
      </c>
      <c r="AD1605" s="2">
        <f t="shared" si="18"/>
      </c>
      <c r="AE1605" s="2">
        <f t="shared" si="19"/>
      </c>
      <c r="AF1605" s="2">
        <f t="shared" si="20"/>
      </c>
      <c r="AG1605" s="2">
        <f t="shared" si="21"/>
      </c>
      <c r="AH1605" s="2">
        <f t="shared" si="22"/>
      </c>
      <c r="AI1605" s="2">
        <f t="shared" si="23"/>
      </c>
      <c r="AJ1605" s="2">
        <f t="shared" si="24"/>
        <v>0</v>
      </c>
      <c r="AK1605" s="2">
        <f t="shared" si="25"/>
        <v>0</v>
      </c>
      <c r="AL1605" s="2">
        <f t="shared" si="26"/>
        <v>0</v>
      </c>
      <c r="AM1605" s="2">
        <f t="shared" si="27"/>
        <v>0</v>
      </c>
      <c r="AN1605" s="2">
        <f t="shared" si="28"/>
        <v>0</v>
      </c>
      <c r="AO1605" s="2">
        <f t="shared" si="29"/>
      </c>
      <c r="AP1605" s="2">
        <f t="shared" si="30"/>
      </c>
      <c r="AQ1605" s="2">
        <f t="shared" si="31"/>
      </c>
    </row>
    <row r="1606">
      <c r="A1606" s="43">
        <f t="shared" si="3"/>
      </c>
      <c r="B1606" s="44" t="n"/>
      <c r="C1606" s="45" t="n"/>
      <c r="D1606" s="46" t="n"/>
      <c r="E1606" s="47" t="n"/>
      <c r="F1606" s="47" t="n"/>
      <c r="G1606" s="48">
        <f t="shared" si="4"/>
      </c>
      <c r="H1606" s="43">
        <f t="shared" si="0"/>
      </c>
      <c r="I1606" s="43">
        <f t="shared" si="5"/>
      </c>
      <c r="J1606" s="43">
        <f t="shared" si="1"/>
      </c>
      <c r="K1606" s="49">
        <f t="shared" si="2"/>
      </c>
      <c r="L1606" s="45" t="n"/>
      <c r="M1606" s="45" t="n"/>
      <c r="N1606" s="45" t="n"/>
      <c r="O1606" s="45" t="n"/>
      <c r="P1606" s="50" t="n"/>
      <c r="R1606" s="2">
        <f t="shared" si="6"/>
        <v>0</v>
      </c>
      <c r="S1606" s="2">
        <f t="shared" si="7"/>
      </c>
      <c r="T1606" s="2">
        <f t="shared" si="8"/>
      </c>
      <c r="U1606" s="2">
        <f t="shared" si="9"/>
      </c>
      <c r="V1606" s="2">
        <f t="shared" si="10"/>
      </c>
      <c r="W1606" s="2">
        <f t="shared" si="11"/>
      </c>
      <c r="X1606" s="2">
        <f t="shared" si="12"/>
      </c>
      <c r="Y1606" s="2">
        <f t="shared" si="13"/>
        <v>0</v>
      </c>
      <c r="Z1606" s="2">
        <f t="shared" si="14"/>
      </c>
      <c r="AA1606" s="2">
        <f t="shared" si="15"/>
        <v>0</v>
      </c>
      <c r="AB1606" s="2">
        <f t="shared" si="16"/>
      </c>
      <c r="AC1606" s="2">
        <f t="shared" si="17"/>
      </c>
      <c r="AD1606" s="2">
        <f t="shared" si="18"/>
      </c>
      <c r="AE1606" s="2">
        <f t="shared" si="19"/>
      </c>
      <c r="AF1606" s="2">
        <f t="shared" si="20"/>
      </c>
      <c r="AG1606" s="2">
        <f t="shared" si="21"/>
      </c>
      <c r="AH1606" s="2">
        <f t="shared" si="22"/>
      </c>
      <c r="AI1606" s="2">
        <f t="shared" si="23"/>
      </c>
      <c r="AJ1606" s="2">
        <f t="shared" si="24"/>
        <v>0</v>
      </c>
      <c r="AK1606" s="2">
        <f t="shared" si="25"/>
        <v>0</v>
      </c>
      <c r="AL1606" s="2">
        <f t="shared" si="26"/>
        <v>0</v>
      </c>
      <c r="AM1606" s="2">
        <f t="shared" si="27"/>
        <v>0</v>
      </c>
      <c r="AN1606" s="2">
        <f t="shared" si="28"/>
        <v>0</v>
      </c>
      <c r="AO1606" s="2">
        <f t="shared" si="29"/>
      </c>
      <c r="AP1606" s="2">
        <f t="shared" si="30"/>
      </c>
      <c r="AQ1606" s="2">
        <f t="shared" si="31"/>
      </c>
    </row>
    <row r="1607">
      <c r="A1607" s="43">
        <f t="shared" si="3"/>
      </c>
      <c r="B1607" s="44" t="n"/>
      <c r="C1607" s="45" t="n"/>
      <c r="D1607" s="46" t="n"/>
      <c r="E1607" s="47" t="n"/>
      <c r="F1607" s="47" t="n"/>
      <c r="G1607" s="48">
        <f t="shared" si="4"/>
      </c>
      <c r="H1607" s="43">
        <f t="shared" si="0"/>
      </c>
      <c r="I1607" s="43">
        <f t="shared" si="5"/>
      </c>
      <c r="J1607" s="43">
        <f t="shared" si="1"/>
      </c>
      <c r="K1607" s="49">
        <f t="shared" si="2"/>
      </c>
      <c r="L1607" s="45" t="n"/>
      <c r="M1607" s="45" t="n"/>
      <c r="N1607" s="45" t="n"/>
      <c r="O1607" s="45" t="n"/>
      <c r="P1607" s="50" t="n"/>
      <c r="R1607" s="2">
        <f t="shared" si="6"/>
        <v>0</v>
      </c>
      <c r="S1607" s="2">
        <f t="shared" si="7"/>
      </c>
      <c r="T1607" s="2">
        <f t="shared" si="8"/>
      </c>
      <c r="U1607" s="2">
        <f t="shared" si="9"/>
      </c>
      <c r="V1607" s="2">
        <f t="shared" si="10"/>
      </c>
      <c r="W1607" s="2">
        <f t="shared" si="11"/>
      </c>
      <c r="X1607" s="2">
        <f t="shared" si="12"/>
      </c>
      <c r="Y1607" s="2">
        <f t="shared" si="13"/>
        <v>0</v>
      </c>
      <c r="Z1607" s="2">
        <f t="shared" si="14"/>
      </c>
      <c r="AA1607" s="2">
        <f t="shared" si="15"/>
        <v>0</v>
      </c>
      <c r="AB1607" s="2">
        <f t="shared" si="16"/>
      </c>
      <c r="AC1607" s="2">
        <f t="shared" si="17"/>
      </c>
      <c r="AD1607" s="2">
        <f t="shared" si="18"/>
      </c>
      <c r="AE1607" s="2">
        <f t="shared" si="19"/>
      </c>
      <c r="AF1607" s="2">
        <f t="shared" si="20"/>
      </c>
      <c r="AG1607" s="2">
        <f t="shared" si="21"/>
      </c>
      <c r="AH1607" s="2">
        <f t="shared" si="22"/>
      </c>
      <c r="AI1607" s="2">
        <f t="shared" si="23"/>
      </c>
      <c r="AJ1607" s="2">
        <f t="shared" si="24"/>
        <v>0</v>
      </c>
      <c r="AK1607" s="2">
        <f t="shared" si="25"/>
        <v>0</v>
      </c>
      <c r="AL1607" s="2">
        <f t="shared" si="26"/>
        <v>0</v>
      </c>
      <c r="AM1607" s="2">
        <f t="shared" si="27"/>
        <v>0</v>
      </c>
      <c r="AN1607" s="2">
        <f t="shared" si="28"/>
        <v>0</v>
      </c>
      <c r="AO1607" s="2">
        <f t="shared" si="29"/>
      </c>
      <c r="AP1607" s="2">
        <f t="shared" si="30"/>
      </c>
      <c r="AQ1607" s="2">
        <f t="shared" si="31"/>
      </c>
    </row>
    <row r="1608">
      <c r="A1608" s="43">
        <f t="shared" si="3"/>
      </c>
      <c r="B1608" s="44" t="n"/>
      <c r="C1608" s="45" t="n"/>
      <c r="D1608" s="46" t="n"/>
      <c r="E1608" s="47" t="n"/>
      <c r="F1608" s="47" t="n"/>
      <c r="G1608" s="48">
        <f t="shared" si="4"/>
      </c>
      <c r="H1608" s="43">
        <f t="shared" si="0"/>
      </c>
      <c r="I1608" s="43">
        <f t="shared" si="5"/>
      </c>
      <c r="J1608" s="43">
        <f t="shared" si="1"/>
      </c>
      <c r="K1608" s="49">
        <f t="shared" si="2"/>
      </c>
      <c r="L1608" s="45" t="n"/>
      <c r="M1608" s="45" t="n"/>
      <c r="N1608" s="45" t="n"/>
      <c r="O1608" s="45" t="n"/>
      <c r="P1608" s="50" t="n"/>
      <c r="R1608" s="2">
        <f t="shared" si="6"/>
        <v>0</v>
      </c>
      <c r="S1608" s="2">
        <f t="shared" si="7"/>
      </c>
      <c r="T1608" s="2">
        <f t="shared" si="8"/>
      </c>
      <c r="U1608" s="2">
        <f t="shared" si="9"/>
      </c>
      <c r="V1608" s="2">
        <f t="shared" si="10"/>
      </c>
      <c r="W1608" s="2">
        <f t="shared" si="11"/>
      </c>
      <c r="X1608" s="2">
        <f t="shared" si="12"/>
      </c>
      <c r="Y1608" s="2">
        <f t="shared" si="13"/>
        <v>0</v>
      </c>
      <c r="Z1608" s="2">
        <f t="shared" si="14"/>
      </c>
      <c r="AA1608" s="2">
        <f t="shared" si="15"/>
        <v>0</v>
      </c>
      <c r="AB1608" s="2">
        <f t="shared" si="16"/>
      </c>
      <c r="AC1608" s="2">
        <f t="shared" si="17"/>
      </c>
      <c r="AD1608" s="2">
        <f t="shared" si="18"/>
      </c>
      <c r="AE1608" s="2">
        <f t="shared" si="19"/>
      </c>
      <c r="AF1608" s="2">
        <f t="shared" si="20"/>
      </c>
      <c r="AG1608" s="2">
        <f t="shared" si="21"/>
      </c>
      <c r="AH1608" s="2">
        <f t="shared" si="22"/>
      </c>
      <c r="AI1608" s="2">
        <f t="shared" si="23"/>
      </c>
      <c r="AJ1608" s="2">
        <f t="shared" si="24"/>
        <v>0</v>
      </c>
      <c r="AK1608" s="2">
        <f t="shared" si="25"/>
        <v>0</v>
      </c>
      <c r="AL1608" s="2">
        <f t="shared" si="26"/>
        <v>0</v>
      </c>
      <c r="AM1608" s="2">
        <f t="shared" si="27"/>
        <v>0</v>
      </c>
      <c r="AN1608" s="2">
        <f t="shared" si="28"/>
        <v>0</v>
      </c>
      <c r="AO1608" s="2">
        <f t="shared" si="29"/>
      </c>
      <c r="AP1608" s="2">
        <f t="shared" si="30"/>
      </c>
      <c r="AQ1608" s="2">
        <f t="shared" si="31"/>
      </c>
    </row>
    <row r="1609">
      <c r="A1609" s="43">
        <f t="shared" si="3"/>
      </c>
      <c r="B1609" s="44" t="n"/>
      <c r="C1609" s="45" t="n"/>
      <c r="D1609" s="46" t="n"/>
      <c r="E1609" s="47" t="n"/>
      <c r="F1609" s="47" t="n"/>
      <c r="G1609" s="48">
        <f t="shared" si="4"/>
      </c>
      <c r="H1609" s="43">
        <f t="shared" si="0"/>
      </c>
      <c r="I1609" s="43">
        <f t="shared" si="5"/>
      </c>
      <c r="J1609" s="43">
        <f t="shared" si="1"/>
      </c>
      <c r="K1609" s="49">
        <f t="shared" si="2"/>
      </c>
      <c r="L1609" s="45" t="n"/>
      <c r="M1609" s="45" t="n"/>
      <c r="N1609" s="45" t="n"/>
      <c r="O1609" s="45" t="n"/>
      <c r="P1609" s="50" t="n"/>
      <c r="R1609" s="2">
        <f t="shared" si="6"/>
        <v>0</v>
      </c>
      <c r="S1609" s="2">
        <f t="shared" si="7"/>
      </c>
      <c r="T1609" s="2">
        <f t="shared" si="8"/>
      </c>
      <c r="U1609" s="2">
        <f t="shared" si="9"/>
      </c>
      <c r="V1609" s="2">
        <f t="shared" si="10"/>
      </c>
      <c r="W1609" s="2">
        <f t="shared" si="11"/>
      </c>
      <c r="X1609" s="2">
        <f t="shared" si="12"/>
      </c>
      <c r="Y1609" s="2">
        <f t="shared" si="13"/>
        <v>0</v>
      </c>
      <c r="Z1609" s="2">
        <f t="shared" si="14"/>
      </c>
      <c r="AA1609" s="2">
        <f t="shared" si="15"/>
        <v>0</v>
      </c>
      <c r="AB1609" s="2">
        <f t="shared" si="16"/>
      </c>
      <c r="AC1609" s="2">
        <f t="shared" si="17"/>
      </c>
      <c r="AD1609" s="2">
        <f t="shared" si="18"/>
      </c>
      <c r="AE1609" s="2">
        <f t="shared" si="19"/>
      </c>
      <c r="AF1609" s="2">
        <f t="shared" si="20"/>
      </c>
      <c r="AG1609" s="2">
        <f t="shared" si="21"/>
      </c>
      <c r="AH1609" s="2">
        <f t="shared" si="22"/>
      </c>
      <c r="AI1609" s="2">
        <f t="shared" si="23"/>
      </c>
      <c r="AJ1609" s="2">
        <f t="shared" si="24"/>
        <v>0</v>
      </c>
      <c r="AK1609" s="2">
        <f t="shared" si="25"/>
        <v>0</v>
      </c>
      <c r="AL1609" s="2">
        <f t="shared" si="26"/>
        <v>0</v>
      </c>
      <c r="AM1609" s="2">
        <f t="shared" si="27"/>
        <v>0</v>
      </c>
      <c r="AN1609" s="2">
        <f t="shared" si="28"/>
        <v>0</v>
      </c>
      <c r="AO1609" s="2">
        <f t="shared" si="29"/>
      </c>
      <c r="AP1609" s="2">
        <f t="shared" si="30"/>
      </c>
      <c r="AQ1609" s="2">
        <f t="shared" si="31"/>
      </c>
    </row>
    <row r="1610">
      <c r="A1610" s="43">
        <f t="shared" si="3"/>
      </c>
      <c r="B1610" s="44" t="n"/>
      <c r="C1610" s="45" t="n"/>
      <c r="D1610" s="46" t="n"/>
      <c r="E1610" s="47" t="n"/>
      <c r="F1610" s="47" t="n"/>
      <c r="G1610" s="48">
        <f t="shared" si="4"/>
      </c>
      <c r="H1610" s="43">
        <f t="shared" si="0"/>
      </c>
      <c r="I1610" s="43">
        <f t="shared" si="5"/>
      </c>
      <c r="J1610" s="43">
        <f t="shared" si="1"/>
      </c>
      <c r="K1610" s="49">
        <f t="shared" si="2"/>
      </c>
      <c r="L1610" s="45" t="n"/>
      <c r="M1610" s="45" t="n"/>
      <c r="N1610" s="45" t="n"/>
      <c r="O1610" s="45" t="n"/>
      <c r="P1610" s="50" t="n"/>
      <c r="R1610" s="2">
        <f t="shared" si="6"/>
        <v>0</v>
      </c>
      <c r="S1610" s="2">
        <f t="shared" si="7"/>
      </c>
      <c r="T1610" s="2">
        <f t="shared" si="8"/>
      </c>
      <c r="U1610" s="2">
        <f t="shared" si="9"/>
      </c>
      <c r="V1610" s="2">
        <f t="shared" si="10"/>
      </c>
      <c r="W1610" s="2">
        <f t="shared" si="11"/>
      </c>
      <c r="X1610" s="2">
        <f t="shared" si="12"/>
      </c>
      <c r="Y1610" s="2">
        <f t="shared" si="13"/>
        <v>0</v>
      </c>
      <c r="Z1610" s="2">
        <f t="shared" si="14"/>
      </c>
      <c r="AA1610" s="2">
        <f t="shared" si="15"/>
        <v>0</v>
      </c>
      <c r="AB1610" s="2">
        <f t="shared" si="16"/>
      </c>
      <c r="AC1610" s="2">
        <f t="shared" si="17"/>
      </c>
      <c r="AD1610" s="2">
        <f t="shared" si="18"/>
      </c>
      <c r="AE1610" s="2">
        <f t="shared" si="19"/>
      </c>
      <c r="AF1610" s="2">
        <f t="shared" si="20"/>
      </c>
      <c r="AG1610" s="2">
        <f t="shared" si="21"/>
      </c>
      <c r="AH1610" s="2">
        <f t="shared" si="22"/>
      </c>
      <c r="AI1610" s="2">
        <f t="shared" si="23"/>
      </c>
      <c r="AJ1610" s="2">
        <f t="shared" si="24"/>
        <v>0</v>
      </c>
      <c r="AK1610" s="2">
        <f t="shared" si="25"/>
        <v>0</v>
      </c>
      <c r="AL1610" s="2">
        <f t="shared" si="26"/>
        <v>0</v>
      </c>
      <c r="AM1610" s="2">
        <f t="shared" si="27"/>
        <v>0</v>
      </c>
      <c r="AN1610" s="2">
        <f t="shared" si="28"/>
        <v>0</v>
      </c>
      <c r="AO1610" s="2">
        <f t="shared" si="29"/>
      </c>
      <c r="AP1610" s="2">
        <f t="shared" si="30"/>
      </c>
      <c r="AQ1610" s="2">
        <f t="shared" si="31"/>
      </c>
    </row>
    <row r="1611">
      <c r="A1611" s="43">
        <f t="shared" si="3"/>
      </c>
      <c r="B1611" s="44" t="n"/>
      <c r="C1611" s="45" t="n"/>
      <c r="D1611" s="46" t="n"/>
      <c r="E1611" s="47" t="n"/>
      <c r="F1611" s="47" t="n"/>
      <c r="G1611" s="48">
        <f t="shared" si="4"/>
      </c>
      <c r="H1611" s="43">
        <f t="shared" si="0"/>
      </c>
      <c r="I1611" s="43">
        <f t="shared" si="5"/>
      </c>
      <c r="J1611" s="43">
        <f t="shared" si="1"/>
      </c>
      <c r="K1611" s="49">
        <f t="shared" si="2"/>
      </c>
      <c r="L1611" s="45" t="n"/>
      <c r="M1611" s="45" t="n"/>
      <c r="N1611" s="45" t="n"/>
      <c r="O1611" s="45" t="n"/>
      <c r="P1611" s="50" t="n"/>
      <c r="R1611" s="2">
        <f t="shared" si="6"/>
        <v>0</v>
      </c>
      <c r="S1611" s="2">
        <f t="shared" si="7"/>
      </c>
      <c r="T1611" s="2">
        <f t="shared" si="8"/>
      </c>
      <c r="U1611" s="2">
        <f t="shared" si="9"/>
      </c>
      <c r="V1611" s="2">
        <f t="shared" si="10"/>
      </c>
      <c r="W1611" s="2">
        <f t="shared" si="11"/>
      </c>
      <c r="X1611" s="2">
        <f t="shared" si="12"/>
      </c>
      <c r="Y1611" s="2">
        <f t="shared" si="13"/>
        <v>0</v>
      </c>
      <c r="Z1611" s="2">
        <f t="shared" si="14"/>
      </c>
      <c r="AA1611" s="2">
        <f t="shared" si="15"/>
        <v>0</v>
      </c>
      <c r="AB1611" s="2">
        <f t="shared" si="16"/>
      </c>
      <c r="AC1611" s="2">
        <f t="shared" si="17"/>
      </c>
      <c r="AD1611" s="2">
        <f t="shared" si="18"/>
      </c>
      <c r="AE1611" s="2">
        <f t="shared" si="19"/>
      </c>
      <c r="AF1611" s="2">
        <f t="shared" si="20"/>
      </c>
      <c r="AG1611" s="2">
        <f t="shared" si="21"/>
      </c>
      <c r="AH1611" s="2">
        <f t="shared" si="22"/>
      </c>
      <c r="AI1611" s="2">
        <f t="shared" si="23"/>
      </c>
      <c r="AJ1611" s="2">
        <f t="shared" si="24"/>
        <v>0</v>
      </c>
      <c r="AK1611" s="2">
        <f t="shared" si="25"/>
        <v>0</v>
      </c>
      <c r="AL1611" s="2">
        <f t="shared" si="26"/>
        <v>0</v>
      </c>
      <c r="AM1611" s="2">
        <f t="shared" si="27"/>
        <v>0</v>
      </c>
      <c r="AN1611" s="2">
        <f t="shared" si="28"/>
        <v>0</v>
      </c>
      <c r="AO1611" s="2">
        <f t="shared" si="29"/>
      </c>
      <c r="AP1611" s="2">
        <f t="shared" si="30"/>
      </c>
      <c r="AQ1611" s="2">
        <f t="shared" si="31"/>
      </c>
    </row>
    <row r="1612">
      <c r="A1612" s="43">
        <f t="shared" si="3"/>
      </c>
      <c r="B1612" s="44" t="n"/>
      <c r="C1612" s="45" t="n"/>
      <c r="D1612" s="46" t="n"/>
      <c r="E1612" s="47" t="n"/>
      <c r="F1612" s="47" t="n"/>
      <c r="G1612" s="48">
        <f t="shared" si="4"/>
      </c>
      <c r="H1612" s="43">
        <f t="shared" si="0"/>
      </c>
      <c r="I1612" s="43">
        <f t="shared" si="5"/>
      </c>
      <c r="J1612" s="43">
        <f t="shared" si="1"/>
      </c>
      <c r="K1612" s="49">
        <f t="shared" si="2"/>
      </c>
      <c r="L1612" s="45" t="n"/>
      <c r="M1612" s="45" t="n"/>
      <c r="N1612" s="45" t="n"/>
      <c r="O1612" s="45" t="n"/>
      <c r="P1612" s="50" t="n"/>
      <c r="R1612" s="2">
        <f t="shared" si="6"/>
        <v>0</v>
      </c>
      <c r="S1612" s="2">
        <f t="shared" si="7"/>
      </c>
      <c r="T1612" s="2">
        <f t="shared" si="8"/>
      </c>
      <c r="U1612" s="2">
        <f t="shared" si="9"/>
      </c>
      <c r="V1612" s="2">
        <f t="shared" si="10"/>
      </c>
      <c r="W1612" s="2">
        <f t="shared" si="11"/>
      </c>
      <c r="X1612" s="2">
        <f t="shared" si="12"/>
      </c>
      <c r="Y1612" s="2">
        <f t="shared" si="13"/>
        <v>0</v>
      </c>
      <c r="Z1612" s="2">
        <f t="shared" si="14"/>
      </c>
      <c r="AA1612" s="2">
        <f t="shared" si="15"/>
        <v>0</v>
      </c>
      <c r="AB1612" s="2">
        <f t="shared" si="16"/>
      </c>
      <c r="AC1612" s="2">
        <f t="shared" si="17"/>
      </c>
      <c r="AD1612" s="2">
        <f t="shared" si="18"/>
      </c>
      <c r="AE1612" s="2">
        <f t="shared" si="19"/>
      </c>
      <c r="AF1612" s="2">
        <f t="shared" si="20"/>
      </c>
      <c r="AG1612" s="2">
        <f t="shared" si="21"/>
      </c>
      <c r="AH1612" s="2">
        <f t="shared" si="22"/>
      </c>
      <c r="AI1612" s="2">
        <f t="shared" si="23"/>
      </c>
      <c r="AJ1612" s="2">
        <f t="shared" si="24"/>
        <v>0</v>
      </c>
      <c r="AK1612" s="2">
        <f t="shared" si="25"/>
        <v>0</v>
      </c>
      <c r="AL1612" s="2">
        <f t="shared" si="26"/>
        <v>0</v>
      </c>
      <c r="AM1612" s="2">
        <f t="shared" si="27"/>
        <v>0</v>
      </c>
      <c r="AN1612" s="2">
        <f t="shared" si="28"/>
        <v>0</v>
      </c>
      <c r="AO1612" s="2">
        <f t="shared" si="29"/>
      </c>
      <c r="AP1612" s="2">
        <f t="shared" si="30"/>
      </c>
      <c r="AQ1612" s="2">
        <f t="shared" si="31"/>
      </c>
    </row>
    <row r="1613">
      <c r="A1613" s="43">
        <f t="shared" si="3"/>
      </c>
      <c r="B1613" s="44" t="n"/>
      <c r="C1613" s="45" t="n"/>
      <c r="D1613" s="46" t="n"/>
      <c r="E1613" s="47" t="n"/>
      <c r="F1613" s="47" t="n"/>
      <c r="G1613" s="48">
        <f t="shared" si="4"/>
      </c>
      <c r="H1613" s="43">
        <f t="shared" si="0"/>
      </c>
      <c r="I1613" s="43">
        <f t="shared" si="5"/>
      </c>
      <c r="J1613" s="43">
        <f t="shared" si="1"/>
      </c>
      <c r="K1613" s="49">
        <f t="shared" si="2"/>
      </c>
      <c r="L1613" s="45" t="n"/>
      <c r="M1613" s="45" t="n"/>
      <c r="N1613" s="45" t="n"/>
      <c r="O1613" s="45" t="n"/>
      <c r="P1613" s="50" t="n"/>
      <c r="R1613" s="2">
        <f t="shared" si="6"/>
        <v>0</v>
      </c>
      <c r="S1613" s="2">
        <f t="shared" si="7"/>
      </c>
      <c r="T1613" s="2">
        <f t="shared" si="8"/>
      </c>
      <c r="U1613" s="2">
        <f t="shared" si="9"/>
      </c>
      <c r="V1613" s="2">
        <f t="shared" si="10"/>
      </c>
      <c r="W1613" s="2">
        <f t="shared" si="11"/>
      </c>
      <c r="X1613" s="2">
        <f t="shared" si="12"/>
      </c>
      <c r="Y1613" s="2">
        <f t="shared" si="13"/>
        <v>0</v>
      </c>
      <c r="Z1613" s="2">
        <f t="shared" si="14"/>
      </c>
      <c r="AA1613" s="2">
        <f t="shared" si="15"/>
        <v>0</v>
      </c>
      <c r="AB1613" s="2">
        <f t="shared" si="16"/>
      </c>
      <c r="AC1613" s="2">
        <f t="shared" si="17"/>
      </c>
      <c r="AD1613" s="2">
        <f t="shared" si="18"/>
      </c>
      <c r="AE1613" s="2">
        <f t="shared" si="19"/>
      </c>
      <c r="AF1613" s="2">
        <f t="shared" si="20"/>
      </c>
      <c r="AG1613" s="2">
        <f t="shared" si="21"/>
      </c>
      <c r="AH1613" s="2">
        <f t="shared" si="22"/>
      </c>
      <c r="AI1613" s="2">
        <f t="shared" si="23"/>
      </c>
      <c r="AJ1613" s="2">
        <f t="shared" si="24"/>
        <v>0</v>
      </c>
      <c r="AK1613" s="2">
        <f t="shared" si="25"/>
        <v>0</v>
      </c>
      <c r="AL1613" s="2">
        <f t="shared" si="26"/>
        <v>0</v>
      </c>
      <c r="AM1613" s="2">
        <f t="shared" si="27"/>
        <v>0</v>
      </c>
      <c r="AN1613" s="2">
        <f t="shared" si="28"/>
        <v>0</v>
      </c>
      <c r="AO1613" s="2">
        <f t="shared" si="29"/>
      </c>
      <c r="AP1613" s="2">
        <f t="shared" si="30"/>
      </c>
      <c r="AQ1613" s="2">
        <f t="shared" si="31"/>
      </c>
    </row>
    <row r="1614">
      <c r="A1614" s="43">
        <f t="shared" si="3"/>
      </c>
      <c r="B1614" s="44" t="n"/>
      <c r="C1614" s="45" t="n"/>
      <c r="D1614" s="46" t="n"/>
      <c r="E1614" s="47" t="n"/>
      <c r="F1614" s="47" t="n"/>
      <c r="G1614" s="48">
        <f t="shared" si="4"/>
      </c>
      <c r="H1614" s="43">
        <f t="shared" si="0"/>
      </c>
      <c r="I1614" s="43">
        <f t="shared" si="5"/>
      </c>
      <c r="J1614" s="43">
        <f t="shared" si="1"/>
      </c>
      <c r="K1614" s="49">
        <f t="shared" si="2"/>
      </c>
      <c r="L1614" s="45" t="n"/>
      <c r="M1614" s="45" t="n"/>
      <c r="N1614" s="45" t="n"/>
      <c r="O1614" s="45" t="n"/>
      <c r="P1614" s="50" t="n"/>
      <c r="R1614" s="2">
        <f t="shared" si="6"/>
        <v>0</v>
      </c>
      <c r="S1614" s="2">
        <f t="shared" si="7"/>
      </c>
      <c r="T1614" s="2">
        <f t="shared" si="8"/>
      </c>
      <c r="U1614" s="2">
        <f t="shared" si="9"/>
      </c>
      <c r="V1614" s="2">
        <f t="shared" si="10"/>
      </c>
      <c r="W1614" s="2">
        <f t="shared" si="11"/>
      </c>
      <c r="X1614" s="2">
        <f t="shared" si="12"/>
      </c>
      <c r="Y1614" s="2">
        <f t="shared" si="13"/>
        <v>0</v>
      </c>
      <c r="Z1614" s="2">
        <f t="shared" si="14"/>
      </c>
      <c r="AA1614" s="2">
        <f t="shared" si="15"/>
        <v>0</v>
      </c>
      <c r="AB1614" s="2">
        <f t="shared" si="16"/>
      </c>
      <c r="AC1614" s="2">
        <f t="shared" si="17"/>
      </c>
      <c r="AD1614" s="2">
        <f t="shared" si="18"/>
      </c>
      <c r="AE1614" s="2">
        <f t="shared" si="19"/>
      </c>
      <c r="AF1614" s="2">
        <f t="shared" si="20"/>
      </c>
      <c r="AG1614" s="2">
        <f t="shared" si="21"/>
      </c>
      <c r="AH1614" s="2">
        <f t="shared" si="22"/>
      </c>
      <c r="AI1614" s="2">
        <f t="shared" si="23"/>
      </c>
      <c r="AJ1614" s="2">
        <f t="shared" si="24"/>
        <v>0</v>
      </c>
      <c r="AK1614" s="2">
        <f t="shared" si="25"/>
        <v>0</v>
      </c>
      <c r="AL1614" s="2">
        <f t="shared" si="26"/>
        <v>0</v>
      </c>
      <c r="AM1614" s="2">
        <f t="shared" si="27"/>
        <v>0</v>
      </c>
      <c r="AN1614" s="2">
        <f t="shared" si="28"/>
        <v>0</v>
      </c>
      <c r="AO1614" s="2">
        <f t="shared" si="29"/>
      </c>
      <c r="AP1614" s="2">
        <f t="shared" si="30"/>
      </c>
      <c r="AQ1614" s="2">
        <f t="shared" si="31"/>
      </c>
    </row>
    <row r="1615">
      <c r="A1615" s="43">
        <f t="shared" si="3"/>
      </c>
      <c r="B1615" s="44" t="n"/>
      <c r="C1615" s="45" t="n"/>
      <c r="D1615" s="46" t="n"/>
      <c r="E1615" s="47" t="n"/>
      <c r="F1615" s="47" t="n"/>
      <c r="G1615" s="48">
        <f t="shared" si="4"/>
      </c>
      <c r="H1615" s="43">
        <f t="shared" si="0"/>
      </c>
      <c r="I1615" s="43">
        <f t="shared" si="5"/>
      </c>
      <c r="J1615" s="43">
        <f t="shared" si="1"/>
      </c>
      <c r="K1615" s="49">
        <f t="shared" si="2"/>
      </c>
      <c r="L1615" s="45" t="n"/>
      <c r="M1615" s="45" t="n"/>
      <c r="N1615" s="45" t="n"/>
      <c r="O1615" s="45" t="n"/>
      <c r="P1615" s="50" t="n"/>
      <c r="R1615" s="2">
        <f t="shared" si="6"/>
        <v>0</v>
      </c>
      <c r="S1615" s="2">
        <f t="shared" si="7"/>
      </c>
      <c r="T1615" s="2">
        <f t="shared" si="8"/>
      </c>
      <c r="U1615" s="2">
        <f t="shared" si="9"/>
      </c>
      <c r="V1615" s="2">
        <f t="shared" si="10"/>
      </c>
      <c r="W1615" s="2">
        <f t="shared" si="11"/>
      </c>
      <c r="X1615" s="2">
        <f t="shared" si="12"/>
      </c>
      <c r="Y1615" s="2">
        <f t="shared" si="13"/>
        <v>0</v>
      </c>
      <c r="Z1615" s="2">
        <f t="shared" si="14"/>
      </c>
      <c r="AA1615" s="2">
        <f t="shared" si="15"/>
        <v>0</v>
      </c>
      <c r="AB1615" s="2">
        <f t="shared" si="16"/>
      </c>
      <c r="AC1615" s="2">
        <f t="shared" si="17"/>
      </c>
      <c r="AD1615" s="2">
        <f t="shared" si="18"/>
      </c>
      <c r="AE1615" s="2">
        <f t="shared" si="19"/>
      </c>
      <c r="AF1615" s="2">
        <f t="shared" si="20"/>
      </c>
      <c r="AG1615" s="2">
        <f t="shared" si="21"/>
      </c>
      <c r="AH1615" s="2">
        <f t="shared" si="22"/>
      </c>
      <c r="AI1615" s="2">
        <f t="shared" si="23"/>
      </c>
      <c r="AJ1615" s="2">
        <f t="shared" si="24"/>
        <v>0</v>
      </c>
      <c r="AK1615" s="2">
        <f t="shared" si="25"/>
        <v>0</v>
      </c>
      <c r="AL1615" s="2">
        <f t="shared" si="26"/>
        <v>0</v>
      </c>
      <c r="AM1615" s="2">
        <f t="shared" si="27"/>
        <v>0</v>
      </c>
      <c r="AN1615" s="2">
        <f t="shared" si="28"/>
        <v>0</v>
      </c>
      <c r="AO1615" s="2">
        <f t="shared" si="29"/>
      </c>
      <c r="AP1615" s="2">
        <f t="shared" si="30"/>
      </c>
      <c r="AQ1615" s="2">
        <f t="shared" si="31"/>
      </c>
    </row>
    <row r="1616">
      <c r="A1616" s="43">
        <f t="shared" si="3"/>
      </c>
      <c r="B1616" s="44" t="n"/>
      <c r="C1616" s="45" t="n"/>
      <c r="D1616" s="46" t="n"/>
      <c r="E1616" s="47" t="n"/>
      <c r="F1616" s="47" t="n"/>
      <c r="G1616" s="48">
        <f t="shared" si="4"/>
      </c>
      <c r="H1616" s="43">
        <f t="shared" si="0"/>
      </c>
      <c r="I1616" s="43">
        <f t="shared" si="5"/>
      </c>
      <c r="J1616" s="43">
        <f t="shared" si="1"/>
      </c>
      <c r="K1616" s="49">
        <f t="shared" si="2"/>
      </c>
      <c r="L1616" s="45" t="n"/>
      <c r="M1616" s="45" t="n"/>
      <c r="N1616" s="45" t="n"/>
      <c r="O1616" s="45" t="n"/>
      <c r="P1616" s="50" t="n"/>
      <c r="R1616" s="2">
        <f t="shared" si="6"/>
        <v>0</v>
      </c>
      <c r="S1616" s="2">
        <f t="shared" si="7"/>
      </c>
      <c r="T1616" s="2">
        <f t="shared" si="8"/>
      </c>
      <c r="U1616" s="2">
        <f t="shared" si="9"/>
      </c>
      <c r="V1616" s="2">
        <f t="shared" si="10"/>
      </c>
      <c r="W1616" s="2">
        <f t="shared" si="11"/>
      </c>
      <c r="X1616" s="2">
        <f t="shared" si="12"/>
      </c>
      <c r="Y1616" s="2">
        <f t="shared" si="13"/>
        <v>0</v>
      </c>
      <c r="Z1616" s="2">
        <f t="shared" si="14"/>
      </c>
      <c r="AA1616" s="2">
        <f t="shared" si="15"/>
        <v>0</v>
      </c>
      <c r="AB1616" s="2">
        <f t="shared" si="16"/>
      </c>
      <c r="AC1616" s="2">
        <f t="shared" si="17"/>
      </c>
      <c r="AD1616" s="2">
        <f t="shared" si="18"/>
      </c>
      <c r="AE1616" s="2">
        <f t="shared" si="19"/>
      </c>
      <c r="AF1616" s="2">
        <f t="shared" si="20"/>
      </c>
      <c r="AG1616" s="2">
        <f t="shared" si="21"/>
      </c>
      <c r="AH1616" s="2">
        <f t="shared" si="22"/>
      </c>
      <c r="AI1616" s="2">
        <f t="shared" si="23"/>
      </c>
      <c r="AJ1616" s="2">
        <f t="shared" si="24"/>
        <v>0</v>
      </c>
      <c r="AK1616" s="2">
        <f t="shared" si="25"/>
        <v>0</v>
      </c>
      <c r="AL1616" s="2">
        <f t="shared" si="26"/>
        <v>0</v>
      </c>
      <c r="AM1616" s="2">
        <f t="shared" si="27"/>
        <v>0</v>
      </c>
      <c r="AN1616" s="2">
        <f t="shared" si="28"/>
        <v>0</v>
      </c>
      <c r="AO1616" s="2">
        <f t="shared" si="29"/>
      </c>
      <c r="AP1616" s="2">
        <f t="shared" si="30"/>
      </c>
      <c r="AQ1616" s="2">
        <f t="shared" si="31"/>
      </c>
    </row>
    <row r="1617">
      <c r="A1617" s="43">
        <f t="shared" si="3"/>
      </c>
      <c r="B1617" s="44" t="n"/>
      <c r="C1617" s="45" t="n"/>
      <c r="D1617" s="46" t="n"/>
      <c r="E1617" s="47" t="n"/>
      <c r="F1617" s="47" t="n"/>
      <c r="G1617" s="48">
        <f t="shared" si="4"/>
      </c>
      <c r="H1617" s="43">
        <f t="shared" si="0"/>
      </c>
      <c r="I1617" s="43">
        <f t="shared" si="5"/>
      </c>
      <c r="J1617" s="43">
        <f t="shared" si="1"/>
      </c>
      <c r="K1617" s="49">
        <f t="shared" si="2"/>
      </c>
      <c r="L1617" s="45" t="n"/>
      <c r="M1617" s="45" t="n"/>
      <c r="N1617" s="45" t="n"/>
      <c r="O1617" s="45" t="n"/>
      <c r="P1617" s="50" t="n"/>
      <c r="R1617" s="2">
        <f t="shared" si="6"/>
        <v>0</v>
      </c>
      <c r="S1617" s="2">
        <f t="shared" si="7"/>
      </c>
      <c r="T1617" s="2">
        <f t="shared" si="8"/>
      </c>
      <c r="U1617" s="2">
        <f t="shared" si="9"/>
      </c>
      <c r="V1617" s="2">
        <f t="shared" si="10"/>
      </c>
      <c r="W1617" s="2">
        <f t="shared" si="11"/>
      </c>
      <c r="X1617" s="2">
        <f t="shared" si="12"/>
      </c>
      <c r="Y1617" s="2">
        <f t="shared" si="13"/>
        <v>0</v>
      </c>
      <c r="Z1617" s="2">
        <f t="shared" si="14"/>
      </c>
      <c r="AA1617" s="2">
        <f t="shared" si="15"/>
        <v>0</v>
      </c>
      <c r="AB1617" s="2">
        <f t="shared" si="16"/>
      </c>
      <c r="AC1617" s="2">
        <f t="shared" si="17"/>
      </c>
      <c r="AD1617" s="2">
        <f t="shared" si="18"/>
      </c>
      <c r="AE1617" s="2">
        <f t="shared" si="19"/>
      </c>
      <c r="AF1617" s="2">
        <f t="shared" si="20"/>
      </c>
      <c r="AG1617" s="2">
        <f t="shared" si="21"/>
      </c>
      <c r="AH1617" s="2">
        <f t="shared" si="22"/>
      </c>
      <c r="AI1617" s="2">
        <f t="shared" si="23"/>
      </c>
      <c r="AJ1617" s="2">
        <f t="shared" si="24"/>
        <v>0</v>
      </c>
      <c r="AK1617" s="2">
        <f t="shared" si="25"/>
        <v>0</v>
      </c>
      <c r="AL1617" s="2">
        <f t="shared" si="26"/>
        <v>0</v>
      </c>
      <c r="AM1617" s="2">
        <f t="shared" si="27"/>
        <v>0</v>
      </c>
      <c r="AN1617" s="2">
        <f t="shared" si="28"/>
        <v>0</v>
      </c>
      <c r="AO1617" s="2">
        <f t="shared" si="29"/>
      </c>
      <c r="AP1617" s="2">
        <f t="shared" si="30"/>
      </c>
      <c r="AQ1617" s="2">
        <f t="shared" si="31"/>
      </c>
    </row>
    <row r="1618">
      <c r="A1618" s="43">
        <f t="shared" si="3"/>
      </c>
      <c r="B1618" s="44" t="n"/>
      <c r="C1618" s="45" t="n"/>
      <c r="D1618" s="46" t="n"/>
      <c r="E1618" s="47" t="n"/>
      <c r="F1618" s="47" t="n"/>
      <c r="G1618" s="48">
        <f t="shared" si="4"/>
      </c>
      <c r="H1618" s="43">
        <f t="shared" si="0"/>
      </c>
      <c r="I1618" s="43">
        <f t="shared" si="5"/>
      </c>
      <c r="J1618" s="43">
        <f t="shared" si="1"/>
      </c>
      <c r="K1618" s="49">
        <f t="shared" si="2"/>
      </c>
      <c r="L1618" s="45" t="n"/>
      <c r="M1618" s="45" t="n"/>
      <c r="N1618" s="45" t="n"/>
      <c r="O1618" s="45" t="n"/>
      <c r="P1618" s="50" t="n"/>
      <c r="R1618" s="2">
        <f t="shared" si="6"/>
        <v>0</v>
      </c>
      <c r="S1618" s="2">
        <f t="shared" si="7"/>
      </c>
      <c r="T1618" s="2">
        <f t="shared" si="8"/>
      </c>
      <c r="U1618" s="2">
        <f t="shared" si="9"/>
      </c>
      <c r="V1618" s="2">
        <f t="shared" si="10"/>
      </c>
      <c r="W1618" s="2">
        <f t="shared" si="11"/>
      </c>
      <c r="X1618" s="2">
        <f t="shared" si="12"/>
      </c>
      <c r="Y1618" s="2">
        <f t="shared" si="13"/>
        <v>0</v>
      </c>
      <c r="Z1618" s="2">
        <f t="shared" si="14"/>
      </c>
      <c r="AA1618" s="2">
        <f t="shared" si="15"/>
        <v>0</v>
      </c>
      <c r="AB1618" s="2">
        <f t="shared" si="16"/>
      </c>
      <c r="AC1618" s="2">
        <f t="shared" si="17"/>
      </c>
      <c r="AD1618" s="2">
        <f t="shared" si="18"/>
      </c>
      <c r="AE1618" s="2">
        <f t="shared" si="19"/>
      </c>
      <c r="AF1618" s="2">
        <f t="shared" si="20"/>
      </c>
      <c r="AG1618" s="2">
        <f t="shared" si="21"/>
      </c>
      <c r="AH1618" s="2">
        <f t="shared" si="22"/>
      </c>
      <c r="AI1618" s="2">
        <f t="shared" si="23"/>
      </c>
      <c r="AJ1618" s="2">
        <f t="shared" si="24"/>
        <v>0</v>
      </c>
      <c r="AK1618" s="2">
        <f t="shared" si="25"/>
        <v>0</v>
      </c>
      <c r="AL1618" s="2">
        <f t="shared" si="26"/>
        <v>0</v>
      </c>
      <c r="AM1618" s="2">
        <f t="shared" si="27"/>
        <v>0</v>
      </c>
      <c r="AN1618" s="2">
        <f t="shared" si="28"/>
        <v>0</v>
      </c>
      <c r="AO1618" s="2">
        <f t="shared" si="29"/>
      </c>
      <c r="AP1618" s="2">
        <f t="shared" si="30"/>
      </c>
      <c r="AQ1618" s="2">
        <f t="shared" si="31"/>
      </c>
    </row>
    <row r="1619">
      <c r="A1619" s="43">
        <f t="shared" si="3"/>
      </c>
      <c r="B1619" s="44" t="n"/>
      <c r="C1619" s="45" t="n"/>
      <c r="D1619" s="46" t="n"/>
      <c r="E1619" s="47" t="n"/>
      <c r="F1619" s="47" t="n"/>
      <c r="G1619" s="48">
        <f t="shared" si="4"/>
      </c>
      <c r="H1619" s="43">
        <f t="shared" si="0"/>
      </c>
      <c r="I1619" s="43">
        <f t="shared" si="5"/>
      </c>
      <c r="J1619" s="43">
        <f t="shared" si="1"/>
      </c>
      <c r="K1619" s="49">
        <f t="shared" si="2"/>
      </c>
      <c r="L1619" s="45" t="n"/>
      <c r="M1619" s="45" t="n"/>
      <c r="N1619" s="45" t="n"/>
      <c r="O1619" s="45" t="n"/>
      <c r="P1619" s="50" t="n"/>
      <c r="R1619" s="2">
        <f t="shared" si="6"/>
        <v>0</v>
      </c>
      <c r="S1619" s="2">
        <f t="shared" si="7"/>
      </c>
      <c r="T1619" s="2">
        <f t="shared" si="8"/>
      </c>
      <c r="U1619" s="2">
        <f t="shared" si="9"/>
      </c>
      <c r="V1619" s="2">
        <f t="shared" si="10"/>
      </c>
      <c r="W1619" s="2">
        <f t="shared" si="11"/>
      </c>
      <c r="X1619" s="2">
        <f t="shared" si="12"/>
      </c>
      <c r="Y1619" s="2">
        <f t="shared" si="13"/>
        <v>0</v>
      </c>
      <c r="Z1619" s="2">
        <f t="shared" si="14"/>
      </c>
      <c r="AA1619" s="2">
        <f t="shared" si="15"/>
        <v>0</v>
      </c>
      <c r="AB1619" s="2">
        <f t="shared" si="16"/>
      </c>
      <c r="AC1619" s="2">
        <f t="shared" si="17"/>
      </c>
      <c r="AD1619" s="2">
        <f t="shared" si="18"/>
      </c>
      <c r="AE1619" s="2">
        <f t="shared" si="19"/>
      </c>
      <c r="AF1619" s="2">
        <f t="shared" si="20"/>
      </c>
      <c r="AG1619" s="2">
        <f t="shared" si="21"/>
      </c>
      <c r="AH1619" s="2">
        <f t="shared" si="22"/>
      </c>
      <c r="AI1619" s="2">
        <f t="shared" si="23"/>
      </c>
      <c r="AJ1619" s="2">
        <f t="shared" si="24"/>
        <v>0</v>
      </c>
      <c r="AK1619" s="2">
        <f t="shared" si="25"/>
        <v>0</v>
      </c>
      <c r="AL1619" s="2">
        <f t="shared" si="26"/>
        <v>0</v>
      </c>
      <c r="AM1619" s="2">
        <f t="shared" si="27"/>
        <v>0</v>
      </c>
      <c r="AN1619" s="2">
        <f t="shared" si="28"/>
        <v>0</v>
      </c>
      <c r="AO1619" s="2">
        <f t="shared" si="29"/>
      </c>
      <c r="AP1619" s="2">
        <f t="shared" si="30"/>
      </c>
      <c r="AQ1619" s="2">
        <f t="shared" si="31"/>
      </c>
    </row>
    <row r="1620">
      <c r="A1620" s="43">
        <f t="shared" si="3"/>
      </c>
      <c r="B1620" s="44" t="n"/>
      <c r="C1620" s="45" t="n"/>
      <c r="D1620" s="46" t="n"/>
      <c r="E1620" s="47" t="n"/>
      <c r="F1620" s="47" t="n"/>
      <c r="G1620" s="48">
        <f t="shared" si="4"/>
      </c>
      <c r="H1620" s="43">
        <f t="shared" si="0"/>
      </c>
      <c r="I1620" s="43">
        <f t="shared" si="5"/>
      </c>
      <c r="J1620" s="43">
        <f t="shared" si="1"/>
      </c>
      <c r="K1620" s="49">
        <f t="shared" si="2"/>
      </c>
      <c r="L1620" s="45" t="n"/>
      <c r="M1620" s="45" t="n"/>
      <c r="N1620" s="45" t="n"/>
      <c r="O1620" s="45" t="n"/>
      <c r="P1620" s="50" t="n"/>
      <c r="R1620" s="2">
        <f t="shared" si="6"/>
        <v>0</v>
      </c>
      <c r="S1620" s="2">
        <f t="shared" si="7"/>
      </c>
      <c r="T1620" s="2">
        <f t="shared" si="8"/>
      </c>
      <c r="U1620" s="2">
        <f t="shared" si="9"/>
      </c>
      <c r="V1620" s="2">
        <f t="shared" si="10"/>
      </c>
      <c r="W1620" s="2">
        <f t="shared" si="11"/>
      </c>
      <c r="X1620" s="2">
        <f t="shared" si="12"/>
      </c>
      <c r="Y1620" s="2">
        <f t="shared" si="13"/>
        <v>0</v>
      </c>
      <c r="Z1620" s="2">
        <f t="shared" si="14"/>
      </c>
      <c r="AA1620" s="2">
        <f t="shared" si="15"/>
        <v>0</v>
      </c>
      <c r="AB1620" s="2">
        <f t="shared" si="16"/>
      </c>
      <c r="AC1620" s="2">
        <f t="shared" si="17"/>
      </c>
      <c r="AD1620" s="2">
        <f t="shared" si="18"/>
      </c>
      <c r="AE1620" s="2">
        <f t="shared" si="19"/>
      </c>
      <c r="AF1620" s="2">
        <f t="shared" si="20"/>
      </c>
      <c r="AG1620" s="2">
        <f t="shared" si="21"/>
      </c>
      <c r="AH1620" s="2">
        <f t="shared" si="22"/>
      </c>
      <c r="AI1620" s="2">
        <f t="shared" si="23"/>
      </c>
      <c r="AJ1620" s="2">
        <f t="shared" si="24"/>
        <v>0</v>
      </c>
      <c r="AK1620" s="2">
        <f t="shared" si="25"/>
        <v>0</v>
      </c>
      <c r="AL1620" s="2">
        <f t="shared" si="26"/>
        <v>0</v>
      </c>
      <c r="AM1620" s="2">
        <f t="shared" si="27"/>
        <v>0</v>
      </c>
      <c r="AN1620" s="2">
        <f t="shared" si="28"/>
        <v>0</v>
      </c>
      <c r="AO1620" s="2">
        <f t="shared" si="29"/>
      </c>
      <c r="AP1620" s="2">
        <f t="shared" si="30"/>
      </c>
      <c r="AQ1620" s="2">
        <f t="shared" si="31"/>
      </c>
    </row>
    <row r="1621">
      <c r="A1621" s="43">
        <f t="shared" si="3"/>
      </c>
      <c r="B1621" s="44" t="n"/>
      <c r="C1621" s="45" t="n"/>
      <c r="D1621" s="46" t="n"/>
      <c r="E1621" s="47" t="n"/>
      <c r="F1621" s="47" t="n"/>
      <c r="G1621" s="48">
        <f t="shared" si="4"/>
      </c>
      <c r="H1621" s="43">
        <f t="shared" si="0"/>
      </c>
      <c r="I1621" s="43">
        <f t="shared" si="5"/>
      </c>
      <c r="J1621" s="43">
        <f t="shared" si="1"/>
      </c>
      <c r="K1621" s="49">
        <f t="shared" si="2"/>
      </c>
      <c r="L1621" s="45" t="n"/>
      <c r="M1621" s="45" t="n"/>
      <c r="N1621" s="45" t="n"/>
      <c r="O1621" s="45" t="n"/>
      <c r="P1621" s="50" t="n"/>
      <c r="R1621" s="2">
        <f t="shared" si="6"/>
        <v>0</v>
      </c>
      <c r="S1621" s="2">
        <f t="shared" si="7"/>
      </c>
      <c r="T1621" s="2">
        <f t="shared" si="8"/>
      </c>
      <c r="U1621" s="2">
        <f t="shared" si="9"/>
      </c>
      <c r="V1621" s="2">
        <f t="shared" si="10"/>
      </c>
      <c r="W1621" s="2">
        <f t="shared" si="11"/>
      </c>
      <c r="X1621" s="2">
        <f t="shared" si="12"/>
      </c>
      <c r="Y1621" s="2">
        <f t="shared" si="13"/>
        <v>0</v>
      </c>
      <c r="Z1621" s="2">
        <f t="shared" si="14"/>
      </c>
      <c r="AA1621" s="2">
        <f t="shared" si="15"/>
        <v>0</v>
      </c>
      <c r="AB1621" s="2">
        <f t="shared" si="16"/>
      </c>
      <c r="AC1621" s="2">
        <f t="shared" si="17"/>
      </c>
      <c r="AD1621" s="2">
        <f t="shared" si="18"/>
      </c>
      <c r="AE1621" s="2">
        <f t="shared" si="19"/>
      </c>
      <c r="AF1621" s="2">
        <f t="shared" si="20"/>
      </c>
      <c r="AG1621" s="2">
        <f t="shared" si="21"/>
      </c>
      <c r="AH1621" s="2">
        <f t="shared" si="22"/>
      </c>
      <c r="AI1621" s="2">
        <f t="shared" si="23"/>
      </c>
      <c r="AJ1621" s="2">
        <f t="shared" si="24"/>
        <v>0</v>
      </c>
      <c r="AK1621" s="2">
        <f t="shared" si="25"/>
        <v>0</v>
      </c>
      <c r="AL1621" s="2">
        <f t="shared" si="26"/>
        <v>0</v>
      </c>
      <c r="AM1621" s="2">
        <f t="shared" si="27"/>
        <v>0</v>
      </c>
      <c r="AN1621" s="2">
        <f t="shared" si="28"/>
        <v>0</v>
      </c>
      <c r="AO1621" s="2">
        <f t="shared" si="29"/>
      </c>
      <c r="AP1621" s="2">
        <f t="shared" si="30"/>
      </c>
      <c r="AQ1621" s="2">
        <f t="shared" si="31"/>
      </c>
    </row>
    <row r="1622">
      <c r="A1622" s="43">
        <f t="shared" si="3"/>
      </c>
      <c r="B1622" s="44" t="n"/>
      <c r="C1622" s="45" t="n"/>
      <c r="D1622" s="46" t="n"/>
      <c r="E1622" s="47" t="n"/>
      <c r="F1622" s="47" t="n"/>
      <c r="G1622" s="48">
        <f t="shared" si="4"/>
      </c>
      <c r="H1622" s="43">
        <f t="shared" si="0"/>
      </c>
      <c r="I1622" s="43">
        <f t="shared" si="5"/>
      </c>
      <c r="J1622" s="43">
        <f t="shared" si="1"/>
      </c>
      <c r="K1622" s="49">
        <f t="shared" si="2"/>
      </c>
      <c r="L1622" s="45" t="n"/>
      <c r="M1622" s="45" t="n"/>
      <c r="N1622" s="45" t="n"/>
      <c r="O1622" s="45" t="n"/>
      <c r="P1622" s="50" t="n"/>
      <c r="R1622" s="2">
        <f t="shared" si="6"/>
        <v>0</v>
      </c>
      <c r="S1622" s="2">
        <f t="shared" si="7"/>
      </c>
      <c r="T1622" s="2">
        <f t="shared" si="8"/>
      </c>
      <c r="U1622" s="2">
        <f t="shared" si="9"/>
      </c>
      <c r="V1622" s="2">
        <f t="shared" si="10"/>
      </c>
      <c r="W1622" s="2">
        <f t="shared" si="11"/>
      </c>
      <c r="X1622" s="2">
        <f t="shared" si="12"/>
      </c>
      <c r="Y1622" s="2">
        <f t="shared" si="13"/>
        <v>0</v>
      </c>
      <c r="Z1622" s="2">
        <f t="shared" si="14"/>
      </c>
      <c r="AA1622" s="2">
        <f t="shared" si="15"/>
        <v>0</v>
      </c>
      <c r="AB1622" s="2">
        <f t="shared" si="16"/>
      </c>
      <c r="AC1622" s="2">
        <f t="shared" si="17"/>
      </c>
      <c r="AD1622" s="2">
        <f t="shared" si="18"/>
      </c>
      <c r="AE1622" s="2">
        <f t="shared" si="19"/>
      </c>
      <c r="AF1622" s="2">
        <f t="shared" si="20"/>
      </c>
      <c r="AG1622" s="2">
        <f t="shared" si="21"/>
      </c>
      <c r="AH1622" s="2">
        <f t="shared" si="22"/>
      </c>
      <c r="AI1622" s="2">
        <f t="shared" si="23"/>
      </c>
      <c r="AJ1622" s="2">
        <f t="shared" si="24"/>
        <v>0</v>
      </c>
      <c r="AK1622" s="2">
        <f t="shared" si="25"/>
        <v>0</v>
      </c>
      <c r="AL1622" s="2">
        <f t="shared" si="26"/>
        <v>0</v>
      </c>
      <c r="AM1622" s="2">
        <f t="shared" si="27"/>
        <v>0</v>
      </c>
      <c r="AN1622" s="2">
        <f t="shared" si="28"/>
        <v>0</v>
      </c>
      <c r="AO1622" s="2">
        <f t="shared" si="29"/>
      </c>
      <c r="AP1622" s="2">
        <f t="shared" si="30"/>
      </c>
      <c r="AQ1622" s="2">
        <f t="shared" si="31"/>
      </c>
    </row>
    <row r="1623">
      <c r="A1623" s="43">
        <f t="shared" si="3"/>
      </c>
      <c r="B1623" s="44" t="n"/>
      <c r="C1623" s="45" t="n"/>
      <c r="D1623" s="46" t="n"/>
      <c r="E1623" s="47" t="n"/>
      <c r="F1623" s="47" t="n"/>
      <c r="G1623" s="48">
        <f t="shared" si="4"/>
      </c>
      <c r="H1623" s="43">
        <f t="shared" si="0"/>
      </c>
      <c r="I1623" s="43">
        <f t="shared" si="5"/>
      </c>
      <c r="J1623" s="43">
        <f t="shared" si="1"/>
      </c>
      <c r="K1623" s="49">
        <f t="shared" si="2"/>
      </c>
      <c r="L1623" s="45" t="n"/>
      <c r="M1623" s="45" t="n"/>
      <c r="N1623" s="45" t="n"/>
      <c r="O1623" s="45" t="n"/>
      <c r="P1623" s="50" t="n"/>
      <c r="R1623" s="2">
        <f t="shared" si="6"/>
        <v>0</v>
      </c>
      <c r="S1623" s="2">
        <f t="shared" si="7"/>
      </c>
      <c r="T1623" s="2">
        <f t="shared" si="8"/>
      </c>
      <c r="U1623" s="2">
        <f t="shared" si="9"/>
      </c>
      <c r="V1623" s="2">
        <f t="shared" si="10"/>
      </c>
      <c r="W1623" s="2">
        <f t="shared" si="11"/>
      </c>
      <c r="X1623" s="2">
        <f t="shared" si="12"/>
      </c>
      <c r="Y1623" s="2">
        <f t="shared" si="13"/>
        <v>0</v>
      </c>
      <c r="Z1623" s="2">
        <f t="shared" si="14"/>
      </c>
      <c r="AA1623" s="2">
        <f t="shared" si="15"/>
        <v>0</v>
      </c>
      <c r="AB1623" s="2">
        <f t="shared" si="16"/>
      </c>
      <c r="AC1623" s="2">
        <f t="shared" si="17"/>
      </c>
      <c r="AD1623" s="2">
        <f t="shared" si="18"/>
      </c>
      <c r="AE1623" s="2">
        <f t="shared" si="19"/>
      </c>
      <c r="AF1623" s="2">
        <f t="shared" si="20"/>
      </c>
      <c r="AG1623" s="2">
        <f t="shared" si="21"/>
      </c>
      <c r="AH1623" s="2">
        <f t="shared" si="22"/>
      </c>
      <c r="AI1623" s="2">
        <f t="shared" si="23"/>
      </c>
      <c r="AJ1623" s="2">
        <f t="shared" si="24"/>
        <v>0</v>
      </c>
      <c r="AK1623" s="2">
        <f t="shared" si="25"/>
        <v>0</v>
      </c>
      <c r="AL1623" s="2">
        <f t="shared" si="26"/>
        <v>0</v>
      </c>
      <c r="AM1623" s="2">
        <f t="shared" si="27"/>
        <v>0</v>
      </c>
      <c r="AN1623" s="2">
        <f t="shared" si="28"/>
        <v>0</v>
      </c>
      <c r="AO1623" s="2">
        <f t="shared" si="29"/>
      </c>
      <c r="AP1623" s="2">
        <f t="shared" si="30"/>
      </c>
      <c r="AQ1623" s="2">
        <f t="shared" si="31"/>
      </c>
    </row>
    <row r="1624">
      <c r="A1624" s="43">
        <f t="shared" si="3"/>
      </c>
      <c r="B1624" s="44" t="n"/>
      <c r="C1624" s="45" t="n"/>
      <c r="D1624" s="46" t="n"/>
      <c r="E1624" s="47" t="n"/>
      <c r="F1624" s="47" t="n"/>
      <c r="G1624" s="48">
        <f t="shared" si="4"/>
      </c>
      <c r="H1624" s="43">
        <f t="shared" si="0"/>
      </c>
      <c r="I1624" s="43">
        <f t="shared" si="5"/>
      </c>
      <c r="J1624" s="43">
        <f t="shared" si="1"/>
      </c>
      <c r="K1624" s="49">
        <f t="shared" si="2"/>
      </c>
      <c r="L1624" s="45" t="n"/>
      <c r="M1624" s="45" t="n"/>
      <c r="N1624" s="45" t="n"/>
      <c r="O1624" s="45" t="n"/>
      <c r="P1624" s="50" t="n"/>
      <c r="R1624" s="2">
        <f t="shared" si="6"/>
        <v>0</v>
      </c>
      <c r="S1624" s="2">
        <f t="shared" si="7"/>
      </c>
      <c r="T1624" s="2">
        <f t="shared" si="8"/>
      </c>
      <c r="U1624" s="2">
        <f t="shared" si="9"/>
      </c>
      <c r="V1624" s="2">
        <f t="shared" si="10"/>
      </c>
      <c r="W1624" s="2">
        <f t="shared" si="11"/>
      </c>
      <c r="X1624" s="2">
        <f t="shared" si="12"/>
      </c>
      <c r="Y1624" s="2">
        <f t="shared" si="13"/>
        <v>0</v>
      </c>
      <c r="Z1624" s="2">
        <f t="shared" si="14"/>
      </c>
      <c r="AA1624" s="2">
        <f t="shared" si="15"/>
        <v>0</v>
      </c>
      <c r="AB1624" s="2">
        <f t="shared" si="16"/>
      </c>
      <c r="AC1624" s="2">
        <f t="shared" si="17"/>
      </c>
      <c r="AD1624" s="2">
        <f t="shared" si="18"/>
      </c>
      <c r="AE1624" s="2">
        <f t="shared" si="19"/>
      </c>
      <c r="AF1624" s="2">
        <f t="shared" si="20"/>
      </c>
      <c r="AG1624" s="2">
        <f t="shared" si="21"/>
      </c>
      <c r="AH1624" s="2">
        <f t="shared" si="22"/>
      </c>
      <c r="AI1624" s="2">
        <f t="shared" si="23"/>
      </c>
      <c r="AJ1624" s="2">
        <f t="shared" si="24"/>
        <v>0</v>
      </c>
      <c r="AK1624" s="2">
        <f t="shared" si="25"/>
        <v>0</v>
      </c>
      <c r="AL1624" s="2">
        <f t="shared" si="26"/>
        <v>0</v>
      </c>
      <c r="AM1624" s="2">
        <f t="shared" si="27"/>
        <v>0</v>
      </c>
      <c r="AN1624" s="2">
        <f t="shared" si="28"/>
        <v>0</v>
      </c>
      <c r="AO1624" s="2">
        <f t="shared" si="29"/>
      </c>
      <c r="AP1624" s="2">
        <f t="shared" si="30"/>
      </c>
      <c r="AQ1624" s="2">
        <f t="shared" si="31"/>
      </c>
    </row>
    <row r="1625">
      <c r="A1625" s="43">
        <f t="shared" si="3"/>
      </c>
      <c r="B1625" s="44" t="n"/>
      <c r="C1625" s="45" t="n"/>
      <c r="D1625" s="46" t="n"/>
      <c r="E1625" s="47" t="n"/>
      <c r="F1625" s="47" t="n"/>
      <c r="G1625" s="48">
        <f t="shared" si="4"/>
      </c>
      <c r="H1625" s="43">
        <f t="shared" si="0"/>
      </c>
      <c r="I1625" s="43">
        <f t="shared" si="5"/>
      </c>
      <c r="J1625" s="43">
        <f t="shared" si="1"/>
      </c>
      <c r="K1625" s="49">
        <f t="shared" si="2"/>
      </c>
      <c r="L1625" s="45" t="n"/>
      <c r="M1625" s="45" t="n"/>
      <c r="N1625" s="45" t="n"/>
      <c r="O1625" s="45" t="n"/>
      <c r="P1625" s="50" t="n"/>
      <c r="R1625" s="2">
        <f t="shared" si="6"/>
        <v>0</v>
      </c>
      <c r="S1625" s="2">
        <f t="shared" si="7"/>
      </c>
      <c r="T1625" s="2">
        <f t="shared" si="8"/>
      </c>
      <c r="U1625" s="2">
        <f t="shared" si="9"/>
      </c>
      <c r="V1625" s="2">
        <f t="shared" si="10"/>
      </c>
      <c r="W1625" s="2">
        <f t="shared" si="11"/>
      </c>
      <c r="X1625" s="2">
        <f t="shared" si="12"/>
      </c>
      <c r="Y1625" s="2">
        <f t="shared" si="13"/>
        <v>0</v>
      </c>
      <c r="Z1625" s="2">
        <f t="shared" si="14"/>
      </c>
      <c r="AA1625" s="2">
        <f t="shared" si="15"/>
        <v>0</v>
      </c>
      <c r="AB1625" s="2">
        <f t="shared" si="16"/>
      </c>
      <c r="AC1625" s="2">
        <f t="shared" si="17"/>
      </c>
      <c r="AD1625" s="2">
        <f t="shared" si="18"/>
      </c>
      <c r="AE1625" s="2">
        <f t="shared" si="19"/>
      </c>
      <c r="AF1625" s="2">
        <f t="shared" si="20"/>
      </c>
      <c r="AG1625" s="2">
        <f t="shared" si="21"/>
      </c>
      <c r="AH1625" s="2">
        <f t="shared" si="22"/>
      </c>
      <c r="AI1625" s="2">
        <f t="shared" si="23"/>
      </c>
      <c r="AJ1625" s="2">
        <f t="shared" si="24"/>
        <v>0</v>
      </c>
      <c r="AK1625" s="2">
        <f t="shared" si="25"/>
        <v>0</v>
      </c>
      <c r="AL1625" s="2">
        <f t="shared" si="26"/>
        <v>0</v>
      </c>
      <c r="AM1625" s="2">
        <f t="shared" si="27"/>
        <v>0</v>
      </c>
      <c r="AN1625" s="2">
        <f t="shared" si="28"/>
        <v>0</v>
      </c>
      <c r="AO1625" s="2">
        <f t="shared" si="29"/>
      </c>
      <c r="AP1625" s="2">
        <f t="shared" si="30"/>
      </c>
      <c r="AQ1625" s="2">
        <f t="shared" si="31"/>
      </c>
    </row>
    <row r="1626">
      <c r="A1626" s="43">
        <f t="shared" si="3"/>
      </c>
      <c r="B1626" s="44" t="n"/>
      <c r="C1626" s="45" t="n"/>
      <c r="D1626" s="46" t="n"/>
      <c r="E1626" s="47" t="n"/>
      <c r="F1626" s="47" t="n"/>
      <c r="G1626" s="48">
        <f t="shared" si="4"/>
      </c>
      <c r="H1626" s="43">
        <f t="shared" si="0"/>
      </c>
      <c r="I1626" s="43">
        <f t="shared" si="5"/>
      </c>
      <c r="J1626" s="43">
        <f t="shared" si="1"/>
      </c>
      <c r="K1626" s="49">
        <f t="shared" si="2"/>
      </c>
      <c r="L1626" s="45" t="n"/>
      <c r="M1626" s="45" t="n"/>
      <c r="N1626" s="45" t="n"/>
      <c r="O1626" s="45" t="n"/>
      <c r="P1626" s="50" t="n"/>
      <c r="R1626" s="2">
        <f t="shared" si="6"/>
        <v>0</v>
      </c>
      <c r="S1626" s="2">
        <f t="shared" si="7"/>
      </c>
      <c r="T1626" s="2">
        <f t="shared" si="8"/>
      </c>
      <c r="U1626" s="2">
        <f t="shared" si="9"/>
      </c>
      <c r="V1626" s="2">
        <f t="shared" si="10"/>
      </c>
      <c r="W1626" s="2">
        <f t="shared" si="11"/>
      </c>
      <c r="X1626" s="2">
        <f t="shared" si="12"/>
      </c>
      <c r="Y1626" s="2">
        <f t="shared" si="13"/>
        <v>0</v>
      </c>
      <c r="Z1626" s="2">
        <f t="shared" si="14"/>
      </c>
      <c r="AA1626" s="2">
        <f t="shared" si="15"/>
        <v>0</v>
      </c>
      <c r="AB1626" s="2">
        <f t="shared" si="16"/>
      </c>
      <c r="AC1626" s="2">
        <f t="shared" si="17"/>
      </c>
      <c r="AD1626" s="2">
        <f t="shared" si="18"/>
      </c>
      <c r="AE1626" s="2">
        <f t="shared" si="19"/>
      </c>
      <c r="AF1626" s="2">
        <f t="shared" si="20"/>
      </c>
      <c r="AG1626" s="2">
        <f t="shared" si="21"/>
      </c>
      <c r="AH1626" s="2">
        <f t="shared" si="22"/>
      </c>
      <c r="AI1626" s="2">
        <f t="shared" si="23"/>
      </c>
      <c r="AJ1626" s="2">
        <f t="shared" si="24"/>
        <v>0</v>
      </c>
      <c r="AK1626" s="2">
        <f t="shared" si="25"/>
        <v>0</v>
      </c>
      <c r="AL1626" s="2">
        <f t="shared" si="26"/>
        <v>0</v>
      </c>
      <c r="AM1626" s="2">
        <f t="shared" si="27"/>
        <v>0</v>
      </c>
      <c r="AN1626" s="2">
        <f t="shared" si="28"/>
        <v>0</v>
      </c>
      <c r="AO1626" s="2">
        <f t="shared" si="29"/>
      </c>
      <c r="AP1626" s="2">
        <f t="shared" si="30"/>
      </c>
      <c r="AQ1626" s="2">
        <f t="shared" si="31"/>
      </c>
    </row>
    <row r="1627">
      <c r="A1627" s="43">
        <f t="shared" si="3"/>
      </c>
      <c r="B1627" s="44" t="n"/>
      <c r="C1627" s="45" t="n"/>
      <c r="D1627" s="46" t="n"/>
      <c r="E1627" s="47" t="n"/>
      <c r="F1627" s="47" t="n"/>
      <c r="G1627" s="48">
        <f t="shared" si="4"/>
      </c>
      <c r="H1627" s="43">
        <f t="shared" si="0"/>
      </c>
      <c r="I1627" s="43">
        <f t="shared" si="5"/>
      </c>
      <c r="J1627" s="43">
        <f t="shared" si="1"/>
      </c>
      <c r="K1627" s="49">
        <f t="shared" si="2"/>
      </c>
      <c r="L1627" s="45" t="n"/>
      <c r="M1627" s="45" t="n"/>
      <c r="N1627" s="45" t="n"/>
      <c r="O1627" s="45" t="n"/>
      <c r="P1627" s="50" t="n"/>
      <c r="R1627" s="2">
        <f t="shared" si="6"/>
        <v>0</v>
      </c>
      <c r="S1627" s="2">
        <f t="shared" si="7"/>
      </c>
      <c r="T1627" s="2">
        <f t="shared" si="8"/>
      </c>
      <c r="U1627" s="2">
        <f t="shared" si="9"/>
      </c>
      <c r="V1627" s="2">
        <f t="shared" si="10"/>
      </c>
      <c r="W1627" s="2">
        <f t="shared" si="11"/>
      </c>
      <c r="X1627" s="2">
        <f t="shared" si="12"/>
      </c>
      <c r="Y1627" s="2">
        <f t="shared" si="13"/>
        <v>0</v>
      </c>
      <c r="Z1627" s="2">
        <f t="shared" si="14"/>
      </c>
      <c r="AA1627" s="2">
        <f t="shared" si="15"/>
        <v>0</v>
      </c>
      <c r="AB1627" s="2">
        <f t="shared" si="16"/>
      </c>
      <c r="AC1627" s="2">
        <f t="shared" si="17"/>
      </c>
      <c r="AD1627" s="2">
        <f t="shared" si="18"/>
      </c>
      <c r="AE1627" s="2">
        <f t="shared" si="19"/>
      </c>
      <c r="AF1627" s="2">
        <f t="shared" si="20"/>
      </c>
      <c r="AG1627" s="2">
        <f t="shared" si="21"/>
      </c>
      <c r="AH1627" s="2">
        <f t="shared" si="22"/>
      </c>
      <c r="AI1627" s="2">
        <f t="shared" si="23"/>
      </c>
      <c r="AJ1627" s="2">
        <f t="shared" si="24"/>
        <v>0</v>
      </c>
      <c r="AK1627" s="2">
        <f t="shared" si="25"/>
        <v>0</v>
      </c>
      <c r="AL1627" s="2">
        <f t="shared" si="26"/>
        <v>0</v>
      </c>
      <c r="AM1627" s="2">
        <f t="shared" si="27"/>
        <v>0</v>
      </c>
      <c r="AN1627" s="2">
        <f t="shared" si="28"/>
        <v>0</v>
      </c>
      <c r="AO1627" s="2">
        <f t="shared" si="29"/>
      </c>
      <c r="AP1627" s="2">
        <f t="shared" si="30"/>
      </c>
      <c r="AQ1627" s="2">
        <f t="shared" si="31"/>
      </c>
    </row>
    <row r="1628">
      <c r="A1628" s="43">
        <f t="shared" si="3"/>
      </c>
      <c r="B1628" s="44" t="n"/>
      <c r="C1628" s="45" t="n"/>
      <c r="D1628" s="46" t="n"/>
      <c r="E1628" s="47" t="n"/>
      <c r="F1628" s="47" t="n"/>
      <c r="G1628" s="48">
        <f t="shared" si="4"/>
      </c>
      <c r="H1628" s="43">
        <f t="shared" si="0"/>
      </c>
      <c r="I1628" s="43">
        <f t="shared" si="5"/>
      </c>
      <c r="J1628" s="43">
        <f t="shared" si="1"/>
      </c>
      <c r="K1628" s="49">
        <f t="shared" si="2"/>
      </c>
      <c r="L1628" s="45" t="n"/>
      <c r="M1628" s="45" t="n"/>
      <c r="N1628" s="45" t="n"/>
      <c r="O1628" s="45" t="n"/>
      <c r="P1628" s="50" t="n"/>
      <c r="R1628" s="2">
        <f t="shared" si="6"/>
        <v>0</v>
      </c>
      <c r="S1628" s="2">
        <f t="shared" si="7"/>
      </c>
      <c r="T1628" s="2">
        <f t="shared" si="8"/>
      </c>
      <c r="U1628" s="2">
        <f t="shared" si="9"/>
      </c>
      <c r="V1628" s="2">
        <f t="shared" si="10"/>
      </c>
      <c r="W1628" s="2">
        <f t="shared" si="11"/>
      </c>
      <c r="X1628" s="2">
        <f t="shared" si="12"/>
      </c>
      <c r="Y1628" s="2">
        <f t="shared" si="13"/>
        <v>0</v>
      </c>
      <c r="Z1628" s="2">
        <f t="shared" si="14"/>
      </c>
      <c r="AA1628" s="2">
        <f t="shared" si="15"/>
        <v>0</v>
      </c>
      <c r="AB1628" s="2">
        <f t="shared" si="16"/>
      </c>
      <c r="AC1628" s="2">
        <f t="shared" si="17"/>
      </c>
      <c r="AD1628" s="2">
        <f t="shared" si="18"/>
      </c>
      <c r="AE1628" s="2">
        <f t="shared" si="19"/>
      </c>
      <c r="AF1628" s="2">
        <f t="shared" si="20"/>
      </c>
      <c r="AG1628" s="2">
        <f t="shared" si="21"/>
      </c>
      <c r="AH1628" s="2">
        <f t="shared" si="22"/>
      </c>
      <c r="AI1628" s="2">
        <f t="shared" si="23"/>
      </c>
      <c r="AJ1628" s="2">
        <f t="shared" si="24"/>
        <v>0</v>
      </c>
      <c r="AK1628" s="2">
        <f t="shared" si="25"/>
        <v>0</v>
      </c>
      <c r="AL1628" s="2">
        <f t="shared" si="26"/>
        <v>0</v>
      </c>
      <c r="AM1628" s="2">
        <f t="shared" si="27"/>
        <v>0</v>
      </c>
      <c r="AN1628" s="2">
        <f t="shared" si="28"/>
        <v>0</v>
      </c>
      <c r="AO1628" s="2">
        <f t="shared" si="29"/>
      </c>
      <c r="AP1628" s="2">
        <f t="shared" si="30"/>
      </c>
      <c r="AQ1628" s="2">
        <f t="shared" si="31"/>
      </c>
    </row>
    <row r="1629">
      <c r="A1629" s="43">
        <f t="shared" si="3"/>
      </c>
      <c r="B1629" s="44" t="n"/>
      <c r="C1629" s="45" t="n"/>
      <c r="D1629" s="46" t="n"/>
      <c r="E1629" s="47" t="n"/>
      <c r="F1629" s="47" t="n"/>
      <c r="G1629" s="48">
        <f t="shared" si="4"/>
      </c>
      <c r="H1629" s="43">
        <f t="shared" si="0"/>
      </c>
      <c r="I1629" s="43">
        <f t="shared" si="5"/>
      </c>
      <c r="J1629" s="43">
        <f t="shared" si="1"/>
      </c>
      <c r="K1629" s="49">
        <f t="shared" si="2"/>
      </c>
      <c r="L1629" s="45" t="n"/>
      <c r="M1629" s="45" t="n"/>
      <c r="N1629" s="45" t="n"/>
      <c r="O1629" s="45" t="n"/>
      <c r="P1629" s="50" t="n"/>
      <c r="R1629" s="2">
        <f t="shared" si="6"/>
        <v>0</v>
      </c>
      <c r="S1629" s="2">
        <f t="shared" si="7"/>
      </c>
      <c r="T1629" s="2">
        <f t="shared" si="8"/>
      </c>
      <c r="U1629" s="2">
        <f t="shared" si="9"/>
      </c>
      <c r="V1629" s="2">
        <f t="shared" si="10"/>
      </c>
      <c r="W1629" s="2">
        <f t="shared" si="11"/>
      </c>
      <c r="X1629" s="2">
        <f t="shared" si="12"/>
      </c>
      <c r="Y1629" s="2">
        <f t="shared" si="13"/>
        <v>0</v>
      </c>
      <c r="Z1629" s="2">
        <f t="shared" si="14"/>
      </c>
      <c r="AA1629" s="2">
        <f t="shared" si="15"/>
        <v>0</v>
      </c>
      <c r="AB1629" s="2">
        <f t="shared" si="16"/>
      </c>
      <c r="AC1629" s="2">
        <f t="shared" si="17"/>
      </c>
      <c r="AD1629" s="2">
        <f t="shared" si="18"/>
      </c>
      <c r="AE1629" s="2">
        <f t="shared" si="19"/>
      </c>
      <c r="AF1629" s="2">
        <f t="shared" si="20"/>
      </c>
      <c r="AG1629" s="2">
        <f t="shared" si="21"/>
      </c>
      <c r="AH1629" s="2">
        <f t="shared" si="22"/>
      </c>
      <c r="AI1629" s="2">
        <f t="shared" si="23"/>
      </c>
      <c r="AJ1629" s="2">
        <f t="shared" si="24"/>
        <v>0</v>
      </c>
      <c r="AK1629" s="2">
        <f t="shared" si="25"/>
        <v>0</v>
      </c>
      <c r="AL1629" s="2">
        <f t="shared" si="26"/>
        <v>0</v>
      </c>
      <c r="AM1629" s="2">
        <f t="shared" si="27"/>
        <v>0</v>
      </c>
      <c r="AN1629" s="2">
        <f t="shared" si="28"/>
        <v>0</v>
      </c>
      <c r="AO1629" s="2">
        <f t="shared" si="29"/>
      </c>
      <c r="AP1629" s="2">
        <f t="shared" si="30"/>
      </c>
      <c r="AQ1629" s="2">
        <f t="shared" si="31"/>
      </c>
    </row>
    <row r="1630">
      <c r="A1630" s="43">
        <f t="shared" si="3"/>
      </c>
      <c r="B1630" s="44" t="n"/>
      <c r="C1630" s="45" t="n"/>
      <c r="D1630" s="46" t="n"/>
      <c r="E1630" s="47" t="n"/>
      <c r="F1630" s="47" t="n"/>
      <c r="G1630" s="48">
        <f t="shared" si="4"/>
      </c>
      <c r="H1630" s="43">
        <f t="shared" si="0"/>
      </c>
      <c r="I1630" s="43">
        <f t="shared" si="5"/>
      </c>
      <c r="J1630" s="43">
        <f t="shared" si="1"/>
      </c>
      <c r="K1630" s="49">
        <f t="shared" si="2"/>
      </c>
      <c r="L1630" s="45" t="n"/>
      <c r="M1630" s="45" t="n"/>
      <c r="N1630" s="45" t="n"/>
      <c r="O1630" s="45" t="n"/>
      <c r="P1630" s="50" t="n"/>
      <c r="R1630" s="2">
        <f t="shared" si="6"/>
        <v>0</v>
      </c>
      <c r="S1630" s="2">
        <f t="shared" si="7"/>
      </c>
      <c r="T1630" s="2">
        <f t="shared" si="8"/>
      </c>
      <c r="U1630" s="2">
        <f t="shared" si="9"/>
      </c>
      <c r="V1630" s="2">
        <f t="shared" si="10"/>
      </c>
      <c r="W1630" s="2">
        <f t="shared" si="11"/>
      </c>
      <c r="X1630" s="2">
        <f t="shared" si="12"/>
      </c>
      <c r="Y1630" s="2">
        <f t="shared" si="13"/>
        <v>0</v>
      </c>
      <c r="Z1630" s="2">
        <f t="shared" si="14"/>
      </c>
      <c r="AA1630" s="2">
        <f t="shared" si="15"/>
        <v>0</v>
      </c>
      <c r="AB1630" s="2">
        <f t="shared" si="16"/>
      </c>
      <c r="AC1630" s="2">
        <f t="shared" si="17"/>
      </c>
      <c r="AD1630" s="2">
        <f t="shared" si="18"/>
      </c>
      <c r="AE1630" s="2">
        <f t="shared" si="19"/>
      </c>
      <c r="AF1630" s="2">
        <f t="shared" si="20"/>
      </c>
      <c r="AG1630" s="2">
        <f t="shared" si="21"/>
      </c>
      <c r="AH1630" s="2">
        <f t="shared" si="22"/>
      </c>
      <c r="AI1630" s="2">
        <f t="shared" si="23"/>
      </c>
      <c r="AJ1630" s="2">
        <f t="shared" si="24"/>
        <v>0</v>
      </c>
      <c r="AK1630" s="2">
        <f t="shared" si="25"/>
        <v>0</v>
      </c>
      <c r="AL1630" s="2">
        <f t="shared" si="26"/>
        <v>0</v>
      </c>
      <c r="AM1630" s="2">
        <f t="shared" si="27"/>
        <v>0</v>
      </c>
      <c r="AN1630" s="2">
        <f t="shared" si="28"/>
        <v>0</v>
      </c>
      <c r="AO1630" s="2">
        <f t="shared" si="29"/>
      </c>
      <c r="AP1630" s="2">
        <f t="shared" si="30"/>
      </c>
      <c r="AQ1630" s="2">
        <f t="shared" si="31"/>
      </c>
    </row>
    <row r="1631">
      <c r="A1631" s="43">
        <f t="shared" si="3"/>
      </c>
      <c r="B1631" s="44" t="n"/>
      <c r="C1631" s="45" t="n"/>
      <c r="D1631" s="46" t="n"/>
      <c r="E1631" s="47" t="n"/>
      <c r="F1631" s="47" t="n"/>
      <c r="G1631" s="48">
        <f t="shared" si="4"/>
      </c>
      <c r="H1631" s="43">
        <f t="shared" si="0"/>
      </c>
      <c r="I1631" s="43">
        <f t="shared" si="5"/>
      </c>
      <c r="J1631" s="43">
        <f t="shared" si="1"/>
      </c>
      <c r="K1631" s="49">
        <f t="shared" si="2"/>
      </c>
      <c r="L1631" s="45" t="n"/>
      <c r="M1631" s="45" t="n"/>
      <c r="N1631" s="45" t="n"/>
      <c r="O1631" s="45" t="n"/>
      <c r="P1631" s="50" t="n"/>
      <c r="R1631" s="2">
        <f t="shared" si="6"/>
        <v>0</v>
      </c>
      <c r="S1631" s="2">
        <f t="shared" si="7"/>
      </c>
      <c r="T1631" s="2">
        <f t="shared" si="8"/>
      </c>
      <c r="U1631" s="2">
        <f t="shared" si="9"/>
      </c>
      <c r="V1631" s="2">
        <f t="shared" si="10"/>
      </c>
      <c r="W1631" s="2">
        <f t="shared" si="11"/>
      </c>
      <c r="X1631" s="2">
        <f t="shared" si="12"/>
      </c>
      <c r="Y1631" s="2">
        <f t="shared" si="13"/>
        <v>0</v>
      </c>
      <c r="Z1631" s="2">
        <f t="shared" si="14"/>
      </c>
      <c r="AA1631" s="2">
        <f t="shared" si="15"/>
        <v>0</v>
      </c>
      <c r="AB1631" s="2">
        <f t="shared" si="16"/>
      </c>
      <c r="AC1631" s="2">
        <f t="shared" si="17"/>
      </c>
      <c r="AD1631" s="2">
        <f t="shared" si="18"/>
      </c>
      <c r="AE1631" s="2">
        <f t="shared" si="19"/>
      </c>
      <c r="AF1631" s="2">
        <f t="shared" si="20"/>
      </c>
      <c r="AG1631" s="2">
        <f t="shared" si="21"/>
      </c>
      <c r="AH1631" s="2">
        <f t="shared" si="22"/>
      </c>
      <c r="AI1631" s="2">
        <f t="shared" si="23"/>
      </c>
      <c r="AJ1631" s="2">
        <f t="shared" si="24"/>
        <v>0</v>
      </c>
      <c r="AK1631" s="2">
        <f t="shared" si="25"/>
        <v>0</v>
      </c>
      <c r="AL1631" s="2">
        <f t="shared" si="26"/>
        <v>0</v>
      </c>
      <c r="AM1631" s="2">
        <f t="shared" si="27"/>
        <v>0</v>
      </c>
      <c r="AN1631" s="2">
        <f t="shared" si="28"/>
        <v>0</v>
      </c>
      <c r="AO1631" s="2">
        <f t="shared" si="29"/>
      </c>
      <c r="AP1631" s="2">
        <f t="shared" si="30"/>
      </c>
      <c r="AQ1631" s="2">
        <f t="shared" si="31"/>
      </c>
    </row>
    <row r="1632">
      <c r="A1632" s="43">
        <f t="shared" si="3"/>
      </c>
      <c r="B1632" s="44" t="n"/>
      <c r="C1632" s="45" t="n"/>
      <c r="D1632" s="46" t="n"/>
      <c r="E1632" s="47" t="n"/>
      <c r="F1632" s="47" t="n"/>
      <c r="G1632" s="48">
        <f t="shared" si="4"/>
      </c>
      <c r="H1632" s="43">
        <f t="shared" si="0"/>
      </c>
      <c r="I1632" s="43">
        <f t="shared" si="5"/>
      </c>
      <c r="J1632" s="43">
        <f t="shared" si="1"/>
      </c>
      <c r="K1632" s="49">
        <f t="shared" si="2"/>
      </c>
      <c r="L1632" s="45" t="n"/>
      <c r="M1632" s="45" t="n"/>
      <c r="N1632" s="45" t="n"/>
      <c r="O1632" s="45" t="n"/>
      <c r="P1632" s="50" t="n"/>
      <c r="R1632" s="2">
        <f t="shared" si="6"/>
        <v>0</v>
      </c>
      <c r="S1632" s="2">
        <f t="shared" si="7"/>
      </c>
      <c r="T1632" s="2">
        <f t="shared" si="8"/>
      </c>
      <c r="U1632" s="2">
        <f t="shared" si="9"/>
      </c>
      <c r="V1632" s="2">
        <f t="shared" si="10"/>
      </c>
      <c r="W1632" s="2">
        <f t="shared" si="11"/>
      </c>
      <c r="X1632" s="2">
        <f t="shared" si="12"/>
      </c>
      <c r="Y1632" s="2">
        <f t="shared" si="13"/>
        <v>0</v>
      </c>
      <c r="Z1632" s="2">
        <f t="shared" si="14"/>
      </c>
      <c r="AA1632" s="2">
        <f t="shared" si="15"/>
        <v>0</v>
      </c>
      <c r="AB1632" s="2">
        <f t="shared" si="16"/>
      </c>
      <c r="AC1632" s="2">
        <f t="shared" si="17"/>
      </c>
      <c r="AD1632" s="2">
        <f t="shared" si="18"/>
      </c>
      <c r="AE1632" s="2">
        <f t="shared" si="19"/>
      </c>
      <c r="AF1632" s="2">
        <f t="shared" si="20"/>
      </c>
      <c r="AG1632" s="2">
        <f t="shared" si="21"/>
      </c>
      <c r="AH1632" s="2">
        <f t="shared" si="22"/>
      </c>
      <c r="AI1632" s="2">
        <f t="shared" si="23"/>
      </c>
      <c r="AJ1632" s="2">
        <f t="shared" si="24"/>
        <v>0</v>
      </c>
      <c r="AK1632" s="2">
        <f t="shared" si="25"/>
        <v>0</v>
      </c>
      <c r="AL1632" s="2">
        <f t="shared" si="26"/>
        <v>0</v>
      </c>
      <c r="AM1632" s="2">
        <f t="shared" si="27"/>
        <v>0</v>
      </c>
      <c r="AN1632" s="2">
        <f t="shared" si="28"/>
        <v>0</v>
      </c>
      <c r="AO1632" s="2">
        <f t="shared" si="29"/>
      </c>
      <c r="AP1632" s="2">
        <f t="shared" si="30"/>
      </c>
      <c r="AQ1632" s="2">
        <f t="shared" si="31"/>
      </c>
    </row>
    <row r="1633">
      <c r="A1633" s="43">
        <f t="shared" si="3"/>
      </c>
      <c r="B1633" s="44" t="n"/>
      <c r="C1633" s="45" t="n"/>
      <c r="D1633" s="46" t="n"/>
      <c r="E1633" s="47" t="n"/>
      <c r="F1633" s="47" t="n"/>
      <c r="G1633" s="48">
        <f t="shared" si="4"/>
      </c>
      <c r="H1633" s="43">
        <f t="shared" si="0"/>
      </c>
      <c r="I1633" s="43">
        <f t="shared" si="5"/>
      </c>
      <c r="J1633" s="43">
        <f t="shared" si="1"/>
      </c>
      <c r="K1633" s="49">
        <f t="shared" si="2"/>
      </c>
      <c r="L1633" s="45" t="n"/>
      <c r="M1633" s="45" t="n"/>
      <c r="N1633" s="45" t="n"/>
      <c r="O1633" s="45" t="n"/>
      <c r="P1633" s="50" t="n"/>
      <c r="R1633" s="2">
        <f t="shared" si="6"/>
        <v>0</v>
      </c>
      <c r="S1633" s="2">
        <f t="shared" si="7"/>
      </c>
      <c r="T1633" s="2">
        <f t="shared" si="8"/>
      </c>
      <c r="U1633" s="2">
        <f t="shared" si="9"/>
      </c>
      <c r="V1633" s="2">
        <f t="shared" si="10"/>
      </c>
      <c r="W1633" s="2">
        <f t="shared" si="11"/>
      </c>
      <c r="X1633" s="2">
        <f t="shared" si="12"/>
      </c>
      <c r="Y1633" s="2">
        <f t="shared" si="13"/>
        <v>0</v>
      </c>
      <c r="Z1633" s="2">
        <f t="shared" si="14"/>
      </c>
      <c r="AA1633" s="2">
        <f t="shared" si="15"/>
        <v>0</v>
      </c>
      <c r="AB1633" s="2">
        <f t="shared" si="16"/>
      </c>
      <c r="AC1633" s="2">
        <f t="shared" si="17"/>
      </c>
      <c r="AD1633" s="2">
        <f t="shared" si="18"/>
      </c>
      <c r="AE1633" s="2">
        <f t="shared" si="19"/>
      </c>
      <c r="AF1633" s="2">
        <f t="shared" si="20"/>
      </c>
      <c r="AG1633" s="2">
        <f t="shared" si="21"/>
      </c>
      <c r="AH1633" s="2">
        <f t="shared" si="22"/>
      </c>
      <c r="AI1633" s="2">
        <f t="shared" si="23"/>
      </c>
      <c r="AJ1633" s="2">
        <f t="shared" si="24"/>
        <v>0</v>
      </c>
      <c r="AK1633" s="2">
        <f t="shared" si="25"/>
        <v>0</v>
      </c>
      <c r="AL1633" s="2">
        <f t="shared" si="26"/>
        <v>0</v>
      </c>
      <c r="AM1633" s="2">
        <f t="shared" si="27"/>
        <v>0</v>
      </c>
      <c r="AN1633" s="2">
        <f t="shared" si="28"/>
        <v>0</v>
      </c>
      <c r="AO1633" s="2">
        <f t="shared" si="29"/>
      </c>
      <c r="AP1633" s="2">
        <f t="shared" si="30"/>
      </c>
      <c r="AQ1633" s="2">
        <f t="shared" si="31"/>
      </c>
    </row>
    <row r="1634">
      <c r="A1634" s="43">
        <f t="shared" si="3"/>
      </c>
      <c r="B1634" s="44" t="n"/>
      <c r="C1634" s="45" t="n"/>
      <c r="D1634" s="46" t="n"/>
      <c r="E1634" s="47" t="n"/>
      <c r="F1634" s="47" t="n"/>
      <c r="G1634" s="48">
        <f t="shared" si="4"/>
      </c>
      <c r="H1634" s="43">
        <f t="shared" si="0"/>
      </c>
      <c r="I1634" s="43">
        <f t="shared" si="5"/>
      </c>
      <c r="J1634" s="43">
        <f t="shared" si="1"/>
      </c>
      <c r="K1634" s="49">
        <f t="shared" si="2"/>
      </c>
      <c r="L1634" s="45" t="n"/>
      <c r="M1634" s="45" t="n"/>
      <c r="N1634" s="45" t="n"/>
      <c r="O1634" s="45" t="n"/>
      <c r="P1634" s="50" t="n"/>
      <c r="R1634" s="2">
        <f t="shared" si="6"/>
        <v>0</v>
      </c>
      <c r="S1634" s="2">
        <f t="shared" si="7"/>
      </c>
      <c r="T1634" s="2">
        <f t="shared" si="8"/>
      </c>
      <c r="U1634" s="2">
        <f t="shared" si="9"/>
      </c>
      <c r="V1634" s="2">
        <f t="shared" si="10"/>
      </c>
      <c r="W1634" s="2">
        <f t="shared" si="11"/>
      </c>
      <c r="X1634" s="2">
        <f t="shared" si="12"/>
      </c>
      <c r="Y1634" s="2">
        <f t="shared" si="13"/>
        <v>0</v>
      </c>
      <c r="Z1634" s="2">
        <f t="shared" si="14"/>
      </c>
      <c r="AA1634" s="2">
        <f t="shared" si="15"/>
        <v>0</v>
      </c>
      <c r="AB1634" s="2">
        <f t="shared" si="16"/>
      </c>
      <c r="AC1634" s="2">
        <f t="shared" si="17"/>
      </c>
      <c r="AD1634" s="2">
        <f t="shared" si="18"/>
      </c>
      <c r="AE1634" s="2">
        <f t="shared" si="19"/>
      </c>
      <c r="AF1634" s="2">
        <f t="shared" si="20"/>
      </c>
      <c r="AG1634" s="2">
        <f t="shared" si="21"/>
      </c>
      <c r="AH1634" s="2">
        <f t="shared" si="22"/>
      </c>
      <c r="AI1634" s="2">
        <f t="shared" si="23"/>
      </c>
      <c r="AJ1634" s="2">
        <f t="shared" si="24"/>
        <v>0</v>
      </c>
      <c r="AK1634" s="2">
        <f t="shared" si="25"/>
        <v>0</v>
      </c>
      <c r="AL1634" s="2">
        <f t="shared" si="26"/>
        <v>0</v>
      </c>
      <c r="AM1634" s="2">
        <f t="shared" si="27"/>
        <v>0</v>
      </c>
      <c r="AN1634" s="2">
        <f t="shared" si="28"/>
        <v>0</v>
      </c>
      <c r="AO1634" s="2">
        <f t="shared" si="29"/>
      </c>
      <c r="AP1634" s="2">
        <f t="shared" si="30"/>
      </c>
      <c r="AQ1634" s="2">
        <f t="shared" si="31"/>
      </c>
    </row>
    <row r="1635">
      <c r="A1635" s="43">
        <f t="shared" si="3"/>
      </c>
      <c r="B1635" s="44" t="n"/>
      <c r="C1635" s="45" t="n"/>
      <c r="D1635" s="46" t="n"/>
      <c r="E1635" s="47" t="n"/>
      <c r="F1635" s="47" t="n"/>
      <c r="G1635" s="48">
        <f t="shared" si="4"/>
      </c>
      <c r="H1635" s="43">
        <f t="shared" si="0"/>
      </c>
      <c r="I1635" s="43">
        <f t="shared" si="5"/>
      </c>
      <c r="J1635" s="43">
        <f t="shared" si="1"/>
      </c>
      <c r="K1635" s="49">
        <f t="shared" si="2"/>
      </c>
      <c r="L1635" s="45" t="n"/>
      <c r="M1635" s="45" t="n"/>
      <c r="N1635" s="45" t="n"/>
      <c r="O1635" s="45" t="n"/>
      <c r="P1635" s="50" t="n"/>
      <c r="R1635" s="2">
        <f t="shared" si="6"/>
        <v>0</v>
      </c>
      <c r="S1635" s="2">
        <f t="shared" si="7"/>
      </c>
      <c r="T1635" s="2">
        <f t="shared" si="8"/>
      </c>
      <c r="U1635" s="2">
        <f t="shared" si="9"/>
      </c>
      <c r="V1635" s="2">
        <f t="shared" si="10"/>
      </c>
      <c r="W1635" s="2">
        <f t="shared" si="11"/>
      </c>
      <c r="X1635" s="2">
        <f t="shared" si="12"/>
      </c>
      <c r="Y1635" s="2">
        <f t="shared" si="13"/>
        <v>0</v>
      </c>
      <c r="Z1635" s="2">
        <f t="shared" si="14"/>
      </c>
      <c r="AA1635" s="2">
        <f t="shared" si="15"/>
        <v>0</v>
      </c>
      <c r="AB1635" s="2">
        <f t="shared" si="16"/>
      </c>
      <c r="AC1635" s="2">
        <f t="shared" si="17"/>
      </c>
      <c r="AD1635" s="2">
        <f t="shared" si="18"/>
      </c>
      <c r="AE1635" s="2">
        <f t="shared" si="19"/>
      </c>
      <c r="AF1635" s="2">
        <f t="shared" si="20"/>
      </c>
      <c r="AG1635" s="2">
        <f t="shared" si="21"/>
      </c>
      <c r="AH1635" s="2">
        <f t="shared" si="22"/>
      </c>
      <c r="AI1635" s="2">
        <f t="shared" si="23"/>
      </c>
      <c r="AJ1635" s="2">
        <f t="shared" si="24"/>
        <v>0</v>
      </c>
      <c r="AK1635" s="2">
        <f t="shared" si="25"/>
        <v>0</v>
      </c>
      <c r="AL1635" s="2">
        <f t="shared" si="26"/>
        <v>0</v>
      </c>
      <c r="AM1635" s="2">
        <f t="shared" si="27"/>
        <v>0</v>
      </c>
      <c r="AN1635" s="2">
        <f t="shared" si="28"/>
        <v>0</v>
      </c>
      <c r="AO1635" s="2">
        <f t="shared" si="29"/>
      </c>
      <c r="AP1635" s="2">
        <f t="shared" si="30"/>
      </c>
      <c r="AQ1635" s="2">
        <f t="shared" si="31"/>
      </c>
    </row>
    <row r="1636">
      <c r="A1636" s="43">
        <f t="shared" si="3"/>
      </c>
      <c r="B1636" s="44" t="n"/>
      <c r="C1636" s="45" t="n"/>
      <c r="D1636" s="46" t="n"/>
      <c r="E1636" s="47" t="n"/>
      <c r="F1636" s="47" t="n"/>
      <c r="G1636" s="48">
        <f t="shared" si="4"/>
      </c>
      <c r="H1636" s="43">
        <f t="shared" si="0"/>
      </c>
      <c r="I1636" s="43">
        <f t="shared" si="5"/>
      </c>
      <c r="J1636" s="43">
        <f t="shared" si="1"/>
      </c>
      <c r="K1636" s="49">
        <f t="shared" si="2"/>
      </c>
      <c r="L1636" s="45" t="n"/>
      <c r="M1636" s="45" t="n"/>
      <c r="N1636" s="45" t="n"/>
      <c r="O1636" s="45" t="n"/>
      <c r="P1636" s="50" t="n"/>
      <c r="R1636" s="2">
        <f t="shared" si="6"/>
        <v>0</v>
      </c>
      <c r="S1636" s="2">
        <f t="shared" si="7"/>
      </c>
      <c r="T1636" s="2">
        <f t="shared" si="8"/>
      </c>
      <c r="U1636" s="2">
        <f t="shared" si="9"/>
      </c>
      <c r="V1636" s="2">
        <f t="shared" si="10"/>
      </c>
      <c r="W1636" s="2">
        <f t="shared" si="11"/>
      </c>
      <c r="X1636" s="2">
        <f t="shared" si="12"/>
      </c>
      <c r="Y1636" s="2">
        <f t="shared" si="13"/>
        <v>0</v>
      </c>
      <c r="Z1636" s="2">
        <f t="shared" si="14"/>
      </c>
      <c r="AA1636" s="2">
        <f t="shared" si="15"/>
        <v>0</v>
      </c>
      <c r="AB1636" s="2">
        <f t="shared" si="16"/>
      </c>
      <c r="AC1636" s="2">
        <f t="shared" si="17"/>
      </c>
      <c r="AD1636" s="2">
        <f t="shared" si="18"/>
      </c>
      <c r="AE1636" s="2">
        <f t="shared" si="19"/>
      </c>
      <c r="AF1636" s="2">
        <f t="shared" si="20"/>
      </c>
      <c r="AG1636" s="2">
        <f t="shared" si="21"/>
      </c>
      <c r="AH1636" s="2">
        <f t="shared" si="22"/>
      </c>
      <c r="AI1636" s="2">
        <f t="shared" si="23"/>
      </c>
      <c r="AJ1636" s="2">
        <f t="shared" si="24"/>
        <v>0</v>
      </c>
      <c r="AK1636" s="2">
        <f t="shared" si="25"/>
        <v>0</v>
      </c>
      <c r="AL1636" s="2">
        <f t="shared" si="26"/>
        <v>0</v>
      </c>
      <c r="AM1636" s="2">
        <f t="shared" si="27"/>
        <v>0</v>
      </c>
      <c r="AN1636" s="2">
        <f t="shared" si="28"/>
        <v>0</v>
      </c>
      <c r="AO1636" s="2">
        <f t="shared" si="29"/>
      </c>
      <c r="AP1636" s="2">
        <f t="shared" si="30"/>
      </c>
      <c r="AQ1636" s="2">
        <f t="shared" si="31"/>
      </c>
    </row>
    <row r="1637">
      <c r="A1637" s="43">
        <f t="shared" si="3"/>
      </c>
      <c r="B1637" s="44" t="n"/>
      <c r="C1637" s="45" t="n"/>
      <c r="D1637" s="46" t="n"/>
      <c r="E1637" s="47" t="n"/>
      <c r="F1637" s="47" t="n"/>
      <c r="G1637" s="48">
        <f t="shared" si="4"/>
      </c>
      <c r="H1637" s="43">
        <f t="shared" si="0"/>
      </c>
      <c r="I1637" s="43">
        <f t="shared" si="5"/>
      </c>
      <c r="J1637" s="43">
        <f t="shared" si="1"/>
      </c>
      <c r="K1637" s="49">
        <f t="shared" si="2"/>
      </c>
      <c r="L1637" s="45" t="n"/>
      <c r="M1637" s="45" t="n"/>
      <c r="N1637" s="45" t="n"/>
      <c r="O1637" s="45" t="n"/>
      <c r="P1637" s="50" t="n"/>
      <c r="R1637" s="2">
        <f t="shared" si="6"/>
        <v>0</v>
      </c>
      <c r="S1637" s="2">
        <f t="shared" si="7"/>
      </c>
      <c r="T1637" s="2">
        <f t="shared" si="8"/>
      </c>
      <c r="U1637" s="2">
        <f t="shared" si="9"/>
      </c>
      <c r="V1637" s="2">
        <f t="shared" si="10"/>
      </c>
      <c r="W1637" s="2">
        <f t="shared" si="11"/>
      </c>
      <c r="X1637" s="2">
        <f t="shared" si="12"/>
      </c>
      <c r="Y1637" s="2">
        <f t="shared" si="13"/>
        <v>0</v>
      </c>
      <c r="Z1637" s="2">
        <f t="shared" si="14"/>
      </c>
      <c r="AA1637" s="2">
        <f t="shared" si="15"/>
        <v>0</v>
      </c>
      <c r="AB1637" s="2">
        <f t="shared" si="16"/>
      </c>
      <c r="AC1637" s="2">
        <f t="shared" si="17"/>
      </c>
      <c r="AD1637" s="2">
        <f t="shared" si="18"/>
      </c>
      <c r="AE1637" s="2">
        <f t="shared" si="19"/>
      </c>
      <c r="AF1637" s="2">
        <f t="shared" si="20"/>
      </c>
      <c r="AG1637" s="2">
        <f t="shared" si="21"/>
      </c>
      <c r="AH1637" s="2">
        <f t="shared" si="22"/>
      </c>
      <c r="AI1637" s="2">
        <f t="shared" si="23"/>
      </c>
      <c r="AJ1637" s="2">
        <f t="shared" si="24"/>
        <v>0</v>
      </c>
      <c r="AK1637" s="2">
        <f t="shared" si="25"/>
        <v>0</v>
      </c>
      <c r="AL1637" s="2">
        <f t="shared" si="26"/>
        <v>0</v>
      </c>
      <c r="AM1637" s="2">
        <f t="shared" si="27"/>
        <v>0</v>
      </c>
      <c r="AN1637" s="2">
        <f t="shared" si="28"/>
        <v>0</v>
      </c>
      <c r="AO1637" s="2">
        <f t="shared" si="29"/>
      </c>
      <c r="AP1637" s="2">
        <f t="shared" si="30"/>
      </c>
      <c r="AQ1637" s="2">
        <f t="shared" si="31"/>
      </c>
    </row>
    <row r="1638">
      <c r="A1638" s="43">
        <f t="shared" si="3"/>
      </c>
      <c r="B1638" s="44" t="n"/>
      <c r="C1638" s="45" t="n"/>
      <c r="D1638" s="46" t="n"/>
      <c r="E1638" s="47" t="n"/>
      <c r="F1638" s="47" t="n"/>
      <c r="G1638" s="48">
        <f t="shared" si="4"/>
      </c>
      <c r="H1638" s="43">
        <f t="shared" si="0"/>
      </c>
      <c r="I1638" s="43">
        <f t="shared" si="5"/>
      </c>
      <c r="J1638" s="43">
        <f t="shared" si="1"/>
      </c>
      <c r="K1638" s="49">
        <f t="shared" si="2"/>
      </c>
      <c r="L1638" s="45" t="n"/>
      <c r="M1638" s="45" t="n"/>
      <c r="N1638" s="45" t="n"/>
      <c r="O1638" s="45" t="n"/>
      <c r="P1638" s="50" t="n"/>
      <c r="R1638" s="2">
        <f t="shared" si="6"/>
        <v>0</v>
      </c>
      <c r="S1638" s="2">
        <f t="shared" si="7"/>
      </c>
      <c r="T1638" s="2">
        <f t="shared" si="8"/>
      </c>
      <c r="U1638" s="2">
        <f t="shared" si="9"/>
      </c>
      <c r="V1638" s="2">
        <f t="shared" si="10"/>
      </c>
      <c r="W1638" s="2">
        <f t="shared" si="11"/>
      </c>
      <c r="X1638" s="2">
        <f t="shared" si="12"/>
      </c>
      <c r="Y1638" s="2">
        <f t="shared" si="13"/>
        <v>0</v>
      </c>
      <c r="Z1638" s="2">
        <f t="shared" si="14"/>
      </c>
      <c r="AA1638" s="2">
        <f t="shared" si="15"/>
        <v>0</v>
      </c>
      <c r="AB1638" s="2">
        <f t="shared" si="16"/>
      </c>
      <c r="AC1638" s="2">
        <f t="shared" si="17"/>
      </c>
      <c r="AD1638" s="2">
        <f t="shared" si="18"/>
      </c>
      <c r="AE1638" s="2">
        <f t="shared" si="19"/>
      </c>
      <c r="AF1638" s="2">
        <f t="shared" si="20"/>
      </c>
      <c r="AG1638" s="2">
        <f t="shared" si="21"/>
      </c>
      <c r="AH1638" s="2">
        <f t="shared" si="22"/>
      </c>
      <c r="AI1638" s="2">
        <f t="shared" si="23"/>
      </c>
      <c r="AJ1638" s="2">
        <f t="shared" si="24"/>
        <v>0</v>
      </c>
      <c r="AK1638" s="2">
        <f t="shared" si="25"/>
        <v>0</v>
      </c>
      <c r="AL1638" s="2">
        <f t="shared" si="26"/>
        <v>0</v>
      </c>
      <c r="AM1638" s="2">
        <f t="shared" si="27"/>
        <v>0</v>
      </c>
      <c r="AN1638" s="2">
        <f t="shared" si="28"/>
        <v>0</v>
      </c>
      <c r="AO1638" s="2">
        <f t="shared" si="29"/>
      </c>
      <c r="AP1638" s="2">
        <f t="shared" si="30"/>
      </c>
      <c r="AQ1638" s="2">
        <f t="shared" si="31"/>
      </c>
    </row>
    <row r="1639">
      <c r="A1639" s="43">
        <f t="shared" si="3"/>
      </c>
      <c r="B1639" s="44" t="n"/>
      <c r="C1639" s="45" t="n"/>
      <c r="D1639" s="46" t="n"/>
      <c r="E1639" s="47" t="n"/>
      <c r="F1639" s="47" t="n"/>
      <c r="G1639" s="48">
        <f t="shared" si="4"/>
      </c>
      <c r="H1639" s="43">
        <f t="shared" si="0"/>
      </c>
      <c r="I1639" s="43">
        <f t="shared" si="5"/>
      </c>
      <c r="J1639" s="43">
        <f t="shared" si="1"/>
      </c>
      <c r="K1639" s="49">
        <f t="shared" si="2"/>
      </c>
      <c r="L1639" s="45" t="n"/>
      <c r="M1639" s="45" t="n"/>
      <c r="N1639" s="45" t="n"/>
      <c r="O1639" s="45" t="n"/>
      <c r="P1639" s="50" t="n"/>
      <c r="R1639" s="2">
        <f t="shared" si="6"/>
        <v>0</v>
      </c>
      <c r="S1639" s="2">
        <f t="shared" si="7"/>
      </c>
      <c r="T1639" s="2">
        <f t="shared" si="8"/>
      </c>
      <c r="U1639" s="2">
        <f t="shared" si="9"/>
      </c>
      <c r="V1639" s="2">
        <f t="shared" si="10"/>
      </c>
      <c r="W1639" s="2">
        <f t="shared" si="11"/>
      </c>
      <c r="X1639" s="2">
        <f t="shared" si="12"/>
      </c>
      <c r="Y1639" s="2">
        <f t="shared" si="13"/>
        <v>0</v>
      </c>
      <c r="Z1639" s="2">
        <f t="shared" si="14"/>
      </c>
      <c r="AA1639" s="2">
        <f t="shared" si="15"/>
        <v>0</v>
      </c>
      <c r="AB1639" s="2">
        <f t="shared" si="16"/>
      </c>
      <c r="AC1639" s="2">
        <f t="shared" si="17"/>
      </c>
      <c r="AD1639" s="2">
        <f t="shared" si="18"/>
      </c>
      <c r="AE1639" s="2">
        <f t="shared" si="19"/>
      </c>
      <c r="AF1639" s="2">
        <f t="shared" si="20"/>
      </c>
      <c r="AG1639" s="2">
        <f t="shared" si="21"/>
      </c>
      <c r="AH1639" s="2">
        <f t="shared" si="22"/>
      </c>
      <c r="AI1639" s="2">
        <f t="shared" si="23"/>
      </c>
      <c r="AJ1639" s="2">
        <f t="shared" si="24"/>
        <v>0</v>
      </c>
      <c r="AK1639" s="2">
        <f t="shared" si="25"/>
        <v>0</v>
      </c>
      <c r="AL1639" s="2">
        <f t="shared" si="26"/>
        <v>0</v>
      </c>
      <c r="AM1639" s="2">
        <f t="shared" si="27"/>
        <v>0</v>
      </c>
      <c r="AN1639" s="2">
        <f t="shared" si="28"/>
        <v>0</v>
      </c>
      <c r="AO1639" s="2">
        <f t="shared" si="29"/>
      </c>
      <c r="AP1639" s="2">
        <f t="shared" si="30"/>
      </c>
      <c r="AQ1639" s="2">
        <f t="shared" si="31"/>
      </c>
    </row>
    <row r="1640">
      <c r="A1640" s="43">
        <f t="shared" si="3"/>
      </c>
      <c r="B1640" s="44" t="n"/>
      <c r="C1640" s="45" t="n"/>
      <c r="D1640" s="46" t="n"/>
      <c r="E1640" s="47" t="n"/>
      <c r="F1640" s="47" t="n"/>
      <c r="G1640" s="48">
        <f t="shared" si="4"/>
      </c>
      <c r="H1640" s="43">
        <f t="shared" si="0"/>
      </c>
      <c r="I1640" s="43">
        <f t="shared" si="5"/>
      </c>
      <c r="J1640" s="43">
        <f t="shared" si="1"/>
      </c>
      <c r="K1640" s="49">
        <f t="shared" si="2"/>
      </c>
      <c r="L1640" s="45" t="n"/>
      <c r="M1640" s="45" t="n"/>
      <c r="N1640" s="45" t="n"/>
      <c r="O1640" s="45" t="n"/>
      <c r="P1640" s="50" t="n"/>
      <c r="R1640" s="2">
        <f t="shared" si="6"/>
        <v>0</v>
      </c>
      <c r="S1640" s="2">
        <f t="shared" si="7"/>
      </c>
      <c r="T1640" s="2">
        <f t="shared" si="8"/>
      </c>
      <c r="U1640" s="2">
        <f t="shared" si="9"/>
      </c>
      <c r="V1640" s="2">
        <f t="shared" si="10"/>
      </c>
      <c r="W1640" s="2">
        <f t="shared" si="11"/>
      </c>
      <c r="X1640" s="2">
        <f t="shared" si="12"/>
      </c>
      <c r="Y1640" s="2">
        <f t="shared" si="13"/>
        <v>0</v>
      </c>
      <c r="Z1640" s="2">
        <f t="shared" si="14"/>
      </c>
      <c r="AA1640" s="2">
        <f t="shared" si="15"/>
        <v>0</v>
      </c>
      <c r="AB1640" s="2">
        <f t="shared" si="16"/>
      </c>
      <c r="AC1640" s="2">
        <f t="shared" si="17"/>
      </c>
      <c r="AD1640" s="2">
        <f t="shared" si="18"/>
      </c>
      <c r="AE1640" s="2">
        <f t="shared" si="19"/>
      </c>
      <c r="AF1640" s="2">
        <f t="shared" si="20"/>
      </c>
      <c r="AG1640" s="2">
        <f t="shared" si="21"/>
      </c>
      <c r="AH1640" s="2">
        <f t="shared" si="22"/>
      </c>
      <c r="AI1640" s="2">
        <f t="shared" si="23"/>
      </c>
      <c r="AJ1640" s="2">
        <f t="shared" si="24"/>
        <v>0</v>
      </c>
      <c r="AK1640" s="2">
        <f t="shared" si="25"/>
        <v>0</v>
      </c>
      <c r="AL1640" s="2">
        <f t="shared" si="26"/>
        <v>0</v>
      </c>
      <c r="AM1640" s="2">
        <f t="shared" si="27"/>
        <v>0</v>
      </c>
      <c r="AN1640" s="2">
        <f t="shared" si="28"/>
        <v>0</v>
      </c>
      <c r="AO1640" s="2">
        <f t="shared" si="29"/>
      </c>
      <c r="AP1640" s="2">
        <f t="shared" si="30"/>
      </c>
      <c r="AQ1640" s="2">
        <f t="shared" si="31"/>
      </c>
    </row>
    <row r="1641">
      <c r="A1641" s="43">
        <f t="shared" si="3"/>
      </c>
      <c r="B1641" s="44" t="n"/>
      <c r="C1641" s="45" t="n"/>
      <c r="D1641" s="46" t="n"/>
      <c r="E1641" s="47" t="n"/>
      <c r="F1641" s="47" t="n"/>
      <c r="G1641" s="48">
        <f t="shared" si="4"/>
      </c>
      <c r="H1641" s="43">
        <f t="shared" si="0"/>
      </c>
      <c r="I1641" s="43">
        <f t="shared" si="5"/>
      </c>
      <c r="J1641" s="43">
        <f t="shared" si="1"/>
      </c>
      <c r="K1641" s="49">
        <f t="shared" si="2"/>
      </c>
      <c r="L1641" s="45" t="n"/>
      <c r="M1641" s="45" t="n"/>
      <c r="N1641" s="45" t="n"/>
      <c r="O1641" s="45" t="n"/>
      <c r="P1641" s="50" t="n"/>
      <c r="R1641" s="2">
        <f t="shared" si="6"/>
        <v>0</v>
      </c>
      <c r="S1641" s="2">
        <f t="shared" si="7"/>
      </c>
      <c r="T1641" s="2">
        <f t="shared" si="8"/>
      </c>
      <c r="U1641" s="2">
        <f t="shared" si="9"/>
      </c>
      <c r="V1641" s="2">
        <f t="shared" si="10"/>
      </c>
      <c r="W1641" s="2">
        <f t="shared" si="11"/>
      </c>
      <c r="X1641" s="2">
        <f t="shared" si="12"/>
      </c>
      <c r="Y1641" s="2">
        <f t="shared" si="13"/>
        <v>0</v>
      </c>
      <c r="Z1641" s="2">
        <f t="shared" si="14"/>
      </c>
      <c r="AA1641" s="2">
        <f t="shared" si="15"/>
        <v>0</v>
      </c>
      <c r="AB1641" s="2">
        <f t="shared" si="16"/>
      </c>
      <c r="AC1641" s="2">
        <f t="shared" si="17"/>
      </c>
      <c r="AD1641" s="2">
        <f t="shared" si="18"/>
      </c>
      <c r="AE1641" s="2">
        <f t="shared" si="19"/>
      </c>
      <c r="AF1641" s="2">
        <f t="shared" si="20"/>
      </c>
      <c r="AG1641" s="2">
        <f t="shared" si="21"/>
      </c>
      <c r="AH1641" s="2">
        <f t="shared" si="22"/>
      </c>
      <c r="AI1641" s="2">
        <f t="shared" si="23"/>
      </c>
      <c r="AJ1641" s="2">
        <f t="shared" si="24"/>
        <v>0</v>
      </c>
      <c r="AK1641" s="2">
        <f t="shared" si="25"/>
        <v>0</v>
      </c>
      <c r="AL1641" s="2">
        <f t="shared" si="26"/>
        <v>0</v>
      </c>
      <c r="AM1641" s="2">
        <f t="shared" si="27"/>
        <v>0</v>
      </c>
      <c r="AN1641" s="2">
        <f t="shared" si="28"/>
        <v>0</v>
      </c>
      <c r="AO1641" s="2">
        <f t="shared" si="29"/>
      </c>
      <c r="AP1641" s="2">
        <f t="shared" si="30"/>
      </c>
      <c r="AQ1641" s="2">
        <f t="shared" si="31"/>
      </c>
    </row>
    <row r="1642">
      <c r="A1642" s="43">
        <f t="shared" si="3"/>
      </c>
      <c r="B1642" s="44" t="n"/>
      <c r="C1642" s="45" t="n"/>
      <c r="D1642" s="46" t="n"/>
      <c r="E1642" s="47" t="n"/>
      <c r="F1642" s="47" t="n"/>
      <c r="G1642" s="48">
        <f t="shared" si="4"/>
      </c>
      <c r="H1642" s="43">
        <f t="shared" si="0"/>
      </c>
      <c r="I1642" s="43">
        <f t="shared" si="5"/>
      </c>
      <c r="J1642" s="43">
        <f t="shared" si="1"/>
      </c>
      <c r="K1642" s="49">
        <f t="shared" si="2"/>
      </c>
      <c r="L1642" s="45" t="n"/>
      <c r="M1642" s="45" t="n"/>
      <c r="N1642" s="45" t="n"/>
      <c r="O1642" s="45" t="n"/>
      <c r="P1642" s="50" t="n"/>
      <c r="R1642" s="2">
        <f t="shared" si="6"/>
        <v>0</v>
      </c>
      <c r="S1642" s="2">
        <f t="shared" si="7"/>
      </c>
      <c r="T1642" s="2">
        <f t="shared" si="8"/>
      </c>
      <c r="U1642" s="2">
        <f t="shared" si="9"/>
      </c>
      <c r="V1642" s="2">
        <f t="shared" si="10"/>
      </c>
      <c r="W1642" s="2">
        <f t="shared" si="11"/>
      </c>
      <c r="X1642" s="2">
        <f t="shared" si="12"/>
      </c>
      <c r="Y1642" s="2">
        <f t="shared" si="13"/>
        <v>0</v>
      </c>
      <c r="Z1642" s="2">
        <f t="shared" si="14"/>
      </c>
      <c r="AA1642" s="2">
        <f t="shared" si="15"/>
        <v>0</v>
      </c>
      <c r="AB1642" s="2">
        <f t="shared" si="16"/>
      </c>
      <c r="AC1642" s="2">
        <f t="shared" si="17"/>
      </c>
      <c r="AD1642" s="2">
        <f t="shared" si="18"/>
      </c>
      <c r="AE1642" s="2">
        <f t="shared" si="19"/>
      </c>
      <c r="AF1642" s="2">
        <f t="shared" si="20"/>
      </c>
      <c r="AG1642" s="2">
        <f t="shared" si="21"/>
      </c>
      <c r="AH1642" s="2">
        <f t="shared" si="22"/>
      </c>
      <c r="AI1642" s="2">
        <f t="shared" si="23"/>
      </c>
      <c r="AJ1642" s="2">
        <f t="shared" si="24"/>
        <v>0</v>
      </c>
      <c r="AK1642" s="2">
        <f t="shared" si="25"/>
        <v>0</v>
      </c>
      <c r="AL1642" s="2">
        <f t="shared" si="26"/>
        <v>0</v>
      </c>
      <c r="AM1642" s="2">
        <f t="shared" si="27"/>
        <v>0</v>
      </c>
      <c r="AN1642" s="2">
        <f t="shared" si="28"/>
        <v>0</v>
      </c>
      <c r="AO1642" s="2">
        <f t="shared" si="29"/>
      </c>
      <c r="AP1642" s="2">
        <f t="shared" si="30"/>
      </c>
      <c r="AQ1642" s="2">
        <f t="shared" si="31"/>
      </c>
    </row>
    <row r="1643">
      <c r="A1643" s="43">
        <f t="shared" si="3"/>
      </c>
      <c r="B1643" s="44" t="n"/>
      <c r="C1643" s="45" t="n"/>
      <c r="D1643" s="46" t="n"/>
      <c r="E1643" s="47" t="n"/>
      <c r="F1643" s="47" t="n"/>
      <c r="G1643" s="48">
        <f t="shared" si="4"/>
      </c>
      <c r="H1643" s="43">
        <f t="shared" si="0"/>
      </c>
      <c r="I1643" s="43">
        <f t="shared" si="5"/>
      </c>
      <c r="J1643" s="43">
        <f t="shared" si="1"/>
      </c>
      <c r="K1643" s="49">
        <f t="shared" si="2"/>
      </c>
      <c r="L1643" s="45" t="n"/>
      <c r="M1643" s="45" t="n"/>
      <c r="N1643" s="45" t="n"/>
      <c r="O1643" s="45" t="n"/>
      <c r="P1643" s="50" t="n"/>
      <c r="R1643" s="2">
        <f t="shared" si="6"/>
        <v>0</v>
      </c>
      <c r="S1643" s="2">
        <f t="shared" si="7"/>
      </c>
      <c r="T1643" s="2">
        <f t="shared" si="8"/>
      </c>
      <c r="U1643" s="2">
        <f t="shared" si="9"/>
      </c>
      <c r="V1643" s="2">
        <f t="shared" si="10"/>
      </c>
      <c r="W1643" s="2">
        <f t="shared" si="11"/>
      </c>
      <c r="X1643" s="2">
        <f t="shared" si="12"/>
      </c>
      <c r="Y1643" s="2">
        <f t="shared" si="13"/>
        <v>0</v>
      </c>
      <c r="Z1643" s="2">
        <f t="shared" si="14"/>
      </c>
      <c r="AA1643" s="2">
        <f t="shared" si="15"/>
        <v>0</v>
      </c>
      <c r="AB1643" s="2">
        <f t="shared" si="16"/>
      </c>
      <c r="AC1643" s="2">
        <f t="shared" si="17"/>
      </c>
      <c r="AD1643" s="2">
        <f t="shared" si="18"/>
      </c>
      <c r="AE1643" s="2">
        <f t="shared" si="19"/>
      </c>
      <c r="AF1643" s="2">
        <f t="shared" si="20"/>
      </c>
      <c r="AG1643" s="2">
        <f t="shared" si="21"/>
      </c>
      <c r="AH1643" s="2">
        <f t="shared" si="22"/>
      </c>
      <c r="AI1643" s="2">
        <f t="shared" si="23"/>
      </c>
      <c r="AJ1643" s="2">
        <f t="shared" si="24"/>
        <v>0</v>
      </c>
      <c r="AK1643" s="2">
        <f t="shared" si="25"/>
        <v>0</v>
      </c>
      <c r="AL1643" s="2">
        <f t="shared" si="26"/>
        <v>0</v>
      </c>
      <c r="AM1643" s="2">
        <f t="shared" si="27"/>
        <v>0</v>
      </c>
      <c r="AN1643" s="2">
        <f t="shared" si="28"/>
        <v>0</v>
      </c>
      <c r="AO1643" s="2">
        <f t="shared" si="29"/>
      </c>
      <c r="AP1643" s="2">
        <f t="shared" si="30"/>
      </c>
      <c r="AQ1643" s="2">
        <f t="shared" si="31"/>
      </c>
    </row>
    <row r="1644">
      <c r="A1644" s="43">
        <f t="shared" si="3"/>
      </c>
      <c r="B1644" s="44" t="n"/>
      <c r="C1644" s="45" t="n"/>
      <c r="D1644" s="46" t="n"/>
      <c r="E1644" s="47" t="n"/>
      <c r="F1644" s="47" t="n"/>
      <c r="G1644" s="48">
        <f t="shared" si="4"/>
      </c>
      <c r="H1644" s="43">
        <f t="shared" si="0"/>
      </c>
      <c r="I1644" s="43">
        <f t="shared" si="5"/>
      </c>
      <c r="J1644" s="43">
        <f t="shared" si="1"/>
      </c>
      <c r="K1644" s="49">
        <f t="shared" si="2"/>
      </c>
      <c r="L1644" s="45" t="n"/>
      <c r="M1644" s="45" t="n"/>
      <c r="N1644" s="45" t="n"/>
      <c r="O1644" s="45" t="n"/>
      <c r="P1644" s="50" t="n"/>
      <c r="R1644" s="2">
        <f t="shared" si="6"/>
        <v>0</v>
      </c>
      <c r="S1644" s="2">
        <f t="shared" si="7"/>
      </c>
      <c r="T1644" s="2">
        <f t="shared" si="8"/>
      </c>
      <c r="U1644" s="2">
        <f t="shared" si="9"/>
      </c>
      <c r="V1644" s="2">
        <f t="shared" si="10"/>
      </c>
      <c r="W1644" s="2">
        <f t="shared" si="11"/>
      </c>
      <c r="X1644" s="2">
        <f t="shared" si="12"/>
      </c>
      <c r="Y1644" s="2">
        <f t="shared" si="13"/>
        <v>0</v>
      </c>
      <c r="Z1644" s="2">
        <f t="shared" si="14"/>
      </c>
      <c r="AA1644" s="2">
        <f t="shared" si="15"/>
        <v>0</v>
      </c>
      <c r="AB1644" s="2">
        <f t="shared" si="16"/>
      </c>
      <c r="AC1644" s="2">
        <f t="shared" si="17"/>
      </c>
      <c r="AD1644" s="2">
        <f t="shared" si="18"/>
      </c>
      <c r="AE1644" s="2">
        <f t="shared" si="19"/>
      </c>
      <c r="AF1644" s="2">
        <f t="shared" si="20"/>
      </c>
      <c r="AG1644" s="2">
        <f t="shared" si="21"/>
      </c>
      <c r="AH1644" s="2">
        <f t="shared" si="22"/>
      </c>
      <c r="AI1644" s="2">
        <f t="shared" si="23"/>
      </c>
      <c r="AJ1644" s="2">
        <f t="shared" si="24"/>
        <v>0</v>
      </c>
      <c r="AK1644" s="2">
        <f t="shared" si="25"/>
        <v>0</v>
      </c>
      <c r="AL1644" s="2">
        <f t="shared" si="26"/>
        <v>0</v>
      </c>
      <c r="AM1644" s="2">
        <f t="shared" si="27"/>
        <v>0</v>
      </c>
      <c r="AN1644" s="2">
        <f t="shared" si="28"/>
        <v>0</v>
      </c>
      <c r="AO1644" s="2">
        <f t="shared" si="29"/>
      </c>
      <c r="AP1644" s="2">
        <f t="shared" si="30"/>
      </c>
      <c r="AQ1644" s="2">
        <f t="shared" si="31"/>
      </c>
    </row>
    <row r="1645">
      <c r="A1645" s="43">
        <f t="shared" si="3"/>
      </c>
      <c r="B1645" s="44" t="n"/>
      <c r="C1645" s="45" t="n"/>
      <c r="D1645" s="46" t="n"/>
      <c r="E1645" s="47" t="n"/>
      <c r="F1645" s="47" t="n"/>
      <c r="G1645" s="48">
        <f t="shared" si="4"/>
      </c>
      <c r="H1645" s="43">
        <f t="shared" si="0"/>
      </c>
      <c r="I1645" s="43">
        <f t="shared" si="5"/>
      </c>
      <c r="J1645" s="43">
        <f t="shared" si="1"/>
      </c>
      <c r="K1645" s="49">
        <f t="shared" si="2"/>
      </c>
      <c r="L1645" s="45" t="n"/>
      <c r="M1645" s="45" t="n"/>
      <c r="N1645" s="45" t="n"/>
      <c r="O1645" s="45" t="n"/>
      <c r="P1645" s="50" t="n"/>
      <c r="R1645" s="2">
        <f t="shared" si="6"/>
        <v>0</v>
      </c>
      <c r="S1645" s="2">
        <f t="shared" si="7"/>
      </c>
      <c r="T1645" s="2">
        <f t="shared" si="8"/>
      </c>
      <c r="U1645" s="2">
        <f t="shared" si="9"/>
      </c>
      <c r="V1645" s="2">
        <f t="shared" si="10"/>
      </c>
      <c r="W1645" s="2">
        <f t="shared" si="11"/>
      </c>
      <c r="X1645" s="2">
        <f t="shared" si="12"/>
      </c>
      <c r="Y1645" s="2">
        <f t="shared" si="13"/>
        <v>0</v>
      </c>
      <c r="Z1645" s="2">
        <f t="shared" si="14"/>
      </c>
      <c r="AA1645" s="2">
        <f t="shared" si="15"/>
        <v>0</v>
      </c>
      <c r="AB1645" s="2">
        <f t="shared" si="16"/>
      </c>
      <c r="AC1645" s="2">
        <f t="shared" si="17"/>
      </c>
      <c r="AD1645" s="2">
        <f t="shared" si="18"/>
      </c>
      <c r="AE1645" s="2">
        <f t="shared" si="19"/>
      </c>
      <c r="AF1645" s="2">
        <f t="shared" si="20"/>
      </c>
      <c r="AG1645" s="2">
        <f t="shared" si="21"/>
      </c>
      <c r="AH1645" s="2">
        <f t="shared" si="22"/>
      </c>
      <c r="AI1645" s="2">
        <f t="shared" si="23"/>
      </c>
      <c r="AJ1645" s="2">
        <f t="shared" si="24"/>
        <v>0</v>
      </c>
      <c r="AK1645" s="2">
        <f t="shared" si="25"/>
        <v>0</v>
      </c>
      <c r="AL1645" s="2">
        <f t="shared" si="26"/>
        <v>0</v>
      </c>
      <c r="AM1645" s="2">
        <f t="shared" si="27"/>
        <v>0</v>
      </c>
      <c r="AN1645" s="2">
        <f t="shared" si="28"/>
        <v>0</v>
      </c>
      <c r="AO1645" s="2">
        <f t="shared" si="29"/>
      </c>
      <c r="AP1645" s="2">
        <f t="shared" si="30"/>
      </c>
      <c r="AQ1645" s="2">
        <f t="shared" si="31"/>
      </c>
    </row>
    <row r="1646">
      <c r="A1646" s="43">
        <f t="shared" si="3"/>
      </c>
      <c r="B1646" s="44" t="n"/>
      <c r="C1646" s="45" t="n"/>
      <c r="D1646" s="46" t="n"/>
      <c r="E1646" s="47" t="n"/>
      <c r="F1646" s="47" t="n"/>
      <c r="G1646" s="48">
        <f t="shared" si="4"/>
      </c>
      <c r="H1646" s="43">
        <f t="shared" si="0"/>
      </c>
      <c r="I1646" s="43">
        <f t="shared" si="5"/>
      </c>
      <c r="J1646" s="43">
        <f t="shared" si="1"/>
      </c>
      <c r="K1646" s="49">
        <f t="shared" si="2"/>
      </c>
      <c r="L1646" s="45" t="n"/>
      <c r="M1646" s="45" t="n"/>
      <c r="N1646" s="45" t="n"/>
      <c r="O1646" s="45" t="n"/>
      <c r="P1646" s="50" t="n"/>
      <c r="R1646" s="2">
        <f t="shared" si="6"/>
        <v>0</v>
      </c>
      <c r="S1646" s="2">
        <f t="shared" si="7"/>
      </c>
      <c r="T1646" s="2">
        <f t="shared" si="8"/>
      </c>
      <c r="U1646" s="2">
        <f t="shared" si="9"/>
      </c>
      <c r="V1646" s="2">
        <f t="shared" si="10"/>
      </c>
      <c r="W1646" s="2">
        <f t="shared" si="11"/>
      </c>
      <c r="X1646" s="2">
        <f t="shared" si="12"/>
      </c>
      <c r="Y1646" s="2">
        <f t="shared" si="13"/>
        <v>0</v>
      </c>
      <c r="Z1646" s="2">
        <f t="shared" si="14"/>
      </c>
      <c r="AA1646" s="2">
        <f t="shared" si="15"/>
        <v>0</v>
      </c>
      <c r="AB1646" s="2">
        <f t="shared" si="16"/>
      </c>
      <c r="AC1646" s="2">
        <f t="shared" si="17"/>
      </c>
      <c r="AD1646" s="2">
        <f t="shared" si="18"/>
      </c>
      <c r="AE1646" s="2">
        <f t="shared" si="19"/>
      </c>
      <c r="AF1646" s="2">
        <f t="shared" si="20"/>
      </c>
      <c r="AG1646" s="2">
        <f t="shared" si="21"/>
      </c>
      <c r="AH1646" s="2">
        <f t="shared" si="22"/>
      </c>
      <c r="AI1646" s="2">
        <f t="shared" si="23"/>
      </c>
      <c r="AJ1646" s="2">
        <f t="shared" si="24"/>
        <v>0</v>
      </c>
      <c r="AK1646" s="2">
        <f t="shared" si="25"/>
        <v>0</v>
      </c>
      <c r="AL1646" s="2">
        <f t="shared" si="26"/>
        <v>0</v>
      </c>
      <c r="AM1646" s="2">
        <f t="shared" si="27"/>
        <v>0</v>
      </c>
      <c r="AN1646" s="2">
        <f t="shared" si="28"/>
        <v>0</v>
      </c>
      <c r="AO1646" s="2">
        <f t="shared" si="29"/>
      </c>
      <c r="AP1646" s="2">
        <f t="shared" si="30"/>
      </c>
      <c r="AQ1646" s="2">
        <f t="shared" si="31"/>
      </c>
    </row>
    <row r="1647">
      <c r="A1647" s="43">
        <f t="shared" si="3"/>
      </c>
      <c r="B1647" s="44" t="n"/>
      <c r="C1647" s="45" t="n"/>
      <c r="D1647" s="46" t="n"/>
      <c r="E1647" s="47" t="n"/>
      <c r="F1647" s="47" t="n"/>
      <c r="G1647" s="48">
        <f t="shared" si="4"/>
      </c>
      <c r="H1647" s="43">
        <f t="shared" si="0"/>
      </c>
      <c r="I1647" s="43">
        <f t="shared" si="5"/>
      </c>
      <c r="J1647" s="43">
        <f t="shared" si="1"/>
      </c>
      <c r="K1647" s="49">
        <f t="shared" si="2"/>
      </c>
      <c r="L1647" s="45" t="n"/>
      <c r="M1647" s="45" t="n"/>
      <c r="N1647" s="45" t="n"/>
      <c r="O1647" s="45" t="n"/>
      <c r="P1647" s="50" t="n"/>
      <c r="R1647" s="2">
        <f t="shared" si="6"/>
        <v>0</v>
      </c>
      <c r="S1647" s="2">
        <f t="shared" si="7"/>
      </c>
      <c r="T1647" s="2">
        <f t="shared" si="8"/>
      </c>
      <c r="U1647" s="2">
        <f t="shared" si="9"/>
      </c>
      <c r="V1647" s="2">
        <f t="shared" si="10"/>
      </c>
      <c r="W1647" s="2">
        <f t="shared" si="11"/>
      </c>
      <c r="X1647" s="2">
        <f t="shared" si="12"/>
      </c>
      <c r="Y1647" s="2">
        <f t="shared" si="13"/>
        <v>0</v>
      </c>
      <c r="Z1647" s="2">
        <f t="shared" si="14"/>
      </c>
      <c r="AA1647" s="2">
        <f t="shared" si="15"/>
        <v>0</v>
      </c>
      <c r="AB1647" s="2">
        <f t="shared" si="16"/>
      </c>
      <c r="AC1647" s="2">
        <f t="shared" si="17"/>
      </c>
      <c r="AD1647" s="2">
        <f t="shared" si="18"/>
      </c>
      <c r="AE1647" s="2">
        <f t="shared" si="19"/>
      </c>
      <c r="AF1647" s="2">
        <f t="shared" si="20"/>
      </c>
      <c r="AG1647" s="2">
        <f t="shared" si="21"/>
      </c>
      <c r="AH1647" s="2">
        <f t="shared" si="22"/>
      </c>
      <c r="AI1647" s="2">
        <f t="shared" si="23"/>
      </c>
      <c r="AJ1647" s="2">
        <f t="shared" si="24"/>
        <v>0</v>
      </c>
      <c r="AK1647" s="2">
        <f t="shared" si="25"/>
        <v>0</v>
      </c>
      <c r="AL1647" s="2">
        <f t="shared" si="26"/>
        <v>0</v>
      </c>
      <c r="AM1647" s="2">
        <f t="shared" si="27"/>
        <v>0</v>
      </c>
      <c r="AN1647" s="2">
        <f t="shared" si="28"/>
        <v>0</v>
      </c>
      <c r="AO1647" s="2">
        <f t="shared" si="29"/>
      </c>
      <c r="AP1647" s="2">
        <f t="shared" si="30"/>
      </c>
      <c r="AQ1647" s="2">
        <f t="shared" si="31"/>
      </c>
    </row>
    <row r="1648">
      <c r="A1648" s="43">
        <f t="shared" si="3"/>
      </c>
      <c r="B1648" s="44" t="n"/>
      <c r="C1648" s="45" t="n"/>
      <c r="D1648" s="46" t="n"/>
      <c r="E1648" s="47" t="n"/>
      <c r="F1648" s="47" t="n"/>
      <c r="G1648" s="48">
        <f t="shared" si="4"/>
      </c>
      <c r="H1648" s="43">
        <f t="shared" si="0"/>
      </c>
      <c r="I1648" s="43">
        <f t="shared" si="5"/>
      </c>
      <c r="J1648" s="43">
        <f t="shared" si="1"/>
      </c>
      <c r="K1648" s="49">
        <f t="shared" si="2"/>
      </c>
      <c r="L1648" s="45" t="n"/>
      <c r="M1648" s="45" t="n"/>
      <c r="N1648" s="45" t="n"/>
      <c r="O1648" s="45" t="n"/>
      <c r="P1648" s="50" t="n"/>
      <c r="R1648" s="2">
        <f t="shared" si="6"/>
        <v>0</v>
      </c>
      <c r="S1648" s="2">
        <f t="shared" si="7"/>
      </c>
      <c r="T1648" s="2">
        <f t="shared" si="8"/>
      </c>
      <c r="U1648" s="2">
        <f t="shared" si="9"/>
      </c>
      <c r="V1648" s="2">
        <f t="shared" si="10"/>
      </c>
      <c r="W1648" s="2">
        <f t="shared" si="11"/>
      </c>
      <c r="X1648" s="2">
        <f t="shared" si="12"/>
      </c>
      <c r="Y1648" s="2">
        <f t="shared" si="13"/>
        <v>0</v>
      </c>
      <c r="Z1648" s="2">
        <f t="shared" si="14"/>
      </c>
      <c r="AA1648" s="2">
        <f t="shared" si="15"/>
        <v>0</v>
      </c>
      <c r="AB1648" s="2">
        <f t="shared" si="16"/>
      </c>
      <c r="AC1648" s="2">
        <f t="shared" si="17"/>
      </c>
      <c r="AD1648" s="2">
        <f t="shared" si="18"/>
      </c>
      <c r="AE1648" s="2">
        <f t="shared" si="19"/>
      </c>
      <c r="AF1648" s="2">
        <f t="shared" si="20"/>
      </c>
      <c r="AG1648" s="2">
        <f t="shared" si="21"/>
      </c>
      <c r="AH1648" s="2">
        <f t="shared" si="22"/>
      </c>
      <c r="AI1648" s="2">
        <f t="shared" si="23"/>
      </c>
      <c r="AJ1648" s="2">
        <f t="shared" si="24"/>
        <v>0</v>
      </c>
      <c r="AK1648" s="2">
        <f t="shared" si="25"/>
        <v>0</v>
      </c>
      <c r="AL1648" s="2">
        <f t="shared" si="26"/>
        <v>0</v>
      </c>
      <c r="AM1648" s="2">
        <f t="shared" si="27"/>
        <v>0</v>
      </c>
      <c r="AN1648" s="2">
        <f t="shared" si="28"/>
        <v>0</v>
      </c>
      <c r="AO1648" s="2">
        <f t="shared" si="29"/>
      </c>
      <c r="AP1648" s="2">
        <f t="shared" si="30"/>
      </c>
      <c r="AQ1648" s="2">
        <f t="shared" si="31"/>
      </c>
    </row>
    <row r="1649">
      <c r="A1649" s="43">
        <f t="shared" si="3"/>
      </c>
      <c r="B1649" s="44" t="n"/>
      <c r="C1649" s="45" t="n"/>
      <c r="D1649" s="46" t="n"/>
      <c r="E1649" s="47" t="n"/>
      <c r="F1649" s="47" t="n"/>
      <c r="G1649" s="48">
        <f t="shared" si="4"/>
      </c>
      <c r="H1649" s="43">
        <f t="shared" si="0"/>
      </c>
      <c r="I1649" s="43">
        <f t="shared" si="5"/>
      </c>
      <c r="J1649" s="43">
        <f t="shared" si="1"/>
      </c>
      <c r="K1649" s="49">
        <f t="shared" si="2"/>
      </c>
      <c r="L1649" s="45" t="n"/>
      <c r="M1649" s="45" t="n"/>
      <c r="N1649" s="45" t="n"/>
      <c r="O1649" s="45" t="n"/>
      <c r="P1649" s="50" t="n"/>
      <c r="R1649" s="2">
        <f t="shared" si="6"/>
        <v>0</v>
      </c>
      <c r="S1649" s="2">
        <f t="shared" si="7"/>
      </c>
      <c r="T1649" s="2">
        <f t="shared" si="8"/>
      </c>
      <c r="U1649" s="2">
        <f t="shared" si="9"/>
      </c>
      <c r="V1649" s="2">
        <f t="shared" si="10"/>
      </c>
      <c r="W1649" s="2">
        <f t="shared" si="11"/>
      </c>
      <c r="X1649" s="2">
        <f t="shared" si="12"/>
      </c>
      <c r="Y1649" s="2">
        <f t="shared" si="13"/>
        <v>0</v>
      </c>
      <c r="Z1649" s="2">
        <f t="shared" si="14"/>
      </c>
      <c r="AA1649" s="2">
        <f t="shared" si="15"/>
        <v>0</v>
      </c>
      <c r="AB1649" s="2">
        <f t="shared" si="16"/>
      </c>
      <c r="AC1649" s="2">
        <f t="shared" si="17"/>
      </c>
      <c r="AD1649" s="2">
        <f t="shared" si="18"/>
      </c>
      <c r="AE1649" s="2">
        <f t="shared" si="19"/>
      </c>
      <c r="AF1649" s="2">
        <f t="shared" si="20"/>
      </c>
      <c r="AG1649" s="2">
        <f t="shared" si="21"/>
      </c>
      <c r="AH1649" s="2">
        <f t="shared" si="22"/>
      </c>
      <c r="AI1649" s="2">
        <f t="shared" si="23"/>
      </c>
      <c r="AJ1649" s="2">
        <f t="shared" si="24"/>
        <v>0</v>
      </c>
      <c r="AK1649" s="2">
        <f t="shared" si="25"/>
        <v>0</v>
      </c>
      <c r="AL1649" s="2">
        <f t="shared" si="26"/>
        <v>0</v>
      </c>
      <c r="AM1649" s="2">
        <f t="shared" si="27"/>
        <v>0</v>
      </c>
      <c r="AN1649" s="2">
        <f t="shared" si="28"/>
        <v>0</v>
      </c>
      <c r="AO1649" s="2">
        <f t="shared" si="29"/>
      </c>
      <c r="AP1649" s="2">
        <f t="shared" si="30"/>
      </c>
      <c r="AQ1649" s="2">
        <f t="shared" si="31"/>
      </c>
    </row>
    <row r="1650">
      <c r="A1650" s="43">
        <f t="shared" si="3"/>
      </c>
      <c r="B1650" s="44" t="n"/>
      <c r="C1650" s="45" t="n"/>
      <c r="D1650" s="46" t="n"/>
      <c r="E1650" s="47" t="n"/>
      <c r="F1650" s="47" t="n"/>
      <c r="G1650" s="48">
        <f t="shared" si="4"/>
      </c>
      <c r="H1650" s="43">
        <f t="shared" si="0"/>
      </c>
      <c r="I1650" s="43">
        <f t="shared" si="5"/>
      </c>
      <c r="J1650" s="43">
        <f t="shared" si="1"/>
      </c>
      <c r="K1650" s="49">
        <f t="shared" si="2"/>
      </c>
      <c r="L1650" s="45" t="n"/>
      <c r="M1650" s="45" t="n"/>
      <c r="N1650" s="45" t="n"/>
      <c r="O1650" s="45" t="n"/>
      <c r="P1650" s="50" t="n"/>
      <c r="R1650" s="2">
        <f t="shared" si="6"/>
        <v>0</v>
      </c>
      <c r="S1650" s="2">
        <f t="shared" si="7"/>
      </c>
      <c r="T1650" s="2">
        <f t="shared" si="8"/>
      </c>
      <c r="U1650" s="2">
        <f t="shared" si="9"/>
      </c>
      <c r="V1650" s="2">
        <f t="shared" si="10"/>
      </c>
      <c r="W1650" s="2">
        <f t="shared" si="11"/>
      </c>
      <c r="X1650" s="2">
        <f t="shared" si="12"/>
      </c>
      <c r="Y1650" s="2">
        <f t="shared" si="13"/>
        <v>0</v>
      </c>
      <c r="Z1650" s="2">
        <f t="shared" si="14"/>
      </c>
      <c r="AA1650" s="2">
        <f t="shared" si="15"/>
        <v>0</v>
      </c>
      <c r="AB1650" s="2">
        <f t="shared" si="16"/>
      </c>
      <c r="AC1650" s="2">
        <f t="shared" si="17"/>
      </c>
      <c r="AD1650" s="2">
        <f t="shared" si="18"/>
      </c>
      <c r="AE1650" s="2">
        <f t="shared" si="19"/>
      </c>
      <c r="AF1650" s="2">
        <f t="shared" si="20"/>
      </c>
      <c r="AG1650" s="2">
        <f t="shared" si="21"/>
      </c>
      <c r="AH1650" s="2">
        <f t="shared" si="22"/>
      </c>
      <c r="AI1650" s="2">
        <f t="shared" si="23"/>
      </c>
      <c r="AJ1650" s="2">
        <f t="shared" si="24"/>
        <v>0</v>
      </c>
      <c r="AK1650" s="2">
        <f t="shared" si="25"/>
        <v>0</v>
      </c>
      <c r="AL1650" s="2">
        <f t="shared" si="26"/>
        <v>0</v>
      </c>
      <c r="AM1650" s="2">
        <f t="shared" si="27"/>
        <v>0</v>
      </c>
      <c r="AN1650" s="2">
        <f t="shared" si="28"/>
        <v>0</v>
      </c>
      <c r="AO1650" s="2">
        <f t="shared" si="29"/>
      </c>
      <c r="AP1650" s="2">
        <f t="shared" si="30"/>
      </c>
      <c r="AQ1650" s="2">
        <f t="shared" si="31"/>
      </c>
    </row>
    <row r="1651">
      <c r="A1651" s="43">
        <f t="shared" si="3"/>
      </c>
      <c r="B1651" s="44" t="n"/>
      <c r="C1651" s="45" t="n"/>
      <c r="D1651" s="46" t="n"/>
      <c r="E1651" s="47" t="n"/>
      <c r="F1651" s="47" t="n"/>
      <c r="G1651" s="48">
        <f t="shared" si="4"/>
      </c>
      <c r="H1651" s="43">
        <f t="shared" si="0"/>
      </c>
      <c r="I1651" s="43">
        <f t="shared" si="5"/>
      </c>
      <c r="J1651" s="43">
        <f t="shared" si="1"/>
      </c>
      <c r="K1651" s="49">
        <f t="shared" si="2"/>
      </c>
      <c r="L1651" s="45" t="n"/>
      <c r="M1651" s="45" t="n"/>
      <c r="N1651" s="45" t="n"/>
      <c r="O1651" s="45" t="n"/>
      <c r="P1651" s="50" t="n"/>
      <c r="R1651" s="2">
        <f t="shared" si="6"/>
        <v>0</v>
      </c>
      <c r="S1651" s="2">
        <f t="shared" si="7"/>
      </c>
      <c r="T1651" s="2">
        <f t="shared" si="8"/>
      </c>
      <c r="U1651" s="2">
        <f t="shared" si="9"/>
      </c>
      <c r="V1651" s="2">
        <f t="shared" si="10"/>
      </c>
      <c r="W1651" s="2">
        <f t="shared" si="11"/>
      </c>
      <c r="X1651" s="2">
        <f t="shared" si="12"/>
      </c>
      <c r="Y1651" s="2">
        <f t="shared" si="13"/>
        <v>0</v>
      </c>
      <c r="Z1651" s="2">
        <f t="shared" si="14"/>
      </c>
      <c r="AA1651" s="2">
        <f t="shared" si="15"/>
        <v>0</v>
      </c>
      <c r="AB1651" s="2">
        <f t="shared" si="16"/>
      </c>
      <c r="AC1651" s="2">
        <f t="shared" si="17"/>
      </c>
      <c r="AD1651" s="2">
        <f t="shared" si="18"/>
      </c>
      <c r="AE1651" s="2">
        <f t="shared" si="19"/>
      </c>
      <c r="AF1651" s="2">
        <f t="shared" si="20"/>
      </c>
      <c r="AG1651" s="2">
        <f t="shared" si="21"/>
      </c>
      <c r="AH1651" s="2">
        <f t="shared" si="22"/>
      </c>
      <c r="AI1651" s="2">
        <f t="shared" si="23"/>
      </c>
      <c r="AJ1651" s="2">
        <f t="shared" si="24"/>
        <v>0</v>
      </c>
      <c r="AK1651" s="2">
        <f t="shared" si="25"/>
        <v>0</v>
      </c>
      <c r="AL1651" s="2">
        <f t="shared" si="26"/>
        <v>0</v>
      </c>
      <c r="AM1651" s="2">
        <f t="shared" si="27"/>
        <v>0</v>
      </c>
      <c r="AN1651" s="2">
        <f t="shared" si="28"/>
        <v>0</v>
      </c>
      <c r="AO1651" s="2">
        <f t="shared" si="29"/>
      </c>
      <c r="AP1651" s="2">
        <f t="shared" si="30"/>
      </c>
      <c r="AQ1651" s="2">
        <f t="shared" si="31"/>
      </c>
    </row>
    <row r="1652">
      <c r="A1652" s="43">
        <f t="shared" si="3"/>
      </c>
      <c r="B1652" s="44" t="n"/>
      <c r="C1652" s="45" t="n"/>
      <c r="D1652" s="46" t="n"/>
      <c r="E1652" s="47" t="n"/>
      <c r="F1652" s="47" t="n"/>
      <c r="G1652" s="48">
        <f t="shared" si="4"/>
      </c>
      <c r="H1652" s="43">
        <f t="shared" si="0"/>
      </c>
      <c r="I1652" s="43">
        <f t="shared" si="5"/>
      </c>
      <c r="J1652" s="43">
        <f t="shared" si="1"/>
      </c>
      <c r="K1652" s="49">
        <f t="shared" si="2"/>
      </c>
      <c r="L1652" s="45" t="n"/>
      <c r="M1652" s="45" t="n"/>
      <c r="N1652" s="45" t="n"/>
      <c r="O1652" s="45" t="n"/>
      <c r="P1652" s="50" t="n"/>
      <c r="R1652" s="2">
        <f t="shared" si="6"/>
        <v>0</v>
      </c>
      <c r="S1652" s="2">
        <f t="shared" si="7"/>
      </c>
      <c r="T1652" s="2">
        <f t="shared" si="8"/>
      </c>
      <c r="U1652" s="2">
        <f t="shared" si="9"/>
      </c>
      <c r="V1652" s="2">
        <f t="shared" si="10"/>
      </c>
      <c r="W1652" s="2">
        <f t="shared" si="11"/>
      </c>
      <c r="X1652" s="2">
        <f t="shared" si="12"/>
      </c>
      <c r="Y1652" s="2">
        <f t="shared" si="13"/>
        <v>0</v>
      </c>
      <c r="Z1652" s="2">
        <f t="shared" si="14"/>
      </c>
      <c r="AA1652" s="2">
        <f t="shared" si="15"/>
        <v>0</v>
      </c>
      <c r="AB1652" s="2">
        <f t="shared" si="16"/>
      </c>
      <c r="AC1652" s="2">
        <f t="shared" si="17"/>
      </c>
      <c r="AD1652" s="2">
        <f t="shared" si="18"/>
      </c>
      <c r="AE1652" s="2">
        <f t="shared" si="19"/>
      </c>
      <c r="AF1652" s="2">
        <f t="shared" si="20"/>
      </c>
      <c r="AG1652" s="2">
        <f t="shared" si="21"/>
      </c>
      <c r="AH1652" s="2">
        <f t="shared" si="22"/>
      </c>
      <c r="AI1652" s="2">
        <f t="shared" si="23"/>
      </c>
      <c r="AJ1652" s="2">
        <f t="shared" si="24"/>
        <v>0</v>
      </c>
      <c r="AK1652" s="2">
        <f t="shared" si="25"/>
        <v>0</v>
      </c>
      <c r="AL1652" s="2">
        <f t="shared" si="26"/>
        <v>0</v>
      </c>
      <c r="AM1652" s="2">
        <f t="shared" si="27"/>
        <v>0</v>
      </c>
      <c r="AN1652" s="2">
        <f t="shared" si="28"/>
        <v>0</v>
      </c>
      <c r="AO1652" s="2">
        <f t="shared" si="29"/>
      </c>
      <c r="AP1652" s="2">
        <f t="shared" si="30"/>
      </c>
      <c r="AQ1652" s="2">
        <f t="shared" si="31"/>
      </c>
    </row>
    <row r="1653">
      <c r="A1653" s="43">
        <f t="shared" si="3"/>
      </c>
      <c r="B1653" s="44" t="n"/>
      <c r="C1653" s="45" t="n"/>
      <c r="D1653" s="46" t="n"/>
      <c r="E1653" s="47" t="n"/>
      <c r="F1653" s="47" t="n"/>
      <c r="G1653" s="48">
        <f t="shared" si="4"/>
      </c>
      <c r="H1653" s="43">
        <f t="shared" si="0"/>
      </c>
      <c r="I1653" s="43">
        <f t="shared" si="5"/>
      </c>
      <c r="J1653" s="43">
        <f t="shared" si="1"/>
      </c>
      <c r="K1653" s="49">
        <f t="shared" si="2"/>
      </c>
      <c r="L1653" s="45" t="n"/>
      <c r="M1653" s="45" t="n"/>
      <c r="N1653" s="45" t="n"/>
      <c r="O1653" s="45" t="n"/>
      <c r="P1653" s="50" t="n"/>
      <c r="R1653" s="2">
        <f t="shared" si="6"/>
        <v>0</v>
      </c>
      <c r="S1653" s="2">
        <f t="shared" si="7"/>
      </c>
      <c r="T1653" s="2">
        <f t="shared" si="8"/>
      </c>
      <c r="U1653" s="2">
        <f t="shared" si="9"/>
      </c>
      <c r="V1653" s="2">
        <f t="shared" si="10"/>
      </c>
      <c r="W1653" s="2">
        <f t="shared" si="11"/>
      </c>
      <c r="X1653" s="2">
        <f t="shared" si="12"/>
      </c>
      <c r="Y1653" s="2">
        <f t="shared" si="13"/>
        <v>0</v>
      </c>
      <c r="Z1653" s="2">
        <f t="shared" si="14"/>
      </c>
      <c r="AA1653" s="2">
        <f t="shared" si="15"/>
        <v>0</v>
      </c>
      <c r="AB1653" s="2">
        <f t="shared" si="16"/>
      </c>
      <c r="AC1653" s="2">
        <f t="shared" si="17"/>
      </c>
      <c r="AD1653" s="2">
        <f t="shared" si="18"/>
      </c>
      <c r="AE1653" s="2">
        <f t="shared" si="19"/>
      </c>
      <c r="AF1653" s="2">
        <f t="shared" si="20"/>
      </c>
      <c r="AG1653" s="2">
        <f t="shared" si="21"/>
      </c>
      <c r="AH1653" s="2">
        <f t="shared" si="22"/>
      </c>
      <c r="AI1653" s="2">
        <f t="shared" si="23"/>
      </c>
      <c r="AJ1653" s="2">
        <f t="shared" si="24"/>
        <v>0</v>
      </c>
      <c r="AK1653" s="2">
        <f t="shared" si="25"/>
        <v>0</v>
      </c>
      <c r="AL1653" s="2">
        <f t="shared" si="26"/>
        <v>0</v>
      </c>
      <c r="AM1653" s="2">
        <f t="shared" si="27"/>
        <v>0</v>
      </c>
      <c r="AN1653" s="2">
        <f t="shared" si="28"/>
        <v>0</v>
      </c>
      <c r="AO1653" s="2">
        <f t="shared" si="29"/>
      </c>
      <c r="AP1653" s="2">
        <f t="shared" si="30"/>
      </c>
      <c r="AQ1653" s="2">
        <f t="shared" si="31"/>
      </c>
    </row>
    <row r="1654">
      <c r="A1654" s="43">
        <f t="shared" si="3"/>
      </c>
      <c r="B1654" s="44" t="n"/>
      <c r="C1654" s="45" t="n"/>
      <c r="D1654" s="46" t="n"/>
      <c r="E1654" s="47" t="n"/>
      <c r="F1654" s="47" t="n"/>
      <c r="G1654" s="48">
        <f t="shared" si="4"/>
      </c>
      <c r="H1654" s="43">
        <f t="shared" si="0"/>
      </c>
      <c r="I1654" s="43">
        <f t="shared" si="5"/>
      </c>
      <c r="J1654" s="43">
        <f t="shared" si="1"/>
      </c>
      <c r="K1654" s="49">
        <f t="shared" si="2"/>
      </c>
      <c r="L1654" s="45" t="n"/>
      <c r="M1654" s="45" t="n"/>
      <c r="N1654" s="45" t="n"/>
      <c r="O1654" s="45" t="n"/>
      <c r="P1654" s="50" t="n"/>
      <c r="R1654" s="2">
        <f t="shared" si="6"/>
        <v>0</v>
      </c>
      <c r="S1654" s="2">
        <f t="shared" si="7"/>
      </c>
      <c r="T1654" s="2">
        <f t="shared" si="8"/>
      </c>
      <c r="U1654" s="2">
        <f t="shared" si="9"/>
      </c>
      <c r="V1654" s="2">
        <f t="shared" si="10"/>
      </c>
      <c r="W1654" s="2">
        <f t="shared" si="11"/>
      </c>
      <c r="X1654" s="2">
        <f t="shared" si="12"/>
      </c>
      <c r="Y1654" s="2">
        <f t="shared" si="13"/>
        <v>0</v>
      </c>
      <c r="Z1654" s="2">
        <f t="shared" si="14"/>
      </c>
      <c r="AA1654" s="2">
        <f t="shared" si="15"/>
        <v>0</v>
      </c>
      <c r="AB1654" s="2">
        <f t="shared" si="16"/>
      </c>
      <c r="AC1654" s="2">
        <f t="shared" si="17"/>
      </c>
      <c r="AD1654" s="2">
        <f t="shared" si="18"/>
      </c>
      <c r="AE1654" s="2">
        <f t="shared" si="19"/>
      </c>
      <c r="AF1654" s="2">
        <f t="shared" si="20"/>
      </c>
      <c r="AG1654" s="2">
        <f t="shared" si="21"/>
      </c>
      <c r="AH1654" s="2">
        <f t="shared" si="22"/>
      </c>
      <c r="AI1654" s="2">
        <f t="shared" si="23"/>
      </c>
      <c r="AJ1654" s="2">
        <f t="shared" si="24"/>
        <v>0</v>
      </c>
      <c r="AK1654" s="2">
        <f t="shared" si="25"/>
        <v>0</v>
      </c>
      <c r="AL1654" s="2">
        <f t="shared" si="26"/>
        <v>0</v>
      </c>
      <c r="AM1654" s="2">
        <f t="shared" si="27"/>
        <v>0</v>
      </c>
      <c r="AN1654" s="2">
        <f t="shared" si="28"/>
        <v>0</v>
      </c>
      <c r="AO1654" s="2">
        <f t="shared" si="29"/>
      </c>
      <c r="AP1654" s="2">
        <f t="shared" si="30"/>
      </c>
      <c r="AQ1654" s="2">
        <f t="shared" si="31"/>
      </c>
    </row>
    <row r="1655">
      <c r="A1655" s="43">
        <f t="shared" si="3"/>
      </c>
      <c r="B1655" s="44" t="n"/>
      <c r="C1655" s="45" t="n"/>
      <c r="D1655" s="46" t="n"/>
      <c r="E1655" s="47" t="n"/>
      <c r="F1655" s="47" t="n"/>
      <c r="G1655" s="48">
        <f t="shared" si="4"/>
      </c>
      <c r="H1655" s="43">
        <f t="shared" si="0"/>
      </c>
      <c r="I1655" s="43">
        <f t="shared" si="5"/>
      </c>
      <c r="J1655" s="43">
        <f t="shared" si="1"/>
      </c>
      <c r="K1655" s="49">
        <f t="shared" si="2"/>
      </c>
      <c r="L1655" s="45" t="n"/>
      <c r="M1655" s="45" t="n"/>
      <c r="N1655" s="45" t="n"/>
      <c r="O1655" s="45" t="n"/>
      <c r="P1655" s="50" t="n"/>
      <c r="R1655" s="2">
        <f t="shared" si="6"/>
        <v>0</v>
      </c>
      <c r="S1655" s="2">
        <f t="shared" si="7"/>
      </c>
      <c r="T1655" s="2">
        <f t="shared" si="8"/>
      </c>
      <c r="U1655" s="2">
        <f t="shared" si="9"/>
      </c>
      <c r="V1655" s="2">
        <f t="shared" si="10"/>
      </c>
      <c r="W1655" s="2">
        <f t="shared" si="11"/>
      </c>
      <c r="X1655" s="2">
        <f t="shared" si="12"/>
      </c>
      <c r="Y1655" s="2">
        <f t="shared" si="13"/>
        <v>0</v>
      </c>
      <c r="Z1655" s="2">
        <f t="shared" si="14"/>
      </c>
      <c r="AA1655" s="2">
        <f t="shared" si="15"/>
        <v>0</v>
      </c>
      <c r="AB1655" s="2">
        <f t="shared" si="16"/>
      </c>
      <c r="AC1655" s="2">
        <f t="shared" si="17"/>
      </c>
      <c r="AD1655" s="2">
        <f t="shared" si="18"/>
      </c>
      <c r="AE1655" s="2">
        <f t="shared" si="19"/>
      </c>
      <c r="AF1655" s="2">
        <f t="shared" si="20"/>
      </c>
      <c r="AG1655" s="2">
        <f t="shared" si="21"/>
      </c>
      <c r="AH1655" s="2">
        <f t="shared" si="22"/>
      </c>
      <c r="AI1655" s="2">
        <f t="shared" si="23"/>
      </c>
      <c r="AJ1655" s="2">
        <f t="shared" si="24"/>
        <v>0</v>
      </c>
      <c r="AK1655" s="2">
        <f t="shared" si="25"/>
        <v>0</v>
      </c>
      <c r="AL1655" s="2">
        <f t="shared" si="26"/>
        <v>0</v>
      </c>
      <c r="AM1655" s="2">
        <f t="shared" si="27"/>
        <v>0</v>
      </c>
      <c r="AN1655" s="2">
        <f t="shared" si="28"/>
        <v>0</v>
      </c>
      <c r="AO1655" s="2">
        <f t="shared" si="29"/>
      </c>
      <c r="AP1655" s="2">
        <f t="shared" si="30"/>
      </c>
      <c r="AQ1655" s="2">
        <f t="shared" si="31"/>
      </c>
    </row>
    <row r="1656">
      <c r="A1656" s="43">
        <f t="shared" si="3"/>
      </c>
      <c r="B1656" s="44" t="n"/>
      <c r="C1656" s="45" t="n"/>
      <c r="D1656" s="46" t="n"/>
      <c r="E1656" s="47" t="n"/>
      <c r="F1656" s="47" t="n"/>
      <c r="G1656" s="48">
        <f t="shared" si="4"/>
      </c>
      <c r="H1656" s="43">
        <f t="shared" si="0"/>
      </c>
      <c r="I1656" s="43">
        <f t="shared" si="5"/>
      </c>
      <c r="J1656" s="43">
        <f t="shared" si="1"/>
      </c>
      <c r="K1656" s="49">
        <f t="shared" si="2"/>
      </c>
      <c r="L1656" s="45" t="n"/>
      <c r="M1656" s="45" t="n"/>
      <c r="N1656" s="45" t="n"/>
      <c r="O1656" s="45" t="n"/>
      <c r="P1656" s="50" t="n"/>
      <c r="R1656" s="2">
        <f t="shared" si="6"/>
        <v>0</v>
      </c>
      <c r="S1656" s="2">
        <f t="shared" si="7"/>
      </c>
      <c r="T1656" s="2">
        <f t="shared" si="8"/>
      </c>
      <c r="U1656" s="2">
        <f t="shared" si="9"/>
      </c>
      <c r="V1656" s="2">
        <f t="shared" si="10"/>
      </c>
      <c r="W1656" s="2">
        <f t="shared" si="11"/>
      </c>
      <c r="X1656" s="2">
        <f t="shared" si="12"/>
      </c>
      <c r="Y1656" s="2">
        <f t="shared" si="13"/>
        <v>0</v>
      </c>
      <c r="Z1656" s="2">
        <f t="shared" si="14"/>
      </c>
      <c r="AA1656" s="2">
        <f t="shared" si="15"/>
        <v>0</v>
      </c>
      <c r="AB1656" s="2">
        <f t="shared" si="16"/>
      </c>
      <c r="AC1656" s="2">
        <f t="shared" si="17"/>
      </c>
      <c r="AD1656" s="2">
        <f t="shared" si="18"/>
      </c>
      <c r="AE1656" s="2">
        <f t="shared" si="19"/>
      </c>
      <c r="AF1656" s="2">
        <f t="shared" si="20"/>
      </c>
      <c r="AG1656" s="2">
        <f t="shared" si="21"/>
      </c>
      <c r="AH1656" s="2">
        <f t="shared" si="22"/>
      </c>
      <c r="AI1656" s="2">
        <f t="shared" si="23"/>
      </c>
      <c r="AJ1656" s="2">
        <f t="shared" si="24"/>
        <v>0</v>
      </c>
      <c r="AK1656" s="2">
        <f t="shared" si="25"/>
        <v>0</v>
      </c>
      <c r="AL1656" s="2">
        <f t="shared" si="26"/>
        <v>0</v>
      </c>
      <c r="AM1656" s="2">
        <f t="shared" si="27"/>
        <v>0</v>
      </c>
      <c r="AN1656" s="2">
        <f t="shared" si="28"/>
        <v>0</v>
      </c>
      <c r="AO1656" s="2">
        <f t="shared" si="29"/>
      </c>
      <c r="AP1656" s="2">
        <f t="shared" si="30"/>
      </c>
      <c r="AQ1656" s="2">
        <f t="shared" si="31"/>
      </c>
    </row>
    <row r="1657">
      <c r="A1657" s="43">
        <f t="shared" si="3"/>
      </c>
      <c r="B1657" s="44" t="n"/>
      <c r="C1657" s="45" t="n"/>
      <c r="D1657" s="46" t="n"/>
      <c r="E1657" s="47" t="n"/>
      <c r="F1657" s="47" t="n"/>
      <c r="G1657" s="48">
        <f t="shared" si="4"/>
      </c>
      <c r="H1657" s="43">
        <f t="shared" si="0"/>
      </c>
      <c r="I1657" s="43">
        <f t="shared" si="5"/>
      </c>
      <c r="J1657" s="43">
        <f t="shared" si="1"/>
      </c>
      <c r="K1657" s="49">
        <f t="shared" si="2"/>
      </c>
      <c r="L1657" s="45" t="n"/>
      <c r="M1657" s="45" t="n"/>
      <c r="N1657" s="45" t="n"/>
      <c r="O1657" s="45" t="n"/>
      <c r="P1657" s="50" t="n"/>
      <c r="R1657" s="2">
        <f t="shared" si="6"/>
        <v>0</v>
      </c>
      <c r="S1657" s="2">
        <f t="shared" si="7"/>
      </c>
      <c r="T1657" s="2">
        <f t="shared" si="8"/>
      </c>
      <c r="U1657" s="2">
        <f t="shared" si="9"/>
      </c>
      <c r="V1657" s="2">
        <f t="shared" si="10"/>
      </c>
      <c r="W1657" s="2">
        <f t="shared" si="11"/>
      </c>
      <c r="X1657" s="2">
        <f t="shared" si="12"/>
      </c>
      <c r="Y1657" s="2">
        <f t="shared" si="13"/>
        <v>0</v>
      </c>
      <c r="Z1657" s="2">
        <f t="shared" si="14"/>
      </c>
      <c r="AA1657" s="2">
        <f t="shared" si="15"/>
        <v>0</v>
      </c>
      <c r="AB1657" s="2">
        <f t="shared" si="16"/>
      </c>
      <c r="AC1657" s="2">
        <f t="shared" si="17"/>
      </c>
      <c r="AD1657" s="2">
        <f t="shared" si="18"/>
      </c>
      <c r="AE1657" s="2">
        <f t="shared" si="19"/>
      </c>
      <c r="AF1657" s="2">
        <f t="shared" si="20"/>
      </c>
      <c r="AG1657" s="2">
        <f t="shared" si="21"/>
      </c>
      <c r="AH1657" s="2">
        <f t="shared" si="22"/>
      </c>
      <c r="AI1657" s="2">
        <f t="shared" si="23"/>
      </c>
      <c r="AJ1657" s="2">
        <f t="shared" si="24"/>
        <v>0</v>
      </c>
      <c r="AK1657" s="2">
        <f t="shared" si="25"/>
        <v>0</v>
      </c>
      <c r="AL1657" s="2">
        <f t="shared" si="26"/>
        <v>0</v>
      </c>
      <c r="AM1657" s="2">
        <f t="shared" si="27"/>
        <v>0</v>
      </c>
      <c r="AN1657" s="2">
        <f t="shared" si="28"/>
        <v>0</v>
      </c>
      <c r="AO1657" s="2">
        <f t="shared" si="29"/>
      </c>
      <c r="AP1657" s="2">
        <f t="shared" si="30"/>
      </c>
      <c r="AQ1657" s="2">
        <f t="shared" si="31"/>
      </c>
    </row>
    <row r="1658">
      <c r="A1658" s="43">
        <f t="shared" si="3"/>
      </c>
      <c r="B1658" s="44" t="n"/>
      <c r="C1658" s="45" t="n"/>
      <c r="D1658" s="46" t="n"/>
      <c r="E1658" s="47" t="n"/>
      <c r="F1658" s="47" t="n"/>
      <c r="G1658" s="48">
        <f t="shared" si="4"/>
      </c>
      <c r="H1658" s="43">
        <f t="shared" si="0"/>
      </c>
      <c r="I1658" s="43">
        <f t="shared" si="5"/>
      </c>
      <c r="J1658" s="43">
        <f t="shared" si="1"/>
      </c>
      <c r="K1658" s="49">
        <f t="shared" si="2"/>
      </c>
      <c r="L1658" s="45" t="n"/>
      <c r="M1658" s="45" t="n"/>
      <c r="N1658" s="45" t="n"/>
      <c r="O1658" s="45" t="n"/>
      <c r="P1658" s="50" t="n"/>
      <c r="R1658" s="2">
        <f t="shared" si="6"/>
        <v>0</v>
      </c>
      <c r="S1658" s="2">
        <f t="shared" si="7"/>
      </c>
      <c r="T1658" s="2">
        <f t="shared" si="8"/>
      </c>
      <c r="U1658" s="2">
        <f t="shared" si="9"/>
      </c>
      <c r="V1658" s="2">
        <f t="shared" si="10"/>
      </c>
      <c r="W1658" s="2">
        <f t="shared" si="11"/>
      </c>
      <c r="X1658" s="2">
        <f t="shared" si="12"/>
      </c>
      <c r="Y1658" s="2">
        <f t="shared" si="13"/>
        <v>0</v>
      </c>
      <c r="Z1658" s="2">
        <f t="shared" si="14"/>
      </c>
      <c r="AA1658" s="2">
        <f t="shared" si="15"/>
        <v>0</v>
      </c>
      <c r="AB1658" s="2">
        <f t="shared" si="16"/>
      </c>
      <c r="AC1658" s="2">
        <f t="shared" si="17"/>
      </c>
      <c r="AD1658" s="2">
        <f t="shared" si="18"/>
      </c>
      <c r="AE1658" s="2">
        <f t="shared" si="19"/>
      </c>
      <c r="AF1658" s="2">
        <f t="shared" si="20"/>
      </c>
      <c r="AG1658" s="2">
        <f t="shared" si="21"/>
      </c>
      <c r="AH1658" s="2">
        <f t="shared" si="22"/>
      </c>
      <c r="AI1658" s="2">
        <f t="shared" si="23"/>
      </c>
      <c r="AJ1658" s="2">
        <f t="shared" si="24"/>
        <v>0</v>
      </c>
      <c r="AK1658" s="2">
        <f t="shared" si="25"/>
        <v>0</v>
      </c>
      <c r="AL1658" s="2">
        <f t="shared" si="26"/>
        <v>0</v>
      </c>
      <c r="AM1658" s="2">
        <f t="shared" si="27"/>
        <v>0</v>
      </c>
      <c r="AN1658" s="2">
        <f t="shared" si="28"/>
        <v>0</v>
      </c>
      <c r="AO1658" s="2">
        <f t="shared" si="29"/>
      </c>
      <c r="AP1658" s="2">
        <f t="shared" si="30"/>
      </c>
      <c r="AQ1658" s="2">
        <f t="shared" si="31"/>
      </c>
    </row>
    <row r="1659">
      <c r="A1659" s="43">
        <f t="shared" si="3"/>
      </c>
      <c r="B1659" s="44" t="n"/>
      <c r="C1659" s="45" t="n"/>
      <c r="D1659" s="46" t="n"/>
      <c r="E1659" s="47" t="n"/>
      <c r="F1659" s="47" t="n"/>
      <c r="G1659" s="48">
        <f t="shared" si="4"/>
      </c>
      <c r="H1659" s="43">
        <f t="shared" si="0"/>
      </c>
      <c r="I1659" s="43">
        <f t="shared" si="5"/>
      </c>
      <c r="J1659" s="43">
        <f t="shared" si="1"/>
      </c>
      <c r="K1659" s="49">
        <f t="shared" si="2"/>
      </c>
      <c r="L1659" s="45" t="n"/>
      <c r="M1659" s="45" t="n"/>
      <c r="N1659" s="45" t="n"/>
      <c r="O1659" s="45" t="n"/>
      <c r="P1659" s="50" t="n"/>
      <c r="R1659" s="2">
        <f t="shared" si="6"/>
        <v>0</v>
      </c>
      <c r="S1659" s="2">
        <f t="shared" si="7"/>
      </c>
      <c r="T1659" s="2">
        <f t="shared" si="8"/>
      </c>
      <c r="U1659" s="2">
        <f t="shared" si="9"/>
      </c>
      <c r="V1659" s="2">
        <f t="shared" si="10"/>
      </c>
      <c r="W1659" s="2">
        <f t="shared" si="11"/>
      </c>
      <c r="X1659" s="2">
        <f t="shared" si="12"/>
      </c>
      <c r="Y1659" s="2">
        <f t="shared" si="13"/>
        <v>0</v>
      </c>
      <c r="Z1659" s="2">
        <f t="shared" si="14"/>
      </c>
      <c r="AA1659" s="2">
        <f t="shared" si="15"/>
        <v>0</v>
      </c>
      <c r="AB1659" s="2">
        <f t="shared" si="16"/>
      </c>
      <c r="AC1659" s="2">
        <f t="shared" si="17"/>
      </c>
      <c r="AD1659" s="2">
        <f t="shared" si="18"/>
      </c>
      <c r="AE1659" s="2">
        <f t="shared" si="19"/>
      </c>
      <c r="AF1659" s="2">
        <f t="shared" si="20"/>
      </c>
      <c r="AG1659" s="2">
        <f t="shared" si="21"/>
      </c>
      <c r="AH1659" s="2">
        <f t="shared" si="22"/>
      </c>
      <c r="AI1659" s="2">
        <f t="shared" si="23"/>
      </c>
      <c r="AJ1659" s="2">
        <f t="shared" si="24"/>
        <v>0</v>
      </c>
      <c r="AK1659" s="2">
        <f t="shared" si="25"/>
        <v>0</v>
      </c>
      <c r="AL1659" s="2">
        <f t="shared" si="26"/>
        <v>0</v>
      </c>
      <c r="AM1659" s="2">
        <f t="shared" si="27"/>
        <v>0</v>
      </c>
      <c r="AN1659" s="2">
        <f t="shared" si="28"/>
        <v>0</v>
      </c>
      <c r="AO1659" s="2">
        <f t="shared" si="29"/>
      </c>
      <c r="AP1659" s="2">
        <f t="shared" si="30"/>
      </c>
      <c r="AQ1659" s="2">
        <f t="shared" si="31"/>
      </c>
    </row>
    <row r="1660">
      <c r="A1660" s="43">
        <f t="shared" si="3"/>
      </c>
      <c r="B1660" s="44" t="n"/>
      <c r="C1660" s="45" t="n"/>
      <c r="D1660" s="46" t="n"/>
      <c r="E1660" s="47" t="n"/>
      <c r="F1660" s="47" t="n"/>
      <c r="G1660" s="48">
        <f t="shared" si="4"/>
      </c>
      <c r="H1660" s="43">
        <f t="shared" si="0"/>
      </c>
      <c r="I1660" s="43">
        <f t="shared" si="5"/>
      </c>
      <c r="J1660" s="43">
        <f t="shared" si="1"/>
      </c>
      <c r="K1660" s="49">
        <f t="shared" si="2"/>
      </c>
      <c r="L1660" s="45" t="n"/>
      <c r="M1660" s="45" t="n"/>
      <c r="N1660" s="45" t="n"/>
      <c r="O1660" s="45" t="n"/>
      <c r="P1660" s="50" t="n"/>
      <c r="R1660" s="2">
        <f t="shared" si="6"/>
        <v>0</v>
      </c>
      <c r="S1660" s="2">
        <f t="shared" si="7"/>
      </c>
      <c r="T1660" s="2">
        <f t="shared" si="8"/>
      </c>
      <c r="U1660" s="2">
        <f t="shared" si="9"/>
      </c>
      <c r="V1660" s="2">
        <f t="shared" si="10"/>
      </c>
      <c r="W1660" s="2">
        <f t="shared" si="11"/>
      </c>
      <c r="X1660" s="2">
        <f t="shared" si="12"/>
      </c>
      <c r="Y1660" s="2">
        <f t="shared" si="13"/>
        <v>0</v>
      </c>
      <c r="Z1660" s="2">
        <f t="shared" si="14"/>
      </c>
      <c r="AA1660" s="2">
        <f t="shared" si="15"/>
        <v>0</v>
      </c>
      <c r="AB1660" s="2">
        <f t="shared" si="16"/>
      </c>
      <c r="AC1660" s="2">
        <f t="shared" si="17"/>
      </c>
      <c r="AD1660" s="2">
        <f t="shared" si="18"/>
      </c>
      <c r="AE1660" s="2">
        <f t="shared" si="19"/>
      </c>
      <c r="AF1660" s="2">
        <f t="shared" si="20"/>
      </c>
      <c r="AG1660" s="2">
        <f t="shared" si="21"/>
      </c>
      <c r="AH1660" s="2">
        <f t="shared" si="22"/>
      </c>
      <c r="AI1660" s="2">
        <f t="shared" si="23"/>
      </c>
      <c r="AJ1660" s="2">
        <f t="shared" si="24"/>
        <v>0</v>
      </c>
      <c r="AK1660" s="2">
        <f t="shared" si="25"/>
        <v>0</v>
      </c>
      <c r="AL1660" s="2">
        <f t="shared" si="26"/>
        <v>0</v>
      </c>
      <c r="AM1660" s="2">
        <f t="shared" si="27"/>
        <v>0</v>
      </c>
      <c r="AN1660" s="2">
        <f t="shared" si="28"/>
        <v>0</v>
      </c>
      <c r="AO1660" s="2">
        <f t="shared" si="29"/>
      </c>
      <c r="AP1660" s="2">
        <f t="shared" si="30"/>
      </c>
      <c r="AQ1660" s="2">
        <f t="shared" si="31"/>
      </c>
    </row>
    <row r="1661">
      <c r="A1661" s="43">
        <f t="shared" si="3"/>
      </c>
      <c r="B1661" s="44" t="n"/>
      <c r="C1661" s="45" t="n"/>
      <c r="D1661" s="46" t="n"/>
      <c r="E1661" s="47" t="n"/>
      <c r="F1661" s="47" t="n"/>
      <c r="G1661" s="48">
        <f t="shared" si="4"/>
      </c>
      <c r="H1661" s="43">
        <f t="shared" si="0"/>
      </c>
      <c r="I1661" s="43">
        <f t="shared" si="5"/>
      </c>
      <c r="J1661" s="43">
        <f t="shared" si="1"/>
      </c>
      <c r="K1661" s="49">
        <f t="shared" si="2"/>
      </c>
      <c r="L1661" s="45" t="n"/>
      <c r="M1661" s="45" t="n"/>
      <c r="N1661" s="45" t="n"/>
      <c r="O1661" s="45" t="n"/>
      <c r="P1661" s="50" t="n"/>
      <c r="R1661" s="2">
        <f t="shared" si="6"/>
        <v>0</v>
      </c>
      <c r="S1661" s="2">
        <f t="shared" si="7"/>
      </c>
      <c r="T1661" s="2">
        <f t="shared" si="8"/>
      </c>
      <c r="U1661" s="2">
        <f t="shared" si="9"/>
      </c>
      <c r="V1661" s="2">
        <f t="shared" si="10"/>
      </c>
      <c r="W1661" s="2">
        <f t="shared" si="11"/>
      </c>
      <c r="X1661" s="2">
        <f t="shared" si="12"/>
      </c>
      <c r="Y1661" s="2">
        <f t="shared" si="13"/>
        <v>0</v>
      </c>
      <c r="Z1661" s="2">
        <f t="shared" si="14"/>
      </c>
      <c r="AA1661" s="2">
        <f t="shared" si="15"/>
        <v>0</v>
      </c>
      <c r="AB1661" s="2">
        <f t="shared" si="16"/>
      </c>
      <c r="AC1661" s="2">
        <f t="shared" si="17"/>
      </c>
      <c r="AD1661" s="2">
        <f t="shared" si="18"/>
      </c>
      <c r="AE1661" s="2">
        <f t="shared" si="19"/>
      </c>
      <c r="AF1661" s="2">
        <f t="shared" si="20"/>
      </c>
      <c r="AG1661" s="2">
        <f t="shared" si="21"/>
      </c>
      <c r="AH1661" s="2">
        <f t="shared" si="22"/>
      </c>
      <c r="AI1661" s="2">
        <f t="shared" si="23"/>
      </c>
      <c r="AJ1661" s="2">
        <f t="shared" si="24"/>
        <v>0</v>
      </c>
      <c r="AK1661" s="2">
        <f t="shared" si="25"/>
        <v>0</v>
      </c>
      <c r="AL1661" s="2">
        <f t="shared" si="26"/>
        <v>0</v>
      </c>
      <c r="AM1661" s="2">
        <f t="shared" si="27"/>
        <v>0</v>
      </c>
      <c r="AN1661" s="2">
        <f t="shared" si="28"/>
        <v>0</v>
      </c>
      <c r="AO1661" s="2">
        <f t="shared" si="29"/>
      </c>
      <c r="AP1661" s="2">
        <f t="shared" si="30"/>
      </c>
      <c r="AQ1661" s="2">
        <f t="shared" si="31"/>
      </c>
    </row>
    <row r="1662">
      <c r="A1662" s="43">
        <f t="shared" si="3"/>
      </c>
      <c r="B1662" s="44" t="n"/>
      <c r="C1662" s="45" t="n"/>
      <c r="D1662" s="46" t="n"/>
      <c r="E1662" s="47" t="n"/>
      <c r="F1662" s="47" t="n"/>
      <c r="G1662" s="48">
        <f t="shared" si="4"/>
      </c>
      <c r="H1662" s="43">
        <f t="shared" si="0"/>
      </c>
      <c r="I1662" s="43">
        <f t="shared" si="5"/>
      </c>
      <c r="J1662" s="43">
        <f t="shared" si="1"/>
      </c>
      <c r="K1662" s="49">
        <f t="shared" si="2"/>
      </c>
      <c r="L1662" s="45" t="n"/>
      <c r="M1662" s="45" t="n"/>
      <c r="N1662" s="45" t="n"/>
      <c r="O1662" s="45" t="n"/>
      <c r="P1662" s="50" t="n"/>
      <c r="R1662" s="2">
        <f t="shared" si="6"/>
        <v>0</v>
      </c>
      <c r="S1662" s="2">
        <f t="shared" si="7"/>
      </c>
      <c r="T1662" s="2">
        <f t="shared" si="8"/>
      </c>
      <c r="U1662" s="2">
        <f t="shared" si="9"/>
      </c>
      <c r="V1662" s="2">
        <f t="shared" si="10"/>
      </c>
      <c r="W1662" s="2">
        <f t="shared" si="11"/>
      </c>
      <c r="X1662" s="2">
        <f t="shared" si="12"/>
      </c>
      <c r="Y1662" s="2">
        <f t="shared" si="13"/>
        <v>0</v>
      </c>
      <c r="Z1662" s="2">
        <f t="shared" si="14"/>
      </c>
      <c r="AA1662" s="2">
        <f t="shared" si="15"/>
        <v>0</v>
      </c>
      <c r="AB1662" s="2">
        <f t="shared" si="16"/>
      </c>
      <c r="AC1662" s="2">
        <f t="shared" si="17"/>
      </c>
      <c r="AD1662" s="2">
        <f t="shared" si="18"/>
      </c>
      <c r="AE1662" s="2">
        <f t="shared" si="19"/>
      </c>
      <c r="AF1662" s="2">
        <f t="shared" si="20"/>
      </c>
      <c r="AG1662" s="2">
        <f t="shared" si="21"/>
      </c>
      <c r="AH1662" s="2">
        <f t="shared" si="22"/>
      </c>
      <c r="AI1662" s="2">
        <f t="shared" si="23"/>
      </c>
      <c r="AJ1662" s="2">
        <f t="shared" si="24"/>
        <v>0</v>
      </c>
      <c r="AK1662" s="2">
        <f t="shared" si="25"/>
        <v>0</v>
      </c>
      <c r="AL1662" s="2">
        <f t="shared" si="26"/>
        <v>0</v>
      </c>
      <c r="AM1662" s="2">
        <f t="shared" si="27"/>
        <v>0</v>
      </c>
      <c r="AN1662" s="2">
        <f t="shared" si="28"/>
        <v>0</v>
      </c>
      <c r="AO1662" s="2">
        <f t="shared" si="29"/>
      </c>
      <c r="AP1662" s="2">
        <f t="shared" si="30"/>
      </c>
      <c r="AQ1662" s="2">
        <f t="shared" si="31"/>
      </c>
    </row>
    <row r="1663">
      <c r="A1663" s="43">
        <f t="shared" si="3"/>
      </c>
      <c r="B1663" s="44" t="n"/>
      <c r="C1663" s="45" t="n"/>
      <c r="D1663" s="46" t="n"/>
      <c r="E1663" s="47" t="n"/>
      <c r="F1663" s="47" t="n"/>
      <c r="G1663" s="48">
        <f t="shared" si="4"/>
      </c>
      <c r="H1663" s="43">
        <f t="shared" si="0"/>
      </c>
      <c r="I1663" s="43">
        <f t="shared" si="5"/>
      </c>
      <c r="J1663" s="43">
        <f t="shared" si="1"/>
      </c>
      <c r="K1663" s="49">
        <f t="shared" si="2"/>
      </c>
      <c r="L1663" s="45" t="n"/>
      <c r="M1663" s="45" t="n"/>
      <c r="N1663" s="45" t="n"/>
      <c r="O1663" s="45" t="n"/>
      <c r="P1663" s="50" t="n"/>
      <c r="R1663" s="2">
        <f t="shared" si="6"/>
        <v>0</v>
      </c>
      <c r="S1663" s="2">
        <f t="shared" si="7"/>
      </c>
      <c r="T1663" s="2">
        <f t="shared" si="8"/>
      </c>
      <c r="U1663" s="2">
        <f t="shared" si="9"/>
      </c>
      <c r="V1663" s="2">
        <f t="shared" si="10"/>
      </c>
      <c r="W1663" s="2">
        <f t="shared" si="11"/>
      </c>
      <c r="X1663" s="2">
        <f t="shared" si="12"/>
      </c>
      <c r="Y1663" s="2">
        <f t="shared" si="13"/>
        <v>0</v>
      </c>
      <c r="Z1663" s="2">
        <f t="shared" si="14"/>
      </c>
      <c r="AA1663" s="2">
        <f t="shared" si="15"/>
        <v>0</v>
      </c>
      <c r="AB1663" s="2">
        <f t="shared" si="16"/>
      </c>
      <c r="AC1663" s="2">
        <f t="shared" si="17"/>
      </c>
      <c r="AD1663" s="2">
        <f t="shared" si="18"/>
      </c>
      <c r="AE1663" s="2">
        <f t="shared" si="19"/>
      </c>
      <c r="AF1663" s="2">
        <f t="shared" si="20"/>
      </c>
      <c r="AG1663" s="2">
        <f t="shared" si="21"/>
      </c>
      <c r="AH1663" s="2">
        <f t="shared" si="22"/>
      </c>
      <c r="AI1663" s="2">
        <f t="shared" si="23"/>
      </c>
      <c r="AJ1663" s="2">
        <f t="shared" si="24"/>
        <v>0</v>
      </c>
      <c r="AK1663" s="2">
        <f t="shared" si="25"/>
        <v>0</v>
      </c>
      <c r="AL1663" s="2">
        <f t="shared" si="26"/>
        <v>0</v>
      </c>
      <c r="AM1663" s="2">
        <f t="shared" si="27"/>
        <v>0</v>
      </c>
      <c r="AN1663" s="2">
        <f t="shared" si="28"/>
        <v>0</v>
      </c>
      <c r="AO1663" s="2">
        <f t="shared" si="29"/>
      </c>
      <c r="AP1663" s="2">
        <f t="shared" si="30"/>
      </c>
      <c r="AQ1663" s="2">
        <f t="shared" si="31"/>
      </c>
    </row>
    <row r="1664">
      <c r="A1664" s="43">
        <f t="shared" si="3"/>
      </c>
      <c r="B1664" s="44" t="n"/>
      <c r="C1664" s="45" t="n"/>
      <c r="D1664" s="46" t="n"/>
      <c r="E1664" s="47" t="n"/>
      <c r="F1664" s="47" t="n"/>
      <c r="G1664" s="48">
        <f t="shared" si="4"/>
      </c>
      <c r="H1664" s="43">
        <f t="shared" si="0"/>
      </c>
      <c r="I1664" s="43">
        <f t="shared" si="5"/>
      </c>
      <c r="J1664" s="43">
        <f t="shared" si="1"/>
      </c>
      <c r="K1664" s="49">
        <f t="shared" si="2"/>
      </c>
      <c r="L1664" s="45" t="n"/>
      <c r="M1664" s="45" t="n"/>
      <c r="N1664" s="45" t="n"/>
      <c r="O1664" s="45" t="n"/>
      <c r="P1664" s="50" t="n"/>
      <c r="R1664" s="2">
        <f t="shared" si="6"/>
        <v>0</v>
      </c>
      <c r="S1664" s="2">
        <f t="shared" si="7"/>
      </c>
      <c r="T1664" s="2">
        <f t="shared" si="8"/>
      </c>
      <c r="U1664" s="2">
        <f t="shared" si="9"/>
      </c>
      <c r="V1664" s="2">
        <f t="shared" si="10"/>
      </c>
      <c r="W1664" s="2">
        <f t="shared" si="11"/>
      </c>
      <c r="X1664" s="2">
        <f t="shared" si="12"/>
      </c>
      <c r="Y1664" s="2">
        <f t="shared" si="13"/>
        <v>0</v>
      </c>
      <c r="Z1664" s="2">
        <f t="shared" si="14"/>
      </c>
      <c r="AA1664" s="2">
        <f t="shared" si="15"/>
        <v>0</v>
      </c>
      <c r="AB1664" s="2">
        <f t="shared" si="16"/>
      </c>
      <c r="AC1664" s="2">
        <f t="shared" si="17"/>
      </c>
      <c r="AD1664" s="2">
        <f t="shared" si="18"/>
      </c>
      <c r="AE1664" s="2">
        <f t="shared" si="19"/>
      </c>
      <c r="AF1664" s="2">
        <f t="shared" si="20"/>
      </c>
      <c r="AG1664" s="2">
        <f t="shared" si="21"/>
      </c>
      <c r="AH1664" s="2">
        <f t="shared" si="22"/>
      </c>
      <c r="AI1664" s="2">
        <f t="shared" si="23"/>
      </c>
      <c r="AJ1664" s="2">
        <f t="shared" si="24"/>
        <v>0</v>
      </c>
      <c r="AK1664" s="2">
        <f t="shared" si="25"/>
        <v>0</v>
      </c>
      <c r="AL1664" s="2">
        <f t="shared" si="26"/>
        <v>0</v>
      </c>
      <c r="AM1664" s="2">
        <f t="shared" si="27"/>
        <v>0</v>
      </c>
      <c r="AN1664" s="2">
        <f t="shared" si="28"/>
        <v>0</v>
      </c>
      <c r="AO1664" s="2">
        <f t="shared" si="29"/>
      </c>
      <c r="AP1664" s="2">
        <f t="shared" si="30"/>
      </c>
      <c r="AQ1664" s="2">
        <f t="shared" si="31"/>
      </c>
    </row>
    <row r="1665">
      <c r="A1665" s="43">
        <f t="shared" si="3"/>
      </c>
      <c r="B1665" s="44" t="n"/>
      <c r="C1665" s="45" t="n"/>
      <c r="D1665" s="46" t="n"/>
      <c r="E1665" s="47" t="n"/>
      <c r="F1665" s="47" t="n"/>
      <c r="G1665" s="48">
        <f t="shared" si="4"/>
      </c>
      <c r="H1665" s="43">
        <f t="shared" si="0"/>
      </c>
      <c r="I1665" s="43">
        <f t="shared" si="5"/>
      </c>
      <c r="J1665" s="43">
        <f t="shared" si="1"/>
      </c>
      <c r="K1665" s="49">
        <f t="shared" si="2"/>
      </c>
      <c r="L1665" s="45" t="n"/>
      <c r="M1665" s="45" t="n"/>
      <c r="N1665" s="45" t="n"/>
      <c r="O1665" s="45" t="n"/>
      <c r="P1665" s="50" t="n"/>
      <c r="R1665" s="2">
        <f t="shared" si="6"/>
        <v>0</v>
      </c>
      <c r="S1665" s="2">
        <f t="shared" si="7"/>
      </c>
      <c r="T1665" s="2">
        <f t="shared" si="8"/>
      </c>
      <c r="U1665" s="2">
        <f t="shared" si="9"/>
      </c>
      <c r="V1665" s="2">
        <f t="shared" si="10"/>
      </c>
      <c r="W1665" s="2">
        <f t="shared" si="11"/>
      </c>
      <c r="X1665" s="2">
        <f t="shared" si="12"/>
      </c>
      <c r="Y1665" s="2">
        <f t="shared" si="13"/>
        <v>0</v>
      </c>
      <c r="Z1665" s="2">
        <f t="shared" si="14"/>
      </c>
      <c r="AA1665" s="2">
        <f t="shared" si="15"/>
        <v>0</v>
      </c>
      <c r="AB1665" s="2">
        <f t="shared" si="16"/>
      </c>
      <c r="AC1665" s="2">
        <f t="shared" si="17"/>
      </c>
      <c r="AD1665" s="2">
        <f t="shared" si="18"/>
      </c>
      <c r="AE1665" s="2">
        <f t="shared" si="19"/>
      </c>
      <c r="AF1665" s="2">
        <f t="shared" si="20"/>
      </c>
      <c r="AG1665" s="2">
        <f t="shared" si="21"/>
      </c>
      <c r="AH1665" s="2">
        <f t="shared" si="22"/>
      </c>
      <c r="AI1665" s="2">
        <f t="shared" si="23"/>
      </c>
      <c r="AJ1665" s="2">
        <f t="shared" si="24"/>
        <v>0</v>
      </c>
      <c r="AK1665" s="2">
        <f t="shared" si="25"/>
        <v>0</v>
      </c>
      <c r="AL1665" s="2">
        <f t="shared" si="26"/>
        <v>0</v>
      </c>
      <c r="AM1665" s="2">
        <f t="shared" si="27"/>
        <v>0</v>
      </c>
      <c r="AN1665" s="2">
        <f t="shared" si="28"/>
        <v>0</v>
      </c>
      <c r="AO1665" s="2">
        <f t="shared" si="29"/>
      </c>
      <c r="AP1665" s="2">
        <f t="shared" si="30"/>
      </c>
      <c r="AQ1665" s="2">
        <f t="shared" si="31"/>
      </c>
    </row>
    <row r="1666">
      <c r="A1666" s="43">
        <f t="shared" si="3"/>
      </c>
      <c r="B1666" s="44" t="n"/>
      <c r="C1666" s="45" t="n"/>
      <c r="D1666" s="46" t="n"/>
      <c r="E1666" s="47" t="n"/>
      <c r="F1666" s="47" t="n"/>
      <c r="G1666" s="48">
        <f t="shared" si="4"/>
      </c>
      <c r="H1666" s="43">
        <f t="shared" si="0"/>
      </c>
      <c r="I1666" s="43">
        <f t="shared" si="5"/>
      </c>
      <c r="J1666" s="43">
        <f t="shared" si="1"/>
      </c>
      <c r="K1666" s="49">
        <f t="shared" si="2"/>
      </c>
      <c r="L1666" s="45" t="n"/>
      <c r="M1666" s="45" t="n"/>
      <c r="N1666" s="45" t="n"/>
      <c r="O1666" s="45" t="n"/>
      <c r="P1666" s="50" t="n"/>
      <c r="R1666" s="2">
        <f t="shared" si="6"/>
        <v>0</v>
      </c>
      <c r="S1666" s="2">
        <f t="shared" si="7"/>
      </c>
      <c r="T1666" s="2">
        <f t="shared" si="8"/>
      </c>
      <c r="U1666" s="2">
        <f t="shared" si="9"/>
      </c>
      <c r="V1666" s="2">
        <f t="shared" si="10"/>
      </c>
      <c r="W1666" s="2">
        <f t="shared" si="11"/>
      </c>
      <c r="X1666" s="2">
        <f t="shared" si="12"/>
      </c>
      <c r="Y1666" s="2">
        <f t="shared" si="13"/>
        <v>0</v>
      </c>
      <c r="Z1666" s="2">
        <f t="shared" si="14"/>
      </c>
      <c r="AA1666" s="2">
        <f t="shared" si="15"/>
        <v>0</v>
      </c>
      <c r="AB1666" s="2">
        <f t="shared" si="16"/>
      </c>
      <c r="AC1666" s="2">
        <f t="shared" si="17"/>
      </c>
      <c r="AD1666" s="2">
        <f t="shared" si="18"/>
      </c>
      <c r="AE1666" s="2">
        <f t="shared" si="19"/>
      </c>
      <c r="AF1666" s="2">
        <f t="shared" si="20"/>
      </c>
      <c r="AG1666" s="2">
        <f t="shared" si="21"/>
      </c>
      <c r="AH1666" s="2">
        <f t="shared" si="22"/>
      </c>
      <c r="AI1666" s="2">
        <f t="shared" si="23"/>
      </c>
      <c r="AJ1666" s="2">
        <f t="shared" si="24"/>
        <v>0</v>
      </c>
      <c r="AK1666" s="2">
        <f t="shared" si="25"/>
        <v>0</v>
      </c>
      <c r="AL1666" s="2">
        <f t="shared" si="26"/>
        <v>0</v>
      </c>
      <c r="AM1666" s="2">
        <f t="shared" si="27"/>
        <v>0</v>
      </c>
      <c r="AN1666" s="2">
        <f t="shared" si="28"/>
        <v>0</v>
      </c>
      <c r="AO1666" s="2">
        <f t="shared" si="29"/>
      </c>
      <c r="AP1666" s="2">
        <f t="shared" si="30"/>
      </c>
      <c r="AQ1666" s="2">
        <f t="shared" si="31"/>
      </c>
    </row>
    <row r="1667">
      <c r="A1667" s="43">
        <f t="shared" si="3"/>
      </c>
      <c r="B1667" s="44" t="n"/>
      <c r="C1667" s="45" t="n"/>
      <c r="D1667" s="46" t="n"/>
      <c r="E1667" s="47" t="n"/>
      <c r="F1667" s="47" t="n"/>
      <c r="G1667" s="48">
        <f t="shared" si="4"/>
      </c>
      <c r="H1667" s="43">
        <f t="shared" si="0"/>
      </c>
      <c r="I1667" s="43">
        <f t="shared" si="5"/>
      </c>
      <c r="J1667" s="43">
        <f t="shared" si="1"/>
      </c>
      <c r="K1667" s="49">
        <f t="shared" si="2"/>
      </c>
      <c r="L1667" s="45" t="n"/>
      <c r="M1667" s="45" t="n"/>
      <c r="N1667" s="45" t="n"/>
      <c r="O1667" s="45" t="n"/>
      <c r="P1667" s="50" t="n"/>
      <c r="R1667" s="2">
        <f t="shared" si="6"/>
        <v>0</v>
      </c>
      <c r="S1667" s="2">
        <f t="shared" si="7"/>
      </c>
      <c r="T1667" s="2">
        <f t="shared" si="8"/>
      </c>
      <c r="U1667" s="2">
        <f t="shared" si="9"/>
      </c>
      <c r="V1667" s="2">
        <f t="shared" si="10"/>
      </c>
      <c r="W1667" s="2">
        <f t="shared" si="11"/>
      </c>
      <c r="X1667" s="2">
        <f t="shared" si="12"/>
      </c>
      <c r="Y1667" s="2">
        <f t="shared" si="13"/>
        <v>0</v>
      </c>
      <c r="Z1667" s="2">
        <f t="shared" si="14"/>
      </c>
      <c r="AA1667" s="2">
        <f t="shared" si="15"/>
        <v>0</v>
      </c>
      <c r="AB1667" s="2">
        <f t="shared" si="16"/>
      </c>
      <c r="AC1667" s="2">
        <f t="shared" si="17"/>
      </c>
      <c r="AD1667" s="2">
        <f t="shared" si="18"/>
      </c>
      <c r="AE1667" s="2">
        <f t="shared" si="19"/>
      </c>
      <c r="AF1667" s="2">
        <f t="shared" si="20"/>
      </c>
      <c r="AG1667" s="2">
        <f t="shared" si="21"/>
      </c>
      <c r="AH1667" s="2">
        <f t="shared" si="22"/>
      </c>
      <c r="AI1667" s="2">
        <f t="shared" si="23"/>
      </c>
      <c r="AJ1667" s="2">
        <f t="shared" si="24"/>
        <v>0</v>
      </c>
      <c r="AK1667" s="2">
        <f t="shared" si="25"/>
        <v>0</v>
      </c>
      <c r="AL1667" s="2">
        <f t="shared" si="26"/>
        <v>0</v>
      </c>
      <c r="AM1667" s="2">
        <f t="shared" si="27"/>
        <v>0</v>
      </c>
      <c r="AN1667" s="2">
        <f t="shared" si="28"/>
        <v>0</v>
      </c>
      <c r="AO1667" s="2">
        <f t="shared" si="29"/>
      </c>
      <c r="AP1667" s="2">
        <f t="shared" si="30"/>
      </c>
      <c r="AQ1667" s="2">
        <f t="shared" si="31"/>
      </c>
    </row>
    <row r="1668">
      <c r="A1668" s="43">
        <f t="shared" si="3"/>
      </c>
      <c r="B1668" s="44" t="n"/>
      <c r="C1668" s="45" t="n"/>
      <c r="D1668" s="46" t="n"/>
      <c r="E1668" s="47" t="n"/>
      <c r="F1668" s="47" t="n"/>
      <c r="G1668" s="48">
        <f t="shared" si="4"/>
      </c>
      <c r="H1668" s="43">
        <f t="shared" si="0"/>
      </c>
      <c r="I1668" s="43">
        <f t="shared" si="5"/>
      </c>
      <c r="J1668" s="43">
        <f t="shared" si="1"/>
      </c>
      <c r="K1668" s="49">
        <f t="shared" si="2"/>
      </c>
      <c r="L1668" s="45" t="n"/>
      <c r="M1668" s="45" t="n"/>
      <c r="N1668" s="45" t="n"/>
      <c r="O1668" s="45" t="n"/>
      <c r="P1668" s="50" t="n"/>
      <c r="R1668" s="2">
        <f t="shared" si="6"/>
        <v>0</v>
      </c>
      <c r="S1668" s="2">
        <f t="shared" si="7"/>
      </c>
      <c r="T1668" s="2">
        <f t="shared" si="8"/>
      </c>
      <c r="U1668" s="2">
        <f t="shared" si="9"/>
      </c>
      <c r="V1668" s="2">
        <f t="shared" si="10"/>
      </c>
      <c r="W1668" s="2">
        <f t="shared" si="11"/>
      </c>
      <c r="X1668" s="2">
        <f t="shared" si="12"/>
      </c>
      <c r="Y1668" s="2">
        <f t="shared" si="13"/>
        <v>0</v>
      </c>
      <c r="Z1668" s="2">
        <f t="shared" si="14"/>
      </c>
      <c r="AA1668" s="2">
        <f t="shared" si="15"/>
        <v>0</v>
      </c>
      <c r="AB1668" s="2">
        <f t="shared" si="16"/>
      </c>
      <c r="AC1668" s="2">
        <f t="shared" si="17"/>
      </c>
      <c r="AD1668" s="2">
        <f t="shared" si="18"/>
      </c>
      <c r="AE1668" s="2">
        <f t="shared" si="19"/>
      </c>
      <c r="AF1668" s="2">
        <f t="shared" si="20"/>
      </c>
      <c r="AG1668" s="2">
        <f t="shared" si="21"/>
      </c>
      <c r="AH1668" s="2">
        <f t="shared" si="22"/>
      </c>
      <c r="AI1668" s="2">
        <f t="shared" si="23"/>
      </c>
      <c r="AJ1668" s="2">
        <f t="shared" si="24"/>
        <v>0</v>
      </c>
      <c r="AK1668" s="2">
        <f t="shared" si="25"/>
        <v>0</v>
      </c>
      <c r="AL1668" s="2">
        <f t="shared" si="26"/>
        <v>0</v>
      </c>
      <c r="AM1668" s="2">
        <f t="shared" si="27"/>
        <v>0</v>
      </c>
      <c r="AN1668" s="2">
        <f t="shared" si="28"/>
        <v>0</v>
      </c>
      <c r="AO1668" s="2">
        <f t="shared" si="29"/>
      </c>
      <c r="AP1668" s="2">
        <f t="shared" si="30"/>
      </c>
      <c r="AQ1668" s="2">
        <f t="shared" si="31"/>
      </c>
    </row>
    <row r="1669">
      <c r="A1669" s="43">
        <f t="shared" si="3"/>
      </c>
      <c r="B1669" s="44" t="n"/>
      <c r="C1669" s="45" t="n"/>
      <c r="D1669" s="46" t="n"/>
      <c r="E1669" s="47" t="n"/>
      <c r="F1669" s="47" t="n"/>
      <c r="G1669" s="48">
        <f t="shared" si="4"/>
      </c>
      <c r="H1669" s="43">
        <f t="shared" si="0"/>
      </c>
      <c r="I1669" s="43">
        <f t="shared" si="5"/>
      </c>
      <c r="J1669" s="43">
        <f t="shared" si="1"/>
      </c>
      <c r="K1669" s="49">
        <f t="shared" si="2"/>
      </c>
      <c r="L1669" s="45" t="n"/>
      <c r="M1669" s="45" t="n"/>
      <c r="N1669" s="45" t="n"/>
      <c r="O1669" s="45" t="n"/>
      <c r="P1669" s="50" t="n"/>
      <c r="R1669" s="2">
        <f t="shared" si="6"/>
        <v>0</v>
      </c>
      <c r="S1669" s="2">
        <f t="shared" si="7"/>
      </c>
      <c r="T1669" s="2">
        <f t="shared" si="8"/>
      </c>
      <c r="U1669" s="2">
        <f t="shared" si="9"/>
      </c>
      <c r="V1669" s="2">
        <f t="shared" si="10"/>
      </c>
      <c r="W1669" s="2">
        <f t="shared" si="11"/>
      </c>
      <c r="X1669" s="2">
        <f t="shared" si="12"/>
      </c>
      <c r="Y1669" s="2">
        <f t="shared" si="13"/>
        <v>0</v>
      </c>
      <c r="Z1669" s="2">
        <f t="shared" si="14"/>
      </c>
      <c r="AA1669" s="2">
        <f t="shared" si="15"/>
        <v>0</v>
      </c>
      <c r="AB1669" s="2">
        <f t="shared" si="16"/>
      </c>
      <c r="AC1669" s="2">
        <f t="shared" si="17"/>
      </c>
      <c r="AD1669" s="2">
        <f t="shared" si="18"/>
      </c>
      <c r="AE1669" s="2">
        <f t="shared" si="19"/>
      </c>
      <c r="AF1669" s="2">
        <f t="shared" si="20"/>
      </c>
      <c r="AG1669" s="2">
        <f t="shared" si="21"/>
      </c>
      <c r="AH1669" s="2">
        <f t="shared" si="22"/>
      </c>
      <c r="AI1669" s="2">
        <f t="shared" si="23"/>
      </c>
      <c r="AJ1669" s="2">
        <f t="shared" si="24"/>
        <v>0</v>
      </c>
      <c r="AK1669" s="2">
        <f t="shared" si="25"/>
        <v>0</v>
      </c>
      <c r="AL1669" s="2">
        <f t="shared" si="26"/>
        <v>0</v>
      </c>
      <c r="AM1669" s="2">
        <f t="shared" si="27"/>
        <v>0</v>
      </c>
      <c r="AN1669" s="2">
        <f t="shared" si="28"/>
        <v>0</v>
      </c>
      <c r="AO1669" s="2">
        <f t="shared" si="29"/>
      </c>
      <c r="AP1669" s="2">
        <f t="shared" si="30"/>
      </c>
      <c r="AQ1669" s="2">
        <f t="shared" si="31"/>
      </c>
    </row>
    <row r="1670">
      <c r="A1670" s="43">
        <f t="shared" si="3"/>
      </c>
      <c r="B1670" s="44" t="n"/>
      <c r="C1670" s="45" t="n"/>
      <c r="D1670" s="46" t="n"/>
      <c r="E1670" s="47" t="n"/>
      <c r="F1670" s="47" t="n"/>
      <c r="G1670" s="48">
        <f t="shared" si="4"/>
      </c>
      <c r="H1670" s="43">
        <f t="shared" si="0"/>
      </c>
      <c r="I1670" s="43">
        <f t="shared" si="5"/>
      </c>
      <c r="J1670" s="43">
        <f t="shared" si="1"/>
      </c>
      <c r="K1670" s="49">
        <f t="shared" si="2"/>
      </c>
      <c r="L1670" s="45" t="n"/>
      <c r="M1670" s="45" t="n"/>
      <c r="N1670" s="45" t="n"/>
      <c r="O1670" s="45" t="n"/>
      <c r="P1670" s="50" t="n"/>
      <c r="R1670" s="2">
        <f t="shared" si="6"/>
        <v>0</v>
      </c>
      <c r="S1670" s="2">
        <f t="shared" si="7"/>
      </c>
      <c r="T1670" s="2">
        <f t="shared" si="8"/>
      </c>
      <c r="U1670" s="2">
        <f t="shared" si="9"/>
      </c>
      <c r="V1670" s="2">
        <f t="shared" si="10"/>
      </c>
      <c r="W1670" s="2">
        <f t="shared" si="11"/>
      </c>
      <c r="X1670" s="2">
        <f t="shared" si="12"/>
      </c>
      <c r="Y1670" s="2">
        <f t="shared" si="13"/>
        <v>0</v>
      </c>
      <c r="Z1670" s="2">
        <f t="shared" si="14"/>
      </c>
      <c r="AA1670" s="2">
        <f t="shared" si="15"/>
        <v>0</v>
      </c>
      <c r="AB1670" s="2">
        <f t="shared" si="16"/>
      </c>
      <c r="AC1670" s="2">
        <f t="shared" si="17"/>
      </c>
      <c r="AD1670" s="2">
        <f t="shared" si="18"/>
      </c>
      <c r="AE1670" s="2">
        <f t="shared" si="19"/>
      </c>
      <c r="AF1670" s="2">
        <f t="shared" si="20"/>
      </c>
      <c r="AG1670" s="2">
        <f t="shared" si="21"/>
      </c>
      <c r="AH1670" s="2">
        <f t="shared" si="22"/>
      </c>
      <c r="AI1670" s="2">
        <f t="shared" si="23"/>
      </c>
      <c r="AJ1670" s="2">
        <f t="shared" si="24"/>
        <v>0</v>
      </c>
      <c r="AK1670" s="2">
        <f t="shared" si="25"/>
        <v>0</v>
      </c>
      <c r="AL1670" s="2">
        <f t="shared" si="26"/>
        <v>0</v>
      </c>
      <c r="AM1670" s="2">
        <f t="shared" si="27"/>
        <v>0</v>
      </c>
      <c r="AN1670" s="2">
        <f t="shared" si="28"/>
        <v>0</v>
      </c>
      <c r="AO1670" s="2">
        <f t="shared" si="29"/>
      </c>
      <c r="AP1670" s="2">
        <f t="shared" si="30"/>
      </c>
      <c r="AQ1670" s="2">
        <f t="shared" si="31"/>
      </c>
    </row>
    <row r="1671">
      <c r="A1671" s="43">
        <f t="shared" si="3"/>
      </c>
      <c r="B1671" s="44" t="n"/>
      <c r="C1671" s="45" t="n"/>
      <c r="D1671" s="46" t="n"/>
      <c r="E1671" s="47" t="n"/>
      <c r="F1671" s="47" t="n"/>
      <c r="G1671" s="48">
        <f t="shared" si="4"/>
      </c>
      <c r="H1671" s="43">
        <f t="shared" si="0"/>
      </c>
      <c r="I1671" s="43">
        <f t="shared" si="5"/>
      </c>
      <c r="J1671" s="43">
        <f t="shared" si="1"/>
      </c>
      <c r="K1671" s="49">
        <f t="shared" si="2"/>
      </c>
      <c r="L1671" s="45" t="n"/>
      <c r="M1671" s="45" t="n"/>
      <c r="N1671" s="45" t="n"/>
      <c r="O1671" s="45" t="n"/>
      <c r="P1671" s="50" t="n"/>
      <c r="R1671" s="2">
        <f t="shared" si="6"/>
        <v>0</v>
      </c>
      <c r="S1671" s="2">
        <f t="shared" si="7"/>
      </c>
      <c r="T1671" s="2">
        <f t="shared" si="8"/>
      </c>
      <c r="U1671" s="2">
        <f t="shared" si="9"/>
      </c>
      <c r="V1671" s="2">
        <f t="shared" si="10"/>
      </c>
      <c r="W1671" s="2">
        <f t="shared" si="11"/>
      </c>
      <c r="X1671" s="2">
        <f t="shared" si="12"/>
      </c>
      <c r="Y1671" s="2">
        <f t="shared" si="13"/>
        <v>0</v>
      </c>
      <c r="Z1671" s="2">
        <f t="shared" si="14"/>
      </c>
      <c r="AA1671" s="2">
        <f t="shared" si="15"/>
        <v>0</v>
      </c>
      <c r="AB1671" s="2">
        <f t="shared" si="16"/>
      </c>
      <c r="AC1671" s="2">
        <f t="shared" si="17"/>
      </c>
      <c r="AD1671" s="2">
        <f t="shared" si="18"/>
      </c>
      <c r="AE1671" s="2">
        <f t="shared" si="19"/>
      </c>
      <c r="AF1671" s="2">
        <f t="shared" si="20"/>
      </c>
      <c r="AG1671" s="2">
        <f t="shared" si="21"/>
      </c>
      <c r="AH1671" s="2">
        <f t="shared" si="22"/>
      </c>
      <c r="AI1671" s="2">
        <f t="shared" si="23"/>
      </c>
      <c r="AJ1671" s="2">
        <f t="shared" si="24"/>
        <v>0</v>
      </c>
      <c r="AK1671" s="2">
        <f t="shared" si="25"/>
        <v>0</v>
      </c>
      <c r="AL1671" s="2">
        <f t="shared" si="26"/>
        <v>0</v>
      </c>
      <c r="AM1671" s="2">
        <f t="shared" si="27"/>
        <v>0</v>
      </c>
      <c r="AN1671" s="2">
        <f t="shared" si="28"/>
        <v>0</v>
      </c>
      <c r="AO1671" s="2">
        <f t="shared" si="29"/>
      </c>
      <c r="AP1671" s="2">
        <f t="shared" si="30"/>
      </c>
      <c r="AQ1671" s="2">
        <f t="shared" si="31"/>
      </c>
    </row>
    <row r="1672">
      <c r="A1672" s="43">
        <f t="shared" si="3"/>
      </c>
      <c r="B1672" s="44" t="n"/>
      <c r="C1672" s="45" t="n"/>
      <c r="D1672" s="46" t="n"/>
      <c r="E1672" s="47" t="n"/>
      <c r="F1672" s="47" t="n"/>
      <c r="G1672" s="48">
        <f t="shared" si="4"/>
      </c>
      <c r="H1672" s="43">
        <f t="shared" si="0"/>
      </c>
      <c r="I1672" s="43">
        <f t="shared" si="5"/>
      </c>
      <c r="J1672" s="43">
        <f t="shared" si="1"/>
      </c>
      <c r="K1672" s="49">
        <f t="shared" si="2"/>
      </c>
      <c r="L1672" s="45" t="n"/>
      <c r="M1672" s="45" t="n"/>
      <c r="N1672" s="45" t="n"/>
      <c r="O1672" s="45" t="n"/>
      <c r="P1672" s="50" t="n"/>
      <c r="R1672" s="2">
        <f t="shared" si="6"/>
        <v>0</v>
      </c>
      <c r="S1672" s="2">
        <f t="shared" si="7"/>
      </c>
      <c r="T1672" s="2">
        <f t="shared" si="8"/>
      </c>
      <c r="U1672" s="2">
        <f t="shared" si="9"/>
      </c>
      <c r="V1672" s="2">
        <f t="shared" si="10"/>
      </c>
      <c r="W1672" s="2">
        <f t="shared" si="11"/>
      </c>
      <c r="X1672" s="2">
        <f t="shared" si="12"/>
      </c>
      <c r="Y1672" s="2">
        <f t="shared" si="13"/>
        <v>0</v>
      </c>
      <c r="Z1672" s="2">
        <f t="shared" si="14"/>
      </c>
      <c r="AA1672" s="2">
        <f t="shared" si="15"/>
        <v>0</v>
      </c>
      <c r="AB1672" s="2">
        <f t="shared" si="16"/>
      </c>
      <c r="AC1672" s="2">
        <f t="shared" si="17"/>
      </c>
      <c r="AD1672" s="2">
        <f t="shared" si="18"/>
      </c>
      <c r="AE1672" s="2">
        <f t="shared" si="19"/>
      </c>
      <c r="AF1672" s="2">
        <f t="shared" si="20"/>
      </c>
      <c r="AG1672" s="2">
        <f t="shared" si="21"/>
      </c>
      <c r="AH1672" s="2">
        <f t="shared" si="22"/>
      </c>
      <c r="AI1672" s="2">
        <f t="shared" si="23"/>
      </c>
      <c r="AJ1672" s="2">
        <f t="shared" si="24"/>
        <v>0</v>
      </c>
      <c r="AK1672" s="2">
        <f t="shared" si="25"/>
        <v>0</v>
      </c>
      <c r="AL1672" s="2">
        <f t="shared" si="26"/>
        <v>0</v>
      </c>
      <c r="AM1672" s="2">
        <f t="shared" si="27"/>
        <v>0</v>
      </c>
      <c r="AN1672" s="2">
        <f t="shared" si="28"/>
        <v>0</v>
      </c>
      <c r="AO1672" s="2">
        <f t="shared" si="29"/>
      </c>
      <c r="AP1672" s="2">
        <f t="shared" si="30"/>
      </c>
      <c r="AQ1672" s="2">
        <f t="shared" si="31"/>
      </c>
    </row>
    <row r="1673">
      <c r="A1673" s="43">
        <f t="shared" si="3"/>
      </c>
      <c r="B1673" s="44" t="n"/>
      <c r="C1673" s="45" t="n"/>
      <c r="D1673" s="46" t="n"/>
      <c r="E1673" s="47" t="n"/>
      <c r="F1673" s="47" t="n"/>
      <c r="G1673" s="48">
        <f t="shared" si="4"/>
      </c>
      <c r="H1673" s="43">
        <f t="shared" si="0"/>
      </c>
      <c r="I1673" s="43">
        <f t="shared" si="5"/>
      </c>
      <c r="J1673" s="43">
        <f t="shared" si="1"/>
      </c>
      <c r="K1673" s="49">
        <f t="shared" si="2"/>
      </c>
      <c r="L1673" s="45" t="n"/>
      <c r="M1673" s="45" t="n"/>
      <c r="N1673" s="45" t="n"/>
      <c r="O1673" s="45" t="n"/>
      <c r="P1673" s="50" t="n"/>
      <c r="R1673" s="2">
        <f t="shared" si="6"/>
        <v>0</v>
      </c>
      <c r="S1673" s="2">
        <f t="shared" si="7"/>
      </c>
      <c r="T1673" s="2">
        <f t="shared" si="8"/>
      </c>
      <c r="U1673" s="2">
        <f t="shared" si="9"/>
      </c>
      <c r="V1673" s="2">
        <f t="shared" si="10"/>
      </c>
      <c r="W1673" s="2">
        <f t="shared" si="11"/>
      </c>
      <c r="X1673" s="2">
        <f t="shared" si="12"/>
      </c>
      <c r="Y1673" s="2">
        <f t="shared" si="13"/>
        <v>0</v>
      </c>
      <c r="Z1673" s="2">
        <f t="shared" si="14"/>
      </c>
      <c r="AA1673" s="2">
        <f t="shared" si="15"/>
        <v>0</v>
      </c>
      <c r="AB1673" s="2">
        <f t="shared" si="16"/>
      </c>
      <c r="AC1673" s="2">
        <f t="shared" si="17"/>
      </c>
      <c r="AD1673" s="2">
        <f t="shared" si="18"/>
      </c>
      <c r="AE1673" s="2">
        <f t="shared" si="19"/>
      </c>
      <c r="AF1673" s="2">
        <f t="shared" si="20"/>
      </c>
      <c r="AG1673" s="2">
        <f t="shared" si="21"/>
      </c>
      <c r="AH1673" s="2">
        <f t="shared" si="22"/>
      </c>
      <c r="AI1673" s="2">
        <f t="shared" si="23"/>
      </c>
      <c r="AJ1673" s="2">
        <f t="shared" si="24"/>
        <v>0</v>
      </c>
      <c r="AK1673" s="2">
        <f t="shared" si="25"/>
        <v>0</v>
      </c>
      <c r="AL1673" s="2">
        <f t="shared" si="26"/>
        <v>0</v>
      </c>
      <c r="AM1673" s="2">
        <f t="shared" si="27"/>
        <v>0</v>
      </c>
      <c r="AN1673" s="2">
        <f t="shared" si="28"/>
        <v>0</v>
      </c>
      <c r="AO1673" s="2">
        <f t="shared" si="29"/>
      </c>
      <c r="AP1673" s="2">
        <f t="shared" si="30"/>
      </c>
      <c r="AQ1673" s="2">
        <f t="shared" si="31"/>
      </c>
    </row>
    <row r="1674">
      <c r="A1674" s="43">
        <f t="shared" si="3"/>
      </c>
      <c r="B1674" s="44" t="n"/>
      <c r="C1674" s="45" t="n"/>
      <c r="D1674" s="46" t="n"/>
      <c r="E1674" s="47" t="n"/>
      <c r="F1674" s="47" t="n"/>
      <c r="G1674" s="48">
        <f t="shared" si="4"/>
      </c>
      <c r="H1674" s="43">
        <f t="shared" si="0"/>
      </c>
      <c r="I1674" s="43">
        <f t="shared" si="5"/>
      </c>
      <c r="J1674" s="43">
        <f t="shared" si="1"/>
      </c>
      <c r="K1674" s="49">
        <f t="shared" si="2"/>
      </c>
      <c r="L1674" s="45" t="n"/>
      <c r="M1674" s="45" t="n"/>
      <c r="N1674" s="45" t="n"/>
      <c r="O1674" s="45" t="n"/>
      <c r="P1674" s="50" t="n"/>
      <c r="R1674" s="2">
        <f t="shared" si="6"/>
        <v>0</v>
      </c>
      <c r="S1674" s="2">
        <f t="shared" si="7"/>
      </c>
      <c r="T1674" s="2">
        <f t="shared" si="8"/>
      </c>
      <c r="U1674" s="2">
        <f t="shared" si="9"/>
      </c>
      <c r="V1674" s="2">
        <f t="shared" si="10"/>
      </c>
      <c r="W1674" s="2">
        <f t="shared" si="11"/>
      </c>
      <c r="X1674" s="2">
        <f t="shared" si="12"/>
      </c>
      <c r="Y1674" s="2">
        <f t="shared" si="13"/>
        <v>0</v>
      </c>
      <c r="Z1674" s="2">
        <f t="shared" si="14"/>
      </c>
      <c r="AA1674" s="2">
        <f t="shared" si="15"/>
        <v>0</v>
      </c>
      <c r="AB1674" s="2">
        <f t="shared" si="16"/>
      </c>
      <c r="AC1674" s="2">
        <f t="shared" si="17"/>
      </c>
      <c r="AD1674" s="2">
        <f t="shared" si="18"/>
      </c>
      <c r="AE1674" s="2">
        <f t="shared" si="19"/>
      </c>
      <c r="AF1674" s="2">
        <f t="shared" si="20"/>
      </c>
      <c r="AG1674" s="2">
        <f t="shared" si="21"/>
      </c>
      <c r="AH1674" s="2">
        <f t="shared" si="22"/>
      </c>
      <c r="AI1674" s="2">
        <f t="shared" si="23"/>
      </c>
      <c r="AJ1674" s="2">
        <f t="shared" si="24"/>
        <v>0</v>
      </c>
      <c r="AK1674" s="2">
        <f t="shared" si="25"/>
        <v>0</v>
      </c>
      <c r="AL1674" s="2">
        <f t="shared" si="26"/>
        <v>0</v>
      </c>
      <c r="AM1674" s="2">
        <f t="shared" si="27"/>
        <v>0</v>
      </c>
      <c r="AN1674" s="2">
        <f t="shared" si="28"/>
        <v>0</v>
      </c>
      <c r="AO1674" s="2">
        <f t="shared" si="29"/>
      </c>
      <c r="AP1674" s="2">
        <f t="shared" si="30"/>
      </c>
      <c r="AQ1674" s="2">
        <f t="shared" si="31"/>
      </c>
    </row>
    <row r="1675">
      <c r="A1675" s="43">
        <f t="shared" si="3"/>
      </c>
      <c r="B1675" s="44" t="n"/>
      <c r="C1675" s="45" t="n"/>
      <c r="D1675" s="46" t="n"/>
      <c r="E1675" s="47" t="n"/>
      <c r="F1675" s="47" t="n"/>
      <c r="G1675" s="48">
        <f t="shared" si="4"/>
      </c>
      <c r="H1675" s="43">
        <f t="shared" si="0"/>
      </c>
      <c r="I1675" s="43">
        <f t="shared" si="5"/>
      </c>
      <c r="J1675" s="43">
        <f t="shared" si="1"/>
      </c>
      <c r="K1675" s="49">
        <f t="shared" si="2"/>
      </c>
      <c r="L1675" s="45" t="n"/>
      <c r="M1675" s="45" t="n"/>
      <c r="N1675" s="45" t="n"/>
      <c r="O1675" s="45" t="n"/>
      <c r="P1675" s="50" t="n"/>
      <c r="R1675" s="2">
        <f t="shared" si="6"/>
        <v>0</v>
      </c>
      <c r="S1675" s="2">
        <f t="shared" si="7"/>
      </c>
      <c r="T1675" s="2">
        <f t="shared" si="8"/>
      </c>
      <c r="U1675" s="2">
        <f t="shared" si="9"/>
      </c>
      <c r="V1675" s="2">
        <f t="shared" si="10"/>
      </c>
      <c r="W1675" s="2">
        <f t="shared" si="11"/>
      </c>
      <c r="X1675" s="2">
        <f t="shared" si="12"/>
      </c>
      <c r="Y1675" s="2">
        <f t="shared" si="13"/>
        <v>0</v>
      </c>
      <c r="Z1675" s="2">
        <f t="shared" si="14"/>
      </c>
      <c r="AA1675" s="2">
        <f t="shared" si="15"/>
        <v>0</v>
      </c>
      <c r="AB1675" s="2">
        <f t="shared" si="16"/>
      </c>
      <c r="AC1675" s="2">
        <f t="shared" si="17"/>
      </c>
      <c r="AD1675" s="2">
        <f t="shared" si="18"/>
      </c>
      <c r="AE1675" s="2">
        <f t="shared" si="19"/>
      </c>
      <c r="AF1675" s="2">
        <f t="shared" si="20"/>
      </c>
      <c r="AG1675" s="2">
        <f t="shared" si="21"/>
      </c>
      <c r="AH1675" s="2">
        <f t="shared" si="22"/>
      </c>
      <c r="AI1675" s="2">
        <f t="shared" si="23"/>
      </c>
      <c r="AJ1675" s="2">
        <f t="shared" si="24"/>
        <v>0</v>
      </c>
      <c r="AK1675" s="2">
        <f t="shared" si="25"/>
        <v>0</v>
      </c>
      <c r="AL1675" s="2">
        <f t="shared" si="26"/>
        <v>0</v>
      </c>
      <c r="AM1675" s="2">
        <f t="shared" si="27"/>
        <v>0</v>
      </c>
      <c r="AN1675" s="2">
        <f t="shared" si="28"/>
        <v>0</v>
      </c>
      <c r="AO1675" s="2">
        <f t="shared" si="29"/>
      </c>
      <c r="AP1675" s="2">
        <f t="shared" si="30"/>
      </c>
      <c r="AQ1675" s="2">
        <f t="shared" si="31"/>
      </c>
    </row>
    <row r="1676">
      <c r="A1676" s="43">
        <f t="shared" si="3"/>
      </c>
      <c r="B1676" s="44" t="n"/>
      <c r="C1676" s="45" t="n"/>
      <c r="D1676" s="46" t="n"/>
      <c r="E1676" s="47" t="n"/>
      <c r="F1676" s="47" t="n"/>
      <c r="G1676" s="48">
        <f t="shared" si="4"/>
      </c>
      <c r="H1676" s="43">
        <f t="shared" si="0"/>
      </c>
      <c r="I1676" s="43">
        <f t="shared" si="5"/>
      </c>
      <c r="J1676" s="43">
        <f t="shared" si="1"/>
      </c>
      <c r="K1676" s="49">
        <f t="shared" si="2"/>
      </c>
      <c r="L1676" s="45" t="n"/>
      <c r="M1676" s="45" t="n"/>
      <c r="N1676" s="45" t="n"/>
      <c r="O1676" s="45" t="n"/>
      <c r="P1676" s="50" t="n"/>
      <c r="R1676" s="2">
        <f t="shared" si="6"/>
        <v>0</v>
      </c>
      <c r="S1676" s="2">
        <f t="shared" si="7"/>
      </c>
      <c r="T1676" s="2">
        <f t="shared" si="8"/>
      </c>
      <c r="U1676" s="2">
        <f t="shared" si="9"/>
      </c>
      <c r="V1676" s="2">
        <f t="shared" si="10"/>
      </c>
      <c r="W1676" s="2">
        <f t="shared" si="11"/>
      </c>
      <c r="X1676" s="2">
        <f t="shared" si="12"/>
      </c>
      <c r="Y1676" s="2">
        <f t="shared" si="13"/>
        <v>0</v>
      </c>
      <c r="Z1676" s="2">
        <f t="shared" si="14"/>
      </c>
      <c r="AA1676" s="2">
        <f t="shared" si="15"/>
        <v>0</v>
      </c>
      <c r="AB1676" s="2">
        <f t="shared" si="16"/>
      </c>
      <c r="AC1676" s="2">
        <f t="shared" si="17"/>
      </c>
      <c r="AD1676" s="2">
        <f t="shared" si="18"/>
      </c>
      <c r="AE1676" s="2">
        <f t="shared" si="19"/>
      </c>
      <c r="AF1676" s="2">
        <f t="shared" si="20"/>
      </c>
      <c r="AG1676" s="2">
        <f t="shared" si="21"/>
      </c>
      <c r="AH1676" s="2">
        <f t="shared" si="22"/>
      </c>
      <c r="AI1676" s="2">
        <f t="shared" si="23"/>
      </c>
      <c r="AJ1676" s="2">
        <f t="shared" si="24"/>
        <v>0</v>
      </c>
      <c r="AK1676" s="2">
        <f t="shared" si="25"/>
        <v>0</v>
      </c>
      <c r="AL1676" s="2">
        <f t="shared" si="26"/>
        <v>0</v>
      </c>
      <c r="AM1676" s="2">
        <f t="shared" si="27"/>
        <v>0</v>
      </c>
      <c r="AN1676" s="2">
        <f t="shared" si="28"/>
        <v>0</v>
      </c>
      <c r="AO1676" s="2">
        <f t="shared" si="29"/>
      </c>
      <c r="AP1676" s="2">
        <f t="shared" si="30"/>
      </c>
      <c r="AQ1676" s="2">
        <f t="shared" si="31"/>
      </c>
    </row>
    <row r="1677">
      <c r="A1677" s="43">
        <f t="shared" si="3"/>
      </c>
      <c r="B1677" s="44" t="n"/>
      <c r="C1677" s="45" t="n"/>
      <c r="D1677" s="46" t="n"/>
      <c r="E1677" s="47" t="n"/>
      <c r="F1677" s="47" t="n"/>
      <c r="G1677" s="48">
        <f t="shared" si="4"/>
      </c>
      <c r="H1677" s="43">
        <f t="shared" si="0"/>
      </c>
      <c r="I1677" s="43">
        <f t="shared" si="5"/>
      </c>
      <c r="J1677" s="43">
        <f t="shared" si="1"/>
      </c>
      <c r="K1677" s="49">
        <f t="shared" si="2"/>
      </c>
      <c r="L1677" s="45" t="n"/>
      <c r="M1677" s="45" t="n"/>
      <c r="N1677" s="45" t="n"/>
      <c r="O1677" s="45" t="n"/>
      <c r="P1677" s="50" t="n"/>
      <c r="R1677" s="2">
        <f t="shared" si="6"/>
        <v>0</v>
      </c>
      <c r="S1677" s="2">
        <f t="shared" si="7"/>
      </c>
      <c r="T1677" s="2">
        <f t="shared" si="8"/>
      </c>
      <c r="U1677" s="2">
        <f t="shared" si="9"/>
      </c>
      <c r="V1677" s="2">
        <f t="shared" si="10"/>
      </c>
      <c r="W1677" s="2">
        <f t="shared" si="11"/>
      </c>
      <c r="X1677" s="2">
        <f t="shared" si="12"/>
      </c>
      <c r="Y1677" s="2">
        <f t="shared" si="13"/>
        <v>0</v>
      </c>
      <c r="Z1677" s="2">
        <f t="shared" si="14"/>
      </c>
      <c r="AA1677" s="2">
        <f t="shared" si="15"/>
        <v>0</v>
      </c>
      <c r="AB1677" s="2">
        <f t="shared" si="16"/>
      </c>
      <c r="AC1677" s="2">
        <f t="shared" si="17"/>
      </c>
      <c r="AD1677" s="2">
        <f t="shared" si="18"/>
      </c>
      <c r="AE1677" s="2">
        <f t="shared" si="19"/>
      </c>
      <c r="AF1677" s="2">
        <f t="shared" si="20"/>
      </c>
      <c r="AG1677" s="2">
        <f t="shared" si="21"/>
      </c>
      <c r="AH1677" s="2">
        <f t="shared" si="22"/>
      </c>
      <c r="AI1677" s="2">
        <f t="shared" si="23"/>
      </c>
      <c r="AJ1677" s="2">
        <f t="shared" si="24"/>
        <v>0</v>
      </c>
      <c r="AK1677" s="2">
        <f t="shared" si="25"/>
        <v>0</v>
      </c>
      <c r="AL1677" s="2">
        <f t="shared" si="26"/>
        <v>0</v>
      </c>
      <c r="AM1677" s="2">
        <f t="shared" si="27"/>
        <v>0</v>
      </c>
      <c r="AN1677" s="2">
        <f t="shared" si="28"/>
        <v>0</v>
      </c>
      <c r="AO1677" s="2">
        <f t="shared" si="29"/>
      </c>
      <c r="AP1677" s="2">
        <f t="shared" si="30"/>
      </c>
      <c r="AQ1677" s="2">
        <f t="shared" si="31"/>
      </c>
    </row>
    <row r="1678">
      <c r="A1678" s="43">
        <f t="shared" si="3"/>
      </c>
      <c r="B1678" s="44" t="n"/>
      <c r="C1678" s="45" t="n"/>
      <c r="D1678" s="46" t="n"/>
      <c r="E1678" s="47" t="n"/>
      <c r="F1678" s="47" t="n"/>
      <c r="G1678" s="48">
        <f t="shared" si="4"/>
      </c>
      <c r="H1678" s="43">
        <f t="shared" si="0"/>
      </c>
      <c r="I1678" s="43">
        <f t="shared" si="5"/>
      </c>
      <c r="J1678" s="43">
        <f t="shared" si="1"/>
      </c>
      <c r="K1678" s="49">
        <f t="shared" si="2"/>
      </c>
      <c r="L1678" s="45" t="n"/>
      <c r="M1678" s="45" t="n"/>
      <c r="N1678" s="45" t="n"/>
      <c r="O1678" s="45" t="n"/>
      <c r="P1678" s="50" t="n"/>
      <c r="R1678" s="2">
        <f t="shared" si="6"/>
        <v>0</v>
      </c>
      <c r="S1678" s="2">
        <f t="shared" si="7"/>
      </c>
      <c r="T1678" s="2">
        <f t="shared" si="8"/>
      </c>
      <c r="U1678" s="2">
        <f t="shared" si="9"/>
      </c>
      <c r="V1678" s="2">
        <f t="shared" si="10"/>
      </c>
      <c r="W1678" s="2">
        <f t="shared" si="11"/>
      </c>
      <c r="X1678" s="2">
        <f t="shared" si="12"/>
      </c>
      <c r="Y1678" s="2">
        <f t="shared" si="13"/>
        <v>0</v>
      </c>
      <c r="Z1678" s="2">
        <f t="shared" si="14"/>
      </c>
      <c r="AA1678" s="2">
        <f t="shared" si="15"/>
        <v>0</v>
      </c>
      <c r="AB1678" s="2">
        <f t="shared" si="16"/>
      </c>
      <c r="AC1678" s="2">
        <f t="shared" si="17"/>
      </c>
      <c r="AD1678" s="2">
        <f t="shared" si="18"/>
      </c>
      <c r="AE1678" s="2">
        <f t="shared" si="19"/>
      </c>
      <c r="AF1678" s="2">
        <f t="shared" si="20"/>
      </c>
      <c r="AG1678" s="2">
        <f t="shared" si="21"/>
      </c>
      <c r="AH1678" s="2">
        <f t="shared" si="22"/>
      </c>
      <c r="AI1678" s="2">
        <f t="shared" si="23"/>
      </c>
      <c r="AJ1678" s="2">
        <f t="shared" si="24"/>
        <v>0</v>
      </c>
      <c r="AK1678" s="2">
        <f t="shared" si="25"/>
        <v>0</v>
      </c>
      <c r="AL1678" s="2">
        <f t="shared" si="26"/>
        <v>0</v>
      </c>
      <c r="AM1678" s="2">
        <f t="shared" si="27"/>
        <v>0</v>
      </c>
      <c r="AN1678" s="2">
        <f t="shared" si="28"/>
        <v>0</v>
      </c>
      <c r="AO1678" s="2">
        <f t="shared" si="29"/>
      </c>
      <c r="AP1678" s="2">
        <f t="shared" si="30"/>
      </c>
      <c r="AQ1678" s="2">
        <f t="shared" si="31"/>
      </c>
    </row>
    <row r="1679">
      <c r="A1679" s="43">
        <f t="shared" si="3"/>
      </c>
      <c r="B1679" s="44" t="n"/>
      <c r="C1679" s="45" t="n"/>
      <c r="D1679" s="46" t="n"/>
      <c r="E1679" s="47" t="n"/>
      <c r="F1679" s="47" t="n"/>
      <c r="G1679" s="48">
        <f t="shared" si="4"/>
      </c>
      <c r="H1679" s="43">
        <f t="shared" si="0"/>
      </c>
      <c r="I1679" s="43">
        <f t="shared" si="5"/>
      </c>
      <c r="J1679" s="43">
        <f t="shared" si="1"/>
      </c>
      <c r="K1679" s="49">
        <f t="shared" si="2"/>
      </c>
      <c r="L1679" s="45" t="n"/>
      <c r="M1679" s="45" t="n"/>
      <c r="N1679" s="45" t="n"/>
      <c r="O1679" s="45" t="n"/>
      <c r="P1679" s="50" t="n"/>
      <c r="R1679" s="2">
        <f t="shared" si="6"/>
        <v>0</v>
      </c>
      <c r="S1679" s="2">
        <f t="shared" si="7"/>
      </c>
      <c r="T1679" s="2">
        <f t="shared" si="8"/>
      </c>
      <c r="U1679" s="2">
        <f t="shared" si="9"/>
      </c>
      <c r="V1679" s="2">
        <f t="shared" si="10"/>
      </c>
      <c r="W1679" s="2">
        <f t="shared" si="11"/>
      </c>
      <c r="X1679" s="2">
        <f t="shared" si="12"/>
      </c>
      <c r="Y1679" s="2">
        <f t="shared" si="13"/>
        <v>0</v>
      </c>
      <c r="Z1679" s="2">
        <f t="shared" si="14"/>
      </c>
      <c r="AA1679" s="2">
        <f t="shared" si="15"/>
        <v>0</v>
      </c>
      <c r="AB1679" s="2">
        <f t="shared" si="16"/>
      </c>
      <c r="AC1679" s="2">
        <f t="shared" si="17"/>
      </c>
      <c r="AD1679" s="2">
        <f t="shared" si="18"/>
      </c>
      <c r="AE1679" s="2">
        <f t="shared" si="19"/>
      </c>
      <c r="AF1679" s="2">
        <f t="shared" si="20"/>
      </c>
      <c r="AG1679" s="2">
        <f t="shared" si="21"/>
      </c>
      <c r="AH1679" s="2">
        <f t="shared" si="22"/>
      </c>
      <c r="AI1679" s="2">
        <f t="shared" si="23"/>
      </c>
      <c r="AJ1679" s="2">
        <f t="shared" si="24"/>
        <v>0</v>
      </c>
      <c r="AK1679" s="2">
        <f t="shared" si="25"/>
        <v>0</v>
      </c>
      <c r="AL1679" s="2">
        <f t="shared" si="26"/>
        <v>0</v>
      </c>
      <c r="AM1679" s="2">
        <f t="shared" si="27"/>
        <v>0</v>
      </c>
      <c r="AN1679" s="2">
        <f t="shared" si="28"/>
        <v>0</v>
      </c>
      <c r="AO1679" s="2">
        <f t="shared" si="29"/>
      </c>
      <c r="AP1679" s="2">
        <f t="shared" si="30"/>
      </c>
      <c r="AQ1679" s="2">
        <f t="shared" si="31"/>
      </c>
    </row>
    <row r="1680">
      <c r="A1680" s="43">
        <f t="shared" si="3"/>
      </c>
      <c r="B1680" s="44" t="n"/>
      <c r="C1680" s="45" t="n"/>
      <c r="D1680" s="46" t="n"/>
      <c r="E1680" s="47" t="n"/>
      <c r="F1680" s="47" t="n"/>
      <c r="G1680" s="48">
        <f t="shared" si="4"/>
      </c>
      <c r="H1680" s="43">
        <f t="shared" si="0"/>
      </c>
      <c r="I1680" s="43">
        <f t="shared" si="5"/>
      </c>
      <c r="J1680" s="43">
        <f t="shared" si="1"/>
      </c>
      <c r="K1680" s="49">
        <f t="shared" si="2"/>
      </c>
      <c r="L1680" s="45" t="n"/>
      <c r="M1680" s="45" t="n"/>
      <c r="N1680" s="45" t="n"/>
      <c r="O1680" s="45" t="n"/>
      <c r="P1680" s="50" t="n"/>
      <c r="R1680" s="2">
        <f t="shared" si="6"/>
        <v>0</v>
      </c>
      <c r="S1680" s="2">
        <f t="shared" si="7"/>
      </c>
      <c r="T1680" s="2">
        <f t="shared" si="8"/>
      </c>
      <c r="U1680" s="2">
        <f t="shared" si="9"/>
      </c>
      <c r="V1680" s="2">
        <f t="shared" si="10"/>
      </c>
      <c r="W1680" s="2">
        <f t="shared" si="11"/>
      </c>
      <c r="X1680" s="2">
        <f t="shared" si="12"/>
      </c>
      <c r="Y1680" s="2">
        <f t="shared" si="13"/>
        <v>0</v>
      </c>
      <c r="Z1680" s="2">
        <f t="shared" si="14"/>
      </c>
      <c r="AA1680" s="2">
        <f t="shared" si="15"/>
        <v>0</v>
      </c>
      <c r="AB1680" s="2">
        <f t="shared" si="16"/>
      </c>
      <c r="AC1680" s="2">
        <f t="shared" si="17"/>
      </c>
      <c r="AD1680" s="2">
        <f t="shared" si="18"/>
      </c>
      <c r="AE1680" s="2">
        <f t="shared" si="19"/>
      </c>
      <c r="AF1680" s="2">
        <f t="shared" si="20"/>
      </c>
      <c r="AG1680" s="2">
        <f t="shared" si="21"/>
      </c>
      <c r="AH1680" s="2">
        <f t="shared" si="22"/>
      </c>
      <c r="AI1680" s="2">
        <f t="shared" si="23"/>
      </c>
      <c r="AJ1680" s="2">
        <f t="shared" si="24"/>
        <v>0</v>
      </c>
      <c r="AK1680" s="2">
        <f t="shared" si="25"/>
        <v>0</v>
      </c>
      <c r="AL1680" s="2">
        <f t="shared" si="26"/>
        <v>0</v>
      </c>
      <c r="AM1680" s="2">
        <f t="shared" si="27"/>
        <v>0</v>
      </c>
      <c r="AN1680" s="2">
        <f t="shared" si="28"/>
        <v>0</v>
      </c>
      <c r="AO1680" s="2">
        <f t="shared" si="29"/>
      </c>
      <c r="AP1680" s="2">
        <f t="shared" si="30"/>
      </c>
      <c r="AQ1680" s="2">
        <f t="shared" si="31"/>
      </c>
    </row>
    <row r="1681">
      <c r="A1681" s="43">
        <f t="shared" si="3"/>
      </c>
      <c r="B1681" s="44" t="n"/>
      <c r="C1681" s="45" t="n"/>
      <c r="D1681" s="46" t="n"/>
      <c r="E1681" s="47" t="n"/>
      <c r="F1681" s="47" t="n"/>
      <c r="G1681" s="48">
        <f t="shared" si="4"/>
      </c>
      <c r="H1681" s="43">
        <f t="shared" si="0"/>
      </c>
      <c r="I1681" s="43">
        <f t="shared" si="5"/>
      </c>
      <c r="J1681" s="43">
        <f t="shared" si="1"/>
      </c>
      <c r="K1681" s="49">
        <f t="shared" si="2"/>
      </c>
      <c r="L1681" s="45" t="n"/>
      <c r="M1681" s="45" t="n"/>
      <c r="N1681" s="45" t="n"/>
      <c r="O1681" s="45" t="n"/>
      <c r="P1681" s="50" t="n"/>
      <c r="R1681" s="2">
        <f t="shared" si="6"/>
        <v>0</v>
      </c>
      <c r="S1681" s="2">
        <f t="shared" si="7"/>
      </c>
      <c r="T1681" s="2">
        <f t="shared" si="8"/>
      </c>
      <c r="U1681" s="2">
        <f t="shared" si="9"/>
      </c>
      <c r="V1681" s="2">
        <f t="shared" si="10"/>
      </c>
      <c r="W1681" s="2">
        <f t="shared" si="11"/>
      </c>
      <c r="X1681" s="2">
        <f t="shared" si="12"/>
      </c>
      <c r="Y1681" s="2">
        <f t="shared" si="13"/>
        <v>0</v>
      </c>
      <c r="Z1681" s="2">
        <f t="shared" si="14"/>
      </c>
      <c r="AA1681" s="2">
        <f t="shared" si="15"/>
        <v>0</v>
      </c>
      <c r="AB1681" s="2">
        <f t="shared" si="16"/>
      </c>
      <c r="AC1681" s="2">
        <f t="shared" si="17"/>
      </c>
      <c r="AD1681" s="2">
        <f t="shared" si="18"/>
      </c>
      <c r="AE1681" s="2">
        <f t="shared" si="19"/>
      </c>
      <c r="AF1681" s="2">
        <f t="shared" si="20"/>
      </c>
      <c r="AG1681" s="2">
        <f t="shared" si="21"/>
      </c>
      <c r="AH1681" s="2">
        <f t="shared" si="22"/>
      </c>
      <c r="AI1681" s="2">
        <f t="shared" si="23"/>
      </c>
      <c r="AJ1681" s="2">
        <f t="shared" si="24"/>
        <v>0</v>
      </c>
      <c r="AK1681" s="2">
        <f t="shared" si="25"/>
        <v>0</v>
      </c>
      <c r="AL1681" s="2">
        <f t="shared" si="26"/>
        <v>0</v>
      </c>
      <c r="AM1681" s="2">
        <f t="shared" si="27"/>
        <v>0</v>
      </c>
      <c r="AN1681" s="2">
        <f t="shared" si="28"/>
        <v>0</v>
      </c>
      <c r="AO1681" s="2">
        <f t="shared" si="29"/>
      </c>
      <c r="AP1681" s="2">
        <f t="shared" si="30"/>
      </c>
      <c r="AQ1681" s="2">
        <f t="shared" si="31"/>
      </c>
    </row>
    <row r="1682">
      <c r="A1682" s="43">
        <f t="shared" si="3"/>
      </c>
      <c r="B1682" s="44" t="n"/>
      <c r="C1682" s="45" t="n"/>
      <c r="D1682" s="46" t="n"/>
      <c r="E1682" s="47" t="n"/>
      <c r="F1682" s="47" t="n"/>
      <c r="G1682" s="48">
        <f t="shared" si="4"/>
      </c>
      <c r="H1682" s="43">
        <f t="shared" si="0"/>
      </c>
      <c r="I1682" s="43">
        <f t="shared" si="5"/>
      </c>
      <c r="J1682" s="43">
        <f t="shared" si="1"/>
      </c>
      <c r="K1682" s="49">
        <f t="shared" si="2"/>
      </c>
      <c r="L1682" s="45" t="n"/>
      <c r="M1682" s="45" t="n"/>
      <c r="N1682" s="45" t="n"/>
      <c r="O1682" s="45" t="n"/>
      <c r="P1682" s="50" t="n"/>
      <c r="R1682" s="2">
        <f t="shared" si="6"/>
        <v>0</v>
      </c>
      <c r="S1682" s="2">
        <f t="shared" si="7"/>
      </c>
      <c r="T1682" s="2">
        <f t="shared" si="8"/>
      </c>
      <c r="U1682" s="2">
        <f t="shared" si="9"/>
      </c>
      <c r="V1682" s="2">
        <f t="shared" si="10"/>
      </c>
      <c r="W1682" s="2">
        <f t="shared" si="11"/>
      </c>
      <c r="X1682" s="2">
        <f t="shared" si="12"/>
      </c>
      <c r="Y1682" s="2">
        <f t="shared" si="13"/>
        <v>0</v>
      </c>
      <c r="Z1682" s="2">
        <f t="shared" si="14"/>
      </c>
      <c r="AA1682" s="2">
        <f t="shared" si="15"/>
        <v>0</v>
      </c>
      <c r="AB1682" s="2">
        <f t="shared" si="16"/>
      </c>
      <c r="AC1682" s="2">
        <f t="shared" si="17"/>
      </c>
      <c r="AD1682" s="2">
        <f t="shared" si="18"/>
      </c>
      <c r="AE1682" s="2">
        <f t="shared" si="19"/>
      </c>
      <c r="AF1682" s="2">
        <f t="shared" si="20"/>
      </c>
      <c r="AG1682" s="2">
        <f t="shared" si="21"/>
      </c>
      <c r="AH1682" s="2">
        <f t="shared" si="22"/>
      </c>
      <c r="AI1682" s="2">
        <f t="shared" si="23"/>
      </c>
      <c r="AJ1682" s="2">
        <f t="shared" si="24"/>
        <v>0</v>
      </c>
      <c r="AK1682" s="2">
        <f t="shared" si="25"/>
        <v>0</v>
      </c>
      <c r="AL1682" s="2">
        <f t="shared" si="26"/>
        <v>0</v>
      </c>
      <c r="AM1682" s="2">
        <f t="shared" si="27"/>
        <v>0</v>
      </c>
      <c r="AN1682" s="2">
        <f t="shared" si="28"/>
        <v>0</v>
      </c>
      <c r="AO1682" s="2">
        <f t="shared" si="29"/>
      </c>
      <c r="AP1682" s="2">
        <f t="shared" si="30"/>
      </c>
      <c r="AQ1682" s="2">
        <f t="shared" si="31"/>
      </c>
    </row>
    <row r="1683">
      <c r="A1683" s="43">
        <f t="shared" si="3"/>
      </c>
      <c r="B1683" s="44" t="n"/>
      <c r="C1683" s="45" t="n"/>
      <c r="D1683" s="46" t="n"/>
      <c r="E1683" s="47" t="n"/>
      <c r="F1683" s="47" t="n"/>
      <c r="G1683" s="48">
        <f t="shared" si="4"/>
      </c>
      <c r="H1683" s="43">
        <f t="shared" si="0"/>
      </c>
      <c r="I1683" s="43">
        <f t="shared" si="5"/>
      </c>
      <c r="J1683" s="43">
        <f t="shared" si="1"/>
      </c>
      <c r="K1683" s="49">
        <f t="shared" si="2"/>
      </c>
      <c r="L1683" s="45" t="n"/>
      <c r="M1683" s="45" t="n"/>
      <c r="N1683" s="45" t="n"/>
      <c r="O1683" s="45" t="n"/>
      <c r="P1683" s="50" t="n"/>
      <c r="R1683" s="2">
        <f t="shared" si="6"/>
        <v>0</v>
      </c>
      <c r="S1683" s="2">
        <f t="shared" si="7"/>
      </c>
      <c r="T1683" s="2">
        <f t="shared" si="8"/>
      </c>
      <c r="U1683" s="2">
        <f t="shared" si="9"/>
      </c>
      <c r="V1683" s="2">
        <f t="shared" si="10"/>
      </c>
      <c r="W1683" s="2">
        <f t="shared" si="11"/>
      </c>
      <c r="X1683" s="2">
        <f t="shared" si="12"/>
      </c>
      <c r="Y1683" s="2">
        <f t="shared" si="13"/>
        <v>0</v>
      </c>
      <c r="Z1683" s="2">
        <f t="shared" si="14"/>
      </c>
      <c r="AA1683" s="2">
        <f t="shared" si="15"/>
        <v>0</v>
      </c>
      <c r="AB1683" s="2">
        <f t="shared" si="16"/>
      </c>
      <c r="AC1683" s="2">
        <f t="shared" si="17"/>
      </c>
      <c r="AD1683" s="2">
        <f t="shared" si="18"/>
      </c>
      <c r="AE1683" s="2">
        <f t="shared" si="19"/>
      </c>
      <c r="AF1683" s="2">
        <f t="shared" si="20"/>
      </c>
      <c r="AG1683" s="2">
        <f t="shared" si="21"/>
      </c>
      <c r="AH1683" s="2">
        <f t="shared" si="22"/>
      </c>
      <c r="AI1683" s="2">
        <f t="shared" si="23"/>
      </c>
      <c r="AJ1683" s="2">
        <f t="shared" si="24"/>
        <v>0</v>
      </c>
      <c r="AK1683" s="2">
        <f t="shared" si="25"/>
        <v>0</v>
      </c>
      <c r="AL1683" s="2">
        <f t="shared" si="26"/>
        <v>0</v>
      </c>
      <c r="AM1683" s="2">
        <f t="shared" si="27"/>
        <v>0</v>
      </c>
      <c r="AN1683" s="2">
        <f t="shared" si="28"/>
        <v>0</v>
      </c>
      <c r="AO1683" s="2">
        <f t="shared" si="29"/>
      </c>
      <c r="AP1683" s="2">
        <f t="shared" si="30"/>
      </c>
      <c r="AQ1683" s="2">
        <f t="shared" si="31"/>
      </c>
    </row>
    <row r="1684">
      <c r="A1684" s="43">
        <f t="shared" si="3"/>
      </c>
      <c r="B1684" s="44" t="n"/>
      <c r="C1684" s="45" t="n"/>
      <c r="D1684" s="46" t="n"/>
      <c r="E1684" s="47" t="n"/>
      <c r="F1684" s="47" t="n"/>
      <c r="G1684" s="48">
        <f t="shared" si="4"/>
      </c>
      <c r="H1684" s="43">
        <f t="shared" si="0"/>
      </c>
      <c r="I1684" s="43">
        <f t="shared" si="5"/>
      </c>
      <c r="J1684" s="43">
        <f t="shared" si="1"/>
      </c>
      <c r="K1684" s="49">
        <f t="shared" si="2"/>
      </c>
      <c r="L1684" s="45" t="n"/>
      <c r="M1684" s="45" t="n"/>
      <c r="N1684" s="45" t="n"/>
      <c r="O1684" s="45" t="n"/>
      <c r="P1684" s="50" t="n"/>
      <c r="R1684" s="2">
        <f t="shared" si="6"/>
        <v>0</v>
      </c>
      <c r="S1684" s="2">
        <f t="shared" si="7"/>
      </c>
      <c r="T1684" s="2">
        <f t="shared" si="8"/>
      </c>
      <c r="U1684" s="2">
        <f t="shared" si="9"/>
      </c>
      <c r="V1684" s="2">
        <f t="shared" si="10"/>
      </c>
      <c r="W1684" s="2">
        <f t="shared" si="11"/>
      </c>
      <c r="X1684" s="2">
        <f t="shared" si="12"/>
      </c>
      <c r="Y1684" s="2">
        <f t="shared" si="13"/>
        <v>0</v>
      </c>
      <c r="Z1684" s="2">
        <f t="shared" si="14"/>
      </c>
      <c r="AA1684" s="2">
        <f t="shared" si="15"/>
        <v>0</v>
      </c>
      <c r="AB1684" s="2">
        <f t="shared" si="16"/>
      </c>
      <c r="AC1684" s="2">
        <f t="shared" si="17"/>
      </c>
      <c r="AD1684" s="2">
        <f t="shared" si="18"/>
      </c>
      <c r="AE1684" s="2">
        <f t="shared" si="19"/>
      </c>
      <c r="AF1684" s="2">
        <f t="shared" si="20"/>
      </c>
      <c r="AG1684" s="2">
        <f t="shared" si="21"/>
      </c>
      <c r="AH1684" s="2">
        <f t="shared" si="22"/>
      </c>
      <c r="AI1684" s="2">
        <f t="shared" si="23"/>
      </c>
      <c r="AJ1684" s="2">
        <f t="shared" si="24"/>
        <v>0</v>
      </c>
      <c r="AK1684" s="2">
        <f t="shared" si="25"/>
        <v>0</v>
      </c>
      <c r="AL1684" s="2">
        <f t="shared" si="26"/>
        <v>0</v>
      </c>
      <c r="AM1684" s="2">
        <f t="shared" si="27"/>
        <v>0</v>
      </c>
      <c r="AN1684" s="2">
        <f t="shared" si="28"/>
        <v>0</v>
      </c>
      <c r="AO1684" s="2">
        <f t="shared" si="29"/>
      </c>
      <c r="AP1684" s="2">
        <f t="shared" si="30"/>
      </c>
      <c r="AQ1684" s="2">
        <f t="shared" si="31"/>
      </c>
    </row>
    <row r="1685">
      <c r="A1685" s="43">
        <f t="shared" si="3"/>
      </c>
      <c r="B1685" s="44" t="n"/>
      <c r="C1685" s="45" t="n"/>
      <c r="D1685" s="46" t="n"/>
      <c r="E1685" s="47" t="n"/>
      <c r="F1685" s="47" t="n"/>
      <c r="G1685" s="48">
        <f t="shared" si="4"/>
      </c>
      <c r="H1685" s="43">
        <f t="shared" si="0"/>
      </c>
      <c r="I1685" s="43">
        <f t="shared" si="5"/>
      </c>
      <c r="J1685" s="43">
        <f t="shared" si="1"/>
      </c>
      <c r="K1685" s="49">
        <f t="shared" si="2"/>
      </c>
      <c r="L1685" s="45" t="n"/>
      <c r="M1685" s="45" t="n"/>
      <c r="N1685" s="45" t="n"/>
      <c r="O1685" s="45" t="n"/>
      <c r="P1685" s="50" t="n"/>
      <c r="R1685" s="2">
        <f t="shared" si="6"/>
        <v>0</v>
      </c>
      <c r="S1685" s="2">
        <f t="shared" si="7"/>
      </c>
      <c r="T1685" s="2">
        <f t="shared" si="8"/>
      </c>
      <c r="U1685" s="2">
        <f t="shared" si="9"/>
      </c>
      <c r="V1685" s="2">
        <f t="shared" si="10"/>
      </c>
      <c r="W1685" s="2">
        <f t="shared" si="11"/>
      </c>
      <c r="X1685" s="2">
        <f t="shared" si="12"/>
      </c>
      <c r="Y1685" s="2">
        <f t="shared" si="13"/>
        <v>0</v>
      </c>
      <c r="Z1685" s="2">
        <f t="shared" si="14"/>
      </c>
      <c r="AA1685" s="2">
        <f t="shared" si="15"/>
        <v>0</v>
      </c>
      <c r="AB1685" s="2">
        <f t="shared" si="16"/>
      </c>
      <c r="AC1685" s="2">
        <f t="shared" si="17"/>
      </c>
      <c r="AD1685" s="2">
        <f t="shared" si="18"/>
      </c>
      <c r="AE1685" s="2">
        <f t="shared" si="19"/>
      </c>
      <c r="AF1685" s="2">
        <f t="shared" si="20"/>
      </c>
      <c r="AG1685" s="2">
        <f t="shared" si="21"/>
      </c>
      <c r="AH1685" s="2">
        <f t="shared" si="22"/>
      </c>
      <c r="AI1685" s="2">
        <f t="shared" si="23"/>
      </c>
      <c r="AJ1685" s="2">
        <f t="shared" si="24"/>
        <v>0</v>
      </c>
      <c r="AK1685" s="2">
        <f t="shared" si="25"/>
        <v>0</v>
      </c>
      <c r="AL1685" s="2">
        <f t="shared" si="26"/>
        <v>0</v>
      </c>
      <c r="AM1685" s="2">
        <f t="shared" si="27"/>
        <v>0</v>
      </c>
      <c r="AN1685" s="2">
        <f t="shared" si="28"/>
        <v>0</v>
      </c>
      <c r="AO1685" s="2">
        <f t="shared" si="29"/>
      </c>
      <c r="AP1685" s="2">
        <f t="shared" si="30"/>
      </c>
      <c r="AQ1685" s="2">
        <f t="shared" si="31"/>
      </c>
    </row>
    <row r="1686">
      <c r="A1686" s="43">
        <f t="shared" si="3"/>
      </c>
      <c r="B1686" s="44" t="n"/>
      <c r="C1686" s="45" t="n"/>
      <c r="D1686" s="46" t="n"/>
      <c r="E1686" s="47" t="n"/>
      <c r="F1686" s="47" t="n"/>
      <c r="G1686" s="48">
        <f t="shared" si="4"/>
      </c>
      <c r="H1686" s="43">
        <f t="shared" si="0"/>
      </c>
      <c r="I1686" s="43">
        <f t="shared" si="5"/>
      </c>
      <c r="J1686" s="43">
        <f t="shared" si="1"/>
      </c>
      <c r="K1686" s="49">
        <f t="shared" si="2"/>
      </c>
      <c r="L1686" s="45" t="n"/>
      <c r="M1686" s="45" t="n"/>
      <c r="N1686" s="45" t="n"/>
      <c r="O1686" s="45" t="n"/>
      <c r="P1686" s="50" t="n"/>
      <c r="R1686" s="2">
        <f t="shared" si="6"/>
        <v>0</v>
      </c>
      <c r="S1686" s="2">
        <f t="shared" si="7"/>
      </c>
      <c r="T1686" s="2">
        <f t="shared" si="8"/>
      </c>
      <c r="U1686" s="2">
        <f t="shared" si="9"/>
      </c>
      <c r="V1686" s="2">
        <f t="shared" si="10"/>
      </c>
      <c r="W1686" s="2">
        <f t="shared" si="11"/>
      </c>
      <c r="X1686" s="2">
        <f t="shared" si="12"/>
      </c>
      <c r="Y1686" s="2">
        <f t="shared" si="13"/>
        <v>0</v>
      </c>
      <c r="Z1686" s="2">
        <f t="shared" si="14"/>
      </c>
      <c r="AA1686" s="2">
        <f t="shared" si="15"/>
        <v>0</v>
      </c>
      <c r="AB1686" s="2">
        <f t="shared" si="16"/>
      </c>
      <c r="AC1686" s="2">
        <f t="shared" si="17"/>
      </c>
      <c r="AD1686" s="2">
        <f t="shared" si="18"/>
      </c>
      <c r="AE1686" s="2">
        <f t="shared" si="19"/>
      </c>
      <c r="AF1686" s="2">
        <f t="shared" si="20"/>
      </c>
      <c r="AG1686" s="2">
        <f t="shared" si="21"/>
      </c>
      <c r="AH1686" s="2">
        <f t="shared" si="22"/>
      </c>
      <c r="AI1686" s="2">
        <f t="shared" si="23"/>
      </c>
      <c r="AJ1686" s="2">
        <f t="shared" si="24"/>
        <v>0</v>
      </c>
      <c r="AK1686" s="2">
        <f t="shared" si="25"/>
        <v>0</v>
      </c>
      <c r="AL1686" s="2">
        <f t="shared" si="26"/>
        <v>0</v>
      </c>
      <c r="AM1686" s="2">
        <f t="shared" si="27"/>
        <v>0</v>
      </c>
      <c r="AN1686" s="2">
        <f t="shared" si="28"/>
        <v>0</v>
      </c>
      <c r="AO1686" s="2">
        <f t="shared" si="29"/>
      </c>
      <c r="AP1686" s="2">
        <f t="shared" si="30"/>
      </c>
      <c r="AQ1686" s="2">
        <f t="shared" si="31"/>
      </c>
    </row>
    <row r="1687">
      <c r="A1687" s="43">
        <f t="shared" si="3"/>
      </c>
      <c r="B1687" s="44" t="n"/>
      <c r="C1687" s="45" t="n"/>
      <c r="D1687" s="46" t="n"/>
      <c r="E1687" s="47" t="n"/>
      <c r="F1687" s="47" t="n"/>
      <c r="G1687" s="48">
        <f t="shared" si="4"/>
      </c>
      <c r="H1687" s="43">
        <f t="shared" si="0"/>
      </c>
      <c r="I1687" s="43">
        <f t="shared" si="5"/>
      </c>
      <c r="J1687" s="43">
        <f t="shared" si="1"/>
      </c>
      <c r="K1687" s="49">
        <f t="shared" si="2"/>
      </c>
      <c r="L1687" s="45" t="n"/>
      <c r="M1687" s="45" t="n"/>
      <c r="N1687" s="45" t="n"/>
      <c r="O1687" s="45" t="n"/>
      <c r="P1687" s="50" t="n"/>
      <c r="R1687" s="2">
        <f t="shared" si="6"/>
        <v>0</v>
      </c>
      <c r="S1687" s="2">
        <f t="shared" si="7"/>
      </c>
      <c r="T1687" s="2">
        <f t="shared" si="8"/>
      </c>
      <c r="U1687" s="2">
        <f t="shared" si="9"/>
      </c>
      <c r="V1687" s="2">
        <f t="shared" si="10"/>
      </c>
      <c r="W1687" s="2">
        <f t="shared" si="11"/>
      </c>
      <c r="X1687" s="2">
        <f t="shared" si="12"/>
      </c>
      <c r="Y1687" s="2">
        <f t="shared" si="13"/>
        <v>0</v>
      </c>
      <c r="Z1687" s="2">
        <f t="shared" si="14"/>
      </c>
      <c r="AA1687" s="2">
        <f t="shared" si="15"/>
        <v>0</v>
      </c>
      <c r="AB1687" s="2">
        <f t="shared" si="16"/>
      </c>
      <c r="AC1687" s="2">
        <f t="shared" si="17"/>
      </c>
      <c r="AD1687" s="2">
        <f t="shared" si="18"/>
      </c>
      <c r="AE1687" s="2">
        <f t="shared" si="19"/>
      </c>
      <c r="AF1687" s="2">
        <f t="shared" si="20"/>
      </c>
      <c r="AG1687" s="2">
        <f t="shared" si="21"/>
      </c>
      <c r="AH1687" s="2">
        <f t="shared" si="22"/>
      </c>
      <c r="AI1687" s="2">
        <f t="shared" si="23"/>
      </c>
      <c r="AJ1687" s="2">
        <f t="shared" si="24"/>
        <v>0</v>
      </c>
      <c r="AK1687" s="2">
        <f t="shared" si="25"/>
        <v>0</v>
      </c>
      <c r="AL1687" s="2">
        <f t="shared" si="26"/>
        <v>0</v>
      </c>
      <c r="AM1687" s="2">
        <f t="shared" si="27"/>
        <v>0</v>
      </c>
      <c r="AN1687" s="2">
        <f t="shared" si="28"/>
        <v>0</v>
      </c>
      <c r="AO1687" s="2">
        <f t="shared" si="29"/>
      </c>
      <c r="AP1687" s="2">
        <f t="shared" si="30"/>
      </c>
      <c r="AQ1687" s="2">
        <f t="shared" si="31"/>
      </c>
    </row>
    <row r="1688">
      <c r="A1688" s="43">
        <f t="shared" si="3"/>
      </c>
      <c r="B1688" s="44" t="n"/>
      <c r="C1688" s="45" t="n"/>
      <c r="D1688" s="46" t="n"/>
      <c r="E1688" s="47" t="n"/>
      <c r="F1688" s="47" t="n"/>
      <c r="G1688" s="48">
        <f t="shared" si="4"/>
      </c>
      <c r="H1688" s="43">
        <f t="shared" si="0"/>
      </c>
      <c r="I1688" s="43">
        <f t="shared" si="5"/>
      </c>
      <c r="J1688" s="43">
        <f t="shared" si="1"/>
      </c>
      <c r="K1688" s="49">
        <f t="shared" si="2"/>
      </c>
      <c r="L1688" s="45" t="n"/>
      <c r="M1688" s="45" t="n"/>
      <c r="N1688" s="45" t="n"/>
      <c r="O1688" s="45" t="n"/>
      <c r="P1688" s="50" t="n"/>
      <c r="R1688" s="2">
        <f t="shared" si="6"/>
        <v>0</v>
      </c>
      <c r="S1688" s="2">
        <f t="shared" si="7"/>
      </c>
      <c r="T1688" s="2">
        <f t="shared" si="8"/>
      </c>
      <c r="U1688" s="2">
        <f t="shared" si="9"/>
      </c>
      <c r="V1688" s="2">
        <f t="shared" si="10"/>
      </c>
      <c r="W1688" s="2">
        <f t="shared" si="11"/>
      </c>
      <c r="X1688" s="2">
        <f t="shared" si="12"/>
      </c>
      <c r="Y1688" s="2">
        <f t="shared" si="13"/>
        <v>0</v>
      </c>
      <c r="Z1688" s="2">
        <f t="shared" si="14"/>
      </c>
      <c r="AA1688" s="2">
        <f t="shared" si="15"/>
        <v>0</v>
      </c>
      <c r="AB1688" s="2">
        <f t="shared" si="16"/>
      </c>
      <c r="AC1688" s="2">
        <f t="shared" si="17"/>
      </c>
      <c r="AD1688" s="2">
        <f t="shared" si="18"/>
      </c>
      <c r="AE1688" s="2">
        <f t="shared" si="19"/>
      </c>
      <c r="AF1688" s="2">
        <f t="shared" si="20"/>
      </c>
      <c r="AG1688" s="2">
        <f t="shared" si="21"/>
      </c>
      <c r="AH1688" s="2">
        <f t="shared" si="22"/>
      </c>
      <c r="AI1688" s="2">
        <f t="shared" si="23"/>
      </c>
      <c r="AJ1688" s="2">
        <f t="shared" si="24"/>
        <v>0</v>
      </c>
      <c r="AK1688" s="2">
        <f t="shared" si="25"/>
        <v>0</v>
      </c>
      <c r="AL1688" s="2">
        <f t="shared" si="26"/>
        <v>0</v>
      </c>
      <c r="AM1688" s="2">
        <f t="shared" si="27"/>
        <v>0</v>
      </c>
      <c r="AN1688" s="2">
        <f t="shared" si="28"/>
        <v>0</v>
      </c>
      <c r="AO1688" s="2">
        <f t="shared" si="29"/>
      </c>
      <c r="AP1688" s="2">
        <f t="shared" si="30"/>
      </c>
      <c r="AQ1688" s="2">
        <f t="shared" si="31"/>
      </c>
    </row>
    <row r="1689">
      <c r="A1689" s="43">
        <f t="shared" si="3"/>
      </c>
      <c r="B1689" s="44" t="n"/>
      <c r="C1689" s="45" t="n"/>
      <c r="D1689" s="46" t="n"/>
      <c r="E1689" s="47" t="n"/>
      <c r="F1689" s="47" t="n"/>
      <c r="G1689" s="48">
        <f t="shared" si="4"/>
      </c>
      <c r="H1689" s="43">
        <f t="shared" si="0"/>
      </c>
      <c r="I1689" s="43">
        <f t="shared" si="5"/>
      </c>
      <c r="J1689" s="43">
        <f t="shared" si="1"/>
      </c>
      <c r="K1689" s="49">
        <f t="shared" si="2"/>
      </c>
      <c r="L1689" s="45" t="n"/>
      <c r="M1689" s="45" t="n"/>
      <c r="N1689" s="45" t="n"/>
      <c r="O1689" s="45" t="n"/>
      <c r="P1689" s="50" t="n"/>
      <c r="R1689" s="2">
        <f t="shared" si="6"/>
        <v>0</v>
      </c>
      <c r="S1689" s="2">
        <f t="shared" si="7"/>
      </c>
      <c r="T1689" s="2">
        <f t="shared" si="8"/>
      </c>
      <c r="U1689" s="2">
        <f t="shared" si="9"/>
      </c>
      <c r="V1689" s="2">
        <f t="shared" si="10"/>
      </c>
      <c r="W1689" s="2">
        <f t="shared" si="11"/>
      </c>
      <c r="X1689" s="2">
        <f t="shared" si="12"/>
      </c>
      <c r="Y1689" s="2">
        <f t="shared" si="13"/>
        <v>0</v>
      </c>
      <c r="Z1689" s="2">
        <f t="shared" si="14"/>
      </c>
      <c r="AA1689" s="2">
        <f t="shared" si="15"/>
        <v>0</v>
      </c>
      <c r="AB1689" s="2">
        <f t="shared" si="16"/>
      </c>
      <c r="AC1689" s="2">
        <f t="shared" si="17"/>
      </c>
      <c r="AD1689" s="2">
        <f t="shared" si="18"/>
      </c>
      <c r="AE1689" s="2">
        <f t="shared" si="19"/>
      </c>
      <c r="AF1689" s="2">
        <f t="shared" si="20"/>
      </c>
      <c r="AG1689" s="2">
        <f t="shared" si="21"/>
      </c>
      <c r="AH1689" s="2">
        <f t="shared" si="22"/>
      </c>
      <c r="AI1689" s="2">
        <f t="shared" si="23"/>
      </c>
      <c r="AJ1689" s="2">
        <f t="shared" si="24"/>
        <v>0</v>
      </c>
      <c r="AK1689" s="2">
        <f t="shared" si="25"/>
        <v>0</v>
      </c>
      <c r="AL1689" s="2">
        <f t="shared" si="26"/>
        <v>0</v>
      </c>
      <c r="AM1689" s="2">
        <f t="shared" si="27"/>
        <v>0</v>
      </c>
      <c r="AN1689" s="2">
        <f t="shared" si="28"/>
        <v>0</v>
      </c>
      <c r="AO1689" s="2">
        <f t="shared" si="29"/>
      </c>
      <c r="AP1689" s="2">
        <f t="shared" si="30"/>
      </c>
      <c r="AQ1689" s="2">
        <f t="shared" si="31"/>
      </c>
    </row>
    <row r="1690">
      <c r="A1690" s="43">
        <f t="shared" si="3"/>
      </c>
      <c r="B1690" s="44" t="n"/>
      <c r="C1690" s="45" t="n"/>
      <c r="D1690" s="46" t="n"/>
      <c r="E1690" s="47" t="n"/>
      <c r="F1690" s="47" t="n"/>
      <c r="G1690" s="48">
        <f t="shared" si="4"/>
      </c>
      <c r="H1690" s="43">
        <f t="shared" si="0"/>
      </c>
      <c r="I1690" s="43">
        <f t="shared" si="5"/>
      </c>
      <c r="J1690" s="43">
        <f t="shared" si="1"/>
      </c>
      <c r="K1690" s="49">
        <f t="shared" si="2"/>
      </c>
      <c r="L1690" s="45" t="n"/>
      <c r="M1690" s="45" t="n"/>
      <c r="N1690" s="45" t="n"/>
      <c r="O1690" s="45" t="n"/>
      <c r="P1690" s="50" t="n"/>
      <c r="R1690" s="2">
        <f t="shared" si="6"/>
        <v>0</v>
      </c>
      <c r="S1690" s="2">
        <f t="shared" si="7"/>
      </c>
      <c r="T1690" s="2">
        <f t="shared" si="8"/>
      </c>
      <c r="U1690" s="2">
        <f t="shared" si="9"/>
      </c>
      <c r="V1690" s="2">
        <f t="shared" si="10"/>
      </c>
      <c r="W1690" s="2">
        <f t="shared" si="11"/>
      </c>
      <c r="X1690" s="2">
        <f t="shared" si="12"/>
      </c>
      <c r="Y1690" s="2">
        <f t="shared" si="13"/>
        <v>0</v>
      </c>
      <c r="Z1690" s="2">
        <f t="shared" si="14"/>
      </c>
      <c r="AA1690" s="2">
        <f t="shared" si="15"/>
        <v>0</v>
      </c>
      <c r="AB1690" s="2">
        <f t="shared" si="16"/>
      </c>
      <c r="AC1690" s="2">
        <f t="shared" si="17"/>
      </c>
      <c r="AD1690" s="2">
        <f t="shared" si="18"/>
      </c>
      <c r="AE1690" s="2">
        <f t="shared" si="19"/>
      </c>
      <c r="AF1690" s="2">
        <f t="shared" si="20"/>
      </c>
      <c r="AG1690" s="2">
        <f t="shared" si="21"/>
      </c>
      <c r="AH1690" s="2">
        <f t="shared" si="22"/>
      </c>
      <c r="AI1690" s="2">
        <f t="shared" si="23"/>
      </c>
      <c r="AJ1690" s="2">
        <f t="shared" si="24"/>
        <v>0</v>
      </c>
      <c r="AK1690" s="2">
        <f t="shared" si="25"/>
        <v>0</v>
      </c>
      <c r="AL1690" s="2">
        <f t="shared" si="26"/>
        <v>0</v>
      </c>
      <c r="AM1690" s="2">
        <f t="shared" si="27"/>
        <v>0</v>
      </c>
      <c r="AN1690" s="2">
        <f t="shared" si="28"/>
        <v>0</v>
      </c>
      <c r="AO1690" s="2">
        <f t="shared" si="29"/>
      </c>
      <c r="AP1690" s="2">
        <f t="shared" si="30"/>
      </c>
      <c r="AQ1690" s="2">
        <f t="shared" si="31"/>
      </c>
    </row>
    <row r="1691">
      <c r="A1691" s="43">
        <f t="shared" si="3"/>
      </c>
      <c r="B1691" s="44" t="n"/>
      <c r="C1691" s="45" t="n"/>
      <c r="D1691" s="46" t="n"/>
      <c r="E1691" s="47" t="n"/>
      <c r="F1691" s="47" t="n"/>
      <c r="G1691" s="48">
        <f t="shared" si="4"/>
      </c>
      <c r="H1691" s="43">
        <f t="shared" si="0"/>
      </c>
      <c r="I1691" s="43">
        <f t="shared" si="5"/>
      </c>
      <c r="J1691" s="43">
        <f t="shared" si="1"/>
      </c>
      <c r="K1691" s="49">
        <f t="shared" si="2"/>
      </c>
      <c r="L1691" s="45" t="n"/>
      <c r="M1691" s="45" t="n"/>
      <c r="N1691" s="45" t="n"/>
      <c r="O1691" s="45" t="n"/>
      <c r="P1691" s="50" t="n"/>
      <c r="R1691" s="2">
        <f t="shared" si="6"/>
        <v>0</v>
      </c>
      <c r="S1691" s="2">
        <f t="shared" si="7"/>
      </c>
      <c r="T1691" s="2">
        <f t="shared" si="8"/>
      </c>
      <c r="U1691" s="2">
        <f t="shared" si="9"/>
      </c>
      <c r="V1691" s="2">
        <f t="shared" si="10"/>
      </c>
      <c r="W1691" s="2">
        <f t="shared" si="11"/>
      </c>
      <c r="X1691" s="2">
        <f t="shared" si="12"/>
      </c>
      <c r="Y1691" s="2">
        <f t="shared" si="13"/>
        <v>0</v>
      </c>
      <c r="Z1691" s="2">
        <f t="shared" si="14"/>
      </c>
      <c r="AA1691" s="2">
        <f t="shared" si="15"/>
        <v>0</v>
      </c>
      <c r="AB1691" s="2">
        <f t="shared" si="16"/>
      </c>
      <c r="AC1691" s="2">
        <f t="shared" si="17"/>
      </c>
      <c r="AD1691" s="2">
        <f t="shared" si="18"/>
      </c>
      <c r="AE1691" s="2">
        <f t="shared" si="19"/>
      </c>
      <c r="AF1691" s="2">
        <f t="shared" si="20"/>
      </c>
      <c r="AG1691" s="2">
        <f t="shared" si="21"/>
      </c>
      <c r="AH1691" s="2">
        <f t="shared" si="22"/>
      </c>
      <c r="AI1691" s="2">
        <f t="shared" si="23"/>
      </c>
      <c r="AJ1691" s="2">
        <f t="shared" si="24"/>
        <v>0</v>
      </c>
      <c r="AK1691" s="2">
        <f t="shared" si="25"/>
        <v>0</v>
      </c>
      <c r="AL1691" s="2">
        <f t="shared" si="26"/>
        <v>0</v>
      </c>
      <c r="AM1691" s="2">
        <f t="shared" si="27"/>
        <v>0</v>
      </c>
      <c r="AN1691" s="2">
        <f t="shared" si="28"/>
        <v>0</v>
      </c>
      <c r="AO1691" s="2">
        <f t="shared" si="29"/>
      </c>
      <c r="AP1691" s="2">
        <f t="shared" si="30"/>
      </c>
      <c r="AQ1691" s="2">
        <f t="shared" si="31"/>
      </c>
    </row>
    <row r="1692">
      <c r="A1692" s="43">
        <f t="shared" si="3"/>
      </c>
      <c r="B1692" s="44" t="n"/>
      <c r="C1692" s="45" t="n"/>
      <c r="D1692" s="46" t="n"/>
      <c r="E1692" s="47" t="n"/>
      <c r="F1692" s="47" t="n"/>
      <c r="G1692" s="48">
        <f t="shared" si="4"/>
      </c>
      <c r="H1692" s="43">
        <f t="shared" si="0"/>
      </c>
      <c r="I1692" s="43">
        <f t="shared" si="5"/>
      </c>
      <c r="J1692" s="43">
        <f t="shared" si="1"/>
      </c>
      <c r="K1692" s="49">
        <f t="shared" si="2"/>
      </c>
      <c r="L1692" s="45" t="n"/>
      <c r="M1692" s="45" t="n"/>
      <c r="N1692" s="45" t="n"/>
      <c r="O1692" s="45" t="n"/>
      <c r="P1692" s="50" t="n"/>
      <c r="R1692" s="2">
        <f t="shared" si="6"/>
        <v>0</v>
      </c>
      <c r="S1692" s="2">
        <f t="shared" si="7"/>
      </c>
      <c r="T1692" s="2">
        <f t="shared" si="8"/>
      </c>
      <c r="U1692" s="2">
        <f t="shared" si="9"/>
      </c>
      <c r="V1692" s="2">
        <f t="shared" si="10"/>
      </c>
      <c r="W1692" s="2">
        <f t="shared" si="11"/>
      </c>
      <c r="X1692" s="2">
        <f t="shared" si="12"/>
      </c>
      <c r="Y1692" s="2">
        <f t="shared" si="13"/>
        <v>0</v>
      </c>
      <c r="Z1692" s="2">
        <f t="shared" si="14"/>
      </c>
      <c r="AA1692" s="2">
        <f t="shared" si="15"/>
        <v>0</v>
      </c>
      <c r="AB1692" s="2">
        <f t="shared" si="16"/>
      </c>
      <c r="AC1692" s="2">
        <f t="shared" si="17"/>
      </c>
      <c r="AD1692" s="2">
        <f t="shared" si="18"/>
      </c>
      <c r="AE1692" s="2">
        <f t="shared" si="19"/>
      </c>
      <c r="AF1692" s="2">
        <f t="shared" si="20"/>
      </c>
      <c r="AG1692" s="2">
        <f t="shared" si="21"/>
      </c>
      <c r="AH1692" s="2">
        <f t="shared" si="22"/>
      </c>
      <c r="AI1692" s="2">
        <f t="shared" si="23"/>
      </c>
      <c r="AJ1692" s="2">
        <f t="shared" si="24"/>
        <v>0</v>
      </c>
      <c r="AK1692" s="2">
        <f t="shared" si="25"/>
        <v>0</v>
      </c>
      <c r="AL1692" s="2">
        <f t="shared" si="26"/>
        <v>0</v>
      </c>
      <c r="AM1692" s="2">
        <f t="shared" si="27"/>
        <v>0</v>
      </c>
      <c r="AN1692" s="2">
        <f t="shared" si="28"/>
        <v>0</v>
      </c>
      <c r="AO1692" s="2">
        <f t="shared" si="29"/>
      </c>
      <c r="AP1692" s="2">
        <f t="shared" si="30"/>
      </c>
      <c r="AQ1692" s="2">
        <f t="shared" si="31"/>
      </c>
    </row>
    <row r="1693">
      <c r="A1693" s="43">
        <f t="shared" si="3"/>
      </c>
      <c r="B1693" s="44" t="n"/>
      <c r="C1693" s="45" t="n"/>
      <c r="D1693" s="46" t="n"/>
      <c r="E1693" s="47" t="n"/>
      <c r="F1693" s="47" t="n"/>
      <c r="G1693" s="48">
        <f t="shared" si="4"/>
      </c>
      <c r="H1693" s="43">
        <f t="shared" si="0"/>
      </c>
      <c r="I1693" s="43">
        <f t="shared" si="5"/>
      </c>
      <c r="J1693" s="43">
        <f t="shared" si="1"/>
      </c>
      <c r="K1693" s="49">
        <f t="shared" si="2"/>
      </c>
      <c r="L1693" s="45" t="n"/>
      <c r="M1693" s="45" t="n"/>
      <c r="N1693" s="45" t="n"/>
      <c r="O1693" s="45" t="n"/>
      <c r="P1693" s="50" t="n"/>
      <c r="R1693" s="2">
        <f t="shared" si="6"/>
        <v>0</v>
      </c>
      <c r="S1693" s="2">
        <f t="shared" si="7"/>
      </c>
      <c r="T1693" s="2">
        <f t="shared" si="8"/>
      </c>
      <c r="U1693" s="2">
        <f t="shared" si="9"/>
      </c>
      <c r="V1693" s="2">
        <f t="shared" si="10"/>
      </c>
      <c r="W1693" s="2">
        <f t="shared" si="11"/>
      </c>
      <c r="X1693" s="2">
        <f t="shared" si="12"/>
      </c>
      <c r="Y1693" s="2">
        <f t="shared" si="13"/>
        <v>0</v>
      </c>
      <c r="Z1693" s="2">
        <f t="shared" si="14"/>
      </c>
      <c r="AA1693" s="2">
        <f t="shared" si="15"/>
        <v>0</v>
      </c>
      <c r="AB1693" s="2">
        <f t="shared" si="16"/>
      </c>
      <c r="AC1693" s="2">
        <f t="shared" si="17"/>
      </c>
      <c r="AD1693" s="2">
        <f t="shared" si="18"/>
      </c>
      <c r="AE1693" s="2">
        <f t="shared" si="19"/>
      </c>
      <c r="AF1693" s="2">
        <f t="shared" si="20"/>
      </c>
      <c r="AG1693" s="2">
        <f t="shared" si="21"/>
      </c>
      <c r="AH1693" s="2">
        <f t="shared" si="22"/>
      </c>
      <c r="AI1693" s="2">
        <f t="shared" si="23"/>
      </c>
      <c r="AJ1693" s="2">
        <f t="shared" si="24"/>
        <v>0</v>
      </c>
      <c r="AK1693" s="2">
        <f t="shared" si="25"/>
        <v>0</v>
      </c>
      <c r="AL1693" s="2">
        <f t="shared" si="26"/>
        <v>0</v>
      </c>
      <c r="AM1693" s="2">
        <f t="shared" si="27"/>
        <v>0</v>
      </c>
      <c r="AN1693" s="2">
        <f t="shared" si="28"/>
        <v>0</v>
      </c>
      <c r="AO1693" s="2">
        <f t="shared" si="29"/>
      </c>
      <c r="AP1693" s="2">
        <f t="shared" si="30"/>
      </c>
      <c r="AQ1693" s="2">
        <f t="shared" si="31"/>
      </c>
    </row>
    <row r="1694">
      <c r="A1694" s="43">
        <f t="shared" si="3"/>
      </c>
      <c r="B1694" s="44" t="n"/>
      <c r="C1694" s="45" t="n"/>
      <c r="D1694" s="46" t="n"/>
      <c r="E1694" s="47" t="n"/>
      <c r="F1694" s="47" t="n"/>
      <c r="G1694" s="48">
        <f t="shared" si="4"/>
      </c>
      <c r="H1694" s="43">
        <f t="shared" si="0"/>
      </c>
      <c r="I1694" s="43">
        <f t="shared" si="5"/>
      </c>
      <c r="J1694" s="43">
        <f t="shared" si="1"/>
      </c>
      <c r="K1694" s="49">
        <f t="shared" si="2"/>
      </c>
      <c r="L1694" s="45" t="n"/>
      <c r="M1694" s="45" t="n"/>
      <c r="N1694" s="45" t="n"/>
      <c r="O1694" s="45" t="n"/>
      <c r="P1694" s="50" t="n"/>
      <c r="R1694" s="2">
        <f t="shared" si="6"/>
        <v>0</v>
      </c>
      <c r="S1694" s="2">
        <f t="shared" si="7"/>
      </c>
      <c r="T1694" s="2">
        <f t="shared" si="8"/>
      </c>
      <c r="U1694" s="2">
        <f t="shared" si="9"/>
      </c>
      <c r="V1694" s="2">
        <f t="shared" si="10"/>
      </c>
      <c r="W1694" s="2">
        <f t="shared" si="11"/>
      </c>
      <c r="X1694" s="2">
        <f t="shared" si="12"/>
      </c>
      <c r="Y1694" s="2">
        <f t="shared" si="13"/>
        <v>0</v>
      </c>
      <c r="Z1694" s="2">
        <f t="shared" si="14"/>
      </c>
      <c r="AA1694" s="2">
        <f t="shared" si="15"/>
        <v>0</v>
      </c>
      <c r="AB1694" s="2">
        <f t="shared" si="16"/>
      </c>
      <c r="AC1694" s="2">
        <f t="shared" si="17"/>
      </c>
      <c r="AD1694" s="2">
        <f t="shared" si="18"/>
      </c>
      <c r="AE1694" s="2">
        <f t="shared" si="19"/>
      </c>
      <c r="AF1694" s="2">
        <f t="shared" si="20"/>
      </c>
      <c r="AG1694" s="2">
        <f t="shared" si="21"/>
      </c>
      <c r="AH1694" s="2">
        <f t="shared" si="22"/>
      </c>
      <c r="AI1694" s="2">
        <f t="shared" si="23"/>
      </c>
      <c r="AJ1694" s="2">
        <f t="shared" si="24"/>
        <v>0</v>
      </c>
      <c r="AK1694" s="2">
        <f t="shared" si="25"/>
        <v>0</v>
      </c>
      <c r="AL1694" s="2">
        <f t="shared" si="26"/>
        <v>0</v>
      </c>
      <c r="AM1694" s="2">
        <f t="shared" si="27"/>
        <v>0</v>
      </c>
      <c r="AN1694" s="2">
        <f t="shared" si="28"/>
        <v>0</v>
      </c>
      <c r="AO1694" s="2">
        <f t="shared" si="29"/>
      </c>
      <c r="AP1694" s="2">
        <f t="shared" si="30"/>
      </c>
      <c r="AQ1694" s="2">
        <f t="shared" si="31"/>
      </c>
    </row>
    <row r="1695">
      <c r="A1695" s="43">
        <f t="shared" si="3"/>
      </c>
      <c r="B1695" s="44" t="n"/>
      <c r="C1695" s="45" t="n"/>
      <c r="D1695" s="46" t="n"/>
      <c r="E1695" s="47" t="n"/>
      <c r="F1695" s="47" t="n"/>
      <c r="G1695" s="48">
        <f t="shared" si="4"/>
      </c>
      <c r="H1695" s="43">
        <f t="shared" si="0"/>
      </c>
      <c r="I1695" s="43">
        <f t="shared" si="5"/>
      </c>
      <c r="J1695" s="43">
        <f t="shared" si="1"/>
      </c>
      <c r="K1695" s="49">
        <f t="shared" si="2"/>
      </c>
      <c r="L1695" s="45" t="n"/>
      <c r="M1695" s="45" t="n"/>
      <c r="N1695" s="45" t="n"/>
      <c r="O1695" s="45" t="n"/>
      <c r="P1695" s="50" t="n"/>
      <c r="R1695" s="2">
        <f t="shared" si="6"/>
        <v>0</v>
      </c>
      <c r="S1695" s="2">
        <f t="shared" si="7"/>
      </c>
      <c r="T1695" s="2">
        <f t="shared" si="8"/>
      </c>
      <c r="U1695" s="2">
        <f t="shared" si="9"/>
      </c>
      <c r="V1695" s="2">
        <f t="shared" si="10"/>
      </c>
      <c r="W1695" s="2">
        <f t="shared" si="11"/>
      </c>
      <c r="X1695" s="2">
        <f t="shared" si="12"/>
      </c>
      <c r="Y1695" s="2">
        <f t="shared" si="13"/>
        <v>0</v>
      </c>
      <c r="Z1695" s="2">
        <f t="shared" si="14"/>
      </c>
      <c r="AA1695" s="2">
        <f t="shared" si="15"/>
        <v>0</v>
      </c>
      <c r="AB1695" s="2">
        <f t="shared" si="16"/>
      </c>
      <c r="AC1695" s="2">
        <f t="shared" si="17"/>
      </c>
      <c r="AD1695" s="2">
        <f t="shared" si="18"/>
      </c>
      <c r="AE1695" s="2">
        <f t="shared" si="19"/>
      </c>
      <c r="AF1695" s="2">
        <f t="shared" si="20"/>
      </c>
      <c r="AG1695" s="2">
        <f t="shared" si="21"/>
      </c>
      <c r="AH1695" s="2">
        <f t="shared" si="22"/>
      </c>
      <c r="AI1695" s="2">
        <f t="shared" si="23"/>
      </c>
      <c r="AJ1695" s="2">
        <f t="shared" si="24"/>
        <v>0</v>
      </c>
      <c r="AK1695" s="2">
        <f t="shared" si="25"/>
        <v>0</v>
      </c>
      <c r="AL1695" s="2">
        <f t="shared" si="26"/>
        <v>0</v>
      </c>
      <c r="AM1695" s="2">
        <f t="shared" si="27"/>
        <v>0</v>
      </c>
      <c r="AN1695" s="2">
        <f t="shared" si="28"/>
        <v>0</v>
      </c>
      <c r="AO1695" s="2">
        <f t="shared" si="29"/>
      </c>
      <c r="AP1695" s="2">
        <f t="shared" si="30"/>
      </c>
      <c r="AQ1695" s="2">
        <f t="shared" si="31"/>
      </c>
    </row>
    <row r="1696">
      <c r="A1696" s="43">
        <f t="shared" si="3"/>
      </c>
      <c r="B1696" s="44" t="n"/>
      <c r="C1696" s="45" t="n"/>
      <c r="D1696" s="46" t="n"/>
      <c r="E1696" s="47" t="n"/>
      <c r="F1696" s="47" t="n"/>
      <c r="G1696" s="48">
        <f t="shared" si="4"/>
      </c>
      <c r="H1696" s="43">
        <f t="shared" si="0"/>
      </c>
      <c r="I1696" s="43">
        <f t="shared" si="5"/>
      </c>
      <c r="J1696" s="43">
        <f t="shared" si="1"/>
      </c>
      <c r="K1696" s="49">
        <f t="shared" si="2"/>
      </c>
      <c r="L1696" s="45" t="n"/>
      <c r="M1696" s="45" t="n"/>
      <c r="N1696" s="45" t="n"/>
      <c r="O1696" s="45" t="n"/>
      <c r="P1696" s="50" t="n"/>
      <c r="R1696" s="2">
        <f t="shared" si="6"/>
        <v>0</v>
      </c>
      <c r="S1696" s="2">
        <f t="shared" si="7"/>
      </c>
      <c r="T1696" s="2">
        <f t="shared" si="8"/>
      </c>
      <c r="U1696" s="2">
        <f t="shared" si="9"/>
      </c>
      <c r="V1696" s="2">
        <f t="shared" si="10"/>
      </c>
      <c r="W1696" s="2">
        <f t="shared" si="11"/>
      </c>
      <c r="X1696" s="2">
        <f t="shared" si="12"/>
      </c>
      <c r="Y1696" s="2">
        <f t="shared" si="13"/>
        <v>0</v>
      </c>
      <c r="Z1696" s="2">
        <f t="shared" si="14"/>
      </c>
      <c r="AA1696" s="2">
        <f t="shared" si="15"/>
        <v>0</v>
      </c>
      <c r="AB1696" s="2">
        <f t="shared" si="16"/>
      </c>
      <c r="AC1696" s="2">
        <f t="shared" si="17"/>
      </c>
      <c r="AD1696" s="2">
        <f t="shared" si="18"/>
      </c>
      <c r="AE1696" s="2">
        <f t="shared" si="19"/>
      </c>
      <c r="AF1696" s="2">
        <f t="shared" si="20"/>
      </c>
      <c r="AG1696" s="2">
        <f t="shared" si="21"/>
      </c>
      <c r="AH1696" s="2">
        <f t="shared" si="22"/>
      </c>
      <c r="AI1696" s="2">
        <f t="shared" si="23"/>
      </c>
      <c r="AJ1696" s="2">
        <f t="shared" si="24"/>
        <v>0</v>
      </c>
      <c r="AK1696" s="2">
        <f t="shared" si="25"/>
        <v>0</v>
      </c>
      <c r="AL1696" s="2">
        <f t="shared" si="26"/>
        <v>0</v>
      </c>
      <c r="AM1696" s="2">
        <f t="shared" si="27"/>
        <v>0</v>
      </c>
      <c r="AN1696" s="2">
        <f t="shared" si="28"/>
        <v>0</v>
      </c>
      <c r="AO1696" s="2">
        <f t="shared" si="29"/>
      </c>
      <c r="AP1696" s="2">
        <f t="shared" si="30"/>
      </c>
      <c r="AQ1696" s="2">
        <f t="shared" si="31"/>
      </c>
    </row>
    <row r="1697">
      <c r="A1697" s="43">
        <f t="shared" si="3"/>
      </c>
      <c r="B1697" s="44" t="n"/>
      <c r="C1697" s="45" t="n"/>
      <c r="D1697" s="46" t="n"/>
      <c r="E1697" s="47" t="n"/>
      <c r="F1697" s="47" t="n"/>
      <c r="G1697" s="48">
        <f t="shared" si="4"/>
      </c>
      <c r="H1697" s="43">
        <f t="shared" si="0"/>
      </c>
      <c r="I1697" s="43">
        <f t="shared" si="5"/>
      </c>
      <c r="J1697" s="43">
        <f t="shared" si="1"/>
      </c>
      <c r="K1697" s="49">
        <f t="shared" si="2"/>
      </c>
      <c r="L1697" s="45" t="n"/>
      <c r="M1697" s="45" t="n"/>
      <c r="N1697" s="45" t="n"/>
      <c r="O1697" s="45" t="n"/>
      <c r="P1697" s="50" t="n"/>
      <c r="R1697" s="2">
        <f t="shared" si="6"/>
        <v>0</v>
      </c>
      <c r="S1697" s="2">
        <f t="shared" si="7"/>
      </c>
      <c r="T1697" s="2">
        <f t="shared" si="8"/>
      </c>
      <c r="U1697" s="2">
        <f t="shared" si="9"/>
      </c>
      <c r="V1697" s="2">
        <f t="shared" si="10"/>
      </c>
      <c r="W1697" s="2">
        <f t="shared" si="11"/>
      </c>
      <c r="X1697" s="2">
        <f t="shared" si="12"/>
      </c>
      <c r="Y1697" s="2">
        <f t="shared" si="13"/>
        <v>0</v>
      </c>
      <c r="Z1697" s="2">
        <f t="shared" si="14"/>
      </c>
      <c r="AA1697" s="2">
        <f t="shared" si="15"/>
        <v>0</v>
      </c>
      <c r="AB1697" s="2">
        <f t="shared" si="16"/>
      </c>
      <c r="AC1697" s="2">
        <f t="shared" si="17"/>
      </c>
      <c r="AD1697" s="2">
        <f t="shared" si="18"/>
      </c>
      <c r="AE1697" s="2">
        <f t="shared" si="19"/>
      </c>
      <c r="AF1697" s="2">
        <f t="shared" si="20"/>
      </c>
      <c r="AG1697" s="2">
        <f t="shared" si="21"/>
      </c>
      <c r="AH1697" s="2">
        <f t="shared" si="22"/>
      </c>
      <c r="AI1697" s="2">
        <f t="shared" si="23"/>
      </c>
      <c r="AJ1697" s="2">
        <f t="shared" si="24"/>
        <v>0</v>
      </c>
      <c r="AK1697" s="2">
        <f t="shared" si="25"/>
        <v>0</v>
      </c>
      <c r="AL1697" s="2">
        <f t="shared" si="26"/>
        <v>0</v>
      </c>
      <c r="AM1697" s="2">
        <f t="shared" si="27"/>
        <v>0</v>
      </c>
      <c r="AN1697" s="2">
        <f t="shared" si="28"/>
        <v>0</v>
      </c>
      <c r="AO1697" s="2">
        <f t="shared" si="29"/>
      </c>
      <c r="AP1697" s="2">
        <f t="shared" si="30"/>
      </c>
      <c r="AQ1697" s="2">
        <f t="shared" si="31"/>
      </c>
    </row>
    <row r="1698">
      <c r="A1698" s="43">
        <f t="shared" si="3"/>
      </c>
      <c r="B1698" s="44" t="n"/>
      <c r="C1698" s="45" t="n"/>
      <c r="D1698" s="46" t="n"/>
      <c r="E1698" s="47" t="n"/>
      <c r="F1698" s="47" t="n"/>
      <c r="G1698" s="48">
        <f t="shared" si="4"/>
      </c>
      <c r="H1698" s="43">
        <f t="shared" si="0"/>
      </c>
      <c r="I1698" s="43">
        <f t="shared" si="5"/>
      </c>
      <c r="J1698" s="43">
        <f t="shared" si="1"/>
      </c>
      <c r="K1698" s="49">
        <f t="shared" si="2"/>
      </c>
      <c r="L1698" s="45" t="n"/>
      <c r="M1698" s="45" t="n"/>
      <c r="N1698" s="45" t="n"/>
      <c r="O1698" s="45" t="n"/>
      <c r="P1698" s="50" t="n"/>
      <c r="R1698" s="2">
        <f t="shared" si="6"/>
        <v>0</v>
      </c>
      <c r="S1698" s="2">
        <f t="shared" si="7"/>
      </c>
      <c r="T1698" s="2">
        <f t="shared" si="8"/>
      </c>
      <c r="U1698" s="2">
        <f t="shared" si="9"/>
      </c>
      <c r="V1698" s="2">
        <f t="shared" si="10"/>
      </c>
      <c r="W1698" s="2">
        <f t="shared" si="11"/>
      </c>
      <c r="X1698" s="2">
        <f t="shared" si="12"/>
      </c>
      <c r="Y1698" s="2">
        <f t="shared" si="13"/>
        <v>0</v>
      </c>
      <c r="Z1698" s="2">
        <f t="shared" si="14"/>
      </c>
      <c r="AA1698" s="2">
        <f t="shared" si="15"/>
        <v>0</v>
      </c>
      <c r="AB1698" s="2">
        <f t="shared" si="16"/>
      </c>
      <c r="AC1698" s="2">
        <f t="shared" si="17"/>
      </c>
      <c r="AD1698" s="2">
        <f t="shared" si="18"/>
      </c>
      <c r="AE1698" s="2">
        <f t="shared" si="19"/>
      </c>
      <c r="AF1698" s="2">
        <f t="shared" si="20"/>
      </c>
      <c r="AG1698" s="2">
        <f t="shared" si="21"/>
      </c>
      <c r="AH1698" s="2">
        <f t="shared" si="22"/>
      </c>
      <c r="AI1698" s="2">
        <f t="shared" si="23"/>
      </c>
      <c r="AJ1698" s="2">
        <f t="shared" si="24"/>
        <v>0</v>
      </c>
      <c r="AK1698" s="2">
        <f t="shared" si="25"/>
        <v>0</v>
      </c>
      <c r="AL1698" s="2">
        <f t="shared" si="26"/>
        <v>0</v>
      </c>
      <c r="AM1698" s="2">
        <f t="shared" si="27"/>
        <v>0</v>
      </c>
      <c r="AN1698" s="2">
        <f t="shared" si="28"/>
        <v>0</v>
      </c>
      <c r="AO1698" s="2">
        <f t="shared" si="29"/>
      </c>
      <c r="AP1698" s="2">
        <f t="shared" si="30"/>
      </c>
      <c r="AQ1698" s="2">
        <f t="shared" si="31"/>
      </c>
    </row>
    <row r="1699">
      <c r="A1699" s="43">
        <f t="shared" si="3"/>
      </c>
      <c r="B1699" s="44" t="n"/>
      <c r="C1699" s="45" t="n"/>
      <c r="D1699" s="46" t="n"/>
      <c r="E1699" s="47" t="n"/>
      <c r="F1699" s="47" t="n"/>
      <c r="G1699" s="48">
        <f t="shared" si="4"/>
      </c>
      <c r="H1699" s="43">
        <f t="shared" si="0"/>
      </c>
      <c r="I1699" s="43">
        <f t="shared" si="5"/>
      </c>
      <c r="J1699" s="43">
        <f t="shared" si="1"/>
      </c>
      <c r="K1699" s="49">
        <f t="shared" si="2"/>
      </c>
      <c r="L1699" s="45" t="n"/>
      <c r="M1699" s="45" t="n"/>
      <c r="N1699" s="45" t="n"/>
      <c r="O1699" s="45" t="n"/>
      <c r="P1699" s="50" t="n"/>
      <c r="R1699" s="2">
        <f t="shared" si="6"/>
        <v>0</v>
      </c>
      <c r="S1699" s="2">
        <f t="shared" si="7"/>
      </c>
      <c r="T1699" s="2">
        <f t="shared" si="8"/>
      </c>
      <c r="U1699" s="2">
        <f t="shared" si="9"/>
      </c>
      <c r="V1699" s="2">
        <f t="shared" si="10"/>
      </c>
      <c r="W1699" s="2">
        <f t="shared" si="11"/>
      </c>
      <c r="X1699" s="2">
        <f t="shared" si="12"/>
      </c>
      <c r="Y1699" s="2">
        <f t="shared" si="13"/>
        <v>0</v>
      </c>
      <c r="Z1699" s="2">
        <f t="shared" si="14"/>
      </c>
      <c r="AA1699" s="2">
        <f t="shared" si="15"/>
        <v>0</v>
      </c>
      <c r="AB1699" s="2">
        <f t="shared" si="16"/>
      </c>
      <c r="AC1699" s="2">
        <f t="shared" si="17"/>
      </c>
      <c r="AD1699" s="2">
        <f t="shared" si="18"/>
      </c>
      <c r="AE1699" s="2">
        <f t="shared" si="19"/>
      </c>
      <c r="AF1699" s="2">
        <f t="shared" si="20"/>
      </c>
      <c r="AG1699" s="2">
        <f t="shared" si="21"/>
      </c>
      <c r="AH1699" s="2">
        <f t="shared" si="22"/>
      </c>
      <c r="AI1699" s="2">
        <f t="shared" si="23"/>
      </c>
      <c r="AJ1699" s="2">
        <f t="shared" si="24"/>
        <v>0</v>
      </c>
      <c r="AK1699" s="2">
        <f t="shared" si="25"/>
        <v>0</v>
      </c>
      <c r="AL1699" s="2">
        <f t="shared" si="26"/>
        <v>0</v>
      </c>
      <c r="AM1699" s="2">
        <f t="shared" si="27"/>
        <v>0</v>
      </c>
      <c r="AN1699" s="2">
        <f t="shared" si="28"/>
        <v>0</v>
      </c>
      <c r="AO1699" s="2">
        <f t="shared" si="29"/>
      </c>
      <c r="AP1699" s="2">
        <f t="shared" si="30"/>
      </c>
      <c r="AQ1699" s="2">
        <f t="shared" si="31"/>
      </c>
    </row>
    <row r="1700">
      <c r="A1700" s="43">
        <f t="shared" si="3"/>
      </c>
      <c r="B1700" s="44" t="n"/>
      <c r="C1700" s="45" t="n"/>
      <c r="D1700" s="46" t="n"/>
      <c r="E1700" s="47" t="n"/>
      <c r="F1700" s="47" t="n"/>
      <c r="G1700" s="48">
        <f t="shared" si="4"/>
      </c>
      <c r="H1700" s="43">
        <f t="shared" si="0"/>
      </c>
      <c r="I1700" s="43">
        <f t="shared" si="5"/>
      </c>
      <c r="J1700" s="43">
        <f t="shared" si="1"/>
      </c>
      <c r="K1700" s="49">
        <f t="shared" si="2"/>
      </c>
      <c r="L1700" s="45" t="n"/>
      <c r="M1700" s="45" t="n"/>
      <c r="N1700" s="45" t="n"/>
      <c r="O1700" s="45" t="n"/>
      <c r="P1700" s="50" t="n"/>
      <c r="R1700" s="2">
        <f t="shared" si="6"/>
        <v>0</v>
      </c>
      <c r="S1700" s="2">
        <f t="shared" si="7"/>
      </c>
      <c r="T1700" s="2">
        <f t="shared" si="8"/>
      </c>
      <c r="U1700" s="2">
        <f t="shared" si="9"/>
      </c>
      <c r="V1700" s="2">
        <f t="shared" si="10"/>
      </c>
      <c r="W1700" s="2">
        <f t="shared" si="11"/>
      </c>
      <c r="X1700" s="2">
        <f t="shared" si="12"/>
      </c>
      <c r="Y1700" s="2">
        <f t="shared" si="13"/>
        <v>0</v>
      </c>
      <c r="Z1700" s="2">
        <f t="shared" si="14"/>
      </c>
      <c r="AA1700" s="2">
        <f t="shared" si="15"/>
        <v>0</v>
      </c>
      <c r="AB1700" s="2">
        <f t="shared" si="16"/>
      </c>
      <c r="AC1700" s="2">
        <f t="shared" si="17"/>
      </c>
      <c r="AD1700" s="2">
        <f t="shared" si="18"/>
      </c>
      <c r="AE1700" s="2">
        <f t="shared" si="19"/>
      </c>
      <c r="AF1700" s="2">
        <f t="shared" si="20"/>
      </c>
      <c r="AG1700" s="2">
        <f t="shared" si="21"/>
      </c>
      <c r="AH1700" s="2">
        <f t="shared" si="22"/>
      </c>
      <c r="AI1700" s="2">
        <f t="shared" si="23"/>
      </c>
      <c r="AJ1700" s="2">
        <f t="shared" si="24"/>
        <v>0</v>
      </c>
      <c r="AK1700" s="2">
        <f t="shared" si="25"/>
        <v>0</v>
      </c>
      <c r="AL1700" s="2">
        <f t="shared" si="26"/>
        <v>0</v>
      </c>
      <c r="AM1700" s="2">
        <f t="shared" si="27"/>
        <v>0</v>
      </c>
      <c r="AN1700" s="2">
        <f t="shared" si="28"/>
        <v>0</v>
      </c>
      <c r="AO1700" s="2">
        <f t="shared" si="29"/>
      </c>
      <c r="AP1700" s="2">
        <f t="shared" si="30"/>
      </c>
      <c r="AQ1700" s="2">
        <f t="shared" si="31"/>
      </c>
    </row>
    <row r="1701">
      <c r="A1701" s="43">
        <f t="shared" si="3"/>
      </c>
      <c r="B1701" s="44" t="n"/>
      <c r="C1701" s="45" t="n"/>
      <c r="D1701" s="46" t="n"/>
      <c r="E1701" s="47" t="n"/>
      <c r="F1701" s="47" t="n"/>
      <c r="G1701" s="48">
        <f t="shared" si="4"/>
      </c>
      <c r="H1701" s="43">
        <f t="shared" si="0"/>
      </c>
      <c r="I1701" s="43">
        <f t="shared" si="5"/>
      </c>
      <c r="J1701" s="43">
        <f t="shared" si="1"/>
      </c>
      <c r="K1701" s="49">
        <f t="shared" si="2"/>
      </c>
      <c r="L1701" s="45" t="n"/>
      <c r="M1701" s="45" t="n"/>
      <c r="N1701" s="45" t="n"/>
      <c r="O1701" s="45" t="n"/>
      <c r="P1701" s="50" t="n"/>
      <c r="R1701" s="2">
        <f t="shared" si="6"/>
        <v>0</v>
      </c>
      <c r="S1701" s="2">
        <f t="shared" si="7"/>
      </c>
      <c r="T1701" s="2">
        <f t="shared" si="8"/>
      </c>
      <c r="U1701" s="2">
        <f t="shared" si="9"/>
      </c>
      <c r="V1701" s="2">
        <f t="shared" si="10"/>
      </c>
      <c r="W1701" s="2">
        <f t="shared" si="11"/>
      </c>
      <c r="X1701" s="2">
        <f t="shared" si="12"/>
      </c>
      <c r="Y1701" s="2">
        <f t="shared" si="13"/>
        <v>0</v>
      </c>
      <c r="Z1701" s="2">
        <f t="shared" si="14"/>
      </c>
      <c r="AA1701" s="2">
        <f t="shared" si="15"/>
        <v>0</v>
      </c>
      <c r="AB1701" s="2">
        <f t="shared" si="16"/>
      </c>
      <c r="AC1701" s="2">
        <f t="shared" si="17"/>
      </c>
      <c r="AD1701" s="2">
        <f t="shared" si="18"/>
      </c>
      <c r="AE1701" s="2">
        <f t="shared" si="19"/>
      </c>
      <c r="AF1701" s="2">
        <f t="shared" si="20"/>
      </c>
      <c r="AG1701" s="2">
        <f t="shared" si="21"/>
      </c>
      <c r="AH1701" s="2">
        <f t="shared" si="22"/>
      </c>
      <c r="AI1701" s="2">
        <f t="shared" si="23"/>
      </c>
      <c r="AJ1701" s="2">
        <f t="shared" si="24"/>
        <v>0</v>
      </c>
      <c r="AK1701" s="2">
        <f t="shared" si="25"/>
        <v>0</v>
      </c>
      <c r="AL1701" s="2">
        <f t="shared" si="26"/>
        <v>0</v>
      </c>
      <c r="AM1701" s="2">
        <f t="shared" si="27"/>
        <v>0</v>
      </c>
      <c r="AN1701" s="2">
        <f t="shared" si="28"/>
        <v>0</v>
      </c>
      <c r="AO1701" s="2">
        <f t="shared" si="29"/>
      </c>
      <c r="AP1701" s="2">
        <f t="shared" si="30"/>
      </c>
      <c r="AQ1701" s="2">
        <f t="shared" si="31"/>
      </c>
    </row>
    <row r="1702">
      <c r="A1702" s="43">
        <f t="shared" si="3"/>
      </c>
      <c r="B1702" s="44" t="n"/>
      <c r="C1702" s="45" t="n"/>
      <c r="D1702" s="46" t="n"/>
      <c r="E1702" s="47" t="n"/>
      <c r="F1702" s="47" t="n"/>
      <c r="G1702" s="48">
        <f t="shared" si="4"/>
      </c>
      <c r="H1702" s="43">
        <f t="shared" si="0"/>
      </c>
      <c r="I1702" s="43">
        <f t="shared" si="5"/>
      </c>
      <c r="J1702" s="43">
        <f t="shared" si="1"/>
      </c>
      <c r="K1702" s="49">
        <f t="shared" si="2"/>
      </c>
      <c r="L1702" s="45" t="n"/>
      <c r="M1702" s="45" t="n"/>
      <c r="N1702" s="45" t="n"/>
      <c r="O1702" s="45" t="n"/>
      <c r="P1702" s="50" t="n"/>
      <c r="R1702" s="2">
        <f t="shared" si="6"/>
        <v>0</v>
      </c>
      <c r="S1702" s="2">
        <f t="shared" si="7"/>
      </c>
      <c r="T1702" s="2">
        <f t="shared" si="8"/>
      </c>
      <c r="U1702" s="2">
        <f t="shared" si="9"/>
      </c>
      <c r="V1702" s="2">
        <f t="shared" si="10"/>
      </c>
      <c r="W1702" s="2">
        <f t="shared" si="11"/>
      </c>
      <c r="X1702" s="2">
        <f t="shared" si="12"/>
      </c>
      <c r="Y1702" s="2">
        <f t="shared" si="13"/>
        <v>0</v>
      </c>
      <c r="Z1702" s="2">
        <f t="shared" si="14"/>
      </c>
      <c r="AA1702" s="2">
        <f t="shared" si="15"/>
        <v>0</v>
      </c>
      <c r="AB1702" s="2">
        <f t="shared" si="16"/>
      </c>
      <c r="AC1702" s="2">
        <f t="shared" si="17"/>
      </c>
      <c r="AD1702" s="2">
        <f t="shared" si="18"/>
      </c>
      <c r="AE1702" s="2">
        <f t="shared" si="19"/>
      </c>
      <c r="AF1702" s="2">
        <f t="shared" si="20"/>
      </c>
      <c r="AG1702" s="2">
        <f t="shared" si="21"/>
      </c>
      <c r="AH1702" s="2">
        <f t="shared" si="22"/>
      </c>
      <c r="AI1702" s="2">
        <f t="shared" si="23"/>
      </c>
      <c r="AJ1702" s="2">
        <f t="shared" si="24"/>
        <v>0</v>
      </c>
      <c r="AK1702" s="2">
        <f t="shared" si="25"/>
        <v>0</v>
      </c>
      <c r="AL1702" s="2">
        <f t="shared" si="26"/>
        <v>0</v>
      </c>
      <c r="AM1702" s="2">
        <f t="shared" si="27"/>
        <v>0</v>
      </c>
      <c r="AN1702" s="2">
        <f t="shared" si="28"/>
        <v>0</v>
      </c>
      <c r="AO1702" s="2">
        <f t="shared" si="29"/>
      </c>
      <c r="AP1702" s="2">
        <f t="shared" si="30"/>
      </c>
      <c r="AQ1702" s="2">
        <f t="shared" si="31"/>
      </c>
    </row>
    <row r="1703">
      <c r="A1703" s="43">
        <f t="shared" si="3"/>
      </c>
      <c r="B1703" s="44" t="n"/>
      <c r="C1703" s="45" t="n"/>
      <c r="D1703" s="46" t="n"/>
      <c r="E1703" s="47" t="n"/>
      <c r="F1703" s="47" t="n"/>
      <c r="G1703" s="48">
        <f t="shared" si="4"/>
      </c>
      <c r="H1703" s="43">
        <f t="shared" si="0"/>
      </c>
      <c r="I1703" s="43">
        <f t="shared" si="5"/>
      </c>
      <c r="J1703" s="43">
        <f t="shared" si="1"/>
      </c>
      <c r="K1703" s="49">
        <f t="shared" si="2"/>
      </c>
      <c r="L1703" s="45" t="n"/>
      <c r="M1703" s="45" t="n"/>
      <c r="N1703" s="45" t="n"/>
      <c r="O1703" s="45" t="n"/>
      <c r="P1703" s="50" t="n"/>
      <c r="R1703" s="2">
        <f t="shared" si="6"/>
        <v>0</v>
      </c>
      <c r="S1703" s="2">
        <f t="shared" si="7"/>
      </c>
      <c r="T1703" s="2">
        <f t="shared" si="8"/>
      </c>
      <c r="U1703" s="2">
        <f t="shared" si="9"/>
      </c>
      <c r="V1703" s="2">
        <f t="shared" si="10"/>
      </c>
      <c r="W1703" s="2">
        <f t="shared" si="11"/>
      </c>
      <c r="X1703" s="2">
        <f t="shared" si="12"/>
      </c>
      <c r="Y1703" s="2">
        <f t="shared" si="13"/>
        <v>0</v>
      </c>
      <c r="Z1703" s="2">
        <f t="shared" si="14"/>
      </c>
      <c r="AA1703" s="2">
        <f t="shared" si="15"/>
        <v>0</v>
      </c>
      <c r="AB1703" s="2">
        <f t="shared" si="16"/>
      </c>
      <c r="AC1703" s="2">
        <f t="shared" si="17"/>
      </c>
      <c r="AD1703" s="2">
        <f t="shared" si="18"/>
      </c>
      <c r="AE1703" s="2">
        <f t="shared" si="19"/>
      </c>
      <c r="AF1703" s="2">
        <f t="shared" si="20"/>
      </c>
      <c r="AG1703" s="2">
        <f t="shared" si="21"/>
      </c>
      <c r="AH1703" s="2">
        <f t="shared" si="22"/>
      </c>
      <c r="AI1703" s="2">
        <f t="shared" si="23"/>
      </c>
      <c r="AJ1703" s="2">
        <f t="shared" si="24"/>
        <v>0</v>
      </c>
      <c r="AK1703" s="2">
        <f t="shared" si="25"/>
        <v>0</v>
      </c>
      <c r="AL1703" s="2">
        <f t="shared" si="26"/>
        <v>0</v>
      </c>
      <c r="AM1703" s="2">
        <f t="shared" si="27"/>
        <v>0</v>
      </c>
      <c r="AN1703" s="2">
        <f t="shared" si="28"/>
        <v>0</v>
      </c>
      <c r="AO1703" s="2">
        <f t="shared" si="29"/>
      </c>
      <c r="AP1703" s="2">
        <f t="shared" si="30"/>
      </c>
      <c r="AQ1703" s="2">
        <f t="shared" si="31"/>
      </c>
    </row>
    <row r="1704">
      <c r="A1704" s="43">
        <f t="shared" si="3"/>
      </c>
      <c r="B1704" s="44" t="n"/>
      <c r="C1704" s="45" t="n"/>
      <c r="D1704" s="46" t="n"/>
      <c r="E1704" s="47" t="n"/>
      <c r="F1704" s="47" t="n"/>
      <c r="G1704" s="48">
        <f t="shared" si="4"/>
      </c>
      <c r="H1704" s="43">
        <f t="shared" si="0"/>
      </c>
      <c r="I1704" s="43">
        <f t="shared" si="5"/>
      </c>
      <c r="J1704" s="43">
        <f t="shared" si="1"/>
      </c>
      <c r="K1704" s="49">
        <f t="shared" si="2"/>
      </c>
      <c r="L1704" s="45" t="n"/>
      <c r="M1704" s="45" t="n"/>
      <c r="N1704" s="45" t="n"/>
      <c r="O1704" s="45" t="n"/>
      <c r="P1704" s="50" t="n"/>
      <c r="R1704" s="2">
        <f t="shared" si="6"/>
        <v>0</v>
      </c>
      <c r="S1704" s="2">
        <f t="shared" si="7"/>
      </c>
      <c r="T1704" s="2">
        <f t="shared" si="8"/>
      </c>
      <c r="U1704" s="2">
        <f t="shared" si="9"/>
      </c>
      <c r="V1704" s="2">
        <f t="shared" si="10"/>
      </c>
      <c r="W1704" s="2">
        <f t="shared" si="11"/>
      </c>
      <c r="X1704" s="2">
        <f t="shared" si="12"/>
      </c>
      <c r="Y1704" s="2">
        <f t="shared" si="13"/>
        <v>0</v>
      </c>
      <c r="Z1704" s="2">
        <f t="shared" si="14"/>
      </c>
      <c r="AA1704" s="2">
        <f t="shared" si="15"/>
        <v>0</v>
      </c>
      <c r="AB1704" s="2">
        <f t="shared" si="16"/>
      </c>
      <c r="AC1704" s="2">
        <f t="shared" si="17"/>
      </c>
      <c r="AD1704" s="2">
        <f t="shared" si="18"/>
      </c>
      <c r="AE1704" s="2">
        <f t="shared" si="19"/>
      </c>
      <c r="AF1704" s="2">
        <f t="shared" si="20"/>
      </c>
      <c r="AG1704" s="2">
        <f t="shared" si="21"/>
      </c>
      <c r="AH1704" s="2">
        <f t="shared" si="22"/>
      </c>
      <c r="AI1704" s="2">
        <f t="shared" si="23"/>
      </c>
      <c r="AJ1704" s="2">
        <f t="shared" si="24"/>
        <v>0</v>
      </c>
      <c r="AK1704" s="2">
        <f t="shared" si="25"/>
        <v>0</v>
      </c>
      <c r="AL1704" s="2">
        <f t="shared" si="26"/>
        <v>0</v>
      </c>
      <c r="AM1704" s="2">
        <f t="shared" si="27"/>
        <v>0</v>
      </c>
      <c r="AN1704" s="2">
        <f t="shared" si="28"/>
        <v>0</v>
      </c>
      <c r="AO1704" s="2">
        <f t="shared" si="29"/>
      </c>
      <c r="AP1704" s="2">
        <f t="shared" si="30"/>
      </c>
      <c r="AQ1704" s="2">
        <f t="shared" si="31"/>
      </c>
    </row>
    <row r="1705">
      <c r="A1705" s="43">
        <f t="shared" si="3"/>
      </c>
      <c r="B1705" s="44" t="n"/>
      <c r="C1705" s="45" t="n"/>
      <c r="D1705" s="46" t="n"/>
      <c r="E1705" s="47" t="n"/>
      <c r="F1705" s="47" t="n"/>
      <c r="G1705" s="48">
        <f t="shared" si="4"/>
      </c>
      <c r="H1705" s="43">
        <f t="shared" si="0"/>
      </c>
      <c r="I1705" s="43">
        <f t="shared" si="5"/>
      </c>
      <c r="J1705" s="43">
        <f t="shared" si="1"/>
      </c>
      <c r="K1705" s="49">
        <f t="shared" si="2"/>
      </c>
      <c r="L1705" s="45" t="n"/>
      <c r="M1705" s="45" t="n"/>
      <c r="N1705" s="45" t="n"/>
      <c r="O1705" s="45" t="n"/>
      <c r="P1705" s="50" t="n"/>
      <c r="R1705" s="2">
        <f t="shared" si="6"/>
        <v>0</v>
      </c>
      <c r="S1705" s="2">
        <f t="shared" si="7"/>
      </c>
      <c r="T1705" s="2">
        <f t="shared" si="8"/>
      </c>
      <c r="U1705" s="2">
        <f t="shared" si="9"/>
      </c>
      <c r="V1705" s="2">
        <f t="shared" si="10"/>
      </c>
      <c r="W1705" s="2">
        <f t="shared" si="11"/>
      </c>
      <c r="X1705" s="2">
        <f t="shared" si="12"/>
      </c>
      <c r="Y1705" s="2">
        <f t="shared" si="13"/>
        <v>0</v>
      </c>
      <c r="Z1705" s="2">
        <f t="shared" si="14"/>
      </c>
      <c r="AA1705" s="2">
        <f t="shared" si="15"/>
        <v>0</v>
      </c>
      <c r="AB1705" s="2">
        <f t="shared" si="16"/>
      </c>
      <c r="AC1705" s="2">
        <f t="shared" si="17"/>
      </c>
      <c r="AD1705" s="2">
        <f t="shared" si="18"/>
      </c>
      <c r="AE1705" s="2">
        <f t="shared" si="19"/>
      </c>
      <c r="AF1705" s="2">
        <f t="shared" si="20"/>
      </c>
      <c r="AG1705" s="2">
        <f t="shared" si="21"/>
      </c>
      <c r="AH1705" s="2">
        <f t="shared" si="22"/>
      </c>
      <c r="AI1705" s="2">
        <f t="shared" si="23"/>
      </c>
      <c r="AJ1705" s="2">
        <f t="shared" si="24"/>
        <v>0</v>
      </c>
      <c r="AK1705" s="2">
        <f t="shared" si="25"/>
        <v>0</v>
      </c>
      <c r="AL1705" s="2">
        <f t="shared" si="26"/>
        <v>0</v>
      </c>
      <c r="AM1705" s="2">
        <f t="shared" si="27"/>
        <v>0</v>
      </c>
      <c r="AN1705" s="2">
        <f t="shared" si="28"/>
        <v>0</v>
      </c>
      <c r="AO1705" s="2">
        <f t="shared" si="29"/>
      </c>
      <c r="AP1705" s="2">
        <f t="shared" si="30"/>
      </c>
      <c r="AQ1705" s="2">
        <f t="shared" si="31"/>
      </c>
    </row>
    <row r="1706">
      <c r="A1706" s="43">
        <f t="shared" si="3"/>
      </c>
      <c r="B1706" s="44" t="n"/>
      <c r="C1706" s="45" t="n"/>
      <c r="D1706" s="46" t="n"/>
      <c r="E1706" s="47" t="n"/>
      <c r="F1706" s="47" t="n"/>
      <c r="G1706" s="48">
        <f t="shared" si="4"/>
      </c>
      <c r="H1706" s="43">
        <f t="shared" si="0"/>
      </c>
      <c r="I1706" s="43">
        <f t="shared" si="5"/>
      </c>
      <c r="J1706" s="43">
        <f t="shared" si="1"/>
      </c>
      <c r="K1706" s="49">
        <f t="shared" si="2"/>
      </c>
      <c r="L1706" s="45" t="n"/>
      <c r="M1706" s="45" t="n"/>
      <c r="N1706" s="45" t="n"/>
      <c r="O1706" s="45" t="n"/>
      <c r="P1706" s="50" t="n"/>
      <c r="R1706" s="2">
        <f t="shared" si="6"/>
        <v>0</v>
      </c>
      <c r="S1706" s="2">
        <f t="shared" si="7"/>
      </c>
      <c r="T1706" s="2">
        <f t="shared" si="8"/>
      </c>
      <c r="U1706" s="2">
        <f t="shared" si="9"/>
      </c>
      <c r="V1706" s="2">
        <f t="shared" si="10"/>
      </c>
      <c r="W1706" s="2">
        <f t="shared" si="11"/>
      </c>
      <c r="X1706" s="2">
        <f t="shared" si="12"/>
      </c>
      <c r="Y1706" s="2">
        <f t="shared" si="13"/>
        <v>0</v>
      </c>
      <c r="Z1706" s="2">
        <f t="shared" si="14"/>
      </c>
      <c r="AA1706" s="2">
        <f t="shared" si="15"/>
        <v>0</v>
      </c>
      <c r="AB1706" s="2">
        <f t="shared" si="16"/>
      </c>
      <c r="AC1706" s="2">
        <f t="shared" si="17"/>
      </c>
      <c r="AD1706" s="2">
        <f t="shared" si="18"/>
      </c>
      <c r="AE1706" s="2">
        <f t="shared" si="19"/>
      </c>
      <c r="AF1706" s="2">
        <f t="shared" si="20"/>
      </c>
      <c r="AG1706" s="2">
        <f t="shared" si="21"/>
      </c>
      <c r="AH1706" s="2">
        <f t="shared" si="22"/>
      </c>
      <c r="AI1706" s="2">
        <f t="shared" si="23"/>
      </c>
      <c r="AJ1706" s="2">
        <f t="shared" si="24"/>
        <v>0</v>
      </c>
      <c r="AK1706" s="2">
        <f t="shared" si="25"/>
        <v>0</v>
      </c>
      <c r="AL1706" s="2">
        <f t="shared" si="26"/>
        <v>0</v>
      </c>
      <c r="AM1706" s="2">
        <f t="shared" si="27"/>
        <v>0</v>
      </c>
      <c r="AN1706" s="2">
        <f t="shared" si="28"/>
        <v>0</v>
      </c>
      <c r="AO1706" s="2">
        <f t="shared" si="29"/>
      </c>
      <c r="AP1706" s="2">
        <f t="shared" si="30"/>
      </c>
      <c r="AQ1706" s="2">
        <f t="shared" si="31"/>
      </c>
    </row>
    <row r="1707">
      <c r="A1707" s="43">
        <f t="shared" si="3"/>
      </c>
      <c r="B1707" s="44" t="n"/>
      <c r="C1707" s="45" t="n"/>
      <c r="D1707" s="46" t="n"/>
      <c r="E1707" s="47" t="n"/>
      <c r="F1707" s="47" t="n"/>
      <c r="G1707" s="48">
        <f t="shared" si="4"/>
      </c>
      <c r="H1707" s="43">
        <f t="shared" si="0"/>
      </c>
      <c r="I1707" s="43">
        <f t="shared" si="5"/>
      </c>
      <c r="J1707" s="43">
        <f t="shared" si="1"/>
      </c>
      <c r="K1707" s="49">
        <f t="shared" si="2"/>
      </c>
      <c r="L1707" s="45" t="n"/>
      <c r="M1707" s="45" t="n"/>
      <c r="N1707" s="45" t="n"/>
      <c r="O1707" s="45" t="n"/>
      <c r="P1707" s="50" t="n"/>
      <c r="R1707" s="2">
        <f t="shared" si="6"/>
        <v>0</v>
      </c>
      <c r="S1707" s="2">
        <f t="shared" si="7"/>
      </c>
      <c r="T1707" s="2">
        <f t="shared" si="8"/>
      </c>
      <c r="U1707" s="2">
        <f t="shared" si="9"/>
      </c>
      <c r="V1707" s="2">
        <f t="shared" si="10"/>
      </c>
      <c r="W1707" s="2">
        <f t="shared" si="11"/>
      </c>
      <c r="X1707" s="2">
        <f t="shared" si="12"/>
      </c>
      <c r="Y1707" s="2">
        <f t="shared" si="13"/>
        <v>0</v>
      </c>
      <c r="Z1707" s="2">
        <f t="shared" si="14"/>
      </c>
      <c r="AA1707" s="2">
        <f t="shared" si="15"/>
        <v>0</v>
      </c>
      <c r="AB1707" s="2">
        <f t="shared" si="16"/>
      </c>
      <c r="AC1707" s="2">
        <f t="shared" si="17"/>
      </c>
      <c r="AD1707" s="2">
        <f t="shared" si="18"/>
      </c>
      <c r="AE1707" s="2">
        <f t="shared" si="19"/>
      </c>
      <c r="AF1707" s="2">
        <f t="shared" si="20"/>
      </c>
      <c r="AG1707" s="2">
        <f t="shared" si="21"/>
      </c>
      <c r="AH1707" s="2">
        <f t="shared" si="22"/>
      </c>
      <c r="AI1707" s="2">
        <f t="shared" si="23"/>
      </c>
      <c r="AJ1707" s="2">
        <f t="shared" si="24"/>
        <v>0</v>
      </c>
      <c r="AK1707" s="2">
        <f t="shared" si="25"/>
        <v>0</v>
      </c>
      <c r="AL1707" s="2">
        <f t="shared" si="26"/>
        <v>0</v>
      </c>
      <c r="AM1707" s="2">
        <f t="shared" si="27"/>
        <v>0</v>
      </c>
      <c r="AN1707" s="2">
        <f t="shared" si="28"/>
        <v>0</v>
      </c>
      <c r="AO1707" s="2">
        <f t="shared" si="29"/>
      </c>
      <c r="AP1707" s="2">
        <f t="shared" si="30"/>
      </c>
      <c r="AQ1707" s="2">
        <f t="shared" si="31"/>
      </c>
    </row>
    <row r="1708">
      <c r="A1708" s="43">
        <f t="shared" si="3"/>
      </c>
      <c r="B1708" s="44" t="n"/>
      <c r="C1708" s="45" t="n"/>
      <c r="D1708" s="46" t="n"/>
      <c r="E1708" s="47" t="n"/>
      <c r="F1708" s="47" t="n"/>
      <c r="G1708" s="48">
        <f t="shared" si="4"/>
      </c>
      <c r="H1708" s="43">
        <f t="shared" si="0"/>
      </c>
      <c r="I1708" s="43">
        <f t="shared" si="5"/>
      </c>
      <c r="J1708" s="43">
        <f t="shared" si="1"/>
      </c>
      <c r="K1708" s="49">
        <f t="shared" si="2"/>
      </c>
      <c r="L1708" s="45" t="n"/>
      <c r="M1708" s="45" t="n"/>
      <c r="N1708" s="45" t="n"/>
      <c r="O1708" s="45" t="n"/>
      <c r="P1708" s="50" t="n"/>
      <c r="R1708" s="2">
        <f t="shared" si="6"/>
        <v>0</v>
      </c>
      <c r="S1708" s="2">
        <f t="shared" si="7"/>
      </c>
      <c r="T1708" s="2">
        <f t="shared" si="8"/>
      </c>
      <c r="U1708" s="2">
        <f t="shared" si="9"/>
      </c>
      <c r="V1708" s="2">
        <f t="shared" si="10"/>
      </c>
      <c r="W1708" s="2">
        <f t="shared" si="11"/>
      </c>
      <c r="X1708" s="2">
        <f t="shared" si="12"/>
      </c>
      <c r="Y1708" s="2">
        <f t="shared" si="13"/>
        <v>0</v>
      </c>
      <c r="Z1708" s="2">
        <f t="shared" si="14"/>
      </c>
      <c r="AA1708" s="2">
        <f t="shared" si="15"/>
        <v>0</v>
      </c>
      <c r="AB1708" s="2">
        <f t="shared" si="16"/>
      </c>
      <c r="AC1708" s="2">
        <f t="shared" si="17"/>
      </c>
      <c r="AD1708" s="2">
        <f t="shared" si="18"/>
      </c>
      <c r="AE1708" s="2">
        <f t="shared" si="19"/>
      </c>
      <c r="AF1708" s="2">
        <f t="shared" si="20"/>
      </c>
      <c r="AG1708" s="2">
        <f t="shared" si="21"/>
      </c>
      <c r="AH1708" s="2">
        <f t="shared" si="22"/>
      </c>
      <c r="AI1708" s="2">
        <f t="shared" si="23"/>
      </c>
      <c r="AJ1708" s="2">
        <f t="shared" si="24"/>
        <v>0</v>
      </c>
      <c r="AK1708" s="2">
        <f t="shared" si="25"/>
        <v>0</v>
      </c>
      <c r="AL1708" s="2">
        <f t="shared" si="26"/>
        <v>0</v>
      </c>
      <c r="AM1708" s="2">
        <f t="shared" si="27"/>
        <v>0</v>
      </c>
      <c r="AN1708" s="2">
        <f t="shared" si="28"/>
        <v>0</v>
      </c>
      <c r="AO1708" s="2">
        <f t="shared" si="29"/>
      </c>
      <c r="AP1708" s="2">
        <f t="shared" si="30"/>
      </c>
      <c r="AQ1708" s="2">
        <f t="shared" si="31"/>
      </c>
    </row>
    <row r="1709">
      <c r="A1709" s="43">
        <f t="shared" si="3"/>
      </c>
      <c r="B1709" s="44" t="n"/>
      <c r="C1709" s="45" t="n"/>
      <c r="D1709" s="46" t="n"/>
      <c r="E1709" s="47" t="n"/>
      <c r="F1709" s="47" t="n"/>
      <c r="G1709" s="48">
        <f t="shared" si="4"/>
      </c>
      <c r="H1709" s="43">
        <f t="shared" si="0"/>
      </c>
      <c r="I1709" s="43">
        <f t="shared" si="5"/>
      </c>
      <c r="J1709" s="43">
        <f t="shared" si="1"/>
      </c>
      <c r="K1709" s="49">
        <f t="shared" si="2"/>
      </c>
      <c r="L1709" s="45" t="n"/>
      <c r="M1709" s="45" t="n"/>
      <c r="N1709" s="45" t="n"/>
      <c r="O1709" s="45" t="n"/>
      <c r="P1709" s="50" t="n"/>
      <c r="R1709" s="2">
        <f t="shared" si="6"/>
        <v>0</v>
      </c>
      <c r="S1709" s="2">
        <f t="shared" si="7"/>
      </c>
      <c r="T1709" s="2">
        <f t="shared" si="8"/>
      </c>
      <c r="U1709" s="2">
        <f t="shared" si="9"/>
      </c>
      <c r="V1709" s="2">
        <f t="shared" si="10"/>
      </c>
      <c r="W1709" s="2">
        <f t="shared" si="11"/>
      </c>
      <c r="X1709" s="2">
        <f t="shared" si="12"/>
      </c>
      <c r="Y1709" s="2">
        <f t="shared" si="13"/>
        <v>0</v>
      </c>
      <c r="Z1709" s="2">
        <f t="shared" si="14"/>
      </c>
      <c r="AA1709" s="2">
        <f t="shared" si="15"/>
        <v>0</v>
      </c>
      <c r="AB1709" s="2">
        <f t="shared" si="16"/>
      </c>
      <c r="AC1709" s="2">
        <f t="shared" si="17"/>
      </c>
      <c r="AD1709" s="2">
        <f t="shared" si="18"/>
      </c>
      <c r="AE1709" s="2">
        <f t="shared" si="19"/>
      </c>
      <c r="AF1709" s="2">
        <f t="shared" si="20"/>
      </c>
      <c r="AG1709" s="2">
        <f t="shared" si="21"/>
      </c>
      <c r="AH1709" s="2">
        <f t="shared" si="22"/>
      </c>
      <c r="AI1709" s="2">
        <f t="shared" si="23"/>
      </c>
      <c r="AJ1709" s="2">
        <f t="shared" si="24"/>
        <v>0</v>
      </c>
      <c r="AK1709" s="2">
        <f t="shared" si="25"/>
        <v>0</v>
      </c>
      <c r="AL1709" s="2">
        <f t="shared" si="26"/>
        <v>0</v>
      </c>
      <c r="AM1709" s="2">
        <f t="shared" si="27"/>
        <v>0</v>
      </c>
      <c r="AN1709" s="2">
        <f t="shared" si="28"/>
        <v>0</v>
      </c>
      <c r="AO1709" s="2">
        <f t="shared" si="29"/>
      </c>
      <c r="AP1709" s="2">
        <f t="shared" si="30"/>
      </c>
      <c r="AQ1709" s="2">
        <f t="shared" si="31"/>
      </c>
    </row>
    <row r="1710">
      <c r="A1710" s="43">
        <f t="shared" si="3"/>
      </c>
      <c r="B1710" s="44" t="n"/>
      <c r="C1710" s="45" t="n"/>
      <c r="D1710" s="46" t="n"/>
      <c r="E1710" s="47" t="n"/>
      <c r="F1710" s="47" t="n"/>
      <c r="G1710" s="48">
        <f t="shared" si="4"/>
      </c>
      <c r="H1710" s="43">
        <f t="shared" si="0"/>
      </c>
      <c r="I1710" s="43">
        <f t="shared" si="5"/>
      </c>
      <c r="J1710" s="43">
        <f t="shared" si="1"/>
      </c>
      <c r="K1710" s="49">
        <f t="shared" si="2"/>
      </c>
      <c r="L1710" s="45" t="n"/>
      <c r="M1710" s="45" t="n"/>
      <c r="N1710" s="45" t="n"/>
      <c r="O1710" s="45" t="n"/>
      <c r="P1710" s="50" t="n"/>
      <c r="R1710" s="2">
        <f t="shared" si="6"/>
        <v>0</v>
      </c>
      <c r="S1710" s="2">
        <f t="shared" si="7"/>
      </c>
      <c r="T1710" s="2">
        <f t="shared" si="8"/>
      </c>
      <c r="U1710" s="2">
        <f t="shared" si="9"/>
      </c>
      <c r="V1710" s="2">
        <f t="shared" si="10"/>
      </c>
      <c r="W1710" s="2">
        <f t="shared" si="11"/>
      </c>
      <c r="X1710" s="2">
        <f t="shared" si="12"/>
      </c>
      <c r="Y1710" s="2">
        <f t="shared" si="13"/>
        <v>0</v>
      </c>
      <c r="Z1710" s="2">
        <f t="shared" si="14"/>
      </c>
      <c r="AA1710" s="2">
        <f t="shared" si="15"/>
        <v>0</v>
      </c>
      <c r="AB1710" s="2">
        <f t="shared" si="16"/>
      </c>
      <c r="AC1710" s="2">
        <f t="shared" si="17"/>
      </c>
      <c r="AD1710" s="2">
        <f t="shared" si="18"/>
      </c>
      <c r="AE1710" s="2">
        <f t="shared" si="19"/>
      </c>
      <c r="AF1710" s="2">
        <f t="shared" si="20"/>
      </c>
      <c r="AG1710" s="2">
        <f t="shared" si="21"/>
      </c>
      <c r="AH1710" s="2">
        <f t="shared" si="22"/>
      </c>
      <c r="AI1710" s="2">
        <f t="shared" si="23"/>
      </c>
      <c r="AJ1710" s="2">
        <f t="shared" si="24"/>
        <v>0</v>
      </c>
      <c r="AK1710" s="2">
        <f t="shared" si="25"/>
        <v>0</v>
      </c>
      <c r="AL1710" s="2">
        <f t="shared" si="26"/>
        <v>0</v>
      </c>
      <c r="AM1710" s="2">
        <f t="shared" si="27"/>
        <v>0</v>
      </c>
      <c r="AN1710" s="2">
        <f t="shared" si="28"/>
        <v>0</v>
      </c>
      <c r="AO1710" s="2">
        <f t="shared" si="29"/>
      </c>
      <c r="AP1710" s="2">
        <f t="shared" si="30"/>
      </c>
      <c r="AQ1710" s="2">
        <f t="shared" si="31"/>
      </c>
    </row>
    <row r="1711">
      <c r="A1711" s="43">
        <f t="shared" si="3"/>
      </c>
      <c r="B1711" s="44" t="n"/>
      <c r="C1711" s="45" t="n"/>
      <c r="D1711" s="46" t="n"/>
      <c r="E1711" s="47" t="n"/>
      <c r="F1711" s="47" t="n"/>
      <c r="G1711" s="48">
        <f t="shared" si="4"/>
      </c>
      <c r="H1711" s="43">
        <f t="shared" si="0"/>
      </c>
      <c r="I1711" s="43">
        <f t="shared" si="5"/>
      </c>
      <c r="J1711" s="43">
        <f t="shared" si="1"/>
      </c>
      <c r="K1711" s="49">
        <f t="shared" si="2"/>
      </c>
      <c r="L1711" s="45" t="n"/>
      <c r="M1711" s="45" t="n"/>
      <c r="N1711" s="45" t="n"/>
      <c r="O1711" s="45" t="n"/>
      <c r="P1711" s="50" t="n"/>
      <c r="R1711" s="2">
        <f t="shared" si="6"/>
        <v>0</v>
      </c>
      <c r="S1711" s="2">
        <f t="shared" si="7"/>
      </c>
      <c r="T1711" s="2">
        <f t="shared" si="8"/>
      </c>
      <c r="U1711" s="2">
        <f t="shared" si="9"/>
      </c>
      <c r="V1711" s="2">
        <f t="shared" si="10"/>
      </c>
      <c r="W1711" s="2">
        <f t="shared" si="11"/>
      </c>
      <c r="X1711" s="2">
        <f t="shared" si="12"/>
      </c>
      <c r="Y1711" s="2">
        <f t="shared" si="13"/>
        <v>0</v>
      </c>
      <c r="Z1711" s="2">
        <f t="shared" si="14"/>
      </c>
      <c r="AA1711" s="2">
        <f t="shared" si="15"/>
        <v>0</v>
      </c>
      <c r="AB1711" s="2">
        <f t="shared" si="16"/>
      </c>
      <c r="AC1711" s="2">
        <f t="shared" si="17"/>
      </c>
      <c r="AD1711" s="2">
        <f t="shared" si="18"/>
      </c>
      <c r="AE1711" s="2">
        <f t="shared" si="19"/>
      </c>
      <c r="AF1711" s="2">
        <f t="shared" si="20"/>
      </c>
      <c r="AG1711" s="2">
        <f t="shared" si="21"/>
      </c>
      <c r="AH1711" s="2">
        <f t="shared" si="22"/>
      </c>
      <c r="AI1711" s="2">
        <f t="shared" si="23"/>
      </c>
      <c r="AJ1711" s="2">
        <f t="shared" si="24"/>
        <v>0</v>
      </c>
      <c r="AK1711" s="2">
        <f t="shared" si="25"/>
        <v>0</v>
      </c>
      <c r="AL1711" s="2">
        <f t="shared" si="26"/>
        <v>0</v>
      </c>
      <c r="AM1711" s="2">
        <f t="shared" si="27"/>
        <v>0</v>
      </c>
      <c r="AN1711" s="2">
        <f t="shared" si="28"/>
        <v>0</v>
      </c>
      <c r="AO1711" s="2">
        <f t="shared" si="29"/>
      </c>
      <c r="AP1711" s="2">
        <f t="shared" si="30"/>
      </c>
      <c r="AQ1711" s="2">
        <f t="shared" si="31"/>
      </c>
    </row>
    <row r="1712">
      <c r="A1712" s="43">
        <f t="shared" si="3"/>
      </c>
      <c r="B1712" s="44" t="n"/>
      <c r="C1712" s="45" t="n"/>
      <c r="D1712" s="46" t="n"/>
      <c r="E1712" s="47" t="n"/>
      <c r="F1712" s="47" t="n"/>
      <c r="G1712" s="48">
        <f t="shared" si="4"/>
      </c>
      <c r="H1712" s="43">
        <f t="shared" si="0"/>
      </c>
      <c r="I1712" s="43">
        <f t="shared" si="5"/>
      </c>
      <c r="J1712" s="43">
        <f t="shared" si="1"/>
      </c>
      <c r="K1712" s="49">
        <f t="shared" si="2"/>
      </c>
      <c r="L1712" s="45" t="n"/>
      <c r="M1712" s="45" t="n"/>
      <c r="N1712" s="45" t="n"/>
      <c r="O1712" s="45" t="n"/>
      <c r="P1712" s="50" t="n"/>
      <c r="R1712" s="2">
        <f t="shared" si="6"/>
        <v>0</v>
      </c>
      <c r="S1712" s="2">
        <f t="shared" si="7"/>
      </c>
      <c r="T1712" s="2">
        <f t="shared" si="8"/>
      </c>
      <c r="U1712" s="2">
        <f t="shared" si="9"/>
      </c>
      <c r="V1712" s="2">
        <f t="shared" si="10"/>
      </c>
      <c r="W1712" s="2">
        <f t="shared" si="11"/>
      </c>
      <c r="X1712" s="2">
        <f t="shared" si="12"/>
      </c>
      <c r="Y1712" s="2">
        <f t="shared" si="13"/>
        <v>0</v>
      </c>
      <c r="Z1712" s="2">
        <f t="shared" si="14"/>
      </c>
      <c r="AA1712" s="2">
        <f t="shared" si="15"/>
        <v>0</v>
      </c>
      <c r="AB1712" s="2">
        <f t="shared" si="16"/>
      </c>
      <c r="AC1712" s="2">
        <f t="shared" si="17"/>
      </c>
      <c r="AD1712" s="2">
        <f t="shared" si="18"/>
      </c>
      <c r="AE1712" s="2">
        <f t="shared" si="19"/>
      </c>
      <c r="AF1712" s="2">
        <f t="shared" si="20"/>
      </c>
      <c r="AG1712" s="2">
        <f t="shared" si="21"/>
      </c>
      <c r="AH1712" s="2">
        <f t="shared" si="22"/>
      </c>
      <c r="AI1712" s="2">
        <f t="shared" si="23"/>
      </c>
      <c r="AJ1712" s="2">
        <f t="shared" si="24"/>
        <v>0</v>
      </c>
      <c r="AK1712" s="2">
        <f t="shared" si="25"/>
        <v>0</v>
      </c>
      <c r="AL1712" s="2">
        <f t="shared" si="26"/>
        <v>0</v>
      </c>
      <c r="AM1712" s="2">
        <f t="shared" si="27"/>
        <v>0</v>
      </c>
      <c r="AN1712" s="2">
        <f t="shared" si="28"/>
        <v>0</v>
      </c>
      <c r="AO1712" s="2">
        <f t="shared" si="29"/>
      </c>
      <c r="AP1712" s="2">
        <f t="shared" si="30"/>
      </c>
      <c r="AQ1712" s="2">
        <f t="shared" si="31"/>
      </c>
    </row>
    <row r="1713">
      <c r="A1713" s="43">
        <f t="shared" si="3"/>
      </c>
      <c r="B1713" s="44" t="n"/>
      <c r="C1713" s="45" t="n"/>
      <c r="D1713" s="46" t="n"/>
      <c r="E1713" s="47" t="n"/>
      <c r="F1713" s="47" t="n"/>
      <c r="G1713" s="48">
        <f t="shared" si="4"/>
      </c>
      <c r="H1713" s="43">
        <f t="shared" si="0"/>
      </c>
      <c r="I1713" s="43">
        <f t="shared" si="5"/>
      </c>
      <c r="J1713" s="43">
        <f t="shared" si="1"/>
      </c>
      <c r="K1713" s="49">
        <f t="shared" si="2"/>
      </c>
      <c r="L1713" s="45" t="n"/>
      <c r="M1713" s="45" t="n"/>
      <c r="N1713" s="45" t="n"/>
      <c r="O1713" s="45" t="n"/>
      <c r="P1713" s="50" t="n"/>
      <c r="R1713" s="2">
        <f t="shared" si="6"/>
        <v>0</v>
      </c>
      <c r="S1713" s="2">
        <f t="shared" si="7"/>
      </c>
      <c r="T1713" s="2">
        <f t="shared" si="8"/>
      </c>
      <c r="U1713" s="2">
        <f t="shared" si="9"/>
      </c>
      <c r="V1713" s="2">
        <f t="shared" si="10"/>
      </c>
      <c r="W1713" s="2">
        <f t="shared" si="11"/>
      </c>
      <c r="X1713" s="2">
        <f t="shared" si="12"/>
      </c>
      <c r="Y1713" s="2">
        <f t="shared" si="13"/>
        <v>0</v>
      </c>
      <c r="Z1713" s="2">
        <f t="shared" si="14"/>
      </c>
      <c r="AA1713" s="2">
        <f t="shared" si="15"/>
        <v>0</v>
      </c>
      <c r="AB1713" s="2">
        <f t="shared" si="16"/>
      </c>
      <c r="AC1713" s="2">
        <f t="shared" si="17"/>
      </c>
      <c r="AD1713" s="2">
        <f t="shared" si="18"/>
      </c>
      <c r="AE1713" s="2">
        <f t="shared" si="19"/>
      </c>
      <c r="AF1713" s="2">
        <f t="shared" si="20"/>
      </c>
      <c r="AG1713" s="2">
        <f t="shared" si="21"/>
      </c>
      <c r="AH1713" s="2">
        <f t="shared" si="22"/>
      </c>
      <c r="AI1713" s="2">
        <f t="shared" si="23"/>
      </c>
      <c r="AJ1713" s="2">
        <f t="shared" si="24"/>
        <v>0</v>
      </c>
      <c r="AK1713" s="2">
        <f t="shared" si="25"/>
        <v>0</v>
      </c>
      <c r="AL1713" s="2">
        <f t="shared" si="26"/>
        <v>0</v>
      </c>
      <c r="AM1713" s="2">
        <f t="shared" si="27"/>
        <v>0</v>
      </c>
      <c r="AN1713" s="2">
        <f t="shared" si="28"/>
        <v>0</v>
      </c>
      <c r="AO1713" s="2">
        <f t="shared" si="29"/>
      </c>
      <c r="AP1713" s="2">
        <f t="shared" si="30"/>
      </c>
      <c r="AQ1713" s="2">
        <f t="shared" si="31"/>
      </c>
    </row>
    <row r="1714">
      <c r="A1714" s="43">
        <f t="shared" si="3"/>
      </c>
      <c r="B1714" s="44" t="n"/>
      <c r="C1714" s="45" t="n"/>
      <c r="D1714" s="46" t="n"/>
      <c r="E1714" s="47" t="n"/>
      <c r="F1714" s="47" t="n"/>
      <c r="G1714" s="48">
        <f t="shared" si="4"/>
      </c>
      <c r="H1714" s="43">
        <f t="shared" si="0"/>
      </c>
      <c r="I1714" s="43">
        <f t="shared" si="5"/>
      </c>
      <c r="J1714" s="43">
        <f t="shared" si="1"/>
      </c>
      <c r="K1714" s="49">
        <f t="shared" si="2"/>
      </c>
      <c r="L1714" s="45" t="n"/>
      <c r="M1714" s="45" t="n"/>
      <c r="N1714" s="45" t="n"/>
      <c r="O1714" s="45" t="n"/>
      <c r="P1714" s="50" t="n"/>
      <c r="R1714" s="2">
        <f t="shared" si="6"/>
        <v>0</v>
      </c>
      <c r="S1714" s="2">
        <f t="shared" si="7"/>
      </c>
      <c r="T1714" s="2">
        <f t="shared" si="8"/>
      </c>
      <c r="U1714" s="2">
        <f t="shared" si="9"/>
      </c>
      <c r="V1714" s="2">
        <f t="shared" si="10"/>
      </c>
      <c r="W1714" s="2">
        <f t="shared" si="11"/>
      </c>
      <c r="X1714" s="2">
        <f t="shared" si="12"/>
      </c>
      <c r="Y1714" s="2">
        <f t="shared" si="13"/>
        <v>0</v>
      </c>
      <c r="Z1714" s="2">
        <f t="shared" si="14"/>
      </c>
      <c r="AA1714" s="2">
        <f t="shared" si="15"/>
        <v>0</v>
      </c>
      <c r="AB1714" s="2">
        <f t="shared" si="16"/>
      </c>
      <c r="AC1714" s="2">
        <f t="shared" si="17"/>
      </c>
      <c r="AD1714" s="2">
        <f t="shared" si="18"/>
      </c>
      <c r="AE1714" s="2">
        <f t="shared" si="19"/>
      </c>
      <c r="AF1714" s="2">
        <f t="shared" si="20"/>
      </c>
      <c r="AG1714" s="2">
        <f t="shared" si="21"/>
      </c>
      <c r="AH1714" s="2">
        <f t="shared" si="22"/>
      </c>
      <c r="AI1714" s="2">
        <f t="shared" si="23"/>
      </c>
      <c r="AJ1714" s="2">
        <f t="shared" si="24"/>
        <v>0</v>
      </c>
      <c r="AK1714" s="2">
        <f t="shared" si="25"/>
        <v>0</v>
      </c>
      <c r="AL1714" s="2">
        <f t="shared" si="26"/>
        <v>0</v>
      </c>
      <c r="AM1714" s="2">
        <f t="shared" si="27"/>
        <v>0</v>
      </c>
      <c r="AN1714" s="2">
        <f t="shared" si="28"/>
        <v>0</v>
      </c>
      <c r="AO1714" s="2">
        <f t="shared" si="29"/>
      </c>
      <c r="AP1714" s="2">
        <f t="shared" si="30"/>
      </c>
      <c r="AQ1714" s="2">
        <f t="shared" si="31"/>
      </c>
    </row>
    <row r="1715">
      <c r="A1715" s="43">
        <f t="shared" si="3"/>
      </c>
      <c r="B1715" s="44" t="n"/>
      <c r="C1715" s="45" t="n"/>
      <c r="D1715" s="46" t="n"/>
      <c r="E1715" s="47" t="n"/>
      <c r="F1715" s="47" t="n"/>
      <c r="G1715" s="48">
        <f t="shared" si="4"/>
      </c>
      <c r="H1715" s="43">
        <f t="shared" si="0"/>
      </c>
      <c r="I1715" s="43">
        <f t="shared" si="5"/>
      </c>
      <c r="J1715" s="43">
        <f t="shared" si="1"/>
      </c>
      <c r="K1715" s="49">
        <f t="shared" si="2"/>
      </c>
      <c r="L1715" s="45" t="n"/>
      <c r="M1715" s="45" t="n"/>
      <c r="N1715" s="45" t="n"/>
      <c r="O1715" s="45" t="n"/>
      <c r="P1715" s="50" t="n"/>
      <c r="R1715" s="2">
        <f t="shared" si="6"/>
        <v>0</v>
      </c>
      <c r="S1715" s="2">
        <f t="shared" si="7"/>
      </c>
      <c r="T1715" s="2">
        <f t="shared" si="8"/>
      </c>
      <c r="U1715" s="2">
        <f t="shared" si="9"/>
      </c>
      <c r="V1715" s="2">
        <f t="shared" si="10"/>
      </c>
      <c r="W1715" s="2">
        <f t="shared" si="11"/>
      </c>
      <c r="X1715" s="2">
        <f t="shared" si="12"/>
      </c>
      <c r="Y1715" s="2">
        <f t="shared" si="13"/>
        <v>0</v>
      </c>
      <c r="Z1715" s="2">
        <f t="shared" si="14"/>
      </c>
      <c r="AA1715" s="2">
        <f t="shared" si="15"/>
        <v>0</v>
      </c>
      <c r="AB1715" s="2">
        <f t="shared" si="16"/>
      </c>
      <c r="AC1715" s="2">
        <f t="shared" si="17"/>
      </c>
      <c r="AD1715" s="2">
        <f t="shared" si="18"/>
      </c>
      <c r="AE1715" s="2">
        <f t="shared" si="19"/>
      </c>
      <c r="AF1715" s="2">
        <f t="shared" si="20"/>
      </c>
      <c r="AG1715" s="2">
        <f t="shared" si="21"/>
      </c>
      <c r="AH1715" s="2">
        <f t="shared" si="22"/>
      </c>
      <c r="AI1715" s="2">
        <f t="shared" si="23"/>
      </c>
      <c r="AJ1715" s="2">
        <f t="shared" si="24"/>
        <v>0</v>
      </c>
      <c r="AK1715" s="2">
        <f t="shared" si="25"/>
        <v>0</v>
      </c>
      <c r="AL1715" s="2">
        <f t="shared" si="26"/>
        <v>0</v>
      </c>
      <c r="AM1715" s="2">
        <f t="shared" si="27"/>
        <v>0</v>
      </c>
      <c r="AN1715" s="2">
        <f t="shared" si="28"/>
        <v>0</v>
      </c>
      <c r="AO1715" s="2">
        <f t="shared" si="29"/>
      </c>
      <c r="AP1715" s="2">
        <f t="shared" si="30"/>
      </c>
      <c r="AQ1715" s="2">
        <f t="shared" si="31"/>
      </c>
    </row>
    <row r="1716">
      <c r="A1716" s="43">
        <f t="shared" si="3"/>
      </c>
      <c r="B1716" s="44" t="n"/>
      <c r="C1716" s="45" t="n"/>
      <c r="D1716" s="46" t="n"/>
      <c r="E1716" s="47" t="n"/>
      <c r="F1716" s="47" t="n"/>
      <c r="G1716" s="48">
        <f t="shared" si="4"/>
      </c>
      <c r="H1716" s="43">
        <f t="shared" si="0"/>
      </c>
      <c r="I1716" s="43">
        <f t="shared" si="5"/>
      </c>
      <c r="J1716" s="43">
        <f t="shared" si="1"/>
      </c>
      <c r="K1716" s="49">
        <f t="shared" si="2"/>
      </c>
      <c r="L1716" s="45" t="n"/>
      <c r="M1716" s="45" t="n"/>
      <c r="N1716" s="45" t="n"/>
      <c r="O1716" s="45" t="n"/>
      <c r="P1716" s="50" t="n"/>
      <c r="R1716" s="2">
        <f t="shared" si="6"/>
        <v>0</v>
      </c>
      <c r="S1716" s="2">
        <f t="shared" si="7"/>
      </c>
      <c r="T1716" s="2">
        <f t="shared" si="8"/>
      </c>
      <c r="U1716" s="2">
        <f t="shared" si="9"/>
      </c>
      <c r="V1716" s="2">
        <f t="shared" si="10"/>
      </c>
      <c r="W1716" s="2">
        <f t="shared" si="11"/>
      </c>
      <c r="X1716" s="2">
        <f t="shared" si="12"/>
      </c>
      <c r="Y1716" s="2">
        <f t="shared" si="13"/>
        <v>0</v>
      </c>
      <c r="Z1716" s="2">
        <f t="shared" si="14"/>
      </c>
      <c r="AA1716" s="2">
        <f t="shared" si="15"/>
        <v>0</v>
      </c>
      <c r="AB1716" s="2">
        <f t="shared" si="16"/>
      </c>
      <c r="AC1716" s="2">
        <f t="shared" si="17"/>
      </c>
      <c r="AD1716" s="2">
        <f t="shared" si="18"/>
      </c>
      <c r="AE1716" s="2">
        <f t="shared" si="19"/>
      </c>
      <c r="AF1716" s="2">
        <f t="shared" si="20"/>
      </c>
      <c r="AG1716" s="2">
        <f t="shared" si="21"/>
      </c>
      <c r="AH1716" s="2">
        <f t="shared" si="22"/>
      </c>
      <c r="AI1716" s="2">
        <f t="shared" si="23"/>
      </c>
      <c r="AJ1716" s="2">
        <f t="shared" si="24"/>
        <v>0</v>
      </c>
      <c r="AK1716" s="2">
        <f t="shared" si="25"/>
        <v>0</v>
      </c>
      <c r="AL1716" s="2">
        <f t="shared" si="26"/>
        <v>0</v>
      </c>
      <c r="AM1716" s="2">
        <f t="shared" si="27"/>
        <v>0</v>
      </c>
      <c r="AN1716" s="2">
        <f t="shared" si="28"/>
        <v>0</v>
      </c>
      <c r="AO1716" s="2">
        <f t="shared" si="29"/>
      </c>
      <c r="AP1716" s="2">
        <f t="shared" si="30"/>
      </c>
      <c r="AQ1716" s="2">
        <f t="shared" si="31"/>
      </c>
    </row>
    <row r="1717">
      <c r="A1717" s="43">
        <f t="shared" si="3"/>
      </c>
      <c r="B1717" s="44" t="n"/>
      <c r="C1717" s="45" t="n"/>
      <c r="D1717" s="46" t="n"/>
      <c r="E1717" s="47" t="n"/>
      <c r="F1717" s="47" t="n"/>
      <c r="G1717" s="48">
        <f t="shared" si="4"/>
      </c>
      <c r="H1717" s="43">
        <f t="shared" si="0"/>
      </c>
      <c r="I1717" s="43">
        <f t="shared" si="5"/>
      </c>
      <c r="J1717" s="43">
        <f t="shared" si="1"/>
      </c>
      <c r="K1717" s="49">
        <f t="shared" si="2"/>
      </c>
      <c r="L1717" s="45" t="n"/>
      <c r="M1717" s="45" t="n"/>
      <c r="N1717" s="45" t="n"/>
      <c r="O1717" s="45" t="n"/>
      <c r="P1717" s="50" t="n"/>
      <c r="R1717" s="2">
        <f t="shared" si="6"/>
        <v>0</v>
      </c>
      <c r="S1717" s="2">
        <f t="shared" si="7"/>
      </c>
      <c r="T1717" s="2">
        <f t="shared" si="8"/>
      </c>
      <c r="U1717" s="2">
        <f t="shared" si="9"/>
      </c>
      <c r="V1717" s="2">
        <f t="shared" si="10"/>
      </c>
      <c r="W1717" s="2">
        <f t="shared" si="11"/>
      </c>
      <c r="X1717" s="2">
        <f t="shared" si="12"/>
      </c>
      <c r="Y1717" s="2">
        <f t="shared" si="13"/>
        <v>0</v>
      </c>
      <c r="Z1717" s="2">
        <f t="shared" si="14"/>
      </c>
      <c r="AA1717" s="2">
        <f t="shared" si="15"/>
        <v>0</v>
      </c>
      <c r="AB1717" s="2">
        <f t="shared" si="16"/>
      </c>
      <c r="AC1717" s="2">
        <f t="shared" si="17"/>
      </c>
      <c r="AD1717" s="2">
        <f t="shared" si="18"/>
      </c>
      <c r="AE1717" s="2">
        <f t="shared" si="19"/>
      </c>
      <c r="AF1717" s="2">
        <f t="shared" si="20"/>
      </c>
      <c r="AG1717" s="2">
        <f t="shared" si="21"/>
      </c>
      <c r="AH1717" s="2">
        <f t="shared" si="22"/>
      </c>
      <c r="AI1717" s="2">
        <f t="shared" si="23"/>
      </c>
      <c r="AJ1717" s="2">
        <f t="shared" si="24"/>
        <v>0</v>
      </c>
      <c r="AK1717" s="2">
        <f t="shared" si="25"/>
        <v>0</v>
      </c>
      <c r="AL1717" s="2">
        <f t="shared" si="26"/>
        <v>0</v>
      </c>
      <c r="AM1717" s="2">
        <f t="shared" si="27"/>
        <v>0</v>
      </c>
      <c r="AN1717" s="2">
        <f t="shared" si="28"/>
        <v>0</v>
      </c>
      <c r="AO1717" s="2">
        <f t="shared" si="29"/>
      </c>
      <c r="AP1717" s="2">
        <f t="shared" si="30"/>
      </c>
      <c r="AQ1717" s="2">
        <f t="shared" si="31"/>
      </c>
    </row>
    <row r="1718">
      <c r="A1718" s="43">
        <f t="shared" si="3"/>
      </c>
      <c r="B1718" s="44" t="n"/>
      <c r="C1718" s="45" t="n"/>
      <c r="D1718" s="46" t="n"/>
      <c r="E1718" s="47" t="n"/>
      <c r="F1718" s="47" t="n"/>
      <c r="G1718" s="48">
        <f t="shared" si="4"/>
      </c>
      <c r="H1718" s="43">
        <f t="shared" si="0"/>
      </c>
      <c r="I1718" s="43">
        <f t="shared" si="5"/>
      </c>
      <c r="J1718" s="43">
        <f t="shared" si="1"/>
      </c>
      <c r="K1718" s="49">
        <f t="shared" si="2"/>
      </c>
      <c r="L1718" s="45" t="n"/>
      <c r="M1718" s="45" t="n"/>
      <c r="N1718" s="45" t="n"/>
      <c r="O1718" s="45" t="n"/>
      <c r="P1718" s="50" t="n"/>
      <c r="R1718" s="2">
        <f t="shared" si="6"/>
        <v>0</v>
      </c>
      <c r="S1718" s="2">
        <f t="shared" si="7"/>
      </c>
      <c r="T1718" s="2">
        <f t="shared" si="8"/>
      </c>
      <c r="U1718" s="2">
        <f t="shared" si="9"/>
      </c>
      <c r="V1718" s="2">
        <f t="shared" si="10"/>
      </c>
      <c r="W1718" s="2">
        <f t="shared" si="11"/>
      </c>
      <c r="X1718" s="2">
        <f t="shared" si="12"/>
      </c>
      <c r="Y1718" s="2">
        <f t="shared" si="13"/>
        <v>0</v>
      </c>
      <c r="Z1718" s="2">
        <f t="shared" si="14"/>
      </c>
      <c r="AA1718" s="2">
        <f t="shared" si="15"/>
        <v>0</v>
      </c>
      <c r="AB1718" s="2">
        <f t="shared" si="16"/>
      </c>
      <c r="AC1718" s="2">
        <f t="shared" si="17"/>
      </c>
      <c r="AD1718" s="2">
        <f t="shared" si="18"/>
      </c>
      <c r="AE1718" s="2">
        <f t="shared" si="19"/>
      </c>
      <c r="AF1718" s="2">
        <f t="shared" si="20"/>
      </c>
      <c r="AG1718" s="2">
        <f t="shared" si="21"/>
      </c>
      <c r="AH1718" s="2">
        <f t="shared" si="22"/>
      </c>
      <c r="AI1718" s="2">
        <f t="shared" si="23"/>
      </c>
      <c r="AJ1718" s="2">
        <f t="shared" si="24"/>
        <v>0</v>
      </c>
      <c r="AK1718" s="2">
        <f t="shared" si="25"/>
        <v>0</v>
      </c>
      <c r="AL1718" s="2">
        <f t="shared" si="26"/>
        <v>0</v>
      </c>
      <c r="AM1718" s="2">
        <f t="shared" si="27"/>
        <v>0</v>
      </c>
      <c r="AN1718" s="2">
        <f t="shared" si="28"/>
        <v>0</v>
      </c>
      <c r="AO1718" s="2">
        <f t="shared" si="29"/>
      </c>
      <c r="AP1718" s="2">
        <f t="shared" si="30"/>
      </c>
      <c r="AQ1718" s="2">
        <f t="shared" si="31"/>
      </c>
    </row>
    <row r="1719">
      <c r="A1719" s="43">
        <f t="shared" si="3"/>
      </c>
      <c r="B1719" s="44" t="n"/>
      <c r="C1719" s="45" t="n"/>
      <c r="D1719" s="46" t="n"/>
      <c r="E1719" s="47" t="n"/>
      <c r="F1719" s="47" t="n"/>
      <c r="G1719" s="48">
        <f t="shared" si="4"/>
      </c>
      <c r="H1719" s="43">
        <f t="shared" si="0"/>
      </c>
      <c r="I1719" s="43">
        <f t="shared" si="5"/>
      </c>
      <c r="J1719" s="43">
        <f t="shared" si="1"/>
      </c>
      <c r="K1719" s="49">
        <f t="shared" si="2"/>
      </c>
      <c r="L1719" s="45" t="n"/>
      <c r="M1719" s="45" t="n"/>
      <c r="N1719" s="45" t="n"/>
      <c r="O1719" s="45" t="n"/>
      <c r="P1719" s="50" t="n"/>
      <c r="R1719" s="2">
        <f t="shared" si="6"/>
        <v>0</v>
      </c>
      <c r="S1719" s="2">
        <f t="shared" si="7"/>
      </c>
      <c r="T1719" s="2">
        <f t="shared" si="8"/>
      </c>
      <c r="U1719" s="2">
        <f t="shared" si="9"/>
      </c>
      <c r="V1719" s="2">
        <f t="shared" si="10"/>
      </c>
      <c r="W1719" s="2">
        <f t="shared" si="11"/>
      </c>
      <c r="X1719" s="2">
        <f t="shared" si="12"/>
      </c>
      <c r="Y1719" s="2">
        <f t="shared" si="13"/>
        <v>0</v>
      </c>
      <c r="Z1719" s="2">
        <f t="shared" si="14"/>
      </c>
      <c r="AA1719" s="2">
        <f t="shared" si="15"/>
        <v>0</v>
      </c>
      <c r="AB1719" s="2">
        <f t="shared" si="16"/>
      </c>
      <c r="AC1719" s="2">
        <f t="shared" si="17"/>
      </c>
      <c r="AD1719" s="2">
        <f t="shared" si="18"/>
      </c>
      <c r="AE1719" s="2">
        <f t="shared" si="19"/>
      </c>
      <c r="AF1719" s="2">
        <f t="shared" si="20"/>
      </c>
      <c r="AG1719" s="2">
        <f t="shared" si="21"/>
      </c>
      <c r="AH1719" s="2">
        <f t="shared" si="22"/>
      </c>
      <c r="AI1719" s="2">
        <f t="shared" si="23"/>
      </c>
      <c r="AJ1719" s="2">
        <f t="shared" si="24"/>
        <v>0</v>
      </c>
      <c r="AK1719" s="2">
        <f t="shared" si="25"/>
        <v>0</v>
      </c>
      <c r="AL1719" s="2">
        <f t="shared" si="26"/>
        <v>0</v>
      </c>
      <c r="AM1719" s="2">
        <f t="shared" si="27"/>
        <v>0</v>
      </c>
      <c r="AN1719" s="2">
        <f t="shared" si="28"/>
        <v>0</v>
      </c>
      <c r="AO1719" s="2">
        <f t="shared" si="29"/>
      </c>
      <c r="AP1719" s="2">
        <f t="shared" si="30"/>
      </c>
      <c r="AQ1719" s="2">
        <f t="shared" si="31"/>
      </c>
    </row>
    <row r="1720">
      <c r="A1720" s="43">
        <f t="shared" si="3"/>
      </c>
      <c r="B1720" s="44" t="n"/>
      <c r="C1720" s="45" t="n"/>
      <c r="D1720" s="46" t="n"/>
      <c r="E1720" s="47" t="n"/>
      <c r="F1720" s="47" t="n"/>
      <c r="G1720" s="48">
        <f t="shared" si="4"/>
      </c>
      <c r="H1720" s="43">
        <f t="shared" si="0"/>
      </c>
      <c r="I1720" s="43">
        <f t="shared" si="5"/>
      </c>
      <c r="J1720" s="43">
        <f t="shared" si="1"/>
      </c>
      <c r="K1720" s="49">
        <f t="shared" si="2"/>
      </c>
      <c r="L1720" s="45" t="n"/>
      <c r="M1720" s="45" t="n"/>
      <c r="N1720" s="45" t="n"/>
      <c r="O1720" s="45" t="n"/>
      <c r="P1720" s="50" t="n"/>
      <c r="R1720" s="2">
        <f t="shared" si="6"/>
        <v>0</v>
      </c>
      <c r="S1720" s="2">
        <f t="shared" si="7"/>
      </c>
      <c r="T1720" s="2">
        <f t="shared" si="8"/>
      </c>
      <c r="U1720" s="2">
        <f t="shared" si="9"/>
      </c>
      <c r="V1720" s="2">
        <f t="shared" si="10"/>
      </c>
      <c r="W1720" s="2">
        <f t="shared" si="11"/>
      </c>
      <c r="X1720" s="2">
        <f t="shared" si="12"/>
      </c>
      <c r="Y1720" s="2">
        <f t="shared" si="13"/>
        <v>0</v>
      </c>
      <c r="Z1720" s="2">
        <f t="shared" si="14"/>
      </c>
      <c r="AA1720" s="2">
        <f t="shared" si="15"/>
        <v>0</v>
      </c>
      <c r="AB1720" s="2">
        <f t="shared" si="16"/>
      </c>
      <c r="AC1720" s="2">
        <f t="shared" si="17"/>
      </c>
      <c r="AD1720" s="2">
        <f t="shared" si="18"/>
      </c>
      <c r="AE1720" s="2">
        <f t="shared" si="19"/>
      </c>
      <c r="AF1720" s="2">
        <f t="shared" si="20"/>
      </c>
      <c r="AG1720" s="2">
        <f t="shared" si="21"/>
      </c>
      <c r="AH1720" s="2">
        <f t="shared" si="22"/>
      </c>
      <c r="AI1720" s="2">
        <f t="shared" si="23"/>
      </c>
      <c r="AJ1720" s="2">
        <f t="shared" si="24"/>
        <v>0</v>
      </c>
      <c r="AK1720" s="2">
        <f t="shared" si="25"/>
        <v>0</v>
      </c>
      <c r="AL1720" s="2">
        <f t="shared" si="26"/>
        <v>0</v>
      </c>
      <c r="AM1720" s="2">
        <f t="shared" si="27"/>
        <v>0</v>
      </c>
      <c r="AN1720" s="2">
        <f t="shared" si="28"/>
        <v>0</v>
      </c>
      <c r="AO1720" s="2">
        <f t="shared" si="29"/>
      </c>
      <c r="AP1720" s="2">
        <f t="shared" si="30"/>
      </c>
      <c r="AQ1720" s="2">
        <f t="shared" si="31"/>
      </c>
    </row>
    <row r="1721">
      <c r="A1721" s="43">
        <f t="shared" si="3"/>
      </c>
      <c r="B1721" s="44" t="n"/>
      <c r="C1721" s="45" t="n"/>
      <c r="D1721" s="46" t="n"/>
      <c r="E1721" s="47" t="n"/>
      <c r="F1721" s="47" t="n"/>
      <c r="G1721" s="48">
        <f t="shared" si="4"/>
      </c>
      <c r="H1721" s="43">
        <f t="shared" si="0"/>
      </c>
      <c r="I1721" s="43">
        <f t="shared" si="5"/>
      </c>
      <c r="J1721" s="43">
        <f t="shared" si="1"/>
      </c>
      <c r="K1721" s="49">
        <f t="shared" si="2"/>
      </c>
      <c r="L1721" s="45" t="n"/>
      <c r="M1721" s="45" t="n"/>
      <c r="N1721" s="45" t="n"/>
      <c r="O1721" s="45" t="n"/>
      <c r="P1721" s="50" t="n"/>
      <c r="R1721" s="2">
        <f t="shared" si="6"/>
        <v>0</v>
      </c>
      <c r="S1721" s="2">
        <f t="shared" si="7"/>
      </c>
      <c r="T1721" s="2">
        <f t="shared" si="8"/>
      </c>
      <c r="U1721" s="2">
        <f t="shared" si="9"/>
      </c>
      <c r="V1721" s="2">
        <f t="shared" si="10"/>
      </c>
      <c r="W1721" s="2">
        <f t="shared" si="11"/>
      </c>
      <c r="X1721" s="2">
        <f t="shared" si="12"/>
      </c>
      <c r="Y1721" s="2">
        <f t="shared" si="13"/>
        <v>0</v>
      </c>
      <c r="Z1721" s="2">
        <f t="shared" si="14"/>
      </c>
      <c r="AA1721" s="2">
        <f t="shared" si="15"/>
        <v>0</v>
      </c>
      <c r="AB1721" s="2">
        <f t="shared" si="16"/>
      </c>
      <c r="AC1721" s="2">
        <f t="shared" si="17"/>
      </c>
      <c r="AD1721" s="2">
        <f t="shared" si="18"/>
      </c>
      <c r="AE1721" s="2">
        <f t="shared" si="19"/>
      </c>
      <c r="AF1721" s="2">
        <f t="shared" si="20"/>
      </c>
      <c r="AG1721" s="2">
        <f t="shared" si="21"/>
      </c>
      <c r="AH1721" s="2">
        <f t="shared" si="22"/>
      </c>
      <c r="AI1721" s="2">
        <f t="shared" si="23"/>
      </c>
      <c r="AJ1721" s="2">
        <f t="shared" si="24"/>
        <v>0</v>
      </c>
      <c r="AK1721" s="2">
        <f t="shared" si="25"/>
        <v>0</v>
      </c>
      <c r="AL1721" s="2">
        <f t="shared" si="26"/>
        <v>0</v>
      </c>
      <c r="AM1721" s="2">
        <f t="shared" si="27"/>
        <v>0</v>
      </c>
      <c r="AN1721" s="2">
        <f t="shared" si="28"/>
        <v>0</v>
      </c>
      <c r="AO1721" s="2">
        <f t="shared" si="29"/>
      </c>
      <c r="AP1721" s="2">
        <f t="shared" si="30"/>
      </c>
      <c r="AQ1721" s="2">
        <f t="shared" si="31"/>
      </c>
    </row>
    <row r="1722">
      <c r="A1722" s="43">
        <f t="shared" si="3"/>
      </c>
      <c r="B1722" s="44" t="n"/>
      <c r="C1722" s="45" t="n"/>
      <c r="D1722" s="46" t="n"/>
      <c r="E1722" s="47" t="n"/>
      <c r="F1722" s="47" t="n"/>
      <c r="G1722" s="48">
        <f t="shared" si="4"/>
      </c>
      <c r="H1722" s="43">
        <f t="shared" si="0"/>
      </c>
      <c r="I1722" s="43">
        <f t="shared" si="5"/>
      </c>
      <c r="J1722" s="43">
        <f t="shared" si="1"/>
      </c>
      <c r="K1722" s="49">
        <f t="shared" si="2"/>
      </c>
      <c r="L1722" s="45" t="n"/>
      <c r="M1722" s="45" t="n"/>
      <c r="N1722" s="45" t="n"/>
      <c r="O1722" s="45" t="n"/>
      <c r="P1722" s="50" t="n"/>
      <c r="R1722" s="2">
        <f t="shared" si="6"/>
        <v>0</v>
      </c>
      <c r="S1722" s="2">
        <f t="shared" si="7"/>
      </c>
      <c r="T1722" s="2">
        <f t="shared" si="8"/>
      </c>
      <c r="U1722" s="2">
        <f t="shared" si="9"/>
      </c>
      <c r="V1722" s="2">
        <f t="shared" si="10"/>
      </c>
      <c r="W1722" s="2">
        <f t="shared" si="11"/>
      </c>
      <c r="X1722" s="2">
        <f t="shared" si="12"/>
      </c>
      <c r="Y1722" s="2">
        <f t="shared" si="13"/>
        <v>0</v>
      </c>
      <c r="Z1722" s="2">
        <f t="shared" si="14"/>
      </c>
      <c r="AA1722" s="2">
        <f t="shared" si="15"/>
        <v>0</v>
      </c>
      <c r="AB1722" s="2">
        <f t="shared" si="16"/>
      </c>
      <c r="AC1722" s="2">
        <f t="shared" si="17"/>
      </c>
      <c r="AD1722" s="2">
        <f t="shared" si="18"/>
      </c>
      <c r="AE1722" s="2">
        <f t="shared" si="19"/>
      </c>
      <c r="AF1722" s="2">
        <f t="shared" si="20"/>
      </c>
      <c r="AG1722" s="2">
        <f t="shared" si="21"/>
      </c>
      <c r="AH1722" s="2">
        <f t="shared" si="22"/>
      </c>
      <c r="AI1722" s="2">
        <f t="shared" si="23"/>
      </c>
      <c r="AJ1722" s="2">
        <f t="shared" si="24"/>
        <v>0</v>
      </c>
      <c r="AK1722" s="2">
        <f t="shared" si="25"/>
        <v>0</v>
      </c>
      <c r="AL1722" s="2">
        <f t="shared" si="26"/>
        <v>0</v>
      </c>
      <c r="AM1722" s="2">
        <f t="shared" si="27"/>
        <v>0</v>
      </c>
      <c r="AN1722" s="2">
        <f t="shared" si="28"/>
        <v>0</v>
      </c>
      <c r="AO1722" s="2">
        <f t="shared" si="29"/>
      </c>
      <c r="AP1722" s="2">
        <f t="shared" si="30"/>
      </c>
      <c r="AQ1722" s="2">
        <f t="shared" si="31"/>
      </c>
    </row>
    <row r="1723">
      <c r="A1723" s="43">
        <f t="shared" si="3"/>
      </c>
      <c r="B1723" s="44" t="n"/>
      <c r="C1723" s="45" t="n"/>
      <c r="D1723" s="46" t="n"/>
      <c r="E1723" s="47" t="n"/>
      <c r="F1723" s="47" t="n"/>
      <c r="G1723" s="48">
        <f t="shared" si="4"/>
      </c>
      <c r="H1723" s="43">
        <f t="shared" si="0"/>
      </c>
      <c r="I1723" s="43">
        <f t="shared" si="5"/>
      </c>
      <c r="J1723" s="43">
        <f t="shared" si="1"/>
      </c>
      <c r="K1723" s="49">
        <f t="shared" si="2"/>
      </c>
      <c r="L1723" s="45" t="n"/>
      <c r="M1723" s="45" t="n"/>
      <c r="N1723" s="45" t="n"/>
      <c r="O1723" s="45" t="n"/>
      <c r="P1723" s="50" t="n"/>
      <c r="R1723" s="2">
        <f t="shared" si="6"/>
        <v>0</v>
      </c>
      <c r="S1723" s="2">
        <f t="shared" si="7"/>
      </c>
      <c r="T1723" s="2">
        <f t="shared" si="8"/>
      </c>
      <c r="U1723" s="2">
        <f t="shared" si="9"/>
      </c>
      <c r="V1723" s="2">
        <f t="shared" si="10"/>
      </c>
      <c r="W1723" s="2">
        <f t="shared" si="11"/>
      </c>
      <c r="X1723" s="2">
        <f t="shared" si="12"/>
      </c>
      <c r="Y1723" s="2">
        <f t="shared" si="13"/>
        <v>0</v>
      </c>
      <c r="Z1723" s="2">
        <f t="shared" si="14"/>
      </c>
      <c r="AA1723" s="2">
        <f t="shared" si="15"/>
        <v>0</v>
      </c>
      <c r="AB1723" s="2">
        <f t="shared" si="16"/>
      </c>
      <c r="AC1723" s="2">
        <f t="shared" si="17"/>
      </c>
      <c r="AD1723" s="2">
        <f t="shared" si="18"/>
      </c>
      <c r="AE1723" s="2">
        <f t="shared" si="19"/>
      </c>
      <c r="AF1723" s="2">
        <f t="shared" si="20"/>
      </c>
      <c r="AG1723" s="2">
        <f t="shared" si="21"/>
      </c>
      <c r="AH1723" s="2">
        <f t="shared" si="22"/>
      </c>
      <c r="AI1723" s="2">
        <f t="shared" si="23"/>
      </c>
      <c r="AJ1723" s="2">
        <f t="shared" si="24"/>
        <v>0</v>
      </c>
      <c r="AK1723" s="2">
        <f t="shared" si="25"/>
        <v>0</v>
      </c>
      <c r="AL1723" s="2">
        <f t="shared" si="26"/>
        <v>0</v>
      </c>
      <c r="AM1723" s="2">
        <f t="shared" si="27"/>
        <v>0</v>
      </c>
      <c r="AN1723" s="2">
        <f t="shared" si="28"/>
        <v>0</v>
      </c>
      <c r="AO1723" s="2">
        <f t="shared" si="29"/>
      </c>
      <c r="AP1723" s="2">
        <f t="shared" si="30"/>
      </c>
      <c r="AQ1723" s="2">
        <f t="shared" si="31"/>
      </c>
    </row>
    <row r="1724">
      <c r="A1724" s="43">
        <f t="shared" si="3"/>
      </c>
      <c r="B1724" s="44" t="n"/>
      <c r="C1724" s="45" t="n"/>
      <c r="D1724" s="46" t="n"/>
      <c r="E1724" s="47" t="n"/>
      <c r="F1724" s="47" t="n"/>
      <c r="G1724" s="48">
        <f t="shared" si="4"/>
      </c>
      <c r="H1724" s="43">
        <f t="shared" si="0"/>
      </c>
      <c r="I1724" s="43">
        <f t="shared" si="5"/>
      </c>
      <c r="J1724" s="43">
        <f t="shared" si="1"/>
      </c>
      <c r="K1724" s="49">
        <f t="shared" si="2"/>
      </c>
      <c r="L1724" s="45" t="n"/>
      <c r="M1724" s="45" t="n"/>
      <c r="N1724" s="45" t="n"/>
      <c r="O1724" s="45" t="n"/>
      <c r="P1724" s="50" t="n"/>
      <c r="R1724" s="2">
        <f t="shared" si="6"/>
        <v>0</v>
      </c>
      <c r="S1724" s="2">
        <f t="shared" si="7"/>
      </c>
      <c r="T1724" s="2">
        <f t="shared" si="8"/>
      </c>
      <c r="U1724" s="2">
        <f t="shared" si="9"/>
      </c>
      <c r="V1724" s="2">
        <f t="shared" si="10"/>
      </c>
      <c r="W1724" s="2">
        <f t="shared" si="11"/>
      </c>
      <c r="X1724" s="2">
        <f t="shared" si="12"/>
      </c>
      <c r="Y1724" s="2">
        <f t="shared" si="13"/>
        <v>0</v>
      </c>
      <c r="Z1724" s="2">
        <f t="shared" si="14"/>
      </c>
      <c r="AA1724" s="2">
        <f t="shared" si="15"/>
        <v>0</v>
      </c>
      <c r="AB1724" s="2">
        <f t="shared" si="16"/>
      </c>
      <c r="AC1724" s="2">
        <f t="shared" si="17"/>
      </c>
      <c r="AD1724" s="2">
        <f t="shared" si="18"/>
      </c>
      <c r="AE1724" s="2">
        <f t="shared" si="19"/>
      </c>
      <c r="AF1724" s="2">
        <f t="shared" si="20"/>
      </c>
      <c r="AG1724" s="2">
        <f t="shared" si="21"/>
      </c>
      <c r="AH1724" s="2">
        <f t="shared" si="22"/>
      </c>
      <c r="AI1724" s="2">
        <f t="shared" si="23"/>
      </c>
      <c r="AJ1724" s="2">
        <f t="shared" si="24"/>
        <v>0</v>
      </c>
      <c r="AK1724" s="2">
        <f t="shared" si="25"/>
        <v>0</v>
      </c>
      <c r="AL1724" s="2">
        <f t="shared" si="26"/>
        <v>0</v>
      </c>
      <c r="AM1724" s="2">
        <f t="shared" si="27"/>
        <v>0</v>
      </c>
      <c r="AN1724" s="2">
        <f t="shared" si="28"/>
        <v>0</v>
      </c>
      <c r="AO1724" s="2">
        <f t="shared" si="29"/>
      </c>
      <c r="AP1724" s="2">
        <f t="shared" si="30"/>
      </c>
      <c r="AQ1724" s="2">
        <f t="shared" si="31"/>
      </c>
    </row>
    <row r="1725">
      <c r="A1725" s="43">
        <f t="shared" si="3"/>
      </c>
      <c r="B1725" s="44" t="n"/>
      <c r="C1725" s="45" t="n"/>
      <c r="D1725" s="46" t="n"/>
      <c r="E1725" s="47" t="n"/>
      <c r="F1725" s="47" t="n"/>
      <c r="G1725" s="48">
        <f t="shared" si="4"/>
      </c>
      <c r="H1725" s="43">
        <f t="shared" si="0"/>
      </c>
      <c r="I1725" s="43">
        <f t="shared" si="5"/>
      </c>
      <c r="J1725" s="43">
        <f t="shared" si="1"/>
      </c>
      <c r="K1725" s="49">
        <f t="shared" si="2"/>
      </c>
      <c r="L1725" s="45" t="n"/>
      <c r="M1725" s="45" t="n"/>
      <c r="N1725" s="45" t="n"/>
      <c r="O1725" s="45" t="n"/>
      <c r="P1725" s="50" t="n"/>
      <c r="R1725" s="2">
        <f t="shared" si="6"/>
        <v>0</v>
      </c>
      <c r="S1725" s="2">
        <f t="shared" si="7"/>
      </c>
      <c r="T1725" s="2">
        <f t="shared" si="8"/>
      </c>
      <c r="U1725" s="2">
        <f t="shared" si="9"/>
      </c>
      <c r="V1725" s="2">
        <f t="shared" si="10"/>
      </c>
      <c r="W1725" s="2">
        <f t="shared" si="11"/>
      </c>
      <c r="X1725" s="2">
        <f t="shared" si="12"/>
      </c>
      <c r="Y1725" s="2">
        <f t="shared" si="13"/>
        <v>0</v>
      </c>
      <c r="Z1725" s="2">
        <f t="shared" si="14"/>
      </c>
      <c r="AA1725" s="2">
        <f t="shared" si="15"/>
        <v>0</v>
      </c>
      <c r="AB1725" s="2">
        <f t="shared" si="16"/>
      </c>
      <c r="AC1725" s="2">
        <f t="shared" si="17"/>
      </c>
      <c r="AD1725" s="2">
        <f t="shared" si="18"/>
      </c>
      <c r="AE1725" s="2">
        <f t="shared" si="19"/>
      </c>
      <c r="AF1725" s="2">
        <f t="shared" si="20"/>
      </c>
      <c r="AG1725" s="2">
        <f t="shared" si="21"/>
      </c>
      <c r="AH1725" s="2">
        <f t="shared" si="22"/>
      </c>
      <c r="AI1725" s="2">
        <f t="shared" si="23"/>
      </c>
      <c r="AJ1725" s="2">
        <f t="shared" si="24"/>
        <v>0</v>
      </c>
      <c r="AK1725" s="2">
        <f t="shared" si="25"/>
        <v>0</v>
      </c>
      <c r="AL1725" s="2">
        <f t="shared" si="26"/>
        <v>0</v>
      </c>
      <c r="AM1725" s="2">
        <f t="shared" si="27"/>
        <v>0</v>
      </c>
      <c r="AN1725" s="2">
        <f t="shared" si="28"/>
        <v>0</v>
      </c>
      <c r="AO1725" s="2">
        <f t="shared" si="29"/>
      </c>
      <c r="AP1725" s="2">
        <f t="shared" si="30"/>
      </c>
      <c r="AQ1725" s="2">
        <f t="shared" si="31"/>
      </c>
    </row>
    <row r="1726">
      <c r="A1726" s="43">
        <f t="shared" si="3"/>
      </c>
      <c r="B1726" s="44" t="n"/>
      <c r="C1726" s="45" t="n"/>
      <c r="D1726" s="46" t="n"/>
      <c r="E1726" s="47" t="n"/>
      <c r="F1726" s="47" t="n"/>
      <c r="G1726" s="48">
        <f t="shared" si="4"/>
      </c>
      <c r="H1726" s="43">
        <f t="shared" si="0"/>
      </c>
      <c r="I1726" s="43">
        <f t="shared" si="5"/>
      </c>
      <c r="J1726" s="43">
        <f t="shared" si="1"/>
      </c>
      <c r="K1726" s="49">
        <f t="shared" si="2"/>
      </c>
      <c r="L1726" s="45" t="n"/>
      <c r="M1726" s="45" t="n"/>
      <c r="N1726" s="45" t="n"/>
      <c r="O1726" s="45" t="n"/>
      <c r="P1726" s="50" t="n"/>
      <c r="R1726" s="2">
        <f t="shared" si="6"/>
        <v>0</v>
      </c>
      <c r="S1726" s="2">
        <f t="shared" si="7"/>
      </c>
      <c r="T1726" s="2">
        <f t="shared" si="8"/>
      </c>
      <c r="U1726" s="2">
        <f t="shared" si="9"/>
      </c>
      <c r="V1726" s="2">
        <f t="shared" si="10"/>
      </c>
      <c r="W1726" s="2">
        <f t="shared" si="11"/>
      </c>
      <c r="X1726" s="2">
        <f t="shared" si="12"/>
      </c>
      <c r="Y1726" s="2">
        <f t="shared" si="13"/>
        <v>0</v>
      </c>
      <c r="Z1726" s="2">
        <f t="shared" si="14"/>
      </c>
      <c r="AA1726" s="2">
        <f t="shared" si="15"/>
        <v>0</v>
      </c>
      <c r="AB1726" s="2">
        <f t="shared" si="16"/>
      </c>
      <c r="AC1726" s="2">
        <f t="shared" si="17"/>
      </c>
      <c r="AD1726" s="2">
        <f t="shared" si="18"/>
      </c>
      <c r="AE1726" s="2">
        <f t="shared" si="19"/>
      </c>
      <c r="AF1726" s="2">
        <f t="shared" si="20"/>
      </c>
      <c r="AG1726" s="2">
        <f t="shared" si="21"/>
      </c>
      <c r="AH1726" s="2">
        <f t="shared" si="22"/>
      </c>
      <c r="AI1726" s="2">
        <f t="shared" si="23"/>
      </c>
      <c r="AJ1726" s="2">
        <f t="shared" si="24"/>
        <v>0</v>
      </c>
      <c r="AK1726" s="2">
        <f t="shared" si="25"/>
        <v>0</v>
      </c>
      <c r="AL1726" s="2">
        <f t="shared" si="26"/>
        <v>0</v>
      </c>
      <c r="AM1726" s="2">
        <f t="shared" si="27"/>
        <v>0</v>
      </c>
      <c r="AN1726" s="2">
        <f t="shared" si="28"/>
        <v>0</v>
      </c>
      <c r="AO1726" s="2">
        <f t="shared" si="29"/>
      </c>
      <c r="AP1726" s="2">
        <f t="shared" si="30"/>
      </c>
      <c r="AQ1726" s="2">
        <f t="shared" si="31"/>
      </c>
    </row>
    <row r="1727">
      <c r="A1727" s="43">
        <f t="shared" si="3"/>
      </c>
      <c r="B1727" s="44" t="n"/>
      <c r="C1727" s="45" t="n"/>
      <c r="D1727" s="46" t="n"/>
      <c r="E1727" s="47" t="n"/>
      <c r="F1727" s="47" t="n"/>
      <c r="G1727" s="48">
        <f t="shared" si="4"/>
      </c>
      <c r="H1727" s="43">
        <f t="shared" si="0"/>
      </c>
      <c r="I1727" s="43">
        <f t="shared" si="5"/>
      </c>
      <c r="J1727" s="43">
        <f t="shared" si="1"/>
      </c>
      <c r="K1727" s="49">
        <f t="shared" si="2"/>
      </c>
      <c r="L1727" s="45" t="n"/>
      <c r="M1727" s="45" t="n"/>
      <c r="N1727" s="45" t="n"/>
      <c r="O1727" s="45" t="n"/>
      <c r="P1727" s="50" t="n"/>
      <c r="R1727" s="2">
        <f t="shared" si="6"/>
        <v>0</v>
      </c>
      <c r="S1727" s="2">
        <f t="shared" si="7"/>
      </c>
      <c r="T1727" s="2">
        <f t="shared" si="8"/>
      </c>
      <c r="U1727" s="2">
        <f t="shared" si="9"/>
      </c>
      <c r="V1727" s="2">
        <f t="shared" si="10"/>
      </c>
      <c r="W1727" s="2">
        <f t="shared" si="11"/>
      </c>
      <c r="X1727" s="2">
        <f t="shared" si="12"/>
      </c>
      <c r="Y1727" s="2">
        <f t="shared" si="13"/>
        <v>0</v>
      </c>
      <c r="Z1727" s="2">
        <f t="shared" si="14"/>
      </c>
      <c r="AA1727" s="2">
        <f t="shared" si="15"/>
        <v>0</v>
      </c>
      <c r="AB1727" s="2">
        <f t="shared" si="16"/>
      </c>
      <c r="AC1727" s="2">
        <f t="shared" si="17"/>
      </c>
      <c r="AD1727" s="2">
        <f t="shared" si="18"/>
      </c>
      <c r="AE1727" s="2">
        <f t="shared" si="19"/>
      </c>
      <c r="AF1727" s="2">
        <f t="shared" si="20"/>
      </c>
      <c r="AG1727" s="2">
        <f t="shared" si="21"/>
      </c>
      <c r="AH1727" s="2">
        <f t="shared" si="22"/>
      </c>
      <c r="AI1727" s="2">
        <f t="shared" si="23"/>
      </c>
      <c r="AJ1727" s="2">
        <f t="shared" si="24"/>
        <v>0</v>
      </c>
      <c r="AK1727" s="2">
        <f t="shared" si="25"/>
        <v>0</v>
      </c>
      <c r="AL1727" s="2">
        <f t="shared" si="26"/>
        <v>0</v>
      </c>
      <c r="AM1727" s="2">
        <f t="shared" si="27"/>
        <v>0</v>
      </c>
      <c r="AN1727" s="2">
        <f t="shared" si="28"/>
        <v>0</v>
      </c>
      <c r="AO1727" s="2">
        <f t="shared" si="29"/>
      </c>
      <c r="AP1727" s="2">
        <f t="shared" si="30"/>
      </c>
      <c r="AQ1727" s="2">
        <f t="shared" si="31"/>
      </c>
    </row>
    <row r="1728">
      <c r="A1728" s="43">
        <f t="shared" si="3"/>
      </c>
      <c r="B1728" s="44" t="n"/>
      <c r="C1728" s="45" t="n"/>
      <c r="D1728" s="46" t="n"/>
      <c r="E1728" s="47" t="n"/>
      <c r="F1728" s="47" t="n"/>
      <c r="G1728" s="48">
        <f t="shared" si="4"/>
      </c>
      <c r="H1728" s="43">
        <f t="shared" si="0"/>
      </c>
      <c r="I1728" s="43">
        <f t="shared" si="5"/>
      </c>
      <c r="J1728" s="43">
        <f t="shared" si="1"/>
      </c>
      <c r="K1728" s="49">
        <f t="shared" si="2"/>
      </c>
      <c r="L1728" s="45" t="n"/>
      <c r="M1728" s="45" t="n"/>
      <c r="N1728" s="45" t="n"/>
      <c r="O1728" s="45" t="n"/>
      <c r="P1728" s="50" t="n"/>
      <c r="R1728" s="2">
        <f t="shared" si="6"/>
        <v>0</v>
      </c>
      <c r="S1728" s="2">
        <f t="shared" si="7"/>
      </c>
      <c r="T1728" s="2">
        <f t="shared" si="8"/>
      </c>
      <c r="U1728" s="2">
        <f t="shared" si="9"/>
      </c>
      <c r="V1728" s="2">
        <f t="shared" si="10"/>
      </c>
      <c r="W1728" s="2">
        <f t="shared" si="11"/>
      </c>
      <c r="X1728" s="2">
        <f t="shared" si="12"/>
      </c>
      <c r="Y1728" s="2">
        <f t="shared" si="13"/>
        <v>0</v>
      </c>
      <c r="Z1728" s="2">
        <f t="shared" si="14"/>
      </c>
      <c r="AA1728" s="2">
        <f t="shared" si="15"/>
        <v>0</v>
      </c>
      <c r="AB1728" s="2">
        <f t="shared" si="16"/>
      </c>
      <c r="AC1728" s="2">
        <f t="shared" si="17"/>
      </c>
      <c r="AD1728" s="2">
        <f t="shared" si="18"/>
      </c>
      <c r="AE1728" s="2">
        <f t="shared" si="19"/>
      </c>
      <c r="AF1728" s="2">
        <f t="shared" si="20"/>
      </c>
      <c r="AG1728" s="2">
        <f t="shared" si="21"/>
      </c>
      <c r="AH1728" s="2">
        <f t="shared" si="22"/>
      </c>
      <c r="AI1728" s="2">
        <f t="shared" si="23"/>
      </c>
      <c r="AJ1728" s="2">
        <f t="shared" si="24"/>
        <v>0</v>
      </c>
      <c r="AK1728" s="2">
        <f t="shared" si="25"/>
        <v>0</v>
      </c>
      <c r="AL1728" s="2">
        <f t="shared" si="26"/>
        <v>0</v>
      </c>
      <c r="AM1728" s="2">
        <f t="shared" si="27"/>
        <v>0</v>
      </c>
      <c r="AN1728" s="2">
        <f t="shared" si="28"/>
        <v>0</v>
      </c>
      <c r="AO1728" s="2">
        <f t="shared" si="29"/>
      </c>
      <c r="AP1728" s="2">
        <f t="shared" si="30"/>
      </c>
      <c r="AQ1728" s="2">
        <f t="shared" si="31"/>
      </c>
    </row>
    <row r="1729">
      <c r="A1729" s="43">
        <f t="shared" si="3"/>
      </c>
      <c r="B1729" s="44" t="n"/>
      <c r="C1729" s="45" t="n"/>
      <c r="D1729" s="46" t="n"/>
      <c r="E1729" s="47" t="n"/>
      <c r="F1729" s="47" t="n"/>
      <c r="G1729" s="48">
        <f t="shared" si="4"/>
      </c>
      <c r="H1729" s="43">
        <f t="shared" si="0"/>
      </c>
      <c r="I1729" s="43">
        <f t="shared" si="5"/>
      </c>
      <c r="J1729" s="43">
        <f t="shared" si="1"/>
      </c>
      <c r="K1729" s="49">
        <f t="shared" si="2"/>
      </c>
      <c r="L1729" s="45" t="n"/>
      <c r="M1729" s="45" t="n"/>
      <c r="N1729" s="45" t="n"/>
      <c r="O1729" s="45" t="n"/>
      <c r="P1729" s="50" t="n"/>
      <c r="R1729" s="2">
        <f t="shared" si="6"/>
        <v>0</v>
      </c>
      <c r="S1729" s="2">
        <f t="shared" si="7"/>
      </c>
      <c r="T1729" s="2">
        <f t="shared" si="8"/>
      </c>
      <c r="U1729" s="2">
        <f t="shared" si="9"/>
      </c>
      <c r="V1729" s="2">
        <f t="shared" si="10"/>
      </c>
      <c r="W1729" s="2">
        <f t="shared" si="11"/>
      </c>
      <c r="X1729" s="2">
        <f t="shared" si="12"/>
      </c>
      <c r="Y1729" s="2">
        <f t="shared" si="13"/>
        <v>0</v>
      </c>
      <c r="Z1729" s="2">
        <f t="shared" si="14"/>
      </c>
      <c r="AA1729" s="2">
        <f t="shared" si="15"/>
        <v>0</v>
      </c>
      <c r="AB1729" s="2">
        <f t="shared" si="16"/>
      </c>
      <c r="AC1729" s="2">
        <f t="shared" si="17"/>
      </c>
      <c r="AD1729" s="2">
        <f t="shared" si="18"/>
      </c>
      <c r="AE1729" s="2">
        <f t="shared" si="19"/>
      </c>
      <c r="AF1729" s="2">
        <f t="shared" si="20"/>
      </c>
      <c r="AG1729" s="2">
        <f t="shared" si="21"/>
      </c>
      <c r="AH1729" s="2">
        <f t="shared" si="22"/>
      </c>
      <c r="AI1729" s="2">
        <f t="shared" si="23"/>
      </c>
      <c r="AJ1729" s="2">
        <f t="shared" si="24"/>
        <v>0</v>
      </c>
      <c r="AK1729" s="2">
        <f t="shared" si="25"/>
        <v>0</v>
      </c>
      <c r="AL1729" s="2">
        <f t="shared" si="26"/>
        <v>0</v>
      </c>
      <c r="AM1729" s="2">
        <f t="shared" si="27"/>
        <v>0</v>
      </c>
      <c r="AN1729" s="2">
        <f t="shared" si="28"/>
        <v>0</v>
      </c>
      <c r="AO1729" s="2">
        <f t="shared" si="29"/>
      </c>
      <c r="AP1729" s="2">
        <f t="shared" si="30"/>
      </c>
      <c r="AQ1729" s="2">
        <f t="shared" si="31"/>
      </c>
    </row>
    <row r="1730">
      <c r="A1730" s="43">
        <f t="shared" si="3"/>
      </c>
      <c r="B1730" s="44" t="n"/>
      <c r="C1730" s="45" t="n"/>
      <c r="D1730" s="46" t="n"/>
      <c r="E1730" s="47" t="n"/>
      <c r="F1730" s="47" t="n"/>
      <c r="G1730" s="48">
        <f t="shared" si="4"/>
      </c>
      <c r="H1730" s="43">
        <f t="shared" si="0"/>
      </c>
      <c r="I1730" s="43">
        <f t="shared" si="5"/>
      </c>
      <c r="J1730" s="43">
        <f t="shared" si="1"/>
      </c>
      <c r="K1730" s="49">
        <f t="shared" si="2"/>
      </c>
      <c r="L1730" s="45" t="n"/>
      <c r="M1730" s="45" t="n"/>
      <c r="N1730" s="45" t="n"/>
      <c r="O1730" s="45" t="n"/>
      <c r="P1730" s="50" t="n"/>
      <c r="R1730" s="2">
        <f t="shared" si="6"/>
        <v>0</v>
      </c>
      <c r="S1730" s="2">
        <f t="shared" si="7"/>
      </c>
      <c r="T1730" s="2">
        <f t="shared" si="8"/>
      </c>
      <c r="U1730" s="2">
        <f t="shared" si="9"/>
      </c>
      <c r="V1730" s="2">
        <f t="shared" si="10"/>
      </c>
      <c r="W1730" s="2">
        <f t="shared" si="11"/>
      </c>
      <c r="X1730" s="2">
        <f t="shared" si="12"/>
      </c>
      <c r="Y1730" s="2">
        <f t="shared" si="13"/>
        <v>0</v>
      </c>
      <c r="Z1730" s="2">
        <f t="shared" si="14"/>
      </c>
      <c r="AA1730" s="2">
        <f t="shared" si="15"/>
        <v>0</v>
      </c>
      <c r="AB1730" s="2">
        <f t="shared" si="16"/>
      </c>
      <c r="AC1730" s="2">
        <f t="shared" si="17"/>
      </c>
      <c r="AD1730" s="2">
        <f t="shared" si="18"/>
      </c>
      <c r="AE1730" s="2">
        <f t="shared" si="19"/>
      </c>
      <c r="AF1730" s="2">
        <f t="shared" si="20"/>
      </c>
      <c r="AG1730" s="2">
        <f t="shared" si="21"/>
      </c>
      <c r="AH1730" s="2">
        <f t="shared" si="22"/>
      </c>
      <c r="AI1730" s="2">
        <f t="shared" si="23"/>
      </c>
      <c r="AJ1730" s="2">
        <f t="shared" si="24"/>
        <v>0</v>
      </c>
      <c r="AK1730" s="2">
        <f t="shared" si="25"/>
        <v>0</v>
      </c>
      <c r="AL1730" s="2">
        <f t="shared" si="26"/>
        <v>0</v>
      </c>
      <c r="AM1730" s="2">
        <f t="shared" si="27"/>
        <v>0</v>
      </c>
      <c r="AN1730" s="2">
        <f t="shared" si="28"/>
        <v>0</v>
      </c>
      <c r="AO1730" s="2">
        <f t="shared" si="29"/>
      </c>
      <c r="AP1730" s="2">
        <f t="shared" si="30"/>
      </c>
      <c r="AQ1730" s="2">
        <f t="shared" si="31"/>
      </c>
    </row>
    <row r="1731">
      <c r="A1731" s="43">
        <f t="shared" si="3"/>
      </c>
      <c r="B1731" s="44" t="n"/>
      <c r="C1731" s="45" t="n"/>
      <c r="D1731" s="46" t="n"/>
      <c r="E1731" s="47" t="n"/>
      <c r="F1731" s="47" t="n"/>
      <c r="G1731" s="48">
        <f t="shared" si="4"/>
      </c>
      <c r="H1731" s="43">
        <f t="shared" si="0"/>
      </c>
      <c r="I1731" s="43">
        <f t="shared" si="5"/>
      </c>
      <c r="J1731" s="43">
        <f t="shared" si="1"/>
      </c>
      <c r="K1731" s="49">
        <f t="shared" si="2"/>
      </c>
      <c r="L1731" s="45" t="n"/>
      <c r="M1731" s="45" t="n"/>
      <c r="N1731" s="45" t="n"/>
      <c r="O1731" s="45" t="n"/>
      <c r="P1731" s="50" t="n"/>
      <c r="R1731" s="2">
        <f t="shared" si="6"/>
        <v>0</v>
      </c>
      <c r="S1731" s="2">
        <f t="shared" si="7"/>
      </c>
      <c r="T1731" s="2">
        <f t="shared" si="8"/>
      </c>
      <c r="U1731" s="2">
        <f t="shared" si="9"/>
      </c>
      <c r="V1731" s="2">
        <f t="shared" si="10"/>
      </c>
      <c r="W1731" s="2">
        <f t="shared" si="11"/>
      </c>
      <c r="X1731" s="2">
        <f t="shared" si="12"/>
      </c>
      <c r="Y1731" s="2">
        <f t="shared" si="13"/>
        <v>0</v>
      </c>
      <c r="Z1731" s="2">
        <f t="shared" si="14"/>
      </c>
      <c r="AA1731" s="2">
        <f t="shared" si="15"/>
        <v>0</v>
      </c>
      <c r="AB1731" s="2">
        <f t="shared" si="16"/>
      </c>
      <c r="AC1731" s="2">
        <f t="shared" si="17"/>
      </c>
      <c r="AD1731" s="2">
        <f t="shared" si="18"/>
      </c>
      <c r="AE1731" s="2">
        <f t="shared" si="19"/>
      </c>
      <c r="AF1731" s="2">
        <f t="shared" si="20"/>
      </c>
      <c r="AG1731" s="2">
        <f t="shared" si="21"/>
      </c>
      <c r="AH1731" s="2">
        <f t="shared" si="22"/>
      </c>
      <c r="AI1731" s="2">
        <f t="shared" si="23"/>
      </c>
      <c r="AJ1731" s="2">
        <f t="shared" si="24"/>
        <v>0</v>
      </c>
      <c r="AK1731" s="2">
        <f t="shared" si="25"/>
        <v>0</v>
      </c>
      <c r="AL1731" s="2">
        <f t="shared" si="26"/>
        <v>0</v>
      </c>
      <c r="AM1731" s="2">
        <f t="shared" si="27"/>
        <v>0</v>
      </c>
      <c r="AN1731" s="2">
        <f t="shared" si="28"/>
        <v>0</v>
      </c>
      <c r="AO1731" s="2">
        <f t="shared" si="29"/>
      </c>
      <c r="AP1731" s="2">
        <f t="shared" si="30"/>
      </c>
      <c r="AQ1731" s="2">
        <f t="shared" si="31"/>
      </c>
    </row>
    <row r="1732">
      <c r="A1732" s="43">
        <f t="shared" si="3"/>
      </c>
      <c r="B1732" s="44" t="n"/>
      <c r="C1732" s="45" t="n"/>
      <c r="D1732" s="46" t="n"/>
      <c r="E1732" s="47" t="n"/>
      <c r="F1732" s="47" t="n"/>
      <c r="G1732" s="48">
        <f t="shared" si="4"/>
      </c>
      <c r="H1732" s="43">
        <f t="shared" si="0"/>
      </c>
      <c r="I1732" s="43">
        <f t="shared" si="5"/>
      </c>
      <c r="J1732" s="43">
        <f t="shared" si="1"/>
      </c>
      <c r="K1732" s="49">
        <f t="shared" si="2"/>
      </c>
      <c r="L1732" s="45" t="n"/>
      <c r="M1732" s="45" t="n"/>
      <c r="N1732" s="45" t="n"/>
      <c r="O1732" s="45" t="n"/>
      <c r="P1732" s="50" t="n"/>
      <c r="R1732" s="2">
        <f t="shared" si="6"/>
        <v>0</v>
      </c>
      <c r="S1732" s="2">
        <f t="shared" si="7"/>
      </c>
      <c r="T1732" s="2">
        <f t="shared" si="8"/>
      </c>
      <c r="U1732" s="2">
        <f t="shared" si="9"/>
      </c>
      <c r="V1732" s="2">
        <f t="shared" si="10"/>
      </c>
      <c r="W1732" s="2">
        <f t="shared" si="11"/>
      </c>
      <c r="X1732" s="2">
        <f t="shared" si="12"/>
      </c>
      <c r="Y1732" s="2">
        <f t="shared" si="13"/>
        <v>0</v>
      </c>
      <c r="Z1732" s="2">
        <f t="shared" si="14"/>
      </c>
      <c r="AA1732" s="2">
        <f t="shared" si="15"/>
        <v>0</v>
      </c>
      <c r="AB1732" s="2">
        <f t="shared" si="16"/>
      </c>
      <c r="AC1732" s="2">
        <f t="shared" si="17"/>
      </c>
      <c r="AD1732" s="2">
        <f t="shared" si="18"/>
      </c>
      <c r="AE1732" s="2">
        <f t="shared" si="19"/>
      </c>
      <c r="AF1732" s="2">
        <f t="shared" si="20"/>
      </c>
      <c r="AG1732" s="2">
        <f t="shared" si="21"/>
      </c>
      <c r="AH1732" s="2">
        <f t="shared" si="22"/>
      </c>
      <c r="AI1732" s="2">
        <f t="shared" si="23"/>
      </c>
      <c r="AJ1732" s="2">
        <f t="shared" si="24"/>
        <v>0</v>
      </c>
      <c r="AK1732" s="2">
        <f t="shared" si="25"/>
        <v>0</v>
      </c>
      <c r="AL1732" s="2">
        <f t="shared" si="26"/>
        <v>0</v>
      </c>
      <c r="AM1732" s="2">
        <f t="shared" si="27"/>
        <v>0</v>
      </c>
      <c r="AN1732" s="2">
        <f t="shared" si="28"/>
        <v>0</v>
      </c>
      <c r="AO1732" s="2">
        <f t="shared" si="29"/>
      </c>
      <c r="AP1732" s="2">
        <f t="shared" si="30"/>
      </c>
      <c r="AQ1732" s="2">
        <f t="shared" si="31"/>
      </c>
    </row>
    <row r="1733">
      <c r="A1733" s="43">
        <f t="shared" si="3"/>
      </c>
      <c r="B1733" s="44" t="n"/>
      <c r="C1733" s="45" t="n"/>
      <c r="D1733" s="46" t="n"/>
      <c r="E1733" s="47" t="n"/>
      <c r="F1733" s="47" t="n"/>
      <c r="G1733" s="48">
        <f t="shared" si="4"/>
      </c>
      <c r="H1733" s="43">
        <f t="shared" si="0"/>
      </c>
      <c r="I1733" s="43">
        <f t="shared" si="5"/>
      </c>
      <c r="J1733" s="43">
        <f t="shared" si="1"/>
      </c>
      <c r="K1733" s="49">
        <f t="shared" si="2"/>
      </c>
      <c r="L1733" s="45" t="n"/>
      <c r="M1733" s="45" t="n"/>
      <c r="N1733" s="45" t="n"/>
      <c r="O1733" s="45" t="n"/>
      <c r="P1733" s="50" t="n"/>
      <c r="R1733" s="2">
        <f t="shared" si="6"/>
        <v>0</v>
      </c>
      <c r="S1733" s="2">
        <f t="shared" si="7"/>
      </c>
      <c r="T1733" s="2">
        <f t="shared" si="8"/>
      </c>
      <c r="U1733" s="2">
        <f t="shared" si="9"/>
      </c>
      <c r="V1733" s="2">
        <f t="shared" si="10"/>
      </c>
      <c r="W1733" s="2">
        <f t="shared" si="11"/>
      </c>
      <c r="X1733" s="2">
        <f t="shared" si="12"/>
      </c>
      <c r="Y1733" s="2">
        <f t="shared" si="13"/>
        <v>0</v>
      </c>
      <c r="Z1733" s="2">
        <f t="shared" si="14"/>
      </c>
      <c r="AA1733" s="2">
        <f t="shared" si="15"/>
        <v>0</v>
      </c>
      <c r="AB1733" s="2">
        <f t="shared" si="16"/>
      </c>
      <c r="AC1733" s="2">
        <f t="shared" si="17"/>
      </c>
      <c r="AD1733" s="2">
        <f t="shared" si="18"/>
      </c>
      <c r="AE1733" s="2">
        <f t="shared" si="19"/>
      </c>
      <c r="AF1733" s="2">
        <f t="shared" si="20"/>
      </c>
      <c r="AG1733" s="2">
        <f t="shared" si="21"/>
      </c>
      <c r="AH1733" s="2">
        <f t="shared" si="22"/>
      </c>
      <c r="AI1733" s="2">
        <f t="shared" si="23"/>
      </c>
      <c r="AJ1733" s="2">
        <f t="shared" si="24"/>
        <v>0</v>
      </c>
      <c r="AK1733" s="2">
        <f t="shared" si="25"/>
        <v>0</v>
      </c>
      <c r="AL1733" s="2">
        <f t="shared" si="26"/>
        <v>0</v>
      </c>
      <c r="AM1733" s="2">
        <f t="shared" si="27"/>
        <v>0</v>
      </c>
      <c r="AN1733" s="2">
        <f t="shared" si="28"/>
        <v>0</v>
      </c>
      <c r="AO1733" s="2">
        <f t="shared" si="29"/>
      </c>
      <c r="AP1733" s="2">
        <f t="shared" si="30"/>
      </c>
      <c r="AQ1733" s="2">
        <f t="shared" si="31"/>
      </c>
    </row>
    <row r="1734">
      <c r="A1734" s="43">
        <f t="shared" si="3"/>
      </c>
      <c r="B1734" s="44" t="n"/>
      <c r="C1734" s="45" t="n"/>
      <c r="D1734" s="46" t="n"/>
      <c r="E1734" s="47" t="n"/>
      <c r="F1734" s="47" t="n"/>
      <c r="G1734" s="48">
        <f t="shared" si="4"/>
      </c>
      <c r="H1734" s="43">
        <f t="shared" si="0"/>
      </c>
      <c r="I1734" s="43">
        <f t="shared" si="5"/>
      </c>
      <c r="J1734" s="43">
        <f t="shared" si="1"/>
      </c>
      <c r="K1734" s="49">
        <f t="shared" si="2"/>
      </c>
      <c r="L1734" s="45" t="n"/>
      <c r="M1734" s="45" t="n"/>
      <c r="N1734" s="45" t="n"/>
      <c r="O1734" s="45" t="n"/>
      <c r="P1734" s="50" t="n"/>
      <c r="R1734" s="2">
        <f t="shared" si="6"/>
        <v>0</v>
      </c>
      <c r="S1734" s="2">
        <f t="shared" si="7"/>
      </c>
      <c r="T1734" s="2">
        <f t="shared" si="8"/>
      </c>
      <c r="U1734" s="2">
        <f t="shared" si="9"/>
      </c>
      <c r="V1734" s="2">
        <f t="shared" si="10"/>
      </c>
      <c r="W1734" s="2">
        <f t="shared" si="11"/>
      </c>
      <c r="X1734" s="2">
        <f t="shared" si="12"/>
      </c>
      <c r="Y1734" s="2">
        <f t="shared" si="13"/>
        <v>0</v>
      </c>
      <c r="Z1734" s="2">
        <f t="shared" si="14"/>
      </c>
      <c r="AA1734" s="2">
        <f t="shared" si="15"/>
        <v>0</v>
      </c>
      <c r="AB1734" s="2">
        <f t="shared" si="16"/>
      </c>
      <c r="AC1734" s="2">
        <f t="shared" si="17"/>
      </c>
      <c r="AD1734" s="2">
        <f t="shared" si="18"/>
      </c>
      <c r="AE1734" s="2">
        <f t="shared" si="19"/>
      </c>
      <c r="AF1734" s="2">
        <f t="shared" si="20"/>
      </c>
      <c r="AG1734" s="2">
        <f t="shared" si="21"/>
      </c>
      <c r="AH1734" s="2">
        <f t="shared" si="22"/>
      </c>
      <c r="AI1734" s="2">
        <f t="shared" si="23"/>
      </c>
      <c r="AJ1734" s="2">
        <f t="shared" si="24"/>
        <v>0</v>
      </c>
      <c r="AK1734" s="2">
        <f t="shared" si="25"/>
        <v>0</v>
      </c>
      <c r="AL1734" s="2">
        <f t="shared" si="26"/>
        <v>0</v>
      </c>
      <c r="AM1734" s="2">
        <f t="shared" si="27"/>
        <v>0</v>
      </c>
      <c r="AN1734" s="2">
        <f t="shared" si="28"/>
        <v>0</v>
      </c>
      <c r="AO1734" s="2">
        <f t="shared" si="29"/>
      </c>
      <c r="AP1734" s="2">
        <f t="shared" si="30"/>
      </c>
      <c r="AQ1734" s="2">
        <f t="shared" si="31"/>
      </c>
    </row>
    <row r="1735">
      <c r="A1735" s="43">
        <f t="shared" si="3"/>
      </c>
      <c r="B1735" s="44" t="n"/>
      <c r="C1735" s="45" t="n"/>
      <c r="D1735" s="46" t="n"/>
      <c r="E1735" s="47" t="n"/>
      <c r="F1735" s="47" t="n"/>
      <c r="G1735" s="48">
        <f t="shared" si="4"/>
      </c>
      <c r="H1735" s="43">
        <f t="shared" si="0"/>
      </c>
      <c r="I1735" s="43">
        <f t="shared" si="5"/>
      </c>
      <c r="J1735" s="43">
        <f t="shared" si="1"/>
      </c>
      <c r="K1735" s="49">
        <f t="shared" si="2"/>
      </c>
      <c r="L1735" s="45" t="n"/>
      <c r="M1735" s="45" t="n"/>
      <c r="N1735" s="45" t="n"/>
      <c r="O1735" s="45" t="n"/>
      <c r="P1735" s="50" t="n"/>
      <c r="R1735" s="2">
        <f t="shared" si="6"/>
        <v>0</v>
      </c>
      <c r="S1735" s="2">
        <f t="shared" si="7"/>
      </c>
      <c r="T1735" s="2">
        <f t="shared" si="8"/>
      </c>
      <c r="U1735" s="2">
        <f t="shared" si="9"/>
      </c>
      <c r="V1735" s="2">
        <f t="shared" si="10"/>
      </c>
      <c r="W1735" s="2">
        <f t="shared" si="11"/>
      </c>
      <c r="X1735" s="2">
        <f t="shared" si="12"/>
      </c>
      <c r="Y1735" s="2">
        <f t="shared" si="13"/>
        <v>0</v>
      </c>
      <c r="Z1735" s="2">
        <f t="shared" si="14"/>
      </c>
      <c r="AA1735" s="2">
        <f t="shared" si="15"/>
        <v>0</v>
      </c>
      <c r="AB1735" s="2">
        <f t="shared" si="16"/>
      </c>
      <c r="AC1735" s="2">
        <f t="shared" si="17"/>
      </c>
      <c r="AD1735" s="2">
        <f t="shared" si="18"/>
      </c>
      <c r="AE1735" s="2">
        <f t="shared" si="19"/>
      </c>
      <c r="AF1735" s="2">
        <f t="shared" si="20"/>
      </c>
      <c r="AG1735" s="2">
        <f t="shared" si="21"/>
      </c>
      <c r="AH1735" s="2">
        <f t="shared" si="22"/>
      </c>
      <c r="AI1735" s="2">
        <f t="shared" si="23"/>
      </c>
      <c r="AJ1735" s="2">
        <f t="shared" si="24"/>
        <v>0</v>
      </c>
      <c r="AK1735" s="2">
        <f t="shared" si="25"/>
        <v>0</v>
      </c>
      <c r="AL1735" s="2">
        <f t="shared" si="26"/>
        <v>0</v>
      </c>
      <c r="AM1735" s="2">
        <f t="shared" si="27"/>
        <v>0</v>
      </c>
      <c r="AN1735" s="2">
        <f t="shared" si="28"/>
        <v>0</v>
      </c>
      <c r="AO1735" s="2">
        <f t="shared" si="29"/>
      </c>
      <c r="AP1735" s="2">
        <f t="shared" si="30"/>
      </c>
      <c r="AQ1735" s="2">
        <f t="shared" si="31"/>
      </c>
    </row>
    <row r="1736">
      <c r="A1736" s="43">
        <f t="shared" si="3"/>
      </c>
      <c r="B1736" s="44" t="n"/>
      <c r="C1736" s="45" t="n"/>
      <c r="D1736" s="46" t="n"/>
      <c r="E1736" s="47" t="n"/>
      <c r="F1736" s="47" t="n"/>
      <c r="G1736" s="48">
        <f t="shared" si="4"/>
      </c>
      <c r="H1736" s="43">
        <f t="shared" si="0"/>
      </c>
      <c r="I1736" s="43">
        <f t="shared" si="5"/>
      </c>
      <c r="J1736" s="43">
        <f t="shared" si="1"/>
      </c>
      <c r="K1736" s="49">
        <f t="shared" si="2"/>
      </c>
      <c r="L1736" s="45" t="n"/>
      <c r="M1736" s="45" t="n"/>
      <c r="N1736" s="45" t="n"/>
      <c r="O1736" s="45" t="n"/>
      <c r="P1736" s="50" t="n"/>
      <c r="R1736" s="2">
        <f t="shared" si="6"/>
        <v>0</v>
      </c>
      <c r="S1736" s="2">
        <f t="shared" si="7"/>
      </c>
      <c r="T1736" s="2">
        <f t="shared" si="8"/>
      </c>
      <c r="U1736" s="2">
        <f t="shared" si="9"/>
      </c>
      <c r="V1736" s="2">
        <f t="shared" si="10"/>
      </c>
      <c r="W1736" s="2">
        <f t="shared" si="11"/>
      </c>
      <c r="X1736" s="2">
        <f t="shared" si="12"/>
      </c>
      <c r="Y1736" s="2">
        <f t="shared" si="13"/>
        <v>0</v>
      </c>
      <c r="Z1736" s="2">
        <f t="shared" si="14"/>
      </c>
      <c r="AA1736" s="2">
        <f t="shared" si="15"/>
        <v>0</v>
      </c>
      <c r="AB1736" s="2">
        <f t="shared" si="16"/>
      </c>
      <c r="AC1736" s="2">
        <f t="shared" si="17"/>
      </c>
      <c r="AD1736" s="2">
        <f t="shared" si="18"/>
      </c>
      <c r="AE1736" s="2">
        <f t="shared" si="19"/>
      </c>
      <c r="AF1736" s="2">
        <f t="shared" si="20"/>
      </c>
      <c r="AG1736" s="2">
        <f t="shared" si="21"/>
      </c>
      <c r="AH1736" s="2">
        <f t="shared" si="22"/>
      </c>
      <c r="AI1736" s="2">
        <f t="shared" si="23"/>
      </c>
      <c r="AJ1736" s="2">
        <f t="shared" si="24"/>
        <v>0</v>
      </c>
      <c r="AK1736" s="2">
        <f t="shared" si="25"/>
        <v>0</v>
      </c>
      <c r="AL1736" s="2">
        <f t="shared" si="26"/>
        <v>0</v>
      </c>
      <c r="AM1736" s="2">
        <f t="shared" si="27"/>
        <v>0</v>
      </c>
      <c r="AN1736" s="2">
        <f t="shared" si="28"/>
        <v>0</v>
      </c>
      <c r="AO1736" s="2">
        <f t="shared" si="29"/>
      </c>
      <c r="AP1736" s="2">
        <f t="shared" si="30"/>
      </c>
      <c r="AQ1736" s="2">
        <f t="shared" si="31"/>
      </c>
    </row>
    <row r="1737">
      <c r="A1737" s="43">
        <f t="shared" si="3"/>
      </c>
      <c r="B1737" s="44" t="n"/>
      <c r="C1737" s="45" t="n"/>
      <c r="D1737" s="46" t="n"/>
      <c r="E1737" s="47" t="n"/>
      <c r="F1737" s="47" t="n"/>
      <c r="G1737" s="48">
        <f t="shared" si="4"/>
      </c>
      <c r="H1737" s="43">
        <f t="shared" si="0"/>
      </c>
      <c r="I1737" s="43">
        <f t="shared" si="5"/>
      </c>
      <c r="J1737" s="43">
        <f t="shared" si="1"/>
      </c>
      <c r="K1737" s="49">
        <f t="shared" si="2"/>
      </c>
      <c r="L1737" s="45" t="n"/>
      <c r="M1737" s="45" t="n"/>
      <c r="N1737" s="45" t="n"/>
      <c r="O1737" s="45" t="n"/>
      <c r="P1737" s="50" t="n"/>
      <c r="R1737" s="2">
        <f t="shared" si="6"/>
        <v>0</v>
      </c>
      <c r="S1737" s="2">
        <f t="shared" si="7"/>
      </c>
      <c r="T1737" s="2">
        <f t="shared" si="8"/>
      </c>
      <c r="U1737" s="2">
        <f t="shared" si="9"/>
      </c>
      <c r="V1737" s="2">
        <f t="shared" si="10"/>
      </c>
      <c r="W1737" s="2">
        <f t="shared" si="11"/>
      </c>
      <c r="X1737" s="2">
        <f t="shared" si="12"/>
      </c>
      <c r="Y1737" s="2">
        <f t="shared" si="13"/>
        <v>0</v>
      </c>
      <c r="Z1737" s="2">
        <f t="shared" si="14"/>
      </c>
      <c r="AA1737" s="2">
        <f t="shared" si="15"/>
        <v>0</v>
      </c>
      <c r="AB1737" s="2">
        <f t="shared" si="16"/>
      </c>
      <c r="AC1737" s="2">
        <f t="shared" si="17"/>
      </c>
      <c r="AD1737" s="2">
        <f t="shared" si="18"/>
      </c>
      <c r="AE1737" s="2">
        <f t="shared" si="19"/>
      </c>
      <c r="AF1737" s="2">
        <f t="shared" si="20"/>
      </c>
      <c r="AG1737" s="2">
        <f t="shared" si="21"/>
      </c>
      <c r="AH1737" s="2">
        <f t="shared" si="22"/>
      </c>
      <c r="AI1737" s="2">
        <f t="shared" si="23"/>
      </c>
      <c r="AJ1737" s="2">
        <f t="shared" si="24"/>
        <v>0</v>
      </c>
      <c r="AK1737" s="2">
        <f t="shared" si="25"/>
        <v>0</v>
      </c>
      <c r="AL1737" s="2">
        <f t="shared" si="26"/>
        <v>0</v>
      </c>
      <c r="AM1737" s="2">
        <f t="shared" si="27"/>
        <v>0</v>
      </c>
      <c r="AN1737" s="2">
        <f t="shared" si="28"/>
        <v>0</v>
      </c>
      <c r="AO1737" s="2">
        <f t="shared" si="29"/>
      </c>
      <c r="AP1737" s="2">
        <f t="shared" si="30"/>
      </c>
      <c r="AQ1737" s="2">
        <f t="shared" si="31"/>
      </c>
    </row>
    <row r="1738">
      <c r="A1738" s="43">
        <f t="shared" si="3"/>
      </c>
      <c r="B1738" s="44" t="n"/>
      <c r="C1738" s="45" t="n"/>
      <c r="D1738" s="46" t="n"/>
      <c r="E1738" s="47" t="n"/>
      <c r="F1738" s="47" t="n"/>
      <c r="G1738" s="48">
        <f t="shared" si="4"/>
      </c>
      <c r="H1738" s="43">
        <f t="shared" si="0"/>
      </c>
      <c r="I1738" s="43">
        <f t="shared" si="5"/>
      </c>
      <c r="J1738" s="43">
        <f t="shared" si="1"/>
      </c>
      <c r="K1738" s="49">
        <f t="shared" si="2"/>
      </c>
      <c r="L1738" s="45" t="n"/>
      <c r="M1738" s="45" t="n"/>
      <c r="N1738" s="45" t="n"/>
      <c r="O1738" s="45" t="n"/>
      <c r="P1738" s="50" t="n"/>
      <c r="R1738" s="2">
        <f t="shared" si="6"/>
        <v>0</v>
      </c>
      <c r="S1738" s="2">
        <f t="shared" si="7"/>
      </c>
      <c r="T1738" s="2">
        <f t="shared" si="8"/>
      </c>
      <c r="U1738" s="2">
        <f t="shared" si="9"/>
      </c>
      <c r="V1738" s="2">
        <f t="shared" si="10"/>
      </c>
      <c r="W1738" s="2">
        <f t="shared" si="11"/>
      </c>
      <c r="X1738" s="2">
        <f t="shared" si="12"/>
      </c>
      <c r="Y1738" s="2">
        <f t="shared" si="13"/>
        <v>0</v>
      </c>
      <c r="Z1738" s="2">
        <f t="shared" si="14"/>
      </c>
      <c r="AA1738" s="2">
        <f t="shared" si="15"/>
        <v>0</v>
      </c>
      <c r="AB1738" s="2">
        <f t="shared" si="16"/>
      </c>
      <c r="AC1738" s="2">
        <f t="shared" si="17"/>
      </c>
      <c r="AD1738" s="2">
        <f t="shared" si="18"/>
      </c>
      <c r="AE1738" s="2">
        <f t="shared" si="19"/>
      </c>
      <c r="AF1738" s="2">
        <f t="shared" si="20"/>
      </c>
      <c r="AG1738" s="2">
        <f t="shared" si="21"/>
      </c>
      <c r="AH1738" s="2">
        <f t="shared" si="22"/>
      </c>
      <c r="AI1738" s="2">
        <f t="shared" si="23"/>
      </c>
      <c r="AJ1738" s="2">
        <f t="shared" si="24"/>
        <v>0</v>
      </c>
      <c r="AK1738" s="2">
        <f t="shared" si="25"/>
        <v>0</v>
      </c>
      <c r="AL1738" s="2">
        <f t="shared" si="26"/>
        <v>0</v>
      </c>
      <c r="AM1738" s="2">
        <f t="shared" si="27"/>
        <v>0</v>
      </c>
      <c r="AN1738" s="2">
        <f t="shared" si="28"/>
        <v>0</v>
      </c>
      <c r="AO1738" s="2">
        <f t="shared" si="29"/>
      </c>
      <c r="AP1738" s="2">
        <f t="shared" si="30"/>
      </c>
      <c r="AQ1738" s="2">
        <f t="shared" si="31"/>
      </c>
    </row>
    <row r="1739">
      <c r="A1739" s="43">
        <f t="shared" si="3"/>
      </c>
      <c r="B1739" s="44" t="n"/>
      <c r="C1739" s="45" t="n"/>
      <c r="D1739" s="46" t="n"/>
      <c r="E1739" s="47" t="n"/>
      <c r="F1739" s="47" t="n"/>
      <c r="G1739" s="48">
        <f t="shared" si="4"/>
      </c>
      <c r="H1739" s="43">
        <f t="shared" si="0"/>
      </c>
      <c r="I1739" s="43">
        <f t="shared" si="5"/>
      </c>
      <c r="J1739" s="43">
        <f t="shared" si="1"/>
      </c>
      <c r="K1739" s="49">
        <f t="shared" si="2"/>
      </c>
      <c r="L1739" s="45" t="n"/>
      <c r="M1739" s="45" t="n"/>
      <c r="N1739" s="45" t="n"/>
      <c r="O1739" s="45" t="n"/>
      <c r="P1739" s="50" t="n"/>
      <c r="R1739" s="2">
        <f t="shared" si="6"/>
        <v>0</v>
      </c>
      <c r="S1739" s="2">
        <f t="shared" si="7"/>
      </c>
      <c r="T1739" s="2">
        <f t="shared" si="8"/>
      </c>
      <c r="U1739" s="2">
        <f t="shared" si="9"/>
      </c>
      <c r="V1739" s="2">
        <f t="shared" si="10"/>
      </c>
      <c r="W1739" s="2">
        <f t="shared" si="11"/>
      </c>
      <c r="X1739" s="2">
        <f t="shared" si="12"/>
      </c>
      <c r="Y1739" s="2">
        <f t="shared" si="13"/>
        <v>0</v>
      </c>
      <c r="Z1739" s="2">
        <f t="shared" si="14"/>
      </c>
      <c r="AA1739" s="2">
        <f t="shared" si="15"/>
        <v>0</v>
      </c>
      <c r="AB1739" s="2">
        <f t="shared" si="16"/>
      </c>
      <c r="AC1739" s="2">
        <f t="shared" si="17"/>
      </c>
      <c r="AD1739" s="2">
        <f t="shared" si="18"/>
      </c>
      <c r="AE1739" s="2">
        <f t="shared" si="19"/>
      </c>
      <c r="AF1739" s="2">
        <f t="shared" si="20"/>
      </c>
      <c r="AG1739" s="2">
        <f t="shared" si="21"/>
      </c>
      <c r="AH1739" s="2">
        <f t="shared" si="22"/>
      </c>
      <c r="AI1739" s="2">
        <f t="shared" si="23"/>
      </c>
      <c r="AJ1739" s="2">
        <f t="shared" si="24"/>
        <v>0</v>
      </c>
      <c r="AK1739" s="2">
        <f t="shared" si="25"/>
        <v>0</v>
      </c>
      <c r="AL1739" s="2">
        <f t="shared" si="26"/>
        <v>0</v>
      </c>
      <c r="AM1739" s="2">
        <f t="shared" si="27"/>
        <v>0</v>
      </c>
      <c r="AN1739" s="2">
        <f t="shared" si="28"/>
        <v>0</v>
      </c>
      <c r="AO1739" s="2">
        <f t="shared" si="29"/>
      </c>
      <c r="AP1739" s="2">
        <f t="shared" si="30"/>
      </c>
      <c r="AQ1739" s="2">
        <f t="shared" si="31"/>
      </c>
    </row>
    <row r="1740">
      <c r="A1740" s="43">
        <f t="shared" si="3"/>
      </c>
      <c r="B1740" s="44" t="n"/>
      <c r="C1740" s="45" t="n"/>
      <c r="D1740" s="46" t="n"/>
      <c r="E1740" s="47" t="n"/>
      <c r="F1740" s="47" t="n"/>
      <c r="G1740" s="48">
        <f t="shared" si="4"/>
      </c>
      <c r="H1740" s="43">
        <f t="shared" si="0"/>
      </c>
      <c r="I1740" s="43">
        <f t="shared" si="5"/>
      </c>
      <c r="J1740" s="43">
        <f t="shared" si="1"/>
      </c>
      <c r="K1740" s="49">
        <f t="shared" si="2"/>
      </c>
      <c r="L1740" s="45" t="n"/>
      <c r="M1740" s="45" t="n"/>
      <c r="N1740" s="45" t="n"/>
      <c r="O1740" s="45" t="n"/>
      <c r="P1740" s="50" t="n"/>
      <c r="R1740" s="2">
        <f t="shared" si="6"/>
        <v>0</v>
      </c>
      <c r="S1740" s="2">
        <f t="shared" si="7"/>
      </c>
      <c r="T1740" s="2">
        <f t="shared" si="8"/>
      </c>
      <c r="U1740" s="2">
        <f t="shared" si="9"/>
      </c>
      <c r="V1740" s="2">
        <f t="shared" si="10"/>
      </c>
      <c r="W1740" s="2">
        <f t="shared" si="11"/>
      </c>
      <c r="X1740" s="2">
        <f t="shared" si="12"/>
      </c>
      <c r="Y1740" s="2">
        <f t="shared" si="13"/>
        <v>0</v>
      </c>
      <c r="Z1740" s="2">
        <f t="shared" si="14"/>
      </c>
      <c r="AA1740" s="2">
        <f t="shared" si="15"/>
        <v>0</v>
      </c>
      <c r="AB1740" s="2">
        <f t="shared" si="16"/>
      </c>
      <c r="AC1740" s="2">
        <f t="shared" si="17"/>
      </c>
      <c r="AD1740" s="2">
        <f t="shared" si="18"/>
      </c>
      <c r="AE1740" s="2">
        <f t="shared" si="19"/>
      </c>
      <c r="AF1740" s="2">
        <f t="shared" si="20"/>
      </c>
      <c r="AG1740" s="2">
        <f t="shared" si="21"/>
      </c>
      <c r="AH1740" s="2">
        <f t="shared" si="22"/>
      </c>
      <c r="AI1740" s="2">
        <f t="shared" si="23"/>
      </c>
      <c r="AJ1740" s="2">
        <f t="shared" si="24"/>
        <v>0</v>
      </c>
      <c r="AK1740" s="2">
        <f t="shared" si="25"/>
        <v>0</v>
      </c>
      <c r="AL1740" s="2">
        <f t="shared" si="26"/>
        <v>0</v>
      </c>
      <c r="AM1740" s="2">
        <f t="shared" si="27"/>
        <v>0</v>
      </c>
      <c r="AN1740" s="2">
        <f t="shared" si="28"/>
        <v>0</v>
      </c>
      <c r="AO1740" s="2">
        <f t="shared" si="29"/>
      </c>
      <c r="AP1740" s="2">
        <f t="shared" si="30"/>
      </c>
      <c r="AQ1740" s="2">
        <f t="shared" si="31"/>
      </c>
    </row>
    <row r="1741">
      <c r="A1741" s="43">
        <f t="shared" si="3"/>
      </c>
      <c r="B1741" s="44" t="n"/>
      <c r="C1741" s="45" t="n"/>
      <c r="D1741" s="46" t="n"/>
      <c r="E1741" s="47" t="n"/>
      <c r="F1741" s="47" t="n"/>
      <c r="G1741" s="48">
        <f t="shared" si="4"/>
      </c>
      <c r="H1741" s="43">
        <f t="shared" si="0"/>
      </c>
      <c r="I1741" s="43">
        <f t="shared" si="5"/>
      </c>
      <c r="J1741" s="43">
        <f t="shared" si="1"/>
      </c>
      <c r="K1741" s="49">
        <f t="shared" si="2"/>
      </c>
      <c r="L1741" s="45" t="n"/>
      <c r="M1741" s="45" t="n"/>
      <c r="N1741" s="45" t="n"/>
      <c r="O1741" s="45" t="n"/>
      <c r="P1741" s="50" t="n"/>
      <c r="R1741" s="2">
        <f t="shared" si="6"/>
        <v>0</v>
      </c>
      <c r="S1741" s="2">
        <f t="shared" si="7"/>
      </c>
      <c r="T1741" s="2">
        <f t="shared" si="8"/>
      </c>
      <c r="U1741" s="2">
        <f t="shared" si="9"/>
      </c>
      <c r="V1741" s="2">
        <f t="shared" si="10"/>
      </c>
      <c r="W1741" s="2">
        <f t="shared" si="11"/>
      </c>
      <c r="X1741" s="2">
        <f t="shared" si="12"/>
      </c>
      <c r="Y1741" s="2">
        <f t="shared" si="13"/>
        <v>0</v>
      </c>
      <c r="Z1741" s="2">
        <f t="shared" si="14"/>
      </c>
      <c r="AA1741" s="2">
        <f t="shared" si="15"/>
        <v>0</v>
      </c>
      <c r="AB1741" s="2">
        <f t="shared" si="16"/>
      </c>
      <c r="AC1741" s="2">
        <f t="shared" si="17"/>
      </c>
      <c r="AD1741" s="2">
        <f t="shared" si="18"/>
      </c>
      <c r="AE1741" s="2">
        <f t="shared" si="19"/>
      </c>
      <c r="AF1741" s="2">
        <f t="shared" si="20"/>
      </c>
      <c r="AG1741" s="2">
        <f t="shared" si="21"/>
      </c>
      <c r="AH1741" s="2">
        <f t="shared" si="22"/>
      </c>
      <c r="AI1741" s="2">
        <f t="shared" si="23"/>
      </c>
      <c r="AJ1741" s="2">
        <f t="shared" si="24"/>
        <v>0</v>
      </c>
      <c r="AK1741" s="2">
        <f t="shared" si="25"/>
        <v>0</v>
      </c>
      <c r="AL1741" s="2">
        <f t="shared" si="26"/>
        <v>0</v>
      </c>
      <c r="AM1741" s="2">
        <f t="shared" si="27"/>
        <v>0</v>
      </c>
      <c r="AN1741" s="2">
        <f t="shared" si="28"/>
        <v>0</v>
      </c>
      <c r="AO1741" s="2">
        <f t="shared" si="29"/>
      </c>
      <c r="AP1741" s="2">
        <f t="shared" si="30"/>
      </c>
      <c r="AQ1741" s="2">
        <f t="shared" si="31"/>
      </c>
    </row>
    <row r="1742">
      <c r="A1742" s="43">
        <f t="shared" si="3"/>
      </c>
      <c r="B1742" s="44" t="n"/>
      <c r="C1742" s="45" t="n"/>
      <c r="D1742" s="46" t="n"/>
      <c r="E1742" s="47" t="n"/>
      <c r="F1742" s="47" t="n"/>
      <c r="G1742" s="48">
        <f t="shared" si="4"/>
      </c>
      <c r="H1742" s="43">
        <f t="shared" si="0"/>
      </c>
      <c r="I1742" s="43">
        <f t="shared" si="5"/>
      </c>
      <c r="J1742" s="43">
        <f t="shared" si="1"/>
      </c>
      <c r="K1742" s="49">
        <f t="shared" si="2"/>
      </c>
      <c r="L1742" s="45" t="n"/>
      <c r="M1742" s="45" t="n"/>
      <c r="N1742" s="45" t="n"/>
      <c r="O1742" s="45" t="n"/>
      <c r="P1742" s="50" t="n"/>
      <c r="R1742" s="2">
        <f t="shared" si="6"/>
        <v>0</v>
      </c>
      <c r="S1742" s="2">
        <f t="shared" si="7"/>
      </c>
      <c r="T1742" s="2">
        <f t="shared" si="8"/>
      </c>
      <c r="U1742" s="2">
        <f t="shared" si="9"/>
      </c>
      <c r="V1742" s="2">
        <f t="shared" si="10"/>
      </c>
      <c r="W1742" s="2">
        <f t="shared" si="11"/>
      </c>
      <c r="X1742" s="2">
        <f t="shared" si="12"/>
      </c>
      <c r="Y1742" s="2">
        <f t="shared" si="13"/>
        <v>0</v>
      </c>
      <c r="Z1742" s="2">
        <f t="shared" si="14"/>
      </c>
      <c r="AA1742" s="2">
        <f t="shared" si="15"/>
        <v>0</v>
      </c>
      <c r="AB1742" s="2">
        <f t="shared" si="16"/>
      </c>
      <c r="AC1742" s="2">
        <f t="shared" si="17"/>
      </c>
      <c r="AD1742" s="2">
        <f t="shared" si="18"/>
      </c>
      <c r="AE1742" s="2">
        <f t="shared" si="19"/>
      </c>
      <c r="AF1742" s="2">
        <f t="shared" si="20"/>
      </c>
      <c r="AG1742" s="2">
        <f t="shared" si="21"/>
      </c>
      <c r="AH1742" s="2">
        <f t="shared" si="22"/>
      </c>
      <c r="AI1742" s="2">
        <f t="shared" si="23"/>
      </c>
      <c r="AJ1742" s="2">
        <f t="shared" si="24"/>
        <v>0</v>
      </c>
      <c r="AK1742" s="2">
        <f t="shared" si="25"/>
        <v>0</v>
      </c>
      <c r="AL1742" s="2">
        <f t="shared" si="26"/>
        <v>0</v>
      </c>
      <c r="AM1742" s="2">
        <f t="shared" si="27"/>
        <v>0</v>
      </c>
      <c r="AN1742" s="2">
        <f t="shared" si="28"/>
        <v>0</v>
      </c>
      <c r="AO1742" s="2">
        <f t="shared" si="29"/>
      </c>
      <c r="AP1742" s="2">
        <f t="shared" si="30"/>
      </c>
      <c r="AQ1742" s="2">
        <f t="shared" si="31"/>
      </c>
    </row>
    <row r="1743">
      <c r="A1743" s="43">
        <f t="shared" si="3"/>
      </c>
      <c r="B1743" s="44" t="n"/>
      <c r="C1743" s="45" t="n"/>
      <c r="D1743" s="46" t="n"/>
      <c r="E1743" s="47" t="n"/>
      <c r="F1743" s="47" t="n"/>
      <c r="G1743" s="48">
        <f t="shared" si="4"/>
      </c>
      <c r="H1743" s="43">
        <f t="shared" si="0"/>
      </c>
      <c r="I1743" s="43">
        <f t="shared" si="5"/>
      </c>
      <c r="J1743" s="43">
        <f t="shared" si="1"/>
      </c>
      <c r="K1743" s="49">
        <f t="shared" si="2"/>
      </c>
      <c r="L1743" s="45" t="n"/>
      <c r="M1743" s="45" t="n"/>
      <c r="N1743" s="45" t="n"/>
      <c r="O1743" s="45" t="n"/>
      <c r="P1743" s="50" t="n"/>
      <c r="R1743" s="2">
        <f t="shared" si="6"/>
        <v>0</v>
      </c>
      <c r="S1743" s="2">
        <f t="shared" si="7"/>
      </c>
      <c r="T1743" s="2">
        <f t="shared" si="8"/>
      </c>
      <c r="U1743" s="2">
        <f t="shared" si="9"/>
      </c>
      <c r="V1743" s="2">
        <f t="shared" si="10"/>
      </c>
      <c r="W1743" s="2">
        <f t="shared" si="11"/>
      </c>
      <c r="X1743" s="2">
        <f t="shared" si="12"/>
      </c>
      <c r="Y1743" s="2">
        <f t="shared" si="13"/>
        <v>0</v>
      </c>
      <c r="Z1743" s="2">
        <f t="shared" si="14"/>
      </c>
      <c r="AA1743" s="2">
        <f t="shared" si="15"/>
        <v>0</v>
      </c>
      <c r="AB1743" s="2">
        <f t="shared" si="16"/>
      </c>
      <c r="AC1743" s="2">
        <f t="shared" si="17"/>
      </c>
      <c r="AD1743" s="2">
        <f t="shared" si="18"/>
      </c>
      <c r="AE1743" s="2">
        <f t="shared" si="19"/>
      </c>
      <c r="AF1743" s="2">
        <f t="shared" si="20"/>
      </c>
      <c r="AG1743" s="2">
        <f t="shared" si="21"/>
      </c>
      <c r="AH1743" s="2">
        <f t="shared" si="22"/>
      </c>
      <c r="AI1743" s="2">
        <f t="shared" si="23"/>
      </c>
      <c r="AJ1743" s="2">
        <f t="shared" si="24"/>
        <v>0</v>
      </c>
      <c r="AK1743" s="2">
        <f t="shared" si="25"/>
        <v>0</v>
      </c>
      <c r="AL1743" s="2">
        <f t="shared" si="26"/>
        <v>0</v>
      </c>
      <c r="AM1743" s="2">
        <f t="shared" si="27"/>
        <v>0</v>
      </c>
      <c r="AN1743" s="2">
        <f t="shared" si="28"/>
        <v>0</v>
      </c>
      <c r="AO1743" s="2">
        <f t="shared" si="29"/>
      </c>
      <c r="AP1743" s="2">
        <f t="shared" si="30"/>
      </c>
      <c r="AQ1743" s="2">
        <f t="shared" si="31"/>
      </c>
    </row>
    <row r="1744">
      <c r="A1744" s="43">
        <f t="shared" si="3"/>
      </c>
      <c r="B1744" s="44" t="n"/>
      <c r="C1744" s="45" t="n"/>
      <c r="D1744" s="46" t="n"/>
      <c r="E1744" s="47" t="n"/>
      <c r="F1744" s="47" t="n"/>
      <c r="G1744" s="48">
        <f t="shared" si="4"/>
      </c>
      <c r="H1744" s="43">
        <f t="shared" si="0"/>
      </c>
      <c r="I1744" s="43">
        <f t="shared" si="5"/>
      </c>
      <c r="J1744" s="43">
        <f t="shared" si="1"/>
      </c>
      <c r="K1744" s="49">
        <f t="shared" si="2"/>
      </c>
      <c r="L1744" s="45" t="n"/>
      <c r="M1744" s="45" t="n"/>
      <c r="N1744" s="45" t="n"/>
      <c r="O1744" s="45" t="n"/>
      <c r="P1744" s="50" t="n"/>
      <c r="R1744" s="2">
        <f t="shared" si="6"/>
        <v>0</v>
      </c>
      <c r="S1744" s="2">
        <f t="shared" si="7"/>
      </c>
      <c r="T1744" s="2">
        <f t="shared" si="8"/>
      </c>
      <c r="U1744" s="2">
        <f t="shared" si="9"/>
      </c>
      <c r="V1744" s="2">
        <f t="shared" si="10"/>
      </c>
      <c r="W1744" s="2">
        <f t="shared" si="11"/>
      </c>
      <c r="X1744" s="2">
        <f t="shared" si="12"/>
      </c>
      <c r="Y1744" s="2">
        <f t="shared" si="13"/>
        <v>0</v>
      </c>
      <c r="Z1744" s="2">
        <f t="shared" si="14"/>
      </c>
      <c r="AA1744" s="2">
        <f t="shared" si="15"/>
        <v>0</v>
      </c>
      <c r="AB1744" s="2">
        <f t="shared" si="16"/>
      </c>
      <c r="AC1744" s="2">
        <f t="shared" si="17"/>
      </c>
      <c r="AD1744" s="2">
        <f t="shared" si="18"/>
      </c>
      <c r="AE1744" s="2">
        <f t="shared" si="19"/>
      </c>
      <c r="AF1744" s="2">
        <f t="shared" si="20"/>
      </c>
      <c r="AG1744" s="2">
        <f t="shared" si="21"/>
      </c>
      <c r="AH1744" s="2">
        <f t="shared" si="22"/>
      </c>
      <c r="AI1744" s="2">
        <f t="shared" si="23"/>
      </c>
      <c r="AJ1744" s="2">
        <f t="shared" si="24"/>
        <v>0</v>
      </c>
      <c r="AK1744" s="2">
        <f t="shared" si="25"/>
        <v>0</v>
      </c>
      <c r="AL1744" s="2">
        <f t="shared" si="26"/>
        <v>0</v>
      </c>
      <c r="AM1744" s="2">
        <f t="shared" si="27"/>
        <v>0</v>
      </c>
      <c r="AN1744" s="2">
        <f t="shared" si="28"/>
        <v>0</v>
      </c>
      <c r="AO1744" s="2">
        <f t="shared" si="29"/>
      </c>
      <c r="AP1744" s="2">
        <f t="shared" si="30"/>
      </c>
      <c r="AQ1744" s="2">
        <f t="shared" si="31"/>
      </c>
    </row>
    <row r="1745">
      <c r="A1745" s="43">
        <f t="shared" si="3"/>
      </c>
      <c r="B1745" s="44" t="n"/>
      <c r="C1745" s="45" t="n"/>
      <c r="D1745" s="46" t="n"/>
      <c r="E1745" s="47" t="n"/>
      <c r="F1745" s="47" t="n"/>
      <c r="G1745" s="48">
        <f t="shared" si="4"/>
      </c>
      <c r="H1745" s="43">
        <f t="shared" si="0"/>
      </c>
      <c r="I1745" s="43">
        <f t="shared" si="5"/>
      </c>
      <c r="J1745" s="43">
        <f t="shared" si="1"/>
      </c>
      <c r="K1745" s="49">
        <f t="shared" si="2"/>
      </c>
      <c r="L1745" s="45" t="n"/>
      <c r="M1745" s="45" t="n"/>
      <c r="N1745" s="45" t="n"/>
      <c r="O1745" s="45" t="n"/>
      <c r="P1745" s="50" t="n"/>
      <c r="R1745" s="2">
        <f t="shared" si="6"/>
        <v>0</v>
      </c>
      <c r="S1745" s="2">
        <f t="shared" si="7"/>
      </c>
      <c r="T1745" s="2">
        <f t="shared" si="8"/>
      </c>
      <c r="U1745" s="2">
        <f t="shared" si="9"/>
      </c>
      <c r="V1745" s="2">
        <f t="shared" si="10"/>
      </c>
      <c r="W1745" s="2">
        <f t="shared" si="11"/>
      </c>
      <c r="X1745" s="2">
        <f t="shared" si="12"/>
      </c>
      <c r="Y1745" s="2">
        <f t="shared" si="13"/>
        <v>0</v>
      </c>
      <c r="Z1745" s="2">
        <f t="shared" si="14"/>
      </c>
      <c r="AA1745" s="2">
        <f t="shared" si="15"/>
        <v>0</v>
      </c>
      <c r="AB1745" s="2">
        <f t="shared" si="16"/>
      </c>
      <c r="AC1745" s="2">
        <f t="shared" si="17"/>
      </c>
      <c r="AD1745" s="2">
        <f t="shared" si="18"/>
      </c>
      <c r="AE1745" s="2">
        <f t="shared" si="19"/>
      </c>
      <c r="AF1745" s="2">
        <f t="shared" si="20"/>
      </c>
      <c r="AG1745" s="2">
        <f t="shared" si="21"/>
      </c>
      <c r="AH1745" s="2">
        <f t="shared" si="22"/>
      </c>
      <c r="AI1745" s="2">
        <f t="shared" si="23"/>
      </c>
      <c r="AJ1745" s="2">
        <f t="shared" si="24"/>
        <v>0</v>
      </c>
      <c r="AK1745" s="2">
        <f t="shared" si="25"/>
        <v>0</v>
      </c>
      <c r="AL1745" s="2">
        <f t="shared" si="26"/>
        <v>0</v>
      </c>
      <c r="AM1745" s="2">
        <f t="shared" si="27"/>
        <v>0</v>
      </c>
      <c r="AN1745" s="2">
        <f t="shared" si="28"/>
        <v>0</v>
      </c>
      <c r="AO1745" s="2">
        <f t="shared" si="29"/>
      </c>
      <c r="AP1745" s="2">
        <f t="shared" si="30"/>
      </c>
      <c r="AQ1745" s="2">
        <f t="shared" si="31"/>
      </c>
    </row>
    <row r="1746">
      <c r="A1746" s="43">
        <f t="shared" si="3"/>
      </c>
      <c r="B1746" s="44" t="n"/>
      <c r="C1746" s="45" t="n"/>
      <c r="D1746" s="46" t="n"/>
      <c r="E1746" s="47" t="n"/>
      <c r="F1746" s="47" t="n"/>
      <c r="G1746" s="48">
        <f t="shared" si="4"/>
      </c>
      <c r="H1746" s="43">
        <f t="shared" si="0"/>
      </c>
      <c r="I1746" s="43">
        <f t="shared" si="5"/>
      </c>
      <c r="J1746" s="43">
        <f t="shared" si="1"/>
      </c>
      <c r="K1746" s="49">
        <f t="shared" si="2"/>
      </c>
      <c r="L1746" s="45" t="n"/>
      <c r="M1746" s="45" t="n"/>
      <c r="N1746" s="45" t="n"/>
      <c r="O1746" s="45" t="n"/>
      <c r="P1746" s="50" t="n"/>
      <c r="R1746" s="2">
        <f t="shared" si="6"/>
        <v>0</v>
      </c>
      <c r="S1746" s="2">
        <f t="shared" si="7"/>
      </c>
      <c r="T1746" s="2">
        <f t="shared" si="8"/>
      </c>
      <c r="U1746" s="2">
        <f t="shared" si="9"/>
      </c>
      <c r="V1746" s="2">
        <f t="shared" si="10"/>
      </c>
      <c r="W1746" s="2">
        <f t="shared" si="11"/>
      </c>
      <c r="X1746" s="2">
        <f t="shared" si="12"/>
      </c>
      <c r="Y1746" s="2">
        <f t="shared" si="13"/>
        <v>0</v>
      </c>
      <c r="Z1746" s="2">
        <f t="shared" si="14"/>
      </c>
      <c r="AA1746" s="2">
        <f t="shared" si="15"/>
        <v>0</v>
      </c>
      <c r="AB1746" s="2">
        <f t="shared" si="16"/>
      </c>
      <c r="AC1746" s="2">
        <f t="shared" si="17"/>
      </c>
      <c r="AD1746" s="2">
        <f t="shared" si="18"/>
      </c>
      <c r="AE1746" s="2">
        <f t="shared" si="19"/>
      </c>
      <c r="AF1746" s="2">
        <f t="shared" si="20"/>
      </c>
      <c r="AG1746" s="2">
        <f t="shared" si="21"/>
      </c>
      <c r="AH1746" s="2">
        <f t="shared" si="22"/>
      </c>
      <c r="AI1746" s="2">
        <f t="shared" si="23"/>
      </c>
      <c r="AJ1746" s="2">
        <f t="shared" si="24"/>
        <v>0</v>
      </c>
      <c r="AK1746" s="2">
        <f t="shared" si="25"/>
        <v>0</v>
      </c>
      <c r="AL1746" s="2">
        <f t="shared" si="26"/>
        <v>0</v>
      </c>
      <c r="AM1746" s="2">
        <f t="shared" si="27"/>
        <v>0</v>
      </c>
      <c r="AN1746" s="2">
        <f t="shared" si="28"/>
        <v>0</v>
      </c>
      <c r="AO1746" s="2">
        <f t="shared" si="29"/>
      </c>
      <c r="AP1746" s="2">
        <f t="shared" si="30"/>
      </c>
      <c r="AQ1746" s="2">
        <f t="shared" si="31"/>
      </c>
    </row>
    <row r="1747">
      <c r="A1747" s="43">
        <f t="shared" si="3"/>
      </c>
      <c r="B1747" s="44" t="n"/>
      <c r="C1747" s="45" t="n"/>
      <c r="D1747" s="46" t="n"/>
      <c r="E1747" s="47" t="n"/>
      <c r="F1747" s="47" t="n"/>
      <c r="G1747" s="48">
        <f t="shared" si="4"/>
      </c>
      <c r="H1747" s="43">
        <f t="shared" si="0"/>
      </c>
      <c r="I1747" s="43">
        <f t="shared" si="5"/>
      </c>
      <c r="J1747" s="43">
        <f t="shared" si="1"/>
      </c>
      <c r="K1747" s="49">
        <f t="shared" si="2"/>
      </c>
      <c r="L1747" s="45" t="n"/>
      <c r="M1747" s="45" t="n"/>
      <c r="N1747" s="45" t="n"/>
      <c r="O1747" s="45" t="n"/>
      <c r="P1747" s="50" t="n"/>
      <c r="R1747" s="2">
        <f t="shared" si="6"/>
        <v>0</v>
      </c>
      <c r="S1747" s="2">
        <f t="shared" si="7"/>
      </c>
      <c r="T1747" s="2">
        <f t="shared" si="8"/>
      </c>
      <c r="U1747" s="2">
        <f t="shared" si="9"/>
      </c>
      <c r="V1747" s="2">
        <f t="shared" si="10"/>
      </c>
      <c r="W1747" s="2">
        <f t="shared" si="11"/>
      </c>
      <c r="X1747" s="2">
        <f t="shared" si="12"/>
      </c>
      <c r="Y1747" s="2">
        <f t="shared" si="13"/>
        <v>0</v>
      </c>
      <c r="Z1747" s="2">
        <f t="shared" si="14"/>
      </c>
      <c r="AA1747" s="2">
        <f t="shared" si="15"/>
        <v>0</v>
      </c>
      <c r="AB1747" s="2">
        <f t="shared" si="16"/>
      </c>
      <c r="AC1747" s="2">
        <f t="shared" si="17"/>
      </c>
      <c r="AD1747" s="2">
        <f t="shared" si="18"/>
      </c>
      <c r="AE1747" s="2">
        <f t="shared" si="19"/>
      </c>
      <c r="AF1747" s="2">
        <f t="shared" si="20"/>
      </c>
      <c r="AG1747" s="2">
        <f t="shared" si="21"/>
      </c>
      <c r="AH1747" s="2">
        <f t="shared" si="22"/>
      </c>
      <c r="AI1747" s="2">
        <f t="shared" si="23"/>
      </c>
      <c r="AJ1747" s="2">
        <f t="shared" si="24"/>
        <v>0</v>
      </c>
      <c r="AK1747" s="2">
        <f t="shared" si="25"/>
        <v>0</v>
      </c>
      <c r="AL1747" s="2">
        <f t="shared" si="26"/>
        <v>0</v>
      </c>
      <c r="AM1747" s="2">
        <f t="shared" si="27"/>
        <v>0</v>
      </c>
      <c r="AN1747" s="2">
        <f t="shared" si="28"/>
        <v>0</v>
      </c>
      <c r="AO1747" s="2">
        <f t="shared" si="29"/>
      </c>
      <c r="AP1747" s="2">
        <f t="shared" si="30"/>
      </c>
      <c r="AQ1747" s="2">
        <f t="shared" si="31"/>
      </c>
    </row>
    <row r="1748">
      <c r="A1748" s="43">
        <f t="shared" si="3"/>
      </c>
      <c r="B1748" s="44" t="n"/>
      <c r="C1748" s="45" t="n"/>
      <c r="D1748" s="46" t="n"/>
      <c r="E1748" s="47" t="n"/>
      <c r="F1748" s="47" t="n"/>
      <c r="G1748" s="48">
        <f t="shared" si="4"/>
      </c>
      <c r="H1748" s="43">
        <f t="shared" si="0"/>
      </c>
      <c r="I1748" s="43">
        <f t="shared" si="5"/>
      </c>
      <c r="J1748" s="43">
        <f t="shared" si="1"/>
      </c>
      <c r="K1748" s="49">
        <f t="shared" si="2"/>
      </c>
      <c r="L1748" s="45" t="n"/>
      <c r="M1748" s="45" t="n"/>
      <c r="N1748" s="45" t="n"/>
      <c r="O1748" s="45" t="n"/>
      <c r="P1748" s="50" t="n"/>
      <c r="R1748" s="2">
        <f t="shared" si="6"/>
        <v>0</v>
      </c>
      <c r="S1748" s="2">
        <f t="shared" si="7"/>
      </c>
      <c r="T1748" s="2">
        <f t="shared" si="8"/>
      </c>
      <c r="U1748" s="2">
        <f t="shared" si="9"/>
      </c>
      <c r="V1748" s="2">
        <f t="shared" si="10"/>
      </c>
      <c r="W1748" s="2">
        <f t="shared" si="11"/>
      </c>
      <c r="X1748" s="2">
        <f t="shared" si="12"/>
      </c>
      <c r="Y1748" s="2">
        <f t="shared" si="13"/>
        <v>0</v>
      </c>
      <c r="Z1748" s="2">
        <f t="shared" si="14"/>
      </c>
      <c r="AA1748" s="2">
        <f t="shared" si="15"/>
        <v>0</v>
      </c>
      <c r="AB1748" s="2">
        <f t="shared" si="16"/>
      </c>
      <c r="AC1748" s="2">
        <f t="shared" si="17"/>
      </c>
      <c r="AD1748" s="2">
        <f t="shared" si="18"/>
      </c>
      <c r="AE1748" s="2">
        <f t="shared" si="19"/>
      </c>
      <c r="AF1748" s="2">
        <f t="shared" si="20"/>
      </c>
      <c r="AG1748" s="2">
        <f t="shared" si="21"/>
      </c>
      <c r="AH1748" s="2">
        <f t="shared" si="22"/>
      </c>
      <c r="AI1748" s="2">
        <f t="shared" si="23"/>
      </c>
      <c r="AJ1748" s="2">
        <f t="shared" si="24"/>
        <v>0</v>
      </c>
      <c r="AK1748" s="2">
        <f t="shared" si="25"/>
        <v>0</v>
      </c>
      <c r="AL1748" s="2">
        <f t="shared" si="26"/>
        <v>0</v>
      </c>
      <c r="AM1748" s="2">
        <f t="shared" si="27"/>
        <v>0</v>
      </c>
      <c r="AN1748" s="2">
        <f t="shared" si="28"/>
        <v>0</v>
      </c>
      <c r="AO1748" s="2">
        <f t="shared" si="29"/>
      </c>
      <c r="AP1748" s="2">
        <f t="shared" si="30"/>
      </c>
      <c r="AQ1748" s="2">
        <f t="shared" si="31"/>
      </c>
    </row>
    <row r="1749">
      <c r="A1749" s="43">
        <f t="shared" si="3"/>
      </c>
      <c r="B1749" s="44" t="n"/>
      <c r="C1749" s="45" t="n"/>
      <c r="D1749" s="46" t="n"/>
      <c r="E1749" s="47" t="n"/>
      <c r="F1749" s="47" t="n"/>
      <c r="G1749" s="48">
        <f t="shared" si="4"/>
      </c>
      <c r="H1749" s="43">
        <f t="shared" si="0"/>
      </c>
      <c r="I1749" s="43">
        <f t="shared" si="5"/>
      </c>
      <c r="J1749" s="43">
        <f t="shared" si="1"/>
      </c>
      <c r="K1749" s="49">
        <f t="shared" si="2"/>
      </c>
      <c r="L1749" s="45" t="n"/>
      <c r="M1749" s="45" t="n"/>
      <c r="N1749" s="45" t="n"/>
      <c r="O1749" s="45" t="n"/>
      <c r="P1749" s="50" t="n"/>
      <c r="R1749" s="2">
        <f t="shared" si="6"/>
        <v>0</v>
      </c>
      <c r="S1749" s="2">
        <f t="shared" si="7"/>
      </c>
      <c r="T1749" s="2">
        <f t="shared" si="8"/>
      </c>
      <c r="U1749" s="2">
        <f t="shared" si="9"/>
      </c>
      <c r="V1749" s="2">
        <f t="shared" si="10"/>
      </c>
      <c r="W1749" s="2">
        <f t="shared" si="11"/>
      </c>
      <c r="X1749" s="2">
        <f t="shared" si="12"/>
      </c>
      <c r="Y1749" s="2">
        <f t="shared" si="13"/>
        <v>0</v>
      </c>
      <c r="Z1749" s="2">
        <f t="shared" si="14"/>
      </c>
      <c r="AA1749" s="2">
        <f t="shared" si="15"/>
        <v>0</v>
      </c>
      <c r="AB1749" s="2">
        <f t="shared" si="16"/>
      </c>
      <c r="AC1749" s="2">
        <f t="shared" si="17"/>
      </c>
      <c r="AD1749" s="2">
        <f t="shared" si="18"/>
      </c>
      <c r="AE1749" s="2">
        <f t="shared" si="19"/>
      </c>
      <c r="AF1749" s="2">
        <f t="shared" si="20"/>
      </c>
      <c r="AG1749" s="2">
        <f t="shared" si="21"/>
      </c>
      <c r="AH1749" s="2">
        <f t="shared" si="22"/>
      </c>
      <c r="AI1749" s="2">
        <f t="shared" si="23"/>
      </c>
      <c r="AJ1749" s="2">
        <f t="shared" si="24"/>
        <v>0</v>
      </c>
      <c r="AK1749" s="2">
        <f t="shared" si="25"/>
        <v>0</v>
      </c>
      <c r="AL1749" s="2">
        <f t="shared" si="26"/>
        <v>0</v>
      </c>
      <c r="AM1749" s="2">
        <f t="shared" si="27"/>
        <v>0</v>
      </c>
      <c r="AN1749" s="2">
        <f t="shared" si="28"/>
        <v>0</v>
      </c>
      <c r="AO1749" s="2">
        <f t="shared" si="29"/>
      </c>
      <c r="AP1749" s="2">
        <f t="shared" si="30"/>
      </c>
      <c r="AQ1749" s="2">
        <f t="shared" si="31"/>
      </c>
    </row>
    <row r="1750">
      <c r="A1750" s="43">
        <f t="shared" si="3"/>
      </c>
      <c r="B1750" s="44" t="n"/>
      <c r="C1750" s="45" t="n"/>
      <c r="D1750" s="46" t="n"/>
      <c r="E1750" s="47" t="n"/>
      <c r="F1750" s="47" t="n"/>
      <c r="G1750" s="48">
        <f t="shared" si="4"/>
      </c>
      <c r="H1750" s="43">
        <f t="shared" si="0"/>
      </c>
      <c r="I1750" s="43">
        <f t="shared" si="5"/>
      </c>
      <c r="J1750" s="43">
        <f t="shared" si="1"/>
      </c>
      <c r="K1750" s="49">
        <f t="shared" si="2"/>
      </c>
      <c r="L1750" s="45" t="n"/>
      <c r="M1750" s="45" t="n"/>
      <c r="N1750" s="45" t="n"/>
      <c r="O1750" s="45" t="n"/>
      <c r="P1750" s="50" t="n"/>
      <c r="R1750" s="2">
        <f t="shared" si="6"/>
        <v>0</v>
      </c>
      <c r="S1750" s="2">
        <f t="shared" si="7"/>
      </c>
      <c r="T1750" s="2">
        <f t="shared" si="8"/>
      </c>
      <c r="U1750" s="2">
        <f t="shared" si="9"/>
      </c>
      <c r="V1750" s="2">
        <f t="shared" si="10"/>
      </c>
      <c r="W1750" s="2">
        <f t="shared" si="11"/>
      </c>
      <c r="X1750" s="2">
        <f t="shared" si="12"/>
      </c>
      <c r="Y1750" s="2">
        <f t="shared" si="13"/>
        <v>0</v>
      </c>
      <c r="Z1750" s="2">
        <f t="shared" si="14"/>
      </c>
      <c r="AA1750" s="2">
        <f t="shared" si="15"/>
        <v>0</v>
      </c>
      <c r="AB1750" s="2">
        <f t="shared" si="16"/>
      </c>
      <c r="AC1750" s="2">
        <f t="shared" si="17"/>
      </c>
      <c r="AD1750" s="2">
        <f t="shared" si="18"/>
      </c>
      <c r="AE1750" s="2">
        <f t="shared" si="19"/>
      </c>
      <c r="AF1750" s="2">
        <f t="shared" si="20"/>
      </c>
      <c r="AG1750" s="2">
        <f t="shared" si="21"/>
      </c>
      <c r="AH1750" s="2">
        <f t="shared" si="22"/>
      </c>
      <c r="AI1750" s="2">
        <f t="shared" si="23"/>
      </c>
      <c r="AJ1750" s="2">
        <f t="shared" si="24"/>
        <v>0</v>
      </c>
      <c r="AK1750" s="2">
        <f t="shared" si="25"/>
        <v>0</v>
      </c>
      <c r="AL1750" s="2">
        <f t="shared" si="26"/>
        <v>0</v>
      </c>
      <c r="AM1750" s="2">
        <f t="shared" si="27"/>
        <v>0</v>
      </c>
      <c r="AN1750" s="2">
        <f t="shared" si="28"/>
        <v>0</v>
      </c>
      <c r="AO1750" s="2">
        <f t="shared" si="29"/>
      </c>
      <c r="AP1750" s="2">
        <f t="shared" si="30"/>
      </c>
      <c r="AQ1750" s="2">
        <f t="shared" si="31"/>
      </c>
    </row>
    <row r="1751">
      <c r="A1751" s="43">
        <f t="shared" si="3"/>
      </c>
      <c r="B1751" s="44" t="n"/>
      <c r="C1751" s="45" t="n"/>
      <c r="D1751" s="46" t="n"/>
      <c r="E1751" s="47" t="n"/>
      <c r="F1751" s="47" t="n"/>
      <c r="G1751" s="48">
        <f t="shared" si="4"/>
      </c>
      <c r="H1751" s="43">
        <f t="shared" si="0"/>
      </c>
      <c r="I1751" s="43">
        <f t="shared" si="5"/>
      </c>
      <c r="J1751" s="43">
        <f t="shared" si="1"/>
      </c>
      <c r="K1751" s="49">
        <f t="shared" si="2"/>
      </c>
      <c r="L1751" s="45" t="n"/>
      <c r="M1751" s="45" t="n"/>
      <c r="N1751" s="45" t="n"/>
      <c r="O1751" s="45" t="n"/>
      <c r="P1751" s="50" t="n"/>
      <c r="R1751" s="2">
        <f t="shared" si="6"/>
        <v>0</v>
      </c>
      <c r="S1751" s="2">
        <f t="shared" si="7"/>
      </c>
      <c r="T1751" s="2">
        <f t="shared" si="8"/>
      </c>
      <c r="U1751" s="2">
        <f t="shared" si="9"/>
      </c>
      <c r="V1751" s="2">
        <f t="shared" si="10"/>
      </c>
      <c r="W1751" s="2">
        <f t="shared" si="11"/>
      </c>
      <c r="X1751" s="2">
        <f t="shared" si="12"/>
      </c>
      <c r="Y1751" s="2">
        <f t="shared" si="13"/>
        <v>0</v>
      </c>
      <c r="Z1751" s="2">
        <f t="shared" si="14"/>
      </c>
      <c r="AA1751" s="2">
        <f t="shared" si="15"/>
        <v>0</v>
      </c>
      <c r="AB1751" s="2">
        <f t="shared" si="16"/>
      </c>
      <c r="AC1751" s="2">
        <f t="shared" si="17"/>
      </c>
      <c r="AD1751" s="2">
        <f t="shared" si="18"/>
      </c>
      <c r="AE1751" s="2">
        <f t="shared" si="19"/>
      </c>
      <c r="AF1751" s="2">
        <f t="shared" si="20"/>
      </c>
      <c r="AG1751" s="2">
        <f t="shared" si="21"/>
      </c>
      <c r="AH1751" s="2">
        <f t="shared" si="22"/>
      </c>
      <c r="AI1751" s="2">
        <f t="shared" si="23"/>
      </c>
      <c r="AJ1751" s="2">
        <f t="shared" si="24"/>
        <v>0</v>
      </c>
      <c r="AK1751" s="2">
        <f t="shared" si="25"/>
        <v>0</v>
      </c>
      <c r="AL1751" s="2">
        <f t="shared" si="26"/>
        <v>0</v>
      </c>
      <c r="AM1751" s="2">
        <f t="shared" si="27"/>
        <v>0</v>
      </c>
      <c r="AN1751" s="2">
        <f t="shared" si="28"/>
        <v>0</v>
      </c>
      <c r="AO1751" s="2">
        <f t="shared" si="29"/>
      </c>
      <c r="AP1751" s="2">
        <f t="shared" si="30"/>
      </c>
      <c r="AQ1751" s="2">
        <f t="shared" si="31"/>
      </c>
    </row>
    <row r="1752">
      <c r="A1752" s="43">
        <f t="shared" si="3"/>
      </c>
      <c r="B1752" s="44" t="n"/>
      <c r="C1752" s="45" t="n"/>
      <c r="D1752" s="46" t="n"/>
      <c r="E1752" s="47" t="n"/>
      <c r="F1752" s="47" t="n"/>
      <c r="G1752" s="48">
        <f t="shared" si="4"/>
      </c>
      <c r="H1752" s="43">
        <f t="shared" si="0"/>
      </c>
      <c r="I1752" s="43">
        <f t="shared" si="5"/>
      </c>
      <c r="J1752" s="43">
        <f t="shared" si="1"/>
      </c>
      <c r="K1752" s="49">
        <f t="shared" si="2"/>
      </c>
      <c r="L1752" s="45" t="n"/>
      <c r="M1752" s="45" t="n"/>
      <c r="N1752" s="45" t="n"/>
      <c r="O1752" s="45" t="n"/>
      <c r="P1752" s="50" t="n"/>
      <c r="R1752" s="2">
        <f t="shared" si="6"/>
        <v>0</v>
      </c>
      <c r="S1752" s="2">
        <f t="shared" si="7"/>
      </c>
      <c r="T1752" s="2">
        <f t="shared" si="8"/>
      </c>
      <c r="U1752" s="2">
        <f t="shared" si="9"/>
      </c>
      <c r="V1752" s="2">
        <f t="shared" si="10"/>
      </c>
      <c r="W1752" s="2">
        <f t="shared" si="11"/>
      </c>
      <c r="X1752" s="2">
        <f t="shared" si="12"/>
      </c>
      <c r="Y1752" s="2">
        <f t="shared" si="13"/>
        <v>0</v>
      </c>
      <c r="Z1752" s="2">
        <f t="shared" si="14"/>
      </c>
      <c r="AA1752" s="2">
        <f t="shared" si="15"/>
        <v>0</v>
      </c>
      <c r="AB1752" s="2">
        <f t="shared" si="16"/>
      </c>
      <c r="AC1752" s="2">
        <f t="shared" si="17"/>
      </c>
      <c r="AD1752" s="2">
        <f t="shared" si="18"/>
      </c>
      <c r="AE1752" s="2">
        <f t="shared" si="19"/>
      </c>
      <c r="AF1752" s="2">
        <f t="shared" si="20"/>
      </c>
      <c r="AG1752" s="2">
        <f t="shared" si="21"/>
      </c>
      <c r="AH1752" s="2">
        <f t="shared" si="22"/>
      </c>
      <c r="AI1752" s="2">
        <f t="shared" si="23"/>
      </c>
      <c r="AJ1752" s="2">
        <f t="shared" si="24"/>
        <v>0</v>
      </c>
      <c r="AK1752" s="2">
        <f t="shared" si="25"/>
        <v>0</v>
      </c>
      <c r="AL1752" s="2">
        <f t="shared" si="26"/>
        <v>0</v>
      </c>
      <c r="AM1752" s="2">
        <f t="shared" si="27"/>
        <v>0</v>
      </c>
      <c r="AN1752" s="2">
        <f t="shared" si="28"/>
        <v>0</v>
      </c>
      <c r="AO1752" s="2">
        <f t="shared" si="29"/>
      </c>
      <c r="AP1752" s="2">
        <f t="shared" si="30"/>
      </c>
      <c r="AQ1752" s="2">
        <f t="shared" si="31"/>
      </c>
    </row>
    <row r="1753">
      <c r="A1753" s="43">
        <f t="shared" si="3"/>
      </c>
      <c r="B1753" s="44" t="n"/>
      <c r="C1753" s="45" t="n"/>
      <c r="D1753" s="46" t="n"/>
      <c r="E1753" s="47" t="n"/>
      <c r="F1753" s="47" t="n"/>
      <c r="G1753" s="48">
        <f t="shared" si="4"/>
      </c>
      <c r="H1753" s="43">
        <f t="shared" si="0"/>
      </c>
      <c r="I1753" s="43">
        <f t="shared" si="5"/>
      </c>
      <c r="J1753" s="43">
        <f t="shared" si="1"/>
      </c>
      <c r="K1753" s="49">
        <f t="shared" si="2"/>
      </c>
      <c r="L1753" s="45" t="n"/>
      <c r="M1753" s="45" t="n"/>
      <c r="N1753" s="45" t="n"/>
      <c r="O1753" s="45" t="n"/>
      <c r="P1753" s="50" t="n"/>
      <c r="R1753" s="2">
        <f t="shared" si="6"/>
        <v>0</v>
      </c>
      <c r="S1753" s="2">
        <f t="shared" si="7"/>
      </c>
      <c r="T1753" s="2">
        <f t="shared" si="8"/>
      </c>
      <c r="U1753" s="2">
        <f t="shared" si="9"/>
      </c>
      <c r="V1753" s="2">
        <f t="shared" si="10"/>
      </c>
      <c r="W1753" s="2">
        <f t="shared" si="11"/>
      </c>
      <c r="X1753" s="2">
        <f t="shared" si="12"/>
      </c>
      <c r="Y1753" s="2">
        <f t="shared" si="13"/>
        <v>0</v>
      </c>
      <c r="Z1753" s="2">
        <f t="shared" si="14"/>
      </c>
      <c r="AA1753" s="2">
        <f t="shared" si="15"/>
        <v>0</v>
      </c>
      <c r="AB1753" s="2">
        <f t="shared" si="16"/>
      </c>
      <c r="AC1753" s="2">
        <f t="shared" si="17"/>
      </c>
      <c r="AD1753" s="2">
        <f t="shared" si="18"/>
      </c>
      <c r="AE1753" s="2">
        <f t="shared" si="19"/>
      </c>
      <c r="AF1753" s="2">
        <f t="shared" si="20"/>
      </c>
      <c r="AG1753" s="2">
        <f t="shared" si="21"/>
      </c>
      <c r="AH1753" s="2">
        <f t="shared" si="22"/>
      </c>
      <c r="AI1753" s="2">
        <f t="shared" si="23"/>
      </c>
      <c r="AJ1753" s="2">
        <f t="shared" si="24"/>
        <v>0</v>
      </c>
      <c r="AK1753" s="2">
        <f t="shared" si="25"/>
        <v>0</v>
      </c>
      <c r="AL1753" s="2">
        <f t="shared" si="26"/>
        <v>0</v>
      </c>
      <c r="AM1753" s="2">
        <f t="shared" si="27"/>
        <v>0</v>
      </c>
      <c r="AN1753" s="2">
        <f t="shared" si="28"/>
        <v>0</v>
      </c>
      <c r="AO1753" s="2">
        <f t="shared" si="29"/>
      </c>
      <c r="AP1753" s="2">
        <f t="shared" si="30"/>
      </c>
      <c r="AQ1753" s="2">
        <f t="shared" si="31"/>
      </c>
    </row>
    <row r="1754">
      <c r="A1754" s="43">
        <f t="shared" si="3"/>
      </c>
      <c r="B1754" s="44" t="n"/>
      <c r="C1754" s="45" t="n"/>
      <c r="D1754" s="46" t="n"/>
      <c r="E1754" s="47" t="n"/>
      <c r="F1754" s="47" t="n"/>
      <c r="G1754" s="48">
        <f t="shared" si="4"/>
      </c>
      <c r="H1754" s="43">
        <f t="shared" si="0"/>
      </c>
      <c r="I1754" s="43">
        <f t="shared" si="5"/>
      </c>
      <c r="J1754" s="43">
        <f t="shared" si="1"/>
      </c>
      <c r="K1754" s="49">
        <f t="shared" si="2"/>
      </c>
      <c r="L1754" s="45" t="n"/>
      <c r="M1754" s="45" t="n"/>
      <c r="N1754" s="45" t="n"/>
      <c r="O1754" s="45" t="n"/>
      <c r="P1754" s="50" t="n"/>
      <c r="R1754" s="2">
        <f t="shared" si="6"/>
        <v>0</v>
      </c>
      <c r="S1754" s="2">
        <f t="shared" si="7"/>
      </c>
      <c r="T1754" s="2">
        <f t="shared" si="8"/>
      </c>
      <c r="U1754" s="2">
        <f t="shared" si="9"/>
      </c>
      <c r="V1754" s="2">
        <f t="shared" si="10"/>
      </c>
      <c r="W1754" s="2">
        <f t="shared" si="11"/>
      </c>
      <c r="X1754" s="2">
        <f t="shared" si="12"/>
      </c>
      <c r="Y1754" s="2">
        <f t="shared" si="13"/>
        <v>0</v>
      </c>
      <c r="Z1754" s="2">
        <f t="shared" si="14"/>
      </c>
      <c r="AA1754" s="2">
        <f t="shared" si="15"/>
        <v>0</v>
      </c>
      <c r="AB1754" s="2">
        <f t="shared" si="16"/>
      </c>
      <c r="AC1754" s="2">
        <f t="shared" si="17"/>
      </c>
      <c r="AD1754" s="2">
        <f t="shared" si="18"/>
      </c>
      <c r="AE1754" s="2">
        <f t="shared" si="19"/>
      </c>
      <c r="AF1754" s="2">
        <f t="shared" si="20"/>
      </c>
      <c r="AG1754" s="2">
        <f t="shared" si="21"/>
      </c>
      <c r="AH1754" s="2">
        <f t="shared" si="22"/>
      </c>
      <c r="AI1754" s="2">
        <f t="shared" si="23"/>
      </c>
      <c r="AJ1754" s="2">
        <f t="shared" si="24"/>
        <v>0</v>
      </c>
      <c r="AK1754" s="2">
        <f t="shared" si="25"/>
        <v>0</v>
      </c>
      <c r="AL1754" s="2">
        <f t="shared" si="26"/>
        <v>0</v>
      </c>
      <c r="AM1754" s="2">
        <f t="shared" si="27"/>
        <v>0</v>
      </c>
      <c r="AN1754" s="2">
        <f t="shared" si="28"/>
        <v>0</v>
      </c>
      <c r="AO1754" s="2">
        <f t="shared" si="29"/>
      </c>
      <c r="AP1754" s="2">
        <f t="shared" si="30"/>
      </c>
      <c r="AQ1754" s="2">
        <f t="shared" si="31"/>
      </c>
    </row>
    <row r="1755">
      <c r="A1755" s="43">
        <f t="shared" si="3"/>
      </c>
      <c r="B1755" s="44" t="n"/>
      <c r="C1755" s="45" t="n"/>
      <c r="D1755" s="46" t="n"/>
      <c r="E1755" s="47" t="n"/>
      <c r="F1755" s="47" t="n"/>
      <c r="G1755" s="48">
        <f t="shared" si="4"/>
      </c>
      <c r="H1755" s="43">
        <f t="shared" si="0"/>
      </c>
      <c r="I1755" s="43">
        <f t="shared" si="5"/>
      </c>
      <c r="J1755" s="43">
        <f t="shared" si="1"/>
      </c>
      <c r="K1755" s="49">
        <f t="shared" si="2"/>
      </c>
      <c r="L1755" s="45" t="n"/>
      <c r="M1755" s="45" t="n"/>
      <c r="N1755" s="45" t="n"/>
      <c r="O1755" s="45" t="n"/>
      <c r="P1755" s="50" t="n"/>
      <c r="R1755" s="2">
        <f t="shared" si="6"/>
        <v>0</v>
      </c>
      <c r="S1755" s="2">
        <f t="shared" si="7"/>
      </c>
      <c r="T1755" s="2">
        <f t="shared" si="8"/>
      </c>
      <c r="U1755" s="2">
        <f t="shared" si="9"/>
      </c>
      <c r="V1755" s="2">
        <f t="shared" si="10"/>
      </c>
      <c r="W1755" s="2">
        <f t="shared" si="11"/>
      </c>
      <c r="X1755" s="2">
        <f t="shared" si="12"/>
      </c>
      <c r="Y1755" s="2">
        <f t="shared" si="13"/>
        <v>0</v>
      </c>
      <c r="Z1755" s="2">
        <f t="shared" si="14"/>
      </c>
      <c r="AA1755" s="2">
        <f t="shared" si="15"/>
        <v>0</v>
      </c>
      <c r="AB1755" s="2">
        <f t="shared" si="16"/>
      </c>
      <c r="AC1755" s="2">
        <f t="shared" si="17"/>
      </c>
      <c r="AD1755" s="2">
        <f t="shared" si="18"/>
      </c>
      <c r="AE1755" s="2">
        <f t="shared" si="19"/>
      </c>
      <c r="AF1755" s="2">
        <f t="shared" si="20"/>
      </c>
      <c r="AG1755" s="2">
        <f t="shared" si="21"/>
      </c>
      <c r="AH1755" s="2">
        <f t="shared" si="22"/>
      </c>
      <c r="AI1755" s="2">
        <f t="shared" si="23"/>
      </c>
      <c r="AJ1755" s="2">
        <f t="shared" si="24"/>
        <v>0</v>
      </c>
      <c r="AK1755" s="2">
        <f t="shared" si="25"/>
        <v>0</v>
      </c>
      <c r="AL1755" s="2">
        <f t="shared" si="26"/>
        <v>0</v>
      </c>
      <c r="AM1755" s="2">
        <f t="shared" si="27"/>
        <v>0</v>
      </c>
      <c r="AN1755" s="2">
        <f t="shared" si="28"/>
        <v>0</v>
      </c>
      <c r="AO1755" s="2">
        <f t="shared" si="29"/>
      </c>
      <c r="AP1755" s="2">
        <f t="shared" si="30"/>
      </c>
      <c r="AQ1755" s="2">
        <f t="shared" si="31"/>
      </c>
    </row>
    <row r="1756">
      <c r="A1756" s="43">
        <f t="shared" si="3"/>
      </c>
      <c r="B1756" s="44" t="n"/>
      <c r="C1756" s="45" t="n"/>
      <c r="D1756" s="46" t="n"/>
      <c r="E1756" s="47" t="n"/>
      <c r="F1756" s="47" t="n"/>
      <c r="G1756" s="48">
        <f t="shared" si="4"/>
      </c>
      <c r="H1756" s="43">
        <f t="shared" si="0"/>
      </c>
      <c r="I1756" s="43">
        <f t="shared" si="5"/>
      </c>
      <c r="J1756" s="43">
        <f t="shared" si="1"/>
      </c>
      <c r="K1756" s="49">
        <f t="shared" si="2"/>
      </c>
      <c r="L1756" s="45" t="n"/>
      <c r="M1756" s="45" t="n"/>
      <c r="N1756" s="45" t="n"/>
      <c r="O1756" s="45" t="n"/>
      <c r="P1756" s="50" t="n"/>
      <c r="R1756" s="2">
        <f t="shared" si="6"/>
        <v>0</v>
      </c>
      <c r="S1756" s="2">
        <f t="shared" si="7"/>
      </c>
      <c r="T1756" s="2">
        <f t="shared" si="8"/>
      </c>
      <c r="U1756" s="2">
        <f t="shared" si="9"/>
      </c>
      <c r="V1756" s="2">
        <f t="shared" si="10"/>
      </c>
      <c r="W1756" s="2">
        <f t="shared" si="11"/>
      </c>
      <c r="X1756" s="2">
        <f t="shared" si="12"/>
      </c>
      <c r="Y1756" s="2">
        <f t="shared" si="13"/>
        <v>0</v>
      </c>
      <c r="Z1756" s="2">
        <f t="shared" si="14"/>
      </c>
      <c r="AA1756" s="2">
        <f t="shared" si="15"/>
        <v>0</v>
      </c>
      <c r="AB1756" s="2">
        <f t="shared" si="16"/>
      </c>
      <c r="AC1756" s="2">
        <f t="shared" si="17"/>
      </c>
      <c r="AD1756" s="2">
        <f t="shared" si="18"/>
      </c>
      <c r="AE1756" s="2">
        <f t="shared" si="19"/>
      </c>
      <c r="AF1756" s="2">
        <f t="shared" si="20"/>
      </c>
      <c r="AG1756" s="2">
        <f t="shared" si="21"/>
      </c>
      <c r="AH1756" s="2">
        <f t="shared" si="22"/>
      </c>
      <c r="AI1756" s="2">
        <f t="shared" si="23"/>
      </c>
      <c r="AJ1756" s="2">
        <f t="shared" si="24"/>
        <v>0</v>
      </c>
      <c r="AK1756" s="2">
        <f t="shared" si="25"/>
        <v>0</v>
      </c>
      <c r="AL1756" s="2">
        <f t="shared" si="26"/>
        <v>0</v>
      </c>
      <c r="AM1756" s="2">
        <f t="shared" si="27"/>
        <v>0</v>
      </c>
      <c r="AN1756" s="2">
        <f t="shared" si="28"/>
        <v>0</v>
      </c>
      <c r="AO1756" s="2">
        <f t="shared" si="29"/>
      </c>
      <c r="AP1756" s="2">
        <f t="shared" si="30"/>
      </c>
      <c r="AQ1756" s="2">
        <f t="shared" si="31"/>
      </c>
    </row>
    <row r="1757">
      <c r="A1757" s="43">
        <f t="shared" si="3"/>
      </c>
      <c r="B1757" s="44" t="n"/>
      <c r="C1757" s="45" t="n"/>
      <c r="D1757" s="46" t="n"/>
      <c r="E1757" s="47" t="n"/>
      <c r="F1757" s="47" t="n"/>
      <c r="G1757" s="48">
        <f t="shared" si="4"/>
      </c>
      <c r="H1757" s="43">
        <f t="shared" si="0"/>
      </c>
      <c r="I1757" s="43">
        <f t="shared" si="5"/>
      </c>
      <c r="J1757" s="43">
        <f t="shared" si="1"/>
      </c>
      <c r="K1757" s="49">
        <f t="shared" si="2"/>
      </c>
      <c r="L1757" s="45" t="n"/>
      <c r="M1757" s="45" t="n"/>
      <c r="N1757" s="45" t="n"/>
      <c r="O1757" s="45" t="n"/>
      <c r="P1757" s="50" t="n"/>
      <c r="R1757" s="2">
        <f t="shared" si="6"/>
        <v>0</v>
      </c>
      <c r="S1757" s="2">
        <f t="shared" si="7"/>
      </c>
      <c r="T1757" s="2">
        <f t="shared" si="8"/>
      </c>
      <c r="U1757" s="2">
        <f t="shared" si="9"/>
      </c>
      <c r="V1757" s="2">
        <f t="shared" si="10"/>
      </c>
      <c r="W1757" s="2">
        <f t="shared" si="11"/>
      </c>
      <c r="X1757" s="2">
        <f t="shared" si="12"/>
      </c>
      <c r="Y1757" s="2">
        <f t="shared" si="13"/>
        <v>0</v>
      </c>
      <c r="Z1757" s="2">
        <f t="shared" si="14"/>
      </c>
      <c r="AA1757" s="2">
        <f t="shared" si="15"/>
        <v>0</v>
      </c>
      <c r="AB1757" s="2">
        <f t="shared" si="16"/>
      </c>
      <c r="AC1757" s="2">
        <f t="shared" si="17"/>
      </c>
      <c r="AD1757" s="2">
        <f t="shared" si="18"/>
      </c>
      <c r="AE1757" s="2">
        <f t="shared" si="19"/>
      </c>
      <c r="AF1757" s="2">
        <f t="shared" si="20"/>
      </c>
      <c r="AG1757" s="2">
        <f t="shared" si="21"/>
      </c>
      <c r="AH1757" s="2">
        <f t="shared" si="22"/>
      </c>
      <c r="AI1757" s="2">
        <f t="shared" si="23"/>
      </c>
      <c r="AJ1757" s="2">
        <f t="shared" si="24"/>
        <v>0</v>
      </c>
      <c r="AK1757" s="2">
        <f t="shared" si="25"/>
        <v>0</v>
      </c>
      <c r="AL1757" s="2">
        <f t="shared" si="26"/>
        <v>0</v>
      </c>
      <c r="AM1757" s="2">
        <f t="shared" si="27"/>
        <v>0</v>
      </c>
      <c r="AN1757" s="2">
        <f t="shared" si="28"/>
        <v>0</v>
      </c>
      <c r="AO1757" s="2">
        <f t="shared" si="29"/>
      </c>
      <c r="AP1757" s="2">
        <f t="shared" si="30"/>
      </c>
      <c r="AQ1757" s="2">
        <f t="shared" si="31"/>
      </c>
    </row>
    <row r="1758">
      <c r="A1758" s="43">
        <f t="shared" si="3"/>
      </c>
      <c r="B1758" s="44" t="n"/>
      <c r="C1758" s="45" t="n"/>
      <c r="D1758" s="46" t="n"/>
      <c r="E1758" s="47" t="n"/>
      <c r="F1758" s="47" t="n"/>
      <c r="G1758" s="48">
        <f t="shared" si="4"/>
      </c>
      <c r="H1758" s="43">
        <f t="shared" si="0"/>
      </c>
      <c r="I1758" s="43">
        <f t="shared" si="5"/>
      </c>
      <c r="J1758" s="43">
        <f t="shared" si="1"/>
      </c>
      <c r="K1758" s="49">
        <f t="shared" si="2"/>
      </c>
      <c r="L1758" s="45" t="n"/>
      <c r="M1758" s="45" t="n"/>
      <c r="N1758" s="45" t="n"/>
      <c r="O1758" s="45" t="n"/>
      <c r="P1758" s="50" t="n"/>
      <c r="R1758" s="2">
        <f t="shared" si="6"/>
        <v>0</v>
      </c>
      <c r="S1758" s="2">
        <f t="shared" si="7"/>
      </c>
      <c r="T1758" s="2">
        <f t="shared" si="8"/>
      </c>
      <c r="U1758" s="2">
        <f t="shared" si="9"/>
      </c>
      <c r="V1758" s="2">
        <f t="shared" si="10"/>
      </c>
      <c r="W1758" s="2">
        <f t="shared" si="11"/>
      </c>
      <c r="X1758" s="2">
        <f t="shared" si="12"/>
      </c>
      <c r="Y1758" s="2">
        <f t="shared" si="13"/>
        <v>0</v>
      </c>
      <c r="Z1758" s="2">
        <f t="shared" si="14"/>
      </c>
      <c r="AA1758" s="2">
        <f t="shared" si="15"/>
        <v>0</v>
      </c>
      <c r="AB1758" s="2">
        <f t="shared" si="16"/>
      </c>
      <c r="AC1758" s="2">
        <f t="shared" si="17"/>
      </c>
      <c r="AD1758" s="2">
        <f t="shared" si="18"/>
      </c>
      <c r="AE1758" s="2">
        <f t="shared" si="19"/>
      </c>
      <c r="AF1758" s="2">
        <f t="shared" si="20"/>
      </c>
      <c r="AG1758" s="2">
        <f t="shared" si="21"/>
      </c>
      <c r="AH1758" s="2">
        <f t="shared" si="22"/>
      </c>
      <c r="AI1758" s="2">
        <f t="shared" si="23"/>
      </c>
      <c r="AJ1758" s="2">
        <f t="shared" si="24"/>
        <v>0</v>
      </c>
      <c r="AK1758" s="2">
        <f t="shared" si="25"/>
        <v>0</v>
      </c>
      <c r="AL1758" s="2">
        <f t="shared" si="26"/>
        <v>0</v>
      </c>
      <c r="AM1758" s="2">
        <f t="shared" si="27"/>
        <v>0</v>
      </c>
      <c r="AN1758" s="2">
        <f t="shared" si="28"/>
        <v>0</v>
      </c>
      <c r="AO1758" s="2">
        <f t="shared" si="29"/>
      </c>
      <c r="AP1758" s="2">
        <f t="shared" si="30"/>
      </c>
      <c r="AQ1758" s="2">
        <f t="shared" si="31"/>
      </c>
    </row>
    <row r="1759">
      <c r="A1759" s="43">
        <f t="shared" si="3"/>
      </c>
      <c r="B1759" s="44" t="n"/>
      <c r="C1759" s="45" t="n"/>
      <c r="D1759" s="46" t="n"/>
      <c r="E1759" s="47" t="n"/>
      <c r="F1759" s="47" t="n"/>
      <c r="G1759" s="48">
        <f t="shared" si="4"/>
      </c>
      <c r="H1759" s="43">
        <f t="shared" si="0"/>
      </c>
      <c r="I1759" s="43">
        <f t="shared" si="5"/>
      </c>
      <c r="J1759" s="43">
        <f t="shared" si="1"/>
      </c>
      <c r="K1759" s="49">
        <f t="shared" si="2"/>
      </c>
      <c r="L1759" s="45" t="n"/>
      <c r="M1759" s="45" t="n"/>
      <c r="N1759" s="45" t="n"/>
      <c r="O1759" s="45" t="n"/>
      <c r="P1759" s="50" t="n"/>
      <c r="R1759" s="2">
        <f t="shared" si="6"/>
        <v>0</v>
      </c>
      <c r="S1759" s="2">
        <f t="shared" si="7"/>
      </c>
      <c r="T1759" s="2">
        <f t="shared" si="8"/>
      </c>
      <c r="U1759" s="2">
        <f t="shared" si="9"/>
      </c>
      <c r="V1759" s="2">
        <f t="shared" si="10"/>
      </c>
      <c r="W1759" s="2">
        <f t="shared" si="11"/>
      </c>
      <c r="X1759" s="2">
        <f t="shared" si="12"/>
      </c>
      <c r="Y1759" s="2">
        <f t="shared" si="13"/>
        <v>0</v>
      </c>
      <c r="Z1759" s="2">
        <f t="shared" si="14"/>
      </c>
      <c r="AA1759" s="2">
        <f t="shared" si="15"/>
        <v>0</v>
      </c>
      <c r="AB1759" s="2">
        <f t="shared" si="16"/>
      </c>
      <c r="AC1759" s="2">
        <f t="shared" si="17"/>
      </c>
      <c r="AD1759" s="2">
        <f t="shared" si="18"/>
      </c>
      <c r="AE1759" s="2">
        <f t="shared" si="19"/>
      </c>
      <c r="AF1759" s="2">
        <f t="shared" si="20"/>
      </c>
      <c r="AG1759" s="2">
        <f t="shared" si="21"/>
      </c>
      <c r="AH1759" s="2">
        <f t="shared" si="22"/>
      </c>
      <c r="AI1759" s="2">
        <f t="shared" si="23"/>
      </c>
      <c r="AJ1759" s="2">
        <f t="shared" si="24"/>
        <v>0</v>
      </c>
      <c r="AK1759" s="2">
        <f t="shared" si="25"/>
        <v>0</v>
      </c>
      <c r="AL1759" s="2">
        <f t="shared" si="26"/>
        <v>0</v>
      </c>
      <c r="AM1759" s="2">
        <f t="shared" si="27"/>
        <v>0</v>
      </c>
      <c r="AN1759" s="2">
        <f t="shared" si="28"/>
        <v>0</v>
      </c>
      <c r="AO1759" s="2">
        <f t="shared" si="29"/>
      </c>
      <c r="AP1759" s="2">
        <f t="shared" si="30"/>
      </c>
      <c r="AQ1759" s="2">
        <f t="shared" si="31"/>
      </c>
    </row>
    <row r="1760">
      <c r="A1760" s="43">
        <f t="shared" si="3"/>
      </c>
      <c r="B1760" s="44" t="n"/>
      <c r="C1760" s="45" t="n"/>
      <c r="D1760" s="46" t="n"/>
      <c r="E1760" s="47" t="n"/>
      <c r="F1760" s="47" t="n"/>
      <c r="G1760" s="48">
        <f t="shared" si="4"/>
      </c>
      <c r="H1760" s="43">
        <f t="shared" si="0"/>
      </c>
      <c r="I1760" s="43">
        <f t="shared" si="5"/>
      </c>
      <c r="J1760" s="43">
        <f t="shared" si="1"/>
      </c>
      <c r="K1760" s="49">
        <f t="shared" si="2"/>
      </c>
      <c r="L1760" s="45" t="n"/>
      <c r="M1760" s="45" t="n"/>
      <c r="N1760" s="45" t="n"/>
      <c r="O1760" s="45" t="n"/>
      <c r="P1760" s="50" t="n"/>
      <c r="R1760" s="2">
        <f t="shared" si="6"/>
        <v>0</v>
      </c>
      <c r="S1760" s="2">
        <f t="shared" si="7"/>
      </c>
      <c r="T1760" s="2">
        <f t="shared" si="8"/>
      </c>
      <c r="U1760" s="2">
        <f t="shared" si="9"/>
      </c>
      <c r="V1760" s="2">
        <f t="shared" si="10"/>
      </c>
      <c r="W1760" s="2">
        <f t="shared" si="11"/>
      </c>
      <c r="X1760" s="2">
        <f t="shared" si="12"/>
      </c>
      <c r="Y1760" s="2">
        <f t="shared" si="13"/>
        <v>0</v>
      </c>
      <c r="Z1760" s="2">
        <f t="shared" si="14"/>
      </c>
      <c r="AA1760" s="2">
        <f t="shared" si="15"/>
        <v>0</v>
      </c>
      <c r="AB1760" s="2">
        <f t="shared" si="16"/>
      </c>
      <c r="AC1760" s="2">
        <f t="shared" si="17"/>
      </c>
      <c r="AD1760" s="2">
        <f t="shared" si="18"/>
      </c>
      <c r="AE1760" s="2">
        <f t="shared" si="19"/>
      </c>
      <c r="AF1760" s="2">
        <f t="shared" si="20"/>
      </c>
      <c r="AG1760" s="2">
        <f t="shared" si="21"/>
      </c>
      <c r="AH1760" s="2">
        <f t="shared" si="22"/>
      </c>
      <c r="AI1760" s="2">
        <f t="shared" si="23"/>
      </c>
      <c r="AJ1760" s="2">
        <f t="shared" si="24"/>
        <v>0</v>
      </c>
      <c r="AK1760" s="2">
        <f t="shared" si="25"/>
        <v>0</v>
      </c>
      <c r="AL1760" s="2">
        <f t="shared" si="26"/>
        <v>0</v>
      </c>
      <c r="AM1760" s="2">
        <f t="shared" si="27"/>
        <v>0</v>
      </c>
      <c r="AN1760" s="2">
        <f t="shared" si="28"/>
        <v>0</v>
      </c>
      <c r="AO1760" s="2">
        <f t="shared" si="29"/>
      </c>
      <c r="AP1760" s="2">
        <f t="shared" si="30"/>
      </c>
      <c r="AQ1760" s="2">
        <f t="shared" si="31"/>
      </c>
    </row>
    <row r="1761">
      <c r="A1761" s="43">
        <f t="shared" si="3"/>
      </c>
      <c r="B1761" s="44" t="n"/>
      <c r="C1761" s="45" t="n"/>
      <c r="D1761" s="46" t="n"/>
      <c r="E1761" s="47" t="n"/>
      <c r="F1761" s="47" t="n"/>
      <c r="G1761" s="48">
        <f t="shared" si="4"/>
      </c>
      <c r="H1761" s="43">
        <f t="shared" si="0"/>
      </c>
      <c r="I1761" s="43">
        <f t="shared" si="5"/>
      </c>
      <c r="J1761" s="43">
        <f t="shared" si="1"/>
      </c>
      <c r="K1761" s="49">
        <f t="shared" si="2"/>
      </c>
      <c r="L1761" s="45" t="n"/>
      <c r="M1761" s="45" t="n"/>
      <c r="N1761" s="45" t="n"/>
      <c r="O1761" s="45" t="n"/>
      <c r="P1761" s="50" t="n"/>
      <c r="R1761" s="2">
        <f t="shared" si="6"/>
        <v>0</v>
      </c>
      <c r="S1761" s="2">
        <f t="shared" si="7"/>
      </c>
      <c r="T1761" s="2">
        <f t="shared" si="8"/>
      </c>
      <c r="U1761" s="2">
        <f t="shared" si="9"/>
      </c>
      <c r="V1761" s="2">
        <f t="shared" si="10"/>
      </c>
      <c r="W1761" s="2">
        <f t="shared" si="11"/>
      </c>
      <c r="X1761" s="2">
        <f t="shared" si="12"/>
      </c>
      <c r="Y1761" s="2">
        <f t="shared" si="13"/>
        <v>0</v>
      </c>
      <c r="Z1761" s="2">
        <f t="shared" si="14"/>
      </c>
      <c r="AA1761" s="2">
        <f t="shared" si="15"/>
        <v>0</v>
      </c>
      <c r="AB1761" s="2">
        <f t="shared" si="16"/>
      </c>
      <c r="AC1761" s="2">
        <f t="shared" si="17"/>
      </c>
      <c r="AD1761" s="2">
        <f t="shared" si="18"/>
      </c>
      <c r="AE1761" s="2">
        <f t="shared" si="19"/>
      </c>
      <c r="AF1761" s="2">
        <f t="shared" si="20"/>
      </c>
      <c r="AG1761" s="2">
        <f t="shared" si="21"/>
      </c>
      <c r="AH1761" s="2">
        <f t="shared" si="22"/>
      </c>
      <c r="AI1761" s="2">
        <f t="shared" si="23"/>
      </c>
      <c r="AJ1761" s="2">
        <f t="shared" si="24"/>
        <v>0</v>
      </c>
      <c r="AK1761" s="2">
        <f t="shared" si="25"/>
        <v>0</v>
      </c>
      <c r="AL1761" s="2">
        <f t="shared" si="26"/>
        <v>0</v>
      </c>
      <c r="AM1761" s="2">
        <f t="shared" si="27"/>
        <v>0</v>
      </c>
      <c r="AN1761" s="2">
        <f t="shared" si="28"/>
        <v>0</v>
      </c>
      <c r="AO1761" s="2">
        <f t="shared" si="29"/>
      </c>
      <c r="AP1761" s="2">
        <f t="shared" si="30"/>
      </c>
      <c r="AQ1761" s="2">
        <f t="shared" si="31"/>
      </c>
    </row>
    <row r="1762">
      <c r="A1762" s="43">
        <f t="shared" si="3"/>
      </c>
      <c r="B1762" s="44" t="n"/>
      <c r="C1762" s="45" t="n"/>
      <c r="D1762" s="46" t="n"/>
      <c r="E1762" s="47" t="n"/>
      <c r="F1762" s="47" t="n"/>
      <c r="G1762" s="48">
        <f t="shared" si="4"/>
      </c>
      <c r="H1762" s="43">
        <f t="shared" si="0"/>
      </c>
      <c r="I1762" s="43">
        <f t="shared" si="5"/>
      </c>
      <c r="J1762" s="43">
        <f t="shared" si="1"/>
      </c>
      <c r="K1762" s="49">
        <f t="shared" si="2"/>
      </c>
      <c r="L1762" s="45" t="n"/>
      <c r="M1762" s="45" t="n"/>
      <c r="N1762" s="45" t="n"/>
      <c r="O1762" s="45" t="n"/>
      <c r="P1762" s="50" t="n"/>
      <c r="R1762" s="2">
        <f t="shared" si="6"/>
        <v>0</v>
      </c>
      <c r="S1762" s="2">
        <f t="shared" si="7"/>
      </c>
      <c r="T1762" s="2">
        <f t="shared" si="8"/>
      </c>
      <c r="U1762" s="2">
        <f t="shared" si="9"/>
      </c>
      <c r="V1762" s="2">
        <f t="shared" si="10"/>
      </c>
      <c r="W1762" s="2">
        <f t="shared" si="11"/>
      </c>
      <c r="X1762" s="2">
        <f t="shared" si="12"/>
      </c>
      <c r="Y1762" s="2">
        <f t="shared" si="13"/>
        <v>0</v>
      </c>
      <c r="Z1762" s="2">
        <f t="shared" si="14"/>
      </c>
      <c r="AA1762" s="2">
        <f t="shared" si="15"/>
        <v>0</v>
      </c>
      <c r="AB1762" s="2">
        <f t="shared" si="16"/>
      </c>
      <c r="AC1762" s="2">
        <f t="shared" si="17"/>
      </c>
      <c r="AD1762" s="2">
        <f t="shared" si="18"/>
      </c>
      <c r="AE1762" s="2">
        <f t="shared" si="19"/>
      </c>
      <c r="AF1762" s="2">
        <f t="shared" si="20"/>
      </c>
      <c r="AG1762" s="2">
        <f t="shared" si="21"/>
      </c>
      <c r="AH1762" s="2">
        <f t="shared" si="22"/>
      </c>
      <c r="AI1762" s="2">
        <f t="shared" si="23"/>
      </c>
      <c r="AJ1762" s="2">
        <f t="shared" si="24"/>
        <v>0</v>
      </c>
      <c r="AK1762" s="2">
        <f t="shared" si="25"/>
        <v>0</v>
      </c>
      <c r="AL1762" s="2">
        <f t="shared" si="26"/>
        <v>0</v>
      </c>
      <c r="AM1762" s="2">
        <f t="shared" si="27"/>
        <v>0</v>
      </c>
      <c r="AN1762" s="2">
        <f t="shared" si="28"/>
        <v>0</v>
      </c>
      <c r="AO1762" s="2">
        <f t="shared" si="29"/>
      </c>
      <c r="AP1762" s="2">
        <f t="shared" si="30"/>
      </c>
      <c r="AQ1762" s="2">
        <f t="shared" si="31"/>
      </c>
    </row>
    <row r="1763">
      <c r="A1763" s="43">
        <f t="shared" si="3"/>
      </c>
      <c r="B1763" s="44" t="n"/>
      <c r="C1763" s="45" t="n"/>
      <c r="D1763" s="46" t="n"/>
      <c r="E1763" s="47" t="n"/>
      <c r="F1763" s="47" t="n"/>
      <c r="G1763" s="48">
        <f t="shared" si="4"/>
      </c>
      <c r="H1763" s="43">
        <f t="shared" si="0"/>
      </c>
      <c r="I1763" s="43">
        <f t="shared" si="5"/>
      </c>
      <c r="J1763" s="43">
        <f t="shared" si="1"/>
      </c>
      <c r="K1763" s="49">
        <f t="shared" si="2"/>
      </c>
      <c r="L1763" s="45" t="n"/>
      <c r="M1763" s="45" t="n"/>
      <c r="N1763" s="45" t="n"/>
      <c r="O1763" s="45" t="n"/>
      <c r="P1763" s="50" t="n"/>
      <c r="R1763" s="2">
        <f t="shared" si="6"/>
        <v>0</v>
      </c>
      <c r="S1763" s="2">
        <f t="shared" si="7"/>
      </c>
      <c r="T1763" s="2">
        <f t="shared" si="8"/>
      </c>
      <c r="U1763" s="2">
        <f t="shared" si="9"/>
      </c>
      <c r="V1763" s="2">
        <f t="shared" si="10"/>
      </c>
      <c r="W1763" s="2">
        <f t="shared" si="11"/>
      </c>
      <c r="X1763" s="2">
        <f t="shared" si="12"/>
      </c>
      <c r="Y1763" s="2">
        <f t="shared" si="13"/>
        <v>0</v>
      </c>
      <c r="Z1763" s="2">
        <f t="shared" si="14"/>
      </c>
      <c r="AA1763" s="2">
        <f t="shared" si="15"/>
        <v>0</v>
      </c>
      <c r="AB1763" s="2">
        <f t="shared" si="16"/>
      </c>
      <c r="AC1763" s="2">
        <f t="shared" si="17"/>
      </c>
      <c r="AD1763" s="2">
        <f t="shared" si="18"/>
      </c>
      <c r="AE1763" s="2">
        <f t="shared" si="19"/>
      </c>
      <c r="AF1763" s="2">
        <f t="shared" si="20"/>
      </c>
      <c r="AG1763" s="2">
        <f t="shared" si="21"/>
      </c>
      <c r="AH1763" s="2">
        <f t="shared" si="22"/>
      </c>
      <c r="AI1763" s="2">
        <f t="shared" si="23"/>
      </c>
      <c r="AJ1763" s="2">
        <f t="shared" si="24"/>
        <v>0</v>
      </c>
      <c r="AK1763" s="2">
        <f t="shared" si="25"/>
        <v>0</v>
      </c>
      <c r="AL1763" s="2">
        <f t="shared" si="26"/>
        <v>0</v>
      </c>
      <c r="AM1763" s="2">
        <f t="shared" si="27"/>
        <v>0</v>
      </c>
      <c r="AN1763" s="2">
        <f t="shared" si="28"/>
        <v>0</v>
      </c>
      <c r="AO1763" s="2">
        <f t="shared" si="29"/>
      </c>
      <c r="AP1763" s="2">
        <f t="shared" si="30"/>
      </c>
      <c r="AQ1763" s="2">
        <f t="shared" si="31"/>
      </c>
    </row>
    <row r="1764">
      <c r="A1764" s="43">
        <f t="shared" si="3"/>
      </c>
      <c r="B1764" s="44" t="n"/>
      <c r="C1764" s="45" t="n"/>
      <c r="D1764" s="46" t="n"/>
      <c r="E1764" s="47" t="n"/>
      <c r="F1764" s="47" t="n"/>
      <c r="G1764" s="48">
        <f t="shared" si="4"/>
      </c>
      <c r="H1764" s="43">
        <f t="shared" si="0"/>
      </c>
      <c r="I1764" s="43">
        <f t="shared" si="5"/>
      </c>
      <c r="J1764" s="43">
        <f t="shared" si="1"/>
      </c>
      <c r="K1764" s="49">
        <f t="shared" si="2"/>
      </c>
      <c r="L1764" s="45" t="n"/>
      <c r="M1764" s="45" t="n"/>
      <c r="N1764" s="45" t="n"/>
      <c r="O1764" s="45" t="n"/>
      <c r="P1764" s="50" t="n"/>
      <c r="R1764" s="2">
        <f t="shared" si="6"/>
        <v>0</v>
      </c>
      <c r="S1764" s="2">
        <f t="shared" si="7"/>
      </c>
      <c r="T1764" s="2">
        <f t="shared" si="8"/>
      </c>
      <c r="U1764" s="2">
        <f t="shared" si="9"/>
      </c>
      <c r="V1764" s="2">
        <f t="shared" si="10"/>
      </c>
      <c r="W1764" s="2">
        <f t="shared" si="11"/>
      </c>
      <c r="X1764" s="2">
        <f t="shared" si="12"/>
      </c>
      <c r="Y1764" s="2">
        <f t="shared" si="13"/>
        <v>0</v>
      </c>
      <c r="Z1764" s="2">
        <f t="shared" si="14"/>
      </c>
      <c r="AA1764" s="2">
        <f t="shared" si="15"/>
        <v>0</v>
      </c>
      <c r="AB1764" s="2">
        <f t="shared" si="16"/>
      </c>
      <c r="AC1764" s="2">
        <f t="shared" si="17"/>
      </c>
      <c r="AD1764" s="2">
        <f t="shared" si="18"/>
      </c>
      <c r="AE1764" s="2">
        <f t="shared" si="19"/>
      </c>
      <c r="AF1764" s="2">
        <f t="shared" si="20"/>
      </c>
      <c r="AG1764" s="2">
        <f t="shared" si="21"/>
      </c>
      <c r="AH1764" s="2">
        <f t="shared" si="22"/>
      </c>
      <c r="AI1764" s="2">
        <f t="shared" si="23"/>
      </c>
      <c r="AJ1764" s="2">
        <f t="shared" si="24"/>
        <v>0</v>
      </c>
      <c r="AK1764" s="2">
        <f t="shared" si="25"/>
        <v>0</v>
      </c>
      <c r="AL1764" s="2">
        <f t="shared" si="26"/>
        <v>0</v>
      </c>
      <c r="AM1764" s="2">
        <f t="shared" si="27"/>
        <v>0</v>
      </c>
      <c r="AN1764" s="2">
        <f t="shared" si="28"/>
        <v>0</v>
      </c>
      <c r="AO1764" s="2">
        <f t="shared" si="29"/>
      </c>
      <c r="AP1764" s="2">
        <f t="shared" si="30"/>
      </c>
      <c r="AQ1764" s="2">
        <f t="shared" si="31"/>
      </c>
    </row>
    <row r="1765">
      <c r="A1765" s="43">
        <f t="shared" si="3"/>
      </c>
      <c r="B1765" s="44" t="n"/>
      <c r="C1765" s="45" t="n"/>
      <c r="D1765" s="46" t="n"/>
      <c r="E1765" s="47" t="n"/>
      <c r="F1765" s="47" t="n"/>
      <c r="G1765" s="48">
        <f t="shared" si="4"/>
      </c>
      <c r="H1765" s="43">
        <f t="shared" si="0"/>
      </c>
      <c r="I1765" s="43">
        <f t="shared" si="5"/>
      </c>
      <c r="J1765" s="43">
        <f t="shared" si="1"/>
      </c>
      <c r="K1765" s="49">
        <f t="shared" si="2"/>
      </c>
      <c r="L1765" s="45" t="n"/>
      <c r="M1765" s="45" t="n"/>
      <c r="N1765" s="45" t="n"/>
      <c r="O1765" s="45" t="n"/>
      <c r="P1765" s="50" t="n"/>
      <c r="R1765" s="2">
        <f t="shared" si="6"/>
        <v>0</v>
      </c>
      <c r="S1765" s="2">
        <f t="shared" si="7"/>
      </c>
      <c r="T1765" s="2">
        <f t="shared" si="8"/>
      </c>
      <c r="U1765" s="2">
        <f t="shared" si="9"/>
      </c>
      <c r="V1765" s="2">
        <f t="shared" si="10"/>
      </c>
      <c r="W1765" s="2">
        <f t="shared" si="11"/>
      </c>
      <c r="X1765" s="2">
        <f t="shared" si="12"/>
      </c>
      <c r="Y1765" s="2">
        <f t="shared" si="13"/>
        <v>0</v>
      </c>
      <c r="Z1765" s="2">
        <f t="shared" si="14"/>
      </c>
      <c r="AA1765" s="2">
        <f t="shared" si="15"/>
        <v>0</v>
      </c>
      <c r="AB1765" s="2">
        <f t="shared" si="16"/>
      </c>
      <c r="AC1765" s="2">
        <f t="shared" si="17"/>
      </c>
      <c r="AD1765" s="2">
        <f t="shared" si="18"/>
      </c>
      <c r="AE1765" s="2">
        <f t="shared" si="19"/>
      </c>
      <c r="AF1765" s="2">
        <f t="shared" si="20"/>
      </c>
      <c r="AG1765" s="2">
        <f t="shared" si="21"/>
      </c>
      <c r="AH1765" s="2">
        <f t="shared" si="22"/>
      </c>
      <c r="AI1765" s="2">
        <f t="shared" si="23"/>
      </c>
      <c r="AJ1765" s="2">
        <f t="shared" si="24"/>
        <v>0</v>
      </c>
      <c r="AK1765" s="2">
        <f t="shared" si="25"/>
        <v>0</v>
      </c>
      <c r="AL1765" s="2">
        <f t="shared" si="26"/>
        <v>0</v>
      </c>
      <c r="AM1765" s="2">
        <f t="shared" si="27"/>
        <v>0</v>
      </c>
      <c r="AN1765" s="2">
        <f t="shared" si="28"/>
        <v>0</v>
      </c>
      <c r="AO1765" s="2">
        <f t="shared" si="29"/>
      </c>
      <c r="AP1765" s="2">
        <f t="shared" si="30"/>
      </c>
      <c r="AQ1765" s="2">
        <f t="shared" si="31"/>
      </c>
    </row>
    <row r="1766">
      <c r="A1766" s="43">
        <f t="shared" si="3"/>
      </c>
      <c r="B1766" s="44" t="n"/>
      <c r="C1766" s="45" t="n"/>
      <c r="D1766" s="46" t="n"/>
      <c r="E1766" s="47" t="n"/>
      <c r="F1766" s="47" t="n"/>
      <c r="G1766" s="48">
        <f t="shared" si="4"/>
      </c>
      <c r="H1766" s="43">
        <f t="shared" si="0"/>
      </c>
      <c r="I1766" s="43">
        <f t="shared" si="5"/>
      </c>
      <c r="J1766" s="43">
        <f t="shared" si="1"/>
      </c>
      <c r="K1766" s="49">
        <f t="shared" si="2"/>
      </c>
      <c r="L1766" s="45" t="n"/>
      <c r="M1766" s="45" t="n"/>
      <c r="N1766" s="45" t="n"/>
      <c r="O1766" s="45" t="n"/>
      <c r="P1766" s="50" t="n"/>
      <c r="R1766" s="2">
        <f t="shared" si="6"/>
        <v>0</v>
      </c>
      <c r="S1766" s="2">
        <f t="shared" si="7"/>
      </c>
      <c r="T1766" s="2">
        <f t="shared" si="8"/>
      </c>
      <c r="U1766" s="2">
        <f t="shared" si="9"/>
      </c>
      <c r="V1766" s="2">
        <f t="shared" si="10"/>
      </c>
      <c r="W1766" s="2">
        <f t="shared" si="11"/>
      </c>
      <c r="X1766" s="2">
        <f t="shared" si="12"/>
      </c>
      <c r="Y1766" s="2">
        <f t="shared" si="13"/>
        <v>0</v>
      </c>
      <c r="Z1766" s="2">
        <f t="shared" si="14"/>
      </c>
      <c r="AA1766" s="2">
        <f t="shared" si="15"/>
        <v>0</v>
      </c>
      <c r="AB1766" s="2">
        <f t="shared" si="16"/>
      </c>
      <c r="AC1766" s="2">
        <f t="shared" si="17"/>
      </c>
      <c r="AD1766" s="2">
        <f t="shared" si="18"/>
      </c>
      <c r="AE1766" s="2">
        <f t="shared" si="19"/>
      </c>
      <c r="AF1766" s="2">
        <f t="shared" si="20"/>
      </c>
      <c r="AG1766" s="2">
        <f t="shared" si="21"/>
      </c>
      <c r="AH1766" s="2">
        <f t="shared" si="22"/>
      </c>
      <c r="AI1766" s="2">
        <f t="shared" si="23"/>
      </c>
      <c r="AJ1766" s="2">
        <f t="shared" si="24"/>
        <v>0</v>
      </c>
      <c r="AK1766" s="2">
        <f t="shared" si="25"/>
        <v>0</v>
      </c>
      <c r="AL1766" s="2">
        <f t="shared" si="26"/>
        <v>0</v>
      </c>
      <c r="AM1766" s="2">
        <f t="shared" si="27"/>
        <v>0</v>
      </c>
      <c r="AN1766" s="2">
        <f t="shared" si="28"/>
        <v>0</v>
      </c>
      <c r="AO1766" s="2">
        <f t="shared" si="29"/>
      </c>
      <c r="AP1766" s="2">
        <f t="shared" si="30"/>
      </c>
      <c r="AQ1766" s="2">
        <f t="shared" si="31"/>
      </c>
    </row>
    <row r="1767">
      <c r="A1767" s="43">
        <f t="shared" si="3"/>
      </c>
      <c r="B1767" s="44" t="n"/>
      <c r="C1767" s="45" t="n"/>
      <c r="D1767" s="46" t="n"/>
      <c r="E1767" s="47" t="n"/>
      <c r="F1767" s="47" t="n"/>
      <c r="G1767" s="48">
        <f t="shared" si="4"/>
      </c>
      <c r="H1767" s="43">
        <f t="shared" si="0"/>
      </c>
      <c r="I1767" s="43">
        <f t="shared" si="5"/>
      </c>
      <c r="J1767" s="43">
        <f t="shared" si="1"/>
      </c>
      <c r="K1767" s="49">
        <f t="shared" si="2"/>
      </c>
      <c r="L1767" s="45" t="n"/>
      <c r="M1767" s="45" t="n"/>
      <c r="N1767" s="45" t="n"/>
      <c r="O1767" s="45" t="n"/>
      <c r="P1767" s="50" t="n"/>
      <c r="R1767" s="2">
        <f t="shared" si="6"/>
        <v>0</v>
      </c>
      <c r="S1767" s="2">
        <f t="shared" si="7"/>
      </c>
      <c r="T1767" s="2">
        <f t="shared" si="8"/>
      </c>
      <c r="U1767" s="2">
        <f t="shared" si="9"/>
      </c>
      <c r="V1767" s="2">
        <f t="shared" si="10"/>
      </c>
      <c r="W1767" s="2">
        <f t="shared" si="11"/>
      </c>
      <c r="X1767" s="2">
        <f t="shared" si="12"/>
      </c>
      <c r="Y1767" s="2">
        <f t="shared" si="13"/>
        <v>0</v>
      </c>
      <c r="Z1767" s="2">
        <f t="shared" si="14"/>
      </c>
      <c r="AA1767" s="2">
        <f t="shared" si="15"/>
        <v>0</v>
      </c>
      <c r="AB1767" s="2">
        <f t="shared" si="16"/>
      </c>
      <c r="AC1767" s="2">
        <f t="shared" si="17"/>
      </c>
      <c r="AD1767" s="2">
        <f t="shared" si="18"/>
      </c>
      <c r="AE1767" s="2">
        <f t="shared" si="19"/>
      </c>
      <c r="AF1767" s="2">
        <f t="shared" si="20"/>
      </c>
      <c r="AG1767" s="2">
        <f t="shared" si="21"/>
      </c>
      <c r="AH1767" s="2">
        <f t="shared" si="22"/>
      </c>
      <c r="AI1767" s="2">
        <f t="shared" si="23"/>
      </c>
      <c r="AJ1767" s="2">
        <f t="shared" si="24"/>
        <v>0</v>
      </c>
      <c r="AK1767" s="2">
        <f t="shared" si="25"/>
        <v>0</v>
      </c>
      <c r="AL1767" s="2">
        <f t="shared" si="26"/>
        <v>0</v>
      </c>
      <c r="AM1767" s="2">
        <f t="shared" si="27"/>
        <v>0</v>
      </c>
      <c r="AN1767" s="2">
        <f t="shared" si="28"/>
        <v>0</v>
      </c>
      <c r="AO1767" s="2">
        <f t="shared" si="29"/>
      </c>
      <c r="AP1767" s="2">
        <f t="shared" si="30"/>
      </c>
      <c r="AQ1767" s="2">
        <f t="shared" si="31"/>
      </c>
    </row>
    <row r="1768">
      <c r="A1768" s="43">
        <f t="shared" si="3"/>
      </c>
      <c r="B1768" s="44" t="n"/>
      <c r="C1768" s="45" t="n"/>
      <c r="D1768" s="46" t="n"/>
      <c r="E1768" s="47" t="n"/>
      <c r="F1768" s="47" t="n"/>
      <c r="G1768" s="48">
        <f t="shared" si="4"/>
      </c>
      <c r="H1768" s="43">
        <f t="shared" si="0"/>
      </c>
      <c r="I1768" s="43">
        <f t="shared" si="5"/>
      </c>
      <c r="J1768" s="43">
        <f t="shared" si="1"/>
      </c>
      <c r="K1768" s="49">
        <f t="shared" si="2"/>
      </c>
      <c r="L1768" s="45" t="n"/>
      <c r="M1768" s="45" t="n"/>
      <c r="N1768" s="45" t="n"/>
      <c r="O1768" s="45" t="n"/>
      <c r="P1768" s="50" t="n"/>
      <c r="R1768" s="2">
        <f t="shared" si="6"/>
        <v>0</v>
      </c>
      <c r="S1768" s="2">
        <f t="shared" si="7"/>
      </c>
      <c r="T1768" s="2">
        <f t="shared" si="8"/>
      </c>
      <c r="U1768" s="2">
        <f t="shared" si="9"/>
      </c>
      <c r="V1768" s="2">
        <f t="shared" si="10"/>
      </c>
      <c r="W1768" s="2">
        <f t="shared" si="11"/>
      </c>
      <c r="X1768" s="2">
        <f t="shared" si="12"/>
      </c>
      <c r="Y1768" s="2">
        <f t="shared" si="13"/>
        <v>0</v>
      </c>
      <c r="Z1768" s="2">
        <f t="shared" si="14"/>
      </c>
      <c r="AA1768" s="2">
        <f t="shared" si="15"/>
        <v>0</v>
      </c>
      <c r="AB1768" s="2">
        <f t="shared" si="16"/>
      </c>
      <c r="AC1768" s="2">
        <f t="shared" si="17"/>
      </c>
      <c r="AD1768" s="2">
        <f t="shared" si="18"/>
      </c>
      <c r="AE1768" s="2">
        <f t="shared" si="19"/>
      </c>
      <c r="AF1768" s="2">
        <f t="shared" si="20"/>
      </c>
      <c r="AG1768" s="2">
        <f t="shared" si="21"/>
      </c>
      <c r="AH1768" s="2">
        <f t="shared" si="22"/>
      </c>
      <c r="AI1768" s="2">
        <f t="shared" si="23"/>
      </c>
      <c r="AJ1768" s="2">
        <f t="shared" si="24"/>
        <v>0</v>
      </c>
      <c r="AK1768" s="2">
        <f t="shared" si="25"/>
        <v>0</v>
      </c>
      <c r="AL1768" s="2">
        <f t="shared" si="26"/>
        <v>0</v>
      </c>
      <c r="AM1768" s="2">
        <f t="shared" si="27"/>
        <v>0</v>
      </c>
      <c r="AN1768" s="2">
        <f t="shared" si="28"/>
        <v>0</v>
      </c>
      <c r="AO1768" s="2">
        <f t="shared" si="29"/>
      </c>
      <c r="AP1768" s="2">
        <f t="shared" si="30"/>
      </c>
      <c r="AQ1768" s="2">
        <f t="shared" si="31"/>
      </c>
    </row>
    <row r="1769">
      <c r="A1769" s="43">
        <f t="shared" si="3"/>
      </c>
      <c r="B1769" s="44" t="n"/>
      <c r="C1769" s="45" t="n"/>
      <c r="D1769" s="46" t="n"/>
      <c r="E1769" s="47" t="n"/>
      <c r="F1769" s="47" t="n"/>
      <c r="G1769" s="48">
        <f t="shared" si="4"/>
      </c>
      <c r="H1769" s="43">
        <f t="shared" si="0"/>
      </c>
      <c r="I1769" s="43">
        <f t="shared" si="5"/>
      </c>
      <c r="J1769" s="43">
        <f t="shared" si="1"/>
      </c>
      <c r="K1769" s="49">
        <f t="shared" si="2"/>
      </c>
      <c r="L1769" s="45" t="n"/>
      <c r="M1769" s="45" t="n"/>
      <c r="N1769" s="45" t="n"/>
      <c r="O1769" s="45" t="n"/>
      <c r="P1769" s="50" t="n"/>
      <c r="R1769" s="2">
        <f t="shared" si="6"/>
        <v>0</v>
      </c>
      <c r="S1769" s="2">
        <f t="shared" si="7"/>
      </c>
      <c r="T1769" s="2">
        <f t="shared" si="8"/>
      </c>
      <c r="U1769" s="2">
        <f t="shared" si="9"/>
      </c>
      <c r="V1769" s="2">
        <f t="shared" si="10"/>
      </c>
      <c r="W1769" s="2">
        <f t="shared" si="11"/>
      </c>
      <c r="X1769" s="2">
        <f t="shared" si="12"/>
      </c>
      <c r="Y1769" s="2">
        <f t="shared" si="13"/>
        <v>0</v>
      </c>
      <c r="Z1769" s="2">
        <f t="shared" si="14"/>
      </c>
      <c r="AA1769" s="2">
        <f t="shared" si="15"/>
        <v>0</v>
      </c>
      <c r="AB1769" s="2">
        <f t="shared" si="16"/>
      </c>
      <c r="AC1769" s="2">
        <f t="shared" si="17"/>
      </c>
      <c r="AD1769" s="2">
        <f t="shared" si="18"/>
      </c>
      <c r="AE1769" s="2">
        <f t="shared" si="19"/>
      </c>
      <c r="AF1769" s="2">
        <f t="shared" si="20"/>
      </c>
      <c r="AG1769" s="2">
        <f t="shared" si="21"/>
      </c>
      <c r="AH1769" s="2">
        <f t="shared" si="22"/>
      </c>
      <c r="AI1769" s="2">
        <f t="shared" si="23"/>
      </c>
      <c r="AJ1769" s="2">
        <f t="shared" si="24"/>
        <v>0</v>
      </c>
      <c r="AK1769" s="2">
        <f t="shared" si="25"/>
        <v>0</v>
      </c>
      <c r="AL1769" s="2">
        <f t="shared" si="26"/>
        <v>0</v>
      </c>
      <c r="AM1769" s="2">
        <f t="shared" si="27"/>
        <v>0</v>
      </c>
      <c r="AN1769" s="2">
        <f t="shared" si="28"/>
        <v>0</v>
      </c>
      <c r="AO1769" s="2">
        <f t="shared" si="29"/>
      </c>
      <c r="AP1769" s="2">
        <f t="shared" si="30"/>
      </c>
      <c r="AQ1769" s="2">
        <f t="shared" si="31"/>
      </c>
    </row>
    <row r="1770">
      <c r="A1770" s="43">
        <f t="shared" si="3"/>
      </c>
      <c r="B1770" s="44" t="n"/>
      <c r="C1770" s="45" t="n"/>
      <c r="D1770" s="46" t="n"/>
      <c r="E1770" s="47" t="n"/>
      <c r="F1770" s="47" t="n"/>
      <c r="G1770" s="48">
        <f t="shared" si="4"/>
      </c>
      <c r="H1770" s="43">
        <f t="shared" si="0"/>
      </c>
      <c r="I1770" s="43">
        <f t="shared" si="5"/>
      </c>
      <c r="J1770" s="43">
        <f t="shared" si="1"/>
      </c>
      <c r="K1770" s="49">
        <f t="shared" si="2"/>
      </c>
      <c r="L1770" s="45" t="n"/>
      <c r="M1770" s="45" t="n"/>
      <c r="N1770" s="45" t="n"/>
      <c r="O1770" s="45" t="n"/>
      <c r="P1770" s="50" t="n"/>
      <c r="R1770" s="2">
        <f t="shared" si="6"/>
        <v>0</v>
      </c>
      <c r="S1770" s="2">
        <f t="shared" si="7"/>
      </c>
      <c r="T1770" s="2">
        <f t="shared" si="8"/>
      </c>
      <c r="U1770" s="2">
        <f t="shared" si="9"/>
      </c>
      <c r="V1770" s="2">
        <f t="shared" si="10"/>
      </c>
      <c r="W1770" s="2">
        <f t="shared" si="11"/>
      </c>
      <c r="X1770" s="2">
        <f t="shared" si="12"/>
      </c>
      <c r="Y1770" s="2">
        <f t="shared" si="13"/>
        <v>0</v>
      </c>
      <c r="Z1770" s="2">
        <f t="shared" si="14"/>
      </c>
      <c r="AA1770" s="2">
        <f t="shared" si="15"/>
        <v>0</v>
      </c>
      <c r="AB1770" s="2">
        <f t="shared" si="16"/>
      </c>
      <c r="AC1770" s="2">
        <f t="shared" si="17"/>
      </c>
      <c r="AD1770" s="2">
        <f t="shared" si="18"/>
      </c>
      <c r="AE1770" s="2">
        <f t="shared" si="19"/>
      </c>
      <c r="AF1770" s="2">
        <f t="shared" si="20"/>
      </c>
      <c r="AG1770" s="2">
        <f t="shared" si="21"/>
      </c>
      <c r="AH1770" s="2">
        <f t="shared" si="22"/>
      </c>
      <c r="AI1770" s="2">
        <f t="shared" si="23"/>
      </c>
      <c r="AJ1770" s="2">
        <f t="shared" si="24"/>
        <v>0</v>
      </c>
      <c r="AK1770" s="2">
        <f t="shared" si="25"/>
        <v>0</v>
      </c>
      <c r="AL1770" s="2">
        <f t="shared" si="26"/>
        <v>0</v>
      </c>
      <c r="AM1770" s="2">
        <f t="shared" si="27"/>
        <v>0</v>
      </c>
      <c r="AN1770" s="2">
        <f t="shared" si="28"/>
        <v>0</v>
      </c>
      <c r="AO1770" s="2">
        <f t="shared" si="29"/>
      </c>
      <c r="AP1770" s="2">
        <f t="shared" si="30"/>
      </c>
      <c r="AQ1770" s="2">
        <f t="shared" si="31"/>
      </c>
    </row>
    <row r="1771">
      <c r="A1771" s="43">
        <f t="shared" si="3"/>
      </c>
      <c r="B1771" s="44" t="n"/>
      <c r="C1771" s="45" t="n"/>
      <c r="D1771" s="46" t="n"/>
      <c r="E1771" s="47" t="n"/>
      <c r="F1771" s="47" t="n"/>
      <c r="G1771" s="48">
        <f t="shared" si="4"/>
      </c>
      <c r="H1771" s="43">
        <f t="shared" si="0"/>
      </c>
      <c r="I1771" s="43">
        <f t="shared" si="5"/>
      </c>
      <c r="J1771" s="43">
        <f t="shared" si="1"/>
      </c>
      <c r="K1771" s="49">
        <f t="shared" si="2"/>
      </c>
      <c r="L1771" s="45" t="n"/>
      <c r="M1771" s="45" t="n"/>
      <c r="N1771" s="45" t="n"/>
      <c r="O1771" s="45" t="n"/>
      <c r="P1771" s="50" t="n"/>
      <c r="R1771" s="2">
        <f t="shared" si="6"/>
        <v>0</v>
      </c>
      <c r="S1771" s="2">
        <f t="shared" si="7"/>
      </c>
      <c r="T1771" s="2">
        <f t="shared" si="8"/>
      </c>
      <c r="U1771" s="2">
        <f t="shared" si="9"/>
      </c>
      <c r="V1771" s="2">
        <f t="shared" si="10"/>
      </c>
      <c r="W1771" s="2">
        <f t="shared" si="11"/>
      </c>
      <c r="X1771" s="2">
        <f t="shared" si="12"/>
      </c>
      <c r="Y1771" s="2">
        <f t="shared" si="13"/>
        <v>0</v>
      </c>
      <c r="Z1771" s="2">
        <f t="shared" si="14"/>
      </c>
      <c r="AA1771" s="2">
        <f t="shared" si="15"/>
        <v>0</v>
      </c>
      <c r="AB1771" s="2">
        <f t="shared" si="16"/>
      </c>
      <c r="AC1771" s="2">
        <f t="shared" si="17"/>
      </c>
      <c r="AD1771" s="2">
        <f t="shared" si="18"/>
      </c>
      <c r="AE1771" s="2">
        <f t="shared" si="19"/>
      </c>
      <c r="AF1771" s="2">
        <f t="shared" si="20"/>
      </c>
      <c r="AG1771" s="2">
        <f t="shared" si="21"/>
      </c>
      <c r="AH1771" s="2">
        <f t="shared" si="22"/>
      </c>
      <c r="AI1771" s="2">
        <f t="shared" si="23"/>
      </c>
      <c r="AJ1771" s="2">
        <f t="shared" si="24"/>
        <v>0</v>
      </c>
      <c r="AK1771" s="2">
        <f t="shared" si="25"/>
        <v>0</v>
      </c>
      <c r="AL1771" s="2">
        <f t="shared" si="26"/>
        <v>0</v>
      </c>
      <c r="AM1771" s="2">
        <f t="shared" si="27"/>
        <v>0</v>
      </c>
      <c r="AN1771" s="2">
        <f t="shared" si="28"/>
        <v>0</v>
      </c>
      <c r="AO1771" s="2">
        <f t="shared" si="29"/>
      </c>
      <c r="AP1771" s="2">
        <f t="shared" si="30"/>
      </c>
      <c r="AQ1771" s="2">
        <f t="shared" si="31"/>
      </c>
    </row>
    <row r="1772">
      <c r="A1772" s="43">
        <f t="shared" si="3"/>
      </c>
      <c r="B1772" s="44" t="n"/>
      <c r="C1772" s="45" t="n"/>
      <c r="D1772" s="46" t="n"/>
      <c r="E1772" s="47" t="n"/>
      <c r="F1772" s="47" t="n"/>
      <c r="G1772" s="48">
        <f t="shared" si="4"/>
      </c>
      <c r="H1772" s="43">
        <f t="shared" si="0"/>
      </c>
      <c r="I1772" s="43">
        <f t="shared" si="5"/>
      </c>
      <c r="J1772" s="43">
        <f t="shared" si="1"/>
      </c>
      <c r="K1772" s="49">
        <f t="shared" si="2"/>
      </c>
      <c r="L1772" s="45" t="n"/>
      <c r="M1772" s="45" t="n"/>
      <c r="N1772" s="45" t="n"/>
      <c r="O1772" s="45" t="n"/>
      <c r="P1772" s="50" t="n"/>
      <c r="R1772" s="2">
        <f t="shared" si="6"/>
        <v>0</v>
      </c>
      <c r="S1772" s="2">
        <f t="shared" si="7"/>
      </c>
      <c r="T1772" s="2">
        <f t="shared" si="8"/>
      </c>
      <c r="U1772" s="2">
        <f t="shared" si="9"/>
      </c>
      <c r="V1772" s="2">
        <f t="shared" si="10"/>
      </c>
      <c r="W1772" s="2">
        <f t="shared" si="11"/>
      </c>
      <c r="X1772" s="2">
        <f t="shared" si="12"/>
      </c>
      <c r="Y1772" s="2">
        <f t="shared" si="13"/>
        <v>0</v>
      </c>
      <c r="Z1772" s="2">
        <f t="shared" si="14"/>
      </c>
      <c r="AA1772" s="2">
        <f t="shared" si="15"/>
        <v>0</v>
      </c>
      <c r="AB1772" s="2">
        <f t="shared" si="16"/>
      </c>
      <c r="AC1772" s="2">
        <f t="shared" si="17"/>
      </c>
      <c r="AD1772" s="2">
        <f t="shared" si="18"/>
      </c>
      <c r="AE1772" s="2">
        <f t="shared" si="19"/>
      </c>
      <c r="AF1772" s="2">
        <f t="shared" si="20"/>
      </c>
      <c r="AG1772" s="2">
        <f t="shared" si="21"/>
      </c>
      <c r="AH1772" s="2">
        <f t="shared" si="22"/>
      </c>
      <c r="AI1772" s="2">
        <f t="shared" si="23"/>
      </c>
      <c r="AJ1772" s="2">
        <f t="shared" si="24"/>
        <v>0</v>
      </c>
      <c r="AK1772" s="2">
        <f t="shared" si="25"/>
        <v>0</v>
      </c>
      <c r="AL1772" s="2">
        <f t="shared" si="26"/>
        <v>0</v>
      </c>
      <c r="AM1772" s="2">
        <f t="shared" si="27"/>
        <v>0</v>
      </c>
      <c r="AN1772" s="2">
        <f t="shared" si="28"/>
        <v>0</v>
      </c>
      <c r="AO1772" s="2">
        <f t="shared" si="29"/>
      </c>
      <c r="AP1772" s="2">
        <f t="shared" si="30"/>
      </c>
      <c r="AQ1772" s="2">
        <f t="shared" si="31"/>
      </c>
    </row>
    <row r="1773">
      <c r="A1773" s="43">
        <f t="shared" si="3"/>
      </c>
      <c r="B1773" s="44" t="n"/>
      <c r="C1773" s="45" t="n"/>
      <c r="D1773" s="46" t="n"/>
      <c r="E1773" s="47" t="n"/>
      <c r="F1773" s="47" t="n"/>
      <c r="G1773" s="48">
        <f t="shared" si="4"/>
      </c>
      <c r="H1773" s="43">
        <f t="shared" si="0"/>
      </c>
      <c r="I1773" s="43">
        <f t="shared" si="5"/>
      </c>
      <c r="J1773" s="43">
        <f t="shared" si="1"/>
      </c>
      <c r="K1773" s="49">
        <f t="shared" si="2"/>
      </c>
      <c r="L1773" s="45" t="n"/>
      <c r="M1773" s="45" t="n"/>
      <c r="N1773" s="45" t="n"/>
      <c r="O1773" s="45" t="n"/>
      <c r="P1773" s="50" t="n"/>
      <c r="R1773" s="2">
        <f t="shared" si="6"/>
        <v>0</v>
      </c>
      <c r="S1773" s="2">
        <f t="shared" si="7"/>
      </c>
      <c r="T1773" s="2">
        <f t="shared" si="8"/>
      </c>
      <c r="U1773" s="2">
        <f t="shared" si="9"/>
      </c>
      <c r="V1773" s="2">
        <f t="shared" si="10"/>
      </c>
      <c r="W1773" s="2">
        <f t="shared" si="11"/>
      </c>
      <c r="X1773" s="2">
        <f t="shared" si="12"/>
      </c>
      <c r="Y1773" s="2">
        <f t="shared" si="13"/>
        <v>0</v>
      </c>
      <c r="Z1773" s="2">
        <f t="shared" si="14"/>
      </c>
      <c r="AA1773" s="2">
        <f t="shared" si="15"/>
        <v>0</v>
      </c>
      <c r="AB1773" s="2">
        <f t="shared" si="16"/>
      </c>
      <c r="AC1773" s="2">
        <f t="shared" si="17"/>
      </c>
      <c r="AD1773" s="2">
        <f t="shared" si="18"/>
      </c>
      <c r="AE1773" s="2">
        <f t="shared" si="19"/>
      </c>
      <c r="AF1773" s="2">
        <f t="shared" si="20"/>
      </c>
      <c r="AG1773" s="2">
        <f t="shared" si="21"/>
      </c>
      <c r="AH1773" s="2">
        <f t="shared" si="22"/>
      </c>
      <c r="AI1773" s="2">
        <f t="shared" si="23"/>
      </c>
      <c r="AJ1773" s="2">
        <f t="shared" si="24"/>
        <v>0</v>
      </c>
      <c r="AK1773" s="2">
        <f t="shared" si="25"/>
        <v>0</v>
      </c>
      <c r="AL1773" s="2">
        <f t="shared" si="26"/>
        <v>0</v>
      </c>
      <c r="AM1773" s="2">
        <f t="shared" si="27"/>
        <v>0</v>
      </c>
      <c r="AN1773" s="2">
        <f t="shared" si="28"/>
        <v>0</v>
      </c>
      <c r="AO1773" s="2">
        <f t="shared" si="29"/>
      </c>
      <c r="AP1773" s="2">
        <f t="shared" si="30"/>
      </c>
      <c r="AQ1773" s="2">
        <f t="shared" si="31"/>
      </c>
    </row>
    <row r="1774">
      <c r="A1774" s="43">
        <f t="shared" si="3"/>
      </c>
      <c r="B1774" s="44" t="n"/>
      <c r="C1774" s="45" t="n"/>
      <c r="D1774" s="46" t="n"/>
      <c r="E1774" s="47" t="n"/>
      <c r="F1774" s="47" t="n"/>
      <c r="G1774" s="48">
        <f t="shared" si="4"/>
      </c>
      <c r="H1774" s="43">
        <f t="shared" si="0"/>
      </c>
      <c r="I1774" s="43">
        <f t="shared" si="5"/>
      </c>
      <c r="J1774" s="43">
        <f t="shared" si="1"/>
      </c>
      <c r="K1774" s="49">
        <f t="shared" si="2"/>
      </c>
      <c r="L1774" s="45" t="n"/>
      <c r="M1774" s="45" t="n"/>
      <c r="N1774" s="45" t="n"/>
      <c r="O1774" s="45" t="n"/>
      <c r="P1774" s="50" t="n"/>
      <c r="R1774" s="2">
        <f t="shared" si="6"/>
        <v>0</v>
      </c>
      <c r="S1774" s="2">
        <f t="shared" si="7"/>
      </c>
      <c r="T1774" s="2">
        <f t="shared" si="8"/>
      </c>
      <c r="U1774" s="2">
        <f t="shared" si="9"/>
      </c>
      <c r="V1774" s="2">
        <f t="shared" si="10"/>
      </c>
      <c r="W1774" s="2">
        <f t="shared" si="11"/>
      </c>
      <c r="X1774" s="2">
        <f t="shared" si="12"/>
      </c>
      <c r="Y1774" s="2">
        <f t="shared" si="13"/>
        <v>0</v>
      </c>
      <c r="Z1774" s="2">
        <f t="shared" si="14"/>
      </c>
      <c r="AA1774" s="2">
        <f t="shared" si="15"/>
        <v>0</v>
      </c>
      <c r="AB1774" s="2">
        <f t="shared" si="16"/>
      </c>
      <c r="AC1774" s="2">
        <f t="shared" si="17"/>
      </c>
      <c r="AD1774" s="2">
        <f t="shared" si="18"/>
      </c>
      <c r="AE1774" s="2">
        <f t="shared" si="19"/>
      </c>
      <c r="AF1774" s="2">
        <f t="shared" si="20"/>
      </c>
      <c r="AG1774" s="2">
        <f t="shared" si="21"/>
      </c>
      <c r="AH1774" s="2">
        <f t="shared" si="22"/>
      </c>
      <c r="AI1774" s="2">
        <f t="shared" si="23"/>
      </c>
      <c r="AJ1774" s="2">
        <f t="shared" si="24"/>
        <v>0</v>
      </c>
      <c r="AK1774" s="2">
        <f t="shared" si="25"/>
        <v>0</v>
      </c>
      <c r="AL1774" s="2">
        <f t="shared" si="26"/>
        <v>0</v>
      </c>
      <c r="AM1774" s="2">
        <f t="shared" si="27"/>
        <v>0</v>
      </c>
      <c r="AN1774" s="2">
        <f t="shared" si="28"/>
        <v>0</v>
      </c>
      <c r="AO1774" s="2">
        <f t="shared" si="29"/>
      </c>
      <c r="AP1774" s="2">
        <f t="shared" si="30"/>
      </c>
      <c r="AQ1774" s="2">
        <f t="shared" si="31"/>
      </c>
    </row>
    <row r="1775">
      <c r="A1775" s="43">
        <f t="shared" si="3"/>
      </c>
      <c r="B1775" s="44" t="n"/>
      <c r="C1775" s="45" t="n"/>
      <c r="D1775" s="46" t="n"/>
      <c r="E1775" s="47" t="n"/>
      <c r="F1775" s="47" t="n"/>
      <c r="G1775" s="48">
        <f t="shared" si="4"/>
      </c>
      <c r="H1775" s="43">
        <f t="shared" si="0"/>
      </c>
      <c r="I1775" s="43">
        <f t="shared" si="5"/>
      </c>
      <c r="J1775" s="43">
        <f t="shared" si="1"/>
      </c>
      <c r="K1775" s="49">
        <f t="shared" si="2"/>
      </c>
      <c r="L1775" s="45" t="n"/>
      <c r="M1775" s="45" t="n"/>
      <c r="N1775" s="45" t="n"/>
      <c r="O1775" s="45" t="n"/>
      <c r="P1775" s="50" t="n"/>
      <c r="R1775" s="2">
        <f t="shared" si="6"/>
        <v>0</v>
      </c>
      <c r="S1775" s="2">
        <f t="shared" si="7"/>
      </c>
      <c r="T1775" s="2">
        <f t="shared" si="8"/>
      </c>
      <c r="U1775" s="2">
        <f t="shared" si="9"/>
      </c>
      <c r="V1775" s="2">
        <f t="shared" si="10"/>
      </c>
      <c r="W1775" s="2">
        <f t="shared" si="11"/>
      </c>
      <c r="X1775" s="2">
        <f t="shared" si="12"/>
      </c>
      <c r="Y1775" s="2">
        <f t="shared" si="13"/>
        <v>0</v>
      </c>
      <c r="Z1775" s="2">
        <f t="shared" si="14"/>
      </c>
      <c r="AA1775" s="2">
        <f t="shared" si="15"/>
        <v>0</v>
      </c>
      <c r="AB1775" s="2">
        <f t="shared" si="16"/>
      </c>
      <c r="AC1775" s="2">
        <f t="shared" si="17"/>
      </c>
      <c r="AD1775" s="2">
        <f t="shared" si="18"/>
      </c>
      <c r="AE1775" s="2">
        <f t="shared" si="19"/>
      </c>
      <c r="AF1775" s="2">
        <f t="shared" si="20"/>
      </c>
      <c r="AG1775" s="2">
        <f t="shared" si="21"/>
      </c>
      <c r="AH1775" s="2">
        <f t="shared" si="22"/>
      </c>
      <c r="AI1775" s="2">
        <f t="shared" si="23"/>
      </c>
      <c r="AJ1775" s="2">
        <f t="shared" si="24"/>
        <v>0</v>
      </c>
      <c r="AK1775" s="2">
        <f t="shared" si="25"/>
        <v>0</v>
      </c>
      <c r="AL1775" s="2">
        <f t="shared" si="26"/>
        <v>0</v>
      </c>
      <c r="AM1775" s="2">
        <f t="shared" si="27"/>
        <v>0</v>
      </c>
      <c r="AN1775" s="2">
        <f t="shared" si="28"/>
        <v>0</v>
      </c>
      <c r="AO1775" s="2">
        <f t="shared" si="29"/>
      </c>
      <c r="AP1775" s="2">
        <f t="shared" si="30"/>
      </c>
      <c r="AQ1775" s="2">
        <f t="shared" si="31"/>
      </c>
    </row>
    <row r="1776">
      <c r="A1776" s="43">
        <f t="shared" si="3"/>
      </c>
      <c r="B1776" s="44" t="n"/>
      <c r="C1776" s="45" t="n"/>
      <c r="D1776" s="46" t="n"/>
      <c r="E1776" s="47" t="n"/>
      <c r="F1776" s="47" t="n"/>
      <c r="G1776" s="48">
        <f t="shared" si="4"/>
      </c>
      <c r="H1776" s="43">
        <f t="shared" si="0"/>
      </c>
      <c r="I1776" s="43">
        <f t="shared" si="5"/>
      </c>
      <c r="J1776" s="43">
        <f t="shared" si="1"/>
      </c>
      <c r="K1776" s="49">
        <f t="shared" si="2"/>
      </c>
      <c r="L1776" s="45" t="n"/>
      <c r="M1776" s="45" t="n"/>
      <c r="N1776" s="45" t="n"/>
      <c r="O1776" s="45" t="n"/>
      <c r="P1776" s="50" t="n"/>
      <c r="R1776" s="2">
        <f t="shared" si="6"/>
        <v>0</v>
      </c>
      <c r="S1776" s="2">
        <f t="shared" si="7"/>
      </c>
      <c r="T1776" s="2">
        <f t="shared" si="8"/>
      </c>
      <c r="U1776" s="2">
        <f t="shared" si="9"/>
      </c>
      <c r="V1776" s="2">
        <f t="shared" si="10"/>
      </c>
      <c r="W1776" s="2">
        <f t="shared" si="11"/>
      </c>
      <c r="X1776" s="2">
        <f t="shared" si="12"/>
      </c>
      <c r="Y1776" s="2">
        <f t="shared" si="13"/>
        <v>0</v>
      </c>
      <c r="Z1776" s="2">
        <f t="shared" si="14"/>
      </c>
      <c r="AA1776" s="2">
        <f t="shared" si="15"/>
        <v>0</v>
      </c>
      <c r="AB1776" s="2">
        <f t="shared" si="16"/>
      </c>
      <c r="AC1776" s="2">
        <f t="shared" si="17"/>
      </c>
      <c r="AD1776" s="2">
        <f t="shared" si="18"/>
      </c>
      <c r="AE1776" s="2">
        <f t="shared" si="19"/>
      </c>
      <c r="AF1776" s="2">
        <f t="shared" si="20"/>
      </c>
      <c r="AG1776" s="2">
        <f t="shared" si="21"/>
      </c>
      <c r="AH1776" s="2">
        <f t="shared" si="22"/>
      </c>
      <c r="AI1776" s="2">
        <f t="shared" si="23"/>
      </c>
      <c r="AJ1776" s="2">
        <f t="shared" si="24"/>
        <v>0</v>
      </c>
      <c r="AK1776" s="2">
        <f t="shared" si="25"/>
        <v>0</v>
      </c>
      <c r="AL1776" s="2">
        <f t="shared" si="26"/>
        <v>0</v>
      </c>
      <c r="AM1776" s="2">
        <f t="shared" si="27"/>
        <v>0</v>
      </c>
      <c r="AN1776" s="2">
        <f t="shared" si="28"/>
        <v>0</v>
      </c>
      <c r="AO1776" s="2">
        <f t="shared" si="29"/>
      </c>
      <c r="AP1776" s="2">
        <f t="shared" si="30"/>
      </c>
      <c r="AQ1776" s="2">
        <f t="shared" si="31"/>
      </c>
    </row>
    <row r="1777">
      <c r="A1777" s="43">
        <f t="shared" si="3"/>
      </c>
      <c r="B1777" s="44" t="n"/>
      <c r="C1777" s="45" t="n"/>
      <c r="D1777" s="46" t="n"/>
      <c r="E1777" s="47" t="n"/>
      <c r="F1777" s="47" t="n"/>
      <c r="G1777" s="48">
        <f t="shared" si="4"/>
      </c>
      <c r="H1777" s="43">
        <f t="shared" si="0"/>
      </c>
      <c r="I1777" s="43">
        <f t="shared" si="5"/>
      </c>
      <c r="J1777" s="43">
        <f t="shared" si="1"/>
      </c>
      <c r="K1777" s="49">
        <f t="shared" si="2"/>
      </c>
      <c r="L1777" s="45" t="n"/>
      <c r="M1777" s="45" t="n"/>
      <c r="N1777" s="45" t="n"/>
      <c r="O1777" s="45" t="n"/>
      <c r="P1777" s="50" t="n"/>
      <c r="R1777" s="2">
        <f t="shared" si="6"/>
        <v>0</v>
      </c>
      <c r="S1777" s="2">
        <f t="shared" si="7"/>
      </c>
      <c r="T1777" s="2">
        <f t="shared" si="8"/>
      </c>
      <c r="U1777" s="2">
        <f t="shared" si="9"/>
      </c>
      <c r="V1777" s="2">
        <f t="shared" si="10"/>
      </c>
      <c r="W1777" s="2">
        <f t="shared" si="11"/>
      </c>
      <c r="X1777" s="2">
        <f t="shared" si="12"/>
      </c>
      <c r="Y1777" s="2">
        <f t="shared" si="13"/>
        <v>0</v>
      </c>
      <c r="Z1777" s="2">
        <f t="shared" si="14"/>
      </c>
      <c r="AA1777" s="2">
        <f t="shared" si="15"/>
        <v>0</v>
      </c>
      <c r="AB1777" s="2">
        <f t="shared" si="16"/>
      </c>
      <c r="AC1777" s="2">
        <f t="shared" si="17"/>
      </c>
      <c r="AD1777" s="2">
        <f t="shared" si="18"/>
      </c>
      <c r="AE1777" s="2">
        <f t="shared" si="19"/>
      </c>
      <c r="AF1777" s="2">
        <f t="shared" si="20"/>
      </c>
      <c r="AG1777" s="2">
        <f t="shared" si="21"/>
      </c>
      <c r="AH1777" s="2">
        <f t="shared" si="22"/>
      </c>
      <c r="AI1777" s="2">
        <f t="shared" si="23"/>
      </c>
      <c r="AJ1777" s="2">
        <f t="shared" si="24"/>
        <v>0</v>
      </c>
      <c r="AK1777" s="2">
        <f t="shared" si="25"/>
        <v>0</v>
      </c>
      <c r="AL1777" s="2">
        <f t="shared" si="26"/>
        <v>0</v>
      </c>
      <c r="AM1777" s="2">
        <f t="shared" si="27"/>
        <v>0</v>
      </c>
      <c r="AN1777" s="2">
        <f t="shared" si="28"/>
        <v>0</v>
      </c>
      <c r="AO1777" s="2">
        <f t="shared" si="29"/>
      </c>
      <c r="AP1777" s="2">
        <f t="shared" si="30"/>
      </c>
      <c r="AQ1777" s="2">
        <f t="shared" si="31"/>
      </c>
    </row>
    <row r="1778">
      <c r="A1778" s="43">
        <f t="shared" si="3"/>
      </c>
      <c r="B1778" s="44" t="n"/>
      <c r="C1778" s="45" t="n"/>
      <c r="D1778" s="46" t="n"/>
      <c r="E1778" s="47" t="n"/>
      <c r="F1778" s="47" t="n"/>
      <c r="G1778" s="48">
        <f t="shared" si="4"/>
      </c>
      <c r="H1778" s="43">
        <f t="shared" si="0"/>
      </c>
      <c r="I1778" s="43">
        <f t="shared" si="5"/>
      </c>
      <c r="J1778" s="43">
        <f t="shared" si="1"/>
      </c>
      <c r="K1778" s="49">
        <f t="shared" si="2"/>
      </c>
      <c r="L1778" s="45" t="n"/>
      <c r="M1778" s="45" t="n"/>
      <c r="N1778" s="45" t="n"/>
      <c r="O1778" s="45" t="n"/>
      <c r="P1778" s="50" t="n"/>
      <c r="R1778" s="2">
        <f t="shared" si="6"/>
        <v>0</v>
      </c>
      <c r="S1778" s="2">
        <f t="shared" si="7"/>
      </c>
      <c r="T1778" s="2">
        <f t="shared" si="8"/>
      </c>
      <c r="U1778" s="2">
        <f t="shared" si="9"/>
      </c>
      <c r="V1778" s="2">
        <f t="shared" si="10"/>
      </c>
      <c r="W1778" s="2">
        <f t="shared" si="11"/>
      </c>
      <c r="X1778" s="2">
        <f t="shared" si="12"/>
      </c>
      <c r="Y1778" s="2">
        <f t="shared" si="13"/>
        <v>0</v>
      </c>
      <c r="Z1778" s="2">
        <f t="shared" si="14"/>
      </c>
      <c r="AA1778" s="2">
        <f t="shared" si="15"/>
        <v>0</v>
      </c>
      <c r="AB1778" s="2">
        <f t="shared" si="16"/>
      </c>
      <c r="AC1778" s="2">
        <f t="shared" si="17"/>
      </c>
      <c r="AD1778" s="2">
        <f t="shared" si="18"/>
      </c>
      <c r="AE1778" s="2">
        <f t="shared" si="19"/>
      </c>
      <c r="AF1778" s="2">
        <f t="shared" si="20"/>
      </c>
      <c r="AG1778" s="2">
        <f t="shared" si="21"/>
      </c>
      <c r="AH1778" s="2">
        <f t="shared" si="22"/>
      </c>
      <c r="AI1778" s="2">
        <f t="shared" si="23"/>
      </c>
      <c r="AJ1778" s="2">
        <f t="shared" si="24"/>
        <v>0</v>
      </c>
      <c r="AK1778" s="2">
        <f t="shared" si="25"/>
        <v>0</v>
      </c>
      <c r="AL1778" s="2">
        <f t="shared" si="26"/>
        <v>0</v>
      </c>
      <c r="AM1778" s="2">
        <f t="shared" si="27"/>
        <v>0</v>
      </c>
      <c r="AN1778" s="2">
        <f t="shared" si="28"/>
        <v>0</v>
      </c>
      <c r="AO1778" s="2">
        <f t="shared" si="29"/>
      </c>
      <c r="AP1778" s="2">
        <f t="shared" si="30"/>
      </c>
      <c r="AQ1778" s="2">
        <f t="shared" si="31"/>
      </c>
    </row>
    <row r="1779">
      <c r="A1779" s="43">
        <f t="shared" si="3"/>
      </c>
      <c r="B1779" s="44" t="n"/>
      <c r="C1779" s="45" t="n"/>
      <c r="D1779" s="46" t="n"/>
      <c r="E1779" s="47" t="n"/>
      <c r="F1779" s="47" t="n"/>
      <c r="G1779" s="48">
        <f t="shared" si="4"/>
      </c>
      <c r="H1779" s="43">
        <f t="shared" si="0"/>
      </c>
      <c r="I1779" s="43">
        <f t="shared" si="5"/>
      </c>
      <c r="J1779" s="43">
        <f t="shared" si="1"/>
      </c>
      <c r="K1779" s="49">
        <f t="shared" si="2"/>
      </c>
      <c r="L1779" s="45" t="n"/>
      <c r="M1779" s="45" t="n"/>
      <c r="N1779" s="45" t="n"/>
      <c r="O1779" s="45" t="n"/>
      <c r="P1779" s="50" t="n"/>
      <c r="R1779" s="2">
        <f t="shared" si="6"/>
        <v>0</v>
      </c>
      <c r="S1779" s="2">
        <f t="shared" si="7"/>
      </c>
      <c r="T1779" s="2">
        <f t="shared" si="8"/>
      </c>
      <c r="U1779" s="2">
        <f t="shared" si="9"/>
      </c>
      <c r="V1779" s="2">
        <f t="shared" si="10"/>
      </c>
      <c r="W1779" s="2">
        <f t="shared" si="11"/>
      </c>
      <c r="X1779" s="2">
        <f t="shared" si="12"/>
      </c>
      <c r="Y1779" s="2">
        <f t="shared" si="13"/>
        <v>0</v>
      </c>
      <c r="Z1779" s="2">
        <f t="shared" si="14"/>
      </c>
      <c r="AA1779" s="2">
        <f t="shared" si="15"/>
        <v>0</v>
      </c>
      <c r="AB1779" s="2">
        <f t="shared" si="16"/>
      </c>
      <c r="AC1779" s="2">
        <f t="shared" si="17"/>
      </c>
      <c r="AD1779" s="2">
        <f t="shared" si="18"/>
      </c>
      <c r="AE1779" s="2">
        <f t="shared" si="19"/>
      </c>
      <c r="AF1779" s="2">
        <f t="shared" si="20"/>
      </c>
      <c r="AG1779" s="2">
        <f t="shared" si="21"/>
      </c>
      <c r="AH1779" s="2">
        <f t="shared" si="22"/>
      </c>
      <c r="AI1779" s="2">
        <f t="shared" si="23"/>
      </c>
      <c r="AJ1779" s="2">
        <f t="shared" si="24"/>
        <v>0</v>
      </c>
      <c r="AK1779" s="2">
        <f t="shared" si="25"/>
        <v>0</v>
      </c>
      <c r="AL1779" s="2">
        <f t="shared" si="26"/>
        <v>0</v>
      </c>
      <c r="AM1779" s="2">
        <f t="shared" si="27"/>
        <v>0</v>
      </c>
      <c r="AN1779" s="2">
        <f t="shared" si="28"/>
        <v>0</v>
      </c>
      <c r="AO1779" s="2">
        <f t="shared" si="29"/>
      </c>
      <c r="AP1779" s="2">
        <f t="shared" si="30"/>
      </c>
      <c r="AQ1779" s="2">
        <f t="shared" si="31"/>
      </c>
    </row>
    <row r="1780">
      <c r="A1780" s="43">
        <f t="shared" si="3"/>
      </c>
      <c r="B1780" s="44" t="n"/>
      <c r="C1780" s="45" t="n"/>
      <c r="D1780" s="46" t="n"/>
      <c r="E1780" s="47" t="n"/>
      <c r="F1780" s="47" t="n"/>
      <c r="G1780" s="48">
        <f t="shared" si="4"/>
      </c>
      <c r="H1780" s="43">
        <f t="shared" si="0"/>
      </c>
      <c r="I1780" s="43">
        <f t="shared" si="5"/>
      </c>
      <c r="J1780" s="43">
        <f t="shared" si="1"/>
      </c>
      <c r="K1780" s="49">
        <f t="shared" si="2"/>
      </c>
      <c r="L1780" s="45" t="n"/>
      <c r="M1780" s="45" t="n"/>
      <c r="N1780" s="45" t="n"/>
      <c r="O1780" s="45" t="n"/>
      <c r="P1780" s="50" t="n"/>
      <c r="R1780" s="2">
        <f t="shared" si="6"/>
        <v>0</v>
      </c>
      <c r="S1780" s="2">
        <f t="shared" si="7"/>
      </c>
      <c r="T1780" s="2">
        <f t="shared" si="8"/>
      </c>
      <c r="U1780" s="2">
        <f t="shared" si="9"/>
      </c>
      <c r="V1780" s="2">
        <f t="shared" si="10"/>
      </c>
      <c r="W1780" s="2">
        <f t="shared" si="11"/>
      </c>
      <c r="X1780" s="2">
        <f t="shared" si="12"/>
      </c>
      <c r="Y1780" s="2">
        <f t="shared" si="13"/>
        <v>0</v>
      </c>
      <c r="Z1780" s="2">
        <f t="shared" si="14"/>
      </c>
      <c r="AA1780" s="2">
        <f t="shared" si="15"/>
        <v>0</v>
      </c>
      <c r="AB1780" s="2">
        <f t="shared" si="16"/>
      </c>
      <c r="AC1780" s="2">
        <f t="shared" si="17"/>
      </c>
      <c r="AD1780" s="2">
        <f t="shared" si="18"/>
      </c>
      <c r="AE1780" s="2">
        <f t="shared" si="19"/>
      </c>
      <c r="AF1780" s="2">
        <f t="shared" si="20"/>
      </c>
      <c r="AG1780" s="2">
        <f t="shared" si="21"/>
      </c>
      <c r="AH1780" s="2">
        <f t="shared" si="22"/>
      </c>
      <c r="AI1780" s="2">
        <f t="shared" si="23"/>
      </c>
      <c r="AJ1780" s="2">
        <f t="shared" si="24"/>
        <v>0</v>
      </c>
      <c r="AK1780" s="2">
        <f t="shared" si="25"/>
        <v>0</v>
      </c>
      <c r="AL1780" s="2">
        <f t="shared" si="26"/>
        <v>0</v>
      </c>
      <c r="AM1780" s="2">
        <f t="shared" si="27"/>
        <v>0</v>
      </c>
      <c r="AN1780" s="2">
        <f t="shared" si="28"/>
        <v>0</v>
      </c>
      <c r="AO1780" s="2">
        <f t="shared" si="29"/>
      </c>
      <c r="AP1780" s="2">
        <f t="shared" si="30"/>
      </c>
      <c r="AQ1780" s="2">
        <f t="shared" si="31"/>
      </c>
    </row>
    <row r="1781">
      <c r="A1781" s="43">
        <f t="shared" si="3"/>
      </c>
      <c r="B1781" s="44" t="n"/>
      <c r="C1781" s="45" t="n"/>
      <c r="D1781" s="46" t="n"/>
      <c r="E1781" s="47" t="n"/>
      <c r="F1781" s="47" t="n"/>
      <c r="G1781" s="48">
        <f t="shared" si="4"/>
      </c>
      <c r="H1781" s="43">
        <f t="shared" si="0"/>
      </c>
      <c r="I1781" s="43">
        <f t="shared" si="5"/>
      </c>
      <c r="J1781" s="43">
        <f t="shared" si="1"/>
      </c>
      <c r="K1781" s="49">
        <f t="shared" si="2"/>
      </c>
      <c r="L1781" s="45" t="n"/>
      <c r="M1781" s="45" t="n"/>
      <c r="N1781" s="45" t="n"/>
      <c r="O1781" s="45" t="n"/>
      <c r="P1781" s="50" t="n"/>
      <c r="R1781" s="2">
        <f t="shared" si="6"/>
        <v>0</v>
      </c>
      <c r="S1781" s="2">
        <f t="shared" si="7"/>
      </c>
      <c r="T1781" s="2">
        <f t="shared" si="8"/>
      </c>
      <c r="U1781" s="2">
        <f t="shared" si="9"/>
      </c>
      <c r="V1781" s="2">
        <f t="shared" si="10"/>
      </c>
      <c r="W1781" s="2">
        <f t="shared" si="11"/>
      </c>
      <c r="X1781" s="2">
        <f t="shared" si="12"/>
      </c>
      <c r="Y1781" s="2">
        <f t="shared" si="13"/>
        <v>0</v>
      </c>
      <c r="Z1781" s="2">
        <f t="shared" si="14"/>
      </c>
      <c r="AA1781" s="2">
        <f t="shared" si="15"/>
        <v>0</v>
      </c>
      <c r="AB1781" s="2">
        <f t="shared" si="16"/>
      </c>
      <c r="AC1781" s="2">
        <f t="shared" si="17"/>
      </c>
      <c r="AD1781" s="2">
        <f t="shared" si="18"/>
      </c>
      <c r="AE1781" s="2">
        <f t="shared" si="19"/>
      </c>
      <c r="AF1781" s="2">
        <f t="shared" si="20"/>
      </c>
      <c r="AG1781" s="2">
        <f t="shared" si="21"/>
      </c>
      <c r="AH1781" s="2">
        <f t="shared" si="22"/>
      </c>
      <c r="AI1781" s="2">
        <f t="shared" si="23"/>
      </c>
      <c r="AJ1781" s="2">
        <f t="shared" si="24"/>
        <v>0</v>
      </c>
      <c r="AK1781" s="2">
        <f t="shared" si="25"/>
        <v>0</v>
      </c>
      <c r="AL1781" s="2">
        <f t="shared" si="26"/>
        <v>0</v>
      </c>
      <c r="AM1781" s="2">
        <f t="shared" si="27"/>
        <v>0</v>
      </c>
      <c r="AN1781" s="2">
        <f t="shared" si="28"/>
        <v>0</v>
      </c>
      <c r="AO1781" s="2">
        <f t="shared" si="29"/>
      </c>
      <c r="AP1781" s="2">
        <f t="shared" si="30"/>
      </c>
      <c r="AQ1781" s="2">
        <f t="shared" si="31"/>
      </c>
    </row>
    <row r="1782">
      <c r="A1782" s="43">
        <f t="shared" si="3"/>
      </c>
      <c r="B1782" s="44" t="n"/>
      <c r="C1782" s="45" t="n"/>
      <c r="D1782" s="46" t="n"/>
      <c r="E1782" s="47" t="n"/>
      <c r="F1782" s="47" t="n"/>
      <c r="G1782" s="48">
        <f t="shared" si="4"/>
      </c>
      <c r="H1782" s="43">
        <f t="shared" si="0"/>
      </c>
      <c r="I1782" s="43">
        <f t="shared" si="5"/>
      </c>
      <c r="J1782" s="43">
        <f t="shared" si="1"/>
      </c>
      <c r="K1782" s="49">
        <f t="shared" si="2"/>
      </c>
      <c r="L1782" s="45" t="n"/>
      <c r="M1782" s="45" t="n"/>
      <c r="N1782" s="45" t="n"/>
      <c r="O1782" s="45" t="n"/>
      <c r="P1782" s="50" t="n"/>
      <c r="R1782" s="2">
        <f t="shared" si="6"/>
        <v>0</v>
      </c>
      <c r="S1782" s="2">
        <f t="shared" si="7"/>
      </c>
      <c r="T1782" s="2">
        <f t="shared" si="8"/>
      </c>
      <c r="U1782" s="2">
        <f t="shared" si="9"/>
      </c>
      <c r="V1782" s="2">
        <f t="shared" si="10"/>
      </c>
      <c r="W1782" s="2">
        <f t="shared" si="11"/>
      </c>
      <c r="X1782" s="2">
        <f t="shared" si="12"/>
      </c>
      <c r="Y1782" s="2">
        <f t="shared" si="13"/>
        <v>0</v>
      </c>
      <c r="Z1782" s="2">
        <f t="shared" si="14"/>
      </c>
      <c r="AA1782" s="2">
        <f t="shared" si="15"/>
        <v>0</v>
      </c>
      <c r="AB1782" s="2">
        <f t="shared" si="16"/>
      </c>
      <c r="AC1782" s="2">
        <f t="shared" si="17"/>
      </c>
      <c r="AD1782" s="2">
        <f t="shared" si="18"/>
      </c>
      <c r="AE1782" s="2">
        <f t="shared" si="19"/>
      </c>
      <c r="AF1782" s="2">
        <f t="shared" si="20"/>
      </c>
      <c r="AG1782" s="2">
        <f t="shared" si="21"/>
      </c>
      <c r="AH1782" s="2">
        <f t="shared" si="22"/>
      </c>
      <c r="AI1782" s="2">
        <f t="shared" si="23"/>
      </c>
      <c r="AJ1782" s="2">
        <f t="shared" si="24"/>
        <v>0</v>
      </c>
      <c r="AK1782" s="2">
        <f t="shared" si="25"/>
        <v>0</v>
      </c>
      <c r="AL1782" s="2">
        <f t="shared" si="26"/>
        <v>0</v>
      </c>
      <c r="AM1782" s="2">
        <f t="shared" si="27"/>
        <v>0</v>
      </c>
      <c r="AN1782" s="2">
        <f t="shared" si="28"/>
        <v>0</v>
      </c>
      <c r="AO1782" s="2">
        <f t="shared" si="29"/>
      </c>
      <c r="AP1782" s="2">
        <f t="shared" si="30"/>
      </c>
      <c r="AQ1782" s="2">
        <f t="shared" si="31"/>
      </c>
    </row>
    <row r="1783">
      <c r="A1783" s="43">
        <f t="shared" si="3"/>
      </c>
      <c r="B1783" s="44" t="n"/>
      <c r="C1783" s="45" t="n"/>
      <c r="D1783" s="46" t="n"/>
      <c r="E1783" s="47" t="n"/>
      <c r="F1783" s="47" t="n"/>
      <c r="G1783" s="48">
        <f t="shared" si="4"/>
      </c>
      <c r="H1783" s="43">
        <f t="shared" si="0"/>
      </c>
      <c r="I1783" s="43">
        <f t="shared" si="5"/>
      </c>
      <c r="J1783" s="43">
        <f t="shared" si="1"/>
      </c>
      <c r="K1783" s="49">
        <f t="shared" si="2"/>
      </c>
      <c r="L1783" s="45" t="n"/>
      <c r="M1783" s="45" t="n"/>
      <c r="N1783" s="45" t="n"/>
      <c r="O1783" s="45" t="n"/>
      <c r="P1783" s="50" t="n"/>
      <c r="R1783" s="2">
        <f t="shared" si="6"/>
        <v>0</v>
      </c>
      <c r="S1783" s="2">
        <f t="shared" si="7"/>
      </c>
      <c r="T1783" s="2">
        <f t="shared" si="8"/>
      </c>
      <c r="U1783" s="2">
        <f t="shared" si="9"/>
      </c>
      <c r="V1783" s="2">
        <f t="shared" si="10"/>
      </c>
      <c r="W1783" s="2">
        <f t="shared" si="11"/>
      </c>
      <c r="X1783" s="2">
        <f t="shared" si="12"/>
      </c>
      <c r="Y1783" s="2">
        <f t="shared" si="13"/>
        <v>0</v>
      </c>
      <c r="Z1783" s="2">
        <f t="shared" si="14"/>
      </c>
      <c r="AA1783" s="2">
        <f t="shared" si="15"/>
        <v>0</v>
      </c>
      <c r="AB1783" s="2">
        <f t="shared" si="16"/>
      </c>
      <c r="AC1783" s="2">
        <f t="shared" si="17"/>
      </c>
      <c r="AD1783" s="2">
        <f t="shared" si="18"/>
      </c>
      <c r="AE1783" s="2">
        <f t="shared" si="19"/>
      </c>
      <c r="AF1783" s="2">
        <f t="shared" si="20"/>
      </c>
      <c r="AG1783" s="2">
        <f t="shared" si="21"/>
      </c>
      <c r="AH1783" s="2">
        <f t="shared" si="22"/>
      </c>
      <c r="AI1783" s="2">
        <f t="shared" si="23"/>
      </c>
      <c r="AJ1783" s="2">
        <f t="shared" si="24"/>
        <v>0</v>
      </c>
      <c r="AK1783" s="2">
        <f t="shared" si="25"/>
        <v>0</v>
      </c>
      <c r="AL1783" s="2">
        <f t="shared" si="26"/>
        <v>0</v>
      </c>
      <c r="AM1783" s="2">
        <f t="shared" si="27"/>
        <v>0</v>
      </c>
      <c r="AN1783" s="2">
        <f t="shared" si="28"/>
        <v>0</v>
      </c>
      <c r="AO1783" s="2">
        <f t="shared" si="29"/>
      </c>
      <c r="AP1783" s="2">
        <f t="shared" si="30"/>
      </c>
      <c r="AQ1783" s="2">
        <f t="shared" si="31"/>
      </c>
    </row>
    <row r="1784">
      <c r="A1784" s="43">
        <f t="shared" si="3"/>
      </c>
      <c r="B1784" s="44" t="n"/>
      <c r="C1784" s="45" t="n"/>
      <c r="D1784" s="46" t="n"/>
      <c r="E1784" s="47" t="n"/>
      <c r="F1784" s="47" t="n"/>
      <c r="G1784" s="48">
        <f t="shared" si="4"/>
      </c>
      <c r="H1784" s="43">
        <f t="shared" si="0"/>
      </c>
      <c r="I1784" s="43">
        <f t="shared" si="5"/>
      </c>
      <c r="J1784" s="43">
        <f t="shared" si="1"/>
      </c>
      <c r="K1784" s="49">
        <f t="shared" si="2"/>
      </c>
      <c r="L1784" s="45" t="n"/>
      <c r="M1784" s="45" t="n"/>
      <c r="N1784" s="45" t="n"/>
      <c r="O1784" s="45" t="n"/>
      <c r="P1784" s="50" t="n"/>
      <c r="R1784" s="2">
        <f t="shared" si="6"/>
        <v>0</v>
      </c>
      <c r="S1784" s="2">
        <f t="shared" si="7"/>
      </c>
      <c r="T1784" s="2">
        <f t="shared" si="8"/>
      </c>
      <c r="U1784" s="2">
        <f t="shared" si="9"/>
      </c>
      <c r="V1784" s="2">
        <f t="shared" si="10"/>
      </c>
      <c r="W1784" s="2">
        <f t="shared" si="11"/>
      </c>
      <c r="X1784" s="2">
        <f t="shared" si="12"/>
      </c>
      <c r="Y1784" s="2">
        <f t="shared" si="13"/>
        <v>0</v>
      </c>
      <c r="Z1784" s="2">
        <f t="shared" si="14"/>
      </c>
      <c r="AA1784" s="2">
        <f t="shared" si="15"/>
        <v>0</v>
      </c>
      <c r="AB1784" s="2">
        <f t="shared" si="16"/>
      </c>
      <c r="AC1784" s="2">
        <f t="shared" si="17"/>
      </c>
      <c r="AD1784" s="2">
        <f t="shared" si="18"/>
      </c>
      <c r="AE1784" s="2">
        <f t="shared" si="19"/>
      </c>
      <c r="AF1784" s="2">
        <f t="shared" si="20"/>
      </c>
      <c r="AG1784" s="2">
        <f t="shared" si="21"/>
      </c>
      <c r="AH1784" s="2">
        <f t="shared" si="22"/>
      </c>
      <c r="AI1784" s="2">
        <f t="shared" si="23"/>
      </c>
      <c r="AJ1784" s="2">
        <f t="shared" si="24"/>
        <v>0</v>
      </c>
      <c r="AK1784" s="2">
        <f t="shared" si="25"/>
        <v>0</v>
      </c>
      <c r="AL1784" s="2">
        <f t="shared" si="26"/>
        <v>0</v>
      </c>
      <c r="AM1784" s="2">
        <f t="shared" si="27"/>
        <v>0</v>
      </c>
      <c r="AN1784" s="2">
        <f t="shared" si="28"/>
        <v>0</v>
      </c>
      <c r="AO1784" s="2">
        <f t="shared" si="29"/>
      </c>
      <c r="AP1784" s="2">
        <f t="shared" si="30"/>
      </c>
      <c r="AQ1784" s="2">
        <f t="shared" si="31"/>
      </c>
    </row>
    <row r="1785">
      <c r="A1785" s="43">
        <f t="shared" si="3"/>
      </c>
      <c r="B1785" s="44" t="n"/>
      <c r="C1785" s="45" t="n"/>
      <c r="D1785" s="46" t="n"/>
      <c r="E1785" s="47" t="n"/>
      <c r="F1785" s="47" t="n"/>
      <c r="G1785" s="48">
        <f t="shared" si="4"/>
      </c>
      <c r="H1785" s="43">
        <f t="shared" si="0"/>
      </c>
      <c r="I1785" s="43">
        <f t="shared" si="5"/>
      </c>
      <c r="J1785" s="43">
        <f t="shared" si="1"/>
      </c>
      <c r="K1785" s="49">
        <f t="shared" si="2"/>
      </c>
      <c r="L1785" s="45" t="n"/>
      <c r="M1785" s="45" t="n"/>
      <c r="N1785" s="45" t="n"/>
      <c r="O1785" s="45" t="n"/>
      <c r="P1785" s="50" t="n"/>
      <c r="R1785" s="2">
        <f t="shared" si="6"/>
        <v>0</v>
      </c>
      <c r="S1785" s="2">
        <f t="shared" si="7"/>
      </c>
      <c r="T1785" s="2">
        <f t="shared" si="8"/>
      </c>
      <c r="U1785" s="2">
        <f t="shared" si="9"/>
      </c>
      <c r="V1785" s="2">
        <f t="shared" si="10"/>
      </c>
      <c r="W1785" s="2">
        <f t="shared" si="11"/>
      </c>
      <c r="X1785" s="2">
        <f t="shared" si="12"/>
      </c>
      <c r="Y1785" s="2">
        <f t="shared" si="13"/>
        <v>0</v>
      </c>
      <c r="Z1785" s="2">
        <f t="shared" si="14"/>
      </c>
      <c r="AA1785" s="2">
        <f t="shared" si="15"/>
        <v>0</v>
      </c>
      <c r="AB1785" s="2">
        <f t="shared" si="16"/>
      </c>
      <c r="AC1785" s="2">
        <f t="shared" si="17"/>
      </c>
      <c r="AD1785" s="2">
        <f t="shared" si="18"/>
      </c>
      <c r="AE1785" s="2">
        <f t="shared" si="19"/>
      </c>
      <c r="AF1785" s="2">
        <f t="shared" si="20"/>
      </c>
      <c r="AG1785" s="2">
        <f t="shared" si="21"/>
      </c>
      <c r="AH1785" s="2">
        <f t="shared" si="22"/>
      </c>
      <c r="AI1785" s="2">
        <f t="shared" si="23"/>
      </c>
      <c r="AJ1785" s="2">
        <f t="shared" si="24"/>
        <v>0</v>
      </c>
      <c r="AK1785" s="2">
        <f t="shared" si="25"/>
        <v>0</v>
      </c>
      <c r="AL1785" s="2">
        <f t="shared" si="26"/>
        <v>0</v>
      </c>
      <c r="AM1785" s="2">
        <f t="shared" si="27"/>
        <v>0</v>
      </c>
      <c r="AN1785" s="2">
        <f t="shared" si="28"/>
        <v>0</v>
      </c>
      <c r="AO1785" s="2">
        <f t="shared" si="29"/>
      </c>
      <c r="AP1785" s="2">
        <f t="shared" si="30"/>
      </c>
      <c r="AQ1785" s="2">
        <f t="shared" si="31"/>
      </c>
    </row>
    <row r="1786">
      <c r="A1786" s="43">
        <f t="shared" si="3"/>
      </c>
      <c r="B1786" s="44" t="n"/>
      <c r="C1786" s="45" t="n"/>
      <c r="D1786" s="46" t="n"/>
      <c r="E1786" s="47" t="n"/>
      <c r="F1786" s="47" t="n"/>
      <c r="G1786" s="48">
        <f t="shared" si="4"/>
      </c>
      <c r="H1786" s="43">
        <f t="shared" si="0"/>
      </c>
      <c r="I1786" s="43">
        <f t="shared" si="5"/>
      </c>
      <c r="J1786" s="43">
        <f t="shared" si="1"/>
      </c>
      <c r="K1786" s="49">
        <f t="shared" si="2"/>
      </c>
      <c r="L1786" s="45" t="n"/>
      <c r="M1786" s="45" t="n"/>
      <c r="N1786" s="45" t="n"/>
      <c r="O1786" s="45" t="n"/>
      <c r="P1786" s="50" t="n"/>
      <c r="R1786" s="2">
        <f t="shared" si="6"/>
        <v>0</v>
      </c>
      <c r="S1786" s="2">
        <f t="shared" si="7"/>
      </c>
      <c r="T1786" s="2">
        <f t="shared" si="8"/>
      </c>
      <c r="U1786" s="2">
        <f t="shared" si="9"/>
      </c>
      <c r="V1786" s="2">
        <f t="shared" si="10"/>
      </c>
      <c r="W1786" s="2">
        <f t="shared" si="11"/>
      </c>
      <c r="X1786" s="2">
        <f t="shared" si="12"/>
      </c>
      <c r="Y1786" s="2">
        <f t="shared" si="13"/>
        <v>0</v>
      </c>
      <c r="Z1786" s="2">
        <f t="shared" si="14"/>
      </c>
      <c r="AA1786" s="2">
        <f t="shared" si="15"/>
        <v>0</v>
      </c>
      <c r="AB1786" s="2">
        <f t="shared" si="16"/>
      </c>
      <c r="AC1786" s="2">
        <f t="shared" si="17"/>
      </c>
      <c r="AD1786" s="2">
        <f t="shared" si="18"/>
      </c>
      <c r="AE1786" s="2">
        <f t="shared" si="19"/>
      </c>
      <c r="AF1786" s="2">
        <f t="shared" si="20"/>
      </c>
      <c r="AG1786" s="2">
        <f t="shared" si="21"/>
      </c>
      <c r="AH1786" s="2">
        <f t="shared" si="22"/>
      </c>
      <c r="AI1786" s="2">
        <f t="shared" si="23"/>
      </c>
      <c r="AJ1786" s="2">
        <f t="shared" si="24"/>
        <v>0</v>
      </c>
      <c r="AK1786" s="2">
        <f t="shared" si="25"/>
        <v>0</v>
      </c>
      <c r="AL1786" s="2">
        <f t="shared" si="26"/>
        <v>0</v>
      </c>
      <c r="AM1786" s="2">
        <f t="shared" si="27"/>
        <v>0</v>
      </c>
      <c r="AN1786" s="2">
        <f t="shared" si="28"/>
        <v>0</v>
      </c>
      <c r="AO1786" s="2">
        <f t="shared" si="29"/>
      </c>
      <c r="AP1786" s="2">
        <f t="shared" si="30"/>
      </c>
      <c r="AQ1786" s="2">
        <f t="shared" si="31"/>
      </c>
    </row>
    <row r="1787">
      <c r="A1787" s="43">
        <f t="shared" si="3"/>
      </c>
      <c r="B1787" s="44" t="n"/>
      <c r="C1787" s="45" t="n"/>
      <c r="D1787" s="46" t="n"/>
      <c r="E1787" s="47" t="n"/>
      <c r="F1787" s="47" t="n"/>
      <c r="G1787" s="48">
        <f t="shared" si="4"/>
      </c>
      <c r="H1787" s="43">
        <f t="shared" si="0"/>
      </c>
      <c r="I1787" s="43">
        <f t="shared" si="5"/>
      </c>
      <c r="J1787" s="43">
        <f t="shared" si="1"/>
      </c>
      <c r="K1787" s="49">
        <f t="shared" si="2"/>
      </c>
      <c r="L1787" s="45" t="n"/>
      <c r="M1787" s="45" t="n"/>
      <c r="N1787" s="45" t="n"/>
      <c r="O1787" s="45" t="n"/>
      <c r="P1787" s="50" t="n"/>
      <c r="R1787" s="2">
        <f t="shared" si="6"/>
        <v>0</v>
      </c>
      <c r="S1787" s="2">
        <f t="shared" si="7"/>
      </c>
      <c r="T1787" s="2">
        <f t="shared" si="8"/>
      </c>
      <c r="U1787" s="2">
        <f t="shared" si="9"/>
      </c>
      <c r="V1787" s="2">
        <f t="shared" si="10"/>
      </c>
      <c r="W1787" s="2">
        <f t="shared" si="11"/>
      </c>
      <c r="X1787" s="2">
        <f t="shared" si="12"/>
      </c>
      <c r="Y1787" s="2">
        <f t="shared" si="13"/>
        <v>0</v>
      </c>
      <c r="Z1787" s="2">
        <f t="shared" si="14"/>
      </c>
      <c r="AA1787" s="2">
        <f t="shared" si="15"/>
        <v>0</v>
      </c>
      <c r="AB1787" s="2">
        <f t="shared" si="16"/>
      </c>
      <c r="AC1787" s="2">
        <f t="shared" si="17"/>
      </c>
      <c r="AD1787" s="2">
        <f t="shared" si="18"/>
      </c>
      <c r="AE1787" s="2">
        <f t="shared" si="19"/>
      </c>
      <c r="AF1787" s="2">
        <f t="shared" si="20"/>
      </c>
      <c r="AG1787" s="2">
        <f t="shared" si="21"/>
      </c>
      <c r="AH1787" s="2">
        <f t="shared" si="22"/>
      </c>
      <c r="AI1787" s="2">
        <f t="shared" si="23"/>
      </c>
      <c r="AJ1787" s="2">
        <f t="shared" si="24"/>
        <v>0</v>
      </c>
      <c r="AK1787" s="2">
        <f t="shared" si="25"/>
        <v>0</v>
      </c>
      <c r="AL1787" s="2">
        <f t="shared" si="26"/>
        <v>0</v>
      </c>
      <c r="AM1787" s="2">
        <f t="shared" si="27"/>
        <v>0</v>
      </c>
      <c r="AN1787" s="2">
        <f t="shared" si="28"/>
        <v>0</v>
      </c>
      <c r="AO1787" s="2">
        <f t="shared" si="29"/>
      </c>
      <c r="AP1787" s="2">
        <f t="shared" si="30"/>
      </c>
      <c r="AQ1787" s="2">
        <f t="shared" si="31"/>
      </c>
    </row>
    <row r="1788">
      <c r="A1788" s="43">
        <f t="shared" si="3"/>
      </c>
      <c r="B1788" s="44" t="n"/>
      <c r="C1788" s="45" t="n"/>
      <c r="D1788" s="46" t="n"/>
      <c r="E1788" s="47" t="n"/>
      <c r="F1788" s="47" t="n"/>
      <c r="G1788" s="48">
        <f t="shared" si="4"/>
      </c>
      <c r="H1788" s="43">
        <f t="shared" si="0"/>
      </c>
      <c r="I1788" s="43">
        <f t="shared" si="5"/>
      </c>
      <c r="J1788" s="43">
        <f t="shared" si="1"/>
      </c>
      <c r="K1788" s="49">
        <f t="shared" si="2"/>
      </c>
      <c r="L1788" s="45" t="n"/>
      <c r="M1788" s="45" t="n"/>
      <c r="N1788" s="45" t="n"/>
      <c r="O1788" s="45" t="n"/>
      <c r="P1788" s="50" t="n"/>
      <c r="R1788" s="2">
        <f t="shared" si="6"/>
        <v>0</v>
      </c>
      <c r="S1788" s="2">
        <f t="shared" si="7"/>
      </c>
      <c r="T1788" s="2">
        <f t="shared" si="8"/>
      </c>
      <c r="U1788" s="2">
        <f t="shared" si="9"/>
      </c>
      <c r="V1788" s="2">
        <f t="shared" si="10"/>
      </c>
      <c r="W1788" s="2">
        <f t="shared" si="11"/>
      </c>
      <c r="X1788" s="2">
        <f t="shared" si="12"/>
      </c>
      <c r="Y1788" s="2">
        <f t="shared" si="13"/>
        <v>0</v>
      </c>
      <c r="Z1788" s="2">
        <f t="shared" si="14"/>
      </c>
      <c r="AA1788" s="2">
        <f t="shared" si="15"/>
        <v>0</v>
      </c>
      <c r="AB1788" s="2">
        <f t="shared" si="16"/>
      </c>
      <c r="AC1788" s="2">
        <f t="shared" si="17"/>
      </c>
      <c r="AD1788" s="2">
        <f t="shared" si="18"/>
      </c>
      <c r="AE1788" s="2">
        <f t="shared" si="19"/>
      </c>
      <c r="AF1788" s="2">
        <f t="shared" si="20"/>
      </c>
      <c r="AG1788" s="2">
        <f t="shared" si="21"/>
      </c>
      <c r="AH1788" s="2">
        <f t="shared" si="22"/>
      </c>
      <c r="AI1788" s="2">
        <f t="shared" si="23"/>
      </c>
      <c r="AJ1788" s="2">
        <f t="shared" si="24"/>
        <v>0</v>
      </c>
      <c r="AK1788" s="2">
        <f t="shared" si="25"/>
        <v>0</v>
      </c>
      <c r="AL1788" s="2">
        <f t="shared" si="26"/>
        <v>0</v>
      </c>
      <c r="AM1788" s="2">
        <f t="shared" si="27"/>
        <v>0</v>
      </c>
      <c r="AN1788" s="2">
        <f t="shared" si="28"/>
        <v>0</v>
      </c>
      <c r="AO1788" s="2">
        <f t="shared" si="29"/>
      </c>
      <c r="AP1788" s="2">
        <f t="shared" si="30"/>
      </c>
      <c r="AQ1788" s="2">
        <f t="shared" si="31"/>
      </c>
    </row>
    <row r="1789">
      <c r="A1789" s="43">
        <f t="shared" si="3"/>
      </c>
      <c r="B1789" s="44" t="n"/>
      <c r="C1789" s="45" t="n"/>
      <c r="D1789" s="46" t="n"/>
      <c r="E1789" s="47" t="n"/>
      <c r="F1789" s="47" t="n"/>
      <c r="G1789" s="48">
        <f t="shared" si="4"/>
      </c>
      <c r="H1789" s="43">
        <f t="shared" si="0"/>
      </c>
      <c r="I1789" s="43">
        <f t="shared" si="5"/>
      </c>
      <c r="J1789" s="43">
        <f t="shared" si="1"/>
      </c>
      <c r="K1789" s="49">
        <f t="shared" si="2"/>
      </c>
      <c r="L1789" s="45" t="n"/>
      <c r="M1789" s="45" t="n"/>
      <c r="N1789" s="45" t="n"/>
      <c r="O1789" s="45" t="n"/>
      <c r="P1789" s="50" t="n"/>
      <c r="R1789" s="2">
        <f t="shared" si="6"/>
        <v>0</v>
      </c>
      <c r="S1789" s="2">
        <f t="shared" si="7"/>
      </c>
      <c r="T1789" s="2">
        <f t="shared" si="8"/>
      </c>
      <c r="U1789" s="2">
        <f t="shared" si="9"/>
      </c>
      <c r="V1789" s="2">
        <f t="shared" si="10"/>
      </c>
      <c r="W1789" s="2">
        <f t="shared" si="11"/>
      </c>
      <c r="X1789" s="2">
        <f t="shared" si="12"/>
      </c>
      <c r="Y1789" s="2">
        <f t="shared" si="13"/>
        <v>0</v>
      </c>
      <c r="Z1789" s="2">
        <f t="shared" si="14"/>
      </c>
      <c r="AA1789" s="2">
        <f t="shared" si="15"/>
        <v>0</v>
      </c>
      <c r="AB1789" s="2">
        <f t="shared" si="16"/>
      </c>
      <c r="AC1789" s="2">
        <f t="shared" si="17"/>
      </c>
      <c r="AD1789" s="2">
        <f t="shared" si="18"/>
      </c>
      <c r="AE1789" s="2">
        <f t="shared" si="19"/>
      </c>
      <c r="AF1789" s="2">
        <f t="shared" si="20"/>
      </c>
      <c r="AG1789" s="2">
        <f t="shared" si="21"/>
      </c>
      <c r="AH1789" s="2">
        <f t="shared" si="22"/>
      </c>
      <c r="AI1789" s="2">
        <f t="shared" si="23"/>
      </c>
      <c r="AJ1789" s="2">
        <f t="shared" si="24"/>
        <v>0</v>
      </c>
      <c r="AK1789" s="2">
        <f t="shared" si="25"/>
        <v>0</v>
      </c>
      <c r="AL1789" s="2">
        <f t="shared" si="26"/>
        <v>0</v>
      </c>
      <c r="AM1789" s="2">
        <f t="shared" si="27"/>
        <v>0</v>
      </c>
      <c r="AN1789" s="2">
        <f t="shared" si="28"/>
        <v>0</v>
      </c>
      <c r="AO1789" s="2">
        <f t="shared" si="29"/>
      </c>
      <c r="AP1789" s="2">
        <f t="shared" si="30"/>
      </c>
      <c r="AQ1789" s="2">
        <f t="shared" si="31"/>
      </c>
    </row>
    <row r="1790">
      <c r="A1790" s="43">
        <f t="shared" si="3"/>
      </c>
      <c r="B1790" s="44" t="n"/>
      <c r="C1790" s="45" t="n"/>
      <c r="D1790" s="46" t="n"/>
      <c r="E1790" s="47" t="n"/>
      <c r="F1790" s="47" t="n"/>
      <c r="G1790" s="48">
        <f t="shared" si="4"/>
      </c>
      <c r="H1790" s="43">
        <f t="shared" si="0"/>
      </c>
      <c r="I1790" s="43">
        <f t="shared" si="5"/>
      </c>
      <c r="J1790" s="43">
        <f t="shared" si="1"/>
      </c>
      <c r="K1790" s="49">
        <f t="shared" si="2"/>
      </c>
      <c r="L1790" s="45" t="n"/>
      <c r="M1790" s="45" t="n"/>
      <c r="N1790" s="45" t="n"/>
      <c r="O1790" s="45" t="n"/>
      <c r="P1790" s="50" t="n"/>
      <c r="R1790" s="2">
        <f t="shared" si="6"/>
        <v>0</v>
      </c>
      <c r="S1790" s="2">
        <f t="shared" si="7"/>
      </c>
      <c r="T1790" s="2">
        <f t="shared" si="8"/>
      </c>
      <c r="U1790" s="2">
        <f t="shared" si="9"/>
      </c>
      <c r="V1790" s="2">
        <f t="shared" si="10"/>
      </c>
      <c r="W1790" s="2">
        <f t="shared" si="11"/>
      </c>
      <c r="X1790" s="2">
        <f t="shared" si="12"/>
      </c>
      <c r="Y1790" s="2">
        <f t="shared" si="13"/>
        <v>0</v>
      </c>
      <c r="Z1790" s="2">
        <f t="shared" si="14"/>
      </c>
      <c r="AA1790" s="2">
        <f t="shared" si="15"/>
        <v>0</v>
      </c>
      <c r="AB1790" s="2">
        <f t="shared" si="16"/>
      </c>
      <c r="AC1790" s="2">
        <f t="shared" si="17"/>
      </c>
      <c r="AD1790" s="2">
        <f t="shared" si="18"/>
      </c>
      <c r="AE1790" s="2">
        <f t="shared" si="19"/>
      </c>
      <c r="AF1790" s="2">
        <f t="shared" si="20"/>
      </c>
      <c r="AG1790" s="2">
        <f t="shared" si="21"/>
      </c>
      <c r="AH1790" s="2">
        <f t="shared" si="22"/>
      </c>
      <c r="AI1790" s="2">
        <f t="shared" si="23"/>
      </c>
      <c r="AJ1790" s="2">
        <f t="shared" si="24"/>
        <v>0</v>
      </c>
      <c r="AK1790" s="2">
        <f t="shared" si="25"/>
        <v>0</v>
      </c>
      <c r="AL1790" s="2">
        <f t="shared" si="26"/>
        <v>0</v>
      </c>
      <c r="AM1790" s="2">
        <f t="shared" si="27"/>
        <v>0</v>
      </c>
      <c r="AN1790" s="2">
        <f t="shared" si="28"/>
        <v>0</v>
      </c>
      <c r="AO1790" s="2">
        <f t="shared" si="29"/>
      </c>
      <c r="AP1790" s="2">
        <f t="shared" si="30"/>
      </c>
      <c r="AQ1790" s="2">
        <f t="shared" si="31"/>
      </c>
    </row>
    <row r="1791">
      <c r="A1791" s="43">
        <f t="shared" si="3"/>
      </c>
      <c r="B1791" s="44" t="n"/>
      <c r="C1791" s="45" t="n"/>
      <c r="D1791" s="46" t="n"/>
      <c r="E1791" s="47" t="n"/>
      <c r="F1791" s="47" t="n"/>
      <c r="G1791" s="48">
        <f t="shared" si="4"/>
      </c>
      <c r="H1791" s="43">
        <f t="shared" si="0"/>
      </c>
      <c r="I1791" s="43">
        <f t="shared" si="5"/>
      </c>
      <c r="J1791" s="43">
        <f t="shared" si="1"/>
      </c>
      <c r="K1791" s="49">
        <f t="shared" si="2"/>
      </c>
      <c r="L1791" s="45" t="n"/>
      <c r="M1791" s="45" t="n"/>
      <c r="N1791" s="45" t="n"/>
      <c r="O1791" s="45" t="n"/>
      <c r="P1791" s="50" t="n"/>
      <c r="R1791" s="2">
        <f t="shared" si="6"/>
        <v>0</v>
      </c>
      <c r="S1791" s="2">
        <f t="shared" si="7"/>
      </c>
      <c r="T1791" s="2">
        <f t="shared" si="8"/>
      </c>
      <c r="U1791" s="2">
        <f t="shared" si="9"/>
      </c>
      <c r="V1791" s="2">
        <f t="shared" si="10"/>
      </c>
      <c r="W1791" s="2">
        <f t="shared" si="11"/>
      </c>
      <c r="X1791" s="2">
        <f t="shared" si="12"/>
      </c>
      <c r="Y1791" s="2">
        <f t="shared" si="13"/>
        <v>0</v>
      </c>
      <c r="Z1791" s="2">
        <f t="shared" si="14"/>
      </c>
      <c r="AA1791" s="2">
        <f t="shared" si="15"/>
        <v>0</v>
      </c>
      <c r="AB1791" s="2">
        <f t="shared" si="16"/>
      </c>
      <c r="AC1791" s="2">
        <f t="shared" si="17"/>
      </c>
      <c r="AD1791" s="2">
        <f t="shared" si="18"/>
      </c>
      <c r="AE1791" s="2">
        <f t="shared" si="19"/>
      </c>
      <c r="AF1791" s="2">
        <f t="shared" si="20"/>
      </c>
      <c r="AG1791" s="2">
        <f t="shared" si="21"/>
      </c>
      <c r="AH1791" s="2">
        <f t="shared" si="22"/>
      </c>
      <c r="AI1791" s="2">
        <f t="shared" si="23"/>
      </c>
      <c r="AJ1791" s="2">
        <f t="shared" si="24"/>
        <v>0</v>
      </c>
      <c r="AK1791" s="2">
        <f t="shared" si="25"/>
        <v>0</v>
      </c>
      <c r="AL1791" s="2">
        <f t="shared" si="26"/>
        <v>0</v>
      </c>
      <c r="AM1791" s="2">
        <f t="shared" si="27"/>
        <v>0</v>
      </c>
      <c r="AN1791" s="2">
        <f t="shared" si="28"/>
        <v>0</v>
      </c>
      <c r="AO1791" s="2">
        <f t="shared" si="29"/>
      </c>
      <c r="AP1791" s="2">
        <f t="shared" si="30"/>
      </c>
      <c r="AQ1791" s="2">
        <f t="shared" si="31"/>
      </c>
    </row>
    <row r="1792">
      <c r="A1792" s="43">
        <f t="shared" si="3"/>
      </c>
      <c r="B1792" s="44" t="n"/>
      <c r="C1792" s="45" t="n"/>
      <c r="D1792" s="46" t="n"/>
      <c r="E1792" s="47" t="n"/>
      <c r="F1792" s="47" t="n"/>
      <c r="G1792" s="48">
        <f t="shared" si="4"/>
      </c>
      <c r="H1792" s="43">
        <f t="shared" si="0"/>
      </c>
      <c r="I1792" s="43">
        <f t="shared" si="5"/>
      </c>
      <c r="J1792" s="43">
        <f t="shared" si="1"/>
      </c>
      <c r="K1792" s="49">
        <f t="shared" si="2"/>
      </c>
      <c r="L1792" s="45" t="n"/>
      <c r="M1792" s="45" t="n"/>
      <c r="N1792" s="45" t="n"/>
      <c r="O1792" s="45" t="n"/>
      <c r="P1792" s="50" t="n"/>
      <c r="R1792" s="2">
        <f t="shared" si="6"/>
        <v>0</v>
      </c>
      <c r="S1792" s="2">
        <f t="shared" si="7"/>
      </c>
      <c r="T1792" s="2">
        <f t="shared" si="8"/>
      </c>
      <c r="U1792" s="2">
        <f t="shared" si="9"/>
      </c>
      <c r="V1792" s="2">
        <f t="shared" si="10"/>
      </c>
      <c r="W1792" s="2">
        <f t="shared" si="11"/>
      </c>
      <c r="X1792" s="2">
        <f t="shared" si="12"/>
      </c>
      <c r="Y1792" s="2">
        <f t="shared" si="13"/>
        <v>0</v>
      </c>
      <c r="Z1792" s="2">
        <f t="shared" si="14"/>
      </c>
      <c r="AA1792" s="2">
        <f t="shared" si="15"/>
        <v>0</v>
      </c>
      <c r="AB1792" s="2">
        <f t="shared" si="16"/>
      </c>
      <c r="AC1792" s="2">
        <f t="shared" si="17"/>
      </c>
      <c r="AD1792" s="2">
        <f t="shared" si="18"/>
      </c>
      <c r="AE1792" s="2">
        <f t="shared" si="19"/>
      </c>
      <c r="AF1792" s="2">
        <f t="shared" si="20"/>
      </c>
      <c r="AG1792" s="2">
        <f t="shared" si="21"/>
      </c>
      <c r="AH1792" s="2">
        <f t="shared" si="22"/>
      </c>
      <c r="AI1792" s="2">
        <f t="shared" si="23"/>
      </c>
      <c r="AJ1792" s="2">
        <f t="shared" si="24"/>
        <v>0</v>
      </c>
      <c r="AK1792" s="2">
        <f t="shared" si="25"/>
        <v>0</v>
      </c>
      <c r="AL1792" s="2">
        <f t="shared" si="26"/>
        <v>0</v>
      </c>
      <c r="AM1792" s="2">
        <f t="shared" si="27"/>
        <v>0</v>
      </c>
      <c r="AN1792" s="2">
        <f t="shared" si="28"/>
        <v>0</v>
      </c>
      <c r="AO1792" s="2">
        <f t="shared" si="29"/>
      </c>
      <c r="AP1792" s="2">
        <f t="shared" si="30"/>
      </c>
      <c r="AQ1792" s="2">
        <f t="shared" si="31"/>
      </c>
    </row>
    <row r="1793">
      <c r="A1793" s="43">
        <f t="shared" si="3"/>
      </c>
      <c r="B1793" s="44" t="n"/>
      <c r="C1793" s="45" t="n"/>
      <c r="D1793" s="46" t="n"/>
      <c r="E1793" s="47" t="n"/>
      <c r="F1793" s="47" t="n"/>
      <c r="G1793" s="48">
        <f t="shared" si="4"/>
      </c>
      <c r="H1793" s="43">
        <f t="shared" si="0"/>
      </c>
      <c r="I1793" s="43">
        <f t="shared" si="5"/>
      </c>
      <c r="J1793" s="43">
        <f t="shared" si="1"/>
      </c>
      <c r="K1793" s="49">
        <f t="shared" si="2"/>
      </c>
      <c r="L1793" s="45" t="n"/>
      <c r="M1793" s="45" t="n"/>
      <c r="N1793" s="45" t="n"/>
      <c r="O1793" s="45" t="n"/>
      <c r="P1793" s="50" t="n"/>
      <c r="R1793" s="2">
        <f t="shared" si="6"/>
        <v>0</v>
      </c>
      <c r="S1793" s="2">
        <f t="shared" si="7"/>
      </c>
      <c r="T1793" s="2">
        <f t="shared" si="8"/>
      </c>
      <c r="U1793" s="2">
        <f t="shared" si="9"/>
      </c>
      <c r="V1793" s="2">
        <f t="shared" si="10"/>
      </c>
      <c r="W1793" s="2">
        <f t="shared" si="11"/>
      </c>
      <c r="X1793" s="2">
        <f t="shared" si="12"/>
      </c>
      <c r="Y1793" s="2">
        <f t="shared" si="13"/>
        <v>0</v>
      </c>
      <c r="Z1793" s="2">
        <f t="shared" si="14"/>
      </c>
      <c r="AA1793" s="2">
        <f t="shared" si="15"/>
        <v>0</v>
      </c>
      <c r="AB1793" s="2">
        <f t="shared" si="16"/>
      </c>
      <c r="AC1793" s="2">
        <f t="shared" si="17"/>
      </c>
      <c r="AD1793" s="2">
        <f t="shared" si="18"/>
      </c>
      <c r="AE1793" s="2">
        <f t="shared" si="19"/>
      </c>
      <c r="AF1793" s="2">
        <f t="shared" si="20"/>
      </c>
      <c r="AG1793" s="2">
        <f t="shared" si="21"/>
      </c>
      <c r="AH1793" s="2">
        <f t="shared" si="22"/>
      </c>
      <c r="AI1793" s="2">
        <f t="shared" si="23"/>
      </c>
      <c r="AJ1793" s="2">
        <f t="shared" si="24"/>
        <v>0</v>
      </c>
      <c r="AK1793" s="2">
        <f t="shared" si="25"/>
        <v>0</v>
      </c>
      <c r="AL1793" s="2">
        <f t="shared" si="26"/>
        <v>0</v>
      </c>
      <c r="AM1793" s="2">
        <f t="shared" si="27"/>
        <v>0</v>
      </c>
      <c r="AN1793" s="2">
        <f t="shared" si="28"/>
        <v>0</v>
      </c>
      <c r="AO1793" s="2">
        <f t="shared" si="29"/>
      </c>
      <c r="AP1793" s="2">
        <f t="shared" si="30"/>
      </c>
      <c r="AQ1793" s="2">
        <f t="shared" si="31"/>
      </c>
    </row>
    <row r="1794">
      <c r="A1794" s="43">
        <f t="shared" si="3"/>
      </c>
      <c r="B1794" s="44" t="n"/>
      <c r="C1794" s="45" t="n"/>
      <c r="D1794" s="46" t="n"/>
      <c r="E1794" s="47" t="n"/>
      <c r="F1794" s="47" t="n"/>
      <c r="G1794" s="48">
        <f t="shared" si="4"/>
      </c>
      <c r="H1794" s="43">
        <f t="shared" si="0"/>
      </c>
      <c r="I1794" s="43">
        <f t="shared" si="5"/>
      </c>
      <c r="J1794" s="43">
        <f t="shared" si="1"/>
      </c>
      <c r="K1794" s="49">
        <f t="shared" si="2"/>
      </c>
      <c r="L1794" s="45" t="n"/>
      <c r="M1794" s="45" t="n"/>
      <c r="N1794" s="45" t="n"/>
      <c r="O1794" s="45" t="n"/>
      <c r="P1794" s="50" t="n"/>
      <c r="R1794" s="2">
        <f t="shared" si="6"/>
        <v>0</v>
      </c>
      <c r="S1794" s="2">
        <f t="shared" si="7"/>
      </c>
      <c r="T1794" s="2">
        <f t="shared" si="8"/>
      </c>
      <c r="U1794" s="2">
        <f t="shared" si="9"/>
      </c>
      <c r="V1794" s="2">
        <f t="shared" si="10"/>
      </c>
      <c r="W1794" s="2">
        <f t="shared" si="11"/>
      </c>
      <c r="X1794" s="2">
        <f t="shared" si="12"/>
      </c>
      <c r="Y1794" s="2">
        <f t="shared" si="13"/>
        <v>0</v>
      </c>
      <c r="Z1794" s="2">
        <f t="shared" si="14"/>
      </c>
      <c r="AA1794" s="2">
        <f t="shared" si="15"/>
        <v>0</v>
      </c>
      <c r="AB1794" s="2">
        <f t="shared" si="16"/>
      </c>
      <c r="AC1794" s="2">
        <f t="shared" si="17"/>
      </c>
      <c r="AD1794" s="2">
        <f t="shared" si="18"/>
      </c>
      <c r="AE1794" s="2">
        <f t="shared" si="19"/>
      </c>
      <c r="AF1794" s="2">
        <f t="shared" si="20"/>
      </c>
      <c r="AG1794" s="2">
        <f t="shared" si="21"/>
      </c>
      <c r="AH1794" s="2">
        <f t="shared" si="22"/>
      </c>
      <c r="AI1794" s="2">
        <f t="shared" si="23"/>
      </c>
      <c r="AJ1794" s="2">
        <f t="shared" si="24"/>
        <v>0</v>
      </c>
      <c r="AK1794" s="2">
        <f t="shared" si="25"/>
        <v>0</v>
      </c>
      <c r="AL1794" s="2">
        <f t="shared" si="26"/>
        <v>0</v>
      </c>
      <c r="AM1794" s="2">
        <f t="shared" si="27"/>
        <v>0</v>
      </c>
      <c r="AN1794" s="2">
        <f t="shared" si="28"/>
        <v>0</v>
      </c>
      <c r="AO1794" s="2">
        <f t="shared" si="29"/>
      </c>
      <c r="AP1794" s="2">
        <f t="shared" si="30"/>
      </c>
      <c r="AQ1794" s="2">
        <f t="shared" si="31"/>
      </c>
    </row>
    <row r="1795">
      <c r="A1795" s="43">
        <f t="shared" si="3"/>
      </c>
      <c r="B1795" s="44" t="n"/>
      <c r="C1795" s="45" t="n"/>
      <c r="D1795" s="46" t="n"/>
      <c r="E1795" s="47" t="n"/>
      <c r="F1795" s="47" t="n"/>
      <c r="G1795" s="48">
        <f t="shared" si="4"/>
      </c>
      <c r="H1795" s="43">
        <f t="shared" si="0"/>
      </c>
      <c r="I1795" s="43">
        <f t="shared" si="5"/>
      </c>
      <c r="J1795" s="43">
        <f t="shared" si="1"/>
      </c>
      <c r="K1795" s="49">
        <f t="shared" si="2"/>
      </c>
      <c r="L1795" s="45" t="n"/>
      <c r="M1795" s="45" t="n"/>
      <c r="N1795" s="45" t="n"/>
      <c r="O1795" s="45" t="n"/>
      <c r="P1795" s="50" t="n"/>
      <c r="R1795" s="2">
        <f t="shared" si="6"/>
        <v>0</v>
      </c>
      <c r="S1795" s="2">
        <f t="shared" si="7"/>
      </c>
      <c r="T1795" s="2">
        <f t="shared" si="8"/>
      </c>
      <c r="U1795" s="2">
        <f t="shared" si="9"/>
      </c>
      <c r="V1795" s="2">
        <f t="shared" si="10"/>
      </c>
      <c r="W1795" s="2">
        <f t="shared" si="11"/>
      </c>
      <c r="X1795" s="2">
        <f t="shared" si="12"/>
      </c>
      <c r="Y1795" s="2">
        <f t="shared" si="13"/>
        <v>0</v>
      </c>
      <c r="Z1795" s="2">
        <f t="shared" si="14"/>
      </c>
      <c r="AA1795" s="2">
        <f t="shared" si="15"/>
        <v>0</v>
      </c>
      <c r="AB1795" s="2">
        <f t="shared" si="16"/>
      </c>
      <c r="AC1795" s="2">
        <f t="shared" si="17"/>
      </c>
      <c r="AD1795" s="2">
        <f t="shared" si="18"/>
      </c>
      <c r="AE1795" s="2">
        <f t="shared" si="19"/>
      </c>
      <c r="AF1795" s="2">
        <f t="shared" si="20"/>
      </c>
      <c r="AG1795" s="2">
        <f t="shared" si="21"/>
      </c>
      <c r="AH1795" s="2">
        <f t="shared" si="22"/>
      </c>
      <c r="AI1795" s="2">
        <f t="shared" si="23"/>
      </c>
      <c r="AJ1795" s="2">
        <f t="shared" si="24"/>
        <v>0</v>
      </c>
      <c r="AK1795" s="2">
        <f t="shared" si="25"/>
        <v>0</v>
      </c>
      <c r="AL1795" s="2">
        <f t="shared" si="26"/>
        <v>0</v>
      </c>
      <c r="AM1795" s="2">
        <f t="shared" si="27"/>
        <v>0</v>
      </c>
      <c r="AN1795" s="2">
        <f t="shared" si="28"/>
        <v>0</v>
      </c>
      <c r="AO1795" s="2">
        <f t="shared" si="29"/>
      </c>
      <c r="AP1795" s="2">
        <f t="shared" si="30"/>
      </c>
      <c r="AQ1795" s="2">
        <f t="shared" si="31"/>
      </c>
    </row>
    <row r="1796">
      <c r="A1796" s="43">
        <f t="shared" si="3"/>
      </c>
      <c r="B1796" s="44" t="n"/>
      <c r="C1796" s="45" t="n"/>
      <c r="D1796" s="46" t="n"/>
      <c r="E1796" s="47" t="n"/>
      <c r="F1796" s="47" t="n"/>
      <c r="G1796" s="48">
        <f t="shared" si="4"/>
      </c>
      <c r="H1796" s="43">
        <f t="shared" si="0"/>
      </c>
      <c r="I1796" s="43">
        <f t="shared" si="5"/>
      </c>
      <c r="J1796" s="43">
        <f t="shared" si="1"/>
      </c>
      <c r="K1796" s="49">
        <f t="shared" si="2"/>
      </c>
      <c r="L1796" s="45" t="n"/>
      <c r="M1796" s="45" t="n"/>
      <c r="N1796" s="45" t="n"/>
      <c r="O1796" s="45" t="n"/>
      <c r="P1796" s="50" t="n"/>
      <c r="R1796" s="2">
        <f t="shared" si="6"/>
        <v>0</v>
      </c>
      <c r="S1796" s="2">
        <f t="shared" si="7"/>
      </c>
      <c r="T1796" s="2">
        <f t="shared" si="8"/>
      </c>
      <c r="U1796" s="2">
        <f t="shared" si="9"/>
      </c>
      <c r="V1796" s="2">
        <f t="shared" si="10"/>
      </c>
      <c r="W1796" s="2">
        <f t="shared" si="11"/>
      </c>
      <c r="X1796" s="2">
        <f t="shared" si="12"/>
      </c>
      <c r="Y1796" s="2">
        <f t="shared" si="13"/>
        <v>0</v>
      </c>
      <c r="Z1796" s="2">
        <f t="shared" si="14"/>
      </c>
      <c r="AA1796" s="2">
        <f t="shared" si="15"/>
        <v>0</v>
      </c>
      <c r="AB1796" s="2">
        <f t="shared" si="16"/>
      </c>
      <c r="AC1796" s="2">
        <f t="shared" si="17"/>
      </c>
      <c r="AD1796" s="2">
        <f t="shared" si="18"/>
      </c>
      <c r="AE1796" s="2">
        <f t="shared" si="19"/>
      </c>
      <c r="AF1796" s="2">
        <f t="shared" si="20"/>
      </c>
      <c r="AG1796" s="2">
        <f t="shared" si="21"/>
      </c>
      <c r="AH1796" s="2">
        <f t="shared" si="22"/>
      </c>
      <c r="AI1796" s="2">
        <f t="shared" si="23"/>
      </c>
      <c r="AJ1796" s="2">
        <f t="shared" si="24"/>
        <v>0</v>
      </c>
      <c r="AK1796" s="2">
        <f t="shared" si="25"/>
        <v>0</v>
      </c>
      <c r="AL1796" s="2">
        <f t="shared" si="26"/>
        <v>0</v>
      </c>
      <c r="AM1796" s="2">
        <f t="shared" si="27"/>
        <v>0</v>
      </c>
      <c r="AN1796" s="2">
        <f t="shared" si="28"/>
        <v>0</v>
      </c>
      <c r="AO1796" s="2">
        <f t="shared" si="29"/>
      </c>
      <c r="AP1796" s="2">
        <f t="shared" si="30"/>
      </c>
      <c r="AQ1796" s="2">
        <f t="shared" si="31"/>
      </c>
    </row>
    <row r="1797">
      <c r="A1797" s="43">
        <f t="shared" si="3"/>
      </c>
      <c r="B1797" s="44" t="n"/>
      <c r="C1797" s="45" t="n"/>
      <c r="D1797" s="46" t="n"/>
      <c r="E1797" s="47" t="n"/>
      <c r="F1797" s="47" t="n"/>
      <c r="G1797" s="48">
        <f t="shared" si="4"/>
      </c>
      <c r="H1797" s="43">
        <f t="shared" si="0"/>
      </c>
      <c r="I1797" s="43">
        <f t="shared" si="5"/>
      </c>
      <c r="J1797" s="43">
        <f t="shared" si="1"/>
      </c>
      <c r="K1797" s="49">
        <f t="shared" si="2"/>
      </c>
      <c r="L1797" s="45" t="n"/>
      <c r="M1797" s="45" t="n"/>
      <c r="N1797" s="45" t="n"/>
      <c r="O1797" s="45" t="n"/>
      <c r="P1797" s="50" t="n"/>
      <c r="R1797" s="2">
        <f t="shared" si="6"/>
        <v>0</v>
      </c>
      <c r="S1797" s="2">
        <f t="shared" si="7"/>
      </c>
      <c r="T1797" s="2">
        <f t="shared" si="8"/>
      </c>
      <c r="U1797" s="2">
        <f t="shared" si="9"/>
      </c>
      <c r="V1797" s="2">
        <f t="shared" si="10"/>
      </c>
      <c r="W1797" s="2">
        <f t="shared" si="11"/>
      </c>
      <c r="X1797" s="2">
        <f t="shared" si="12"/>
      </c>
      <c r="Y1797" s="2">
        <f t="shared" si="13"/>
        <v>0</v>
      </c>
      <c r="Z1797" s="2">
        <f t="shared" si="14"/>
      </c>
      <c r="AA1797" s="2">
        <f t="shared" si="15"/>
        <v>0</v>
      </c>
      <c r="AB1797" s="2">
        <f t="shared" si="16"/>
      </c>
      <c r="AC1797" s="2">
        <f t="shared" si="17"/>
      </c>
      <c r="AD1797" s="2">
        <f t="shared" si="18"/>
      </c>
      <c r="AE1797" s="2">
        <f t="shared" si="19"/>
      </c>
      <c r="AF1797" s="2">
        <f t="shared" si="20"/>
      </c>
      <c r="AG1797" s="2">
        <f t="shared" si="21"/>
      </c>
      <c r="AH1797" s="2">
        <f t="shared" si="22"/>
      </c>
      <c r="AI1797" s="2">
        <f t="shared" si="23"/>
      </c>
      <c r="AJ1797" s="2">
        <f t="shared" si="24"/>
        <v>0</v>
      </c>
      <c r="AK1797" s="2">
        <f t="shared" si="25"/>
        <v>0</v>
      </c>
      <c r="AL1797" s="2">
        <f t="shared" si="26"/>
        <v>0</v>
      </c>
      <c r="AM1797" s="2">
        <f t="shared" si="27"/>
        <v>0</v>
      </c>
      <c r="AN1797" s="2">
        <f t="shared" si="28"/>
        <v>0</v>
      </c>
      <c r="AO1797" s="2">
        <f t="shared" si="29"/>
      </c>
      <c r="AP1797" s="2">
        <f t="shared" si="30"/>
      </c>
      <c r="AQ1797" s="2">
        <f t="shared" si="31"/>
      </c>
    </row>
    <row r="1798">
      <c r="A1798" s="43">
        <f t="shared" si="3"/>
      </c>
      <c r="B1798" s="44" t="n"/>
      <c r="C1798" s="45" t="n"/>
      <c r="D1798" s="46" t="n"/>
      <c r="E1798" s="47" t="n"/>
      <c r="F1798" s="47" t="n"/>
      <c r="G1798" s="48">
        <f t="shared" si="4"/>
      </c>
      <c r="H1798" s="43">
        <f t="shared" si="0"/>
      </c>
      <c r="I1798" s="43">
        <f t="shared" si="5"/>
      </c>
      <c r="J1798" s="43">
        <f t="shared" si="1"/>
      </c>
      <c r="K1798" s="49">
        <f t="shared" si="2"/>
      </c>
      <c r="L1798" s="45" t="n"/>
      <c r="M1798" s="45" t="n"/>
      <c r="N1798" s="45" t="n"/>
      <c r="O1798" s="45" t="n"/>
      <c r="P1798" s="50" t="n"/>
      <c r="R1798" s="2">
        <f t="shared" si="6"/>
        <v>0</v>
      </c>
      <c r="S1798" s="2">
        <f t="shared" si="7"/>
      </c>
      <c r="T1798" s="2">
        <f t="shared" si="8"/>
      </c>
      <c r="U1798" s="2">
        <f t="shared" si="9"/>
      </c>
      <c r="V1798" s="2">
        <f t="shared" si="10"/>
      </c>
      <c r="W1798" s="2">
        <f t="shared" si="11"/>
      </c>
      <c r="X1798" s="2">
        <f t="shared" si="12"/>
      </c>
      <c r="Y1798" s="2">
        <f t="shared" si="13"/>
        <v>0</v>
      </c>
      <c r="Z1798" s="2">
        <f t="shared" si="14"/>
      </c>
      <c r="AA1798" s="2">
        <f t="shared" si="15"/>
        <v>0</v>
      </c>
      <c r="AB1798" s="2">
        <f t="shared" si="16"/>
      </c>
      <c r="AC1798" s="2">
        <f t="shared" si="17"/>
      </c>
      <c r="AD1798" s="2">
        <f t="shared" si="18"/>
      </c>
      <c r="AE1798" s="2">
        <f t="shared" si="19"/>
      </c>
      <c r="AF1798" s="2">
        <f t="shared" si="20"/>
      </c>
      <c r="AG1798" s="2">
        <f t="shared" si="21"/>
      </c>
      <c r="AH1798" s="2">
        <f t="shared" si="22"/>
      </c>
      <c r="AI1798" s="2">
        <f t="shared" si="23"/>
      </c>
      <c r="AJ1798" s="2">
        <f t="shared" si="24"/>
        <v>0</v>
      </c>
      <c r="AK1798" s="2">
        <f t="shared" si="25"/>
        <v>0</v>
      </c>
      <c r="AL1798" s="2">
        <f t="shared" si="26"/>
        <v>0</v>
      </c>
      <c r="AM1798" s="2">
        <f t="shared" si="27"/>
        <v>0</v>
      </c>
      <c r="AN1798" s="2">
        <f t="shared" si="28"/>
        <v>0</v>
      </c>
      <c r="AO1798" s="2">
        <f t="shared" si="29"/>
      </c>
      <c r="AP1798" s="2">
        <f t="shared" si="30"/>
      </c>
      <c r="AQ1798" s="2">
        <f t="shared" si="31"/>
      </c>
    </row>
    <row r="1799">
      <c r="A1799" s="43">
        <f t="shared" si="3"/>
      </c>
      <c r="B1799" s="44" t="n"/>
      <c r="C1799" s="45" t="n"/>
      <c r="D1799" s="46" t="n"/>
      <c r="E1799" s="47" t="n"/>
      <c r="F1799" s="47" t="n"/>
      <c r="G1799" s="48">
        <f t="shared" si="4"/>
      </c>
      <c r="H1799" s="43">
        <f t="shared" si="0"/>
      </c>
      <c r="I1799" s="43">
        <f t="shared" si="5"/>
      </c>
      <c r="J1799" s="43">
        <f t="shared" si="1"/>
      </c>
      <c r="K1799" s="49">
        <f t="shared" si="2"/>
      </c>
      <c r="L1799" s="45" t="n"/>
      <c r="M1799" s="45" t="n"/>
      <c r="N1799" s="45" t="n"/>
      <c r="O1799" s="45" t="n"/>
      <c r="P1799" s="50" t="n"/>
      <c r="R1799" s="2">
        <f t="shared" si="6"/>
        <v>0</v>
      </c>
      <c r="S1799" s="2">
        <f t="shared" si="7"/>
      </c>
      <c r="T1799" s="2">
        <f t="shared" si="8"/>
      </c>
      <c r="U1799" s="2">
        <f t="shared" si="9"/>
      </c>
      <c r="V1799" s="2">
        <f t="shared" si="10"/>
      </c>
      <c r="W1799" s="2">
        <f t="shared" si="11"/>
      </c>
      <c r="X1799" s="2">
        <f t="shared" si="12"/>
      </c>
      <c r="Y1799" s="2">
        <f t="shared" si="13"/>
        <v>0</v>
      </c>
      <c r="Z1799" s="2">
        <f t="shared" si="14"/>
      </c>
      <c r="AA1799" s="2">
        <f t="shared" si="15"/>
        <v>0</v>
      </c>
      <c r="AB1799" s="2">
        <f t="shared" si="16"/>
      </c>
      <c r="AC1799" s="2">
        <f t="shared" si="17"/>
      </c>
      <c r="AD1799" s="2">
        <f t="shared" si="18"/>
      </c>
      <c r="AE1799" s="2">
        <f t="shared" si="19"/>
      </c>
      <c r="AF1799" s="2">
        <f t="shared" si="20"/>
      </c>
      <c r="AG1799" s="2">
        <f t="shared" si="21"/>
      </c>
      <c r="AH1799" s="2">
        <f t="shared" si="22"/>
      </c>
      <c r="AI1799" s="2">
        <f t="shared" si="23"/>
      </c>
      <c r="AJ1799" s="2">
        <f t="shared" si="24"/>
        <v>0</v>
      </c>
      <c r="AK1799" s="2">
        <f t="shared" si="25"/>
        <v>0</v>
      </c>
      <c r="AL1799" s="2">
        <f t="shared" si="26"/>
        <v>0</v>
      </c>
      <c r="AM1799" s="2">
        <f t="shared" si="27"/>
        <v>0</v>
      </c>
      <c r="AN1799" s="2">
        <f t="shared" si="28"/>
        <v>0</v>
      </c>
      <c r="AO1799" s="2">
        <f t="shared" si="29"/>
      </c>
      <c r="AP1799" s="2">
        <f t="shared" si="30"/>
      </c>
      <c r="AQ1799" s="2">
        <f t="shared" si="31"/>
      </c>
    </row>
    <row r="1800">
      <c r="A1800" s="43">
        <f t="shared" si="3"/>
      </c>
      <c r="B1800" s="44" t="n"/>
      <c r="C1800" s="45" t="n"/>
      <c r="D1800" s="46" t="n"/>
      <c r="E1800" s="47" t="n"/>
      <c r="F1800" s="47" t="n"/>
      <c r="G1800" s="48">
        <f t="shared" si="4"/>
      </c>
      <c r="H1800" s="43">
        <f t="shared" si="0"/>
      </c>
      <c r="I1800" s="43">
        <f t="shared" si="5"/>
      </c>
      <c r="J1800" s="43">
        <f t="shared" si="1"/>
      </c>
      <c r="K1800" s="49">
        <f t="shared" si="2"/>
      </c>
      <c r="L1800" s="45" t="n"/>
      <c r="M1800" s="45" t="n"/>
      <c r="N1800" s="45" t="n"/>
      <c r="O1800" s="45" t="n"/>
      <c r="P1800" s="50" t="n"/>
      <c r="R1800" s="2">
        <f t="shared" si="6"/>
        <v>0</v>
      </c>
      <c r="S1800" s="2">
        <f t="shared" si="7"/>
      </c>
      <c r="T1800" s="2">
        <f t="shared" si="8"/>
      </c>
      <c r="U1800" s="2">
        <f t="shared" si="9"/>
      </c>
      <c r="V1800" s="2">
        <f t="shared" si="10"/>
      </c>
      <c r="W1800" s="2">
        <f t="shared" si="11"/>
      </c>
      <c r="X1800" s="2">
        <f t="shared" si="12"/>
      </c>
      <c r="Y1800" s="2">
        <f t="shared" si="13"/>
        <v>0</v>
      </c>
      <c r="Z1800" s="2">
        <f t="shared" si="14"/>
      </c>
      <c r="AA1800" s="2">
        <f t="shared" si="15"/>
        <v>0</v>
      </c>
      <c r="AB1800" s="2">
        <f t="shared" si="16"/>
      </c>
      <c r="AC1800" s="2">
        <f t="shared" si="17"/>
      </c>
      <c r="AD1800" s="2">
        <f t="shared" si="18"/>
      </c>
      <c r="AE1800" s="2">
        <f t="shared" si="19"/>
      </c>
      <c r="AF1800" s="2">
        <f t="shared" si="20"/>
      </c>
      <c r="AG1800" s="2">
        <f t="shared" si="21"/>
      </c>
      <c r="AH1800" s="2">
        <f t="shared" si="22"/>
      </c>
      <c r="AI1800" s="2">
        <f t="shared" si="23"/>
      </c>
      <c r="AJ1800" s="2">
        <f t="shared" si="24"/>
        <v>0</v>
      </c>
      <c r="AK1800" s="2">
        <f t="shared" si="25"/>
        <v>0</v>
      </c>
      <c r="AL1800" s="2">
        <f t="shared" si="26"/>
        <v>0</v>
      </c>
      <c r="AM1800" s="2">
        <f t="shared" si="27"/>
        <v>0</v>
      </c>
      <c r="AN1800" s="2">
        <f t="shared" si="28"/>
        <v>0</v>
      </c>
      <c r="AO1800" s="2">
        <f t="shared" si="29"/>
      </c>
      <c r="AP1800" s="2">
        <f t="shared" si="30"/>
      </c>
      <c r="AQ1800" s="2">
        <f t="shared" si="31"/>
      </c>
    </row>
    <row r="1801">
      <c r="A1801" s="43">
        <f t="shared" si="3"/>
      </c>
      <c r="B1801" s="44" t="n"/>
      <c r="C1801" s="45" t="n"/>
      <c r="D1801" s="46" t="n"/>
      <c r="E1801" s="47" t="n"/>
      <c r="F1801" s="47" t="n"/>
      <c r="G1801" s="48">
        <f t="shared" si="4"/>
      </c>
      <c r="H1801" s="43">
        <f t="shared" si="0"/>
      </c>
      <c r="I1801" s="43">
        <f t="shared" si="5"/>
      </c>
      <c r="J1801" s="43">
        <f t="shared" si="1"/>
      </c>
      <c r="K1801" s="49">
        <f t="shared" si="2"/>
      </c>
      <c r="L1801" s="45" t="n"/>
      <c r="M1801" s="45" t="n"/>
      <c r="N1801" s="45" t="n"/>
      <c r="O1801" s="45" t="n"/>
      <c r="P1801" s="50" t="n"/>
      <c r="R1801" s="2">
        <f t="shared" si="6"/>
        <v>0</v>
      </c>
      <c r="S1801" s="2">
        <f t="shared" si="7"/>
      </c>
      <c r="T1801" s="2">
        <f t="shared" si="8"/>
      </c>
      <c r="U1801" s="2">
        <f t="shared" si="9"/>
      </c>
      <c r="V1801" s="2">
        <f t="shared" si="10"/>
      </c>
      <c r="W1801" s="2">
        <f t="shared" si="11"/>
      </c>
      <c r="X1801" s="2">
        <f t="shared" si="12"/>
      </c>
      <c r="Y1801" s="2">
        <f t="shared" si="13"/>
        <v>0</v>
      </c>
      <c r="Z1801" s="2">
        <f t="shared" si="14"/>
      </c>
      <c r="AA1801" s="2">
        <f t="shared" si="15"/>
        <v>0</v>
      </c>
      <c r="AB1801" s="2">
        <f t="shared" si="16"/>
      </c>
      <c r="AC1801" s="2">
        <f t="shared" si="17"/>
      </c>
      <c r="AD1801" s="2">
        <f t="shared" si="18"/>
      </c>
      <c r="AE1801" s="2">
        <f t="shared" si="19"/>
      </c>
      <c r="AF1801" s="2">
        <f t="shared" si="20"/>
      </c>
      <c r="AG1801" s="2">
        <f t="shared" si="21"/>
      </c>
      <c r="AH1801" s="2">
        <f t="shared" si="22"/>
      </c>
      <c r="AI1801" s="2">
        <f t="shared" si="23"/>
      </c>
      <c r="AJ1801" s="2">
        <f t="shared" si="24"/>
        <v>0</v>
      </c>
      <c r="AK1801" s="2">
        <f t="shared" si="25"/>
        <v>0</v>
      </c>
      <c r="AL1801" s="2">
        <f t="shared" si="26"/>
        <v>0</v>
      </c>
      <c r="AM1801" s="2">
        <f t="shared" si="27"/>
        <v>0</v>
      </c>
      <c r="AN1801" s="2">
        <f t="shared" si="28"/>
        <v>0</v>
      </c>
      <c r="AO1801" s="2">
        <f t="shared" si="29"/>
      </c>
      <c r="AP1801" s="2">
        <f t="shared" si="30"/>
      </c>
      <c r="AQ1801" s="2">
        <f t="shared" si="31"/>
      </c>
    </row>
    <row r="1802">
      <c r="A1802" s="43">
        <f t="shared" si="3"/>
      </c>
      <c r="B1802" s="44" t="n"/>
      <c r="C1802" s="45" t="n"/>
      <c r="D1802" s="46" t="n"/>
      <c r="E1802" s="47" t="n"/>
      <c r="F1802" s="47" t="n"/>
      <c r="G1802" s="48">
        <f t="shared" si="4"/>
      </c>
      <c r="H1802" s="43">
        <f t="shared" si="0"/>
      </c>
      <c r="I1802" s="43">
        <f t="shared" si="5"/>
      </c>
      <c r="J1802" s="43">
        <f t="shared" si="1"/>
      </c>
      <c r="K1802" s="49">
        <f t="shared" si="2"/>
      </c>
      <c r="L1802" s="45" t="n"/>
      <c r="M1802" s="45" t="n"/>
      <c r="N1802" s="45" t="n"/>
      <c r="O1802" s="45" t="n"/>
      <c r="P1802" s="50" t="n"/>
      <c r="R1802" s="2">
        <f t="shared" si="6"/>
        <v>0</v>
      </c>
      <c r="S1802" s="2">
        <f t="shared" si="7"/>
      </c>
      <c r="T1802" s="2">
        <f t="shared" si="8"/>
      </c>
      <c r="U1802" s="2">
        <f t="shared" si="9"/>
      </c>
      <c r="V1802" s="2">
        <f t="shared" si="10"/>
      </c>
      <c r="W1802" s="2">
        <f t="shared" si="11"/>
      </c>
      <c r="X1802" s="2">
        <f t="shared" si="12"/>
      </c>
      <c r="Y1802" s="2">
        <f t="shared" si="13"/>
        <v>0</v>
      </c>
      <c r="Z1802" s="2">
        <f t="shared" si="14"/>
      </c>
      <c r="AA1802" s="2">
        <f t="shared" si="15"/>
        <v>0</v>
      </c>
      <c r="AB1802" s="2">
        <f t="shared" si="16"/>
      </c>
      <c r="AC1802" s="2">
        <f t="shared" si="17"/>
      </c>
      <c r="AD1802" s="2">
        <f t="shared" si="18"/>
      </c>
      <c r="AE1802" s="2">
        <f t="shared" si="19"/>
      </c>
      <c r="AF1802" s="2">
        <f t="shared" si="20"/>
      </c>
      <c r="AG1802" s="2">
        <f t="shared" si="21"/>
      </c>
      <c r="AH1802" s="2">
        <f t="shared" si="22"/>
      </c>
      <c r="AI1802" s="2">
        <f t="shared" si="23"/>
      </c>
      <c r="AJ1802" s="2">
        <f t="shared" si="24"/>
        <v>0</v>
      </c>
      <c r="AK1802" s="2">
        <f t="shared" si="25"/>
        <v>0</v>
      </c>
      <c r="AL1802" s="2">
        <f t="shared" si="26"/>
        <v>0</v>
      </c>
      <c r="AM1802" s="2">
        <f t="shared" si="27"/>
        <v>0</v>
      </c>
      <c r="AN1802" s="2">
        <f t="shared" si="28"/>
        <v>0</v>
      </c>
      <c r="AO1802" s="2">
        <f t="shared" si="29"/>
      </c>
      <c r="AP1802" s="2">
        <f t="shared" si="30"/>
      </c>
      <c r="AQ1802" s="2">
        <f t="shared" si="31"/>
      </c>
    </row>
    <row r="1803">
      <c r="A1803" s="43">
        <f t="shared" si="3"/>
      </c>
      <c r="B1803" s="44" t="n"/>
      <c r="C1803" s="45" t="n"/>
      <c r="D1803" s="46" t="n"/>
      <c r="E1803" s="47" t="n"/>
      <c r="F1803" s="47" t="n"/>
      <c r="G1803" s="48">
        <f t="shared" si="4"/>
      </c>
      <c r="H1803" s="43">
        <f t="shared" si="0"/>
      </c>
      <c r="I1803" s="43">
        <f t="shared" si="5"/>
      </c>
      <c r="J1803" s="43">
        <f t="shared" si="1"/>
      </c>
      <c r="K1803" s="49">
        <f t="shared" si="2"/>
      </c>
      <c r="L1803" s="45" t="n"/>
      <c r="M1803" s="45" t="n"/>
      <c r="N1803" s="45" t="n"/>
      <c r="O1803" s="45" t="n"/>
      <c r="P1803" s="50" t="n"/>
      <c r="R1803" s="2">
        <f t="shared" si="6"/>
        <v>0</v>
      </c>
      <c r="S1803" s="2">
        <f t="shared" si="7"/>
      </c>
      <c r="T1803" s="2">
        <f t="shared" si="8"/>
      </c>
      <c r="U1803" s="2">
        <f t="shared" si="9"/>
      </c>
      <c r="V1803" s="2">
        <f t="shared" si="10"/>
      </c>
      <c r="W1803" s="2">
        <f t="shared" si="11"/>
      </c>
      <c r="X1803" s="2">
        <f t="shared" si="12"/>
      </c>
      <c r="Y1803" s="2">
        <f t="shared" si="13"/>
        <v>0</v>
      </c>
      <c r="Z1803" s="2">
        <f t="shared" si="14"/>
      </c>
      <c r="AA1803" s="2">
        <f t="shared" si="15"/>
        <v>0</v>
      </c>
      <c r="AB1803" s="2">
        <f t="shared" si="16"/>
      </c>
      <c r="AC1803" s="2">
        <f t="shared" si="17"/>
      </c>
      <c r="AD1803" s="2">
        <f t="shared" si="18"/>
      </c>
      <c r="AE1803" s="2">
        <f t="shared" si="19"/>
      </c>
      <c r="AF1803" s="2">
        <f t="shared" si="20"/>
      </c>
      <c r="AG1803" s="2">
        <f t="shared" si="21"/>
      </c>
      <c r="AH1803" s="2">
        <f t="shared" si="22"/>
      </c>
      <c r="AI1803" s="2">
        <f t="shared" si="23"/>
      </c>
      <c r="AJ1803" s="2">
        <f t="shared" si="24"/>
        <v>0</v>
      </c>
      <c r="AK1803" s="2">
        <f t="shared" si="25"/>
        <v>0</v>
      </c>
      <c r="AL1803" s="2">
        <f t="shared" si="26"/>
        <v>0</v>
      </c>
      <c r="AM1803" s="2">
        <f t="shared" si="27"/>
        <v>0</v>
      </c>
      <c r="AN1803" s="2">
        <f t="shared" si="28"/>
        <v>0</v>
      </c>
      <c r="AO1803" s="2">
        <f t="shared" si="29"/>
      </c>
      <c r="AP1803" s="2">
        <f t="shared" si="30"/>
      </c>
      <c r="AQ1803" s="2">
        <f t="shared" si="31"/>
      </c>
    </row>
    <row r="1804">
      <c r="A1804" s="43">
        <f t="shared" si="3"/>
      </c>
      <c r="B1804" s="44" t="n"/>
      <c r="C1804" s="45" t="n"/>
      <c r="D1804" s="46" t="n"/>
      <c r="E1804" s="47" t="n"/>
      <c r="F1804" s="47" t="n"/>
      <c r="G1804" s="48">
        <f t="shared" si="4"/>
      </c>
      <c r="H1804" s="43">
        <f t="shared" si="0"/>
      </c>
      <c r="I1804" s="43">
        <f t="shared" si="5"/>
      </c>
      <c r="J1804" s="43">
        <f t="shared" si="1"/>
      </c>
      <c r="K1804" s="49">
        <f t="shared" si="2"/>
      </c>
      <c r="L1804" s="45" t="n"/>
      <c r="M1804" s="45" t="n"/>
      <c r="N1804" s="45" t="n"/>
      <c r="O1804" s="45" t="n"/>
      <c r="P1804" s="50" t="n"/>
      <c r="R1804" s="2">
        <f t="shared" si="6"/>
        <v>0</v>
      </c>
      <c r="S1804" s="2">
        <f t="shared" si="7"/>
      </c>
      <c r="T1804" s="2">
        <f t="shared" si="8"/>
      </c>
      <c r="U1804" s="2">
        <f t="shared" si="9"/>
      </c>
      <c r="V1804" s="2">
        <f t="shared" si="10"/>
      </c>
      <c r="W1804" s="2">
        <f t="shared" si="11"/>
      </c>
      <c r="X1804" s="2">
        <f t="shared" si="12"/>
      </c>
      <c r="Y1804" s="2">
        <f t="shared" si="13"/>
        <v>0</v>
      </c>
      <c r="Z1804" s="2">
        <f t="shared" si="14"/>
      </c>
      <c r="AA1804" s="2">
        <f t="shared" si="15"/>
        <v>0</v>
      </c>
      <c r="AB1804" s="2">
        <f t="shared" si="16"/>
      </c>
      <c r="AC1804" s="2">
        <f t="shared" si="17"/>
      </c>
      <c r="AD1804" s="2">
        <f t="shared" si="18"/>
      </c>
      <c r="AE1804" s="2">
        <f t="shared" si="19"/>
      </c>
      <c r="AF1804" s="2">
        <f t="shared" si="20"/>
      </c>
      <c r="AG1804" s="2">
        <f t="shared" si="21"/>
      </c>
      <c r="AH1804" s="2">
        <f t="shared" si="22"/>
      </c>
      <c r="AI1804" s="2">
        <f t="shared" si="23"/>
      </c>
      <c r="AJ1804" s="2">
        <f t="shared" si="24"/>
        <v>0</v>
      </c>
      <c r="AK1804" s="2">
        <f t="shared" si="25"/>
        <v>0</v>
      </c>
      <c r="AL1804" s="2">
        <f t="shared" si="26"/>
        <v>0</v>
      </c>
      <c r="AM1804" s="2">
        <f t="shared" si="27"/>
        <v>0</v>
      </c>
      <c r="AN1804" s="2">
        <f t="shared" si="28"/>
        <v>0</v>
      </c>
      <c r="AO1804" s="2">
        <f t="shared" si="29"/>
      </c>
      <c r="AP1804" s="2">
        <f t="shared" si="30"/>
      </c>
      <c r="AQ1804" s="2">
        <f t="shared" si="31"/>
      </c>
    </row>
    <row r="1805">
      <c r="A1805" s="43">
        <f t="shared" si="3"/>
      </c>
      <c r="B1805" s="44" t="n"/>
      <c r="C1805" s="45" t="n"/>
      <c r="D1805" s="46" t="n"/>
      <c r="E1805" s="47" t="n"/>
      <c r="F1805" s="47" t="n"/>
      <c r="G1805" s="48">
        <f t="shared" si="4"/>
      </c>
      <c r="H1805" s="43">
        <f t="shared" si="0"/>
      </c>
      <c r="I1805" s="43">
        <f t="shared" si="5"/>
      </c>
      <c r="J1805" s="43">
        <f t="shared" si="1"/>
      </c>
      <c r="K1805" s="49">
        <f t="shared" si="2"/>
      </c>
      <c r="L1805" s="45" t="n"/>
      <c r="M1805" s="45" t="n"/>
      <c r="N1805" s="45" t="n"/>
      <c r="O1805" s="45" t="n"/>
      <c r="P1805" s="50" t="n"/>
      <c r="R1805" s="2">
        <f t="shared" si="6"/>
        <v>0</v>
      </c>
      <c r="S1805" s="2">
        <f t="shared" si="7"/>
      </c>
      <c r="T1805" s="2">
        <f t="shared" si="8"/>
      </c>
      <c r="U1805" s="2">
        <f t="shared" si="9"/>
      </c>
      <c r="V1805" s="2">
        <f t="shared" si="10"/>
      </c>
      <c r="W1805" s="2">
        <f t="shared" si="11"/>
      </c>
      <c r="X1805" s="2">
        <f t="shared" si="12"/>
      </c>
      <c r="Y1805" s="2">
        <f t="shared" si="13"/>
        <v>0</v>
      </c>
      <c r="Z1805" s="2">
        <f t="shared" si="14"/>
      </c>
      <c r="AA1805" s="2">
        <f t="shared" si="15"/>
        <v>0</v>
      </c>
      <c r="AB1805" s="2">
        <f t="shared" si="16"/>
      </c>
      <c r="AC1805" s="2">
        <f t="shared" si="17"/>
      </c>
      <c r="AD1805" s="2">
        <f t="shared" si="18"/>
      </c>
      <c r="AE1805" s="2">
        <f t="shared" si="19"/>
      </c>
      <c r="AF1805" s="2">
        <f t="shared" si="20"/>
      </c>
      <c r="AG1805" s="2">
        <f t="shared" si="21"/>
      </c>
      <c r="AH1805" s="2">
        <f t="shared" si="22"/>
      </c>
      <c r="AI1805" s="2">
        <f t="shared" si="23"/>
      </c>
      <c r="AJ1805" s="2">
        <f t="shared" si="24"/>
        <v>0</v>
      </c>
      <c r="AK1805" s="2">
        <f t="shared" si="25"/>
        <v>0</v>
      </c>
      <c r="AL1805" s="2">
        <f t="shared" si="26"/>
        <v>0</v>
      </c>
      <c r="AM1805" s="2">
        <f t="shared" si="27"/>
        <v>0</v>
      </c>
      <c r="AN1805" s="2">
        <f t="shared" si="28"/>
        <v>0</v>
      </c>
      <c r="AO1805" s="2">
        <f t="shared" si="29"/>
      </c>
      <c r="AP1805" s="2">
        <f t="shared" si="30"/>
      </c>
      <c r="AQ1805" s="2">
        <f t="shared" si="31"/>
      </c>
    </row>
    <row r="1806">
      <c r="A1806" s="43">
        <f t="shared" si="3"/>
      </c>
      <c r="B1806" s="44" t="n"/>
      <c r="C1806" s="45" t="n"/>
      <c r="D1806" s="46" t="n"/>
      <c r="E1806" s="47" t="n"/>
      <c r="F1806" s="47" t="n"/>
      <c r="G1806" s="48">
        <f t="shared" si="4"/>
      </c>
      <c r="H1806" s="43">
        <f t="shared" si="0"/>
      </c>
      <c r="I1806" s="43">
        <f t="shared" si="5"/>
      </c>
      <c r="J1806" s="43">
        <f t="shared" si="1"/>
      </c>
      <c r="K1806" s="49">
        <f t="shared" si="2"/>
      </c>
      <c r="L1806" s="45" t="n"/>
      <c r="M1806" s="45" t="n"/>
      <c r="N1806" s="45" t="n"/>
      <c r="O1806" s="45" t="n"/>
      <c r="P1806" s="50" t="n"/>
      <c r="R1806" s="2">
        <f t="shared" si="6"/>
        <v>0</v>
      </c>
      <c r="S1806" s="2">
        <f t="shared" si="7"/>
      </c>
      <c r="T1806" s="2">
        <f t="shared" si="8"/>
      </c>
      <c r="U1806" s="2">
        <f t="shared" si="9"/>
      </c>
      <c r="V1806" s="2">
        <f t="shared" si="10"/>
      </c>
      <c r="W1806" s="2">
        <f t="shared" si="11"/>
      </c>
      <c r="X1806" s="2">
        <f t="shared" si="12"/>
      </c>
      <c r="Y1806" s="2">
        <f t="shared" si="13"/>
        <v>0</v>
      </c>
      <c r="Z1806" s="2">
        <f t="shared" si="14"/>
      </c>
      <c r="AA1806" s="2">
        <f t="shared" si="15"/>
        <v>0</v>
      </c>
      <c r="AB1806" s="2">
        <f t="shared" si="16"/>
      </c>
      <c r="AC1806" s="2">
        <f t="shared" si="17"/>
      </c>
      <c r="AD1806" s="2">
        <f t="shared" si="18"/>
      </c>
      <c r="AE1806" s="2">
        <f t="shared" si="19"/>
      </c>
      <c r="AF1806" s="2">
        <f t="shared" si="20"/>
      </c>
      <c r="AG1806" s="2">
        <f t="shared" si="21"/>
      </c>
      <c r="AH1806" s="2">
        <f t="shared" si="22"/>
      </c>
      <c r="AI1806" s="2">
        <f t="shared" si="23"/>
      </c>
      <c r="AJ1806" s="2">
        <f t="shared" si="24"/>
        <v>0</v>
      </c>
      <c r="AK1806" s="2">
        <f t="shared" si="25"/>
        <v>0</v>
      </c>
      <c r="AL1806" s="2">
        <f t="shared" si="26"/>
        <v>0</v>
      </c>
      <c r="AM1806" s="2">
        <f t="shared" si="27"/>
        <v>0</v>
      </c>
      <c r="AN1806" s="2">
        <f t="shared" si="28"/>
        <v>0</v>
      </c>
      <c r="AO1806" s="2">
        <f t="shared" si="29"/>
      </c>
      <c r="AP1806" s="2">
        <f t="shared" si="30"/>
      </c>
      <c r="AQ1806" s="2">
        <f t="shared" si="31"/>
      </c>
    </row>
    <row r="1807">
      <c r="A1807" s="43">
        <f t="shared" si="3"/>
      </c>
      <c r="B1807" s="44" t="n"/>
      <c r="C1807" s="45" t="n"/>
      <c r="D1807" s="46" t="n"/>
      <c r="E1807" s="47" t="n"/>
      <c r="F1807" s="47" t="n"/>
      <c r="G1807" s="48">
        <f t="shared" si="4"/>
      </c>
      <c r="H1807" s="43">
        <f t="shared" si="0"/>
      </c>
      <c r="I1807" s="43">
        <f t="shared" si="5"/>
      </c>
      <c r="J1807" s="43">
        <f t="shared" si="1"/>
      </c>
      <c r="K1807" s="49">
        <f t="shared" si="2"/>
      </c>
      <c r="L1807" s="45" t="n"/>
      <c r="M1807" s="45" t="n"/>
      <c r="N1807" s="45" t="n"/>
      <c r="O1807" s="45" t="n"/>
      <c r="P1807" s="50" t="n"/>
      <c r="R1807" s="2">
        <f t="shared" si="6"/>
        <v>0</v>
      </c>
      <c r="S1807" s="2">
        <f t="shared" si="7"/>
      </c>
      <c r="T1807" s="2">
        <f t="shared" si="8"/>
      </c>
      <c r="U1807" s="2">
        <f t="shared" si="9"/>
      </c>
      <c r="V1807" s="2">
        <f t="shared" si="10"/>
      </c>
      <c r="W1807" s="2">
        <f t="shared" si="11"/>
      </c>
      <c r="X1807" s="2">
        <f t="shared" si="12"/>
      </c>
      <c r="Y1807" s="2">
        <f t="shared" si="13"/>
        <v>0</v>
      </c>
      <c r="Z1807" s="2">
        <f t="shared" si="14"/>
      </c>
      <c r="AA1807" s="2">
        <f t="shared" si="15"/>
        <v>0</v>
      </c>
      <c r="AB1807" s="2">
        <f t="shared" si="16"/>
      </c>
      <c r="AC1807" s="2">
        <f t="shared" si="17"/>
      </c>
      <c r="AD1807" s="2">
        <f t="shared" si="18"/>
      </c>
      <c r="AE1807" s="2">
        <f t="shared" si="19"/>
      </c>
      <c r="AF1807" s="2">
        <f t="shared" si="20"/>
      </c>
      <c r="AG1807" s="2">
        <f t="shared" si="21"/>
      </c>
      <c r="AH1807" s="2">
        <f t="shared" si="22"/>
      </c>
      <c r="AI1807" s="2">
        <f t="shared" si="23"/>
      </c>
      <c r="AJ1807" s="2">
        <f t="shared" si="24"/>
        <v>0</v>
      </c>
      <c r="AK1807" s="2">
        <f t="shared" si="25"/>
        <v>0</v>
      </c>
      <c r="AL1807" s="2">
        <f t="shared" si="26"/>
        <v>0</v>
      </c>
      <c r="AM1807" s="2">
        <f t="shared" si="27"/>
        <v>0</v>
      </c>
      <c r="AN1807" s="2">
        <f t="shared" si="28"/>
        <v>0</v>
      </c>
      <c r="AO1807" s="2">
        <f t="shared" si="29"/>
      </c>
      <c r="AP1807" s="2">
        <f t="shared" si="30"/>
      </c>
      <c r="AQ1807" s="2">
        <f t="shared" si="31"/>
      </c>
    </row>
    <row r="1808">
      <c r="A1808" s="43">
        <f t="shared" si="3"/>
      </c>
      <c r="B1808" s="44" t="n"/>
      <c r="C1808" s="45" t="n"/>
      <c r="D1808" s="46" t="n"/>
      <c r="E1808" s="47" t="n"/>
      <c r="F1808" s="47" t="n"/>
      <c r="G1808" s="48">
        <f t="shared" si="4"/>
      </c>
      <c r="H1808" s="43">
        <f t="shared" si="0"/>
      </c>
      <c r="I1808" s="43">
        <f t="shared" si="5"/>
      </c>
      <c r="J1808" s="43">
        <f t="shared" si="1"/>
      </c>
      <c r="K1808" s="49">
        <f t="shared" si="2"/>
      </c>
      <c r="L1808" s="45" t="n"/>
      <c r="M1808" s="45" t="n"/>
      <c r="N1808" s="45" t="n"/>
      <c r="O1808" s="45" t="n"/>
      <c r="P1808" s="50" t="n"/>
      <c r="R1808" s="2">
        <f t="shared" si="6"/>
        <v>0</v>
      </c>
      <c r="S1808" s="2">
        <f t="shared" si="7"/>
      </c>
      <c r="T1808" s="2">
        <f t="shared" si="8"/>
      </c>
      <c r="U1808" s="2">
        <f t="shared" si="9"/>
      </c>
      <c r="V1808" s="2">
        <f t="shared" si="10"/>
      </c>
      <c r="W1808" s="2">
        <f t="shared" si="11"/>
      </c>
      <c r="X1808" s="2">
        <f t="shared" si="12"/>
      </c>
      <c r="Y1808" s="2">
        <f t="shared" si="13"/>
        <v>0</v>
      </c>
      <c r="Z1808" s="2">
        <f t="shared" si="14"/>
      </c>
      <c r="AA1808" s="2">
        <f t="shared" si="15"/>
        <v>0</v>
      </c>
      <c r="AB1808" s="2">
        <f t="shared" si="16"/>
      </c>
      <c r="AC1808" s="2">
        <f t="shared" si="17"/>
      </c>
      <c r="AD1808" s="2">
        <f t="shared" si="18"/>
      </c>
      <c r="AE1808" s="2">
        <f t="shared" si="19"/>
      </c>
      <c r="AF1808" s="2">
        <f t="shared" si="20"/>
      </c>
      <c r="AG1808" s="2">
        <f t="shared" si="21"/>
      </c>
      <c r="AH1808" s="2">
        <f t="shared" si="22"/>
      </c>
      <c r="AI1808" s="2">
        <f t="shared" si="23"/>
      </c>
      <c r="AJ1808" s="2">
        <f t="shared" si="24"/>
        <v>0</v>
      </c>
      <c r="AK1808" s="2">
        <f t="shared" si="25"/>
        <v>0</v>
      </c>
      <c r="AL1808" s="2">
        <f t="shared" si="26"/>
        <v>0</v>
      </c>
      <c r="AM1808" s="2">
        <f t="shared" si="27"/>
        <v>0</v>
      </c>
      <c r="AN1808" s="2">
        <f t="shared" si="28"/>
        <v>0</v>
      </c>
      <c r="AO1808" s="2">
        <f t="shared" si="29"/>
      </c>
      <c r="AP1808" s="2">
        <f t="shared" si="30"/>
      </c>
      <c r="AQ1808" s="2">
        <f t="shared" si="31"/>
      </c>
    </row>
    <row r="1809">
      <c r="A1809" s="43">
        <f t="shared" si="3"/>
      </c>
      <c r="B1809" s="44" t="n"/>
      <c r="C1809" s="45" t="n"/>
      <c r="D1809" s="46" t="n"/>
      <c r="E1809" s="47" t="n"/>
      <c r="F1809" s="47" t="n"/>
      <c r="G1809" s="48">
        <f t="shared" si="4"/>
      </c>
      <c r="H1809" s="43">
        <f t="shared" si="0"/>
      </c>
      <c r="I1809" s="43">
        <f t="shared" si="5"/>
      </c>
      <c r="J1809" s="43">
        <f t="shared" si="1"/>
      </c>
      <c r="K1809" s="49">
        <f t="shared" si="2"/>
      </c>
      <c r="L1809" s="45" t="n"/>
      <c r="M1809" s="45" t="n"/>
      <c r="N1809" s="45" t="n"/>
      <c r="O1809" s="45" t="n"/>
      <c r="P1809" s="50" t="n"/>
      <c r="R1809" s="2">
        <f t="shared" si="6"/>
        <v>0</v>
      </c>
      <c r="S1809" s="2">
        <f t="shared" si="7"/>
      </c>
      <c r="T1809" s="2">
        <f t="shared" si="8"/>
      </c>
      <c r="U1809" s="2">
        <f t="shared" si="9"/>
      </c>
      <c r="V1809" s="2">
        <f t="shared" si="10"/>
      </c>
      <c r="W1809" s="2">
        <f t="shared" si="11"/>
      </c>
      <c r="X1809" s="2">
        <f t="shared" si="12"/>
      </c>
      <c r="Y1809" s="2">
        <f t="shared" si="13"/>
        <v>0</v>
      </c>
      <c r="Z1809" s="2">
        <f t="shared" si="14"/>
      </c>
      <c r="AA1809" s="2">
        <f t="shared" si="15"/>
        <v>0</v>
      </c>
      <c r="AB1809" s="2">
        <f t="shared" si="16"/>
      </c>
      <c r="AC1809" s="2">
        <f t="shared" si="17"/>
      </c>
      <c r="AD1809" s="2">
        <f t="shared" si="18"/>
      </c>
      <c r="AE1809" s="2">
        <f t="shared" si="19"/>
      </c>
      <c r="AF1809" s="2">
        <f t="shared" si="20"/>
      </c>
      <c r="AG1809" s="2">
        <f t="shared" si="21"/>
      </c>
      <c r="AH1809" s="2">
        <f t="shared" si="22"/>
      </c>
      <c r="AI1809" s="2">
        <f t="shared" si="23"/>
      </c>
      <c r="AJ1809" s="2">
        <f t="shared" si="24"/>
        <v>0</v>
      </c>
      <c r="AK1809" s="2">
        <f t="shared" si="25"/>
        <v>0</v>
      </c>
      <c r="AL1809" s="2">
        <f t="shared" si="26"/>
        <v>0</v>
      </c>
      <c r="AM1809" s="2">
        <f t="shared" si="27"/>
        <v>0</v>
      </c>
      <c r="AN1809" s="2">
        <f t="shared" si="28"/>
        <v>0</v>
      </c>
      <c r="AO1809" s="2">
        <f t="shared" si="29"/>
      </c>
      <c r="AP1809" s="2">
        <f t="shared" si="30"/>
      </c>
      <c r="AQ1809" s="2">
        <f t="shared" si="31"/>
      </c>
    </row>
    <row r="1810">
      <c r="A1810" s="43">
        <f t="shared" si="3"/>
      </c>
      <c r="B1810" s="44" t="n"/>
      <c r="C1810" s="45" t="n"/>
      <c r="D1810" s="46" t="n"/>
      <c r="E1810" s="47" t="n"/>
      <c r="F1810" s="47" t="n"/>
      <c r="G1810" s="48">
        <f t="shared" si="4"/>
      </c>
      <c r="H1810" s="43">
        <f t="shared" si="0"/>
      </c>
      <c r="I1810" s="43">
        <f t="shared" si="5"/>
      </c>
      <c r="J1810" s="43">
        <f t="shared" si="1"/>
      </c>
      <c r="K1810" s="49">
        <f t="shared" si="2"/>
      </c>
      <c r="L1810" s="45" t="n"/>
      <c r="M1810" s="45" t="n"/>
      <c r="N1810" s="45" t="n"/>
      <c r="O1810" s="45" t="n"/>
      <c r="P1810" s="50" t="n"/>
      <c r="R1810" s="2">
        <f t="shared" si="6"/>
        <v>0</v>
      </c>
      <c r="S1810" s="2">
        <f t="shared" si="7"/>
      </c>
      <c r="T1810" s="2">
        <f t="shared" si="8"/>
      </c>
      <c r="U1810" s="2">
        <f t="shared" si="9"/>
      </c>
      <c r="V1810" s="2">
        <f t="shared" si="10"/>
      </c>
      <c r="W1810" s="2">
        <f t="shared" si="11"/>
      </c>
      <c r="X1810" s="2">
        <f t="shared" si="12"/>
      </c>
      <c r="Y1810" s="2">
        <f t="shared" si="13"/>
        <v>0</v>
      </c>
      <c r="Z1810" s="2">
        <f t="shared" si="14"/>
      </c>
      <c r="AA1810" s="2">
        <f t="shared" si="15"/>
        <v>0</v>
      </c>
      <c r="AB1810" s="2">
        <f t="shared" si="16"/>
      </c>
      <c r="AC1810" s="2">
        <f t="shared" si="17"/>
      </c>
      <c r="AD1810" s="2">
        <f t="shared" si="18"/>
      </c>
      <c r="AE1810" s="2">
        <f t="shared" si="19"/>
      </c>
      <c r="AF1810" s="2">
        <f t="shared" si="20"/>
      </c>
      <c r="AG1810" s="2">
        <f t="shared" si="21"/>
      </c>
      <c r="AH1810" s="2">
        <f t="shared" si="22"/>
      </c>
      <c r="AI1810" s="2">
        <f t="shared" si="23"/>
      </c>
      <c r="AJ1810" s="2">
        <f t="shared" si="24"/>
        <v>0</v>
      </c>
      <c r="AK1810" s="2">
        <f t="shared" si="25"/>
        <v>0</v>
      </c>
      <c r="AL1810" s="2">
        <f t="shared" si="26"/>
        <v>0</v>
      </c>
      <c r="AM1810" s="2">
        <f t="shared" si="27"/>
        <v>0</v>
      </c>
      <c r="AN1810" s="2">
        <f t="shared" si="28"/>
        <v>0</v>
      </c>
      <c r="AO1810" s="2">
        <f t="shared" si="29"/>
      </c>
      <c r="AP1810" s="2">
        <f t="shared" si="30"/>
      </c>
      <c r="AQ1810" s="2">
        <f t="shared" si="31"/>
      </c>
    </row>
    <row r="1811">
      <c r="A1811" s="43">
        <f t="shared" si="3"/>
      </c>
      <c r="B1811" s="44" t="n"/>
      <c r="C1811" s="45" t="n"/>
      <c r="D1811" s="46" t="n"/>
      <c r="E1811" s="47" t="n"/>
      <c r="F1811" s="47" t="n"/>
      <c r="G1811" s="48">
        <f t="shared" si="4"/>
      </c>
      <c r="H1811" s="43">
        <f t="shared" si="0"/>
      </c>
      <c r="I1811" s="43">
        <f t="shared" si="5"/>
      </c>
      <c r="J1811" s="43">
        <f t="shared" si="1"/>
      </c>
      <c r="K1811" s="49">
        <f t="shared" si="2"/>
      </c>
      <c r="L1811" s="45" t="n"/>
      <c r="M1811" s="45" t="n"/>
      <c r="N1811" s="45" t="n"/>
      <c r="O1811" s="45" t="n"/>
      <c r="P1811" s="50" t="n"/>
      <c r="R1811" s="2">
        <f t="shared" si="6"/>
        <v>0</v>
      </c>
      <c r="S1811" s="2">
        <f t="shared" si="7"/>
      </c>
      <c r="T1811" s="2">
        <f t="shared" si="8"/>
      </c>
      <c r="U1811" s="2">
        <f t="shared" si="9"/>
      </c>
      <c r="V1811" s="2">
        <f t="shared" si="10"/>
      </c>
      <c r="W1811" s="2">
        <f t="shared" si="11"/>
      </c>
      <c r="X1811" s="2">
        <f t="shared" si="12"/>
      </c>
      <c r="Y1811" s="2">
        <f t="shared" si="13"/>
        <v>0</v>
      </c>
      <c r="Z1811" s="2">
        <f t="shared" si="14"/>
      </c>
      <c r="AA1811" s="2">
        <f t="shared" si="15"/>
        <v>0</v>
      </c>
      <c r="AB1811" s="2">
        <f t="shared" si="16"/>
      </c>
      <c r="AC1811" s="2">
        <f t="shared" si="17"/>
      </c>
      <c r="AD1811" s="2">
        <f t="shared" si="18"/>
      </c>
      <c r="AE1811" s="2">
        <f t="shared" si="19"/>
      </c>
      <c r="AF1811" s="2">
        <f t="shared" si="20"/>
      </c>
      <c r="AG1811" s="2">
        <f t="shared" si="21"/>
      </c>
      <c r="AH1811" s="2">
        <f t="shared" si="22"/>
      </c>
      <c r="AI1811" s="2">
        <f t="shared" si="23"/>
      </c>
      <c r="AJ1811" s="2">
        <f t="shared" si="24"/>
        <v>0</v>
      </c>
      <c r="AK1811" s="2">
        <f t="shared" si="25"/>
        <v>0</v>
      </c>
      <c r="AL1811" s="2">
        <f t="shared" si="26"/>
        <v>0</v>
      </c>
      <c r="AM1811" s="2">
        <f t="shared" si="27"/>
        <v>0</v>
      </c>
      <c r="AN1811" s="2">
        <f t="shared" si="28"/>
        <v>0</v>
      </c>
      <c r="AO1811" s="2">
        <f t="shared" si="29"/>
      </c>
      <c r="AP1811" s="2">
        <f t="shared" si="30"/>
      </c>
      <c r="AQ1811" s="2">
        <f t="shared" si="31"/>
      </c>
    </row>
    <row r="1812">
      <c r="A1812" s="43">
        <f t="shared" si="3"/>
      </c>
      <c r="B1812" s="44" t="n"/>
      <c r="C1812" s="45" t="n"/>
      <c r="D1812" s="46" t="n"/>
      <c r="E1812" s="47" t="n"/>
      <c r="F1812" s="47" t="n"/>
      <c r="G1812" s="48">
        <f t="shared" si="4"/>
      </c>
      <c r="H1812" s="43">
        <f t="shared" si="0"/>
      </c>
      <c r="I1812" s="43">
        <f t="shared" si="5"/>
      </c>
      <c r="J1812" s="43">
        <f t="shared" si="1"/>
      </c>
      <c r="K1812" s="49">
        <f t="shared" si="2"/>
      </c>
      <c r="L1812" s="45" t="n"/>
      <c r="M1812" s="45" t="n"/>
      <c r="N1812" s="45" t="n"/>
      <c r="O1812" s="45" t="n"/>
      <c r="P1812" s="50" t="n"/>
      <c r="R1812" s="2">
        <f t="shared" si="6"/>
        <v>0</v>
      </c>
      <c r="S1812" s="2">
        <f t="shared" si="7"/>
      </c>
      <c r="T1812" s="2">
        <f t="shared" si="8"/>
      </c>
      <c r="U1812" s="2">
        <f t="shared" si="9"/>
      </c>
      <c r="V1812" s="2">
        <f t="shared" si="10"/>
      </c>
      <c r="W1812" s="2">
        <f t="shared" si="11"/>
      </c>
      <c r="X1812" s="2">
        <f t="shared" si="12"/>
      </c>
      <c r="Y1812" s="2">
        <f t="shared" si="13"/>
        <v>0</v>
      </c>
      <c r="Z1812" s="2">
        <f t="shared" si="14"/>
      </c>
      <c r="AA1812" s="2">
        <f t="shared" si="15"/>
        <v>0</v>
      </c>
      <c r="AB1812" s="2">
        <f t="shared" si="16"/>
      </c>
      <c r="AC1812" s="2">
        <f t="shared" si="17"/>
      </c>
      <c r="AD1812" s="2">
        <f t="shared" si="18"/>
      </c>
      <c r="AE1812" s="2">
        <f t="shared" si="19"/>
      </c>
      <c r="AF1812" s="2">
        <f t="shared" si="20"/>
      </c>
      <c r="AG1812" s="2">
        <f t="shared" si="21"/>
      </c>
      <c r="AH1812" s="2">
        <f t="shared" si="22"/>
      </c>
      <c r="AI1812" s="2">
        <f t="shared" si="23"/>
      </c>
      <c r="AJ1812" s="2">
        <f t="shared" si="24"/>
        <v>0</v>
      </c>
      <c r="AK1812" s="2">
        <f t="shared" si="25"/>
        <v>0</v>
      </c>
      <c r="AL1812" s="2">
        <f t="shared" si="26"/>
        <v>0</v>
      </c>
      <c r="AM1812" s="2">
        <f t="shared" si="27"/>
        <v>0</v>
      </c>
      <c r="AN1812" s="2">
        <f t="shared" si="28"/>
        <v>0</v>
      </c>
      <c r="AO1812" s="2">
        <f t="shared" si="29"/>
      </c>
      <c r="AP1812" s="2">
        <f t="shared" si="30"/>
      </c>
      <c r="AQ1812" s="2">
        <f t="shared" si="31"/>
      </c>
    </row>
    <row r="1813">
      <c r="A1813" s="43">
        <f t="shared" si="3"/>
      </c>
      <c r="B1813" s="44" t="n"/>
      <c r="C1813" s="45" t="n"/>
      <c r="D1813" s="46" t="n"/>
      <c r="E1813" s="47" t="n"/>
      <c r="F1813" s="47" t="n"/>
      <c r="G1813" s="48">
        <f t="shared" si="4"/>
      </c>
      <c r="H1813" s="43">
        <f t="shared" si="0"/>
      </c>
      <c r="I1813" s="43">
        <f t="shared" si="5"/>
      </c>
      <c r="J1813" s="43">
        <f t="shared" si="1"/>
      </c>
      <c r="K1813" s="49">
        <f t="shared" si="2"/>
      </c>
      <c r="L1813" s="45" t="n"/>
      <c r="M1813" s="45" t="n"/>
      <c r="N1813" s="45" t="n"/>
      <c r="O1813" s="45" t="n"/>
      <c r="P1813" s="50" t="n"/>
      <c r="R1813" s="2">
        <f t="shared" si="6"/>
        <v>0</v>
      </c>
      <c r="S1813" s="2">
        <f t="shared" si="7"/>
      </c>
      <c r="T1813" s="2">
        <f t="shared" si="8"/>
      </c>
      <c r="U1813" s="2">
        <f t="shared" si="9"/>
      </c>
      <c r="V1813" s="2">
        <f t="shared" si="10"/>
      </c>
      <c r="W1813" s="2">
        <f t="shared" si="11"/>
      </c>
      <c r="X1813" s="2">
        <f t="shared" si="12"/>
      </c>
      <c r="Y1813" s="2">
        <f t="shared" si="13"/>
        <v>0</v>
      </c>
      <c r="Z1813" s="2">
        <f t="shared" si="14"/>
      </c>
      <c r="AA1813" s="2">
        <f t="shared" si="15"/>
        <v>0</v>
      </c>
      <c r="AB1813" s="2">
        <f t="shared" si="16"/>
      </c>
      <c r="AC1813" s="2">
        <f t="shared" si="17"/>
      </c>
      <c r="AD1813" s="2">
        <f t="shared" si="18"/>
      </c>
      <c r="AE1813" s="2">
        <f t="shared" si="19"/>
      </c>
      <c r="AF1813" s="2">
        <f t="shared" si="20"/>
      </c>
      <c r="AG1813" s="2">
        <f t="shared" si="21"/>
      </c>
      <c r="AH1813" s="2">
        <f t="shared" si="22"/>
      </c>
      <c r="AI1813" s="2">
        <f t="shared" si="23"/>
      </c>
      <c r="AJ1813" s="2">
        <f t="shared" si="24"/>
        <v>0</v>
      </c>
      <c r="AK1813" s="2">
        <f t="shared" si="25"/>
        <v>0</v>
      </c>
      <c r="AL1813" s="2">
        <f t="shared" si="26"/>
        <v>0</v>
      </c>
      <c r="AM1813" s="2">
        <f t="shared" si="27"/>
        <v>0</v>
      </c>
      <c r="AN1813" s="2">
        <f t="shared" si="28"/>
        <v>0</v>
      </c>
      <c r="AO1813" s="2">
        <f t="shared" si="29"/>
      </c>
      <c r="AP1813" s="2">
        <f t="shared" si="30"/>
      </c>
      <c r="AQ1813" s="2">
        <f t="shared" si="31"/>
      </c>
    </row>
    <row r="1814">
      <c r="A1814" s="43">
        <f t="shared" si="3"/>
      </c>
      <c r="B1814" s="44" t="n"/>
      <c r="C1814" s="45" t="n"/>
      <c r="D1814" s="46" t="n"/>
      <c r="E1814" s="47" t="n"/>
      <c r="F1814" s="47" t="n"/>
      <c r="G1814" s="48">
        <f t="shared" si="4"/>
      </c>
      <c r="H1814" s="43">
        <f t="shared" si="0"/>
      </c>
      <c r="I1814" s="43">
        <f t="shared" si="5"/>
      </c>
      <c r="J1814" s="43">
        <f t="shared" si="1"/>
      </c>
      <c r="K1814" s="49">
        <f t="shared" si="2"/>
      </c>
      <c r="L1814" s="45" t="n"/>
      <c r="M1814" s="45" t="n"/>
      <c r="N1814" s="45" t="n"/>
      <c r="O1814" s="45" t="n"/>
      <c r="P1814" s="50" t="n"/>
      <c r="R1814" s="2">
        <f t="shared" si="6"/>
        <v>0</v>
      </c>
      <c r="S1814" s="2">
        <f t="shared" si="7"/>
      </c>
      <c r="T1814" s="2">
        <f t="shared" si="8"/>
      </c>
      <c r="U1814" s="2">
        <f t="shared" si="9"/>
      </c>
      <c r="V1814" s="2">
        <f t="shared" si="10"/>
      </c>
      <c r="W1814" s="2">
        <f t="shared" si="11"/>
      </c>
      <c r="X1814" s="2">
        <f t="shared" si="12"/>
      </c>
      <c r="Y1814" s="2">
        <f t="shared" si="13"/>
        <v>0</v>
      </c>
      <c r="Z1814" s="2">
        <f t="shared" si="14"/>
      </c>
      <c r="AA1814" s="2">
        <f t="shared" si="15"/>
        <v>0</v>
      </c>
      <c r="AB1814" s="2">
        <f t="shared" si="16"/>
      </c>
      <c r="AC1814" s="2">
        <f t="shared" si="17"/>
      </c>
      <c r="AD1814" s="2">
        <f t="shared" si="18"/>
      </c>
      <c r="AE1814" s="2">
        <f t="shared" si="19"/>
      </c>
      <c r="AF1814" s="2">
        <f t="shared" si="20"/>
      </c>
      <c r="AG1814" s="2">
        <f t="shared" si="21"/>
      </c>
      <c r="AH1814" s="2">
        <f t="shared" si="22"/>
      </c>
      <c r="AI1814" s="2">
        <f t="shared" si="23"/>
      </c>
      <c r="AJ1814" s="2">
        <f t="shared" si="24"/>
        <v>0</v>
      </c>
      <c r="AK1814" s="2">
        <f t="shared" si="25"/>
        <v>0</v>
      </c>
      <c r="AL1814" s="2">
        <f t="shared" si="26"/>
        <v>0</v>
      </c>
      <c r="AM1814" s="2">
        <f t="shared" si="27"/>
        <v>0</v>
      </c>
      <c r="AN1814" s="2">
        <f t="shared" si="28"/>
        <v>0</v>
      </c>
      <c r="AO1814" s="2">
        <f t="shared" si="29"/>
      </c>
      <c r="AP1814" s="2">
        <f t="shared" si="30"/>
      </c>
      <c r="AQ1814" s="2">
        <f t="shared" si="31"/>
      </c>
    </row>
    <row r="1815">
      <c r="A1815" s="43">
        <f t="shared" si="3"/>
      </c>
      <c r="B1815" s="44" t="n"/>
      <c r="C1815" s="45" t="n"/>
      <c r="D1815" s="46" t="n"/>
      <c r="E1815" s="47" t="n"/>
      <c r="F1815" s="47" t="n"/>
      <c r="G1815" s="48">
        <f t="shared" si="4"/>
      </c>
      <c r="H1815" s="43">
        <f t="shared" si="0"/>
      </c>
      <c r="I1815" s="43">
        <f t="shared" si="5"/>
      </c>
      <c r="J1815" s="43">
        <f t="shared" si="1"/>
      </c>
      <c r="K1815" s="49">
        <f t="shared" si="2"/>
      </c>
      <c r="L1815" s="45" t="n"/>
      <c r="M1815" s="45" t="n"/>
      <c r="N1815" s="45" t="n"/>
      <c r="O1815" s="45" t="n"/>
      <c r="P1815" s="50" t="n"/>
      <c r="R1815" s="2">
        <f t="shared" si="6"/>
        <v>0</v>
      </c>
      <c r="S1815" s="2">
        <f t="shared" si="7"/>
      </c>
      <c r="T1815" s="2">
        <f t="shared" si="8"/>
      </c>
      <c r="U1815" s="2">
        <f t="shared" si="9"/>
      </c>
      <c r="V1815" s="2">
        <f t="shared" si="10"/>
      </c>
      <c r="W1815" s="2">
        <f t="shared" si="11"/>
      </c>
      <c r="X1815" s="2">
        <f t="shared" si="12"/>
      </c>
      <c r="Y1815" s="2">
        <f t="shared" si="13"/>
        <v>0</v>
      </c>
      <c r="Z1815" s="2">
        <f t="shared" si="14"/>
      </c>
      <c r="AA1815" s="2">
        <f t="shared" si="15"/>
        <v>0</v>
      </c>
      <c r="AB1815" s="2">
        <f t="shared" si="16"/>
      </c>
      <c r="AC1815" s="2">
        <f t="shared" si="17"/>
      </c>
      <c r="AD1815" s="2">
        <f t="shared" si="18"/>
      </c>
      <c r="AE1815" s="2">
        <f t="shared" si="19"/>
      </c>
      <c r="AF1815" s="2">
        <f t="shared" si="20"/>
      </c>
      <c r="AG1815" s="2">
        <f t="shared" si="21"/>
      </c>
      <c r="AH1815" s="2">
        <f t="shared" si="22"/>
      </c>
      <c r="AI1815" s="2">
        <f t="shared" si="23"/>
      </c>
      <c r="AJ1815" s="2">
        <f t="shared" si="24"/>
        <v>0</v>
      </c>
      <c r="AK1815" s="2">
        <f t="shared" si="25"/>
        <v>0</v>
      </c>
      <c r="AL1815" s="2">
        <f t="shared" si="26"/>
        <v>0</v>
      </c>
      <c r="AM1815" s="2">
        <f t="shared" si="27"/>
        <v>0</v>
      </c>
      <c r="AN1815" s="2">
        <f t="shared" si="28"/>
        <v>0</v>
      </c>
      <c r="AO1815" s="2">
        <f t="shared" si="29"/>
      </c>
      <c r="AP1815" s="2">
        <f t="shared" si="30"/>
      </c>
      <c r="AQ1815" s="2">
        <f t="shared" si="31"/>
      </c>
    </row>
    <row r="1816">
      <c r="A1816" s="43">
        <f t="shared" si="3"/>
      </c>
      <c r="B1816" s="44" t="n"/>
      <c r="C1816" s="45" t="n"/>
      <c r="D1816" s="46" t="n"/>
      <c r="E1816" s="47" t="n"/>
      <c r="F1816" s="47" t="n"/>
      <c r="G1816" s="48">
        <f t="shared" si="4"/>
      </c>
      <c r="H1816" s="43">
        <f t="shared" si="0"/>
      </c>
      <c r="I1816" s="43">
        <f t="shared" si="5"/>
      </c>
      <c r="J1816" s="43">
        <f t="shared" si="1"/>
      </c>
      <c r="K1816" s="49">
        <f t="shared" si="2"/>
      </c>
      <c r="L1816" s="45" t="n"/>
      <c r="M1816" s="45" t="n"/>
      <c r="N1816" s="45" t="n"/>
      <c r="O1816" s="45" t="n"/>
      <c r="P1816" s="50" t="n"/>
      <c r="R1816" s="2">
        <f t="shared" si="6"/>
        <v>0</v>
      </c>
      <c r="S1816" s="2">
        <f t="shared" si="7"/>
      </c>
      <c r="T1816" s="2">
        <f t="shared" si="8"/>
      </c>
      <c r="U1816" s="2">
        <f t="shared" si="9"/>
      </c>
      <c r="V1816" s="2">
        <f t="shared" si="10"/>
      </c>
      <c r="W1816" s="2">
        <f t="shared" si="11"/>
      </c>
      <c r="X1816" s="2">
        <f t="shared" si="12"/>
      </c>
      <c r="Y1816" s="2">
        <f t="shared" si="13"/>
        <v>0</v>
      </c>
      <c r="Z1816" s="2">
        <f t="shared" si="14"/>
      </c>
      <c r="AA1816" s="2">
        <f t="shared" si="15"/>
        <v>0</v>
      </c>
      <c r="AB1816" s="2">
        <f t="shared" si="16"/>
      </c>
      <c r="AC1816" s="2">
        <f t="shared" si="17"/>
      </c>
      <c r="AD1816" s="2">
        <f t="shared" si="18"/>
      </c>
      <c r="AE1816" s="2">
        <f t="shared" si="19"/>
      </c>
      <c r="AF1816" s="2">
        <f t="shared" si="20"/>
      </c>
      <c r="AG1816" s="2">
        <f t="shared" si="21"/>
      </c>
      <c r="AH1816" s="2">
        <f t="shared" si="22"/>
      </c>
      <c r="AI1816" s="2">
        <f t="shared" si="23"/>
      </c>
      <c r="AJ1816" s="2">
        <f t="shared" si="24"/>
        <v>0</v>
      </c>
      <c r="AK1816" s="2">
        <f t="shared" si="25"/>
        <v>0</v>
      </c>
      <c r="AL1816" s="2">
        <f t="shared" si="26"/>
        <v>0</v>
      </c>
      <c r="AM1816" s="2">
        <f t="shared" si="27"/>
        <v>0</v>
      </c>
      <c r="AN1816" s="2">
        <f t="shared" si="28"/>
        <v>0</v>
      </c>
      <c r="AO1816" s="2">
        <f t="shared" si="29"/>
      </c>
      <c r="AP1816" s="2">
        <f t="shared" si="30"/>
      </c>
      <c r="AQ1816" s="2">
        <f t="shared" si="31"/>
      </c>
    </row>
    <row r="1817">
      <c r="A1817" s="43">
        <f t="shared" si="3"/>
      </c>
      <c r="B1817" s="44" t="n"/>
      <c r="C1817" s="45" t="n"/>
      <c r="D1817" s="46" t="n"/>
      <c r="E1817" s="47" t="n"/>
      <c r="F1817" s="47" t="n"/>
      <c r="G1817" s="48">
        <f t="shared" si="4"/>
      </c>
      <c r="H1817" s="43">
        <f t="shared" si="0"/>
      </c>
      <c r="I1817" s="43">
        <f t="shared" si="5"/>
      </c>
      <c r="J1817" s="43">
        <f t="shared" si="1"/>
      </c>
      <c r="K1817" s="49">
        <f t="shared" si="2"/>
      </c>
      <c r="L1817" s="45" t="n"/>
      <c r="M1817" s="45" t="n"/>
      <c r="N1817" s="45" t="n"/>
      <c r="O1817" s="45" t="n"/>
      <c r="P1817" s="50" t="n"/>
      <c r="R1817" s="2">
        <f t="shared" si="6"/>
        <v>0</v>
      </c>
      <c r="S1817" s="2">
        <f t="shared" si="7"/>
      </c>
      <c r="T1817" s="2">
        <f t="shared" si="8"/>
      </c>
      <c r="U1817" s="2">
        <f t="shared" si="9"/>
      </c>
      <c r="V1817" s="2">
        <f t="shared" si="10"/>
      </c>
      <c r="W1817" s="2">
        <f t="shared" si="11"/>
      </c>
      <c r="X1817" s="2">
        <f t="shared" si="12"/>
      </c>
      <c r="Y1817" s="2">
        <f t="shared" si="13"/>
        <v>0</v>
      </c>
      <c r="Z1817" s="2">
        <f t="shared" si="14"/>
      </c>
      <c r="AA1817" s="2">
        <f t="shared" si="15"/>
        <v>0</v>
      </c>
      <c r="AB1817" s="2">
        <f t="shared" si="16"/>
      </c>
      <c r="AC1817" s="2">
        <f t="shared" si="17"/>
      </c>
      <c r="AD1817" s="2">
        <f t="shared" si="18"/>
      </c>
      <c r="AE1817" s="2">
        <f t="shared" si="19"/>
      </c>
      <c r="AF1817" s="2">
        <f t="shared" si="20"/>
      </c>
      <c r="AG1817" s="2">
        <f t="shared" si="21"/>
      </c>
      <c r="AH1817" s="2">
        <f t="shared" si="22"/>
      </c>
      <c r="AI1817" s="2">
        <f t="shared" si="23"/>
      </c>
      <c r="AJ1817" s="2">
        <f t="shared" si="24"/>
        <v>0</v>
      </c>
      <c r="AK1817" s="2">
        <f t="shared" si="25"/>
        <v>0</v>
      </c>
      <c r="AL1817" s="2">
        <f t="shared" si="26"/>
        <v>0</v>
      </c>
      <c r="AM1817" s="2">
        <f t="shared" si="27"/>
        <v>0</v>
      </c>
      <c r="AN1817" s="2">
        <f t="shared" si="28"/>
        <v>0</v>
      </c>
      <c r="AO1817" s="2">
        <f t="shared" si="29"/>
      </c>
      <c r="AP1817" s="2">
        <f t="shared" si="30"/>
      </c>
      <c r="AQ1817" s="2">
        <f t="shared" si="31"/>
      </c>
    </row>
    <row r="1818">
      <c r="A1818" s="43">
        <f t="shared" si="3"/>
      </c>
      <c r="B1818" s="44" t="n"/>
      <c r="C1818" s="45" t="n"/>
      <c r="D1818" s="46" t="n"/>
      <c r="E1818" s="47" t="n"/>
      <c r="F1818" s="47" t="n"/>
      <c r="G1818" s="48">
        <f t="shared" si="4"/>
      </c>
      <c r="H1818" s="43">
        <f t="shared" si="0"/>
      </c>
      <c r="I1818" s="43">
        <f t="shared" si="5"/>
      </c>
      <c r="J1818" s="43">
        <f t="shared" si="1"/>
      </c>
      <c r="K1818" s="49">
        <f t="shared" si="2"/>
      </c>
      <c r="L1818" s="45" t="n"/>
      <c r="M1818" s="45" t="n"/>
      <c r="N1818" s="45" t="n"/>
      <c r="O1818" s="45" t="n"/>
      <c r="P1818" s="50" t="n"/>
      <c r="R1818" s="2">
        <f t="shared" si="6"/>
        <v>0</v>
      </c>
      <c r="S1818" s="2">
        <f t="shared" si="7"/>
      </c>
      <c r="T1818" s="2">
        <f t="shared" si="8"/>
      </c>
      <c r="U1818" s="2">
        <f t="shared" si="9"/>
      </c>
      <c r="V1818" s="2">
        <f t="shared" si="10"/>
      </c>
      <c r="W1818" s="2">
        <f t="shared" si="11"/>
      </c>
      <c r="X1818" s="2">
        <f t="shared" si="12"/>
      </c>
      <c r="Y1818" s="2">
        <f t="shared" si="13"/>
        <v>0</v>
      </c>
      <c r="Z1818" s="2">
        <f t="shared" si="14"/>
      </c>
      <c r="AA1818" s="2">
        <f t="shared" si="15"/>
        <v>0</v>
      </c>
      <c r="AB1818" s="2">
        <f t="shared" si="16"/>
      </c>
      <c r="AC1818" s="2">
        <f t="shared" si="17"/>
      </c>
      <c r="AD1818" s="2">
        <f t="shared" si="18"/>
      </c>
      <c r="AE1818" s="2">
        <f t="shared" si="19"/>
      </c>
      <c r="AF1818" s="2">
        <f t="shared" si="20"/>
      </c>
      <c r="AG1818" s="2">
        <f t="shared" si="21"/>
      </c>
      <c r="AH1818" s="2">
        <f t="shared" si="22"/>
      </c>
      <c r="AI1818" s="2">
        <f t="shared" si="23"/>
      </c>
      <c r="AJ1818" s="2">
        <f t="shared" si="24"/>
        <v>0</v>
      </c>
      <c r="AK1818" s="2">
        <f t="shared" si="25"/>
        <v>0</v>
      </c>
      <c r="AL1818" s="2">
        <f t="shared" si="26"/>
        <v>0</v>
      </c>
      <c r="AM1818" s="2">
        <f t="shared" si="27"/>
        <v>0</v>
      </c>
      <c r="AN1818" s="2">
        <f t="shared" si="28"/>
        <v>0</v>
      </c>
      <c r="AO1818" s="2">
        <f t="shared" si="29"/>
      </c>
      <c r="AP1818" s="2">
        <f t="shared" si="30"/>
      </c>
      <c r="AQ1818" s="2">
        <f t="shared" si="31"/>
      </c>
    </row>
    <row r="1819">
      <c r="A1819" s="43">
        <f t="shared" si="3"/>
      </c>
      <c r="B1819" s="44" t="n"/>
      <c r="C1819" s="45" t="n"/>
      <c r="D1819" s="46" t="n"/>
      <c r="E1819" s="47" t="n"/>
      <c r="F1819" s="47" t="n"/>
      <c r="G1819" s="48">
        <f t="shared" si="4"/>
      </c>
      <c r="H1819" s="43">
        <f t="shared" si="0"/>
      </c>
      <c r="I1819" s="43">
        <f t="shared" si="5"/>
      </c>
      <c r="J1819" s="43">
        <f t="shared" si="1"/>
      </c>
      <c r="K1819" s="49">
        <f t="shared" si="2"/>
      </c>
      <c r="L1819" s="45" t="n"/>
      <c r="M1819" s="45" t="n"/>
      <c r="N1819" s="45" t="n"/>
      <c r="O1819" s="45" t="n"/>
      <c r="P1819" s="50" t="n"/>
      <c r="R1819" s="2">
        <f t="shared" si="6"/>
        <v>0</v>
      </c>
      <c r="S1819" s="2">
        <f t="shared" si="7"/>
      </c>
      <c r="T1819" s="2">
        <f t="shared" si="8"/>
      </c>
      <c r="U1819" s="2">
        <f t="shared" si="9"/>
      </c>
      <c r="V1819" s="2">
        <f t="shared" si="10"/>
      </c>
      <c r="W1819" s="2">
        <f t="shared" si="11"/>
      </c>
      <c r="X1819" s="2">
        <f t="shared" si="12"/>
      </c>
      <c r="Y1819" s="2">
        <f t="shared" si="13"/>
        <v>0</v>
      </c>
      <c r="Z1819" s="2">
        <f t="shared" si="14"/>
      </c>
      <c r="AA1819" s="2">
        <f t="shared" si="15"/>
        <v>0</v>
      </c>
      <c r="AB1819" s="2">
        <f t="shared" si="16"/>
      </c>
      <c r="AC1819" s="2">
        <f t="shared" si="17"/>
      </c>
      <c r="AD1819" s="2">
        <f t="shared" si="18"/>
      </c>
      <c r="AE1819" s="2">
        <f t="shared" si="19"/>
      </c>
      <c r="AF1819" s="2">
        <f t="shared" si="20"/>
      </c>
      <c r="AG1819" s="2">
        <f t="shared" si="21"/>
      </c>
      <c r="AH1819" s="2">
        <f t="shared" si="22"/>
      </c>
      <c r="AI1819" s="2">
        <f t="shared" si="23"/>
      </c>
      <c r="AJ1819" s="2">
        <f t="shared" si="24"/>
        <v>0</v>
      </c>
      <c r="AK1819" s="2">
        <f t="shared" si="25"/>
        <v>0</v>
      </c>
      <c r="AL1819" s="2">
        <f t="shared" si="26"/>
        <v>0</v>
      </c>
      <c r="AM1819" s="2">
        <f t="shared" si="27"/>
        <v>0</v>
      </c>
      <c r="AN1819" s="2">
        <f t="shared" si="28"/>
        <v>0</v>
      </c>
      <c r="AO1819" s="2">
        <f t="shared" si="29"/>
      </c>
      <c r="AP1819" s="2">
        <f t="shared" si="30"/>
      </c>
      <c r="AQ1819" s="2">
        <f t="shared" si="31"/>
      </c>
    </row>
    <row r="1820">
      <c r="A1820" s="43">
        <f t="shared" si="3"/>
      </c>
      <c r="B1820" s="44" t="n"/>
      <c r="C1820" s="45" t="n"/>
      <c r="D1820" s="46" t="n"/>
      <c r="E1820" s="47" t="n"/>
      <c r="F1820" s="47" t="n"/>
      <c r="G1820" s="48">
        <f t="shared" si="4"/>
      </c>
      <c r="H1820" s="43">
        <f t="shared" si="0"/>
      </c>
      <c r="I1820" s="43">
        <f t="shared" si="5"/>
      </c>
      <c r="J1820" s="43">
        <f t="shared" si="1"/>
      </c>
      <c r="K1820" s="49">
        <f t="shared" si="2"/>
      </c>
      <c r="L1820" s="45" t="n"/>
      <c r="M1820" s="45" t="n"/>
      <c r="N1820" s="45" t="n"/>
      <c r="O1820" s="45" t="n"/>
      <c r="P1820" s="50" t="n"/>
      <c r="R1820" s="2">
        <f t="shared" si="6"/>
        <v>0</v>
      </c>
      <c r="S1820" s="2">
        <f t="shared" si="7"/>
      </c>
      <c r="T1820" s="2">
        <f t="shared" si="8"/>
      </c>
      <c r="U1820" s="2">
        <f t="shared" si="9"/>
      </c>
      <c r="V1820" s="2">
        <f t="shared" si="10"/>
      </c>
      <c r="W1820" s="2">
        <f t="shared" si="11"/>
      </c>
      <c r="X1820" s="2">
        <f t="shared" si="12"/>
      </c>
      <c r="Y1820" s="2">
        <f t="shared" si="13"/>
        <v>0</v>
      </c>
      <c r="Z1820" s="2">
        <f t="shared" si="14"/>
      </c>
      <c r="AA1820" s="2">
        <f t="shared" si="15"/>
        <v>0</v>
      </c>
      <c r="AB1820" s="2">
        <f t="shared" si="16"/>
      </c>
      <c r="AC1820" s="2">
        <f t="shared" si="17"/>
      </c>
      <c r="AD1820" s="2">
        <f t="shared" si="18"/>
      </c>
      <c r="AE1820" s="2">
        <f t="shared" si="19"/>
      </c>
      <c r="AF1820" s="2">
        <f t="shared" si="20"/>
      </c>
      <c r="AG1820" s="2">
        <f t="shared" si="21"/>
      </c>
      <c r="AH1820" s="2">
        <f t="shared" si="22"/>
      </c>
      <c r="AI1820" s="2">
        <f t="shared" si="23"/>
      </c>
      <c r="AJ1820" s="2">
        <f t="shared" si="24"/>
        <v>0</v>
      </c>
      <c r="AK1820" s="2">
        <f t="shared" si="25"/>
        <v>0</v>
      </c>
      <c r="AL1820" s="2">
        <f t="shared" si="26"/>
        <v>0</v>
      </c>
      <c r="AM1820" s="2">
        <f t="shared" si="27"/>
        <v>0</v>
      </c>
      <c r="AN1820" s="2">
        <f t="shared" si="28"/>
        <v>0</v>
      </c>
      <c r="AO1820" s="2">
        <f t="shared" si="29"/>
      </c>
      <c r="AP1820" s="2">
        <f t="shared" si="30"/>
      </c>
      <c r="AQ1820" s="2">
        <f t="shared" si="31"/>
      </c>
    </row>
    <row r="1821">
      <c r="A1821" s="43">
        <f t="shared" si="3"/>
      </c>
      <c r="B1821" s="44" t="n"/>
      <c r="C1821" s="45" t="n"/>
      <c r="D1821" s="46" t="n"/>
      <c r="E1821" s="47" t="n"/>
      <c r="F1821" s="47" t="n"/>
      <c r="G1821" s="48">
        <f t="shared" si="4"/>
      </c>
      <c r="H1821" s="43">
        <f t="shared" si="0"/>
      </c>
      <c r="I1821" s="43">
        <f t="shared" si="5"/>
      </c>
      <c r="J1821" s="43">
        <f t="shared" si="1"/>
      </c>
      <c r="K1821" s="49">
        <f t="shared" si="2"/>
      </c>
      <c r="L1821" s="45" t="n"/>
      <c r="M1821" s="45" t="n"/>
      <c r="N1821" s="45" t="n"/>
      <c r="O1821" s="45" t="n"/>
      <c r="P1821" s="50" t="n"/>
      <c r="R1821" s="2">
        <f t="shared" si="6"/>
        <v>0</v>
      </c>
      <c r="S1821" s="2">
        <f t="shared" si="7"/>
      </c>
      <c r="T1821" s="2">
        <f t="shared" si="8"/>
      </c>
      <c r="U1821" s="2">
        <f t="shared" si="9"/>
      </c>
      <c r="V1821" s="2">
        <f t="shared" si="10"/>
      </c>
      <c r="W1821" s="2">
        <f t="shared" si="11"/>
      </c>
      <c r="X1821" s="2">
        <f t="shared" si="12"/>
      </c>
      <c r="Y1821" s="2">
        <f t="shared" si="13"/>
        <v>0</v>
      </c>
      <c r="Z1821" s="2">
        <f t="shared" si="14"/>
      </c>
      <c r="AA1821" s="2">
        <f t="shared" si="15"/>
        <v>0</v>
      </c>
      <c r="AB1821" s="2">
        <f t="shared" si="16"/>
      </c>
      <c r="AC1821" s="2">
        <f t="shared" si="17"/>
      </c>
      <c r="AD1821" s="2">
        <f t="shared" si="18"/>
      </c>
      <c r="AE1821" s="2">
        <f t="shared" si="19"/>
      </c>
      <c r="AF1821" s="2">
        <f t="shared" si="20"/>
      </c>
      <c r="AG1821" s="2">
        <f t="shared" si="21"/>
      </c>
      <c r="AH1821" s="2">
        <f t="shared" si="22"/>
      </c>
      <c r="AI1821" s="2">
        <f t="shared" si="23"/>
      </c>
      <c r="AJ1821" s="2">
        <f t="shared" si="24"/>
        <v>0</v>
      </c>
      <c r="AK1821" s="2">
        <f t="shared" si="25"/>
        <v>0</v>
      </c>
      <c r="AL1821" s="2">
        <f t="shared" si="26"/>
        <v>0</v>
      </c>
      <c r="AM1821" s="2">
        <f t="shared" si="27"/>
        <v>0</v>
      </c>
      <c r="AN1821" s="2">
        <f t="shared" si="28"/>
        <v>0</v>
      </c>
      <c r="AO1821" s="2">
        <f t="shared" si="29"/>
      </c>
      <c r="AP1821" s="2">
        <f t="shared" si="30"/>
      </c>
      <c r="AQ1821" s="2">
        <f t="shared" si="31"/>
      </c>
    </row>
    <row r="1822">
      <c r="A1822" s="43">
        <f t="shared" si="3"/>
      </c>
      <c r="B1822" s="44" t="n"/>
      <c r="C1822" s="45" t="n"/>
      <c r="D1822" s="46" t="n"/>
      <c r="E1822" s="47" t="n"/>
      <c r="F1822" s="47" t="n"/>
      <c r="G1822" s="48">
        <f t="shared" si="4"/>
      </c>
      <c r="H1822" s="43">
        <f t="shared" si="0"/>
      </c>
      <c r="I1822" s="43">
        <f t="shared" si="5"/>
      </c>
      <c r="J1822" s="43">
        <f t="shared" si="1"/>
      </c>
      <c r="K1822" s="49">
        <f t="shared" si="2"/>
      </c>
      <c r="L1822" s="45" t="n"/>
      <c r="M1822" s="45" t="n"/>
      <c r="N1822" s="45" t="n"/>
      <c r="O1822" s="45" t="n"/>
      <c r="P1822" s="50" t="n"/>
      <c r="R1822" s="2">
        <f t="shared" si="6"/>
        <v>0</v>
      </c>
      <c r="S1822" s="2">
        <f t="shared" si="7"/>
      </c>
      <c r="T1822" s="2">
        <f t="shared" si="8"/>
      </c>
      <c r="U1822" s="2">
        <f t="shared" si="9"/>
      </c>
      <c r="V1822" s="2">
        <f t="shared" si="10"/>
      </c>
      <c r="W1822" s="2">
        <f t="shared" si="11"/>
      </c>
      <c r="X1822" s="2">
        <f t="shared" si="12"/>
      </c>
      <c r="Y1822" s="2">
        <f t="shared" si="13"/>
        <v>0</v>
      </c>
      <c r="Z1822" s="2">
        <f t="shared" si="14"/>
      </c>
      <c r="AA1822" s="2">
        <f t="shared" si="15"/>
        <v>0</v>
      </c>
      <c r="AB1822" s="2">
        <f t="shared" si="16"/>
      </c>
      <c r="AC1822" s="2">
        <f t="shared" si="17"/>
      </c>
      <c r="AD1822" s="2">
        <f t="shared" si="18"/>
      </c>
      <c r="AE1822" s="2">
        <f t="shared" si="19"/>
      </c>
      <c r="AF1822" s="2">
        <f t="shared" si="20"/>
      </c>
      <c r="AG1822" s="2">
        <f t="shared" si="21"/>
      </c>
      <c r="AH1822" s="2">
        <f t="shared" si="22"/>
      </c>
      <c r="AI1822" s="2">
        <f t="shared" si="23"/>
      </c>
      <c r="AJ1822" s="2">
        <f t="shared" si="24"/>
        <v>0</v>
      </c>
      <c r="AK1822" s="2">
        <f t="shared" si="25"/>
        <v>0</v>
      </c>
      <c r="AL1822" s="2">
        <f t="shared" si="26"/>
        <v>0</v>
      </c>
      <c r="AM1822" s="2">
        <f t="shared" si="27"/>
        <v>0</v>
      </c>
      <c r="AN1822" s="2">
        <f t="shared" si="28"/>
        <v>0</v>
      </c>
      <c r="AO1822" s="2">
        <f t="shared" si="29"/>
      </c>
      <c r="AP1822" s="2">
        <f t="shared" si="30"/>
      </c>
      <c r="AQ1822" s="2">
        <f t="shared" si="31"/>
      </c>
    </row>
    <row r="1823">
      <c r="A1823" s="43">
        <f t="shared" si="3"/>
      </c>
      <c r="B1823" s="44" t="n"/>
      <c r="C1823" s="45" t="n"/>
      <c r="D1823" s="46" t="n"/>
      <c r="E1823" s="47" t="n"/>
      <c r="F1823" s="47" t="n"/>
      <c r="G1823" s="48">
        <f t="shared" si="4"/>
      </c>
      <c r="H1823" s="43">
        <f t="shared" si="0"/>
      </c>
      <c r="I1823" s="43">
        <f t="shared" si="5"/>
      </c>
      <c r="J1823" s="43">
        <f t="shared" si="1"/>
      </c>
      <c r="K1823" s="49">
        <f t="shared" si="2"/>
      </c>
      <c r="L1823" s="45" t="n"/>
      <c r="M1823" s="45" t="n"/>
      <c r="N1823" s="45" t="n"/>
      <c r="O1823" s="45" t="n"/>
      <c r="P1823" s="50" t="n"/>
      <c r="R1823" s="2">
        <f t="shared" si="6"/>
        <v>0</v>
      </c>
      <c r="S1823" s="2">
        <f t="shared" si="7"/>
      </c>
      <c r="T1823" s="2">
        <f t="shared" si="8"/>
      </c>
      <c r="U1823" s="2">
        <f t="shared" si="9"/>
      </c>
      <c r="V1823" s="2">
        <f t="shared" si="10"/>
      </c>
      <c r="W1823" s="2">
        <f t="shared" si="11"/>
      </c>
      <c r="X1823" s="2">
        <f t="shared" si="12"/>
      </c>
      <c r="Y1823" s="2">
        <f t="shared" si="13"/>
        <v>0</v>
      </c>
      <c r="Z1823" s="2">
        <f t="shared" si="14"/>
      </c>
      <c r="AA1823" s="2">
        <f t="shared" si="15"/>
        <v>0</v>
      </c>
      <c r="AB1823" s="2">
        <f t="shared" si="16"/>
      </c>
      <c r="AC1823" s="2">
        <f t="shared" si="17"/>
      </c>
      <c r="AD1823" s="2">
        <f t="shared" si="18"/>
      </c>
      <c r="AE1823" s="2">
        <f t="shared" si="19"/>
      </c>
      <c r="AF1823" s="2">
        <f t="shared" si="20"/>
      </c>
      <c r="AG1823" s="2">
        <f t="shared" si="21"/>
      </c>
      <c r="AH1823" s="2">
        <f t="shared" si="22"/>
      </c>
      <c r="AI1823" s="2">
        <f t="shared" si="23"/>
      </c>
      <c r="AJ1823" s="2">
        <f t="shared" si="24"/>
        <v>0</v>
      </c>
      <c r="AK1823" s="2">
        <f t="shared" si="25"/>
        <v>0</v>
      </c>
      <c r="AL1823" s="2">
        <f t="shared" si="26"/>
        <v>0</v>
      </c>
      <c r="AM1823" s="2">
        <f t="shared" si="27"/>
        <v>0</v>
      </c>
      <c r="AN1823" s="2">
        <f t="shared" si="28"/>
        <v>0</v>
      </c>
      <c r="AO1823" s="2">
        <f t="shared" si="29"/>
      </c>
      <c r="AP1823" s="2">
        <f t="shared" si="30"/>
      </c>
      <c r="AQ1823" s="2">
        <f t="shared" si="31"/>
      </c>
    </row>
    <row r="1824">
      <c r="A1824" s="43">
        <f t="shared" si="3"/>
      </c>
      <c r="B1824" s="44" t="n"/>
      <c r="C1824" s="45" t="n"/>
      <c r="D1824" s="46" t="n"/>
      <c r="E1824" s="47" t="n"/>
      <c r="F1824" s="47" t="n"/>
      <c r="G1824" s="48">
        <f t="shared" si="4"/>
      </c>
      <c r="H1824" s="43">
        <f t="shared" si="0"/>
      </c>
      <c r="I1824" s="43">
        <f t="shared" si="5"/>
      </c>
      <c r="J1824" s="43">
        <f t="shared" si="1"/>
      </c>
      <c r="K1824" s="49">
        <f t="shared" si="2"/>
      </c>
      <c r="L1824" s="45" t="n"/>
      <c r="M1824" s="45" t="n"/>
      <c r="N1824" s="45" t="n"/>
      <c r="O1824" s="45" t="n"/>
      <c r="P1824" s="50" t="n"/>
      <c r="R1824" s="2">
        <f t="shared" si="6"/>
        <v>0</v>
      </c>
      <c r="S1824" s="2">
        <f t="shared" si="7"/>
      </c>
      <c r="T1824" s="2">
        <f t="shared" si="8"/>
      </c>
      <c r="U1824" s="2">
        <f t="shared" si="9"/>
      </c>
      <c r="V1824" s="2">
        <f t="shared" si="10"/>
      </c>
      <c r="W1824" s="2">
        <f t="shared" si="11"/>
      </c>
      <c r="X1824" s="2">
        <f t="shared" si="12"/>
      </c>
      <c r="Y1824" s="2">
        <f t="shared" si="13"/>
        <v>0</v>
      </c>
      <c r="Z1824" s="2">
        <f t="shared" si="14"/>
      </c>
      <c r="AA1824" s="2">
        <f t="shared" si="15"/>
        <v>0</v>
      </c>
      <c r="AB1824" s="2">
        <f t="shared" si="16"/>
      </c>
      <c r="AC1824" s="2">
        <f t="shared" si="17"/>
      </c>
      <c r="AD1824" s="2">
        <f t="shared" si="18"/>
      </c>
      <c r="AE1824" s="2">
        <f t="shared" si="19"/>
      </c>
      <c r="AF1824" s="2">
        <f t="shared" si="20"/>
      </c>
      <c r="AG1824" s="2">
        <f t="shared" si="21"/>
      </c>
      <c r="AH1824" s="2">
        <f t="shared" si="22"/>
      </c>
      <c r="AI1824" s="2">
        <f t="shared" si="23"/>
      </c>
      <c r="AJ1824" s="2">
        <f t="shared" si="24"/>
        <v>0</v>
      </c>
      <c r="AK1824" s="2">
        <f t="shared" si="25"/>
        <v>0</v>
      </c>
      <c r="AL1824" s="2">
        <f t="shared" si="26"/>
        <v>0</v>
      </c>
      <c r="AM1824" s="2">
        <f t="shared" si="27"/>
        <v>0</v>
      </c>
      <c r="AN1824" s="2">
        <f t="shared" si="28"/>
        <v>0</v>
      </c>
      <c r="AO1824" s="2">
        <f t="shared" si="29"/>
      </c>
      <c r="AP1824" s="2">
        <f t="shared" si="30"/>
      </c>
      <c r="AQ1824" s="2">
        <f t="shared" si="31"/>
      </c>
    </row>
    <row r="1825">
      <c r="A1825" s="43">
        <f t="shared" si="3"/>
      </c>
      <c r="B1825" s="44" t="n"/>
      <c r="C1825" s="45" t="n"/>
      <c r="D1825" s="46" t="n"/>
      <c r="E1825" s="47" t="n"/>
      <c r="F1825" s="47" t="n"/>
      <c r="G1825" s="48">
        <f t="shared" si="4"/>
      </c>
      <c r="H1825" s="43">
        <f t="shared" si="0"/>
      </c>
      <c r="I1825" s="43">
        <f t="shared" si="5"/>
      </c>
      <c r="J1825" s="43">
        <f t="shared" si="1"/>
      </c>
      <c r="K1825" s="49">
        <f t="shared" si="2"/>
      </c>
      <c r="L1825" s="45" t="n"/>
      <c r="M1825" s="45" t="n"/>
      <c r="N1825" s="45" t="n"/>
      <c r="O1825" s="45" t="n"/>
      <c r="P1825" s="50" t="n"/>
      <c r="R1825" s="2">
        <f t="shared" si="6"/>
        <v>0</v>
      </c>
      <c r="S1825" s="2">
        <f t="shared" si="7"/>
      </c>
      <c r="T1825" s="2">
        <f t="shared" si="8"/>
      </c>
      <c r="U1825" s="2">
        <f t="shared" si="9"/>
      </c>
      <c r="V1825" s="2">
        <f t="shared" si="10"/>
      </c>
      <c r="W1825" s="2">
        <f t="shared" si="11"/>
      </c>
      <c r="X1825" s="2">
        <f t="shared" si="12"/>
      </c>
      <c r="Y1825" s="2">
        <f t="shared" si="13"/>
        <v>0</v>
      </c>
      <c r="Z1825" s="2">
        <f t="shared" si="14"/>
      </c>
      <c r="AA1825" s="2">
        <f t="shared" si="15"/>
        <v>0</v>
      </c>
      <c r="AB1825" s="2">
        <f t="shared" si="16"/>
      </c>
      <c r="AC1825" s="2">
        <f t="shared" si="17"/>
      </c>
      <c r="AD1825" s="2">
        <f t="shared" si="18"/>
      </c>
      <c r="AE1825" s="2">
        <f t="shared" si="19"/>
      </c>
      <c r="AF1825" s="2">
        <f t="shared" si="20"/>
      </c>
      <c r="AG1825" s="2">
        <f t="shared" si="21"/>
      </c>
      <c r="AH1825" s="2">
        <f t="shared" si="22"/>
      </c>
      <c r="AI1825" s="2">
        <f t="shared" si="23"/>
      </c>
      <c r="AJ1825" s="2">
        <f t="shared" si="24"/>
        <v>0</v>
      </c>
      <c r="AK1825" s="2">
        <f t="shared" si="25"/>
        <v>0</v>
      </c>
      <c r="AL1825" s="2">
        <f t="shared" si="26"/>
        <v>0</v>
      </c>
      <c r="AM1825" s="2">
        <f t="shared" si="27"/>
        <v>0</v>
      </c>
      <c r="AN1825" s="2">
        <f t="shared" si="28"/>
        <v>0</v>
      </c>
      <c r="AO1825" s="2">
        <f t="shared" si="29"/>
      </c>
      <c r="AP1825" s="2">
        <f t="shared" si="30"/>
      </c>
      <c r="AQ1825" s="2">
        <f t="shared" si="31"/>
      </c>
    </row>
    <row r="1826">
      <c r="A1826" s="43">
        <f t="shared" si="3"/>
      </c>
      <c r="B1826" s="44" t="n"/>
      <c r="C1826" s="45" t="n"/>
      <c r="D1826" s="46" t="n"/>
      <c r="E1826" s="47" t="n"/>
      <c r="F1826" s="47" t="n"/>
      <c r="G1826" s="48">
        <f t="shared" si="4"/>
      </c>
      <c r="H1826" s="43">
        <f t="shared" si="0"/>
      </c>
      <c r="I1826" s="43">
        <f t="shared" si="5"/>
      </c>
      <c r="J1826" s="43">
        <f t="shared" si="1"/>
      </c>
      <c r="K1826" s="49">
        <f t="shared" si="2"/>
      </c>
      <c r="L1826" s="45" t="n"/>
      <c r="M1826" s="45" t="n"/>
      <c r="N1826" s="45" t="n"/>
      <c r="O1826" s="45" t="n"/>
      <c r="P1826" s="50" t="n"/>
      <c r="R1826" s="2">
        <f t="shared" si="6"/>
        <v>0</v>
      </c>
      <c r="S1826" s="2">
        <f t="shared" si="7"/>
      </c>
      <c r="T1826" s="2">
        <f t="shared" si="8"/>
      </c>
      <c r="U1826" s="2">
        <f t="shared" si="9"/>
      </c>
      <c r="V1826" s="2">
        <f t="shared" si="10"/>
      </c>
      <c r="W1826" s="2">
        <f t="shared" si="11"/>
      </c>
      <c r="X1826" s="2">
        <f t="shared" si="12"/>
      </c>
      <c r="Y1826" s="2">
        <f t="shared" si="13"/>
        <v>0</v>
      </c>
      <c r="Z1826" s="2">
        <f t="shared" si="14"/>
      </c>
      <c r="AA1826" s="2">
        <f t="shared" si="15"/>
        <v>0</v>
      </c>
      <c r="AB1826" s="2">
        <f t="shared" si="16"/>
      </c>
      <c r="AC1826" s="2">
        <f t="shared" si="17"/>
      </c>
      <c r="AD1826" s="2">
        <f t="shared" si="18"/>
      </c>
      <c r="AE1826" s="2">
        <f t="shared" si="19"/>
      </c>
      <c r="AF1826" s="2">
        <f t="shared" si="20"/>
      </c>
      <c r="AG1826" s="2">
        <f t="shared" si="21"/>
      </c>
      <c r="AH1826" s="2">
        <f t="shared" si="22"/>
      </c>
      <c r="AI1826" s="2">
        <f t="shared" si="23"/>
      </c>
      <c r="AJ1826" s="2">
        <f t="shared" si="24"/>
        <v>0</v>
      </c>
      <c r="AK1826" s="2">
        <f t="shared" si="25"/>
        <v>0</v>
      </c>
      <c r="AL1826" s="2">
        <f t="shared" si="26"/>
        <v>0</v>
      </c>
      <c r="AM1826" s="2">
        <f t="shared" si="27"/>
        <v>0</v>
      </c>
      <c r="AN1826" s="2">
        <f t="shared" si="28"/>
        <v>0</v>
      </c>
      <c r="AO1826" s="2">
        <f t="shared" si="29"/>
      </c>
      <c r="AP1826" s="2">
        <f t="shared" si="30"/>
      </c>
      <c r="AQ1826" s="2">
        <f t="shared" si="31"/>
      </c>
    </row>
    <row r="1827">
      <c r="A1827" s="43">
        <f t="shared" si="3"/>
      </c>
      <c r="B1827" s="44" t="n"/>
      <c r="C1827" s="45" t="n"/>
      <c r="D1827" s="46" t="n"/>
      <c r="E1827" s="47" t="n"/>
      <c r="F1827" s="47" t="n"/>
      <c r="G1827" s="48">
        <f t="shared" si="4"/>
      </c>
      <c r="H1827" s="43">
        <f t="shared" si="0"/>
      </c>
      <c r="I1827" s="43">
        <f t="shared" si="5"/>
      </c>
      <c r="J1827" s="43">
        <f t="shared" si="1"/>
      </c>
      <c r="K1827" s="49">
        <f t="shared" si="2"/>
      </c>
      <c r="L1827" s="45" t="n"/>
      <c r="M1827" s="45" t="n"/>
      <c r="N1827" s="45" t="n"/>
      <c r="O1827" s="45" t="n"/>
      <c r="P1827" s="50" t="n"/>
      <c r="R1827" s="2">
        <f t="shared" si="6"/>
        <v>0</v>
      </c>
      <c r="S1827" s="2">
        <f t="shared" si="7"/>
      </c>
      <c r="T1827" s="2">
        <f t="shared" si="8"/>
      </c>
      <c r="U1827" s="2">
        <f t="shared" si="9"/>
      </c>
      <c r="V1827" s="2">
        <f t="shared" si="10"/>
      </c>
      <c r="W1827" s="2">
        <f t="shared" si="11"/>
      </c>
      <c r="X1827" s="2">
        <f t="shared" si="12"/>
      </c>
      <c r="Y1827" s="2">
        <f t="shared" si="13"/>
        <v>0</v>
      </c>
      <c r="Z1827" s="2">
        <f t="shared" si="14"/>
      </c>
      <c r="AA1827" s="2">
        <f t="shared" si="15"/>
        <v>0</v>
      </c>
      <c r="AB1827" s="2">
        <f t="shared" si="16"/>
      </c>
      <c r="AC1827" s="2">
        <f t="shared" si="17"/>
      </c>
      <c r="AD1827" s="2">
        <f t="shared" si="18"/>
      </c>
      <c r="AE1827" s="2">
        <f t="shared" si="19"/>
      </c>
      <c r="AF1827" s="2">
        <f t="shared" si="20"/>
      </c>
      <c r="AG1827" s="2">
        <f t="shared" si="21"/>
      </c>
      <c r="AH1827" s="2">
        <f t="shared" si="22"/>
      </c>
      <c r="AI1827" s="2">
        <f t="shared" si="23"/>
      </c>
      <c r="AJ1827" s="2">
        <f t="shared" si="24"/>
        <v>0</v>
      </c>
      <c r="AK1827" s="2">
        <f t="shared" si="25"/>
        <v>0</v>
      </c>
      <c r="AL1827" s="2">
        <f t="shared" si="26"/>
        <v>0</v>
      </c>
      <c r="AM1827" s="2">
        <f t="shared" si="27"/>
        <v>0</v>
      </c>
      <c r="AN1827" s="2">
        <f t="shared" si="28"/>
        <v>0</v>
      </c>
      <c r="AO1827" s="2">
        <f t="shared" si="29"/>
      </c>
      <c r="AP1827" s="2">
        <f t="shared" si="30"/>
      </c>
      <c r="AQ1827" s="2">
        <f t="shared" si="31"/>
      </c>
    </row>
    <row r="1828">
      <c r="A1828" s="43">
        <f t="shared" si="3"/>
      </c>
      <c r="B1828" s="44" t="n"/>
      <c r="C1828" s="45" t="n"/>
      <c r="D1828" s="46" t="n"/>
      <c r="E1828" s="47" t="n"/>
      <c r="F1828" s="47" t="n"/>
      <c r="G1828" s="48">
        <f t="shared" si="4"/>
      </c>
      <c r="H1828" s="43">
        <f t="shared" si="0"/>
      </c>
      <c r="I1828" s="43">
        <f t="shared" si="5"/>
      </c>
      <c r="J1828" s="43">
        <f t="shared" si="1"/>
      </c>
      <c r="K1828" s="49">
        <f t="shared" si="2"/>
      </c>
      <c r="L1828" s="45" t="n"/>
      <c r="M1828" s="45" t="n"/>
      <c r="N1828" s="45" t="n"/>
      <c r="O1828" s="45" t="n"/>
      <c r="P1828" s="50" t="n"/>
      <c r="R1828" s="2">
        <f t="shared" si="6"/>
        <v>0</v>
      </c>
      <c r="S1828" s="2">
        <f t="shared" si="7"/>
      </c>
      <c r="T1828" s="2">
        <f t="shared" si="8"/>
      </c>
      <c r="U1828" s="2">
        <f t="shared" si="9"/>
      </c>
      <c r="V1828" s="2">
        <f t="shared" si="10"/>
      </c>
      <c r="W1828" s="2">
        <f t="shared" si="11"/>
      </c>
      <c r="X1828" s="2">
        <f t="shared" si="12"/>
      </c>
      <c r="Y1828" s="2">
        <f t="shared" si="13"/>
        <v>0</v>
      </c>
      <c r="Z1828" s="2">
        <f t="shared" si="14"/>
      </c>
      <c r="AA1828" s="2">
        <f t="shared" si="15"/>
        <v>0</v>
      </c>
      <c r="AB1828" s="2">
        <f t="shared" si="16"/>
      </c>
      <c r="AC1828" s="2">
        <f t="shared" si="17"/>
      </c>
      <c r="AD1828" s="2">
        <f t="shared" si="18"/>
      </c>
      <c r="AE1828" s="2">
        <f t="shared" si="19"/>
      </c>
      <c r="AF1828" s="2">
        <f t="shared" si="20"/>
      </c>
      <c r="AG1828" s="2">
        <f t="shared" si="21"/>
      </c>
      <c r="AH1828" s="2">
        <f t="shared" si="22"/>
      </c>
      <c r="AI1828" s="2">
        <f t="shared" si="23"/>
      </c>
      <c r="AJ1828" s="2">
        <f t="shared" si="24"/>
        <v>0</v>
      </c>
      <c r="AK1828" s="2">
        <f t="shared" si="25"/>
        <v>0</v>
      </c>
      <c r="AL1828" s="2">
        <f t="shared" si="26"/>
        <v>0</v>
      </c>
      <c r="AM1828" s="2">
        <f t="shared" si="27"/>
        <v>0</v>
      </c>
      <c r="AN1828" s="2">
        <f t="shared" si="28"/>
        <v>0</v>
      </c>
      <c r="AO1828" s="2">
        <f t="shared" si="29"/>
      </c>
      <c r="AP1828" s="2">
        <f t="shared" si="30"/>
      </c>
      <c r="AQ1828" s="2">
        <f t="shared" si="31"/>
      </c>
    </row>
    <row r="1829">
      <c r="A1829" s="43">
        <f t="shared" si="3"/>
      </c>
      <c r="B1829" s="44" t="n"/>
      <c r="C1829" s="45" t="n"/>
      <c r="D1829" s="46" t="n"/>
      <c r="E1829" s="47" t="n"/>
      <c r="F1829" s="47" t="n"/>
      <c r="G1829" s="48">
        <f t="shared" si="4"/>
      </c>
      <c r="H1829" s="43">
        <f t="shared" si="0"/>
      </c>
      <c r="I1829" s="43">
        <f t="shared" si="5"/>
      </c>
      <c r="J1829" s="43">
        <f t="shared" si="1"/>
      </c>
      <c r="K1829" s="49">
        <f t="shared" si="2"/>
      </c>
      <c r="L1829" s="45" t="n"/>
      <c r="M1829" s="45" t="n"/>
      <c r="N1829" s="45" t="n"/>
      <c r="O1829" s="45" t="n"/>
      <c r="P1829" s="50" t="n"/>
      <c r="R1829" s="2">
        <f t="shared" si="6"/>
        <v>0</v>
      </c>
      <c r="S1829" s="2">
        <f t="shared" si="7"/>
      </c>
      <c r="T1829" s="2">
        <f t="shared" si="8"/>
      </c>
      <c r="U1829" s="2">
        <f t="shared" si="9"/>
      </c>
      <c r="V1829" s="2">
        <f t="shared" si="10"/>
      </c>
      <c r="W1829" s="2">
        <f t="shared" si="11"/>
      </c>
      <c r="X1829" s="2">
        <f t="shared" si="12"/>
      </c>
      <c r="Y1829" s="2">
        <f t="shared" si="13"/>
        <v>0</v>
      </c>
      <c r="Z1829" s="2">
        <f t="shared" si="14"/>
      </c>
      <c r="AA1829" s="2">
        <f t="shared" si="15"/>
        <v>0</v>
      </c>
      <c r="AB1829" s="2">
        <f t="shared" si="16"/>
      </c>
      <c r="AC1829" s="2">
        <f t="shared" si="17"/>
      </c>
      <c r="AD1829" s="2">
        <f t="shared" si="18"/>
      </c>
      <c r="AE1829" s="2">
        <f t="shared" si="19"/>
      </c>
      <c r="AF1829" s="2">
        <f t="shared" si="20"/>
      </c>
      <c r="AG1829" s="2">
        <f t="shared" si="21"/>
      </c>
      <c r="AH1829" s="2">
        <f t="shared" si="22"/>
      </c>
      <c r="AI1829" s="2">
        <f t="shared" si="23"/>
      </c>
      <c r="AJ1829" s="2">
        <f t="shared" si="24"/>
        <v>0</v>
      </c>
      <c r="AK1829" s="2">
        <f t="shared" si="25"/>
        <v>0</v>
      </c>
      <c r="AL1829" s="2">
        <f t="shared" si="26"/>
        <v>0</v>
      </c>
      <c r="AM1829" s="2">
        <f t="shared" si="27"/>
        <v>0</v>
      </c>
      <c r="AN1829" s="2">
        <f t="shared" si="28"/>
        <v>0</v>
      </c>
      <c r="AO1829" s="2">
        <f t="shared" si="29"/>
      </c>
      <c r="AP1829" s="2">
        <f t="shared" si="30"/>
      </c>
      <c r="AQ1829" s="2">
        <f t="shared" si="31"/>
      </c>
    </row>
    <row r="1830">
      <c r="A1830" s="43">
        <f t="shared" si="3"/>
      </c>
      <c r="B1830" s="44" t="n"/>
      <c r="C1830" s="45" t="n"/>
      <c r="D1830" s="46" t="n"/>
      <c r="E1830" s="47" t="n"/>
      <c r="F1830" s="47" t="n"/>
      <c r="G1830" s="48">
        <f t="shared" si="4"/>
      </c>
      <c r="H1830" s="43">
        <f t="shared" si="0"/>
      </c>
      <c r="I1830" s="43">
        <f t="shared" si="5"/>
      </c>
      <c r="J1830" s="43">
        <f t="shared" si="1"/>
      </c>
      <c r="K1830" s="49">
        <f t="shared" si="2"/>
      </c>
      <c r="L1830" s="45" t="n"/>
      <c r="M1830" s="45" t="n"/>
      <c r="N1830" s="45" t="n"/>
      <c r="O1830" s="45" t="n"/>
      <c r="P1830" s="50" t="n"/>
      <c r="R1830" s="2">
        <f t="shared" si="6"/>
        <v>0</v>
      </c>
      <c r="S1830" s="2">
        <f t="shared" si="7"/>
      </c>
      <c r="T1830" s="2">
        <f t="shared" si="8"/>
      </c>
      <c r="U1830" s="2">
        <f t="shared" si="9"/>
      </c>
      <c r="V1830" s="2">
        <f t="shared" si="10"/>
      </c>
      <c r="W1830" s="2">
        <f t="shared" si="11"/>
      </c>
      <c r="X1830" s="2">
        <f t="shared" si="12"/>
      </c>
      <c r="Y1830" s="2">
        <f t="shared" si="13"/>
        <v>0</v>
      </c>
      <c r="Z1830" s="2">
        <f t="shared" si="14"/>
      </c>
      <c r="AA1830" s="2">
        <f t="shared" si="15"/>
        <v>0</v>
      </c>
      <c r="AB1830" s="2">
        <f t="shared" si="16"/>
      </c>
      <c r="AC1830" s="2">
        <f t="shared" si="17"/>
      </c>
      <c r="AD1830" s="2">
        <f t="shared" si="18"/>
      </c>
      <c r="AE1830" s="2">
        <f t="shared" si="19"/>
      </c>
      <c r="AF1830" s="2">
        <f t="shared" si="20"/>
      </c>
      <c r="AG1830" s="2">
        <f t="shared" si="21"/>
      </c>
      <c r="AH1830" s="2">
        <f t="shared" si="22"/>
      </c>
      <c r="AI1830" s="2">
        <f t="shared" si="23"/>
      </c>
      <c r="AJ1830" s="2">
        <f t="shared" si="24"/>
        <v>0</v>
      </c>
      <c r="AK1830" s="2">
        <f t="shared" si="25"/>
        <v>0</v>
      </c>
      <c r="AL1830" s="2">
        <f t="shared" si="26"/>
        <v>0</v>
      </c>
      <c r="AM1830" s="2">
        <f t="shared" si="27"/>
        <v>0</v>
      </c>
      <c r="AN1830" s="2">
        <f t="shared" si="28"/>
        <v>0</v>
      </c>
      <c r="AO1830" s="2">
        <f t="shared" si="29"/>
      </c>
      <c r="AP1830" s="2">
        <f t="shared" si="30"/>
      </c>
      <c r="AQ1830" s="2">
        <f t="shared" si="31"/>
      </c>
    </row>
    <row r="1831">
      <c r="A1831" s="43">
        <f t="shared" si="3"/>
      </c>
      <c r="B1831" s="44" t="n"/>
      <c r="C1831" s="45" t="n"/>
      <c r="D1831" s="46" t="n"/>
      <c r="E1831" s="47" t="n"/>
      <c r="F1831" s="47" t="n"/>
      <c r="G1831" s="48">
        <f t="shared" si="4"/>
      </c>
      <c r="H1831" s="43">
        <f t="shared" si="0"/>
      </c>
      <c r="I1831" s="43">
        <f t="shared" si="5"/>
      </c>
      <c r="J1831" s="43">
        <f t="shared" si="1"/>
      </c>
      <c r="K1831" s="49">
        <f t="shared" si="2"/>
      </c>
      <c r="L1831" s="45" t="n"/>
      <c r="M1831" s="45" t="n"/>
      <c r="N1831" s="45" t="n"/>
      <c r="O1831" s="45" t="n"/>
      <c r="P1831" s="50" t="n"/>
      <c r="R1831" s="2">
        <f t="shared" si="6"/>
        <v>0</v>
      </c>
      <c r="S1831" s="2">
        <f t="shared" si="7"/>
      </c>
      <c r="T1831" s="2">
        <f t="shared" si="8"/>
      </c>
      <c r="U1831" s="2">
        <f t="shared" si="9"/>
      </c>
      <c r="V1831" s="2">
        <f t="shared" si="10"/>
      </c>
      <c r="W1831" s="2">
        <f t="shared" si="11"/>
      </c>
      <c r="X1831" s="2">
        <f t="shared" si="12"/>
      </c>
      <c r="Y1831" s="2">
        <f t="shared" si="13"/>
        <v>0</v>
      </c>
      <c r="Z1831" s="2">
        <f t="shared" si="14"/>
      </c>
      <c r="AA1831" s="2">
        <f t="shared" si="15"/>
        <v>0</v>
      </c>
      <c r="AB1831" s="2">
        <f t="shared" si="16"/>
      </c>
      <c r="AC1831" s="2">
        <f t="shared" si="17"/>
      </c>
      <c r="AD1831" s="2">
        <f t="shared" si="18"/>
      </c>
      <c r="AE1831" s="2">
        <f t="shared" si="19"/>
      </c>
      <c r="AF1831" s="2">
        <f t="shared" si="20"/>
      </c>
      <c r="AG1831" s="2">
        <f t="shared" si="21"/>
      </c>
      <c r="AH1831" s="2">
        <f t="shared" si="22"/>
      </c>
      <c r="AI1831" s="2">
        <f t="shared" si="23"/>
      </c>
      <c r="AJ1831" s="2">
        <f t="shared" si="24"/>
        <v>0</v>
      </c>
      <c r="AK1831" s="2">
        <f t="shared" si="25"/>
        <v>0</v>
      </c>
      <c r="AL1831" s="2">
        <f t="shared" si="26"/>
        <v>0</v>
      </c>
      <c r="AM1831" s="2">
        <f t="shared" si="27"/>
        <v>0</v>
      </c>
      <c r="AN1831" s="2">
        <f t="shared" si="28"/>
        <v>0</v>
      </c>
      <c r="AO1831" s="2">
        <f t="shared" si="29"/>
      </c>
      <c r="AP1831" s="2">
        <f t="shared" si="30"/>
      </c>
      <c r="AQ1831" s="2">
        <f t="shared" si="31"/>
      </c>
    </row>
    <row r="1832">
      <c r="A1832" s="43">
        <f t="shared" si="3"/>
      </c>
      <c r="B1832" s="44" t="n"/>
      <c r="C1832" s="45" t="n"/>
      <c r="D1832" s="46" t="n"/>
      <c r="E1832" s="47" t="n"/>
      <c r="F1832" s="47" t="n"/>
      <c r="G1832" s="48">
        <f t="shared" si="4"/>
      </c>
      <c r="H1832" s="43">
        <f t="shared" si="0"/>
      </c>
      <c r="I1832" s="43">
        <f t="shared" si="5"/>
      </c>
      <c r="J1832" s="43">
        <f t="shared" si="1"/>
      </c>
      <c r="K1832" s="49">
        <f t="shared" si="2"/>
      </c>
      <c r="L1832" s="45" t="n"/>
      <c r="M1832" s="45" t="n"/>
      <c r="N1832" s="45" t="n"/>
      <c r="O1832" s="45" t="n"/>
      <c r="P1832" s="50" t="n"/>
      <c r="R1832" s="2">
        <f t="shared" si="6"/>
        <v>0</v>
      </c>
      <c r="S1832" s="2">
        <f t="shared" si="7"/>
      </c>
      <c r="T1832" s="2">
        <f t="shared" si="8"/>
      </c>
      <c r="U1832" s="2">
        <f t="shared" si="9"/>
      </c>
      <c r="V1832" s="2">
        <f t="shared" si="10"/>
      </c>
      <c r="W1832" s="2">
        <f t="shared" si="11"/>
      </c>
      <c r="X1832" s="2">
        <f t="shared" si="12"/>
      </c>
      <c r="Y1832" s="2">
        <f t="shared" si="13"/>
        <v>0</v>
      </c>
      <c r="Z1832" s="2">
        <f t="shared" si="14"/>
      </c>
      <c r="AA1832" s="2">
        <f t="shared" si="15"/>
        <v>0</v>
      </c>
      <c r="AB1832" s="2">
        <f t="shared" si="16"/>
      </c>
      <c r="AC1832" s="2">
        <f t="shared" si="17"/>
      </c>
      <c r="AD1832" s="2">
        <f t="shared" si="18"/>
      </c>
      <c r="AE1832" s="2">
        <f t="shared" si="19"/>
      </c>
      <c r="AF1832" s="2">
        <f t="shared" si="20"/>
      </c>
      <c r="AG1832" s="2">
        <f t="shared" si="21"/>
      </c>
      <c r="AH1832" s="2">
        <f t="shared" si="22"/>
      </c>
      <c r="AI1832" s="2">
        <f t="shared" si="23"/>
      </c>
      <c r="AJ1832" s="2">
        <f t="shared" si="24"/>
        <v>0</v>
      </c>
      <c r="AK1832" s="2">
        <f t="shared" si="25"/>
        <v>0</v>
      </c>
      <c r="AL1832" s="2">
        <f t="shared" si="26"/>
        <v>0</v>
      </c>
      <c r="AM1832" s="2">
        <f t="shared" si="27"/>
        <v>0</v>
      </c>
      <c r="AN1832" s="2">
        <f t="shared" si="28"/>
        <v>0</v>
      </c>
      <c r="AO1832" s="2">
        <f t="shared" si="29"/>
      </c>
      <c r="AP1832" s="2">
        <f t="shared" si="30"/>
      </c>
      <c r="AQ1832" s="2">
        <f t="shared" si="31"/>
      </c>
    </row>
    <row r="1833">
      <c r="A1833" s="43">
        <f t="shared" si="3"/>
      </c>
      <c r="B1833" s="44" t="n"/>
      <c r="C1833" s="45" t="n"/>
      <c r="D1833" s="46" t="n"/>
      <c r="E1833" s="47" t="n"/>
      <c r="F1833" s="47" t="n"/>
      <c r="G1833" s="48">
        <f t="shared" si="4"/>
      </c>
      <c r="H1833" s="43">
        <f t="shared" si="0"/>
      </c>
      <c r="I1833" s="43">
        <f t="shared" si="5"/>
      </c>
      <c r="J1833" s="43">
        <f t="shared" si="1"/>
      </c>
      <c r="K1833" s="49">
        <f t="shared" si="2"/>
      </c>
      <c r="L1833" s="45" t="n"/>
      <c r="M1833" s="45" t="n"/>
      <c r="N1833" s="45" t="n"/>
      <c r="O1833" s="45" t="n"/>
      <c r="P1833" s="50" t="n"/>
      <c r="R1833" s="2">
        <f t="shared" si="6"/>
        <v>0</v>
      </c>
      <c r="S1833" s="2">
        <f t="shared" si="7"/>
      </c>
      <c r="T1833" s="2">
        <f t="shared" si="8"/>
      </c>
      <c r="U1833" s="2">
        <f t="shared" si="9"/>
      </c>
      <c r="V1833" s="2">
        <f t="shared" si="10"/>
      </c>
      <c r="W1833" s="2">
        <f t="shared" si="11"/>
      </c>
      <c r="X1833" s="2">
        <f t="shared" si="12"/>
      </c>
      <c r="Y1833" s="2">
        <f t="shared" si="13"/>
        <v>0</v>
      </c>
      <c r="Z1833" s="2">
        <f t="shared" si="14"/>
      </c>
      <c r="AA1833" s="2">
        <f t="shared" si="15"/>
        <v>0</v>
      </c>
      <c r="AB1833" s="2">
        <f t="shared" si="16"/>
      </c>
      <c r="AC1833" s="2">
        <f t="shared" si="17"/>
      </c>
      <c r="AD1833" s="2">
        <f t="shared" si="18"/>
      </c>
      <c r="AE1833" s="2">
        <f t="shared" si="19"/>
      </c>
      <c r="AF1833" s="2">
        <f t="shared" si="20"/>
      </c>
      <c r="AG1833" s="2">
        <f t="shared" si="21"/>
      </c>
      <c r="AH1833" s="2">
        <f t="shared" si="22"/>
      </c>
      <c r="AI1833" s="2">
        <f t="shared" si="23"/>
      </c>
      <c r="AJ1833" s="2">
        <f t="shared" si="24"/>
        <v>0</v>
      </c>
      <c r="AK1833" s="2">
        <f t="shared" si="25"/>
        <v>0</v>
      </c>
      <c r="AL1833" s="2">
        <f t="shared" si="26"/>
        <v>0</v>
      </c>
      <c r="AM1833" s="2">
        <f t="shared" si="27"/>
        <v>0</v>
      </c>
      <c r="AN1833" s="2">
        <f t="shared" si="28"/>
        <v>0</v>
      </c>
      <c r="AO1833" s="2">
        <f t="shared" si="29"/>
      </c>
      <c r="AP1833" s="2">
        <f t="shared" si="30"/>
      </c>
      <c r="AQ1833" s="2">
        <f t="shared" si="31"/>
      </c>
    </row>
    <row r="1834">
      <c r="A1834" s="43">
        <f t="shared" si="3"/>
      </c>
      <c r="B1834" s="44" t="n"/>
      <c r="C1834" s="45" t="n"/>
      <c r="D1834" s="46" t="n"/>
      <c r="E1834" s="47" t="n"/>
      <c r="F1834" s="47" t="n"/>
      <c r="G1834" s="48">
        <f t="shared" si="4"/>
      </c>
      <c r="H1834" s="43">
        <f t="shared" si="0"/>
      </c>
      <c r="I1834" s="43">
        <f t="shared" si="5"/>
      </c>
      <c r="J1834" s="43">
        <f t="shared" si="1"/>
      </c>
      <c r="K1834" s="49">
        <f t="shared" si="2"/>
      </c>
      <c r="L1834" s="45" t="n"/>
      <c r="M1834" s="45" t="n"/>
      <c r="N1834" s="45" t="n"/>
      <c r="O1834" s="45" t="n"/>
      <c r="P1834" s="50" t="n"/>
      <c r="R1834" s="2">
        <f t="shared" si="6"/>
        <v>0</v>
      </c>
      <c r="S1834" s="2">
        <f t="shared" si="7"/>
      </c>
      <c r="T1834" s="2">
        <f t="shared" si="8"/>
      </c>
      <c r="U1834" s="2">
        <f t="shared" si="9"/>
      </c>
      <c r="V1834" s="2">
        <f t="shared" si="10"/>
      </c>
      <c r="W1834" s="2">
        <f t="shared" si="11"/>
      </c>
      <c r="X1834" s="2">
        <f t="shared" si="12"/>
      </c>
      <c r="Y1834" s="2">
        <f t="shared" si="13"/>
        <v>0</v>
      </c>
      <c r="Z1834" s="2">
        <f t="shared" si="14"/>
      </c>
      <c r="AA1834" s="2">
        <f t="shared" si="15"/>
        <v>0</v>
      </c>
      <c r="AB1834" s="2">
        <f t="shared" si="16"/>
      </c>
      <c r="AC1834" s="2">
        <f t="shared" si="17"/>
      </c>
      <c r="AD1834" s="2">
        <f t="shared" si="18"/>
      </c>
      <c r="AE1834" s="2">
        <f t="shared" si="19"/>
      </c>
      <c r="AF1834" s="2">
        <f t="shared" si="20"/>
      </c>
      <c r="AG1834" s="2">
        <f t="shared" si="21"/>
      </c>
      <c r="AH1834" s="2">
        <f t="shared" si="22"/>
      </c>
      <c r="AI1834" s="2">
        <f t="shared" si="23"/>
      </c>
      <c r="AJ1834" s="2">
        <f t="shared" si="24"/>
        <v>0</v>
      </c>
      <c r="AK1834" s="2">
        <f t="shared" si="25"/>
        <v>0</v>
      </c>
      <c r="AL1834" s="2">
        <f t="shared" si="26"/>
        <v>0</v>
      </c>
      <c r="AM1834" s="2">
        <f t="shared" si="27"/>
        <v>0</v>
      </c>
      <c r="AN1834" s="2">
        <f t="shared" si="28"/>
        <v>0</v>
      </c>
      <c r="AO1834" s="2">
        <f t="shared" si="29"/>
      </c>
      <c r="AP1834" s="2">
        <f t="shared" si="30"/>
      </c>
      <c r="AQ1834" s="2">
        <f t="shared" si="31"/>
      </c>
    </row>
    <row r="1835">
      <c r="A1835" s="43">
        <f t="shared" si="3"/>
      </c>
      <c r="B1835" s="44" t="n"/>
      <c r="C1835" s="45" t="n"/>
      <c r="D1835" s="46" t="n"/>
      <c r="E1835" s="47" t="n"/>
      <c r="F1835" s="47" t="n"/>
      <c r="G1835" s="48">
        <f t="shared" si="4"/>
      </c>
      <c r="H1835" s="43">
        <f t="shared" si="0"/>
      </c>
      <c r="I1835" s="43">
        <f t="shared" si="5"/>
      </c>
      <c r="J1835" s="43">
        <f t="shared" si="1"/>
      </c>
      <c r="K1835" s="49">
        <f t="shared" si="2"/>
      </c>
      <c r="L1835" s="45" t="n"/>
      <c r="M1835" s="45" t="n"/>
      <c r="N1835" s="45" t="n"/>
      <c r="O1835" s="45" t="n"/>
      <c r="P1835" s="50" t="n"/>
      <c r="R1835" s="2">
        <f t="shared" si="6"/>
        <v>0</v>
      </c>
      <c r="S1835" s="2">
        <f t="shared" si="7"/>
      </c>
      <c r="T1835" s="2">
        <f t="shared" si="8"/>
      </c>
      <c r="U1835" s="2">
        <f t="shared" si="9"/>
      </c>
      <c r="V1835" s="2">
        <f t="shared" si="10"/>
      </c>
      <c r="W1835" s="2">
        <f t="shared" si="11"/>
      </c>
      <c r="X1835" s="2">
        <f t="shared" si="12"/>
      </c>
      <c r="Y1835" s="2">
        <f t="shared" si="13"/>
        <v>0</v>
      </c>
      <c r="Z1835" s="2">
        <f t="shared" si="14"/>
      </c>
      <c r="AA1835" s="2">
        <f t="shared" si="15"/>
        <v>0</v>
      </c>
      <c r="AB1835" s="2">
        <f t="shared" si="16"/>
      </c>
      <c r="AC1835" s="2">
        <f t="shared" si="17"/>
      </c>
      <c r="AD1835" s="2">
        <f t="shared" si="18"/>
      </c>
      <c r="AE1835" s="2">
        <f t="shared" si="19"/>
      </c>
      <c r="AF1835" s="2">
        <f t="shared" si="20"/>
      </c>
      <c r="AG1835" s="2">
        <f t="shared" si="21"/>
      </c>
      <c r="AH1835" s="2">
        <f t="shared" si="22"/>
      </c>
      <c r="AI1835" s="2">
        <f t="shared" si="23"/>
      </c>
      <c r="AJ1835" s="2">
        <f t="shared" si="24"/>
        <v>0</v>
      </c>
      <c r="AK1835" s="2">
        <f t="shared" si="25"/>
        <v>0</v>
      </c>
      <c r="AL1835" s="2">
        <f t="shared" si="26"/>
        <v>0</v>
      </c>
      <c r="AM1835" s="2">
        <f t="shared" si="27"/>
        <v>0</v>
      </c>
      <c r="AN1835" s="2">
        <f t="shared" si="28"/>
        <v>0</v>
      </c>
      <c r="AO1835" s="2">
        <f t="shared" si="29"/>
      </c>
      <c r="AP1835" s="2">
        <f t="shared" si="30"/>
      </c>
      <c r="AQ1835" s="2">
        <f t="shared" si="31"/>
      </c>
    </row>
    <row r="1836">
      <c r="A1836" s="43">
        <f t="shared" si="3"/>
      </c>
      <c r="B1836" s="44" t="n"/>
      <c r="C1836" s="45" t="n"/>
      <c r="D1836" s="46" t="n"/>
      <c r="E1836" s="47" t="n"/>
      <c r="F1836" s="47" t="n"/>
      <c r="G1836" s="48">
        <f t="shared" si="4"/>
      </c>
      <c r="H1836" s="43">
        <f t="shared" si="0"/>
      </c>
      <c r="I1836" s="43">
        <f t="shared" si="5"/>
      </c>
      <c r="J1836" s="43">
        <f t="shared" si="1"/>
      </c>
      <c r="K1836" s="49">
        <f t="shared" si="2"/>
      </c>
      <c r="L1836" s="45" t="n"/>
      <c r="M1836" s="45" t="n"/>
      <c r="N1836" s="45" t="n"/>
      <c r="O1836" s="45" t="n"/>
      <c r="P1836" s="50" t="n"/>
      <c r="R1836" s="2">
        <f t="shared" si="6"/>
        <v>0</v>
      </c>
      <c r="S1836" s="2">
        <f t="shared" si="7"/>
      </c>
      <c r="T1836" s="2">
        <f t="shared" si="8"/>
      </c>
      <c r="U1836" s="2">
        <f t="shared" si="9"/>
      </c>
      <c r="V1836" s="2">
        <f t="shared" si="10"/>
      </c>
      <c r="W1836" s="2">
        <f t="shared" si="11"/>
      </c>
      <c r="X1836" s="2">
        <f t="shared" si="12"/>
      </c>
      <c r="Y1836" s="2">
        <f t="shared" si="13"/>
        <v>0</v>
      </c>
      <c r="Z1836" s="2">
        <f t="shared" si="14"/>
      </c>
      <c r="AA1836" s="2">
        <f t="shared" si="15"/>
        <v>0</v>
      </c>
      <c r="AB1836" s="2">
        <f t="shared" si="16"/>
      </c>
      <c r="AC1836" s="2">
        <f t="shared" si="17"/>
      </c>
      <c r="AD1836" s="2">
        <f t="shared" si="18"/>
      </c>
      <c r="AE1836" s="2">
        <f t="shared" si="19"/>
      </c>
      <c r="AF1836" s="2">
        <f t="shared" si="20"/>
      </c>
      <c r="AG1836" s="2">
        <f t="shared" si="21"/>
      </c>
      <c r="AH1836" s="2">
        <f t="shared" si="22"/>
      </c>
      <c r="AI1836" s="2">
        <f t="shared" si="23"/>
      </c>
      <c r="AJ1836" s="2">
        <f t="shared" si="24"/>
        <v>0</v>
      </c>
      <c r="AK1836" s="2">
        <f t="shared" si="25"/>
        <v>0</v>
      </c>
      <c r="AL1836" s="2">
        <f t="shared" si="26"/>
        <v>0</v>
      </c>
      <c r="AM1836" s="2">
        <f t="shared" si="27"/>
        <v>0</v>
      </c>
      <c r="AN1836" s="2">
        <f t="shared" si="28"/>
        <v>0</v>
      </c>
      <c r="AO1836" s="2">
        <f t="shared" si="29"/>
      </c>
      <c r="AP1836" s="2">
        <f t="shared" si="30"/>
      </c>
      <c r="AQ1836" s="2">
        <f t="shared" si="31"/>
      </c>
    </row>
    <row r="1837">
      <c r="A1837" s="43">
        <f t="shared" si="3"/>
      </c>
      <c r="B1837" s="44" t="n"/>
      <c r="C1837" s="45" t="n"/>
      <c r="D1837" s="46" t="n"/>
      <c r="E1837" s="47" t="n"/>
      <c r="F1837" s="47" t="n"/>
      <c r="G1837" s="48">
        <f t="shared" si="4"/>
      </c>
      <c r="H1837" s="43">
        <f t="shared" si="0"/>
      </c>
      <c r="I1837" s="43">
        <f t="shared" si="5"/>
      </c>
      <c r="J1837" s="43">
        <f t="shared" si="1"/>
      </c>
      <c r="K1837" s="49">
        <f t="shared" si="2"/>
      </c>
      <c r="L1837" s="45" t="n"/>
      <c r="M1837" s="45" t="n"/>
      <c r="N1837" s="45" t="n"/>
      <c r="O1837" s="45" t="n"/>
      <c r="P1837" s="50" t="n"/>
      <c r="R1837" s="2">
        <f t="shared" si="6"/>
        <v>0</v>
      </c>
      <c r="S1837" s="2">
        <f t="shared" si="7"/>
      </c>
      <c r="T1837" s="2">
        <f t="shared" si="8"/>
      </c>
      <c r="U1837" s="2">
        <f t="shared" si="9"/>
      </c>
      <c r="V1837" s="2">
        <f t="shared" si="10"/>
      </c>
      <c r="W1837" s="2">
        <f t="shared" si="11"/>
      </c>
      <c r="X1837" s="2">
        <f t="shared" si="12"/>
      </c>
      <c r="Y1837" s="2">
        <f t="shared" si="13"/>
        <v>0</v>
      </c>
      <c r="Z1837" s="2">
        <f t="shared" si="14"/>
      </c>
      <c r="AA1837" s="2">
        <f t="shared" si="15"/>
        <v>0</v>
      </c>
      <c r="AB1837" s="2">
        <f t="shared" si="16"/>
      </c>
      <c r="AC1837" s="2">
        <f t="shared" si="17"/>
      </c>
      <c r="AD1837" s="2">
        <f t="shared" si="18"/>
      </c>
      <c r="AE1837" s="2">
        <f t="shared" si="19"/>
      </c>
      <c r="AF1837" s="2">
        <f t="shared" si="20"/>
      </c>
      <c r="AG1837" s="2">
        <f t="shared" si="21"/>
      </c>
      <c r="AH1837" s="2">
        <f t="shared" si="22"/>
      </c>
      <c r="AI1837" s="2">
        <f t="shared" si="23"/>
      </c>
      <c r="AJ1837" s="2">
        <f t="shared" si="24"/>
        <v>0</v>
      </c>
      <c r="AK1837" s="2">
        <f t="shared" si="25"/>
        <v>0</v>
      </c>
      <c r="AL1837" s="2">
        <f t="shared" si="26"/>
        <v>0</v>
      </c>
      <c r="AM1837" s="2">
        <f t="shared" si="27"/>
        <v>0</v>
      </c>
      <c r="AN1837" s="2">
        <f t="shared" si="28"/>
        <v>0</v>
      </c>
      <c r="AO1837" s="2">
        <f t="shared" si="29"/>
      </c>
      <c r="AP1837" s="2">
        <f t="shared" si="30"/>
      </c>
      <c r="AQ1837" s="2">
        <f t="shared" si="31"/>
      </c>
    </row>
    <row r="1838">
      <c r="A1838" s="43">
        <f t="shared" si="3"/>
      </c>
      <c r="B1838" s="44" t="n"/>
      <c r="C1838" s="45" t="n"/>
      <c r="D1838" s="46" t="n"/>
      <c r="E1838" s="47" t="n"/>
      <c r="F1838" s="47" t="n"/>
      <c r="G1838" s="48">
        <f t="shared" si="4"/>
      </c>
      <c r="H1838" s="43">
        <f t="shared" si="0"/>
      </c>
      <c r="I1838" s="43">
        <f t="shared" si="5"/>
      </c>
      <c r="J1838" s="43">
        <f t="shared" si="1"/>
      </c>
      <c r="K1838" s="49">
        <f t="shared" si="2"/>
      </c>
      <c r="L1838" s="45" t="n"/>
      <c r="M1838" s="45" t="n"/>
      <c r="N1838" s="45" t="n"/>
      <c r="O1838" s="45" t="n"/>
      <c r="P1838" s="50" t="n"/>
      <c r="R1838" s="2">
        <f t="shared" si="6"/>
        <v>0</v>
      </c>
      <c r="S1838" s="2">
        <f t="shared" si="7"/>
      </c>
      <c r="T1838" s="2">
        <f t="shared" si="8"/>
      </c>
      <c r="U1838" s="2">
        <f t="shared" si="9"/>
      </c>
      <c r="V1838" s="2">
        <f t="shared" si="10"/>
      </c>
      <c r="W1838" s="2">
        <f t="shared" si="11"/>
      </c>
      <c r="X1838" s="2">
        <f t="shared" si="12"/>
      </c>
      <c r="Y1838" s="2">
        <f t="shared" si="13"/>
        <v>0</v>
      </c>
      <c r="Z1838" s="2">
        <f t="shared" si="14"/>
      </c>
      <c r="AA1838" s="2">
        <f t="shared" si="15"/>
        <v>0</v>
      </c>
      <c r="AB1838" s="2">
        <f t="shared" si="16"/>
      </c>
      <c r="AC1838" s="2">
        <f t="shared" si="17"/>
      </c>
      <c r="AD1838" s="2">
        <f t="shared" si="18"/>
      </c>
      <c r="AE1838" s="2">
        <f t="shared" si="19"/>
      </c>
      <c r="AF1838" s="2">
        <f t="shared" si="20"/>
      </c>
      <c r="AG1838" s="2">
        <f t="shared" si="21"/>
      </c>
      <c r="AH1838" s="2">
        <f t="shared" si="22"/>
      </c>
      <c r="AI1838" s="2">
        <f t="shared" si="23"/>
      </c>
      <c r="AJ1838" s="2">
        <f t="shared" si="24"/>
        <v>0</v>
      </c>
      <c r="AK1838" s="2">
        <f t="shared" si="25"/>
        <v>0</v>
      </c>
      <c r="AL1838" s="2">
        <f t="shared" si="26"/>
        <v>0</v>
      </c>
      <c r="AM1838" s="2">
        <f t="shared" si="27"/>
        <v>0</v>
      </c>
      <c r="AN1838" s="2">
        <f t="shared" si="28"/>
        <v>0</v>
      </c>
      <c r="AO1838" s="2">
        <f t="shared" si="29"/>
      </c>
      <c r="AP1838" s="2">
        <f t="shared" si="30"/>
      </c>
      <c r="AQ1838" s="2">
        <f t="shared" si="31"/>
      </c>
    </row>
    <row r="1839">
      <c r="A1839" s="43">
        <f t="shared" si="3"/>
      </c>
      <c r="B1839" s="44" t="n"/>
      <c r="C1839" s="45" t="n"/>
      <c r="D1839" s="46" t="n"/>
      <c r="E1839" s="47" t="n"/>
      <c r="F1839" s="47" t="n"/>
      <c r="G1839" s="48">
        <f t="shared" si="4"/>
      </c>
      <c r="H1839" s="43">
        <f t="shared" si="0"/>
      </c>
      <c r="I1839" s="43">
        <f t="shared" si="5"/>
      </c>
      <c r="J1839" s="43">
        <f t="shared" si="1"/>
      </c>
      <c r="K1839" s="49">
        <f t="shared" si="2"/>
      </c>
      <c r="L1839" s="45" t="n"/>
      <c r="M1839" s="45" t="n"/>
      <c r="N1839" s="45" t="n"/>
      <c r="O1839" s="45" t="n"/>
      <c r="P1839" s="50" t="n"/>
      <c r="R1839" s="2">
        <f t="shared" si="6"/>
        <v>0</v>
      </c>
      <c r="S1839" s="2">
        <f t="shared" si="7"/>
      </c>
      <c r="T1839" s="2">
        <f t="shared" si="8"/>
      </c>
      <c r="U1839" s="2">
        <f t="shared" si="9"/>
      </c>
      <c r="V1839" s="2">
        <f t="shared" si="10"/>
      </c>
      <c r="W1839" s="2">
        <f t="shared" si="11"/>
      </c>
      <c r="X1839" s="2">
        <f t="shared" si="12"/>
      </c>
      <c r="Y1839" s="2">
        <f t="shared" si="13"/>
        <v>0</v>
      </c>
      <c r="Z1839" s="2">
        <f t="shared" si="14"/>
      </c>
      <c r="AA1839" s="2">
        <f t="shared" si="15"/>
        <v>0</v>
      </c>
      <c r="AB1839" s="2">
        <f t="shared" si="16"/>
      </c>
      <c r="AC1839" s="2">
        <f t="shared" si="17"/>
      </c>
      <c r="AD1839" s="2">
        <f t="shared" si="18"/>
      </c>
      <c r="AE1839" s="2">
        <f t="shared" si="19"/>
      </c>
      <c r="AF1839" s="2">
        <f t="shared" si="20"/>
      </c>
      <c r="AG1839" s="2">
        <f t="shared" si="21"/>
      </c>
      <c r="AH1839" s="2">
        <f t="shared" si="22"/>
      </c>
      <c r="AI1839" s="2">
        <f t="shared" si="23"/>
      </c>
      <c r="AJ1839" s="2">
        <f t="shared" si="24"/>
        <v>0</v>
      </c>
      <c r="AK1839" s="2">
        <f t="shared" si="25"/>
        <v>0</v>
      </c>
      <c r="AL1839" s="2">
        <f t="shared" si="26"/>
        <v>0</v>
      </c>
      <c r="AM1839" s="2">
        <f t="shared" si="27"/>
        <v>0</v>
      </c>
      <c r="AN1839" s="2">
        <f t="shared" si="28"/>
        <v>0</v>
      </c>
      <c r="AO1839" s="2">
        <f t="shared" si="29"/>
      </c>
      <c r="AP1839" s="2">
        <f t="shared" si="30"/>
      </c>
      <c r="AQ1839" s="2">
        <f t="shared" si="31"/>
      </c>
    </row>
    <row r="1840">
      <c r="A1840" s="43">
        <f t="shared" si="3"/>
      </c>
      <c r="B1840" s="44" t="n"/>
      <c r="C1840" s="45" t="n"/>
      <c r="D1840" s="46" t="n"/>
      <c r="E1840" s="47" t="n"/>
      <c r="F1840" s="47" t="n"/>
      <c r="G1840" s="48">
        <f t="shared" si="4"/>
      </c>
      <c r="H1840" s="43">
        <f t="shared" si="0"/>
      </c>
      <c r="I1840" s="43">
        <f t="shared" si="5"/>
      </c>
      <c r="J1840" s="43">
        <f t="shared" si="1"/>
      </c>
      <c r="K1840" s="49">
        <f t="shared" si="2"/>
      </c>
      <c r="L1840" s="45" t="n"/>
      <c r="M1840" s="45" t="n"/>
      <c r="N1840" s="45" t="n"/>
      <c r="O1840" s="45" t="n"/>
      <c r="P1840" s="50" t="n"/>
      <c r="R1840" s="2">
        <f t="shared" si="6"/>
        <v>0</v>
      </c>
      <c r="S1840" s="2">
        <f t="shared" si="7"/>
      </c>
      <c r="T1840" s="2">
        <f t="shared" si="8"/>
      </c>
      <c r="U1840" s="2">
        <f t="shared" si="9"/>
      </c>
      <c r="V1840" s="2">
        <f t="shared" si="10"/>
      </c>
      <c r="W1840" s="2">
        <f t="shared" si="11"/>
      </c>
      <c r="X1840" s="2">
        <f t="shared" si="12"/>
      </c>
      <c r="Y1840" s="2">
        <f t="shared" si="13"/>
        <v>0</v>
      </c>
      <c r="Z1840" s="2">
        <f t="shared" si="14"/>
      </c>
      <c r="AA1840" s="2">
        <f t="shared" si="15"/>
        <v>0</v>
      </c>
      <c r="AB1840" s="2">
        <f t="shared" si="16"/>
      </c>
      <c r="AC1840" s="2">
        <f t="shared" si="17"/>
      </c>
      <c r="AD1840" s="2">
        <f t="shared" si="18"/>
      </c>
      <c r="AE1840" s="2">
        <f t="shared" si="19"/>
      </c>
      <c r="AF1840" s="2">
        <f t="shared" si="20"/>
      </c>
      <c r="AG1840" s="2">
        <f t="shared" si="21"/>
      </c>
      <c r="AH1840" s="2">
        <f t="shared" si="22"/>
      </c>
      <c r="AI1840" s="2">
        <f t="shared" si="23"/>
      </c>
      <c r="AJ1840" s="2">
        <f t="shared" si="24"/>
        <v>0</v>
      </c>
      <c r="AK1840" s="2">
        <f t="shared" si="25"/>
        <v>0</v>
      </c>
      <c r="AL1840" s="2">
        <f t="shared" si="26"/>
        <v>0</v>
      </c>
      <c r="AM1840" s="2">
        <f t="shared" si="27"/>
        <v>0</v>
      </c>
      <c r="AN1840" s="2">
        <f t="shared" si="28"/>
        <v>0</v>
      </c>
      <c r="AO1840" s="2">
        <f t="shared" si="29"/>
      </c>
      <c r="AP1840" s="2">
        <f t="shared" si="30"/>
      </c>
      <c r="AQ1840" s="2">
        <f t="shared" si="31"/>
      </c>
    </row>
    <row r="1841">
      <c r="A1841" s="43">
        <f t="shared" si="3"/>
      </c>
      <c r="B1841" s="44" t="n"/>
      <c r="C1841" s="45" t="n"/>
      <c r="D1841" s="46" t="n"/>
      <c r="E1841" s="47" t="n"/>
      <c r="F1841" s="47" t="n"/>
      <c r="G1841" s="48">
        <f t="shared" si="4"/>
      </c>
      <c r="H1841" s="43">
        <f t="shared" si="0"/>
      </c>
      <c r="I1841" s="43">
        <f t="shared" si="5"/>
      </c>
      <c r="J1841" s="43">
        <f t="shared" si="1"/>
      </c>
      <c r="K1841" s="49">
        <f t="shared" si="2"/>
      </c>
      <c r="L1841" s="45" t="n"/>
      <c r="M1841" s="45" t="n"/>
      <c r="N1841" s="45" t="n"/>
      <c r="O1841" s="45" t="n"/>
      <c r="P1841" s="50" t="n"/>
      <c r="R1841" s="2">
        <f t="shared" si="6"/>
        <v>0</v>
      </c>
      <c r="S1841" s="2">
        <f t="shared" si="7"/>
      </c>
      <c r="T1841" s="2">
        <f t="shared" si="8"/>
      </c>
      <c r="U1841" s="2">
        <f t="shared" si="9"/>
      </c>
      <c r="V1841" s="2">
        <f t="shared" si="10"/>
      </c>
      <c r="W1841" s="2">
        <f t="shared" si="11"/>
      </c>
      <c r="X1841" s="2">
        <f t="shared" si="12"/>
      </c>
      <c r="Y1841" s="2">
        <f t="shared" si="13"/>
        <v>0</v>
      </c>
      <c r="Z1841" s="2">
        <f t="shared" si="14"/>
      </c>
      <c r="AA1841" s="2">
        <f t="shared" si="15"/>
        <v>0</v>
      </c>
      <c r="AB1841" s="2">
        <f t="shared" si="16"/>
      </c>
      <c r="AC1841" s="2">
        <f t="shared" si="17"/>
      </c>
      <c r="AD1841" s="2">
        <f t="shared" si="18"/>
      </c>
      <c r="AE1841" s="2">
        <f t="shared" si="19"/>
      </c>
      <c r="AF1841" s="2">
        <f t="shared" si="20"/>
      </c>
      <c r="AG1841" s="2">
        <f t="shared" si="21"/>
      </c>
      <c r="AH1841" s="2">
        <f t="shared" si="22"/>
      </c>
      <c r="AI1841" s="2">
        <f t="shared" si="23"/>
      </c>
      <c r="AJ1841" s="2">
        <f t="shared" si="24"/>
        <v>0</v>
      </c>
      <c r="AK1841" s="2">
        <f t="shared" si="25"/>
        <v>0</v>
      </c>
      <c r="AL1841" s="2">
        <f t="shared" si="26"/>
        <v>0</v>
      </c>
      <c r="AM1841" s="2">
        <f t="shared" si="27"/>
        <v>0</v>
      </c>
      <c r="AN1841" s="2">
        <f t="shared" si="28"/>
        <v>0</v>
      </c>
      <c r="AO1841" s="2">
        <f t="shared" si="29"/>
      </c>
      <c r="AP1841" s="2">
        <f t="shared" si="30"/>
      </c>
      <c r="AQ1841" s="2">
        <f t="shared" si="31"/>
      </c>
    </row>
    <row r="1842">
      <c r="A1842" s="43">
        <f t="shared" si="3"/>
      </c>
      <c r="B1842" s="44" t="n"/>
      <c r="C1842" s="45" t="n"/>
      <c r="D1842" s="46" t="n"/>
      <c r="E1842" s="47" t="n"/>
      <c r="F1842" s="47" t="n"/>
      <c r="G1842" s="48">
        <f t="shared" si="4"/>
      </c>
      <c r="H1842" s="43">
        <f t="shared" si="0"/>
      </c>
      <c r="I1842" s="43">
        <f t="shared" si="5"/>
      </c>
      <c r="J1842" s="43">
        <f t="shared" si="1"/>
      </c>
      <c r="K1842" s="49">
        <f t="shared" si="2"/>
      </c>
      <c r="L1842" s="45" t="n"/>
      <c r="M1842" s="45" t="n"/>
      <c r="N1842" s="45" t="n"/>
      <c r="O1842" s="45" t="n"/>
      <c r="P1842" s="50" t="n"/>
      <c r="R1842" s="2">
        <f t="shared" si="6"/>
        <v>0</v>
      </c>
      <c r="S1842" s="2">
        <f t="shared" si="7"/>
      </c>
      <c r="T1842" s="2">
        <f t="shared" si="8"/>
      </c>
      <c r="U1842" s="2">
        <f t="shared" si="9"/>
      </c>
      <c r="V1842" s="2">
        <f t="shared" si="10"/>
      </c>
      <c r="W1842" s="2">
        <f t="shared" si="11"/>
      </c>
      <c r="X1842" s="2">
        <f t="shared" si="12"/>
      </c>
      <c r="Y1842" s="2">
        <f t="shared" si="13"/>
        <v>0</v>
      </c>
      <c r="Z1842" s="2">
        <f t="shared" si="14"/>
      </c>
      <c r="AA1842" s="2">
        <f t="shared" si="15"/>
        <v>0</v>
      </c>
      <c r="AB1842" s="2">
        <f t="shared" si="16"/>
      </c>
      <c r="AC1842" s="2">
        <f t="shared" si="17"/>
      </c>
      <c r="AD1842" s="2">
        <f t="shared" si="18"/>
      </c>
      <c r="AE1842" s="2">
        <f t="shared" si="19"/>
      </c>
      <c r="AF1842" s="2">
        <f t="shared" si="20"/>
      </c>
      <c r="AG1842" s="2">
        <f t="shared" si="21"/>
      </c>
      <c r="AH1842" s="2">
        <f t="shared" si="22"/>
      </c>
      <c r="AI1842" s="2">
        <f t="shared" si="23"/>
      </c>
      <c r="AJ1842" s="2">
        <f t="shared" si="24"/>
        <v>0</v>
      </c>
      <c r="AK1842" s="2">
        <f t="shared" si="25"/>
        <v>0</v>
      </c>
      <c r="AL1842" s="2">
        <f t="shared" si="26"/>
        <v>0</v>
      </c>
      <c r="AM1842" s="2">
        <f t="shared" si="27"/>
        <v>0</v>
      </c>
      <c r="AN1842" s="2">
        <f t="shared" si="28"/>
        <v>0</v>
      </c>
      <c r="AO1842" s="2">
        <f t="shared" si="29"/>
      </c>
      <c r="AP1842" s="2">
        <f t="shared" si="30"/>
      </c>
      <c r="AQ1842" s="2">
        <f t="shared" si="31"/>
      </c>
    </row>
    <row r="1843">
      <c r="A1843" s="43">
        <f t="shared" si="3"/>
      </c>
      <c r="B1843" s="44" t="n"/>
      <c r="C1843" s="45" t="n"/>
      <c r="D1843" s="46" t="n"/>
      <c r="E1843" s="47" t="n"/>
      <c r="F1843" s="47" t="n"/>
      <c r="G1843" s="48">
        <f t="shared" si="4"/>
      </c>
      <c r="H1843" s="43">
        <f t="shared" si="0"/>
      </c>
      <c r="I1843" s="43">
        <f t="shared" si="5"/>
      </c>
      <c r="J1843" s="43">
        <f t="shared" si="1"/>
      </c>
      <c r="K1843" s="49">
        <f t="shared" si="2"/>
      </c>
      <c r="L1843" s="45" t="n"/>
      <c r="M1843" s="45" t="n"/>
      <c r="N1843" s="45" t="n"/>
      <c r="O1843" s="45" t="n"/>
      <c r="P1843" s="50" t="n"/>
      <c r="R1843" s="2">
        <f t="shared" si="6"/>
        <v>0</v>
      </c>
      <c r="S1843" s="2">
        <f t="shared" si="7"/>
      </c>
      <c r="T1843" s="2">
        <f t="shared" si="8"/>
      </c>
      <c r="U1843" s="2">
        <f t="shared" si="9"/>
      </c>
      <c r="V1843" s="2">
        <f t="shared" si="10"/>
      </c>
      <c r="W1843" s="2">
        <f t="shared" si="11"/>
      </c>
      <c r="X1843" s="2">
        <f t="shared" si="12"/>
      </c>
      <c r="Y1843" s="2">
        <f t="shared" si="13"/>
        <v>0</v>
      </c>
      <c r="Z1843" s="2">
        <f t="shared" si="14"/>
      </c>
      <c r="AA1843" s="2">
        <f t="shared" si="15"/>
        <v>0</v>
      </c>
      <c r="AB1843" s="2">
        <f t="shared" si="16"/>
      </c>
      <c r="AC1843" s="2">
        <f t="shared" si="17"/>
      </c>
      <c r="AD1843" s="2">
        <f t="shared" si="18"/>
      </c>
      <c r="AE1843" s="2">
        <f t="shared" si="19"/>
      </c>
      <c r="AF1843" s="2">
        <f t="shared" si="20"/>
      </c>
      <c r="AG1843" s="2">
        <f t="shared" si="21"/>
      </c>
      <c r="AH1843" s="2">
        <f t="shared" si="22"/>
      </c>
      <c r="AI1843" s="2">
        <f t="shared" si="23"/>
      </c>
      <c r="AJ1843" s="2">
        <f t="shared" si="24"/>
        <v>0</v>
      </c>
      <c r="AK1843" s="2">
        <f t="shared" si="25"/>
        <v>0</v>
      </c>
      <c r="AL1843" s="2">
        <f t="shared" si="26"/>
        <v>0</v>
      </c>
      <c r="AM1843" s="2">
        <f t="shared" si="27"/>
        <v>0</v>
      </c>
      <c r="AN1843" s="2">
        <f t="shared" si="28"/>
        <v>0</v>
      </c>
      <c r="AO1843" s="2">
        <f t="shared" si="29"/>
      </c>
      <c r="AP1843" s="2">
        <f t="shared" si="30"/>
      </c>
      <c r="AQ1843" s="2">
        <f t="shared" si="31"/>
      </c>
    </row>
    <row r="1844">
      <c r="A1844" s="43">
        <f t="shared" si="3"/>
      </c>
      <c r="B1844" s="44" t="n"/>
      <c r="C1844" s="45" t="n"/>
      <c r="D1844" s="46" t="n"/>
      <c r="E1844" s="47" t="n"/>
      <c r="F1844" s="47" t="n"/>
      <c r="G1844" s="48">
        <f t="shared" si="4"/>
      </c>
      <c r="H1844" s="43">
        <f t="shared" si="0"/>
      </c>
      <c r="I1844" s="43">
        <f t="shared" si="5"/>
      </c>
      <c r="J1844" s="43">
        <f t="shared" si="1"/>
      </c>
      <c r="K1844" s="49">
        <f t="shared" si="2"/>
      </c>
      <c r="L1844" s="45" t="n"/>
      <c r="M1844" s="45" t="n"/>
      <c r="N1844" s="45" t="n"/>
      <c r="O1844" s="45" t="n"/>
      <c r="P1844" s="50" t="n"/>
      <c r="R1844" s="2">
        <f t="shared" si="6"/>
        <v>0</v>
      </c>
      <c r="S1844" s="2">
        <f t="shared" si="7"/>
      </c>
      <c r="T1844" s="2">
        <f t="shared" si="8"/>
      </c>
      <c r="U1844" s="2">
        <f t="shared" si="9"/>
      </c>
      <c r="V1844" s="2">
        <f t="shared" si="10"/>
      </c>
      <c r="W1844" s="2">
        <f t="shared" si="11"/>
      </c>
      <c r="X1844" s="2">
        <f t="shared" si="12"/>
      </c>
      <c r="Y1844" s="2">
        <f t="shared" si="13"/>
        <v>0</v>
      </c>
      <c r="Z1844" s="2">
        <f t="shared" si="14"/>
      </c>
      <c r="AA1844" s="2">
        <f t="shared" si="15"/>
        <v>0</v>
      </c>
      <c r="AB1844" s="2">
        <f t="shared" si="16"/>
      </c>
      <c r="AC1844" s="2">
        <f t="shared" si="17"/>
      </c>
      <c r="AD1844" s="2">
        <f t="shared" si="18"/>
      </c>
      <c r="AE1844" s="2">
        <f t="shared" si="19"/>
      </c>
      <c r="AF1844" s="2">
        <f t="shared" si="20"/>
      </c>
      <c r="AG1844" s="2">
        <f t="shared" si="21"/>
      </c>
      <c r="AH1844" s="2">
        <f t="shared" si="22"/>
      </c>
      <c r="AI1844" s="2">
        <f t="shared" si="23"/>
      </c>
      <c r="AJ1844" s="2">
        <f t="shared" si="24"/>
        <v>0</v>
      </c>
      <c r="AK1844" s="2">
        <f t="shared" si="25"/>
        <v>0</v>
      </c>
      <c r="AL1844" s="2">
        <f t="shared" si="26"/>
        <v>0</v>
      </c>
      <c r="AM1844" s="2">
        <f t="shared" si="27"/>
        <v>0</v>
      </c>
      <c r="AN1844" s="2">
        <f t="shared" si="28"/>
        <v>0</v>
      </c>
      <c r="AO1844" s="2">
        <f t="shared" si="29"/>
      </c>
      <c r="AP1844" s="2">
        <f t="shared" si="30"/>
      </c>
      <c r="AQ1844" s="2">
        <f t="shared" si="31"/>
      </c>
    </row>
    <row r="1845">
      <c r="A1845" s="43">
        <f t="shared" si="3"/>
      </c>
      <c r="B1845" s="44" t="n"/>
      <c r="C1845" s="45" t="n"/>
      <c r="D1845" s="46" t="n"/>
      <c r="E1845" s="47" t="n"/>
      <c r="F1845" s="47" t="n"/>
      <c r="G1845" s="48">
        <f t="shared" si="4"/>
      </c>
      <c r="H1845" s="43">
        <f t="shared" si="0"/>
      </c>
      <c r="I1845" s="43">
        <f t="shared" si="5"/>
      </c>
      <c r="J1845" s="43">
        <f t="shared" si="1"/>
      </c>
      <c r="K1845" s="49">
        <f t="shared" si="2"/>
      </c>
      <c r="L1845" s="45" t="n"/>
      <c r="M1845" s="45" t="n"/>
      <c r="N1845" s="45" t="n"/>
      <c r="O1845" s="45" t="n"/>
      <c r="P1845" s="50" t="n"/>
      <c r="R1845" s="2">
        <f t="shared" si="6"/>
        <v>0</v>
      </c>
      <c r="S1845" s="2">
        <f t="shared" si="7"/>
      </c>
      <c r="T1845" s="2">
        <f t="shared" si="8"/>
      </c>
      <c r="U1845" s="2">
        <f t="shared" si="9"/>
      </c>
      <c r="V1845" s="2">
        <f t="shared" si="10"/>
      </c>
      <c r="W1845" s="2">
        <f t="shared" si="11"/>
      </c>
      <c r="X1845" s="2">
        <f t="shared" si="12"/>
      </c>
      <c r="Y1845" s="2">
        <f t="shared" si="13"/>
        <v>0</v>
      </c>
      <c r="Z1845" s="2">
        <f t="shared" si="14"/>
      </c>
      <c r="AA1845" s="2">
        <f t="shared" si="15"/>
        <v>0</v>
      </c>
      <c r="AB1845" s="2">
        <f t="shared" si="16"/>
      </c>
      <c r="AC1845" s="2">
        <f t="shared" si="17"/>
      </c>
      <c r="AD1845" s="2">
        <f t="shared" si="18"/>
      </c>
      <c r="AE1845" s="2">
        <f t="shared" si="19"/>
      </c>
      <c r="AF1845" s="2">
        <f t="shared" si="20"/>
      </c>
      <c r="AG1845" s="2">
        <f t="shared" si="21"/>
      </c>
      <c r="AH1845" s="2">
        <f t="shared" si="22"/>
      </c>
      <c r="AI1845" s="2">
        <f t="shared" si="23"/>
      </c>
      <c r="AJ1845" s="2">
        <f t="shared" si="24"/>
        <v>0</v>
      </c>
      <c r="AK1845" s="2">
        <f t="shared" si="25"/>
        <v>0</v>
      </c>
      <c r="AL1845" s="2">
        <f t="shared" si="26"/>
        <v>0</v>
      </c>
      <c r="AM1845" s="2">
        <f t="shared" si="27"/>
        <v>0</v>
      </c>
      <c r="AN1845" s="2">
        <f t="shared" si="28"/>
        <v>0</v>
      </c>
      <c r="AO1845" s="2">
        <f t="shared" si="29"/>
      </c>
      <c r="AP1845" s="2">
        <f t="shared" si="30"/>
      </c>
      <c r="AQ1845" s="2">
        <f t="shared" si="31"/>
      </c>
    </row>
    <row r="1846">
      <c r="A1846" s="43">
        <f t="shared" si="3"/>
      </c>
      <c r="B1846" s="44" t="n"/>
      <c r="C1846" s="45" t="n"/>
      <c r="D1846" s="46" t="n"/>
      <c r="E1846" s="47" t="n"/>
      <c r="F1846" s="47" t="n"/>
      <c r="G1846" s="48">
        <f t="shared" si="4"/>
      </c>
      <c r="H1846" s="43">
        <f t="shared" si="0"/>
      </c>
      <c r="I1846" s="43">
        <f t="shared" si="5"/>
      </c>
      <c r="J1846" s="43">
        <f t="shared" si="1"/>
      </c>
      <c r="K1846" s="49">
        <f t="shared" si="2"/>
      </c>
      <c r="L1846" s="45" t="n"/>
      <c r="M1846" s="45" t="n"/>
      <c r="N1846" s="45" t="n"/>
      <c r="O1846" s="45" t="n"/>
      <c r="P1846" s="50" t="n"/>
      <c r="R1846" s="2">
        <f t="shared" si="6"/>
        <v>0</v>
      </c>
      <c r="S1846" s="2">
        <f t="shared" si="7"/>
      </c>
      <c r="T1846" s="2">
        <f t="shared" si="8"/>
      </c>
      <c r="U1846" s="2">
        <f t="shared" si="9"/>
      </c>
      <c r="V1846" s="2">
        <f t="shared" si="10"/>
      </c>
      <c r="W1846" s="2">
        <f t="shared" si="11"/>
      </c>
      <c r="X1846" s="2">
        <f t="shared" si="12"/>
      </c>
      <c r="Y1846" s="2">
        <f t="shared" si="13"/>
        <v>0</v>
      </c>
      <c r="Z1846" s="2">
        <f t="shared" si="14"/>
      </c>
      <c r="AA1846" s="2">
        <f t="shared" si="15"/>
        <v>0</v>
      </c>
      <c r="AB1846" s="2">
        <f t="shared" si="16"/>
      </c>
      <c r="AC1846" s="2">
        <f t="shared" si="17"/>
      </c>
      <c r="AD1846" s="2">
        <f t="shared" si="18"/>
      </c>
      <c r="AE1846" s="2">
        <f t="shared" si="19"/>
      </c>
      <c r="AF1846" s="2">
        <f t="shared" si="20"/>
      </c>
      <c r="AG1846" s="2">
        <f t="shared" si="21"/>
      </c>
      <c r="AH1846" s="2">
        <f t="shared" si="22"/>
      </c>
      <c r="AI1846" s="2">
        <f t="shared" si="23"/>
      </c>
      <c r="AJ1846" s="2">
        <f t="shared" si="24"/>
        <v>0</v>
      </c>
      <c r="AK1846" s="2">
        <f t="shared" si="25"/>
        <v>0</v>
      </c>
      <c r="AL1846" s="2">
        <f t="shared" si="26"/>
        <v>0</v>
      </c>
      <c r="AM1846" s="2">
        <f t="shared" si="27"/>
        <v>0</v>
      </c>
      <c r="AN1846" s="2">
        <f t="shared" si="28"/>
        <v>0</v>
      </c>
      <c r="AO1846" s="2">
        <f t="shared" si="29"/>
      </c>
      <c r="AP1846" s="2">
        <f t="shared" si="30"/>
      </c>
      <c r="AQ1846" s="2">
        <f t="shared" si="31"/>
      </c>
    </row>
    <row r="1847">
      <c r="A1847" s="43">
        <f t="shared" si="3"/>
      </c>
      <c r="B1847" s="44" t="n"/>
      <c r="C1847" s="45" t="n"/>
      <c r="D1847" s="46" t="n"/>
      <c r="E1847" s="47" t="n"/>
      <c r="F1847" s="47" t="n"/>
      <c r="G1847" s="48">
        <f t="shared" si="4"/>
      </c>
      <c r="H1847" s="43">
        <f t="shared" si="0"/>
      </c>
      <c r="I1847" s="43">
        <f t="shared" si="5"/>
      </c>
      <c r="J1847" s="43">
        <f t="shared" si="1"/>
      </c>
      <c r="K1847" s="49">
        <f t="shared" si="2"/>
      </c>
      <c r="L1847" s="45" t="n"/>
      <c r="M1847" s="45" t="n"/>
      <c r="N1847" s="45" t="n"/>
      <c r="O1847" s="45" t="n"/>
      <c r="P1847" s="50" t="n"/>
      <c r="R1847" s="2">
        <f t="shared" si="6"/>
        <v>0</v>
      </c>
      <c r="S1847" s="2">
        <f t="shared" si="7"/>
      </c>
      <c r="T1847" s="2">
        <f t="shared" si="8"/>
      </c>
      <c r="U1847" s="2">
        <f t="shared" si="9"/>
      </c>
      <c r="V1847" s="2">
        <f t="shared" si="10"/>
      </c>
      <c r="W1847" s="2">
        <f t="shared" si="11"/>
      </c>
      <c r="X1847" s="2">
        <f t="shared" si="12"/>
      </c>
      <c r="Y1847" s="2">
        <f t="shared" si="13"/>
        <v>0</v>
      </c>
      <c r="Z1847" s="2">
        <f t="shared" si="14"/>
      </c>
      <c r="AA1847" s="2">
        <f t="shared" si="15"/>
        <v>0</v>
      </c>
      <c r="AB1847" s="2">
        <f t="shared" si="16"/>
      </c>
      <c r="AC1847" s="2">
        <f t="shared" si="17"/>
      </c>
      <c r="AD1847" s="2">
        <f t="shared" si="18"/>
      </c>
      <c r="AE1847" s="2">
        <f t="shared" si="19"/>
      </c>
      <c r="AF1847" s="2">
        <f t="shared" si="20"/>
      </c>
      <c r="AG1847" s="2">
        <f t="shared" si="21"/>
      </c>
      <c r="AH1847" s="2">
        <f t="shared" si="22"/>
      </c>
      <c r="AI1847" s="2">
        <f t="shared" si="23"/>
      </c>
      <c r="AJ1847" s="2">
        <f t="shared" si="24"/>
        <v>0</v>
      </c>
      <c r="AK1847" s="2">
        <f t="shared" si="25"/>
        <v>0</v>
      </c>
      <c r="AL1847" s="2">
        <f t="shared" si="26"/>
        <v>0</v>
      </c>
      <c r="AM1847" s="2">
        <f t="shared" si="27"/>
        <v>0</v>
      </c>
      <c r="AN1847" s="2">
        <f t="shared" si="28"/>
        <v>0</v>
      </c>
      <c r="AO1847" s="2">
        <f t="shared" si="29"/>
      </c>
      <c r="AP1847" s="2">
        <f t="shared" si="30"/>
      </c>
      <c r="AQ1847" s="2">
        <f t="shared" si="31"/>
      </c>
    </row>
    <row r="1848">
      <c r="A1848" s="43">
        <f t="shared" si="3"/>
      </c>
      <c r="B1848" s="44" t="n"/>
      <c r="C1848" s="45" t="n"/>
      <c r="D1848" s="46" t="n"/>
      <c r="E1848" s="47" t="n"/>
      <c r="F1848" s="47" t="n"/>
      <c r="G1848" s="48">
        <f t="shared" si="4"/>
      </c>
      <c r="H1848" s="43">
        <f t="shared" si="0"/>
      </c>
      <c r="I1848" s="43">
        <f t="shared" si="5"/>
      </c>
      <c r="J1848" s="43">
        <f t="shared" si="1"/>
      </c>
      <c r="K1848" s="49">
        <f t="shared" si="2"/>
      </c>
      <c r="L1848" s="45" t="n"/>
      <c r="M1848" s="45" t="n"/>
      <c r="N1848" s="45" t="n"/>
      <c r="O1848" s="45" t="n"/>
      <c r="P1848" s="50" t="n"/>
      <c r="R1848" s="2">
        <f t="shared" si="6"/>
        <v>0</v>
      </c>
      <c r="S1848" s="2">
        <f t="shared" si="7"/>
      </c>
      <c r="T1848" s="2">
        <f t="shared" si="8"/>
      </c>
      <c r="U1848" s="2">
        <f t="shared" si="9"/>
      </c>
      <c r="V1848" s="2">
        <f t="shared" si="10"/>
      </c>
      <c r="W1848" s="2">
        <f t="shared" si="11"/>
      </c>
      <c r="X1848" s="2">
        <f t="shared" si="12"/>
      </c>
      <c r="Y1848" s="2">
        <f t="shared" si="13"/>
        <v>0</v>
      </c>
      <c r="Z1848" s="2">
        <f t="shared" si="14"/>
      </c>
      <c r="AA1848" s="2">
        <f t="shared" si="15"/>
        <v>0</v>
      </c>
      <c r="AB1848" s="2">
        <f t="shared" si="16"/>
      </c>
      <c r="AC1848" s="2">
        <f t="shared" si="17"/>
      </c>
      <c r="AD1848" s="2">
        <f t="shared" si="18"/>
      </c>
      <c r="AE1848" s="2">
        <f t="shared" si="19"/>
      </c>
      <c r="AF1848" s="2">
        <f t="shared" si="20"/>
      </c>
      <c r="AG1848" s="2">
        <f t="shared" si="21"/>
      </c>
      <c r="AH1848" s="2">
        <f t="shared" si="22"/>
      </c>
      <c r="AI1848" s="2">
        <f t="shared" si="23"/>
      </c>
      <c r="AJ1848" s="2">
        <f t="shared" si="24"/>
        <v>0</v>
      </c>
      <c r="AK1848" s="2">
        <f t="shared" si="25"/>
        <v>0</v>
      </c>
      <c r="AL1848" s="2">
        <f t="shared" si="26"/>
        <v>0</v>
      </c>
      <c r="AM1848" s="2">
        <f t="shared" si="27"/>
        <v>0</v>
      </c>
      <c r="AN1848" s="2">
        <f t="shared" si="28"/>
        <v>0</v>
      </c>
      <c r="AO1848" s="2">
        <f t="shared" si="29"/>
      </c>
      <c r="AP1848" s="2">
        <f t="shared" si="30"/>
      </c>
      <c r="AQ1848" s="2">
        <f t="shared" si="31"/>
      </c>
    </row>
    <row r="1849">
      <c r="A1849" s="43">
        <f t="shared" si="3"/>
      </c>
      <c r="B1849" s="44" t="n"/>
      <c r="C1849" s="45" t="n"/>
      <c r="D1849" s="46" t="n"/>
      <c r="E1849" s="47" t="n"/>
      <c r="F1849" s="47" t="n"/>
      <c r="G1849" s="48">
        <f t="shared" si="4"/>
      </c>
      <c r="H1849" s="43">
        <f t="shared" si="0"/>
      </c>
      <c r="I1849" s="43">
        <f t="shared" si="5"/>
      </c>
      <c r="J1849" s="43">
        <f t="shared" si="1"/>
      </c>
      <c r="K1849" s="49">
        <f t="shared" si="2"/>
      </c>
      <c r="L1849" s="45" t="n"/>
      <c r="M1849" s="45" t="n"/>
      <c r="N1849" s="45" t="n"/>
      <c r="O1849" s="45" t="n"/>
      <c r="P1849" s="50" t="n"/>
      <c r="R1849" s="2">
        <f t="shared" si="6"/>
        <v>0</v>
      </c>
      <c r="S1849" s="2">
        <f t="shared" si="7"/>
      </c>
      <c r="T1849" s="2">
        <f t="shared" si="8"/>
      </c>
      <c r="U1849" s="2">
        <f t="shared" si="9"/>
      </c>
      <c r="V1849" s="2">
        <f t="shared" si="10"/>
      </c>
      <c r="W1849" s="2">
        <f t="shared" si="11"/>
      </c>
      <c r="X1849" s="2">
        <f t="shared" si="12"/>
      </c>
      <c r="Y1849" s="2">
        <f t="shared" si="13"/>
        <v>0</v>
      </c>
      <c r="Z1849" s="2">
        <f t="shared" si="14"/>
      </c>
      <c r="AA1849" s="2">
        <f t="shared" si="15"/>
        <v>0</v>
      </c>
      <c r="AB1849" s="2">
        <f t="shared" si="16"/>
      </c>
      <c r="AC1849" s="2">
        <f t="shared" si="17"/>
      </c>
      <c r="AD1849" s="2">
        <f t="shared" si="18"/>
      </c>
      <c r="AE1849" s="2">
        <f t="shared" si="19"/>
      </c>
      <c r="AF1849" s="2">
        <f t="shared" si="20"/>
      </c>
      <c r="AG1849" s="2">
        <f t="shared" si="21"/>
      </c>
      <c r="AH1849" s="2">
        <f t="shared" si="22"/>
      </c>
      <c r="AI1849" s="2">
        <f t="shared" si="23"/>
      </c>
      <c r="AJ1849" s="2">
        <f t="shared" si="24"/>
        <v>0</v>
      </c>
      <c r="AK1849" s="2">
        <f t="shared" si="25"/>
        <v>0</v>
      </c>
      <c r="AL1849" s="2">
        <f t="shared" si="26"/>
        <v>0</v>
      </c>
      <c r="AM1849" s="2">
        <f t="shared" si="27"/>
        <v>0</v>
      </c>
      <c r="AN1849" s="2">
        <f t="shared" si="28"/>
        <v>0</v>
      </c>
      <c r="AO1849" s="2">
        <f t="shared" si="29"/>
      </c>
      <c r="AP1849" s="2">
        <f t="shared" si="30"/>
      </c>
      <c r="AQ1849" s="2">
        <f t="shared" si="31"/>
      </c>
    </row>
    <row r="1850">
      <c r="A1850" s="43">
        <f t="shared" si="3"/>
      </c>
      <c r="B1850" s="44" t="n"/>
      <c r="C1850" s="45" t="n"/>
      <c r="D1850" s="46" t="n"/>
      <c r="E1850" s="47" t="n"/>
      <c r="F1850" s="47" t="n"/>
      <c r="G1850" s="48">
        <f t="shared" si="4"/>
      </c>
      <c r="H1850" s="43">
        <f t="shared" si="0"/>
      </c>
      <c r="I1850" s="43">
        <f t="shared" si="5"/>
      </c>
      <c r="J1850" s="43">
        <f t="shared" si="1"/>
      </c>
      <c r="K1850" s="49">
        <f t="shared" si="2"/>
      </c>
      <c r="L1850" s="45" t="n"/>
      <c r="M1850" s="45" t="n"/>
      <c r="N1850" s="45" t="n"/>
      <c r="O1850" s="45" t="n"/>
      <c r="P1850" s="50" t="n"/>
      <c r="R1850" s="2">
        <f t="shared" si="6"/>
        <v>0</v>
      </c>
      <c r="S1850" s="2">
        <f t="shared" si="7"/>
      </c>
      <c r="T1850" s="2">
        <f t="shared" si="8"/>
      </c>
      <c r="U1850" s="2">
        <f t="shared" si="9"/>
      </c>
      <c r="V1850" s="2">
        <f t="shared" si="10"/>
      </c>
      <c r="W1850" s="2">
        <f t="shared" si="11"/>
      </c>
      <c r="X1850" s="2">
        <f t="shared" si="12"/>
      </c>
      <c r="Y1850" s="2">
        <f t="shared" si="13"/>
        <v>0</v>
      </c>
      <c r="Z1850" s="2">
        <f t="shared" si="14"/>
      </c>
      <c r="AA1850" s="2">
        <f t="shared" si="15"/>
        <v>0</v>
      </c>
      <c r="AB1850" s="2">
        <f t="shared" si="16"/>
      </c>
      <c r="AC1850" s="2">
        <f t="shared" si="17"/>
      </c>
      <c r="AD1850" s="2">
        <f t="shared" si="18"/>
      </c>
      <c r="AE1850" s="2">
        <f t="shared" si="19"/>
      </c>
      <c r="AF1850" s="2">
        <f t="shared" si="20"/>
      </c>
      <c r="AG1850" s="2">
        <f t="shared" si="21"/>
      </c>
      <c r="AH1850" s="2">
        <f t="shared" si="22"/>
      </c>
      <c r="AI1850" s="2">
        <f t="shared" si="23"/>
      </c>
      <c r="AJ1850" s="2">
        <f t="shared" si="24"/>
        <v>0</v>
      </c>
      <c r="AK1850" s="2">
        <f t="shared" si="25"/>
        <v>0</v>
      </c>
      <c r="AL1850" s="2">
        <f t="shared" si="26"/>
        <v>0</v>
      </c>
      <c r="AM1850" s="2">
        <f t="shared" si="27"/>
        <v>0</v>
      </c>
      <c r="AN1850" s="2">
        <f t="shared" si="28"/>
        <v>0</v>
      </c>
      <c r="AO1850" s="2">
        <f t="shared" si="29"/>
      </c>
      <c r="AP1850" s="2">
        <f t="shared" si="30"/>
      </c>
      <c r="AQ1850" s="2">
        <f t="shared" si="31"/>
      </c>
    </row>
    <row r="1851">
      <c r="A1851" s="43">
        <f t="shared" si="3"/>
      </c>
      <c r="B1851" s="44" t="n"/>
      <c r="C1851" s="45" t="n"/>
      <c r="D1851" s="46" t="n"/>
      <c r="E1851" s="47" t="n"/>
      <c r="F1851" s="47" t="n"/>
      <c r="G1851" s="48">
        <f t="shared" si="4"/>
      </c>
      <c r="H1851" s="43">
        <f t="shared" si="0"/>
      </c>
      <c r="I1851" s="43">
        <f t="shared" si="5"/>
      </c>
      <c r="J1851" s="43">
        <f t="shared" si="1"/>
      </c>
      <c r="K1851" s="49">
        <f t="shared" si="2"/>
      </c>
      <c r="L1851" s="45" t="n"/>
      <c r="M1851" s="45" t="n"/>
      <c r="N1851" s="45" t="n"/>
      <c r="O1851" s="45" t="n"/>
      <c r="P1851" s="50" t="n"/>
      <c r="R1851" s="2">
        <f t="shared" si="6"/>
        <v>0</v>
      </c>
      <c r="S1851" s="2">
        <f t="shared" si="7"/>
      </c>
      <c r="T1851" s="2">
        <f t="shared" si="8"/>
      </c>
      <c r="U1851" s="2">
        <f t="shared" si="9"/>
      </c>
      <c r="V1851" s="2">
        <f t="shared" si="10"/>
      </c>
      <c r="W1851" s="2">
        <f t="shared" si="11"/>
      </c>
      <c r="X1851" s="2">
        <f t="shared" si="12"/>
      </c>
      <c r="Y1851" s="2">
        <f t="shared" si="13"/>
        <v>0</v>
      </c>
      <c r="Z1851" s="2">
        <f t="shared" si="14"/>
      </c>
      <c r="AA1851" s="2">
        <f t="shared" si="15"/>
        <v>0</v>
      </c>
      <c r="AB1851" s="2">
        <f t="shared" si="16"/>
      </c>
      <c r="AC1851" s="2">
        <f t="shared" si="17"/>
      </c>
      <c r="AD1851" s="2">
        <f t="shared" si="18"/>
      </c>
      <c r="AE1851" s="2">
        <f t="shared" si="19"/>
      </c>
      <c r="AF1851" s="2">
        <f t="shared" si="20"/>
      </c>
      <c r="AG1851" s="2">
        <f t="shared" si="21"/>
      </c>
      <c r="AH1851" s="2">
        <f t="shared" si="22"/>
      </c>
      <c r="AI1851" s="2">
        <f t="shared" si="23"/>
      </c>
      <c r="AJ1851" s="2">
        <f t="shared" si="24"/>
        <v>0</v>
      </c>
      <c r="AK1851" s="2">
        <f t="shared" si="25"/>
        <v>0</v>
      </c>
      <c r="AL1851" s="2">
        <f t="shared" si="26"/>
        <v>0</v>
      </c>
      <c r="AM1851" s="2">
        <f t="shared" si="27"/>
        <v>0</v>
      </c>
      <c r="AN1851" s="2">
        <f t="shared" si="28"/>
        <v>0</v>
      </c>
      <c r="AO1851" s="2">
        <f t="shared" si="29"/>
      </c>
      <c r="AP1851" s="2">
        <f t="shared" si="30"/>
      </c>
      <c r="AQ1851" s="2">
        <f t="shared" si="31"/>
      </c>
    </row>
    <row r="1852">
      <c r="A1852" s="43">
        <f t="shared" si="3"/>
      </c>
      <c r="B1852" s="44" t="n"/>
      <c r="C1852" s="45" t="n"/>
      <c r="D1852" s="46" t="n"/>
      <c r="E1852" s="47" t="n"/>
      <c r="F1852" s="47" t="n"/>
      <c r="G1852" s="48">
        <f t="shared" si="4"/>
      </c>
      <c r="H1852" s="43">
        <f t="shared" si="0"/>
      </c>
      <c r="I1852" s="43">
        <f t="shared" si="5"/>
      </c>
      <c r="J1852" s="43">
        <f t="shared" si="1"/>
      </c>
      <c r="K1852" s="49">
        <f t="shared" si="2"/>
      </c>
      <c r="L1852" s="45" t="n"/>
      <c r="M1852" s="45" t="n"/>
      <c r="N1852" s="45" t="n"/>
      <c r="O1852" s="45" t="n"/>
      <c r="P1852" s="50" t="n"/>
      <c r="R1852" s="2">
        <f t="shared" si="6"/>
        <v>0</v>
      </c>
      <c r="S1852" s="2">
        <f t="shared" si="7"/>
      </c>
      <c r="T1852" s="2">
        <f t="shared" si="8"/>
      </c>
      <c r="U1852" s="2">
        <f t="shared" si="9"/>
      </c>
      <c r="V1852" s="2">
        <f t="shared" si="10"/>
      </c>
      <c r="W1852" s="2">
        <f t="shared" si="11"/>
      </c>
      <c r="X1852" s="2">
        <f t="shared" si="12"/>
      </c>
      <c r="Y1852" s="2">
        <f t="shared" si="13"/>
        <v>0</v>
      </c>
      <c r="Z1852" s="2">
        <f t="shared" si="14"/>
      </c>
      <c r="AA1852" s="2">
        <f t="shared" si="15"/>
        <v>0</v>
      </c>
      <c r="AB1852" s="2">
        <f t="shared" si="16"/>
      </c>
      <c r="AC1852" s="2">
        <f t="shared" si="17"/>
      </c>
      <c r="AD1852" s="2">
        <f t="shared" si="18"/>
      </c>
      <c r="AE1852" s="2">
        <f t="shared" si="19"/>
      </c>
      <c r="AF1852" s="2">
        <f t="shared" si="20"/>
      </c>
      <c r="AG1852" s="2">
        <f t="shared" si="21"/>
      </c>
      <c r="AH1852" s="2">
        <f t="shared" si="22"/>
      </c>
      <c r="AI1852" s="2">
        <f t="shared" si="23"/>
      </c>
      <c r="AJ1852" s="2">
        <f t="shared" si="24"/>
        <v>0</v>
      </c>
      <c r="AK1852" s="2">
        <f t="shared" si="25"/>
        <v>0</v>
      </c>
      <c r="AL1852" s="2">
        <f t="shared" si="26"/>
        <v>0</v>
      </c>
      <c r="AM1852" s="2">
        <f t="shared" si="27"/>
        <v>0</v>
      </c>
      <c r="AN1852" s="2">
        <f t="shared" si="28"/>
        <v>0</v>
      </c>
      <c r="AO1852" s="2">
        <f t="shared" si="29"/>
      </c>
      <c r="AP1852" s="2">
        <f t="shared" si="30"/>
      </c>
      <c r="AQ1852" s="2">
        <f t="shared" si="31"/>
      </c>
    </row>
    <row r="1853">
      <c r="A1853" s="43">
        <f t="shared" si="3"/>
      </c>
      <c r="B1853" s="44" t="n"/>
      <c r="C1853" s="45" t="n"/>
      <c r="D1853" s="46" t="n"/>
      <c r="E1853" s="47" t="n"/>
      <c r="F1853" s="47" t="n"/>
      <c r="G1853" s="48">
        <f t="shared" si="4"/>
      </c>
      <c r="H1853" s="43">
        <f t="shared" si="0"/>
      </c>
      <c r="I1853" s="43">
        <f t="shared" si="5"/>
      </c>
      <c r="J1853" s="43">
        <f t="shared" si="1"/>
      </c>
      <c r="K1853" s="49">
        <f t="shared" si="2"/>
      </c>
      <c r="L1853" s="45" t="n"/>
      <c r="M1853" s="45" t="n"/>
      <c r="N1853" s="45" t="n"/>
      <c r="O1853" s="45" t="n"/>
      <c r="P1853" s="50" t="n"/>
      <c r="R1853" s="2">
        <f t="shared" si="6"/>
        <v>0</v>
      </c>
      <c r="S1853" s="2">
        <f t="shared" si="7"/>
      </c>
      <c r="T1853" s="2">
        <f t="shared" si="8"/>
      </c>
      <c r="U1853" s="2">
        <f t="shared" si="9"/>
      </c>
      <c r="V1853" s="2">
        <f t="shared" si="10"/>
      </c>
      <c r="W1853" s="2">
        <f t="shared" si="11"/>
      </c>
      <c r="X1853" s="2">
        <f t="shared" si="12"/>
      </c>
      <c r="Y1853" s="2">
        <f t="shared" si="13"/>
        <v>0</v>
      </c>
      <c r="Z1853" s="2">
        <f t="shared" si="14"/>
      </c>
      <c r="AA1853" s="2">
        <f t="shared" si="15"/>
        <v>0</v>
      </c>
      <c r="AB1853" s="2">
        <f t="shared" si="16"/>
      </c>
      <c r="AC1853" s="2">
        <f t="shared" si="17"/>
      </c>
      <c r="AD1853" s="2">
        <f t="shared" si="18"/>
      </c>
      <c r="AE1853" s="2">
        <f t="shared" si="19"/>
      </c>
      <c r="AF1853" s="2">
        <f t="shared" si="20"/>
      </c>
      <c r="AG1853" s="2">
        <f t="shared" si="21"/>
      </c>
      <c r="AH1853" s="2">
        <f t="shared" si="22"/>
      </c>
      <c r="AI1853" s="2">
        <f t="shared" si="23"/>
      </c>
      <c r="AJ1853" s="2">
        <f t="shared" si="24"/>
        <v>0</v>
      </c>
      <c r="AK1853" s="2">
        <f t="shared" si="25"/>
        <v>0</v>
      </c>
      <c r="AL1853" s="2">
        <f t="shared" si="26"/>
        <v>0</v>
      </c>
      <c r="AM1853" s="2">
        <f t="shared" si="27"/>
        <v>0</v>
      </c>
      <c r="AN1853" s="2">
        <f t="shared" si="28"/>
        <v>0</v>
      </c>
      <c r="AO1853" s="2">
        <f t="shared" si="29"/>
      </c>
      <c r="AP1853" s="2">
        <f t="shared" si="30"/>
      </c>
      <c r="AQ1853" s="2">
        <f t="shared" si="31"/>
      </c>
    </row>
    <row r="1854">
      <c r="A1854" s="43">
        <f t="shared" si="3"/>
      </c>
      <c r="B1854" s="44" t="n"/>
      <c r="C1854" s="45" t="n"/>
      <c r="D1854" s="46" t="n"/>
      <c r="E1854" s="47" t="n"/>
      <c r="F1854" s="47" t="n"/>
      <c r="G1854" s="48">
        <f t="shared" si="4"/>
      </c>
      <c r="H1854" s="43">
        <f t="shared" si="0"/>
      </c>
      <c r="I1854" s="43">
        <f t="shared" si="5"/>
      </c>
      <c r="J1854" s="43">
        <f t="shared" si="1"/>
      </c>
      <c r="K1854" s="49">
        <f t="shared" si="2"/>
      </c>
      <c r="L1854" s="45" t="n"/>
      <c r="M1854" s="45" t="n"/>
      <c r="N1854" s="45" t="n"/>
      <c r="O1854" s="45" t="n"/>
      <c r="P1854" s="50" t="n"/>
      <c r="R1854" s="2">
        <f t="shared" si="6"/>
        <v>0</v>
      </c>
      <c r="S1854" s="2">
        <f t="shared" si="7"/>
      </c>
      <c r="T1854" s="2">
        <f t="shared" si="8"/>
      </c>
      <c r="U1854" s="2">
        <f t="shared" si="9"/>
      </c>
      <c r="V1854" s="2">
        <f t="shared" si="10"/>
      </c>
      <c r="W1854" s="2">
        <f t="shared" si="11"/>
      </c>
      <c r="X1854" s="2">
        <f t="shared" si="12"/>
      </c>
      <c r="Y1854" s="2">
        <f t="shared" si="13"/>
        <v>0</v>
      </c>
      <c r="Z1854" s="2">
        <f t="shared" si="14"/>
      </c>
      <c r="AA1854" s="2">
        <f t="shared" si="15"/>
        <v>0</v>
      </c>
      <c r="AB1854" s="2">
        <f t="shared" si="16"/>
      </c>
      <c r="AC1854" s="2">
        <f t="shared" si="17"/>
      </c>
      <c r="AD1854" s="2">
        <f t="shared" si="18"/>
      </c>
      <c r="AE1854" s="2">
        <f t="shared" si="19"/>
      </c>
      <c r="AF1854" s="2">
        <f t="shared" si="20"/>
      </c>
      <c r="AG1854" s="2">
        <f t="shared" si="21"/>
      </c>
      <c r="AH1854" s="2">
        <f t="shared" si="22"/>
      </c>
      <c r="AI1854" s="2">
        <f t="shared" si="23"/>
      </c>
      <c r="AJ1854" s="2">
        <f t="shared" si="24"/>
        <v>0</v>
      </c>
      <c r="AK1854" s="2">
        <f t="shared" si="25"/>
        <v>0</v>
      </c>
      <c r="AL1854" s="2">
        <f t="shared" si="26"/>
        <v>0</v>
      </c>
      <c r="AM1854" s="2">
        <f t="shared" si="27"/>
        <v>0</v>
      </c>
      <c r="AN1854" s="2">
        <f t="shared" si="28"/>
        <v>0</v>
      </c>
      <c r="AO1854" s="2">
        <f t="shared" si="29"/>
      </c>
      <c r="AP1854" s="2">
        <f t="shared" si="30"/>
      </c>
      <c r="AQ1854" s="2">
        <f t="shared" si="31"/>
      </c>
    </row>
    <row r="1855">
      <c r="A1855" s="43">
        <f t="shared" si="3"/>
      </c>
      <c r="B1855" s="44" t="n"/>
      <c r="C1855" s="45" t="n"/>
      <c r="D1855" s="46" t="n"/>
      <c r="E1855" s="47" t="n"/>
      <c r="F1855" s="47" t="n"/>
      <c r="G1855" s="48">
        <f t="shared" si="4"/>
      </c>
      <c r="H1855" s="43">
        <f t="shared" si="0"/>
      </c>
      <c r="I1855" s="43">
        <f t="shared" si="5"/>
      </c>
      <c r="J1855" s="43">
        <f t="shared" si="1"/>
      </c>
      <c r="K1855" s="49">
        <f t="shared" si="2"/>
      </c>
      <c r="L1855" s="45" t="n"/>
      <c r="M1855" s="45" t="n"/>
      <c r="N1855" s="45" t="n"/>
      <c r="O1855" s="45" t="n"/>
      <c r="P1855" s="50" t="n"/>
      <c r="R1855" s="2">
        <f t="shared" si="6"/>
        <v>0</v>
      </c>
      <c r="S1855" s="2">
        <f t="shared" si="7"/>
      </c>
      <c r="T1855" s="2">
        <f t="shared" si="8"/>
      </c>
      <c r="U1855" s="2">
        <f t="shared" si="9"/>
      </c>
      <c r="V1855" s="2">
        <f t="shared" si="10"/>
      </c>
      <c r="W1855" s="2">
        <f t="shared" si="11"/>
      </c>
      <c r="X1855" s="2">
        <f t="shared" si="12"/>
      </c>
      <c r="Y1855" s="2">
        <f t="shared" si="13"/>
        <v>0</v>
      </c>
      <c r="Z1855" s="2">
        <f t="shared" si="14"/>
      </c>
      <c r="AA1855" s="2">
        <f t="shared" si="15"/>
        <v>0</v>
      </c>
      <c r="AB1855" s="2">
        <f t="shared" si="16"/>
      </c>
      <c r="AC1855" s="2">
        <f t="shared" si="17"/>
      </c>
      <c r="AD1855" s="2">
        <f t="shared" si="18"/>
      </c>
      <c r="AE1855" s="2">
        <f t="shared" si="19"/>
      </c>
      <c r="AF1855" s="2">
        <f t="shared" si="20"/>
      </c>
      <c r="AG1855" s="2">
        <f t="shared" si="21"/>
      </c>
      <c r="AH1855" s="2">
        <f t="shared" si="22"/>
      </c>
      <c r="AI1855" s="2">
        <f t="shared" si="23"/>
      </c>
      <c r="AJ1855" s="2">
        <f t="shared" si="24"/>
        <v>0</v>
      </c>
      <c r="AK1855" s="2">
        <f t="shared" si="25"/>
        <v>0</v>
      </c>
      <c r="AL1855" s="2">
        <f t="shared" si="26"/>
        <v>0</v>
      </c>
      <c r="AM1855" s="2">
        <f t="shared" si="27"/>
        <v>0</v>
      </c>
      <c r="AN1855" s="2">
        <f t="shared" si="28"/>
        <v>0</v>
      </c>
      <c r="AO1855" s="2">
        <f t="shared" si="29"/>
      </c>
      <c r="AP1855" s="2">
        <f t="shared" si="30"/>
      </c>
      <c r="AQ1855" s="2">
        <f t="shared" si="31"/>
      </c>
    </row>
    <row r="1856">
      <c r="A1856" s="43">
        <f t="shared" si="3"/>
      </c>
      <c r="B1856" s="44" t="n"/>
      <c r="C1856" s="45" t="n"/>
      <c r="D1856" s="46" t="n"/>
      <c r="E1856" s="47" t="n"/>
      <c r="F1856" s="47" t="n"/>
      <c r="G1856" s="48">
        <f t="shared" si="4"/>
      </c>
      <c r="H1856" s="43">
        <f t="shared" si="0"/>
      </c>
      <c r="I1856" s="43">
        <f t="shared" si="5"/>
      </c>
      <c r="J1856" s="43">
        <f t="shared" si="1"/>
      </c>
      <c r="K1856" s="49">
        <f t="shared" si="2"/>
      </c>
      <c r="L1856" s="45" t="n"/>
      <c r="M1856" s="45" t="n"/>
      <c r="N1856" s="45" t="n"/>
      <c r="O1856" s="45" t="n"/>
      <c r="P1856" s="50" t="n"/>
      <c r="R1856" s="2">
        <f t="shared" si="6"/>
        <v>0</v>
      </c>
      <c r="S1856" s="2">
        <f t="shared" si="7"/>
      </c>
      <c r="T1856" s="2">
        <f t="shared" si="8"/>
      </c>
      <c r="U1856" s="2">
        <f t="shared" si="9"/>
      </c>
      <c r="V1856" s="2">
        <f t="shared" si="10"/>
      </c>
      <c r="W1856" s="2">
        <f t="shared" si="11"/>
      </c>
      <c r="X1856" s="2">
        <f t="shared" si="12"/>
      </c>
      <c r="Y1856" s="2">
        <f t="shared" si="13"/>
        <v>0</v>
      </c>
      <c r="Z1856" s="2">
        <f t="shared" si="14"/>
      </c>
      <c r="AA1856" s="2">
        <f t="shared" si="15"/>
        <v>0</v>
      </c>
      <c r="AB1856" s="2">
        <f t="shared" si="16"/>
      </c>
      <c r="AC1856" s="2">
        <f t="shared" si="17"/>
      </c>
      <c r="AD1856" s="2">
        <f t="shared" si="18"/>
      </c>
      <c r="AE1856" s="2">
        <f t="shared" si="19"/>
      </c>
      <c r="AF1856" s="2">
        <f t="shared" si="20"/>
      </c>
      <c r="AG1856" s="2">
        <f t="shared" si="21"/>
      </c>
      <c r="AH1856" s="2">
        <f t="shared" si="22"/>
      </c>
      <c r="AI1856" s="2">
        <f t="shared" si="23"/>
      </c>
      <c r="AJ1856" s="2">
        <f t="shared" si="24"/>
        <v>0</v>
      </c>
      <c r="AK1856" s="2">
        <f t="shared" si="25"/>
        <v>0</v>
      </c>
      <c r="AL1856" s="2">
        <f t="shared" si="26"/>
        <v>0</v>
      </c>
      <c r="AM1856" s="2">
        <f t="shared" si="27"/>
        <v>0</v>
      </c>
      <c r="AN1856" s="2">
        <f t="shared" si="28"/>
        <v>0</v>
      </c>
      <c r="AO1856" s="2">
        <f t="shared" si="29"/>
      </c>
      <c r="AP1856" s="2">
        <f t="shared" si="30"/>
      </c>
      <c r="AQ1856" s="2">
        <f t="shared" si="31"/>
      </c>
    </row>
    <row r="1857">
      <c r="A1857" s="43">
        <f t="shared" si="3"/>
      </c>
      <c r="B1857" s="44" t="n"/>
      <c r="C1857" s="45" t="n"/>
      <c r="D1857" s="46" t="n"/>
      <c r="E1857" s="47" t="n"/>
      <c r="F1857" s="47" t="n"/>
      <c r="G1857" s="48">
        <f t="shared" si="4"/>
      </c>
      <c r="H1857" s="43">
        <f t="shared" si="0"/>
      </c>
      <c r="I1857" s="43">
        <f t="shared" si="5"/>
      </c>
      <c r="J1857" s="43">
        <f t="shared" si="1"/>
      </c>
      <c r="K1857" s="49">
        <f t="shared" si="2"/>
      </c>
      <c r="L1857" s="45" t="n"/>
      <c r="M1857" s="45" t="n"/>
      <c r="N1857" s="45" t="n"/>
      <c r="O1857" s="45" t="n"/>
      <c r="P1857" s="50" t="n"/>
      <c r="R1857" s="2">
        <f t="shared" si="6"/>
        <v>0</v>
      </c>
      <c r="S1857" s="2">
        <f t="shared" si="7"/>
      </c>
      <c r="T1857" s="2">
        <f t="shared" si="8"/>
      </c>
      <c r="U1857" s="2">
        <f t="shared" si="9"/>
      </c>
      <c r="V1857" s="2">
        <f t="shared" si="10"/>
      </c>
      <c r="W1857" s="2">
        <f t="shared" si="11"/>
      </c>
      <c r="X1857" s="2">
        <f t="shared" si="12"/>
      </c>
      <c r="Y1857" s="2">
        <f t="shared" si="13"/>
        <v>0</v>
      </c>
      <c r="Z1857" s="2">
        <f t="shared" si="14"/>
      </c>
      <c r="AA1857" s="2">
        <f t="shared" si="15"/>
        <v>0</v>
      </c>
      <c r="AB1857" s="2">
        <f t="shared" si="16"/>
      </c>
      <c r="AC1857" s="2">
        <f t="shared" si="17"/>
      </c>
      <c r="AD1857" s="2">
        <f t="shared" si="18"/>
      </c>
      <c r="AE1857" s="2">
        <f t="shared" si="19"/>
      </c>
      <c r="AF1857" s="2">
        <f t="shared" si="20"/>
      </c>
      <c r="AG1857" s="2">
        <f t="shared" si="21"/>
      </c>
      <c r="AH1857" s="2">
        <f t="shared" si="22"/>
      </c>
      <c r="AI1857" s="2">
        <f t="shared" si="23"/>
      </c>
      <c r="AJ1857" s="2">
        <f t="shared" si="24"/>
        <v>0</v>
      </c>
      <c r="AK1857" s="2">
        <f t="shared" si="25"/>
        <v>0</v>
      </c>
      <c r="AL1857" s="2">
        <f t="shared" si="26"/>
        <v>0</v>
      </c>
      <c r="AM1857" s="2">
        <f t="shared" si="27"/>
        <v>0</v>
      </c>
      <c r="AN1857" s="2">
        <f t="shared" si="28"/>
        <v>0</v>
      </c>
      <c r="AO1857" s="2">
        <f t="shared" si="29"/>
      </c>
      <c r="AP1857" s="2">
        <f t="shared" si="30"/>
      </c>
      <c r="AQ1857" s="2">
        <f t="shared" si="31"/>
      </c>
    </row>
    <row r="1858">
      <c r="A1858" s="43">
        <f t="shared" si="3"/>
      </c>
      <c r="B1858" s="44" t="n"/>
      <c r="C1858" s="45" t="n"/>
      <c r="D1858" s="46" t="n"/>
      <c r="E1858" s="47" t="n"/>
      <c r="F1858" s="47" t="n"/>
      <c r="G1858" s="48">
        <f t="shared" si="4"/>
      </c>
      <c r="H1858" s="43">
        <f t="shared" si="0"/>
      </c>
      <c r="I1858" s="43">
        <f t="shared" si="5"/>
      </c>
      <c r="J1858" s="43">
        <f t="shared" si="1"/>
      </c>
      <c r="K1858" s="49">
        <f t="shared" si="2"/>
      </c>
      <c r="L1858" s="45" t="n"/>
      <c r="M1858" s="45" t="n"/>
      <c r="N1858" s="45" t="n"/>
      <c r="O1858" s="45" t="n"/>
      <c r="P1858" s="50" t="n"/>
      <c r="R1858" s="2">
        <f t="shared" si="6"/>
        <v>0</v>
      </c>
      <c r="S1858" s="2">
        <f t="shared" si="7"/>
      </c>
      <c r="T1858" s="2">
        <f t="shared" si="8"/>
      </c>
      <c r="U1858" s="2">
        <f t="shared" si="9"/>
      </c>
      <c r="V1858" s="2">
        <f t="shared" si="10"/>
      </c>
      <c r="W1858" s="2">
        <f t="shared" si="11"/>
      </c>
      <c r="X1858" s="2">
        <f t="shared" si="12"/>
      </c>
      <c r="Y1858" s="2">
        <f t="shared" si="13"/>
        <v>0</v>
      </c>
      <c r="Z1858" s="2">
        <f t="shared" si="14"/>
      </c>
      <c r="AA1858" s="2">
        <f t="shared" si="15"/>
        <v>0</v>
      </c>
      <c r="AB1858" s="2">
        <f t="shared" si="16"/>
      </c>
      <c r="AC1858" s="2">
        <f t="shared" si="17"/>
      </c>
      <c r="AD1858" s="2">
        <f t="shared" si="18"/>
      </c>
      <c r="AE1858" s="2">
        <f t="shared" si="19"/>
      </c>
      <c r="AF1858" s="2">
        <f t="shared" si="20"/>
      </c>
      <c r="AG1858" s="2">
        <f t="shared" si="21"/>
      </c>
      <c r="AH1858" s="2">
        <f t="shared" si="22"/>
      </c>
      <c r="AI1858" s="2">
        <f t="shared" si="23"/>
      </c>
      <c r="AJ1858" s="2">
        <f t="shared" si="24"/>
        <v>0</v>
      </c>
      <c r="AK1858" s="2">
        <f t="shared" si="25"/>
        <v>0</v>
      </c>
      <c r="AL1858" s="2">
        <f t="shared" si="26"/>
        <v>0</v>
      </c>
      <c r="AM1858" s="2">
        <f t="shared" si="27"/>
        <v>0</v>
      </c>
      <c r="AN1858" s="2">
        <f t="shared" si="28"/>
        <v>0</v>
      </c>
      <c r="AO1858" s="2">
        <f t="shared" si="29"/>
      </c>
      <c r="AP1858" s="2">
        <f t="shared" si="30"/>
      </c>
      <c r="AQ1858" s="2">
        <f t="shared" si="31"/>
      </c>
    </row>
    <row r="1859">
      <c r="A1859" s="43">
        <f t="shared" si="3"/>
      </c>
      <c r="B1859" s="44" t="n"/>
      <c r="C1859" s="45" t="n"/>
      <c r="D1859" s="46" t="n"/>
      <c r="E1859" s="47" t="n"/>
      <c r="F1859" s="47" t="n"/>
      <c r="G1859" s="48">
        <f t="shared" si="4"/>
      </c>
      <c r="H1859" s="43">
        <f t="shared" si="0"/>
      </c>
      <c r="I1859" s="43">
        <f t="shared" si="5"/>
      </c>
      <c r="J1859" s="43">
        <f t="shared" si="1"/>
      </c>
      <c r="K1859" s="49">
        <f t="shared" si="2"/>
      </c>
      <c r="L1859" s="45" t="n"/>
      <c r="M1859" s="45" t="n"/>
      <c r="N1859" s="45" t="n"/>
      <c r="O1859" s="45" t="n"/>
      <c r="P1859" s="50" t="n"/>
      <c r="R1859" s="2">
        <f t="shared" si="6"/>
        <v>0</v>
      </c>
      <c r="S1859" s="2">
        <f t="shared" si="7"/>
      </c>
      <c r="T1859" s="2">
        <f t="shared" si="8"/>
      </c>
      <c r="U1859" s="2">
        <f t="shared" si="9"/>
      </c>
      <c r="V1859" s="2">
        <f t="shared" si="10"/>
      </c>
      <c r="W1859" s="2">
        <f t="shared" si="11"/>
      </c>
      <c r="X1859" s="2">
        <f t="shared" si="12"/>
      </c>
      <c r="Y1859" s="2">
        <f t="shared" si="13"/>
        <v>0</v>
      </c>
      <c r="Z1859" s="2">
        <f t="shared" si="14"/>
      </c>
      <c r="AA1859" s="2">
        <f t="shared" si="15"/>
        <v>0</v>
      </c>
      <c r="AB1859" s="2">
        <f t="shared" si="16"/>
      </c>
      <c r="AC1859" s="2">
        <f t="shared" si="17"/>
      </c>
      <c r="AD1859" s="2">
        <f t="shared" si="18"/>
      </c>
      <c r="AE1859" s="2">
        <f t="shared" si="19"/>
      </c>
      <c r="AF1859" s="2">
        <f t="shared" si="20"/>
      </c>
      <c r="AG1859" s="2">
        <f t="shared" si="21"/>
      </c>
      <c r="AH1859" s="2">
        <f t="shared" si="22"/>
      </c>
      <c r="AI1859" s="2">
        <f t="shared" si="23"/>
      </c>
      <c r="AJ1859" s="2">
        <f t="shared" si="24"/>
        <v>0</v>
      </c>
      <c r="AK1859" s="2">
        <f t="shared" si="25"/>
        <v>0</v>
      </c>
      <c r="AL1859" s="2">
        <f t="shared" si="26"/>
        <v>0</v>
      </c>
      <c r="AM1859" s="2">
        <f t="shared" si="27"/>
        <v>0</v>
      </c>
      <c r="AN1859" s="2">
        <f t="shared" si="28"/>
        <v>0</v>
      </c>
      <c r="AO1859" s="2">
        <f t="shared" si="29"/>
      </c>
      <c r="AP1859" s="2">
        <f t="shared" si="30"/>
      </c>
      <c r="AQ1859" s="2">
        <f t="shared" si="31"/>
      </c>
    </row>
    <row r="1860">
      <c r="A1860" s="43">
        <f t="shared" si="3"/>
      </c>
      <c r="B1860" s="44" t="n"/>
      <c r="C1860" s="45" t="n"/>
      <c r="D1860" s="46" t="n"/>
      <c r="E1860" s="47" t="n"/>
      <c r="F1860" s="47" t="n"/>
      <c r="G1860" s="48">
        <f t="shared" si="4"/>
      </c>
      <c r="H1860" s="43">
        <f t="shared" si="0"/>
      </c>
      <c r="I1860" s="43">
        <f t="shared" si="5"/>
      </c>
      <c r="J1860" s="43">
        <f t="shared" si="1"/>
      </c>
      <c r="K1860" s="49">
        <f t="shared" si="2"/>
      </c>
      <c r="L1860" s="45" t="n"/>
      <c r="M1860" s="45" t="n"/>
      <c r="N1860" s="45" t="n"/>
      <c r="O1860" s="45" t="n"/>
      <c r="P1860" s="50" t="n"/>
      <c r="R1860" s="2">
        <f t="shared" si="6"/>
        <v>0</v>
      </c>
      <c r="S1860" s="2">
        <f t="shared" si="7"/>
      </c>
      <c r="T1860" s="2">
        <f t="shared" si="8"/>
      </c>
      <c r="U1860" s="2">
        <f t="shared" si="9"/>
      </c>
      <c r="V1860" s="2">
        <f t="shared" si="10"/>
      </c>
      <c r="W1860" s="2">
        <f t="shared" si="11"/>
      </c>
      <c r="X1860" s="2">
        <f t="shared" si="12"/>
      </c>
      <c r="Y1860" s="2">
        <f t="shared" si="13"/>
        <v>0</v>
      </c>
      <c r="Z1860" s="2">
        <f t="shared" si="14"/>
      </c>
      <c r="AA1860" s="2">
        <f t="shared" si="15"/>
        <v>0</v>
      </c>
      <c r="AB1860" s="2">
        <f t="shared" si="16"/>
      </c>
      <c r="AC1860" s="2">
        <f t="shared" si="17"/>
      </c>
      <c r="AD1860" s="2">
        <f t="shared" si="18"/>
      </c>
      <c r="AE1860" s="2">
        <f t="shared" si="19"/>
      </c>
      <c r="AF1860" s="2">
        <f t="shared" si="20"/>
      </c>
      <c r="AG1860" s="2">
        <f t="shared" si="21"/>
      </c>
      <c r="AH1860" s="2">
        <f t="shared" si="22"/>
      </c>
      <c r="AI1860" s="2">
        <f t="shared" si="23"/>
      </c>
      <c r="AJ1860" s="2">
        <f t="shared" si="24"/>
        <v>0</v>
      </c>
      <c r="AK1860" s="2">
        <f t="shared" si="25"/>
        <v>0</v>
      </c>
      <c r="AL1860" s="2">
        <f t="shared" si="26"/>
        <v>0</v>
      </c>
      <c r="AM1860" s="2">
        <f t="shared" si="27"/>
        <v>0</v>
      </c>
      <c r="AN1860" s="2">
        <f t="shared" si="28"/>
        <v>0</v>
      </c>
      <c r="AO1860" s="2">
        <f t="shared" si="29"/>
      </c>
      <c r="AP1860" s="2">
        <f t="shared" si="30"/>
      </c>
      <c r="AQ1860" s="2">
        <f t="shared" si="31"/>
      </c>
    </row>
    <row r="1861">
      <c r="A1861" s="43">
        <f t="shared" si="3"/>
      </c>
      <c r="B1861" s="44" t="n"/>
      <c r="C1861" s="45" t="n"/>
      <c r="D1861" s="46" t="n"/>
      <c r="E1861" s="47" t="n"/>
      <c r="F1861" s="47" t="n"/>
      <c r="G1861" s="48">
        <f t="shared" si="4"/>
      </c>
      <c r="H1861" s="43">
        <f t="shared" si="0"/>
      </c>
      <c r="I1861" s="43">
        <f t="shared" si="5"/>
      </c>
      <c r="J1861" s="43">
        <f t="shared" si="1"/>
      </c>
      <c r="K1861" s="49">
        <f t="shared" si="2"/>
      </c>
      <c r="L1861" s="45" t="n"/>
      <c r="M1861" s="45" t="n"/>
      <c r="N1861" s="45" t="n"/>
      <c r="O1861" s="45" t="n"/>
      <c r="P1861" s="50" t="n"/>
      <c r="R1861" s="2">
        <f t="shared" si="6"/>
        <v>0</v>
      </c>
      <c r="S1861" s="2">
        <f t="shared" si="7"/>
      </c>
      <c r="T1861" s="2">
        <f t="shared" si="8"/>
      </c>
      <c r="U1861" s="2">
        <f t="shared" si="9"/>
      </c>
      <c r="V1861" s="2">
        <f t="shared" si="10"/>
      </c>
      <c r="W1861" s="2">
        <f t="shared" si="11"/>
      </c>
      <c r="X1861" s="2">
        <f t="shared" si="12"/>
      </c>
      <c r="Y1861" s="2">
        <f t="shared" si="13"/>
        <v>0</v>
      </c>
      <c r="Z1861" s="2">
        <f t="shared" si="14"/>
      </c>
      <c r="AA1861" s="2">
        <f t="shared" si="15"/>
        <v>0</v>
      </c>
      <c r="AB1861" s="2">
        <f t="shared" si="16"/>
      </c>
      <c r="AC1861" s="2">
        <f t="shared" si="17"/>
      </c>
      <c r="AD1861" s="2">
        <f t="shared" si="18"/>
      </c>
      <c r="AE1861" s="2">
        <f t="shared" si="19"/>
      </c>
      <c r="AF1861" s="2">
        <f t="shared" si="20"/>
      </c>
      <c r="AG1861" s="2">
        <f t="shared" si="21"/>
      </c>
      <c r="AH1861" s="2">
        <f t="shared" si="22"/>
      </c>
      <c r="AI1861" s="2">
        <f t="shared" si="23"/>
      </c>
      <c r="AJ1861" s="2">
        <f t="shared" si="24"/>
        <v>0</v>
      </c>
      <c r="AK1861" s="2">
        <f t="shared" si="25"/>
        <v>0</v>
      </c>
      <c r="AL1861" s="2">
        <f t="shared" si="26"/>
        <v>0</v>
      </c>
      <c r="AM1861" s="2">
        <f t="shared" si="27"/>
        <v>0</v>
      </c>
      <c r="AN1861" s="2">
        <f t="shared" si="28"/>
        <v>0</v>
      </c>
      <c r="AO1861" s="2">
        <f t="shared" si="29"/>
      </c>
      <c r="AP1861" s="2">
        <f t="shared" si="30"/>
      </c>
      <c r="AQ1861" s="2">
        <f t="shared" si="31"/>
      </c>
    </row>
    <row r="1862">
      <c r="A1862" s="43">
        <f t="shared" si="3"/>
      </c>
      <c r="B1862" s="44" t="n"/>
      <c r="C1862" s="45" t="n"/>
      <c r="D1862" s="46" t="n"/>
      <c r="E1862" s="47" t="n"/>
      <c r="F1862" s="47" t="n"/>
      <c r="G1862" s="48">
        <f t="shared" si="4"/>
      </c>
      <c r="H1862" s="43">
        <f t="shared" si="0"/>
      </c>
      <c r="I1862" s="43">
        <f t="shared" si="5"/>
      </c>
      <c r="J1862" s="43">
        <f t="shared" si="1"/>
      </c>
      <c r="K1862" s="49">
        <f t="shared" si="2"/>
      </c>
      <c r="L1862" s="45" t="n"/>
      <c r="M1862" s="45" t="n"/>
      <c r="N1862" s="45" t="n"/>
      <c r="O1862" s="45" t="n"/>
      <c r="P1862" s="50" t="n"/>
      <c r="R1862" s="2">
        <f t="shared" si="6"/>
        <v>0</v>
      </c>
      <c r="S1862" s="2">
        <f t="shared" si="7"/>
      </c>
      <c r="T1862" s="2">
        <f t="shared" si="8"/>
      </c>
      <c r="U1862" s="2">
        <f t="shared" si="9"/>
      </c>
      <c r="V1862" s="2">
        <f t="shared" si="10"/>
      </c>
      <c r="W1862" s="2">
        <f t="shared" si="11"/>
      </c>
      <c r="X1862" s="2">
        <f t="shared" si="12"/>
      </c>
      <c r="Y1862" s="2">
        <f t="shared" si="13"/>
        <v>0</v>
      </c>
      <c r="Z1862" s="2">
        <f t="shared" si="14"/>
      </c>
      <c r="AA1862" s="2">
        <f t="shared" si="15"/>
        <v>0</v>
      </c>
      <c r="AB1862" s="2">
        <f t="shared" si="16"/>
      </c>
      <c r="AC1862" s="2">
        <f t="shared" si="17"/>
      </c>
      <c r="AD1862" s="2">
        <f t="shared" si="18"/>
      </c>
      <c r="AE1862" s="2">
        <f t="shared" si="19"/>
      </c>
      <c r="AF1862" s="2">
        <f t="shared" si="20"/>
      </c>
      <c r="AG1862" s="2">
        <f t="shared" si="21"/>
      </c>
      <c r="AH1862" s="2">
        <f t="shared" si="22"/>
      </c>
      <c r="AI1862" s="2">
        <f t="shared" si="23"/>
      </c>
      <c r="AJ1862" s="2">
        <f t="shared" si="24"/>
        <v>0</v>
      </c>
      <c r="AK1862" s="2">
        <f t="shared" si="25"/>
        <v>0</v>
      </c>
      <c r="AL1862" s="2">
        <f t="shared" si="26"/>
        <v>0</v>
      </c>
      <c r="AM1862" s="2">
        <f t="shared" si="27"/>
        <v>0</v>
      </c>
      <c r="AN1862" s="2">
        <f t="shared" si="28"/>
        <v>0</v>
      </c>
      <c r="AO1862" s="2">
        <f t="shared" si="29"/>
      </c>
      <c r="AP1862" s="2">
        <f t="shared" si="30"/>
      </c>
      <c r="AQ1862" s="2">
        <f t="shared" si="31"/>
      </c>
    </row>
    <row r="1863">
      <c r="A1863" s="43">
        <f t="shared" si="3"/>
      </c>
      <c r="B1863" s="44" t="n"/>
      <c r="C1863" s="45" t="n"/>
      <c r="D1863" s="46" t="n"/>
      <c r="E1863" s="47" t="n"/>
      <c r="F1863" s="47" t="n"/>
      <c r="G1863" s="48">
        <f t="shared" si="4"/>
      </c>
      <c r="H1863" s="43">
        <f t="shared" si="0"/>
      </c>
      <c r="I1863" s="43">
        <f t="shared" si="5"/>
      </c>
      <c r="J1863" s="43">
        <f t="shared" si="1"/>
      </c>
      <c r="K1863" s="49">
        <f t="shared" si="2"/>
      </c>
      <c r="L1863" s="45" t="n"/>
      <c r="M1863" s="45" t="n"/>
      <c r="N1863" s="45" t="n"/>
      <c r="O1863" s="45" t="n"/>
      <c r="P1863" s="50" t="n"/>
      <c r="R1863" s="2">
        <f t="shared" si="6"/>
        <v>0</v>
      </c>
      <c r="S1863" s="2">
        <f t="shared" si="7"/>
      </c>
      <c r="T1863" s="2">
        <f t="shared" si="8"/>
      </c>
      <c r="U1863" s="2">
        <f t="shared" si="9"/>
      </c>
      <c r="V1863" s="2">
        <f t="shared" si="10"/>
      </c>
      <c r="W1863" s="2">
        <f t="shared" si="11"/>
      </c>
      <c r="X1863" s="2">
        <f t="shared" si="12"/>
      </c>
      <c r="Y1863" s="2">
        <f t="shared" si="13"/>
        <v>0</v>
      </c>
      <c r="Z1863" s="2">
        <f t="shared" si="14"/>
      </c>
      <c r="AA1863" s="2">
        <f t="shared" si="15"/>
        <v>0</v>
      </c>
      <c r="AB1863" s="2">
        <f t="shared" si="16"/>
      </c>
      <c r="AC1863" s="2">
        <f t="shared" si="17"/>
      </c>
      <c r="AD1863" s="2">
        <f t="shared" si="18"/>
      </c>
      <c r="AE1863" s="2">
        <f t="shared" si="19"/>
      </c>
      <c r="AF1863" s="2">
        <f t="shared" si="20"/>
      </c>
      <c r="AG1863" s="2">
        <f t="shared" si="21"/>
      </c>
      <c r="AH1863" s="2">
        <f t="shared" si="22"/>
      </c>
      <c r="AI1863" s="2">
        <f t="shared" si="23"/>
      </c>
      <c r="AJ1863" s="2">
        <f t="shared" si="24"/>
        <v>0</v>
      </c>
      <c r="AK1863" s="2">
        <f t="shared" si="25"/>
        <v>0</v>
      </c>
      <c r="AL1863" s="2">
        <f t="shared" si="26"/>
        <v>0</v>
      </c>
      <c r="AM1863" s="2">
        <f t="shared" si="27"/>
        <v>0</v>
      </c>
      <c r="AN1863" s="2">
        <f t="shared" si="28"/>
        <v>0</v>
      </c>
      <c r="AO1863" s="2">
        <f t="shared" si="29"/>
      </c>
      <c r="AP1863" s="2">
        <f t="shared" si="30"/>
      </c>
      <c r="AQ1863" s="2">
        <f t="shared" si="31"/>
      </c>
    </row>
    <row r="1864">
      <c r="A1864" s="43">
        <f t="shared" si="3"/>
      </c>
      <c r="B1864" s="44" t="n"/>
      <c r="C1864" s="45" t="n"/>
      <c r="D1864" s="46" t="n"/>
      <c r="E1864" s="47" t="n"/>
      <c r="F1864" s="47" t="n"/>
      <c r="G1864" s="48">
        <f t="shared" si="4"/>
      </c>
      <c r="H1864" s="43">
        <f t="shared" si="0"/>
      </c>
      <c r="I1864" s="43">
        <f t="shared" si="5"/>
      </c>
      <c r="J1864" s="43">
        <f t="shared" si="1"/>
      </c>
      <c r="K1864" s="49">
        <f t="shared" si="2"/>
      </c>
      <c r="L1864" s="45" t="n"/>
      <c r="M1864" s="45" t="n"/>
      <c r="N1864" s="45" t="n"/>
      <c r="O1864" s="45" t="n"/>
      <c r="P1864" s="50" t="n"/>
      <c r="R1864" s="2">
        <f t="shared" si="6"/>
        <v>0</v>
      </c>
      <c r="S1864" s="2">
        <f t="shared" si="7"/>
      </c>
      <c r="T1864" s="2">
        <f t="shared" si="8"/>
      </c>
      <c r="U1864" s="2">
        <f t="shared" si="9"/>
      </c>
      <c r="V1864" s="2">
        <f t="shared" si="10"/>
      </c>
      <c r="W1864" s="2">
        <f t="shared" si="11"/>
      </c>
      <c r="X1864" s="2">
        <f t="shared" si="12"/>
      </c>
      <c r="Y1864" s="2">
        <f t="shared" si="13"/>
        <v>0</v>
      </c>
      <c r="Z1864" s="2">
        <f t="shared" si="14"/>
      </c>
      <c r="AA1864" s="2">
        <f t="shared" si="15"/>
        <v>0</v>
      </c>
      <c r="AB1864" s="2">
        <f t="shared" si="16"/>
      </c>
      <c r="AC1864" s="2">
        <f t="shared" si="17"/>
      </c>
      <c r="AD1864" s="2">
        <f t="shared" si="18"/>
      </c>
      <c r="AE1864" s="2">
        <f t="shared" si="19"/>
      </c>
      <c r="AF1864" s="2">
        <f t="shared" si="20"/>
      </c>
      <c r="AG1864" s="2">
        <f t="shared" si="21"/>
      </c>
      <c r="AH1864" s="2">
        <f t="shared" si="22"/>
      </c>
      <c r="AI1864" s="2">
        <f t="shared" si="23"/>
      </c>
      <c r="AJ1864" s="2">
        <f t="shared" si="24"/>
        <v>0</v>
      </c>
      <c r="AK1864" s="2">
        <f t="shared" si="25"/>
        <v>0</v>
      </c>
      <c r="AL1864" s="2">
        <f t="shared" si="26"/>
        <v>0</v>
      </c>
      <c r="AM1864" s="2">
        <f t="shared" si="27"/>
        <v>0</v>
      </c>
      <c r="AN1864" s="2">
        <f t="shared" si="28"/>
        <v>0</v>
      </c>
      <c r="AO1864" s="2">
        <f t="shared" si="29"/>
      </c>
      <c r="AP1864" s="2">
        <f t="shared" si="30"/>
      </c>
      <c r="AQ1864" s="2">
        <f t="shared" si="31"/>
      </c>
    </row>
    <row r="1865">
      <c r="A1865" s="43">
        <f t="shared" si="3"/>
      </c>
      <c r="B1865" s="44" t="n"/>
      <c r="C1865" s="45" t="n"/>
      <c r="D1865" s="46" t="n"/>
      <c r="E1865" s="47" t="n"/>
      <c r="F1865" s="47" t="n"/>
      <c r="G1865" s="48">
        <f t="shared" si="4"/>
      </c>
      <c r="H1865" s="43">
        <f t="shared" si="0"/>
      </c>
      <c r="I1865" s="43">
        <f t="shared" si="5"/>
      </c>
      <c r="J1865" s="43">
        <f t="shared" si="1"/>
      </c>
      <c r="K1865" s="49">
        <f t="shared" si="2"/>
      </c>
      <c r="L1865" s="45" t="n"/>
      <c r="M1865" s="45" t="n"/>
      <c r="N1865" s="45" t="n"/>
      <c r="O1865" s="45" t="n"/>
      <c r="P1865" s="50" t="n"/>
      <c r="R1865" s="2">
        <f t="shared" si="6"/>
        <v>0</v>
      </c>
      <c r="S1865" s="2">
        <f t="shared" si="7"/>
      </c>
      <c r="T1865" s="2">
        <f t="shared" si="8"/>
      </c>
      <c r="U1865" s="2">
        <f t="shared" si="9"/>
      </c>
      <c r="V1865" s="2">
        <f t="shared" si="10"/>
      </c>
      <c r="W1865" s="2">
        <f t="shared" si="11"/>
      </c>
      <c r="X1865" s="2">
        <f t="shared" si="12"/>
      </c>
      <c r="Y1865" s="2">
        <f t="shared" si="13"/>
        <v>0</v>
      </c>
      <c r="Z1865" s="2">
        <f t="shared" si="14"/>
      </c>
      <c r="AA1865" s="2">
        <f t="shared" si="15"/>
        <v>0</v>
      </c>
      <c r="AB1865" s="2">
        <f t="shared" si="16"/>
      </c>
      <c r="AC1865" s="2">
        <f t="shared" si="17"/>
      </c>
      <c r="AD1865" s="2">
        <f t="shared" si="18"/>
      </c>
      <c r="AE1865" s="2">
        <f t="shared" si="19"/>
      </c>
      <c r="AF1865" s="2">
        <f t="shared" si="20"/>
      </c>
      <c r="AG1865" s="2">
        <f t="shared" si="21"/>
      </c>
      <c r="AH1865" s="2">
        <f t="shared" si="22"/>
      </c>
      <c r="AI1865" s="2">
        <f t="shared" si="23"/>
      </c>
      <c r="AJ1865" s="2">
        <f t="shared" si="24"/>
        <v>0</v>
      </c>
      <c r="AK1865" s="2">
        <f t="shared" si="25"/>
        <v>0</v>
      </c>
      <c r="AL1865" s="2">
        <f t="shared" si="26"/>
        <v>0</v>
      </c>
      <c r="AM1865" s="2">
        <f t="shared" si="27"/>
        <v>0</v>
      </c>
      <c r="AN1865" s="2">
        <f t="shared" si="28"/>
        <v>0</v>
      </c>
      <c r="AO1865" s="2">
        <f t="shared" si="29"/>
      </c>
      <c r="AP1865" s="2">
        <f t="shared" si="30"/>
      </c>
      <c r="AQ1865" s="2">
        <f t="shared" si="31"/>
      </c>
    </row>
    <row r="1866">
      <c r="A1866" s="43">
        <f t="shared" si="3"/>
      </c>
      <c r="B1866" s="44" t="n"/>
      <c r="C1866" s="45" t="n"/>
      <c r="D1866" s="46" t="n"/>
      <c r="E1866" s="47" t="n"/>
      <c r="F1866" s="47" t="n"/>
      <c r="G1866" s="48">
        <f t="shared" si="4"/>
      </c>
      <c r="H1866" s="43">
        <f t="shared" si="0"/>
      </c>
      <c r="I1866" s="43">
        <f t="shared" si="5"/>
      </c>
      <c r="J1866" s="43">
        <f t="shared" si="1"/>
      </c>
      <c r="K1866" s="49">
        <f t="shared" si="2"/>
      </c>
      <c r="L1866" s="45" t="n"/>
      <c r="M1866" s="45" t="n"/>
      <c r="N1866" s="45" t="n"/>
      <c r="O1866" s="45" t="n"/>
      <c r="P1866" s="50" t="n"/>
      <c r="R1866" s="2">
        <f t="shared" si="6"/>
        <v>0</v>
      </c>
      <c r="S1866" s="2">
        <f t="shared" si="7"/>
      </c>
      <c r="T1866" s="2">
        <f t="shared" si="8"/>
      </c>
      <c r="U1866" s="2">
        <f t="shared" si="9"/>
      </c>
      <c r="V1866" s="2">
        <f t="shared" si="10"/>
      </c>
      <c r="W1866" s="2">
        <f t="shared" si="11"/>
      </c>
      <c r="X1866" s="2">
        <f t="shared" si="12"/>
      </c>
      <c r="Y1866" s="2">
        <f t="shared" si="13"/>
        <v>0</v>
      </c>
      <c r="Z1866" s="2">
        <f t="shared" si="14"/>
      </c>
      <c r="AA1866" s="2">
        <f t="shared" si="15"/>
        <v>0</v>
      </c>
      <c r="AB1866" s="2">
        <f t="shared" si="16"/>
      </c>
      <c r="AC1866" s="2">
        <f t="shared" si="17"/>
      </c>
      <c r="AD1866" s="2">
        <f t="shared" si="18"/>
      </c>
      <c r="AE1866" s="2">
        <f t="shared" si="19"/>
      </c>
      <c r="AF1866" s="2">
        <f t="shared" si="20"/>
      </c>
      <c r="AG1866" s="2">
        <f t="shared" si="21"/>
      </c>
      <c r="AH1866" s="2">
        <f t="shared" si="22"/>
      </c>
      <c r="AI1866" s="2">
        <f t="shared" si="23"/>
      </c>
      <c r="AJ1866" s="2">
        <f t="shared" si="24"/>
        <v>0</v>
      </c>
      <c r="AK1866" s="2">
        <f t="shared" si="25"/>
        <v>0</v>
      </c>
      <c r="AL1866" s="2">
        <f t="shared" si="26"/>
        <v>0</v>
      </c>
      <c r="AM1866" s="2">
        <f t="shared" si="27"/>
        <v>0</v>
      </c>
      <c r="AN1866" s="2">
        <f t="shared" si="28"/>
        <v>0</v>
      </c>
      <c r="AO1866" s="2">
        <f t="shared" si="29"/>
      </c>
      <c r="AP1866" s="2">
        <f t="shared" si="30"/>
      </c>
      <c r="AQ1866" s="2">
        <f t="shared" si="31"/>
      </c>
    </row>
    <row r="1867">
      <c r="A1867" s="43">
        <f t="shared" si="3"/>
      </c>
      <c r="B1867" s="44" t="n"/>
      <c r="C1867" s="45" t="n"/>
      <c r="D1867" s="46" t="n"/>
      <c r="E1867" s="47" t="n"/>
      <c r="F1867" s="47" t="n"/>
      <c r="G1867" s="48">
        <f t="shared" si="4"/>
      </c>
      <c r="H1867" s="43">
        <f t="shared" si="0"/>
      </c>
      <c r="I1867" s="43">
        <f t="shared" si="5"/>
      </c>
      <c r="J1867" s="43">
        <f t="shared" si="1"/>
      </c>
      <c r="K1867" s="49">
        <f t="shared" si="2"/>
      </c>
      <c r="L1867" s="45" t="n"/>
      <c r="M1867" s="45" t="n"/>
      <c r="N1867" s="45" t="n"/>
      <c r="O1867" s="45" t="n"/>
      <c r="P1867" s="50" t="n"/>
      <c r="R1867" s="2">
        <f t="shared" si="6"/>
        <v>0</v>
      </c>
      <c r="S1867" s="2">
        <f t="shared" si="7"/>
      </c>
      <c r="T1867" s="2">
        <f t="shared" si="8"/>
      </c>
      <c r="U1867" s="2">
        <f t="shared" si="9"/>
      </c>
      <c r="V1867" s="2">
        <f t="shared" si="10"/>
      </c>
      <c r="W1867" s="2">
        <f t="shared" si="11"/>
      </c>
      <c r="X1867" s="2">
        <f t="shared" si="12"/>
      </c>
      <c r="Y1867" s="2">
        <f t="shared" si="13"/>
        <v>0</v>
      </c>
      <c r="Z1867" s="2">
        <f t="shared" si="14"/>
      </c>
      <c r="AA1867" s="2">
        <f t="shared" si="15"/>
        <v>0</v>
      </c>
      <c r="AB1867" s="2">
        <f t="shared" si="16"/>
      </c>
      <c r="AC1867" s="2">
        <f t="shared" si="17"/>
      </c>
      <c r="AD1867" s="2">
        <f t="shared" si="18"/>
      </c>
      <c r="AE1867" s="2">
        <f t="shared" si="19"/>
      </c>
      <c r="AF1867" s="2">
        <f t="shared" si="20"/>
      </c>
      <c r="AG1867" s="2">
        <f t="shared" si="21"/>
      </c>
      <c r="AH1867" s="2">
        <f t="shared" si="22"/>
      </c>
      <c r="AI1867" s="2">
        <f t="shared" si="23"/>
      </c>
      <c r="AJ1867" s="2">
        <f t="shared" si="24"/>
        <v>0</v>
      </c>
      <c r="AK1867" s="2">
        <f t="shared" si="25"/>
        <v>0</v>
      </c>
      <c r="AL1867" s="2">
        <f t="shared" si="26"/>
        <v>0</v>
      </c>
      <c r="AM1867" s="2">
        <f t="shared" si="27"/>
        <v>0</v>
      </c>
      <c r="AN1867" s="2">
        <f t="shared" si="28"/>
        <v>0</v>
      </c>
      <c r="AO1867" s="2">
        <f t="shared" si="29"/>
      </c>
      <c r="AP1867" s="2">
        <f t="shared" si="30"/>
      </c>
      <c r="AQ1867" s="2">
        <f t="shared" si="31"/>
      </c>
    </row>
    <row r="1868">
      <c r="A1868" s="43">
        <f t="shared" si="3"/>
      </c>
      <c r="B1868" s="44" t="n"/>
      <c r="C1868" s="45" t="n"/>
      <c r="D1868" s="46" t="n"/>
      <c r="E1868" s="47" t="n"/>
      <c r="F1868" s="47" t="n"/>
      <c r="G1868" s="48">
        <f t="shared" si="4"/>
      </c>
      <c r="H1868" s="43">
        <f t="shared" si="0"/>
      </c>
      <c r="I1868" s="43">
        <f t="shared" si="5"/>
      </c>
      <c r="J1868" s="43">
        <f t="shared" si="1"/>
      </c>
      <c r="K1868" s="49">
        <f t="shared" si="2"/>
      </c>
      <c r="L1868" s="45" t="n"/>
      <c r="M1868" s="45" t="n"/>
      <c r="N1868" s="45" t="n"/>
      <c r="O1868" s="45" t="n"/>
      <c r="P1868" s="50" t="n"/>
      <c r="R1868" s="2">
        <f t="shared" si="6"/>
        <v>0</v>
      </c>
      <c r="S1868" s="2">
        <f t="shared" si="7"/>
      </c>
      <c r="T1868" s="2">
        <f t="shared" si="8"/>
      </c>
      <c r="U1868" s="2">
        <f t="shared" si="9"/>
      </c>
      <c r="V1868" s="2">
        <f t="shared" si="10"/>
      </c>
      <c r="W1868" s="2">
        <f t="shared" si="11"/>
      </c>
      <c r="X1868" s="2">
        <f t="shared" si="12"/>
      </c>
      <c r="Y1868" s="2">
        <f t="shared" si="13"/>
        <v>0</v>
      </c>
      <c r="Z1868" s="2">
        <f t="shared" si="14"/>
      </c>
      <c r="AA1868" s="2">
        <f t="shared" si="15"/>
        <v>0</v>
      </c>
      <c r="AB1868" s="2">
        <f t="shared" si="16"/>
      </c>
      <c r="AC1868" s="2">
        <f t="shared" si="17"/>
      </c>
      <c r="AD1868" s="2">
        <f t="shared" si="18"/>
      </c>
      <c r="AE1868" s="2">
        <f t="shared" si="19"/>
      </c>
      <c r="AF1868" s="2">
        <f t="shared" si="20"/>
      </c>
      <c r="AG1868" s="2">
        <f t="shared" si="21"/>
      </c>
      <c r="AH1868" s="2">
        <f t="shared" si="22"/>
      </c>
      <c r="AI1868" s="2">
        <f t="shared" si="23"/>
      </c>
      <c r="AJ1868" s="2">
        <f t="shared" si="24"/>
        <v>0</v>
      </c>
      <c r="AK1868" s="2">
        <f t="shared" si="25"/>
        <v>0</v>
      </c>
      <c r="AL1868" s="2">
        <f t="shared" si="26"/>
        <v>0</v>
      </c>
      <c r="AM1868" s="2">
        <f t="shared" si="27"/>
        <v>0</v>
      </c>
      <c r="AN1868" s="2">
        <f t="shared" si="28"/>
        <v>0</v>
      </c>
      <c r="AO1868" s="2">
        <f t="shared" si="29"/>
      </c>
      <c r="AP1868" s="2">
        <f t="shared" si="30"/>
      </c>
      <c r="AQ1868" s="2">
        <f t="shared" si="31"/>
      </c>
    </row>
    <row r="1869">
      <c r="A1869" s="43">
        <f t="shared" si="3"/>
      </c>
      <c r="B1869" s="44" t="n"/>
      <c r="C1869" s="45" t="n"/>
      <c r="D1869" s="46" t="n"/>
      <c r="E1869" s="47" t="n"/>
      <c r="F1869" s="47" t="n"/>
      <c r="G1869" s="48">
        <f t="shared" si="4"/>
      </c>
      <c r="H1869" s="43">
        <f t="shared" si="0"/>
      </c>
      <c r="I1869" s="43">
        <f t="shared" si="5"/>
      </c>
      <c r="J1869" s="43">
        <f t="shared" si="1"/>
      </c>
      <c r="K1869" s="49">
        <f t="shared" si="2"/>
      </c>
      <c r="L1869" s="45" t="n"/>
      <c r="M1869" s="45" t="n"/>
      <c r="N1869" s="45" t="n"/>
      <c r="O1869" s="45" t="n"/>
      <c r="P1869" s="50" t="n"/>
      <c r="R1869" s="2">
        <f t="shared" si="6"/>
        <v>0</v>
      </c>
      <c r="S1869" s="2">
        <f t="shared" si="7"/>
      </c>
      <c r="T1869" s="2">
        <f t="shared" si="8"/>
      </c>
      <c r="U1869" s="2">
        <f t="shared" si="9"/>
      </c>
      <c r="V1869" s="2">
        <f t="shared" si="10"/>
      </c>
      <c r="W1869" s="2">
        <f t="shared" si="11"/>
      </c>
      <c r="X1869" s="2">
        <f t="shared" si="12"/>
      </c>
      <c r="Y1869" s="2">
        <f t="shared" si="13"/>
        <v>0</v>
      </c>
      <c r="Z1869" s="2">
        <f t="shared" si="14"/>
      </c>
      <c r="AA1869" s="2">
        <f t="shared" si="15"/>
        <v>0</v>
      </c>
      <c r="AB1869" s="2">
        <f t="shared" si="16"/>
      </c>
      <c r="AC1869" s="2">
        <f t="shared" si="17"/>
      </c>
      <c r="AD1869" s="2">
        <f t="shared" si="18"/>
      </c>
      <c r="AE1869" s="2">
        <f t="shared" si="19"/>
      </c>
      <c r="AF1869" s="2">
        <f t="shared" si="20"/>
      </c>
      <c r="AG1869" s="2">
        <f t="shared" si="21"/>
      </c>
      <c r="AH1869" s="2">
        <f t="shared" si="22"/>
      </c>
      <c r="AI1869" s="2">
        <f t="shared" si="23"/>
      </c>
      <c r="AJ1869" s="2">
        <f t="shared" si="24"/>
        <v>0</v>
      </c>
      <c r="AK1869" s="2">
        <f t="shared" si="25"/>
        <v>0</v>
      </c>
      <c r="AL1869" s="2">
        <f t="shared" si="26"/>
        <v>0</v>
      </c>
      <c r="AM1869" s="2">
        <f t="shared" si="27"/>
        <v>0</v>
      </c>
      <c r="AN1869" s="2">
        <f t="shared" si="28"/>
        <v>0</v>
      </c>
      <c r="AO1869" s="2">
        <f t="shared" si="29"/>
      </c>
      <c r="AP1869" s="2">
        <f t="shared" si="30"/>
      </c>
      <c r="AQ1869" s="2">
        <f t="shared" si="31"/>
      </c>
    </row>
    <row r="1870">
      <c r="A1870" s="43">
        <f t="shared" si="3"/>
      </c>
      <c r="B1870" s="44" t="n"/>
      <c r="C1870" s="45" t="n"/>
      <c r="D1870" s="46" t="n"/>
      <c r="E1870" s="47" t="n"/>
      <c r="F1870" s="47" t="n"/>
      <c r="G1870" s="48">
        <f t="shared" si="4"/>
      </c>
      <c r="H1870" s="43">
        <f t="shared" si="0"/>
      </c>
      <c r="I1870" s="43">
        <f t="shared" si="5"/>
      </c>
      <c r="J1870" s="43">
        <f t="shared" si="1"/>
      </c>
      <c r="K1870" s="49">
        <f t="shared" si="2"/>
      </c>
      <c r="L1870" s="45" t="n"/>
      <c r="M1870" s="45" t="n"/>
      <c r="N1870" s="45" t="n"/>
      <c r="O1870" s="45" t="n"/>
      <c r="P1870" s="50" t="n"/>
      <c r="R1870" s="2">
        <f t="shared" si="6"/>
        <v>0</v>
      </c>
      <c r="S1870" s="2">
        <f t="shared" si="7"/>
      </c>
      <c r="T1870" s="2">
        <f t="shared" si="8"/>
      </c>
      <c r="U1870" s="2">
        <f t="shared" si="9"/>
      </c>
      <c r="V1870" s="2">
        <f t="shared" si="10"/>
      </c>
      <c r="W1870" s="2">
        <f t="shared" si="11"/>
      </c>
      <c r="X1870" s="2">
        <f t="shared" si="12"/>
      </c>
      <c r="Y1870" s="2">
        <f t="shared" si="13"/>
        <v>0</v>
      </c>
      <c r="Z1870" s="2">
        <f t="shared" si="14"/>
      </c>
      <c r="AA1870" s="2">
        <f t="shared" si="15"/>
        <v>0</v>
      </c>
      <c r="AB1870" s="2">
        <f t="shared" si="16"/>
      </c>
      <c r="AC1870" s="2">
        <f t="shared" si="17"/>
      </c>
      <c r="AD1870" s="2">
        <f t="shared" si="18"/>
      </c>
      <c r="AE1870" s="2">
        <f t="shared" si="19"/>
      </c>
      <c r="AF1870" s="2">
        <f t="shared" si="20"/>
      </c>
      <c r="AG1870" s="2">
        <f t="shared" si="21"/>
      </c>
      <c r="AH1870" s="2">
        <f t="shared" si="22"/>
      </c>
      <c r="AI1870" s="2">
        <f t="shared" si="23"/>
      </c>
      <c r="AJ1870" s="2">
        <f t="shared" si="24"/>
        <v>0</v>
      </c>
      <c r="AK1870" s="2">
        <f t="shared" si="25"/>
        <v>0</v>
      </c>
      <c r="AL1870" s="2">
        <f t="shared" si="26"/>
        <v>0</v>
      </c>
      <c r="AM1870" s="2">
        <f t="shared" si="27"/>
        <v>0</v>
      </c>
      <c r="AN1870" s="2">
        <f t="shared" si="28"/>
        <v>0</v>
      </c>
      <c r="AO1870" s="2">
        <f t="shared" si="29"/>
      </c>
      <c r="AP1870" s="2">
        <f t="shared" si="30"/>
      </c>
      <c r="AQ1870" s="2">
        <f t="shared" si="31"/>
      </c>
    </row>
    <row r="1871">
      <c r="A1871" s="43">
        <f t="shared" si="3"/>
      </c>
      <c r="B1871" s="44" t="n"/>
      <c r="C1871" s="45" t="n"/>
      <c r="D1871" s="46" t="n"/>
      <c r="E1871" s="47" t="n"/>
      <c r="F1871" s="47" t="n"/>
      <c r="G1871" s="48">
        <f t="shared" si="4"/>
      </c>
      <c r="H1871" s="43">
        <f t="shared" si="0"/>
      </c>
      <c r="I1871" s="43">
        <f t="shared" si="5"/>
      </c>
      <c r="J1871" s="43">
        <f t="shared" si="1"/>
      </c>
      <c r="K1871" s="49">
        <f t="shared" si="2"/>
      </c>
      <c r="L1871" s="45" t="n"/>
      <c r="M1871" s="45" t="n"/>
      <c r="N1871" s="45" t="n"/>
      <c r="O1871" s="45" t="n"/>
      <c r="P1871" s="50" t="n"/>
      <c r="R1871" s="2">
        <f t="shared" si="6"/>
        <v>0</v>
      </c>
      <c r="S1871" s="2">
        <f t="shared" si="7"/>
      </c>
      <c r="T1871" s="2">
        <f t="shared" si="8"/>
      </c>
      <c r="U1871" s="2">
        <f t="shared" si="9"/>
      </c>
      <c r="V1871" s="2">
        <f t="shared" si="10"/>
      </c>
      <c r="W1871" s="2">
        <f t="shared" si="11"/>
      </c>
      <c r="X1871" s="2">
        <f t="shared" si="12"/>
      </c>
      <c r="Y1871" s="2">
        <f t="shared" si="13"/>
        <v>0</v>
      </c>
      <c r="Z1871" s="2">
        <f t="shared" si="14"/>
      </c>
      <c r="AA1871" s="2">
        <f t="shared" si="15"/>
        <v>0</v>
      </c>
      <c r="AB1871" s="2">
        <f t="shared" si="16"/>
      </c>
      <c r="AC1871" s="2">
        <f t="shared" si="17"/>
      </c>
      <c r="AD1871" s="2">
        <f t="shared" si="18"/>
      </c>
      <c r="AE1871" s="2">
        <f t="shared" si="19"/>
      </c>
      <c r="AF1871" s="2">
        <f t="shared" si="20"/>
      </c>
      <c r="AG1871" s="2">
        <f t="shared" si="21"/>
      </c>
      <c r="AH1871" s="2">
        <f t="shared" si="22"/>
      </c>
      <c r="AI1871" s="2">
        <f t="shared" si="23"/>
      </c>
      <c r="AJ1871" s="2">
        <f t="shared" si="24"/>
        <v>0</v>
      </c>
      <c r="AK1871" s="2">
        <f t="shared" si="25"/>
        <v>0</v>
      </c>
      <c r="AL1871" s="2">
        <f t="shared" si="26"/>
        <v>0</v>
      </c>
      <c r="AM1871" s="2">
        <f t="shared" si="27"/>
        <v>0</v>
      </c>
      <c r="AN1871" s="2">
        <f t="shared" si="28"/>
        <v>0</v>
      </c>
      <c r="AO1871" s="2">
        <f t="shared" si="29"/>
      </c>
      <c r="AP1871" s="2">
        <f t="shared" si="30"/>
      </c>
      <c r="AQ1871" s="2">
        <f t="shared" si="31"/>
      </c>
    </row>
    <row r="1872">
      <c r="A1872" s="43">
        <f t="shared" si="3"/>
      </c>
      <c r="B1872" s="44" t="n"/>
      <c r="C1872" s="45" t="n"/>
      <c r="D1872" s="46" t="n"/>
      <c r="E1872" s="47" t="n"/>
      <c r="F1872" s="47" t="n"/>
      <c r="G1872" s="48">
        <f t="shared" si="4"/>
      </c>
      <c r="H1872" s="43">
        <f t="shared" si="0"/>
      </c>
      <c r="I1872" s="43">
        <f t="shared" si="5"/>
      </c>
      <c r="J1872" s="43">
        <f t="shared" si="1"/>
      </c>
      <c r="K1872" s="49">
        <f t="shared" si="2"/>
      </c>
      <c r="L1872" s="45" t="n"/>
      <c r="M1872" s="45" t="n"/>
      <c r="N1872" s="45" t="n"/>
      <c r="O1872" s="45" t="n"/>
      <c r="P1872" s="50" t="n"/>
      <c r="R1872" s="2">
        <f t="shared" si="6"/>
        <v>0</v>
      </c>
      <c r="S1872" s="2">
        <f t="shared" si="7"/>
      </c>
      <c r="T1872" s="2">
        <f t="shared" si="8"/>
      </c>
      <c r="U1872" s="2">
        <f t="shared" si="9"/>
      </c>
      <c r="V1872" s="2">
        <f t="shared" si="10"/>
      </c>
      <c r="W1872" s="2">
        <f t="shared" si="11"/>
      </c>
      <c r="X1872" s="2">
        <f t="shared" si="12"/>
      </c>
      <c r="Y1872" s="2">
        <f t="shared" si="13"/>
        <v>0</v>
      </c>
      <c r="Z1872" s="2">
        <f t="shared" si="14"/>
      </c>
      <c r="AA1872" s="2">
        <f t="shared" si="15"/>
        <v>0</v>
      </c>
      <c r="AB1872" s="2">
        <f t="shared" si="16"/>
      </c>
      <c r="AC1872" s="2">
        <f t="shared" si="17"/>
      </c>
      <c r="AD1872" s="2">
        <f t="shared" si="18"/>
      </c>
      <c r="AE1872" s="2">
        <f t="shared" si="19"/>
      </c>
      <c r="AF1872" s="2">
        <f t="shared" si="20"/>
      </c>
      <c r="AG1872" s="2">
        <f t="shared" si="21"/>
      </c>
      <c r="AH1872" s="2">
        <f t="shared" si="22"/>
      </c>
      <c r="AI1872" s="2">
        <f t="shared" si="23"/>
      </c>
      <c r="AJ1872" s="2">
        <f t="shared" si="24"/>
        <v>0</v>
      </c>
      <c r="AK1872" s="2">
        <f t="shared" si="25"/>
        <v>0</v>
      </c>
      <c r="AL1872" s="2">
        <f t="shared" si="26"/>
        <v>0</v>
      </c>
      <c r="AM1872" s="2">
        <f t="shared" si="27"/>
        <v>0</v>
      </c>
      <c r="AN1872" s="2">
        <f t="shared" si="28"/>
        <v>0</v>
      </c>
      <c r="AO1872" s="2">
        <f t="shared" si="29"/>
      </c>
      <c r="AP1872" s="2">
        <f t="shared" si="30"/>
      </c>
      <c r="AQ1872" s="2">
        <f t="shared" si="31"/>
      </c>
    </row>
    <row r="1873">
      <c r="A1873" s="43">
        <f t="shared" si="3"/>
      </c>
      <c r="B1873" s="44" t="n"/>
      <c r="C1873" s="45" t="n"/>
      <c r="D1873" s="46" t="n"/>
      <c r="E1873" s="47" t="n"/>
      <c r="F1873" s="47" t="n"/>
      <c r="G1873" s="48">
        <f t="shared" si="4"/>
      </c>
      <c r="H1873" s="43">
        <f t="shared" si="0"/>
      </c>
      <c r="I1873" s="43">
        <f t="shared" si="5"/>
      </c>
      <c r="J1873" s="43">
        <f t="shared" si="1"/>
      </c>
      <c r="K1873" s="49">
        <f t="shared" si="2"/>
      </c>
      <c r="L1873" s="45" t="n"/>
      <c r="M1873" s="45" t="n"/>
      <c r="N1873" s="45" t="n"/>
      <c r="O1873" s="45" t="n"/>
      <c r="P1873" s="50" t="n"/>
      <c r="R1873" s="2">
        <f t="shared" si="6"/>
        <v>0</v>
      </c>
      <c r="S1873" s="2">
        <f t="shared" si="7"/>
      </c>
      <c r="T1873" s="2">
        <f t="shared" si="8"/>
      </c>
      <c r="U1873" s="2">
        <f t="shared" si="9"/>
      </c>
      <c r="V1873" s="2">
        <f t="shared" si="10"/>
      </c>
      <c r="W1873" s="2">
        <f t="shared" si="11"/>
      </c>
      <c r="X1873" s="2">
        <f t="shared" si="12"/>
      </c>
      <c r="Y1873" s="2">
        <f t="shared" si="13"/>
        <v>0</v>
      </c>
      <c r="Z1873" s="2">
        <f t="shared" si="14"/>
      </c>
      <c r="AA1873" s="2">
        <f t="shared" si="15"/>
        <v>0</v>
      </c>
      <c r="AB1873" s="2">
        <f t="shared" si="16"/>
      </c>
      <c r="AC1873" s="2">
        <f t="shared" si="17"/>
      </c>
      <c r="AD1873" s="2">
        <f t="shared" si="18"/>
      </c>
      <c r="AE1873" s="2">
        <f t="shared" si="19"/>
      </c>
      <c r="AF1873" s="2">
        <f t="shared" si="20"/>
      </c>
      <c r="AG1873" s="2">
        <f t="shared" si="21"/>
      </c>
      <c r="AH1873" s="2">
        <f t="shared" si="22"/>
      </c>
      <c r="AI1873" s="2">
        <f t="shared" si="23"/>
      </c>
      <c r="AJ1873" s="2">
        <f t="shared" si="24"/>
        <v>0</v>
      </c>
      <c r="AK1873" s="2">
        <f t="shared" si="25"/>
        <v>0</v>
      </c>
      <c r="AL1873" s="2">
        <f t="shared" si="26"/>
        <v>0</v>
      </c>
      <c r="AM1873" s="2">
        <f t="shared" si="27"/>
        <v>0</v>
      </c>
      <c r="AN1873" s="2">
        <f t="shared" si="28"/>
        <v>0</v>
      </c>
      <c r="AO1873" s="2">
        <f t="shared" si="29"/>
      </c>
      <c r="AP1873" s="2">
        <f t="shared" si="30"/>
      </c>
      <c r="AQ1873" s="2">
        <f t="shared" si="31"/>
      </c>
    </row>
    <row r="1874">
      <c r="A1874" s="43">
        <f t="shared" si="3"/>
      </c>
      <c r="B1874" s="44" t="n"/>
      <c r="C1874" s="45" t="n"/>
      <c r="D1874" s="46" t="n"/>
      <c r="E1874" s="47" t="n"/>
      <c r="F1874" s="47" t="n"/>
      <c r="G1874" s="48">
        <f t="shared" si="4"/>
      </c>
      <c r="H1874" s="43">
        <f t="shared" si="0"/>
      </c>
      <c r="I1874" s="43">
        <f t="shared" si="5"/>
      </c>
      <c r="J1874" s="43">
        <f t="shared" si="1"/>
      </c>
      <c r="K1874" s="49">
        <f t="shared" si="2"/>
      </c>
      <c r="L1874" s="45" t="n"/>
      <c r="M1874" s="45" t="n"/>
      <c r="N1874" s="45" t="n"/>
      <c r="O1874" s="45" t="n"/>
      <c r="P1874" s="50" t="n"/>
      <c r="R1874" s="2">
        <f t="shared" si="6"/>
        <v>0</v>
      </c>
      <c r="S1874" s="2">
        <f t="shared" si="7"/>
      </c>
      <c r="T1874" s="2">
        <f t="shared" si="8"/>
      </c>
      <c r="U1874" s="2">
        <f t="shared" si="9"/>
      </c>
      <c r="V1874" s="2">
        <f t="shared" si="10"/>
      </c>
      <c r="W1874" s="2">
        <f t="shared" si="11"/>
      </c>
      <c r="X1874" s="2">
        <f t="shared" si="12"/>
      </c>
      <c r="Y1874" s="2">
        <f t="shared" si="13"/>
        <v>0</v>
      </c>
      <c r="Z1874" s="2">
        <f t="shared" si="14"/>
      </c>
      <c r="AA1874" s="2">
        <f t="shared" si="15"/>
        <v>0</v>
      </c>
      <c r="AB1874" s="2">
        <f t="shared" si="16"/>
      </c>
      <c r="AC1874" s="2">
        <f t="shared" si="17"/>
      </c>
      <c r="AD1874" s="2">
        <f t="shared" si="18"/>
      </c>
      <c r="AE1874" s="2">
        <f t="shared" si="19"/>
      </c>
      <c r="AF1874" s="2">
        <f t="shared" si="20"/>
      </c>
      <c r="AG1874" s="2">
        <f t="shared" si="21"/>
      </c>
      <c r="AH1874" s="2">
        <f t="shared" si="22"/>
      </c>
      <c r="AI1874" s="2">
        <f t="shared" si="23"/>
      </c>
      <c r="AJ1874" s="2">
        <f t="shared" si="24"/>
        <v>0</v>
      </c>
      <c r="AK1874" s="2">
        <f t="shared" si="25"/>
        <v>0</v>
      </c>
      <c r="AL1874" s="2">
        <f t="shared" si="26"/>
        <v>0</v>
      </c>
      <c r="AM1874" s="2">
        <f t="shared" si="27"/>
        <v>0</v>
      </c>
      <c r="AN1874" s="2">
        <f t="shared" si="28"/>
        <v>0</v>
      </c>
      <c r="AO1874" s="2">
        <f t="shared" si="29"/>
      </c>
      <c r="AP1874" s="2">
        <f t="shared" si="30"/>
      </c>
      <c r="AQ1874" s="2">
        <f t="shared" si="31"/>
      </c>
    </row>
    <row r="1875">
      <c r="A1875" s="43">
        <f t="shared" si="3"/>
      </c>
      <c r="B1875" s="44" t="n"/>
      <c r="C1875" s="45" t="n"/>
      <c r="D1875" s="46" t="n"/>
      <c r="E1875" s="47" t="n"/>
      <c r="F1875" s="47" t="n"/>
      <c r="G1875" s="48">
        <f t="shared" si="4"/>
      </c>
      <c r="H1875" s="43">
        <f t="shared" si="0"/>
      </c>
      <c r="I1875" s="43">
        <f t="shared" si="5"/>
      </c>
      <c r="J1875" s="43">
        <f t="shared" si="1"/>
      </c>
      <c r="K1875" s="49">
        <f t="shared" si="2"/>
      </c>
      <c r="L1875" s="45" t="n"/>
      <c r="M1875" s="45" t="n"/>
      <c r="N1875" s="45" t="n"/>
      <c r="O1875" s="45" t="n"/>
      <c r="P1875" s="50" t="n"/>
      <c r="R1875" s="2">
        <f t="shared" si="6"/>
        <v>0</v>
      </c>
      <c r="S1875" s="2">
        <f t="shared" si="7"/>
      </c>
      <c r="T1875" s="2">
        <f t="shared" si="8"/>
      </c>
      <c r="U1875" s="2">
        <f t="shared" si="9"/>
      </c>
      <c r="V1875" s="2">
        <f t="shared" si="10"/>
      </c>
      <c r="W1875" s="2">
        <f t="shared" si="11"/>
      </c>
      <c r="X1875" s="2">
        <f t="shared" si="12"/>
      </c>
      <c r="Y1875" s="2">
        <f t="shared" si="13"/>
        <v>0</v>
      </c>
      <c r="Z1875" s="2">
        <f t="shared" si="14"/>
      </c>
      <c r="AA1875" s="2">
        <f t="shared" si="15"/>
        <v>0</v>
      </c>
      <c r="AB1875" s="2">
        <f t="shared" si="16"/>
      </c>
      <c r="AC1875" s="2">
        <f t="shared" si="17"/>
      </c>
      <c r="AD1875" s="2">
        <f t="shared" si="18"/>
      </c>
      <c r="AE1875" s="2">
        <f t="shared" si="19"/>
      </c>
      <c r="AF1875" s="2">
        <f t="shared" si="20"/>
      </c>
      <c r="AG1875" s="2">
        <f t="shared" si="21"/>
      </c>
      <c r="AH1875" s="2">
        <f t="shared" si="22"/>
      </c>
      <c r="AI1875" s="2">
        <f t="shared" si="23"/>
      </c>
      <c r="AJ1875" s="2">
        <f t="shared" si="24"/>
        <v>0</v>
      </c>
      <c r="AK1875" s="2">
        <f t="shared" si="25"/>
        <v>0</v>
      </c>
      <c r="AL1875" s="2">
        <f t="shared" si="26"/>
        <v>0</v>
      </c>
      <c r="AM1875" s="2">
        <f t="shared" si="27"/>
        <v>0</v>
      </c>
      <c r="AN1875" s="2">
        <f t="shared" si="28"/>
        <v>0</v>
      </c>
      <c r="AO1875" s="2">
        <f t="shared" si="29"/>
      </c>
      <c r="AP1875" s="2">
        <f t="shared" si="30"/>
      </c>
      <c r="AQ1875" s="2">
        <f t="shared" si="31"/>
      </c>
    </row>
    <row r="1876">
      <c r="A1876" s="43">
        <f t="shared" si="3"/>
      </c>
      <c r="B1876" s="44" t="n"/>
      <c r="C1876" s="45" t="n"/>
      <c r="D1876" s="46" t="n"/>
      <c r="E1876" s="47" t="n"/>
      <c r="F1876" s="47" t="n"/>
      <c r="G1876" s="48">
        <f t="shared" si="4"/>
      </c>
      <c r="H1876" s="43">
        <f t="shared" si="0"/>
      </c>
      <c r="I1876" s="43">
        <f t="shared" si="5"/>
      </c>
      <c r="J1876" s="43">
        <f t="shared" si="1"/>
      </c>
      <c r="K1876" s="49">
        <f t="shared" si="2"/>
      </c>
      <c r="L1876" s="45" t="n"/>
      <c r="M1876" s="45" t="n"/>
      <c r="N1876" s="45" t="n"/>
      <c r="O1876" s="45" t="n"/>
      <c r="P1876" s="50" t="n"/>
      <c r="R1876" s="2">
        <f t="shared" si="6"/>
        <v>0</v>
      </c>
      <c r="S1876" s="2">
        <f t="shared" si="7"/>
      </c>
      <c r="T1876" s="2">
        <f t="shared" si="8"/>
      </c>
      <c r="U1876" s="2">
        <f t="shared" si="9"/>
      </c>
      <c r="V1876" s="2">
        <f t="shared" si="10"/>
      </c>
      <c r="W1876" s="2">
        <f t="shared" si="11"/>
      </c>
      <c r="X1876" s="2">
        <f t="shared" si="12"/>
      </c>
      <c r="Y1876" s="2">
        <f t="shared" si="13"/>
        <v>0</v>
      </c>
      <c r="Z1876" s="2">
        <f t="shared" si="14"/>
      </c>
      <c r="AA1876" s="2">
        <f t="shared" si="15"/>
        <v>0</v>
      </c>
      <c r="AB1876" s="2">
        <f t="shared" si="16"/>
      </c>
      <c r="AC1876" s="2">
        <f t="shared" si="17"/>
      </c>
      <c r="AD1876" s="2">
        <f t="shared" si="18"/>
      </c>
      <c r="AE1876" s="2">
        <f t="shared" si="19"/>
      </c>
      <c r="AF1876" s="2">
        <f t="shared" si="20"/>
      </c>
      <c r="AG1876" s="2">
        <f t="shared" si="21"/>
      </c>
      <c r="AH1876" s="2">
        <f t="shared" si="22"/>
      </c>
      <c r="AI1876" s="2">
        <f t="shared" si="23"/>
      </c>
      <c r="AJ1876" s="2">
        <f t="shared" si="24"/>
        <v>0</v>
      </c>
      <c r="AK1876" s="2">
        <f t="shared" si="25"/>
        <v>0</v>
      </c>
      <c r="AL1876" s="2">
        <f t="shared" si="26"/>
        <v>0</v>
      </c>
      <c r="AM1876" s="2">
        <f t="shared" si="27"/>
        <v>0</v>
      </c>
      <c r="AN1876" s="2">
        <f t="shared" si="28"/>
        <v>0</v>
      </c>
      <c r="AO1876" s="2">
        <f t="shared" si="29"/>
      </c>
      <c r="AP1876" s="2">
        <f t="shared" si="30"/>
      </c>
      <c r="AQ1876" s="2">
        <f t="shared" si="31"/>
      </c>
    </row>
    <row r="1877">
      <c r="A1877" s="43">
        <f t="shared" si="3"/>
      </c>
      <c r="B1877" s="44" t="n"/>
      <c r="C1877" s="45" t="n"/>
      <c r="D1877" s="46" t="n"/>
      <c r="E1877" s="47" t="n"/>
      <c r="F1877" s="47" t="n"/>
      <c r="G1877" s="48">
        <f t="shared" si="4"/>
      </c>
      <c r="H1877" s="43">
        <f t="shared" si="0"/>
      </c>
      <c r="I1877" s="43">
        <f t="shared" si="5"/>
      </c>
      <c r="J1877" s="43">
        <f t="shared" si="1"/>
      </c>
      <c r="K1877" s="49">
        <f t="shared" si="2"/>
      </c>
      <c r="L1877" s="45" t="n"/>
      <c r="M1877" s="45" t="n"/>
      <c r="N1877" s="45" t="n"/>
      <c r="O1877" s="45" t="n"/>
      <c r="P1877" s="50" t="n"/>
      <c r="R1877" s="2">
        <f t="shared" si="6"/>
        <v>0</v>
      </c>
      <c r="S1877" s="2">
        <f t="shared" si="7"/>
      </c>
      <c r="T1877" s="2">
        <f t="shared" si="8"/>
      </c>
      <c r="U1877" s="2">
        <f t="shared" si="9"/>
      </c>
      <c r="V1877" s="2">
        <f t="shared" si="10"/>
      </c>
      <c r="W1877" s="2">
        <f t="shared" si="11"/>
      </c>
      <c r="X1877" s="2">
        <f t="shared" si="12"/>
      </c>
      <c r="Y1877" s="2">
        <f t="shared" si="13"/>
        <v>0</v>
      </c>
      <c r="Z1877" s="2">
        <f t="shared" si="14"/>
      </c>
      <c r="AA1877" s="2">
        <f t="shared" si="15"/>
        <v>0</v>
      </c>
      <c r="AB1877" s="2">
        <f t="shared" si="16"/>
      </c>
      <c r="AC1877" s="2">
        <f t="shared" si="17"/>
      </c>
      <c r="AD1877" s="2">
        <f t="shared" si="18"/>
      </c>
      <c r="AE1877" s="2">
        <f t="shared" si="19"/>
      </c>
      <c r="AF1877" s="2">
        <f t="shared" si="20"/>
      </c>
      <c r="AG1877" s="2">
        <f t="shared" si="21"/>
      </c>
      <c r="AH1877" s="2">
        <f t="shared" si="22"/>
      </c>
      <c r="AI1877" s="2">
        <f t="shared" si="23"/>
      </c>
      <c r="AJ1877" s="2">
        <f t="shared" si="24"/>
        <v>0</v>
      </c>
      <c r="AK1877" s="2">
        <f t="shared" si="25"/>
        <v>0</v>
      </c>
      <c r="AL1877" s="2">
        <f t="shared" si="26"/>
        <v>0</v>
      </c>
      <c r="AM1877" s="2">
        <f t="shared" si="27"/>
        <v>0</v>
      </c>
      <c r="AN1877" s="2">
        <f t="shared" si="28"/>
        <v>0</v>
      </c>
      <c r="AO1877" s="2">
        <f t="shared" si="29"/>
      </c>
      <c r="AP1877" s="2">
        <f t="shared" si="30"/>
      </c>
      <c r="AQ1877" s="2">
        <f t="shared" si="31"/>
      </c>
    </row>
    <row r="1878">
      <c r="A1878" s="43">
        <f t="shared" si="3"/>
      </c>
      <c r="B1878" s="44" t="n"/>
      <c r="C1878" s="45" t="n"/>
      <c r="D1878" s="46" t="n"/>
      <c r="E1878" s="47" t="n"/>
      <c r="F1878" s="47" t="n"/>
      <c r="G1878" s="48">
        <f t="shared" si="4"/>
      </c>
      <c r="H1878" s="43">
        <f t="shared" si="0"/>
      </c>
      <c r="I1878" s="43">
        <f t="shared" si="5"/>
      </c>
      <c r="J1878" s="43">
        <f t="shared" si="1"/>
      </c>
      <c r="K1878" s="49">
        <f t="shared" si="2"/>
      </c>
      <c r="L1878" s="45" t="n"/>
      <c r="M1878" s="45" t="n"/>
      <c r="N1878" s="45" t="n"/>
      <c r="O1878" s="45" t="n"/>
      <c r="P1878" s="50" t="n"/>
      <c r="R1878" s="2">
        <f t="shared" si="6"/>
        <v>0</v>
      </c>
      <c r="S1878" s="2">
        <f t="shared" si="7"/>
      </c>
      <c r="T1878" s="2">
        <f t="shared" si="8"/>
      </c>
      <c r="U1878" s="2">
        <f t="shared" si="9"/>
      </c>
      <c r="V1878" s="2">
        <f t="shared" si="10"/>
      </c>
      <c r="W1878" s="2">
        <f t="shared" si="11"/>
      </c>
      <c r="X1878" s="2">
        <f t="shared" si="12"/>
      </c>
      <c r="Y1878" s="2">
        <f t="shared" si="13"/>
        <v>0</v>
      </c>
      <c r="Z1878" s="2">
        <f t="shared" si="14"/>
      </c>
      <c r="AA1878" s="2">
        <f t="shared" si="15"/>
        <v>0</v>
      </c>
      <c r="AB1878" s="2">
        <f t="shared" si="16"/>
      </c>
      <c r="AC1878" s="2">
        <f t="shared" si="17"/>
      </c>
      <c r="AD1878" s="2">
        <f t="shared" si="18"/>
      </c>
      <c r="AE1878" s="2">
        <f t="shared" si="19"/>
      </c>
      <c r="AF1878" s="2">
        <f t="shared" si="20"/>
      </c>
      <c r="AG1878" s="2">
        <f t="shared" si="21"/>
      </c>
      <c r="AH1878" s="2">
        <f t="shared" si="22"/>
      </c>
      <c r="AI1878" s="2">
        <f t="shared" si="23"/>
      </c>
      <c r="AJ1878" s="2">
        <f t="shared" si="24"/>
        <v>0</v>
      </c>
      <c r="AK1878" s="2">
        <f t="shared" si="25"/>
        <v>0</v>
      </c>
      <c r="AL1878" s="2">
        <f t="shared" si="26"/>
        <v>0</v>
      </c>
      <c r="AM1878" s="2">
        <f t="shared" si="27"/>
        <v>0</v>
      </c>
      <c r="AN1878" s="2">
        <f t="shared" si="28"/>
        <v>0</v>
      </c>
      <c r="AO1878" s="2">
        <f t="shared" si="29"/>
      </c>
      <c r="AP1878" s="2">
        <f t="shared" si="30"/>
      </c>
      <c r="AQ1878" s="2">
        <f t="shared" si="31"/>
      </c>
    </row>
    <row r="1879">
      <c r="A1879" s="43">
        <f t="shared" si="3"/>
      </c>
      <c r="B1879" s="44" t="n"/>
      <c r="C1879" s="45" t="n"/>
      <c r="D1879" s="46" t="n"/>
      <c r="E1879" s="47" t="n"/>
      <c r="F1879" s="47" t="n"/>
      <c r="G1879" s="48">
        <f t="shared" si="4"/>
      </c>
      <c r="H1879" s="43">
        <f t="shared" si="0"/>
      </c>
      <c r="I1879" s="43">
        <f t="shared" si="5"/>
      </c>
      <c r="J1879" s="43">
        <f t="shared" si="1"/>
      </c>
      <c r="K1879" s="49">
        <f t="shared" si="2"/>
      </c>
      <c r="L1879" s="45" t="n"/>
      <c r="M1879" s="45" t="n"/>
      <c r="N1879" s="45" t="n"/>
      <c r="O1879" s="45" t="n"/>
      <c r="P1879" s="50" t="n"/>
      <c r="R1879" s="2">
        <f t="shared" si="6"/>
        <v>0</v>
      </c>
      <c r="S1879" s="2">
        <f t="shared" si="7"/>
      </c>
      <c r="T1879" s="2">
        <f t="shared" si="8"/>
      </c>
      <c r="U1879" s="2">
        <f t="shared" si="9"/>
      </c>
      <c r="V1879" s="2">
        <f t="shared" si="10"/>
      </c>
      <c r="W1879" s="2">
        <f t="shared" si="11"/>
      </c>
      <c r="X1879" s="2">
        <f t="shared" si="12"/>
      </c>
      <c r="Y1879" s="2">
        <f t="shared" si="13"/>
        <v>0</v>
      </c>
      <c r="Z1879" s="2">
        <f t="shared" si="14"/>
      </c>
      <c r="AA1879" s="2">
        <f t="shared" si="15"/>
        <v>0</v>
      </c>
      <c r="AB1879" s="2">
        <f t="shared" si="16"/>
      </c>
      <c r="AC1879" s="2">
        <f t="shared" si="17"/>
      </c>
      <c r="AD1879" s="2">
        <f t="shared" si="18"/>
      </c>
      <c r="AE1879" s="2">
        <f t="shared" si="19"/>
      </c>
      <c r="AF1879" s="2">
        <f t="shared" si="20"/>
      </c>
      <c r="AG1879" s="2">
        <f t="shared" si="21"/>
      </c>
      <c r="AH1879" s="2">
        <f t="shared" si="22"/>
      </c>
      <c r="AI1879" s="2">
        <f t="shared" si="23"/>
      </c>
      <c r="AJ1879" s="2">
        <f t="shared" si="24"/>
        <v>0</v>
      </c>
      <c r="AK1879" s="2">
        <f t="shared" si="25"/>
        <v>0</v>
      </c>
      <c r="AL1879" s="2">
        <f t="shared" si="26"/>
        <v>0</v>
      </c>
      <c r="AM1879" s="2">
        <f t="shared" si="27"/>
        <v>0</v>
      </c>
      <c r="AN1879" s="2">
        <f t="shared" si="28"/>
        <v>0</v>
      </c>
      <c r="AO1879" s="2">
        <f t="shared" si="29"/>
      </c>
      <c r="AP1879" s="2">
        <f t="shared" si="30"/>
      </c>
      <c r="AQ1879" s="2">
        <f t="shared" si="31"/>
      </c>
    </row>
    <row r="1880">
      <c r="A1880" s="43">
        <f t="shared" si="3"/>
      </c>
      <c r="B1880" s="44" t="n"/>
      <c r="C1880" s="45" t="n"/>
      <c r="D1880" s="46" t="n"/>
      <c r="E1880" s="47" t="n"/>
      <c r="F1880" s="47" t="n"/>
      <c r="G1880" s="48">
        <f t="shared" si="4"/>
      </c>
      <c r="H1880" s="43">
        <f t="shared" si="0"/>
      </c>
      <c r="I1880" s="43">
        <f t="shared" si="5"/>
      </c>
      <c r="J1880" s="43">
        <f t="shared" si="1"/>
      </c>
      <c r="K1880" s="49">
        <f t="shared" si="2"/>
      </c>
      <c r="L1880" s="45" t="n"/>
      <c r="M1880" s="45" t="n"/>
      <c r="N1880" s="45" t="n"/>
      <c r="O1880" s="45" t="n"/>
      <c r="P1880" s="50" t="n"/>
      <c r="R1880" s="2">
        <f t="shared" si="6"/>
        <v>0</v>
      </c>
      <c r="S1880" s="2">
        <f t="shared" si="7"/>
      </c>
      <c r="T1880" s="2">
        <f t="shared" si="8"/>
      </c>
      <c r="U1880" s="2">
        <f t="shared" si="9"/>
      </c>
      <c r="V1880" s="2">
        <f t="shared" si="10"/>
      </c>
      <c r="W1880" s="2">
        <f t="shared" si="11"/>
      </c>
      <c r="X1880" s="2">
        <f t="shared" si="12"/>
      </c>
      <c r="Y1880" s="2">
        <f t="shared" si="13"/>
        <v>0</v>
      </c>
      <c r="Z1880" s="2">
        <f t="shared" si="14"/>
      </c>
      <c r="AA1880" s="2">
        <f t="shared" si="15"/>
        <v>0</v>
      </c>
      <c r="AB1880" s="2">
        <f t="shared" si="16"/>
      </c>
      <c r="AC1880" s="2">
        <f t="shared" si="17"/>
      </c>
      <c r="AD1880" s="2">
        <f t="shared" si="18"/>
      </c>
      <c r="AE1880" s="2">
        <f t="shared" si="19"/>
      </c>
      <c r="AF1880" s="2">
        <f t="shared" si="20"/>
      </c>
      <c r="AG1880" s="2">
        <f t="shared" si="21"/>
      </c>
      <c r="AH1880" s="2">
        <f t="shared" si="22"/>
      </c>
      <c r="AI1880" s="2">
        <f t="shared" si="23"/>
      </c>
      <c r="AJ1880" s="2">
        <f t="shared" si="24"/>
        <v>0</v>
      </c>
      <c r="AK1880" s="2">
        <f t="shared" si="25"/>
        <v>0</v>
      </c>
      <c r="AL1880" s="2">
        <f t="shared" si="26"/>
        <v>0</v>
      </c>
      <c r="AM1880" s="2">
        <f t="shared" si="27"/>
        <v>0</v>
      </c>
      <c r="AN1880" s="2">
        <f t="shared" si="28"/>
        <v>0</v>
      </c>
      <c r="AO1880" s="2">
        <f t="shared" si="29"/>
      </c>
      <c r="AP1880" s="2">
        <f t="shared" si="30"/>
      </c>
      <c r="AQ1880" s="2">
        <f t="shared" si="31"/>
      </c>
    </row>
    <row r="1881">
      <c r="A1881" s="43">
        <f t="shared" si="3"/>
      </c>
      <c r="B1881" s="44" t="n"/>
      <c r="C1881" s="45" t="n"/>
      <c r="D1881" s="46" t="n"/>
      <c r="E1881" s="47" t="n"/>
      <c r="F1881" s="47" t="n"/>
      <c r="G1881" s="48">
        <f t="shared" si="4"/>
      </c>
      <c r="H1881" s="43">
        <f t="shared" si="0"/>
      </c>
      <c r="I1881" s="43">
        <f t="shared" si="5"/>
      </c>
      <c r="J1881" s="43">
        <f t="shared" si="1"/>
      </c>
      <c r="K1881" s="49">
        <f t="shared" si="2"/>
      </c>
      <c r="L1881" s="45" t="n"/>
      <c r="M1881" s="45" t="n"/>
      <c r="N1881" s="45" t="n"/>
      <c r="O1881" s="45" t="n"/>
      <c r="P1881" s="50" t="n"/>
      <c r="R1881" s="2">
        <f t="shared" si="6"/>
        <v>0</v>
      </c>
      <c r="S1881" s="2">
        <f t="shared" si="7"/>
      </c>
      <c r="T1881" s="2">
        <f t="shared" si="8"/>
      </c>
      <c r="U1881" s="2">
        <f t="shared" si="9"/>
      </c>
      <c r="V1881" s="2">
        <f t="shared" si="10"/>
      </c>
      <c r="W1881" s="2">
        <f t="shared" si="11"/>
      </c>
      <c r="X1881" s="2">
        <f t="shared" si="12"/>
      </c>
      <c r="Y1881" s="2">
        <f t="shared" si="13"/>
        <v>0</v>
      </c>
      <c r="Z1881" s="2">
        <f t="shared" si="14"/>
      </c>
      <c r="AA1881" s="2">
        <f t="shared" si="15"/>
        <v>0</v>
      </c>
      <c r="AB1881" s="2">
        <f t="shared" si="16"/>
      </c>
      <c r="AC1881" s="2">
        <f t="shared" si="17"/>
      </c>
      <c r="AD1881" s="2">
        <f t="shared" si="18"/>
      </c>
      <c r="AE1881" s="2">
        <f t="shared" si="19"/>
      </c>
      <c r="AF1881" s="2">
        <f t="shared" si="20"/>
      </c>
      <c r="AG1881" s="2">
        <f t="shared" si="21"/>
      </c>
      <c r="AH1881" s="2">
        <f t="shared" si="22"/>
      </c>
      <c r="AI1881" s="2">
        <f t="shared" si="23"/>
      </c>
      <c r="AJ1881" s="2">
        <f t="shared" si="24"/>
        <v>0</v>
      </c>
      <c r="AK1881" s="2">
        <f t="shared" si="25"/>
        <v>0</v>
      </c>
      <c r="AL1881" s="2">
        <f t="shared" si="26"/>
        <v>0</v>
      </c>
      <c r="AM1881" s="2">
        <f t="shared" si="27"/>
        <v>0</v>
      </c>
      <c r="AN1881" s="2">
        <f t="shared" si="28"/>
        <v>0</v>
      </c>
      <c r="AO1881" s="2">
        <f t="shared" si="29"/>
      </c>
      <c r="AP1881" s="2">
        <f t="shared" si="30"/>
      </c>
      <c r="AQ1881" s="2">
        <f t="shared" si="31"/>
      </c>
    </row>
    <row r="1882">
      <c r="A1882" s="43">
        <f t="shared" si="3"/>
      </c>
      <c r="B1882" s="44" t="n"/>
      <c r="C1882" s="45" t="n"/>
      <c r="D1882" s="46" t="n"/>
      <c r="E1882" s="47" t="n"/>
      <c r="F1882" s="47" t="n"/>
      <c r="G1882" s="48">
        <f t="shared" si="4"/>
      </c>
      <c r="H1882" s="43">
        <f t="shared" si="0"/>
      </c>
      <c r="I1882" s="43">
        <f t="shared" si="5"/>
      </c>
      <c r="J1882" s="43">
        <f t="shared" si="1"/>
      </c>
      <c r="K1882" s="49">
        <f t="shared" si="2"/>
      </c>
      <c r="L1882" s="45" t="n"/>
      <c r="M1882" s="45" t="n"/>
      <c r="N1882" s="45" t="n"/>
      <c r="O1882" s="45" t="n"/>
      <c r="P1882" s="50" t="n"/>
      <c r="R1882" s="2">
        <f t="shared" si="6"/>
        <v>0</v>
      </c>
      <c r="S1882" s="2">
        <f t="shared" si="7"/>
      </c>
      <c r="T1882" s="2">
        <f t="shared" si="8"/>
      </c>
      <c r="U1882" s="2">
        <f t="shared" si="9"/>
      </c>
      <c r="V1882" s="2">
        <f t="shared" si="10"/>
      </c>
      <c r="W1882" s="2">
        <f t="shared" si="11"/>
      </c>
      <c r="X1882" s="2">
        <f t="shared" si="12"/>
      </c>
      <c r="Y1882" s="2">
        <f t="shared" si="13"/>
        <v>0</v>
      </c>
      <c r="Z1882" s="2">
        <f t="shared" si="14"/>
      </c>
      <c r="AA1882" s="2">
        <f t="shared" si="15"/>
        <v>0</v>
      </c>
      <c r="AB1882" s="2">
        <f t="shared" si="16"/>
      </c>
      <c r="AC1882" s="2">
        <f t="shared" si="17"/>
      </c>
      <c r="AD1882" s="2">
        <f t="shared" si="18"/>
      </c>
      <c r="AE1882" s="2">
        <f t="shared" si="19"/>
      </c>
      <c r="AF1882" s="2">
        <f t="shared" si="20"/>
      </c>
      <c r="AG1882" s="2">
        <f t="shared" si="21"/>
      </c>
      <c r="AH1882" s="2">
        <f t="shared" si="22"/>
      </c>
      <c r="AI1882" s="2">
        <f t="shared" si="23"/>
      </c>
      <c r="AJ1882" s="2">
        <f t="shared" si="24"/>
        <v>0</v>
      </c>
      <c r="AK1882" s="2">
        <f t="shared" si="25"/>
        <v>0</v>
      </c>
      <c r="AL1882" s="2">
        <f t="shared" si="26"/>
        <v>0</v>
      </c>
      <c r="AM1882" s="2">
        <f t="shared" si="27"/>
        <v>0</v>
      </c>
      <c r="AN1882" s="2">
        <f t="shared" si="28"/>
        <v>0</v>
      </c>
      <c r="AO1882" s="2">
        <f t="shared" si="29"/>
      </c>
      <c r="AP1882" s="2">
        <f t="shared" si="30"/>
      </c>
      <c r="AQ1882" s="2">
        <f t="shared" si="31"/>
      </c>
    </row>
    <row r="1883">
      <c r="A1883" s="43">
        <f t="shared" si="3"/>
      </c>
      <c r="B1883" s="44" t="n"/>
      <c r="C1883" s="45" t="n"/>
      <c r="D1883" s="46" t="n"/>
      <c r="E1883" s="47" t="n"/>
      <c r="F1883" s="47" t="n"/>
      <c r="G1883" s="48">
        <f t="shared" si="4"/>
      </c>
      <c r="H1883" s="43">
        <f t="shared" si="0"/>
      </c>
      <c r="I1883" s="43">
        <f t="shared" si="5"/>
      </c>
      <c r="J1883" s="43">
        <f t="shared" si="1"/>
      </c>
      <c r="K1883" s="49">
        <f t="shared" si="2"/>
      </c>
      <c r="L1883" s="45" t="n"/>
      <c r="M1883" s="45" t="n"/>
      <c r="N1883" s="45" t="n"/>
      <c r="O1883" s="45" t="n"/>
      <c r="P1883" s="50" t="n"/>
      <c r="R1883" s="2">
        <f t="shared" si="6"/>
        <v>0</v>
      </c>
      <c r="S1883" s="2">
        <f t="shared" si="7"/>
      </c>
      <c r="T1883" s="2">
        <f t="shared" si="8"/>
      </c>
      <c r="U1883" s="2">
        <f t="shared" si="9"/>
      </c>
      <c r="V1883" s="2">
        <f t="shared" si="10"/>
      </c>
      <c r="W1883" s="2">
        <f t="shared" si="11"/>
      </c>
      <c r="X1883" s="2">
        <f t="shared" si="12"/>
      </c>
      <c r="Y1883" s="2">
        <f t="shared" si="13"/>
        <v>0</v>
      </c>
      <c r="Z1883" s="2">
        <f t="shared" si="14"/>
      </c>
      <c r="AA1883" s="2">
        <f t="shared" si="15"/>
        <v>0</v>
      </c>
      <c r="AB1883" s="2">
        <f t="shared" si="16"/>
      </c>
      <c r="AC1883" s="2">
        <f t="shared" si="17"/>
      </c>
      <c r="AD1883" s="2">
        <f t="shared" si="18"/>
      </c>
      <c r="AE1883" s="2">
        <f t="shared" si="19"/>
      </c>
      <c r="AF1883" s="2">
        <f t="shared" si="20"/>
      </c>
      <c r="AG1883" s="2">
        <f t="shared" si="21"/>
      </c>
      <c r="AH1883" s="2">
        <f t="shared" si="22"/>
      </c>
      <c r="AI1883" s="2">
        <f t="shared" si="23"/>
      </c>
      <c r="AJ1883" s="2">
        <f t="shared" si="24"/>
        <v>0</v>
      </c>
      <c r="AK1883" s="2">
        <f t="shared" si="25"/>
        <v>0</v>
      </c>
      <c r="AL1883" s="2">
        <f t="shared" si="26"/>
        <v>0</v>
      </c>
      <c r="AM1883" s="2">
        <f t="shared" si="27"/>
        <v>0</v>
      </c>
      <c r="AN1883" s="2">
        <f t="shared" si="28"/>
        <v>0</v>
      </c>
      <c r="AO1883" s="2">
        <f t="shared" si="29"/>
      </c>
      <c r="AP1883" s="2">
        <f t="shared" si="30"/>
      </c>
      <c r="AQ1883" s="2">
        <f t="shared" si="31"/>
      </c>
    </row>
    <row r="1884">
      <c r="A1884" s="43">
        <f t="shared" si="3"/>
      </c>
      <c r="B1884" s="44" t="n"/>
      <c r="C1884" s="45" t="n"/>
      <c r="D1884" s="46" t="n"/>
      <c r="E1884" s="47" t="n"/>
      <c r="F1884" s="47" t="n"/>
      <c r="G1884" s="48">
        <f t="shared" si="4"/>
      </c>
      <c r="H1884" s="43">
        <f t="shared" si="0"/>
      </c>
      <c r="I1884" s="43">
        <f t="shared" si="5"/>
      </c>
      <c r="J1884" s="43">
        <f t="shared" si="1"/>
      </c>
      <c r="K1884" s="49">
        <f t="shared" si="2"/>
      </c>
      <c r="L1884" s="45" t="n"/>
      <c r="M1884" s="45" t="n"/>
      <c r="N1884" s="45" t="n"/>
      <c r="O1884" s="45" t="n"/>
      <c r="P1884" s="50" t="n"/>
      <c r="R1884" s="2">
        <f t="shared" si="6"/>
        <v>0</v>
      </c>
      <c r="S1884" s="2">
        <f t="shared" si="7"/>
      </c>
      <c r="T1884" s="2">
        <f t="shared" si="8"/>
      </c>
      <c r="U1884" s="2">
        <f t="shared" si="9"/>
      </c>
      <c r="V1884" s="2">
        <f t="shared" si="10"/>
      </c>
      <c r="W1884" s="2">
        <f t="shared" si="11"/>
      </c>
      <c r="X1884" s="2">
        <f t="shared" si="12"/>
      </c>
      <c r="Y1884" s="2">
        <f t="shared" si="13"/>
        <v>0</v>
      </c>
      <c r="Z1884" s="2">
        <f t="shared" si="14"/>
      </c>
      <c r="AA1884" s="2">
        <f t="shared" si="15"/>
        <v>0</v>
      </c>
      <c r="AB1884" s="2">
        <f t="shared" si="16"/>
      </c>
      <c r="AC1884" s="2">
        <f t="shared" si="17"/>
      </c>
      <c r="AD1884" s="2">
        <f t="shared" si="18"/>
      </c>
      <c r="AE1884" s="2">
        <f t="shared" si="19"/>
      </c>
      <c r="AF1884" s="2">
        <f t="shared" si="20"/>
      </c>
      <c r="AG1884" s="2">
        <f t="shared" si="21"/>
      </c>
      <c r="AH1884" s="2">
        <f t="shared" si="22"/>
      </c>
      <c r="AI1884" s="2">
        <f t="shared" si="23"/>
      </c>
      <c r="AJ1884" s="2">
        <f t="shared" si="24"/>
        <v>0</v>
      </c>
      <c r="AK1884" s="2">
        <f t="shared" si="25"/>
        <v>0</v>
      </c>
      <c r="AL1884" s="2">
        <f t="shared" si="26"/>
        <v>0</v>
      </c>
      <c r="AM1884" s="2">
        <f t="shared" si="27"/>
        <v>0</v>
      </c>
      <c r="AN1884" s="2">
        <f t="shared" si="28"/>
        <v>0</v>
      </c>
      <c r="AO1884" s="2">
        <f t="shared" si="29"/>
      </c>
      <c r="AP1884" s="2">
        <f t="shared" si="30"/>
      </c>
      <c r="AQ1884" s="2">
        <f t="shared" si="31"/>
      </c>
    </row>
    <row r="1885">
      <c r="A1885" s="43">
        <f t="shared" si="3"/>
      </c>
      <c r="B1885" s="44" t="n"/>
      <c r="C1885" s="45" t="n"/>
      <c r="D1885" s="46" t="n"/>
      <c r="E1885" s="47" t="n"/>
      <c r="F1885" s="47" t="n"/>
      <c r="G1885" s="48">
        <f t="shared" si="4"/>
      </c>
      <c r="H1885" s="43">
        <f t="shared" si="0"/>
      </c>
      <c r="I1885" s="43">
        <f t="shared" si="5"/>
      </c>
      <c r="J1885" s="43">
        <f t="shared" si="1"/>
      </c>
      <c r="K1885" s="49">
        <f t="shared" si="2"/>
      </c>
      <c r="L1885" s="45" t="n"/>
      <c r="M1885" s="45" t="n"/>
      <c r="N1885" s="45" t="n"/>
      <c r="O1885" s="45" t="n"/>
      <c r="P1885" s="50" t="n"/>
      <c r="R1885" s="2">
        <f t="shared" si="6"/>
        <v>0</v>
      </c>
      <c r="S1885" s="2">
        <f t="shared" si="7"/>
      </c>
      <c r="T1885" s="2">
        <f t="shared" si="8"/>
      </c>
      <c r="U1885" s="2">
        <f t="shared" si="9"/>
      </c>
      <c r="V1885" s="2">
        <f t="shared" si="10"/>
      </c>
      <c r="W1885" s="2">
        <f t="shared" si="11"/>
      </c>
      <c r="X1885" s="2">
        <f t="shared" si="12"/>
      </c>
      <c r="Y1885" s="2">
        <f t="shared" si="13"/>
        <v>0</v>
      </c>
      <c r="Z1885" s="2">
        <f t="shared" si="14"/>
      </c>
      <c r="AA1885" s="2">
        <f t="shared" si="15"/>
        <v>0</v>
      </c>
      <c r="AB1885" s="2">
        <f t="shared" si="16"/>
      </c>
      <c r="AC1885" s="2">
        <f t="shared" si="17"/>
      </c>
      <c r="AD1885" s="2">
        <f t="shared" si="18"/>
      </c>
      <c r="AE1885" s="2">
        <f t="shared" si="19"/>
      </c>
      <c r="AF1885" s="2">
        <f t="shared" si="20"/>
      </c>
      <c r="AG1885" s="2">
        <f t="shared" si="21"/>
      </c>
      <c r="AH1885" s="2">
        <f t="shared" si="22"/>
      </c>
      <c r="AI1885" s="2">
        <f t="shared" si="23"/>
      </c>
      <c r="AJ1885" s="2">
        <f t="shared" si="24"/>
        <v>0</v>
      </c>
      <c r="AK1885" s="2">
        <f t="shared" si="25"/>
        <v>0</v>
      </c>
      <c r="AL1885" s="2">
        <f t="shared" si="26"/>
        <v>0</v>
      </c>
      <c r="AM1885" s="2">
        <f t="shared" si="27"/>
        <v>0</v>
      </c>
      <c r="AN1885" s="2">
        <f t="shared" si="28"/>
        <v>0</v>
      </c>
      <c r="AO1885" s="2">
        <f t="shared" si="29"/>
      </c>
      <c r="AP1885" s="2">
        <f t="shared" si="30"/>
      </c>
      <c r="AQ1885" s="2">
        <f t="shared" si="31"/>
      </c>
    </row>
    <row r="1886">
      <c r="A1886" s="43">
        <f t="shared" si="3"/>
      </c>
      <c r="B1886" s="44" t="n"/>
      <c r="C1886" s="45" t="n"/>
      <c r="D1886" s="46" t="n"/>
      <c r="E1886" s="47" t="n"/>
      <c r="F1886" s="47" t="n"/>
      <c r="G1886" s="48">
        <f t="shared" si="4"/>
      </c>
      <c r="H1886" s="43">
        <f t="shared" si="0"/>
      </c>
      <c r="I1886" s="43">
        <f t="shared" si="5"/>
      </c>
      <c r="J1886" s="43">
        <f t="shared" si="1"/>
      </c>
      <c r="K1886" s="49">
        <f t="shared" si="2"/>
      </c>
      <c r="L1886" s="45" t="n"/>
      <c r="M1886" s="45" t="n"/>
      <c r="N1886" s="45" t="n"/>
      <c r="O1886" s="45" t="n"/>
      <c r="P1886" s="50" t="n"/>
      <c r="R1886" s="2">
        <f t="shared" si="6"/>
        <v>0</v>
      </c>
      <c r="S1886" s="2">
        <f t="shared" si="7"/>
      </c>
      <c r="T1886" s="2">
        <f t="shared" si="8"/>
      </c>
      <c r="U1886" s="2">
        <f t="shared" si="9"/>
      </c>
      <c r="V1886" s="2">
        <f t="shared" si="10"/>
      </c>
      <c r="W1886" s="2">
        <f t="shared" si="11"/>
      </c>
      <c r="X1886" s="2">
        <f t="shared" si="12"/>
      </c>
      <c r="Y1886" s="2">
        <f t="shared" si="13"/>
        <v>0</v>
      </c>
      <c r="Z1886" s="2">
        <f t="shared" si="14"/>
      </c>
      <c r="AA1886" s="2">
        <f t="shared" si="15"/>
        <v>0</v>
      </c>
      <c r="AB1886" s="2">
        <f t="shared" si="16"/>
      </c>
      <c r="AC1886" s="2">
        <f t="shared" si="17"/>
      </c>
      <c r="AD1886" s="2">
        <f t="shared" si="18"/>
      </c>
      <c r="AE1886" s="2">
        <f t="shared" si="19"/>
      </c>
      <c r="AF1886" s="2">
        <f t="shared" si="20"/>
      </c>
      <c r="AG1886" s="2">
        <f t="shared" si="21"/>
      </c>
      <c r="AH1886" s="2">
        <f t="shared" si="22"/>
      </c>
      <c r="AI1886" s="2">
        <f t="shared" si="23"/>
      </c>
      <c r="AJ1886" s="2">
        <f t="shared" si="24"/>
        <v>0</v>
      </c>
      <c r="AK1886" s="2">
        <f t="shared" si="25"/>
        <v>0</v>
      </c>
      <c r="AL1886" s="2">
        <f t="shared" si="26"/>
        <v>0</v>
      </c>
      <c r="AM1886" s="2">
        <f t="shared" si="27"/>
        <v>0</v>
      </c>
      <c r="AN1886" s="2">
        <f t="shared" si="28"/>
        <v>0</v>
      </c>
      <c r="AO1886" s="2">
        <f t="shared" si="29"/>
      </c>
      <c r="AP1886" s="2">
        <f t="shared" si="30"/>
      </c>
      <c r="AQ1886" s="2">
        <f t="shared" si="31"/>
      </c>
    </row>
    <row r="1887">
      <c r="A1887" s="43">
        <f t="shared" si="3"/>
      </c>
      <c r="B1887" s="44" t="n"/>
      <c r="C1887" s="45" t="n"/>
      <c r="D1887" s="46" t="n"/>
      <c r="E1887" s="47" t="n"/>
      <c r="F1887" s="47" t="n"/>
      <c r="G1887" s="48">
        <f t="shared" si="4"/>
      </c>
      <c r="H1887" s="43">
        <f t="shared" si="0"/>
      </c>
      <c r="I1887" s="43">
        <f t="shared" si="5"/>
      </c>
      <c r="J1887" s="43">
        <f t="shared" si="1"/>
      </c>
      <c r="K1887" s="49">
        <f t="shared" si="2"/>
      </c>
      <c r="L1887" s="45" t="n"/>
      <c r="M1887" s="45" t="n"/>
      <c r="N1887" s="45" t="n"/>
      <c r="O1887" s="45" t="n"/>
      <c r="P1887" s="50" t="n"/>
      <c r="R1887" s="2">
        <f t="shared" si="6"/>
        <v>0</v>
      </c>
      <c r="S1887" s="2">
        <f t="shared" si="7"/>
      </c>
      <c r="T1887" s="2">
        <f t="shared" si="8"/>
      </c>
      <c r="U1887" s="2">
        <f t="shared" si="9"/>
      </c>
      <c r="V1887" s="2">
        <f t="shared" si="10"/>
      </c>
      <c r="W1887" s="2">
        <f t="shared" si="11"/>
      </c>
      <c r="X1887" s="2">
        <f t="shared" si="12"/>
      </c>
      <c r="Y1887" s="2">
        <f t="shared" si="13"/>
        <v>0</v>
      </c>
      <c r="Z1887" s="2">
        <f t="shared" si="14"/>
      </c>
      <c r="AA1887" s="2">
        <f t="shared" si="15"/>
        <v>0</v>
      </c>
      <c r="AB1887" s="2">
        <f t="shared" si="16"/>
      </c>
      <c r="AC1887" s="2">
        <f t="shared" si="17"/>
      </c>
      <c r="AD1887" s="2">
        <f t="shared" si="18"/>
      </c>
      <c r="AE1887" s="2">
        <f t="shared" si="19"/>
      </c>
      <c r="AF1887" s="2">
        <f t="shared" si="20"/>
      </c>
      <c r="AG1887" s="2">
        <f t="shared" si="21"/>
      </c>
      <c r="AH1887" s="2">
        <f t="shared" si="22"/>
      </c>
      <c r="AI1887" s="2">
        <f t="shared" si="23"/>
      </c>
      <c r="AJ1887" s="2">
        <f t="shared" si="24"/>
        <v>0</v>
      </c>
      <c r="AK1887" s="2">
        <f t="shared" si="25"/>
        <v>0</v>
      </c>
      <c r="AL1887" s="2">
        <f t="shared" si="26"/>
        <v>0</v>
      </c>
      <c r="AM1887" s="2">
        <f t="shared" si="27"/>
        <v>0</v>
      </c>
      <c r="AN1887" s="2">
        <f t="shared" si="28"/>
        <v>0</v>
      </c>
      <c r="AO1887" s="2">
        <f t="shared" si="29"/>
      </c>
      <c r="AP1887" s="2">
        <f t="shared" si="30"/>
      </c>
      <c r="AQ1887" s="2">
        <f t="shared" si="31"/>
      </c>
    </row>
    <row r="1888">
      <c r="A1888" s="43">
        <f t="shared" si="3"/>
      </c>
      <c r="B1888" s="44" t="n"/>
      <c r="C1888" s="45" t="n"/>
      <c r="D1888" s="46" t="n"/>
      <c r="E1888" s="47" t="n"/>
      <c r="F1888" s="47" t="n"/>
      <c r="G1888" s="48">
        <f t="shared" si="4"/>
      </c>
      <c r="H1888" s="43">
        <f t="shared" si="0"/>
      </c>
      <c r="I1888" s="43">
        <f t="shared" si="5"/>
      </c>
      <c r="J1888" s="43">
        <f t="shared" si="1"/>
      </c>
      <c r="K1888" s="49">
        <f t="shared" si="2"/>
      </c>
      <c r="L1888" s="45" t="n"/>
      <c r="M1888" s="45" t="n"/>
      <c r="N1888" s="45" t="n"/>
      <c r="O1888" s="45" t="n"/>
      <c r="P1888" s="50" t="n"/>
      <c r="R1888" s="2">
        <f t="shared" si="6"/>
        <v>0</v>
      </c>
      <c r="S1888" s="2">
        <f t="shared" si="7"/>
      </c>
      <c r="T1888" s="2">
        <f t="shared" si="8"/>
      </c>
      <c r="U1888" s="2">
        <f t="shared" si="9"/>
      </c>
      <c r="V1888" s="2">
        <f t="shared" si="10"/>
      </c>
      <c r="W1888" s="2">
        <f t="shared" si="11"/>
      </c>
      <c r="X1888" s="2">
        <f t="shared" si="12"/>
      </c>
      <c r="Y1888" s="2">
        <f t="shared" si="13"/>
        <v>0</v>
      </c>
      <c r="Z1888" s="2">
        <f t="shared" si="14"/>
      </c>
      <c r="AA1888" s="2">
        <f t="shared" si="15"/>
        <v>0</v>
      </c>
      <c r="AB1888" s="2">
        <f t="shared" si="16"/>
      </c>
      <c r="AC1888" s="2">
        <f t="shared" si="17"/>
      </c>
      <c r="AD1888" s="2">
        <f t="shared" si="18"/>
      </c>
      <c r="AE1888" s="2">
        <f t="shared" si="19"/>
      </c>
      <c r="AF1888" s="2">
        <f t="shared" si="20"/>
      </c>
      <c r="AG1888" s="2">
        <f t="shared" si="21"/>
      </c>
      <c r="AH1888" s="2">
        <f t="shared" si="22"/>
      </c>
      <c r="AI1888" s="2">
        <f t="shared" si="23"/>
      </c>
      <c r="AJ1888" s="2">
        <f t="shared" si="24"/>
        <v>0</v>
      </c>
      <c r="AK1888" s="2">
        <f t="shared" si="25"/>
        <v>0</v>
      </c>
      <c r="AL1888" s="2">
        <f t="shared" si="26"/>
        <v>0</v>
      </c>
      <c r="AM1888" s="2">
        <f t="shared" si="27"/>
        <v>0</v>
      </c>
      <c r="AN1888" s="2">
        <f t="shared" si="28"/>
        <v>0</v>
      </c>
      <c r="AO1888" s="2">
        <f t="shared" si="29"/>
      </c>
      <c r="AP1888" s="2">
        <f t="shared" si="30"/>
      </c>
      <c r="AQ1888" s="2">
        <f t="shared" si="31"/>
      </c>
    </row>
    <row r="1889">
      <c r="A1889" s="43">
        <f t="shared" si="3"/>
      </c>
      <c r="B1889" s="44" t="n"/>
      <c r="C1889" s="45" t="n"/>
      <c r="D1889" s="46" t="n"/>
      <c r="E1889" s="47" t="n"/>
      <c r="F1889" s="47" t="n"/>
      <c r="G1889" s="48">
        <f t="shared" si="4"/>
      </c>
      <c r="H1889" s="43">
        <f t="shared" si="0"/>
      </c>
      <c r="I1889" s="43">
        <f t="shared" si="5"/>
      </c>
      <c r="J1889" s="43">
        <f t="shared" si="1"/>
      </c>
      <c r="K1889" s="49">
        <f t="shared" si="2"/>
      </c>
      <c r="L1889" s="45" t="n"/>
      <c r="M1889" s="45" t="n"/>
      <c r="N1889" s="45" t="n"/>
      <c r="O1889" s="45" t="n"/>
      <c r="P1889" s="50" t="n"/>
      <c r="R1889" s="2">
        <f t="shared" si="6"/>
        <v>0</v>
      </c>
      <c r="S1889" s="2">
        <f t="shared" si="7"/>
      </c>
      <c r="T1889" s="2">
        <f t="shared" si="8"/>
      </c>
      <c r="U1889" s="2">
        <f t="shared" si="9"/>
      </c>
      <c r="V1889" s="2">
        <f t="shared" si="10"/>
      </c>
      <c r="W1889" s="2">
        <f t="shared" si="11"/>
      </c>
      <c r="X1889" s="2">
        <f t="shared" si="12"/>
      </c>
      <c r="Y1889" s="2">
        <f t="shared" si="13"/>
        <v>0</v>
      </c>
      <c r="Z1889" s="2">
        <f t="shared" si="14"/>
      </c>
      <c r="AA1889" s="2">
        <f t="shared" si="15"/>
        <v>0</v>
      </c>
      <c r="AB1889" s="2">
        <f t="shared" si="16"/>
      </c>
      <c r="AC1889" s="2">
        <f t="shared" si="17"/>
      </c>
      <c r="AD1889" s="2">
        <f t="shared" si="18"/>
      </c>
      <c r="AE1889" s="2">
        <f t="shared" si="19"/>
      </c>
      <c r="AF1889" s="2">
        <f t="shared" si="20"/>
      </c>
      <c r="AG1889" s="2">
        <f t="shared" si="21"/>
      </c>
      <c r="AH1889" s="2">
        <f t="shared" si="22"/>
      </c>
      <c r="AI1889" s="2">
        <f t="shared" si="23"/>
      </c>
      <c r="AJ1889" s="2">
        <f t="shared" si="24"/>
        <v>0</v>
      </c>
      <c r="AK1889" s="2">
        <f t="shared" si="25"/>
        <v>0</v>
      </c>
      <c r="AL1889" s="2">
        <f t="shared" si="26"/>
        <v>0</v>
      </c>
      <c r="AM1889" s="2">
        <f t="shared" si="27"/>
        <v>0</v>
      </c>
      <c r="AN1889" s="2">
        <f t="shared" si="28"/>
        <v>0</v>
      </c>
      <c r="AO1889" s="2">
        <f t="shared" si="29"/>
      </c>
      <c r="AP1889" s="2">
        <f t="shared" si="30"/>
      </c>
      <c r="AQ1889" s="2">
        <f t="shared" si="31"/>
      </c>
    </row>
    <row r="1890">
      <c r="A1890" s="43">
        <f t="shared" si="3"/>
      </c>
      <c r="B1890" s="44" t="n"/>
      <c r="C1890" s="45" t="n"/>
      <c r="D1890" s="46" t="n"/>
      <c r="E1890" s="47" t="n"/>
      <c r="F1890" s="47" t="n"/>
      <c r="G1890" s="48">
        <f t="shared" si="4"/>
      </c>
      <c r="H1890" s="43">
        <f t="shared" si="0"/>
      </c>
      <c r="I1890" s="43">
        <f t="shared" si="5"/>
      </c>
      <c r="J1890" s="43">
        <f t="shared" si="1"/>
      </c>
      <c r="K1890" s="49">
        <f t="shared" si="2"/>
      </c>
      <c r="L1890" s="45" t="n"/>
      <c r="M1890" s="45" t="n"/>
      <c r="N1890" s="45" t="n"/>
      <c r="O1890" s="45" t="n"/>
      <c r="P1890" s="50" t="n"/>
      <c r="R1890" s="2">
        <f t="shared" si="6"/>
        <v>0</v>
      </c>
      <c r="S1890" s="2">
        <f t="shared" si="7"/>
      </c>
      <c r="T1890" s="2">
        <f t="shared" si="8"/>
      </c>
      <c r="U1890" s="2">
        <f t="shared" si="9"/>
      </c>
      <c r="V1890" s="2">
        <f t="shared" si="10"/>
      </c>
      <c r="W1890" s="2">
        <f t="shared" si="11"/>
      </c>
      <c r="X1890" s="2">
        <f t="shared" si="12"/>
      </c>
      <c r="Y1890" s="2">
        <f t="shared" si="13"/>
        <v>0</v>
      </c>
      <c r="Z1890" s="2">
        <f t="shared" si="14"/>
      </c>
      <c r="AA1890" s="2">
        <f t="shared" si="15"/>
        <v>0</v>
      </c>
      <c r="AB1890" s="2">
        <f t="shared" si="16"/>
      </c>
      <c r="AC1890" s="2">
        <f t="shared" si="17"/>
      </c>
      <c r="AD1890" s="2">
        <f t="shared" si="18"/>
      </c>
      <c r="AE1890" s="2">
        <f t="shared" si="19"/>
      </c>
      <c r="AF1890" s="2">
        <f t="shared" si="20"/>
      </c>
      <c r="AG1890" s="2">
        <f t="shared" si="21"/>
      </c>
      <c r="AH1890" s="2">
        <f t="shared" si="22"/>
      </c>
      <c r="AI1890" s="2">
        <f t="shared" si="23"/>
      </c>
      <c r="AJ1890" s="2">
        <f t="shared" si="24"/>
        <v>0</v>
      </c>
      <c r="AK1890" s="2">
        <f t="shared" si="25"/>
        <v>0</v>
      </c>
      <c r="AL1890" s="2">
        <f t="shared" si="26"/>
        <v>0</v>
      </c>
      <c r="AM1890" s="2">
        <f t="shared" si="27"/>
        <v>0</v>
      </c>
      <c r="AN1890" s="2">
        <f t="shared" si="28"/>
        <v>0</v>
      </c>
      <c r="AO1890" s="2">
        <f t="shared" si="29"/>
      </c>
      <c r="AP1890" s="2">
        <f t="shared" si="30"/>
      </c>
      <c r="AQ1890" s="2">
        <f t="shared" si="31"/>
      </c>
    </row>
    <row r="1891">
      <c r="A1891" s="43">
        <f t="shared" si="3"/>
      </c>
      <c r="B1891" s="44" t="n"/>
      <c r="C1891" s="45" t="n"/>
      <c r="D1891" s="46" t="n"/>
      <c r="E1891" s="47" t="n"/>
      <c r="F1891" s="47" t="n"/>
      <c r="G1891" s="48">
        <f t="shared" si="4"/>
      </c>
      <c r="H1891" s="43">
        <f t="shared" si="0"/>
      </c>
      <c r="I1891" s="43">
        <f t="shared" si="5"/>
      </c>
      <c r="J1891" s="43">
        <f t="shared" si="1"/>
      </c>
      <c r="K1891" s="49">
        <f t="shared" si="2"/>
      </c>
      <c r="L1891" s="45" t="n"/>
      <c r="M1891" s="45" t="n"/>
      <c r="N1891" s="45" t="n"/>
      <c r="O1891" s="45" t="n"/>
      <c r="P1891" s="50" t="n"/>
      <c r="R1891" s="2">
        <f t="shared" si="6"/>
        <v>0</v>
      </c>
      <c r="S1891" s="2">
        <f t="shared" si="7"/>
      </c>
      <c r="T1891" s="2">
        <f t="shared" si="8"/>
      </c>
      <c r="U1891" s="2">
        <f t="shared" si="9"/>
      </c>
      <c r="V1891" s="2">
        <f t="shared" si="10"/>
      </c>
      <c r="W1891" s="2">
        <f t="shared" si="11"/>
      </c>
      <c r="X1891" s="2">
        <f t="shared" si="12"/>
      </c>
      <c r="Y1891" s="2">
        <f t="shared" si="13"/>
        <v>0</v>
      </c>
      <c r="Z1891" s="2">
        <f t="shared" si="14"/>
      </c>
      <c r="AA1891" s="2">
        <f t="shared" si="15"/>
        <v>0</v>
      </c>
      <c r="AB1891" s="2">
        <f t="shared" si="16"/>
      </c>
      <c r="AC1891" s="2">
        <f t="shared" si="17"/>
      </c>
      <c r="AD1891" s="2">
        <f t="shared" si="18"/>
      </c>
      <c r="AE1891" s="2">
        <f t="shared" si="19"/>
      </c>
      <c r="AF1891" s="2">
        <f t="shared" si="20"/>
      </c>
      <c r="AG1891" s="2">
        <f t="shared" si="21"/>
      </c>
      <c r="AH1891" s="2">
        <f t="shared" si="22"/>
      </c>
      <c r="AI1891" s="2">
        <f t="shared" si="23"/>
      </c>
      <c r="AJ1891" s="2">
        <f t="shared" si="24"/>
        <v>0</v>
      </c>
      <c r="AK1891" s="2">
        <f t="shared" si="25"/>
        <v>0</v>
      </c>
      <c r="AL1891" s="2">
        <f t="shared" si="26"/>
        <v>0</v>
      </c>
      <c r="AM1891" s="2">
        <f t="shared" si="27"/>
        <v>0</v>
      </c>
      <c r="AN1891" s="2">
        <f t="shared" si="28"/>
        <v>0</v>
      </c>
      <c r="AO1891" s="2">
        <f t="shared" si="29"/>
      </c>
      <c r="AP1891" s="2">
        <f t="shared" si="30"/>
      </c>
      <c r="AQ1891" s="2">
        <f t="shared" si="31"/>
      </c>
    </row>
    <row r="1892">
      <c r="A1892" s="43">
        <f t="shared" si="3"/>
      </c>
      <c r="B1892" s="44" t="n"/>
      <c r="C1892" s="45" t="n"/>
      <c r="D1892" s="46" t="n"/>
      <c r="E1892" s="47" t="n"/>
      <c r="F1892" s="47" t="n"/>
      <c r="G1892" s="48">
        <f t="shared" si="4"/>
      </c>
      <c r="H1892" s="43">
        <f t="shared" si="0"/>
      </c>
      <c r="I1892" s="43">
        <f t="shared" si="5"/>
      </c>
      <c r="J1892" s="43">
        <f t="shared" si="1"/>
      </c>
      <c r="K1892" s="49">
        <f t="shared" si="2"/>
      </c>
      <c r="L1892" s="45" t="n"/>
      <c r="M1892" s="45" t="n"/>
      <c r="N1892" s="45" t="n"/>
      <c r="O1892" s="45" t="n"/>
      <c r="P1892" s="50" t="n"/>
      <c r="R1892" s="2">
        <f t="shared" si="6"/>
        <v>0</v>
      </c>
      <c r="S1892" s="2">
        <f t="shared" si="7"/>
      </c>
      <c r="T1892" s="2">
        <f t="shared" si="8"/>
      </c>
      <c r="U1892" s="2">
        <f t="shared" si="9"/>
      </c>
      <c r="V1892" s="2">
        <f t="shared" si="10"/>
      </c>
      <c r="W1892" s="2">
        <f t="shared" si="11"/>
      </c>
      <c r="X1892" s="2">
        <f t="shared" si="12"/>
      </c>
      <c r="Y1892" s="2">
        <f t="shared" si="13"/>
        <v>0</v>
      </c>
      <c r="Z1892" s="2">
        <f t="shared" si="14"/>
      </c>
      <c r="AA1892" s="2">
        <f t="shared" si="15"/>
        <v>0</v>
      </c>
      <c r="AB1892" s="2">
        <f t="shared" si="16"/>
      </c>
      <c r="AC1892" s="2">
        <f t="shared" si="17"/>
      </c>
      <c r="AD1892" s="2">
        <f t="shared" si="18"/>
      </c>
      <c r="AE1892" s="2">
        <f t="shared" si="19"/>
      </c>
      <c r="AF1892" s="2">
        <f t="shared" si="20"/>
      </c>
      <c r="AG1892" s="2">
        <f t="shared" si="21"/>
      </c>
      <c r="AH1892" s="2">
        <f t="shared" si="22"/>
      </c>
      <c r="AI1892" s="2">
        <f t="shared" si="23"/>
      </c>
      <c r="AJ1892" s="2">
        <f t="shared" si="24"/>
        <v>0</v>
      </c>
      <c r="AK1892" s="2">
        <f t="shared" si="25"/>
        <v>0</v>
      </c>
      <c r="AL1892" s="2">
        <f t="shared" si="26"/>
        <v>0</v>
      </c>
      <c r="AM1892" s="2">
        <f t="shared" si="27"/>
        <v>0</v>
      </c>
      <c r="AN1892" s="2">
        <f t="shared" si="28"/>
        <v>0</v>
      </c>
      <c r="AO1892" s="2">
        <f t="shared" si="29"/>
      </c>
      <c r="AP1892" s="2">
        <f t="shared" si="30"/>
      </c>
      <c r="AQ1892" s="2">
        <f t="shared" si="31"/>
      </c>
    </row>
    <row r="1893">
      <c r="A1893" s="43">
        <f t="shared" si="3"/>
      </c>
      <c r="B1893" s="44" t="n"/>
      <c r="C1893" s="45" t="n"/>
      <c r="D1893" s="46" t="n"/>
      <c r="E1893" s="47" t="n"/>
      <c r="F1893" s="47" t="n"/>
      <c r="G1893" s="48">
        <f t="shared" si="4"/>
      </c>
      <c r="H1893" s="43">
        <f t="shared" si="0"/>
      </c>
      <c r="I1893" s="43">
        <f t="shared" si="5"/>
      </c>
      <c r="J1893" s="43">
        <f t="shared" si="1"/>
      </c>
      <c r="K1893" s="49">
        <f t="shared" si="2"/>
      </c>
      <c r="L1893" s="45" t="n"/>
      <c r="M1893" s="45" t="n"/>
      <c r="N1893" s="45" t="n"/>
      <c r="O1893" s="45" t="n"/>
      <c r="P1893" s="50" t="n"/>
      <c r="R1893" s="2">
        <f t="shared" si="6"/>
        <v>0</v>
      </c>
      <c r="S1893" s="2">
        <f t="shared" si="7"/>
      </c>
      <c r="T1893" s="2">
        <f t="shared" si="8"/>
      </c>
      <c r="U1893" s="2">
        <f t="shared" si="9"/>
      </c>
      <c r="V1893" s="2">
        <f t="shared" si="10"/>
      </c>
      <c r="W1893" s="2">
        <f t="shared" si="11"/>
      </c>
      <c r="X1893" s="2">
        <f t="shared" si="12"/>
      </c>
      <c r="Y1893" s="2">
        <f t="shared" si="13"/>
        <v>0</v>
      </c>
      <c r="Z1893" s="2">
        <f t="shared" si="14"/>
      </c>
      <c r="AA1893" s="2">
        <f t="shared" si="15"/>
        <v>0</v>
      </c>
      <c r="AB1893" s="2">
        <f t="shared" si="16"/>
      </c>
      <c r="AC1893" s="2">
        <f t="shared" si="17"/>
      </c>
      <c r="AD1893" s="2">
        <f t="shared" si="18"/>
      </c>
      <c r="AE1893" s="2">
        <f t="shared" si="19"/>
      </c>
      <c r="AF1893" s="2">
        <f t="shared" si="20"/>
      </c>
      <c r="AG1893" s="2">
        <f t="shared" si="21"/>
      </c>
      <c r="AH1893" s="2">
        <f t="shared" si="22"/>
      </c>
      <c r="AI1893" s="2">
        <f t="shared" si="23"/>
      </c>
      <c r="AJ1893" s="2">
        <f t="shared" si="24"/>
        <v>0</v>
      </c>
      <c r="AK1893" s="2">
        <f t="shared" si="25"/>
        <v>0</v>
      </c>
      <c r="AL1893" s="2">
        <f t="shared" si="26"/>
        <v>0</v>
      </c>
      <c r="AM1893" s="2">
        <f t="shared" si="27"/>
        <v>0</v>
      </c>
      <c r="AN1893" s="2">
        <f t="shared" si="28"/>
        <v>0</v>
      </c>
      <c r="AO1893" s="2">
        <f t="shared" si="29"/>
      </c>
      <c r="AP1893" s="2">
        <f t="shared" si="30"/>
      </c>
      <c r="AQ1893" s="2">
        <f t="shared" si="31"/>
      </c>
    </row>
    <row r="1894">
      <c r="A1894" s="43">
        <f t="shared" si="3"/>
      </c>
      <c r="B1894" s="44" t="n"/>
      <c r="C1894" s="45" t="n"/>
      <c r="D1894" s="46" t="n"/>
      <c r="E1894" s="47" t="n"/>
      <c r="F1894" s="47" t="n"/>
      <c r="G1894" s="48">
        <f t="shared" si="4"/>
      </c>
      <c r="H1894" s="43">
        <f t="shared" si="0"/>
      </c>
      <c r="I1894" s="43">
        <f t="shared" si="5"/>
      </c>
      <c r="J1894" s="43">
        <f t="shared" si="1"/>
      </c>
      <c r="K1894" s="49">
        <f t="shared" si="2"/>
      </c>
      <c r="L1894" s="45" t="n"/>
      <c r="M1894" s="45" t="n"/>
      <c r="N1894" s="45" t="n"/>
      <c r="O1894" s="45" t="n"/>
      <c r="P1894" s="50" t="n"/>
      <c r="R1894" s="2">
        <f t="shared" si="6"/>
        <v>0</v>
      </c>
      <c r="S1894" s="2">
        <f t="shared" si="7"/>
      </c>
      <c r="T1894" s="2">
        <f t="shared" si="8"/>
      </c>
      <c r="U1894" s="2">
        <f t="shared" si="9"/>
      </c>
      <c r="V1894" s="2">
        <f t="shared" si="10"/>
      </c>
      <c r="W1894" s="2">
        <f t="shared" si="11"/>
      </c>
      <c r="X1894" s="2">
        <f t="shared" si="12"/>
      </c>
      <c r="Y1894" s="2">
        <f t="shared" si="13"/>
        <v>0</v>
      </c>
      <c r="Z1894" s="2">
        <f t="shared" si="14"/>
      </c>
      <c r="AA1894" s="2">
        <f t="shared" si="15"/>
        <v>0</v>
      </c>
      <c r="AB1894" s="2">
        <f t="shared" si="16"/>
      </c>
      <c r="AC1894" s="2">
        <f t="shared" si="17"/>
      </c>
      <c r="AD1894" s="2">
        <f t="shared" si="18"/>
      </c>
      <c r="AE1894" s="2">
        <f t="shared" si="19"/>
      </c>
      <c r="AF1894" s="2">
        <f t="shared" si="20"/>
      </c>
      <c r="AG1894" s="2">
        <f t="shared" si="21"/>
      </c>
      <c r="AH1894" s="2">
        <f t="shared" si="22"/>
      </c>
      <c r="AI1894" s="2">
        <f t="shared" si="23"/>
      </c>
      <c r="AJ1894" s="2">
        <f t="shared" si="24"/>
        <v>0</v>
      </c>
      <c r="AK1894" s="2">
        <f t="shared" si="25"/>
        <v>0</v>
      </c>
      <c r="AL1894" s="2">
        <f t="shared" si="26"/>
        <v>0</v>
      </c>
      <c r="AM1894" s="2">
        <f t="shared" si="27"/>
        <v>0</v>
      </c>
      <c r="AN1894" s="2">
        <f t="shared" si="28"/>
        <v>0</v>
      </c>
      <c r="AO1894" s="2">
        <f t="shared" si="29"/>
      </c>
      <c r="AP1894" s="2">
        <f t="shared" si="30"/>
      </c>
      <c r="AQ1894" s="2">
        <f t="shared" si="31"/>
      </c>
    </row>
    <row r="1895">
      <c r="A1895" s="43">
        <f t="shared" si="3"/>
      </c>
      <c r="B1895" s="44" t="n"/>
      <c r="C1895" s="45" t="n"/>
      <c r="D1895" s="46" t="n"/>
      <c r="E1895" s="47" t="n"/>
      <c r="F1895" s="47" t="n"/>
      <c r="G1895" s="48">
        <f t="shared" si="4"/>
      </c>
      <c r="H1895" s="43">
        <f t="shared" si="0"/>
      </c>
      <c r="I1895" s="43">
        <f t="shared" si="5"/>
      </c>
      <c r="J1895" s="43">
        <f t="shared" si="1"/>
      </c>
      <c r="K1895" s="49">
        <f t="shared" si="2"/>
      </c>
      <c r="L1895" s="45" t="n"/>
      <c r="M1895" s="45" t="n"/>
      <c r="N1895" s="45" t="n"/>
      <c r="O1895" s="45" t="n"/>
      <c r="P1895" s="50" t="n"/>
      <c r="R1895" s="2">
        <f t="shared" si="6"/>
        <v>0</v>
      </c>
      <c r="S1895" s="2">
        <f t="shared" si="7"/>
      </c>
      <c r="T1895" s="2">
        <f t="shared" si="8"/>
      </c>
      <c r="U1895" s="2">
        <f t="shared" si="9"/>
      </c>
      <c r="V1895" s="2">
        <f t="shared" si="10"/>
      </c>
      <c r="W1895" s="2">
        <f t="shared" si="11"/>
      </c>
      <c r="X1895" s="2">
        <f t="shared" si="12"/>
      </c>
      <c r="Y1895" s="2">
        <f t="shared" si="13"/>
        <v>0</v>
      </c>
      <c r="Z1895" s="2">
        <f t="shared" si="14"/>
      </c>
      <c r="AA1895" s="2">
        <f t="shared" si="15"/>
        <v>0</v>
      </c>
      <c r="AB1895" s="2">
        <f t="shared" si="16"/>
      </c>
      <c r="AC1895" s="2">
        <f t="shared" si="17"/>
      </c>
      <c r="AD1895" s="2">
        <f t="shared" si="18"/>
      </c>
      <c r="AE1895" s="2">
        <f t="shared" si="19"/>
      </c>
      <c r="AF1895" s="2">
        <f t="shared" si="20"/>
      </c>
      <c r="AG1895" s="2">
        <f t="shared" si="21"/>
      </c>
      <c r="AH1895" s="2">
        <f t="shared" si="22"/>
      </c>
      <c r="AI1895" s="2">
        <f t="shared" si="23"/>
      </c>
      <c r="AJ1895" s="2">
        <f t="shared" si="24"/>
        <v>0</v>
      </c>
      <c r="AK1895" s="2">
        <f t="shared" si="25"/>
        <v>0</v>
      </c>
      <c r="AL1895" s="2">
        <f t="shared" si="26"/>
        <v>0</v>
      </c>
      <c r="AM1895" s="2">
        <f t="shared" si="27"/>
        <v>0</v>
      </c>
      <c r="AN1895" s="2">
        <f t="shared" si="28"/>
        <v>0</v>
      </c>
      <c r="AO1895" s="2">
        <f t="shared" si="29"/>
      </c>
      <c r="AP1895" s="2">
        <f t="shared" si="30"/>
      </c>
      <c r="AQ1895" s="2">
        <f t="shared" si="31"/>
      </c>
    </row>
    <row r="1896">
      <c r="A1896" s="43">
        <f t="shared" si="3"/>
      </c>
      <c r="B1896" s="44" t="n"/>
      <c r="C1896" s="45" t="n"/>
      <c r="D1896" s="46" t="n"/>
      <c r="E1896" s="47" t="n"/>
      <c r="F1896" s="47" t="n"/>
      <c r="G1896" s="48">
        <f t="shared" si="4"/>
      </c>
      <c r="H1896" s="43">
        <f t="shared" si="0"/>
      </c>
      <c r="I1896" s="43">
        <f t="shared" si="5"/>
      </c>
      <c r="J1896" s="43">
        <f t="shared" si="1"/>
      </c>
      <c r="K1896" s="49">
        <f t="shared" si="2"/>
      </c>
      <c r="L1896" s="45" t="n"/>
      <c r="M1896" s="45" t="n"/>
      <c r="N1896" s="45" t="n"/>
      <c r="O1896" s="45" t="n"/>
      <c r="P1896" s="50" t="n"/>
      <c r="R1896" s="2">
        <f t="shared" si="6"/>
        <v>0</v>
      </c>
      <c r="S1896" s="2">
        <f t="shared" si="7"/>
      </c>
      <c r="T1896" s="2">
        <f t="shared" si="8"/>
      </c>
      <c r="U1896" s="2">
        <f t="shared" si="9"/>
      </c>
      <c r="V1896" s="2">
        <f t="shared" si="10"/>
      </c>
      <c r="W1896" s="2">
        <f t="shared" si="11"/>
      </c>
      <c r="X1896" s="2">
        <f t="shared" si="12"/>
      </c>
      <c r="Y1896" s="2">
        <f t="shared" si="13"/>
        <v>0</v>
      </c>
      <c r="Z1896" s="2">
        <f t="shared" si="14"/>
      </c>
      <c r="AA1896" s="2">
        <f t="shared" si="15"/>
        <v>0</v>
      </c>
      <c r="AB1896" s="2">
        <f t="shared" si="16"/>
      </c>
      <c r="AC1896" s="2">
        <f t="shared" si="17"/>
      </c>
      <c r="AD1896" s="2">
        <f t="shared" si="18"/>
      </c>
      <c r="AE1896" s="2">
        <f t="shared" si="19"/>
      </c>
      <c r="AF1896" s="2">
        <f t="shared" si="20"/>
      </c>
      <c r="AG1896" s="2">
        <f t="shared" si="21"/>
      </c>
      <c r="AH1896" s="2">
        <f t="shared" si="22"/>
      </c>
      <c r="AI1896" s="2">
        <f t="shared" si="23"/>
      </c>
      <c r="AJ1896" s="2">
        <f t="shared" si="24"/>
        <v>0</v>
      </c>
      <c r="AK1896" s="2">
        <f t="shared" si="25"/>
        <v>0</v>
      </c>
      <c r="AL1896" s="2">
        <f t="shared" si="26"/>
        <v>0</v>
      </c>
      <c r="AM1896" s="2">
        <f t="shared" si="27"/>
        <v>0</v>
      </c>
      <c r="AN1896" s="2">
        <f t="shared" si="28"/>
        <v>0</v>
      </c>
      <c r="AO1896" s="2">
        <f t="shared" si="29"/>
      </c>
      <c r="AP1896" s="2">
        <f t="shared" si="30"/>
      </c>
      <c r="AQ1896" s="2">
        <f t="shared" si="31"/>
      </c>
    </row>
    <row r="1897">
      <c r="A1897" s="43">
        <f t="shared" si="3"/>
      </c>
      <c r="B1897" s="44" t="n"/>
      <c r="C1897" s="45" t="n"/>
      <c r="D1897" s="46" t="n"/>
      <c r="E1897" s="47" t="n"/>
      <c r="F1897" s="47" t="n"/>
      <c r="G1897" s="48">
        <f t="shared" si="4"/>
      </c>
      <c r="H1897" s="43">
        <f t="shared" si="0"/>
      </c>
      <c r="I1897" s="43">
        <f t="shared" si="5"/>
      </c>
      <c r="J1897" s="43">
        <f t="shared" si="1"/>
      </c>
      <c r="K1897" s="49">
        <f t="shared" si="2"/>
      </c>
      <c r="L1897" s="45" t="n"/>
      <c r="M1897" s="45" t="n"/>
      <c r="N1897" s="45" t="n"/>
      <c r="O1897" s="45" t="n"/>
      <c r="P1897" s="50" t="n"/>
      <c r="R1897" s="2">
        <f t="shared" si="6"/>
        <v>0</v>
      </c>
      <c r="S1897" s="2">
        <f t="shared" si="7"/>
      </c>
      <c r="T1897" s="2">
        <f t="shared" si="8"/>
      </c>
      <c r="U1897" s="2">
        <f t="shared" si="9"/>
      </c>
      <c r="V1897" s="2">
        <f t="shared" si="10"/>
      </c>
      <c r="W1897" s="2">
        <f t="shared" si="11"/>
      </c>
      <c r="X1897" s="2">
        <f t="shared" si="12"/>
      </c>
      <c r="Y1897" s="2">
        <f t="shared" si="13"/>
        <v>0</v>
      </c>
      <c r="Z1897" s="2">
        <f t="shared" si="14"/>
      </c>
      <c r="AA1897" s="2">
        <f t="shared" si="15"/>
        <v>0</v>
      </c>
      <c r="AB1897" s="2">
        <f t="shared" si="16"/>
      </c>
      <c r="AC1897" s="2">
        <f t="shared" si="17"/>
      </c>
      <c r="AD1897" s="2">
        <f t="shared" si="18"/>
      </c>
      <c r="AE1897" s="2">
        <f t="shared" si="19"/>
      </c>
      <c r="AF1897" s="2">
        <f t="shared" si="20"/>
      </c>
      <c r="AG1897" s="2">
        <f t="shared" si="21"/>
      </c>
      <c r="AH1897" s="2">
        <f t="shared" si="22"/>
      </c>
      <c r="AI1897" s="2">
        <f t="shared" si="23"/>
      </c>
      <c r="AJ1897" s="2">
        <f t="shared" si="24"/>
        <v>0</v>
      </c>
      <c r="AK1897" s="2">
        <f t="shared" si="25"/>
        <v>0</v>
      </c>
      <c r="AL1897" s="2">
        <f t="shared" si="26"/>
        <v>0</v>
      </c>
      <c r="AM1897" s="2">
        <f t="shared" si="27"/>
        <v>0</v>
      </c>
      <c r="AN1897" s="2">
        <f t="shared" si="28"/>
        <v>0</v>
      </c>
      <c r="AO1897" s="2">
        <f t="shared" si="29"/>
      </c>
      <c r="AP1897" s="2">
        <f t="shared" si="30"/>
      </c>
      <c r="AQ1897" s="2">
        <f t="shared" si="31"/>
      </c>
    </row>
    <row r="1898">
      <c r="A1898" s="43">
        <f t="shared" si="3"/>
      </c>
      <c r="B1898" s="44" t="n"/>
      <c r="C1898" s="45" t="n"/>
      <c r="D1898" s="46" t="n"/>
      <c r="E1898" s="47" t="n"/>
      <c r="F1898" s="47" t="n"/>
      <c r="G1898" s="48">
        <f t="shared" si="4"/>
      </c>
      <c r="H1898" s="43">
        <f t="shared" si="0"/>
      </c>
      <c r="I1898" s="43">
        <f t="shared" si="5"/>
      </c>
      <c r="J1898" s="43">
        <f t="shared" si="1"/>
      </c>
      <c r="K1898" s="49">
        <f t="shared" si="2"/>
      </c>
      <c r="L1898" s="45" t="n"/>
      <c r="M1898" s="45" t="n"/>
      <c r="N1898" s="45" t="n"/>
      <c r="O1898" s="45" t="n"/>
      <c r="P1898" s="50" t="n"/>
      <c r="R1898" s="2">
        <f t="shared" si="6"/>
        <v>0</v>
      </c>
      <c r="S1898" s="2">
        <f t="shared" si="7"/>
      </c>
      <c r="T1898" s="2">
        <f t="shared" si="8"/>
      </c>
      <c r="U1898" s="2">
        <f t="shared" si="9"/>
      </c>
      <c r="V1898" s="2">
        <f t="shared" si="10"/>
      </c>
      <c r="W1898" s="2">
        <f t="shared" si="11"/>
      </c>
      <c r="X1898" s="2">
        <f t="shared" si="12"/>
      </c>
      <c r="Y1898" s="2">
        <f t="shared" si="13"/>
        <v>0</v>
      </c>
      <c r="Z1898" s="2">
        <f t="shared" si="14"/>
      </c>
      <c r="AA1898" s="2">
        <f t="shared" si="15"/>
        <v>0</v>
      </c>
      <c r="AB1898" s="2">
        <f t="shared" si="16"/>
      </c>
      <c r="AC1898" s="2">
        <f t="shared" si="17"/>
      </c>
      <c r="AD1898" s="2">
        <f t="shared" si="18"/>
      </c>
      <c r="AE1898" s="2">
        <f t="shared" si="19"/>
      </c>
      <c r="AF1898" s="2">
        <f t="shared" si="20"/>
      </c>
      <c r="AG1898" s="2">
        <f t="shared" si="21"/>
      </c>
      <c r="AH1898" s="2">
        <f t="shared" si="22"/>
      </c>
      <c r="AI1898" s="2">
        <f t="shared" si="23"/>
      </c>
      <c r="AJ1898" s="2">
        <f t="shared" si="24"/>
        <v>0</v>
      </c>
      <c r="AK1898" s="2">
        <f t="shared" si="25"/>
        <v>0</v>
      </c>
      <c r="AL1898" s="2">
        <f t="shared" si="26"/>
        <v>0</v>
      </c>
      <c r="AM1898" s="2">
        <f t="shared" si="27"/>
        <v>0</v>
      </c>
      <c r="AN1898" s="2">
        <f t="shared" si="28"/>
        <v>0</v>
      </c>
      <c r="AO1898" s="2">
        <f t="shared" si="29"/>
      </c>
      <c r="AP1898" s="2">
        <f t="shared" si="30"/>
      </c>
      <c r="AQ1898" s="2">
        <f t="shared" si="31"/>
      </c>
    </row>
    <row r="1899">
      <c r="A1899" s="43">
        <f t="shared" si="3"/>
      </c>
      <c r="B1899" s="44" t="n"/>
      <c r="C1899" s="45" t="n"/>
      <c r="D1899" s="46" t="n"/>
      <c r="E1899" s="47" t="n"/>
      <c r="F1899" s="47" t="n"/>
      <c r="G1899" s="48">
        <f t="shared" si="4"/>
      </c>
      <c r="H1899" s="43">
        <f t="shared" si="0"/>
      </c>
      <c r="I1899" s="43">
        <f t="shared" si="5"/>
      </c>
      <c r="J1899" s="43">
        <f t="shared" si="1"/>
      </c>
      <c r="K1899" s="49">
        <f t="shared" si="2"/>
      </c>
      <c r="L1899" s="45" t="n"/>
      <c r="M1899" s="45" t="n"/>
      <c r="N1899" s="45" t="n"/>
      <c r="O1899" s="45" t="n"/>
      <c r="P1899" s="50" t="n"/>
      <c r="R1899" s="2">
        <f t="shared" si="6"/>
        <v>0</v>
      </c>
      <c r="S1899" s="2">
        <f t="shared" si="7"/>
      </c>
      <c r="T1899" s="2">
        <f t="shared" si="8"/>
      </c>
      <c r="U1899" s="2">
        <f t="shared" si="9"/>
      </c>
      <c r="V1899" s="2">
        <f t="shared" si="10"/>
      </c>
      <c r="W1899" s="2">
        <f t="shared" si="11"/>
      </c>
      <c r="X1899" s="2">
        <f t="shared" si="12"/>
      </c>
      <c r="Y1899" s="2">
        <f t="shared" si="13"/>
        <v>0</v>
      </c>
      <c r="Z1899" s="2">
        <f t="shared" si="14"/>
      </c>
      <c r="AA1899" s="2">
        <f t="shared" si="15"/>
        <v>0</v>
      </c>
      <c r="AB1899" s="2">
        <f t="shared" si="16"/>
      </c>
      <c r="AC1899" s="2">
        <f t="shared" si="17"/>
      </c>
      <c r="AD1899" s="2">
        <f t="shared" si="18"/>
      </c>
      <c r="AE1899" s="2">
        <f t="shared" si="19"/>
      </c>
      <c r="AF1899" s="2">
        <f t="shared" si="20"/>
      </c>
      <c r="AG1899" s="2">
        <f t="shared" si="21"/>
      </c>
      <c r="AH1899" s="2">
        <f t="shared" si="22"/>
      </c>
      <c r="AI1899" s="2">
        <f t="shared" si="23"/>
      </c>
      <c r="AJ1899" s="2">
        <f t="shared" si="24"/>
        <v>0</v>
      </c>
      <c r="AK1899" s="2">
        <f t="shared" si="25"/>
        <v>0</v>
      </c>
      <c r="AL1899" s="2">
        <f t="shared" si="26"/>
        <v>0</v>
      </c>
      <c r="AM1899" s="2">
        <f t="shared" si="27"/>
        <v>0</v>
      </c>
      <c r="AN1899" s="2">
        <f t="shared" si="28"/>
        <v>0</v>
      </c>
      <c r="AO1899" s="2">
        <f t="shared" si="29"/>
      </c>
      <c r="AP1899" s="2">
        <f t="shared" si="30"/>
      </c>
      <c r="AQ1899" s="2">
        <f t="shared" si="31"/>
      </c>
    </row>
    <row r="1900">
      <c r="A1900" s="43">
        <f t="shared" si="3"/>
      </c>
      <c r="B1900" s="44" t="n"/>
      <c r="C1900" s="45" t="n"/>
      <c r="D1900" s="46" t="n"/>
      <c r="E1900" s="47" t="n"/>
      <c r="F1900" s="47" t="n"/>
      <c r="G1900" s="48">
        <f t="shared" si="4"/>
      </c>
      <c r="H1900" s="43">
        <f t="shared" si="0"/>
      </c>
      <c r="I1900" s="43">
        <f t="shared" si="5"/>
      </c>
      <c r="J1900" s="43">
        <f t="shared" si="1"/>
      </c>
      <c r="K1900" s="49">
        <f t="shared" si="2"/>
      </c>
      <c r="L1900" s="45" t="n"/>
      <c r="M1900" s="45" t="n"/>
      <c r="N1900" s="45" t="n"/>
      <c r="O1900" s="45" t="n"/>
      <c r="P1900" s="50" t="n"/>
      <c r="R1900" s="2">
        <f t="shared" si="6"/>
        <v>0</v>
      </c>
      <c r="S1900" s="2">
        <f t="shared" si="7"/>
      </c>
      <c r="T1900" s="2">
        <f t="shared" si="8"/>
      </c>
      <c r="U1900" s="2">
        <f t="shared" si="9"/>
      </c>
      <c r="V1900" s="2">
        <f t="shared" si="10"/>
      </c>
      <c r="W1900" s="2">
        <f t="shared" si="11"/>
      </c>
      <c r="X1900" s="2">
        <f t="shared" si="12"/>
      </c>
      <c r="Y1900" s="2">
        <f t="shared" si="13"/>
        <v>0</v>
      </c>
      <c r="Z1900" s="2">
        <f t="shared" si="14"/>
      </c>
      <c r="AA1900" s="2">
        <f t="shared" si="15"/>
        <v>0</v>
      </c>
      <c r="AB1900" s="2">
        <f t="shared" si="16"/>
      </c>
      <c r="AC1900" s="2">
        <f t="shared" si="17"/>
      </c>
      <c r="AD1900" s="2">
        <f t="shared" si="18"/>
      </c>
      <c r="AE1900" s="2">
        <f t="shared" si="19"/>
      </c>
      <c r="AF1900" s="2">
        <f t="shared" si="20"/>
      </c>
      <c r="AG1900" s="2">
        <f t="shared" si="21"/>
      </c>
      <c r="AH1900" s="2">
        <f t="shared" si="22"/>
      </c>
      <c r="AI1900" s="2">
        <f t="shared" si="23"/>
      </c>
      <c r="AJ1900" s="2">
        <f t="shared" si="24"/>
        <v>0</v>
      </c>
      <c r="AK1900" s="2">
        <f t="shared" si="25"/>
        <v>0</v>
      </c>
      <c r="AL1900" s="2">
        <f t="shared" si="26"/>
        <v>0</v>
      </c>
      <c r="AM1900" s="2">
        <f t="shared" si="27"/>
        <v>0</v>
      </c>
      <c r="AN1900" s="2">
        <f t="shared" si="28"/>
        <v>0</v>
      </c>
      <c r="AO1900" s="2">
        <f t="shared" si="29"/>
      </c>
      <c r="AP1900" s="2">
        <f t="shared" si="30"/>
      </c>
      <c r="AQ1900" s="2">
        <f t="shared" si="31"/>
      </c>
    </row>
    <row r="1901">
      <c r="A1901" s="43">
        <f t="shared" si="3"/>
      </c>
      <c r="B1901" s="44" t="n"/>
      <c r="C1901" s="45" t="n"/>
      <c r="D1901" s="46" t="n"/>
      <c r="E1901" s="47" t="n"/>
      <c r="F1901" s="47" t="n"/>
      <c r="G1901" s="48">
        <f t="shared" si="4"/>
      </c>
      <c r="H1901" s="43">
        <f t="shared" si="0"/>
      </c>
      <c r="I1901" s="43">
        <f t="shared" si="5"/>
      </c>
      <c r="J1901" s="43">
        <f t="shared" si="1"/>
      </c>
      <c r="K1901" s="49">
        <f t="shared" si="2"/>
      </c>
      <c r="L1901" s="45" t="n"/>
      <c r="M1901" s="45" t="n"/>
      <c r="N1901" s="45" t="n"/>
      <c r="O1901" s="45" t="n"/>
      <c r="P1901" s="50" t="n"/>
      <c r="R1901" s="2">
        <f t="shared" si="6"/>
        <v>0</v>
      </c>
      <c r="S1901" s="2">
        <f t="shared" si="7"/>
      </c>
      <c r="T1901" s="2">
        <f t="shared" si="8"/>
      </c>
      <c r="U1901" s="2">
        <f t="shared" si="9"/>
      </c>
      <c r="V1901" s="2">
        <f t="shared" si="10"/>
      </c>
      <c r="W1901" s="2">
        <f t="shared" si="11"/>
      </c>
      <c r="X1901" s="2">
        <f t="shared" si="12"/>
      </c>
      <c r="Y1901" s="2">
        <f t="shared" si="13"/>
        <v>0</v>
      </c>
      <c r="Z1901" s="2">
        <f t="shared" si="14"/>
      </c>
      <c r="AA1901" s="2">
        <f t="shared" si="15"/>
        <v>0</v>
      </c>
      <c r="AB1901" s="2">
        <f t="shared" si="16"/>
      </c>
      <c r="AC1901" s="2">
        <f t="shared" si="17"/>
      </c>
      <c r="AD1901" s="2">
        <f t="shared" si="18"/>
      </c>
      <c r="AE1901" s="2">
        <f t="shared" si="19"/>
      </c>
      <c r="AF1901" s="2">
        <f t="shared" si="20"/>
      </c>
      <c r="AG1901" s="2">
        <f t="shared" si="21"/>
      </c>
      <c r="AH1901" s="2">
        <f t="shared" si="22"/>
      </c>
      <c r="AI1901" s="2">
        <f t="shared" si="23"/>
      </c>
      <c r="AJ1901" s="2">
        <f t="shared" si="24"/>
        <v>0</v>
      </c>
      <c r="AK1901" s="2">
        <f t="shared" si="25"/>
        <v>0</v>
      </c>
      <c r="AL1901" s="2">
        <f t="shared" si="26"/>
        <v>0</v>
      </c>
      <c r="AM1901" s="2">
        <f t="shared" si="27"/>
        <v>0</v>
      </c>
      <c r="AN1901" s="2">
        <f t="shared" si="28"/>
        <v>0</v>
      </c>
      <c r="AO1901" s="2">
        <f t="shared" si="29"/>
      </c>
      <c r="AP1901" s="2">
        <f t="shared" si="30"/>
      </c>
      <c r="AQ1901" s="2">
        <f t="shared" si="31"/>
      </c>
    </row>
    <row r="1902">
      <c r="A1902" s="43">
        <f t="shared" si="3"/>
      </c>
      <c r="B1902" s="44" t="n"/>
      <c r="C1902" s="45" t="n"/>
      <c r="D1902" s="46" t="n"/>
      <c r="E1902" s="47" t="n"/>
      <c r="F1902" s="47" t="n"/>
      <c r="G1902" s="48">
        <f t="shared" si="4"/>
      </c>
      <c r="H1902" s="43">
        <f t="shared" si="0"/>
      </c>
      <c r="I1902" s="43">
        <f t="shared" si="5"/>
      </c>
      <c r="J1902" s="43">
        <f t="shared" si="1"/>
      </c>
      <c r="K1902" s="49">
        <f t="shared" si="2"/>
      </c>
      <c r="L1902" s="45" t="n"/>
      <c r="M1902" s="45" t="n"/>
      <c r="N1902" s="45" t="n"/>
      <c r="O1902" s="45" t="n"/>
      <c r="P1902" s="50" t="n"/>
      <c r="R1902" s="2">
        <f t="shared" si="6"/>
        <v>0</v>
      </c>
      <c r="S1902" s="2">
        <f t="shared" si="7"/>
      </c>
      <c r="T1902" s="2">
        <f t="shared" si="8"/>
      </c>
      <c r="U1902" s="2">
        <f t="shared" si="9"/>
      </c>
      <c r="V1902" s="2">
        <f t="shared" si="10"/>
      </c>
      <c r="W1902" s="2">
        <f t="shared" si="11"/>
      </c>
      <c r="X1902" s="2">
        <f t="shared" si="12"/>
      </c>
      <c r="Y1902" s="2">
        <f t="shared" si="13"/>
        <v>0</v>
      </c>
      <c r="Z1902" s="2">
        <f t="shared" si="14"/>
      </c>
      <c r="AA1902" s="2">
        <f t="shared" si="15"/>
        <v>0</v>
      </c>
      <c r="AB1902" s="2">
        <f t="shared" si="16"/>
      </c>
      <c r="AC1902" s="2">
        <f t="shared" si="17"/>
      </c>
      <c r="AD1902" s="2">
        <f t="shared" si="18"/>
      </c>
      <c r="AE1902" s="2">
        <f t="shared" si="19"/>
      </c>
      <c r="AF1902" s="2">
        <f t="shared" si="20"/>
      </c>
      <c r="AG1902" s="2">
        <f t="shared" si="21"/>
      </c>
      <c r="AH1902" s="2">
        <f t="shared" si="22"/>
      </c>
      <c r="AI1902" s="2">
        <f t="shared" si="23"/>
      </c>
      <c r="AJ1902" s="2">
        <f t="shared" si="24"/>
        <v>0</v>
      </c>
      <c r="AK1902" s="2">
        <f t="shared" si="25"/>
        <v>0</v>
      </c>
      <c r="AL1902" s="2">
        <f t="shared" si="26"/>
        <v>0</v>
      </c>
      <c r="AM1902" s="2">
        <f t="shared" si="27"/>
        <v>0</v>
      </c>
      <c r="AN1902" s="2">
        <f t="shared" si="28"/>
        <v>0</v>
      </c>
      <c r="AO1902" s="2">
        <f t="shared" si="29"/>
      </c>
      <c r="AP1902" s="2">
        <f t="shared" si="30"/>
      </c>
      <c r="AQ1902" s="2">
        <f t="shared" si="31"/>
      </c>
    </row>
    <row r="1903">
      <c r="A1903" s="43">
        <f t="shared" si="3"/>
      </c>
      <c r="B1903" s="44" t="n"/>
      <c r="C1903" s="45" t="n"/>
      <c r="D1903" s="46" t="n"/>
      <c r="E1903" s="47" t="n"/>
      <c r="F1903" s="47" t="n"/>
      <c r="G1903" s="48">
        <f t="shared" si="4"/>
      </c>
      <c r="H1903" s="43">
        <f t="shared" si="0"/>
      </c>
      <c r="I1903" s="43">
        <f t="shared" si="5"/>
      </c>
      <c r="J1903" s="43">
        <f t="shared" si="1"/>
      </c>
      <c r="K1903" s="49">
        <f t="shared" si="2"/>
      </c>
      <c r="L1903" s="45" t="n"/>
      <c r="M1903" s="45" t="n"/>
      <c r="N1903" s="45" t="n"/>
      <c r="O1903" s="45" t="n"/>
      <c r="P1903" s="50" t="n"/>
      <c r="R1903" s="2">
        <f t="shared" si="6"/>
        <v>0</v>
      </c>
      <c r="S1903" s="2">
        <f t="shared" si="7"/>
      </c>
      <c r="T1903" s="2">
        <f t="shared" si="8"/>
      </c>
      <c r="U1903" s="2">
        <f t="shared" si="9"/>
      </c>
      <c r="V1903" s="2">
        <f t="shared" si="10"/>
      </c>
      <c r="W1903" s="2">
        <f t="shared" si="11"/>
      </c>
      <c r="X1903" s="2">
        <f t="shared" si="12"/>
      </c>
      <c r="Y1903" s="2">
        <f t="shared" si="13"/>
        <v>0</v>
      </c>
      <c r="Z1903" s="2">
        <f t="shared" si="14"/>
      </c>
      <c r="AA1903" s="2">
        <f t="shared" si="15"/>
        <v>0</v>
      </c>
      <c r="AB1903" s="2">
        <f t="shared" si="16"/>
      </c>
      <c r="AC1903" s="2">
        <f t="shared" si="17"/>
      </c>
      <c r="AD1903" s="2">
        <f t="shared" si="18"/>
      </c>
      <c r="AE1903" s="2">
        <f t="shared" si="19"/>
      </c>
      <c r="AF1903" s="2">
        <f t="shared" si="20"/>
      </c>
      <c r="AG1903" s="2">
        <f t="shared" si="21"/>
      </c>
      <c r="AH1903" s="2">
        <f t="shared" si="22"/>
      </c>
      <c r="AI1903" s="2">
        <f t="shared" si="23"/>
      </c>
      <c r="AJ1903" s="2">
        <f t="shared" si="24"/>
        <v>0</v>
      </c>
      <c r="AK1903" s="2">
        <f t="shared" si="25"/>
        <v>0</v>
      </c>
      <c r="AL1903" s="2">
        <f t="shared" si="26"/>
        <v>0</v>
      </c>
      <c r="AM1903" s="2">
        <f t="shared" si="27"/>
        <v>0</v>
      </c>
      <c r="AN1903" s="2">
        <f t="shared" si="28"/>
        <v>0</v>
      </c>
      <c r="AO1903" s="2">
        <f t="shared" si="29"/>
      </c>
      <c r="AP1903" s="2">
        <f t="shared" si="30"/>
      </c>
      <c r="AQ1903" s="2">
        <f t="shared" si="31"/>
      </c>
    </row>
    <row r="1904">
      <c r="A1904" s="43">
        <f t="shared" si="3"/>
      </c>
      <c r="B1904" s="44" t="n"/>
      <c r="C1904" s="45" t="n"/>
      <c r="D1904" s="46" t="n"/>
      <c r="E1904" s="47" t="n"/>
      <c r="F1904" s="47" t="n"/>
      <c r="G1904" s="48">
        <f t="shared" si="4"/>
      </c>
      <c r="H1904" s="43">
        <f t="shared" si="0"/>
      </c>
      <c r="I1904" s="43">
        <f t="shared" si="5"/>
      </c>
      <c r="J1904" s="43">
        <f t="shared" si="1"/>
      </c>
      <c r="K1904" s="49">
        <f t="shared" si="2"/>
      </c>
      <c r="L1904" s="45" t="n"/>
      <c r="M1904" s="45" t="n"/>
      <c r="N1904" s="45" t="n"/>
      <c r="O1904" s="45" t="n"/>
      <c r="P1904" s="50" t="n"/>
      <c r="R1904" s="2">
        <f t="shared" si="6"/>
        <v>0</v>
      </c>
      <c r="S1904" s="2">
        <f t="shared" si="7"/>
      </c>
      <c r="T1904" s="2">
        <f t="shared" si="8"/>
      </c>
      <c r="U1904" s="2">
        <f t="shared" si="9"/>
      </c>
      <c r="V1904" s="2">
        <f t="shared" si="10"/>
      </c>
      <c r="W1904" s="2">
        <f t="shared" si="11"/>
      </c>
      <c r="X1904" s="2">
        <f t="shared" si="12"/>
      </c>
      <c r="Y1904" s="2">
        <f t="shared" si="13"/>
        <v>0</v>
      </c>
      <c r="Z1904" s="2">
        <f t="shared" si="14"/>
      </c>
      <c r="AA1904" s="2">
        <f t="shared" si="15"/>
        <v>0</v>
      </c>
      <c r="AB1904" s="2">
        <f t="shared" si="16"/>
      </c>
      <c r="AC1904" s="2">
        <f t="shared" si="17"/>
      </c>
      <c r="AD1904" s="2">
        <f t="shared" si="18"/>
      </c>
      <c r="AE1904" s="2">
        <f t="shared" si="19"/>
      </c>
      <c r="AF1904" s="2">
        <f t="shared" si="20"/>
      </c>
      <c r="AG1904" s="2">
        <f t="shared" si="21"/>
      </c>
      <c r="AH1904" s="2">
        <f t="shared" si="22"/>
      </c>
      <c r="AI1904" s="2">
        <f t="shared" si="23"/>
      </c>
      <c r="AJ1904" s="2">
        <f t="shared" si="24"/>
        <v>0</v>
      </c>
      <c r="AK1904" s="2">
        <f t="shared" si="25"/>
        <v>0</v>
      </c>
      <c r="AL1904" s="2">
        <f t="shared" si="26"/>
        <v>0</v>
      </c>
      <c r="AM1904" s="2">
        <f t="shared" si="27"/>
        <v>0</v>
      </c>
      <c r="AN1904" s="2">
        <f t="shared" si="28"/>
        <v>0</v>
      </c>
      <c r="AO1904" s="2">
        <f t="shared" si="29"/>
      </c>
      <c r="AP1904" s="2">
        <f t="shared" si="30"/>
      </c>
      <c r="AQ1904" s="2">
        <f t="shared" si="31"/>
      </c>
    </row>
    <row r="1905">
      <c r="A1905" s="43">
        <f t="shared" si="3"/>
      </c>
      <c r="B1905" s="44" t="n"/>
      <c r="C1905" s="45" t="n"/>
      <c r="D1905" s="46" t="n"/>
      <c r="E1905" s="47" t="n"/>
      <c r="F1905" s="47" t="n"/>
      <c r="G1905" s="48">
        <f t="shared" si="4"/>
      </c>
      <c r="H1905" s="43">
        <f t="shared" si="0"/>
      </c>
      <c r="I1905" s="43">
        <f t="shared" si="5"/>
      </c>
      <c r="J1905" s="43">
        <f t="shared" si="1"/>
      </c>
      <c r="K1905" s="49">
        <f t="shared" si="2"/>
      </c>
      <c r="L1905" s="45" t="n"/>
      <c r="M1905" s="45" t="n"/>
      <c r="N1905" s="45" t="n"/>
      <c r="O1905" s="45" t="n"/>
      <c r="P1905" s="50" t="n"/>
      <c r="R1905" s="2">
        <f t="shared" si="6"/>
        <v>0</v>
      </c>
      <c r="S1905" s="2">
        <f t="shared" si="7"/>
      </c>
      <c r="T1905" s="2">
        <f t="shared" si="8"/>
      </c>
      <c r="U1905" s="2">
        <f t="shared" si="9"/>
      </c>
      <c r="V1905" s="2">
        <f t="shared" si="10"/>
      </c>
      <c r="W1905" s="2">
        <f t="shared" si="11"/>
      </c>
      <c r="X1905" s="2">
        <f t="shared" si="12"/>
      </c>
      <c r="Y1905" s="2">
        <f t="shared" si="13"/>
        <v>0</v>
      </c>
      <c r="Z1905" s="2">
        <f t="shared" si="14"/>
      </c>
      <c r="AA1905" s="2">
        <f t="shared" si="15"/>
        <v>0</v>
      </c>
      <c r="AB1905" s="2">
        <f t="shared" si="16"/>
      </c>
      <c r="AC1905" s="2">
        <f t="shared" si="17"/>
      </c>
      <c r="AD1905" s="2">
        <f t="shared" si="18"/>
      </c>
      <c r="AE1905" s="2">
        <f t="shared" si="19"/>
      </c>
      <c r="AF1905" s="2">
        <f t="shared" si="20"/>
      </c>
      <c r="AG1905" s="2">
        <f t="shared" si="21"/>
      </c>
      <c r="AH1905" s="2">
        <f t="shared" si="22"/>
      </c>
      <c r="AI1905" s="2">
        <f t="shared" si="23"/>
      </c>
      <c r="AJ1905" s="2">
        <f t="shared" si="24"/>
        <v>0</v>
      </c>
      <c r="AK1905" s="2">
        <f t="shared" si="25"/>
        <v>0</v>
      </c>
      <c r="AL1905" s="2">
        <f t="shared" si="26"/>
        <v>0</v>
      </c>
      <c r="AM1905" s="2">
        <f t="shared" si="27"/>
        <v>0</v>
      </c>
      <c r="AN1905" s="2">
        <f t="shared" si="28"/>
        <v>0</v>
      </c>
      <c r="AO1905" s="2">
        <f t="shared" si="29"/>
      </c>
      <c r="AP1905" s="2">
        <f t="shared" si="30"/>
      </c>
      <c r="AQ1905" s="2">
        <f t="shared" si="31"/>
      </c>
    </row>
    <row r="1906">
      <c r="A1906" s="43">
        <f t="shared" si="3"/>
      </c>
      <c r="B1906" s="44" t="n"/>
      <c r="C1906" s="45" t="n"/>
      <c r="D1906" s="46" t="n"/>
      <c r="E1906" s="47" t="n"/>
      <c r="F1906" s="47" t="n"/>
      <c r="G1906" s="48">
        <f t="shared" si="4"/>
      </c>
      <c r="H1906" s="43">
        <f t="shared" si="0"/>
      </c>
      <c r="I1906" s="43">
        <f t="shared" si="5"/>
      </c>
      <c r="J1906" s="43">
        <f t="shared" si="1"/>
      </c>
      <c r="K1906" s="49">
        <f t="shared" si="2"/>
      </c>
      <c r="L1906" s="45" t="n"/>
      <c r="M1906" s="45" t="n"/>
      <c r="N1906" s="45" t="n"/>
      <c r="O1906" s="45" t="n"/>
      <c r="P1906" s="50" t="n"/>
      <c r="R1906" s="2">
        <f t="shared" si="6"/>
        <v>0</v>
      </c>
      <c r="S1906" s="2">
        <f t="shared" si="7"/>
      </c>
      <c r="T1906" s="2">
        <f t="shared" si="8"/>
      </c>
      <c r="U1906" s="2">
        <f t="shared" si="9"/>
      </c>
      <c r="V1906" s="2">
        <f t="shared" si="10"/>
      </c>
      <c r="W1906" s="2">
        <f t="shared" si="11"/>
      </c>
      <c r="X1906" s="2">
        <f t="shared" si="12"/>
      </c>
      <c r="Y1906" s="2">
        <f t="shared" si="13"/>
        <v>0</v>
      </c>
      <c r="Z1906" s="2">
        <f t="shared" si="14"/>
      </c>
      <c r="AA1906" s="2">
        <f t="shared" si="15"/>
        <v>0</v>
      </c>
      <c r="AB1906" s="2">
        <f t="shared" si="16"/>
      </c>
      <c r="AC1906" s="2">
        <f t="shared" si="17"/>
      </c>
      <c r="AD1906" s="2">
        <f t="shared" si="18"/>
      </c>
      <c r="AE1906" s="2">
        <f t="shared" si="19"/>
      </c>
      <c r="AF1906" s="2">
        <f t="shared" si="20"/>
      </c>
      <c r="AG1906" s="2">
        <f t="shared" si="21"/>
      </c>
      <c r="AH1906" s="2">
        <f t="shared" si="22"/>
      </c>
      <c r="AI1906" s="2">
        <f t="shared" si="23"/>
      </c>
      <c r="AJ1906" s="2">
        <f t="shared" si="24"/>
        <v>0</v>
      </c>
      <c r="AK1906" s="2">
        <f t="shared" si="25"/>
        <v>0</v>
      </c>
      <c r="AL1906" s="2">
        <f t="shared" si="26"/>
        <v>0</v>
      </c>
      <c r="AM1906" s="2">
        <f t="shared" si="27"/>
        <v>0</v>
      </c>
      <c r="AN1906" s="2">
        <f t="shared" si="28"/>
        <v>0</v>
      </c>
      <c r="AO1906" s="2">
        <f t="shared" si="29"/>
      </c>
      <c r="AP1906" s="2">
        <f t="shared" si="30"/>
      </c>
      <c r="AQ1906" s="2">
        <f t="shared" si="31"/>
      </c>
    </row>
    <row r="1907">
      <c r="A1907" s="43">
        <f t="shared" si="3"/>
      </c>
      <c r="B1907" s="44" t="n"/>
      <c r="C1907" s="45" t="n"/>
      <c r="D1907" s="46" t="n"/>
      <c r="E1907" s="47" t="n"/>
      <c r="F1907" s="47" t="n"/>
      <c r="G1907" s="48">
        <f t="shared" si="4"/>
      </c>
      <c r="H1907" s="43">
        <f t="shared" si="0"/>
      </c>
      <c r="I1907" s="43">
        <f t="shared" si="5"/>
      </c>
      <c r="J1907" s="43">
        <f t="shared" si="1"/>
      </c>
      <c r="K1907" s="49">
        <f t="shared" si="2"/>
      </c>
      <c r="L1907" s="45" t="n"/>
      <c r="M1907" s="45" t="n"/>
      <c r="N1907" s="45" t="n"/>
      <c r="O1907" s="45" t="n"/>
      <c r="P1907" s="50" t="n"/>
      <c r="R1907" s="2">
        <f t="shared" si="6"/>
        <v>0</v>
      </c>
      <c r="S1907" s="2">
        <f t="shared" si="7"/>
      </c>
      <c r="T1907" s="2">
        <f t="shared" si="8"/>
      </c>
      <c r="U1907" s="2">
        <f t="shared" si="9"/>
      </c>
      <c r="V1907" s="2">
        <f t="shared" si="10"/>
      </c>
      <c r="W1907" s="2">
        <f t="shared" si="11"/>
      </c>
      <c r="X1907" s="2">
        <f t="shared" si="12"/>
      </c>
      <c r="Y1907" s="2">
        <f t="shared" si="13"/>
        <v>0</v>
      </c>
      <c r="Z1907" s="2">
        <f t="shared" si="14"/>
      </c>
      <c r="AA1907" s="2">
        <f t="shared" si="15"/>
        <v>0</v>
      </c>
      <c r="AB1907" s="2">
        <f t="shared" si="16"/>
      </c>
      <c r="AC1907" s="2">
        <f t="shared" si="17"/>
      </c>
      <c r="AD1907" s="2">
        <f t="shared" si="18"/>
      </c>
      <c r="AE1907" s="2">
        <f t="shared" si="19"/>
      </c>
      <c r="AF1907" s="2">
        <f t="shared" si="20"/>
      </c>
      <c r="AG1907" s="2">
        <f t="shared" si="21"/>
      </c>
      <c r="AH1907" s="2">
        <f t="shared" si="22"/>
      </c>
      <c r="AI1907" s="2">
        <f t="shared" si="23"/>
      </c>
      <c r="AJ1907" s="2">
        <f t="shared" si="24"/>
        <v>0</v>
      </c>
      <c r="AK1907" s="2">
        <f t="shared" si="25"/>
        <v>0</v>
      </c>
      <c r="AL1907" s="2">
        <f t="shared" si="26"/>
        <v>0</v>
      </c>
      <c r="AM1907" s="2">
        <f t="shared" si="27"/>
        <v>0</v>
      </c>
      <c r="AN1907" s="2">
        <f t="shared" si="28"/>
        <v>0</v>
      </c>
      <c r="AO1907" s="2">
        <f t="shared" si="29"/>
      </c>
      <c r="AP1907" s="2">
        <f t="shared" si="30"/>
      </c>
      <c r="AQ1907" s="2">
        <f t="shared" si="31"/>
      </c>
    </row>
    <row r="1908">
      <c r="A1908" s="43">
        <f t="shared" si="3"/>
      </c>
      <c r="B1908" s="44" t="n"/>
      <c r="C1908" s="45" t="n"/>
      <c r="D1908" s="46" t="n"/>
      <c r="E1908" s="47" t="n"/>
      <c r="F1908" s="47" t="n"/>
      <c r="G1908" s="48">
        <f t="shared" si="4"/>
      </c>
      <c r="H1908" s="43">
        <f t="shared" si="0"/>
      </c>
      <c r="I1908" s="43">
        <f t="shared" si="5"/>
      </c>
      <c r="J1908" s="43">
        <f t="shared" si="1"/>
      </c>
      <c r="K1908" s="49">
        <f t="shared" si="2"/>
      </c>
      <c r="L1908" s="45" t="n"/>
      <c r="M1908" s="45" t="n"/>
      <c r="N1908" s="45" t="n"/>
      <c r="O1908" s="45" t="n"/>
      <c r="P1908" s="50" t="n"/>
      <c r="R1908" s="2">
        <f t="shared" si="6"/>
        <v>0</v>
      </c>
      <c r="S1908" s="2">
        <f t="shared" si="7"/>
      </c>
      <c r="T1908" s="2">
        <f t="shared" si="8"/>
      </c>
      <c r="U1908" s="2">
        <f t="shared" si="9"/>
      </c>
      <c r="V1908" s="2">
        <f t="shared" si="10"/>
      </c>
      <c r="W1908" s="2">
        <f t="shared" si="11"/>
      </c>
      <c r="X1908" s="2">
        <f t="shared" si="12"/>
      </c>
      <c r="Y1908" s="2">
        <f t="shared" si="13"/>
        <v>0</v>
      </c>
      <c r="Z1908" s="2">
        <f t="shared" si="14"/>
      </c>
      <c r="AA1908" s="2">
        <f t="shared" si="15"/>
        <v>0</v>
      </c>
      <c r="AB1908" s="2">
        <f t="shared" si="16"/>
      </c>
      <c r="AC1908" s="2">
        <f t="shared" si="17"/>
      </c>
      <c r="AD1908" s="2">
        <f t="shared" si="18"/>
      </c>
      <c r="AE1908" s="2">
        <f t="shared" si="19"/>
      </c>
      <c r="AF1908" s="2">
        <f t="shared" si="20"/>
      </c>
      <c r="AG1908" s="2">
        <f t="shared" si="21"/>
      </c>
      <c r="AH1908" s="2">
        <f t="shared" si="22"/>
      </c>
      <c r="AI1908" s="2">
        <f t="shared" si="23"/>
      </c>
      <c r="AJ1908" s="2">
        <f t="shared" si="24"/>
        <v>0</v>
      </c>
      <c r="AK1908" s="2">
        <f t="shared" si="25"/>
        <v>0</v>
      </c>
      <c r="AL1908" s="2">
        <f t="shared" si="26"/>
        <v>0</v>
      </c>
      <c r="AM1908" s="2">
        <f t="shared" si="27"/>
        <v>0</v>
      </c>
      <c r="AN1908" s="2">
        <f t="shared" si="28"/>
        <v>0</v>
      </c>
      <c r="AO1908" s="2">
        <f t="shared" si="29"/>
      </c>
      <c r="AP1908" s="2">
        <f t="shared" si="30"/>
      </c>
      <c r="AQ1908" s="2">
        <f t="shared" si="31"/>
      </c>
    </row>
    <row r="1909">
      <c r="A1909" s="43">
        <f t="shared" si="3"/>
      </c>
      <c r="B1909" s="44" t="n"/>
      <c r="C1909" s="45" t="n"/>
      <c r="D1909" s="46" t="n"/>
      <c r="E1909" s="47" t="n"/>
      <c r="F1909" s="47" t="n"/>
      <c r="G1909" s="48">
        <f t="shared" si="4"/>
      </c>
      <c r="H1909" s="43">
        <f t="shared" si="0"/>
      </c>
      <c r="I1909" s="43">
        <f t="shared" si="5"/>
      </c>
      <c r="J1909" s="43">
        <f t="shared" si="1"/>
      </c>
      <c r="K1909" s="49">
        <f t="shared" si="2"/>
      </c>
      <c r="L1909" s="45" t="n"/>
      <c r="M1909" s="45" t="n"/>
      <c r="N1909" s="45" t="n"/>
      <c r="O1909" s="45" t="n"/>
      <c r="P1909" s="50" t="n"/>
      <c r="R1909" s="2">
        <f t="shared" si="6"/>
        <v>0</v>
      </c>
      <c r="S1909" s="2">
        <f t="shared" si="7"/>
      </c>
      <c r="T1909" s="2">
        <f t="shared" si="8"/>
      </c>
      <c r="U1909" s="2">
        <f t="shared" si="9"/>
      </c>
      <c r="V1909" s="2">
        <f t="shared" si="10"/>
      </c>
      <c r="W1909" s="2">
        <f t="shared" si="11"/>
      </c>
      <c r="X1909" s="2">
        <f t="shared" si="12"/>
      </c>
      <c r="Y1909" s="2">
        <f t="shared" si="13"/>
        <v>0</v>
      </c>
      <c r="Z1909" s="2">
        <f t="shared" si="14"/>
      </c>
      <c r="AA1909" s="2">
        <f t="shared" si="15"/>
        <v>0</v>
      </c>
      <c r="AB1909" s="2">
        <f t="shared" si="16"/>
      </c>
      <c r="AC1909" s="2">
        <f t="shared" si="17"/>
      </c>
      <c r="AD1909" s="2">
        <f t="shared" si="18"/>
      </c>
      <c r="AE1909" s="2">
        <f t="shared" si="19"/>
      </c>
      <c r="AF1909" s="2">
        <f t="shared" si="20"/>
      </c>
      <c r="AG1909" s="2">
        <f t="shared" si="21"/>
      </c>
      <c r="AH1909" s="2">
        <f t="shared" si="22"/>
      </c>
      <c r="AI1909" s="2">
        <f t="shared" si="23"/>
      </c>
      <c r="AJ1909" s="2">
        <f t="shared" si="24"/>
        <v>0</v>
      </c>
      <c r="AK1909" s="2">
        <f t="shared" si="25"/>
        <v>0</v>
      </c>
      <c r="AL1909" s="2">
        <f t="shared" si="26"/>
        <v>0</v>
      </c>
      <c r="AM1909" s="2">
        <f t="shared" si="27"/>
        <v>0</v>
      </c>
      <c r="AN1909" s="2">
        <f t="shared" si="28"/>
        <v>0</v>
      </c>
      <c r="AO1909" s="2">
        <f t="shared" si="29"/>
      </c>
      <c r="AP1909" s="2">
        <f t="shared" si="30"/>
      </c>
      <c r="AQ1909" s="2">
        <f t="shared" si="31"/>
      </c>
    </row>
    <row r="1910">
      <c r="A1910" s="43">
        <f t="shared" si="3"/>
      </c>
      <c r="B1910" s="44" t="n"/>
      <c r="C1910" s="45" t="n"/>
      <c r="D1910" s="46" t="n"/>
      <c r="E1910" s="47" t="n"/>
      <c r="F1910" s="47" t="n"/>
      <c r="G1910" s="48">
        <f t="shared" si="4"/>
      </c>
      <c r="H1910" s="43">
        <f t="shared" si="0"/>
      </c>
      <c r="I1910" s="43">
        <f t="shared" si="5"/>
      </c>
      <c r="J1910" s="43">
        <f t="shared" si="1"/>
      </c>
      <c r="K1910" s="49">
        <f t="shared" si="2"/>
      </c>
      <c r="L1910" s="45" t="n"/>
      <c r="M1910" s="45" t="n"/>
      <c r="N1910" s="45" t="n"/>
      <c r="O1910" s="45" t="n"/>
      <c r="P1910" s="50" t="n"/>
      <c r="R1910" s="2">
        <f t="shared" si="6"/>
        <v>0</v>
      </c>
      <c r="S1910" s="2">
        <f t="shared" si="7"/>
      </c>
      <c r="T1910" s="2">
        <f t="shared" si="8"/>
      </c>
      <c r="U1910" s="2">
        <f t="shared" si="9"/>
      </c>
      <c r="V1910" s="2">
        <f t="shared" si="10"/>
      </c>
      <c r="W1910" s="2">
        <f t="shared" si="11"/>
      </c>
      <c r="X1910" s="2">
        <f t="shared" si="12"/>
      </c>
      <c r="Y1910" s="2">
        <f t="shared" si="13"/>
        <v>0</v>
      </c>
      <c r="Z1910" s="2">
        <f t="shared" si="14"/>
      </c>
      <c r="AA1910" s="2">
        <f t="shared" si="15"/>
        <v>0</v>
      </c>
      <c r="AB1910" s="2">
        <f t="shared" si="16"/>
      </c>
      <c r="AC1910" s="2">
        <f t="shared" si="17"/>
      </c>
      <c r="AD1910" s="2">
        <f t="shared" si="18"/>
      </c>
      <c r="AE1910" s="2">
        <f t="shared" si="19"/>
      </c>
      <c r="AF1910" s="2">
        <f t="shared" si="20"/>
      </c>
      <c r="AG1910" s="2">
        <f t="shared" si="21"/>
      </c>
      <c r="AH1910" s="2">
        <f t="shared" si="22"/>
      </c>
      <c r="AI1910" s="2">
        <f t="shared" si="23"/>
      </c>
      <c r="AJ1910" s="2">
        <f t="shared" si="24"/>
        <v>0</v>
      </c>
      <c r="AK1910" s="2">
        <f t="shared" si="25"/>
        <v>0</v>
      </c>
      <c r="AL1910" s="2">
        <f t="shared" si="26"/>
        <v>0</v>
      </c>
      <c r="AM1910" s="2">
        <f t="shared" si="27"/>
        <v>0</v>
      </c>
      <c r="AN1910" s="2">
        <f t="shared" si="28"/>
        <v>0</v>
      </c>
      <c r="AO1910" s="2">
        <f t="shared" si="29"/>
      </c>
      <c r="AP1910" s="2">
        <f t="shared" si="30"/>
      </c>
      <c r="AQ1910" s="2">
        <f t="shared" si="31"/>
      </c>
    </row>
    <row r="1911">
      <c r="A1911" s="43">
        <f t="shared" si="3"/>
      </c>
      <c r="B1911" s="44" t="n"/>
      <c r="C1911" s="45" t="n"/>
      <c r="D1911" s="46" t="n"/>
      <c r="E1911" s="47" t="n"/>
      <c r="F1911" s="47" t="n"/>
      <c r="G1911" s="48">
        <f t="shared" si="4"/>
      </c>
      <c r="H1911" s="43">
        <f t="shared" si="0"/>
      </c>
      <c r="I1911" s="43">
        <f t="shared" si="5"/>
      </c>
      <c r="J1911" s="43">
        <f t="shared" si="1"/>
      </c>
      <c r="K1911" s="49">
        <f t="shared" si="2"/>
      </c>
      <c r="L1911" s="45" t="n"/>
      <c r="M1911" s="45" t="n"/>
      <c r="N1911" s="45" t="n"/>
      <c r="O1911" s="45" t="n"/>
      <c r="P1911" s="50" t="n"/>
      <c r="R1911" s="2">
        <f t="shared" si="6"/>
        <v>0</v>
      </c>
      <c r="S1911" s="2">
        <f t="shared" si="7"/>
      </c>
      <c r="T1911" s="2">
        <f t="shared" si="8"/>
      </c>
      <c r="U1911" s="2">
        <f t="shared" si="9"/>
      </c>
      <c r="V1911" s="2">
        <f t="shared" si="10"/>
      </c>
      <c r="W1911" s="2">
        <f t="shared" si="11"/>
      </c>
      <c r="X1911" s="2">
        <f t="shared" si="12"/>
      </c>
      <c r="Y1911" s="2">
        <f t="shared" si="13"/>
        <v>0</v>
      </c>
      <c r="Z1911" s="2">
        <f t="shared" si="14"/>
      </c>
      <c r="AA1911" s="2">
        <f t="shared" si="15"/>
        <v>0</v>
      </c>
      <c r="AB1911" s="2">
        <f t="shared" si="16"/>
      </c>
      <c r="AC1911" s="2">
        <f t="shared" si="17"/>
      </c>
      <c r="AD1911" s="2">
        <f t="shared" si="18"/>
      </c>
      <c r="AE1911" s="2">
        <f t="shared" si="19"/>
      </c>
      <c r="AF1911" s="2">
        <f t="shared" si="20"/>
      </c>
      <c r="AG1911" s="2">
        <f t="shared" si="21"/>
      </c>
      <c r="AH1911" s="2">
        <f t="shared" si="22"/>
      </c>
      <c r="AI1911" s="2">
        <f t="shared" si="23"/>
      </c>
      <c r="AJ1911" s="2">
        <f t="shared" si="24"/>
        <v>0</v>
      </c>
      <c r="AK1911" s="2">
        <f t="shared" si="25"/>
        <v>0</v>
      </c>
      <c r="AL1911" s="2">
        <f t="shared" si="26"/>
        <v>0</v>
      </c>
      <c r="AM1911" s="2">
        <f t="shared" si="27"/>
        <v>0</v>
      </c>
      <c r="AN1911" s="2">
        <f t="shared" si="28"/>
        <v>0</v>
      </c>
      <c r="AO1911" s="2">
        <f t="shared" si="29"/>
      </c>
      <c r="AP1911" s="2">
        <f t="shared" si="30"/>
      </c>
      <c r="AQ1911" s="2">
        <f t="shared" si="31"/>
      </c>
    </row>
    <row r="1912">
      <c r="A1912" s="43">
        <f t="shared" si="3"/>
      </c>
      <c r="B1912" s="44" t="n"/>
      <c r="C1912" s="45" t="n"/>
      <c r="D1912" s="46" t="n"/>
      <c r="E1912" s="47" t="n"/>
      <c r="F1912" s="47" t="n"/>
      <c r="G1912" s="48">
        <f t="shared" si="4"/>
      </c>
      <c r="H1912" s="43">
        <f t="shared" si="0"/>
      </c>
      <c r="I1912" s="43">
        <f t="shared" si="5"/>
      </c>
      <c r="J1912" s="43">
        <f t="shared" si="1"/>
      </c>
      <c r="K1912" s="49">
        <f t="shared" si="2"/>
      </c>
      <c r="L1912" s="45" t="n"/>
      <c r="M1912" s="45" t="n"/>
      <c r="N1912" s="45" t="n"/>
      <c r="O1912" s="45" t="n"/>
      <c r="P1912" s="50" t="n"/>
      <c r="R1912" s="2">
        <f t="shared" si="6"/>
        <v>0</v>
      </c>
      <c r="S1912" s="2">
        <f t="shared" si="7"/>
      </c>
      <c r="T1912" s="2">
        <f t="shared" si="8"/>
      </c>
      <c r="U1912" s="2">
        <f t="shared" si="9"/>
      </c>
      <c r="V1912" s="2">
        <f t="shared" si="10"/>
      </c>
      <c r="W1912" s="2">
        <f t="shared" si="11"/>
      </c>
      <c r="X1912" s="2">
        <f t="shared" si="12"/>
      </c>
      <c r="Y1912" s="2">
        <f t="shared" si="13"/>
        <v>0</v>
      </c>
      <c r="Z1912" s="2">
        <f t="shared" si="14"/>
      </c>
      <c r="AA1912" s="2">
        <f t="shared" si="15"/>
        <v>0</v>
      </c>
      <c r="AB1912" s="2">
        <f t="shared" si="16"/>
      </c>
      <c r="AC1912" s="2">
        <f t="shared" si="17"/>
      </c>
      <c r="AD1912" s="2">
        <f t="shared" si="18"/>
      </c>
      <c r="AE1912" s="2">
        <f t="shared" si="19"/>
      </c>
      <c r="AF1912" s="2">
        <f t="shared" si="20"/>
      </c>
      <c r="AG1912" s="2">
        <f t="shared" si="21"/>
      </c>
      <c r="AH1912" s="2">
        <f t="shared" si="22"/>
      </c>
      <c r="AI1912" s="2">
        <f t="shared" si="23"/>
      </c>
      <c r="AJ1912" s="2">
        <f t="shared" si="24"/>
        <v>0</v>
      </c>
      <c r="AK1912" s="2">
        <f t="shared" si="25"/>
        <v>0</v>
      </c>
      <c r="AL1912" s="2">
        <f t="shared" si="26"/>
        <v>0</v>
      </c>
      <c r="AM1912" s="2">
        <f t="shared" si="27"/>
        <v>0</v>
      </c>
      <c r="AN1912" s="2">
        <f t="shared" si="28"/>
        <v>0</v>
      </c>
      <c r="AO1912" s="2">
        <f t="shared" si="29"/>
      </c>
      <c r="AP1912" s="2">
        <f t="shared" si="30"/>
      </c>
      <c r="AQ1912" s="2">
        <f t="shared" si="31"/>
      </c>
    </row>
    <row r="1913">
      <c r="A1913" s="43">
        <f t="shared" si="3"/>
      </c>
      <c r="B1913" s="44" t="n"/>
      <c r="C1913" s="45" t="n"/>
      <c r="D1913" s="46" t="n"/>
      <c r="E1913" s="47" t="n"/>
      <c r="F1913" s="47" t="n"/>
      <c r="G1913" s="48">
        <f t="shared" si="4"/>
      </c>
      <c r="H1913" s="43">
        <f t="shared" si="0"/>
      </c>
      <c r="I1913" s="43">
        <f t="shared" si="5"/>
      </c>
      <c r="J1913" s="43">
        <f t="shared" si="1"/>
      </c>
      <c r="K1913" s="49">
        <f t="shared" si="2"/>
      </c>
      <c r="L1913" s="45" t="n"/>
      <c r="M1913" s="45" t="n"/>
      <c r="N1913" s="45" t="n"/>
      <c r="O1913" s="45" t="n"/>
      <c r="P1913" s="50" t="n"/>
      <c r="R1913" s="2">
        <f t="shared" si="6"/>
        <v>0</v>
      </c>
      <c r="S1913" s="2">
        <f t="shared" si="7"/>
      </c>
      <c r="T1913" s="2">
        <f t="shared" si="8"/>
      </c>
      <c r="U1913" s="2">
        <f t="shared" si="9"/>
      </c>
      <c r="V1913" s="2">
        <f t="shared" si="10"/>
      </c>
      <c r="W1913" s="2">
        <f t="shared" si="11"/>
      </c>
      <c r="X1913" s="2">
        <f t="shared" si="12"/>
      </c>
      <c r="Y1913" s="2">
        <f t="shared" si="13"/>
        <v>0</v>
      </c>
      <c r="Z1913" s="2">
        <f t="shared" si="14"/>
      </c>
      <c r="AA1913" s="2">
        <f t="shared" si="15"/>
        <v>0</v>
      </c>
      <c r="AB1913" s="2">
        <f t="shared" si="16"/>
      </c>
      <c r="AC1913" s="2">
        <f t="shared" si="17"/>
      </c>
      <c r="AD1913" s="2">
        <f t="shared" si="18"/>
      </c>
      <c r="AE1913" s="2">
        <f t="shared" si="19"/>
      </c>
      <c r="AF1913" s="2">
        <f t="shared" si="20"/>
      </c>
      <c r="AG1913" s="2">
        <f t="shared" si="21"/>
      </c>
      <c r="AH1913" s="2">
        <f t="shared" si="22"/>
      </c>
      <c r="AI1913" s="2">
        <f t="shared" si="23"/>
      </c>
      <c r="AJ1913" s="2">
        <f t="shared" si="24"/>
        <v>0</v>
      </c>
      <c r="AK1913" s="2">
        <f t="shared" si="25"/>
        <v>0</v>
      </c>
      <c r="AL1913" s="2">
        <f t="shared" si="26"/>
        <v>0</v>
      </c>
      <c r="AM1913" s="2">
        <f t="shared" si="27"/>
        <v>0</v>
      </c>
      <c r="AN1913" s="2">
        <f t="shared" si="28"/>
        <v>0</v>
      </c>
      <c r="AO1913" s="2">
        <f t="shared" si="29"/>
      </c>
      <c r="AP1913" s="2">
        <f t="shared" si="30"/>
      </c>
      <c r="AQ1913" s="2">
        <f t="shared" si="31"/>
      </c>
    </row>
    <row r="1914">
      <c r="A1914" s="43">
        <f t="shared" si="3"/>
      </c>
      <c r="B1914" s="44" t="n"/>
      <c r="C1914" s="45" t="n"/>
      <c r="D1914" s="46" t="n"/>
      <c r="E1914" s="47" t="n"/>
      <c r="F1914" s="47" t="n"/>
      <c r="G1914" s="48">
        <f t="shared" si="4"/>
      </c>
      <c r="H1914" s="43">
        <f t="shared" si="0"/>
      </c>
      <c r="I1914" s="43">
        <f t="shared" si="5"/>
      </c>
      <c r="J1914" s="43">
        <f t="shared" si="1"/>
      </c>
      <c r="K1914" s="49">
        <f t="shared" si="2"/>
      </c>
      <c r="L1914" s="45" t="n"/>
      <c r="M1914" s="45" t="n"/>
      <c r="N1914" s="45" t="n"/>
      <c r="O1914" s="45" t="n"/>
      <c r="P1914" s="50" t="n"/>
      <c r="R1914" s="2">
        <f t="shared" si="6"/>
        <v>0</v>
      </c>
      <c r="S1914" s="2">
        <f t="shared" si="7"/>
      </c>
      <c r="T1914" s="2">
        <f t="shared" si="8"/>
      </c>
      <c r="U1914" s="2">
        <f t="shared" si="9"/>
      </c>
      <c r="V1914" s="2">
        <f t="shared" si="10"/>
      </c>
      <c r="W1914" s="2">
        <f t="shared" si="11"/>
      </c>
      <c r="X1914" s="2">
        <f t="shared" si="12"/>
      </c>
      <c r="Y1914" s="2">
        <f t="shared" si="13"/>
        <v>0</v>
      </c>
      <c r="Z1914" s="2">
        <f t="shared" si="14"/>
      </c>
      <c r="AA1914" s="2">
        <f t="shared" si="15"/>
        <v>0</v>
      </c>
      <c r="AB1914" s="2">
        <f t="shared" si="16"/>
      </c>
      <c r="AC1914" s="2">
        <f t="shared" si="17"/>
      </c>
      <c r="AD1914" s="2">
        <f t="shared" si="18"/>
      </c>
      <c r="AE1914" s="2">
        <f t="shared" si="19"/>
      </c>
      <c r="AF1914" s="2">
        <f t="shared" si="20"/>
      </c>
      <c r="AG1914" s="2">
        <f t="shared" si="21"/>
      </c>
      <c r="AH1914" s="2">
        <f t="shared" si="22"/>
      </c>
      <c r="AI1914" s="2">
        <f t="shared" si="23"/>
      </c>
      <c r="AJ1914" s="2">
        <f t="shared" si="24"/>
        <v>0</v>
      </c>
      <c r="AK1914" s="2">
        <f t="shared" si="25"/>
        <v>0</v>
      </c>
      <c r="AL1914" s="2">
        <f t="shared" si="26"/>
        <v>0</v>
      </c>
      <c r="AM1914" s="2">
        <f t="shared" si="27"/>
        <v>0</v>
      </c>
      <c r="AN1914" s="2">
        <f t="shared" si="28"/>
        <v>0</v>
      </c>
      <c r="AO1914" s="2">
        <f t="shared" si="29"/>
      </c>
      <c r="AP1914" s="2">
        <f t="shared" si="30"/>
      </c>
      <c r="AQ1914" s="2">
        <f t="shared" si="31"/>
      </c>
    </row>
    <row r="1915">
      <c r="A1915" s="43">
        <f t="shared" si="3"/>
      </c>
      <c r="B1915" s="44" t="n"/>
      <c r="C1915" s="45" t="n"/>
      <c r="D1915" s="46" t="n"/>
      <c r="E1915" s="47" t="n"/>
      <c r="F1915" s="47" t="n"/>
      <c r="G1915" s="48">
        <f t="shared" si="4"/>
      </c>
      <c r="H1915" s="43">
        <f t="shared" si="0"/>
      </c>
      <c r="I1915" s="43">
        <f t="shared" si="5"/>
      </c>
      <c r="J1915" s="43">
        <f t="shared" si="1"/>
      </c>
      <c r="K1915" s="49">
        <f t="shared" si="2"/>
      </c>
      <c r="L1915" s="45" t="n"/>
      <c r="M1915" s="45" t="n"/>
      <c r="N1915" s="45" t="n"/>
      <c r="O1915" s="45" t="n"/>
      <c r="P1915" s="50" t="n"/>
      <c r="R1915" s="2">
        <f t="shared" si="6"/>
        <v>0</v>
      </c>
      <c r="S1915" s="2">
        <f t="shared" si="7"/>
      </c>
      <c r="T1915" s="2">
        <f t="shared" si="8"/>
      </c>
      <c r="U1915" s="2">
        <f t="shared" si="9"/>
      </c>
      <c r="V1915" s="2">
        <f t="shared" si="10"/>
      </c>
      <c r="W1915" s="2">
        <f t="shared" si="11"/>
      </c>
      <c r="X1915" s="2">
        <f t="shared" si="12"/>
      </c>
      <c r="Y1915" s="2">
        <f t="shared" si="13"/>
        <v>0</v>
      </c>
      <c r="Z1915" s="2">
        <f t="shared" si="14"/>
      </c>
      <c r="AA1915" s="2">
        <f t="shared" si="15"/>
        <v>0</v>
      </c>
      <c r="AB1915" s="2">
        <f t="shared" si="16"/>
      </c>
      <c r="AC1915" s="2">
        <f t="shared" si="17"/>
      </c>
      <c r="AD1915" s="2">
        <f t="shared" si="18"/>
      </c>
      <c r="AE1915" s="2">
        <f t="shared" si="19"/>
      </c>
      <c r="AF1915" s="2">
        <f t="shared" si="20"/>
      </c>
      <c r="AG1915" s="2">
        <f t="shared" si="21"/>
      </c>
      <c r="AH1915" s="2">
        <f t="shared" si="22"/>
      </c>
      <c r="AI1915" s="2">
        <f t="shared" si="23"/>
      </c>
      <c r="AJ1915" s="2">
        <f t="shared" si="24"/>
        <v>0</v>
      </c>
      <c r="AK1915" s="2">
        <f t="shared" si="25"/>
        <v>0</v>
      </c>
      <c r="AL1915" s="2">
        <f t="shared" si="26"/>
        <v>0</v>
      </c>
      <c r="AM1915" s="2">
        <f t="shared" si="27"/>
        <v>0</v>
      </c>
      <c r="AN1915" s="2">
        <f t="shared" si="28"/>
        <v>0</v>
      </c>
      <c r="AO1915" s="2">
        <f t="shared" si="29"/>
      </c>
      <c r="AP1915" s="2">
        <f t="shared" si="30"/>
      </c>
      <c r="AQ1915" s="2">
        <f t="shared" si="31"/>
      </c>
    </row>
    <row r="1916">
      <c r="A1916" s="43">
        <f t="shared" si="3"/>
      </c>
      <c r="B1916" s="44" t="n"/>
      <c r="C1916" s="45" t="n"/>
      <c r="D1916" s="46" t="n"/>
      <c r="E1916" s="47" t="n"/>
      <c r="F1916" s="47" t="n"/>
      <c r="G1916" s="48">
        <f t="shared" si="4"/>
      </c>
      <c r="H1916" s="43">
        <f t="shared" si="0"/>
      </c>
      <c r="I1916" s="43">
        <f t="shared" si="5"/>
      </c>
      <c r="J1916" s="43">
        <f t="shared" si="1"/>
      </c>
      <c r="K1916" s="49">
        <f t="shared" si="2"/>
      </c>
      <c r="L1916" s="45" t="n"/>
      <c r="M1916" s="45" t="n"/>
      <c r="N1916" s="45" t="n"/>
      <c r="O1916" s="45" t="n"/>
      <c r="P1916" s="50" t="n"/>
      <c r="R1916" s="2">
        <f t="shared" si="6"/>
        <v>0</v>
      </c>
      <c r="S1916" s="2">
        <f t="shared" si="7"/>
      </c>
      <c r="T1916" s="2">
        <f t="shared" si="8"/>
      </c>
      <c r="U1916" s="2">
        <f t="shared" si="9"/>
      </c>
      <c r="V1916" s="2">
        <f t="shared" si="10"/>
      </c>
      <c r="W1916" s="2">
        <f t="shared" si="11"/>
      </c>
      <c r="X1916" s="2">
        <f t="shared" si="12"/>
      </c>
      <c r="Y1916" s="2">
        <f t="shared" si="13"/>
        <v>0</v>
      </c>
      <c r="Z1916" s="2">
        <f t="shared" si="14"/>
      </c>
      <c r="AA1916" s="2">
        <f t="shared" si="15"/>
        <v>0</v>
      </c>
      <c r="AB1916" s="2">
        <f t="shared" si="16"/>
      </c>
      <c r="AC1916" s="2">
        <f t="shared" si="17"/>
      </c>
      <c r="AD1916" s="2">
        <f t="shared" si="18"/>
      </c>
      <c r="AE1916" s="2">
        <f t="shared" si="19"/>
      </c>
      <c r="AF1916" s="2">
        <f t="shared" si="20"/>
      </c>
      <c r="AG1916" s="2">
        <f t="shared" si="21"/>
      </c>
      <c r="AH1916" s="2">
        <f t="shared" si="22"/>
      </c>
      <c r="AI1916" s="2">
        <f t="shared" si="23"/>
      </c>
      <c r="AJ1916" s="2">
        <f t="shared" si="24"/>
        <v>0</v>
      </c>
      <c r="AK1916" s="2">
        <f t="shared" si="25"/>
        <v>0</v>
      </c>
      <c r="AL1916" s="2">
        <f t="shared" si="26"/>
        <v>0</v>
      </c>
      <c r="AM1916" s="2">
        <f t="shared" si="27"/>
        <v>0</v>
      </c>
      <c r="AN1916" s="2">
        <f t="shared" si="28"/>
        <v>0</v>
      </c>
      <c r="AO1916" s="2">
        <f t="shared" si="29"/>
      </c>
      <c r="AP1916" s="2">
        <f t="shared" si="30"/>
      </c>
      <c r="AQ1916" s="2">
        <f t="shared" si="31"/>
      </c>
    </row>
    <row r="1917">
      <c r="A1917" s="43">
        <f t="shared" si="3"/>
      </c>
      <c r="B1917" s="44" t="n"/>
      <c r="C1917" s="45" t="n"/>
      <c r="D1917" s="46" t="n"/>
      <c r="E1917" s="47" t="n"/>
      <c r="F1917" s="47" t="n"/>
      <c r="G1917" s="48">
        <f t="shared" si="4"/>
      </c>
      <c r="H1917" s="43">
        <f t="shared" si="0"/>
      </c>
      <c r="I1917" s="43">
        <f t="shared" si="5"/>
      </c>
      <c r="J1917" s="43">
        <f t="shared" si="1"/>
      </c>
      <c r="K1917" s="49">
        <f t="shared" si="2"/>
      </c>
      <c r="L1917" s="45" t="n"/>
      <c r="M1917" s="45" t="n"/>
      <c r="N1917" s="45" t="n"/>
      <c r="O1917" s="45" t="n"/>
      <c r="P1917" s="50" t="n"/>
      <c r="R1917" s="2">
        <f t="shared" si="6"/>
        <v>0</v>
      </c>
      <c r="S1917" s="2">
        <f t="shared" si="7"/>
      </c>
      <c r="T1917" s="2">
        <f t="shared" si="8"/>
      </c>
      <c r="U1917" s="2">
        <f t="shared" si="9"/>
      </c>
      <c r="V1917" s="2">
        <f t="shared" si="10"/>
      </c>
      <c r="W1917" s="2">
        <f t="shared" si="11"/>
      </c>
      <c r="X1917" s="2">
        <f t="shared" si="12"/>
      </c>
      <c r="Y1917" s="2">
        <f t="shared" si="13"/>
        <v>0</v>
      </c>
      <c r="Z1917" s="2">
        <f t="shared" si="14"/>
      </c>
      <c r="AA1917" s="2">
        <f t="shared" si="15"/>
        <v>0</v>
      </c>
      <c r="AB1917" s="2">
        <f t="shared" si="16"/>
      </c>
      <c r="AC1917" s="2">
        <f t="shared" si="17"/>
      </c>
      <c r="AD1917" s="2">
        <f t="shared" si="18"/>
      </c>
      <c r="AE1917" s="2">
        <f t="shared" si="19"/>
      </c>
      <c r="AF1917" s="2">
        <f t="shared" si="20"/>
      </c>
      <c r="AG1917" s="2">
        <f t="shared" si="21"/>
      </c>
      <c r="AH1917" s="2">
        <f t="shared" si="22"/>
      </c>
      <c r="AI1917" s="2">
        <f t="shared" si="23"/>
      </c>
      <c r="AJ1917" s="2">
        <f t="shared" si="24"/>
        <v>0</v>
      </c>
      <c r="AK1917" s="2">
        <f t="shared" si="25"/>
        <v>0</v>
      </c>
      <c r="AL1917" s="2">
        <f t="shared" si="26"/>
        <v>0</v>
      </c>
      <c r="AM1917" s="2">
        <f t="shared" si="27"/>
        <v>0</v>
      </c>
      <c r="AN1917" s="2">
        <f t="shared" si="28"/>
        <v>0</v>
      </c>
      <c r="AO1917" s="2">
        <f t="shared" si="29"/>
      </c>
      <c r="AP1917" s="2">
        <f t="shared" si="30"/>
      </c>
      <c r="AQ1917" s="2">
        <f t="shared" si="31"/>
      </c>
    </row>
    <row r="1918">
      <c r="A1918" s="43">
        <f t="shared" si="3"/>
      </c>
      <c r="B1918" s="44" t="n"/>
      <c r="C1918" s="45" t="n"/>
      <c r="D1918" s="46" t="n"/>
      <c r="E1918" s="47" t="n"/>
      <c r="F1918" s="47" t="n"/>
      <c r="G1918" s="48">
        <f t="shared" si="4"/>
      </c>
      <c r="H1918" s="43">
        <f t="shared" si="0"/>
      </c>
      <c r="I1918" s="43">
        <f t="shared" si="5"/>
      </c>
      <c r="J1918" s="43">
        <f t="shared" si="1"/>
      </c>
      <c r="K1918" s="49">
        <f t="shared" si="2"/>
      </c>
      <c r="L1918" s="45" t="n"/>
      <c r="M1918" s="45" t="n"/>
      <c r="N1918" s="45" t="n"/>
      <c r="O1918" s="45" t="n"/>
      <c r="P1918" s="50" t="n"/>
      <c r="R1918" s="2">
        <f t="shared" si="6"/>
        <v>0</v>
      </c>
      <c r="S1918" s="2">
        <f t="shared" si="7"/>
      </c>
      <c r="T1918" s="2">
        <f t="shared" si="8"/>
      </c>
      <c r="U1918" s="2">
        <f t="shared" si="9"/>
      </c>
      <c r="V1918" s="2">
        <f t="shared" si="10"/>
      </c>
      <c r="W1918" s="2">
        <f t="shared" si="11"/>
      </c>
      <c r="X1918" s="2">
        <f t="shared" si="12"/>
      </c>
      <c r="Y1918" s="2">
        <f t="shared" si="13"/>
        <v>0</v>
      </c>
      <c r="Z1918" s="2">
        <f t="shared" si="14"/>
      </c>
      <c r="AA1918" s="2">
        <f t="shared" si="15"/>
        <v>0</v>
      </c>
      <c r="AB1918" s="2">
        <f t="shared" si="16"/>
      </c>
      <c r="AC1918" s="2">
        <f t="shared" si="17"/>
      </c>
      <c r="AD1918" s="2">
        <f t="shared" si="18"/>
      </c>
      <c r="AE1918" s="2">
        <f t="shared" si="19"/>
      </c>
      <c r="AF1918" s="2">
        <f t="shared" si="20"/>
      </c>
      <c r="AG1918" s="2">
        <f t="shared" si="21"/>
      </c>
      <c r="AH1918" s="2">
        <f t="shared" si="22"/>
      </c>
      <c r="AI1918" s="2">
        <f t="shared" si="23"/>
      </c>
      <c r="AJ1918" s="2">
        <f t="shared" si="24"/>
        <v>0</v>
      </c>
      <c r="AK1918" s="2">
        <f t="shared" si="25"/>
        <v>0</v>
      </c>
      <c r="AL1918" s="2">
        <f t="shared" si="26"/>
        <v>0</v>
      </c>
      <c r="AM1918" s="2">
        <f t="shared" si="27"/>
        <v>0</v>
      </c>
      <c r="AN1918" s="2">
        <f t="shared" si="28"/>
        <v>0</v>
      </c>
      <c r="AO1918" s="2">
        <f t="shared" si="29"/>
      </c>
      <c r="AP1918" s="2">
        <f t="shared" si="30"/>
      </c>
      <c r="AQ1918" s="2">
        <f t="shared" si="31"/>
      </c>
    </row>
    <row r="1919">
      <c r="A1919" s="43">
        <f t="shared" si="3"/>
      </c>
      <c r="B1919" s="44" t="n"/>
      <c r="C1919" s="45" t="n"/>
      <c r="D1919" s="46" t="n"/>
      <c r="E1919" s="47" t="n"/>
      <c r="F1919" s="47" t="n"/>
      <c r="G1919" s="48">
        <f t="shared" si="4"/>
      </c>
      <c r="H1919" s="43">
        <f t="shared" si="0"/>
      </c>
      <c r="I1919" s="43">
        <f t="shared" si="5"/>
      </c>
      <c r="J1919" s="43">
        <f t="shared" si="1"/>
      </c>
      <c r="K1919" s="49">
        <f t="shared" si="2"/>
      </c>
      <c r="L1919" s="45" t="n"/>
      <c r="M1919" s="45" t="n"/>
      <c r="N1919" s="45" t="n"/>
      <c r="O1919" s="45" t="n"/>
      <c r="P1919" s="50" t="n"/>
      <c r="R1919" s="2">
        <f t="shared" si="6"/>
        <v>0</v>
      </c>
      <c r="S1919" s="2">
        <f t="shared" si="7"/>
      </c>
      <c r="T1919" s="2">
        <f t="shared" si="8"/>
      </c>
      <c r="U1919" s="2">
        <f t="shared" si="9"/>
      </c>
      <c r="V1919" s="2">
        <f t="shared" si="10"/>
      </c>
      <c r="W1919" s="2">
        <f t="shared" si="11"/>
      </c>
      <c r="X1919" s="2">
        <f t="shared" si="12"/>
      </c>
      <c r="Y1919" s="2">
        <f t="shared" si="13"/>
        <v>0</v>
      </c>
      <c r="Z1919" s="2">
        <f t="shared" si="14"/>
      </c>
      <c r="AA1919" s="2">
        <f t="shared" si="15"/>
        <v>0</v>
      </c>
      <c r="AB1919" s="2">
        <f t="shared" si="16"/>
      </c>
      <c r="AC1919" s="2">
        <f t="shared" si="17"/>
      </c>
      <c r="AD1919" s="2">
        <f t="shared" si="18"/>
      </c>
      <c r="AE1919" s="2">
        <f t="shared" si="19"/>
      </c>
      <c r="AF1919" s="2">
        <f t="shared" si="20"/>
      </c>
      <c r="AG1919" s="2">
        <f t="shared" si="21"/>
      </c>
      <c r="AH1919" s="2">
        <f t="shared" si="22"/>
      </c>
      <c r="AI1919" s="2">
        <f t="shared" si="23"/>
      </c>
      <c r="AJ1919" s="2">
        <f t="shared" si="24"/>
        <v>0</v>
      </c>
      <c r="AK1919" s="2">
        <f t="shared" si="25"/>
        <v>0</v>
      </c>
      <c r="AL1919" s="2">
        <f t="shared" si="26"/>
        <v>0</v>
      </c>
      <c r="AM1919" s="2">
        <f t="shared" si="27"/>
        <v>0</v>
      </c>
      <c r="AN1919" s="2">
        <f t="shared" si="28"/>
        <v>0</v>
      </c>
      <c r="AO1919" s="2">
        <f t="shared" si="29"/>
      </c>
      <c r="AP1919" s="2">
        <f t="shared" si="30"/>
      </c>
      <c r="AQ1919" s="2">
        <f t="shared" si="31"/>
      </c>
    </row>
    <row r="1920">
      <c r="A1920" s="43">
        <f t="shared" si="3"/>
      </c>
      <c r="B1920" s="44" t="n"/>
      <c r="C1920" s="45" t="n"/>
      <c r="D1920" s="46" t="n"/>
      <c r="E1920" s="47" t="n"/>
      <c r="F1920" s="47" t="n"/>
      <c r="G1920" s="48">
        <f t="shared" si="4"/>
      </c>
      <c r="H1920" s="43">
        <f t="shared" si="0"/>
      </c>
      <c r="I1920" s="43">
        <f t="shared" si="5"/>
      </c>
      <c r="J1920" s="43">
        <f t="shared" si="1"/>
      </c>
      <c r="K1920" s="49">
        <f t="shared" si="2"/>
      </c>
      <c r="L1920" s="45" t="n"/>
      <c r="M1920" s="45" t="n"/>
      <c r="N1920" s="45" t="n"/>
      <c r="O1920" s="45" t="n"/>
      <c r="P1920" s="50" t="n"/>
      <c r="R1920" s="2">
        <f t="shared" si="6"/>
        <v>0</v>
      </c>
      <c r="S1920" s="2">
        <f t="shared" si="7"/>
      </c>
      <c r="T1920" s="2">
        <f t="shared" si="8"/>
      </c>
      <c r="U1920" s="2">
        <f t="shared" si="9"/>
      </c>
      <c r="V1920" s="2">
        <f t="shared" si="10"/>
      </c>
      <c r="W1920" s="2">
        <f t="shared" si="11"/>
      </c>
      <c r="X1920" s="2">
        <f t="shared" si="12"/>
      </c>
      <c r="Y1920" s="2">
        <f t="shared" si="13"/>
        <v>0</v>
      </c>
      <c r="Z1920" s="2">
        <f t="shared" si="14"/>
      </c>
      <c r="AA1920" s="2">
        <f t="shared" si="15"/>
        <v>0</v>
      </c>
      <c r="AB1920" s="2">
        <f t="shared" si="16"/>
      </c>
      <c r="AC1920" s="2">
        <f t="shared" si="17"/>
      </c>
      <c r="AD1920" s="2">
        <f t="shared" si="18"/>
      </c>
      <c r="AE1920" s="2">
        <f t="shared" si="19"/>
      </c>
      <c r="AF1920" s="2">
        <f t="shared" si="20"/>
      </c>
      <c r="AG1920" s="2">
        <f t="shared" si="21"/>
      </c>
      <c r="AH1920" s="2">
        <f t="shared" si="22"/>
      </c>
      <c r="AI1920" s="2">
        <f t="shared" si="23"/>
      </c>
      <c r="AJ1920" s="2">
        <f t="shared" si="24"/>
        <v>0</v>
      </c>
      <c r="AK1920" s="2">
        <f t="shared" si="25"/>
        <v>0</v>
      </c>
      <c r="AL1920" s="2">
        <f t="shared" si="26"/>
        <v>0</v>
      </c>
      <c r="AM1920" s="2">
        <f t="shared" si="27"/>
        <v>0</v>
      </c>
      <c r="AN1920" s="2">
        <f t="shared" si="28"/>
        <v>0</v>
      </c>
      <c r="AO1920" s="2">
        <f t="shared" si="29"/>
      </c>
      <c r="AP1920" s="2">
        <f t="shared" si="30"/>
      </c>
      <c r="AQ1920" s="2">
        <f t="shared" si="31"/>
      </c>
    </row>
    <row r="1921">
      <c r="A1921" s="43">
        <f t="shared" si="3"/>
      </c>
      <c r="B1921" s="44" t="n"/>
      <c r="C1921" s="45" t="n"/>
      <c r="D1921" s="46" t="n"/>
      <c r="E1921" s="47" t="n"/>
      <c r="F1921" s="47" t="n"/>
      <c r="G1921" s="48">
        <f t="shared" si="4"/>
      </c>
      <c r="H1921" s="43">
        <f t="shared" si="0"/>
      </c>
      <c r="I1921" s="43">
        <f t="shared" si="5"/>
      </c>
      <c r="J1921" s="43">
        <f t="shared" si="1"/>
      </c>
      <c r="K1921" s="49">
        <f t="shared" si="2"/>
      </c>
      <c r="L1921" s="45" t="n"/>
      <c r="M1921" s="45" t="n"/>
      <c r="N1921" s="45" t="n"/>
      <c r="O1921" s="45" t="n"/>
      <c r="P1921" s="50" t="n"/>
      <c r="R1921" s="2">
        <f t="shared" si="6"/>
        <v>0</v>
      </c>
      <c r="S1921" s="2">
        <f t="shared" si="7"/>
      </c>
      <c r="T1921" s="2">
        <f t="shared" si="8"/>
      </c>
      <c r="U1921" s="2">
        <f t="shared" si="9"/>
      </c>
      <c r="V1921" s="2">
        <f t="shared" si="10"/>
      </c>
      <c r="W1921" s="2">
        <f t="shared" si="11"/>
      </c>
      <c r="X1921" s="2">
        <f t="shared" si="12"/>
      </c>
      <c r="Y1921" s="2">
        <f t="shared" si="13"/>
        <v>0</v>
      </c>
      <c r="Z1921" s="2">
        <f t="shared" si="14"/>
      </c>
      <c r="AA1921" s="2">
        <f t="shared" si="15"/>
        <v>0</v>
      </c>
      <c r="AB1921" s="2">
        <f t="shared" si="16"/>
      </c>
      <c r="AC1921" s="2">
        <f t="shared" si="17"/>
      </c>
      <c r="AD1921" s="2">
        <f t="shared" si="18"/>
      </c>
      <c r="AE1921" s="2">
        <f t="shared" si="19"/>
      </c>
      <c r="AF1921" s="2">
        <f t="shared" si="20"/>
      </c>
      <c r="AG1921" s="2">
        <f t="shared" si="21"/>
      </c>
      <c r="AH1921" s="2">
        <f t="shared" si="22"/>
      </c>
      <c r="AI1921" s="2">
        <f t="shared" si="23"/>
      </c>
      <c r="AJ1921" s="2">
        <f t="shared" si="24"/>
        <v>0</v>
      </c>
      <c r="AK1921" s="2">
        <f t="shared" si="25"/>
        <v>0</v>
      </c>
      <c r="AL1921" s="2">
        <f t="shared" si="26"/>
        <v>0</v>
      </c>
      <c r="AM1921" s="2">
        <f t="shared" si="27"/>
        <v>0</v>
      </c>
      <c r="AN1921" s="2">
        <f t="shared" si="28"/>
        <v>0</v>
      </c>
      <c r="AO1921" s="2">
        <f t="shared" si="29"/>
      </c>
      <c r="AP1921" s="2">
        <f t="shared" si="30"/>
      </c>
      <c r="AQ1921" s="2">
        <f t="shared" si="31"/>
      </c>
    </row>
    <row r="1922">
      <c r="A1922" s="43">
        <f t="shared" si="3"/>
      </c>
      <c r="B1922" s="44" t="n"/>
      <c r="C1922" s="45" t="n"/>
      <c r="D1922" s="46" t="n"/>
      <c r="E1922" s="47" t="n"/>
      <c r="F1922" s="47" t="n"/>
      <c r="G1922" s="48">
        <f t="shared" si="4"/>
      </c>
      <c r="H1922" s="43">
        <f t="shared" si="0"/>
      </c>
      <c r="I1922" s="43">
        <f t="shared" si="5"/>
      </c>
      <c r="J1922" s="43">
        <f t="shared" si="1"/>
      </c>
      <c r="K1922" s="49">
        <f t="shared" si="2"/>
      </c>
      <c r="L1922" s="45" t="n"/>
      <c r="M1922" s="45" t="n"/>
      <c r="N1922" s="45" t="n"/>
      <c r="O1922" s="45" t="n"/>
      <c r="P1922" s="50" t="n"/>
      <c r="R1922" s="2">
        <f t="shared" si="6"/>
        <v>0</v>
      </c>
      <c r="S1922" s="2">
        <f t="shared" si="7"/>
      </c>
      <c r="T1922" s="2">
        <f t="shared" si="8"/>
      </c>
      <c r="U1922" s="2">
        <f t="shared" si="9"/>
      </c>
      <c r="V1922" s="2">
        <f t="shared" si="10"/>
      </c>
      <c r="W1922" s="2">
        <f t="shared" si="11"/>
      </c>
      <c r="X1922" s="2">
        <f t="shared" si="12"/>
      </c>
      <c r="Y1922" s="2">
        <f t="shared" si="13"/>
        <v>0</v>
      </c>
      <c r="Z1922" s="2">
        <f t="shared" si="14"/>
      </c>
      <c r="AA1922" s="2">
        <f t="shared" si="15"/>
        <v>0</v>
      </c>
      <c r="AB1922" s="2">
        <f t="shared" si="16"/>
      </c>
      <c r="AC1922" s="2">
        <f t="shared" si="17"/>
      </c>
      <c r="AD1922" s="2">
        <f t="shared" si="18"/>
      </c>
      <c r="AE1922" s="2">
        <f t="shared" si="19"/>
      </c>
      <c r="AF1922" s="2">
        <f t="shared" si="20"/>
      </c>
      <c r="AG1922" s="2">
        <f t="shared" si="21"/>
      </c>
      <c r="AH1922" s="2">
        <f t="shared" si="22"/>
      </c>
      <c r="AI1922" s="2">
        <f t="shared" si="23"/>
      </c>
      <c r="AJ1922" s="2">
        <f t="shared" si="24"/>
        <v>0</v>
      </c>
      <c r="AK1922" s="2">
        <f t="shared" si="25"/>
        <v>0</v>
      </c>
      <c r="AL1922" s="2">
        <f t="shared" si="26"/>
        <v>0</v>
      </c>
      <c r="AM1922" s="2">
        <f t="shared" si="27"/>
        <v>0</v>
      </c>
      <c r="AN1922" s="2">
        <f t="shared" si="28"/>
        <v>0</v>
      </c>
      <c r="AO1922" s="2">
        <f t="shared" si="29"/>
      </c>
      <c r="AP1922" s="2">
        <f t="shared" si="30"/>
      </c>
      <c r="AQ1922" s="2">
        <f t="shared" si="31"/>
      </c>
    </row>
    <row r="1923">
      <c r="A1923" s="43">
        <f t="shared" si="3"/>
      </c>
      <c r="B1923" s="44" t="n"/>
      <c r="C1923" s="45" t="n"/>
      <c r="D1923" s="46" t="n"/>
      <c r="E1923" s="47" t="n"/>
      <c r="F1923" s="47" t="n"/>
      <c r="G1923" s="48">
        <f t="shared" si="4"/>
      </c>
      <c r="H1923" s="43">
        <f t="shared" si="0"/>
      </c>
      <c r="I1923" s="43">
        <f t="shared" si="5"/>
      </c>
      <c r="J1923" s="43">
        <f t="shared" si="1"/>
      </c>
      <c r="K1923" s="49">
        <f t="shared" si="2"/>
      </c>
      <c r="L1923" s="45" t="n"/>
      <c r="M1923" s="45" t="n"/>
      <c r="N1923" s="45" t="n"/>
      <c r="O1923" s="45" t="n"/>
      <c r="P1923" s="50" t="n"/>
      <c r="R1923" s="2">
        <f t="shared" si="6"/>
        <v>0</v>
      </c>
      <c r="S1923" s="2">
        <f t="shared" si="7"/>
      </c>
      <c r="T1923" s="2">
        <f t="shared" si="8"/>
      </c>
      <c r="U1923" s="2">
        <f t="shared" si="9"/>
      </c>
      <c r="V1923" s="2">
        <f t="shared" si="10"/>
      </c>
      <c r="W1923" s="2">
        <f t="shared" si="11"/>
      </c>
      <c r="X1923" s="2">
        <f t="shared" si="12"/>
      </c>
      <c r="Y1923" s="2">
        <f t="shared" si="13"/>
        <v>0</v>
      </c>
      <c r="Z1923" s="2">
        <f t="shared" si="14"/>
      </c>
      <c r="AA1923" s="2">
        <f t="shared" si="15"/>
        <v>0</v>
      </c>
      <c r="AB1923" s="2">
        <f t="shared" si="16"/>
      </c>
      <c r="AC1923" s="2">
        <f t="shared" si="17"/>
      </c>
      <c r="AD1923" s="2">
        <f t="shared" si="18"/>
      </c>
      <c r="AE1923" s="2">
        <f t="shared" si="19"/>
      </c>
      <c r="AF1923" s="2">
        <f t="shared" si="20"/>
      </c>
      <c r="AG1923" s="2">
        <f t="shared" si="21"/>
      </c>
      <c r="AH1923" s="2">
        <f t="shared" si="22"/>
      </c>
      <c r="AI1923" s="2">
        <f t="shared" si="23"/>
      </c>
      <c r="AJ1923" s="2">
        <f t="shared" si="24"/>
        <v>0</v>
      </c>
      <c r="AK1923" s="2">
        <f t="shared" si="25"/>
        <v>0</v>
      </c>
      <c r="AL1923" s="2">
        <f t="shared" si="26"/>
        <v>0</v>
      </c>
      <c r="AM1923" s="2">
        <f t="shared" si="27"/>
        <v>0</v>
      </c>
      <c r="AN1923" s="2">
        <f t="shared" si="28"/>
        <v>0</v>
      </c>
      <c r="AO1923" s="2">
        <f t="shared" si="29"/>
      </c>
      <c r="AP1923" s="2">
        <f t="shared" si="30"/>
      </c>
      <c r="AQ1923" s="2">
        <f t="shared" si="31"/>
      </c>
    </row>
    <row r="1924">
      <c r="A1924" s="43">
        <f t="shared" si="3"/>
      </c>
      <c r="B1924" s="44" t="n"/>
      <c r="C1924" s="45" t="n"/>
      <c r="D1924" s="46" t="n"/>
      <c r="E1924" s="47" t="n"/>
      <c r="F1924" s="47" t="n"/>
      <c r="G1924" s="48">
        <f t="shared" si="4"/>
      </c>
      <c r="H1924" s="43">
        <f t="shared" si="0"/>
      </c>
      <c r="I1924" s="43">
        <f t="shared" si="5"/>
      </c>
      <c r="J1924" s="43">
        <f t="shared" si="1"/>
      </c>
      <c r="K1924" s="49">
        <f t="shared" si="2"/>
      </c>
      <c r="L1924" s="45" t="n"/>
      <c r="M1924" s="45" t="n"/>
      <c r="N1924" s="45" t="n"/>
      <c r="O1924" s="45" t="n"/>
      <c r="P1924" s="50" t="n"/>
      <c r="R1924" s="2">
        <f t="shared" si="6"/>
        <v>0</v>
      </c>
      <c r="S1924" s="2">
        <f t="shared" si="7"/>
      </c>
      <c r="T1924" s="2">
        <f t="shared" si="8"/>
      </c>
      <c r="U1924" s="2">
        <f t="shared" si="9"/>
      </c>
      <c r="V1924" s="2">
        <f t="shared" si="10"/>
      </c>
      <c r="W1924" s="2">
        <f t="shared" si="11"/>
      </c>
      <c r="X1924" s="2">
        <f t="shared" si="12"/>
      </c>
      <c r="Y1924" s="2">
        <f t="shared" si="13"/>
        <v>0</v>
      </c>
      <c r="Z1924" s="2">
        <f t="shared" si="14"/>
      </c>
      <c r="AA1924" s="2">
        <f t="shared" si="15"/>
        <v>0</v>
      </c>
      <c r="AB1924" s="2">
        <f t="shared" si="16"/>
      </c>
      <c r="AC1924" s="2">
        <f t="shared" si="17"/>
      </c>
      <c r="AD1924" s="2">
        <f t="shared" si="18"/>
      </c>
      <c r="AE1924" s="2">
        <f t="shared" si="19"/>
      </c>
      <c r="AF1924" s="2">
        <f t="shared" si="20"/>
      </c>
      <c r="AG1924" s="2">
        <f t="shared" si="21"/>
      </c>
      <c r="AH1924" s="2">
        <f t="shared" si="22"/>
      </c>
      <c r="AI1924" s="2">
        <f t="shared" si="23"/>
      </c>
      <c r="AJ1924" s="2">
        <f t="shared" si="24"/>
        <v>0</v>
      </c>
      <c r="AK1924" s="2">
        <f t="shared" si="25"/>
        <v>0</v>
      </c>
      <c r="AL1924" s="2">
        <f t="shared" si="26"/>
        <v>0</v>
      </c>
      <c r="AM1924" s="2">
        <f t="shared" si="27"/>
        <v>0</v>
      </c>
      <c r="AN1924" s="2">
        <f t="shared" si="28"/>
        <v>0</v>
      </c>
      <c r="AO1924" s="2">
        <f t="shared" si="29"/>
      </c>
      <c r="AP1924" s="2">
        <f t="shared" si="30"/>
      </c>
      <c r="AQ1924" s="2">
        <f t="shared" si="31"/>
      </c>
    </row>
    <row r="1925">
      <c r="A1925" s="43">
        <f t="shared" si="3"/>
      </c>
      <c r="B1925" s="44" t="n"/>
      <c r="C1925" s="45" t="n"/>
      <c r="D1925" s="46" t="n"/>
      <c r="E1925" s="47" t="n"/>
      <c r="F1925" s="47" t="n"/>
      <c r="G1925" s="48">
        <f t="shared" si="4"/>
      </c>
      <c r="H1925" s="43">
        <f t="shared" si="0"/>
      </c>
      <c r="I1925" s="43">
        <f t="shared" si="5"/>
      </c>
      <c r="J1925" s="43">
        <f t="shared" si="1"/>
      </c>
      <c r="K1925" s="49">
        <f t="shared" si="2"/>
      </c>
      <c r="L1925" s="45" t="n"/>
      <c r="M1925" s="45" t="n"/>
      <c r="N1925" s="45" t="n"/>
      <c r="O1925" s="45" t="n"/>
      <c r="P1925" s="50" t="n"/>
      <c r="R1925" s="2">
        <f t="shared" si="6"/>
        <v>0</v>
      </c>
      <c r="S1925" s="2">
        <f t="shared" si="7"/>
      </c>
      <c r="T1925" s="2">
        <f t="shared" si="8"/>
      </c>
      <c r="U1925" s="2">
        <f t="shared" si="9"/>
      </c>
      <c r="V1925" s="2">
        <f t="shared" si="10"/>
      </c>
      <c r="W1925" s="2">
        <f t="shared" si="11"/>
      </c>
      <c r="X1925" s="2">
        <f t="shared" si="12"/>
      </c>
      <c r="Y1925" s="2">
        <f t="shared" si="13"/>
        <v>0</v>
      </c>
      <c r="Z1925" s="2">
        <f t="shared" si="14"/>
      </c>
      <c r="AA1925" s="2">
        <f t="shared" si="15"/>
        <v>0</v>
      </c>
      <c r="AB1925" s="2">
        <f t="shared" si="16"/>
      </c>
      <c r="AC1925" s="2">
        <f t="shared" si="17"/>
      </c>
      <c r="AD1925" s="2">
        <f t="shared" si="18"/>
      </c>
      <c r="AE1925" s="2">
        <f t="shared" si="19"/>
      </c>
      <c r="AF1925" s="2">
        <f t="shared" si="20"/>
      </c>
      <c r="AG1925" s="2">
        <f t="shared" si="21"/>
      </c>
      <c r="AH1925" s="2">
        <f t="shared" si="22"/>
      </c>
      <c r="AI1925" s="2">
        <f t="shared" si="23"/>
      </c>
      <c r="AJ1925" s="2">
        <f t="shared" si="24"/>
        <v>0</v>
      </c>
      <c r="AK1925" s="2">
        <f t="shared" si="25"/>
        <v>0</v>
      </c>
      <c r="AL1925" s="2">
        <f t="shared" si="26"/>
        <v>0</v>
      </c>
      <c r="AM1925" s="2">
        <f t="shared" si="27"/>
        <v>0</v>
      </c>
      <c r="AN1925" s="2">
        <f t="shared" si="28"/>
        <v>0</v>
      </c>
      <c r="AO1925" s="2">
        <f t="shared" si="29"/>
      </c>
      <c r="AP1925" s="2">
        <f t="shared" si="30"/>
      </c>
      <c r="AQ1925" s="2">
        <f t="shared" si="31"/>
      </c>
    </row>
    <row r="1926">
      <c r="A1926" s="43">
        <f t="shared" si="3"/>
      </c>
      <c r="B1926" s="44" t="n"/>
      <c r="C1926" s="45" t="n"/>
      <c r="D1926" s="46" t="n"/>
      <c r="E1926" s="47" t="n"/>
      <c r="F1926" s="47" t="n"/>
      <c r="G1926" s="48">
        <f t="shared" si="4"/>
      </c>
      <c r="H1926" s="43">
        <f t="shared" si="0"/>
      </c>
      <c r="I1926" s="43">
        <f t="shared" si="5"/>
      </c>
      <c r="J1926" s="43">
        <f t="shared" si="1"/>
      </c>
      <c r="K1926" s="49">
        <f t="shared" si="2"/>
      </c>
      <c r="L1926" s="45" t="n"/>
      <c r="M1926" s="45" t="n"/>
      <c r="N1926" s="45" t="n"/>
      <c r="O1926" s="45" t="n"/>
      <c r="P1926" s="50" t="n"/>
      <c r="R1926" s="2">
        <f t="shared" si="6"/>
        <v>0</v>
      </c>
      <c r="S1926" s="2">
        <f t="shared" si="7"/>
      </c>
      <c r="T1926" s="2">
        <f t="shared" si="8"/>
      </c>
      <c r="U1926" s="2">
        <f t="shared" si="9"/>
      </c>
      <c r="V1926" s="2">
        <f t="shared" si="10"/>
      </c>
      <c r="W1926" s="2">
        <f t="shared" si="11"/>
      </c>
      <c r="X1926" s="2">
        <f t="shared" si="12"/>
      </c>
      <c r="Y1926" s="2">
        <f t="shared" si="13"/>
        <v>0</v>
      </c>
      <c r="Z1926" s="2">
        <f t="shared" si="14"/>
      </c>
      <c r="AA1926" s="2">
        <f t="shared" si="15"/>
        <v>0</v>
      </c>
      <c r="AB1926" s="2">
        <f t="shared" si="16"/>
      </c>
      <c r="AC1926" s="2">
        <f t="shared" si="17"/>
      </c>
      <c r="AD1926" s="2">
        <f t="shared" si="18"/>
      </c>
      <c r="AE1926" s="2">
        <f t="shared" si="19"/>
      </c>
      <c r="AF1926" s="2">
        <f t="shared" si="20"/>
      </c>
      <c r="AG1926" s="2">
        <f t="shared" si="21"/>
      </c>
      <c r="AH1926" s="2">
        <f t="shared" si="22"/>
      </c>
      <c r="AI1926" s="2">
        <f t="shared" si="23"/>
      </c>
      <c r="AJ1926" s="2">
        <f t="shared" si="24"/>
        <v>0</v>
      </c>
      <c r="AK1926" s="2">
        <f t="shared" si="25"/>
        <v>0</v>
      </c>
      <c r="AL1926" s="2">
        <f t="shared" si="26"/>
        <v>0</v>
      </c>
      <c r="AM1926" s="2">
        <f t="shared" si="27"/>
        <v>0</v>
      </c>
      <c r="AN1926" s="2">
        <f t="shared" si="28"/>
        <v>0</v>
      </c>
      <c r="AO1926" s="2">
        <f t="shared" si="29"/>
      </c>
      <c r="AP1926" s="2">
        <f t="shared" si="30"/>
      </c>
      <c r="AQ1926" s="2">
        <f t="shared" si="31"/>
      </c>
    </row>
    <row r="1927">
      <c r="A1927" s="43">
        <f t="shared" si="3"/>
      </c>
      <c r="B1927" s="44" t="n"/>
      <c r="C1927" s="45" t="n"/>
      <c r="D1927" s="46" t="n"/>
      <c r="E1927" s="47" t="n"/>
      <c r="F1927" s="47" t="n"/>
      <c r="G1927" s="48">
        <f t="shared" si="4"/>
      </c>
      <c r="H1927" s="43">
        <f t="shared" si="0"/>
      </c>
      <c r="I1927" s="43">
        <f t="shared" si="5"/>
      </c>
      <c r="J1927" s="43">
        <f t="shared" si="1"/>
      </c>
      <c r="K1927" s="49">
        <f t="shared" si="2"/>
      </c>
      <c r="L1927" s="45" t="n"/>
      <c r="M1927" s="45" t="n"/>
      <c r="N1927" s="45" t="n"/>
      <c r="O1927" s="45" t="n"/>
      <c r="P1927" s="50" t="n"/>
      <c r="R1927" s="2">
        <f t="shared" si="6"/>
        <v>0</v>
      </c>
      <c r="S1927" s="2">
        <f t="shared" si="7"/>
      </c>
      <c r="T1927" s="2">
        <f t="shared" si="8"/>
      </c>
      <c r="U1927" s="2">
        <f t="shared" si="9"/>
      </c>
      <c r="V1927" s="2">
        <f t="shared" si="10"/>
      </c>
      <c r="W1927" s="2">
        <f t="shared" si="11"/>
      </c>
      <c r="X1927" s="2">
        <f t="shared" si="12"/>
      </c>
      <c r="Y1927" s="2">
        <f t="shared" si="13"/>
        <v>0</v>
      </c>
      <c r="Z1927" s="2">
        <f t="shared" si="14"/>
      </c>
      <c r="AA1927" s="2">
        <f t="shared" si="15"/>
        <v>0</v>
      </c>
      <c r="AB1927" s="2">
        <f t="shared" si="16"/>
      </c>
      <c r="AC1927" s="2">
        <f t="shared" si="17"/>
      </c>
      <c r="AD1927" s="2">
        <f t="shared" si="18"/>
      </c>
      <c r="AE1927" s="2">
        <f t="shared" si="19"/>
      </c>
      <c r="AF1927" s="2">
        <f t="shared" si="20"/>
      </c>
      <c r="AG1927" s="2">
        <f t="shared" si="21"/>
      </c>
      <c r="AH1927" s="2">
        <f t="shared" si="22"/>
      </c>
      <c r="AI1927" s="2">
        <f t="shared" si="23"/>
      </c>
      <c r="AJ1927" s="2">
        <f t="shared" si="24"/>
        <v>0</v>
      </c>
      <c r="AK1927" s="2">
        <f t="shared" si="25"/>
        <v>0</v>
      </c>
      <c r="AL1927" s="2">
        <f t="shared" si="26"/>
        <v>0</v>
      </c>
      <c r="AM1927" s="2">
        <f t="shared" si="27"/>
        <v>0</v>
      </c>
      <c r="AN1927" s="2">
        <f t="shared" si="28"/>
        <v>0</v>
      </c>
      <c r="AO1927" s="2">
        <f t="shared" si="29"/>
      </c>
      <c r="AP1927" s="2">
        <f t="shared" si="30"/>
      </c>
      <c r="AQ1927" s="2">
        <f t="shared" si="31"/>
      </c>
    </row>
    <row r="1928">
      <c r="A1928" s="43">
        <f t="shared" si="3"/>
      </c>
      <c r="B1928" s="44" t="n"/>
      <c r="C1928" s="45" t="n"/>
      <c r="D1928" s="46" t="n"/>
      <c r="E1928" s="47" t="n"/>
      <c r="F1928" s="47" t="n"/>
      <c r="G1928" s="48">
        <f t="shared" si="4"/>
      </c>
      <c r="H1928" s="43">
        <f t="shared" si="0"/>
      </c>
      <c r="I1928" s="43">
        <f t="shared" si="5"/>
      </c>
      <c r="J1928" s="43">
        <f t="shared" si="1"/>
      </c>
      <c r="K1928" s="49">
        <f t="shared" si="2"/>
      </c>
      <c r="L1928" s="45" t="n"/>
      <c r="M1928" s="45" t="n"/>
      <c r="N1928" s="45" t="n"/>
      <c r="O1928" s="45" t="n"/>
      <c r="P1928" s="50" t="n"/>
      <c r="R1928" s="2">
        <f t="shared" si="6"/>
        <v>0</v>
      </c>
      <c r="S1928" s="2">
        <f t="shared" si="7"/>
      </c>
      <c r="T1928" s="2">
        <f t="shared" si="8"/>
      </c>
      <c r="U1928" s="2">
        <f t="shared" si="9"/>
      </c>
      <c r="V1928" s="2">
        <f t="shared" si="10"/>
      </c>
      <c r="W1928" s="2">
        <f t="shared" si="11"/>
      </c>
      <c r="X1928" s="2">
        <f t="shared" si="12"/>
      </c>
      <c r="Y1928" s="2">
        <f t="shared" si="13"/>
        <v>0</v>
      </c>
      <c r="Z1928" s="2">
        <f t="shared" si="14"/>
      </c>
      <c r="AA1928" s="2">
        <f t="shared" si="15"/>
        <v>0</v>
      </c>
      <c r="AB1928" s="2">
        <f t="shared" si="16"/>
      </c>
      <c r="AC1928" s="2">
        <f t="shared" si="17"/>
      </c>
      <c r="AD1928" s="2">
        <f t="shared" si="18"/>
      </c>
      <c r="AE1928" s="2">
        <f t="shared" si="19"/>
      </c>
      <c r="AF1928" s="2">
        <f t="shared" si="20"/>
      </c>
      <c r="AG1928" s="2">
        <f t="shared" si="21"/>
      </c>
      <c r="AH1928" s="2">
        <f t="shared" si="22"/>
      </c>
      <c r="AI1928" s="2">
        <f t="shared" si="23"/>
      </c>
      <c r="AJ1928" s="2">
        <f t="shared" si="24"/>
        <v>0</v>
      </c>
      <c r="AK1928" s="2">
        <f t="shared" si="25"/>
        <v>0</v>
      </c>
      <c r="AL1928" s="2">
        <f t="shared" si="26"/>
        <v>0</v>
      </c>
      <c r="AM1928" s="2">
        <f t="shared" si="27"/>
        <v>0</v>
      </c>
      <c r="AN1928" s="2">
        <f t="shared" si="28"/>
        <v>0</v>
      </c>
      <c r="AO1928" s="2">
        <f t="shared" si="29"/>
      </c>
      <c r="AP1928" s="2">
        <f t="shared" si="30"/>
      </c>
      <c r="AQ1928" s="2">
        <f t="shared" si="31"/>
      </c>
    </row>
    <row r="1929">
      <c r="A1929" s="43">
        <f t="shared" si="3"/>
      </c>
      <c r="B1929" s="44" t="n"/>
      <c r="C1929" s="45" t="n"/>
      <c r="D1929" s="46" t="n"/>
      <c r="E1929" s="47" t="n"/>
      <c r="F1929" s="47" t="n"/>
      <c r="G1929" s="48">
        <f t="shared" si="4"/>
      </c>
      <c r="H1929" s="43">
        <f t="shared" si="0"/>
      </c>
      <c r="I1929" s="43">
        <f t="shared" si="5"/>
      </c>
      <c r="J1929" s="43">
        <f t="shared" si="1"/>
      </c>
      <c r="K1929" s="49">
        <f t="shared" si="2"/>
      </c>
      <c r="L1929" s="45" t="n"/>
      <c r="M1929" s="45" t="n"/>
      <c r="N1929" s="45" t="n"/>
      <c r="O1929" s="45" t="n"/>
      <c r="P1929" s="50" t="n"/>
      <c r="R1929" s="2">
        <f t="shared" si="6"/>
        <v>0</v>
      </c>
      <c r="S1929" s="2">
        <f t="shared" si="7"/>
      </c>
      <c r="T1929" s="2">
        <f t="shared" si="8"/>
      </c>
      <c r="U1929" s="2">
        <f t="shared" si="9"/>
      </c>
      <c r="V1929" s="2">
        <f t="shared" si="10"/>
      </c>
      <c r="W1929" s="2">
        <f t="shared" si="11"/>
      </c>
      <c r="X1929" s="2">
        <f t="shared" si="12"/>
      </c>
      <c r="Y1929" s="2">
        <f t="shared" si="13"/>
        <v>0</v>
      </c>
      <c r="Z1929" s="2">
        <f t="shared" si="14"/>
      </c>
      <c r="AA1929" s="2">
        <f t="shared" si="15"/>
        <v>0</v>
      </c>
      <c r="AB1929" s="2">
        <f t="shared" si="16"/>
      </c>
      <c r="AC1929" s="2">
        <f t="shared" si="17"/>
      </c>
      <c r="AD1929" s="2">
        <f t="shared" si="18"/>
      </c>
      <c r="AE1929" s="2">
        <f t="shared" si="19"/>
      </c>
      <c r="AF1929" s="2">
        <f t="shared" si="20"/>
      </c>
      <c r="AG1929" s="2">
        <f t="shared" si="21"/>
      </c>
      <c r="AH1929" s="2">
        <f t="shared" si="22"/>
      </c>
      <c r="AI1929" s="2">
        <f t="shared" si="23"/>
      </c>
      <c r="AJ1929" s="2">
        <f t="shared" si="24"/>
        <v>0</v>
      </c>
      <c r="AK1929" s="2">
        <f t="shared" si="25"/>
        <v>0</v>
      </c>
      <c r="AL1929" s="2">
        <f t="shared" si="26"/>
        <v>0</v>
      </c>
      <c r="AM1929" s="2">
        <f t="shared" si="27"/>
        <v>0</v>
      </c>
      <c r="AN1929" s="2">
        <f t="shared" si="28"/>
        <v>0</v>
      </c>
      <c r="AO1929" s="2">
        <f t="shared" si="29"/>
      </c>
      <c r="AP1929" s="2">
        <f t="shared" si="30"/>
      </c>
      <c r="AQ1929" s="2">
        <f t="shared" si="31"/>
      </c>
    </row>
    <row r="1930">
      <c r="A1930" s="43">
        <f t="shared" si="3"/>
      </c>
      <c r="B1930" s="44" t="n"/>
      <c r="C1930" s="45" t="n"/>
      <c r="D1930" s="46" t="n"/>
      <c r="E1930" s="47" t="n"/>
      <c r="F1930" s="47" t="n"/>
      <c r="G1930" s="48">
        <f t="shared" si="4"/>
      </c>
      <c r="H1930" s="43">
        <f t="shared" si="0"/>
      </c>
      <c r="I1930" s="43">
        <f t="shared" si="5"/>
      </c>
      <c r="J1930" s="43">
        <f t="shared" si="1"/>
      </c>
      <c r="K1930" s="49">
        <f t="shared" si="2"/>
      </c>
      <c r="L1930" s="45" t="n"/>
      <c r="M1930" s="45" t="n"/>
      <c r="N1930" s="45" t="n"/>
      <c r="O1930" s="45" t="n"/>
      <c r="P1930" s="50" t="n"/>
      <c r="R1930" s="2">
        <f t="shared" si="6"/>
        <v>0</v>
      </c>
      <c r="S1930" s="2">
        <f t="shared" si="7"/>
      </c>
      <c r="T1930" s="2">
        <f t="shared" si="8"/>
      </c>
      <c r="U1930" s="2">
        <f t="shared" si="9"/>
      </c>
      <c r="V1930" s="2">
        <f t="shared" si="10"/>
      </c>
      <c r="W1930" s="2">
        <f t="shared" si="11"/>
      </c>
      <c r="X1930" s="2">
        <f t="shared" si="12"/>
      </c>
      <c r="Y1930" s="2">
        <f t="shared" si="13"/>
        <v>0</v>
      </c>
      <c r="Z1930" s="2">
        <f t="shared" si="14"/>
      </c>
      <c r="AA1930" s="2">
        <f t="shared" si="15"/>
        <v>0</v>
      </c>
      <c r="AB1930" s="2">
        <f t="shared" si="16"/>
      </c>
      <c r="AC1930" s="2">
        <f t="shared" si="17"/>
      </c>
      <c r="AD1930" s="2">
        <f t="shared" si="18"/>
      </c>
      <c r="AE1930" s="2">
        <f t="shared" si="19"/>
      </c>
      <c r="AF1930" s="2">
        <f t="shared" si="20"/>
      </c>
      <c r="AG1930" s="2">
        <f t="shared" si="21"/>
      </c>
      <c r="AH1930" s="2">
        <f t="shared" si="22"/>
      </c>
      <c r="AI1930" s="2">
        <f t="shared" si="23"/>
      </c>
      <c r="AJ1930" s="2">
        <f t="shared" si="24"/>
        <v>0</v>
      </c>
      <c r="AK1930" s="2">
        <f t="shared" si="25"/>
        <v>0</v>
      </c>
      <c r="AL1930" s="2">
        <f t="shared" si="26"/>
        <v>0</v>
      </c>
      <c r="AM1930" s="2">
        <f t="shared" si="27"/>
        <v>0</v>
      </c>
      <c r="AN1930" s="2">
        <f t="shared" si="28"/>
        <v>0</v>
      </c>
      <c r="AO1930" s="2">
        <f t="shared" si="29"/>
      </c>
      <c r="AP1930" s="2">
        <f t="shared" si="30"/>
      </c>
      <c r="AQ1930" s="2">
        <f t="shared" si="31"/>
      </c>
    </row>
    <row r="1931">
      <c r="A1931" s="43">
        <f t="shared" si="3"/>
      </c>
      <c r="B1931" s="44" t="n"/>
      <c r="C1931" s="45" t="n"/>
      <c r="D1931" s="46" t="n"/>
      <c r="E1931" s="47" t="n"/>
      <c r="F1931" s="47" t="n"/>
      <c r="G1931" s="48">
        <f t="shared" si="4"/>
      </c>
      <c r="H1931" s="43">
        <f t="shared" si="0"/>
      </c>
      <c r="I1931" s="43">
        <f t="shared" si="5"/>
      </c>
      <c r="J1931" s="43">
        <f t="shared" si="1"/>
      </c>
      <c r="K1931" s="49">
        <f t="shared" si="2"/>
      </c>
      <c r="L1931" s="45" t="n"/>
      <c r="M1931" s="45" t="n"/>
      <c r="N1931" s="45" t="n"/>
      <c r="O1931" s="45" t="n"/>
      <c r="P1931" s="50" t="n"/>
      <c r="R1931" s="2">
        <f t="shared" si="6"/>
        <v>0</v>
      </c>
      <c r="S1931" s="2">
        <f t="shared" si="7"/>
      </c>
      <c r="T1931" s="2">
        <f t="shared" si="8"/>
      </c>
      <c r="U1931" s="2">
        <f t="shared" si="9"/>
      </c>
      <c r="V1931" s="2">
        <f t="shared" si="10"/>
      </c>
      <c r="W1931" s="2">
        <f t="shared" si="11"/>
      </c>
      <c r="X1931" s="2">
        <f t="shared" si="12"/>
      </c>
      <c r="Y1931" s="2">
        <f t="shared" si="13"/>
        <v>0</v>
      </c>
      <c r="Z1931" s="2">
        <f t="shared" si="14"/>
      </c>
      <c r="AA1931" s="2">
        <f t="shared" si="15"/>
        <v>0</v>
      </c>
      <c r="AB1931" s="2">
        <f t="shared" si="16"/>
      </c>
      <c r="AC1931" s="2">
        <f t="shared" si="17"/>
      </c>
      <c r="AD1931" s="2">
        <f t="shared" si="18"/>
      </c>
      <c r="AE1931" s="2">
        <f t="shared" si="19"/>
      </c>
      <c r="AF1931" s="2">
        <f t="shared" si="20"/>
      </c>
      <c r="AG1931" s="2">
        <f t="shared" si="21"/>
      </c>
      <c r="AH1931" s="2">
        <f t="shared" si="22"/>
      </c>
      <c r="AI1931" s="2">
        <f t="shared" si="23"/>
      </c>
      <c r="AJ1931" s="2">
        <f t="shared" si="24"/>
        <v>0</v>
      </c>
      <c r="AK1931" s="2">
        <f t="shared" si="25"/>
        <v>0</v>
      </c>
      <c r="AL1931" s="2">
        <f t="shared" si="26"/>
        <v>0</v>
      </c>
      <c r="AM1931" s="2">
        <f t="shared" si="27"/>
        <v>0</v>
      </c>
      <c r="AN1931" s="2">
        <f t="shared" si="28"/>
        <v>0</v>
      </c>
      <c r="AO1931" s="2">
        <f t="shared" si="29"/>
      </c>
      <c r="AP1931" s="2">
        <f t="shared" si="30"/>
      </c>
      <c r="AQ1931" s="2">
        <f t="shared" si="31"/>
      </c>
    </row>
    <row r="1932">
      <c r="A1932" s="43">
        <f t="shared" si="3"/>
      </c>
      <c r="B1932" s="44" t="n"/>
      <c r="C1932" s="45" t="n"/>
      <c r="D1932" s="46" t="n"/>
      <c r="E1932" s="47" t="n"/>
      <c r="F1932" s="47" t="n"/>
      <c r="G1932" s="48">
        <f t="shared" si="4"/>
      </c>
      <c r="H1932" s="43">
        <f t="shared" si="0"/>
      </c>
      <c r="I1932" s="43">
        <f t="shared" si="5"/>
      </c>
      <c r="J1932" s="43">
        <f t="shared" si="1"/>
      </c>
      <c r="K1932" s="49">
        <f t="shared" si="2"/>
      </c>
      <c r="L1932" s="45" t="n"/>
      <c r="M1932" s="45" t="n"/>
      <c r="N1932" s="45" t="n"/>
      <c r="O1932" s="45" t="n"/>
      <c r="P1932" s="50" t="n"/>
      <c r="R1932" s="2">
        <f t="shared" si="6"/>
        <v>0</v>
      </c>
      <c r="S1932" s="2">
        <f t="shared" si="7"/>
      </c>
      <c r="T1932" s="2">
        <f t="shared" si="8"/>
      </c>
      <c r="U1932" s="2">
        <f t="shared" si="9"/>
      </c>
      <c r="V1932" s="2">
        <f t="shared" si="10"/>
      </c>
      <c r="W1932" s="2">
        <f t="shared" si="11"/>
      </c>
      <c r="X1932" s="2">
        <f t="shared" si="12"/>
      </c>
      <c r="Y1932" s="2">
        <f t="shared" si="13"/>
        <v>0</v>
      </c>
      <c r="Z1932" s="2">
        <f t="shared" si="14"/>
      </c>
      <c r="AA1932" s="2">
        <f t="shared" si="15"/>
        <v>0</v>
      </c>
      <c r="AB1932" s="2">
        <f t="shared" si="16"/>
      </c>
      <c r="AC1932" s="2">
        <f t="shared" si="17"/>
      </c>
      <c r="AD1932" s="2">
        <f t="shared" si="18"/>
      </c>
      <c r="AE1932" s="2">
        <f t="shared" si="19"/>
      </c>
      <c r="AF1932" s="2">
        <f t="shared" si="20"/>
      </c>
      <c r="AG1932" s="2">
        <f t="shared" si="21"/>
      </c>
      <c r="AH1932" s="2">
        <f t="shared" si="22"/>
      </c>
      <c r="AI1932" s="2">
        <f t="shared" si="23"/>
      </c>
      <c r="AJ1932" s="2">
        <f t="shared" si="24"/>
        <v>0</v>
      </c>
      <c r="AK1932" s="2">
        <f t="shared" si="25"/>
        <v>0</v>
      </c>
      <c r="AL1932" s="2">
        <f t="shared" si="26"/>
        <v>0</v>
      </c>
      <c r="AM1932" s="2">
        <f t="shared" si="27"/>
        <v>0</v>
      </c>
      <c r="AN1932" s="2">
        <f t="shared" si="28"/>
        <v>0</v>
      </c>
      <c r="AO1932" s="2">
        <f t="shared" si="29"/>
      </c>
      <c r="AP1932" s="2">
        <f t="shared" si="30"/>
      </c>
      <c r="AQ1932" s="2">
        <f t="shared" si="31"/>
      </c>
    </row>
    <row r="1933">
      <c r="A1933" s="43">
        <f t="shared" si="3"/>
      </c>
      <c r="B1933" s="44" t="n"/>
      <c r="C1933" s="45" t="n"/>
      <c r="D1933" s="46" t="n"/>
      <c r="E1933" s="47" t="n"/>
      <c r="F1933" s="47" t="n"/>
      <c r="G1933" s="48">
        <f t="shared" si="4"/>
      </c>
      <c r="H1933" s="43">
        <f t="shared" si="0"/>
      </c>
      <c r="I1933" s="43">
        <f t="shared" si="5"/>
      </c>
      <c r="J1933" s="43">
        <f t="shared" si="1"/>
      </c>
      <c r="K1933" s="49">
        <f t="shared" si="2"/>
      </c>
      <c r="L1933" s="45" t="n"/>
      <c r="M1933" s="45" t="n"/>
      <c r="N1933" s="45" t="n"/>
      <c r="O1933" s="45" t="n"/>
      <c r="P1933" s="50" t="n"/>
      <c r="R1933" s="2">
        <f t="shared" si="6"/>
        <v>0</v>
      </c>
      <c r="S1933" s="2">
        <f t="shared" si="7"/>
      </c>
      <c r="T1933" s="2">
        <f t="shared" si="8"/>
      </c>
      <c r="U1933" s="2">
        <f t="shared" si="9"/>
      </c>
      <c r="V1933" s="2">
        <f t="shared" si="10"/>
      </c>
      <c r="W1933" s="2">
        <f t="shared" si="11"/>
      </c>
      <c r="X1933" s="2">
        <f t="shared" si="12"/>
      </c>
      <c r="Y1933" s="2">
        <f t="shared" si="13"/>
        <v>0</v>
      </c>
      <c r="Z1933" s="2">
        <f t="shared" si="14"/>
      </c>
      <c r="AA1933" s="2">
        <f t="shared" si="15"/>
        <v>0</v>
      </c>
      <c r="AB1933" s="2">
        <f t="shared" si="16"/>
      </c>
      <c r="AC1933" s="2">
        <f t="shared" si="17"/>
      </c>
      <c r="AD1933" s="2">
        <f t="shared" si="18"/>
      </c>
      <c r="AE1933" s="2">
        <f t="shared" si="19"/>
      </c>
      <c r="AF1933" s="2">
        <f t="shared" si="20"/>
      </c>
      <c r="AG1933" s="2">
        <f t="shared" si="21"/>
      </c>
      <c r="AH1933" s="2">
        <f t="shared" si="22"/>
      </c>
      <c r="AI1933" s="2">
        <f t="shared" si="23"/>
      </c>
      <c r="AJ1933" s="2">
        <f t="shared" si="24"/>
        <v>0</v>
      </c>
      <c r="AK1933" s="2">
        <f t="shared" si="25"/>
        <v>0</v>
      </c>
      <c r="AL1933" s="2">
        <f t="shared" si="26"/>
        <v>0</v>
      </c>
      <c r="AM1933" s="2">
        <f t="shared" si="27"/>
        <v>0</v>
      </c>
      <c r="AN1933" s="2">
        <f t="shared" si="28"/>
        <v>0</v>
      </c>
      <c r="AO1933" s="2">
        <f t="shared" si="29"/>
      </c>
      <c r="AP1933" s="2">
        <f t="shared" si="30"/>
      </c>
      <c r="AQ1933" s="2">
        <f t="shared" si="31"/>
      </c>
    </row>
    <row r="1934">
      <c r="A1934" s="43">
        <f t="shared" si="3"/>
      </c>
      <c r="B1934" s="44" t="n"/>
      <c r="C1934" s="45" t="n"/>
      <c r="D1934" s="46" t="n"/>
      <c r="E1934" s="47" t="n"/>
      <c r="F1934" s="47" t="n"/>
      <c r="G1934" s="48">
        <f t="shared" si="4"/>
      </c>
      <c r="H1934" s="43">
        <f t="shared" si="0"/>
      </c>
      <c r="I1934" s="43">
        <f t="shared" si="5"/>
      </c>
      <c r="J1934" s="43">
        <f t="shared" si="1"/>
      </c>
      <c r="K1934" s="49">
        <f t="shared" si="2"/>
      </c>
      <c r="L1934" s="45" t="n"/>
      <c r="M1934" s="45" t="n"/>
      <c r="N1934" s="45" t="n"/>
      <c r="O1934" s="45" t="n"/>
      <c r="P1934" s="50" t="n"/>
      <c r="R1934" s="2">
        <f t="shared" si="6"/>
        <v>0</v>
      </c>
      <c r="S1934" s="2">
        <f t="shared" si="7"/>
      </c>
      <c r="T1934" s="2">
        <f t="shared" si="8"/>
      </c>
      <c r="U1934" s="2">
        <f t="shared" si="9"/>
      </c>
      <c r="V1934" s="2">
        <f t="shared" si="10"/>
      </c>
      <c r="W1934" s="2">
        <f t="shared" si="11"/>
      </c>
      <c r="X1934" s="2">
        <f t="shared" si="12"/>
      </c>
      <c r="Y1934" s="2">
        <f t="shared" si="13"/>
        <v>0</v>
      </c>
      <c r="Z1934" s="2">
        <f t="shared" si="14"/>
      </c>
      <c r="AA1934" s="2">
        <f t="shared" si="15"/>
        <v>0</v>
      </c>
      <c r="AB1934" s="2">
        <f t="shared" si="16"/>
      </c>
      <c r="AC1934" s="2">
        <f t="shared" si="17"/>
      </c>
      <c r="AD1934" s="2">
        <f t="shared" si="18"/>
      </c>
      <c r="AE1934" s="2">
        <f t="shared" si="19"/>
      </c>
      <c r="AF1934" s="2">
        <f t="shared" si="20"/>
      </c>
      <c r="AG1934" s="2">
        <f t="shared" si="21"/>
      </c>
      <c r="AH1934" s="2">
        <f t="shared" si="22"/>
      </c>
      <c r="AI1934" s="2">
        <f t="shared" si="23"/>
      </c>
      <c r="AJ1934" s="2">
        <f t="shared" si="24"/>
        <v>0</v>
      </c>
      <c r="AK1934" s="2">
        <f t="shared" si="25"/>
        <v>0</v>
      </c>
      <c r="AL1934" s="2">
        <f t="shared" si="26"/>
        <v>0</v>
      </c>
      <c r="AM1934" s="2">
        <f t="shared" si="27"/>
        <v>0</v>
      </c>
      <c r="AN1934" s="2">
        <f t="shared" si="28"/>
        <v>0</v>
      </c>
      <c r="AO1934" s="2">
        <f t="shared" si="29"/>
      </c>
      <c r="AP1934" s="2">
        <f t="shared" si="30"/>
      </c>
      <c r="AQ1934" s="2">
        <f t="shared" si="31"/>
      </c>
    </row>
    <row r="1935">
      <c r="A1935" s="43">
        <f t="shared" si="3"/>
      </c>
      <c r="B1935" s="44" t="n"/>
      <c r="C1935" s="45" t="n"/>
      <c r="D1935" s="46" t="n"/>
      <c r="E1935" s="47" t="n"/>
      <c r="F1935" s="47" t="n"/>
      <c r="G1935" s="48">
        <f t="shared" si="4"/>
      </c>
      <c r="H1935" s="43">
        <f t="shared" si="0"/>
      </c>
      <c r="I1935" s="43">
        <f t="shared" si="5"/>
      </c>
      <c r="J1935" s="43">
        <f t="shared" si="1"/>
      </c>
      <c r="K1935" s="49">
        <f t="shared" si="2"/>
      </c>
      <c r="L1935" s="45" t="n"/>
      <c r="M1935" s="45" t="n"/>
      <c r="N1935" s="45" t="n"/>
      <c r="O1935" s="45" t="n"/>
      <c r="P1935" s="50" t="n"/>
      <c r="R1935" s="2">
        <f t="shared" si="6"/>
        <v>0</v>
      </c>
      <c r="S1935" s="2">
        <f t="shared" si="7"/>
      </c>
      <c r="T1935" s="2">
        <f t="shared" si="8"/>
      </c>
      <c r="U1935" s="2">
        <f t="shared" si="9"/>
      </c>
      <c r="V1935" s="2">
        <f t="shared" si="10"/>
      </c>
      <c r="W1935" s="2">
        <f t="shared" si="11"/>
      </c>
      <c r="X1935" s="2">
        <f t="shared" si="12"/>
      </c>
      <c r="Y1935" s="2">
        <f t="shared" si="13"/>
        <v>0</v>
      </c>
      <c r="Z1935" s="2">
        <f t="shared" si="14"/>
      </c>
      <c r="AA1935" s="2">
        <f t="shared" si="15"/>
        <v>0</v>
      </c>
      <c r="AB1935" s="2">
        <f t="shared" si="16"/>
      </c>
      <c r="AC1935" s="2">
        <f t="shared" si="17"/>
      </c>
      <c r="AD1935" s="2">
        <f t="shared" si="18"/>
      </c>
      <c r="AE1935" s="2">
        <f t="shared" si="19"/>
      </c>
      <c r="AF1935" s="2">
        <f t="shared" si="20"/>
      </c>
      <c r="AG1935" s="2">
        <f t="shared" si="21"/>
      </c>
      <c r="AH1935" s="2">
        <f t="shared" si="22"/>
      </c>
      <c r="AI1935" s="2">
        <f t="shared" si="23"/>
      </c>
      <c r="AJ1935" s="2">
        <f t="shared" si="24"/>
        <v>0</v>
      </c>
      <c r="AK1935" s="2">
        <f t="shared" si="25"/>
        <v>0</v>
      </c>
      <c r="AL1935" s="2">
        <f t="shared" si="26"/>
        <v>0</v>
      </c>
      <c r="AM1935" s="2">
        <f t="shared" si="27"/>
        <v>0</v>
      </c>
      <c r="AN1935" s="2">
        <f t="shared" si="28"/>
        <v>0</v>
      </c>
      <c r="AO1935" s="2">
        <f t="shared" si="29"/>
      </c>
      <c r="AP1935" s="2">
        <f t="shared" si="30"/>
      </c>
      <c r="AQ1935" s="2">
        <f t="shared" si="31"/>
      </c>
    </row>
    <row r="1936">
      <c r="A1936" s="43">
        <f t="shared" si="3"/>
      </c>
      <c r="B1936" s="44" t="n"/>
      <c r="C1936" s="45" t="n"/>
      <c r="D1936" s="46" t="n"/>
      <c r="E1936" s="47" t="n"/>
      <c r="F1936" s="47" t="n"/>
      <c r="G1936" s="48">
        <f t="shared" si="4"/>
      </c>
      <c r="H1936" s="43">
        <f t="shared" si="0"/>
      </c>
      <c r="I1936" s="43">
        <f t="shared" si="5"/>
      </c>
      <c r="J1936" s="43">
        <f t="shared" si="1"/>
      </c>
      <c r="K1936" s="49">
        <f t="shared" si="2"/>
      </c>
      <c r="L1936" s="45" t="n"/>
      <c r="M1936" s="45" t="n"/>
      <c r="N1936" s="45" t="n"/>
      <c r="O1936" s="45" t="n"/>
      <c r="P1936" s="50" t="n"/>
      <c r="R1936" s="2">
        <f t="shared" si="6"/>
        <v>0</v>
      </c>
      <c r="S1936" s="2">
        <f t="shared" si="7"/>
      </c>
      <c r="T1936" s="2">
        <f t="shared" si="8"/>
      </c>
      <c r="U1936" s="2">
        <f t="shared" si="9"/>
      </c>
      <c r="V1936" s="2">
        <f t="shared" si="10"/>
      </c>
      <c r="W1936" s="2">
        <f t="shared" si="11"/>
      </c>
      <c r="X1936" s="2">
        <f t="shared" si="12"/>
      </c>
      <c r="Y1936" s="2">
        <f t="shared" si="13"/>
        <v>0</v>
      </c>
      <c r="Z1936" s="2">
        <f t="shared" si="14"/>
      </c>
      <c r="AA1936" s="2">
        <f t="shared" si="15"/>
        <v>0</v>
      </c>
      <c r="AB1936" s="2">
        <f t="shared" si="16"/>
      </c>
      <c r="AC1936" s="2">
        <f t="shared" si="17"/>
      </c>
      <c r="AD1936" s="2">
        <f t="shared" si="18"/>
      </c>
      <c r="AE1936" s="2">
        <f t="shared" si="19"/>
      </c>
      <c r="AF1936" s="2">
        <f t="shared" si="20"/>
      </c>
      <c r="AG1936" s="2">
        <f t="shared" si="21"/>
      </c>
      <c r="AH1936" s="2">
        <f t="shared" si="22"/>
      </c>
      <c r="AI1936" s="2">
        <f t="shared" si="23"/>
      </c>
      <c r="AJ1936" s="2">
        <f t="shared" si="24"/>
        <v>0</v>
      </c>
      <c r="AK1936" s="2">
        <f t="shared" si="25"/>
        <v>0</v>
      </c>
      <c r="AL1936" s="2">
        <f t="shared" si="26"/>
        <v>0</v>
      </c>
      <c r="AM1936" s="2">
        <f t="shared" si="27"/>
        <v>0</v>
      </c>
      <c r="AN1936" s="2">
        <f t="shared" si="28"/>
        <v>0</v>
      </c>
      <c r="AO1936" s="2">
        <f t="shared" si="29"/>
      </c>
      <c r="AP1936" s="2">
        <f t="shared" si="30"/>
      </c>
      <c r="AQ1936" s="2">
        <f t="shared" si="31"/>
      </c>
    </row>
    <row r="1937">
      <c r="A1937" s="43">
        <f t="shared" si="3"/>
      </c>
      <c r="B1937" s="44" t="n"/>
      <c r="C1937" s="45" t="n"/>
      <c r="D1937" s="46" t="n"/>
      <c r="E1937" s="47" t="n"/>
      <c r="F1937" s="47" t="n"/>
      <c r="G1937" s="48">
        <f t="shared" si="4"/>
      </c>
      <c r="H1937" s="43">
        <f t="shared" si="0"/>
      </c>
      <c r="I1937" s="43">
        <f t="shared" si="5"/>
      </c>
      <c r="J1937" s="43">
        <f t="shared" si="1"/>
      </c>
      <c r="K1937" s="49">
        <f t="shared" si="2"/>
      </c>
      <c r="L1937" s="45" t="n"/>
      <c r="M1937" s="45" t="n"/>
      <c r="N1937" s="45" t="n"/>
      <c r="O1937" s="45" t="n"/>
      <c r="P1937" s="50" t="n"/>
      <c r="R1937" s="2">
        <f t="shared" si="6"/>
        <v>0</v>
      </c>
      <c r="S1937" s="2">
        <f t="shared" si="7"/>
      </c>
      <c r="T1937" s="2">
        <f t="shared" si="8"/>
      </c>
      <c r="U1937" s="2">
        <f t="shared" si="9"/>
      </c>
      <c r="V1937" s="2">
        <f t="shared" si="10"/>
      </c>
      <c r="W1937" s="2">
        <f t="shared" si="11"/>
      </c>
      <c r="X1937" s="2">
        <f t="shared" si="12"/>
      </c>
      <c r="Y1937" s="2">
        <f t="shared" si="13"/>
        <v>0</v>
      </c>
      <c r="Z1937" s="2">
        <f t="shared" si="14"/>
      </c>
      <c r="AA1937" s="2">
        <f t="shared" si="15"/>
        <v>0</v>
      </c>
      <c r="AB1937" s="2">
        <f t="shared" si="16"/>
      </c>
      <c r="AC1937" s="2">
        <f t="shared" si="17"/>
      </c>
      <c r="AD1937" s="2">
        <f t="shared" si="18"/>
      </c>
      <c r="AE1937" s="2">
        <f t="shared" si="19"/>
      </c>
      <c r="AF1937" s="2">
        <f t="shared" si="20"/>
      </c>
      <c r="AG1937" s="2">
        <f t="shared" si="21"/>
      </c>
      <c r="AH1937" s="2">
        <f t="shared" si="22"/>
      </c>
      <c r="AI1937" s="2">
        <f t="shared" si="23"/>
      </c>
      <c r="AJ1937" s="2">
        <f t="shared" si="24"/>
        <v>0</v>
      </c>
      <c r="AK1937" s="2">
        <f t="shared" si="25"/>
        <v>0</v>
      </c>
      <c r="AL1937" s="2">
        <f t="shared" si="26"/>
        <v>0</v>
      </c>
      <c r="AM1937" s="2">
        <f t="shared" si="27"/>
        <v>0</v>
      </c>
      <c r="AN1937" s="2">
        <f t="shared" si="28"/>
        <v>0</v>
      </c>
      <c r="AO1937" s="2">
        <f t="shared" si="29"/>
      </c>
      <c r="AP1937" s="2">
        <f t="shared" si="30"/>
      </c>
      <c r="AQ1937" s="2">
        <f t="shared" si="31"/>
      </c>
    </row>
    <row r="1938">
      <c r="A1938" s="43">
        <f t="shared" si="3"/>
      </c>
      <c r="B1938" s="44" t="n"/>
      <c r="C1938" s="45" t="n"/>
      <c r="D1938" s="46" t="n"/>
      <c r="E1938" s="47" t="n"/>
      <c r="F1938" s="47" t="n"/>
      <c r="G1938" s="48">
        <f t="shared" si="4"/>
      </c>
      <c r="H1938" s="43">
        <f t="shared" si="0"/>
      </c>
      <c r="I1938" s="43">
        <f t="shared" si="5"/>
      </c>
      <c r="J1938" s="43">
        <f t="shared" si="1"/>
      </c>
      <c r="K1938" s="49">
        <f t="shared" si="2"/>
      </c>
      <c r="L1938" s="45" t="n"/>
      <c r="M1938" s="45" t="n"/>
      <c r="N1938" s="45" t="n"/>
      <c r="O1938" s="45" t="n"/>
      <c r="P1938" s="50" t="n"/>
      <c r="R1938" s="2">
        <f t="shared" si="6"/>
        <v>0</v>
      </c>
      <c r="S1938" s="2">
        <f t="shared" si="7"/>
      </c>
      <c r="T1938" s="2">
        <f t="shared" si="8"/>
      </c>
      <c r="U1938" s="2">
        <f t="shared" si="9"/>
      </c>
      <c r="V1938" s="2">
        <f t="shared" si="10"/>
      </c>
      <c r="W1938" s="2">
        <f t="shared" si="11"/>
      </c>
      <c r="X1938" s="2">
        <f t="shared" si="12"/>
      </c>
      <c r="Y1938" s="2">
        <f t="shared" si="13"/>
        <v>0</v>
      </c>
      <c r="Z1938" s="2">
        <f t="shared" si="14"/>
      </c>
      <c r="AA1938" s="2">
        <f t="shared" si="15"/>
        <v>0</v>
      </c>
      <c r="AB1938" s="2">
        <f t="shared" si="16"/>
      </c>
      <c r="AC1938" s="2">
        <f t="shared" si="17"/>
      </c>
      <c r="AD1938" s="2">
        <f t="shared" si="18"/>
      </c>
      <c r="AE1938" s="2">
        <f t="shared" si="19"/>
      </c>
      <c r="AF1938" s="2">
        <f t="shared" si="20"/>
      </c>
      <c r="AG1938" s="2">
        <f t="shared" si="21"/>
      </c>
      <c r="AH1938" s="2">
        <f t="shared" si="22"/>
      </c>
      <c r="AI1938" s="2">
        <f t="shared" si="23"/>
      </c>
      <c r="AJ1938" s="2">
        <f t="shared" si="24"/>
        <v>0</v>
      </c>
      <c r="AK1938" s="2">
        <f t="shared" si="25"/>
        <v>0</v>
      </c>
      <c r="AL1938" s="2">
        <f t="shared" si="26"/>
        <v>0</v>
      </c>
      <c r="AM1938" s="2">
        <f t="shared" si="27"/>
        <v>0</v>
      </c>
      <c r="AN1938" s="2">
        <f t="shared" si="28"/>
        <v>0</v>
      </c>
      <c r="AO1938" s="2">
        <f t="shared" si="29"/>
      </c>
      <c r="AP1938" s="2">
        <f t="shared" si="30"/>
      </c>
      <c r="AQ1938" s="2">
        <f t="shared" si="31"/>
      </c>
    </row>
    <row r="1939">
      <c r="A1939" s="43">
        <f t="shared" si="3"/>
      </c>
      <c r="B1939" s="44" t="n"/>
      <c r="C1939" s="45" t="n"/>
      <c r="D1939" s="46" t="n"/>
      <c r="E1939" s="47" t="n"/>
      <c r="F1939" s="47" t="n"/>
      <c r="G1939" s="48">
        <f t="shared" si="4"/>
      </c>
      <c r="H1939" s="43">
        <f t="shared" si="0"/>
      </c>
      <c r="I1939" s="43">
        <f t="shared" si="5"/>
      </c>
      <c r="J1939" s="43">
        <f t="shared" si="1"/>
      </c>
      <c r="K1939" s="49">
        <f t="shared" si="2"/>
      </c>
      <c r="L1939" s="45" t="n"/>
      <c r="M1939" s="45" t="n"/>
      <c r="N1939" s="45" t="n"/>
      <c r="O1939" s="45" t="n"/>
      <c r="P1939" s="50" t="n"/>
      <c r="R1939" s="2">
        <f t="shared" si="6"/>
        <v>0</v>
      </c>
      <c r="S1939" s="2">
        <f t="shared" si="7"/>
      </c>
      <c r="T1939" s="2">
        <f t="shared" si="8"/>
      </c>
      <c r="U1939" s="2">
        <f t="shared" si="9"/>
      </c>
      <c r="V1939" s="2">
        <f t="shared" si="10"/>
      </c>
      <c r="W1939" s="2">
        <f t="shared" si="11"/>
      </c>
      <c r="X1939" s="2">
        <f t="shared" si="12"/>
      </c>
      <c r="Y1939" s="2">
        <f t="shared" si="13"/>
        <v>0</v>
      </c>
      <c r="Z1939" s="2">
        <f t="shared" si="14"/>
      </c>
      <c r="AA1939" s="2">
        <f t="shared" si="15"/>
        <v>0</v>
      </c>
      <c r="AB1939" s="2">
        <f t="shared" si="16"/>
      </c>
      <c r="AC1939" s="2">
        <f t="shared" si="17"/>
      </c>
      <c r="AD1939" s="2">
        <f t="shared" si="18"/>
      </c>
      <c r="AE1939" s="2">
        <f t="shared" si="19"/>
      </c>
      <c r="AF1939" s="2">
        <f t="shared" si="20"/>
      </c>
      <c r="AG1939" s="2">
        <f t="shared" si="21"/>
      </c>
      <c r="AH1939" s="2">
        <f t="shared" si="22"/>
      </c>
      <c r="AI1939" s="2">
        <f t="shared" si="23"/>
      </c>
      <c r="AJ1939" s="2">
        <f t="shared" si="24"/>
        <v>0</v>
      </c>
      <c r="AK1939" s="2">
        <f t="shared" si="25"/>
        <v>0</v>
      </c>
      <c r="AL1939" s="2">
        <f t="shared" si="26"/>
        <v>0</v>
      </c>
      <c r="AM1939" s="2">
        <f t="shared" si="27"/>
        <v>0</v>
      </c>
      <c r="AN1939" s="2">
        <f t="shared" si="28"/>
        <v>0</v>
      </c>
      <c r="AO1939" s="2">
        <f t="shared" si="29"/>
      </c>
      <c r="AP1939" s="2">
        <f t="shared" si="30"/>
      </c>
      <c r="AQ1939" s="2">
        <f t="shared" si="31"/>
      </c>
    </row>
    <row r="1940">
      <c r="A1940" s="43">
        <f t="shared" si="3"/>
      </c>
      <c r="B1940" s="44" t="n"/>
      <c r="C1940" s="45" t="n"/>
      <c r="D1940" s="46" t="n"/>
      <c r="E1940" s="47" t="n"/>
      <c r="F1940" s="47" t="n"/>
      <c r="G1940" s="48">
        <f t="shared" si="4"/>
      </c>
      <c r="H1940" s="43">
        <f t="shared" si="0"/>
      </c>
      <c r="I1940" s="43">
        <f t="shared" si="5"/>
      </c>
      <c r="J1940" s="43">
        <f t="shared" si="1"/>
      </c>
      <c r="K1940" s="49">
        <f t="shared" si="2"/>
      </c>
      <c r="L1940" s="45" t="n"/>
      <c r="M1940" s="45" t="n"/>
      <c r="N1940" s="45" t="n"/>
      <c r="O1940" s="45" t="n"/>
      <c r="P1940" s="50" t="n"/>
      <c r="R1940" s="2">
        <f t="shared" si="6"/>
        <v>0</v>
      </c>
      <c r="S1940" s="2">
        <f t="shared" si="7"/>
      </c>
      <c r="T1940" s="2">
        <f t="shared" si="8"/>
      </c>
      <c r="U1940" s="2">
        <f t="shared" si="9"/>
      </c>
      <c r="V1940" s="2">
        <f t="shared" si="10"/>
      </c>
      <c r="W1940" s="2">
        <f t="shared" si="11"/>
      </c>
      <c r="X1940" s="2">
        <f t="shared" si="12"/>
      </c>
      <c r="Y1940" s="2">
        <f t="shared" si="13"/>
        <v>0</v>
      </c>
      <c r="Z1940" s="2">
        <f t="shared" si="14"/>
      </c>
      <c r="AA1940" s="2">
        <f t="shared" si="15"/>
        <v>0</v>
      </c>
      <c r="AB1940" s="2">
        <f t="shared" si="16"/>
      </c>
      <c r="AC1940" s="2">
        <f t="shared" si="17"/>
      </c>
      <c r="AD1940" s="2">
        <f t="shared" si="18"/>
      </c>
      <c r="AE1940" s="2">
        <f t="shared" si="19"/>
      </c>
      <c r="AF1940" s="2">
        <f t="shared" si="20"/>
      </c>
      <c r="AG1940" s="2">
        <f t="shared" si="21"/>
      </c>
      <c r="AH1940" s="2">
        <f t="shared" si="22"/>
      </c>
      <c r="AI1940" s="2">
        <f t="shared" si="23"/>
      </c>
      <c r="AJ1940" s="2">
        <f t="shared" si="24"/>
        <v>0</v>
      </c>
      <c r="AK1940" s="2">
        <f t="shared" si="25"/>
        <v>0</v>
      </c>
      <c r="AL1940" s="2">
        <f t="shared" si="26"/>
        <v>0</v>
      </c>
      <c r="AM1940" s="2">
        <f t="shared" si="27"/>
        <v>0</v>
      </c>
      <c r="AN1940" s="2">
        <f t="shared" si="28"/>
        <v>0</v>
      </c>
      <c r="AO1940" s="2">
        <f t="shared" si="29"/>
      </c>
      <c r="AP1940" s="2">
        <f t="shared" si="30"/>
      </c>
      <c r="AQ1940" s="2">
        <f t="shared" si="31"/>
      </c>
    </row>
    <row r="1941">
      <c r="A1941" s="43">
        <f t="shared" si="3"/>
      </c>
      <c r="B1941" s="44" t="n"/>
      <c r="C1941" s="45" t="n"/>
      <c r="D1941" s="46" t="n"/>
      <c r="E1941" s="47" t="n"/>
      <c r="F1941" s="47" t="n"/>
      <c r="G1941" s="48">
        <f t="shared" si="4"/>
      </c>
      <c r="H1941" s="43">
        <f t="shared" si="0"/>
      </c>
      <c r="I1941" s="43">
        <f t="shared" si="5"/>
      </c>
      <c r="J1941" s="43">
        <f t="shared" si="1"/>
      </c>
      <c r="K1941" s="49">
        <f t="shared" si="2"/>
      </c>
      <c r="L1941" s="45" t="n"/>
      <c r="M1941" s="45" t="n"/>
      <c r="N1941" s="45" t="n"/>
      <c r="O1941" s="45" t="n"/>
      <c r="P1941" s="50" t="n"/>
      <c r="R1941" s="2">
        <f t="shared" si="6"/>
        <v>0</v>
      </c>
      <c r="S1941" s="2">
        <f t="shared" si="7"/>
      </c>
      <c r="T1941" s="2">
        <f t="shared" si="8"/>
      </c>
      <c r="U1941" s="2">
        <f t="shared" si="9"/>
      </c>
      <c r="V1941" s="2">
        <f t="shared" si="10"/>
      </c>
      <c r="W1941" s="2">
        <f t="shared" si="11"/>
      </c>
      <c r="X1941" s="2">
        <f t="shared" si="12"/>
      </c>
      <c r="Y1941" s="2">
        <f t="shared" si="13"/>
        <v>0</v>
      </c>
      <c r="Z1941" s="2">
        <f t="shared" si="14"/>
      </c>
      <c r="AA1941" s="2">
        <f t="shared" si="15"/>
        <v>0</v>
      </c>
      <c r="AB1941" s="2">
        <f t="shared" si="16"/>
      </c>
      <c r="AC1941" s="2">
        <f t="shared" si="17"/>
      </c>
      <c r="AD1941" s="2">
        <f t="shared" si="18"/>
      </c>
      <c r="AE1941" s="2">
        <f t="shared" si="19"/>
      </c>
      <c r="AF1941" s="2">
        <f t="shared" si="20"/>
      </c>
      <c r="AG1941" s="2">
        <f t="shared" si="21"/>
      </c>
      <c r="AH1941" s="2">
        <f t="shared" si="22"/>
      </c>
      <c r="AI1941" s="2">
        <f t="shared" si="23"/>
      </c>
      <c r="AJ1941" s="2">
        <f t="shared" si="24"/>
        <v>0</v>
      </c>
      <c r="AK1941" s="2">
        <f t="shared" si="25"/>
        <v>0</v>
      </c>
      <c r="AL1941" s="2">
        <f t="shared" si="26"/>
        <v>0</v>
      </c>
      <c r="AM1941" s="2">
        <f t="shared" si="27"/>
        <v>0</v>
      </c>
      <c r="AN1941" s="2">
        <f t="shared" si="28"/>
        <v>0</v>
      </c>
      <c r="AO1941" s="2">
        <f t="shared" si="29"/>
      </c>
      <c r="AP1941" s="2">
        <f t="shared" si="30"/>
      </c>
      <c r="AQ1941" s="2">
        <f t="shared" si="31"/>
      </c>
    </row>
    <row r="1942">
      <c r="A1942" s="43">
        <f t="shared" si="3"/>
      </c>
      <c r="B1942" s="44" t="n"/>
      <c r="C1942" s="45" t="n"/>
      <c r="D1942" s="46" t="n"/>
      <c r="E1942" s="47" t="n"/>
      <c r="F1942" s="47" t="n"/>
      <c r="G1942" s="48">
        <f t="shared" si="4"/>
      </c>
      <c r="H1942" s="43">
        <f t="shared" si="0"/>
      </c>
      <c r="I1942" s="43">
        <f t="shared" si="5"/>
      </c>
      <c r="J1942" s="43">
        <f t="shared" si="1"/>
      </c>
      <c r="K1942" s="49">
        <f t="shared" si="2"/>
      </c>
      <c r="L1942" s="45" t="n"/>
      <c r="M1942" s="45" t="n"/>
      <c r="N1942" s="45" t="n"/>
      <c r="O1942" s="45" t="n"/>
      <c r="P1942" s="50" t="n"/>
      <c r="R1942" s="2">
        <f t="shared" si="6"/>
        <v>0</v>
      </c>
      <c r="S1942" s="2">
        <f t="shared" si="7"/>
      </c>
      <c r="T1942" s="2">
        <f t="shared" si="8"/>
      </c>
      <c r="U1942" s="2">
        <f t="shared" si="9"/>
      </c>
      <c r="V1942" s="2">
        <f t="shared" si="10"/>
      </c>
      <c r="W1942" s="2">
        <f t="shared" si="11"/>
      </c>
      <c r="X1942" s="2">
        <f t="shared" si="12"/>
      </c>
      <c r="Y1942" s="2">
        <f t="shared" si="13"/>
        <v>0</v>
      </c>
      <c r="Z1942" s="2">
        <f t="shared" si="14"/>
      </c>
      <c r="AA1942" s="2">
        <f t="shared" si="15"/>
        <v>0</v>
      </c>
      <c r="AB1942" s="2">
        <f t="shared" si="16"/>
      </c>
      <c r="AC1942" s="2">
        <f t="shared" si="17"/>
      </c>
      <c r="AD1942" s="2">
        <f t="shared" si="18"/>
      </c>
      <c r="AE1942" s="2">
        <f t="shared" si="19"/>
      </c>
      <c r="AF1942" s="2">
        <f t="shared" si="20"/>
      </c>
      <c r="AG1942" s="2">
        <f t="shared" si="21"/>
      </c>
      <c r="AH1942" s="2">
        <f t="shared" si="22"/>
      </c>
      <c r="AI1942" s="2">
        <f t="shared" si="23"/>
      </c>
      <c r="AJ1942" s="2">
        <f t="shared" si="24"/>
        <v>0</v>
      </c>
      <c r="AK1942" s="2">
        <f t="shared" si="25"/>
        <v>0</v>
      </c>
      <c r="AL1942" s="2">
        <f t="shared" si="26"/>
        <v>0</v>
      </c>
      <c r="AM1942" s="2">
        <f t="shared" si="27"/>
        <v>0</v>
      </c>
      <c r="AN1942" s="2">
        <f t="shared" si="28"/>
        <v>0</v>
      </c>
      <c r="AO1942" s="2">
        <f t="shared" si="29"/>
      </c>
      <c r="AP1942" s="2">
        <f t="shared" si="30"/>
      </c>
      <c r="AQ1942" s="2">
        <f t="shared" si="31"/>
      </c>
    </row>
    <row r="1943">
      <c r="A1943" s="43">
        <f t="shared" si="3"/>
      </c>
      <c r="B1943" s="44" t="n"/>
      <c r="C1943" s="45" t="n"/>
      <c r="D1943" s="46" t="n"/>
      <c r="E1943" s="47" t="n"/>
      <c r="F1943" s="47" t="n"/>
      <c r="G1943" s="48">
        <f t="shared" si="4"/>
      </c>
      <c r="H1943" s="43">
        <f t="shared" si="0"/>
      </c>
      <c r="I1943" s="43">
        <f t="shared" si="5"/>
      </c>
      <c r="J1943" s="43">
        <f t="shared" si="1"/>
      </c>
      <c r="K1943" s="49">
        <f t="shared" si="2"/>
      </c>
      <c r="L1943" s="45" t="n"/>
      <c r="M1943" s="45" t="n"/>
      <c r="N1943" s="45" t="n"/>
      <c r="O1943" s="45" t="n"/>
      <c r="P1943" s="50" t="n"/>
      <c r="R1943" s="2">
        <f t="shared" si="6"/>
        <v>0</v>
      </c>
      <c r="S1943" s="2">
        <f t="shared" si="7"/>
      </c>
      <c r="T1943" s="2">
        <f t="shared" si="8"/>
      </c>
      <c r="U1943" s="2">
        <f t="shared" si="9"/>
      </c>
      <c r="V1943" s="2">
        <f t="shared" si="10"/>
      </c>
      <c r="W1943" s="2">
        <f t="shared" si="11"/>
      </c>
      <c r="X1943" s="2">
        <f t="shared" si="12"/>
      </c>
      <c r="Y1943" s="2">
        <f t="shared" si="13"/>
        <v>0</v>
      </c>
      <c r="Z1943" s="2">
        <f t="shared" si="14"/>
      </c>
      <c r="AA1943" s="2">
        <f t="shared" si="15"/>
        <v>0</v>
      </c>
      <c r="AB1943" s="2">
        <f t="shared" si="16"/>
      </c>
      <c r="AC1943" s="2">
        <f t="shared" si="17"/>
      </c>
      <c r="AD1943" s="2">
        <f t="shared" si="18"/>
      </c>
      <c r="AE1943" s="2">
        <f t="shared" si="19"/>
      </c>
      <c r="AF1943" s="2">
        <f t="shared" si="20"/>
      </c>
      <c r="AG1943" s="2">
        <f t="shared" si="21"/>
      </c>
      <c r="AH1943" s="2">
        <f t="shared" si="22"/>
      </c>
      <c r="AI1943" s="2">
        <f t="shared" si="23"/>
      </c>
      <c r="AJ1943" s="2">
        <f t="shared" si="24"/>
        <v>0</v>
      </c>
      <c r="AK1943" s="2">
        <f t="shared" si="25"/>
        <v>0</v>
      </c>
      <c r="AL1943" s="2">
        <f t="shared" si="26"/>
        <v>0</v>
      </c>
      <c r="AM1943" s="2">
        <f t="shared" si="27"/>
        <v>0</v>
      </c>
      <c r="AN1943" s="2">
        <f t="shared" si="28"/>
        <v>0</v>
      </c>
      <c r="AO1943" s="2">
        <f t="shared" si="29"/>
      </c>
      <c r="AP1943" s="2">
        <f t="shared" si="30"/>
      </c>
      <c r="AQ1943" s="2">
        <f t="shared" si="31"/>
      </c>
    </row>
    <row r="1944">
      <c r="A1944" s="43">
        <f t="shared" si="3"/>
      </c>
      <c r="B1944" s="44" t="n"/>
      <c r="C1944" s="45" t="n"/>
      <c r="D1944" s="46" t="n"/>
      <c r="E1944" s="47" t="n"/>
      <c r="F1944" s="47" t="n"/>
      <c r="G1944" s="48">
        <f t="shared" si="4"/>
      </c>
      <c r="H1944" s="43">
        <f t="shared" si="0"/>
      </c>
      <c r="I1944" s="43">
        <f t="shared" si="5"/>
      </c>
      <c r="J1944" s="43">
        <f t="shared" si="1"/>
      </c>
      <c r="K1944" s="49">
        <f t="shared" si="2"/>
      </c>
      <c r="L1944" s="45" t="n"/>
      <c r="M1944" s="45" t="n"/>
      <c r="N1944" s="45" t="n"/>
      <c r="O1944" s="45" t="n"/>
      <c r="P1944" s="50" t="n"/>
      <c r="R1944" s="2">
        <f t="shared" si="6"/>
        <v>0</v>
      </c>
      <c r="S1944" s="2">
        <f t="shared" si="7"/>
      </c>
      <c r="T1944" s="2">
        <f t="shared" si="8"/>
      </c>
      <c r="U1944" s="2">
        <f t="shared" si="9"/>
      </c>
      <c r="V1944" s="2">
        <f t="shared" si="10"/>
      </c>
      <c r="W1944" s="2">
        <f t="shared" si="11"/>
      </c>
      <c r="X1944" s="2">
        <f t="shared" si="12"/>
      </c>
      <c r="Y1944" s="2">
        <f t="shared" si="13"/>
        <v>0</v>
      </c>
      <c r="Z1944" s="2">
        <f t="shared" si="14"/>
      </c>
      <c r="AA1944" s="2">
        <f t="shared" si="15"/>
        <v>0</v>
      </c>
      <c r="AB1944" s="2">
        <f t="shared" si="16"/>
      </c>
      <c r="AC1944" s="2">
        <f t="shared" si="17"/>
      </c>
      <c r="AD1944" s="2">
        <f t="shared" si="18"/>
      </c>
      <c r="AE1944" s="2">
        <f t="shared" si="19"/>
      </c>
      <c r="AF1944" s="2">
        <f t="shared" si="20"/>
      </c>
      <c r="AG1944" s="2">
        <f t="shared" si="21"/>
      </c>
      <c r="AH1944" s="2">
        <f t="shared" si="22"/>
      </c>
      <c r="AI1944" s="2">
        <f t="shared" si="23"/>
      </c>
      <c r="AJ1944" s="2">
        <f t="shared" si="24"/>
        <v>0</v>
      </c>
      <c r="AK1944" s="2">
        <f t="shared" si="25"/>
        <v>0</v>
      </c>
      <c r="AL1944" s="2">
        <f t="shared" si="26"/>
        <v>0</v>
      </c>
      <c r="AM1944" s="2">
        <f t="shared" si="27"/>
        <v>0</v>
      </c>
      <c r="AN1944" s="2">
        <f t="shared" si="28"/>
        <v>0</v>
      </c>
      <c r="AO1944" s="2">
        <f t="shared" si="29"/>
      </c>
      <c r="AP1944" s="2">
        <f t="shared" si="30"/>
      </c>
      <c r="AQ1944" s="2">
        <f t="shared" si="31"/>
      </c>
    </row>
    <row r="1945">
      <c r="A1945" s="43">
        <f t="shared" si="3"/>
      </c>
      <c r="B1945" s="44" t="n"/>
      <c r="C1945" s="45" t="n"/>
      <c r="D1945" s="46" t="n"/>
      <c r="E1945" s="47" t="n"/>
      <c r="F1945" s="47" t="n"/>
      <c r="G1945" s="48">
        <f t="shared" si="4"/>
      </c>
      <c r="H1945" s="43">
        <f t="shared" si="0"/>
      </c>
      <c r="I1945" s="43">
        <f t="shared" si="5"/>
      </c>
      <c r="J1945" s="43">
        <f t="shared" si="1"/>
      </c>
      <c r="K1945" s="49">
        <f t="shared" si="2"/>
      </c>
      <c r="L1945" s="45" t="n"/>
      <c r="M1945" s="45" t="n"/>
      <c r="N1945" s="45" t="n"/>
      <c r="O1945" s="45" t="n"/>
      <c r="P1945" s="50" t="n"/>
      <c r="R1945" s="2">
        <f t="shared" si="6"/>
        <v>0</v>
      </c>
      <c r="S1945" s="2">
        <f t="shared" si="7"/>
      </c>
      <c r="T1945" s="2">
        <f t="shared" si="8"/>
      </c>
      <c r="U1945" s="2">
        <f t="shared" si="9"/>
      </c>
      <c r="V1945" s="2">
        <f t="shared" si="10"/>
      </c>
      <c r="W1945" s="2">
        <f t="shared" si="11"/>
      </c>
      <c r="X1945" s="2">
        <f t="shared" si="12"/>
      </c>
      <c r="Y1945" s="2">
        <f t="shared" si="13"/>
        <v>0</v>
      </c>
      <c r="Z1945" s="2">
        <f t="shared" si="14"/>
      </c>
      <c r="AA1945" s="2">
        <f t="shared" si="15"/>
        <v>0</v>
      </c>
      <c r="AB1945" s="2">
        <f t="shared" si="16"/>
      </c>
      <c r="AC1945" s="2">
        <f t="shared" si="17"/>
      </c>
      <c r="AD1945" s="2">
        <f t="shared" si="18"/>
      </c>
      <c r="AE1945" s="2">
        <f t="shared" si="19"/>
      </c>
      <c r="AF1945" s="2">
        <f t="shared" si="20"/>
      </c>
      <c r="AG1945" s="2">
        <f t="shared" si="21"/>
      </c>
      <c r="AH1945" s="2">
        <f t="shared" si="22"/>
      </c>
      <c r="AI1945" s="2">
        <f t="shared" si="23"/>
      </c>
      <c r="AJ1945" s="2">
        <f t="shared" si="24"/>
        <v>0</v>
      </c>
      <c r="AK1945" s="2">
        <f t="shared" si="25"/>
        <v>0</v>
      </c>
      <c r="AL1945" s="2">
        <f t="shared" si="26"/>
        <v>0</v>
      </c>
      <c r="AM1945" s="2">
        <f t="shared" si="27"/>
        <v>0</v>
      </c>
      <c r="AN1945" s="2">
        <f t="shared" si="28"/>
        <v>0</v>
      </c>
      <c r="AO1945" s="2">
        <f t="shared" si="29"/>
      </c>
      <c r="AP1945" s="2">
        <f t="shared" si="30"/>
      </c>
      <c r="AQ1945" s="2">
        <f t="shared" si="31"/>
      </c>
    </row>
    <row r="1946">
      <c r="A1946" s="43">
        <f t="shared" si="3"/>
      </c>
      <c r="B1946" s="44" t="n"/>
      <c r="C1946" s="45" t="n"/>
      <c r="D1946" s="46" t="n"/>
      <c r="E1946" s="47" t="n"/>
      <c r="F1946" s="47" t="n"/>
      <c r="G1946" s="48">
        <f t="shared" si="4"/>
      </c>
      <c r="H1946" s="43">
        <f t="shared" si="0"/>
      </c>
      <c r="I1946" s="43">
        <f t="shared" si="5"/>
      </c>
      <c r="J1946" s="43">
        <f t="shared" si="1"/>
      </c>
      <c r="K1946" s="49">
        <f t="shared" si="2"/>
      </c>
      <c r="L1946" s="45" t="n"/>
      <c r="M1946" s="45" t="n"/>
      <c r="N1946" s="45" t="n"/>
      <c r="O1946" s="45" t="n"/>
      <c r="P1946" s="50" t="n"/>
      <c r="R1946" s="2">
        <f t="shared" si="6"/>
        <v>0</v>
      </c>
      <c r="S1946" s="2">
        <f t="shared" si="7"/>
      </c>
      <c r="T1946" s="2">
        <f t="shared" si="8"/>
      </c>
      <c r="U1946" s="2">
        <f t="shared" si="9"/>
      </c>
      <c r="V1946" s="2">
        <f t="shared" si="10"/>
      </c>
      <c r="W1946" s="2">
        <f t="shared" si="11"/>
      </c>
      <c r="X1946" s="2">
        <f t="shared" si="12"/>
      </c>
      <c r="Y1946" s="2">
        <f t="shared" si="13"/>
        <v>0</v>
      </c>
      <c r="Z1946" s="2">
        <f t="shared" si="14"/>
      </c>
      <c r="AA1946" s="2">
        <f t="shared" si="15"/>
        <v>0</v>
      </c>
      <c r="AB1946" s="2">
        <f t="shared" si="16"/>
      </c>
      <c r="AC1946" s="2">
        <f t="shared" si="17"/>
      </c>
      <c r="AD1946" s="2">
        <f t="shared" si="18"/>
      </c>
      <c r="AE1946" s="2">
        <f t="shared" si="19"/>
      </c>
      <c r="AF1946" s="2">
        <f t="shared" si="20"/>
      </c>
      <c r="AG1946" s="2">
        <f t="shared" si="21"/>
      </c>
      <c r="AH1946" s="2">
        <f t="shared" si="22"/>
      </c>
      <c r="AI1946" s="2">
        <f t="shared" si="23"/>
      </c>
      <c r="AJ1946" s="2">
        <f t="shared" si="24"/>
        <v>0</v>
      </c>
      <c r="AK1946" s="2">
        <f t="shared" si="25"/>
        <v>0</v>
      </c>
      <c r="AL1946" s="2">
        <f t="shared" si="26"/>
        <v>0</v>
      </c>
      <c r="AM1946" s="2">
        <f t="shared" si="27"/>
        <v>0</v>
      </c>
      <c r="AN1946" s="2">
        <f t="shared" si="28"/>
        <v>0</v>
      </c>
      <c r="AO1946" s="2">
        <f t="shared" si="29"/>
      </c>
      <c r="AP1946" s="2">
        <f t="shared" si="30"/>
      </c>
      <c r="AQ1946" s="2">
        <f t="shared" si="31"/>
      </c>
    </row>
    <row r="1947">
      <c r="A1947" s="43">
        <f t="shared" si="3"/>
      </c>
      <c r="B1947" s="44" t="n"/>
      <c r="C1947" s="45" t="n"/>
      <c r="D1947" s="46" t="n"/>
      <c r="E1947" s="47" t="n"/>
      <c r="F1947" s="47" t="n"/>
      <c r="G1947" s="48">
        <f t="shared" si="4"/>
      </c>
      <c r="H1947" s="43">
        <f t="shared" si="0"/>
      </c>
      <c r="I1947" s="43">
        <f t="shared" si="5"/>
      </c>
      <c r="J1947" s="43">
        <f t="shared" si="1"/>
      </c>
      <c r="K1947" s="49">
        <f t="shared" si="2"/>
      </c>
      <c r="L1947" s="45" t="n"/>
      <c r="M1947" s="45" t="n"/>
      <c r="N1947" s="45" t="n"/>
      <c r="O1947" s="45" t="n"/>
      <c r="P1947" s="50" t="n"/>
      <c r="R1947" s="2">
        <f t="shared" si="6"/>
        <v>0</v>
      </c>
      <c r="S1947" s="2">
        <f t="shared" si="7"/>
      </c>
      <c r="T1947" s="2">
        <f t="shared" si="8"/>
      </c>
      <c r="U1947" s="2">
        <f t="shared" si="9"/>
      </c>
      <c r="V1947" s="2">
        <f t="shared" si="10"/>
      </c>
      <c r="W1947" s="2">
        <f t="shared" si="11"/>
      </c>
      <c r="X1947" s="2">
        <f t="shared" si="12"/>
      </c>
      <c r="Y1947" s="2">
        <f t="shared" si="13"/>
        <v>0</v>
      </c>
      <c r="Z1947" s="2">
        <f t="shared" si="14"/>
      </c>
      <c r="AA1947" s="2">
        <f t="shared" si="15"/>
        <v>0</v>
      </c>
      <c r="AB1947" s="2">
        <f t="shared" si="16"/>
      </c>
      <c r="AC1947" s="2">
        <f t="shared" si="17"/>
      </c>
      <c r="AD1947" s="2">
        <f t="shared" si="18"/>
      </c>
      <c r="AE1947" s="2">
        <f t="shared" si="19"/>
      </c>
      <c r="AF1947" s="2">
        <f t="shared" si="20"/>
      </c>
      <c r="AG1947" s="2">
        <f t="shared" si="21"/>
      </c>
      <c r="AH1947" s="2">
        <f t="shared" si="22"/>
      </c>
      <c r="AI1947" s="2">
        <f t="shared" si="23"/>
      </c>
      <c r="AJ1947" s="2">
        <f t="shared" si="24"/>
        <v>0</v>
      </c>
      <c r="AK1947" s="2">
        <f t="shared" si="25"/>
        <v>0</v>
      </c>
      <c r="AL1947" s="2">
        <f t="shared" si="26"/>
        <v>0</v>
      </c>
      <c r="AM1947" s="2">
        <f t="shared" si="27"/>
        <v>0</v>
      </c>
      <c r="AN1947" s="2">
        <f t="shared" si="28"/>
        <v>0</v>
      </c>
      <c r="AO1947" s="2">
        <f t="shared" si="29"/>
      </c>
      <c r="AP1947" s="2">
        <f t="shared" si="30"/>
      </c>
      <c r="AQ1947" s="2">
        <f t="shared" si="31"/>
      </c>
    </row>
    <row r="1948">
      <c r="A1948" s="43">
        <f t="shared" si="3"/>
      </c>
      <c r="B1948" s="44" t="n"/>
      <c r="C1948" s="45" t="n"/>
      <c r="D1948" s="46" t="n"/>
      <c r="E1948" s="47" t="n"/>
      <c r="F1948" s="47" t="n"/>
      <c r="G1948" s="48">
        <f t="shared" si="4"/>
      </c>
      <c r="H1948" s="43">
        <f t="shared" si="0"/>
      </c>
      <c r="I1948" s="43">
        <f t="shared" si="5"/>
      </c>
      <c r="J1948" s="43">
        <f t="shared" si="1"/>
      </c>
      <c r="K1948" s="49">
        <f t="shared" si="2"/>
      </c>
      <c r="L1948" s="45" t="n"/>
      <c r="M1948" s="45" t="n"/>
      <c r="N1948" s="45" t="n"/>
      <c r="O1948" s="45" t="n"/>
      <c r="P1948" s="50" t="n"/>
      <c r="R1948" s="2">
        <f t="shared" si="6"/>
        <v>0</v>
      </c>
      <c r="S1948" s="2">
        <f t="shared" si="7"/>
      </c>
      <c r="T1948" s="2">
        <f t="shared" si="8"/>
      </c>
      <c r="U1948" s="2">
        <f t="shared" si="9"/>
      </c>
      <c r="V1948" s="2">
        <f t="shared" si="10"/>
      </c>
      <c r="W1948" s="2">
        <f t="shared" si="11"/>
      </c>
      <c r="X1948" s="2">
        <f t="shared" si="12"/>
      </c>
      <c r="Y1948" s="2">
        <f t="shared" si="13"/>
        <v>0</v>
      </c>
      <c r="Z1948" s="2">
        <f t="shared" si="14"/>
      </c>
      <c r="AA1948" s="2">
        <f t="shared" si="15"/>
        <v>0</v>
      </c>
      <c r="AB1948" s="2">
        <f t="shared" si="16"/>
      </c>
      <c r="AC1948" s="2">
        <f t="shared" si="17"/>
      </c>
      <c r="AD1948" s="2">
        <f t="shared" si="18"/>
      </c>
      <c r="AE1948" s="2">
        <f t="shared" si="19"/>
      </c>
      <c r="AF1948" s="2">
        <f t="shared" si="20"/>
      </c>
      <c r="AG1948" s="2">
        <f t="shared" si="21"/>
      </c>
      <c r="AH1948" s="2">
        <f t="shared" si="22"/>
      </c>
      <c r="AI1948" s="2">
        <f t="shared" si="23"/>
      </c>
      <c r="AJ1948" s="2">
        <f t="shared" si="24"/>
        <v>0</v>
      </c>
      <c r="AK1948" s="2">
        <f t="shared" si="25"/>
        <v>0</v>
      </c>
      <c r="AL1948" s="2">
        <f t="shared" si="26"/>
        <v>0</v>
      </c>
      <c r="AM1948" s="2">
        <f t="shared" si="27"/>
        <v>0</v>
      </c>
      <c r="AN1948" s="2">
        <f t="shared" si="28"/>
        <v>0</v>
      </c>
      <c r="AO1948" s="2">
        <f t="shared" si="29"/>
      </c>
      <c r="AP1948" s="2">
        <f t="shared" si="30"/>
      </c>
      <c r="AQ1948" s="2">
        <f t="shared" si="31"/>
      </c>
    </row>
    <row r="1949">
      <c r="A1949" s="43">
        <f t="shared" si="3"/>
      </c>
      <c r="B1949" s="44" t="n"/>
      <c r="C1949" s="45" t="n"/>
      <c r="D1949" s="46" t="n"/>
      <c r="E1949" s="47" t="n"/>
      <c r="F1949" s="47" t="n"/>
      <c r="G1949" s="48">
        <f t="shared" si="4"/>
      </c>
      <c r="H1949" s="43">
        <f t="shared" si="0"/>
      </c>
      <c r="I1949" s="43">
        <f t="shared" si="5"/>
      </c>
      <c r="J1949" s="43">
        <f t="shared" si="1"/>
      </c>
      <c r="K1949" s="49">
        <f t="shared" si="2"/>
      </c>
      <c r="L1949" s="45" t="n"/>
      <c r="M1949" s="45" t="n"/>
      <c r="N1949" s="45" t="n"/>
      <c r="O1949" s="45" t="n"/>
      <c r="P1949" s="50" t="n"/>
      <c r="R1949" s="2">
        <f t="shared" si="6"/>
        <v>0</v>
      </c>
      <c r="S1949" s="2">
        <f t="shared" si="7"/>
      </c>
      <c r="T1949" s="2">
        <f t="shared" si="8"/>
      </c>
      <c r="U1949" s="2">
        <f t="shared" si="9"/>
      </c>
      <c r="V1949" s="2">
        <f t="shared" si="10"/>
      </c>
      <c r="W1949" s="2">
        <f t="shared" si="11"/>
      </c>
      <c r="X1949" s="2">
        <f t="shared" si="12"/>
      </c>
      <c r="Y1949" s="2">
        <f t="shared" si="13"/>
        <v>0</v>
      </c>
      <c r="Z1949" s="2">
        <f t="shared" si="14"/>
      </c>
      <c r="AA1949" s="2">
        <f t="shared" si="15"/>
        <v>0</v>
      </c>
      <c r="AB1949" s="2">
        <f t="shared" si="16"/>
      </c>
      <c r="AC1949" s="2">
        <f t="shared" si="17"/>
      </c>
      <c r="AD1949" s="2">
        <f t="shared" si="18"/>
      </c>
      <c r="AE1949" s="2">
        <f t="shared" si="19"/>
      </c>
      <c r="AF1949" s="2">
        <f t="shared" si="20"/>
      </c>
      <c r="AG1949" s="2">
        <f t="shared" si="21"/>
      </c>
      <c r="AH1949" s="2">
        <f t="shared" si="22"/>
      </c>
      <c r="AI1949" s="2">
        <f t="shared" si="23"/>
      </c>
      <c r="AJ1949" s="2">
        <f t="shared" si="24"/>
        <v>0</v>
      </c>
      <c r="AK1949" s="2">
        <f t="shared" si="25"/>
        <v>0</v>
      </c>
      <c r="AL1949" s="2">
        <f t="shared" si="26"/>
        <v>0</v>
      </c>
      <c r="AM1949" s="2">
        <f t="shared" si="27"/>
        <v>0</v>
      </c>
      <c r="AN1949" s="2">
        <f t="shared" si="28"/>
        <v>0</v>
      </c>
      <c r="AO1949" s="2">
        <f t="shared" si="29"/>
      </c>
      <c r="AP1949" s="2">
        <f t="shared" si="30"/>
      </c>
      <c r="AQ1949" s="2">
        <f t="shared" si="31"/>
      </c>
    </row>
    <row r="1950">
      <c r="A1950" s="43">
        <f t="shared" si="3"/>
      </c>
      <c r="B1950" s="44" t="n"/>
      <c r="C1950" s="45" t="n"/>
      <c r="D1950" s="46" t="n"/>
      <c r="E1950" s="47" t="n"/>
      <c r="F1950" s="47" t="n"/>
      <c r="G1950" s="48">
        <f t="shared" si="4"/>
      </c>
      <c r="H1950" s="43">
        <f t="shared" si="0"/>
      </c>
      <c r="I1950" s="43">
        <f t="shared" si="5"/>
      </c>
      <c r="J1950" s="43">
        <f t="shared" si="1"/>
      </c>
      <c r="K1950" s="49">
        <f t="shared" si="2"/>
      </c>
      <c r="L1950" s="45" t="n"/>
      <c r="M1950" s="45" t="n"/>
      <c r="N1950" s="45" t="n"/>
      <c r="O1950" s="45" t="n"/>
      <c r="P1950" s="50" t="n"/>
      <c r="R1950" s="2">
        <f t="shared" si="6"/>
        <v>0</v>
      </c>
      <c r="S1950" s="2">
        <f t="shared" si="7"/>
      </c>
      <c r="T1950" s="2">
        <f t="shared" si="8"/>
      </c>
      <c r="U1950" s="2">
        <f t="shared" si="9"/>
      </c>
      <c r="V1950" s="2">
        <f t="shared" si="10"/>
      </c>
      <c r="W1950" s="2">
        <f t="shared" si="11"/>
      </c>
      <c r="X1950" s="2">
        <f t="shared" si="12"/>
      </c>
      <c r="Y1950" s="2">
        <f t="shared" si="13"/>
        <v>0</v>
      </c>
      <c r="Z1950" s="2">
        <f t="shared" si="14"/>
      </c>
      <c r="AA1950" s="2">
        <f t="shared" si="15"/>
        <v>0</v>
      </c>
      <c r="AB1950" s="2">
        <f t="shared" si="16"/>
      </c>
      <c r="AC1950" s="2">
        <f t="shared" si="17"/>
      </c>
      <c r="AD1950" s="2">
        <f t="shared" si="18"/>
      </c>
      <c r="AE1950" s="2">
        <f t="shared" si="19"/>
      </c>
      <c r="AF1950" s="2">
        <f t="shared" si="20"/>
      </c>
      <c r="AG1950" s="2">
        <f t="shared" si="21"/>
      </c>
      <c r="AH1950" s="2">
        <f t="shared" si="22"/>
      </c>
      <c r="AI1950" s="2">
        <f t="shared" si="23"/>
      </c>
      <c r="AJ1950" s="2">
        <f t="shared" si="24"/>
        <v>0</v>
      </c>
      <c r="AK1950" s="2">
        <f t="shared" si="25"/>
        <v>0</v>
      </c>
      <c r="AL1950" s="2">
        <f t="shared" si="26"/>
        <v>0</v>
      </c>
      <c r="AM1950" s="2">
        <f t="shared" si="27"/>
        <v>0</v>
      </c>
      <c r="AN1950" s="2">
        <f t="shared" si="28"/>
        <v>0</v>
      </c>
      <c r="AO1950" s="2">
        <f t="shared" si="29"/>
      </c>
      <c r="AP1950" s="2">
        <f t="shared" si="30"/>
      </c>
      <c r="AQ1950" s="2">
        <f t="shared" si="31"/>
      </c>
    </row>
    <row r="1951">
      <c r="A1951" s="43">
        <f t="shared" si="3"/>
      </c>
      <c r="B1951" s="44" t="n"/>
      <c r="C1951" s="45" t="n"/>
      <c r="D1951" s="46" t="n"/>
      <c r="E1951" s="47" t="n"/>
      <c r="F1951" s="47" t="n"/>
      <c r="G1951" s="48">
        <f t="shared" si="4"/>
      </c>
      <c r="H1951" s="43">
        <f t="shared" si="0"/>
      </c>
      <c r="I1951" s="43">
        <f t="shared" si="5"/>
      </c>
      <c r="J1951" s="43">
        <f t="shared" si="1"/>
      </c>
      <c r="K1951" s="49">
        <f t="shared" si="2"/>
      </c>
      <c r="L1951" s="45" t="n"/>
      <c r="M1951" s="45" t="n"/>
      <c r="N1951" s="45" t="n"/>
      <c r="O1951" s="45" t="n"/>
      <c r="P1951" s="50" t="n"/>
      <c r="R1951" s="2">
        <f t="shared" si="6"/>
        <v>0</v>
      </c>
      <c r="S1951" s="2">
        <f t="shared" si="7"/>
      </c>
      <c r="T1951" s="2">
        <f t="shared" si="8"/>
      </c>
      <c r="U1951" s="2">
        <f t="shared" si="9"/>
      </c>
      <c r="V1951" s="2">
        <f t="shared" si="10"/>
      </c>
      <c r="W1951" s="2">
        <f t="shared" si="11"/>
      </c>
      <c r="X1951" s="2">
        <f t="shared" si="12"/>
      </c>
      <c r="Y1951" s="2">
        <f t="shared" si="13"/>
        <v>0</v>
      </c>
      <c r="Z1951" s="2">
        <f t="shared" si="14"/>
      </c>
      <c r="AA1951" s="2">
        <f t="shared" si="15"/>
        <v>0</v>
      </c>
      <c r="AB1951" s="2">
        <f t="shared" si="16"/>
      </c>
      <c r="AC1951" s="2">
        <f t="shared" si="17"/>
      </c>
      <c r="AD1951" s="2">
        <f t="shared" si="18"/>
      </c>
      <c r="AE1951" s="2">
        <f t="shared" si="19"/>
      </c>
      <c r="AF1951" s="2">
        <f t="shared" si="20"/>
      </c>
      <c r="AG1951" s="2">
        <f t="shared" si="21"/>
      </c>
      <c r="AH1951" s="2">
        <f t="shared" si="22"/>
      </c>
      <c r="AI1951" s="2">
        <f t="shared" si="23"/>
      </c>
      <c r="AJ1951" s="2">
        <f t="shared" si="24"/>
        <v>0</v>
      </c>
      <c r="AK1951" s="2">
        <f t="shared" si="25"/>
        <v>0</v>
      </c>
      <c r="AL1951" s="2">
        <f t="shared" si="26"/>
        <v>0</v>
      </c>
      <c r="AM1951" s="2">
        <f t="shared" si="27"/>
        <v>0</v>
      </c>
      <c r="AN1951" s="2">
        <f t="shared" si="28"/>
        <v>0</v>
      </c>
      <c r="AO1951" s="2">
        <f t="shared" si="29"/>
      </c>
      <c r="AP1951" s="2">
        <f t="shared" si="30"/>
      </c>
      <c r="AQ1951" s="2">
        <f t="shared" si="31"/>
      </c>
    </row>
    <row r="1952">
      <c r="A1952" s="43">
        <f t="shared" si="3"/>
      </c>
      <c r="B1952" s="44" t="n"/>
      <c r="C1952" s="45" t="n"/>
      <c r="D1952" s="46" t="n"/>
      <c r="E1952" s="47" t="n"/>
      <c r="F1952" s="47" t="n"/>
      <c r="G1952" s="48">
        <f t="shared" si="4"/>
      </c>
      <c r="H1952" s="43">
        <f t="shared" si="0"/>
      </c>
      <c r="I1952" s="43">
        <f t="shared" si="5"/>
      </c>
      <c r="J1952" s="43">
        <f t="shared" si="1"/>
      </c>
      <c r="K1952" s="49">
        <f t="shared" si="2"/>
      </c>
      <c r="L1952" s="45" t="n"/>
      <c r="M1952" s="45" t="n"/>
      <c r="N1952" s="45" t="n"/>
      <c r="O1952" s="45" t="n"/>
      <c r="P1952" s="50" t="n"/>
      <c r="R1952" s="2">
        <f t="shared" si="6"/>
        <v>0</v>
      </c>
      <c r="S1952" s="2">
        <f t="shared" si="7"/>
      </c>
      <c r="T1952" s="2">
        <f t="shared" si="8"/>
      </c>
      <c r="U1952" s="2">
        <f t="shared" si="9"/>
      </c>
      <c r="V1952" s="2">
        <f t="shared" si="10"/>
      </c>
      <c r="W1952" s="2">
        <f t="shared" si="11"/>
      </c>
      <c r="X1952" s="2">
        <f t="shared" si="12"/>
      </c>
      <c r="Y1952" s="2">
        <f t="shared" si="13"/>
        <v>0</v>
      </c>
      <c r="Z1952" s="2">
        <f t="shared" si="14"/>
      </c>
      <c r="AA1952" s="2">
        <f t="shared" si="15"/>
        <v>0</v>
      </c>
      <c r="AB1952" s="2">
        <f t="shared" si="16"/>
      </c>
      <c r="AC1952" s="2">
        <f t="shared" si="17"/>
      </c>
      <c r="AD1952" s="2">
        <f t="shared" si="18"/>
      </c>
      <c r="AE1952" s="2">
        <f t="shared" si="19"/>
      </c>
      <c r="AF1952" s="2">
        <f t="shared" si="20"/>
      </c>
      <c r="AG1952" s="2">
        <f t="shared" si="21"/>
      </c>
      <c r="AH1952" s="2">
        <f t="shared" si="22"/>
      </c>
      <c r="AI1952" s="2">
        <f t="shared" si="23"/>
      </c>
      <c r="AJ1952" s="2">
        <f t="shared" si="24"/>
        <v>0</v>
      </c>
      <c r="AK1952" s="2">
        <f t="shared" si="25"/>
        <v>0</v>
      </c>
      <c r="AL1952" s="2">
        <f t="shared" si="26"/>
        <v>0</v>
      </c>
      <c r="AM1952" s="2">
        <f t="shared" si="27"/>
        <v>0</v>
      </c>
      <c r="AN1952" s="2">
        <f t="shared" si="28"/>
        <v>0</v>
      </c>
      <c r="AO1952" s="2">
        <f t="shared" si="29"/>
      </c>
      <c r="AP1952" s="2">
        <f t="shared" si="30"/>
      </c>
      <c r="AQ1952" s="2">
        <f t="shared" si="31"/>
      </c>
    </row>
    <row r="1953">
      <c r="A1953" s="43">
        <f t="shared" si="3"/>
      </c>
      <c r="B1953" s="44" t="n"/>
      <c r="C1953" s="45" t="n"/>
      <c r="D1953" s="46" t="n"/>
      <c r="E1953" s="47" t="n"/>
      <c r="F1953" s="47" t="n"/>
      <c r="G1953" s="48">
        <f t="shared" si="4"/>
      </c>
      <c r="H1953" s="43">
        <f t="shared" si="0"/>
      </c>
      <c r="I1953" s="43">
        <f t="shared" si="5"/>
      </c>
      <c r="J1953" s="43">
        <f t="shared" si="1"/>
      </c>
      <c r="K1953" s="49">
        <f t="shared" si="2"/>
      </c>
      <c r="L1953" s="45" t="n"/>
      <c r="M1953" s="45" t="n"/>
      <c r="N1953" s="45" t="n"/>
      <c r="O1953" s="45" t="n"/>
      <c r="P1953" s="50" t="n"/>
      <c r="R1953" s="2">
        <f t="shared" si="6"/>
        <v>0</v>
      </c>
      <c r="S1953" s="2">
        <f t="shared" si="7"/>
      </c>
      <c r="T1953" s="2">
        <f t="shared" si="8"/>
      </c>
      <c r="U1953" s="2">
        <f t="shared" si="9"/>
      </c>
      <c r="V1953" s="2">
        <f t="shared" si="10"/>
      </c>
      <c r="W1953" s="2">
        <f t="shared" si="11"/>
      </c>
      <c r="X1953" s="2">
        <f t="shared" si="12"/>
      </c>
      <c r="Y1953" s="2">
        <f t="shared" si="13"/>
        <v>0</v>
      </c>
      <c r="Z1953" s="2">
        <f t="shared" si="14"/>
      </c>
      <c r="AA1953" s="2">
        <f t="shared" si="15"/>
        <v>0</v>
      </c>
      <c r="AB1953" s="2">
        <f t="shared" si="16"/>
      </c>
      <c r="AC1953" s="2">
        <f t="shared" si="17"/>
      </c>
      <c r="AD1953" s="2">
        <f t="shared" si="18"/>
      </c>
      <c r="AE1953" s="2">
        <f t="shared" si="19"/>
      </c>
      <c r="AF1953" s="2">
        <f t="shared" si="20"/>
      </c>
      <c r="AG1953" s="2">
        <f t="shared" si="21"/>
      </c>
      <c r="AH1953" s="2">
        <f t="shared" si="22"/>
      </c>
      <c r="AI1953" s="2">
        <f t="shared" si="23"/>
      </c>
      <c r="AJ1953" s="2">
        <f t="shared" si="24"/>
        <v>0</v>
      </c>
      <c r="AK1953" s="2">
        <f t="shared" si="25"/>
        <v>0</v>
      </c>
      <c r="AL1953" s="2">
        <f t="shared" si="26"/>
        <v>0</v>
      </c>
      <c r="AM1953" s="2">
        <f t="shared" si="27"/>
        <v>0</v>
      </c>
      <c r="AN1953" s="2">
        <f t="shared" si="28"/>
        <v>0</v>
      </c>
      <c r="AO1953" s="2">
        <f t="shared" si="29"/>
      </c>
      <c r="AP1953" s="2">
        <f t="shared" si="30"/>
      </c>
      <c r="AQ1953" s="2">
        <f t="shared" si="31"/>
      </c>
    </row>
    <row r="1954">
      <c r="A1954" s="43">
        <f t="shared" si="3"/>
      </c>
      <c r="B1954" s="44" t="n"/>
      <c r="C1954" s="45" t="n"/>
      <c r="D1954" s="46" t="n"/>
      <c r="E1954" s="47" t="n"/>
      <c r="F1954" s="47" t="n"/>
      <c r="G1954" s="48">
        <f t="shared" si="4"/>
      </c>
      <c r="H1954" s="43">
        <f t="shared" si="0"/>
      </c>
      <c r="I1954" s="43">
        <f t="shared" si="5"/>
      </c>
      <c r="J1954" s="43">
        <f t="shared" si="1"/>
      </c>
      <c r="K1954" s="49">
        <f t="shared" si="2"/>
      </c>
      <c r="L1954" s="45" t="n"/>
      <c r="M1954" s="45" t="n"/>
      <c r="N1954" s="45" t="n"/>
      <c r="O1954" s="45" t="n"/>
      <c r="P1954" s="50" t="n"/>
      <c r="R1954" s="2">
        <f t="shared" si="6"/>
        <v>0</v>
      </c>
      <c r="S1954" s="2">
        <f t="shared" si="7"/>
      </c>
      <c r="T1954" s="2">
        <f t="shared" si="8"/>
      </c>
      <c r="U1954" s="2">
        <f t="shared" si="9"/>
      </c>
      <c r="V1954" s="2">
        <f t="shared" si="10"/>
      </c>
      <c r="W1954" s="2">
        <f t="shared" si="11"/>
      </c>
      <c r="X1954" s="2">
        <f t="shared" si="12"/>
      </c>
      <c r="Y1954" s="2">
        <f t="shared" si="13"/>
        <v>0</v>
      </c>
      <c r="Z1954" s="2">
        <f t="shared" si="14"/>
      </c>
      <c r="AA1954" s="2">
        <f t="shared" si="15"/>
        <v>0</v>
      </c>
      <c r="AB1954" s="2">
        <f t="shared" si="16"/>
      </c>
      <c r="AC1954" s="2">
        <f t="shared" si="17"/>
      </c>
      <c r="AD1954" s="2">
        <f t="shared" si="18"/>
      </c>
      <c r="AE1954" s="2">
        <f t="shared" si="19"/>
      </c>
      <c r="AF1954" s="2">
        <f t="shared" si="20"/>
      </c>
      <c r="AG1954" s="2">
        <f t="shared" si="21"/>
      </c>
      <c r="AH1954" s="2">
        <f t="shared" si="22"/>
      </c>
      <c r="AI1954" s="2">
        <f t="shared" si="23"/>
      </c>
      <c r="AJ1954" s="2">
        <f t="shared" si="24"/>
        <v>0</v>
      </c>
      <c r="AK1954" s="2">
        <f t="shared" si="25"/>
        <v>0</v>
      </c>
      <c r="AL1954" s="2">
        <f t="shared" si="26"/>
        <v>0</v>
      </c>
      <c r="AM1954" s="2">
        <f t="shared" si="27"/>
        <v>0</v>
      </c>
      <c r="AN1954" s="2">
        <f t="shared" si="28"/>
        <v>0</v>
      </c>
      <c r="AO1954" s="2">
        <f t="shared" si="29"/>
      </c>
      <c r="AP1954" s="2">
        <f t="shared" si="30"/>
      </c>
      <c r="AQ1954" s="2">
        <f t="shared" si="31"/>
      </c>
    </row>
    <row r="1955">
      <c r="A1955" s="43">
        <f t="shared" si="3"/>
      </c>
      <c r="B1955" s="44" t="n"/>
      <c r="C1955" s="45" t="n"/>
      <c r="D1955" s="46" t="n"/>
      <c r="E1955" s="47" t="n"/>
      <c r="F1955" s="47" t="n"/>
      <c r="G1955" s="48">
        <f t="shared" si="4"/>
      </c>
      <c r="H1955" s="43">
        <f t="shared" si="0"/>
      </c>
      <c r="I1955" s="43">
        <f t="shared" si="5"/>
      </c>
      <c r="J1955" s="43">
        <f t="shared" si="1"/>
      </c>
      <c r="K1955" s="49">
        <f t="shared" si="2"/>
      </c>
      <c r="L1955" s="45" t="n"/>
      <c r="M1955" s="45" t="n"/>
      <c r="N1955" s="45" t="n"/>
      <c r="O1955" s="45" t="n"/>
      <c r="P1955" s="50" t="n"/>
      <c r="R1955" s="2">
        <f t="shared" si="6"/>
        <v>0</v>
      </c>
      <c r="S1955" s="2">
        <f t="shared" si="7"/>
      </c>
      <c r="T1955" s="2">
        <f t="shared" si="8"/>
      </c>
      <c r="U1955" s="2">
        <f t="shared" si="9"/>
      </c>
      <c r="V1955" s="2">
        <f t="shared" si="10"/>
      </c>
      <c r="W1955" s="2">
        <f t="shared" si="11"/>
      </c>
      <c r="X1955" s="2">
        <f t="shared" si="12"/>
      </c>
      <c r="Y1955" s="2">
        <f t="shared" si="13"/>
        <v>0</v>
      </c>
      <c r="Z1955" s="2">
        <f t="shared" si="14"/>
      </c>
      <c r="AA1955" s="2">
        <f t="shared" si="15"/>
        <v>0</v>
      </c>
      <c r="AB1955" s="2">
        <f t="shared" si="16"/>
      </c>
      <c r="AC1955" s="2">
        <f t="shared" si="17"/>
      </c>
      <c r="AD1955" s="2">
        <f t="shared" si="18"/>
      </c>
      <c r="AE1955" s="2">
        <f t="shared" si="19"/>
      </c>
      <c r="AF1955" s="2">
        <f t="shared" si="20"/>
      </c>
      <c r="AG1955" s="2">
        <f t="shared" si="21"/>
      </c>
      <c r="AH1955" s="2">
        <f t="shared" si="22"/>
      </c>
      <c r="AI1955" s="2">
        <f t="shared" si="23"/>
      </c>
      <c r="AJ1955" s="2">
        <f t="shared" si="24"/>
        <v>0</v>
      </c>
      <c r="AK1955" s="2">
        <f t="shared" si="25"/>
        <v>0</v>
      </c>
      <c r="AL1955" s="2">
        <f t="shared" si="26"/>
        <v>0</v>
      </c>
      <c r="AM1955" s="2">
        <f t="shared" si="27"/>
        <v>0</v>
      </c>
      <c r="AN1955" s="2">
        <f t="shared" si="28"/>
        <v>0</v>
      </c>
      <c r="AO1955" s="2">
        <f t="shared" si="29"/>
      </c>
      <c r="AP1955" s="2">
        <f t="shared" si="30"/>
      </c>
      <c r="AQ1955" s="2">
        <f t="shared" si="31"/>
      </c>
    </row>
    <row r="1956">
      <c r="A1956" s="43">
        <f t="shared" si="3"/>
      </c>
      <c r="B1956" s="44" t="n"/>
      <c r="C1956" s="45" t="n"/>
      <c r="D1956" s="46" t="n"/>
      <c r="E1956" s="47" t="n"/>
      <c r="F1956" s="47" t="n"/>
      <c r="G1956" s="48">
        <f t="shared" si="4"/>
      </c>
      <c r="H1956" s="43">
        <f t="shared" si="0"/>
      </c>
      <c r="I1956" s="43">
        <f t="shared" si="5"/>
      </c>
      <c r="J1956" s="43">
        <f t="shared" si="1"/>
      </c>
      <c r="K1956" s="49">
        <f t="shared" si="2"/>
      </c>
      <c r="L1956" s="45" t="n"/>
      <c r="M1956" s="45" t="n"/>
      <c r="N1956" s="45" t="n"/>
      <c r="O1956" s="45" t="n"/>
      <c r="P1956" s="50" t="n"/>
      <c r="R1956" s="2">
        <f t="shared" si="6"/>
        <v>0</v>
      </c>
      <c r="S1956" s="2">
        <f t="shared" si="7"/>
      </c>
      <c r="T1956" s="2">
        <f t="shared" si="8"/>
      </c>
      <c r="U1956" s="2">
        <f t="shared" si="9"/>
      </c>
      <c r="V1956" s="2">
        <f t="shared" si="10"/>
      </c>
      <c r="W1956" s="2">
        <f t="shared" si="11"/>
      </c>
      <c r="X1956" s="2">
        <f t="shared" si="12"/>
      </c>
      <c r="Y1956" s="2">
        <f t="shared" si="13"/>
        <v>0</v>
      </c>
      <c r="Z1956" s="2">
        <f t="shared" si="14"/>
      </c>
      <c r="AA1956" s="2">
        <f t="shared" si="15"/>
        <v>0</v>
      </c>
      <c r="AB1956" s="2">
        <f t="shared" si="16"/>
      </c>
      <c r="AC1956" s="2">
        <f t="shared" si="17"/>
      </c>
      <c r="AD1956" s="2">
        <f t="shared" si="18"/>
      </c>
      <c r="AE1956" s="2">
        <f t="shared" si="19"/>
      </c>
      <c r="AF1956" s="2">
        <f t="shared" si="20"/>
      </c>
      <c r="AG1956" s="2">
        <f t="shared" si="21"/>
      </c>
      <c r="AH1956" s="2">
        <f t="shared" si="22"/>
      </c>
      <c r="AI1956" s="2">
        <f t="shared" si="23"/>
      </c>
      <c r="AJ1956" s="2">
        <f t="shared" si="24"/>
        <v>0</v>
      </c>
      <c r="AK1956" s="2">
        <f t="shared" si="25"/>
        <v>0</v>
      </c>
      <c r="AL1956" s="2">
        <f t="shared" si="26"/>
        <v>0</v>
      </c>
      <c r="AM1956" s="2">
        <f t="shared" si="27"/>
        <v>0</v>
      </c>
      <c r="AN1956" s="2">
        <f t="shared" si="28"/>
        <v>0</v>
      </c>
      <c r="AO1956" s="2">
        <f t="shared" si="29"/>
      </c>
      <c r="AP1956" s="2">
        <f t="shared" si="30"/>
      </c>
      <c r="AQ1956" s="2">
        <f t="shared" si="31"/>
      </c>
    </row>
    <row r="1957">
      <c r="A1957" s="43">
        <f t="shared" si="3"/>
      </c>
      <c r="B1957" s="44" t="n"/>
      <c r="C1957" s="45" t="n"/>
      <c r="D1957" s="46" t="n"/>
      <c r="E1957" s="47" t="n"/>
      <c r="F1957" s="47" t="n"/>
      <c r="G1957" s="48">
        <f t="shared" si="4"/>
      </c>
      <c r="H1957" s="43">
        <f t="shared" si="0"/>
      </c>
      <c r="I1957" s="43">
        <f t="shared" si="5"/>
      </c>
      <c r="J1957" s="43">
        <f t="shared" si="1"/>
      </c>
      <c r="K1957" s="49">
        <f t="shared" si="2"/>
      </c>
      <c r="L1957" s="45" t="n"/>
      <c r="M1957" s="45" t="n"/>
      <c r="N1957" s="45" t="n"/>
      <c r="O1957" s="45" t="n"/>
      <c r="P1957" s="50" t="n"/>
      <c r="R1957" s="2">
        <f t="shared" si="6"/>
        <v>0</v>
      </c>
      <c r="S1957" s="2">
        <f t="shared" si="7"/>
      </c>
      <c r="T1957" s="2">
        <f t="shared" si="8"/>
      </c>
      <c r="U1957" s="2">
        <f t="shared" si="9"/>
      </c>
      <c r="V1957" s="2">
        <f t="shared" si="10"/>
      </c>
      <c r="W1957" s="2">
        <f t="shared" si="11"/>
      </c>
      <c r="X1957" s="2">
        <f t="shared" si="12"/>
      </c>
      <c r="Y1957" s="2">
        <f t="shared" si="13"/>
        <v>0</v>
      </c>
      <c r="Z1957" s="2">
        <f t="shared" si="14"/>
      </c>
      <c r="AA1957" s="2">
        <f t="shared" si="15"/>
        <v>0</v>
      </c>
      <c r="AB1957" s="2">
        <f t="shared" si="16"/>
      </c>
      <c r="AC1957" s="2">
        <f t="shared" si="17"/>
      </c>
      <c r="AD1957" s="2">
        <f t="shared" si="18"/>
      </c>
      <c r="AE1957" s="2">
        <f t="shared" si="19"/>
      </c>
      <c r="AF1957" s="2">
        <f t="shared" si="20"/>
      </c>
      <c r="AG1957" s="2">
        <f t="shared" si="21"/>
      </c>
      <c r="AH1957" s="2">
        <f t="shared" si="22"/>
      </c>
      <c r="AI1957" s="2">
        <f t="shared" si="23"/>
      </c>
      <c r="AJ1957" s="2">
        <f t="shared" si="24"/>
        <v>0</v>
      </c>
      <c r="AK1957" s="2">
        <f t="shared" si="25"/>
        <v>0</v>
      </c>
      <c r="AL1957" s="2">
        <f t="shared" si="26"/>
        <v>0</v>
      </c>
      <c r="AM1957" s="2">
        <f t="shared" si="27"/>
        <v>0</v>
      </c>
      <c r="AN1957" s="2">
        <f t="shared" si="28"/>
        <v>0</v>
      </c>
      <c r="AO1957" s="2">
        <f t="shared" si="29"/>
      </c>
      <c r="AP1957" s="2">
        <f t="shared" si="30"/>
      </c>
      <c r="AQ1957" s="2">
        <f t="shared" si="31"/>
      </c>
    </row>
    <row r="1958">
      <c r="A1958" s="43">
        <f t="shared" si="3"/>
      </c>
      <c r="B1958" s="44" t="n"/>
      <c r="C1958" s="45" t="n"/>
      <c r="D1958" s="46" t="n"/>
      <c r="E1958" s="47" t="n"/>
      <c r="F1958" s="47" t="n"/>
      <c r="G1958" s="48">
        <f t="shared" si="4"/>
      </c>
      <c r="H1958" s="43">
        <f t="shared" si="0"/>
      </c>
      <c r="I1958" s="43">
        <f t="shared" si="5"/>
      </c>
      <c r="J1958" s="43">
        <f t="shared" si="1"/>
      </c>
      <c r="K1958" s="49">
        <f t="shared" si="2"/>
      </c>
      <c r="L1958" s="45" t="n"/>
      <c r="M1958" s="45" t="n"/>
      <c r="N1958" s="45" t="n"/>
      <c r="O1958" s="45" t="n"/>
      <c r="P1958" s="50" t="n"/>
      <c r="R1958" s="2">
        <f t="shared" si="6"/>
        <v>0</v>
      </c>
      <c r="S1958" s="2">
        <f t="shared" si="7"/>
      </c>
      <c r="T1958" s="2">
        <f t="shared" si="8"/>
      </c>
      <c r="U1958" s="2">
        <f t="shared" si="9"/>
      </c>
      <c r="V1958" s="2">
        <f t="shared" si="10"/>
      </c>
      <c r="W1958" s="2">
        <f t="shared" si="11"/>
      </c>
      <c r="X1958" s="2">
        <f t="shared" si="12"/>
      </c>
      <c r="Y1958" s="2">
        <f t="shared" si="13"/>
        <v>0</v>
      </c>
      <c r="Z1958" s="2">
        <f t="shared" si="14"/>
      </c>
      <c r="AA1958" s="2">
        <f t="shared" si="15"/>
        <v>0</v>
      </c>
      <c r="AB1958" s="2">
        <f t="shared" si="16"/>
      </c>
      <c r="AC1958" s="2">
        <f t="shared" si="17"/>
      </c>
      <c r="AD1958" s="2">
        <f t="shared" si="18"/>
      </c>
      <c r="AE1958" s="2">
        <f t="shared" si="19"/>
      </c>
      <c r="AF1958" s="2">
        <f t="shared" si="20"/>
      </c>
      <c r="AG1958" s="2">
        <f t="shared" si="21"/>
      </c>
      <c r="AH1958" s="2">
        <f t="shared" si="22"/>
      </c>
      <c r="AI1958" s="2">
        <f t="shared" si="23"/>
      </c>
      <c r="AJ1958" s="2">
        <f t="shared" si="24"/>
        <v>0</v>
      </c>
      <c r="AK1958" s="2">
        <f t="shared" si="25"/>
        <v>0</v>
      </c>
      <c r="AL1958" s="2">
        <f t="shared" si="26"/>
        <v>0</v>
      </c>
      <c r="AM1958" s="2">
        <f t="shared" si="27"/>
        <v>0</v>
      </c>
      <c r="AN1958" s="2">
        <f t="shared" si="28"/>
        <v>0</v>
      </c>
      <c r="AO1958" s="2">
        <f t="shared" si="29"/>
      </c>
      <c r="AP1958" s="2">
        <f t="shared" si="30"/>
      </c>
      <c r="AQ1958" s="2">
        <f t="shared" si="31"/>
      </c>
    </row>
    <row r="1959">
      <c r="A1959" s="43">
        <f t="shared" si="3"/>
      </c>
      <c r="B1959" s="44" t="n"/>
      <c r="C1959" s="45" t="n"/>
      <c r="D1959" s="46" t="n"/>
      <c r="E1959" s="47" t="n"/>
      <c r="F1959" s="47" t="n"/>
      <c r="G1959" s="48">
        <f t="shared" si="4"/>
      </c>
      <c r="H1959" s="43">
        <f t="shared" si="0"/>
      </c>
      <c r="I1959" s="43">
        <f t="shared" si="5"/>
      </c>
      <c r="J1959" s="43">
        <f t="shared" si="1"/>
      </c>
      <c r="K1959" s="49">
        <f t="shared" si="2"/>
      </c>
      <c r="L1959" s="45" t="n"/>
      <c r="M1959" s="45" t="n"/>
      <c r="N1959" s="45" t="n"/>
      <c r="O1959" s="45" t="n"/>
      <c r="P1959" s="50" t="n"/>
      <c r="R1959" s="2">
        <f t="shared" si="6"/>
        <v>0</v>
      </c>
      <c r="S1959" s="2">
        <f t="shared" si="7"/>
      </c>
      <c r="T1959" s="2">
        <f t="shared" si="8"/>
      </c>
      <c r="U1959" s="2">
        <f t="shared" si="9"/>
      </c>
      <c r="V1959" s="2">
        <f t="shared" si="10"/>
      </c>
      <c r="W1959" s="2">
        <f t="shared" si="11"/>
      </c>
      <c r="X1959" s="2">
        <f t="shared" si="12"/>
      </c>
      <c r="Y1959" s="2">
        <f t="shared" si="13"/>
        <v>0</v>
      </c>
      <c r="Z1959" s="2">
        <f t="shared" si="14"/>
      </c>
      <c r="AA1959" s="2">
        <f t="shared" si="15"/>
        <v>0</v>
      </c>
      <c r="AB1959" s="2">
        <f t="shared" si="16"/>
      </c>
      <c r="AC1959" s="2">
        <f t="shared" si="17"/>
      </c>
      <c r="AD1959" s="2">
        <f t="shared" si="18"/>
      </c>
      <c r="AE1959" s="2">
        <f t="shared" si="19"/>
      </c>
      <c r="AF1959" s="2">
        <f t="shared" si="20"/>
      </c>
      <c r="AG1959" s="2">
        <f t="shared" si="21"/>
      </c>
      <c r="AH1959" s="2">
        <f t="shared" si="22"/>
      </c>
      <c r="AI1959" s="2">
        <f t="shared" si="23"/>
      </c>
      <c r="AJ1959" s="2">
        <f t="shared" si="24"/>
        <v>0</v>
      </c>
      <c r="AK1959" s="2">
        <f t="shared" si="25"/>
        <v>0</v>
      </c>
      <c r="AL1959" s="2">
        <f t="shared" si="26"/>
        <v>0</v>
      </c>
      <c r="AM1959" s="2">
        <f t="shared" si="27"/>
        <v>0</v>
      </c>
      <c r="AN1959" s="2">
        <f t="shared" si="28"/>
        <v>0</v>
      </c>
      <c r="AO1959" s="2">
        <f t="shared" si="29"/>
      </c>
      <c r="AP1959" s="2">
        <f t="shared" si="30"/>
      </c>
      <c r="AQ1959" s="2">
        <f t="shared" si="31"/>
      </c>
    </row>
    <row r="1960">
      <c r="A1960" s="43">
        <f t="shared" si="3"/>
      </c>
      <c r="B1960" s="44" t="n"/>
      <c r="C1960" s="45" t="n"/>
      <c r="D1960" s="46" t="n"/>
      <c r="E1960" s="47" t="n"/>
      <c r="F1960" s="47" t="n"/>
      <c r="G1960" s="48">
        <f t="shared" si="4"/>
      </c>
      <c r="H1960" s="43">
        <f t="shared" si="0"/>
      </c>
      <c r="I1960" s="43">
        <f t="shared" si="5"/>
      </c>
      <c r="J1960" s="43">
        <f t="shared" si="1"/>
      </c>
      <c r="K1960" s="49">
        <f t="shared" si="2"/>
      </c>
      <c r="L1960" s="45" t="n"/>
      <c r="M1960" s="45" t="n"/>
      <c r="N1960" s="45" t="n"/>
      <c r="O1960" s="45" t="n"/>
      <c r="P1960" s="50" t="n"/>
      <c r="R1960" s="2">
        <f t="shared" si="6"/>
        <v>0</v>
      </c>
      <c r="S1960" s="2">
        <f t="shared" si="7"/>
      </c>
      <c r="T1960" s="2">
        <f t="shared" si="8"/>
      </c>
      <c r="U1960" s="2">
        <f t="shared" si="9"/>
      </c>
      <c r="V1960" s="2">
        <f t="shared" si="10"/>
      </c>
      <c r="W1960" s="2">
        <f t="shared" si="11"/>
      </c>
      <c r="X1960" s="2">
        <f t="shared" si="12"/>
      </c>
      <c r="Y1960" s="2">
        <f t="shared" si="13"/>
        <v>0</v>
      </c>
      <c r="Z1960" s="2">
        <f t="shared" si="14"/>
      </c>
      <c r="AA1960" s="2">
        <f t="shared" si="15"/>
        <v>0</v>
      </c>
      <c r="AB1960" s="2">
        <f t="shared" si="16"/>
      </c>
      <c r="AC1960" s="2">
        <f t="shared" si="17"/>
      </c>
      <c r="AD1960" s="2">
        <f t="shared" si="18"/>
      </c>
      <c r="AE1960" s="2">
        <f t="shared" si="19"/>
      </c>
      <c r="AF1960" s="2">
        <f t="shared" si="20"/>
      </c>
      <c r="AG1960" s="2">
        <f t="shared" si="21"/>
      </c>
      <c r="AH1960" s="2">
        <f t="shared" si="22"/>
      </c>
      <c r="AI1960" s="2">
        <f t="shared" si="23"/>
      </c>
      <c r="AJ1960" s="2">
        <f t="shared" si="24"/>
        <v>0</v>
      </c>
      <c r="AK1960" s="2">
        <f t="shared" si="25"/>
        <v>0</v>
      </c>
      <c r="AL1960" s="2">
        <f t="shared" si="26"/>
        <v>0</v>
      </c>
      <c r="AM1960" s="2">
        <f t="shared" si="27"/>
        <v>0</v>
      </c>
      <c r="AN1960" s="2">
        <f t="shared" si="28"/>
        <v>0</v>
      </c>
      <c r="AO1960" s="2">
        <f t="shared" si="29"/>
      </c>
      <c r="AP1960" s="2">
        <f t="shared" si="30"/>
      </c>
      <c r="AQ1960" s="2">
        <f t="shared" si="31"/>
      </c>
    </row>
    <row r="1961">
      <c r="A1961" s="43">
        <f t="shared" si="3"/>
      </c>
      <c r="B1961" s="44" t="n"/>
      <c r="C1961" s="45" t="n"/>
      <c r="D1961" s="46" t="n"/>
      <c r="E1961" s="47" t="n"/>
      <c r="F1961" s="47" t="n"/>
      <c r="G1961" s="48">
        <f t="shared" si="4"/>
      </c>
      <c r="H1961" s="43">
        <f t="shared" si="0"/>
      </c>
      <c r="I1961" s="43">
        <f t="shared" si="5"/>
      </c>
      <c r="J1961" s="43">
        <f t="shared" si="1"/>
      </c>
      <c r="K1961" s="49">
        <f t="shared" si="2"/>
      </c>
      <c r="L1961" s="45" t="n"/>
      <c r="M1961" s="45" t="n"/>
      <c r="N1961" s="45" t="n"/>
      <c r="O1961" s="45" t="n"/>
      <c r="P1961" s="50" t="n"/>
      <c r="R1961" s="2">
        <f t="shared" si="6"/>
        <v>0</v>
      </c>
      <c r="S1961" s="2">
        <f t="shared" si="7"/>
      </c>
      <c r="T1961" s="2">
        <f t="shared" si="8"/>
      </c>
      <c r="U1961" s="2">
        <f t="shared" si="9"/>
      </c>
      <c r="V1961" s="2">
        <f t="shared" si="10"/>
      </c>
      <c r="W1961" s="2">
        <f t="shared" si="11"/>
      </c>
      <c r="X1961" s="2">
        <f t="shared" si="12"/>
      </c>
      <c r="Y1961" s="2">
        <f t="shared" si="13"/>
        <v>0</v>
      </c>
      <c r="Z1961" s="2">
        <f t="shared" si="14"/>
      </c>
      <c r="AA1961" s="2">
        <f t="shared" si="15"/>
        <v>0</v>
      </c>
      <c r="AB1961" s="2">
        <f t="shared" si="16"/>
      </c>
      <c r="AC1961" s="2">
        <f t="shared" si="17"/>
      </c>
      <c r="AD1961" s="2">
        <f t="shared" si="18"/>
      </c>
      <c r="AE1961" s="2">
        <f t="shared" si="19"/>
      </c>
      <c r="AF1961" s="2">
        <f t="shared" si="20"/>
      </c>
      <c r="AG1961" s="2">
        <f t="shared" si="21"/>
      </c>
      <c r="AH1961" s="2">
        <f t="shared" si="22"/>
      </c>
      <c r="AI1961" s="2">
        <f t="shared" si="23"/>
      </c>
      <c r="AJ1961" s="2">
        <f t="shared" si="24"/>
        <v>0</v>
      </c>
      <c r="AK1961" s="2">
        <f t="shared" si="25"/>
        <v>0</v>
      </c>
      <c r="AL1961" s="2">
        <f t="shared" si="26"/>
        <v>0</v>
      </c>
      <c r="AM1961" s="2">
        <f t="shared" si="27"/>
        <v>0</v>
      </c>
      <c r="AN1961" s="2">
        <f t="shared" si="28"/>
        <v>0</v>
      </c>
      <c r="AO1961" s="2">
        <f t="shared" si="29"/>
      </c>
      <c r="AP1961" s="2">
        <f t="shared" si="30"/>
      </c>
      <c r="AQ1961" s="2">
        <f t="shared" si="31"/>
      </c>
    </row>
    <row r="1962">
      <c r="A1962" s="43">
        <f t="shared" si="3"/>
      </c>
      <c r="B1962" s="44" t="n"/>
      <c r="C1962" s="45" t="n"/>
      <c r="D1962" s="46" t="n"/>
      <c r="E1962" s="47" t="n"/>
      <c r="F1962" s="47" t="n"/>
      <c r="G1962" s="48">
        <f t="shared" si="4"/>
      </c>
      <c r="H1962" s="43">
        <f t="shared" si="0"/>
      </c>
      <c r="I1962" s="43">
        <f t="shared" si="5"/>
      </c>
      <c r="J1962" s="43">
        <f t="shared" si="1"/>
      </c>
      <c r="K1962" s="49">
        <f t="shared" si="2"/>
      </c>
      <c r="L1962" s="45" t="n"/>
      <c r="M1962" s="45" t="n"/>
      <c r="N1962" s="45" t="n"/>
      <c r="O1962" s="45" t="n"/>
      <c r="P1962" s="50" t="n"/>
      <c r="R1962" s="2">
        <f t="shared" si="6"/>
        <v>0</v>
      </c>
      <c r="S1962" s="2">
        <f t="shared" si="7"/>
      </c>
      <c r="T1962" s="2">
        <f t="shared" si="8"/>
      </c>
      <c r="U1962" s="2">
        <f t="shared" si="9"/>
      </c>
      <c r="V1962" s="2">
        <f t="shared" si="10"/>
      </c>
      <c r="W1962" s="2">
        <f t="shared" si="11"/>
      </c>
      <c r="X1962" s="2">
        <f t="shared" si="12"/>
      </c>
      <c r="Y1962" s="2">
        <f t="shared" si="13"/>
        <v>0</v>
      </c>
      <c r="Z1962" s="2">
        <f t="shared" si="14"/>
      </c>
      <c r="AA1962" s="2">
        <f t="shared" si="15"/>
        <v>0</v>
      </c>
      <c r="AB1962" s="2">
        <f t="shared" si="16"/>
      </c>
      <c r="AC1962" s="2">
        <f t="shared" si="17"/>
      </c>
      <c r="AD1962" s="2">
        <f t="shared" si="18"/>
      </c>
      <c r="AE1962" s="2">
        <f t="shared" si="19"/>
      </c>
      <c r="AF1962" s="2">
        <f t="shared" si="20"/>
      </c>
      <c r="AG1962" s="2">
        <f t="shared" si="21"/>
      </c>
      <c r="AH1962" s="2">
        <f t="shared" si="22"/>
      </c>
      <c r="AI1962" s="2">
        <f t="shared" si="23"/>
      </c>
      <c r="AJ1962" s="2">
        <f t="shared" si="24"/>
        <v>0</v>
      </c>
      <c r="AK1962" s="2">
        <f t="shared" si="25"/>
        <v>0</v>
      </c>
      <c r="AL1962" s="2">
        <f t="shared" si="26"/>
        <v>0</v>
      </c>
      <c r="AM1962" s="2">
        <f t="shared" si="27"/>
        <v>0</v>
      </c>
      <c r="AN1962" s="2">
        <f t="shared" si="28"/>
        <v>0</v>
      </c>
      <c r="AO1962" s="2">
        <f t="shared" si="29"/>
      </c>
      <c r="AP1962" s="2">
        <f t="shared" si="30"/>
      </c>
      <c r="AQ1962" s="2">
        <f t="shared" si="31"/>
      </c>
    </row>
    <row r="1963">
      <c r="A1963" s="43">
        <f t="shared" si="3"/>
      </c>
      <c r="B1963" s="44" t="n"/>
      <c r="C1963" s="45" t="n"/>
      <c r="D1963" s="46" t="n"/>
      <c r="E1963" s="47" t="n"/>
      <c r="F1963" s="47" t="n"/>
      <c r="G1963" s="48">
        <f t="shared" si="4"/>
      </c>
      <c r="H1963" s="43">
        <f t="shared" si="0"/>
      </c>
      <c r="I1963" s="43">
        <f t="shared" si="5"/>
      </c>
      <c r="J1963" s="43">
        <f t="shared" si="1"/>
      </c>
      <c r="K1963" s="49">
        <f t="shared" si="2"/>
      </c>
      <c r="L1963" s="45" t="n"/>
      <c r="M1963" s="45" t="n"/>
      <c r="N1963" s="45" t="n"/>
      <c r="O1963" s="45" t="n"/>
      <c r="P1963" s="50" t="n"/>
      <c r="R1963" s="2">
        <f t="shared" si="6"/>
        <v>0</v>
      </c>
      <c r="S1963" s="2">
        <f t="shared" si="7"/>
      </c>
      <c r="T1963" s="2">
        <f t="shared" si="8"/>
      </c>
      <c r="U1963" s="2">
        <f t="shared" si="9"/>
      </c>
      <c r="V1963" s="2">
        <f t="shared" si="10"/>
      </c>
      <c r="W1963" s="2">
        <f t="shared" si="11"/>
      </c>
      <c r="X1963" s="2">
        <f t="shared" si="12"/>
      </c>
      <c r="Y1963" s="2">
        <f t="shared" si="13"/>
        <v>0</v>
      </c>
      <c r="Z1963" s="2">
        <f t="shared" si="14"/>
      </c>
      <c r="AA1963" s="2">
        <f t="shared" si="15"/>
        <v>0</v>
      </c>
      <c r="AB1963" s="2">
        <f t="shared" si="16"/>
      </c>
      <c r="AC1963" s="2">
        <f t="shared" si="17"/>
      </c>
      <c r="AD1963" s="2">
        <f t="shared" si="18"/>
      </c>
      <c r="AE1963" s="2">
        <f t="shared" si="19"/>
      </c>
      <c r="AF1963" s="2">
        <f t="shared" si="20"/>
      </c>
      <c r="AG1963" s="2">
        <f t="shared" si="21"/>
      </c>
      <c r="AH1963" s="2">
        <f t="shared" si="22"/>
      </c>
      <c r="AI1963" s="2">
        <f t="shared" si="23"/>
      </c>
      <c r="AJ1963" s="2">
        <f t="shared" si="24"/>
        <v>0</v>
      </c>
      <c r="AK1963" s="2">
        <f t="shared" si="25"/>
        <v>0</v>
      </c>
      <c r="AL1963" s="2">
        <f t="shared" si="26"/>
        <v>0</v>
      </c>
      <c r="AM1963" s="2">
        <f t="shared" si="27"/>
        <v>0</v>
      </c>
      <c r="AN1963" s="2">
        <f t="shared" si="28"/>
        <v>0</v>
      </c>
      <c r="AO1963" s="2">
        <f t="shared" si="29"/>
      </c>
      <c r="AP1963" s="2">
        <f t="shared" si="30"/>
      </c>
      <c r="AQ1963" s="2">
        <f t="shared" si="31"/>
      </c>
    </row>
    <row r="1964">
      <c r="A1964" s="43">
        <f t="shared" si="3"/>
      </c>
      <c r="B1964" s="44" t="n"/>
      <c r="C1964" s="45" t="n"/>
      <c r="D1964" s="46" t="n"/>
      <c r="E1964" s="47" t="n"/>
      <c r="F1964" s="47" t="n"/>
      <c r="G1964" s="48">
        <f t="shared" si="4"/>
      </c>
      <c r="H1964" s="43">
        <f t="shared" si="0"/>
      </c>
      <c r="I1964" s="43">
        <f t="shared" si="5"/>
      </c>
      <c r="J1964" s="43">
        <f t="shared" si="1"/>
      </c>
      <c r="K1964" s="49">
        <f t="shared" si="2"/>
      </c>
      <c r="L1964" s="45" t="n"/>
      <c r="M1964" s="45" t="n"/>
      <c r="N1964" s="45" t="n"/>
      <c r="O1964" s="45" t="n"/>
      <c r="P1964" s="50" t="n"/>
      <c r="R1964" s="2">
        <f t="shared" si="6"/>
        <v>0</v>
      </c>
      <c r="S1964" s="2">
        <f t="shared" si="7"/>
      </c>
      <c r="T1964" s="2">
        <f t="shared" si="8"/>
      </c>
      <c r="U1964" s="2">
        <f t="shared" si="9"/>
      </c>
      <c r="V1964" s="2">
        <f t="shared" si="10"/>
      </c>
      <c r="W1964" s="2">
        <f t="shared" si="11"/>
      </c>
      <c r="X1964" s="2">
        <f t="shared" si="12"/>
      </c>
      <c r="Y1964" s="2">
        <f t="shared" si="13"/>
        <v>0</v>
      </c>
      <c r="Z1964" s="2">
        <f t="shared" si="14"/>
      </c>
      <c r="AA1964" s="2">
        <f t="shared" si="15"/>
        <v>0</v>
      </c>
      <c r="AB1964" s="2">
        <f t="shared" si="16"/>
      </c>
      <c r="AC1964" s="2">
        <f t="shared" si="17"/>
      </c>
      <c r="AD1964" s="2">
        <f t="shared" si="18"/>
      </c>
      <c r="AE1964" s="2">
        <f t="shared" si="19"/>
      </c>
      <c r="AF1964" s="2">
        <f t="shared" si="20"/>
      </c>
      <c r="AG1964" s="2">
        <f t="shared" si="21"/>
      </c>
      <c r="AH1964" s="2">
        <f t="shared" si="22"/>
      </c>
      <c r="AI1964" s="2">
        <f t="shared" si="23"/>
      </c>
      <c r="AJ1964" s="2">
        <f t="shared" si="24"/>
        <v>0</v>
      </c>
      <c r="AK1964" s="2">
        <f t="shared" si="25"/>
        <v>0</v>
      </c>
      <c r="AL1964" s="2">
        <f t="shared" si="26"/>
        <v>0</v>
      </c>
      <c r="AM1964" s="2">
        <f t="shared" si="27"/>
        <v>0</v>
      </c>
      <c r="AN1964" s="2">
        <f t="shared" si="28"/>
        <v>0</v>
      </c>
      <c r="AO1964" s="2">
        <f t="shared" si="29"/>
      </c>
      <c r="AP1964" s="2">
        <f t="shared" si="30"/>
      </c>
      <c r="AQ1964" s="2">
        <f t="shared" si="31"/>
      </c>
    </row>
    <row r="1965">
      <c r="A1965" s="43">
        <f t="shared" si="3"/>
      </c>
      <c r="B1965" s="44" t="n"/>
      <c r="C1965" s="45" t="n"/>
      <c r="D1965" s="46" t="n"/>
      <c r="E1965" s="47" t="n"/>
      <c r="F1965" s="47" t="n"/>
      <c r="G1965" s="48">
        <f t="shared" si="4"/>
      </c>
      <c r="H1965" s="43">
        <f t="shared" si="0"/>
      </c>
      <c r="I1965" s="43">
        <f t="shared" si="5"/>
      </c>
      <c r="J1965" s="43">
        <f t="shared" si="1"/>
      </c>
      <c r="K1965" s="49">
        <f t="shared" si="2"/>
      </c>
      <c r="L1965" s="45" t="n"/>
      <c r="M1965" s="45" t="n"/>
      <c r="N1965" s="45" t="n"/>
      <c r="O1965" s="45" t="n"/>
      <c r="P1965" s="50" t="n"/>
      <c r="R1965" s="2">
        <f t="shared" si="6"/>
        <v>0</v>
      </c>
      <c r="S1965" s="2">
        <f t="shared" si="7"/>
      </c>
      <c r="T1965" s="2">
        <f t="shared" si="8"/>
      </c>
      <c r="U1965" s="2">
        <f t="shared" si="9"/>
      </c>
      <c r="V1965" s="2">
        <f t="shared" si="10"/>
      </c>
      <c r="W1965" s="2">
        <f t="shared" si="11"/>
      </c>
      <c r="X1965" s="2">
        <f t="shared" si="12"/>
      </c>
      <c r="Y1965" s="2">
        <f t="shared" si="13"/>
        <v>0</v>
      </c>
      <c r="Z1965" s="2">
        <f t="shared" si="14"/>
      </c>
      <c r="AA1965" s="2">
        <f t="shared" si="15"/>
        <v>0</v>
      </c>
      <c r="AB1965" s="2">
        <f t="shared" si="16"/>
      </c>
      <c r="AC1965" s="2">
        <f t="shared" si="17"/>
      </c>
      <c r="AD1965" s="2">
        <f t="shared" si="18"/>
      </c>
      <c r="AE1965" s="2">
        <f t="shared" si="19"/>
      </c>
      <c r="AF1965" s="2">
        <f t="shared" si="20"/>
      </c>
      <c r="AG1965" s="2">
        <f t="shared" si="21"/>
      </c>
      <c r="AH1965" s="2">
        <f t="shared" si="22"/>
      </c>
      <c r="AI1965" s="2">
        <f t="shared" si="23"/>
      </c>
      <c r="AJ1965" s="2">
        <f t="shared" si="24"/>
        <v>0</v>
      </c>
      <c r="AK1965" s="2">
        <f t="shared" si="25"/>
        <v>0</v>
      </c>
      <c r="AL1965" s="2">
        <f t="shared" si="26"/>
        <v>0</v>
      </c>
      <c r="AM1965" s="2">
        <f t="shared" si="27"/>
        <v>0</v>
      </c>
      <c r="AN1965" s="2">
        <f t="shared" si="28"/>
        <v>0</v>
      </c>
      <c r="AO1965" s="2">
        <f t="shared" si="29"/>
      </c>
      <c r="AP1965" s="2">
        <f t="shared" si="30"/>
      </c>
      <c r="AQ1965" s="2">
        <f t="shared" si="31"/>
      </c>
    </row>
    <row r="1966">
      <c r="A1966" s="43">
        <f t="shared" si="3"/>
      </c>
      <c r="B1966" s="44" t="n"/>
      <c r="C1966" s="45" t="n"/>
      <c r="D1966" s="46" t="n"/>
      <c r="E1966" s="47" t="n"/>
      <c r="F1966" s="47" t="n"/>
      <c r="G1966" s="48">
        <f t="shared" si="4"/>
      </c>
      <c r="H1966" s="43">
        <f t="shared" si="0"/>
      </c>
      <c r="I1966" s="43">
        <f t="shared" si="5"/>
      </c>
      <c r="J1966" s="43">
        <f t="shared" si="1"/>
      </c>
      <c r="K1966" s="49">
        <f t="shared" si="2"/>
      </c>
      <c r="L1966" s="45" t="n"/>
      <c r="M1966" s="45" t="n"/>
      <c r="N1966" s="45" t="n"/>
      <c r="O1966" s="45" t="n"/>
      <c r="P1966" s="50" t="n"/>
      <c r="R1966" s="2">
        <f t="shared" si="6"/>
        <v>0</v>
      </c>
      <c r="S1966" s="2">
        <f t="shared" si="7"/>
      </c>
      <c r="T1966" s="2">
        <f t="shared" si="8"/>
      </c>
      <c r="U1966" s="2">
        <f t="shared" si="9"/>
      </c>
      <c r="V1966" s="2">
        <f t="shared" si="10"/>
      </c>
      <c r="W1966" s="2">
        <f t="shared" si="11"/>
      </c>
      <c r="X1966" s="2">
        <f t="shared" si="12"/>
      </c>
      <c r="Y1966" s="2">
        <f t="shared" si="13"/>
        <v>0</v>
      </c>
      <c r="Z1966" s="2">
        <f t="shared" si="14"/>
      </c>
      <c r="AA1966" s="2">
        <f t="shared" si="15"/>
        <v>0</v>
      </c>
      <c r="AB1966" s="2">
        <f t="shared" si="16"/>
      </c>
      <c r="AC1966" s="2">
        <f t="shared" si="17"/>
      </c>
      <c r="AD1966" s="2">
        <f t="shared" si="18"/>
      </c>
      <c r="AE1966" s="2">
        <f t="shared" si="19"/>
      </c>
      <c r="AF1966" s="2">
        <f t="shared" si="20"/>
      </c>
      <c r="AG1966" s="2">
        <f t="shared" si="21"/>
      </c>
      <c r="AH1966" s="2">
        <f t="shared" si="22"/>
      </c>
      <c r="AI1966" s="2">
        <f t="shared" si="23"/>
      </c>
      <c r="AJ1966" s="2">
        <f t="shared" si="24"/>
        <v>0</v>
      </c>
      <c r="AK1966" s="2">
        <f t="shared" si="25"/>
        <v>0</v>
      </c>
      <c r="AL1966" s="2">
        <f t="shared" si="26"/>
        <v>0</v>
      </c>
      <c r="AM1966" s="2">
        <f t="shared" si="27"/>
        <v>0</v>
      </c>
      <c r="AN1966" s="2">
        <f t="shared" si="28"/>
        <v>0</v>
      </c>
      <c r="AO1966" s="2">
        <f t="shared" si="29"/>
      </c>
      <c r="AP1966" s="2">
        <f t="shared" si="30"/>
      </c>
      <c r="AQ1966" s="2">
        <f t="shared" si="31"/>
      </c>
    </row>
    <row r="1967">
      <c r="A1967" s="43">
        <f t="shared" si="3"/>
      </c>
      <c r="B1967" s="44" t="n"/>
      <c r="C1967" s="45" t="n"/>
      <c r="D1967" s="46" t="n"/>
      <c r="E1967" s="47" t="n"/>
      <c r="F1967" s="47" t="n"/>
      <c r="G1967" s="48">
        <f t="shared" si="4"/>
      </c>
      <c r="H1967" s="43">
        <f t="shared" si="0"/>
      </c>
      <c r="I1967" s="43">
        <f t="shared" si="5"/>
      </c>
      <c r="J1967" s="43">
        <f t="shared" si="1"/>
      </c>
      <c r="K1967" s="49">
        <f t="shared" si="2"/>
      </c>
      <c r="L1967" s="45" t="n"/>
      <c r="M1967" s="45" t="n"/>
      <c r="N1967" s="45" t="n"/>
      <c r="O1967" s="45" t="n"/>
      <c r="P1967" s="50" t="n"/>
      <c r="R1967" s="2">
        <f t="shared" si="6"/>
        <v>0</v>
      </c>
      <c r="S1967" s="2">
        <f t="shared" si="7"/>
      </c>
      <c r="T1967" s="2">
        <f t="shared" si="8"/>
      </c>
      <c r="U1967" s="2">
        <f t="shared" si="9"/>
      </c>
      <c r="V1967" s="2">
        <f t="shared" si="10"/>
      </c>
      <c r="W1967" s="2">
        <f t="shared" si="11"/>
      </c>
      <c r="X1967" s="2">
        <f t="shared" si="12"/>
      </c>
      <c r="Y1967" s="2">
        <f t="shared" si="13"/>
        <v>0</v>
      </c>
      <c r="Z1967" s="2">
        <f t="shared" si="14"/>
      </c>
      <c r="AA1967" s="2">
        <f t="shared" si="15"/>
        <v>0</v>
      </c>
      <c r="AB1967" s="2">
        <f t="shared" si="16"/>
      </c>
      <c r="AC1967" s="2">
        <f t="shared" si="17"/>
      </c>
      <c r="AD1967" s="2">
        <f t="shared" si="18"/>
      </c>
      <c r="AE1967" s="2">
        <f t="shared" si="19"/>
      </c>
      <c r="AF1967" s="2">
        <f t="shared" si="20"/>
      </c>
      <c r="AG1967" s="2">
        <f t="shared" si="21"/>
      </c>
      <c r="AH1967" s="2">
        <f t="shared" si="22"/>
      </c>
      <c r="AI1967" s="2">
        <f t="shared" si="23"/>
      </c>
      <c r="AJ1967" s="2">
        <f t="shared" si="24"/>
        <v>0</v>
      </c>
      <c r="AK1967" s="2">
        <f t="shared" si="25"/>
        <v>0</v>
      </c>
      <c r="AL1967" s="2">
        <f t="shared" si="26"/>
        <v>0</v>
      </c>
      <c r="AM1967" s="2">
        <f t="shared" si="27"/>
        <v>0</v>
      </c>
      <c r="AN1967" s="2">
        <f t="shared" si="28"/>
        <v>0</v>
      </c>
      <c r="AO1967" s="2">
        <f t="shared" si="29"/>
      </c>
      <c r="AP1967" s="2">
        <f t="shared" si="30"/>
      </c>
      <c r="AQ1967" s="2">
        <f t="shared" si="31"/>
      </c>
    </row>
    <row r="1968">
      <c r="A1968" s="43">
        <f t="shared" si="3"/>
      </c>
      <c r="B1968" s="44" t="n"/>
      <c r="C1968" s="45" t="n"/>
      <c r="D1968" s="46" t="n"/>
      <c r="E1968" s="47" t="n"/>
      <c r="F1968" s="47" t="n"/>
      <c r="G1968" s="48">
        <f t="shared" si="4"/>
      </c>
      <c r="H1968" s="43">
        <f t="shared" si="0"/>
      </c>
      <c r="I1968" s="43">
        <f t="shared" si="5"/>
      </c>
      <c r="J1968" s="43">
        <f t="shared" si="1"/>
      </c>
      <c r="K1968" s="49">
        <f t="shared" si="2"/>
      </c>
      <c r="L1968" s="45" t="n"/>
      <c r="M1968" s="45" t="n"/>
      <c r="N1968" s="45" t="n"/>
      <c r="O1968" s="45" t="n"/>
      <c r="P1968" s="50" t="n"/>
      <c r="R1968" s="2">
        <f t="shared" si="6"/>
        <v>0</v>
      </c>
      <c r="S1968" s="2">
        <f t="shared" si="7"/>
      </c>
      <c r="T1968" s="2">
        <f t="shared" si="8"/>
      </c>
      <c r="U1968" s="2">
        <f t="shared" si="9"/>
      </c>
      <c r="V1968" s="2">
        <f t="shared" si="10"/>
      </c>
      <c r="W1968" s="2">
        <f t="shared" si="11"/>
      </c>
      <c r="X1968" s="2">
        <f t="shared" si="12"/>
      </c>
      <c r="Y1968" s="2">
        <f t="shared" si="13"/>
        <v>0</v>
      </c>
      <c r="Z1968" s="2">
        <f t="shared" si="14"/>
      </c>
      <c r="AA1968" s="2">
        <f t="shared" si="15"/>
        <v>0</v>
      </c>
      <c r="AB1968" s="2">
        <f t="shared" si="16"/>
      </c>
      <c r="AC1968" s="2">
        <f t="shared" si="17"/>
      </c>
      <c r="AD1968" s="2">
        <f t="shared" si="18"/>
      </c>
      <c r="AE1968" s="2">
        <f t="shared" si="19"/>
      </c>
      <c r="AF1968" s="2">
        <f t="shared" si="20"/>
      </c>
      <c r="AG1968" s="2">
        <f t="shared" si="21"/>
      </c>
      <c r="AH1968" s="2">
        <f t="shared" si="22"/>
      </c>
      <c r="AI1968" s="2">
        <f t="shared" si="23"/>
      </c>
      <c r="AJ1968" s="2">
        <f t="shared" si="24"/>
        <v>0</v>
      </c>
      <c r="AK1968" s="2">
        <f t="shared" si="25"/>
        <v>0</v>
      </c>
      <c r="AL1968" s="2">
        <f t="shared" si="26"/>
        <v>0</v>
      </c>
      <c r="AM1968" s="2">
        <f t="shared" si="27"/>
        <v>0</v>
      </c>
      <c r="AN1968" s="2">
        <f t="shared" si="28"/>
        <v>0</v>
      </c>
      <c r="AO1968" s="2">
        <f t="shared" si="29"/>
      </c>
      <c r="AP1968" s="2">
        <f t="shared" si="30"/>
      </c>
      <c r="AQ1968" s="2">
        <f t="shared" si="31"/>
      </c>
    </row>
    <row r="1969">
      <c r="A1969" s="43">
        <f t="shared" si="3"/>
      </c>
      <c r="B1969" s="44" t="n"/>
      <c r="C1969" s="45" t="n"/>
      <c r="D1969" s="46" t="n"/>
      <c r="E1969" s="47" t="n"/>
      <c r="F1969" s="47" t="n"/>
      <c r="G1969" s="48">
        <f t="shared" si="4"/>
      </c>
      <c r="H1969" s="43">
        <f t="shared" si="0"/>
      </c>
      <c r="I1969" s="43">
        <f t="shared" si="5"/>
      </c>
      <c r="J1969" s="43">
        <f t="shared" si="1"/>
      </c>
      <c r="K1969" s="49">
        <f t="shared" si="2"/>
      </c>
      <c r="L1969" s="45" t="n"/>
      <c r="M1969" s="45" t="n"/>
      <c r="N1969" s="45" t="n"/>
      <c r="O1969" s="45" t="n"/>
      <c r="P1969" s="50" t="n"/>
      <c r="R1969" s="2">
        <f t="shared" si="6"/>
        <v>0</v>
      </c>
      <c r="S1969" s="2">
        <f t="shared" si="7"/>
      </c>
      <c r="T1969" s="2">
        <f t="shared" si="8"/>
      </c>
      <c r="U1969" s="2">
        <f t="shared" si="9"/>
      </c>
      <c r="V1969" s="2">
        <f t="shared" si="10"/>
      </c>
      <c r="W1969" s="2">
        <f t="shared" si="11"/>
      </c>
      <c r="X1969" s="2">
        <f t="shared" si="12"/>
      </c>
      <c r="Y1969" s="2">
        <f t="shared" si="13"/>
        <v>0</v>
      </c>
      <c r="Z1969" s="2">
        <f t="shared" si="14"/>
      </c>
      <c r="AA1969" s="2">
        <f t="shared" si="15"/>
        <v>0</v>
      </c>
      <c r="AB1969" s="2">
        <f t="shared" si="16"/>
      </c>
      <c r="AC1969" s="2">
        <f t="shared" si="17"/>
      </c>
      <c r="AD1969" s="2">
        <f t="shared" si="18"/>
      </c>
      <c r="AE1969" s="2">
        <f t="shared" si="19"/>
      </c>
      <c r="AF1969" s="2">
        <f t="shared" si="20"/>
      </c>
      <c r="AG1969" s="2">
        <f t="shared" si="21"/>
      </c>
      <c r="AH1969" s="2">
        <f t="shared" si="22"/>
      </c>
      <c r="AI1969" s="2">
        <f t="shared" si="23"/>
      </c>
      <c r="AJ1969" s="2">
        <f t="shared" si="24"/>
        <v>0</v>
      </c>
      <c r="AK1969" s="2">
        <f t="shared" si="25"/>
        <v>0</v>
      </c>
      <c r="AL1969" s="2">
        <f t="shared" si="26"/>
        <v>0</v>
      </c>
      <c r="AM1969" s="2">
        <f t="shared" si="27"/>
        <v>0</v>
      </c>
      <c r="AN1969" s="2">
        <f t="shared" si="28"/>
        <v>0</v>
      </c>
      <c r="AO1969" s="2">
        <f t="shared" si="29"/>
      </c>
      <c r="AP1969" s="2">
        <f t="shared" si="30"/>
      </c>
      <c r="AQ1969" s="2">
        <f t="shared" si="31"/>
      </c>
    </row>
    <row r="1970">
      <c r="A1970" s="43">
        <f t="shared" si="3"/>
      </c>
      <c r="B1970" s="44" t="n"/>
      <c r="C1970" s="45" t="n"/>
      <c r="D1970" s="46" t="n"/>
      <c r="E1970" s="47" t="n"/>
      <c r="F1970" s="47" t="n"/>
      <c r="G1970" s="48">
        <f t="shared" si="4"/>
      </c>
      <c r="H1970" s="43">
        <f t="shared" si="0"/>
      </c>
      <c r="I1970" s="43">
        <f t="shared" si="5"/>
      </c>
      <c r="J1970" s="43">
        <f t="shared" si="1"/>
      </c>
      <c r="K1970" s="49">
        <f t="shared" si="2"/>
      </c>
      <c r="L1970" s="45" t="n"/>
      <c r="M1970" s="45" t="n"/>
      <c r="N1970" s="45" t="n"/>
      <c r="O1970" s="45" t="n"/>
      <c r="P1970" s="50" t="n"/>
      <c r="R1970" s="2">
        <f t="shared" si="6"/>
        <v>0</v>
      </c>
      <c r="S1970" s="2">
        <f t="shared" si="7"/>
      </c>
      <c r="T1970" s="2">
        <f t="shared" si="8"/>
      </c>
      <c r="U1970" s="2">
        <f t="shared" si="9"/>
      </c>
      <c r="V1970" s="2">
        <f t="shared" si="10"/>
      </c>
      <c r="W1970" s="2">
        <f t="shared" si="11"/>
      </c>
      <c r="X1970" s="2">
        <f t="shared" si="12"/>
      </c>
      <c r="Y1970" s="2">
        <f t="shared" si="13"/>
        <v>0</v>
      </c>
      <c r="Z1970" s="2">
        <f t="shared" si="14"/>
      </c>
      <c r="AA1970" s="2">
        <f t="shared" si="15"/>
        <v>0</v>
      </c>
      <c r="AB1970" s="2">
        <f t="shared" si="16"/>
      </c>
      <c r="AC1970" s="2">
        <f t="shared" si="17"/>
      </c>
      <c r="AD1970" s="2">
        <f t="shared" si="18"/>
      </c>
      <c r="AE1970" s="2">
        <f t="shared" si="19"/>
      </c>
      <c r="AF1970" s="2">
        <f t="shared" si="20"/>
      </c>
      <c r="AG1970" s="2">
        <f t="shared" si="21"/>
      </c>
      <c r="AH1970" s="2">
        <f t="shared" si="22"/>
      </c>
      <c r="AI1970" s="2">
        <f t="shared" si="23"/>
      </c>
      <c r="AJ1970" s="2">
        <f t="shared" si="24"/>
        <v>0</v>
      </c>
      <c r="AK1970" s="2">
        <f t="shared" si="25"/>
        <v>0</v>
      </c>
      <c r="AL1970" s="2">
        <f t="shared" si="26"/>
        <v>0</v>
      </c>
      <c r="AM1970" s="2">
        <f t="shared" si="27"/>
        <v>0</v>
      </c>
      <c r="AN1970" s="2">
        <f t="shared" si="28"/>
        <v>0</v>
      </c>
      <c r="AO1970" s="2">
        <f t="shared" si="29"/>
      </c>
      <c r="AP1970" s="2">
        <f t="shared" si="30"/>
      </c>
      <c r="AQ1970" s="2">
        <f t="shared" si="31"/>
      </c>
    </row>
    <row r="1971">
      <c r="A1971" s="43">
        <f t="shared" si="3"/>
      </c>
      <c r="B1971" s="44" t="n"/>
      <c r="C1971" s="45" t="n"/>
      <c r="D1971" s="46" t="n"/>
      <c r="E1971" s="47" t="n"/>
      <c r="F1971" s="47" t="n"/>
      <c r="G1971" s="48">
        <f t="shared" si="4"/>
      </c>
      <c r="H1971" s="43">
        <f t="shared" si="0"/>
      </c>
      <c r="I1971" s="43">
        <f t="shared" si="5"/>
      </c>
      <c r="J1971" s="43">
        <f t="shared" si="1"/>
      </c>
      <c r="K1971" s="49">
        <f t="shared" si="2"/>
      </c>
      <c r="L1971" s="45" t="n"/>
      <c r="M1971" s="45" t="n"/>
      <c r="N1971" s="45" t="n"/>
      <c r="O1971" s="45" t="n"/>
      <c r="P1971" s="50" t="n"/>
      <c r="R1971" s="2">
        <f t="shared" si="6"/>
        <v>0</v>
      </c>
      <c r="S1971" s="2">
        <f t="shared" si="7"/>
      </c>
      <c r="T1971" s="2">
        <f t="shared" si="8"/>
      </c>
      <c r="U1971" s="2">
        <f t="shared" si="9"/>
      </c>
      <c r="V1971" s="2">
        <f t="shared" si="10"/>
      </c>
      <c r="W1971" s="2">
        <f t="shared" si="11"/>
      </c>
      <c r="X1971" s="2">
        <f t="shared" si="12"/>
      </c>
      <c r="Y1971" s="2">
        <f t="shared" si="13"/>
        <v>0</v>
      </c>
      <c r="Z1971" s="2">
        <f t="shared" si="14"/>
      </c>
      <c r="AA1971" s="2">
        <f t="shared" si="15"/>
        <v>0</v>
      </c>
      <c r="AB1971" s="2">
        <f t="shared" si="16"/>
      </c>
      <c r="AC1971" s="2">
        <f t="shared" si="17"/>
      </c>
      <c r="AD1971" s="2">
        <f t="shared" si="18"/>
      </c>
      <c r="AE1971" s="2">
        <f t="shared" si="19"/>
      </c>
      <c r="AF1971" s="2">
        <f t="shared" si="20"/>
      </c>
      <c r="AG1971" s="2">
        <f t="shared" si="21"/>
      </c>
      <c r="AH1971" s="2">
        <f t="shared" si="22"/>
      </c>
      <c r="AI1971" s="2">
        <f t="shared" si="23"/>
      </c>
      <c r="AJ1971" s="2">
        <f t="shared" si="24"/>
        <v>0</v>
      </c>
      <c r="AK1971" s="2">
        <f t="shared" si="25"/>
        <v>0</v>
      </c>
      <c r="AL1971" s="2">
        <f t="shared" si="26"/>
        <v>0</v>
      </c>
      <c r="AM1971" s="2">
        <f t="shared" si="27"/>
        <v>0</v>
      </c>
      <c r="AN1971" s="2">
        <f t="shared" si="28"/>
        <v>0</v>
      </c>
      <c r="AO1971" s="2">
        <f t="shared" si="29"/>
      </c>
      <c r="AP1971" s="2">
        <f t="shared" si="30"/>
      </c>
      <c r="AQ1971" s="2">
        <f t="shared" si="31"/>
      </c>
    </row>
    <row r="1972">
      <c r="A1972" s="43">
        <f t="shared" si="3"/>
      </c>
      <c r="B1972" s="44" t="n"/>
      <c r="C1972" s="45" t="n"/>
      <c r="D1972" s="46" t="n"/>
      <c r="E1972" s="47" t="n"/>
      <c r="F1972" s="47" t="n"/>
      <c r="G1972" s="48">
        <f t="shared" si="4"/>
      </c>
      <c r="H1972" s="43">
        <f t="shared" si="0"/>
      </c>
      <c r="I1972" s="43">
        <f t="shared" si="5"/>
      </c>
      <c r="J1972" s="43">
        <f t="shared" si="1"/>
      </c>
      <c r="K1972" s="49">
        <f t="shared" si="2"/>
      </c>
      <c r="L1972" s="45" t="n"/>
      <c r="M1972" s="45" t="n"/>
      <c r="N1972" s="45" t="n"/>
      <c r="O1972" s="45" t="n"/>
      <c r="P1972" s="50" t="n"/>
      <c r="R1972" s="2">
        <f t="shared" si="6"/>
        <v>0</v>
      </c>
      <c r="S1972" s="2">
        <f t="shared" si="7"/>
      </c>
      <c r="T1972" s="2">
        <f t="shared" si="8"/>
      </c>
      <c r="U1972" s="2">
        <f t="shared" si="9"/>
      </c>
      <c r="V1972" s="2">
        <f t="shared" si="10"/>
      </c>
      <c r="W1972" s="2">
        <f t="shared" si="11"/>
      </c>
      <c r="X1972" s="2">
        <f t="shared" si="12"/>
      </c>
      <c r="Y1972" s="2">
        <f t="shared" si="13"/>
        <v>0</v>
      </c>
      <c r="Z1972" s="2">
        <f t="shared" si="14"/>
      </c>
      <c r="AA1972" s="2">
        <f t="shared" si="15"/>
        <v>0</v>
      </c>
      <c r="AB1972" s="2">
        <f t="shared" si="16"/>
      </c>
      <c r="AC1972" s="2">
        <f t="shared" si="17"/>
      </c>
      <c r="AD1972" s="2">
        <f t="shared" si="18"/>
      </c>
      <c r="AE1972" s="2">
        <f t="shared" si="19"/>
      </c>
      <c r="AF1972" s="2">
        <f t="shared" si="20"/>
      </c>
      <c r="AG1972" s="2">
        <f t="shared" si="21"/>
      </c>
      <c r="AH1972" s="2">
        <f t="shared" si="22"/>
      </c>
      <c r="AI1972" s="2">
        <f t="shared" si="23"/>
      </c>
      <c r="AJ1972" s="2">
        <f t="shared" si="24"/>
        <v>0</v>
      </c>
      <c r="AK1972" s="2">
        <f t="shared" si="25"/>
        <v>0</v>
      </c>
      <c r="AL1972" s="2">
        <f t="shared" si="26"/>
        <v>0</v>
      </c>
      <c r="AM1972" s="2">
        <f t="shared" si="27"/>
        <v>0</v>
      </c>
      <c r="AN1972" s="2">
        <f t="shared" si="28"/>
        <v>0</v>
      </c>
      <c r="AO1972" s="2">
        <f t="shared" si="29"/>
      </c>
      <c r="AP1972" s="2">
        <f t="shared" si="30"/>
      </c>
      <c r="AQ1972" s="2">
        <f t="shared" si="31"/>
      </c>
    </row>
    <row r="1973">
      <c r="A1973" s="43">
        <f t="shared" si="3"/>
      </c>
      <c r="B1973" s="44" t="n"/>
      <c r="C1973" s="45" t="n"/>
      <c r="D1973" s="46" t="n"/>
      <c r="E1973" s="47" t="n"/>
      <c r="F1973" s="47" t="n"/>
      <c r="G1973" s="48">
        <f t="shared" si="4"/>
      </c>
      <c r="H1973" s="43">
        <f t="shared" si="0"/>
      </c>
      <c r="I1973" s="43">
        <f t="shared" si="5"/>
      </c>
      <c r="J1973" s="43">
        <f t="shared" si="1"/>
      </c>
      <c r="K1973" s="49">
        <f t="shared" si="2"/>
      </c>
      <c r="L1973" s="45" t="n"/>
      <c r="M1973" s="45" t="n"/>
      <c r="N1973" s="45" t="n"/>
      <c r="O1973" s="45" t="n"/>
      <c r="P1973" s="50" t="n"/>
      <c r="R1973" s="2">
        <f t="shared" si="6"/>
        <v>0</v>
      </c>
      <c r="S1973" s="2">
        <f t="shared" si="7"/>
      </c>
      <c r="T1973" s="2">
        <f t="shared" si="8"/>
      </c>
      <c r="U1973" s="2">
        <f t="shared" si="9"/>
      </c>
      <c r="V1973" s="2">
        <f t="shared" si="10"/>
      </c>
      <c r="W1973" s="2">
        <f t="shared" si="11"/>
      </c>
      <c r="X1973" s="2">
        <f t="shared" si="12"/>
      </c>
      <c r="Y1973" s="2">
        <f t="shared" si="13"/>
        <v>0</v>
      </c>
      <c r="Z1973" s="2">
        <f t="shared" si="14"/>
      </c>
      <c r="AA1973" s="2">
        <f t="shared" si="15"/>
        <v>0</v>
      </c>
      <c r="AB1973" s="2">
        <f t="shared" si="16"/>
      </c>
      <c r="AC1973" s="2">
        <f t="shared" si="17"/>
      </c>
      <c r="AD1973" s="2">
        <f t="shared" si="18"/>
      </c>
      <c r="AE1973" s="2">
        <f t="shared" si="19"/>
      </c>
      <c r="AF1973" s="2">
        <f t="shared" si="20"/>
      </c>
      <c r="AG1973" s="2">
        <f t="shared" si="21"/>
      </c>
      <c r="AH1973" s="2">
        <f t="shared" si="22"/>
      </c>
      <c r="AI1973" s="2">
        <f t="shared" si="23"/>
      </c>
      <c r="AJ1973" s="2">
        <f t="shared" si="24"/>
        <v>0</v>
      </c>
      <c r="AK1973" s="2">
        <f t="shared" si="25"/>
        <v>0</v>
      </c>
      <c r="AL1973" s="2">
        <f t="shared" si="26"/>
        <v>0</v>
      </c>
      <c r="AM1973" s="2">
        <f t="shared" si="27"/>
        <v>0</v>
      </c>
      <c r="AN1973" s="2">
        <f t="shared" si="28"/>
        <v>0</v>
      </c>
      <c r="AO1973" s="2">
        <f t="shared" si="29"/>
      </c>
      <c r="AP1973" s="2">
        <f t="shared" si="30"/>
      </c>
      <c r="AQ1973" s="2">
        <f t="shared" si="31"/>
      </c>
    </row>
    <row r="1974">
      <c r="A1974" s="43">
        <f t="shared" si="3"/>
      </c>
      <c r="B1974" s="44" t="n"/>
      <c r="C1974" s="45" t="n"/>
      <c r="D1974" s="46" t="n"/>
      <c r="E1974" s="47" t="n"/>
      <c r="F1974" s="47" t="n"/>
      <c r="G1974" s="48">
        <f t="shared" si="4"/>
      </c>
      <c r="H1974" s="43">
        <f t="shared" si="0"/>
      </c>
      <c r="I1974" s="43">
        <f t="shared" si="5"/>
      </c>
      <c r="J1974" s="43">
        <f t="shared" si="1"/>
      </c>
      <c r="K1974" s="49">
        <f t="shared" si="2"/>
      </c>
      <c r="L1974" s="45" t="n"/>
      <c r="M1974" s="45" t="n"/>
      <c r="N1974" s="45" t="n"/>
      <c r="O1974" s="45" t="n"/>
      <c r="P1974" s="50" t="n"/>
      <c r="R1974" s="2">
        <f t="shared" si="6"/>
        <v>0</v>
      </c>
      <c r="S1974" s="2">
        <f t="shared" si="7"/>
      </c>
      <c r="T1974" s="2">
        <f t="shared" si="8"/>
      </c>
      <c r="U1974" s="2">
        <f t="shared" si="9"/>
      </c>
      <c r="V1974" s="2">
        <f t="shared" si="10"/>
      </c>
      <c r="W1974" s="2">
        <f t="shared" si="11"/>
      </c>
      <c r="X1974" s="2">
        <f t="shared" si="12"/>
      </c>
      <c r="Y1974" s="2">
        <f t="shared" si="13"/>
        <v>0</v>
      </c>
      <c r="Z1974" s="2">
        <f t="shared" si="14"/>
      </c>
      <c r="AA1974" s="2">
        <f t="shared" si="15"/>
        <v>0</v>
      </c>
      <c r="AB1974" s="2">
        <f t="shared" si="16"/>
      </c>
      <c r="AC1974" s="2">
        <f t="shared" si="17"/>
      </c>
      <c r="AD1974" s="2">
        <f t="shared" si="18"/>
      </c>
      <c r="AE1974" s="2">
        <f t="shared" si="19"/>
      </c>
      <c r="AF1974" s="2">
        <f t="shared" si="20"/>
      </c>
      <c r="AG1974" s="2">
        <f t="shared" si="21"/>
      </c>
      <c r="AH1974" s="2">
        <f t="shared" si="22"/>
      </c>
      <c r="AI1974" s="2">
        <f t="shared" si="23"/>
      </c>
      <c r="AJ1974" s="2">
        <f t="shared" si="24"/>
        <v>0</v>
      </c>
      <c r="AK1974" s="2">
        <f t="shared" si="25"/>
        <v>0</v>
      </c>
      <c r="AL1974" s="2">
        <f t="shared" si="26"/>
        <v>0</v>
      </c>
      <c r="AM1974" s="2">
        <f t="shared" si="27"/>
        <v>0</v>
      </c>
      <c r="AN1974" s="2">
        <f t="shared" si="28"/>
        <v>0</v>
      </c>
      <c r="AO1974" s="2">
        <f t="shared" si="29"/>
      </c>
      <c r="AP1974" s="2">
        <f t="shared" si="30"/>
      </c>
      <c r="AQ1974" s="2">
        <f t="shared" si="31"/>
      </c>
    </row>
    <row r="1975">
      <c r="A1975" s="43">
        <f t="shared" si="3"/>
      </c>
      <c r="B1975" s="44" t="n"/>
      <c r="C1975" s="45" t="n"/>
      <c r="D1975" s="46" t="n"/>
      <c r="E1975" s="47" t="n"/>
      <c r="F1975" s="47" t="n"/>
      <c r="G1975" s="48">
        <f t="shared" si="4"/>
      </c>
      <c r="H1975" s="43">
        <f t="shared" si="0"/>
      </c>
      <c r="I1975" s="43">
        <f t="shared" si="5"/>
      </c>
      <c r="J1975" s="43">
        <f t="shared" si="1"/>
      </c>
      <c r="K1975" s="49">
        <f t="shared" si="2"/>
      </c>
      <c r="L1975" s="45" t="n"/>
      <c r="M1975" s="45" t="n"/>
      <c r="N1975" s="45" t="n"/>
      <c r="O1975" s="45" t="n"/>
      <c r="P1975" s="50" t="n"/>
      <c r="R1975" s="2">
        <f t="shared" si="6"/>
        <v>0</v>
      </c>
      <c r="S1975" s="2">
        <f t="shared" si="7"/>
      </c>
      <c r="T1975" s="2">
        <f t="shared" si="8"/>
      </c>
      <c r="U1975" s="2">
        <f t="shared" si="9"/>
      </c>
      <c r="V1975" s="2">
        <f t="shared" si="10"/>
      </c>
      <c r="W1975" s="2">
        <f t="shared" si="11"/>
      </c>
      <c r="X1975" s="2">
        <f t="shared" si="12"/>
      </c>
      <c r="Y1975" s="2">
        <f t="shared" si="13"/>
        <v>0</v>
      </c>
      <c r="Z1975" s="2">
        <f t="shared" si="14"/>
      </c>
      <c r="AA1975" s="2">
        <f t="shared" si="15"/>
        <v>0</v>
      </c>
      <c r="AB1975" s="2">
        <f t="shared" si="16"/>
      </c>
      <c r="AC1975" s="2">
        <f t="shared" si="17"/>
      </c>
      <c r="AD1975" s="2">
        <f t="shared" si="18"/>
      </c>
      <c r="AE1975" s="2">
        <f t="shared" si="19"/>
      </c>
      <c r="AF1975" s="2">
        <f t="shared" si="20"/>
      </c>
      <c r="AG1975" s="2">
        <f t="shared" si="21"/>
      </c>
      <c r="AH1975" s="2">
        <f t="shared" si="22"/>
      </c>
      <c r="AI1975" s="2">
        <f t="shared" si="23"/>
      </c>
      <c r="AJ1975" s="2">
        <f t="shared" si="24"/>
        <v>0</v>
      </c>
      <c r="AK1975" s="2">
        <f t="shared" si="25"/>
        <v>0</v>
      </c>
      <c r="AL1975" s="2">
        <f t="shared" si="26"/>
        <v>0</v>
      </c>
      <c r="AM1975" s="2">
        <f t="shared" si="27"/>
        <v>0</v>
      </c>
      <c r="AN1975" s="2">
        <f t="shared" si="28"/>
        <v>0</v>
      </c>
      <c r="AO1975" s="2">
        <f t="shared" si="29"/>
      </c>
      <c r="AP1975" s="2">
        <f t="shared" si="30"/>
      </c>
      <c r="AQ1975" s="2">
        <f t="shared" si="31"/>
      </c>
    </row>
    <row r="1976">
      <c r="A1976" s="43">
        <f t="shared" si="3"/>
      </c>
      <c r="B1976" s="44" t="n"/>
      <c r="C1976" s="45" t="n"/>
      <c r="D1976" s="46" t="n"/>
      <c r="E1976" s="47" t="n"/>
      <c r="F1976" s="47" t="n"/>
      <c r="G1976" s="48">
        <f t="shared" si="4"/>
      </c>
      <c r="H1976" s="43">
        <f t="shared" si="0"/>
      </c>
      <c r="I1976" s="43">
        <f t="shared" si="5"/>
      </c>
      <c r="J1976" s="43">
        <f t="shared" si="1"/>
      </c>
      <c r="K1976" s="49">
        <f t="shared" si="2"/>
      </c>
      <c r="L1976" s="45" t="n"/>
      <c r="M1976" s="45" t="n"/>
      <c r="N1976" s="45" t="n"/>
      <c r="O1976" s="45" t="n"/>
      <c r="P1976" s="50" t="n"/>
      <c r="R1976" s="2">
        <f t="shared" si="6"/>
        <v>0</v>
      </c>
      <c r="S1976" s="2">
        <f t="shared" si="7"/>
      </c>
      <c r="T1976" s="2">
        <f t="shared" si="8"/>
      </c>
      <c r="U1976" s="2">
        <f t="shared" si="9"/>
      </c>
      <c r="V1976" s="2">
        <f t="shared" si="10"/>
      </c>
      <c r="W1976" s="2">
        <f t="shared" si="11"/>
      </c>
      <c r="X1976" s="2">
        <f t="shared" si="12"/>
      </c>
      <c r="Y1976" s="2">
        <f t="shared" si="13"/>
        <v>0</v>
      </c>
      <c r="Z1976" s="2">
        <f t="shared" si="14"/>
      </c>
      <c r="AA1976" s="2">
        <f t="shared" si="15"/>
        <v>0</v>
      </c>
      <c r="AB1976" s="2">
        <f t="shared" si="16"/>
      </c>
      <c r="AC1976" s="2">
        <f t="shared" si="17"/>
      </c>
      <c r="AD1976" s="2">
        <f t="shared" si="18"/>
      </c>
      <c r="AE1976" s="2">
        <f t="shared" si="19"/>
      </c>
      <c r="AF1976" s="2">
        <f t="shared" si="20"/>
      </c>
      <c r="AG1976" s="2">
        <f t="shared" si="21"/>
      </c>
      <c r="AH1976" s="2">
        <f t="shared" si="22"/>
      </c>
      <c r="AI1976" s="2">
        <f t="shared" si="23"/>
      </c>
      <c r="AJ1976" s="2">
        <f t="shared" si="24"/>
        <v>0</v>
      </c>
      <c r="AK1976" s="2">
        <f t="shared" si="25"/>
        <v>0</v>
      </c>
      <c r="AL1976" s="2">
        <f t="shared" si="26"/>
        <v>0</v>
      </c>
      <c r="AM1976" s="2">
        <f t="shared" si="27"/>
        <v>0</v>
      </c>
      <c r="AN1976" s="2">
        <f t="shared" si="28"/>
        <v>0</v>
      </c>
      <c r="AO1976" s="2">
        <f t="shared" si="29"/>
      </c>
      <c r="AP1976" s="2">
        <f t="shared" si="30"/>
      </c>
      <c r="AQ1976" s="2">
        <f t="shared" si="31"/>
      </c>
    </row>
    <row r="1977">
      <c r="A1977" s="43">
        <f t="shared" si="3"/>
      </c>
      <c r="B1977" s="44" t="n"/>
      <c r="C1977" s="45" t="n"/>
      <c r="D1977" s="46" t="n"/>
      <c r="E1977" s="47" t="n"/>
      <c r="F1977" s="47" t="n"/>
      <c r="G1977" s="48">
        <f t="shared" si="4"/>
      </c>
      <c r="H1977" s="43">
        <f t="shared" si="0"/>
      </c>
      <c r="I1977" s="43">
        <f t="shared" si="5"/>
      </c>
      <c r="J1977" s="43">
        <f t="shared" si="1"/>
      </c>
      <c r="K1977" s="49">
        <f t="shared" si="2"/>
      </c>
      <c r="L1977" s="45" t="n"/>
      <c r="M1977" s="45" t="n"/>
      <c r="N1977" s="45" t="n"/>
      <c r="O1977" s="45" t="n"/>
      <c r="P1977" s="50" t="n"/>
      <c r="R1977" s="2">
        <f t="shared" si="6"/>
        <v>0</v>
      </c>
      <c r="S1977" s="2">
        <f t="shared" si="7"/>
      </c>
      <c r="T1977" s="2">
        <f t="shared" si="8"/>
      </c>
      <c r="U1977" s="2">
        <f t="shared" si="9"/>
      </c>
      <c r="V1977" s="2">
        <f t="shared" si="10"/>
      </c>
      <c r="W1977" s="2">
        <f t="shared" si="11"/>
      </c>
      <c r="X1977" s="2">
        <f t="shared" si="12"/>
      </c>
      <c r="Y1977" s="2">
        <f t="shared" si="13"/>
        <v>0</v>
      </c>
      <c r="Z1977" s="2">
        <f t="shared" si="14"/>
      </c>
      <c r="AA1977" s="2">
        <f t="shared" si="15"/>
        <v>0</v>
      </c>
      <c r="AB1977" s="2">
        <f t="shared" si="16"/>
      </c>
      <c r="AC1977" s="2">
        <f t="shared" si="17"/>
      </c>
      <c r="AD1977" s="2">
        <f t="shared" si="18"/>
      </c>
      <c r="AE1977" s="2">
        <f t="shared" si="19"/>
      </c>
      <c r="AF1977" s="2">
        <f t="shared" si="20"/>
      </c>
      <c r="AG1977" s="2">
        <f t="shared" si="21"/>
      </c>
      <c r="AH1977" s="2">
        <f t="shared" si="22"/>
      </c>
      <c r="AI1977" s="2">
        <f t="shared" si="23"/>
      </c>
      <c r="AJ1977" s="2">
        <f t="shared" si="24"/>
        <v>0</v>
      </c>
      <c r="AK1977" s="2">
        <f t="shared" si="25"/>
        <v>0</v>
      </c>
      <c r="AL1977" s="2">
        <f t="shared" si="26"/>
        <v>0</v>
      </c>
      <c r="AM1977" s="2">
        <f t="shared" si="27"/>
        <v>0</v>
      </c>
      <c r="AN1977" s="2">
        <f t="shared" si="28"/>
        <v>0</v>
      </c>
      <c r="AO1977" s="2">
        <f t="shared" si="29"/>
      </c>
      <c r="AP1977" s="2">
        <f t="shared" si="30"/>
      </c>
      <c r="AQ1977" s="2">
        <f t="shared" si="31"/>
      </c>
    </row>
    <row r="1978">
      <c r="A1978" s="43">
        <f t="shared" si="3"/>
      </c>
      <c r="B1978" s="44" t="n"/>
      <c r="C1978" s="45" t="n"/>
      <c r="D1978" s="46" t="n"/>
      <c r="E1978" s="47" t="n"/>
      <c r="F1978" s="47" t="n"/>
      <c r="G1978" s="48">
        <f t="shared" si="4"/>
      </c>
      <c r="H1978" s="43">
        <f t="shared" si="0"/>
      </c>
      <c r="I1978" s="43">
        <f t="shared" si="5"/>
      </c>
      <c r="J1978" s="43">
        <f t="shared" si="1"/>
      </c>
      <c r="K1978" s="49">
        <f t="shared" si="2"/>
      </c>
      <c r="L1978" s="45" t="n"/>
      <c r="M1978" s="45" t="n"/>
      <c r="N1978" s="45" t="n"/>
      <c r="O1978" s="45" t="n"/>
      <c r="P1978" s="50" t="n"/>
      <c r="R1978" s="2">
        <f t="shared" si="6"/>
        <v>0</v>
      </c>
      <c r="S1978" s="2">
        <f t="shared" si="7"/>
      </c>
      <c r="T1978" s="2">
        <f t="shared" si="8"/>
      </c>
      <c r="U1978" s="2">
        <f t="shared" si="9"/>
      </c>
      <c r="V1978" s="2">
        <f t="shared" si="10"/>
      </c>
      <c r="W1978" s="2">
        <f t="shared" si="11"/>
      </c>
      <c r="X1978" s="2">
        <f t="shared" si="12"/>
      </c>
      <c r="Y1978" s="2">
        <f t="shared" si="13"/>
        <v>0</v>
      </c>
      <c r="Z1978" s="2">
        <f t="shared" si="14"/>
      </c>
      <c r="AA1978" s="2">
        <f t="shared" si="15"/>
        <v>0</v>
      </c>
      <c r="AB1978" s="2">
        <f t="shared" si="16"/>
      </c>
      <c r="AC1978" s="2">
        <f t="shared" si="17"/>
      </c>
      <c r="AD1978" s="2">
        <f t="shared" si="18"/>
      </c>
      <c r="AE1978" s="2">
        <f t="shared" si="19"/>
      </c>
      <c r="AF1978" s="2">
        <f t="shared" si="20"/>
      </c>
      <c r="AG1978" s="2">
        <f t="shared" si="21"/>
      </c>
      <c r="AH1978" s="2">
        <f t="shared" si="22"/>
      </c>
      <c r="AI1978" s="2">
        <f t="shared" si="23"/>
      </c>
      <c r="AJ1978" s="2">
        <f t="shared" si="24"/>
        <v>0</v>
      </c>
      <c r="AK1978" s="2">
        <f t="shared" si="25"/>
        <v>0</v>
      </c>
      <c r="AL1978" s="2">
        <f t="shared" si="26"/>
        <v>0</v>
      </c>
      <c r="AM1978" s="2">
        <f t="shared" si="27"/>
        <v>0</v>
      </c>
      <c r="AN1978" s="2">
        <f t="shared" si="28"/>
        <v>0</v>
      </c>
      <c r="AO1978" s="2">
        <f t="shared" si="29"/>
      </c>
      <c r="AP1978" s="2">
        <f t="shared" si="30"/>
      </c>
      <c r="AQ1978" s="2">
        <f t="shared" si="31"/>
      </c>
    </row>
    <row r="1979">
      <c r="A1979" s="43">
        <f t="shared" si="3"/>
      </c>
      <c r="B1979" s="44" t="n"/>
      <c r="C1979" s="45" t="n"/>
      <c r="D1979" s="46" t="n"/>
      <c r="E1979" s="47" t="n"/>
      <c r="F1979" s="47" t="n"/>
      <c r="G1979" s="48">
        <f t="shared" si="4"/>
      </c>
      <c r="H1979" s="43">
        <f t="shared" si="0"/>
      </c>
      <c r="I1979" s="43">
        <f t="shared" si="5"/>
      </c>
      <c r="J1979" s="43">
        <f t="shared" si="1"/>
      </c>
      <c r="K1979" s="49">
        <f t="shared" si="2"/>
      </c>
      <c r="L1979" s="45" t="n"/>
      <c r="M1979" s="45" t="n"/>
      <c r="N1979" s="45" t="n"/>
      <c r="O1979" s="45" t="n"/>
      <c r="P1979" s="50" t="n"/>
      <c r="R1979" s="2">
        <f t="shared" si="6"/>
        <v>0</v>
      </c>
      <c r="S1979" s="2">
        <f t="shared" si="7"/>
      </c>
      <c r="T1979" s="2">
        <f t="shared" si="8"/>
      </c>
      <c r="U1979" s="2">
        <f t="shared" si="9"/>
      </c>
      <c r="V1979" s="2">
        <f t="shared" si="10"/>
      </c>
      <c r="W1979" s="2">
        <f t="shared" si="11"/>
      </c>
      <c r="X1979" s="2">
        <f t="shared" si="12"/>
      </c>
      <c r="Y1979" s="2">
        <f t="shared" si="13"/>
        <v>0</v>
      </c>
      <c r="Z1979" s="2">
        <f t="shared" si="14"/>
      </c>
      <c r="AA1979" s="2">
        <f t="shared" si="15"/>
        <v>0</v>
      </c>
      <c r="AB1979" s="2">
        <f t="shared" si="16"/>
      </c>
      <c r="AC1979" s="2">
        <f t="shared" si="17"/>
      </c>
      <c r="AD1979" s="2">
        <f t="shared" si="18"/>
      </c>
      <c r="AE1979" s="2">
        <f t="shared" si="19"/>
      </c>
      <c r="AF1979" s="2">
        <f t="shared" si="20"/>
      </c>
      <c r="AG1979" s="2">
        <f t="shared" si="21"/>
      </c>
      <c r="AH1979" s="2">
        <f t="shared" si="22"/>
      </c>
      <c r="AI1979" s="2">
        <f t="shared" si="23"/>
      </c>
      <c r="AJ1979" s="2">
        <f t="shared" si="24"/>
        <v>0</v>
      </c>
      <c r="AK1979" s="2">
        <f t="shared" si="25"/>
        <v>0</v>
      </c>
      <c r="AL1979" s="2">
        <f t="shared" si="26"/>
        <v>0</v>
      </c>
      <c r="AM1979" s="2">
        <f t="shared" si="27"/>
        <v>0</v>
      </c>
      <c r="AN1979" s="2">
        <f t="shared" si="28"/>
        <v>0</v>
      </c>
      <c r="AO1979" s="2">
        <f t="shared" si="29"/>
      </c>
      <c r="AP1979" s="2">
        <f t="shared" si="30"/>
      </c>
      <c r="AQ1979" s="2">
        <f t="shared" si="31"/>
      </c>
    </row>
    <row r="1980">
      <c r="A1980" s="43">
        <f t="shared" si="3"/>
      </c>
      <c r="B1980" s="44" t="n"/>
      <c r="C1980" s="45" t="n"/>
      <c r="D1980" s="46" t="n"/>
      <c r="E1980" s="47" t="n"/>
      <c r="F1980" s="47" t="n"/>
      <c r="G1980" s="48">
        <f t="shared" si="4"/>
      </c>
      <c r="H1980" s="43">
        <f t="shared" si="0"/>
      </c>
      <c r="I1980" s="43">
        <f t="shared" si="5"/>
      </c>
      <c r="J1980" s="43">
        <f t="shared" si="1"/>
      </c>
      <c r="K1980" s="49">
        <f t="shared" si="2"/>
      </c>
      <c r="L1980" s="45" t="n"/>
      <c r="M1980" s="45" t="n"/>
      <c r="N1980" s="45" t="n"/>
      <c r="O1980" s="45" t="n"/>
      <c r="P1980" s="50" t="n"/>
      <c r="R1980" s="2">
        <f t="shared" si="6"/>
        <v>0</v>
      </c>
      <c r="S1980" s="2">
        <f t="shared" si="7"/>
      </c>
      <c r="T1980" s="2">
        <f t="shared" si="8"/>
      </c>
      <c r="U1980" s="2">
        <f t="shared" si="9"/>
      </c>
      <c r="V1980" s="2">
        <f t="shared" si="10"/>
      </c>
      <c r="W1980" s="2">
        <f t="shared" si="11"/>
      </c>
      <c r="X1980" s="2">
        <f t="shared" si="12"/>
      </c>
      <c r="Y1980" s="2">
        <f t="shared" si="13"/>
        <v>0</v>
      </c>
      <c r="Z1980" s="2">
        <f t="shared" si="14"/>
      </c>
      <c r="AA1980" s="2">
        <f t="shared" si="15"/>
        <v>0</v>
      </c>
      <c r="AB1980" s="2">
        <f t="shared" si="16"/>
      </c>
      <c r="AC1980" s="2">
        <f t="shared" si="17"/>
      </c>
      <c r="AD1980" s="2">
        <f t="shared" si="18"/>
      </c>
      <c r="AE1980" s="2">
        <f t="shared" si="19"/>
      </c>
      <c r="AF1980" s="2">
        <f t="shared" si="20"/>
      </c>
      <c r="AG1980" s="2">
        <f t="shared" si="21"/>
      </c>
      <c r="AH1980" s="2">
        <f t="shared" si="22"/>
      </c>
      <c r="AI1980" s="2">
        <f t="shared" si="23"/>
      </c>
      <c r="AJ1980" s="2">
        <f t="shared" si="24"/>
        <v>0</v>
      </c>
      <c r="AK1980" s="2">
        <f t="shared" si="25"/>
        <v>0</v>
      </c>
      <c r="AL1980" s="2">
        <f t="shared" si="26"/>
        <v>0</v>
      </c>
      <c r="AM1980" s="2">
        <f t="shared" si="27"/>
        <v>0</v>
      </c>
      <c r="AN1980" s="2">
        <f t="shared" si="28"/>
        <v>0</v>
      </c>
      <c r="AO1980" s="2">
        <f t="shared" si="29"/>
      </c>
      <c r="AP1980" s="2">
        <f t="shared" si="30"/>
      </c>
      <c r="AQ1980" s="2">
        <f t="shared" si="31"/>
      </c>
    </row>
    <row r="1981">
      <c r="A1981" s="43">
        <f t="shared" si="3"/>
      </c>
      <c r="B1981" s="44" t="n"/>
      <c r="C1981" s="45" t="n"/>
      <c r="D1981" s="46" t="n"/>
      <c r="E1981" s="47" t="n"/>
      <c r="F1981" s="47" t="n"/>
      <c r="G1981" s="48">
        <f t="shared" si="4"/>
      </c>
      <c r="H1981" s="43">
        <f t="shared" si="0"/>
      </c>
      <c r="I1981" s="43">
        <f t="shared" si="5"/>
      </c>
      <c r="J1981" s="43">
        <f t="shared" si="1"/>
      </c>
      <c r="K1981" s="49">
        <f t="shared" si="2"/>
      </c>
      <c r="L1981" s="45" t="n"/>
      <c r="M1981" s="45" t="n"/>
      <c r="N1981" s="45" t="n"/>
      <c r="O1981" s="45" t="n"/>
      <c r="P1981" s="50" t="n"/>
      <c r="R1981" s="2">
        <f t="shared" si="6"/>
        <v>0</v>
      </c>
      <c r="S1981" s="2">
        <f t="shared" si="7"/>
      </c>
      <c r="T1981" s="2">
        <f t="shared" si="8"/>
      </c>
      <c r="U1981" s="2">
        <f t="shared" si="9"/>
      </c>
      <c r="V1981" s="2">
        <f t="shared" si="10"/>
      </c>
      <c r="W1981" s="2">
        <f t="shared" si="11"/>
      </c>
      <c r="X1981" s="2">
        <f t="shared" si="12"/>
      </c>
      <c r="Y1981" s="2">
        <f t="shared" si="13"/>
        <v>0</v>
      </c>
      <c r="Z1981" s="2">
        <f t="shared" si="14"/>
      </c>
      <c r="AA1981" s="2">
        <f t="shared" si="15"/>
        <v>0</v>
      </c>
      <c r="AB1981" s="2">
        <f t="shared" si="16"/>
      </c>
      <c r="AC1981" s="2">
        <f t="shared" si="17"/>
      </c>
      <c r="AD1981" s="2">
        <f t="shared" si="18"/>
      </c>
      <c r="AE1981" s="2">
        <f t="shared" si="19"/>
      </c>
      <c r="AF1981" s="2">
        <f t="shared" si="20"/>
      </c>
      <c r="AG1981" s="2">
        <f t="shared" si="21"/>
      </c>
      <c r="AH1981" s="2">
        <f t="shared" si="22"/>
      </c>
      <c r="AI1981" s="2">
        <f t="shared" si="23"/>
      </c>
      <c r="AJ1981" s="2">
        <f t="shared" si="24"/>
        <v>0</v>
      </c>
      <c r="AK1981" s="2">
        <f t="shared" si="25"/>
        <v>0</v>
      </c>
      <c r="AL1981" s="2">
        <f t="shared" si="26"/>
        <v>0</v>
      </c>
      <c r="AM1981" s="2">
        <f t="shared" si="27"/>
        <v>0</v>
      </c>
      <c r="AN1981" s="2">
        <f t="shared" si="28"/>
        <v>0</v>
      </c>
      <c r="AO1981" s="2">
        <f t="shared" si="29"/>
      </c>
      <c r="AP1981" s="2">
        <f t="shared" si="30"/>
      </c>
      <c r="AQ1981" s="2">
        <f t="shared" si="31"/>
      </c>
    </row>
    <row r="1982">
      <c r="A1982" s="43">
        <f t="shared" si="3"/>
      </c>
      <c r="B1982" s="44" t="n"/>
      <c r="C1982" s="45" t="n"/>
      <c r="D1982" s="46" t="n"/>
      <c r="E1982" s="47" t="n"/>
      <c r="F1982" s="47" t="n"/>
      <c r="G1982" s="48">
        <f t="shared" si="4"/>
      </c>
      <c r="H1982" s="43">
        <f t="shared" si="0"/>
      </c>
      <c r="I1982" s="43">
        <f t="shared" si="5"/>
      </c>
      <c r="J1982" s="43">
        <f t="shared" si="1"/>
      </c>
      <c r="K1982" s="49">
        <f t="shared" si="2"/>
      </c>
      <c r="L1982" s="45" t="n"/>
      <c r="M1982" s="45" t="n"/>
      <c r="N1982" s="45" t="n"/>
      <c r="O1982" s="45" t="n"/>
      <c r="P1982" s="50" t="n"/>
      <c r="R1982" s="2">
        <f t="shared" si="6"/>
        <v>0</v>
      </c>
      <c r="S1982" s="2">
        <f t="shared" si="7"/>
      </c>
      <c r="T1982" s="2">
        <f t="shared" si="8"/>
      </c>
      <c r="U1982" s="2">
        <f t="shared" si="9"/>
      </c>
      <c r="V1982" s="2">
        <f t="shared" si="10"/>
      </c>
      <c r="W1982" s="2">
        <f t="shared" si="11"/>
      </c>
      <c r="X1982" s="2">
        <f t="shared" si="12"/>
      </c>
      <c r="Y1982" s="2">
        <f t="shared" si="13"/>
        <v>0</v>
      </c>
      <c r="Z1982" s="2">
        <f t="shared" si="14"/>
      </c>
      <c r="AA1982" s="2">
        <f t="shared" si="15"/>
        <v>0</v>
      </c>
      <c r="AB1982" s="2">
        <f t="shared" si="16"/>
      </c>
      <c r="AC1982" s="2">
        <f t="shared" si="17"/>
      </c>
      <c r="AD1982" s="2">
        <f t="shared" si="18"/>
      </c>
      <c r="AE1982" s="2">
        <f t="shared" si="19"/>
      </c>
      <c r="AF1982" s="2">
        <f t="shared" si="20"/>
      </c>
      <c r="AG1982" s="2">
        <f t="shared" si="21"/>
      </c>
      <c r="AH1982" s="2">
        <f t="shared" si="22"/>
      </c>
      <c r="AI1982" s="2">
        <f t="shared" si="23"/>
      </c>
      <c r="AJ1982" s="2">
        <f t="shared" si="24"/>
        <v>0</v>
      </c>
      <c r="AK1982" s="2">
        <f t="shared" si="25"/>
        <v>0</v>
      </c>
      <c r="AL1982" s="2">
        <f t="shared" si="26"/>
        <v>0</v>
      </c>
      <c r="AM1982" s="2">
        <f t="shared" si="27"/>
        <v>0</v>
      </c>
      <c r="AN1982" s="2">
        <f t="shared" si="28"/>
        <v>0</v>
      </c>
      <c r="AO1982" s="2">
        <f t="shared" si="29"/>
      </c>
      <c r="AP1982" s="2">
        <f t="shared" si="30"/>
      </c>
      <c r="AQ1982" s="2">
        <f t="shared" si="31"/>
      </c>
    </row>
    <row r="1983">
      <c r="A1983" s="43">
        <f t="shared" si="3"/>
      </c>
      <c r="B1983" s="44" t="n"/>
      <c r="C1983" s="45" t="n"/>
      <c r="D1983" s="46" t="n"/>
      <c r="E1983" s="47" t="n"/>
      <c r="F1983" s="47" t="n"/>
      <c r="G1983" s="48">
        <f t="shared" si="4"/>
      </c>
      <c r="H1983" s="43">
        <f t="shared" si="0"/>
      </c>
      <c r="I1983" s="43">
        <f t="shared" si="5"/>
      </c>
      <c r="J1983" s="43">
        <f t="shared" si="1"/>
      </c>
      <c r="K1983" s="49">
        <f t="shared" si="2"/>
      </c>
      <c r="L1983" s="45" t="n"/>
      <c r="M1983" s="45" t="n"/>
      <c r="N1983" s="45" t="n"/>
      <c r="O1983" s="45" t="n"/>
      <c r="P1983" s="50" t="n"/>
      <c r="R1983" s="2">
        <f t="shared" si="6"/>
        <v>0</v>
      </c>
      <c r="S1983" s="2">
        <f t="shared" si="7"/>
      </c>
      <c r="T1983" s="2">
        <f t="shared" si="8"/>
      </c>
      <c r="U1983" s="2">
        <f t="shared" si="9"/>
      </c>
      <c r="V1983" s="2">
        <f t="shared" si="10"/>
      </c>
      <c r="W1983" s="2">
        <f t="shared" si="11"/>
      </c>
      <c r="X1983" s="2">
        <f t="shared" si="12"/>
      </c>
      <c r="Y1983" s="2">
        <f t="shared" si="13"/>
        <v>0</v>
      </c>
      <c r="Z1983" s="2">
        <f t="shared" si="14"/>
      </c>
      <c r="AA1983" s="2">
        <f t="shared" si="15"/>
        <v>0</v>
      </c>
      <c r="AB1983" s="2">
        <f t="shared" si="16"/>
      </c>
      <c r="AC1983" s="2">
        <f t="shared" si="17"/>
      </c>
      <c r="AD1983" s="2">
        <f t="shared" si="18"/>
      </c>
      <c r="AE1983" s="2">
        <f t="shared" si="19"/>
      </c>
      <c r="AF1983" s="2">
        <f t="shared" si="20"/>
      </c>
      <c r="AG1983" s="2">
        <f t="shared" si="21"/>
      </c>
      <c r="AH1983" s="2">
        <f t="shared" si="22"/>
      </c>
      <c r="AI1983" s="2">
        <f t="shared" si="23"/>
      </c>
      <c r="AJ1983" s="2">
        <f t="shared" si="24"/>
        <v>0</v>
      </c>
      <c r="AK1983" s="2">
        <f t="shared" si="25"/>
        <v>0</v>
      </c>
      <c r="AL1983" s="2">
        <f t="shared" si="26"/>
        <v>0</v>
      </c>
      <c r="AM1983" s="2">
        <f t="shared" si="27"/>
        <v>0</v>
      </c>
      <c r="AN1983" s="2">
        <f t="shared" si="28"/>
        <v>0</v>
      </c>
      <c r="AO1983" s="2">
        <f t="shared" si="29"/>
      </c>
      <c r="AP1983" s="2">
        <f t="shared" si="30"/>
      </c>
      <c r="AQ1983" s="2">
        <f t="shared" si="31"/>
      </c>
    </row>
    <row r="1984">
      <c r="A1984" s="43">
        <f t="shared" si="3"/>
      </c>
      <c r="B1984" s="44" t="n"/>
      <c r="C1984" s="45" t="n"/>
      <c r="D1984" s="46" t="n"/>
      <c r="E1984" s="47" t="n"/>
      <c r="F1984" s="47" t="n"/>
      <c r="G1984" s="48">
        <f t="shared" si="4"/>
      </c>
      <c r="H1984" s="43">
        <f t="shared" si="0"/>
      </c>
      <c r="I1984" s="43">
        <f t="shared" si="5"/>
      </c>
      <c r="J1984" s="43">
        <f t="shared" si="1"/>
      </c>
      <c r="K1984" s="49">
        <f t="shared" si="2"/>
      </c>
      <c r="L1984" s="45" t="n"/>
      <c r="M1984" s="45" t="n"/>
      <c r="N1984" s="45" t="n"/>
      <c r="O1984" s="45" t="n"/>
      <c r="P1984" s="50" t="n"/>
      <c r="R1984" s="2">
        <f t="shared" si="6"/>
        <v>0</v>
      </c>
      <c r="S1984" s="2">
        <f t="shared" si="7"/>
      </c>
      <c r="T1984" s="2">
        <f t="shared" si="8"/>
      </c>
      <c r="U1984" s="2">
        <f t="shared" si="9"/>
      </c>
      <c r="V1984" s="2">
        <f t="shared" si="10"/>
      </c>
      <c r="W1984" s="2">
        <f t="shared" si="11"/>
      </c>
      <c r="X1984" s="2">
        <f t="shared" si="12"/>
      </c>
      <c r="Y1984" s="2">
        <f t="shared" si="13"/>
        <v>0</v>
      </c>
      <c r="Z1984" s="2">
        <f t="shared" si="14"/>
      </c>
      <c r="AA1984" s="2">
        <f t="shared" si="15"/>
        <v>0</v>
      </c>
      <c r="AB1984" s="2">
        <f t="shared" si="16"/>
      </c>
      <c r="AC1984" s="2">
        <f t="shared" si="17"/>
      </c>
      <c r="AD1984" s="2">
        <f t="shared" si="18"/>
      </c>
      <c r="AE1984" s="2">
        <f t="shared" si="19"/>
      </c>
      <c r="AF1984" s="2">
        <f t="shared" si="20"/>
      </c>
      <c r="AG1984" s="2">
        <f t="shared" si="21"/>
      </c>
      <c r="AH1984" s="2">
        <f t="shared" si="22"/>
      </c>
      <c r="AI1984" s="2">
        <f t="shared" si="23"/>
      </c>
      <c r="AJ1984" s="2">
        <f t="shared" si="24"/>
        <v>0</v>
      </c>
      <c r="AK1984" s="2">
        <f t="shared" si="25"/>
        <v>0</v>
      </c>
      <c r="AL1984" s="2">
        <f t="shared" si="26"/>
        <v>0</v>
      </c>
      <c r="AM1984" s="2">
        <f t="shared" si="27"/>
        <v>0</v>
      </c>
      <c r="AN1984" s="2">
        <f t="shared" si="28"/>
        <v>0</v>
      </c>
      <c r="AO1984" s="2">
        <f t="shared" si="29"/>
      </c>
      <c r="AP1984" s="2">
        <f t="shared" si="30"/>
      </c>
      <c r="AQ1984" s="2">
        <f t="shared" si="31"/>
      </c>
    </row>
    <row r="1985">
      <c r="A1985" s="43">
        <f t="shared" si="3"/>
      </c>
      <c r="B1985" s="44" t="n"/>
      <c r="C1985" s="45" t="n"/>
      <c r="D1985" s="46" t="n"/>
      <c r="E1985" s="47" t="n"/>
      <c r="F1985" s="47" t="n"/>
      <c r="G1985" s="48">
        <f t="shared" si="4"/>
      </c>
      <c r="H1985" s="43">
        <f t="shared" si="0"/>
      </c>
      <c r="I1985" s="43">
        <f t="shared" si="5"/>
      </c>
      <c r="J1985" s="43">
        <f t="shared" si="1"/>
      </c>
      <c r="K1985" s="49">
        <f t="shared" si="2"/>
      </c>
      <c r="L1985" s="45" t="n"/>
      <c r="M1985" s="45" t="n"/>
      <c r="N1985" s="45" t="n"/>
      <c r="O1985" s="45" t="n"/>
      <c r="P1985" s="50" t="n"/>
      <c r="R1985" s="2">
        <f t="shared" si="6"/>
        <v>0</v>
      </c>
      <c r="S1985" s="2">
        <f t="shared" si="7"/>
      </c>
      <c r="T1985" s="2">
        <f t="shared" si="8"/>
      </c>
      <c r="U1985" s="2">
        <f t="shared" si="9"/>
      </c>
      <c r="V1985" s="2">
        <f t="shared" si="10"/>
      </c>
      <c r="W1985" s="2">
        <f t="shared" si="11"/>
      </c>
      <c r="X1985" s="2">
        <f t="shared" si="12"/>
      </c>
      <c r="Y1985" s="2">
        <f t="shared" si="13"/>
        <v>0</v>
      </c>
      <c r="Z1985" s="2">
        <f t="shared" si="14"/>
      </c>
      <c r="AA1985" s="2">
        <f t="shared" si="15"/>
        <v>0</v>
      </c>
      <c r="AB1985" s="2">
        <f t="shared" si="16"/>
      </c>
      <c r="AC1985" s="2">
        <f t="shared" si="17"/>
      </c>
      <c r="AD1985" s="2">
        <f t="shared" si="18"/>
      </c>
      <c r="AE1985" s="2">
        <f t="shared" si="19"/>
      </c>
      <c r="AF1985" s="2">
        <f t="shared" si="20"/>
      </c>
      <c r="AG1985" s="2">
        <f t="shared" si="21"/>
      </c>
      <c r="AH1985" s="2">
        <f t="shared" si="22"/>
      </c>
      <c r="AI1985" s="2">
        <f t="shared" si="23"/>
      </c>
      <c r="AJ1985" s="2">
        <f t="shared" si="24"/>
        <v>0</v>
      </c>
      <c r="AK1985" s="2">
        <f t="shared" si="25"/>
        <v>0</v>
      </c>
      <c r="AL1985" s="2">
        <f t="shared" si="26"/>
        <v>0</v>
      </c>
      <c r="AM1985" s="2">
        <f t="shared" si="27"/>
        <v>0</v>
      </c>
      <c r="AN1985" s="2">
        <f t="shared" si="28"/>
        <v>0</v>
      </c>
      <c r="AO1985" s="2">
        <f t="shared" si="29"/>
      </c>
      <c r="AP1985" s="2">
        <f t="shared" si="30"/>
      </c>
      <c r="AQ1985" s="2">
        <f t="shared" si="31"/>
      </c>
    </row>
    <row r="1986">
      <c r="A1986" s="43">
        <f t="shared" si="3"/>
      </c>
      <c r="B1986" s="44" t="n"/>
      <c r="C1986" s="45" t="n"/>
      <c r="D1986" s="46" t="n"/>
      <c r="E1986" s="47" t="n"/>
      <c r="F1986" s="47" t="n"/>
      <c r="G1986" s="48">
        <f t="shared" si="4"/>
      </c>
      <c r="H1986" s="43">
        <f t="shared" si="0"/>
      </c>
      <c r="I1986" s="43">
        <f t="shared" si="5"/>
      </c>
      <c r="J1986" s="43">
        <f t="shared" si="1"/>
      </c>
      <c r="K1986" s="49">
        <f t="shared" si="2"/>
      </c>
      <c r="L1986" s="45" t="n"/>
      <c r="M1986" s="45" t="n"/>
      <c r="N1986" s="45" t="n"/>
      <c r="O1986" s="45" t="n"/>
      <c r="P1986" s="50" t="n"/>
      <c r="R1986" s="2">
        <f t="shared" si="6"/>
        <v>0</v>
      </c>
      <c r="S1986" s="2">
        <f t="shared" si="7"/>
      </c>
      <c r="T1986" s="2">
        <f t="shared" si="8"/>
      </c>
      <c r="U1986" s="2">
        <f t="shared" si="9"/>
      </c>
      <c r="V1986" s="2">
        <f t="shared" si="10"/>
      </c>
      <c r="W1986" s="2">
        <f t="shared" si="11"/>
      </c>
      <c r="X1986" s="2">
        <f t="shared" si="12"/>
      </c>
      <c r="Y1986" s="2">
        <f t="shared" si="13"/>
        <v>0</v>
      </c>
      <c r="Z1986" s="2">
        <f t="shared" si="14"/>
      </c>
      <c r="AA1986" s="2">
        <f t="shared" si="15"/>
        <v>0</v>
      </c>
      <c r="AB1986" s="2">
        <f t="shared" si="16"/>
      </c>
      <c r="AC1986" s="2">
        <f t="shared" si="17"/>
      </c>
      <c r="AD1986" s="2">
        <f t="shared" si="18"/>
      </c>
      <c r="AE1986" s="2">
        <f t="shared" si="19"/>
      </c>
      <c r="AF1986" s="2">
        <f t="shared" si="20"/>
      </c>
      <c r="AG1986" s="2">
        <f t="shared" si="21"/>
      </c>
      <c r="AH1986" s="2">
        <f t="shared" si="22"/>
      </c>
      <c r="AI1986" s="2">
        <f t="shared" si="23"/>
      </c>
      <c r="AJ1986" s="2">
        <f t="shared" si="24"/>
        <v>0</v>
      </c>
      <c r="AK1986" s="2">
        <f t="shared" si="25"/>
        <v>0</v>
      </c>
      <c r="AL1986" s="2">
        <f t="shared" si="26"/>
        <v>0</v>
      </c>
      <c r="AM1986" s="2">
        <f t="shared" si="27"/>
        <v>0</v>
      </c>
      <c r="AN1986" s="2">
        <f t="shared" si="28"/>
        <v>0</v>
      </c>
      <c r="AO1986" s="2">
        <f t="shared" si="29"/>
      </c>
      <c r="AP1986" s="2">
        <f t="shared" si="30"/>
      </c>
      <c r="AQ1986" s="2">
        <f t="shared" si="31"/>
      </c>
    </row>
    <row r="1987">
      <c r="A1987" s="43">
        <f t="shared" si="3"/>
      </c>
      <c r="B1987" s="44" t="n"/>
      <c r="C1987" s="45" t="n"/>
      <c r="D1987" s="46" t="n"/>
      <c r="E1987" s="47" t="n"/>
      <c r="F1987" s="47" t="n"/>
      <c r="G1987" s="48">
        <f t="shared" si="4"/>
      </c>
      <c r="H1987" s="43">
        <f t="shared" si="0"/>
      </c>
      <c r="I1987" s="43">
        <f t="shared" si="5"/>
      </c>
      <c r="J1987" s="43">
        <f t="shared" si="1"/>
      </c>
      <c r="K1987" s="49">
        <f t="shared" si="2"/>
      </c>
      <c r="L1987" s="45" t="n"/>
      <c r="M1987" s="45" t="n"/>
      <c r="N1987" s="45" t="n"/>
      <c r="O1987" s="45" t="n"/>
      <c r="P1987" s="50" t="n"/>
      <c r="R1987" s="2">
        <f t="shared" si="6"/>
        <v>0</v>
      </c>
      <c r="S1987" s="2">
        <f t="shared" si="7"/>
      </c>
      <c r="T1987" s="2">
        <f t="shared" si="8"/>
      </c>
      <c r="U1987" s="2">
        <f t="shared" si="9"/>
      </c>
      <c r="V1987" s="2">
        <f t="shared" si="10"/>
      </c>
      <c r="W1987" s="2">
        <f t="shared" si="11"/>
      </c>
      <c r="X1987" s="2">
        <f t="shared" si="12"/>
      </c>
      <c r="Y1987" s="2">
        <f t="shared" si="13"/>
        <v>0</v>
      </c>
      <c r="Z1987" s="2">
        <f t="shared" si="14"/>
      </c>
      <c r="AA1987" s="2">
        <f t="shared" si="15"/>
        <v>0</v>
      </c>
      <c r="AB1987" s="2">
        <f t="shared" si="16"/>
      </c>
      <c r="AC1987" s="2">
        <f t="shared" si="17"/>
      </c>
      <c r="AD1987" s="2">
        <f t="shared" si="18"/>
      </c>
      <c r="AE1987" s="2">
        <f t="shared" si="19"/>
      </c>
      <c r="AF1987" s="2">
        <f t="shared" si="20"/>
      </c>
      <c r="AG1987" s="2">
        <f t="shared" si="21"/>
      </c>
      <c r="AH1987" s="2">
        <f t="shared" si="22"/>
      </c>
      <c r="AI1987" s="2">
        <f t="shared" si="23"/>
      </c>
      <c r="AJ1987" s="2">
        <f t="shared" si="24"/>
        <v>0</v>
      </c>
      <c r="AK1987" s="2">
        <f t="shared" si="25"/>
        <v>0</v>
      </c>
      <c r="AL1987" s="2">
        <f t="shared" si="26"/>
        <v>0</v>
      </c>
      <c r="AM1987" s="2">
        <f t="shared" si="27"/>
        <v>0</v>
      </c>
      <c r="AN1987" s="2">
        <f t="shared" si="28"/>
        <v>0</v>
      </c>
      <c r="AO1987" s="2">
        <f t="shared" si="29"/>
      </c>
      <c r="AP1987" s="2">
        <f t="shared" si="30"/>
      </c>
      <c r="AQ1987" s="2">
        <f t="shared" si="31"/>
      </c>
    </row>
    <row r="1988">
      <c r="A1988" s="43">
        <f t="shared" si="3"/>
      </c>
      <c r="B1988" s="44" t="n"/>
      <c r="C1988" s="45" t="n"/>
      <c r="D1988" s="46" t="n"/>
      <c r="E1988" s="47" t="n"/>
      <c r="F1988" s="47" t="n"/>
      <c r="G1988" s="48">
        <f t="shared" si="4"/>
      </c>
      <c r="H1988" s="43">
        <f t="shared" si="0"/>
      </c>
      <c r="I1988" s="43">
        <f t="shared" si="5"/>
      </c>
      <c r="J1988" s="43">
        <f t="shared" si="1"/>
      </c>
      <c r="K1988" s="49">
        <f t="shared" si="2"/>
      </c>
      <c r="L1988" s="45" t="n"/>
      <c r="M1988" s="45" t="n"/>
      <c r="N1988" s="45" t="n"/>
      <c r="O1988" s="45" t="n"/>
      <c r="P1988" s="50" t="n"/>
      <c r="R1988" s="2">
        <f t="shared" si="6"/>
        <v>0</v>
      </c>
      <c r="S1988" s="2">
        <f t="shared" si="7"/>
      </c>
      <c r="T1988" s="2">
        <f t="shared" si="8"/>
      </c>
      <c r="U1988" s="2">
        <f t="shared" si="9"/>
      </c>
      <c r="V1988" s="2">
        <f t="shared" si="10"/>
      </c>
      <c r="W1988" s="2">
        <f t="shared" si="11"/>
      </c>
      <c r="X1988" s="2">
        <f t="shared" si="12"/>
      </c>
      <c r="Y1988" s="2">
        <f t="shared" si="13"/>
        <v>0</v>
      </c>
      <c r="Z1988" s="2">
        <f t="shared" si="14"/>
      </c>
      <c r="AA1988" s="2">
        <f t="shared" si="15"/>
        <v>0</v>
      </c>
      <c r="AB1988" s="2">
        <f t="shared" si="16"/>
      </c>
      <c r="AC1988" s="2">
        <f t="shared" si="17"/>
      </c>
      <c r="AD1988" s="2">
        <f t="shared" si="18"/>
      </c>
      <c r="AE1988" s="2">
        <f t="shared" si="19"/>
      </c>
      <c r="AF1988" s="2">
        <f t="shared" si="20"/>
      </c>
      <c r="AG1988" s="2">
        <f t="shared" si="21"/>
      </c>
      <c r="AH1988" s="2">
        <f t="shared" si="22"/>
      </c>
      <c r="AI1988" s="2">
        <f t="shared" si="23"/>
      </c>
      <c r="AJ1988" s="2">
        <f t="shared" si="24"/>
        <v>0</v>
      </c>
      <c r="AK1988" s="2">
        <f t="shared" si="25"/>
        <v>0</v>
      </c>
      <c r="AL1988" s="2">
        <f t="shared" si="26"/>
        <v>0</v>
      </c>
      <c r="AM1988" s="2">
        <f t="shared" si="27"/>
        <v>0</v>
      </c>
      <c r="AN1988" s="2">
        <f t="shared" si="28"/>
        <v>0</v>
      </c>
      <c r="AO1988" s="2">
        <f t="shared" si="29"/>
      </c>
      <c r="AP1988" s="2">
        <f t="shared" si="30"/>
      </c>
      <c r="AQ1988" s="2">
        <f t="shared" si="31"/>
      </c>
    </row>
    <row r="1989">
      <c r="A1989" s="43">
        <f t="shared" si="3"/>
      </c>
      <c r="B1989" s="44" t="n"/>
      <c r="C1989" s="45" t="n"/>
      <c r="D1989" s="46" t="n"/>
      <c r="E1989" s="47" t="n"/>
      <c r="F1989" s="47" t="n"/>
      <c r="G1989" s="48">
        <f t="shared" si="4"/>
      </c>
      <c r="H1989" s="43">
        <f t="shared" si="0"/>
      </c>
      <c r="I1989" s="43">
        <f t="shared" si="5"/>
      </c>
      <c r="J1989" s="43">
        <f t="shared" si="1"/>
      </c>
      <c r="K1989" s="49">
        <f t="shared" si="2"/>
      </c>
      <c r="L1989" s="45" t="n"/>
      <c r="M1989" s="45" t="n"/>
      <c r="N1989" s="45" t="n"/>
      <c r="O1989" s="45" t="n"/>
      <c r="P1989" s="50" t="n"/>
      <c r="R1989" s="2">
        <f t="shared" si="6"/>
        <v>0</v>
      </c>
      <c r="S1989" s="2">
        <f t="shared" si="7"/>
      </c>
      <c r="T1989" s="2">
        <f t="shared" si="8"/>
      </c>
      <c r="U1989" s="2">
        <f t="shared" si="9"/>
      </c>
      <c r="V1989" s="2">
        <f t="shared" si="10"/>
      </c>
      <c r="W1989" s="2">
        <f t="shared" si="11"/>
      </c>
      <c r="X1989" s="2">
        <f t="shared" si="12"/>
      </c>
      <c r="Y1989" s="2">
        <f t="shared" si="13"/>
        <v>0</v>
      </c>
      <c r="Z1989" s="2">
        <f t="shared" si="14"/>
      </c>
      <c r="AA1989" s="2">
        <f t="shared" si="15"/>
        <v>0</v>
      </c>
      <c r="AB1989" s="2">
        <f t="shared" si="16"/>
      </c>
      <c r="AC1989" s="2">
        <f t="shared" si="17"/>
      </c>
      <c r="AD1989" s="2">
        <f t="shared" si="18"/>
      </c>
      <c r="AE1989" s="2">
        <f t="shared" si="19"/>
      </c>
      <c r="AF1989" s="2">
        <f t="shared" si="20"/>
      </c>
      <c r="AG1989" s="2">
        <f t="shared" si="21"/>
      </c>
      <c r="AH1989" s="2">
        <f t="shared" si="22"/>
      </c>
      <c r="AI1989" s="2">
        <f t="shared" si="23"/>
      </c>
      <c r="AJ1989" s="2">
        <f t="shared" si="24"/>
        <v>0</v>
      </c>
      <c r="AK1989" s="2">
        <f t="shared" si="25"/>
        <v>0</v>
      </c>
      <c r="AL1989" s="2">
        <f t="shared" si="26"/>
        <v>0</v>
      </c>
      <c r="AM1989" s="2">
        <f t="shared" si="27"/>
        <v>0</v>
      </c>
      <c r="AN1989" s="2">
        <f t="shared" si="28"/>
        <v>0</v>
      </c>
      <c r="AO1989" s="2">
        <f t="shared" si="29"/>
      </c>
      <c r="AP1989" s="2">
        <f t="shared" si="30"/>
      </c>
      <c r="AQ1989" s="2">
        <f t="shared" si="31"/>
      </c>
    </row>
    <row r="1990">
      <c r="A1990" s="43">
        <f t="shared" si="3"/>
      </c>
      <c r="B1990" s="44" t="n"/>
      <c r="C1990" s="45" t="n"/>
      <c r="D1990" s="46" t="n"/>
      <c r="E1990" s="47" t="n"/>
      <c r="F1990" s="47" t="n"/>
      <c r="G1990" s="48">
        <f t="shared" si="4"/>
      </c>
      <c r="H1990" s="43">
        <f t="shared" si="0"/>
      </c>
      <c r="I1990" s="43">
        <f t="shared" si="5"/>
      </c>
      <c r="J1990" s="43">
        <f t="shared" si="1"/>
      </c>
      <c r="K1990" s="49">
        <f t="shared" si="2"/>
      </c>
      <c r="L1990" s="45" t="n"/>
      <c r="M1990" s="45" t="n"/>
      <c r="N1990" s="45" t="n"/>
      <c r="O1990" s="45" t="n"/>
      <c r="P1990" s="50" t="n"/>
      <c r="R1990" s="2">
        <f t="shared" si="6"/>
        <v>0</v>
      </c>
      <c r="S1990" s="2">
        <f t="shared" si="7"/>
      </c>
      <c r="T1990" s="2">
        <f t="shared" si="8"/>
      </c>
      <c r="U1990" s="2">
        <f t="shared" si="9"/>
      </c>
      <c r="V1990" s="2">
        <f t="shared" si="10"/>
      </c>
      <c r="W1990" s="2">
        <f t="shared" si="11"/>
      </c>
      <c r="X1990" s="2">
        <f t="shared" si="12"/>
      </c>
      <c r="Y1990" s="2">
        <f t="shared" si="13"/>
        <v>0</v>
      </c>
      <c r="Z1990" s="2">
        <f t="shared" si="14"/>
      </c>
      <c r="AA1990" s="2">
        <f t="shared" si="15"/>
        <v>0</v>
      </c>
      <c r="AB1990" s="2">
        <f t="shared" si="16"/>
      </c>
      <c r="AC1990" s="2">
        <f t="shared" si="17"/>
      </c>
      <c r="AD1990" s="2">
        <f t="shared" si="18"/>
      </c>
      <c r="AE1990" s="2">
        <f t="shared" si="19"/>
      </c>
      <c r="AF1990" s="2">
        <f t="shared" si="20"/>
      </c>
      <c r="AG1990" s="2">
        <f t="shared" si="21"/>
      </c>
      <c r="AH1990" s="2">
        <f t="shared" si="22"/>
      </c>
      <c r="AI1990" s="2">
        <f t="shared" si="23"/>
      </c>
      <c r="AJ1990" s="2">
        <f t="shared" si="24"/>
        <v>0</v>
      </c>
      <c r="AK1990" s="2">
        <f t="shared" si="25"/>
        <v>0</v>
      </c>
      <c r="AL1990" s="2">
        <f t="shared" si="26"/>
        <v>0</v>
      </c>
      <c r="AM1990" s="2">
        <f t="shared" si="27"/>
        <v>0</v>
      </c>
      <c r="AN1990" s="2">
        <f t="shared" si="28"/>
        <v>0</v>
      </c>
      <c r="AO1990" s="2">
        <f t="shared" si="29"/>
      </c>
      <c r="AP1990" s="2">
        <f t="shared" si="30"/>
      </c>
      <c r="AQ1990" s="2">
        <f t="shared" si="31"/>
      </c>
    </row>
    <row r="1991">
      <c r="A1991" s="43">
        <f t="shared" si="3"/>
      </c>
      <c r="B1991" s="44" t="n"/>
      <c r="C1991" s="45" t="n"/>
      <c r="D1991" s="46" t="n"/>
      <c r="E1991" s="47" t="n"/>
      <c r="F1991" s="47" t="n"/>
      <c r="G1991" s="48">
        <f t="shared" si="4"/>
      </c>
      <c r="H1991" s="43">
        <f t="shared" si="0"/>
      </c>
      <c r="I1991" s="43">
        <f t="shared" si="5"/>
      </c>
      <c r="J1991" s="43">
        <f t="shared" si="1"/>
      </c>
      <c r="K1991" s="49">
        <f t="shared" si="2"/>
      </c>
      <c r="L1991" s="45" t="n"/>
      <c r="M1991" s="45" t="n"/>
      <c r="N1991" s="45" t="n"/>
      <c r="O1991" s="45" t="n"/>
      <c r="P1991" s="50" t="n"/>
      <c r="R1991" s="2">
        <f t="shared" si="6"/>
        <v>0</v>
      </c>
      <c r="S1991" s="2">
        <f t="shared" si="7"/>
      </c>
      <c r="T1991" s="2">
        <f t="shared" si="8"/>
      </c>
      <c r="U1991" s="2">
        <f t="shared" si="9"/>
      </c>
      <c r="V1991" s="2">
        <f t="shared" si="10"/>
      </c>
      <c r="W1991" s="2">
        <f t="shared" si="11"/>
      </c>
      <c r="X1991" s="2">
        <f t="shared" si="12"/>
      </c>
      <c r="Y1991" s="2">
        <f t="shared" si="13"/>
        <v>0</v>
      </c>
      <c r="Z1991" s="2">
        <f t="shared" si="14"/>
      </c>
      <c r="AA1991" s="2">
        <f t="shared" si="15"/>
        <v>0</v>
      </c>
      <c r="AB1991" s="2">
        <f t="shared" si="16"/>
      </c>
      <c r="AC1991" s="2">
        <f t="shared" si="17"/>
      </c>
      <c r="AD1991" s="2">
        <f t="shared" si="18"/>
      </c>
      <c r="AE1991" s="2">
        <f t="shared" si="19"/>
      </c>
      <c r="AF1991" s="2">
        <f t="shared" si="20"/>
      </c>
      <c r="AG1991" s="2">
        <f t="shared" si="21"/>
      </c>
      <c r="AH1991" s="2">
        <f t="shared" si="22"/>
      </c>
      <c r="AI1991" s="2">
        <f t="shared" si="23"/>
      </c>
      <c r="AJ1991" s="2">
        <f t="shared" si="24"/>
        <v>0</v>
      </c>
      <c r="AK1991" s="2">
        <f t="shared" si="25"/>
        <v>0</v>
      </c>
      <c r="AL1991" s="2">
        <f t="shared" si="26"/>
        <v>0</v>
      </c>
      <c r="AM1991" s="2">
        <f t="shared" si="27"/>
        <v>0</v>
      </c>
      <c r="AN1991" s="2">
        <f t="shared" si="28"/>
        <v>0</v>
      </c>
      <c r="AO1991" s="2">
        <f t="shared" si="29"/>
      </c>
      <c r="AP1991" s="2">
        <f t="shared" si="30"/>
      </c>
      <c r="AQ1991" s="2">
        <f t="shared" si="31"/>
      </c>
    </row>
    <row r="1992">
      <c r="A1992" s="43">
        <f t="shared" si="3"/>
      </c>
      <c r="B1992" s="44" t="n"/>
      <c r="C1992" s="45" t="n"/>
      <c r="D1992" s="46" t="n"/>
      <c r="E1992" s="47" t="n"/>
      <c r="F1992" s="47" t="n"/>
      <c r="G1992" s="48">
        <f t="shared" si="4"/>
      </c>
      <c r="H1992" s="43">
        <f t="shared" si="0"/>
      </c>
      <c r="I1992" s="43">
        <f t="shared" si="5"/>
      </c>
      <c r="J1992" s="43">
        <f t="shared" si="1"/>
      </c>
      <c r="K1992" s="49">
        <f t="shared" si="2"/>
      </c>
      <c r="L1992" s="45" t="n"/>
      <c r="M1992" s="45" t="n"/>
      <c r="N1992" s="45" t="n"/>
      <c r="O1992" s="45" t="n"/>
      <c r="P1992" s="50" t="n"/>
      <c r="R1992" s="2">
        <f t="shared" si="6"/>
        <v>0</v>
      </c>
      <c r="S1992" s="2">
        <f t="shared" si="7"/>
      </c>
      <c r="T1992" s="2">
        <f t="shared" si="8"/>
      </c>
      <c r="U1992" s="2">
        <f t="shared" si="9"/>
      </c>
      <c r="V1992" s="2">
        <f t="shared" si="10"/>
      </c>
      <c r="W1992" s="2">
        <f t="shared" si="11"/>
      </c>
      <c r="X1992" s="2">
        <f t="shared" si="12"/>
      </c>
      <c r="Y1992" s="2">
        <f t="shared" si="13"/>
        <v>0</v>
      </c>
      <c r="Z1992" s="2">
        <f t="shared" si="14"/>
      </c>
      <c r="AA1992" s="2">
        <f t="shared" si="15"/>
        <v>0</v>
      </c>
      <c r="AB1992" s="2">
        <f t="shared" si="16"/>
      </c>
      <c r="AC1992" s="2">
        <f t="shared" si="17"/>
      </c>
      <c r="AD1992" s="2">
        <f t="shared" si="18"/>
      </c>
      <c r="AE1992" s="2">
        <f t="shared" si="19"/>
      </c>
      <c r="AF1992" s="2">
        <f t="shared" si="20"/>
      </c>
      <c r="AG1992" s="2">
        <f t="shared" si="21"/>
      </c>
      <c r="AH1992" s="2">
        <f t="shared" si="22"/>
      </c>
      <c r="AI1992" s="2">
        <f t="shared" si="23"/>
      </c>
      <c r="AJ1992" s="2">
        <f t="shared" si="24"/>
        <v>0</v>
      </c>
      <c r="AK1992" s="2">
        <f t="shared" si="25"/>
        <v>0</v>
      </c>
      <c r="AL1992" s="2">
        <f t="shared" si="26"/>
        <v>0</v>
      </c>
      <c r="AM1992" s="2">
        <f t="shared" si="27"/>
        <v>0</v>
      </c>
      <c r="AN1992" s="2">
        <f t="shared" si="28"/>
        <v>0</v>
      </c>
      <c r="AO1992" s="2">
        <f t="shared" si="29"/>
      </c>
      <c r="AP1992" s="2">
        <f t="shared" si="30"/>
      </c>
      <c r="AQ1992" s="2">
        <f t="shared" si="31"/>
      </c>
    </row>
    <row r="1993">
      <c r="A1993" s="43">
        <f t="shared" si="3"/>
      </c>
      <c r="B1993" s="44" t="n"/>
      <c r="C1993" s="45" t="n"/>
      <c r="D1993" s="46" t="n"/>
      <c r="E1993" s="47" t="n"/>
      <c r="F1993" s="47" t="n"/>
      <c r="G1993" s="48">
        <f t="shared" si="4"/>
      </c>
      <c r="H1993" s="43">
        <f t="shared" si="0"/>
      </c>
      <c r="I1993" s="43">
        <f t="shared" si="5"/>
      </c>
      <c r="J1993" s="43">
        <f t="shared" si="1"/>
      </c>
      <c r="K1993" s="49">
        <f t="shared" si="2"/>
      </c>
      <c r="L1993" s="45" t="n"/>
      <c r="M1993" s="45" t="n"/>
      <c r="N1993" s="45" t="n"/>
      <c r="O1993" s="45" t="n"/>
      <c r="P1993" s="50" t="n"/>
      <c r="R1993" s="2">
        <f t="shared" si="6"/>
        <v>0</v>
      </c>
      <c r="S1993" s="2">
        <f t="shared" si="7"/>
      </c>
      <c r="T1993" s="2">
        <f t="shared" si="8"/>
      </c>
      <c r="U1993" s="2">
        <f t="shared" si="9"/>
      </c>
      <c r="V1993" s="2">
        <f t="shared" si="10"/>
      </c>
      <c r="W1993" s="2">
        <f t="shared" si="11"/>
      </c>
      <c r="X1993" s="2">
        <f t="shared" si="12"/>
      </c>
      <c r="Y1993" s="2">
        <f t="shared" si="13"/>
        <v>0</v>
      </c>
      <c r="Z1993" s="2">
        <f t="shared" si="14"/>
      </c>
      <c r="AA1993" s="2">
        <f t="shared" si="15"/>
        <v>0</v>
      </c>
      <c r="AB1993" s="2">
        <f t="shared" si="16"/>
      </c>
      <c r="AC1993" s="2">
        <f t="shared" si="17"/>
      </c>
      <c r="AD1993" s="2">
        <f t="shared" si="18"/>
      </c>
      <c r="AE1993" s="2">
        <f t="shared" si="19"/>
      </c>
      <c r="AF1993" s="2">
        <f t="shared" si="20"/>
      </c>
      <c r="AG1993" s="2">
        <f t="shared" si="21"/>
      </c>
      <c r="AH1993" s="2">
        <f t="shared" si="22"/>
      </c>
      <c r="AI1993" s="2">
        <f t="shared" si="23"/>
      </c>
      <c r="AJ1993" s="2">
        <f t="shared" si="24"/>
        <v>0</v>
      </c>
      <c r="AK1993" s="2">
        <f t="shared" si="25"/>
        <v>0</v>
      </c>
      <c r="AL1993" s="2">
        <f t="shared" si="26"/>
        <v>0</v>
      </c>
      <c r="AM1993" s="2">
        <f t="shared" si="27"/>
        <v>0</v>
      </c>
      <c r="AN1993" s="2">
        <f t="shared" si="28"/>
        <v>0</v>
      </c>
      <c r="AO1993" s="2">
        <f t="shared" si="29"/>
      </c>
      <c r="AP1993" s="2">
        <f t="shared" si="30"/>
      </c>
      <c r="AQ1993" s="2">
        <f t="shared" si="31"/>
      </c>
    </row>
    <row r="1994">
      <c r="A1994" s="43">
        <f t="shared" si="3"/>
      </c>
      <c r="B1994" s="44" t="n"/>
      <c r="C1994" s="45" t="n"/>
      <c r="D1994" s="46" t="n"/>
      <c r="E1994" s="47" t="n"/>
      <c r="F1994" s="47" t="n"/>
      <c r="G1994" s="48">
        <f t="shared" si="4"/>
      </c>
      <c r="H1994" s="43">
        <f t="shared" si="0"/>
      </c>
      <c r="I1994" s="43">
        <f t="shared" si="5"/>
      </c>
      <c r="J1994" s="43">
        <f t="shared" si="1"/>
      </c>
      <c r="K1994" s="49">
        <f t="shared" si="2"/>
      </c>
      <c r="L1994" s="45" t="n"/>
      <c r="M1994" s="45" t="n"/>
      <c r="N1994" s="45" t="n"/>
      <c r="O1994" s="45" t="n"/>
      <c r="P1994" s="50" t="n"/>
      <c r="R1994" s="2">
        <f t="shared" si="6"/>
        <v>0</v>
      </c>
      <c r="S1994" s="2">
        <f t="shared" si="7"/>
      </c>
      <c r="T1994" s="2">
        <f t="shared" si="8"/>
      </c>
      <c r="U1994" s="2">
        <f t="shared" si="9"/>
      </c>
      <c r="V1994" s="2">
        <f t="shared" si="10"/>
      </c>
      <c r="W1994" s="2">
        <f t="shared" si="11"/>
      </c>
      <c r="X1994" s="2">
        <f t="shared" si="12"/>
      </c>
      <c r="Y1994" s="2">
        <f t="shared" si="13"/>
        <v>0</v>
      </c>
      <c r="Z1994" s="2">
        <f t="shared" si="14"/>
      </c>
      <c r="AA1994" s="2">
        <f t="shared" si="15"/>
        <v>0</v>
      </c>
      <c r="AB1994" s="2">
        <f t="shared" si="16"/>
      </c>
      <c r="AC1994" s="2">
        <f t="shared" si="17"/>
      </c>
      <c r="AD1994" s="2">
        <f t="shared" si="18"/>
      </c>
      <c r="AE1994" s="2">
        <f t="shared" si="19"/>
      </c>
      <c r="AF1994" s="2">
        <f t="shared" si="20"/>
      </c>
      <c r="AG1994" s="2">
        <f t="shared" si="21"/>
      </c>
      <c r="AH1994" s="2">
        <f t="shared" si="22"/>
      </c>
      <c r="AI1994" s="2">
        <f t="shared" si="23"/>
      </c>
      <c r="AJ1994" s="2">
        <f t="shared" si="24"/>
        <v>0</v>
      </c>
      <c r="AK1994" s="2">
        <f t="shared" si="25"/>
        <v>0</v>
      </c>
      <c r="AL1994" s="2">
        <f t="shared" si="26"/>
        <v>0</v>
      </c>
      <c r="AM1994" s="2">
        <f t="shared" si="27"/>
        <v>0</v>
      </c>
      <c r="AN1994" s="2">
        <f t="shared" si="28"/>
        <v>0</v>
      </c>
      <c r="AO1994" s="2">
        <f t="shared" si="29"/>
      </c>
      <c r="AP1994" s="2">
        <f t="shared" si="30"/>
      </c>
      <c r="AQ1994" s="2">
        <f t="shared" si="31"/>
      </c>
    </row>
    <row r="1995">
      <c r="A1995" s="43">
        <f t="shared" si="3"/>
      </c>
      <c r="B1995" s="44" t="n"/>
      <c r="C1995" s="45" t="n"/>
      <c r="D1995" s="46" t="n"/>
      <c r="E1995" s="47" t="n"/>
      <c r="F1995" s="47" t="n"/>
      <c r="G1995" s="48">
        <f t="shared" si="4"/>
      </c>
      <c r="H1995" s="43">
        <f t="shared" si="0"/>
      </c>
      <c r="I1995" s="43">
        <f t="shared" si="5"/>
      </c>
      <c r="J1995" s="43">
        <f t="shared" si="1"/>
      </c>
      <c r="K1995" s="49">
        <f t="shared" si="2"/>
      </c>
      <c r="L1995" s="45" t="n"/>
      <c r="M1995" s="45" t="n"/>
      <c r="N1995" s="45" t="n"/>
      <c r="O1995" s="45" t="n"/>
      <c r="P1995" s="50" t="n"/>
      <c r="R1995" s="2">
        <f t="shared" si="6"/>
        <v>0</v>
      </c>
      <c r="S1995" s="2">
        <f t="shared" si="7"/>
      </c>
      <c r="T1995" s="2">
        <f t="shared" si="8"/>
      </c>
      <c r="U1995" s="2">
        <f t="shared" si="9"/>
      </c>
      <c r="V1995" s="2">
        <f t="shared" si="10"/>
      </c>
      <c r="W1995" s="2">
        <f t="shared" si="11"/>
      </c>
      <c r="X1995" s="2">
        <f t="shared" si="12"/>
      </c>
      <c r="Y1995" s="2">
        <f t="shared" si="13"/>
        <v>0</v>
      </c>
      <c r="Z1995" s="2">
        <f t="shared" si="14"/>
      </c>
      <c r="AA1995" s="2">
        <f t="shared" si="15"/>
        <v>0</v>
      </c>
      <c r="AB1995" s="2">
        <f t="shared" si="16"/>
      </c>
      <c r="AC1995" s="2">
        <f t="shared" si="17"/>
      </c>
      <c r="AD1995" s="2">
        <f t="shared" si="18"/>
      </c>
      <c r="AE1995" s="2">
        <f t="shared" si="19"/>
      </c>
      <c r="AF1995" s="2">
        <f t="shared" si="20"/>
      </c>
      <c r="AG1995" s="2">
        <f t="shared" si="21"/>
      </c>
      <c r="AH1995" s="2">
        <f t="shared" si="22"/>
      </c>
      <c r="AI1995" s="2">
        <f t="shared" si="23"/>
      </c>
      <c r="AJ1995" s="2">
        <f t="shared" si="24"/>
        <v>0</v>
      </c>
      <c r="AK1995" s="2">
        <f t="shared" si="25"/>
        <v>0</v>
      </c>
      <c r="AL1995" s="2">
        <f t="shared" si="26"/>
        <v>0</v>
      </c>
      <c r="AM1995" s="2">
        <f t="shared" si="27"/>
        <v>0</v>
      </c>
      <c r="AN1995" s="2">
        <f t="shared" si="28"/>
        <v>0</v>
      </c>
      <c r="AO1995" s="2">
        <f t="shared" si="29"/>
      </c>
      <c r="AP1995" s="2">
        <f t="shared" si="30"/>
      </c>
      <c r="AQ1995" s="2">
        <f t="shared" si="31"/>
      </c>
    </row>
    <row r="1996">
      <c r="A1996" s="43">
        <f t="shared" si="3"/>
      </c>
      <c r="B1996" s="44" t="n"/>
      <c r="C1996" s="45" t="n"/>
      <c r="D1996" s="46" t="n"/>
      <c r="E1996" s="47" t="n"/>
      <c r="F1996" s="47" t="n"/>
      <c r="G1996" s="48">
        <f t="shared" si="4"/>
      </c>
      <c r="H1996" s="43">
        <f t="shared" si="0"/>
      </c>
      <c r="I1996" s="43">
        <f t="shared" si="5"/>
      </c>
      <c r="J1996" s="43">
        <f t="shared" si="1"/>
      </c>
      <c r="K1996" s="49">
        <f t="shared" si="2"/>
      </c>
      <c r="L1996" s="45" t="n"/>
      <c r="M1996" s="45" t="n"/>
      <c r="N1996" s="45" t="n"/>
      <c r="O1996" s="45" t="n"/>
      <c r="P1996" s="50" t="n"/>
      <c r="R1996" s="2">
        <f t="shared" si="6"/>
        <v>0</v>
      </c>
      <c r="S1996" s="2">
        <f t="shared" si="7"/>
      </c>
      <c r="T1996" s="2">
        <f t="shared" si="8"/>
      </c>
      <c r="U1996" s="2">
        <f t="shared" si="9"/>
      </c>
      <c r="V1996" s="2">
        <f t="shared" si="10"/>
      </c>
      <c r="W1996" s="2">
        <f t="shared" si="11"/>
      </c>
      <c r="X1996" s="2">
        <f t="shared" si="12"/>
      </c>
      <c r="Y1996" s="2">
        <f t="shared" si="13"/>
        <v>0</v>
      </c>
      <c r="Z1996" s="2">
        <f t="shared" si="14"/>
      </c>
      <c r="AA1996" s="2">
        <f t="shared" si="15"/>
        <v>0</v>
      </c>
      <c r="AB1996" s="2">
        <f t="shared" si="16"/>
      </c>
      <c r="AC1996" s="2">
        <f t="shared" si="17"/>
      </c>
      <c r="AD1996" s="2">
        <f t="shared" si="18"/>
      </c>
      <c r="AE1996" s="2">
        <f t="shared" si="19"/>
      </c>
      <c r="AF1996" s="2">
        <f t="shared" si="20"/>
      </c>
      <c r="AG1996" s="2">
        <f t="shared" si="21"/>
      </c>
      <c r="AH1996" s="2">
        <f t="shared" si="22"/>
      </c>
      <c r="AI1996" s="2">
        <f t="shared" si="23"/>
      </c>
      <c r="AJ1996" s="2">
        <f t="shared" si="24"/>
        <v>0</v>
      </c>
      <c r="AK1996" s="2">
        <f t="shared" si="25"/>
        <v>0</v>
      </c>
      <c r="AL1996" s="2">
        <f t="shared" si="26"/>
        <v>0</v>
      </c>
      <c r="AM1996" s="2">
        <f t="shared" si="27"/>
        <v>0</v>
      </c>
      <c r="AN1996" s="2">
        <f t="shared" si="28"/>
        <v>0</v>
      </c>
      <c r="AO1996" s="2">
        <f t="shared" si="29"/>
      </c>
      <c r="AP1996" s="2">
        <f t="shared" si="30"/>
      </c>
      <c r="AQ1996" s="2">
        <f t="shared" si="31"/>
      </c>
    </row>
    <row r="1997">
      <c r="A1997" s="43">
        <f t="shared" si="3"/>
      </c>
      <c r="B1997" s="44" t="n"/>
      <c r="C1997" s="45" t="n"/>
      <c r="D1997" s="46" t="n"/>
      <c r="E1997" s="47" t="n"/>
      <c r="F1997" s="47" t="n"/>
      <c r="G1997" s="48">
        <f t="shared" si="4"/>
      </c>
      <c r="H1997" s="43">
        <f t="shared" si="0"/>
      </c>
      <c r="I1997" s="43">
        <f t="shared" si="5"/>
      </c>
      <c r="J1997" s="43">
        <f t="shared" si="1"/>
      </c>
      <c r="K1997" s="49">
        <f t="shared" si="2"/>
      </c>
      <c r="L1997" s="45" t="n"/>
      <c r="M1997" s="45" t="n"/>
      <c r="N1997" s="45" t="n"/>
      <c r="O1997" s="45" t="n"/>
      <c r="P1997" s="50" t="n"/>
      <c r="R1997" s="2">
        <f t="shared" si="6"/>
        <v>0</v>
      </c>
      <c r="S1997" s="2">
        <f t="shared" si="7"/>
      </c>
      <c r="T1997" s="2">
        <f t="shared" si="8"/>
      </c>
      <c r="U1997" s="2">
        <f t="shared" si="9"/>
      </c>
      <c r="V1997" s="2">
        <f t="shared" si="10"/>
      </c>
      <c r="W1997" s="2">
        <f t="shared" si="11"/>
      </c>
      <c r="X1997" s="2">
        <f t="shared" si="12"/>
      </c>
      <c r="Y1997" s="2">
        <f t="shared" si="13"/>
        <v>0</v>
      </c>
      <c r="Z1997" s="2">
        <f t="shared" si="14"/>
      </c>
      <c r="AA1997" s="2">
        <f t="shared" si="15"/>
        <v>0</v>
      </c>
      <c r="AB1997" s="2">
        <f t="shared" si="16"/>
      </c>
      <c r="AC1997" s="2">
        <f t="shared" si="17"/>
      </c>
      <c r="AD1997" s="2">
        <f t="shared" si="18"/>
      </c>
      <c r="AE1997" s="2">
        <f t="shared" si="19"/>
      </c>
      <c r="AF1997" s="2">
        <f t="shared" si="20"/>
      </c>
      <c r="AG1997" s="2">
        <f t="shared" si="21"/>
      </c>
      <c r="AH1997" s="2">
        <f t="shared" si="22"/>
      </c>
      <c r="AI1997" s="2">
        <f t="shared" si="23"/>
      </c>
      <c r="AJ1997" s="2">
        <f t="shared" si="24"/>
        <v>0</v>
      </c>
      <c r="AK1997" s="2">
        <f t="shared" si="25"/>
        <v>0</v>
      </c>
      <c r="AL1997" s="2">
        <f t="shared" si="26"/>
        <v>0</v>
      </c>
      <c r="AM1997" s="2">
        <f t="shared" si="27"/>
        <v>0</v>
      </c>
      <c r="AN1997" s="2">
        <f t="shared" si="28"/>
        <v>0</v>
      </c>
      <c r="AO1997" s="2">
        <f t="shared" si="29"/>
      </c>
      <c r="AP1997" s="2">
        <f t="shared" si="30"/>
      </c>
      <c r="AQ1997" s="2">
        <f t="shared" si="31"/>
      </c>
    </row>
    <row r="1998">
      <c r="A1998" s="43">
        <f t="shared" si="3"/>
      </c>
      <c r="B1998" s="44" t="n"/>
      <c r="C1998" s="45" t="n"/>
      <c r="D1998" s="46" t="n"/>
      <c r="E1998" s="47" t="n"/>
      <c r="F1998" s="47" t="n"/>
      <c r="G1998" s="48">
        <f t="shared" si="4"/>
      </c>
      <c r="H1998" s="43">
        <f t="shared" si="0"/>
      </c>
      <c r="I1998" s="43">
        <f t="shared" si="5"/>
      </c>
      <c r="J1998" s="43">
        <f t="shared" si="1"/>
      </c>
      <c r="K1998" s="49">
        <f t="shared" si="2"/>
      </c>
      <c r="L1998" s="45" t="n"/>
      <c r="M1998" s="45" t="n"/>
      <c r="N1998" s="45" t="n"/>
      <c r="O1998" s="45" t="n"/>
      <c r="P1998" s="50" t="n"/>
      <c r="R1998" s="2">
        <f t="shared" si="6"/>
        <v>0</v>
      </c>
      <c r="S1998" s="2">
        <f t="shared" si="7"/>
      </c>
      <c r="T1998" s="2">
        <f t="shared" si="8"/>
      </c>
      <c r="U1998" s="2">
        <f t="shared" si="9"/>
      </c>
      <c r="V1998" s="2">
        <f t="shared" si="10"/>
      </c>
      <c r="W1998" s="2">
        <f t="shared" si="11"/>
      </c>
      <c r="X1998" s="2">
        <f t="shared" si="12"/>
      </c>
      <c r="Y1998" s="2">
        <f t="shared" si="13"/>
        <v>0</v>
      </c>
      <c r="Z1998" s="2">
        <f t="shared" si="14"/>
      </c>
      <c r="AA1998" s="2">
        <f t="shared" si="15"/>
        <v>0</v>
      </c>
      <c r="AB1998" s="2">
        <f t="shared" si="16"/>
      </c>
      <c r="AC1998" s="2">
        <f t="shared" si="17"/>
      </c>
      <c r="AD1998" s="2">
        <f t="shared" si="18"/>
      </c>
      <c r="AE1998" s="2">
        <f t="shared" si="19"/>
      </c>
      <c r="AF1998" s="2">
        <f t="shared" si="20"/>
      </c>
      <c r="AG1998" s="2">
        <f t="shared" si="21"/>
      </c>
      <c r="AH1998" s="2">
        <f t="shared" si="22"/>
      </c>
      <c r="AI1998" s="2">
        <f t="shared" si="23"/>
      </c>
      <c r="AJ1998" s="2">
        <f t="shared" si="24"/>
        <v>0</v>
      </c>
      <c r="AK1998" s="2">
        <f t="shared" si="25"/>
        <v>0</v>
      </c>
      <c r="AL1998" s="2">
        <f t="shared" si="26"/>
        <v>0</v>
      </c>
      <c r="AM1998" s="2">
        <f t="shared" si="27"/>
        <v>0</v>
      </c>
      <c r="AN1998" s="2">
        <f t="shared" si="28"/>
        <v>0</v>
      </c>
      <c r="AO1998" s="2">
        <f t="shared" si="29"/>
      </c>
      <c r="AP1998" s="2">
        <f t="shared" si="30"/>
      </c>
      <c r="AQ1998" s="2">
        <f t="shared" si="31"/>
      </c>
    </row>
    <row r="1999">
      <c r="A1999" s="43">
        <f t="shared" si="3"/>
      </c>
      <c r="B1999" s="44" t="n"/>
      <c r="C1999" s="45" t="n"/>
      <c r="D1999" s="46" t="n"/>
      <c r="E1999" s="47" t="n"/>
      <c r="F1999" s="47" t="n"/>
      <c r="G1999" s="48">
        <f t="shared" si="4"/>
      </c>
      <c r="H1999" s="43">
        <f t="shared" si="0"/>
      </c>
      <c r="I1999" s="43">
        <f t="shared" si="5"/>
      </c>
      <c r="J1999" s="43">
        <f t="shared" si="1"/>
      </c>
      <c r="K1999" s="49">
        <f t="shared" si="2"/>
      </c>
      <c r="L1999" s="45" t="n"/>
      <c r="M1999" s="45" t="n"/>
      <c r="N1999" s="45" t="n"/>
      <c r="O1999" s="45" t="n"/>
      <c r="P1999" s="50" t="n"/>
      <c r="R1999" s="2">
        <f t="shared" si="6"/>
        <v>0</v>
      </c>
      <c r="S1999" s="2">
        <f t="shared" si="7"/>
      </c>
      <c r="T1999" s="2">
        <f t="shared" si="8"/>
      </c>
      <c r="U1999" s="2">
        <f t="shared" si="9"/>
      </c>
      <c r="V1999" s="2">
        <f t="shared" si="10"/>
      </c>
      <c r="W1999" s="2">
        <f t="shared" si="11"/>
      </c>
      <c r="X1999" s="2">
        <f t="shared" si="12"/>
      </c>
      <c r="Y1999" s="2">
        <f t="shared" si="13"/>
        <v>0</v>
      </c>
      <c r="Z1999" s="2">
        <f t="shared" si="14"/>
      </c>
      <c r="AA1999" s="2">
        <f t="shared" si="15"/>
        <v>0</v>
      </c>
      <c r="AB1999" s="2">
        <f t="shared" si="16"/>
      </c>
      <c r="AC1999" s="2">
        <f t="shared" si="17"/>
      </c>
      <c r="AD1999" s="2">
        <f t="shared" si="18"/>
      </c>
      <c r="AE1999" s="2">
        <f t="shared" si="19"/>
      </c>
      <c r="AF1999" s="2">
        <f t="shared" si="20"/>
      </c>
      <c r="AG1999" s="2">
        <f t="shared" si="21"/>
      </c>
      <c r="AH1999" s="2">
        <f t="shared" si="22"/>
      </c>
      <c r="AI1999" s="2">
        <f t="shared" si="23"/>
      </c>
      <c r="AJ1999" s="2">
        <f t="shared" si="24"/>
        <v>0</v>
      </c>
      <c r="AK1999" s="2">
        <f t="shared" si="25"/>
        <v>0</v>
      </c>
      <c r="AL1999" s="2">
        <f t="shared" si="26"/>
        <v>0</v>
      </c>
      <c r="AM1999" s="2">
        <f t="shared" si="27"/>
        <v>0</v>
      </c>
      <c r="AN1999" s="2">
        <f t="shared" si="28"/>
        <v>0</v>
      </c>
      <c r="AO1999" s="2">
        <f t="shared" si="29"/>
      </c>
      <c r="AP1999" s="2">
        <f t="shared" si="30"/>
      </c>
      <c r="AQ1999" s="2">
        <f t="shared" si="31"/>
      </c>
    </row>
    <row r="2000">
      <c r="A2000" s="43">
        <f t="shared" si="3"/>
      </c>
      <c r="B2000" s="44" t="n"/>
      <c r="C2000" s="45" t="n"/>
      <c r="D2000" s="46" t="n"/>
      <c r="E2000" s="47" t="n"/>
      <c r="F2000" s="47" t="n"/>
      <c r="G2000" s="48">
        <f t="shared" si="4"/>
      </c>
      <c r="H2000" s="43">
        <f t="shared" si="0"/>
      </c>
      <c r="I2000" s="43">
        <f t="shared" si="5"/>
      </c>
      <c r="J2000" s="43">
        <f t="shared" si="1"/>
      </c>
      <c r="K2000" s="49">
        <f t="shared" si="2"/>
      </c>
      <c r="L2000" s="45" t="n"/>
      <c r="M2000" s="45" t="n"/>
      <c r="N2000" s="45" t="n"/>
      <c r="O2000" s="45" t="n"/>
      <c r="P2000" s="50" t="n"/>
      <c r="R2000" s="2">
        <f t="shared" si="6"/>
        <v>0</v>
      </c>
      <c r="S2000" s="2">
        <f t="shared" si="7"/>
      </c>
      <c r="T2000" s="2">
        <f t="shared" si="8"/>
      </c>
      <c r="U2000" s="2">
        <f t="shared" si="9"/>
      </c>
      <c r="V2000" s="2">
        <f t="shared" si="10"/>
      </c>
      <c r="W2000" s="2">
        <f t="shared" si="11"/>
      </c>
      <c r="X2000" s="2">
        <f t="shared" si="12"/>
      </c>
      <c r="Y2000" s="2">
        <f t="shared" si="13"/>
        <v>0</v>
      </c>
      <c r="Z2000" s="2">
        <f t="shared" si="14"/>
      </c>
      <c r="AA2000" s="2">
        <f t="shared" si="15"/>
        <v>0</v>
      </c>
      <c r="AB2000" s="2">
        <f t="shared" si="16"/>
      </c>
      <c r="AC2000" s="2">
        <f t="shared" si="17"/>
      </c>
      <c r="AD2000" s="2">
        <f t="shared" si="18"/>
      </c>
      <c r="AE2000" s="2">
        <f t="shared" si="19"/>
      </c>
      <c r="AF2000" s="2">
        <f t="shared" si="20"/>
      </c>
      <c r="AG2000" s="2">
        <f t="shared" si="21"/>
      </c>
      <c r="AH2000" s="2">
        <f t="shared" si="22"/>
      </c>
      <c r="AI2000" s="2">
        <f t="shared" si="23"/>
      </c>
      <c r="AJ2000" s="2">
        <f t="shared" si="24"/>
        <v>0</v>
      </c>
      <c r="AK2000" s="2">
        <f t="shared" si="25"/>
        <v>0</v>
      </c>
      <c r="AL2000" s="2">
        <f t="shared" si="26"/>
        <v>0</v>
      </c>
      <c r="AM2000" s="2">
        <f t="shared" si="27"/>
        <v>0</v>
      </c>
      <c r="AN2000" s="2">
        <f t="shared" si="28"/>
        <v>0</v>
      </c>
      <c r="AO2000" s="2">
        <f t="shared" si="29"/>
      </c>
      <c r="AP2000" s="2">
        <f t="shared" si="30"/>
      </c>
      <c r="AQ2000" s="2">
        <f t="shared" si="31"/>
      </c>
    </row>
    <row r="2001">
      <c r="A2001" s="43">
        <f t="shared" si="3"/>
      </c>
      <c r="B2001" s="44" t="n"/>
      <c r="C2001" s="45" t="n"/>
      <c r="D2001" s="46" t="n"/>
      <c r="E2001" s="47" t="n"/>
      <c r="F2001" s="47" t="n"/>
      <c r="G2001" s="48">
        <f t="shared" si="4"/>
      </c>
      <c r="H2001" s="43">
        <f t="shared" si="0"/>
      </c>
      <c r="I2001" s="43">
        <f t="shared" si="5"/>
      </c>
      <c r="J2001" s="43">
        <f t="shared" si="1"/>
      </c>
      <c r="K2001" s="49">
        <f t="shared" si="2"/>
      </c>
      <c r="L2001" s="45" t="n"/>
      <c r="M2001" s="45" t="n"/>
      <c r="N2001" s="45" t="n"/>
      <c r="O2001" s="45" t="n"/>
      <c r="P2001" s="50" t="n"/>
      <c r="R2001" s="2">
        <f t="shared" si="6"/>
        <v>0</v>
      </c>
      <c r="S2001" s="2">
        <f t="shared" si="7"/>
      </c>
      <c r="T2001" s="2">
        <f t="shared" si="8"/>
      </c>
      <c r="U2001" s="2">
        <f t="shared" si="9"/>
      </c>
      <c r="V2001" s="2">
        <f t="shared" si="10"/>
      </c>
      <c r="W2001" s="2">
        <f t="shared" si="11"/>
      </c>
      <c r="X2001" s="2">
        <f t="shared" si="12"/>
      </c>
      <c r="Y2001" s="2">
        <f t="shared" si="13"/>
        <v>0</v>
      </c>
      <c r="Z2001" s="2">
        <f t="shared" si="14"/>
      </c>
      <c r="AA2001" s="2">
        <f t="shared" si="15"/>
        <v>0</v>
      </c>
      <c r="AB2001" s="2">
        <f t="shared" si="16"/>
      </c>
      <c r="AC2001" s="2">
        <f t="shared" si="17"/>
      </c>
      <c r="AD2001" s="2">
        <f t="shared" si="18"/>
      </c>
      <c r="AE2001" s="2">
        <f t="shared" si="19"/>
      </c>
      <c r="AF2001" s="2">
        <f t="shared" si="20"/>
      </c>
      <c r="AG2001" s="2">
        <f t="shared" si="21"/>
      </c>
      <c r="AH2001" s="2">
        <f t="shared" si="22"/>
      </c>
      <c r="AI2001" s="2">
        <f t="shared" si="23"/>
      </c>
      <c r="AJ2001" s="2">
        <f t="shared" si="24"/>
        <v>0</v>
      </c>
      <c r="AK2001" s="2">
        <f t="shared" si="25"/>
        <v>0</v>
      </c>
      <c r="AL2001" s="2">
        <f t="shared" si="26"/>
        <v>0</v>
      </c>
      <c r="AM2001" s="2">
        <f t="shared" si="27"/>
        <v>0</v>
      </c>
      <c r="AN2001" s="2">
        <f t="shared" si="28"/>
        <v>0</v>
      </c>
      <c r="AO2001" s="2">
        <f t="shared" si="29"/>
      </c>
      <c r="AP2001" s="2">
        <f t="shared" si="30"/>
      </c>
      <c r="AQ2001" s="2">
        <f t="shared" si="31"/>
      </c>
    </row>
    <row r="2002">
      <c r="A2002" s="43">
        <f t="shared" si="3"/>
      </c>
      <c r="B2002" s="44" t="n"/>
      <c r="C2002" s="45" t="n"/>
      <c r="D2002" s="46" t="n"/>
      <c r="E2002" s="47" t="n"/>
      <c r="F2002" s="47" t="n"/>
      <c r="G2002" s="48">
        <f t="shared" si="4"/>
      </c>
      <c r="H2002" s="43">
        <f t="shared" si="0"/>
      </c>
      <c r="I2002" s="43">
        <f t="shared" si="5"/>
      </c>
      <c r="J2002" s="43">
        <f t="shared" si="1"/>
      </c>
      <c r="K2002" s="49">
        <f t="shared" si="2"/>
      </c>
      <c r="L2002" s="45" t="n"/>
      <c r="M2002" s="45" t="n"/>
      <c r="N2002" s="45" t="n"/>
      <c r="O2002" s="45" t="n"/>
      <c r="P2002" s="50" t="n"/>
      <c r="R2002" s="2">
        <f t="shared" si="6"/>
        <v>0</v>
      </c>
      <c r="S2002" s="2">
        <f t="shared" si="7"/>
      </c>
      <c r="T2002" s="2">
        <f t="shared" si="8"/>
      </c>
      <c r="U2002" s="2">
        <f t="shared" si="9"/>
      </c>
      <c r="V2002" s="2">
        <f t="shared" si="10"/>
      </c>
      <c r="W2002" s="2">
        <f t="shared" si="11"/>
      </c>
      <c r="X2002" s="2">
        <f t="shared" si="12"/>
      </c>
      <c r="Y2002" s="2">
        <f t="shared" si="13"/>
        <v>0</v>
      </c>
      <c r="Z2002" s="2">
        <f t="shared" si="14"/>
      </c>
      <c r="AA2002" s="2">
        <f t="shared" si="15"/>
        <v>0</v>
      </c>
      <c r="AB2002" s="2">
        <f t="shared" si="16"/>
      </c>
      <c r="AC2002" s="2">
        <f t="shared" si="17"/>
      </c>
      <c r="AD2002" s="2">
        <f t="shared" si="18"/>
      </c>
      <c r="AE2002" s="2">
        <f t="shared" si="19"/>
      </c>
      <c r="AF2002" s="2">
        <f t="shared" si="20"/>
      </c>
      <c r="AG2002" s="2">
        <f t="shared" si="21"/>
      </c>
      <c r="AH2002" s="2">
        <f t="shared" si="22"/>
      </c>
      <c r="AI2002" s="2">
        <f t="shared" si="23"/>
      </c>
      <c r="AJ2002" s="2">
        <f t="shared" si="24"/>
        <v>0</v>
      </c>
      <c r="AK2002" s="2">
        <f t="shared" si="25"/>
        <v>0</v>
      </c>
      <c r="AL2002" s="2">
        <f t="shared" si="26"/>
        <v>0</v>
      </c>
      <c r="AM2002" s="2">
        <f t="shared" si="27"/>
        <v>0</v>
      </c>
      <c r="AN2002" s="2">
        <f t="shared" si="28"/>
        <v>0</v>
      </c>
      <c r="AO2002" s="2">
        <f t="shared" si="29"/>
      </c>
      <c r="AP2002" s="2">
        <f t="shared" si="30"/>
      </c>
      <c r="AQ2002" s="2">
        <f t="shared" si="31"/>
      </c>
    </row>
    <row r="2003">
      <c r="A2003" s="43">
        <f t="shared" si="3"/>
      </c>
      <c r="B2003" s="44" t="n"/>
      <c r="C2003" s="45" t="n"/>
      <c r="D2003" s="46" t="n"/>
      <c r="E2003" s="47" t="n"/>
      <c r="F2003" s="47" t="n"/>
      <c r="G2003" s="48">
        <f t="shared" si="4"/>
      </c>
      <c r="H2003" s="43">
        <f t="shared" si="0"/>
      </c>
      <c r="I2003" s="43">
        <f t="shared" si="5"/>
      </c>
      <c r="J2003" s="43">
        <f t="shared" si="1"/>
      </c>
      <c r="K2003" s="49">
        <f t="shared" si="2"/>
      </c>
      <c r="L2003" s="45" t="n"/>
      <c r="M2003" s="45" t="n"/>
      <c r="N2003" s="45" t="n"/>
      <c r="O2003" s="45" t="n"/>
      <c r="P2003" s="50" t="n"/>
      <c r="R2003" s="2">
        <f t="shared" si="6"/>
        <v>0</v>
      </c>
      <c r="S2003" s="2">
        <f t="shared" si="7"/>
      </c>
      <c r="T2003" s="2">
        <f t="shared" si="8"/>
      </c>
      <c r="U2003" s="2">
        <f t="shared" si="9"/>
      </c>
      <c r="V2003" s="2">
        <f t="shared" si="10"/>
      </c>
      <c r="W2003" s="2">
        <f t="shared" si="11"/>
      </c>
      <c r="X2003" s="2">
        <f t="shared" si="12"/>
      </c>
      <c r="Y2003" s="2">
        <f t="shared" si="13"/>
        <v>0</v>
      </c>
      <c r="Z2003" s="2">
        <f t="shared" si="14"/>
      </c>
      <c r="AA2003" s="2">
        <f t="shared" si="15"/>
        <v>0</v>
      </c>
      <c r="AB2003" s="2">
        <f t="shared" si="16"/>
      </c>
      <c r="AC2003" s="2">
        <f t="shared" si="17"/>
      </c>
      <c r="AD2003" s="2">
        <f t="shared" si="18"/>
      </c>
      <c r="AE2003" s="2">
        <f t="shared" si="19"/>
      </c>
      <c r="AF2003" s="2">
        <f t="shared" si="20"/>
      </c>
      <c r="AG2003" s="2">
        <f t="shared" si="21"/>
      </c>
      <c r="AH2003" s="2">
        <f t="shared" si="22"/>
      </c>
      <c r="AI2003" s="2">
        <f t="shared" si="23"/>
      </c>
      <c r="AJ2003" s="2">
        <f t="shared" si="24"/>
        <v>0</v>
      </c>
      <c r="AK2003" s="2">
        <f t="shared" si="25"/>
        <v>0</v>
      </c>
      <c r="AL2003" s="2">
        <f t="shared" si="26"/>
        <v>0</v>
      </c>
      <c r="AM2003" s="2">
        <f t="shared" si="27"/>
        <v>0</v>
      </c>
      <c r="AN2003" s="2">
        <f t="shared" si="28"/>
        <v>0</v>
      </c>
      <c r="AO2003" s="2">
        <f t="shared" si="29"/>
      </c>
      <c r="AP2003" s="2">
        <f t="shared" si="30"/>
      </c>
      <c r="AQ2003" s="2">
        <f t="shared" si="31"/>
      </c>
    </row>
    <row r="2004">
      <c r="A2004" s="43">
        <f t="shared" si="3"/>
      </c>
      <c r="B2004" s="44" t="n"/>
      <c r="C2004" s="45" t="n"/>
      <c r="D2004" s="46" t="n"/>
      <c r="E2004" s="47" t="n"/>
      <c r="F2004" s="47" t="n"/>
      <c r="G2004" s="48">
        <f t="shared" si="4"/>
      </c>
      <c r="H2004" s="43">
        <f t="shared" si="0"/>
      </c>
      <c r="I2004" s="43">
        <f t="shared" si="5"/>
      </c>
      <c r="J2004" s="43">
        <f t="shared" si="1"/>
      </c>
      <c r="K2004" s="49">
        <f t="shared" si="2"/>
      </c>
      <c r="L2004" s="45" t="n"/>
      <c r="M2004" s="45" t="n"/>
      <c r="N2004" s="45" t="n"/>
      <c r="O2004" s="45" t="n"/>
      <c r="P2004" s="50" t="n"/>
      <c r="R2004" s="2">
        <f t="shared" si="6"/>
        <v>0</v>
      </c>
      <c r="S2004" s="2">
        <f t="shared" si="7"/>
      </c>
      <c r="T2004" s="2">
        <f t="shared" si="8"/>
      </c>
      <c r="U2004" s="2">
        <f t="shared" si="9"/>
      </c>
      <c r="V2004" s="2">
        <f t="shared" si="10"/>
      </c>
      <c r="W2004" s="2">
        <f t="shared" si="11"/>
      </c>
      <c r="X2004" s="2">
        <f t="shared" si="12"/>
      </c>
      <c r="Y2004" s="2">
        <f t="shared" si="13"/>
        <v>0</v>
      </c>
      <c r="Z2004" s="2">
        <f t="shared" si="14"/>
      </c>
      <c r="AA2004" s="2">
        <f t="shared" si="15"/>
        <v>0</v>
      </c>
      <c r="AB2004" s="2">
        <f t="shared" si="16"/>
      </c>
      <c r="AC2004" s="2">
        <f t="shared" si="17"/>
      </c>
      <c r="AD2004" s="2">
        <f t="shared" si="18"/>
      </c>
      <c r="AE2004" s="2">
        <f t="shared" si="19"/>
      </c>
      <c r="AF2004" s="2">
        <f t="shared" si="20"/>
      </c>
      <c r="AG2004" s="2">
        <f t="shared" si="21"/>
      </c>
      <c r="AH2004" s="2">
        <f t="shared" si="22"/>
      </c>
      <c r="AI2004" s="2">
        <f t="shared" si="23"/>
      </c>
      <c r="AJ2004" s="2">
        <f t="shared" si="24"/>
        <v>0</v>
      </c>
      <c r="AK2004" s="2">
        <f t="shared" si="25"/>
        <v>0</v>
      </c>
      <c r="AL2004" s="2">
        <f t="shared" si="26"/>
        <v>0</v>
      </c>
      <c r="AM2004" s="2">
        <f t="shared" si="27"/>
        <v>0</v>
      </c>
      <c r="AN2004" s="2">
        <f t="shared" si="28"/>
        <v>0</v>
      </c>
      <c r="AO2004" s="2">
        <f t="shared" si="29"/>
      </c>
      <c r="AP2004" s="2">
        <f t="shared" si="30"/>
      </c>
      <c r="AQ2004" s="2">
        <f t="shared" si="31"/>
      </c>
    </row>
    <row r="2005">
      <c r="A2005" s="43">
        <f t="shared" si="3"/>
      </c>
      <c r="B2005" s="44" t="n"/>
      <c r="C2005" s="45" t="n"/>
      <c r="D2005" s="46" t="n"/>
      <c r="E2005" s="47" t="n"/>
      <c r="F2005" s="47" t="n"/>
      <c r="G2005" s="48">
        <f t="shared" si="4"/>
      </c>
      <c r="H2005" s="43">
        <f t="shared" si="0"/>
      </c>
      <c r="I2005" s="43">
        <f t="shared" si="5"/>
      </c>
      <c r="J2005" s="43">
        <f t="shared" si="1"/>
      </c>
      <c r="K2005" s="49">
        <f t="shared" si="2"/>
      </c>
      <c r="L2005" s="45" t="n"/>
      <c r="M2005" s="45" t="n"/>
      <c r="N2005" s="45" t="n"/>
      <c r="O2005" s="45" t="n"/>
      <c r="P2005" s="50" t="n"/>
      <c r="R2005" s="2">
        <f t="shared" si="6"/>
        <v>0</v>
      </c>
      <c r="S2005" s="2">
        <f t="shared" si="7"/>
      </c>
      <c r="T2005" s="2">
        <f t="shared" si="8"/>
      </c>
      <c r="U2005" s="2">
        <f t="shared" si="9"/>
      </c>
      <c r="V2005" s="2">
        <f t="shared" si="10"/>
      </c>
      <c r="W2005" s="2">
        <f t="shared" si="11"/>
      </c>
      <c r="X2005" s="2">
        <f t="shared" si="12"/>
      </c>
      <c r="Y2005" s="2">
        <f t="shared" si="13"/>
        <v>0</v>
      </c>
      <c r="Z2005" s="2">
        <f t="shared" si="14"/>
      </c>
      <c r="AA2005" s="2">
        <f t="shared" si="15"/>
        <v>0</v>
      </c>
      <c r="AB2005" s="2">
        <f t="shared" si="16"/>
      </c>
      <c r="AC2005" s="2">
        <f t="shared" si="17"/>
      </c>
      <c r="AD2005" s="2">
        <f t="shared" si="18"/>
      </c>
      <c r="AE2005" s="2">
        <f t="shared" si="19"/>
      </c>
      <c r="AF2005" s="2">
        <f t="shared" si="20"/>
      </c>
      <c r="AG2005" s="2">
        <f t="shared" si="21"/>
      </c>
      <c r="AH2005" s="2">
        <f t="shared" si="22"/>
      </c>
      <c r="AI2005" s="2">
        <f t="shared" si="23"/>
      </c>
      <c r="AJ2005" s="2">
        <f t="shared" si="24"/>
        <v>0</v>
      </c>
      <c r="AK2005" s="2">
        <f t="shared" si="25"/>
        <v>0</v>
      </c>
      <c r="AL2005" s="2">
        <f t="shared" si="26"/>
        <v>0</v>
      </c>
      <c r="AM2005" s="2">
        <f t="shared" si="27"/>
        <v>0</v>
      </c>
      <c r="AN2005" s="2">
        <f t="shared" si="28"/>
        <v>0</v>
      </c>
      <c r="AO2005" s="2">
        <f t="shared" si="29"/>
      </c>
      <c r="AP2005" s="2">
        <f t="shared" si="30"/>
      </c>
      <c r="AQ2005" s="2">
        <f t="shared" si="31"/>
      </c>
    </row>
  </sheetData>
  <autoFilter ref="A5:P2005"/>
  <mergeCells count="5">
    <mergeCell ref="L4:P4"/>
    <mergeCell ref="A1:P1"/>
    <mergeCell ref="A4:F4"/>
    <mergeCell ref="G4:K4"/>
    <mergeCell ref="A2:P2"/>
  </mergeCells>
  <conditionalFormatting sqref="K6:K2005">
    <cfRule type="expression" priority="1" dxfId="2">
      <formula>LEFT($K6,1)="✗"</formula>
    </cfRule>
    <cfRule type="expression" priority="2" dxfId="3">
      <formula>LEFT($K6,1)="⚠"</formula>
    </cfRule>
    <cfRule type="expression" priority="3" dxfId="4">
      <formula>$K6="√"</formula>
    </cfRule>
  </conditionalFormatting>
  <conditionalFormatting sqref="H6:H2005">
    <cfRule type="expression" priority="4" dxfId="5">
      <formula>$L6&lt;&gt;""</formula>
    </cfRule>
  </conditionalFormatting>
  <conditionalFormatting sqref="I6:I2005">
    <cfRule type="expression" priority="5" dxfId="5">
      <formula>$M6&lt;&gt;""</formula>
    </cfRule>
  </conditionalFormatting>
  <conditionalFormatting sqref="J6:J2005">
    <cfRule type="expression" priority="6" dxfId="5">
      <formula>$N6&lt;&gt;""</formula>
    </cfRule>
  </conditionalFormatting>
  <conditionalFormatting sqref="G6:G2005">
    <cfRule type="expression" priority="7" dxfId="6">
      <formula>AND(ISNUMBER($G6),$G6&lt;0,$C6&lt;&gt;"")</formula>
    </cfRule>
  </conditionalFormatting>
  <dataValidations count="6">
    <dataValidation sqref="B6:B2005" showDropDown="0" showInputMessage="0" showErrorMessage="1" allowBlank="1" errorTitle="日期" error="要像 2026/9/1 这样填日期" type="date" errorStyle="warning" operator="between">
      <formula1>36526</formula1>
      <formula2>73050</formula2>
    </dataValidation>
    <dataValidation sqref="C6:C2005" showDropDown="0" showInputMessage="1" showErrorMessage="1" allowBlank="1" errorTitle="不在清单里" error="请从下拉里选；清单里没有的，先到【基础资料】/【往来单位】里登记" promptTitle="提示" prompt="哪个账户（【基础资料】② 登记的）" type="list" errorStyle="stop">
      <formula1>=基础资料!$G$5:$G$24</formula1>
    </dataValidation>
    <dataValidation sqref="O6:O2005" showDropDown="0" showInputMessage="1" showErrorMessage="1" allowBlank="1" errorTitle="不在清单里" error="请从下拉里选；清单里没有的，先到【基础资料】/【往来单位】里登记" promptTitle="提示" prompt="账户互转：钱转到（或从）哪个账户；借款、报销选那个人的个人户" type="list" errorStyle="stop">
      <formula1>=基础资料!$G$5:$G$24</formula1>
    </dataValidation>
    <dataValidation sqref="L6:L2005" showDropDown="0" showInputMessage="1" showErrorMessage="1" allowBlank="1" errorTitle="不在清单里" error="请从下拉里选；清单里没有的，先到【基础资料】/【往来单位】里登记" promptTitle="提示" prompt="认错了或没认出才选" type="list" errorStyle="stop">
      <formula1>=项目档案!$B$4:$B$63</formula1>
    </dataValidation>
    <dataValidation sqref="M6:M2005" showDropDown="0" showInputMessage="1" showErrorMessage="1" allowBlank="1" errorTitle="不在清单里" error="请从下拉里选；清单里没有的，先到【基础资料】/【往来单位】里登记" promptTitle="提示" prompt="认错了或没认出才选" type="list" errorStyle="stop">
      <formula1>=基础资料!$S$5:$S$64</formula1>
    </dataValidation>
    <dataValidation sqref="N6:N2005" showDropDown="0" showInputMessage="1" showErrorMessage="0" allowBlank="1" errorTitle="不在清单里" error="请从下拉里选；清单里没有的，先到【基础资料】/【往来单位】里登记" promptTitle="提示" prompt="认错了或没认出才选（代别人付的，选被代付的那家）" type="list" errorStyle="warning">
      <formula1>=往来单位!$B$4:$B$303</formula1>
    </dataValidation>
  </dataValidations>
  <hyperlinks>
    <hyperlink ref="Q1" location="'首页'!A1" display="← 回首页"/>
  </hyperlinks>
  <pageMargins left="0.3" right="0.3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L1004"/>
  <sheetViews>
    <sheetView showGridLines="0" tabSelected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.5" customWidth="1" min="2" max="2"/>
    <col width="10" customWidth="1" min="3" max="3"/>
    <col width="18" customWidth="1" min="4" max="4"/>
    <col width="14" customWidth="1" min="5" max="5"/>
    <col width="30" customWidth="1" min="6" max="6"/>
    <col width="13.5" customWidth="1" min="7" max="7"/>
    <col width="7" customWidth="1" min="8" max="8"/>
    <col width="22" customWidth="1" min="9" max="9"/>
    <col width="8" customWidth="1" min="10" max="10"/>
    <col width="30" customWidth="1" min="11" max="11"/>
    <col hidden="1" width="13" customWidth="1" min="12" max="12"/>
  </cols>
  <sheetData>
    <row r="1" ht="33" customHeight="1">
      <c r="A1" s="51" t="inlineStr">
        <is>
          <t>应 付 登 记（材料 · 分包 · 机械运输 · 其他直接费：欠人家的钱先记在这里）</t>
        </is>
      </c>
      <c r="L1" s="33" t="inlineStr">
        <is>
          <t>← 回首页</t>
        </is>
      </c>
    </row>
    <row r="2" ht="54" customHeight="1">
      <c r="A2" s="3" t="inlineStr">
        <is>
          <t>💡 跟材料商、分包、机械班组对了账（或者收到送货单、结算单）就登记一行：发生日期、类型、单位、项目、内容、应付金额（含税）。日期填「发生」的日期（到货、完工或对账所属月份）：12 月的活就算次年才对账、付款，也按 12 月的日期登记；跨几个月的机械费按月拆行。付款不用在这里记：在【资金流水】付给这家的钱会自动冲它的应付。登记过的单位就是「挂账单位」；零星现买现付、没登记过的单位，流水里付的钱直接算项目成本。建账日期之前的应付不在这里录，在【期初余额】② 按单位×项目填累计数。</t>
        </is>
      </c>
    </row>
    <row r="3"/>
    <row r="4" ht="34" customHeight="1">
      <c r="A4" s="42" t="inlineStr">
        <is>
          <t>序号</t>
        </is>
      </c>
      <c r="B4" s="42" t="inlineStr">
        <is>
          <t>发生日期</t>
        </is>
      </c>
      <c r="C4" s="42" t="inlineStr">
        <is>
          <t>类型</t>
        </is>
      </c>
      <c r="D4" s="42" t="inlineStr">
        <is>
          <t>单位</t>
        </is>
      </c>
      <c r="E4" s="42" t="inlineStr">
        <is>
          <t>项目</t>
        </is>
      </c>
      <c r="F4" s="42" t="inlineStr">
        <is>
          <t>内容（材料名称 / 分包内容 / 台班）</t>
        </is>
      </c>
      <c r="G4" s="42" t="inlineStr">
        <is>
          <t>应付金额
（含税）</t>
        </is>
      </c>
      <c r="H4" s="42" t="inlineStr">
        <is>
          <t>票的税率
（备查）</t>
        </is>
      </c>
      <c r="I4" s="42" t="inlineStr">
        <is>
          <t>备注</t>
        </is>
      </c>
      <c r="J4" s="42" t="inlineStr">
        <is>
          <t>年月</t>
        </is>
      </c>
      <c r="K4" s="42" t="inlineStr">
        <is>
          <t>校验</t>
        </is>
      </c>
      <c r="L4" t="inlineStr">
        <is>
          <t>单位类型</t>
        </is>
      </c>
    </row>
    <row r="5">
      <c r="A5" s="43">
        <f t="shared" ref="A5:A1004" si="0">IF(AND(B5="",D5="",G5=""),"",ROW()-4)</f>
        <v>1</v>
      </c>
      <c r="B5" s="44" t="n">
        <v>46174</v>
      </c>
      <c r="C5" s="45" t="inlineStr">
        <is>
          <t>机械运输</t>
        </is>
      </c>
      <c r="D5" s="50" t="inlineStr">
        <is>
          <t>德安县恒建工程部</t>
        </is>
      </c>
      <c r="E5" s="45" t="inlineStr">
        <is>
          <t>德安农商行总部</t>
        </is>
      </c>
      <c r="F5" s="50" t="inlineStr">
        <is>
          <t>机械费表：7/2 九江银行付</t>
        </is>
      </c>
      <c r="G5" s="47" t="n">
        <v>800</v>
      </c>
      <c r="H5" s="52" t="n">
        <v>0.01</v>
      </c>
      <c r="I5" s="50" t="n"/>
      <c r="J5" s="53">
        <f t="shared" ref="J5:J1004" si="1">IF(ISNUMBER(B5),YEAR(B5)*100+MONTH(B5),"")</f>
        <v>202606</v>
      </c>
      <c r="K5" s="49" t="str">
        <f t="shared" ref="K5:K1004" si="2">IF(AND(B5="",D5="",G5=""),"",IF(NOT(ISNUMBER(B5)),"✗ 日期要填成日期",IF(B5&lt;基础资料!$C$9,"✗ 早于建账日期（建账前的放【期初余额】②）",IF(C5="","✗ 选类型",IF(D5="","✗ 填单位",IF(COUNTIF(往来单位!$B$4:$B$303,D5)=0,"✗ 单位没在【往来单位】登记",IF(E5="","✗ 选项目（分不清的挑主要那个项目）",IF(COUNTIF(项目档案!$B$4:$B$63,E5)=0,"✗ 项目不在【项目档案】里",IF(N(G5)=0,"✗ 没有金额","√")))))))))</f>
        <v>√</v>
      </c>
      <c r="L5" s="2" t="str">
        <f t="shared" ref="L5:L1004" si="3">IF(D5="","",IFERROR(INDEX(往来单位!$C$4:$C$303,MATCH(D5,往来单位!$B$4:$B$303,0))&amp;"",""))</f>
        <v>机械运输</v>
      </c>
    </row>
    <row r="6">
      <c r="A6" s="43">
        <f t="shared" si="0"/>
        <v>2</v>
      </c>
      <c r="B6" s="44" t="n">
        <v>46173</v>
      </c>
      <c r="C6" s="45" t="inlineStr">
        <is>
          <t>机械运输</t>
        </is>
      </c>
      <c r="D6" s="50" t="inlineStr">
        <is>
          <t>航帆增辉</t>
        </is>
      </c>
      <c r="E6" s="45" t="inlineStr">
        <is>
          <t>邹桥派出所</t>
        </is>
      </c>
      <c r="F6" s="50" t="inlineStr">
        <is>
          <t>机械费表：王伟垫付</t>
        </is>
      </c>
      <c r="G6" s="47" t="n">
        <v>1000</v>
      </c>
      <c r="H6" s="52" t="n"/>
      <c r="I6" s="50" t="n"/>
      <c r="J6" s="53">
        <f t="shared" si="1"/>
        <v>202605</v>
      </c>
      <c r="K6" s="49" t="str">
        <f t="shared" si="2"/>
        <v>√</v>
      </c>
      <c r="L6" s="2" t="str">
        <f t="shared" si="3"/>
        <v>机械运输</v>
      </c>
    </row>
    <row r="7">
      <c r="A7" s="43">
        <f t="shared" si="0"/>
        <v>3</v>
      </c>
      <c r="B7" s="44" t="n">
        <v>46172</v>
      </c>
      <c r="C7" s="45" t="inlineStr">
        <is>
          <t>机械运输</t>
        </is>
      </c>
      <c r="D7" s="50" t="inlineStr">
        <is>
          <t>章德吉货运</t>
        </is>
      </c>
      <c r="E7" s="45" t="inlineStr">
        <is>
          <t>邹桥派出所</t>
        </is>
      </c>
      <c r="F7" s="50" t="inlineStr">
        <is>
          <t>机械费表：王伟垫付（运输）</t>
        </is>
      </c>
      <c r="G7" s="47" t="n">
        <v>280</v>
      </c>
      <c r="H7" s="52" t="n"/>
      <c r="I7" s="50" t="n"/>
      <c r="J7" s="53">
        <f t="shared" si="1"/>
        <v>202605</v>
      </c>
      <c r="K7" s="49" t="str">
        <f t="shared" si="2"/>
        <v>√</v>
      </c>
      <c r="L7" s="2" t="str">
        <f t="shared" si="3"/>
        <v>机械运输</v>
      </c>
    </row>
    <row r="8">
      <c r="A8" s="43">
        <f t="shared" si="0"/>
      </c>
      <c r="B8" s="44" t="n"/>
      <c r="C8" s="45" t="n"/>
      <c r="D8" s="50" t="n"/>
      <c r="E8" s="45" t="n"/>
      <c r="F8" s="50" t="n"/>
      <c r="G8" s="47" t="n"/>
      <c r="H8" s="52" t="n"/>
      <c r="I8" s="50" t="n"/>
      <c r="J8" s="53">
        <f t="shared" si="1"/>
      </c>
      <c r="K8" s="49">
        <f t="shared" si="2"/>
      </c>
      <c r="L8" s="2">
        <f t="shared" si="3"/>
      </c>
    </row>
    <row r="9">
      <c r="A9" s="43">
        <f t="shared" si="0"/>
      </c>
      <c r="B9" s="44" t="n"/>
      <c r="C9" s="45" t="n"/>
      <c r="D9" s="50" t="n"/>
      <c r="E9" s="45" t="n"/>
      <c r="F9" s="50" t="n"/>
      <c r="G9" s="47" t="n"/>
      <c r="H9" s="52" t="n"/>
      <c r="I9" s="50" t="n"/>
      <c r="J9" s="53">
        <f t="shared" si="1"/>
      </c>
      <c r="K9" s="49">
        <f t="shared" si="2"/>
      </c>
      <c r="L9" s="2">
        <f t="shared" si="3"/>
      </c>
    </row>
    <row r="10">
      <c r="A10" s="43">
        <f t="shared" si="0"/>
      </c>
      <c r="B10" s="44" t="n"/>
      <c r="C10" s="45" t="n"/>
      <c r="D10" s="50" t="n"/>
      <c r="E10" s="45" t="n"/>
      <c r="F10" s="50" t="n"/>
      <c r="G10" s="47" t="n"/>
      <c r="H10" s="52" t="n"/>
      <c r="I10" s="50" t="n"/>
      <c r="J10" s="53">
        <f t="shared" si="1"/>
      </c>
      <c r="K10" s="49">
        <f t="shared" si="2"/>
      </c>
      <c r="L10" s="2">
        <f t="shared" si="3"/>
      </c>
    </row>
    <row r="11">
      <c r="A11" s="43">
        <f t="shared" si="0"/>
      </c>
      <c r="B11" s="44" t="n"/>
      <c r="C11" s="45" t="n"/>
      <c r="D11" s="50" t="n"/>
      <c r="E11" s="45" t="n"/>
      <c r="F11" s="50" t="n"/>
      <c r="G11" s="47" t="n"/>
      <c r="H11" s="52" t="n"/>
      <c r="I11" s="50" t="n"/>
      <c r="J11" s="53">
        <f t="shared" si="1"/>
      </c>
      <c r="K11" s="49">
        <f t="shared" si="2"/>
      </c>
      <c r="L11" s="2">
        <f t="shared" si="3"/>
      </c>
    </row>
    <row r="12">
      <c r="A12" s="43">
        <f t="shared" si="0"/>
      </c>
      <c r="B12" s="44" t="n"/>
      <c r="C12" s="45" t="n"/>
      <c r="D12" s="50" t="n"/>
      <c r="E12" s="45" t="n"/>
      <c r="F12" s="50" t="n"/>
      <c r="G12" s="47" t="n"/>
      <c r="H12" s="52" t="n"/>
      <c r="I12" s="50" t="n"/>
      <c r="J12" s="53">
        <f t="shared" si="1"/>
      </c>
      <c r="K12" s="49">
        <f t="shared" si="2"/>
      </c>
      <c r="L12" s="2">
        <f t="shared" si="3"/>
      </c>
    </row>
    <row r="13">
      <c r="A13" s="43">
        <f t="shared" si="0"/>
      </c>
      <c r="B13" s="44" t="n"/>
      <c r="C13" s="45" t="n"/>
      <c r="D13" s="50" t="n"/>
      <c r="E13" s="45" t="n"/>
      <c r="F13" s="50" t="n"/>
      <c r="G13" s="47" t="n"/>
      <c r="H13" s="52" t="n"/>
      <c r="I13" s="50" t="n"/>
      <c r="J13" s="53">
        <f t="shared" si="1"/>
      </c>
      <c r="K13" s="49">
        <f t="shared" si="2"/>
      </c>
      <c r="L13" s="2">
        <f t="shared" si="3"/>
      </c>
    </row>
    <row r="14">
      <c r="A14" s="43">
        <f t="shared" si="0"/>
      </c>
      <c r="B14" s="44" t="n"/>
      <c r="C14" s="45" t="n"/>
      <c r="D14" s="50" t="n"/>
      <c r="E14" s="45" t="n"/>
      <c r="F14" s="50" t="n"/>
      <c r="G14" s="47" t="n"/>
      <c r="H14" s="52" t="n"/>
      <c r="I14" s="50" t="n"/>
      <c r="J14" s="53">
        <f t="shared" si="1"/>
      </c>
      <c r="K14" s="49">
        <f t="shared" si="2"/>
      </c>
      <c r="L14" s="2">
        <f t="shared" si="3"/>
      </c>
    </row>
    <row r="15">
      <c r="A15" s="43">
        <f t="shared" si="0"/>
      </c>
      <c r="B15" s="44" t="n"/>
      <c r="C15" s="45" t="n"/>
      <c r="D15" s="50" t="n"/>
      <c r="E15" s="45" t="n"/>
      <c r="F15" s="50" t="n"/>
      <c r="G15" s="47" t="n"/>
      <c r="H15" s="52" t="n"/>
      <c r="I15" s="50" t="n"/>
      <c r="J15" s="53">
        <f t="shared" si="1"/>
      </c>
      <c r="K15" s="49">
        <f t="shared" si="2"/>
      </c>
      <c r="L15" s="2">
        <f t="shared" si="3"/>
      </c>
    </row>
    <row r="16">
      <c r="A16" s="43">
        <f t="shared" si="0"/>
      </c>
      <c r="B16" s="44" t="n"/>
      <c r="C16" s="45" t="n"/>
      <c r="D16" s="50" t="n"/>
      <c r="E16" s="45" t="n"/>
      <c r="F16" s="50" t="n"/>
      <c r="G16" s="47" t="n"/>
      <c r="H16" s="52" t="n"/>
      <c r="I16" s="50" t="n"/>
      <c r="J16" s="53">
        <f t="shared" si="1"/>
      </c>
      <c r="K16" s="49">
        <f t="shared" si="2"/>
      </c>
      <c r="L16" s="2">
        <f t="shared" si="3"/>
      </c>
    </row>
    <row r="17">
      <c r="A17" s="43">
        <f t="shared" si="0"/>
      </c>
      <c r="B17" s="44" t="n"/>
      <c r="C17" s="45" t="n"/>
      <c r="D17" s="50" t="n"/>
      <c r="E17" s="45" t="n"/>
      <c r="F17" s="50" t="n"/>
      <c r="G17" s="47" t="n"/>
      <c r="H17" s="52" t="n"/>
      <c r="I17" s="50" t="n"/>
      <c r="J17" s="53">
        <f t="shared" si="1"/>
      </c>
      <c r="K17" s="49">
        <f t="shared" si="2"/>
      </c>
      <c r="L17" s="2">
        <f t="shared" si="3"/>
      </c>
    </row>
    <row r="18">
      <c r="A18" s="43">
        <f t="shared" si="0"/>
      </c>
      <c r="B18" s="44" t="n"/>
      <c r="C18" s="45" t="n"/>
      <c r="D18" s="50" t="n"/>
      <c r="E18" s="45" t="n"/>
      <c r="F18" s="50" t="n"/>
      <c r="G18" s="47" t="n"/>
      <c r="H18" s="52" t="n"/>
      <c r="I18" s="50" t="n"/>
      <c r="J18" s="53">
        <f t="shared" si="1"/>
      </c>
      <c r="K18" s="49">
        <f t="shared" si="2"/>
      </c>
      <c r="L18" s="2">
        <f t="shared" si="3"/>
      </c>
    </row>
    <row r="19">
      <c r="A19" s="43">
        <f t="shared" si="0"/>
      </c>
      <c r="B19" s="44" t="n"/>
      <c r="C19" s="45" t="n"/>
      <c r="D19" s="50" t="n"/>
      <c r="E19" s="45" t="n"/>
      <c r="F19" s="50" t="n"/>
      <c r="G19" s="47" t="n"/>
      <c r="H19" s="52" t="n"/>
      <c r="I19" s="50" t="n"/>
      <c r="J19" s="53">
        <f t="shared" si="1"/>
      </c>
      <c r="K19" s="49">
        <f t="shared" si="2"/>
      </c>
      <c r="L19" s="2">
        <f t="shared" si="3"/>
      </c>
    </row>
    <row r="20">
      <c r="A20" s="43">
        <f t="shared" si="0"/>
      </c>
      <c r="B20" s="44" t="n"/>
      <c r="C20" s="45" t="n"/>
      <c r="D20" s="50" t="n"/>
      <c r="E20" s="45" t="n"/>
      <c r="F20" s="50" t="n"/>
      <c r="G20" s="47" t="n"/>
      <c r="H20" s="52" t="n"/>
      <c r="I20" s="50" t="n"/>
      <c r="J20" s="53">
        <f t="shared" si="1"/>
      </c>
      <c r="K20" s="49">
        <f t="shared" si="2"/>
      </c>
      <c r="L20" s="2">
        <f t="shared" si="3"/>
      </c>
    </row>
    <row r="21">
      <c r="A21" s="43">
        <f t="shared" si="0"/>
      </c>
      <c r="B21" s="44" t="n"/>
      <c r="C21" s="45" t="n"/>
      <c r="D21" s="50" t="n"/>
      <c r="E21" s="45" t="n"/>
      <c r="F21" s="50" t="n"/>
      <c r="G21" s="47" t="n"/>
      <c r="H21" s="52" t="n"/>
      <c r="I21" s="50" t="n"/>
      <c r="J21" s="53">
        <f t="shared" si="1"/>
      </c>
      <c r="K21" s="49">
        <f t="shared" si="2"/>
      </c>
      <c r="L21" s="2">
        <f t="shared" si="3"/>
      </c>
    </row>
    <row r="22">
      <c r="A22" s="43">
        <f t="shared" si="0"/>
      </c>
      <c r="B22" s="44" t="n"/>
      <c r="C22" s="45" t="n"/>
      <c r="D22" s="50" t="n"/>
      <c r="E22" s="45" t="n"/>
      <c r="F22" s="50" t="n"/>
      <c r="G22" s="47" t="n"/>
      <c r="H22" s="52" t="n"/>
      <c r="I22" s="50" t="n"/>
      <c r="J22" s="53">
        <f t="shared" si="1"/>
      </c>
      <c r="K22" s="49">
        <f t="shared" si="2"/>
      </c>
      <c r="L22" s="2">
        <f t="shared" si="3"/>
      </c>
    </row>
    <row r="23">
      <c r="A23" s="43">
        <f t="shared" si="0"/>
      </c>
      <c r="B23" s="44" t="n"/>
      <c r="C23" s="45" t="n"/>
      <c r="D23" s="50" t="n"/>
      <c r="E23" s="45" t="n"/>
      <c r="F23" s="50" t="n"/>
      <c r="G23" s="47" t="n"/>
      <c r="H23" s="52" t="n"/>
      <c r="I23" s="50" t="n"/>
      <c r="J23" s="53">
        <f t="shared" si="1"/>
      </c>
      <c r="K23" s="49">
        <f t="shared" si="2"/>
      </c>
      <c r="L23" s="2">
        <f t="shared" si="3"/>
      </c>
    </row>
    <row r="24">
      <c r="A24" s="43">
        <f t="shared" si="0"/>
      </c>
      <c r="B24" s="44" t="n"/>
      <c r="C24" s="45" t="n"/>
      <c r="D24" s="50" t="n"/>
      <c r="E24" s="45" t="n"/>
      <c r="F24" s="50" t="n"/>
      <c r="G24" s="47" t="n"/>
      <c r="H24" s="52" t="n"/>
      <c r="I24" s="50" t="n"/>
      <c r="J24" s="53">
        <f t="shared" si="1"/>
      </c>
      <c r="K24" s="49">
        <f t="shared" si="2"/>
      </c>
      <c r="L24" s="2">
        <f t="shared" si="3"/>
      </c>
    </row>
    <row r="25">
      <c r="A25" s="43">
        <f t="shared" si="0"/>
      </c>
      <c r="B25" s="44" t="n"/>
      <c r="C25" s="45" t="n"/>
      <c r="D25" s="50" t="n"/>
      <c r="E25" s="45" t="n"/>
      <c r="F25" s="50" t="n"/>
      <c r="G25" s="47" t="n"/>
      <c r="H25" s="52" t="n"/>
      <c r="I25" s="50" t="n"/>
      <c r="J25" s="53">
        <f t="shared" si="1"/>
      </c>
      <c r="K25" s="49">
        <f t="shared" si="2"/>
      </c>
      <c r="L25" s="2">
        <f t="shared" si="3"/>
      </c>
    </row>
    <row r="26">
      <c r="A26" s="43">
        <f t="shared" si="0"/>
      </c>
      <c r="B26" s="44" t="n"/>
      <c r="C26" s="45" t="n"/>
      <c r="D26" s="50" t="n"/>
      <c r="E26" s="45" t="n"/>
      <c r="F26" s="50" t="n"/>
      <c r="G26" s="47" t="n"/>
      <c r="H26" s="52" t="n"/>
      <c r="I26" s="50" t="n"/>
      <c r="J26" s="53">
        <f t="shared" si="1"/>
      </c>
      <c r="K26" s="49">
        <f t="shared" si="2"/>
      </c>
      <c r="L26" s="2">
        <f t="shared" si="3"/>
      </c>
    </row>
    <row r="27">
      <c r="A27" s="43">
        <f t="shared" si="0"/>
      </c>
      <c r="B27" s="44" t="n"/>
      <c r="C27" s="45" t="n"/>
      <c r="D27" s="50" t="n"/>
      <c r="E27" s="45" t="n"/>
      <c r="F27" s="50" t="n"/>
      <c r="G27" s="47" t="n"/>
      <c r="H27" s="52" t="n"/>
      <c r="I27" s="50" t="n"/>
      <c r="J27" s="53">
        <f t="shared" si="1"/>
      </c>
      <c r="K27" s="49">
        <f t="shared" si="2"/>
      </c>
      <c r="L27" s="2">
        <f t="shared" si="3"/>
      </c>
    </row>
    <row r="28">
      <c r="A28" s="43">
        <f t="shared" si="0"/>
      </c>
      <c r="B28" s="44" t="n"/>
      <c r="C28" s="45" t="n"/>
      <c r="D28" s="50" t="n"/>
      <c r="E28" s="45" t="n"/>
      <c r="F28" s="50" t="n"/>
      <c r="G28" s="47" t="n"/>
      <c r="H28" s="52" t="n"/>
      <c r="I28" s="50" t="n"/>
      <c r="J28" s="53">
        <f t="shared" si="1"/>
      </c>
      <c r="K28" s="49">
        <f t="shared" si="2"/>
      </c>
      <c r="L28" s="2">
        <f t="shared" si="3"/>
      </c>
    </row>
    <row r="29">
      <c r="A29" s="43">
        <f t="shared" si="0"/>
      </c>
      <c r="B29" s="44" t="n"/>
      <c r="C29" s="45" t="n"/>
      <c r="D29" s="50" t="n"/>
      <c r="E29" s="45" t="n"/>
      <c r="F29" s="50" t="n"/>
      <c r="G29" s="47" t="n"/>
      <c r="H29" s="52" t="n"/>
      <c r="I29" s="50" t="n"/>
      <c r="J29" s="53">
        <f t="shared" si="1"/>
      </c>
      <c r="K29" s="49">
        <f t="shared" si="2"/>
      </c>
      <c r="L29" s="2">
        <f t="shared" si="3"/>
      </c>
    </row>
    <row r="30">
      <c r="A30" s="43">
        <f t="shared" si="0"/>
      </c>
      <c r="B30" s="44" t="n"/>
      <c r="C30" s="45" t="n"/>
      <c r="D30" s="50" t="n"/>
      <c r="E30" s="45" t="n"/>
      <c r="F30" s="50" t="n"/>
      <c r="G30" s="47" t="n"/>
      <c r="H30" s="52" t="n"/>
      <c r="I30" s="50" t="n"/>
      <c r="J30" s="53">
        <f t="shared" si="1"/>
      </c>
      <c r="K30" s="49">
        <f t="shared" si="2"/>
      </c>
      <c r="L30" s="2">
        <f t="shared" si="3"/>
      </c>
    </row>
    <row r="31">
      <c r="A31" s="43">
        <f t="shared" si="0"/>
      </c>
      <c r="B31" s="44" t="n"/>
      <c r="C31" s="45" t="n"/>
      <c r="D31" s="50" t="n"/>
      <c r="E31" s="45" t="n"/>
      <c r="F31" s="50" t="n"/>
      <c r="G31" s="47" t="n"/>
      <c r="H31" s="52" t="n"/>
      <c r="I31" s="50" t="n"/>
      <c r="J31" s="53">
        <f t="shared" si="1"/>
      </c>
      <c r="K31" s="49">
        <f t="shared" si="2"/>
      </c>
      <c r="L31" s="2">
        <f t="shared" si="3"/>
      </c>
    </row>
    <row r="32">
      <c r="A32" s="43">
        <f t="shared" si="0"/>
      </c>
      <c r="B32" s="44" t="n"/>
      <c r="C32" s="45" t="n"/>
      <c r="D32" s="50" t="n"/>
      <c r="E32" s="45" t="n"/>
      <c r="F32" s="50" t="n"/>
      <c r="G32" s="47" t="n"/>
      <c r="H32" s="52" t="n"/>
      <c r="I32" s="50" t="n"/>
      <c r="J32" s="53">
        <f t="shared" si="1"/>
      </c>
      <c r="K32" s="49">
        <f t="shared" si="2"/>
      </c>
      <c r="L32" s="2">
        <f t="shared" si="3"/>
      </c>
    </row>
    <row r="33">
      <c r="A33" s="43">
        <f t="shared" si="0"/>
      </c>
      <c r="B33" s="44" t="n"/>
      <c r="C33" s="45" t="n"/>
      <c r="D33" s="50" t="n"/>
      <c r="E33" s="45" t="n"/>
      <c r="F33" s="50" t="n"/>
      <c r="G33" s="47" t="n"/>
      <c r="H33" s="52" t="n"/>
      <c r="I33" s="50" t="n"/>
      <c r="J33" s="53">
        <f t="shared" si="1"/>
      </c>
      <c r="K33" s="49">
        <f t="shared" si="2"/>
      </c>
      <c r="L33" s="2">
        <f t="shared" si="3"/>
      </c>
    </row>
    <row r="34">
      <c r="A34" s="43">
        <f t="shared" si="0"/>
      </c>
      <c r="B34" s="44" t="n"/>
      <c r="C34" s="45" t="n"/>
      <c r="D34" s="50" t="n"/>
      <c r="E34" s="45" t="n"/>
      <c r="F34" s="50" t="n"/>
      <c r="G34" s="47" t="n"/>
      <c r="H34" s="52" t="n"/>
      <c r="I34" s="50" t="n"/>
      <c r="J34" s="53">
        <f t="shared" si="1"/>
      </c>
      <c r="K34" s="49">
        <f t="shared" si="2"/>
      </c>
      <c r="L34" s="2">
        <f t="shared" si="3"/>
      </c>
    </row>
    <row r="35">
      <c r="A35" s="43">
        <f t="shared" si="0"/>
      </c>
      <c r="B35" s="44" t="n"/>
      <c r="C35" s="45" t="n"/>
      <c r="D35" s="50" t="n"/>
      <c r="E35" s="45" t="n"/>
      <c r="F35" s="50" t="n"/>
      <c r="G35" s="47" t="n"/>
      <c r="H35" s="52" t="n"/>
      <c r="I35" s="50" t="n"/>
      <c r="J35" s="53">
        <f t="shared" si="1"/>
      </c>
      <c r="K35" s="49">
        <f t="shared" si="2"/>
      </c>
      <c r="L35" s="2">
        <f t="shared" si="3"/>
      </c>
    </row>
    <row r="36">
      <c r="A36" s="43">
        <f t="shared" si="0"/>
      </c>
      <c r="B36" s="44" t="n"/>
      <c r="C36" s="45" t="n"/>
      <c r="D36" s="50" t="n"/>
      <c r="E36" s="45" t="n"/>
      <c r="F36" s="50" t="n"/>
      <c r="G36" s="47" t="n"/>
      <c r="H36" s="52" t="n"/>
      <c r="I36" s="50" t="n"/>
      <c r="J36" s="53">
        <f t="shared" si="1"/>
      </c>
      <c r="K36" s="49">
        <f t="shared" si="2"/>
      </c>
      <c r="L36" s="2">
        <f t="shared" si="3"/>
      </c>
    </row>
    <row r="37">
      <c r="A37" s="43">
        <f t="shared" si="0"/>
      </c>
      <c r="B37" s="44" t="n"/>
      <c r="C37" s="45" t="n"/>
      <c r="D37" s="50" t="n"/>
      <c r="E37" s="45" t="n"/>
      <c r="F37" s="50" t="n"/>
      <c r="G37" s="47" t="n"/>
      <c r="H37" s="52" t="n"/>
      <c r="I37" s="50" t="n"/>
      <c r="J37" s="53">
        <f t="shared" si="1"/>
      </c>
      <c r="K37" s="49">
        <f t="shared" si="2"/>
      </c>
      <c r="L37" s="2">
        <f t="shared" si="3"/>
      </c>
    </row>
    <row r="38">
      <c r="A38" s="43">
        <f t="shared" si="0"/>
      </c>
      <c r="B38" s="44" t="n"/>
      <c r="C38" s="45" t="n"/>
      <c r="D38" s="50" t="n"/>
      <c r="E38" s="45" t="n"/>
      <c r="F38" s="50" t="n"/>
      <c r="G38" s="47" t="n"/>
      <c r="H38" s="52" t="n"/>
      <c r="I38" s="50" t="n"/>
      <c r="J38" s="53">
        <f t="shared" si="1"/>
      </c>
      <c r="K38" s="49">
        <f t="shared" si="2"/>
      </c>
      <c r="L38" s="2">
        <f t="shared" si="3"/>
      </c>
    </row>
    <row r="39">
      <c r="A39" s="43">
        <f t="shared" si="0"/>
      </c>
      <c r="B39" s="44" t="n"/>
      <c r="C39" s="45" t="n"/>
      <c r="D39" s="50" t="n"/>
      <c r="E39" s="45" t="n"/>
      <c r="F39" s="50" t="n"/>
      <c r="G39" s="47" t="n"/>
      <c r="H39" s="52" t="n"/>
      <c r="I39" s="50" t="n"/>
      <c r="J39" s="53">
        <f t="shared" si="1"/>
      </c>
      <c r="K39" s="49">
        <f t="shared" si="2"/>
      </c>
      <c r="L39" s="2">
        <f t="shared" si="3"/>
      </c>
    </row>
    <row r="40">
      <c r="A40" s="43">
        <f t="shared" si="0"/>
      </c>
      <c r="B40" s="44" t="n"/>
      <c r="C40" s="45" t="n"/>
      <c r="D40" s="50" t="n"/>
      <c r="E40" s="45" t="n"/>
      <c r="F40" s="50" t="n"/>
      <c r="G40" s="47" t="n"/>
      <c r="H40" s="52" t="n"/>
      <c r="I40" s="50" t="n"/>
      <c r="J40" s="53">
        <f t="shared" si="1"/>
      </c>
      <c r="K40" s="49">
        <f t="shared" si="2"/>
      </c>
      <c r="L40" s="2">
        <f t="shared" si="3"/>
      </c>
    </row>
    <row r="41">
      <c r="A41" s="43">
        <f t="shared" si="0"/>
      </c>
      <c r="B41" s="44" t="n"/>
      <c r="C41" s="45" t="n"/>
      <c r="D41" s="50" t="n"/>
      <c r="E41" s="45" t="n"/>
      <c r="F41" s="50" t="n"/>
      <c r="G41" s="47" t="n"/>
      <c r="H41" s="52" t="n"/>
      <c r="I41" s="50" t="n"/>
      <c r="J41" s="53">
        <f t="shared" si="1"/>
      </c>
      <c r="K41" s="49">
        <f t="shared" si="2"/>
      </c>
      <c r="L41" s="2">
        <f t="shared" si="3"/>
      </c>
    </row>
    <row r="42">
      <c r="A42" s="43">
        <f t="shared" si="0"/>
      </c>
      <c r="B42" s="44" t="n"/>
      <c r="C42" s="45" t="n"/>
      <c r="D42" s="50" t="n"/>
      <c r="E42" s="45" t="n"/>
      <c r="F42" s="50" t="n"/>
      <c r="G42" s="47" t="n"/>
      <c r="H42" s="52" t="n"/>
      <c r="I42" s="50" t="n"/>
      <c r="J42" s="53">
        <f t="shared" si="1"/>
      </c>
      <c r="K42" s="49">
        <f t="shared" si="2"/>
      </c>
      <c r="L42" s="2">
        <f t="shared" si="3"/>
      </c>
    </row>
    <row r="43">
      <c r="A43" s="43">
        <f t="shared" si="0"/>
      </c>
      <c r="B43" s="44" t="n"/>
      <c r="C43" s="45" t="n"/>
      <c r="D43" s="50" t="n"/>
      <c r="E43" s="45" t="n"/>
      <c r="F43" s="50" t="n"/>
      <c r="G43" s="47" t="n"/>
      <c r="H43" s="52" t="n"/>
      <c r="I43" s="50" t="n"/>
      <c r="J43" s="53">
        <f t="shared" si="1"/>
      </c>
      <c r="K43" s="49">
        <f t="shared" si="2"/>
      </c>
      <c r="L43" s="2">
        <f t="shared" si="3"/>
      </c>
    </row>
    <row r="44">
      <c r="A44" s="43">
        <f t="shared" si="0"/>
      </c>
      <c r="B44" s="44" t="n"/>
      <c r="C44" s="45" t="n"/>
      <c r="D44" s="50" t="n"/>
      <c r="E44" s="45" t="n"/>
      <c r="F44" s="50" t="n"/>
      <c r="G44" s="47" t="n"/>
      <c r="H44" s="52" t="n"/>
      <c r="I44" s="50" t="n"/>
      <c r="J44" s="53">
        <f t="shared" si="1"/>
      </c>
      <c r="K44" s="49">
        <f t="shared" si="2"/>
      </c>
      <c r="L44" s="2">
        <f t="shared" si="3"/>
      </c>
    </row>
    <row r="45">
      <c r="A45" s="43">
        <f t="shared" si="0"/>
      </c>
      <c r="B45" s="44" t="n"/>
      <c r="C45" s="45" t="n"/>
      <c r="D45" s="50" t="n"/>
      <c r="E45" s="45" t="n"/>
      <c r="F45" s="50" t="n"/>
      <c r="G45" s="47" t="n"/>
      <c r="H45" s="52" t="n"/>
      <c r="I45" s="50" t="n"/>
      <c r="J45" s="53">
        <f t="shared" si="1"/>
      </c>
      <c r="K45" s="49">
        <f t="shared" si="2"/>
      </c>
      <c r="L45" s="2">
        <f t="shared" si="3"/>
      </c>
    </row>
    <row r="46">
      <c r="A46" s="43">
        <f t="shared" si="0"/>
      </c>
      <c r="B46" s="44" t="n"/>
      <c r="C46" s="45" t="n"/>
      <c r="D46" s="50" t="n"/>
      <c r="E46" s="45" t="n"/>
      <c r="F46" s="50" t="n"/>
      <c r="G46" s="47" t="n"/>
      <c r="H46" s="52" t="n"/>
      <c r="I46" s="50" t="n"/>
      <c r="J46" s="53">
        <f t="shared" si="1"/>
      </c>
      <c r="K46" s="49">
        <f t="shared" si="2"/>
      </c>
      <c r="L46" s="2">
        <f t="shared" si="3"/>
      </c>
    </row>
    <row r="47">
      <c r="A47" s="43">
        <f t="shared" si="0"/>
      </c>
      <c r="B47" s="44" t="n"/>
      <c r="C47" s="45" t="n"/>
      <c r="D47" s="50" t="n"/>
      <c r="E47" s="45" t="n"/>
      <c r="F47" s="50" t="n"/>
      <c r="G47" s="47" t="n"/>
      <c r="H47" s="52" t="n"/>
      <c r="I47" s="50" t="n"/>
      <c r="J47" s="53">
        <f t="shared" si="1"/>
      </c>
      <c r="K47" s="49">
        <f t="shared" si="2"/>
      </c>
      <c r="L47" s="2">
        <f t="shared" si="3"/>
      </c>
    </row>
    <row r="48">
      <c r="A48" s="43">
        <f t="shared" si="0"/>
      </c>
      <c r="B48" s="44" t="n"/>
      <c r="C48" s="45" t="n"/>
      <c r="D48" s="50" t="n"/>
      <c r="E48" s="45" t="n"/>
      <c r="F48" s="50" t="n"/>
      <c r="G48" s="47" t="n"/>
      <c r="H48" s="52" t="n"/>
      <c r="I48" s="50" t="n"/>
      <c r="J48" s="53">
        <f t="shared" si="1"/>
      </c>
      <c r="K48" s="49">
        <f t="shared" si="2"/>
      </c>
      <c r="L48" s="2">
        <f t="shared" si="3"/>
      </c>
    </row>
    <row r="49">
      <c r="A49" s="43">
        <f t="shared" si="0"/>
      </c>
      <c r="B49" s="44" t="n"/>
      <c r="C49" s="45" t="n"/>
      <c r="D49" s="50" t="n"/>
      <c r="E49" s="45" t="n"/>
      <c r="F49" s="50" t="n"/>
      <c r="G49" s="47" t="n"/>
      <c r="H49" s="52" t="n"/>
      <c r="I49" s="50" t="n"/>
      <c r="J49" s="53">
        <f t="shared" si="1"/>
      </c>
      <c r="K49" s="49">
        <f t="shared" si="2"/>
      </c>
      <c r="L49" s="2">
        <f t="shared" si="3"/>
      </c>
    </row>
    <row r="50">
      <c r="A50" s="43">
        <f t="shared" si="0"/>
      </c>
      <c r="B50" s="44" t="n"/>
      <c r="C50" s="45" t="n"/>
      <c r="D50" s="50" t="n"/>
      <c r="E50" s="45" t="n"/>
      <c r="F50" s="50" t="n"/>
      <c r="G50" s="47" t="n"/>
      <c r="H50" s="52" t="n"/>
      <c r="I50" s="50" t="n"/>
      <c r="J50" s="53">
        <f t="shared" si="1"/>
      </c>
      <c r="K50" s="49">
        <f t="shared" si="2"/>
      </c>
      <c r="L50" s="2">
        <f t="shared" si="3"/>
      </c>
    </row>
    <row r="51">
      <c r="A51" s="43">
        <f t="shared" si="0"/>
      </c>
      <c r="B51" s="44" t="n"/>
      <c r="C51" s="45" t="n"/>
      <c r="D51" s="50" t="n"/>
      <c r="E51" s="45" t="n"/>
      <c r="F51" s="50" t="n"/>
      <c r="G51" s="47" t="n"/>
      <c r="H51" s="52" t="n"/>
      <c r="I51" s="50" t="n"/>
      <c r="J51" s="53">
        <f t="shared" si="1"/>
      </c>
      <c r="K51" s="49">
        <f t="shared" si="2"/>
      </c>
      <c r="L51" s="2">
        <f t="shared" si="3"/>
      </c>
    </row>
    <row r="52">
      <c r="A52" s="43">
        <f t="shared" si="0"/>
      </c>
      <c r="B52" s="44" t="n"/>
      <c r="C52" s="45" t="n"/>
      <c r="D52" s="50" t="n"/>
      <c r="E52" s="45" t="n"/>
      <c r="F52" s="50" t="n"/>
      <c r="G52" s="47" t="n"/>
      <c r="H52" s="52" t="n"/>
      <c r="I52" s="50" t="n"/>
      <c r="J52" s="53">
        <f t="shared" si="1"/>
      </c>
      <c r="K52" s="49">
        <f t="shared" si="2"/>
      </c>
      <c r="L52" s="2">
        <f t="shared" si="3"/>
      </c>
    </row>
    <row r="53">
      <c r="A53" s="43">
        <f t="shared" si="0"/>
      </c>
      <c r="B53" s="44" t="n"/>
      <c r="C53" s="45" t="n"/>
      <c r="D53" s="50" t="n"/>
      <c r="E53" s="45" t="n"/>
      <c r="F53" s="50" t="n"/>
      <c r="G53" s="47" t="n"/>
      <c r="H53" s="52" t="n"/>
      <c r="I53" s="50" t="n"/>
      <c r="J53" s="53">
        <f t="shared" si="1"/>
      </c>
      <c r="K53" s="49">
        <f t="shared" si="2"/>
      </c>
      <c r="L53" s="2">
        <f t="shared" si="3"/>
      </c>
    </row>
    <row r="54">
      <c r="A54" s="43">
        <f t="shared" si="0"/>
      </c>
      <c r="B54" s="44" t="n"/>
      <c r="C54" s="45" t="n"/>
      <c r="D54" s="50" t="n"/>
      <c r="E54" s="45" t="n"/>
      <c r="F54" s="50" t="n"/>
      <c r="G54" s="47" t="n"/>
      <c r="H54" s="52" t="n"/>
      <c r="I54" s="50" t="n"/>
      <c r="J54" s="53">
        <f t="shared" si="1"/>
      </c>
      <c r="K54" s="49">
        <f t="shared" si="2"/>
      </c>
      <c r="L54" s="2">
        <f t="shared" si="3"/>
      </c>
    </row>
    <row r="55">
      <c r="A55" s="43">
        <f t="shared" si="0"/>
      </c>
      <c r="B55" s="44" t="n"/>
      <c r="C55" s="45" t="n"/>
      <c r="D55" s="50" t="n"/>
      <c r="E55" s="45" t="n"/>
      <c r="F55" s="50" t="n"/>
      <c r="G55" s="47" t="n"/>
      <c r="H55" s="52" t="n"/>
      <c r="I55" s="50" t="n"/>
      <c r="J55" s="53">
        <f t="shared" si="1"/>
      </c>
      <c r="K55" s="49">
        <f t="shared" si="2"/>
      </c>
      <c r="L55" s="2">
        <f t="shared" si="3"/>
      </c>
    </row>
    <row r="56">
      <c r="A56" s="43">
        <f t="shared" si="0"/>
      </c>
      <c r="B56" s="44" t="n"/>
      <c r="C56" s="45" t="n"/>
      <c r="D56" s="50" t="n"/>
      <c r="E56" s="45" t="n"/>
      <c r="F56" s="50" t="n"/>
      <c r="G56" s="47" t="n"/>
      <c r="H56" s="52" t="n"/>
      <c r="I56" s="50" t="n"/>
      <c r="J56" s="53">
        <f t="shared" si="1"/>
      </c>
      <c r="K56" s="49">
        <f t="shared" si="2"/>
      </c>
      <c r="L56" s="2">
        <f t="shared" si="3"/>
      </c>
    </row>
    <row r="57">
      <c r="A57" s="43">
        <f t="shared" si="0"/>
      </c>
      <c r="B57" s="44" t="n"/>
      <c r="C57" s="45" t="n"/>
      <c r="D57" s="50" t="n"/>
      <c r="E57" s="45" t="n"/>
      <c r="F57" s="50" t="n"/>
      <c r="G57" s="47" t="n"/>
      <c r="H57" s="52" t="n"/>
      <c r="I57" s="50" t="n"/>
      <c r="J57" s="53">
        <f t="shared" si="1"/>
      </c>
      <c r="K57" s="49">
        <f t="shared" si="2"/>
      </c>
      <c r="L57" s="2">
        <f t="shared" si="3"/>
      </c>
    </row>
    <row r="58">
      <c r="A58" s="43">
        <f t="shared" si="0"/>
      </c>
      <c r="B58" s="44" t="n"/>
      <c r="C58" s="45" t="n"/>
      <c r="D58" s="50" t="n"/>
      <c r="E58" s="45" t="n"/>
      <c r="F58" s="50" t="n"/>
      <c r="G58" s="47" t="n"/>
      <c r="H58" s="52" t="n"/>
      <c r="I58" s="50" t="n"/>
      <c r="J58" s="53">
        <f t="shared" si="1"/>
      </c>
      <c r="K58" s="49">
        <f t="shared" si="2"/>
      </c>
      <c r="L58" s="2">
        <f t="shared" si="3"/>
      </c>
    </row>
    <row r="59">
      <c r="A59" s="43">
        <f t="shared" si="0"/>
      </c>
      <c r="B59" s="44" t="n"/>
      <c r="C59" s="45" t="n"/>
      <c r="D59" s="50" t="n"/>
      <c r="E59" s="45" t="n"/>
      <c r="F59" s="50" t="n"/>
      <c r="G59" s="47" t="n"/>
      <c r="H59" s="52" t="n"/>
      <c r="I59" s="50" t="n"/>
      <c r="J59" s="53">
        <f t="shared" si="1"/>
      </c>
      <c r="K59" s="49">
        <f t="shared" si="2"/>
      </c>
      <c r="L59" s="2">
        <f t="shared" si="3"/>
      </c>
    </row>
    <row r="60">
      <c r="A60" s="43">
        <f t="shared" si="0"/>
      </c>
      <c r="B60" s="44" t="n"/>
      <c r="C60" s="45" t="n"/>
      <c r="D60" s="50" t="n"/>
      <c r="E60" s="45" t="n"/>
      <c r="F60" s="50" t="n"/>
      <c r="G60" s="47" t="n"/>
      <c r="H60" s="52" t="n"/>
      <c r="I60" s="50" t="n"/>
      <c r="J60" s="53">
        <f t="shared" si="1"/>
      </c>
      <c r="K60" s="49">
        <f t="shared" si="2"/>
      </c>
      <c r="L60" s="2">
        <f t="shared" si="3"/>
      </c>
    </row>
    <row r="61">
      <c r="A61" s="43">
        <f t="shared" si="0"/>
      </c>
      <c r="B61" s="44" t="n"/>
      <c r="C61" s="45" t="n"/>
      <c r="D61" s="50" t="n"/>
      <c r="E61" s="45" t="n"/>
      <c r="F61" s="50" t="n"/>
      <c r="G61" s="47" t="n"/>
      <c r="H61" s="52" t="n"/>
      <c r="I61" s="50" t="n"/>
      <c r="J61" s="53">
        <f t="shared" si="1"/>
      </c>
      <c r="K61" s="49">
        <f t="shared" si="2"/>
      </c>
      <c r="L61" s="2">
        <f t="shared" si="3"/>
      </c>
    </row>
    <row r="62">
      <c r="A62" s="43">
        <f t="shared" si="0"/>
      </c>
      <c r="B62" s="44" t="n"/>
      <c r="C62" s="45" t="n"/>
      <c r="D62" s="50" t="n"/>
      <c r="E62" s="45" t="n"/>
      <c r="F62" s="50" t="n"/>
      <c r="G62" s="47" t="n"/>
      <c r="H62" s="52" t="n"/>
      <c r="I62" s="50" t="n"/>
      <c r="J62" s="53">
        <f t="shared" si="1"/>
      </c>
      <c r="K62" s="49">
        <f t="shared" si="2"/>
      </c>
      <c r="L62" s="2">
        <f t="shared" si="3"/>
      </c>
    </row>
    <row r="63">
      <c r="A63" s="43">
        <f t="shared" si="0"/>
      </c>
      <c r="B63" s="44" t="n"/>
      <c r="C63" s="45" t="n"/>
      <c r="D63" s="50" t="n"/>
      <c r="E63" s="45" t="n"/>
      <c r="F63" s="50" t="n"/>
      <c r="G63" s="47" t="n"/>
      <c r="H63" s="52" t="n"/>
      <c r="I63" s="50" t="n"/>
      <c r="J63" s="53">
        <f t="shared" si="1"/>
      </c>
      <c r="K63" s="49">
        <f t="shared" si="2"/>
      </c>
      <c r="L63" s="2">
        <f t="shared" si="3"/>
      </c>
    </row>
    <row r="64">
      <c r="A64" s="43">
        <f t="shared" si="0"/>
      </c>
      <c r="B64" s="44" t="n"/>
      <c r="C64" s="45" t="n"/>
      <c r="D64" s="50" t="n"/>
      <c r="E64" s="45" t="n"/>
      <c r="F64" s="50" t="n"/>
      <c r="G64" s="47" t="n"/>
      <c r="H64" s="52" t="n"/>
      <c r="I64" s="50" t="n"/>
      <c r="J64" s="53">
        <f t="shared" si="1"/>
      </c>
      <c r="K64" s="49">
        <f t="shared" si="2"/>
      </c>
      <c r="L64" s="2">
        <f t="shared" si="3"/>
      </c>
    </row>
    <row r="65">
      <c r="A65" s="43">
        <f t="shared" si="0"/>
      </c>
      <c r="B65" s="44" t="n"/>
      <c r="C65" s="45" t="n"/>
      <c r="D65" s="50" t="n"/>
      <c r="E65" s="45" t="n"/>
      <c r="F65" s="50" t="n"/>
      <c r="G65" s="47" t="n"/>
      <c r="H65" s="52" t="n"/>
      <c r="I65" s="50" t="n"/>
      <c r="J65" s="53">
        <f t="shared" si="1"/>
      </c>
      <c r="K65" s="49">
        <f t="shared" si="2"/>
      </c>
      <c r="L65" s="2">
        <f t="shared" si="3"/>
      </c>
    </row>
    <row r="66">
      <c r="A66" s="43">
        <f t="shared" si="0"/>
      </c>
      <c r="B66" s="44" t="n"/>
      <c r="C66" s="45" t="n"/>
      <c r="D66" s="50" t="n"/>
      <c r="E66" s="45" t="n"/>
      <c r="F66" s="50" t="n"/>
      <c r="G66" s="47" t="n"/>
      <c r="H66" s="52" t="n"/>
      <c r="I66" s="50" t="n"/>
      <c r="J66" s="53">
        <f t="shared" si="1"/>
      </c>
      <c r="K66" s="49">
        <f t="shared" si="2"/>
      </c>
      <c r="L66" s="2">
        <f t="shared" si="3"/>
      </c>
    </row>
    <row r="67">
      <c r="A67" s="43">
        <f t="shared" si="0"/>
      </c>
      <c r="B67" s="44" t="n"/>
      <c r="C67" s="45" t="n"/>
      <c r="D67" s="50" t="n"/>
      <c r="E67" s="45" t="n"/>
      <c r="F67" s="50" t="n"/>
      <c r="G67" s="47" t="n"/>
      <c r="H67" s="52" t="n"/>
      <c r="I67" s="50" t="n"/>
      <c r="J67" s="53">
        <f t="shared" si="1"/>
      </c>
      <c r="K67" s="49">
        <f t="shared" si="2"/>
      </c>
      <c r="L67" s="2">
        <f t="shared" si="3"/>
      </c>
    </row>
    <row r="68">
      <c r="A68" s="43">
        <f t="shared" si="0"/>
      </c>
      <c r="B68" s="44" t="n"/>
      <c r="C68" s="45" t="n"/>
      <c r="D68" s="50" t="n"/>
      <c r="E68" s="45" t="n"/>
      <c r="F68" s="50" t="n"/>
      <c r="G68" s="47" t="n"/>
      <c r="H68" s="52" t="n"/>
      <c r="I68" s="50" t="n"/>
      <c r="J68" s="53">
        <f t="shared" si="1"/>
      </c>
      <c r="K68" s="49">
        <f t="shared" si="2"/>
      </c>
      <c r="L68" s="2">
        <f t="shared" si="3"/>
      </c>
    </row>
    <row r="69">
      <c r="A69" s="43">
        <f t="shared" si="0"/>
      </c>
      <c r="B69" s="44" t="n"/>
      <c r="C69" s="45" t="n"/>
      <c r="D69" s="50" t="n"/>
      <c r="E69" s="45" t="n"/>
      <c r="F69" s="50" t="n"/>
      <c r="G69" s="47" t="n"/>
      <c r="H69" s="52" t="n"/>
      <c r="I69" s="50" t="n"/>
      <c r="J69" s="53">
        <f t="shared" si="1"/>
      </c>
      <c r="K69" s="49">
        <f t="shared" si="2"/>
      </c>
      <c r="L69" s="2">
        <f t="shared" si="3"/>
      </c>
    </row>
    <row r="70">
      <c r="A70" s="43">
        <f t="shared" si="0"/>
      </c>
      <c r="B70" s="44" t="n"/>
      <c r="C70" s="45" t="n"/>
      <c r="D70" s="50" t="n"/>
      <c r="E70" s="45" t="n"/>
      <c r="F70" s="50" t="n"/>
      <c r="G70" s="47" t="n"/>
      <c r="H70" s="52" t="n"/>
      <c r="I70" s="50" t="n"/>
      <c r="J70" s="53">
        <f t="shared" si="1"/>
      </c>
      <c r="K70" s="49">
        <f t="shared" si="2"/>
      </c>
      <c r="L70" s="2">
        <f t="shared" si="3"/>
      </c>
    </row>
    <row r="71">
      <c r="A71" s="43">
        <f t="shared" si="0"/>
      </c>
      <c r="B71" s="44" t="n"/>
      <c r="C71" s="45" t="n"/>
      <c r="D71" s="50" t="n"/>
      <c r="E71" s="45" t="n"/>
      <c r="F71" s="50" t="n"/>
      <c r="G71" s="47" t="n"/>
      <c r="H71" s="52" t="n"/>
      <c r="I71" s="50" t="n"/>
      <c r="J71" s="53">
        <f t="shared" si="1"/>
      </c>
      <c r="K71" s="49">
        <f t="shared" si="2"/>
      </c>
      <c r="L71" s="2">
        <f t="shared" si="3"/>
      </c>
    </row>
    <row r="72">
      <c r="A72" s="43">
        <f t="shared" si="0"/>
      </c>
      <c r="B72" s="44" t="n"/>
      <c r="C72" s="45" t="n"/>
      <c r="D72" s="50" t="n"/>
      <c r="E72" s="45" t="n"/>
      <c r="F72" s="50" t="n"/>
      <c r="G72" s="47" t="n"/>
      <c r="H72" s="52" t="n"/>
      <c r="I72" s="50" t="n"/>
      <c r="J72" s="53">
        <f t="shared" si="1"/>
      </c>
      <c r="K72" s="49">
        <f t="shared" si="2"/>
      </c>
      <c r="L72" s="2">
        <f t="shared" si="3"/>
      </c>
    </row>
    <row r="73">
      <c r="A73" s="43">
        <f t="shared" si="0"/>
      </c>
      <c r="B73" s="44" t="n"/>
      <c r="C73" s="45" t="n"/>
      <c r="D73" s="50" t="n"/>
      <c r="E73" s="45" t="n"/>
      <c r="F73" s="50" t="n"/>
      <c r="G73" s="47" t="n"/>
      <c r="H73" s="52" t="n"/>
      <c r="I73" s="50" t="n"/>
      <c r="J73" s="53">
        <f t="shared" si="1"/>
      </c>
      <c r="K73" s="49">
        <f t="shared" si="2"/>
      </c>
      <c r="L73" s="2">
        <f t="shared" si="3"/>
      </c>
    </row>
    <row r="74">
      <c r="A74" s="43">
        <f t="shared" si="0"/>
      </c>
      <c r="B74" s="44" t="n"/>
      <c r="C74" s="45" t="n"/>
      <c r="D74" s="50" t="n"/>
      <c r="E74" s="45" t="n"/>
      <c r="F74" s="50" t="n"/>
      <c r="G74" s="47" t="n"/>
      <c r="H74" s="52" t="n"/>
      <c r="I74" s="50" t="n"/>
      <c r="J74" s="53">
        <f t="shared" si="1"/>
      </c>
      <c r="K74" s="49">
        <f t="shared" si="2"/>
      </c>
      <c r="L74" s="2">
        <f t="shared" si="3"/>
      </c>
    </row>
    <row r="75">
      <c r="A75" s="43">
        <f t="shared" si="0"/>
      </c>
      <c r="B75" s="44" t="n"/>
      <c r="C75" s="45" t="n"/>
      <c r="D75" s="50" t="n"/>
      <c r="E75" s="45" t="n"/>
      <c r="F75" s="50" t="n"/>
      <c r="G75" s="47" t="n"/>
      <c r="H75" s="52" t="n"/>
      <c r="I75" s="50" t="n"/>
      <c r="J75" s="53">
        <f t="shared" si="1"/>
      </c>
      <c r="K75" s="49">
        <f t="shared" si="2"/>
      </c>
      <c r="L75" s="2">
        <f t="shared" si="3"/>
      </c>
    </row>
    <row r="76">
      <c r="A76" s="43">
        <f t="shared" si="0"/>
      </c>
      <c r="B76" s="44" t="n"/>
      <c r="C76" s="45" t="n"/>
      <c r="D76" s="50" t="n"/>
      <c r="E76" s="45" t="n"/>
      <c r="F76" s="50" t="n"/>
      <c r="G76" s="47" t="n"/>
      <c r="H76" s="52" t="n"/>
      <c r="I76" s="50" t="n"/>
      <c r="J76" s="53">
        <f t="shared" si="1"/>
      </c>
      <c r="K76" s="49">
        <f t="shared" si="2"/>
      </c>
      <c r="L76" s="2">
        <f t="shared" si="3"/>
      </c>
    </row>
    <row r="77">
      <c r="A77" s="43">
        <f t="shared" si="0"/>
      </c>
      <c r="B77" s="44" t="n"/>
      <c r="C77" s="45" t="n"/>
      <c r="D77" s="50" t="n"/>
      <c r="E77" s="45" t="n"/>
      <c r="F77" s="50" t="n"/>
      <c r="G77" s="47" t="n"/>
      <c r="H77" s="52" t="n"/>
      <c r="I77" s="50" t="n"/>
      <c r="J77" s="53">
        <f t="shared" si="1"/>
      </c>
      <c r="K77" s="49">
        <f t="shared" si="2"/>
      </c>
      <c r="L77" s="2">
        <f t="shared" si="3"/>
      </c>
    </row>
    <row r="78">
      <c r="A78" s="43">
        <f t="shared" si="0"/>
      </c>
      <c r="B78" s="44" t="n"/>
      <c r="C78" s="45" t="n"/>
      <c r="D78" s="50" t="n"/>
      <c r="E78" s="45" t="n"/>
      <c r="F78" s="50" t="n"/>
      <c r="G78" s="47" t="n"/>
      <c r="H78" s="52" t="n"/>
      <c r="I78" s="50" t="n"/>
      <c r="J78" s="53">
        <f t="shared" si="1"/>
      </c>
      <c r="K78" s="49">
        <f t="shared" si="2"/>
      </c>
      <c r="L78" s="2">
        <f t="shared" si="3"/>
      </c>
    </row>
    <row r="79">
      <c r="A79" s="43">
        <f t="shared" si="0"/>
      </c>
      <c r="B79" s="44" t="n"/>
      <c r="C79" s="45" t="n"/>
      <c r="D79" s="50" t="n"/>
      <c r="E79" s="45" t="n"/>
      <c r="F79" s="50" t="n"/>
      <c r="G79" s="47" t="n"/>
      <c r="H79" s="52" t="n"/>
      <c r="I79" s="50" t="n"/>
      <c r="J79" s="53">
        <f t="shared" si="1"/>
      </c>
      <c r="K79" s="49">
        <f t="shared" si="2"/>
      </c>
      <c r="L79" s="2">
        <f t="shared" si="3"/>
      </c>
    </row>
    <row r="80">
      <c r="A80" s="43">
        <f t="shared" si="0"/>
      </c>
      <c r="B80" s="44" t="n"/>
      <c r="C80" s="45" t="n"/>
      <c r="D80" s="50" t="n"/>
      <c r="E80" s="45" t="n"/>
      <c r="F80" s="50" t="n"/>
      <c r="G80" s="47" t="n"/>
      <c r="H80" s="52" t="n"/>
      <c r="I80" s="50" t="n"/>
      <c r="J80" s="53">
        <f t="shared" si="1"/>
      </c>
      <c r="K80" s="49">
        <f t="shared" si="2"/>
      </c>
      <c r="L80" s="2">
        <f t="shared" si="3"/>
      </c>
    </row>
    <row r="81">
      <c r="A81" s="43">
        <f t="shared" si="0"/>
      </c>
      <c r="B81" s="44" t="n"/>
      <c r="C81" s="45" t="n"/>
      <c r="D81" s="50" t="n"/>
      <c r="E81" s="45" t="n"/>
      <c r="F81" s="50" t="n"/>
      <c r="G81" s="47" t="n"/>
      <c r="H81" s="52" t="n"/>
      <c r="I81" s="50" t="n"/>
      <c r="J81" s="53">
        <f t="shared" si="1"/>
      </c>
      <c r="K81" s="49">
        <f t="shared" si="2"/>
      </c>
      <c r="L81" s="2">
        <f t="shared" si="3"/>
      </c>
    </row>
    <row r="82">
      <c r="A82" s="43">
        <f t="shared" si="0"/>
      </c>
      <c r="B82" s="44" t="n"/>
      <c r="C82" s="45" t="n"/>
      <c r="D82" s="50" t="n"/>
      <c r="E82" s="45" t="n"/>
      <c r="F82" s="50" t="n"/>
      <c r="G82" s="47" t="n"/>
      <c r="H82" s="52" t="n"/>
      <c r="I82" s="50" t="n"/>
      <c r="J82" s="53">
        <f t="shared" si="1"/>
      </c>
      <c r="K82" s="49">
        <f t="shared" si="2"/>
      </c>
      <c r="L82" s="2">
        <f t="shared" si="3"/>
      </c>
    </row>
    <row r="83">
      <c r="A83" s="43">
        <f t="shared" si="0"/>
      </c>
      <c r="B83" s="44" t="n"/>
      <c r="C83" s="45" t="n"/>
      <c r="D83" s="50" t="n"/>
      <c r="E83" s="45" t="n"/>
      <c r="F83" s="50" t="n"/>
      <c r="G83" s="47" t="n"/>
      <c r="H83" s="52" t="n"/>
      <c r="I83" s="50" t="n"/>
      <c r="J83" s="53">
        <f t="shared" si="1"/>
      </c>
      <c r="K83" s="49">
        <f t="shared" si="2"/>
      </c>
      <c r="L83" s="2">
        <f t="shared" si="3"/>
      </c>
    </row>
    <row r="84">
      <c r="A84" s="43">
        <f t="shared" si="0"/>
      </c>
      <c r="B84" s="44" t="n"/>
      <c r="C84" s="45" t="n"/>
      <c r="D84" s="50" t="n"/>
      <c r="E84" s="45" t="n"/>
      <c r="F84" s="50" t="n"/>
      <c r="G84" s="47" t="n"/>
      <c r="H84" s="52" t="n"/>
      <c r="I84" s="50" t="n"/>
      <c r="J84" s="53">
        <f t="shared" si="1"/>
      </c>
      <c r="K84" s="49">
        <f t="shared" si="2"/>
      </c>
      <c r="L84" s="2">
        <f t="shared" si="3"/>
      </c>
    </row>
    <row r="85">
      <c r="A85" s="43">
        <f t="shared" si="0"/>
      </c>
      <c r="B85" s="44" t="n"/>
      <c r="C85" s="45" t="n"/>
      <c r="D85" s="50" t="n"/>
      <c r="E85" s="45" t="n"/>
      <c r="F85" s="50" t="n"/>
      <c r="G85" s="47" t="n"/>
      <c r="H85" s="52" t="n"/>
      <c r="I85" s="50" t="n"/>
      <c r="J85" s="53">
        <f t="shared" si="1"/>
      </c>
      <c r="K85" s="49">
        <f t="shared" si="2"/>
      </c>
      <c r="L85" s="2">
        <f t="shared" si="3"/>
      </c>
    </row>
    <row r="86">
      <c r="A86" s="43">
        <f t="shared" si="0"/>
      </c>
      <c r="B86" s="44" t="n"/>
      <c r="C86" s="45" t="n"/>
      <c r="D86" s="50" t="n"/>
      <c r="E86" s="45" t="n"/>
      <c r="F86" s="50" t="n"/>
      <c r="G86" s="47" t="n"/>
      <c r="H86" s="52" t="n"/>
      <c r="I86" s="50" t="n"/>
      <c r="J86" s="53">
        <f t="shared" si="1"/>
      </c>
      <c r="K86" s="49">
        <f t="shared" si="2"/>
      </c>
      <c r="L86" s="2">
        <f t="shared" si="3"/>
      </c>
    </row>
    <row r="87">
      <c r="A87" s="43">
        <f t="shared" si="0"/>
      </c>
      <c r="B87" s="44" t="n"/>
      <c r="C87" s="45" t="n"/>
      <c r="D87" s="50" t="n"/>
      <c r="E87" s="45" t="n"/>
      <c r="F87" s="50" t="n"/>
      <c r="G87" s="47" t="n"/>
      <c r="H87" s="52" t="n"/>
      <c r="I87" s="50" t="n"/>
      <c r="J87" s="53">
        <f t="shared" si="1"/>
      </c>
      <c r="K87" s="49">
        <f t="shared" si="2"/>
      </c>
      <c r="L87" s="2">
        <f t="shared" si="3"/>
      </c>
    </row>
    <row r="88">
      <c r="A88" s="43">
        <f t="shared" si="0"/>
      </c>
      <c r="B88" s="44" t="n"/>
      <c r="C88" s="45" t="n"/>
      <c r="D88" s="50" t="n"/>
      <c r="E88" s="45" t="n"/>
      <c r="F88" s="50" t="n"/>
      <c r="G88" s="47" t="n"/>
      <c r="H88" s="52" t="n"/>
      <c r="I88" s="50" t="n"/>
      <c r="J88" s="53">
        <f t="shared" si="1"/>
      </c>
      <c r="K88" s="49">
        <f t="shared" si="2"/>
      </c>
      <c r="L88" s="2">
        <f t="shared" si="3"/>
      </c>
    </row>
    <row r="89">
      <c r="A89" s="43">
        <f t="shared" si="0"/>
      </c>
      <c r="B89" s="44" t="n"/>
      <c r="C89" s="45" t="n"/>
      <c r="D89" s="50" t="n"/>
      <c r="E89" s="45" t="n"/>
      <c r="F89" s="50" t="n"/>
      <c r="G89" s="47" t="n"/>
      <c r="H89" s="52" t="n"/>
      <c r="I89" s="50" t="n"/>
      <c r="J89" s="53">
        <f t="shared" si="1"/>
      </c>
      <c r="K89" s="49">
        <f t="shared" si="2"/>
      </c>
      <c r="L89" s="2">
        <f t="shared" si="3"/>
      </c>
    </row>
    <row r="90">
      <c r="A90" s="43">
        <f t="shared" si="0"/>
      </c>
      <c r="B90" s="44" t="n"/>
      <c r="C90" s="45" t="n"/>
      <c r="D90" s="50" t="n"/>
      <c r="E90" s="45" t="n"/>
      <c r="F90" s="50" t="n"/>
      <c r="G90" s="47" t="n"/>
      <c r="H90" s="52" t="n"/>
      <c r="I90" s="50" t="n"/>
      <c r="J90" s="53">
        <f t="shared" si="1"/>
      </c>
      <c r="K90" s="49">
        <f t="shared" si="2"/>
      </c>
      <c r="L90" s="2">
        <f t="shared" si="3"/>
      </c>
    </row>
    <row r="91">
      <c r="A91" s="43">
        <f t="shared" si="0"/>
      </c>
      <c r="B91" s="44" t="n"/>
      <c r="C91" s="45" t="n"/>
      <c r="D91" s="50" t="n"/>
      <c r="E91" s="45" t="n"/>
      <c r="F91" s="50" t="n"/>
      <c r="G91" s="47" t="n"/>
      <c r="H91" s="52" t="n"/>
      <c r="I91" s="50" t="n"/>
      <c r="J91" s="53">
        <f t="shared" si="1"/>
      </c>
      <c r="K91" s="49">
        <f t="shared" si="2"/>
      </c>
      <c r="L91" s="2">
        <f t="shared" si="3"/>
      </c>
    </row>
    <row r="92">
      <c r="A92" s="43">
        <f t="shared" si="0"/>
      </c>
      <c r="B92" s="44" t="n"/>
      <c r="C92" s="45" t="n"/>
      <c r="D92" s="50" t="n"/>
      <c r="E92" s="45" t="n"/>
      <c r="F92" s="50" t="n"/>
      <c r="G92" s="47" t="n"/>
      <c r="H92" s="52" t="n"/>
      <c r="I92" s="50" t="n"/>
      <c r="J92" s="53">
        <f t="shared" si="1"/>
      </c>
      <c r="K92" s="49">
        <f t="shared" si="2"/>
      </c>
      <c r="L92" s="2">
        <f t="shared" si="3"/>
      </c>
    </row>
    <row r="93">
      <c r="A93" s="43">
        <f t="shared" si="0"/>
      </c>
      <c r="B93" s="44" t="n"/>
      <c r="C93" s="45" t="n"/>
      <c r="D93" s="50" t="n"/>
      <c r="E93" s="45" t="n"/>
      <c r="F93" s="50" t="n"/>
      <c r="G93" s="47" t="n"/>
      <c r="H93" s="52" t="n"/>
      <c r="I93" s="50" t="n"/>
      <c r="J93" s="53">
        <f t="shared" si="1"/>
      </c>
      <c r="K93" s="49">
        <f t="shared" si="2"/>
      </c>
      <c r="L93" s="2">
        <f t="shared" si="3"/>
      </c>
    </row>
    <row r="94">
      <c r="A94" s="43">
        <f t="shared" si="0"/>
      </c>
      <c r="B94" s="44" t="n"/>
      <c r="C94" s="45" t="n"/>
      <c r="D94" s="50" t="n"/>
      <c r="E94" s="45" t="n"/>
      <c r="F94" s="50" t="n"/>
      <c r="G94" s="47" t="n"/>
      <c r="H94" s="52" t="n"/>
      <c r="I94" s="50" t="n"/>
      <c r="J94" s="53">
        <f t="shared" si="1"/>
      </c>
      <c r="K94" s="49">
        <f t="shared" si="2"/>
      </c>
      <c r="L94" s="2">
        <f t="shared" si="3"/>
      </c>
    </row>
    <row r="95">
      <c r="A95" s="43">
        <f t="shared" si="0"/>
      </c>
      <c r="B95" s="44" t="n"/>
      <c r="C95" s="45" t="n"/>
      <c r="D95" s="50" t="n"/>
      <c r="E95" s="45" t="n"/>
      <c r="F95" s="50" t="n"/>
      <c r="G95" s="47" t="n"/>
      <c r="H95" s="52" t="n"/>
      <c r="I95" s="50" t="n"/>
      <c r="J95" s="53">
        <f t="shared" si="1"/>
      </c>
      <c r="K95" s="49">
        <f t="shared" si="2"/>
      </c>
      <c r="L95" s="2">
        <f t="shared" si="3"/>
      </c>
    </row>
    <row r="96">
      <c r="A96" s="43">
        <f t="shared" si="0"/>
      </c>
      <c r="B96" s="44" t="n"/>
      <c r="C96" s="45" t="n"/>
      <c r="D96" s="50" t="n"/>
      <c r="E96" s="45" t="n"/>
      <c r="F96" s="50" t="n"/>
      <c r="G96" s="47" t="n"/>
      <c r="H96" s="52" t="n"/>
      <c r="I96" s="50" t="n"/>
      <c r="J96" s="53">
        <f t="shared" si="1"/>
      </c>
      <c r="K96" s="49">
        <f t="shared" si="2"/>
      </c>
      <c r="L96" s="2">
        <f t="shared" si="3"/>
      </c>
    </row>
    <row r="97">
      <c r="A97" s="43">
        <f t="shared" si="0"/>
      </c>
      <c r="B97" s="44" t="n"/>
      <c r="C97" s="45" t="n"/>
      <c r="D97" s="50" t="n"/>
      <c r="E97" s="45" t="n"/>
      <c r="F97" s="50" t="n"/>
      <c r="G97" s="47" t="n"/>
      <c r="H97" s="52" t="n"/>
      <c r="I97" s="50" t="n"/>
      <c r="J97" s="53">
        <f t="shared" si="1"/>
      </c>
      <c r="K97" s="49">
        <f t="shared" si="2"/>
      </c>
      <c r="L97" s="2">
        <f t="shared" si="3"/>
      </c>
    </row>
    <row r="98">
      <c r="A98" s="43">
        <f t="shared" si="0"/>
      </c>
      <c r="B98" s="44" t="n"/>
      <c r="C98" s="45" t="n"/>
      <c r="D98" s="50" t="n"/>
      <c r="E98" s="45" t="n"/>
      <c r="F98" s="50" t="n"/>
      <c r="G98" s="47" t="n"/>
      <c r="H98" s="52" t="n"/>
      <c r="I98" s="50" t="n"/>
      <c r="J98" s="53">
        <f t="shared" si="1"/>
      </c>
      <c r="K98" s="49">
        <f t="shared" si="2"/>
      </c>
      <c r="L98" s="2">
        <f t="shared" si="3"/>
      </c>
    </row>
    <row r="99">
      <c r="A99" s="43">
        <f t="shared" si="0"/>
      </c>
      <c r="B99" s="44" t="n"/>
      <c r="C99" s="45" t="n"/>
      <c r="D99" s="50" t="n"/>
      <c r="E99" s="45" t="n"/>
      <c r="F99" s="50" t="n"/>
      <c r="G99" s="47" t="n"/>
      <c r="H99" s="52" t="n"/>
      <c r="I99" s="50" t="n"/>
      <c r="J99" s="53">
        <f t="shared" si="1"/>
      </c>
      <c r="K99" s="49">
        <f t="shared" si="2"/>
      </c>
      <c r="L99" s="2">
        <f t="shared" si="3"/>
      </c>
    </row>
    <row r="100">
      <c r="A100" s="43">
        <f t="shared" si="0"/>
      </c>
      <c r="B100" s="44" t="n"/>
      <c r="C100" s="45" t="n"/>
      <c r="D100" s="50" t="n"/>
      <c r="E100" s="45" t="n"/>
      <c r="F100" s="50" t="n"/>
      <c r="G100" s="47" t="n"/>
      <c r="H100" s="52" t="n"/>
      <c r="I100" s="50" t="n"/>
      <c r="J100" s="53">
        <f t="shared" si="1"/>
      </c>
      <c r="K100" s="49">
        <f t="shared" si="2"/>
      </c>
      <c r="L100" s="2">
        <f t="shared" si="3"/>
      </c>
    </row>
    <row r="101">
      <c r="A101" s="43">
        <f t="shared" si="0"/>
      </c>
      <c r="B101" s="44" t="n"/>
      <c r="C101" s="45" t="n"/>
      <c r="D101" s="50" t="n"/>
      <c r="E101" s="45" t="n"/>
      <c r="F101" s="50" t="n"/>
      <c r="G101" s="47" t="n"/>
      <c r="H101" s="52" t="n"/>
      <c r="I101" s="50" t="n"/>
      <c r="J101" s="53">
        <f t="shared" si="1"/>
      </c>
      <c r="K101" s="49">
        <f t="shared" si="2"/>
      </c>
      <c r="L101" s="2">
        <f t="shared" si="3"/>
      </c>
    </row>
    <row r="102">
      <c r="A102" s="43">
        <f t="shared" si="0"/>
      </c>
      <c r="B102" s="44" t="n"/>
      <c r="C102" s="45" t="n"/>
      <c r="D102" s="50" t="n"/>
      <c r="E102" s="45" t="n"/>
      <c r="F102" s="50" t="n"/>
      <c r="G102" s="47" t="n"/>
      <c r="H102" s="52" t="n"/>
      <c r="I102" s="50" t="n"/>
      <c r="J102" s="53">
        <f t="shared" si="1"/>
      </c>
      <c r="K102" s="49">
        <f t="shared" si="2"/>
      </c>
      <c r="L102" s="2">
        <f t="shared" si="3"/>
      </c>
    </row>
    <row r="103">
      <c r="A103" s="43">
        <f t="shared" si="0"/>
      </c>
      <c r="B103" s="44" t="n"/>
      <c r="C103" s="45" t="n"/>
      <c r="D103" s="50" t="n"/>
      <c r="E103" s="45" t="n"/>
      <c r="F103" s="50" t="n"/>
      <c r="G103" s="47" t="n"/>
      <c r="H103" s="52" t="n"/>
      <c r="I103" s="50" t="n"/>
      <c r="J103" s="53">
        <f t="shared" si="1"/>
      </c>
      <c r="K103" s="49">
        <f t="shared" si="2"/>
      </c>
      <c r="L103" s="2">
        <f t="shared" si="3"/>
      </c>
    </row>
    <row r="104">
      <c r="A104" s="43">
        <f t="shared" si="0"/>
      </c>
      <c r="B104" s="44" t="n"/>
      <c r="C104" s="45" t="n"/>
      <c r="D104" s="50" t="n"/>
      <c r="E104" s="45" t="n"/>
      <c r="F104" s="50" t="n"/>
      <c r="G104" s="47" t="n"/>
      <c r="H104" s="52" t="n"/>
      <c r="I104" s="50" t="n"/>
      <c r="J104" s="53">
        <f t="shared" si="1"/>
      </c>
      <c r="K104" s="49">
        <f t="shared" si="2"/>
      </c>
      <c r="L104" s="2">
        <f t="shared" si="3"/>
      </c>
    </row>
    <row r="105">
      <c r="A105" s="43">
        <f t="shared" si="0"/>
      </c>
      <c r="B105" s="44" t="n"/>
      <c r="C105" s="45" t="n"/>
      <c r="D105" s="50" t="n"/>
      <c r="E105" s="45" t="n"/>
      <c r="F105" s="50" t="n"/>
      <c r="G105" s="47" t="n"/>
      <c r="H105" s="52" t="n"/>
      <c r="I105" s="50" t="n"/>
      <c r="J105" s="53">
        <f t="shared" si="1"/>
      </c>
      <c r="K105" s="49">
        <f t="shared" si="2"/>
      </c>
      <c r="L105" s="2">
        <f t="shared" si="3"/>
      </c>
    </row>
    <row r="106">
      <c r="A106" s="43">
        <f t="shared" si="0"/>
      </c>
      <c r="B106" s="44" t="n"/>
      <c r="C106" s="45" t="n"/>
      <c r="D106" s="50" t="n"/>
      <c r="E106" s="45" t="n"/>
      <c r="F106" s="50" t="n"/>
      <c r="G106" s="47" t="n"/>
      <c r="H106" s="52" t="n"/>
      <c r="I106" s="50" t="n"/>
      <c r="J106" s="53">
        <f t="shared" si="1"/>
      </c>
      <c r="K106" s="49">
        <f t="shared" si="2"/>
      </c>
      <c r="L106" s="2">
        <f t="shared" si="3"/>
      </c>
    </row>
    <row r="107">
      <c r="A107" s="43">
        <f t="shared" si="0"/>
      </c>
      <c r="B107" s="44" t="n"/>
      <c r="C107" s="45" t="n"/>
      <c r="D107" s="50" t="n"/>
      <c r="E107" s="45" t="n"/>
      <c r="F107" s="50" t="n"/>
      <c r="G107" s="47" t="n"/>
      <c r="H107" s="52" t="n"/>
      <c r="I107" s="50" t="n"/>
      <c r="J107" s="53">
        <f t="shared" si="1"/>
      </c>
      <c r="K107" s="49">
        <f t="shared" si="2"/>
      </c>
      <c r="L107" s="2">
        <f t="shared" si="3"/>
      </c>
    </row>
    <row r="108">
      <c r="A108" s="43">
        <f t="shared" si="0"/>
      </c>
      <c r="B108" s="44" t="n"/>
      <c r="C108" s="45" t="n"/>
      <c r="D108" s="50" t="n"/>
      <c r="E108" s="45" t="n"/>
      <c r="F108" s="50" t="n"/>
      <c r="G108" s="47" t="n"/>
      <c r="H108" s="52" t="n"/>
      <c r="I108" s="50" t="n"/>
      <c r="J108" s="53">
        <f t="shared" si="1"/>
      </c>
      <c r="K108" s="49">
        <f t="shared" si="2"/>
      </c>
      <c r="L108" s="2">
        <f t="shared" si="3"/>
      </c>
    </row>
    <row r="109">
      <c r="A109" s="43">
        <f t="shared" si="0"/>
      </c>
      <c r="B109" s="44" t="n"/>
      <c r="C109" s="45" t="n"/>
      <c r="D109" s="50" t="n"/>
      <c r="E109" s="45" t="n"/>
      <c r="F109" s="50" t="n"/>
      <c r="G109" s="47" t="n"/>
      <c r="H109" s="52" t="n"/>
      <c r="I109" s="50" t="n"/>
      <c r="J109" s="53">
        <f t="shared" si="1"/>
      </c>
      <c r="K109" s="49">
        <f t="shared" si="2"/>
      </c>
      <c r="L109" s="2">
        <f t="shared" si="3"/>
      </c>
    </row>
    <row r="110">
      <c r="A110" s="43">
        <f t="shared" si="0"/>
      </c>
      <c r="B110" s="44" t="n"/>
      <c r="C110" s="45" t="n"/>
      <c r="D110" s="50" t="n"/>
      <c r="E110" s="45" t="n"/>
      <c r="F110" s="50" t="n"/>
      <c r="G110" s="47" t="n"/>
      <c r="H110" s="52" t="n"/>
      <c r="I110" s="50" t="n"/>
      <c r="J110" s="53">
        <f t="shared" si="1"/>
      </c>
      <c r="K110" s="49">
        <f t="shared" si="2"/>
      </c>
      <c r="L110" s="2">
        <f t="shared" si="3"/>
      </c>
    </row>
    <row r="111">
      <c r="A111" s="43">
        <f t="shared" si="0"/>
      </c>
      <c r="B111" s="44" t="n"/>
      <c r="C111" s="45" t="n"/>
      <c r="D111" s="50" t="n"/>
      <c r="E111" s="45" t="n"/>
      <c r="F111" s="50" t="n"/>
      <c r="G111" s="47" t="n"/>
      <c r="H111" s="52" t="n"/>
      <c r="I111" s="50" t="n"/>
      <c r="J111" s="53">
        <f t="shared" si="1"/>
      </c>
      <c r="K111" s="49">
        <f t="shared" si="2"/>
      </c>
      <c r="L111" s="2">
        <f t="shared" si="3"/>
      </c>
    </row>
    <row r="112">
      <c r="A112" s="43">
        <f t="shared" si="0"/>
      </c>
      <c r="B112" s="44" t="n"/>
      <c r="C112" s="45" t="n"/>
      <c r="D112" s="50" t="n"/>
      <c r="E112" s="45" t="n"/>
      <c r="F112" s="50" t="n"/>
      <c r="G112" s="47" t="n"/>
      <c r="H112" s="52" t="n"/>
      <c r="I112" s="50" t="n"/>
      <c r="J112" s="53">
        <f t="shared" si="1"/>
      </c>
      <c r="K112" s="49">
        <f t="shared" si="2"/>
      </c>
      <c r="L112" s="2">
        <f t="shared" si="3"/>
      </c>
    </row>
    <row r="113">
      <c r="A113" s="43">
        <f t="shared" si="0"/>
      </c>
      <c r="B113" s="44" t="n"/>
      <c r="C113" s="45" t="n"/>
      <c r="D113" s="50" t="n"/>
      <c r="E113" s="45" t="n"/>
      <c r="F113" s="50" t="n"/>
      <c r="G113" s="47" t="n"/>
      <c r="H113" s="52" t="n"/>
      <c r="I113" s="50" t="n"/>
      <c r="J113" s="53">
        <f t="shared" si="1"/>
      </c>
      <c r="K113" s="49">
        <f t="shared" si="2"/>
      </c>
      <c r="L113" s="2">
        <f t="shared" si="3"/>
      </c>
    </row>
    <row r="114">
      <c r="A114" s="43">
        <f t="shared" si="0"/>
      </c>
      <c r="B114" s="44" t="n"/>
      <c r="C114" s="45" t="n"/>
      <c r="D114" s="50" t="n"/>
      <c r="E114" s="45" t="n"/>
      <c r="F114" s="50" t="n"/>
      <c r="G114" s="47" t="n"/>
      <c r="H114" s="52" t="n"/>
      <c r="I114" s="50" t="n"/>
      <c r="J114" s="53">
        <f t="shared" si="1"/>
      </c>
      <c r="K114" s="49">
        <f t="shared" si="2"/>
      </c>
      <c r="L114" s="2">
        <f t="shared" si="3"/>
      </c>
    </row>
    <row r="115">
      <c r="A115" s="43">
        <f t="shared" si="0"/>
      </c>
      <c r="B115" s="44" t="n"/>
      <c r="C115" s="45" t="n"/>
      <c r="D115" s="50" t="n"/>
      <c r="E115" s="45" t="n"/>
      <c r="F115" s="50" t="n"/>
      <c r="G115" s="47" t="n"/>
      <c r="H115" s="52" t="n"/>
      <c r="I115" s="50" t="n"/>
      <c r="J115" s="53">
        <f t="shared" si="1"/>
      </c>
      <c r="K115" s="49">
        <f t="shared" si="2"/>
      </c>
      <c r="L115" s="2">
        <f t="shared" si="3"/>
      </c>
    </row>
    <row r="116">
      <c r="A116" s="43">
        <f t="shared" si="0"/>
      </c>
      <c r="B116" s="44" t="n"/>
      <c r="C116" s="45" t="n"/>
      <c r="D116" s="50" t="n"/>
      <c r="E116" s="45" t="n"/>
      <c r="F116" s="50" t="n"/>
      <c r="G116" s="47" t="n"/>
      <c r="H116" s="52" t="n"/>
      <c r="I116" s="50" t="n"/>
      <c r="J116" s="53">
        <f t="shared" si="1"/>
      </c>
      <c r="K116" s="49">
        <f t="shared" si="2"/>
      </c>
      <c r="L116" s="2">
        <f t="shared" si="3"/>
      </c>
    </row>
    <row r="117">
      <c r="A117" s="43">
        <f t="shared" si="0"/>
      </c>
      <c r="B117" s="44" t="n"/>
      <c r="C117" s="45" t="n"/>
      <c r="D117" s="50" t="n"/>
      <c r="E117" s="45" t="n"/>
      <c r="F117" s="50" t="n"/>
      <c r="G117" s="47" t="n"/>
      <c r="H117" s="52" t="n"/>
      <c r="I117" s="50" t="n"/>
      <c r="J117" s="53">
        <f t="shared" si="1"/>
      </c>
      <c r="K117" s="49">
        <f t="shared" si="2"/>
      </c>
      <c r="L117" s="2">
        <f t="shared" si="3"/>
      </c>
    </row>
    <row r="118">
      <c r="A118" s="43">
        <f t="shared" si="0"/>
      </c>
      <c r="B118" s="44" t="n"/>
      <c r="C118" s="45" t="n"/>
      <c r="D118" s="50" t="n"/>
      <c r="E118" s="45" t="n"/>
      <c r="F118" s="50" t="n"/>
      <c r="G118" s="47" t="n"/>
      <c r="H118" s="52" t="n"/>
      <c r="I118" s="50" t="n"/>
      <c r="J118" s="53">
        <f t="shared" si="1"/>
      </c>
      <c r="K118" s="49">
        <f t="shared" si="2"/>
      </c>
      <c r="L118" s="2">
        <f t="shared" si="3"/>
      </c>
    </row>
    <row r="119">
      <c r="A119" s="43">
        <f t="shared" si="0"/>
      </c>
      <c r="B119" s="44" t="n"/>
      <c r="C119" s="45" t="n"/>
      <c r="D119" s="50" t="n"/>
      <c r="E119" s="45" t="n"/>
      <c r="F119" s="50" t="n"/>
      <c r="G119" s="47" t="n"/>
      <c r="H119" s="52" t="n"/>
      <c r="I119" s="50" t="n"/>
      <c r="J119" s="53">
        <f t="shared" si="1"/>
      </c>
      <c r="K119" s="49">
        <f t="shared" si="2"/>
      </c>
      <c r="L119" s="2">
        <f t="shared" si="3"/>
      </c>
    </row>
    <row r="120">
      <c r="A120" s="43">
        <f t="shared" si="0"/>
      </c>
      <c r="B120" s="44" t="n"/>
      <c r="C120" s="45" t="n"/>
      <c r="D120" s="50" t="n"/>
      <c r="E120" s="45" t="n"/>
      <c r="F120" s="50" t="n"/>
      <c r="G120" s="47" t="n"/>
      <c r="H120" s="52" t="n"/>
      <c r="I120" s="50" t="n"/>
      <c r="J120" s="53">
        <f t="shared" si="1"/>
      </c>
      <c r="K120" s="49">
        <f t="shared" si="2"/>
      </c>
      <c r="L120" s="2">
        <f t="shared" si="3"/>
      </c>
    </row>
    <row r="121">
      <c r="A121" s="43">
        <f t="shared" si="0"/>
      </c>
      <c r="B121" s="44" t="n"/>
      <c r="C121" s="45" t="n"/>
      <c r="D121" s="50" t="n"/>
      <c r="E121" s="45" t="n"/>
      <c r="F121" s="50" t="n"/>
      <c r="G121" s="47" t="n"/>
      <c r="H121" s="52" t="n"/>
      <c r="I121" s="50" t="n"/>
      <c r="J121" s="53">
        <f t="shared" si="1"/>
      </c>
      <c r="K121" s="49">
        <f t="shared" si="2"/>
      </c>
      <c r="L121" s="2">
        <f t="shared" si="3"/>
      </c>
    </row>
    <row r="122">
      <c r="A122" s="43">
        <f t="shared" si="0"/>
      </c>
      <c r="B122" s="44" t="n"/>
      <c r="C122" s="45" t="n"/>
      <c r="D122" s="50" t="n"/>
      <c r="E122" s="45" t="n"/>
      <c r="F122" s="50" t="n"/>
      <c r="G122" s="47" t="n"/>
      <c r="H122" s="52" t="n"/>
      <c r="I122" s="50" t="n"/>
      <c r="J122" s="53">
        <f t="shared" si="1"/>
      </c>
      <c r="K122" s="49">
        <f t="shared" si="2"/>
      </c>
      <c r="L122" s="2">
        <f t="shared" si="3"/>
      </c>
    </row>
    <row r="123">
      <c r="A123" s="43">
        <f t="shared" si="0"/>
      </c>
      <c r="B123" s="44" t="n"/>
      <c r="C123" s="45" t="n"/>
      <c r="D123" s="50" t="n"/>
      <c r="E123" s="45" t="n"/>
      <c r="F123" s="50" t="n"/>
      <c r="G123" s="47" t="n"/>
      <c r="H123" s="52" t="n"/>
      <c r="I123" s="50" t="n"/>
      <c r="J123" s="53">
        <f t="shared" si="1"/>
      </c>
      <c r="K123" s="49">
        <f t="shared" si="2"/>
      </c>
      <c r="L123" s="2">
        <f t="shared" si="3"/>
      </c>
    </row>
    <row r="124">
      <c r="A124" s="43">
        <f t="shared" si="0"/>
      </c>
      <c r="B124" s="44" t="n"/>
      <c r="C124" s="45" t="n"/>
      <c r="D124" s="50" t="n"/>
      <c r="E124" s="45" t="n"/>
      <c r="F124" s="50" t="n"/>
      <c r="G124" s="47" t="n"/>
      <c r="H124" s="52" t="n"/>
      <c r="I124" s="50" t="n"/>
      <c r="J124" s="53">
        <f t="shared" si="1"/>
      </c>
      <c r="K124" s="49">
        <f t="shared" si="2"/>
      </c>
      <c r="L124" s="2">
        <f t="shared" si="3"/>
      </c>
    </row>
    <row r="125">
      <c r="A125" s="43">
        <f t="shared" si="0"/>
      </c>
      <c r="B125" s="44" t="n"/>
      <c r="C125" s="45" t="n"/>
      <c r="D125" s="50" t="n"/>
      <c r="E125" s="45" t="n"/>
      <c r="F125" s="50" t="n"/>
      <c r="G125" s="47" t="n"/>
      <c r="H125" s="52" t="n"/>
      <c r="I125" s="50" t="n"/>
      <c r="J125" s="53">
        <f t="shared" si="1"/>
      </c>
      <c r="K125" s="49">
        <f t="shared" si="2"/>
      </c>
      <c r="L125" s="2">
        <f t="shared" si="3"/>
      </c>
    </row>
    <row r="126">
      <c r="A126" s="43">
        <f t="shared" si="0"/>
      </c>
      <c r="B126" s="44" t="n"/>
      <c r="C126" s="45" t="n"/>
      <c r="D126" s="50" t="n"/>
      <c r="E126" s="45" t="n"/>
      <c r="F126" s="50" t="n"/>
      <c r="G126" s="47" t="n"/>
      <c r="H126" s="52" t="n"/>
      <c r="I126" s="50" t="n"/>
      <c r="J126" s="53">
        <f t="shared" si="1"/>
      </c>
      <c r="K126" s="49">
        <f t="shared" si="2"/>
      </c>
      <c r="L126" s="2">
        <f t="shared" si="3"/>
      </c>
    </row>
    <row r="127">
      <c r="A127" s="43">
        <f t="shared" si="0"/>
      </c>
      <c r="B127" s="44" t="n"/>
      <c r="C127" s="45" t="n"/>
      <c r="D127" s="50" t="n"/>
      <c r="E127" s="45" t="n"/>
      <c r="F127" s="50" t="n"/>
      <c r="G127" s="47" t="n"/>
      <c r="H127" s="52" t="n"/>
      <c r="I127" s="50" t="n"/>
      <c r="J127" s="53">
        <f t="shared" si="1"/>
      </c>
      <c r="K127" s="49">
        <f t="shared" si="2"/>
      </c>
      <c r="L127" s="2">
        <f t="shared" si="3"/>
      </c>
    </row>
    <row r="128">
      <c r="A128" s="43">
        <f t="shared" si="0"/>
      </c>
      <c r="B128" s="44" t="n"/>
      <c r="C128" s="45" t="n"/>
      <c r="D128" s="50" t="n"/>
      <c r="E128" s="45" t="n"/>
      <c r="F128" s="50" t="n"/>
      <c r="G128" s="47" t="n"/>
      <c r="H128" s="52" t="n"/>
      <c r="I128" s="50" t="n"/>
      <c r="J128" s="53">
        <f t="shared" si="1"/>
      </c>
      <c r="K128" s="49">
        <f t="shared" si="2"/>
      </c>
      <c r="L128" s="2">
        <f t="shared" si="3"/>
      </c>
    </row>
    <row r="129">
      <c r="A129" s="43">
        <f t="shared" si="0"/>
      </c>
      <c r="B129" s="44" t="n"/>
      <c r="C129" s="45" t="n"/>
      <c r="D129" s="50" t="n"/>
      <c r="E129" s="45" t="n"/>
      <c r="F129" s="50" t="n"/>
      <c r="G129" s="47" t="n"/>
      <c r="H129" s="52" t="n"/>
      <c r="I129" s="50" t="n"/>
      <c r="J129" s="53">
        <f t="shared" si="1"/>
      </c>
      <c r="K129" s="49">
        <f t="shared" si="2"/>
      </c>
      <c r="L129" s="2">
        <f t="shared" si="3"/>
      </c>
    </row>
    <row r="130">
      <c r="A130" s="43">
        <f t="shared" si="0"/>
      </c>
      <c r="B130" s="44" t="n"/>
      <c r="C130" s="45" t="n"/>
      <c r="D130" s="50" t="n"/>
      <c r="E130" s="45" t="n"/>
      <c r="F130" s="50" t="n"/>
      <c r="G130" s="47" t="n"/>
      <c r="H130" s="52" t="n"/>
      <c r="I130" s="50" t="n"/>
      <c r="J130" s="53">
        <f t="shared" si="1"/>
      </c>
      <c r="K130" s="49">
        <f t="shared" si="2"/>
      </c>
      <c r="L130" s="2">
        <f t="shared" si="3"/>
      </c>
    </row>
    <row r="131">
      <c r="A131" s="43">
        <f t="shared" si="0"/>
      </c>
      <c r="B131" s="44" t="n"/>
      <c r="C131" s="45" t="n"/>
      <c r="D131" s="50" t="n"/>
      <c r="E131" s="45" t="n"/>
      <c r="F131" s="50" t="n"/>
      <c r="G131" s="47" t="n"/>
      <c r="H131" s="52" t="n"/>
      <c r="I131" s="50" t="n"/>
      <c r="J131" s="53">
        <f t="shared" si="1"/>
      </c>
      <c r="K131" s="49">
        <f t="shared" si="2"/>
      </c>
      <c r="L131" s="2">
        <f t="shared" si="3"/>
      </c>
    </row>
    <row r="132">
      <c r="A132" s="43">
        <f t="shared" si="0"/>
      </c>
      <c r="B132" s="44" t="n"/>
      <c r="C132" s="45" t="n"/>
      <c r="D132" s="50" t="n"/>
      <c r="E132" s="45" t="n"/>
      <c r="F132" s="50" t="n"/>
      <c r="G132" s="47" t="n"/>
      <c r="H132" s="52" t="n"/>
      <c r="I132" s="50" t="n"/>
      <c r="J132" s="53">
        <f t="shared" si="1"/>
      </c>
      <c r="K132" s="49">
        <f t="shared" si="2"/>
      </c>
      <c r="L132" s="2">
        <f t="shared" si="3"/>
      </c>
    </row>
    <row r="133">
      <c r="A133" s="43">
        <f t="shared" si="0"/>
      </c>
      <c r="B133" s="44" t="n"/>
      <c r="C133" s="45" t="n"/>
      <c r="D133" s="50" t="n"/>
      <c r="E133" s="45" t="n"/>
      <c r="F133" s="50" t="n"/>
      <c r="G133" s="47" t="n"/>
      <c r="H133" s="52" t="n"/>
      <c r="I133" s="50" t="n"/>
      <c r="J133" s="53">
        <f t="shared" si="1"/>
      </c>
      <c r="K133" s="49">
        <f t="shared" si="2"/>
      </c>
      <c r="L133" s="2">
        <f t="shared" si="3"/>
      </c>
    </row>
    <row r="134">
      <c r="A134" s="43">
        <f t="shared" si="0"/>
      </c>
      <c r="B134" s="44" t="n"/>
      <c r="C134" s="45" t="n"/>
      <c r="D134" s="50" t="n"/>
      <c r="E134" s="45" t="n"/>
      <c r="F134" s="50" t="n"/>
      <c r="G134" s="47" t="n"/>
      <c r="H134" s="52" t="n"/>
      <c r="I134" s="50" t="n"/>
      <c r="J134" s="53">
        <f t="shared" si="1"/>
      </c>
      <c r="K134" s="49">
        <f t="shared" si="2"/>
      </c>
      <c r="L134" s="2">
        <f t="shared" si="3"/>
      </c>
    </row>
    <row r="135">
      <c r="A135" s="43">
        <f t="shared" si="0"/>
      </c>
      <c r="B135" s="44" t="n"/>
      <c r="C135" s="45" t="n"/>
      <c r="D135" s="50" t="n"/>
      <c r="E135" s="45" t="n"/>
      <c r="F135" s="50" t="n"/>
      <c r="G135" s="47" t="n"/>
      <c r="H135" s="52" t="n"/>
      <c r="I135" s="50" t="n"/>
      <c r="J135" s="53">
        <f t="shared" si="1"/>
      </c>
      <c r="K135" s="49">
        <f t="shared" si="2"/>
      </c>
      <c r="L135" s="2">
        <f t="shared" si="3"/>
      </c>
    </row>
    <row r="136">
      <c r="A136" s="43">
        <f t="shared" si="0"/>
      </c>
      <c r="B136" s="44" t="n"/>
      <c r="C136" s="45" t="n"/>
      <c r="D136" s="50" t="n"/>
      <c r="E136" s="45" t="n"/>
      <c r="F136" s="50" t="n"/>
      <c r="G136" s="47" t="n"/>
      <c r="H136" s="52" t="n"/>
      <c r="I136" s="50" t="n"/>
      <c r="J136" s="53">
        <f t="shared" si="1"/>
      </c>
      <c r="K136" s="49">
        <f t="shared" si="2"/>
      </c>
      <c r="L136" s="2">
        <f t="shared" si="3"/>
      </c>
    </row>
    <row r="137">
      <c r="A137" s="43">
        <f t="shared" si="0"/>
      </c>
      <c r="B137" s="44" t="n"/>
      <c r="C137" s="45" t="n"/>
      <c r="D137" s="50" t="n"/>
      <c r="E137" s="45" t="n"/>
      <c r="F137" s="50" t="n"/>
      <c r="G137" s="47" t="n"/>
      <c r="H137" s="52" t="n"/>
      <c r="I137" s="50" t="n"/>
      <c r="J137" s="53">
        <f t="shared" si="1"/>
      </c>
      <c r="K137" s="49">
        <f t="shared" si="2"/>
      </c>
      <c r="L137" s="2">
        <f t="shared" si="3"/>
      </c>
    </row>
    <row r="138">
      <c r="A138" s="43">
        <f t="shared" si="0"/>
      </c>
      <c r="B138" s="44" t="n"/>
      <c r="C138" s="45" t="n"/>
      <c r="D138" s="50" t="n"/>
      <c r="E138" s="45" t="n"/>
      <c r="F138" s="50" t="n"/>
      <c r="G138" s="47" t="n"/>
      <c r="H138" s="52" t="n"/>
      <c r="I138" s="50" t="n"/>
      <c r="J138" s="53">
        <f t="shared" si="1"/>
      </c>
      <c r="K138" s="49">
        <f t="shared" si="2"/>
      </c>
      <c r="L138" s="2">
        <f t="shared" si="3"/>
      </c>
    </row>
    <row r="139">
      <c r="A139" s="43">
        <f t="shared" si="0"/>
      </c>
      <c r="B139" s="44" t="n"/>
      <c r="C139" s="45" t="n"/>
      <c r="D139" s="50" t="n"/>
      <c r="E139" s="45" t="n"/>
      <c r="F139" s="50" t="n"/>
      <c r="G139" s="47" t="n"/>
      <c r="H139" s="52" t="n"/>
      <c r="I139" s="50" t="n"/>
      <c r="J139" s="53">
        <f t="shared" si="1"/>
      </c>
      <c r="K139" s="49">
        <f t="shared" si="2"/>
      </c>
      <c r="L139" s="2">
        <f t="shared" si="3"/>
      </c>
    </row>
    <row r="140">
      <c r="A140" s="43">
        <f t="shared" si="0"/>
      </c>
      <c r="B140" s="44" t="n"/>
      <c r="C140" s="45" t="n"/>
      <c r="D140" s="50" t="n"/>
      <c r="E140" s="45" t="n"/>
      <c r="F140" s="50" t="n"/>
      <c r="G140" s="47" t="n"/>
      <c r="H140" s="52" t="n"/>
      <c r="I140" s="50" t="n"/>
      <c r="J140" s="53">
        <f t="shared" si="1"/>
      </c>
      <c r="K140" s="49">
        <f t="shared" si="2"/>
      </c>
      <c r="L140" s="2">
        <f t="shared" si="3"/>
      </c>
    </row>
    <row r="141">
      <c r="A141" s="43">
        <f t="shared" si="0"/>
      </c>
      <c r="B141" s="44" t="n"/>
      <c r="C141" s="45" t="n"/>
      <c r="D141" s="50" t="n"/>
      <c r="E141" s="45" t="n"/>
      <c r="F141" s="50" t="n"/>
      <c r="G141" s="47" t="n"/>
      <c r="H141" s="52" t="n"/>
      <c r="I141" s="50" t="n"/>
      <c r="J141" s="53">
        <f t="shared" si="1"/>
      </c>
      <c r="K141" s="49">
        <f t="shared" si="2"/>
      </c>
      <c r="L141" s="2">
        <f t="shared" si="3"/>
      </c>
    </row>
    <row r="142">
      <c r="A142" s="43">
        <f t="shared" si="0"/>
      </c>
      <c r="B142" s="44" t="n"/>
      <c r="C142" s="45" t="n"/>
      <c r="D142" s="50" t="n"/>
      <c r="E142" s="45" t="n"/>
      <c r="F142" s="50" t="n"/>
      <c r="G142" s="47" t="n"/>
      <c r="H142" s="52" t="n"/>
      <c r="I142" s="50" t="n"/>
      <c r="J142" s="53">
        <f t="shared" si="1"/>
      </c>
      <c r="K142" s="49">
        <f t="shared" si="2"/>
      </c>
      <c r="L142" s="2">
        <f t="shared" si="3"/>
      </c>
    </row>
    <row r="143">
      <c r="A143" s="43">
        <f t="shared" si="0"/>
      </c>
      <c r="B143" s="44" t="n"/>
      <c r="C143" s="45" t="n"/>
      <c r="D143" s="50" t="n"/>
      <c r="E143" s="45" t="n"/>
      <c r="F143" s="50" t="n"/>
      <c r="G143" s="47" t="n"/>
      <c r="H143" s="52" t="n"/>
      <c r="I143" s="50" t="n"/>
      <c r="J143" s="53">
        <f t="shared" si="1"/>
      </c>
      <c r="K143" s="49">
        <f t="shared" si="2"/>
      </c>
      <c r="L143" s="2">
        <f t="shared" si="3"/>
      </c>
    </row>
    <row r="144">
      <c r="A144" s="43">
        <f t="shared" si="0"/>
      </c>
      <c r="B144" s="44" t="n"/>
      <c r="C144" s="45" t="n"/>
      <c r="D144" s="50" t="n"/>
      <c r="E144" s="45" t="n"/>
      <c r="F144" s="50" t="n"/>
      <c r="G144" s="47" t="n"/>
      <c r="H144" s="52" t="n"/>
      <c r="I144" s="50" t="n"/>
      <c r="J144" s="53">
        <f t="shared" si="1"/>
      </c>
      <c r="K144" s="49">
        <f t="shared" si="2"/>
      </c>
      <c r="L144" s="2">
        <f t="shared" si="3"/>
      </c>
    </row>
    <row r="145">
      <c r="A145" s="43">
        <f t="shared" si="0"/>
      </c>
      <c r="B145" s="44" t="n"/>
      <c r="C145" s="45" t="n"/>
      <c r="D145" s="50" t="n"/>
      <c r="E145" s="45" t="n"/>
      <c r="F145" s="50" t="n"/>
      <c r="G145" s="47" t="n"/>
      <c r="H145" s="52" t="n"/>
      <c r="I145" s="50" t="n"/>
      <c r="J145" s="53">
        <f t="shared" si="1"/>
      </c>
      <c r="K145" s="49">
        <f t="shared" si="2"/>
      </c>
      <c r="L145" s="2">
        <f t="shared" si="3"/>
      </c>
    </row>
    <row r="146">
      <c r="A146" s="43">
        <f t="shared" si="0"/>
      </c>
      <c r="B146" s="44" t="n"/>
      <c r="C146" s="45" t="n"/>
      <c r="D146" s="50" t="n"/>
      <c r="E146" s="45" t="n"/>
      <c r="F146" s="50" t="n"/>
      <c r="G146" s="47" t="n"/>
      <c r="H146" s="52" t="n"/>
      <c r="I146" s="50" t="n"/>
      <c r="J146" s="53">
        <f t="shared" si="1"/>
      </c>
      <c r="K146" s="49">
        <f t="shared" si="2"/>
      </c>
      <c r="L146" s="2">
        <f t="shared" si="3"/>
      </c>
    </row>
    <row r="147">
      <c r="A147" s="43">
        <f t="shared" si="0"/>
      </c>
      <c r="B147" s="44" t="n"/>
      <c r="C147" s="45" t="n"/>
      <c r="D147" s="50" t="n"/>
      <c r="E147" s="45" t="n"/>
      <c r="F147" s="50" t="n"/>
      <c r="G147" s="47" t="n"/>
      <c r="H147" s="52" t="n"/>
      <c r="I147" s="50" t="n"/>
      <c r="J147" s="53">
        <f t="shared" si="1"/>
      </c>
      <c r="K147" s="49">
        <f t="shared" si="2"/>
      </c>
      <c r="L147" s="2">
        <f t="shared" si="3"/>
      </c>
    </row>
    <row r="148">
      <c r="A148" s="43">
        <f t="shared" si="0"/>
      </c>
      <c r="B148" s="44" t="n"/>
      <c r="C148" s="45" t="n"/>
      <c r="D148" s="50" t="n"/>
      <c r="E148" s="45" t="n"/>
      <c r="F148" s="50" t="n"/>
      <c r="G148" s="47" t="n"/>
      <c r="H148" s="52" t="n"/>
      <c r="I148" s="50" t="n"/>
      <c r="J148" s="53">
        <f t="shared" si="1"/>
      </c>
      <c r="K148" s="49">
        <f t="shared" si="2"/>
      </c>
      <c r="L148" s="2">
        <f t="shared" si="3"/>
      </c>
    </row>
    <row r="149">
      <c r="A149" s="43">
        <f t="shared" si="0"/>
      </c>
      <c r="B149" s="44" t="n"/>
      <c r="C149" s="45" t="n"/>
      <c r="D149" s="50" t="n"/>
      <c r="E149" s="45" t="n"/>
      <c r="F149" s="50" t="n"/>
      <c r="G149" s="47" t="n"/>
      <c r="H149" s="52" t="n"/>
      <c r="I149" s="50" t="n"/>
      <c r="J149" s="53">
        <f t="shared" si="1"/>
      </c>
      <c r="K149" s="49">
        <f t="shared" si="2"/>
      </c>
      <c r="L149" s="2">
        <f t="shared" si="3"/>
      </c>
    </row>
    <row r="150">
      <c r="A150" s="43">
        <f t="shared" si="0"/>
      </c>
      <c r="B150" s="44" t="n"/>
      <c r="C150" s="45" t="n"/>
      <c r="D150" s="50" t="n"/>
      <c r="E150" s="45" t="n"/>
      <c r="F150" s="50" t="n"/>
      <c r="G150" s="47" t="n"/>
      <c r="H150" s="52" t="n"/>
      <c r="I150" s="50" t="n"/>
      <c r="J150" s="53">
        <f t="shared" si="1"/>
      </c>
      <c r="K150" s="49">
        <f t="shared" si="2"/>
      </c>
      <c r="L150" s="2">
        <f t="shared" si="3"/>
      </c>
    </row>
    <row r="151">
      <c r="A151" s="43">
        <f t="shared" si="0"/>
      </c>
      <c r="B151" s="44" t="n"/>
      <c r="C151" s="45" t="n"/>
      <c r="D151" s="50" t="n"/>
      <c r="E151" s="45" t="n"/>
      <c r="F151" s="50" t="n"/>
      <c r="G151" s="47" t="n"/>
      <c r="H151" s="52" t="n"/>
      <c r="I151" s="50" t="n"/>
      <c r="J151" s="53">
        <f t="shared" si="1"/>
      </c>
      <c r="K151" s="49">
        <f t="shared" si="2"/>
      </c>
      <c r="L151" s="2">
        <f t="shared" si="3"/>
      </c>
    </row>
    <row r="152">
      <c r="A152" s="43">
        <f t="shared" si="0"/>
      </c>
      <c r="B152" s="44" t="n"/>
      <c r="C152" s="45" t="n"/>
      <c r="D152" s="50" t="n"/>
      <c r="E152" s="45" t="n"/>
      <c r="F152" s="50" t="n"/>
      <c r="G152" s="47" t="n"/>
      <c r="H152" s="52" t="n"/>
      <c r="I152" s="50" t="n"/>
      <c r="J152" s="53">
        <f t="shared" si="1"/>
      </c>
      <c r="K152" s="49">
        <f t="shared" si="2"/>
      </c>
      <c r="L152" s="2">
        <f t="shared" si="3"/>
      </c>
    </row>
    <row r="153">
      <c r="A153" s="43">
        <f t="shared" si="0"/>
      </c>
      <c r="B153" s="44" t="n"/>
      <c r="C153" s="45" t="n"/>
      <c r="D153" s="50" t="n"/>
      <c r="E153" s="45" t="n"/>
      <c r="F153" s="50" t="n"/>
      <c r="G153" s="47" t="n"/>
      <c r="H153" s="52" t="n"/>
      <c r="I153" s="50" t="n"/>
      <c r="J153" s="53">
        <f t="shared" si="1"/>
      </c>
      <c r="K153" s="49">
        <f t="shared" si="2"/>
      </c>
      <c r="L153" s="2">
        <f t="shared" si="3"/>
      </c>
    </row>
    <row r="154">
      <c r="A154" s="43">
        <f t="shared" si="0"/>
      </c>
      <c r="B154" s="44" t="n"/>
      <c r="C154" s="45" t="n"/>
      <c r="D154" s="50" t="n"/>
      <c r="E154" s="45" t="n"/>
      <c r="F154" s="50" t="n"/>
      <c r="G154" s="47" t="n"/>
      <c r="H154" s="52" t="n"/>
      <c r="I154" s="50" t="n"/>
      <c r="J154" s="53">
        <f t="shared" si="1"/>
      </c>
      <c r="K154" s="49">
        <f t="shared" si="2"/>
      </c>
      <c r="L154" s="2">
        <f t="shared" si="3"/>
      </c>
    </row>
    <row r="155">
      <c r="A155" s="43">
        <f t="shared" si="0"/>
      </c>
      <c r="B155" s="44" t="n"/>
      <c r="C155" s="45" t="n"/>
      <c r="D155" s="50" t="n"/>
      <c r="E155" s="45" t="n"/>
      <c r="F155" s="50" t="n"/>
      <c r="G155" s="47" t="n"/>
      <c r="H155" s="52" t="n"/>
      <c r="I155" s="50" t="n"/>
      <c r="J155" s="53">
        <f t="shared" si="1"/>
      </c>
      <c r="K155" s="49">
        <f t="shared" si="2"/>
      </c>
      <c r="L155" s="2">
        <f t="shared" si="3"/>
      </c>
    </row>
    <row r="156">
      <c r="A156" s="43">
        <f t="shared" si="0"/>
      </c>
      <c r="B156" s="44" t="n"/>
      <c r="C156" s="45" t="n"/>
      <c r="D156" s="50" t="n"/>
      <c r="E156" s="45" t="n"/>
      <c r="F156" s="50" t="n"/>
      <c r="G156" s="47" t="n"/>
      <c r="H156" s="52" t="n"/>
      <c r="I156" s="50" t="n"/>
      <c r="J156" s="53">
        <f t="shared" si="1"/>
      </c>
      <c r="K156" s="49">
        <f t="shared" si="2"/>
      </c>
      <c r="L156" s="2">
        <f t="shared" si="3"/>
      </c>
    </row>
    <row r="157">
      <c r="A157" s="43">
        <f t="shared" si="0"/>
      </c>
      <c r="B157" s="44" t="n"/>
      <c r="C157" s="45" t="n"/>
      <c r="D157" s="50" t="n"/>
      <c r="E157" s="45" t="n"/>
      <c r="F157" s="50" t="n"/>
      <c r="G157" s="47" t="n"/>
      <c r="H157" s="52" t="n"/>
      <c r="I157" s="50" t="n"/>
      <c r="J157" s="53">
        <f t="shared" si="1"/>
      </c>
      <c r="K157" s="49">
        <f t="shared" si="2"/>
      </c>
      <c r="L157" s="2">
        <f t="shared" si="3"/>
      </c>
    </row>
    <row r="158">
      <c r="A158" s="43">
        <f t="shared" si="0"/>
      </c>
      <c r="B158" s="44" t="n"/>
      <c r="C158" s="45" t="n"/>
      <c r="D158" s="50" t="n"/>
      <c r="E158" s="45" t="n"/>
      <c r="F158" s="50" t="n"/>
      <c r="G158" s="47" t="n"/>
      <c r="H158" s="52" t="n"/>
      <c r="I158" s="50" t="n"/>
      <c r="J158" s="53">
        <f t="shared" si="1"/>
      </c>
      <c r="K158" s="49">
        <f t="shared" si="2"/>
      </c>
      <c r="L158" s="2">
        <f t="shared" si="3"/>
      </c>
    </row>
    <row r="159">
      <c r="A159" s="43">
        <f t="shared" si="0"/>
      </c>
      <c r="B159" s="44" t="n"/>
      <c r="C159" s="45" t="n"/>
      <c r="D159" s="50" t="n"/>
      <c r="E159" s="45" t="n"/>
      <c r="F159" s="50" t="n"/>
      <c r="G159" s="47" t="n"/>
      <c r="H159" s="52" t="n"/>
      <c r="I159" s="50" t="n"/>
      <c r="J159" s="53">
        <f t="shared" si="1"/>
      </c>
      <c r="K159" s="49">
        <f t="shared" si="2"/>
      </c>
      <c r="L159" s="2">
        <f t="shared" si="3"/>
      </c>
    </row>
    <row r="160">
      <c r="A160" s="43">
        <f t="shared" si="0"/>
      </c>
      <c r="B160" s="44" t="n"/>
      <c r="C160" s="45" t="n"/>
      <c r="D160" s="50" t="n"/>
      <c r="E160" s="45" t="n"/>
      <c r="F160" s="50" t="n"/>
      <c r="G160" s="47" t="n"/>
      <c r="H160" s="52" t="n"/>
      <c r="I160" s="50" t="n"/>
      <c r="J160" s="53">
        <f t="shared" si="1"/>
      </c>
      <c r="K160" s="49">
        <f t="shared" si="2"/>
      </c>
      <c r="L160" s="2">
        <f t="shared" si="3"/>
      </c>
    </row>
    <row r="161">
      <c r="A161" s="43">
        <f t="shared" si="0"/>
      </c>
      <c r="B161" s="44" t="n"/>
      <c r="C161" s="45" t="n"/>
      <c r="D161" s="50" t="n"/>
      <c r="E161" s="45" t="n"/>
      <c r="F161" s="50" t="n"/>
      <c r="G161" s="47" t="n"/>
      <c r="H161" s="52" t="n"/>
      <c r="I161" s="50" t="n"/>
      <c r="J161" s="53">
        <f t="shared" si="1"/>
      </c>
      <c r="K161" s="49">
        <f t="shared" si="2"/>
      </c>
      <c r="L161" s="2">
        <f t="shared" si="3"/>
      </c>
    </row>
    <row r="162">
      <c r="A162" s="43">
        <f t="shared" si="0"/>
      </c>
      <c r="B162" s="44" t="n"/>
      <c r="C162" s="45" t="n"/>
      <c r="D162" s="50" t="n"/>
      <c r="E162" s="45" t="n"/>
      <c r="F162" s="50" t="n"/>
      <c r="G162" s="47" t="n"/>
      <c r="H162" s="52" t="n"/>
      <c r="I162" s="50" t="n"/>
      <c r="J162" s="53">
        <f t="shared" si="1"/>
      </c>
      <c r="K162" s="49">
        <f t="shared" si="2"/>
      </c>
      <c r="L162" s="2">
        <f t="shared" si="3"/>
      </c>
    </row>
    <row r="163">
      <c r="A163" s="43">
        <f t="shared" si="0"/>
      </c>
      <c r="B163" s="44" t="n"/>
      <c r="C163" s="45" t="n"/>
      <c r="D163" s="50" t="n"/>
      <c r="E163" s="45" t="n"/>
      <c r="F163" s="50" t="n"/>
      <c r="G163" s="47" t="n"/>
      <c r="H163" s="52" t="n"/>
      <c r="I163" s="50" t="n"/>
      <c r="J163" s="53">
        <f t="shared" si="1"/>
      </c>
      <c r="K163" s="49">
        <f t="shared" si="2"/>
      </c>
      <c r="L163" s="2">
        <f t="shared" si="3"/>
      </c>
    </row>
    <row r="164">
      <c r="A164" s="43">
        <f t="shared" si="0"/>
      </c>
      <c r="B164" s="44" t="n"/>
      <c r="C164" s="45" t="n"/>
      <c r="D164" s="50" t="n"/>
      <c r="E164" s="45" t="n"/>
      <c r="F164" s="50" t="n"/>
      <c r="G164" s="47" t="n"/>
      <c r="H164" s="52" t="n"/>
      <c r="I164" s="50" t="n"/>
      <c r="J164" s="53">
        <f t="shared" si="1"/>
      </c>
      <c r="K164" s="49">
        <f t="shared" si="2"/>
      </c>
      <c r="L164" s="2">
        <f t="shared" si="3"/>
      </c>
    </row>
    <row r="165">
      <c r="A165" s="43">
        <f t="shared" si="0"/>
      </c>
      <c r="B165" s="44" t="n"/>
      <c r="C165" s="45" t="n"/>
      <c r="D165" s="50" t="n"/>
      <c r="E165" s="45" t="n"/>
      <c r="F165" s="50" t="n"/>
      <c r="G165" s="47" t="n"/>
      <c r="H165" s="52" t="n"/>
      <c r="I165" s="50" t="n"/>
      <c r="J165" s="53">
        <f t="shared" si="1"/>
      </c>
      <c r="K165" s="49">
        <f t="shared" si="2"/>
      </c>
      <c r="L165" s="2">
        <f t="shared" si="3"/>
      </c>
    </row>
    <row r="166">
      <c r="A166" s="43">
        <f t="shared" si="0"/>
      </c>
      <c r="B166" s="44" t="n"/>
      <c r="C166" s="45" t="n"/>
      <c r="D166" s="50" t="n"/>
      <c r="E166" s="45" t="n"/>
      <c r="F166" s="50" t="n"/>
      <c r="G166" s="47" t="n"/>
      <c r="H166" s="52" t="n"/>
      <c r="I166" s="50" t="n"/>
      <c r="J166" s="53">
        <f t="shared" si="1"/>
      </c>
      <c r="K166" s="49">
        <f t="shared" si="2"/>
      </c>
      <c r="L166" s="2">
        <f t="shared" si="3"/>
      </c>
    </row>
    <row r="167">
      <c r="A167" s="43">
        <f t="shared" si="0"/>
      </c>
      <c r="B167" s="44" t="n"/>
      <c r="C167" s="45" t="n"/>
      <c r="D167" s="50" t="n"/>
      <c r="E167" s="45" t="n"/>
      <c r="F167" s="50" t="n"/>
      <c r="G167" s="47" t="n"/>
      <c r="H167" s="52" t="n"/>
      <c r="I167" s="50" t="n"/>
      <c r="J167" s="53">
        <f t="shared" si="1"/>
      </c>
      <c r="K167" s="49">
        <f t="shared" si="2"/>
      </c>
      <c r="L167" s="2">
        <f t="shared" si="3"/>
      </c>
    </row>
    <row r="168">
      <c r="A168" s="43">
        <f t="shared" si="0"/>
      </c>
      <c r="B168" s="44" t="n"/>
      <c r="C168" s="45" t="n"/>
      <c r="D168" s="50" t="n"/>
      <c r="E168" s="45" t="n"/>
      <c r="F168" s="50" t="n"/>
      <c r="G168" s="47" t="n"/>
      <c r="H168" s="52" t="n"/>
      <c r="I168" s="50" t="n"/>
      <c r="J168" s="53">
        <f t="shared" si="1"/>
      </c>
      <c r="K168" s="49">
        <f t="shared" si="2"/>
      </c>
      <c r="L168" s="2">
        <f t="shared" si="3"/>
      </c>
    </row>
    <row r="169">
      <c r="A169" s="43">
        <f t="shared" si="0"/>
      </c>
      <c r="B169" s="44" t="n"/>
      <c r="C169" s="45" t="n"/>
      <c r="D169" s="50" t="n"/>
      <c r="E169" s="45" t="n"/>
      <c r="F169" s="50" t="n"/>
      <c r="G169" s="47" t="n"/>
      <c r="H169" s="52" t="n"/>
      <c r="I169" s="50" t="n"/>
      <c r="J169" s="53">
        <f t="shared" si="1"/>
      </c>
      <c r="K169" s="49">
        <f t="shared" si="2"/>
      </c>
      <c r="L169" s="2">
        <f t="shared" si="3"/>
      </c>
    </row>
    <row r="170">
      <c r="A170" s="43">
        <f t="shared" si="0"/>
      </c>
      <c r="B170" s="44" t="n"/>
      <c r="C170" s="45" t="n"/>
      <c r="D170" s="50" t="n"/>
      <c r="E170" s="45" t="n"/>
      <c r="F170" s="50" t="n"/>
      <c r="G170" s="47" t="n"/>
      <c r="H170" s="52" t="n"/>
      <c r="I170" s="50" t="n"/>
      <c r="J170" s="53">
        <f t="shared" si="1"/>
      </c>
      <c r="K170" s="49">
        <f t="shared" si="2"/>
      </c>
      <c r="L170" s="2">
        <f t="shared" si="3"/>
      </c>
    </row>
    <row r="171">
      <c r="A171" s="43">
        <f t="shared" si="0"/>
      </c>
      <c r="B171" s="44" t="n"/>
      <c r="C171" s="45" t="n"/>
      <c r="D171" s="50" t="n"/>
      <c r="E171" s="45" t="n"/>
      <c r="F171" s="50" t="n"/>
      <c r="G171" s="47" t="n"/>
      <c r="H171" s="52" t="n"/>
      <c r="I171" s="50" t="n"/>
      <c r="J171" s="53">
        <f t="shared" si="1"/>
      </c>
      <c r="K171" s="49">
        <f t="shared" si="2"/>
      </c>
      <c r="L171" s="2">
        <f t="shared" si="3"/>
      </c>
    </row>
    <row r="172">
      <c r="A172" s="43">
        <f t="shared" si="0"/>
      </c>
      <c r="B172" s="44" t="n"/>
      <c r="C172" s="45" t="n"/>
      <c r="D172" s="50" t="n"/>
      <c r="E172" s="45" t="n"/>
      <c r="F172" s="50" t="n"/>
      <c r="G172" s="47" t="n"/>
      <c r="H172" s="52" t="n"/>
      <c r="I172" s="50" t="n"/>
      <c r="J172" s="53">
        <f t="shared" si="1"/>
      </c>
      <c r="K172" s="49">
        <f t="shared" si="2"/>
      </c>
      <c r="L172" s="2">
        <f t="shared" si="3"/>
      </c>
    </row>
    <row r="173">
      <c r="A173" s="43">
        <f t="shared" si="0"/>
      </c>
      <c r="B173" s="44" t="n"/>
      <c r="C173" s="45" t="n"/>
      <c r="D173" s="50" t="n"/>
      <c r="E173" s="45" t="n"/>
      <c r="F173" s="50" t="n"/>
      <c r="G173" s="47" t="n"/>
      <c r="H173" s="52" t="n"/>
      <c r="I173" s="50" t="n"/>
      <c r="J173" s="53">
        <f t="shared" si="1"/>
      </c>
      <c r="K173" s="49">
        <f t="shared" si="2"/>
      </c>
      <c r="L173" s="2">
        <f t="shared" si="3"/>
      </c>
    </row>
    <row r="174">
      <c r="A174" s="43">
        <f t="shared" si="0"/>
      </c>
      <c r="B174" s="44" t="n"/>
      <c r="C174" s="45" t="n"/>
      <c r="D174" s="50" t="n"/>
      <c r="E174" s="45" t="n"/>
      <c r="F174" s="50" t="n"/>
      <c r="G174" s="47" t="n"/>
      <c r="H174" s="52" t="n"/>
      <c r="I174" s="50" t="n"/>
      <c r="J174" s="53">
        <f t="shared" si="1"/>
      </c>
      <c r="K174" s="49">
        <f t="shared" si="2"/>
      </c>
      <c r="L174" s="2">
        <f t="shared" si="3"/>
      </c>
    </row>
    <row r="175">
      <c r="A175" s="43">
        <f t="shared" si="0"/>
      </c>
      <c r="B175" s="44" t="n"/>
      <c r="C175" s="45" t="n"/>
      <c r="D175" s="50" t="n"/>
      <c r="E175" s="45" t="n"/>
      <c r="F175" s="50" t="n"/>
      <c r="G175" s="47" t="n"/>
      <c r="H175" s="52" t="n"/>
      <c r="I175" s="50" t="n"/>
      <c r="J175" s="53">
        <f t="shared" si="1"/>
      </c>
      <c r="K175" s="49">
        <f t="shared" si="2"/>
      </c>
      <c r="L175" s="2">
        <f t="shared" si="3"/>
      </c>
    </row>
    <row r="176">
      <c r="A176" s="43">
        <f t="shared" si="0"/>
      </c>
      <c r="B176" s="44" t="n"/>
      <c r="C176" s="45" t="n"/>
      <c r="D176" s="50" t="n"/>
      <c r="E176" s="45" t="n"/>
      <c r="F176" s="50" t="n"/>
      <c r="G176" s="47" t="n"/>
      <c r="H176" s="52" t="n"/>
      <c r="I176" s="50" t="n"/>
      <c r="J176" s="53">
        <f t="shared" si="1"/>
      </c>
      <c r="K176" s="49">
        <f t="shared" si="2"/>
      </c>
      <c r="L176" s="2">
        <f t="shared" si="3"/>
      </c>
    </row>
    <row r="177">
      <c r="A177" s="43">
        <f t="shared" si="0"/>
      </c>
      <c r="B177" s="44" t="n"/>
      <c r="C177" s="45" t="n"/>
      <c r="D177" s="50" t="n"/>
      <c r="E177" s="45" t="n"/>
      <c r="F177" s="50" t="n"/>
      <c r="G177" s="47" t="n"/>
      <c r="H177" s="52" t="n"/>
      <c r="I177" s="50" t="n"/>
      <c r="J177" s="53">
        <f t="shared" si="1"/>
      </c>
      <c r="K177" s="49">
        <f t="shared" si="2"/>
      </c>
      <c r="L177" s="2">
        <f t="shared" si="3"/>
      </c>
    </row>
    <row r="178">
      <c r="A178" s="43">
        <f t="shared" si="0"/>
      </c>
      <c r="B178" s="44" t="n"/>
      <c r="C178" s="45" t="n"/>
      <c r="D178" s="50" t="n"/>
      <c r="E178" s="45" t="n"/>
      <c r="F178" s="50" t="n"/>
      <c r="G178" s="47" t="n"/>
      <c r="H178" s="52" t="n"/>
      <c r="I178" s="50" t="n"/>
      <c r="J178" s="53">
        <f t="shared" si="1"/>
      </c>
      <c r="K178" s="49">
        <f t="shared" si="2"/>
      </c>
      <c r="L178" s="2">
        <f t="shared" si="3"/>
      </c>
    </row>
    <row r="179">
      <c r="A179" s="43">
        <f t="shared" si="0"/>
      </c>
      <c r="B179" s="44" t="n"/>
      <c r="C179" s="45" t="n"/>
      <c r="D179" s="50" t="n"/>
      <c r="E179" s="45" t="n"/>
      <c r="F179" s="50" t="n"/>
      <c r="G179" s="47" t="n"/>
      <c r="H179" s="52" t="n"/>
      <c r="I179" s="50" t="n"/>
      <c r="J179" s="53">
        <f t="shared" si="1"/>
      </c>
      <c r="K179" s="49">
        <f t="shared" si="2"/>
      </c>
      <c r="L179" s="2">
        <f t="shared" si="3"/>
      </c>
    </row>
    <row r="180">
      <c r="A180" s="43">
        <f t="shared" si="0"/>
      </c>
      <c r="B180" s="44" t="n"/>
      <c r="C180" s="45" t="n"/>
      <c r="D180" s="50" t="n"/>
      <c r="E180" s="45" t="n"/>
      <c r="F180" s="50" t="n"/>
      <c r="G180" s="47" t="n"/>
      <c r="H180" s="52" t="n"/>
      <c r="I180" s="50" t="n"/>
      <c r="J180" s="53">
        <f t="shared" si="1"/>
      </c>
      <c r="K180" s="49">
        <f t="shared" si="2"/>
      </c>
      <c r="L180" s="2">
        <f t="shared" si="3"/>
      </c>
    </row>
    <row r="181">
      <c r="A181" s="43">
        <f t="shared" si="0"/>
      </c>
      <c r="B181" s="44" t="n"/>
      <c r="C181" s="45" t="n"/>
      <c r="D181" s="50" t="n"/>
      <c r="E181" s="45" t="n"/>
      <c r="F181" s="50" t="n"/>
      <c r="G181" s="47" t="n"/>
      <c r="H181" s="52" t="n"/>
      <c r="I181" s="50" t="n"/>
      <c r="J181" s="53">
        <f t="shared" si="1"/>
      </c>
      <c r="K181" s="49">
        <f t="shared" si="2"/>
      </c>
      <c r="L181" s="2">
        <f t="shared" si="3"/>
      </c>
    </row>
    <row r="182">
      <c r="A182" s="43">
        <f t="shared" si="0"/>
      </c>
      <c r="B182" s="44" t="n"/>
      <c r="C182" s="45" t="n"/>
      <c r="D182" s="50" t="n"/>
      <c r="E182" s="45" t="n"/>
      <c r="F182" s="50" t="n"/>
      <c r="G182" s="47" t="n"/>
      <c r="H182" s="52" t="n"/>
      <c r="I182" s="50" t="n"/>
      <c r="J182" s="53">
        <f t="shared" si="1"/>
      </c>
      <c r="K182" s="49">
        <f t="shared" si="2"/>
      </c>
      <c r="L182" s="2">
        <f t="shared" si="3"/>
      </c>
    </row>
    <row r="183">
      <c r="A183" s="43">
        <f t="shared" si="0"/>
      </c>
      <c r="B183" s="44" t="n"/>
      <c r="C183" s="45" t="n"/>
      <c r="D183" s="50" t="n"/>
      <c r="E183" s="45" t="n"/>
      <c r="F183" s="50" t="n"/>
      <c r="G183" s="47" t="n"/>
      <c r="H183" s="52" t="n"/>
      <c r="I183" s="50" t="n"/>
      <c r="J183" s="53">
        <f t="shared" si="1"/>
      </c>
      <c r="K183" s="49">
        <f t="shared" si="2"/>
      </c>
      <c r="L183" s="2">
        <f t="shared" si="3"/>
      </c>
    </row>
    <row r="184">
      <c r="A184" s="43">
        <f t="shared" si="0"/>
      </c>
      <c r="B184" s="44" t="n"/>
      <c r="C184" s="45" t="n"/>
      <c r="D184" s="50" t="n"/>
      <c r="E184" s="45" t="n"/>
      <c r="F184" s="50" t="n"/>
      <c r="G184" s="47" t="n"/>
      <c r="H184" s="52" t="n"/>
      <c r="I184" s="50" t="n"/>
      <c r="J184" s="53">
        <f t="shared" si="1"/>
      </c>
      <c r="K184" s="49">
        <f t="shared" si="2"/>
      </c>
      <c r="L184" s="2">
        <f t="shared" si="3"/>
      </c>
    </row>
    <row r="185">
      <c r="A185" s="43">
        <f t="shared" si="0"/>
      </c>
      <c r="B185" s="44" t="n"/>
      <c r="C185" s="45" t="n"/>
      <c r="D185" s="50" t="n"/>
      <c r="E185" s="45" t="n"/>
      <c r="F185" s="50" t="n"/>
      <c r="G185" s="47" t="n"/>
      <c r="H185" s="52" t="n"/>
      <c r="I185" s="50" t="n"/>
      <c r="J185" s="53">
        <f t="shared" si="1"/>
      </c>
      <c r="K185" s="49">
        <f t="shared" si="2"/>
      </c>
      <c r="L185" s="2">
        <f t="shared" si="3"/>
      </c>
    </row>
    <row r="186">
      <c r="A186" s="43">
        <f t="shared" si="0"/>
      </c>
      <c r="B186" s="44" t="n"/>
      <c r="C186" s="45" t="n"/>
      <c r="D186" s="50" t="n"/>
      <c r="E186" s="45" t="n"/>
      <c r="F186" s="50" t="n"/>
      <c r="G186" s="47" t="n"/>
      <c r="H186" s="52" t="n"/>
      <c r="I186" s="50" t="n"/>
      <c r="J186" s="53">
        <f t="shared" si="1"/>
      </c>
      <c r="K186" s="49">
        <f t="shared" si="2"/>
      </c>
      <c r="L186" s="2">
        <f t="shared" si="3"/>
      </c>
    </row>
    <row r="187">
      <c r="A187" s="43">
        <f t="shared" si="0"/>
      </c>
      <c r="B187" s="44" t="n"/>
      <c r="C187" s="45" t="n"/>
      <c r="D187" s="50" t="n"/>
      <c r="E187" s="45" t="n"/>
      <c r="F187" s="50" t="n"/>
      <c r="G187" s="47" t="n"/>
      <c r="H187" s="52" t="n"/>
      <c r="I187" s="50" t="n"/>
      <c r="J187" s="53">
        <f t="shared" si="1"/>
      </c>
      <c r="K187" s="49">
        <f t="shared" si="2"/>
      </c>
      <c r="L187" s="2">
        <f t="shared" si="3"/>
      </c>
    </row>
    <row r="188">
      <c r="A188" s="43">
        <f t="shared" si="0"/>
      </c>
      <c r="B188" s="44" t="n"/>
      <c r="C188" s="45" t="n"/>
      <c r="D188" s="50" t="n"/>
      <c r="E188" s="45" t="n"/>
      <c r="F188" s="50" t="n"/>
      <c r="G188" s="47" t="n"/>
      <c r="H188" s="52" t="n"/>
      <c r="I188" s="50" t="n"/>
      <c r="J188" s="53">
        <f t="shared" si="1"/>
      </c>
      <c r="K188" s="49">
        <f t="shared" si="2"/>
      </c>
      <c r="L188" s="2">
        <f t="shared" si="3"/>
      </c>
    </row>
    <row r="189">
      <c r="A189" s="43">
        <f t="shared" si="0"/>
      </c>
      <c r="B189" s="44" t="n"/>
      <c r="C189" s="45" t="n"/>
      <c r="D189" s="50" t="n"/>
      <c r="E189" s="45" t="n"/>
      <c r="F189" s="50" t="n"/>
      <c r="G189" s="47" t="n"/>
      <c r="H189" s="52" t="n"/>
      <c r="I189" s="50" t="n"/>
      <c r="J189" s="53">
        <f t="shared" si="1"/>
      </c>
      <c r="K189" s="49">
        <f t="shared" si="2"/>
      </c>
      <c r="L189" s="2">
        <f t="shared" si="3"/>
      </c>
    </row>
    <row r="190">
      <c r="A190" s="43">
        <f t="shared" si="0"/>
      </c>
      <c r="B190" s="44" t="n"/>
      <c r="C190" s="45" t="n"/>
      <c r="D190" s="50" t="n"/>
      <c r="E190" s="45" t="n"/>
      <c r="F190" s="50" t="n"/>
      <c r="G190" s="47" t="n"/>
      <c r="H190" s="52" t="n"/>
      <c r="I190" s="50" t="n"/>
      <c r="J190" s="53">
        <f t="shared" si="1"/>
      </c>
      <c r="K190" s="49">
        <f t="shared" si="2"/>
      </c>
      <c r="L190" s="2">
        <f t="shared" si="3"/>
      </c>
    </row>
    <row r="191">
      <c r="A191" s="43">
        <f t="shared" si="0"/>
      </c>
      <c r="B191" s="44" t="n"/>
      <c r="C191" s="45" t="n"/>
      <c r="D191" s="50" t="n"/>
      <c r="E191" s="45" t="n"/>
      <c r="F191" s="50" t="n"/>
      <c r="G191" s="47" t="n"/>
      <c r="H191" s="52" t="n"/>
      <c r="I191" s="50" t="n"/>
      <c r="J191" s="53">
        <f t="shared" si="1"/>
      </c>
      <c r="K191" s="49">
        <f t="shared" si="2"/>
      </c>
      <c r="L191" s="2">
        <f t="shared" si="3"/>
      </c>
    </row>
    <row r="192">
      <c r="A192" s="43">
        <f t="shared" si="0"/>
      </c>
      <c r="B192" s="44" t="n"/>
      <c r="C192" s="45" t="n"/>
      <c r="D192" s="50" t="n"/>
      <c r="E192" s="45" t="n"/>
      <c r="F192" s="50" t="n"/>
      <c r="G192" s="47" t="n"/>
      <c r="H192" s="52" t="n"/>
      <c r="I192" s="50" t="n"/>
      <c r="J192" s="53">
        <f t="shared" si="1"/>
      </c>
      <c r="K192" s="49">
        <f t="shared" si="2"/>
      </c>
      <c r="L192" s="2">
        <f t="shared" si="3"/>
      </c>
    </row>
    <row r="193">
      <c r="A193" s="43">
        <f t="shared" si="0"/>
      </c>
      <c r="B193" s="44" t="n"/>
      <c r="C193" s="45" t="n"/>
      <c r="D193" s="50" t="n"/>
      <c r="E193" s="45" t="n"/>
      <c r="F193" s="50" t="n"/>
      <c r="G193" s="47" t="n"/>
      <c r="H193" s="52" t="n"/>
      <c r="I193" s="50" t="n"/>
      <c r="J193" s="53">
        <f t="shared" si="1"/>
      </c>
      <c r="K193" s="49">
        <f t="shared" si="2"/>
      </c>
      <c r="L193" s="2">
        <f t="shared" si="3"/>
      </c>
    </row>
    <row r="194">
      <c r="A194" s="43">
        <f t="shared" si="0"/>
      </c>
      <c r="B194" s="44" t="n"/>
      <c r="C194" s="45" t="n"/>
      <c r="D194" s="50" t="n"/>
      <c r="E194" s="45" t="n"/>
      <c r="F194" s="50" t="n"/>
      <c r="G194" s="47" t="n"/>
      <c r="H194" s="52" t="n"/>
      <c r="I194" s="50" t="n"/>
      <c r="J194" s="53">
        <f t="shared" si="1"/>
      </c>
      <c r="K194" s="49">
        <f t="shared" si="2"/>
      </c>
      <c r="L194" s="2">
        <f t="shared" si="3"/>
      </c>
    </row>
    <row r="195">
      <c r="A195" s="43">
        <f t="shared" si="0"/>
      </c>
      <c r="B195" s="44" t="n"/>
      <c r="C195" s="45" t="n"/>
      <c r="D195" s="50" t="n"/>
      <c r="E195" s="45" t="n"/>
      <c r="F195" s="50" t="n"/>
      <c r="G195" s="47" t="n"/>
      <c r="H195" s="52" t="n"/>
      <c r="I195" s="50" t="n"/>
      <c r="J195" s="53">
        <f t="shared" si="1"/>
      </c>
      <c r="K195" s="49">
        <f t="shared" si="2"/>
      </c>
      <c r="L195" s="2">
        <f t="shared" si="3"/>
      </c>
    </row>
    <row r="196">
      <c r="A196" s="43">
        <f t="shared" si="0"/>
      </c>
      <c r="B196" s="44" t="n"/>
      <c r="C196" s="45" t="n"/>
      <c r="D196" s="50" t="n"/>
      <c r="E196" s="45" t="n"/>
      <c r="F196" s="50" t="n"/>
      <c r="G196" s="47" t="n"/>
      <c r="H196" s="52" t="n"/>
      <c r="I196" s="50" t="n"/>
      <c r="J196" s="53">
        <f t="shared" si="1"/>
      </c>
      <c r="K196" s="49">
        <f t="shared" si="2"/>
      </c>
      <c r="L196" s="2">
        <f t="shared" si="3"/>
      </c>
    </row>
    <row r="197">
      <c r="A197" s="43">
        <f t="shared" si="0"/>
      </c>
      <c r="B197" s="44" t="n"/>
      <c r="C197" s="45" t="n"/>
      <c r="D197" s="50" t="n"/>
      <c r="E197" s="45" t="n"/>
      <c r="F197" s="50" t="n"/>
      <c r="G197" s="47" t="n"/>
      <c r="H197" s="52" t="n"/>
      <c r="I197" s="50" t="n"/>
      <c r="J197" s="53">
        <f t="shared" si="1"/>
      </c>
      <c r="K197" s="49">
        <f t="shared" si="2"/>
      </c>
      <c r="L197" s="2">
        <f t="shared" si="3"/>
      </c>
    </row>
    <row r="198">
      <c r="A198" s="43">
        <f t="shared" si="0"/>
      </c>
      <c r="B198" s="44" t="n"/>
      <c r="C198" s="45" t="n"/>
      <c r="D198" s="50" t="n"/>
      <c r="E198" s="45" t="n"/>
      <c r="F198" s="50" t="n"/>
      <c r="G198" s="47" t="n"/>
      <c r="H198" s="52" t="n"/>
      <c r="I198" s="50" t="n"/>
      <c r="J198" s="53">
        <f t="shared" si="1"/>
      </c>
      <c r="K198" s="49">
        <f t="shared" si="2"/>
      </c>
      <c r="L198" s="2">
        <f t="shared" si="3"/>
      </c>
    </row>
    <row r="199">
      <c r="A199" s="43">
        <f t="shared" si="0"/>
      </c>
      <c r="B199" s="44" t="n"/>
      <c r="C199" s="45" t="n"/>
      <c r="D199" s="50" t="n"/>
      <c r="E199" s="45" t="n"/>
      <c r="F199" s="50" t="n"/>
      <c r="G199" s="47" t="n"/>
      <c r="H199" s="52" t="n"/>
      <c r="I199" s="50" t="n"/>
      <c r="J199" s="53">
        <f t="shared" si="1"/>
      </c>
      <c r="K199" s="49">
        <f t="shared" si="2"/>
      </c>
      <c r="L199" s="2">
        <f t="shared" si="3"/>
      </c>
    </row>
    <row r="200">
      <c r="A200" s="43">
        <f t="shared" si="0"/>
      </c>
      <c r="B200" s="44" t="n"/>
      <c r="C200" s="45" t="n"/>
      <c r="D200" s="50" t="n"/>
      <c r="E200" s="45" t="n"/>
      <c r="F200" s="50" t="n"/>
      <c r="G200" s="47" t="n"/>
      <c r="H200" s="52" t="n"/>
      <c r="I200" s="50" t="n"/>
      <c r="J200" s="53">
        <f t="shared" si="1"/>
      </c>
      <c r="K200" s="49">
        <f t="shared" si="2"/>
      </c>
      <c r="L200" s="2">
        <f t="shared" si="3"/>
      </c>
    </row>
    <row r="201">
      <c r="A201" s="43">
        <f t="shared" si="0"/>
      </c>
      <c r="B201" s="44" t="n"/>
      <c r="C201" s="45" t="n"/>
      <c r="D201" s="50" t="n"/>
      <c r="E201" s="45" t="n"/>
      <c r="F201" s="50" t="n"/>
      <c r="G201" s="47" t="n"/>
      <c r="H201" s="52" t="n"/>
      <c r="I201" s="50" t="n"/>
      <c r="J201" s="53">
        <f t="shared" si="1"/>
      </c>
      <c r="K201" s="49">
        <f t="shared" si="2"/>
      </c>
      <c r="L201" s="2">
        <f t="shared" si="3"/>
      </c>
    </row>
    <row r="202">
      <c r="A202" s="43">
        <f t="shared" si="0"/>
      </c>
      <c r="B202" s="44" t="n"/>
      <c r="C202" s="45" t="n"/>
      <c r="D202" s="50" t="n"/>
      <c r="E202" s="45" t="n"/>
      <c r="F202" s="50" t="n"/>
      <c r="G202" s="47" t="n"/>
      <c r="H202" s="52" t="n"/>
      <c r="I202" s="50" t="n"/>
      <c r="J202" s="53">
        <f t="shared" si="1"/>
      </c>
      <c r="K202" s="49">
        <f t="shared" si="2"/>
      </c>
      <c r="L202" s="2">
        <f t="shared" si="3"/>
      </c>
    </row>
    <row r="203">
      <c r="A203" s="43">
        <f t="shared" si="0"/>
      </c>
      <c r="B203" s="44" t="n"/>
      <c r="C203" s="45" t="n"/>
      <c r="D203" s="50" t="n"/>
      <c r="E203" s="45" t="n"/>
      <c r="F203" s="50" t="n"/>
      <c r="G203" s="47" t="n"/>
      <c r="H203" s="52" t="n"/>
      <c r="I203" s="50" t="n"/>
      <c r="J203" s="53">
        <f t="shared" si="1"/>
      </c>
      <c r="K203" s="49">
        <f t="shared" si="2"/>
      </c>
      <c r="L203" s="2">
        <f t="shared" si="3"/>
      </c>
    </row>
    <row r="204">
      <c r="A204" s="43">
        <f t="shared" si="0"/>
      </c>
      <c r="B204" s="44" t="n"/>
      <c r="C204" s="45" t="n"/>
      <c r="D204" s="50" t="n"/>
      <c r="E204" s="45" t="n"/>
      <c r="F204" s="50" t="n"/>
      <c r="G204" s="47" t="n"/>
      <c r="H204" s="52" t="n"/>
      <c r="I204" s="50" t="n"/>
      <c r="J204" s="53">
        <f t="shared" si="1"/>
      </c>
      <c r="K204" s="49">
        <f t="shared" si="2"/>
      </c>
      <c r="L204" s="2">
        <f t="shared" si="3"/>
      </c>
    </row>
    <row r="205">
      <c r="A205" s="43">
        <f t="shared" si="0"/>
      </c>
      <c r="B205" s="44" t="n"/>
      <c r="C205" s="45" t="n"/>
      <c r="D205" s="50" t="n"/>
      <c r="E205" s="45" t="n"/>
      <c r="F205" s="50" t="n"/>
      <c r="G205" s="47" t="n"/>
      <c r="H205" s="52" t="n"/>
      <c r="I205" s="50" t="n"/>
      <c r="J205" s="53">
        <f t="shared" si="1"/>
      </c>
      <c r="K205" s="49">
        <f t="shared" si="2"/>
      </c>
      <c r="L205" s="2">
        <f t="shared" si="3"/>
      </c>
    </row>
    <row r="206">
      <c r="A206" s="43">
        <f t="shared" si="0"/>
      </c>
      <c r="B206" s="44" t="n"/>
      <c r="C206" s="45" t="n"/>
      <c r="D206" s="50" t="n"/>
      <c r="E206" s="45" t="n"/>
      <c r="F206" s="50" t="n"/>
      <c r="G206" s="47" t="n"/>
      <c r="H206" s="52" t="n"/>
      <c r="I206" s="50" t="n"/>
      <c r="J206" s="53">
        <f t="shared" si="1"/>
      </c>
      <c r="K206" s="49">
        <f t="shared" si="2"/>
      </c>
      <c r="L206" s="2">
        <f t="shared" si="3"/>
      </c>
    </row>
    <row r="207">
      <c r="A207" s="43">
        <f t="shared" si="0"/>
      </c>
      <c r="B207" s="44" t="n"/>
      <c r="C207" s="45" t="n"/>
      <c r="D207" s="50" t="n"/>
      <c r="E207" s="45" t="n"/>
      <c r="F207" s="50" t="n"/>
      <c r="G207" s="47" t="n"/>
      <c r="H207" s="52" t="n"/>
      <c r="I207" s="50" t="n"/>
      <c r="J207" s="53">
        <f t="shared" si="1"/>
      </c>
      <c r="K207" s="49">
        <f t="shared" si="2"/>
      </c>
      <c r="L207" s="2">
        <f t="shared" si="3"/>
      </c>
    </row>
    <row r="208">
      <c r="A208" s="43">
        <f t="shared" si="0"/>
      </c>
      <c r="B208" s="44" t="n"/>
      <c r="C208" s="45" t="n"/>
      <c r="D208" s="50" t="n"/>
      <c r="E208" s="45" t="n"/>
      <c r="F208" s="50" t="n"/>
      <c r="G208" s="47" t="n"/>
      <c r="H208" s="52" t="n"/>
      <c r="I208" s="50" t="n"/>
      <c r="J208" s="53">
        <f t="shared" si="1"/>
      </c>
      <c r="K208" s="49">
        <f t="shared" si="2"/>
      </c>
      <c r="L208" s="2">
        <f t="shared" si="3"/>
      </c>
    </row>
    <row r="209">
      <c r="A209" s="43">
        <f t="shared" si="0"/>
      </c>
      <c r="B209" s="44" t="n"/>
      <c r="C209" s="45" t="n"/>
      <c r="D209" s="50" t="n"/>
      <c r="E209" s="45" t="n"/>
      <c r="F209" s="50" t="n"/>
      <c r="G209" s="47" t="n"/>
      <c r="H209" s="52" t="n"/>
      <c r="I209" s="50" t="n"/>
      <c r="J209" s="53">
        <f t="shared" si="1"/>
      </c>
      <c r="K209" s="49">
        <f t="shared" si="2"/>
      </c>
      <c r="L209" s="2">
        <f t="shared" si="3"/>
      </c>
    </row>
    <row r="210">
      <c r="A210" s="43">
        <f t="shared" si="0"/>
      </c>
      <c r="B210" s="44" t="n"/>
      <c r="C210" s="45" t="n"/>
      <c r="D210" s="50" t="n"/>
      <c r="E210" s="45" t="n"/>
      <c r="F210" s="50" t="n"/>
      <c r="G210" s="47" t="n"/>
      <c r="H210" s="52" t="n"/>
      <c r="I210" s="50" t="n"/>
      <c r="J210" s="53">
        <f t="shared" si="1"/>
      </c>
      <c r="K210" s="49">
        <f t="shared" si="2"/>
      </c>
      <c r="L210" s="2">
        <f t="shared" si="3"/>
      </c>
    </row>
    <row r="211">
      <c r="A211" s="43">
        <f t="shared" si="0"/>
      </c>
      <c r="B211" s="44" t="n"/>
      <c r="C211" s="45" t="n"/>
      <c r="D211" s="50" t="n"/>
      <c r="E211" s="45" t="n"/>
      <c r="F211" s="50" t="n"/>
      <c r="G211" s="47" t="n"/>
      <c r="H211" s="52" t="n"/>
      <c r="I211" s="50" t="n"/>
      <c r="J211" s="53">
        <f t="shared" si="1"/>
      </c>
      <c r="K211" s="49">
        <f t="shared" si="2"/>
      </c>
      <c r="L211" s="2">
        <f t="shared" si="3"/>
      </c>
    </row>
    <row r="212">
      <c r="A212" s="43">
        <f t="shared" si="0"/>
      </c>
      <c r="B212" s="44" t="n"/>
      <c r="C212" s="45" t="n"/>
      <c r="D212" s="50" t="n"/>
      <c r="E212" s="45" t="n"/>
      <c r="F212" s="50" t="n"/>
      <c r="G212" s="47" t="n"/>
      <c r="H212" s="52" t="n"/>
      <c r="I212" s="50" t="n"/>
      <c r="J212" s="53">
        <f t="shared" si="1"/>
      </c>
      <c r="K212" s="49">
        <f t="shared" si="2"/>
      </c>
      <c r="L212" s="2">
        <f t="shared" si="3"/>
      </c>
    </row>
    <row r="213">
      <c r="A213" s="43">
        <f t="shared" si="0"/>
      </c>
      <c r="B213" s="44" t="n"/>
      <c r="C213" s="45" t="n"/>
      <c r="D213" s="50" t="n"/>
      <c r="E213" s="45" t="n"/>
      <c r="F213" s="50" t="n"/>
      <c r="G213" s="47" t="n"/>
      <c r="H213" s="52" t="n"/>
      <c r="I213" s="50" t="n"/>
      <c r="J213" s="53">
        <f t="shared" si="1"/>
      </c>
      <c r="K213" s="49">
        <f t="shared" si="2"/>
      </c>
      <c r="L213" s="2">
        <f t="shared" si="3"/>
      </c>
    </row>
    <row r="214">
      <c r="A214" s="43">
        <f t="shared" si="0"/>
      </c>
      <c r="B214" s="44" t="n"/>
      <c r="C214" s="45" t="n"/>
      <c r="D214" s="50" t="n"/>
      <c r="E214" s="45" t="n"/>
      <c r="F214" s="50" t="n"/>
      <c r="G214" s="47" t="n"/>
      <c r="H214" s="52" t="n"/>
      <c r="I214" s="50" t="n"/>
      <c r="J214" s="53">
        <f t="shared" si="1"/>
      </c>
      <c r="K214" s="49">
        <f t="shared" si="2"/>
      </c>
      <c r="L214" s="2">
        <f t="shared" si="3"/>
      </c>
    </row>
    <row r="215">
      <c r="A215" s="43">
        <f t="shared" si="0"/>
      </c>
      <c r="B215" s="44" t="n"/>
      <c r="C215" s="45" t="n"/>
      <c r="D215" s="50" t="n"/>
      <c r="E215" s="45" t="n"/>
      <c r="F215" s="50" t="n"/>
      <c r="G215" s="47" t="n"/>
      <c r="H215" s="52" t="n"/>
      <c r="I215" s="50" t="n"/>
      <c r="J215" s="53">
        <f t="shared" si="1"/>
      </c>
      <c r="K215" s="49">
        <f t="shared" si="2"/>
      </c>
      <c r="L215" s="2">
        <f t="shared" si="3"/>
      </c>
    </row>
    <row r="216">
      <c r="A216" s="43">
        <f t="shared" si="0"/>
      </c>
      <c r="B216" s="44" t="n"/>
      <c r="C216" s="45" t="n"/>
      <c r="D216" s="50" t="n"/>
      <c r="E216" s="45" t="n"/>
      <c r="F216" s="50" t="n"/>
      <c r="G216" s="47" t="n"/>
      <c r="H216" s="52" t="n"/>
      <c r="I216" s="50" t="n"/>
      <c r="J216" s="53">
        <f t="shared" si="1"/>
      </c>
      <c r="K216" s="49">
        <f t="shared" si="2"/>
      </c>
      <c r="L216" s="2">
        <f t="shared" si="3"/>
      </c>
    </row>
    <row r="217">
      <c r="A217" s="43">
        <f t="shared" si="0"/>
      </c>
      <c r="B217" s="44" t="n"/>
      <c r="C217" s="45" t="n"/>
      <c r="D217" s="50" t="n"/>
      <c r="E217" s="45" t="n"/>
      <c r="F217" s="50" t="n"/>
      <c r="G217" s="47" t="n"/>
      <c r="H217" s="52" t="n"/>
      <c r="I217" s="50" t="n"/>
      <c r="J217" s="53">
        <f t="shared" si="1"/>
      </c>
      <c r="K217" s="49">
        <f t="shared" si="2"/>
      </c>
      <c r="L217" s="2">
        <f t="shared" si="3"/>
      </c>
    </row>
    <row r="218">
      <c r="A218" s="43">
        <f t="shared" si="0"/>
      </c>
      <c r="B218" s="44" t="n"/>
      <c r="C218" s="45" t="n"/>
      <c r="D218" s="50" t="n"/>
      <c r="E218" s="45" t="n"/>
      <c r="F218" s="50" t="n"/>
      <c r="G218" s="47" t="n"/>
      <c r="H218" s="52" t="n"/>
      <c r="I218" s="50" t="n"/>
      <c r="J218" s="53">
        <f t="shared" si="1"/>
      </c>
      <c r="K218" s="49">
        <f t="shared" si="2"/>
      </c>
      <c r="L218" s="2">
        <f t="shared" si="3"/>
      </c>
    </row>
    <row r="219">
      <c r="A219" s="43">
        <f t="shared" si="0"/>
      </c>
      <c r="B219" s="44" t="n"/>
      <c r="C219" s="45" t="n"/>
      <c r="D219" s="50" t="n"/>
      <c r="E219" s="45" t="n"/>
      <c r="F219" s="50" t="n"/>
      <c r="G219" s="47" t="n"/>
      <c r="H219" s="52" t="n"/>
      <c r="I219" s="50" t="n"/>
      <c r="J219" s="53">
        <f t="shared" si="1"/>
      </c>
      <c r="K219" s="49">
        <f t="shared" si="2"/>
      </c>
      <c r="L219" s="2">
        <f t="shared" si="3"/>
      </c>
    </row>
    <row r="220">
      <c r="A220" s="43">
        <f t="shared" si="0"/>
      </c>
      <c r="B220" s="44" t="n"/>
      <c r="C220" s="45" t="n"/>
      <c r="D220" s="50" t="n"/>
      <c r="E220" s="45" t="n"/>
      <c r="F220" s="50" t="n"/>
      <c r="G220" s="47" t="n"/>
      <c r="H220" s="52" t="n"/>
      <c r="I220" s="50" t="n"/>
      <c r="J220" s="53">
        <f t="shared" si="1"/>
      </c>
      <c r="K220" s="49">
        <f t="shared" si="2"/>
      </c>
      <c r="L220" s="2">
        <f t="shared" si="3"/>
      </c>
    </row>
    <row r="221">
      <c r="A221" s="43">
        <f t="shared" si="0"/>
      </c>
      <c r="B221" s="44" t="n"/>
      <c r="C221" s="45" t="n"/>
      <c r="D221" s="50" t="n"/>
      <c r="E221" s="45" t="n"/>
      <c r="F221" s="50" t="n"/>
      <c r="G221" s="47" t="n"/>
      <c r="H221" s="52" t="n"/>
      <c r="I221" s="50" t="n"/>
      <c r="J221" s="53">
        <f t="shared" si="1"/>
      </c>
      <c r="K221" s="49">
        <f t="shared" si="2"/>
      </c>
      <c r="L221" s="2">
        <f t="shared" si="3"/>
      </c>
    </row>
    <row r="222">
      <c r="A222" s="43">
        <f t="shared" si="0"/>
      </c>
      <c r="B222" s="44" t="n"/>
      <c r="C222" s="45" t="n"/>
      <c r="D222" s="50" t="n"/>
      <c r="E222" s="45" t="n"/>
      <c r="F222" s="50" t="n"/>
      <c r="G222" s="47" t="n"/>
      <c r="H222" s="52" t="n"/>
      <c r="I222" s="50" t="n"/>
      <c r="J222" s="53">
        <f t="shared" si="1"/>
      </c>
      <c r="K222" s="49">
        <f t="shared" si="2"/>
      </c>
      <c r="L222" s="2">
        <f t="shared" si="3"/>
      </c>
    </row>
    <row r="223">
      <c r="A223" s="43">
        <f t="shared" si="0"/>
      </c>
      <c r="B223" s="44" t="n"/>
      <c r="C223" s="45" t="n"/>
      <c r="D223" s="50" t="n"/>
      <c r="E223" s="45" t="n"/>
      <c r="F223" s="50" t="n"/>
      <c r="G223" s="47" t="n"/>
      <c r="H223" s="52" t="n"/>
      <c r="I223" s="50" t="n"/>
      <c r="J223" s="53">
        <f t="shared" si="1"/>
      </c>
      <c r="K223" s="49">
        <f t="shared" si="2"/>
      </c>
      <c r="L223" s="2">
        <f t="shared" si="3"/>
      </c>
    </row>
    <row r="224">
      <c r="A224" s="43">
        <f t="shared" si="0"/>
      </c>
      <c r="B224" s="44" t="n"/>
      <c r="C224" s="45" t="n"/>
      <c r="D224" s="50" t="n"/>
      <c r="E224" s="45" t="n"/>
      <c r="F224" s="50" t="n"/>
      <c r="G224" s="47" t="n"/>
      <c r="H224" s="52" t="n"/>
      <c r="I224" s="50" t="n"/>
      <c r="J224" s="53">
        <f t="shared" si="1"/>
      </c>
      <c r="K224" s="49">
        <f t="shared" si="2"/>
      </c>
      <c r="L224" s="2">
        <f t="shared" si="3"/>
      </c>
    </row>
    <row r="225">
      <c r="A225" s="43">
        <f t="shared" si="0"/>
      </c>
      <c r="B225" s="44" t="n"/>
      <c r="C225" s="45" t="n"/>
      <c r="D225" s="50" t="n"/>
      <c r="E225" s="45" t="n"/>
      <c r="F225" s="50" t="n"/>
      <c r="G225" s="47" t="n"/>
      <c r="H225" s="52" t="n"/>
      <c r="I225" s="50" t="n"/>
      <c r="J225" s="53">
        <f t="shared" si="1"/>
      </c>
      <c r="K225" s="49">
        <f t="shared" si="2"/>
      </c>
      <c r="L225" s="2">
        <f t="shared" si="3"/>
      </c>
    </row>
    <row r="226">
      <c r="A226" s="43">
        <f t="shared" si="0"/>
      </c>
      <c r="B226" s="44" t="n"/>
      <c r="C226" s="45" t="n"/>
      <c r="D226" s="50" t="n"/>
      <c r="E226" s="45" t="n"/>
      <c r="F226" s="50" t="n"/>
      <c r="G226" s="47" t="n"/>
      <c r="H226" s="52" t="n"/>
      <c r="I226" s="50" t="n"/>
      <c r="J226" s="53">
        <f t="shared" si="1"/>
      </c>
      <c r="K226" s="49">
        <f t="shared" si="2"/>
      </c>
      <c r="L226" s="2">
        <f t="shared" si="3"/>
      </c>
    </row>
    <row r="227">
      <c r="A227" s="43">
        <f t="shared" si="0"/>
      </c>
      <c r="B227" s="44" t="n"/>
      <c r="C227" s="45" t="n"/>
      <c r="D227" s="50" t="n"/>
      <c r="E227" s="45" t="n"/>
      <c r="F227" s="50" t="n"/>
      <c r="G227" s="47" t="n"/>
      <c r="H227" s="52" t="n"/>
      <c r="I227" s="50" t="n"/>
      <c r="J227" s="53">
        <f t="shared" si="1"/>
      </c>
      <c r="K227" s="49">
        <f t="shared" si="2"/>
      </c>
      <c r="L227" s="2">
        <f t="shared" si="3"/>
      </c>
    </row>
    <row r="228">
      <c r="A228" s="43">
        <f t="shared" si="0"/>
      </c>
      <c r="B228" s="44" t="n"/>
      <c r="C228" s="45" t="n"/>
      <c r="D228" s="50" t="n"/>
      <c r="E228" s="45" t="n"/>
      <c r="F228" s="50" t="n"/>
      <c r="G228" s="47" t="n"/>
      <c r="H228" s="52" t="n"/>
      <c r="I228" s="50" t="n"/>
      <c r="J228" s="53">
        <f t="shared" si="1"/>
      </c>
      <c r="K228" s="49">
        <f t="shared" si="2"/>
      </c>
      <c r="L228" s="2">
        <f t="shared" si="3"/>
      </c>
    </row>
    <row r="229">
      <c r="A229" s="43">
        <f t="shared" si="0"/>
      </c>
      <c r="B229" s="44" t="n"/>
      <c r="C229" s="45" t="n"/>
      <c r="D229" s="50" t="n"/>
      <c r="E229" s="45" t="n"/>
      <c r="F229" s="50" t="n"/>
      <c r="G229" s="47" t="n"/>
      <c r="H229" s="52" t="n"/>
      <c r="I229" s="50" t="n"/>
      <c r="J229" s="53">
        <f t="shared" si="1"/>
      </c>
      <c r="K229" s="49">
        <f t="shared" si="2"/>
      </c>
      <c r="L229" s="2">
        <f t="shared" si="3"/>
      </c>
    </row>
    <row r="230">
      <c r="A230" s="43">
        <f t="shared" si="0"/>
      </c>
      <c r="B230" s="44" t="n"/>
      <c r="C230" s="45" t="n"/>
      <c r="D230" s="50" t="n"/>
      <c r="E230" s="45" t="n"/>
      <c r="F230" s="50" t="n"/>
      <c r="G230" s="47" t="n"/>
      <c r="H230" s="52" t="n"/>
      <c r="I230" s="50" t="n"/>
      <c r="J230" s="53">
        <f t="shared" si="1"/>
      </c>
      <c r="K230" s="49">
        <f t="shared" si="2"/>
      </c>
      <c r="L230" s="2">
        <f t="shared" si="3"/>
      </c>
    </row>
    <row r="231">
      <c r="A231" s="43">
        <f t="shared" si="0"/>
      </c>
      <c r="B231" s="44" t="n"/>
      <c r="C231" s="45" t="n"/>
      <c r="D231" s="50" t="n"/>
      <c r="E231" s="45" t="n"/>
      <c r="F231" s="50" t="n"/>
      <c r="G231" s="47" t="n"/>
      <c r="H231" s="52" t="n"/>
      <c r="I231" s="50" t="n"/>
      <c r="J231" s="53">
        <f t="shared" si="1"/>
      </c>
      <c r="K231" s="49">
        <f t="shared" si="2"/>
      </c>
      <c r="L231" s="2">
        <f t="shared" si="3"/>
      </c>
    </row>
    <row r="232">
      <c r="A232" s="43">
        <f t="shared" si="0"/>
      </c>
      <c r="B232" s="44" t="n"/>
      <c r="C232" s="45" t="n"/>
      <c r="D232" s="50" t="n"/>
      <c r="E232" s="45" t="n"/>
      <c r="F232" s="50" t="n"/>
      <c r="G232" s="47" t="n"/>
      <c r="H232" s="52" t="n"/>
      <c r="I232" s="50" t="n"/>
      <c r="J232" s="53">
        <f t="shared" si="1"/>
      </c>
      <c r="K232" s="49">
        <f t="shared" si="2"/>
      </c>
      <c r="L232" s="2">
        <f t="shared" si="3"/>
      </c>
    </row>
    <row r="233">
      <c r="A233" s="43">
        <f t="shared" si="0"/>
      </c>
      <c r="B233" s="44" t="n"/>
      <c r="C233" s="45" t="n"/>
      <c r="D233" s="50" t="n"/>
      <c r="E233" s="45" t="n"/>
      <c r="F233" s="50" t="n"/>
      <c r="G233" s="47" t="n"/>
      <c r="H233" s="52" t="n"/>
      <c r="I233" s="50" t="n"/>
      <c r="J233" s="53">
        <f t="shared" si="1"/>
      </c>
      <c r="K233" s="49">
        <f t="shared" si="2"/>
      </c>
      <c r="L233" s="2">
        <f t="shared" si="3"/>
      </c>
    </row>
    <row r="234">
      <c r="A234" s="43">
        <f t="shared" si="0"/>
      </c>
      <c r="B234" s="44" t="n"/>
      <c r="C234" s="45" t="n"/>
      <c r="D234" s="50" t="n"/>
      <c r="E234" s="45" t="n"/>
      <c r="F234" s="50" t="n"/>
      <c r="G234" s="47" t="n"/>
      <c r="H234" s="52" t="n"/>
      <c r="I234" s="50" t="n"/>
      <c r="J234" s="53">
        <f t="shared" si="1"/>
      </c>
      <c r="K234" s="49">
        <f t="shared" si="2"/>
      </c>
      <c r="L234" s="2">
        <f t="shared" si="3"/>
      </c>
    </row>
    <row r="235">
      <c r="A235" s="43">
        <f t="shared" si="0"/>
      </c>
      <c r="B235" s="44" t="n"/>
      <c r="C235" s="45" t="n"/>
      <c r="D235" s="50" t="n"/>
      <c r="E235" s="45" t="n"/>
      <c r="F235" s="50" t="n"/>
      <c r="G235" s="47" t="n"/>
      <c r="H235" s="52" t="n"/>
      <c r="I235" s="50" t="n"/>
      <c r="J235" s="53">
        <f t="shared" si="1"/>
      </c>
      <c r="K235" s="49">
        <f t="shared" si="2"/>
      </c>
      <c r="L235" s="2">
        <f t="shared" si="3"/>
      </c>
    </row>
    <row r="236">
      <c r="A236" s="43">
        <f t="shared" si="0"/>
      </c>
      <c r="B236" s="44" t="n"/>
      <c r="C236" s="45" t="n"/>
      <c r="D236" s="50" t="n"/>
      <c r="E236" s="45" t="n"/>
      <c r="F236" s="50" t="n"/>
      <c r="G236" s="47" t="n"/>
      <c r="H236" s="52" t="n"/>
      <c r="I236" s="50" t="n"/>
      <c r="J236" s="53">
        <f t="shared" si="1"/>
      </c>
      <c r="K236" s="49">
        <f t="shared" si="2"/>
      </c>
      <c r="L236" s="2">
        <f t="shared" si="3"/>
      </c>
    </row>
    <row r="237">
      <c r="A237" s="43">
        <f t="shared" si="0"/>
      </c>
      <c r="B237" s="44" t="n"/>
      <c r="C237" s="45" t="n"/>
      <c r="D237" s="50" t="n"/>
      <c r="E237" s="45" t="n"/>
      <c r="F237" s="50" t="n"/>
      <c r="G237" s="47" t="n"/>
      <c r="H237" s="52" t="n"/>
      <c r="I237" s="50" t="n"/>
      <c r="J237" s="53">
        <f t="shared" si="1"/>
      </c>
      <c r="K237" s="49">
        <f t="shared" si="2"/>
      </c>
      <c r="L237" s="2">
        <f t="shared" si="3"/>
      </c>
    </row>
    <row r="238">
      <c r="A238" s="43">
        <f t="shared" si="0"/>
      </c>
      <c r="B238" s="44" t="n"/>
      <c r="C238" s="45" t="n"/>
      <c r="D238" s="50" t="n"/>
      <c r="E238" s="45" t="n"/>
      <c r="F238" s="50" t="n"/>
      <c r="G238" s="47" t="n"/>
      <c r="H238" s="52" t="n"/>
      <c r="I238" s="50" t="n"/>
      <c r="J238" s="53">
        <f t="shared" si="1"/>
      </c>
      <c r="K238" s="49">
        <f t="shared" si="2"/>
      </c>
      <c r="L238" s="2">
        <f t="shared" si="3"/>
      </c>
    </row>
    <row r="239">
      <c r="A239" s="43">
        <f t="shared" si="0"/>
      </c>
      <c r="B239" s="44" t="n"/>
      <c r="C239" s="45" t="n"/>
      <c r="D239" s="50" t="n"/>
      <c r="E239" s="45" t="n"/>
      <c r="F239" s="50" t="n"/>
      <c r="G239" s="47" t="n"/>
      <c r="H239" s="52" t="n"/>
      <c r="I239" s="50" t="n"/>
      <c r="J239" s="53">
        <f t="shared" si="1"/>
      </c>
      <c r="K239" s="49">
        <f t="shared" si="2"/>
      </c>
      <c r="L239" s="2">
        <f t="shared" si="3"/>
      </c>
    </row>
    <row r="240">
      <c r="A240" s="43">
        <f t="shared" si="0"/>
      </c>
      <c r="B240" s="44" t="n"/>
      <c r="C240" s="45" t="n"/>
      <c r="D240" s="50" t="n"/>
      <c r="E240" s="45" t="n"/>
      <c r="F240" s="50" t="n"/>
      <c r="G240" s="47" t="n"/>
      <c r="H240" s="52" t="n"/>
      <c r="I240" s="50" t="n"/>
      <c r="J240" s="53">
        <f t="shared" si="1"/>
      </c>
      <c r="K240" s="49">
        <f t="shared" si="2"/>
      </c>
      <c r="L240" s="2">
        <f t="shared" si="3"/>
      </c>
    </row>
    <row r="241">
      <c r="A241" s="43">
        <f t="shared" si="0"/>
      </c>
      <c r="B241" s="44" t="n"/>
      <c r="C241" s="45" t="n"/>
      <c r="D241" s="50" t="n"/>
      <c r="E241" s="45" t="n"/>
      <c r="F241" s="50" t="n"/>
      <c r="G241" s="47" t="n"/>
      <c r="H241" s="52" t="n"/>
      <c r="I241" s="50" t="n"/>
      <c r="J241" s="53">
        <f t="shared" si="1"/>
      </c>
      <c r="K241" s="49">
        <f t="shared" si="2"/>
      </c>
      <c r="L241" s="2">
        <f t="shared" si="3"/>
      </c>
    </row>
    <row r="242">
      <c r="A242" s="43">
        <f t="shared" si="0"/>
      </c>
      <c r="B242" s="44" t="n"/>
      <c r="C242" s="45" t="n"/>
      <c r="D242" s="50" t="n"/>
      <c r="E242" s="45" t="n"/>
      <c r="F242" s="50" t="n"/>
      <c r="G242" s="47" t="n"/>
      <c r="H242" s="52" t="n"/>
      <c r="I242" s="50" t="n"/>
      <c r="J242" s="53">
        <f t="shared" si="1"/>
      </c>
      <c r="K242" s="49">
        <f t="shared" si="2"/>
      </c>
      <c r="L242" s="2">
        <f t="shared" si="3"/>
      </c>
    </row>
    <row r="243">
      <c r="A243" s="43">
        <f t="shared" si="0"/>
      </c>
      <c r="B243" s="44" t="n"/>
      <c r="C243" s="45" t="n"/>
      <c r="D243" s="50" t="n"/>
      <c r="E243" s="45" t="n"/>
      <c r="F243" s="50" t="n"/>
      <c r="G243" s="47" t="n"/>
      <c r="H243" s="52" t="n"/>
      <c r="I243" s="50" t="n"/>
      <c r="J243" s="53">
        <f t="shared" si="1"/>
      </c>
      <c r="K243" s="49">
        <f t="shared" si="2"/>
      </c>
      <c r="L243" s="2">
        <f t="shared" si="3"/>
      </c>
    </row>
    <row r="244">
      <c r="A244" s="43">
        <f t="shared" si="0"/>
      </c>
      <c r="B244" s="44" t="n"/>
      <c r="C244" s="45" t="n"/>
      <c r="D244" s="50" t="n"/>
      <c r="E244" s="45" t="n"/>
      <c r="F244" s="50" t="n"/>
      <c r="G244" s="47" t="n"/>
      <c r="H244" s="52" t="n"/>
      <c r="I244" s="50" t="n"/>
      <c r="J244" s="53">
        <f t="shared" si="1"/>
      </c>
      <c r="K244" s="49">
        <f t="shared" si="2"/>
      </c>
      <c r="L244" s="2">
        <f t="shared" si="3"/>
      </c>
    </row>
    <row r="245">
      <c r="A245" s="43">
        <f t="shared" si="0"/>
      </c>
      <c r="B245" s="44" t="n"/>
      <c r="C245" s="45" t="n"/>
      <c r="D245" s="50" t="n"/>
      <c r="E245" s="45" t="n"/>
      <c r="F245" s="50" t="n"/>
      <c r="G245" s="47" t="n"/>
      <c r="H245" s="52" t="n"/>
      <c r="I245" s="50" t="n"/>
      <c r="J245" s="53">
        <f t="shared" si="1"/>
      </c>
      <c r="K245" s="49">
        <f t="shared" si="2"/>
      </c>
      <c r="L245" s="2">
        <f t="shared" si="3"/>
      </c>
    </row>
    <row r="246">
      <c r="A246" s="43">
        <f t="shared" si="0"/>
      </c>
      <c r="B246" s="44" t="n"/>
      <c r="C246" s="45" t="n"/>
      <c r="D246" s="50" t="n"/>
      <c r="E246" s="45" t="n"/>
      <c r="F246" s="50" t="n"/>
      <c r="G246" s="47" t="n"/>
      <c r="H246" s="52" t="n"/>
      <c r="I246" s="50" t="n"/>
      <c r="J246" s="53">
        <f t="shared" si="1"/>
      </c>
      <c r="K246" s="49">
        <f t="shared" si="2"/>
      </c>
      <c r="L246" s="2">
        <f t="shared" si="3"/>
      </c>
    </row>
    <row r="247">
      <c r="A247" s="43">
        <f t="shared" si="0"/>
      </c>
      <c r="B247" s="44" t="n"/>
      <c r="C247" s="45" t="n"/>
      <c r="D247" s="50" t="n"/>
      <c r="E247" s="45" t="n"/>
      <c r="F247" s="50" t="n"/>
      <c r="G247" s="47" t="n"/>
      <c r="H247" s="52" t="n"/>
      <c r="I247" s="50" t="n"/>
      <c r="J247" s="53">
        <f t="shared" si="1"/>
      </c>
      <c r="K247" s="49">
        <f t="shared" si="2"/>
      </c>
      <c r="L247" s="2">
        <f t="shared" si="3"/>
      </c>
    </row>
    <row r="248">
      <c r="A248" s="43">
        <f t="shared" si="0"/>
      </c>
      <c r="B248" s="44" t="n"/>
      <c r="C248" s="45" t="n"/>
      <c r="D248" s="50" t="n"/>
      <c r="E248" s="45" t="n"/>
      <c r="F248" s="50" t="n"/>
      <c r="G248" s="47" t="n"/>
      <c r="H248" s="52" t="n"/>
      <c r="I248" s="50" t="n"/>
      <c r="J248" s="53">
        <f t="shared" si="1"/>
      </c>
      <c r="K248" s="49">
        <f t="shared" si="2"/>
      </c>
      <c r="L248" s="2">
        <f t="shared" si="3"/>
      </c>
    </row>
    <row r="249">
      <c r="A249" s="43">
        <f t="shared" si="0"/>
      </c>
      <c r="B249" s="44" t="n"/>
      <c r="C249" s="45" t="n"/>
      <c r="D249" s="50" t="n"/>
      <c r="E249" s="45" t="n"/>
      <c r="F249" s="50" t="n"/>
      <c r="G249" s="47" t="n"/>
      <c r="H249" s="52" t="n"/>
      <c r="I249" s="50" t="n"/>
      <c r="J249" s="53">
        <f t="shared" si="1"/>
      </c>
      <c r="K249" s="49">
        <f t="shared" si="2"/>
      </c>
      <c r="L249" s="2">
        <f t="shared" si="3"/>
      </c>
    </row>
    <row r="250">
      <c r="A250" s="43">
        <f t="shared" si="0"/>
      </c>
      <c r="B250" s="44" t="n"/>
      <c r="C250" s="45" t="n"/>
      <c r="D250" s="50" t="n"/>
      <c r="E250" s="45" t="n"/>
      <c r="F250" s="50" t="n"/>
      <c r="G250" s="47" t="n"/>
      <c r="H250" s="52" t="n"/>
      <c r="I250" s="50" t="n"/>
      <c r="J250" s="53">
        <f t="shared" si="1"/>
      </c>
      <c r="K250" s="49">
        <f t="shared" si="2"/>
      </c>
      <c r="L250" s="2">
        <f t="shared" si="3"/>
      </c>
    </row>
    <row r="251">
      <c r="A251" s="43">
        <f t="shared" si="0"/>
      </c>
      <c r="B251" s="44" t="n"/>
      <c r="C251" s="45" t="n"/>
      <c r="D251" s="50" t="n"/>
      <c r="E251" s="45" t="n"/>
      <c r="F251" s="50" t="n"/>
      <c r="G251" s="47" t="n"/>
      <c r="H251" s="52" t="n"/>
      <c r="I251" s="50" t="n"/>
      <c r="J251" s="53">
        <f t="shared" si="1"/>
      </c>
      <c r="K251" s="49">
        <f t="shared" si="2"/>
      </c>
      <c r="L251" s="2">
        <f t="shared" si="3"/>
      </c>
    </row>
    <row r="252">
      <c r="A252" s="43">
        <f t="shared" si="0"/>
      </c>
      <c r="B252" s="44" t="n"/>
      <c r="C252" s="45" t="n"/>
      <c r="D252" s="50" t="n"/>
      <c r="E252" s="45" t="n"/>
      <c r="F252" s="50" t="n"/>
      <c r="G252" s="47" t="n"/>
      <c r="H252" s="52" t="n"/>
      <c r="I252" s="50" t="n"/>
      <c r="J252" s="53">
        <f t="shared" si="1"/>
      </c>
      <c r="K252" s="49">
        <f t="shared" si="2"/>
      </c>
      <c r="L252" s="2">
        <f t="shared" si="3"/>
      </c>
    </row>
    <row r="253">
      <c r="A253" s="43">
        <f t="shared" si="0"/>
      </c>
      <c r="B253" s="44" t="n"/>
      <c r="C253" s="45" t="n"/>
      <c r="D253" s="50" t="n"/>
      <c r="E253" s="45" t="n"/>
      <c r="F253" s="50" t="n"/>
      <c r="G253" s="47" t="n"/>
      <c r="H253" s="52" t="n"/>
      <c r="I253" s="50" t="n"/>
      <c r="J253" s="53">
        <f t="shared" si="1"/>
      </c>
      <c r="K253" s="49">
        <f t="shared" si="2"/>
      </c>
      <c r="L253" s="2">
        <f t="shared" si="3"/>
      </c>
    </row>
    <row r="254">
      <c r="A254" s="43">
        <f t="shared" si="0"/>
      </c>
      <c r="B254" s="44" t="n"/>
      <c r="C254" s="45" t="n"/>
      <c r="D254" s="50" t="n"/>
      <c r="E254" s="45" t="n"/>
      <c r="F254" s="50" t="n"/>
      <c r="G254" s="47" t="n"/>
      <c r="H254" s="52" t="n"/>
      <c r="I254" s="50" t="n"/>
      <c r="J254" s="53">
        <f t="shared" si="1"/>
      </c>
      <c r="K254" s="49">
        <f t="shared" si="2"/>
      </c>
      <c r="L254" s="2">
        <f t="shared" si="3"/>
      </c>
    </row>
    <row r="255">
      <c r="A255" s="43">
        <f t="shared" si="0"/>
      </c>
      <c r="B255" s="44" t="n"/>
      <c r="C255" s="45" t="n"/>
      <c r="D255" s="50" t="n"/>
      <c r="E255" s="45" t="n"/>
      <c r="F255" s="50" t="n"/>
      <c r="G255" s="47" t="n"/>
      <c r="H255" s="52" t="n"/>
      <c r="I255" s="50" t="n"/>
      <c r="J255" s="53">
        <f t="shared" si="1"/>
      </c>
      <c r="K255" s="49">
        <f t="shared" si="2"/>
      </c>
      <c r="L255" s="2">
        <f t="shared" si="3"/>
      </c>
    </row>
    <row r="256">
      <c r="A256" s="43">
        <f t="shared" si="0"/>
      </c>
      <c r="B256" s="44" t="n"/>
      <c r="C256" s="45" t="n"/>
      <c r="D256" s="50" t="n"/>
      <c r="E256" s="45" t="n"/>
      <c r="F256" s="50" t="n"/>
      <c r="G256" s="47" t="n"/>
      <c r="H256" s="52" t="n"/>
      <c r="I256" s="50" t="n"/>
      <c r="J256" s="53">
        <f t="shared" si="1"/>
      </c>
      <c r="K256" s="49">
        <f t="shared" si="2"/>
      </c>
      <c r="L256" s="2">
        <f t="shared" si="3"/>
      </c>
    </row>
    <row r="257">
      <c r="A257" s="43">
        <f t="shared" si="0"/>
      </c>
      <c r="B257" s="44" t="n"/>
      <c r="C257" s="45" t="n"/>
      <c r="D257" s="50" t="n"/>
      <c r="E257" s="45" t="n"/>
      <c r="F257" s="50" t="n"/>
      <c r="G257" s="47" t="n"/>
      <c r="H257" s="52" t="n"/>
      <c r="I257" s="50" t="n"/>
      <c r="J257" s="53">
        <f t="shared" si="1"/>
      </c>
      <c r="K257" s="49">
        <f t="shared" si="2"/>
      </c>
      <c r="L257" s="2">
        <f t="shared" si="3"/>
      </c>
    </row>
    <row r="258">
      <c r="A258" s="43">
        <f t="shared" si="0"/>
      </c>
      <c r="B258" s="44" t="n"/>
      <c r="C258" s="45" t="n"/>
      <c r="D258" s="50" t="n"/>
      <c r="E258" s="45" t="n"/>
      <c r="F258" s="50" t="n"/>
      <c r="G258" s="47" t="n"/>
      <c r="H258" s="52" t="n"/>
      <c r="I258" s="50" t="n"/>
      <c r="J258" s="53">
        <f t="shared" si="1"/>
      </c>
      <c r="K258" s="49">
        <f t="shared" si="2"/>
      </c>
      <c r="L258" s="2">
        <f t="shared" si="3"/>
      </c>
    </row>
    <row r="259">
      <c r="A259" s="43">
        <f t="shared" si="0"/>
      </c>
      <c r="B259" s="44" t="n"/>
      <c r="C259" s="45" t="n"/>
      <c r="D259" s="50" t="n"/>
      <c r="E259" s="45" t="n"/>
      <c r="F259" s="50" t="n"/>
      <c r="G259" s="47" t="n"/>
      <c r="H259" s="52" t="n"/>
      <c r="I259" s="50" t="n"/>
      <c r="J259" s="53">
        <f t="shared" si="1"/>
      </c>
      <c r="K259" s="49">
        <f t="shared" si="2"/>
      </c>
      <c r="L259" s="2">
        <f t="shared" si="3"/>
      </c>
    </row>
    <row r="260">
      <c r="A260" s="43">
        <f t="shared" si="0"/>
      </c>
      <c r="B260" s="44" t="n"/>
      <c r="C260" s="45" t="n"/>
      <c r="D260" s="50" t="n"/>
      <c r="E260" s="45" t="n"/>
      <c r="F260" s="50" t="n"/>
      <c r="G260" s="47" t="n"/>
      <c r="H260" s="52" t="n"/>
      <c r="I260" s="50" t="n"/>
      <c r="J260" s="53">
        <f t="shared" si="1"/>
      </c>
      <c r="K260" s="49">
        <f t="shared" si="2"/>
      </c>
      <c r="L260" s="2">
        <f t="shared" si="3"/>
      </c>
    </row>
    <row r="261">
      <c r="A261" s="43">
        <f t="shared" si="0"/>
      </c>
      <c r="B261" s="44" t="n"/>
      <c r="C261" s="45" t="n"/>
      <c r="D261" s="50" t="n"/>
      <c r="E261" s="45" t="n"/>
      <c r="F261" s="50" t="n"/>
      <c r="G261" s="47" t="n"/>
      <c r="H261" s="52" t="n"/>
      <c r="I261" s="50" t="n"/>
      <c r="J261" s="53">
        <f t="shared" si="1"/>
      </c>
      <c r="K261" s="49">
        <f t="shared" si="2"/>
      </c>
      <c r="L261" s="2">
        <f t="shared" si="3"/>
      </c>
    </row>
    <row r="262">
      <c r="A262" s="43">
        <f t="shared" si="0"/>
      </c>
      <c r="B262" s="44" t="n"/>
      <c r="C262" s="45" t="n"/>
      <c r="D262" s="50" t="n"/>
      <c r="E262" s="45" t="n"/>
      <c r="F262" s="50" t="n"/>
      <c r="G262" s="47" t="n"/>
      <c r="H262" s="52" t="n"/>
      <c r="I262" s="50" t="n"/>
      <c r="J262" s="53">
        <f t="shared" si="1"/>
      </c>
      <c r="K262" s="49">
        <f t="shared" si="2"/>
      </c>
      <c r="L262" s="2">
        <f t="shared" si="3"/>
      </c>
    </row>
    <row r="263">
      <c r="A263" s="43">
        <f t="shared" si="0"/>
      </c>
      <c r="B263" s="44" t="n"/>
      <c r="C263" s="45" t="n"/>
      <c r="D263" s="50" t="n"/>
      <c r="E263" s="45" t="n"/>
      <c r="F263" s="50" t="n"/>
      <c r="G263" s="47" t="n"/>
      <c r="H263" s="52" t="n"/>
      <c r="I263" s="50" t="n"/>
      <c r="J263" s="53">
        <f t="shared" si="1"/>
      </c>
      <c r="K263" s="49">
        <f t="shared" si="2"/>
      </c>
      <c r="L263" s="2">
        <f t="shared" si="3"/>
      </c>
    </row>
    <row r="264">
      <c r="A264" s="43">
        <f t="shared" si="0"/>
      </c>
      <c r="B264" s="44" t="n"/>
      <c r="C264" s="45" t="n"/>
      <c r="D264" s="50" t="n"/>
      <c r="E264" s="45" t="n"/>
      <c r="F264" s="50" t="n"/>
      <c r="G264" s="47" t="n"/>
      <c r="H264" s="52" t="n"/>
      <c r="I264" s="50" t="n"/>
      <c r="J264" s="53">
        <f t="shared" si="1"/>
      </c>
      <c r="K264" s="49">
        <f t="shared" si="2"/>
      </c>
      <c r="L264" s="2">
        <f t="shared" si="3"/>
      </c>
    </row>
    <row r="265">
      <c r="A265" s="43">
        <f t="shared" si="0"/>
      </c>
      <c r="B265" s="44" t="n"/>
      <c r="C265" s="45" t="n"/>
      <c r="D265" s="50" t="n"/>
      <c r="E265" s="45" t="n"/>
      <c r="F265" s="50" t="n"/>
      <c r="G265" s="47" t="n"/>
      <c r="H265" s="52" t="n"/>
      <c r="I265" s="50" t="n"/>
      <c r="J265" s="53">
        <f t="shared" si="1"/>
      </c>
      <c r="K265" s="49">
        <f t="shared" si="2"/>
      </c>
      <c r="L265" s="2">
        <f t="shared" si="3"/>
      </c>
    </row>
    <row r="266">
      <c r="A266" s="43">
        <f t="shared" si="0"/>
      </c>
      <c r="B266" s="44" t="n"/>
      <c r="C266" s="45" t="n"/>
      <c r="D266" s="50" t="n"/>
      <c r="E266" s="45" t="n"/>
      <c r="F266" s="50" t="n"/>
      <c r="G266" s="47" t="n"/>
      <c r="H266" s="52" t="n"/>
      <c r="I266" s="50" t="n"/>
      <c r="J266" s="53">
        <f t="shared" si="1"/>
      </c>
      <c r="K266" s="49">
        <f t="shared" si="2"/>
      </c>
      <c r="L266" s="2">
        <f t="shared" si="3"/>
      </c>
    </row>
    <row r="267">
      <c r="A267" s="43">
        <f t="shared" si="0"/>
      </c>
      <c r="B267" s="44" t="n"/>
      <c r="C267" s="45" t="n"/>
      <c r="D267" s="50" t="n"/>
      <c r="E267" s="45" t="n"/>
      <c r="F267" s="50" t="n"/>
      <c r="G267" s="47" t="n"/>
      <c r="H267" s="52" t="n"/>
      <c r="I267" s="50" t="n"/>
      <c r="J267" s="53">
        <f t="shared" si="1"/>
      </c>
      <c r="K267" s="49">
        <f t="shared" si="2"/>
      </c>
      <c r="L267" s="2">
        <f t="shared" si="3"/>
      </c>
    </row>
    <row r="268">
      <c r="A268" s="43">
        <f t="shared" si="0"/>
      </c>
      <c r="B268" s="44" t="n"/>
      <c r="C268" s="45" t="n"/>
      <c r="D268" s="50" t="n"/>
      <c r="E268" s="45" t="n"/>
      <c r="F268" s="50" t="n"/>
      <c r="G268" s="47" t="n"/>
      <c r="H268" s="52" t="n"/>
      <c r="I268" s="50" t="n"/>
      <c r="J268" s="53">
        <f t="shared" si="1"/>
      </c>
      <c r="K268" s="49">
        <f t="shared" si="2"/>
      </c>
      <c r="L268" s="2">
        <f t="shared" si="3"/>
      </c>
    </row>
    <row r="269">
      <c r="A269" s="43">
        <f t="shared" si="0"/>
      </c>
      <c r="B269" s="44" t="n"/>
      <c r="C269" s="45" t="n"/>
      <c r="D269" s="50" t="n"/>
      <c r="E269" s="45" t="n"/>
      <c r="F269" s="50" t="n"/>
      <c r="G269" s="47" t="n"/>
      <c r="H269" s="52" t="n"/>
      <c r="I269" s="50" t="n"/>
      <c r="J269" s="53">
        <f t="shared" si="1"/>
      </c>
      <c r="K269" s="49">
        <f t="shared" si="2"/>
      </c>
      <c r="L269" s="2">
        <f t="shared" si="3"/>
      </c>
    </row>
    <row r="270">
      <c r="A270" s="43">
        <f t="shared" si="0"/>
      </c>
      <c r="B270" s="44" t="n"/>
      <c r="C270" s="45" t="n"/>
      <c r="D270" s="50" t="n"/>
      <c r="E270" s="45" t="n"/>
      <c r="F270" s="50" t="n"/>
      <c r="G270" s="47" t="n"/>
      <c r="H270" s="52" t="n"/>
      <c r="I270" s="50" t="n"/>
      <c r="J270" s="53">
        <f t="shared" si="1"/>
      </c>
      <c r="K270" s="49">
        <f t="shared" si="2"/>
      </c>
      <c r="L270" s="2">
        <f t="shared" si="3"/>
      </c>
    </row>
    <row r="271">
      <c r="A271" s="43">
        <f t="shared" si="0"/>
      </c>
      <c r="B271" s="44" t="n"/>
      <c r="C271" s="45" t="n"/>
      <c r="D271" s="50" t="n"/>
      <c r="E271" s="45" t="n"/>
      <c r="F271" s="50" t="n"/>
      <c r="G271" s="47" t="n"/>
      <c r="H271" s="52" t="n"/>
      <c r="I271" s="50" t="n"/>
      <c r="J271" s="53">
        <f t="shared" si="1"/>
      </c>
      <c r="K271" s="49">
        <f t="shared" si="2"/>
      </c>
      <c r="L271" s="2">
        <f t="shared" si="3"/>
      </c>
    </row>
    <row r="272">
      <c r="A272" s="43">
        <f t="shared" si="0"/>
      </c>
      <c r="B272" s="44" t="n"/>
      <c r="C272" s="45" t="n"/>
      <c r="D272" s="50" t="n"/>
      <c r="E272" s="45" t="n"/>
      <c r="F272" s="50" t="n"/>
      <c r="G272" s="47" t="n"/>
      <c r="H272" s="52" t="n"/>
      <c r="I272" s="50" t="n"/>
      <c r="J272" s="53">
        <f t="shared" si="1"/>
      </c>
      <c r="K272" s="49">
        <f t="shared" si="2"/>
      </c>
      <c r="L272" s="2">
        <f t="shared" si="3"/>
      </c>
    </row>
    <row r="273">
      <c r="A273" s="43">
        <f t="shared" si="0"/>
      </c>
      <c r="B273" s="44" t="n"/>
      <c r="C273" s="45" t="n"/>
      <c r="D273" s="50" t="n"/>
      <c r="E273" s="45" t="n"/>
      <c r="F273" s="50" t="n"/>
      <c r="G273" s="47" t="n"/>
      <c r="H273" s="52" t="n"/>
      <c r="I273" s="50" t="n"/>
      <c r="J273" s="53">
        <f t="shared" si="1"/>
      </c>
      <c r="K273" s="49">
        <f t="shared" si="2"/>
      </c>
      <c r="L273" s="2">
        <f t="shared" si="3"/>
      </c>
    </row>
    <row r="274">
      <c r="A274" s="43">
        <f t="shared" si="0"/>
      </c>
      <c r="B274" s="44" t="n"/>
      <c r="C274" s="45" t="n"/>
      <c r="D274" s="50" t="n"/>
      <c r="E274" s="45" t="n"/>
      <c r="F274" s="50" t="n"/>
      <c r="G274" s="47" t="n"/>
      <c r="H274" s="52" t="n"/>
      <c r="I274" s="50" t="n"/>
      <c r="J274" s="53">
        <f t="shared" si="1"/>
      </c>
      <c r="K274" s="49">
        <f t="shared" si="2"/>
      </c>
      <c r="L274" s="2">
        <f t="shared" si="3"/>
      </c>
    </row>
    <row r="275">
      <c r="A275" s="43">
        <f t="shared" si="0"/>
      </c>
      <c r="B275" s="44" t="n"/>
      <c r="C275" s="45" t="n"/>
      <c r="D275" s="50" t="n"/>
      <c r="E275" s="45" t="n"/>
      <c r="F275" s="50" t="n"/>
      <c r="G275" s="47" t="n"/>
      <c r="H275" s="52" t="n"/>
      <c r="I275" s="50" t="n"/>
      <c r="J275" s="53">
        <f t="shared" si="1"/>
      </c>
      <c r="K275" s="49">
        <f t="shared" si="2"/>
      </c>
      <c r="L275" s="2">
        <f t="shared" si="3"/>
      </c>
    </row>
    <row r="276">
      <c r="A276" s="43">
        <f t="shared" si="0"/>
      </c>
      <c r="B276" s="44" t="n"/>
      <c r="C276" s="45" t="n"/>
      <c r="D276" s="50" t="n"/>
      <c r="E276" s="45" t="n"/>
      <c r="F276" s="50" t="n"/>
      <c r="G276" s="47" t="n"/>
      <c r="H276" s="52" t="n"/>
      <c r="I276" s="50" t="n"/>
      <c r="J276" s="53">
        <f t="shared" si="1"/>
      </c>
      <c r="K276" s="49">
        <f t="shared" si="2"/>
      </c>
      <c r="L276" s="2">
        <f t="shared" si="3"/>
      </c>
    </row>
    <row r="277">
      <c r="A277" s="43">
        <f t="shared" si="0"/>
      </c>
      <c r="B277" s="44" t="n"/>
      <c r="C277" s="45" t="n"/>
      <c r="D277" s="50" t="n"/>
      <c r="E277" s="45" t="n"/>
      <c r="F277" s="50" t="n"/>
      <c r="G277" s="47" t="n"/>
      <c r="H277" s="52" t="n"/>
      <c r="I277" s="50" t="n"/>
      <c r="J277" s="53">
        <f t="shared" si="1"/>
      </c>
      <c r="K277" s="49">
        <f t="shared" si="2"/>
      </c>
      <c r="L277" s="2">
        <f t="shared" si="3"/>
      </c>
    </row>
    <row r="278">
      <c r="A278" s="43">
        <f t="shared" si="0"/>
      </c>
      <c r="B278" s="44" t="n"/>
      <c r="C278" s="45" t="n"/>
      <c r="D278" s="50" t="n"/>
      <c r="E278" s="45" t="n"/>
      <c r="F278" s="50" t="n"/>
      <c r="G278" s="47" t="n"/>
      <c r="H278" s="52" t="n"/>
      <c r="I278" s="50" t="n"/>
      <c r="J278" s="53">
        <f t="shared" si="1"/>
      </c>
      <c r="K278" s="49">
        <f t="shared" si="2"/>
      </c>
      <c r="L278" s="2">
        <f t="shared" si="3"/>
      </c>
    </row>
    <row r="279">
      <c r="A279" s="43">
        <f t="shared" si="0"/>
      </c>
      <c r="B279" s="44" t="n"/>
      <c r="C279" s="45" t="n"/>
      <c r="D279" s="50" t="n"/>
      <c r="E279" s="45" t="n"/>
      <c r="F279" s="50" t="n"/>
      <c r="G279" s="47" t="n"/>
      <c r="H279" s="52" t="n"/>
      <c r="I279" s="50" t="n"/>
      <c r="J279" s="53">
        <f t="shared" si="1"/>
      </c>
      <c r="K279" s="49">
        <f t="shared" si="2"/>
      </c>
      <c r="L279" s="2">
        <f t="shared" si="3"/>
      </c>
    </row>
    <row r="280">
      <c r="A280" s="43">
        <f t="shared" si="0"/>
      </c>
      <c r="B280" s="44" t="n"/>
      <c r="C280" s="45" t="n"/>
      <c r="D280" s="50" t="n"/>
      <c r="E280" s="45" t="n"/>
      <c r="F280" s="50" t="n"/>
      <c r="G280" s="47" t="n"/>
      <c r="H280" s="52" t="n"/>
      <c r="I280" s="50" t="n"/>
      <c r="J280" s="53">
        <f t="shared" si="1"/>
      </c>
      <c r="K280" s="49">
        <f t="shared" si="2"/>
      </c>
      <c r="L280" s="2">
        <f t="shared" si="3"/>
      </c>
    </row>
    <row r="281">
      <c r="A281" s="43">
        <f t="shared" si="0"/>
      </c>
      <c r="B281" s="44" t="n"/>
      <c r="C281" s="45" t="n"/>
      <c r="D281" s="50" t="n"/>
      <c r="E281" s="45" t="n"/>
      <c r="F281" s="50" t="n"/>
      <c r="G281" s="47" t="n"/>
      <c r="H281" s="52" t="n"/>
      <c r="I281" s="50" t="n"/>
      <c r="J281" s="53">
        <f t="shared" si="1"/>
      </c>
      <c r="K281" s="49">
        <f t="shared" si="2"/>
      </c>
      <c r="L281" s="2">
        <f t="shared" si="3"/>
      </c>
    </row>
    <row r="282">
      <c r="A282" s="43">
        <f t="shared" si="0"/>
      </c>
      <c r="B282" s="44" t="n"/>
      <c r="C282" s="45" t="n"/>
      <c r="D282" s="50" t="n"/>
      <c r="E282" s="45" t="n"/>
      <c r="F282" s="50" t="n"/>
      <c r="G282" s="47" t="n"/>
      <c r="H282" s="52" t="n"/>
      <c r="I282" s="50" t="n"/>
      <c r="J282" s="53">
        <f t="shared" si="1"/>
      </c>
      <c r="K282" s="49">
        <f t="shared" si="2"/>
      </c>
      <c r="L282" s="2">
        <f t="shared" si="3"/>
      </c>
    </row>
    <row r="283">
      <c r="A283" s="43">
        <f t="shared" si="0"/>
      </c>
      <c r="B283" s="44" t="n"/>
      <c r="C283" s="45" t="n"/>
      <c r="D283" s="50" t="n"/>
      <c r="E283" s="45" t="n"/>
      <c r="F283" s="50" t="n"/>
      <c r="G283" s="47" t="n"/>
      <c r="H283" s="52" t="n"/>
      <c r="I283" s="50" t="n"/>
      <c r="J283" s="53">
        <f t="shared" si="1"/>
      </c>
      <c r="K283" s="49">
        <f t="shared" si="2"/>
      </c>
      <c r="L283" s="2">
        <f t="shared" si="3"/>
      </c>
    </row>
    <row r="284">
      <c r="A284" s="43">
        <f t="shared" si="0"/>
      </c>
      <c r="B284" s="44" t="n"/>
      <c r="C284" s="45" t="n"/>
      <c r="D284" s="50" t="n"/>
      <c r="E284" s="45" t="n"/>
      <c r="F284" s="50" t="n"/>
      <c r="G284" s="47" t="n"/>
      <c r="H284" s="52" t="n"/>
      <c r="I284" s="50" t="n"/>
      <c r="J284" s="53">
        <f t="shared" si="1"/>
      </c>
      <c r="K284" s="49">
        <f t="shared" si="2"/>
      </c>
      <c r="L284" s="2">
        <f t="shared" si="3"/>
      </c>
    </row>
    <row r="285">
      <c r="A285" s="43">
        <f t="shared" si="0"/>
      </c>
      <c r="B285" s="44" t="n"/>
      <c r="C285" s="45" t="n"/>
      <c r="D285" s="50" t="n"/>
      <c r="E285" s="45" t="n"/>
      <c r="F285" s="50" t="n"/>
      <c r="G285" s="47" t="n"/>
      <c r="H285" s="52" t="n"/>
      <c r="I285" s="50" t="n"/>
      <c r="J285" s="53">
        <f t="shared" si="1"/>
      </c>
      <c r="K285" s="49">
        <f t="shared" si="2"/>
      </c>
      <c r="L285" s="2">
        <f t="shared" si="3"/>
      </c>
    </row>
    <row r="286">
      <c r="A286" s="43">
        <f t="shared" si="0"/>
      </c>
      <c r="B286" s="44" t="n"/>
      <c r="C286" s="45" t="n"/>
      <c r="D286" s="50" t="n"/>
      <c r="E286" s="45" t="n"/>
      <c r="F286" s="50" t="n"/>
      <c r="G286" s="47" t="n"/>
      <c r="H286" s="52" t="n"/>
      <c r="I286" s="50" t="n"/>
      <c r="J286" s="53">
        <f t="shared" si="1"/>
      </c>
      <c r="K286" s="49">
        <f t="shared" si="2"/>
      </c>
      <c r="L286" s="2">
        <f t="shared" si="3"/>
      </c>
    </row>
    <row r="287">
      <c r="A287" s="43">
        <f t="shared" si="0"/>
      </c>
      <c r="B287" s="44" t="n"/>
      <c r="C287" s="45" t="n"/>
      <c r="D287" s="50" t="n"/>
      <c r="E287" s="45" t="n"/>
      <c r="F287" s="50" t="n"/>
      <c r="G287" s="47" t="n"/>
      <c r="H287" s="52" t="n"/>
      <c r="I287" s="50" t="n"/>
      <c r="J287" s="53">
        <f t="shared" si="1"/>
      </c>
      <c r="K287" s="49">
        <f t="shared" si="2"/>
      </c>
      <c r="L287" s="2">
        <f t="shared" si="3"/>
      </c>
    </row>
    <row r="288">
      <c r="A288" s="43">
        <f t="shared" si="0"/>
      </c>
      <c r="B288" s="44" t="n"/>
      <c r="C288" s="45" t="n"/>
      <c r="D288" s="50" t="n"/>
      <c r="E288" s="45" t="n"/>
      <c r="F288" s="50" t="n"/>
      <c r="G288" s="47" t="n"/>
      <c r="H288" s="52" t="n"/>
      <c r="I288" s="50" t="n"/>
      <c r="J288" s="53">
        <f t="shared" si="1"/>
      </c>
      <c r="K288" s="49">
        <f t="shared" si="2"/>
      </c>
      <c r="L288" s="2">
        <f t="shared" si="3"/>
      </c>
    </row>
    <row r="289">
      <c r="A289" s="43">
        <f t="shared" si="0"/>
      </c>
      <c r="B289" s="44" t="n"/>
      <c r="C289" s="45" t="n"/>
      <c r="D289" s="50" t="n"/>
      <c r="E289" s="45" t="n"/>
      <c r="F289" s="50" t="n"/>
      <c r="G289" s="47" t="n"/>
      <c r="H289" s="52" t="n"/>
      <c r="I289" s="50" t="n"/>
      <c r="J289" s="53">
        <f t="shared" si="1"/>
      </c>
      <c r="K289" s="49">
        <f t="shared" si="2"/>
      </c>
      <c r="L289" s="2">
        <f t="shared" si="3"/>
      </c>
    </row>
    <row r="290">
      <c r="A290" s="43">
        <f t="shared" si="0"/>
      </c>
      <c r="B290" s="44" t="n"/>
      <c r="C290" s="45" t="n"/>
      <c r="D290" s="50" t="n"/>
      <c r="E290" s="45" t="n"/>
      <c r="F290" s="50" t="n"/>
      <c r="G290" s="47" t="n"/>
      <c r="H290" s="52" t="n"/>
      <c r="I290" s="50" t="n"/>
      <c r="J290" s="53">
        <f t="shared" si="1"/>
      </c>
      <c r="K290" s="49">
        <f t="shared" si="2"/>
      </c>
      <c r="L290" s="2">
        <f t="shared" si="3"/>
      </c>
    </row>
    <row r="291">
      <c r="A291" s="43">
        <f t="shared" si="0"/>
      </c>
      <c r="B291" s="44" t="n"/>
      <c r="C291" s="45" t="n"/>
      <c r="D291" s="50" t="n"/>
      <c r="E291" s="45" t="n"/>
      <c r="F291" s="50" t="n"/>
      <c r="G291" s="47" t="n"/>
      <c r="H291" s="52" t="n"/>
      <c r="I291" s="50" t="n"/>
      <c r="J291" s="53">
        <f t="shared" si="1"/>
      </c>
      <c r="K291" s="49">
        <f t="shared" si="2"/>
      </c>
      <c r="L291" s="2">
        <f t="shared" si="3"/>
      </c>
    </row>
    <row r="292">
      <c r="A292" s="43">
        <f t="shared" si="0"/>
      </c>
      <c r="B292" s="44" t="n"/>
      <c r="C292" s="45" t="n"/>
      <c r="D292" s="50" t="n"/>
      <c r="E292" s="45" t="n"/>
      <c r="F292" s="50" t="n"/>
      <c r="G292" s="47" t="n"/>
      <c r="H292" s="52" t="n"/>
      <c r="I292" s="50" t="n"/>
      <c r="J292" s="53">
        <f t="shared" si="1"/>
      </c>
      <c r="K292" s="49">
        <f t="shared" si="2"/>
      </c>
      <c r="L292" s="2">
        <f t="shared" si="3"/>
      </c>
    </row>
    <row r="293">
      <c r="A293" s="43">
        <f t="shared" si="0"/>
      </c>
      <c r="B293" s="44" t="n"/>
      <c r="C293" s="45" t="n"/>
      <c r="D293" s="50" t="n"/>
      <c r="E293" s="45" t="n"/>
      <c r="F293" s="50" t="n"/>
      <c r="G293" s="47" t="n"/>
      <c r="H293" s="52" t="n"/>
      <c r="I293" s="50" t="n"/>
      <c r="J293" s="53">
        <f t="shared" si="1"/>
      </c>
      <c r="K293" s="49">
        <f t="shared" si="2"/>
      </c>
      <c r="L293" s="2">
        <f t="shared" si="3"/>
      </c>
    </row>
    <row r="294">
      <c r="A294" s="43">
        <f t="shared" si="0"/>
      </c>
      <c r="B294" s="44" t="n"/>
      <c r="C294" s="45" t="n"/>
      <c r="D294" s="50" t="n"/>
      <c r="E294" s="45" t="n"/>
      <c r="F294" s="50" t="n"/>
      <c r="G294" s="47" t="n"/>
      <c r="H294" s="52" t="n"/>
      <c r="I294" s="50" t="n"/>
      <c r="J294" s="53">
        <f t="shared" si="1"/>
      </c>
      <c r="K294" s="49">
        <f t="shared" si="2"/>
      </c>
      <c r="L294" s="2">
        <f t="shared" si="3"/>
      </c>
    </row>
    <row r="295">
      <c r="A295" s="43">
        <f t="shared" si="0"/>
      </c>
      <c r="B295" s="44" t="n"/>
      <c r="C295" s="45" t="n"/>
      <c r="D295" s="50" t="n"/>
      <c r="E295" s="45" t="n"/>
      <c r="F295" s="50" t="n"/>
      <c r="G295" s="47" t="n"/>
      <c r="H295" s="52" t="n"/>
      <c r="I295" s="50" t="n"/>
      <c r="J295" s="53">
        <f t="shared" si="1"/>
      </c>
      <c r="K295" s="49">
        <f t="shared" si="2"/>
      </c>
      <c r="L295" s="2">
        <f t="shared" si="3"/>
      </c>
    </row>
    <row r="296">
      <c r="A296" s="43">
        <f t="shared" si="0"/>
      </c>
      <c r="B296" s="44" t="n"/>
      <c r="C296" s="45" t="n"/>
      <c r="D296" s="50" t="n"/>
      <c r="E296" s="45" t="n"/>
      <c r="F296" s="50" t="n"/>
      <c r="G296" s="47" t="n"/>
      <c r="H296" s="52" t="n"/>
      <c r="I296" s="50" t="n"/>
      <c r="J296" s="53">
        <f t="shared" si="1"/>
      </c>
      <c r="K296" s="49">
        <f t="shared" si="2"/>
      </c>
      <c r="L296" s="2">
        <f t="shared" si="3"/>
      </c>
    </row>
    <row r="297">
      <c r="A297" s="43">
        <f t="shared" si="0"/>
      </c>
      <c r="B297" s="44" t="n"/>
      <c r="C297" s="45" t="n"/>
      <c r="D297" s="50" t="n"/>
      <c r="E297" s="45" t="n"/>
      <c r="F297" s="50" t="n"/>
      <c r="G297" s="47" t="n"/>
      <c r="H297" s="52" t="n"/>
      <c r="I297" s="50" t="n"/>
      <c r="J297" s="53">
        <f t="shared" si="1"/>
      </c>
      <c r="K297" s="49">
        <f t="shared" si="2"/>
      </c>
      <c r="L297" s="2">
        <f t="shared" si="3"/>
      </c>
    </row>
    <row r="298">
      <c r="A298" s="43">
        <f t="shared" si="0"/>
      </c>
      <c r="B298" s="44" t="n"/>
      <c r="C298" s="45" t="n"/>
      <c r="D298" s="50" t="n"/>
      <c r="E298" s="45" t="n"/>
      <c r="F298" s="50" t="n"/>
      <c r="G298" s="47" t="n"/>
      <c r="H298" s="52" t="n"/>
      <c r="I298" s="50" t="n"/>
      <c r="J298" s="53">
        <f t="shared" si="1"/>
      </c>
      <c r="K298" s="49">
        <f t="shared" si="2"/>
      </c>
      <c r="L298" s="2">
        <f t="shared" si="3"/>
      </c>
    </row>
    <row r="299">
      <c r="A299" s="43">
        <f t="shared" si="0"/>
      </c>
      <c r="B299" s="44" t="n"/>
      <c r="C299" s="45" t="n"/>
      <c r="D299" s="50" t="n"/>
      <c r="E299" s="45" t="n"/>
      <c r="F299" s="50" t="n"/>
      <c r="G299" s="47" t="n"/>
      <c r="H299" s="52" t="n"/>
      <c r="I299" s="50" t="n"/>
      <c r="J299" s="53">
        <f t="shared" si="1"/>
      </c>
      <c r="K299" s="49">
        <f t="shared" si="2"/>
      </c>
      <c r="L299" s="2">
        <f t="shared" si="3"/>
      </c>
    </row>
    <row r="300">
      <c r="A300" s="43">
        <f t="shared" si="0"/>
      </c>
      <c r="B300" s="44" t="n"/>
      <c r="C300" s="45" t="n"/>
      <c r="D300" s="50" t="n"/>
      <c r="E300" s="45" t="n"/>
      <c r="F300" s="50" t="n"/>
      <c r="G300" s="47" t="n"/>
      <c r="H300" s="52" t="n"/>
      <c r="I300" s="50" t="n"/>
      <c r="J300" s="53">
        <f t="shared" si="1"/>
      </c>
      <c r="K300" s="49">
        <f t="shared" si="2"/>
      </c>
      <c r="L300" s="2">
        <f t="shared" si="3"/>
      </c>
    </row>
    <row r="301">
      <c r="A301" s="43">
        <f t="shared" si="0"/>
      </c>
      <c r="B301" s="44" t="n"/>
      <c r="C301" s="45" t="n"/>
      <c r="D301" s="50" t="n"/>
      <c r="E301" s="45" t="n"/>
      <c r="F301" s="50" t="n"/>
      <c r="G301" s="47" t="n"/>
      <c r="H301" s="52" t="n"/>
      <c r="I301" s="50" t="n"/>
      <c r="J301" s="53">
        <f t="shared" si="1"/>
      </c>
      <c r="K301" s="49">
        <f t="shared" si="2"/>
      </c>
      <c r="L301" s="2">
        <f t="shared" si="3"/>
      </c>
    </row>
    <row r="302">
      <c r="A302" s="43">
        <f t="shared" si="0"/>
      </c>
      <c r="B302" s="44" t="n"/>
      <c r="C302" s="45" t="n"/>
      <c r="D302" s="50" t="n"/>
      <c r="E302" s="45" t="n"/>
      <c r="F302" s="50" t="n"/>
      <c r="G302" s="47" t="n"/>
      <c r="H302" s="52" t="n"/>
      <c r="I302" s="50" t="n"/>
      <c r="J302" s="53">
        <f t="shared" si="1"/>
      </c>
      <c r="K302" s="49">
        <f t="shared" si="2"/>
      </c>
      <c r="L302" s="2">
        <f t="shared" si="3"/>
      </c>
    </row>
    <row r="303">
      <c r="A303" s="43">
        <f t="shared" si="0"/>
      </c>
      <c r="B303" s="44" t="n"/>
      <c r="C303" s="45" t="n"/>
      <c r="D303" s="50" t="n"/>
      <c r="E303" s="45" t="n"/>
      <c r="F303" s="50" t="n"/>
      <c r="G303" s="47" t="n"/>
      <c r="H303" s="52" t="n"/>
      <c r="I303" s="50" t="n"/>
      <c r="J303" s="53">
        <f t="shared" si="1"/>
      </c>
      <c r="K303" s="49">
        <f t="shared" si="2"/>
      </c>
      <c r="L303" s="2">
        <f t="shared" si="3"/>
      </c>
    </row>
    <row r="304">
      <c r="A304" s="43">
        <f t="shared" si="0"/>
      </c>
      <c r="B304" s="44" t="n"/>
      <c r="C304" s="45" t="n"/>
      <c r="D304" s="50" t="n"/>
      <c r="E304" s="45" t="n"/>
      <c r="F304" s="50" t="n"/>
      <c r="G304" s="47" t="n"/>
      <c r="H304" s="52" t="n"/>
      <c r="I304" s="50" t="n"/>
      <c r="J304" s="53">
        <f t="shared" si="1"/>
      </c>
      <c r="K304" s="49">
        <f t="shared" si="2"/>
      </c>
      <c r="L304" s="2">
        <f t="shared" si="3"/>
      </c>
    </row>
    <row r="305">
      <c r="A305" s="43">
        <f t="shared" si="0"/>
      </c>
      <c r="B305" s="44" t="n"/>
      <c r="C305" s="45" t="n"/>
      <c r="D305" s="50" t="n"/>
      <c r="E305" s="45" t="n"/>
      <c r="F305" s="50" t="n"/>
      <c r="G305" s="47" t="n"/>
      <c r="H305" s="52" t="n"/>
      <c r="I305" s="50" t="n"/>
      <c r="J305" s="53">
        <f t="shared" si="1"/>
      </c>
      <c r="K305" s="49">
        <f t="shared" si="2"/>
      </c>
      <c r="L305" s="2">
        <f t="shared" si="3"/>
      </c>
    </row>
    <row r="306">
      <c r="A306" s="43">
        <f t="shared" si="0"/>
      </c>
      <c r="B306" s="44" t="n"/>
      <c r="C306" s="45" t="n"/>
      <c r="D306" s="50" t="n"/>
      <c r="E306" s="45" t="n"/>
      <c r="F306" s="50" t="n"/>
      <c r="G306" s="47" t="n"/>
      <c r="H306" s="52" t="n"/>
      <c r="I306" s="50" t="n"/>
      <c r="J306" s="53">
        <f t="shared" si="1"/>
      </c>
      <c r="K306" s="49">
        <f t="shared" si="2"/>
      </c>
      <c r="L306" s="2">
        <f t="shared" si="3"/>
      </c>
    </row>
    <row r="307">
      <c r="A307" s="43">
        <f t="shared" si="0"/>
      </c>
      <c r="B307" s="44" t="n"/>
      <c r="C307" s="45" t="n"/>
      <c r="D307" s="50" t="n"/>
      <c r="E307" s="45" t="n"/>
      <c r="F307" s="50" t="n"/>
      <c r="G307" s="47" t="n"/>
      <c r="H307" s="52" t="n"/>
      <c r="I307" s="50" t="n"/>
      <c r="J307" s="53">
        <f t="shared" si="1"/>
      </c>
      <c r="K307" s="49">
        <f t="shared" si="2"/>
      </c>
      <c r="L307" s="2">
        <f t="shared" si="3"/>
      </c>
    </row>
    <row r="308">
      <c r="A308" s="43">
        <f t="shared" si="0"/>
      </c>
      <c r="B308" s="44" t="n"/>
      <c r="C308" s="45" t="n"/>
      <c r="D308" s="50" t="n"/>
      <c r="E308" s="45" t="n"/>
      <c r="F308" s="50" t="n"/>
      <c r="G308" s="47" t="n"/>
      <c r="H308" s="52" t="n"/>
      <c r="I308" s="50" t="n"/>
      <c r="J308" s="53">
        <f t="shared" si="1"/>
      </c>
      <c r="K308" s="49">
        <f t="shared" si="2"/>
      </c>
      <c r="L308" s="2">
        <f t="shared" si="3"/>
      </c>
    </row>
    <row r="309">
      <c r="A309" s="43">
        <f t="shared" si="0"/>
      </c>
      <c r="B309" s="44" t="n"/>
      <c r="C309" s="45" t="n"/>
      <c r="D309" s="50" t="n"/>
      <c r="E309" s="45" t="n"/>
      <c r="F309" s="50" t="n"/>
      <c r="G309" s="47" t="n"/>
      <c r="H309" s="52" t="n"/>
      <c r="I309" s="50" t="n"/>
      <c r="J309" s="53">
        <f t="shared" si="1"/>
      </c>
      <c r="K309" s="49">
        <f t="shared" si="2"/>
      </c>
      <c r="L309" s="2">
        <f t="shared" si="3"/>
      </c>
    </row>
    <row r="310">
      <c r="A310" s="43">
        <f t="shared" si="0"/>
      </c>
      <c r="B310" s="44" t="n"/>
      <c r="C310" s="45" t="n"/>
      <c r="D310" s="50" t="n"/>
      <c r="E310" s="45" t="n"/>
      <c r="F310" s="50" t="n"/>
      <c r="G310" s="47" t="n"/>
      <c r="H310" s="52" t="n"/>
      <c r="I310" s="50" t="n"/>
      <c r="J310" s="53">
        <f t="shared" si="1"/>
      </c>
      <c r="K310" s="49">
        <f t="shared" si="2"/>
      </c>
      <c r="L310" s="2">
        <f t="shared" si="3"/>
      </c>
    </row>
    <row r="311">
      <c r="A311" s="43">
        <f t="shared" si="0"/>
      </c>
      <c r="B311" s="44" t="n"/>
      <c r="C311" s="45" t="n"/>
      <c r="D311" s="50" t="n"/>
      <c r="E311" s="45" t="n"/>
      <c r="F311" s="50" t="n"/>
      <c r="G311" s="47" t="n"/>
      <c r="H311" s="52" t="n"/>
      <c r="I311" s="50" t="n"/>
      <c r="J311" s="53">
        <f t="shared" si="1"/>
      </c>
      <c r="K311" s="49">
        <f t="shared" si="2"/>
      </c>
      <c r="L311" s="2">
        <f t="shared" si="3"/>
      </c>
    </row>
    <row r="312">
      <c r="A312" s="43">
        <f t="shared" si="0"/>
      </c>
      <c r="B312" s="44" t="n"/>
      <c r="C312" s="45" t="n"/>
      <c r="D312" s="50" t="n"/>
      <c r="E312" s="45" t="n"/>
      <c r="F312" s="50" t="n"/>
      <c r="G312" s="47" t="n"/>
      <c r="H312" s="52" t="n"/>
      <c r="I312" s="50" t="n"/>
      <c r="J312" s="53">
        <f t="shared" si="1"/>
      </c>
      <c r="K312" s="49">
        <f t="shared" si="2"/>
      </c>
      <c r="L312" s="2">
        <f t="shared" si="3"/>
      </c>
    </row>
    <row r="313">
      <c r="A313" s="43">
        <f t="shared" si="0"/>
      </c>
      <c r="B313" s="44" t="n"/>
      <c r="C313" s="45" t="n"/>
      <c r="D313" s="50" t="n"/>
      <c r="E313" s="45" t="n"/>
      <c r="F313" s="50" t="n"/>
      <c r="G313" s="47" t="n"/>
      <c r="H313" s="52" t="n"/>
      <c r="I313" s="50" t="n"/>
      <c r="J313" s="53">
        <f t="shared" si="1"/>
      </c>
      <c r="K313" s="49">
        <f t="shared" si="2"/>
      </c>
      <c r="L313" s="2">
        <f t="shared" si="3"/>
      </c>
    </row>
    <row r="314">
      <c r="A314" s="43">
        <f t="shared" si="0"/>
      </c>
      <c r="B314" s="44" t="n"/>
      <c r="C314" s="45" t="n"/>
      <c r="D314" s="50" t="n"/>
      <c r="E314" s="45" t="n"/>
      <c r="F314" s="50" t="n"/>
      <c r="G314" s="47" t="n"/>
      <c r="H314" s="52" t="n"/>
      <c r="I314" s="50" t="n"/>
      <c r="J314" s="53">
        <f t="shared" si="1"/>
      </c>
      <c r="K314" s="49">
        <f t="shared" si="2"/>
      </c>
      <c r="L314" s="2">
        <f t="shared" si="3"/>
      </c>
    </row>
    <row r="315">
      <c r="A315" s="43">
        <f t="shared" si="0"/>
      </c>
      <c r="B315" s="44" t="n"/>
      <c r="C315" s="45" t="n"/>
      <c r="D315" s="50" t="n"/>
      <c r="E315" s="45" t="n"/>
      <c r="F315" s="50" t="n"/>
      <c r="G315" s="47" t="n"/>
      <c r="H315" s="52" t="n"/>
      <c r="I315" s="50" t="n"/>
      <c r="J315" s="53">
        <f t="shared" si="1"/>
      </c>
      <c r="K315" s="49">
        <f t="shared" si="2"/>
      </c>
      <c r="L315" s="2">
        <f t="shared" si="3"/>
      </c>
    </row>
    <row r="316">
      <c r="A316" s="43">
        <f t="shared" si="0"/>
      </c>
      <c r="B316" s="44" t="n"/>
      <c r="C316" s="45" t="n"/>
      <c r="D316" s="50" t="n"/>
      <c r="E316" s="45" t="n"/>
      <c r="F316" s="50" t="n"/>
      <c r="G316" s="47" t="n"/>
      <c r="H316" s="52" t="n"/>
      <c r="I316" s="50" t="n"/>
      <c r="J316" s="53">
        <f t="shared" si="1"/>
      </c>
      <c r="K316" s="49">
        <f t="shared" si="2"/>
      </c>
      <c r="L316" s="2">
        <f t="shared" si="3"/>
      </c>
    </row>
    <row r="317">
      <c r="A317" s="43">
        <f t="shared" si="0"/>
      </c>
      <c r="B317" s="44" t="n"/>
      <c r="C317" s="45" t="n"/>
      <c r="D317" s="50" t="n"/>
      <c r="E317" s="45" t="n"/>
      <c r="F317" s="50" t="n"/>
      <c r="G317" s="47" t="n"/>
      <c r="H317" s="52" t="n"/>
      <c r="I317" s="50" t="n"/>
      <c r="J317" s="53">
        <f t="shared" si="1"/>
      </c>
      <c r="K317" s="49">
        <f t="shared" si="2"/>
      </c>
      <c r="L317" s="2">
        <f t="shared" si="3"/>
      </c>
    </row>
    <row r="318">
      <c r="A318" s="43">
        <f t="shared" si="0"/>
      </c>
      <c r="B318" s="44" t="n"/>
      <c r="C318" s="45" t="n"/>
      <c r="D318" s="50" t="n"/>
      <c r="E318" s="45" t="n"/>
      <c r="F318" s="50" t="n"/>
      <c r="G318" s="47" t="n"/>
      <c r="H318" s="52" t="n"/>
      <c r="I318" s="50" t="n"/>
      <c r="J318" s="53">
        <f t="shared" si="1"/>
      </c>
      <c r="K318" s="49">
        <f t="shared" si="2"/>
      </c>
      <c r="L318" s="2">
        <f t="shared" si="3"/>
      </c>
    </row>
    <row r="319">
      <c r="A319" s="43">
        <f t="shared" si="0"/>
      </c>
      <c r="B319" s="44" t="n"/>
      <c r="C319" s="45" t="n"/>
      <c r="D319" s="50" t="n"/>
      <c r="E319" s="45" t="n"/>
      <c r="F319" s="50" t="n"/>
      <c r="G319" s="47" t="n"/>
      <c r="H319" s="52" t="n"/>
      <c r="I319" s="50" t="n"/>
      <c r="J319" s="53">
        <f t="shared" si="1"/>
      </c>
      <c r="K319" s="49">
        <f t="shared" si="2"/>
      </c>
      <c r="L319" s="2">
        <f t="shared" si="3"/>
      </c>
    </row>
    <row r="320">
      <c r="A320" s="43">
        <f t="shared" si="0"/>
      </c>
      <c r="B320" s="44" t="n"/>
      <c r="C320" s="45" t="n"/>
      <c r="D320" s="50" t="n"/>
      <c r="E320" s="45" t="n"/>
      <c r="F320" s="50" t="n"/>
      <c r="G320" s="47" t="n"/>
      <c r="H320" s="52" t="n"/>
      <c r="I320" s="50" t="n"/>
      <c r="J320" s="53">
        <f t="shared" si="1"/>
      </c>
      <c r="K320" s="49">
        <f t="shared" si="2"/>
      </c>
      <c r="L320" s="2">
        <f t="shared" si="3"/>
      </c>
    </row>
    <row r="321">
      <c r="A321" s="43">
        <f t="shared" si="0"/>
      </c>
      <c r="B321" s="44" t="n"/>
      <c r="C321" s="45" t="n"/>
      <c r="D321" s="50" t="n"/>
      <c r="E321" s="45" t="n"/>
      <c r="F321" s="50" t="n"/>
      <c r="G321" s="47" t="n"/>
      <c r="H321" s="52" t="n"/>
      <c r="I321" s="50" t="n"/>
      <c r="J321" s="53">
        <f t="shared" si="1"/>
      </c>
      <c r="K321" s="49">
        <f t="shared" si="2"/>
      </c>
      <c r="L321" s="2">
        <f t="shared" si="3"/>
      </c>
    </row>
    <row r="322">
      <c r="A322" s="43">
        <f t="shared" si="0"/>
      </c>
      <c r="B322" s="44" t="n"/>
      <c r="C322" s="45" t="n"/>
      <c r="D322" s="50" t="n"/>
      <c r="E322" s="45" t="n"/>
      <c r="F322" s="50" t="n"/>
      <c r="G322" s="47" t="n"/>
      <c r="H322" s="52" t="n"/>
      <c r="I322" s="50" t="n"/>
      <c r="J322" s="53">
        <f t="shared" si="1"/>
      </c>
      <c r="K322" s="49">
        <f t="shared" si="2"/>
      </c>
      <c r="L322" s="2">
        <f t="shared" si="3"/>
      </c>
    </row>
    <row r="323">
      <c r="A323" s="43">
        <f t="shared" si="0"/>
      </c>
      <c r="B323" s="44" t="n"/>
      <c r="C323" s="45" t="n"/>
      <c r="D323" s="50" t="n"/>
      <c r="E323" s="45" t="n"/>
      <c r="F323" s="50" t="n"/>
      <c r="G323" s="47" t="n"/>
      <c r="H323" s="52" t="n"/>
      <c r="I323" s="50" t="n"/>
      <c r="J323" s="53">
        <f t="shared" si="1"/>
      </c>
      <c r="K323" s="49">
        <f t="shared" si="2"/>
      </c>
      <c r="L323" s="2">
        <f t="shared" si="3"/>
      </c>
    </row>
    <row r="324">
      <c r="A324" s="43">
        <f t="shared" si="0"/>
      </c>
      <c r="B324" s="44" t="n"/>
      <c r="C324" s="45" t="n"/>
      <c r="D324" s="50" t="n"/>
      <c r="E324" s="45" t="n"/>
      <c r="F324" s="50" t="n"/>
      <c r="G324" s="47" t="n"/>
      <c r="H324" s="52" t="n"/>
      <c r="I324" s="50" t="n"/>
      <c r="J324" s="53">
        <f t="shared" si="1"/>
      </c>
      <c r="K324" s="49">
        <f t="shared" si="2"/>
      </c>
      <c r="L324" s="2">
        <f t="shared" si="3"/>
      </c>
    </row>
    <row r="325">
      <c r="A325" s="43">
        <f t="shared" si="0"/>
      </c>
      <c r="B325" s="44" t="n"/>
      <c r="C325" s="45" t="n"/>
      <c r="D325" s="50" t="n"/>
      <c r="E325" s="45" t="n"/>
      <c r="F325" s="50" t="n"/>
      <c r="G325" s="47" t="n"/>
      <c r="H325" s="52" t="n"/>
      <c r="I325" s="50" t="n"/>
      <c r="J325" s="53">
        <f t="shared" si="1"/>
      </c>
      <c r="K325" s="49">
        <f t="shared" si="2"/>
      </c>
      <c r="L325" s="2">
        <f t="shared" si="3"/>
      </c>
    </row>
    <row r="326">
      <c r="A326" s="43">
        <f t="shared" si="0"/>
      </c>
      <c r="B326" s="44" t="n"/>
      <c r="C326" s="45" t="n"/>
      <c r="D326" s="50" t="n"/>
      <c r="E326" s="45" t="n"/>
      <c r="F326" s="50" t="n"/>
      <c r="G326" s="47" t="n"/>
      <c r="H326" s="52" t="n"/>
      <c r="I326" s="50" t="n"/>
      <c r="J326" s="53">
        <f t="shared" si="1"/>
      </c>
      <c r="K326" s="49">
        <f t="shared" si="2"/>
      </c>
      <c r="L326" s="2">
        <f t="shared" si="3"/>
      </c>
    </row>
    <row r="327">
      <c r="A327" s="43">
        <f t="shared" si="0"/>
      </c>
      <c r="B327" s="44" t="n"/>
      <c r="C327" s="45" t="n"/>
      <c r="D327" s="50" t="n"/>
      <c r="E327" s="45" t="n"/>
      <c r="F327" s="50" t="n"/>
      <c r="G327" s="47" t="n"/>
      <c r="H327" s="52" t="n"/>
      <c r="I327" s="50" t="n"/>
      <c r="J327" s="53">
        <f t="shared" si="1"/>
      </c>
      <c r="K327" s="49">
        <f t="shared" si="2"/>
      </c>
      <c r="L327" s="2">
        <f t="shared" si="3"/>
      </c>
    </row>
    <row r="328">
      <c r="A328" s="43">
        <f t="shared" si="0"/>
      </c>
      <c r="B328" s="44" t="n"/>
      <c r="C328" s="45" t="n"/>
      <c r="D328" s="50" t="n"/>
      <c r="E328" s="45" t="n"/>
      <c r="F328" s="50" t="n"/>
      <c r="G328" s="47" t="n"/>
      <c r="H328" s="52" t="n"/>
      <c r="I328" s="50" t="n"/>
      <c r="J328" s="53">
        <f t="shared" si="1"/>
      </c>
      <c r="K328" s="49">
        <f t="shared" si="2"/>
      </c>
      <c r="L328" s="2">
        <f t="shared" si="3"/>
      </c>
    </row>
    <row r="329">
      <c r="A329" s="43">
        <f t="shared" si="0"/>
      </c>
      <c r="B329" s="44" t="n"/>
      <c r="C329" s="45" t="n"/>
      <c r="D329" s="50" t="n"/>
      <c r="E329" s="45" t="n"/>
      <c r="F329" s="50" t="n"/>
      <c r="G329" s="47" t="n"/>
      <c r="H329" s="52" t="n"/>
      <c r="I329" s="50" t="n"/>
      <c r="J329" s="53">
        <f t="shared" si="1"/>
      </c>
      <c r="K329" s="49">
        <f t="shared" si="2"/>
      </c>
      <c r="L329" s="2">
        <f t="shared" si="3"/>
      </c>
    </row>
    <row r="330">
      <c r="A330" s="43">
        <f t="shared" si="0"/>
      </c>
      <c r="B330" s="44" t="n"/>
      <c r="C330" s="45" t="n"/>
      <c r="D330" s="50" t="n"/>
      <c r="E330" s="45" t="n"/>
      <c r="F330" s="50" t="n"/>
      <c r="G330" s="47" t="n"/>
      <c r="H330" s="52" t="n"/>
      <c r="I330" s="50" t="n"/>
      <c r="J330" s="53">
        <f t="shared" si="1"/>
      </c>
      <c r="K330" s="49">
        <f t="shared" si="2"/>
      </c>
      <c r="L330" s="2">
        <f t="shared" si="3"/>
      </c>
    </row>
    <row r="331">
      <c r="A331" s="43">
        <f t="shared" si="0"/>
      </c>
      <c r="B331" s="44" t="n"/>
      <c r="C331" s="45" t="n"/>
      <c r="D331" s="50" t="n"/>
      <c r="E331" s="45" t="n"/>
      <c r="F331" s="50" t="n"/>
      <c r="G331" s="47" t="n"/>
      <c r="H331" s="52" t="n"/>
      <c r="I331" s="50" t="n"/>
      <c r="J331" s="53">
        <f t="shared" si="1"/>
      </c>
      <c r="K331" s="49">
        <f t="shared" si="2"/>
      </c>
      <c r="L331" s="2">
        <f t="shared" si="3"/>
      </c>
    </row>
    <row r="332">
      <c r="A332" s="43">
        <f t="shared" si="0"/>
      </c>
      <c r="B332" s="44" t="n"/>
      <c r="C332" s="45" t="n"/>
      <c r="D332" s="50" t="n"/>
      <c r="E332" s="45" t="n"/>
      <c r="F332" s="50" t="n"/>
      <c r="G332" s="47" t="n"/>
      <c r="H332" s="52" t="n"/>
      <c r="I332" s="50" t="n"/>
      <c r="J332" s="53">
        <f t="shared" si="1"/>
      </c>
      <c r="K332" s="49">
        <f t="shared" si="2"/>
      </c>
      <c r="L332" s="2">
        <f t="shared" si="3"/>
      </c>
    </row>
    <row r="333">
      <c r="A333" s="43">
        <f t="shared" si="0"/>
      </c>
      <c r="B333" s="44" t="n"/>
      <c r="C333" s="45" t="n"/>
      <c r="D333" s="50" t="n"/>
      <c r="E333" s="45" t="n"/>
      <c r="F333" s="50" t="n"/>
      <c r="G333" s="47" t="n"/>
      <c r="H333" s="52" t="n"/>
      <c r="I333" s="50" t="n"/>
      <c r="J333" s="53">
        <f t="shared" si="1"/>
      </c>
      <c r="K333" s="49">
        <f t="shared" si="2"/>
      </c>
      <c r="L333" s="2">
        <f t="shared" si="3"/>
      </c>
    </row>
    <row r="334">
      <c r="A334" s="43">
        <f t="shared" si="0"/>
      </c>
      <c r="B334" s="44" t="n"/>
      <c r="C334" s="45" t="n"/>
      <c r="D334" s="50" t="n"/>
      <c r="E334" s="45" t="n"/>
      <c r="F334" s="50" t="n"/>
      <c r="G334" s="47" t="n"/>
      <c r="H334" s="52" t="n"/>
      <c r="I334" s="50" t="n"/>
      <c r="J334" s="53">
        <f t="shared" si="1"/>
      </c>
      <c r="K334" s="49">
        <f t="shared" si="2"/>
      </c>
      <c r="L334" s="2">
        <f t="shared" si="3"/>
      </c>
    </row>
    <row r="335">
      <c r="A335" s="43">
        <f t="shared" si="0"/>
      </c>
      <c r="B335" s="44" t="n"/>
      <c r="C335" s="45" t="n"/>
      <c r="D335" s="50" t="n"/>
      <c r="E335" s="45" t="n"/>
      <c r="F335" s="50" t="n"/>
      <c r="G335" s="47" t="n"/>
      <c r="H335" s="52" t="n"/>
      <c r="I335" s="50" t="n"/>
      <c r="J335" s="53">
        <f t="shared" si="1"/>
      </c>
      <c r="K335" s="49">
        <f t="shared" si="2"/>
      </c>
      <c r="L335" s="2">
        <f t="shared" si="3"/>
      </c>
    </row>
    <row r="336">
      <c r="A336" s="43">
        <f t="shared" si="0"/>
      </c>
      <c r="B336" s="44" t="n"/>
      <c r="C336" s="45" t="n"/>
      <c r="D336" s="50" t="n"/>
      <c r="E336" s="45" t="n"/>
      <c r="F336" s="50" t="n"/>
      <c r="G336" s="47" t="n"/>
      <c r="H336" s="52" t="n"/>
      <c r="I336" s="50" t="n"/>
      <c r="J336" s="53">
        <f t="shared" si="1"/>
      </c>
      <c r="K336" s="49">
        <f t="shared" si="2"/>
      </c>
      <c r="L336" s="2">
        <f t="shared" si="3"/>
      </c>
    </row>
    <row r="337">
      <c r="A337" s="43">
        <f t="shared" si="0"/>
      </c>
      <c r="B337" s="44" t="n"/>
      <c r="C337" s="45" t="n"/>
      <c r="D337" s="50" t="n"/>
      <c r="E337" s="45" t="n"/>
      <c r="F337" s="50" t="n"/>
      <c r="G337" s="47" t="n"/>
      <c r="H337" s="52" t="n"/>
      <c r="I337" s="50" t="n"/>
      <c r="J337" s="53">
        <f t="shared" si="1"/>
      </c>
      <c r="K337" s="49">
        <f t="shared" si="2"/>
      </c>
      <c r="L337" s="2">
        <f t="shared" si="3"/>
      </c>
    </row>
    <row r="338">
      <c r="A338" s="43">
        <f t="shared" si="0"/>
      </c>
      <c r="B338" s="44" t="n"/>
      <c r="C338" s="45" t="n"/>
      <c r="D338" s="50" t="n"/>
      <c r="E338" s="45" t="n"/>
      <c r="F338" s="50" t="n"/>
      <c r="G338" s="47" t="n"/>
      <c r="H338" s="52" t="n"/>
      <c r="I338" s="50" t="n"/>
      <c r="J338" s="53">
        <f t="shared" si="1"/>
      </c>
      <c r="K338" s="49">
        <f t="shared" si="2"/>
      </c>
      <c r="L338" s="2">
        <f t="shared" si="3"/>
      </c>
    </row>
    <row r="339">
      <c r="A339" s="43">
        <f t="shared" si="0"/>
      </c>
      <c r="B339" s="44" t="n"/>
      <c r="C339" s="45" t="n"/>
      <c r="D339" s="50" t="n"/>
      <c r="E339" s="45" t="n"/>
      <c r="F339" s="50" t="n"/>
      <c r="G339" s="47" t="n"/>
      <c r="H339" s="52" t="n"/>
      <c r="I339" s="50" t="n"/>
      <c r="J339" s="53">
        <f t="shared" si="1"/>
      </c>
      <c r="K339" s="49">
        <f t="shared" si="2"/>
      </c>
      <c r="L339" s="2">
        <f t="shared" si="3"/>
      </c>
    </row>
    <row r="340">
      <c r="A340" s="43">
        <f t="shared" si="0"/>
      </c>
      <c r="B340" s="44" t="n"/>
      <c r="C340" s="45" t="n"/>
      <c r="D340" s="50" t="n"/>
      <c r="E340" s="45" t="n"/>
      <c r="F340" s="50" t="n"/>
      <c r="G340" s="47" t="n"/>
      <c r="H340" s="52" t="n"/>
      <c r="I340" s="50" t="n"/>
      <c r="J340" s="53">
        <f t="shared" si="1"/>
      </c>
      <c r="K340" s="49">
        <f t="shared" si="2"/>
      </c>
      <c r="L340" s="2">
        <f t="shared" si="3"/>
      </c>
    </row>
    <row r="341">
      <c r="A341" s="43">
        <f t="shared" si="0"/>
      </c>
      <c r="B341" s="44" t="n"/>
      <c r="C341" s="45" t="n"/>
      <c r="D341" s="50" t="n"/>
      <c r="E341" s="45" t="n"/>
      <c r="F341" s="50" t="n"/>
      <c r="G341" s="47" t="n"/>
      <c r="H341" s="52" t="n"/>
      <c r="I341" s="50" t="n"/>
      <c r="J341" s="53">
        <f t="shared" si="1"/>
      </c>
      <c r="K341" s="49">
        <f t="shared" si="2"/>
      </c>
      <c r="L341" s="2">
        <f t="shared" si="3"/>
      </c>
    </row>
    <row r="342">
      <c r="A342" s="43">
        <f t="shared" si="0"/>
      </c>
      <c r="B342" s="44" t="n"/>
      <c r="C342" s="45" t="n"/>
      <c r="D342" s="50" t="n"/>
      <c r="E342" s="45" t="n"/>
      <c r="F342" s="50" t="n"/>
      <c r="G342" s="47" t="n"/>
      <c r="H342" s="52" t="n"/>
      <c r="I342" s="50" t="n"/>
      <c r="J342" s="53">
        <f t="shared" si="1"/>
      </c>
      <c r="K342" s="49">
        <f t="shared" si="2"/>
      </c>
      <c r="L342" s="2">
        <f t="shared" si="3"/>
      </c>
    </row>
    <row r="343">
      <c r="A343" s="43">
        <f t="shared" si="0"/>
      </c>
      <c r="B343" s="44" t="n"/>
      <c r="C343" s="45" t="n"/>
      <c r="D343" s="50" t="n"/>
      <c r="E343" s="45" t="n"/>
      <c r="F343" s="50" t="n"/>
      <c r="G343" s="47" t="n"/>
      <c r="H343" s="52" t="n"/>
      <c r="I343" s="50" t="n"/>
      <c r="J343" s="53">
        <f t="shared" si="1"/>
      </c>
      <c r="K343" s="49">
        <f t="shared" si="2"/>
      </c>
      <c r="L343" s="2">
        <f t="shared" si="3"/>
      </c>
    </row>
    <row r="344">
      <c r="A344" s="43">
        <f t="shared" si="0"/>
      </c>
      <c r="B344" s="44" t="n"/>
      <c r="C344" s="45" t="n"/>
      <c r="D344" s="50" t="n"/>
      <c r="E344" s="45" t="n"/>
      <c r="F344" s="50" t="n"/>
      <c r="G344" s="47" t="n"/>
      <c r="H344" s="52" t="n"/>
      <c r="I344" s="50" t="n"/>
      <c r="J344" s="53">
        <f t="shared" si="1"/>
      </c>
      <c r="K344" s="49">
        <f t="shared" si="2"/>
      </c>
      <c r="L344" s="2">
        <f t="shared" si="3"/>
      </c>
    </row>
    <row r="345">
      <c r="A345" s="43">
        <f t="shared" si="0"/>
      </c>
      <c r="B345" s="44" t="n"/>
      <c r="C345" s="45" t="n"/>
      <c r="D345" s="50" t="n"/>
      <c r="E345" s="45" t="n"/>
      <c r="F345" s="50" t="n"/>
      <c r="G345" s="47" t="n"/>
      <c r="H345" s="52" t="n"/>
      <c r="I345" s="50" t="n"/>
      <c r="J345" s="53">
        <f t="shared" si="1"/>
      </c>
      <c r="K345" s="49">
        <f t="shared" si="2"/>
      </c>
      <c r="L345" s="2">
        <f t="shared" si="3"/>
      </c>
    </row>
    <row r="346">
      <c r="A346" s="43">
        <f t="shared" si="0"/>
      </c>
      <c r="B346" s="44" t="n"/>
      <c r="C346" s="45" t="n"/>
      <c r="D346" s="50" t="n"/>
      <c r="E346" s="45" t="n"/>
      <c r="F346" s="50" t="n"/>
      <c r="G346" s="47" t="n"/>
      <c r="H346" s="52" t="n"/>
      <c r="I346" s="50" t="n"/>
      <c r="J346" s="53">
        <f t="shared" si="1"/>
      </c>
      <c r="K346" s="49">
        <f t="shared" si="2"/>
      </c>
      <c r="L346" s="2">
        <f t="shared" si="3"/>
      </c>
    </row>
    <row r="347">
      <c r="A347" s="43">
        <f t="shared" si="0"/>
      </c>
      <c r="B347" s="44" t="n"/>
      <c r="C347" s="45" t="n"/>
      <c r="D347" s="50" t="n"/>
      <c r="E347" s="45" t="n"/>
      <c r="F347" s="50" t="n"/>
      <c r="G347" s="47" t="n"/>
      <c r="H347" s="52" t="n"/>
      <c r="I347" s="50" t="n"/>
      <c r="J347" s="53">
        <f t="shared" si="1"/>
      </c>
      <c r="K347" s="49">
        <f t="shared" si="2"/>
      </c>
      <c r="L347" s="2">
        <f t="shared" si="3"/>
      </c>
    </row>
    <row r="348">
      <c r="A348" s="43">
        <f t="shared" si="0"/>
      </c>
      <c r="B348" s="44" t="n"/>
      <c r="C348" s="45" t="n"/>
      <c r="D348" s="50" t="n"/>
      <c r="E348" s="45" t="n"/>
      <c r="F348" s="50" t="n"/>
      <c r="G348" s="47" t="n"/>
      <c r="H348" s="52" t="n"/>
      <c r="I348" s="50" t="n"/>
      <c r="J348" s="53">
        <f t="shared" si="1"/>
      </c>
      <c r="K348" s="49">
        <f t="shared" si="2"/>
      </c>
      <c r="L348" s="2">
        <f t="shared" si="3"/>
      </c>
    </row>
    <row r="349">
      <c r="A349" s="43">
        <f t="shared" si="0"/>
      </c>
      <c r="B349" s="44" t="n"/>
      <c r="C349" s="45" t="n"/>
      <c r="D349" s="50" t="n"/>
      <c r="E349" s="45" t="n"/>
      <c r="F349" s="50" t="n"/>
      <c r="G349" s="47" t="n"/>
      <c r="H349" s="52" t="n"/>
      <c r="I349" s="50" t="n"/>
      <c r="J349" s="53">
        <f t="shared" si="1"/>
      </c>
      <c r="K349" s="49">
        <f t="shared" si="2"/>
      </c>
      <c r="L349" s="2">
        <f t="shared" si="3"/>
      </c>
    </row>
    <row r="350">
      <c r="A350" s="43">
        <f t="shared" si="0"/>
      </c>
      <c r="B350" s="44" t="n"/>
      <c r="C350" s="45" t="n"/>
      <c r="D350" s="50" t="n"/>
      <c r="E350" s="45" t="n"/>
      <c r="F350" s="50" t="n"/>
      <c r="G350" s="47" t="n"/>
      <c r="H350" s="52" t="n"/>
      <c r="I350" s="50" t="n"/>
      <c r="J350" s="53">
        <f t="shared" si="1"/>
      </c>
      <c r="K350" s="49">
        <f t="shared" si="2"/>
      </c>
      <c r="L350" s="2">
        <f t="shared" si="3"/>
      </c>
    </row>
    <row r="351">
      <c r="A351" s="43">
        <f t="shared" si="0"/>
      </c>
      <c r="B351" s="44" t="n"/>
      <c r="C351" s="45" t="n"/>
      <c r="D351" s="50" t="n"/>
      <c r="E351" s="45" t="n"/>
      <c r="F351" s="50" t="n"/>
      <c r="G351" s="47" t="n"/>
      <c r="H351" s="52" t="n"/>
      <c r="I351" s="50" t="n"/>
      <c r="J351" s="53">
        <f t="shared" si="1"/>
      </c>
      <c r="K351" s="49">
        <f t="shared" si="2"/>
      </c>
      <c r="L351" s="2">
        <f t="shared" si="3"/>
      </c>
    </row>
    <row r="352">
      <c r="A352" s="43">
        <f t="shared" si="0"/>
      </c>
      <c r="B352" s="44" t="n"/>
      <c r="C352" s="45" t="n"/>
      <c r="D352" s="50" t="n"/>
      <c r="E352" s="45" t="n"/>
      <c r="F352" s="50" t="n"/>
      <c r="G352" s="47" t="n"/>
      <c r="H352" s="52" t="n"/>
      <c r="I352" s="50" t="n"/>
      <c r="J352" s="53">
        <f t="shared" si="1"/>
      </c>
      <c r="K352" s="49">
        <f t="shared" si="2"/>
      </c>
      <c r="L352" s="2">
        <f t="shared" si="3"/>
      </c>
    </row>
    <row r="353">
      <c r="A353" s="43">
        <f t="shared" si="0"/>
      </c>
      <c r="B353" s="44" t="n"/>
      <c r="C353" s="45" t="n"/>
      <c r="D353" s="50" t="n"/>
      <c r="E353" s="45" t="n"/>
      <c r="F353" s="50" t="n"/>
      <c r="G353" s="47" t="n"/>
      <c r="H353" s="52" t="n"/>
      <c r="I353" s="50" t="n"/>
      <c r="J353" s="53">
        <f t="shared" si="1"/>
      </c>
      <c r="K353" s="49">
        <f t="shared" si="2"/>
      </c>
      <c r="L353" s="2">
        <f t="shared" si="3"/>
      </c>
    </row>
    <row r="354">
      <c r="A354" s="43">
        <f t="shared" si="0"/>
      </c>
      <c r="B354" s="44" t="n"/>
      <c r="C354" s="45" t="n"/>
      <c r="D354" s="50" t="n"/>
      <c r="E354" s="45" t="n"/>
      <c r="F354" s="50" t="n"/>
      <c r="G354" s="47" t="n"/>
      <c r="H354" s="52" t="n"/>
      <c r="I354" s="50" t="n"/>
      <c r="J354" s="53">
        <f t="shared" si="1"/>
      </c>
      <c r="K354" s="49">
        <f t="shared" si="2"/>
      </c>
      <c r="L354" s="2">
        <f t="shared" si="3"/>
      </c>
    </row>
    <row r="355">
      <c r="A355" s="43">
        <f t="shared" si="0"/>
      </c>
      <c r="B355" s="44" t="n"/>
      <c r="C355" s="45" t="n"/>
      <c r="D355" s="50" t="n"/>
      <c r="E355" s="45" t="n"/>
      <c r="F355" s="50" t="n"/>
      <c r="G355" s="47" t="n"/>
      <c r="H355" s="52" t="n"/>
      <c r="I355" s="50" t="n"/>
      <c r="J355" s="53">
        <f t="shared" si="1"/>
      </c>
      <c r="K355" s="49">
        <f t="shared" si="2"/>
      </c>
      <c r="L355" s="2">
        <f t="shared" si="3"/>
      </c>
    </row>
    <row r="356">
      <c r="A356" s="43">
        <f t="shared" si="0"/>
      </c>
      <c r="B356" s="44" t="n"/>
      <c r="C356" s="45" t="n"/>
      <c r="D356" s="50" t="n"/>
      <c r="E356" s="45" t="n"/>
      <c r="F356" s="50" t="n"/>
      <c r="G356" s="47" t="n"/>
      <c r="H356" s="52" t="n"/>
      <c r="I356" s="50" t="n"/>
      <c r="J356" s="53">
        <f t="shared" si="1"/>
      </c>
      <c r="K356" s="49">
        <f t="shared" si="2"/>
      </c>
      <c r="L356" s="2">
        <f t="shared" si="3"/>
      </c>
    </row>
    <row r="357">
      <c r="A357" s="43">
        <f t="shared" si="0"/>
      </c>
      <c r="B357" s="44" t="n"/>
      <c r="C357" s="45" t="n"/>
      <c r="D357" s="50" t="n"/>
      <c r="E357" s="45" t="n"/>
      <c r="F357" s="50" t="n"/>
      <c r="G357" s="47" t="n"/>
      <c r="H357" s="52" t="n"/>
      <c r="I357" s="50" t="n"/>
      <c r="J357" s="53">
        <f t="shared" si="1"/>
      </c>
      <c r="K357" s="49">
        <f t="shared" si="2"/>
      </c>
      <c r="L357" s="2">
        <f t="shared" si="3"/>
      </c>
    </row>
    <row r="358">
      <c r="A358" s="43">
        <f t="shared" si="0"/>
      </c>
      <c r="B358" s="44" t="n"/>
      <c r="C358" s="45" t="n"/>
      <c r="D358" s="50" t="n"/>
      <c r="E358" s="45" t="n"/>
      <c r="F358" s="50" t="n"/>
      <c r="G358" s="47" t="n"/>
      <c r="H358" s="52" t="n"/>
      <c r="I358" s="50" t="n"/>
      <c r="J358" s="53">
        <f t="shared" si="1"/>
      </c>
      <c r="K358" s="49">
        <f t="shared" si="2"/>
      </c>
      <c r="L358" s="2">
        <f t="shared" si="3"/>
      </c>
    </row>
    <row r="359">
      <c r="A359" s="43">
        <f t="shared" si="0"/>
      </c>
      <c r="B359" s="44" t="n"/>
      <c r="C359" s="45" t="n"/>
      <c r="D359" s="50" t="n"/>
      <c r="E359" s="45" t="n"/>
      <c r="F359" s="50" t="n"/>
      <c r="G359" s="47" t="n"/>
      <c r="H359" s="52" t="n"/>
      <c r="I359" s="50" t="n"/>
      <c r="J359" s="53">
        <f t="shared" si="1"/>
      </c>
      <c r="K359" s="49">
        <f t="shared" si="2"/>
      </c>
      <c r="L359" s="2">
        <f t="shared" si="3"/>
      </c>
    </row>
    <row r="360">
      <c r="A360" s="43">
        <f t="shared" si="0"/>
      </c>
      <c r="B360" s="44" t="n"/>
      <c r="C360" s="45" t="n"/>
      <c r="D360" s="50" t="n"/>
      <c r="E360" s="45" t="n"/>
      <c r="F360" s="50" t="n"/>
      <c r="G360" s="47" t="n"/>
      <c r="H360" s="52" t="n"/>
      <c r="I360" s="50" t="n"/>
      <c r="J360" s="53">
        <f t="shared" si="1"/>
      </c>
      <c r="K360" s="49">
        <f t="shared" si="2"/>
      </c>
      <c r="L360" s="2">
        <f t="shared" si="3"/>
      </c>
    </row>
    <row r="361">
      <c r="A361" s="43">
        <f t="shared" si="0"/>
      </c>
      <c r="B361" s="44" t="n"/>
      <c r="C361" s="45" t="n"/>
      <c r="D361" s="50" t="n"/>
      <c r="E361" s="45" t="n"/>
      <c r="F361" s="50" t="n"/>
      <c r="G361" s="47" t="n"/>
      <c r="H361" s="52" t="n"/>
      <c r="I361" s="50" t="n"/>
      <c r="J361" s="53">
        <f t="shared" si="1"/>
      </c>
      <c r="K361" s="49">
        <f t="shared" si="2"/>
      </c>
      <c r="L361" s="2">
        <f t="shared" si="3"/>
      </c>
    </row>
    <row r="362">
      <c r="A362" s="43">
        <f t="shared" si="0"/>
      </c>
      <c r="B362" s="44" t="n"/>
      <c r="C362" s="45" t="n"/>
      <c r="D362" s="50" t="n"/>
      <c r="E362" s="45" t="n"/>
      <c r="F362" s="50" t="n"/>
      <c r="G362" s="47" t="n"/>
      <c r="H362" s="52" t="n"/>
      <c r="I362" s="50" t="n"/>
      <c r="J362" s="53">
        <f t="shared" si="1"/>
      </c>
      <c r="K362" s="49">
        <f t="shared" si="2"/>
      </c>
      <c r="L362" s="2">
        <f t="shared" si="3"/>
      </c>
    </row>
    <row r="363">
      <c r="A363" s="43">
        <f t="shared" si="0"/>
      </c>
      <c r="B363" s="44" t="n"/>
      <c r="C363" s="45" t="n"/>
      <c r="D363" s="50" t="n"/>
      <c r="E363" s="45" t="n"/>
      <c r="F363" s="50" t="n"/>
      <c r="G363" s="47" t="n"/>
      <c r="H363" s="52" t="n"/>
      <c r="I363" s="50" t="n"/>
      <c r="J363" s="53">
        <f t="shared" si="1"/>
      </c>
      <c r="K363" s="49">
        <f t="shared" si="2"/>
      </c>
      <c r="L363" s="2">
        <f t="shared" si="3"/>
      </c>
    </row>
    <row r="364">
      <c r="A364" s="43">
        <f t="shared" si="0"/>
      </c>
      <c r="B364" s="44" t="n"/>
      <c r="C364" s="45" t="n"/>
      <c r="D364" s="50" t="n"/>
      <c r="E364" s="45" t="n"/>
      <c r="F364" s="50" t="n"/>
      <c r="G364" s="47" t="n"/>
      <c r="H364" s="52" t="n"/>
      <c r="I364" s="50" t="n"/>
      <c r="J364" s="53">
        <f t="shared" si="1"/>
      </c>
      <c r="K364" s="49">
        <f t="shared" si="2"/>
      </c>
      <c r="L364" s="2">
        <f t="shared" si="3"/>
      </c>
    </row>
    <row r="365">
      <c r="A365" s="43">
        <f t="shared" si="0"/>
      </c>
      <c r="B365" s="44" t="n"/>
      <c r="C365" s="45" t="n"/>
      <c r="D365" s="50" t="n"/>
      <c r="E365" s="45" t="n"/>
      <c r="F365" s="50" t="n"/>
      <c r="G365" s="47" t="n"/>
      <c r="H365" s="52" t="n"/>
      <c r="I365" s="50" t="n"/>
      <c r="J365" s="53">
        <f t="shared" si="1"/>
      </c>
      <c r="K365" s="49">
        <f t="shared" si="2"/>
      </c>
      <c r="L365" s="2">
        <f t="shared" si="3"/>
      </c>
    </row>
    <row r="366">
      <c r="A366" s="43">
        <f t="shared" si="0"/>
      </c>
      <c r="B366" s="44" t="n"/>
      <c r="C366" s="45" t="n"/>
      <c r="D366" s="50" t="n"/>
      <c r="E366" s="45" t="n"/>
      <c r="F366" s="50" t="n"/>
      <c r="G366" s="47" t="n"/>
      <c r="H366" s="52" t="n"/>
      <c r="I366" s="50" t="n"/>
      <c r="J366" s="53">
        <f t="shared" si="1"/>
      </c>
      <c r="K366" s="49">
        <f t="shared" si="2"/>
      </c>
      <c r="L366" s="2">
        <f t="shared" si="3"/>
      </c>
    </row>
    <row r="367">
      <c r="A367" s="43">
        <f t="shared" si="0"/>
      </c>
      <c r="B367" s="44" t="n"/>
      <c r="C367" s="45" t="n"/>
      <c r="D367" s="50" t="n"/>
      <c r="E367" s="45" t="n"/>
      <c r="F367" s="50" t="n"/>
      <c r="G367" s="47" t="n"/>
      <c r="H367" s="52" t="n"/>
      <c r="I367" s="50" t="n"/>
      <c r="J367" s="53">
        <f t="shared" si="1"/>
      </c>
      <c r="K367" s="49">
        <f t="shared" si="2"/>
      </c>
      <c r="L367" s="2">
        <f t="shared" si="3"/>
      </c>
    </row>
    <row r="368">
      <c r="A368" s="43">
        <f t="shared" si="0"/>
      </c>
      <c r="B368" s="44" t="n"/>
      <c r="C368" s="45" t="n"/>
      <c r="D368" s="50" t="n"/>
      <c r="E368" s="45" t="n"/>
      <c r="F368" s="50" t="n"/>
      <c r="G368" s="47" t="n"/>
      <c r="H368" s="52" t="n"/>
      <c r="I368" s="50" t="n"/>
      <c r="J368" s="53">
        <f t="shared" si="1"/>
      </c>
      <c r="K368" s="49">
        <f t="shared" si="2"/>
      </c>
      <c r="L368" s="2">
        <f t="shared" si="3"/>
      </c>
    </row>
    <row r="369">
      <c r="A369" s="43">
        <f t="shared" si="0"/>
      </c>
      <c r="B369" s="44" t="n"/>
      <c r="C369" s="45" t="n"/>
      <c r="D369" s="50" t="n"/>
      <c r="E369" s="45" t="n"/>
      <c r="F369" s="50" t="n"/>
      <c r="G369" s="47" t="n"/>
      <c r="H369" s="52" t="n"/>
      <c r="I369" s="50" t="n"/>
      <c r="J369" s="53">
        <f t="shared" si="1"/>
      </c>
      <c r="K369" s="49">
        <f t="shared" si="2"/>
      </c>
      <c r="L369" s="2">
        <f t="shared" si="3"/>
      </c>
    </row>
    <row r="370">
      <c r="A370" s="43">
        <f t="shared" si="0"/>
      </c>
      <c r="B370" s="44" t="n"/>
      <c r="C370" s="45" t="n"/>
      <c r="D370" s="50" t="n"/>
      <c r="E370" s="45" t="n"/>
      <c r="F370" s="50" t="n"/>
      <c r="G370" s="47" t="n"/>
      <c r="H370" s="52" t="n"/>
      <c r="I370" s="50" t="n"/>
      <c r="J370" s="53">
        <f t="shared" si="1"/>
      </c>
      <c r="K370" s="49">
        <f t="shared" si="2"/>
      </c>
      <c r="L370" s="2">
        <f t="shared" si="3"/>
      </c>
    </row>
    <row r="371">
      <c r="A371" s="43">
        <f t="shared" si="0"/>
      </c>
      <c r="B371" s="44" t="n"/>
      <c r="C371" s="45" t="n"/>
      <c r="D371" s="50" t="n"/>
      <c r="E371" s="45" t="n"/>
      <c r="F371" s="50" t="n"/>
      <c r="G371" s="47" t="n"/>
      <c r="H371" s="52" t="n"/>
      <c r="I371" s="50" t="n"/>
      <c r="J371" s="53">
        <f t="shared" si="1"/>
      </c>
      <c r="K371" s="49">
        <f t="shared" si="2"/>
      </c>
      <c r="L371" s="2">
        <f t="shared" si="3"/>
      </c>
    </row>
    <row r="372">
      <c r="A372" s="43">
        <f t="shared" si="0"/>
      </c>
      <c r="B372" s="44" t="n"/>
      <c r="C372" s="45" t="n"/>
      <c r="D372" s="50" t="n"/>
      <c r="E372" s="45" t="n"/>
      <c r="F372" s="50" t="n"/>
      <c r="G372" s="47" t="n"/>
      <c r="H372" s="52" t="n"/>
      <c r="I372" s="50" t="n"/>
      <c r="J372" s="53">
        <f t="shared" si="1"/>
      </c>
      <c r="K372" s="49">
        <f t="shared" si="2"/>
      </c>
      <c r="L372" s="2">
        <f t="shared" si="3"/>
      </c>
    </row>
    <row r="373">
      <c r="A373" s="43">
        <f t="shared" si="0"/>
      </c>
      <c r="B373" s="44" t="n"/>
      <c r="C373" s="45" t="n"/>
      <c r="D373" s="50" t="n"/>
      <c r="E373" s="45" t="n"/>
      <c r="F373" s="50" t="n"/>
      <c r="G373" s="47" t="n"/>
      <c r="H373" s="52" t="n"/>
      <c r="I373" s="50" t="n"/>
      <c r="J373" s="53">
        <f t="shared" si="1"/>
      </c>
      <c r="K373" s="49">
        <f t="shared" si="2"/>
      </c>
      <c r="L373" s="2">
        <f t="shared" si="3"/>
      </c>
    </row>
    <row r="374">
      <c r="A374" s="43">
        <f t="shared" si="0"/>
      </c>
      <c r="B374" s="44" t="n"/>
      <c r="C374" s="45" t="n"/>
      <c r="D374" s="50" t="n"/>
      <c r="E374" s="45" t="n"/>
      <c r="F374" s="50" t="n"/>
      <c r="G374" s="47" t="n"/>
      <c r="H374" s="52" t="n"/>
      <c r="I374" s="50" t="n"/>
      <c r="J374" s="53">
        <f t="shared" si="1"/>
      </c>
      <c r="K374" s="49">
        <f t="shared" si="2"/>
      </c>
      <c r="L374" s="2">
        <f t="shared" si="3"/>
      </c>
    </row>
    <row r="375">
      <c r="A375" s="43">
        <f t="shared" si="0"/>
      </c>
      <c r="B375" s="44" t="n"/>
      <c r="C375" s="45" t="n"/>
      <c r="D375" s="50" t="n"/>
      <c r="E375" s="45" t="n"/>
      <c r="F375" s="50" t="n"/>
      <c r="G375" s="47" t="n"/>
      <c r="H375" s="52" t="n"/>
      <c r="I375" s="50" t="n"/>
      <c r="J375" s="53">
        <f t="shared" si="1"/>
      </c>
      <c r="K375" s="49">
        <f t="shared" si="2"/>
      </c>
      <c r="L375" s="2">
        <f t="shared" si="3"/>
      </c>
    </row>
    <row r="376">
      <c r="A376" s="43">
        <f t="shared" si="0"/>
      </c>
      <c r="B376" s="44" t="n"/>
      <c r="C376" s="45" t="n"/>
      <c r="D376" s="50" t="n"/>
      <c r="E376" s="45" t="n"/>
      <c r="F376" s="50" t="n"/>
      <c r="G376" s="47" t="n"/>
      <c r="H376" s="52" t="n"/>
      <c r="I376" s="50" t="n"/>
      <c r="J376" s="53">
        <f t="shared" si="1"/>
      </c>
      <c r="K376" s="49">
        <f t="shared" si="2"/>
      </c>
      <c r="L376" s="2">
        <f t="shared" si="3"/>
      </c>
    </row>
    <row r="377">
      <c r="A377" s="43">
        <f t="shared" si="0"/>
      </c>
      <c r="B377" s="44" t="n"/>
      <c r="C377" s="45" t="n"/>
      <c r="D377" s="50" t="n"/>
      <c r="E377" s="45" t="n"/>
      <c r="F377" s="50" t="n"/>
      <c r="G377" s="47" t="n"/>
      <c r="H377" s="52" t="n"/>
      <c r="I377" s="50" t="n"/>
      <c r="J377" s="53">
        <f t="shared" si="1"/>
      </c>
      <c r="K377" s="49">
        <f t="shared" si="2"/>
      </c>
      <c r="L377" s="2">
        <f t="shared" si="3"/>
      </c>
    </row>
    <row r="378">
      <c r="A378" s="43">
        <f t="shared" si="0"/>
      </c>
      <c r="B378" s="44" t="n"/>
      <c r="C378" s="45" t="n"/>
      <c r="D378" s="50" t="n"/>
      <c r="E378" s="45" t="n"/>
      <c r="F378" s="50" t="n"/>
      <c r="G378" s="47" t="n"/>
      <c r="H378" s="52" t="n"/>
      <c r="I378" s="50" t="n"/>
      <c r="J378" s="53">
        <f t="shared" si="1"/>
      </c>
      <c r="K378" s="49">
        <f t="shared" si="2"/>
      </c>
      <c r="L378" s="2">
        <f t="shared" si="3"/>
      </c>
    </row>
    <row r="379">
      <c r="A379" s="43">
        <f t="shared" si="0"/>
      </c>
      <c r="B379" s="44" t="n"/>
      <c r="C379" s="45" t="n"/>
      <c r="D379" s="50" t="n"/>
      <c r="E379" s="45" t="n"/>
      <c r="F379" s="50" t="n"/>
      <c r="G379" s="47" t="n"/>
      <c r="H379" s="52" t="n"/>
      <c r="I379" s="50" t="n"/>
      <c r="J379" s="53">
        <f t="shared" si="1"/>
      </c>
      <c r="K379" s="49">
        <f t="shared" si="2"/>
      </c>
      <c r="L379" s="2">
        <f t="shared" si="3"/>
      </c>
    </row>
    <row r="380">
      <c r="A380" s="43">
        <f t="shared" si="0"/>
      </c>
      <c r="B380" s="44" t="n"/>
      <c r="C380" s="45" t="n"/>
      <c r="D380" s="50" t="n"/>
      <c r="E380" s="45" t="n"/>
      <c r="F380" s="50" t="n"/>
      <c r="G380" s="47" t="n"/>
      <c r="H380" s="52" t="n"/>
      <c r="I380" s="50" t="n"/>
      <c r="J380" s="53">
        <f t="shared" si="1"/>
      </c>
      <c r="K380" s="49">
        <f t="shared" si="2"/>
      </c>
      <c r="L380" s="2">
        <f t="shared" si="3"/>
      </c>
    </row>
    <row r="381">
      <c r="A381" s="43">
        <f t="shared" si="0"/>
      </c>
      <c r="B381" s="44" t="n"/>
      <c r="C381" s="45" t="n"/>
      <c r="D381" s="50" t="n"/>
      <c r="E381" s="45" t="n"/>
      <c r="F381" s="50" t="n"/>
      <c r="G381" s="47" t="n"/>
      <c r="H381" s="52" t="n"/>
      <c r="I381" s="50" t="n"/>
      <c r="J381" s="53">
        <f t="shared" si="1"/>
      </c>
      <c r="K381" s="49">
        <f t="shared" si="2"/>
      </c>
      <c r="L381" s="2">
        <f t="shared" si="3"/>
      </c>
    </row>
    <row r="382">
      <c r="A382" s="43">
        <f t="shared" si="0"/>
      </c>
      <c r="B382" s="44" t="n"/>
      <c r="C382" s="45" t="n"/>
      <c r="D382" s="50" t="n"/>
      <c r="E382" s="45" t="n"/>
      <c r="F382" s="50" t="n"/>
      <c r="G382" s="47" t="n"/>
      <c r="H382" s="52" t="n"/>
      <c r="I382" s="50" t="n"/>
      <c r="J382" s="53">
        <f t="shared" si="1"/>
      </c>
      <c r="K382" s="49">
        <f t="shared" si="2"/>
      </c>
      <c r="L382" s="2">
        <f t="shared" si="3"/>
      </c>
    </row>
    <row r="383">
      <c r="A383" s="43">
        <f t="shared" si="0"/>
      </c>
      <c r="B383" s="44" t="n"/>
      <c r="C383" s="45" t="n"/>
      <c r="D383" s="50" t="n"/>
      <c r="E383" s="45" t="n"/>
      <c r="F383" s="50" t="n"/>
      <c r="G383" s="47" t="n"/>
      <c r="H383" s="52" t="n"/>
      <c r="I383" s="50" t="n"/>
      <c r="J383" s="53">
        <f t="shared" si="1"/>
      </c>
      <c r="K383" s="49">
        <f t="shared" si="2"/>
      </c>
      <c r="L383" s="2">
        <f t="shared" si="3"/>
      </c>
    </row>
    <row r="384">
      <c r="A384" s="43">
        <f t="shared" si="0"/>
      </c>
      <c r="B384" s="44" t="n"/>
      <c r="C384" s="45" t="n"/>
      <c r="D384" s="50" t="n"/>
      <c r="E384" s="45" t="n"/>
      <c r="F384" s="50" t="n"/>
      <c r="G384" s="47" t="n"/>
      <c r="H384" s="52" t="n"/>
      <c r="I384" s="50" t="n"/>
      <c r="J384" s="53">
        <f t="shared" si="1"/>
      </c>
      <c r="K384" s="49">
        <f t="shared" si="2"/>
      </c>
      <c r="L384" s="2">
        <f t="shared" si="3"/>
      </c>
    </row>
    <row r="385">
      <c r="A385" s="43">
        <f t="shared" si="0"/>
      </c>
      <c r="B385" s="44" t="n"/>
      <c r="C385" s="45" t="n"/>
      <c r="D385" s="50" t="n"/>
      <c r="E385" s="45" t="n"/>
      <c r="F385" s="50" t="n"/>
      <c r="G385" s="47" t="n"/>
      <c r="H385" s="52" t="n"/>
      <c r="I385" s="50" t="n"/>
      <c r="J385" s="53">
        <f t="shared" si="1"/>
      </c>
      <c r="K385" s="49">
        <f t="shared" si="2"/>
      </c>
      <c r="L385" s="2">
        <f t="shared" si="3"/>
      </c>
    </row>
    <row r="386">
      <c r="A386" s="43">
        <f t="shared" si="0"/>
      </c>
      <c r="B386" s="44" t="n"/>
      <c r="C386" s="45" t="n"/>
      <c r="D386" s="50" t="n"/>
      <c r="E386" s="45" t="n"/>
      <c r="F386" s="50" t="n"/>
      <c r="G386" s="47" t="n"/>
      <c r="H386" s="52" t="n"/>
      <c r="I386" s="50" t="n"/>
      <c r="J386" s="53">
        <f t="shared" si="1"/>
      </c>
      <c r="K386" s="49">
        <f t="shared" si="2"/>
      </c>
      <c r="L386" s="2">
        <f t="shared" si="3"/>
      </c>
    </row>
    <row r="387">
      <c r="A387" s="43">
        <f t="shared" si="0"/>
      </c>
      <c r="B387" s="44" t="n"/>
      <c r="C387" s="45" t="n"/>
      <c r="D387" s="50" t="n"/>
      <c r="E387" s="45" t="n"/>
      <c r="F387" s="50" t="n"/>
      <c r="G387" s="47" t="n"/>
      <c r="H387" s="52" t="n"/>
      <c r="I387" s="50" t="n"/>
      <c r="J387" s="53">
        <f t="shared" si="1"/>
      </c>
      <c r="K387" s="49">
        <f t="shared" si="2"/>
      </c>
      <c r="L387" s="2">
        <f t="shared" si="3"/>
      </c>
    </row>
    <row r="388">
      <c r="A388" s="43">
        <f t="shared" si="0"/>
      </c>
      <c r="B388" s="44" t="n"/>
      <c r="C388" s="45" t="n"/>
      <c r="D388" s="50" t="n"/>
      <c r="E388" s="45" t="n"/>
      <c r="F388" s="50" t="n"/>
      <c r="G388" s="47" t="n"/>
      <c r="H388" s="52" t="n"/>
      <c r="I388" s="50" t="n"/>
      <c r="J388" s="53">
        <f t="shared" si="1"/>
      </c>
      <c r="K388" s="49">
        <f t="shared" si="2"/>
      </c>
      <c r="L388" s="2">
        <f t="shared" si="3"/>
      </c>
    </row>
    <row r="389">
      <c r="A389" s="43">
        <f t="shared" si="0"/>
      </c>
      <c r="B389" s="44" t="n"/>
      <c r="C389" s="45" t="n"/>
      <c r="D389" s="50" t="n"/>
      <c r="E389" s="45" t="n"/>
      <c r="F389" s="50" t="n"/>
      <c r="G389" s="47" t="n"/>
      <c r="H389" s="52" t="n"/>
      <c r="I389" s="50" t="n"/>
      <c r="J389" s="53">
        <f t="shared" si="1"/>
      </c>
      <c r="K389" s="49">
        <f t="shared" si="2"/>
      </c>
      <c r="L389" s="2">
        <f t="shared" si="3"/>
      </c>
    </row>
    <row r="390">
      <c r="A390" s="43">
        <f t="shared" si="0"/>
      </c>
      <c r="B390" s="44" t="n"/>
      <c r="C390" s="45" t="n"/>
      <c r="D390" s="50" t="n"/>
      <c r="E390" s="45" t="n"/>
      <c r="F390" s="50" t="n"/>
      <c r="G390" s="47" t="n"/>
      <c r="H390" s="52" t="n"/>
      <c r="I390" s="50" t="n"/>
      <c r="J390" s="53">
        <f t="shared" si="1"/>
      </c>
      <c r="K390" s="49">
        <f t="shared" si="2"/>
      </c>
      <c r="L390" s="2">
        <f t="shared" si="3"/>
      </c>
    </row>
    <row r="391">
      <c r="A391" s="43">
        <f t="shared" si="0"/>
      </c>
      <c r="B391" s="44" t="n"/>
      <c r="C391" s="45" t="n"/>
      <c r="D391" s="50" t="n"/>
      <c r="E391" s="45" t="n"/>
      <c r="F391" s="50" t="n"/>
      <c r="G391" s="47" t="n"/>
      <c r="H391" s="52" t="n"/>
      <c r="I391" s="50" t="n"/>
      <c r="J391" s="53">
        <f t="shared" si="1"/>
      </c>
      <c r="K391" s="49">
        <f t="shared" si="2"/>
      </c>
      <c r="L391" s="2">
        <f t="shared" si="3"/>
      </c>
    </row>
    <row r="392">
      <c r="A392" s="43">
        <f t="shared" si="0"/>
      </c>
      <c r="B392" s="44" t="n"/>
      <c r="C392" s="45" t="n"/>
      <c r="D392" s="50" t="n"/>
      <c r="E392" s="45" t="n"/>
      <c r="F392" s="50" t="n"/>
      <c r="G392" s="47" t="n"/>
      <c r="H392" s="52" t="n"/>
      <c r="I392" s="50" t="n"/>
      <c r="J392" s="53">
        <f t="shared" si="1"/>
      </c>
      <c r="K392" s="49">
        <f t="shared" si="2"/>
      </c>
      <c r="L392" s="2">
        <f t="shared" si="3"/>
      </c>
    </row>
    <row r="393">
      <c r="A393" s="43">
        <f t="shared" si="0"/>
      </c>
      <c r="B393" s="44" t="n"/>
      <c r="C393" s="45" t="n"/>
      <c r="D393" s="50" t="n"/>
      <c r="E393" s="45" t="n"/>
      <c r="F393" s="50" t="n"/>
      <c r="G393" s="47" t="n"/>
      <c r="H393" s="52" t="n"/>
      <c r="I393" s="50" t="n"/>
      <c r="J393" s="53">
        <f t="shared" si="1"/>
      </c>
      <c r="K393" s="49">
        <f t="shared" si="2"/>
      </c>
      <c r="L393" s="2">
        <f t="shared" si="3"/>
      </c>
    </row>
    <row r="394">
      <c r="A394" s="43">
        <f t="shared" si="0"/>
      </c>
      <c r="B394" s="44" t="n"/>
      <c r="C394" s="45" t="n"/>
      <c r="D394" s="50" t="n"/>
      <c r="E394" s="45" t="n"/>
      <c r="F394" s="50" t="n"/>
      <c r="G394" s="47" t="n"/>
      <c r="H394" s="52" t="n"/>
      <c r="I394" s="50" t="n"/>
      <c r="J394" s="53">
        <f t="shared" si="1"/>
      </c>
      <c r="K394" s="49">
        <f t="shared" si="2"/>
      </c>
      <c r="L394" s="2">
        <f t="shared" si="3"/>
      </c>
    </row>
    <row r="395">
      <c r="A395" s="43">
        <f t="shared" si="0"/>
      </c>
      <c r="B395" s="44" t="n"/>
      <c r="C395" s="45" t="n"/>
      <c r="D395" s="50" t="n"/>
      <c r="E395" s="45" t="n"/>
      <c r="F395" s="50" t="n"/>
      <c r="G395" s="47" t="n"/>
      <c r="H395" s="52" t="n"/>
      <c r="I395" s="50" t="n"/>
      <c r="J395" s="53">
        <f t="shared" si="1"/>
      </c>
      <c r="K395" s="49">
        <f t="shared" si="2"/>
      </c>
      <c r="L395" s="2">
        <f t="shared" si="3"/>
      </c>
    </row>
    <row r="396">
      <c r="A396" s="43">
        <f t="shared" si="0"/>
      </c>
      <c r="B396" s="44" t="n"/>
      <c r="C396" s="45" t="n"/>
      <c r="D396" s="50" t="n"/>
      <c r="E396" s="45" t="n"/>
      <c r="F396" s="50" t="n"/>
      <c r="G396" s="47" t="n"/>
      <c r="H396" s="52" t="n"/>
      <c r="I396" s="50" t="n"/>
      <c r="J396" s="53">
        <f t="shared" si="1"/>
      </c>
      <c r="K396" s="49">
        <f t="shared" si="2"/>
      </c>
      <c r="L396" s="2">
        <f t="shared" si="3"/>
      </c>
    </row>
    <row r="397">
      <c r="A397" s="43">
        <f t="shared" si="0"/>
      </c>
      <c r="B397" s="44" t="n"/>
      <c r="C397" s="45" t="n"/>
      <c r="D397" s="50" t="n"/>
      <c r="E397" s="45" t="n"/>
      <c r="F397" s="50" t="n"/>
      <c r="G397" s="47" t="n"/>
      <c r="H397" s="52" t="n"/>
      <c r="I397" s="50" t="n"/>
      <c r="J397" s="53">
        <f t="shared" si="1"/>
      </c>
      <c r="K397" s="49">
        <f t="shared" si="2"/>
      </c>
      <c r="L397" s="2">
        <f t="shared" si="3"/>
      </c>
    </row>
    <row r="398">
      <c r="A398" s="43">
        <f t="shared" si="0"/>
      </c>
      <c r="B398" s="44" t="n"/>
      <c r="C398" s="45" t="n"/>
      <c r="D398" s="50" t="n"/>
      <c r="E398" s="45" t="n"/>
      <c r="F398" s="50" t="n"/>
      <c r="G398" s="47" t="n"/>
      <c r="H398" s="52" t="n"/>
      <c r="I398" s="50" t="n"/>
      <c r="J398" s="53">
        <f t="shared" si="1"/>
      </c>
      <c r="K398" s="49">
        <f t="shared" si="2"/>
      </c>
      <c r="L398" s="2">
        <f t="shared" si="3"/>
      </c>
    </row>
    <row r="399">
      <c r="A399" s="43">
        <f t="shared" si="0"/>
      </c>
      <c r="B399" s="44" t="n"/>
      <c r="C399" s="45" t="n"/>
      <c r="D399" s="50" t="n"/>
      <c r="E399" s="45" t="n"/>
      <c r="F399" s="50" t="n"/>
      <c r="G399" s="47" t="n"/>
      <c r="H399" s="52" t="n"/>
      <c r="I399" s="50" t="n"/>
      <c r="J399" s="53">
        <f t="shared" si="1"/>
      </c>
      <c r="K399" s="49">
        <f t="shared" si="2"/>
      </c>
      <c r="L399" s="2">
        <f t="shared" si="3"/>
      </c>
    </row>
    <row r="400">
      <c r="A400" s="43">
        <f t="shared" si="0"/>
      </c>
      <c r="B400" s="44" t="n"/>
      <c r="C400" s="45" t="n"/>
      <c r="D400" s="50" t="n"/>
      <c r="E400" s="45" t="n"/>
      <c r="F400" s="50" t="n"/>
      <c r="G400" s="47" t="n"/>
      <c r="H400" s="52" t="n"/>
      <c r="I400" s="50" t="n"/>
      <c r="J400" s="53">
        <f t="shared" si="1"/>
      </c>
      <c r="K400" s="49">
        <f t="shared" si="2"/>
      </c>
      <c r="L400" s="2">
        <f t="shared" si="3"/>
      </c>
    </row>
    <row r="401">
      <c r="A401" s="43">
        <f t="shared" si="0"/>
      </c>
      <c r="B401" s="44" t="n"/>
      <c r="C401" s="45" t="n"/>
      <c r="D401" s="50" t="n"/>
      <c r="E401" s="45" t="n"/>
      <c r="F401" s="50" t="n"/>
      <c r="G401" s="47" t="n"/>
      <c r="H401" s="52" t="n"/>
      <c r="I401" s="50" t="n"/>
      <c r="J401" s="53">
        <f t="shared" si="1"/>
      </c>
      <c r="K401" s="49">
        <f t="shared" si="2"/>
      </c>
      <c r="L401" s="2">
        <f t="shared" si="3"/>
      </c>
    </row>
    <row r="402">
      <c r="A402" s="43">
        <f t="shared" si="0"/>
      </c>
      <c r="B402" s="44" t="n"/>
      <c r="C402" s="45" t="n"/>
      <c r="D402" s="50" t="n"/>
      <c r="E402" s="45" t="n"/>
      <c r="F402" s="50" t="n"/>
      <c r="G402" s="47" t="n"/>
      <c r="H402" s="52" t="n"/>
      <c r="I402" s="50" t="n"/>
      <c r="J402" s="53">
        <f t="shared" si="1"/>
      </c>
      <c r="K402" s="49">
        <f t="shared" si="2"/>
      </c>
      <c r="L402" s="2">
        <f t="shared" si="3"/>
      </c>
    </row>
    <row r="403">
      <c r="A403" s="43">
        <f t="shared" si="0"/>
      </c>
      <c r="B403" s="44" t="n"/>
      <c r="C403" s="45" t="n"/>
      <c r="D403" s="50" t="n"/>
      <c r="E403" s="45" t="n"/>
      <c r="F403" s="50" t="n"/>
      <c r="G403" s="47" t="n"/>
      <c r="H403" s="52" t="n"/>
      <c r="I403" s="50" t="n"/>
      <c r="J403" s="53">
        <f t="shared" si="1"/>
      </c>
      <c r="K403" s="49">
        <f t="shared" si="2"/>
      </c>
      <c r="L403" s="2">
        <f t="shared" si="3"/>
      </c>
    </row>
    <row r="404">
      <c r="A404" s="43">
        <f t="shared" si="0"/>
      </c>
      <c r="B404" s="44" t="n"/>
      <c r="C404" s="45" t="n"/>
      <c r="D404" s="50" t="n"/>
      <c r="E404" s="45" t="n"/>
      <c r="F404" s="50" t="n"/>
      <c r="G404" s="47" t="n"/>
      <c r="H404" s="52" t="n"/>
      <c r="I404" s="50" t="n"/>
      <c r="J404" s="53">
        <f t="shared" si="1"/>
      </c>
      <c r="K404" s="49">
        <f t="shared" si="2"/>
      </c>
      <c r="L404" s="2">
        <f t="shared" si="3"/>
      </c>
    </row>
    <row r="405">
      <c r="A405" s="43">
        <f t="shared" si="0"/>
      </c>
      <c r="B405" s="44" t="n"/>
      <c r="C405" s="45" t="n"/>
      <c r="D405" s="50" t="n"/>
      <c r="E405" s="45" t="n"/>
      <c r="F405" s="50" t="n"/>
      <c r="G405" s="47" t="n"/>
      <c r="H405" s="52" t="n"/>
      <c r="I405" s="50" t="n"/>
      <c r="J405" s="53">
        <f t="shared" si="1"/>
      </c>
      <c r="K405" s="49">
        <f t="shared" si="2"/>
      </c>
      <c r="L405" s="2">
        <f t="shared" si="3"/>
      </c>
    </row>
    <row r="406">
      <c r="A406" s="43">
        <f t="shared" si="0"/>
      </c>
      <c r="B406" s="44" t="n"/>
      <c r="C406" s="45" t="n"/>
      <c r="D406" s="50" t="n"/>
      <c r="E406" s="45" t="n"/>
      <c r="F406" s="50" t="n"/>
      <c r="G406" s="47" t="n"/>
      <c r="H406" s="52" t="n"/>
      <c r="I406" s="50" t="n"/>
      <c r="J406" s="53">
        <f t="shared" si="1"/>
      </c>
      <c r="K406" s="49">
        <f t="shared" si="2"/>
      </c>
      <c r="L406" s="2">
        <f t="shared" si="3"/>
      </c>
    </row>
    <row r="407">
      <c r="A407" s="43">
        <f t="shared" si="0"/>
      </c>
      <c r="B407" s="44" t="n"/>
      <c r="C407" s="45" t="n"/>
      <c r="D407" s="50" t="n"/>
      <c r="E407" s="45" t="n"/>
      <c r="F407" s="50" t="n"/>
      <c r="G407" s="47" t="n"/>
      <c r="H407" s="52" t="n"/>
      <c r="I407" s="50" t="n"/>
      <c r="J407" s="53">
        <f t="shared" si="1"/>
      </c>
      <c r="K407" s="49">
        <f t="shared" si="2"/>
      </c>
      <c r="L407" s="2">
        <f t="shared" si="3"/>
      </c>
    </row>
    <row r="408">
      <c r="A408" s="43">
        <f t="shared" si="0"/>
      </c>
      <c r="B408" s="44" t="n"/>
      <c r="C408" s="45" t="n"/>
      <c r="D408" s="50" t="n"/>
      <c r="E408" s="45" t="n"/>
      <c r="F408" s="50" t="n"/>
      <c r="G408" s="47" t="n"/>
      <c r="H408" s="52" t="n"/>
      <c r="I408" s="50" t="n"/>
      <c r="J408" s="53">
        <f t="shared" si="1"/>
      </c>
      <c r="K408" s="49">
        <f t="shared" si="2"/>
      </c>
      <c r="L408" s="2">
        <f t="shared" si="3"/>
      </c>
    </row>
    <row r="409">
      <c r="A409" s="43">
        <f t="shared" si="0"/>
      </c>
      <c r="B409" s="44" t="n"/>
      <c r="C409" s="45" t="n"/>
      <c r="D409" s="50" t="n"/>
      <c r="E409" s="45" t="n"/>
      <c r="F409" s="50" t="n"/>
      <c r="G409" s="47" t="n"/>
      <c r="H409" s="52" t="n"/>
      <c r="I409" s="50" t="n"/>
      <c r="J409" s="53">
        <f t="shared" si="1"/>
      </c>
      <c r="K409" s="49">
        <f t="shared" si="2"/>
      </c>
      <c r="L409" s="2">
        <f t="shared" si="3"/>
      </c>
    </row>
    <row r="410">
      <c r="A410" s="43">
        <f t="shared" si="0"/>
      </c>
      <c r="B410" s="44" t="n"/>
      <c r="C410" s="45" t="n"/>
      <c r="D410" s="50" t="n"/>
      <c r="E410" s="45" t="n"/>
      <c r="F410" s="50" t="n"/>
      <c r="G410" s="47" t="n"/>
      <c r="H410" s="52" t="n"/>
      <c r="I410" s="50" t="n"/>
      <c r="J410" s="53">
        <f t="shared" si="1"/>
      </c>
      <c r="K410" s="49">
        <f t="shared" si="2"/>
      </c>
      <c r="L410" s="2">
        <f t="shared" si="3"/>
      </c>
    </row>
    <row r="411">
      <c r="A411" s="43">
        <f t="shared" si="0"/>
      </c>
      <c r="B411" s="44" t="n"/>
      <c r="C411" s="45" t="n"/>
      <c r="D411" s="50" t="n"/>
      <c r="E411" s="45" t="n"/>
      <c r="F411" s="50" t="n"/>
      <c r="G411" s="47" t="n"/>
      <c r="H411" s="52" t="n"/>
      <c r="I411" s="50" t="n"/>
      <c r="J411" s="53">
        <f t="shared" si="1"/>
      </c>
      <c r="K411" s="49">
        <f t="shared" si="2"/>
      </c>
      <c r="L411" s="2">
        <f t="shared" si="3"/>
      </c>
    </row>
    <row r="412">
      <c r="A412" s="43">
        <f t="shared" si="0"/>
      </c>
      <c r="B412" s="44" t="n"/>
      <c r="C412" s="45" t="n"/>
      <c r="D412" s="50" t="n"/>
      <c r="E412" s="45" t="n"/>
      <c r="F412" s="50" t="n"/>
      <c r="G412" s="47" t="n"/>
      <c r="H412" s="52" t="n"/>
      <c r="I412" s="50" t="n"/>
      <c r="J412" s="53">
        <f t="shared" si="1"/>
      </c>
      <c r="K412" s="49">
        <f t="shared" si="2"/>
      </c>
      <c r="L412" s="2">
        <f t="shared" si="3"/>
      </c>
    </row>
    <row r="413">
      <c r="A413" s="43">
        <f t="shared" si="0"/>
      </c>
      <c r="B413" s="44" t="n"/>
      <c r="C413" s="45" t="n"/>
      <c r="D413" s="50" t="n"/>
      <c r="E413" s="45" t="n"/>
      <c r="F413" s="50" t="n"/>
      <c r="G413" s="47" t="n"/>
      <c r="H413" s="52" t="n"/>
      <c r="I413" s="50" t="n"/>
      <c r="J413" s="53">
        <f t="shared" si="1"/>
      </c>
      <c r="K413" s="49">
        <f t="shared" si="2"/>
      </c>
      <c r="L413" s="2">
        <f t="shared" si="3"/>
      </c>
    </row>
    <row r="414">
      <c r="A414" s="43">
        <f t="shared" si="0"/>
      </c>
      <c r="B414" s="44" t="n"/>
      <c r="C414" s="45" t="n"/>
      <c r="D414" s="50" t="n"/>
      <c r="E414" s="45" t="n"/>
      <c r="F414" s="50" t="n"/>
      <c r="G414" s="47" t="n"/>
      <c r="H414" s="52" t="n"/>
      <c r="I414" s="50" t="n"/>
      <c r="J414" s="53">
        <f t="shared" si="1"/>
      </c>
      <c r="K414" s="49">
        <f t="shared" si="2"/>
      </c>
      <c r="L414" s="2">
        <f t="shared" si="3"/>
      </c>
    </row>
    <row r="415">
      <c r="A415" s="43">
        <f t="shared" si="0"/>
      </c>
      <c r="B415" s="44" t="n"/>
      <c r="C415" s="45" t="n"/>
      <c r="D415" s="50" t="n"/>
      <c r="E415" s="45" t="n"/>
      <c r="F415" s="50" t="n"/>
      <c r="G415" s="47" t="n"/>
      <c r="H415" s="52" t="n"/>
      <c r="I415" s="50" t="n"/>
      <c r="J415" s="53">
        <f t="shared" si="1"/>
      </c>
      <c r="K415" s="49">
        <f t="shared" si="2"/>
      </c>
      <c r="L415" s="2">
        <f t="shared" si="3"/>
      </c>
    </row>
    <row r="416">
      <c r="A416" s="43">
        <f t="shared" si="0"/>
      </c>
      <c r="B416" s="44" t="n"/>
      <c r="C416" s="45" t="n"/>
      <c r="D416" s="50" t="n"/>
      <c r="E416" s="45" t="n"/>
      <c r="F416" s="50" t="n"/>
      <c r="G416" s="47" t="n"/>
      <c r="H416" s="52" t="n"/>
      <c r="I416" s="50" t="n"/>
      <c r="J416" s="53">
        <f t="shared" si="1"/>
      </c>
      <c r="K416" s="49">
        <f t="shared" si="2"/>
      </c>
      <c r="L416" s="2">
        <f t="shared" si="3"/>
      </c>
    </row>
    <row r="417">
      <c r="A417" s="43">
        <f t="shared" si="0"/>
      </c>
      <c r="B417" s="44" t="n"/>
      <c r="C417" s="45" t="n"/>
      <c r="D417" s="50" t="n"/>
      <c r="E417" s="45" t="n"/>
      <c r="F417" s="50" t="n"/>
      <c r="G417" s="47" t="n"/>
      <c r="H417" s="52" t="n"/>
      <c r="I417" s="50" t="n"/>
      <c r="J417" s="53">
        <f t="shared" si="1"/>
      </c>
      <c r="K417" s="49">
        <f t="shared" si="2"/>
      </c>
      <c r="L417" s="2">
        <f t="shared" si="3"/>
      </c>
    </row>
    <row r="418">
      <c r="A418" s="43">
        <f t="shared" si="0"/>
      </c>
      <c r="B418" s="44" t="n"/>
      <c r="C418" s="45" t="n"/>
      <c r="D418" s="50" t="n"/>
      <c r="E418" s="45" t="n"/>
      <c r="F418" s="50" t="n"/>
      <c r="G418" s="47" t="n"/>
      <c r="H418" s="52" t="n"/>
      <c r="I418" s="50" t="n"/>
      <c r="J418" s="53">
        <f t="shared" si="1"/>
      </c>
      <c r="K418" s="49">
        <f t="shared" si="2"/>
      </c>
      <c r="L418" s="2">
        <f t="shared" si="3"/>
      </c>
    </row>
    <row r="419">
      <c r="A419" s="43">
        <f t="shared" si="0"/>
      </c>
      <c r="B419" s="44" t="n"/>
      <c r="C419" s="45" t="n"/>
      <c r="D419" s="50" t="n"/>
      <c r="E419" s="45" t="n"/>
      <c r="F419" s="50" t="n"/>
      <c r="G419" s="47" t="n"/>
      <c r="H419" s="52" t="n"/>
      <c r="I419" s="50" t="n"/>
      <c r="J419" s="53">
        <f t="shared" si="1"/>
      </c>
      <c r="K419" s="49">
        <f t="shared" si="2"/>
      </c>
      <c r="L419" s="2">
        <f t="shared" si="3"/>
      </c>
    </row>
    <row r="420">
      <c r="A420" s="43">
        <f t="shared" si="0"/>
      </c>
      <c r="B420" s="44" t="n"/>
      <c r="C420" s="45" t="n"/>
      <c r="D420" s="50" t="n"/>
      <c r="E420" s="45" t="n"/>
      <c r="F420" s="50" t="n"/>
      <c r="G420" s="47" t="n"/>
      <c r="H420" s="52" t="n"/>
      <c r="I420" s="50" t="n"/>
      <c r="J420" s="53">
        <f t="shared" si="1"/>
      </c>
      <c r="K420" s="49">
        <f t="shared" si="2"/>
      </c>
      <c r="L420" s="2">
        <f t="shared" si="3"/>
      </c>
    </row>
    <row r="421">
      <c r="A421" s="43">
        <f t="shared" si="0"/>
      </c>
      <c r="B421" s="44" t="n"/>
      <c r="C421" s="45" t="n"/>
      <c r="D421" s="50" t="n"/>
      <c r="E421" s="45" t="n"/>
      <c r="F421" s="50" t="n"/>
      <c r="G421" s="47" t="n"/>
      <c r="H421" s="52" t="n"/>
      <c r="I421" s="50" t="n"/>
      <c r="J421" s="53">
        <f t="shared" si="1"/>
      </c>
      <c r="K421" s="49">
        <f t="shared" si="2"/>
      </c>
      <c r="L421" s="2">
        <f t="shared" si="3"/>
      </c>
    </row>
    <row r="422">
      <c r="A422" s="43">
        <f t="shared" si="0"/>
      </c>
      <c r="B422" s="44" t="n"/>
      <c r="C422" s="45" t="n"/>
      <c r="D422" s="50" t="n"/>
      <c r="E422" s="45" t="n"/>
      <c r="F422" s="50" t="n"/>
      <c r="G422" s="47" t="n"/>
      <c r="H422" s="52" t="n"/>
      <c r="I422" s="50" t="n"/>
      <c r="J422" s="53">
        <f t="shared" si="1"/>
      </c>
      <c r="K422" s="49">
        <f t="shared" si="2"/>
      </c>
      <c r="L422" s="2">
        <f t="shared" si="3"/>
      </c>
    </row>
    <row r="423">
      <c r="A423" s="43">
        <f t="shared" si="0"/>
      </c>
      <c r="B423" s="44" t="n"/>
      <c r="C423" s="45" t="n"/>
      <c r="D423" s="50" t="n"/>
      <c r="E423" s="45" t="n"/>
      <c r="F423" s="50" t="n"/>
      <c r="G423" s="47" t="n"/>
      <c r="H423" s="52" t="n"/>
      <c r="I423" s="50" t="n"/>
      <c r="J423" s="53">
        <f t="shared" si="1"/>
      </c>
      <c r="K423" s="49">
        <f t="shared" si="2"/>
      </c>
      <c r="L423" s="2">
        <f t="shared" si="3"/>
      </c>
    </row>
    <row r="424">
      <c r="A424" s="43">
        <f t="shared" si="0"/>
      </c>
      <c r="B424" s="44" t="n"/>
      <c r="C424" s="45" t="n"/>
      <c r="D424" s="50" t="n"/>
      <c r="E424" s="45" t="n"/>
      <c r="F424" s="50" t="n"/>
      <c r="G424" s="47" t="n"/>
      <c r="H424" s="52" t="n"/>
      <c r="I424" s="50" t="n"/>
      <c r="J424" s="53">
        <f t="shared" si="1"/>
      </c>
      <c r="K424" s="49">
        <f t="shared" si="2"/>
      </c>
      <c r="L424" s="2">
        <f t="shared" si="3"/>
      </c>
    </row>
    <row r="425">
      <c r="A425" s="43">
        <f t="shared" si="0"/>
      </c>
      <c r="B425" s="44" t="n"/>
      <c r="C425" s="45" t="n"/>
      <c r="D425" s="50" t="n"/>
      <c r="E425" s="45" t="n"/>
      <c r="F425" s="50" t="n"/>
      <c r="G425" s="47" t="n"/>
      <c r="H425" s="52" t="n"/>
      <c r="I425" s="50" t="n"/>
      <c r="J425" s="53">
        <f t="shared" si="1"/>
      </c>
      <c r="K425" s="49">
        <f t="shared" si="2"/>
      </c>
      <c r="L425" s="2">
        <f t="shared" si="3"/>
      </c>
    </row>
    <row r="426">
      <c r="A426" s="43">
        <f t="shared" si="0"/>
      </c>
      <c r="B426" s="44" t="n"/>
      <c r="C426" s="45" t="n"/>
      <c r="D426" s="50" t="n"/>
      <c r="E426" s="45" t="n"/>
      <c r="F426" s="50" t="n"/>
      <c r="G426" s="47" t="n"/>
      <c r="H426" s="52" t="n"/>
      <c r="I426" s="50" t="n"/>
      <c r="J426" s="53">
        <f t="shared" si="1"/>
      </c>
      <c r="K426" s="49">
        <f t="shared" si="2"/>
      </c>
      <c r="L426" s="2">
        <f t="shared" si="3"/>
      </c>
    </row>
    <row r="427">
      <c r="A427" s="43">
        <f t="shared" si="0"/>
      </c>
      <c r="B427" s="44" t="n"/>
      <c r="C427" s="45" t="n"/>
      <c r="D427" s="50" t="n"/>
      <c r="E427" s="45" t="n"/>
      <c r="F427" s="50" t="n"/>
      <c r="G427" s="47" t="n"/>
      <c r="H427" s="52" t="n"/>
      <c r="I427" s="50" t="n"/>
      <c r="J427" s="53">
        <f t="shared" si="1"/>
      </c>
      <c r="K427" s="49">
        <f t="shared" si="2"/>
      </c>
      <c r="L427" s="2">
        <f t="shared" si="3"/>
      </c>
    </row>
    <row r="428">
      <c r="A428" s="43">
        <f t="shared" si="0"/>
      </c>
      <c r="B428" s="44" t="n"/>
      <c r="C428" s="45" t="n"/>
      <c r="D428" s="50" t="n"/>
      <c r="E428" s="45" t="n"/>
      <c r="F428" s="50" t="n"/>
      <c r="G428" s="47" t="n"/>
      <c r="H428" s="52" t="n"/>
      <c r="I428" s="50" t="n"/>
      <c r="J428" s="53">
        <f t="shared" si="1"/>
      </c>
      <c r="K428" s="49">
        <f t="shared" si="2"/>
      </c>
      <c r="L428" s="2">
        <f t="shared" si="3"/>
      </c>
    </row>
    <row r="429">
      <c r="A429" s="43">
        <f t="shared" si="0"/>
      </c>
      <c r="B429" s="44" t="n"/>
      <c r="C429" s="45" t="n"/>
      <c r="D429" s="50" t="n"/>
      <c r="E429" s="45" t="n"/>
      <c r="F429" s="50" t="n"/>
      <c r="G429" s="47" t="n"/>
      <c r="H429" s="52" t="n"/>
      <c r="I429" s="50" t="n"/>
      <c r="J429" s="53">
        <f t="shared" si="1"/>
      </c>
      <c r="K429" s="49">
        <f t="shared" si="2"/>
      </c>
      <c r="L429" s="2">
        <f t="shared" si="3"/>
      </c>
    </row>
    <row r="430">
      <c r="A430" s="43">
        <f t="shared" si="0"/>
      </c>
      <c r="B430" s="44" t="n"/>
      <c r="C430" s="45" t="n"/>
      <c r="D430" s="50" t="n"/>
      <c r="E430" s="45" t="n"/>
      <c r="F430" s="50" t="n"/>
      <c r="G430" s="47" t="n"/>
      <c r="H430" s="52" t="n"/>
      <c r="I430" s="50" t="n"/>
      <c r="J430" s="53">
        <f t="shared" si="1"/>
      </c>
      <c r="K430" s="49">
        <f t="shared" si="2"/>
      </c>
      <c r="L430" s="2">
        <f t="shared" si="3"/>
      </c>
    </row>
    <row r="431">
      <c r="A431" s="43">
        <f t="shared" si="0"/>
      </c>
      <c r="B431" s="44" t="n"/>
      <c r="C431" s="45" t="n"/>
      <c r="D431" s="50" t="n"/>
      <c r="E431" s="45" t="n"/>
      <c r="F431" s="50" t="n"/>
      <c r="G431" s="47" t="n"/>
      <c r="H431" s="52" t="n"/>
      <c r="I431" s="50" t="n"/>
      <c r="J431" s="53">
        <f t="shared" si="1"/>
      </c>
      <c r="K431" s="49">
        <f t="shared" si="2"/>
      </c>
      <c r="L431" s="2">
        <f t="shared" si="3"/>
      </c>
    </row>
    <row r="432">
      <c r="A432" s="43">
        <f t="shared" si="0"/>
      </c>
      <c r="B432" s="44" t="n"/>
      <c r="C432" s="45" t="n"/>
      <c r="D432" s="50" t="n"/>
      <c r="E432" s="45" t="n"/>
      <c r="F432" s="50" t="n"/>
      <c r="G432" s="47" t="n"/>
      <c r="H432" s="52" t="n"/>
      <c r="I432" s="50" t="n"/>
      <c r="J432" s="53">
        <f t="shared" si="1"/>
      </c>
      <c r="K432" s="49">
        <f t="shared" si="2"/>
      </c>
      <c r="L432" s="2">
        <f t="shared" si="3"/>
      </c>
    </row>
    <row r="433">
      <c r="A433" s="43">
        <f t="shared" si="0"/>
      </c>
      <c r="B433" s="44" t="n"/>
      <c r="C433" s="45" t="n"/>
      <c r="D433" s="50" t="n"/>
      <c r="E433" s="45" t="n"/>
      <c r="F433" s="50" t="n"/>
      <c r="G433" s="47" t="n"/>
      <c r="H433" s="52" t="n"/>
      <c r="I433" s="50" t="n"/>
      <c r="J433" s="53">
        <f t="shared" si="1"/>
      </c>
      <c r="K433" s="49">
        <f t="shared" si="2"/>
      </c>
      <c r="L433" s="2">
        <f t="shared" si="3"/>
      </c>
    </row>
    <row r="434">
      <c r="A434" s="43">
        <f t="shared" si="0"/>
      </c>
      <c r="B434" s="44" t="n"/>
      <c r="C434" s="45" t="n"/>
      <c r="D434" s="50" t="n"/>
      <c r="E434" s="45" t="n"/>
      <c r="F434" s="50" t="n"/>
      <c r="G434" s="47" t="n"/>
      <c r="H434" s="52" t="n"/>
      <c r="I434" s="50" t="n"/>
      <c r="J434" s="53">
        <f t="shared" si="1"/>
      </c>
      <c r="K434" s="49">
        <f t="shared" si="2"/>
      </c>
      <c r="L434" s="2">
        <f t="shared" si="3"/>
      </c>
    </row>
    <row r="435">
      <c r="A435" s="43">
        <f t="shared" si="0"/>
      </c>
      <c r="B435" s="44" t="n"/>
      <c r="C435" s="45" t="n"/>
      <c r="D435" s="50" t="n"/>
      <c r="E435" s="45" t="n"/>
      <c r="F435" s="50" t="n"/>
      <c r="G435" s="47" t="n"/>
      <c r="H435" s="52" t="n"/>
      <c r="I435" s="50" t="n"/>
      <c r="J435" s="53">
        <f t="shared" si="1"/>
      </c>
      <c r="K435" s="49">
        <f t="shared" si="2"/>
      </c>
      <c r="L435" s="2">
        <f t="shared" si="3"/>
      </c>
    </row>
    <row r="436">
      <c r="A436" s="43">
        <f t="shared" si="0"/>
      </c>
      <c r="B436" s="44" t="n"/>
      <c r="C436" s="45" t="n"/>
      <c r="D436" s="50" t="n"/>
      <c r="E436" s="45" t="n"/>
      <c r="F436" s="50" t="n"/>
      <c r="G436" s="47" t="n"/>
      <c r="H436" s="52" t="n"/>
      <c r="I436" s="50" t="n"/>
      <c r="J436" s="53">
        <f t="shared" si="1"/>
      </c>
      <c r="K436" s="49">
        <f t="shared" si="2"/>
      </c>
      <c r="L436" s="2">
        <f t="shared" si="3"/>
      </c>
    </row>
    <row r="437">
      <c r="A437" s="43">
        <f t="shared" si="0"/>
      </c>
      <c r="B437" s="44" t="n"/>
      <c r="C437" s="45" t="n"/>
      <c r="D437" s="50" t="n"/>
      <c r="E437" s="45" t="n"/>
      <c r="F437" s="50" t="n"/>
      <c r="G437" s="47" t="n"/>
      <c r="H437" s="52" t="n"/>
      <c r="I437" s="50" t="n"/>
      <c r="J437" s="53">
        <f t="shared" si="1"/>
      </c>
      <c r="K437" s="49">
        <f t="shared" si="2"/>
      </c>
      <c r="L437" s="2">
        <f t="shared" si="3"/>
      </c>
    </row>
    <row r="438">
      <c r="A438" s="43">
        <f t="shared" si="0"/>
      </c>
      <c r="B438" s="44" t="n"/>
      <c r="C438" s="45" t="n"/>
      <c r="D438" s="50" t="n"/>
      <c r="E438" s="45" t="n"/>
      <c r="F438" s="50" t="n"/>
      <c r="G438" s="47" t="n"/>
      <c r="H438" s="52" t="n"/>
      <c r="I438" s="50" t="n"/>
      <c r="J438" s="53">
        <f t="shared" si="1"/>
      </c>
      <c r="K438" s="49">
        <f t="shared" si="2"/>
      </c>
      <c r="L438" s="2">
        <f t="shared" si="3"/>
      </c>
    </row>
    <row r="439">
      <c r="A439" s="43">
        <f t="shared" si="0"/>
      </c>
      <c r="B439" s="44" t="n"/>
      <c r="C439" s="45" t="n"/>
      <c r="D439" s="50" t="n"/>
      <c r="E439" s="45" t="n"/>
      <c r="F439" s="50" t="n"/>
      <c r="G439" s="47" t="n"/>
      <c r="H439" s="52" t="n"/>
      <c r="I439" s="50" t="n"/>
      <c r="J439" s="53">
        <f t="shared" si="1"/>
      </c>
      <c r="K439" s="49">
        <f t="shared" si="2"/>
      </c>
      <c r="L439" s="2">
        <f t="shared" si="3"/>
      </c>
    </row>
    <row r="440">
      <c r="A440" s="43">
        <f t="shared" si="0"/>
      </c>
      <c r="B440" s="44" t="n"/>
      <c r="C440" s="45" t="n"/>
      <c r="D440" s="50" t="n"/>
      <c r="E440" s="45" t="n"/>
      <c r="F440" s="50" t="n"/>
      <c r="G440" s="47" t="n"/>
      <c r="H440" s="52" t="n"/>
      <c r="I440" s="50" t="n"/>
      <c r="J440" s="53">
        <f t="shared" si="1"/>
      </c>
      <c r="K440" s="49">
        <f t="shared" si="2"/>
      </c>
      <c r="L440" s="2">
        <f t="shared" si="3"/>
      </c>
    </row>
    <row r="441">
      <c r="A441" s="43">
        <f t="shared" si="0"/>
      </c>
      <c r="B441" s="44" t="n"/>
      <c r="C441" s="45" t="n"/>
      <c r="D441" s="50" t="n"/>
      <c r="E441" s="45" t="n"/>
      <c r="F441" s="50" t="n"/>
      <c r="G441" s="47" t="n"/>
      <c r="H441" s="52" t="n"/>
      <c r="I441" s="50" t="n"/>
      <c r="J441" s="53">
        <f t="shared" si="1"/>
      </c>
      <c r="K441" s="49">
        <f t="shared" si="2"/>
      </c>
      <c r="L441" s="2">
        <f t="shared" si="3"/>
      </c>
    </row>
    <row r="442">
      <c r="A442" s="43">
        <f t="shared" si="0"/>
      </c>
      <c r="B442" s="44" t="n"/>
      <c r="C442" s="45" t="n"/>
      <c r="D442" s="50" t="n"/>
      <c r="E442" s="45" t="n"/>
      <c r="F442" s="50" t="n"/>
      <c r="G442" s="47" t="n"/>
      <c r="H442" s="52" t="n"/>
      <c r="I442" s="50" t="n"/>
      <c r="J442" s="53">
        <f t="shared" si="1"/>
      </c>
      <c r="K442" s="49">
        <f t="shared" si="2"/>
      </c>
      <c r="L442" s="2">
        <f t="shared" si="3"/>
      </c>
    </row>
    <row r="443">
      <c r="A443" s="43">
        <f t="shared" si="0"/>
      </c>
      <c r="B443" s="44" t="n"/>
      <c r="C443" s="45" t="n"/>
      <c r="D443" s="50" t="n"/>
      <c r="E443" s="45" t="n"/>
      <c r="F443" s="50" t="n"/>
      <c r="G443" s="47" t="n"/>
      <c r="H443" s="52" t="n"/>
      <c r="I443" s="50" t="n"/>
      <c r="J443" s="53">
        <f t="shared" si="1"/>
      </c>
      <c r="K443" s="49">
        <f t="shared" si="2"/>
      </c>
      <c r="L443" s="2">
        <f t="shared" si="3"/>
      </c>
    </row>
    <row r="444">
      <c r="A444" s="43">
        <f t="shared" si="0"/>
      </c>
      <c r="B444" s="44" t="n"/>
      <c r="C444" s="45" t="n"/>
      <c r="D444" s="50" t="n"/>
      <c r="E444" s="45" t="n"/>
      <c r="F444" s="50" t="n"/>
      <c r="G444" s="47" t="n"/>
      <c r="H444" s="52" t="n"/>
      <c r="I444" s="50" t="n"/>
      <c r="J444" s="53">
        <f t="shared" si="1"/>
      </c>
      <c r="K444" s="49">
        <f t="shared" si="2"/>
      </c>
      <c r="L444" s="2">
        <f t="shared" si="3"/>
      </c>
    </row>
    <row r="445">
      <c r="A445" s="43">
        <f t="shared" si="0"/>
      </c>
      <c r="B445" s="44" t="n"/>
      <c r="C445" s="45" t="n"/>
      <c r="D445" s="50" t="n"/>
      <c r="E445" s="45" t="n"/>
      <c r="F445" s="50" t="n"/>
      <c r="G445" s="47" t="n"/>
      <c r="H445" s="52" t="n"/>
      <c r="I445" s="50" t="n"/>
      <c r="J445" s="53">
        <f t="shared" si="1"/>
      </c>
      <c r="K445" s="49">
        <f t="shared" si="2"/>
      </c>
      <c r="L445" s="2">
        <f t="shared" si="3"/>
      </c>
    </row>
    <row r="446">
      <c r="A446" s="43">
        <f t="shared" si="0"/>
      </c>
      <c r="B446" s="44" t="n"/>
      <c r="C446" s="45" t="n"/>
      <c r="D446" s="50" t="n"/>
      <c r="E446" s="45" t="n"/>
      <c r="F446" s="50" t="n"/>
      <c r="G446" s="47" t="n"/>
      <c r="H446" s="52" t="n"/>
      <c r="I446" s="50" t="n"/>
      <c r="J446" s="53">
        <f t="shared" si="1"/>
      </c>
      <c r="K446" s="49">
        <f t="shared" si="2"/>
      </c>
      <c r="L446" s="2">
        <f t="shared" si="3"/>
      </c>
    </row>
    <row r="447">
      <c r="A447" s="43">
        <f t="shared" si="0"/>
      </c>
      <c r="B447" s="44" t="n"/>
      <c r="C447" s="45" t="n"/>
      <c r="D447" s="50" t="n"/>
      <c r="E447" s="45" t="n"/>
      <c r="F447" s="50" t="n"/>
      <c r="G447" s="47" t="n"/>
      <c r="H447" s="52" t="n"/>
      <c r="I447" s="50" t="n"/>
      <c r="J447" s="53">
        <f t="shared" si="1"/>
      </c>
      <c r="K447" s="49">
        <f t="shared" si="2"/>
      </c>
      <c r="L447" s="2">
        <f t="shared" si="3"/>
      </c>
    </row>
    <row r="448">
      <c r="A448" s="43">
        <f t="shared" si="0"/>
      </c>
      <c r="B448" s="44" t="n"/>
      <c r="C448" s="45" t="n"/>
      <c r="D448" s="50" t="n"/>
      <c r="E448" s="45" t="n"/>
      <c r="F448" s="50" t="n"/>
      <c r="G448" s="47" t="n"/>
      <c r="H448" s="52" t="n"/>
      <c r="I448" s="50" t="n"/>
      <c r="J448" s="53">
        <f t="shared" si="1"/>
      </c>
      <c r="K448" s="49">
        <f t="shared" si="2"/>
      </c>
      <c r="L448" s="2">
        <f t="shared" si="3"/>
      </c>
    </row>
    <row r="449">
      <c r="A449" s="43">
        <f t="shared" si="0"/>
      </c>
      <c r="B449" s="44" t="n"/>
      <c r="C449" s="45" t="n"/>
      <c r="D449" s="50" t="n"/>
      <c r="E449" s="45" t="n"/>
      <c r="F449" s="50" t="n"/>
      <c r="G449" s="47" t="n"/>
      <c r="H449" s="52" t="n"/>
      <c r="I449" s="50" t="n"/>
      <c r="J449" s="53">
        <f t="shared" si="1"/>
      </c>
      <c r="K449" s="49">
        <f t="shared" si="2"/>
      </c>
      <c r="L449" s="2">
        <f t="shared" si="3"/>
      </c>
    </row>
    <row r="450">
      <c r="A450" s="43">
        <f t="shared" si="0"/>
      </c>
      <c r="B450" s="44" t="n"/>
      <c r="C450" s="45" t="n"/>
      <c r="D450" s="50" t="n"/>
      <c r="E450" s="45" t="n"/>
      <c r="F450" s="50" t="n"/>
      <c r="G450" s="47" t="n"/>
      <c r="H450" s="52" t="n"/>
      <c r="I450" s="50" t="n"/>
      <c r="J450" s="53">
        <f t="shared" si="1"/>
      </c>
      <c r="K450" s="49">
        <f t="shared" si="2"/>
      </c>
      <c r="L450" s="2">
        <f t="shared" si="3"/>
      </c>
    </row>
    <row r="451">
      <c r="A451" s="43">
        <f t="shared" si="0"/>
      </c>
      <c r="B451" s="44" t="n"/>
      <c r="C451" s="45" t="n"/>
      <c r="D451" s="50" t="n"/>
      <c r="E451" s="45" t="n"/>
      <c r="F451" s="50" t="n"/>
      <c r="G451" s="47" t="n"/>
      <c r="H451" s="52" t="n"/>
      <c r="I451" s="50" t="n"/>
      <c r="J451" s="53">
        <f t="shared" si="1"/>
      </c>
      <c r="K451" s="49">
        <f t="shared" si="2"/>
      </c>
      <c r="L451" s="2">
        <f t="shared" si="3"/>
      </c>
    </row>
    <row r="452">
      <c r="A452" s="43">
        <f t="shared" si="0"/>
      </c>
      <c r="B452" s="44" t="n"/>
      <c r="C452" s="45" t="n"/>
      <c r="D452" s="50" t="n"/>
      <c r="E452" s="45" t="n"/>
      <c r="F452" s="50" t="n"/>
      <c r="G452" s="47" t="n"/>
      <c r="H452" s="52" t="n"/>
      <c r="I452" s="50" t="n"/>
      <c r="J452" s="53">
        <f t="shared" si="1"/>
      </c>
      <c r="K452" s="49">
        <f t="shared" si="2"/>
      </c>
      <c r="L452" s="2">
        <f t="shared" si="3"/>
      </c>
    </row>
    <row r="453">
      <c r="A453" s="43">
        <f t="shared" si="0"/>
      </c>
      <c r="B453" s="44" t="n"/>
      <c r="C453" s="45" t="n"/>
      <c r="D453" s="50" t="n"/>
      <c r="E453" s="45" t="n"/>
      <c r="F453" s="50" t="n"/>
      <c r="G453" s="47" t="n"/>
      <c r="H453" s="52" t="n"/>
      <c r="I453" s="50" t="n"/>
      <c r="J453" s="53">
        <f t="shared" si="1"/>
      </c>
      <c r="K453" s="49">
        <f t="shared" si="2"/>
      </c>
      <c r="L453" s="2">
        <f t="shared" si="3"/>
      </c>
    </row>
    <row r="454">
      <c r="A454" s="43">
        <f t="shared" si="0"/>
      </c>
      <c r="B454" s="44" t="n"/>
      <c r="C454" s="45" t="n"/>
      <c r="D454" s="50" t="n"/>
      <c r="E454" s="45" t="n"/>
      <c r="F454" s="50" t="n"/>
      <c r="G454" s="47" t="n"/>
      <c r="H454" s="52" t="n"/>
      <c r="I454" s="50" t="n"/>
      <c r="J454" s="53">
        <f t="shared" si="1"/>
      </c>
      <c r="K454" s="49">
        <f t="shared" si="2"/>
      </c>
      <c r="L454" s="2">
        <f t="shared" si="3"/>
      </c>
    </row>
    <row r="455">
      <c r="A455" s="43">
        <f t="shared" si="0"/>
      </c>
      <c r="B455" s="44" t="n"/>
      <c r="C455" s="45" t="n"/>
      <c r="D455" s="50" t="n"/>
      <c r="E455" s="45" t="n"/>
      <c r="F455" s="50" t="n"/>
      <c r="G455" s="47" t="n"/>
      <c r="H455" s="52" t="n"/>
      <c r="I455" s="50" t="n"/>
      <c r="J455" s="53">
        <f t="shared" si="1"/>
      </c>
      <c r="K455" s="49">
        <f t="shared" si="2"/>
      </c>
      <c r="L455" s="2">
        <f t="shared" si="3"/>
      </c>
    </row>
    <row r="456">
      <c r="A456" s="43">
        <f t="shared" si="0"/>
      </c>
      <c r="B456" s="44" t="n"/>
      <c r="C456" s="45" t="n"/>
      <c r="D456" s="50" t="n"/>
      <c r="E456" s="45" t="n"/>
      <c r="F456" s="50" t="n"/>
      <c r="G456" s="47" t="n"/>
      <c r="H456" s="52" t="n"/>
      <c r="I456" s="50" t="n"/>
      <c r="J456" s="53">
        <f t="shared" si="1"/>
      </c>
      <c r="K456" s="49">
        <f t="shared" si="2"/>
      </c>
      <c r="L456" s="2">
        <f t="shared" si="3"/>
      </c>
    </row>
    <row r="457">
      <c r="A457" s="43">
        <f t="shared" si="0"/>
      </c>
      <c r="B457" s="44" t="n"/>
      <c r="C457" s="45" t="n"/>
      <c r="D457" s="50" t="n"/>
      <c r="E457" s="45" t="n"/>
      <c r="F457" s="50" t="n"/>
      <c r="G457" s="47" t="n"/>
      <c r="H457" s="52" t="n"/>
      <c r="I457" s="50" t="n"/>
      <c r="J457" s="53">
        <f t="shared" si="1"/>
      </c>
      <c r="K457" s="49">
        <f t="shared" si="2"/>
      </c>
      <c r="L457" s="2">
        <f t="shared" si="3"/>
      </c>
    </row>
    <row r="458">
      <c r="A458" s="43">
        <f t="shared" si="0"/>
      </c>
      <c r="B458" s="44" t="n"/>
      <c r="C458" s="45" t="n"/>
      <c r="D458" s="50" t="n"/>
      <c r="E458" s="45" t="n"/>
      <c r="F458" s="50" t="n"/>
      <c r="G458" s="47" t="n"/>
      <c r="H458" s="52" t="n"/>
      <c r="I458" s="50" t="n"/>
      <c r="J458" s="53">
        <f t="shared" si="1"/>
      </c>
      <c r="K458" s="49">
        <f t="shared" si="2"/>
      </c>
      <c r="L458" s="2">
        <f t="shared" si="3"/>
      </c>
    </row>
    <row r="459">
      <c r="A459" s="43">
        <f t="shared" si="0"/>
      </c>
      <c r="B459" s="44" t="n"/>
      <c r="C459" s="45" t="n"/>
      <c r="D459" s="50" t="n"/>
      <c r="E459" s="45" t="n"/>
      <c r="F459" s="50" t="n"/>
      <c r="G459" s="47" t="n"/>
      <c r="H459" s="52" t="n"/>
      <c r="I459" s="50" t="n"/>
      <c r="J459" s="53">
        <f t="shared" si="1"/>
      </c>
      <c r="K459" s="49">
        <f t="shared" si="2"/>
      </c>
      <c r="L459" s="2">
        <f t="shared" si="3"/>
      </c>
    </row>
    <row r="460">
      <c r="A460" s="43">
        <f t="shared" si="0"/>
      </c>
      <c r="B460" s="44" t="n"/>
      <c r="C460" s="45" t="n"/>
      <c r="D460" s="50" t="n"/>
      <c r="E460" s="45" t="n"/>
      <c r="F460" s="50" t="n"/>
      <c r="G460" s="47" t="n"/>
      <c r="H460" s="52" t="n"/>
      <c r="I460" s="50" t="n"/>
      <c r="J460" s="53">
        <f t="shared" si="1"/>
      </c>
      <c r="K460" s="49">
        <f t="shared" si="2"/>
      </c>
      <c r="L460" s="2">
        <f t="shared" si="3"/>
      </c>
    </row>
    <row r="461">
      <c r="A461" s="43">
        <f t="shared" si="0"/>
      </c>
      <c r="B461" s="44" t="n"/>
      <c r="C461" s="45" t="n"/>
      <c r="D461" s="50" t="n"/>
      <c r="E461" s="45" t="n"/>
      <c r="F461" s="50" t="n"/>
      <c r="G461" s="47" t="n"/>
      <c r="H461" s="52" t="n"/>
      <c r="I461" s="50" t="n"/>
      <c r="J461" s="53">
        <f t="shared" si="1"/>
      </c>
      <c r="K461" s="49">
        <f t="shared" si="2"/>
      </c>
      <c r="L461" s="2">
        <f t="shared" si="3"/>
      </c>
    </row>
    <row r="462">
      <c r="A462" s="43">
        <f t="shared" si="0"/>
      </c>
      <c r="B462" s="44" t="n"/>
      <c r="C462" s="45" t="n"/>
      <c r="D462" s="50" t="n"/>
      <c r="E462" s="45" t="n"/>
      <c r="F462" s="50" t="n"/>
      <c r="G462" s="47" t="n"/>
      <c r="H462" s="52" t="n"/>
      <c r="I462" s="50" t="n"/>
      <c r="J462" s="53">
        <f t="shared" si="1"/>
      </c>
      <c r="K462" s="49">
        <f t="shared" si="2"/>
      </c>
      <c r="L462" s="2">
        <f t="shared" si="3"/>
      </c>
    </row>
    <row r="463">
      <c r="A463" s="43">
        <f t="shared" si="0"/>
      </c>
      <c r="B463" s="44" t="n"/>
      <c r="C463" s="45" t="n"/>
      <c r="D463" s="50" t="n"/>
      <c r="E463" s="45" t="n"/>
      <c r="F463" s="50" t="n"/>
      <c r="G463" s="47" t="n"/>
      <c r="H463" s="52" t="n"/>
      <c r="I463" s="50" t="n"/>
      <c r="J463" s="53">
        <f t="shared" si="1"/>
      </c>
      <c r="K463" s="49">
        <f t="shared" si="2"/>
      </c>
      <c r="L463" s="2">
        <f t="shared" si="3"/>
      </c>
    </row>
    <row r="464">
      <c r="A464" s="43">
        <f t="shared" si="0"/>
      </c>
      <c r="B464" s="44" t="n"/>
      <c r="C464" s="45" t="n"/>
      <c r="D464" s="50" t="n"/>
      <c r="E464" s="45" t="n"/>
      <c r="F464" s="50" t="n"/>
      <c r="G464" s="47" t="n"/>
      <c r="H464" s="52" t="n"/>
      <c r="I464" s="50" t="n"/>
      <c r="J464" s="53">
        <f t="shared" si="1"/>
      </c>
      <c r="K464" s="49">
        <f t="shared" si="2"/>
      </c>
      <c r="L464" s="2">
        <f t="shared" si="3"/>
      </c>
    </row>
    <row r="465">
      <c r="A465" s="43">
        <f t="shared" si="0"/>
      </c>
      <c r="B465" s="44" t="n"/>
      <c r="C465" s="45" t="n"/>
      <c r="D465" s="50" t="n"/>
      <c r="E465" s="45" t="n"/>
      <c r="F465" s="50" t="n"/>
      <c r="G465" s="47" t="n"/>
      <c r="H465" s="52" t="n"/>
      <c r="I465" s="50" t="n"/>
      <c r="J465" s="53">
        <f t="shared" si="1"/>
      </c>
      <c r="K465" s="49">
        <f t="shared" si="2"/>
      </c>
      <c r="L465" s="2">
        <f t="shared" si="3"/>
      </c>
    </row>
    <row r="466">
      <c r="A466" s="43">
        <f t="shared" si="0"/>
      </c>
      <c r="B466" s="44" t="n"/>
      <c r="C466" s="45" t="n"/>
      <c r="D466" s="50" t="n"/>
      <c r="E466" s="45" t="n"/>
      <c r="F466" s="50" t="n"/>
      <c r="G466" s="47" t="n"/>
      <c r="H466" s="52" t="n"/>
      <c r="I466" s="50" t="n"/>
      <c r="J466" s="53">
        <f t="shared" si="1"/>
      </c>
      <c r="K466" s="49">
        <f t="shared" si="2"/>
      </c>
      <c r="L466" s="2">
        <f t="shared" si="3"/>
      </c>
    </row>
    <row r="467">
      <c r="A467" s="43">
        <f t="shared" si="0"/>
      </c>
      <c r="B467" s="44" t="n"/>
      <c r="C467" s="45" t="n"/>
      <c r="D467" s="50" t="n"/>
      <c r="E467" s="45" t="n"/>
      <c r="F467" s="50" t="n"/>
      <c r="G467" s="47" t="n"/>
      <c r="H467" s="52" t="n"/>
      <c r="I467" s="50" t="n"/>
      <c r="J467" s="53">
        <f t="shared" si="1"/>
      </c>
      <c r="K467" s="49">
        <f t="shared" si="2"/>
      </c>
      <c r="L467" s="2">
        <f t="shared" si="3"/>
      </c>
    </row>
    <row r="468">
      <c r="A468" s="43">
        <f t="shared" si="0"/>
      </c>
      <c r="B468" s="44" t="n"/>
      <c r="C468" s="45" t="n"/>
      <c r="D468" s="50" t="n"/>
      <c r="E468" s="45" t="n"/>
      <c r="F468" s="50" t="n"/>
      <c r="G468" s="47" t="n"/>
      <c r="H468" s="52" t="n"/>
      <c r="I468" s="50" t="n"/>
      <c r="J468" s="53">
        <f t="shared" si="1"/>
      </c>
      <c r="K468" s="49">
        <f t="shared" si="2"/>
      </c>
      <c r="L468" s="2">
        <f t="shared" si="3"/>
      </c>
    </row>
    <row r="469">
      <c r="A469" s="43">
        <f t="shared" si="0"/>
      </c>
      <c r="B469" s="44" t="n"/>
      <c r="C469" s="45" t="n"/>
      <c r="D469" s="50" t="n"/>
      <c r="E469" s="45" t="n"/>
      <c r="F469" s="50" t="n"/>
      <c r="G469" s="47" t="n"/>
      <c r="H469" s="52" t="n"/>
      <c r="I469" s="50" t="n"/>
      <c r="J469" s="53">
        <f t="shared" si="1"/>
      </c>
      <c r="K469" s="49">
        <f t="shared" si="2"/>
      </c>
      <c r="L469" s="2">
        <f t="shared" si="3"/>
      </c>
    </row>
    <row r="470">
      <c r="A470" s="43">
        <f t="shared" si="0"/>
      </c>
      <c r="B470" s="44" t="n"/>
      <c r="C470" s="45" t="n"/>
      <c r="D470" s="50" t="n"/>
      <c r="E470" s="45" t="n"/>
      <c r="F470" s="50" t="n"/>
      <c r="G470" s="47" t="n"/>
      <c r="H470" s="52" t="n"/>
      <c r="I470" s="50" t="n"/>
      <c r="J470" s="53">
        <f t="shared" si="1"/>
      </c>
      <c r="K470" s="49">
        <f t="shared" si="2"/>
      </c>
      <c r="L470" s="2">
        <f t="shared" si="3"/>
      </c>
    </row>
    <row r="471">
      <c r="A471" s="43">
        <f t="shared" si="0"/>
      </c>
      <c r="B471" s="44" t="n"/>
      <c r="C471" s="45" t="n"/>
      <c r="D471" s="50" t="n"/>
      <c r="E471" s="45" t="n"/>
      <c r="F471" s="50" t="n"/>
      <c r="G471" s="47" t="n"/>
      <c r="H471" s="52" t="n"/>
      <c r="I471" s="50" t="n"/>
      <c r="J471" s="53">
        <f t="shared" si="1"/>
      </c>
      <c r="K471" s="49">
        <f t="shared" si="2"/>
      </c>
      <c r="L471" s="2">
        <f t="shared" si="3"/>
      </c>
    </row>
    <row r="472">
      <c r="A472" s="43">
        <f t="shared" si="0"/>
      </c>
      <c r="B472" s="44" t="n"/>
      <c r="C472" s="45" t="n"/>
      <c r="D472" s="50" t="n"/>
      <c r="E472" s="45" t="n"/>
      <c r="F472" s="50" t="n"/>
      <c r="G472" s="47" t="n"/>
      <c r="H472" s="52" t="n"/>
      <c r="I472" s="50" t="n"/>
      <c r="J472" s="53">
        <f t="shared" si="1"/>
      </c>
      <c r="K472" s="49">
        <f t="shared" si="2"/>
      </c>
      <c r="L472" s="2">
        <f t="shared" si="3"/>
      </c>
    </row>
    <row r="473">
      <c r="A473" s="43">
        <f t="shared" si="0"/>
      </c>
      <c r="B473" s="44" t="n"/>
      <c r="C473" s="45" t="n"/>
      <c r="D473" s="50" t="n"/>
      <c r="E473" s="45" t="n"/>
      <c r="F473" s="50" t="n"/>
      <c r="G473" s="47" t="n"/>
      <c r="H473" s="52" t="n"/>
      <c r="I473" s="50" t="n"/>
      <c r="J473" s="53">
        <f t="shared" si="1"/>
      </c>
      <c r="K473" s="49">
        <f t="shared" si="2"/>
      </c>
      <c r="L473" s="2">
        <f t="shared" si="3"/>
      </c>
    </row>
    <row r="474">
      <c r="A474" s="43">
        <f t="shared" si="0"/>
      </c>
      <c r="B474" s="44" t="n"/>
      <c r="C474" s="45" t="n"/>
      <c r="D474" s="50" t="n"/>
      <c r="E474" s="45" t="n"/>
      <c r="F474" s="50" t="n"/>
      <c r="G474" s="47" t="n"/>
      <c r="H474" s="52" t="n"/>
      <c r="I474" s="50" t="n"/>
      <c r="J474" s="53">
        <f t="shared" si="1"/>
      </c>
      <c r="K474" s="49">
        <f t="shared" si="2"/>
      </c>
      <c r="L474" s="2">
        <f t="shared" si="3"/>
      </c>
    </row>
    <row r="475">
      <c r="A475" s="43">
        <f t="shared" si="0"/>
      </c>
      <c r="B475" s="44" t="n"/>
      <c r="C475" s="45" t="n"/>
      <c r="D475" s="50" t="n"/>
      <c r="E475" s="45" t="n"/>
      <c r="F475" s="50" t="n"/>
      <c r="G475" s="47" t="n"/>
      <c r="H475" s="52" t="n"/>
      <c r="I475" s="50" t="n"/>
      <c r="J475" s="53">
        <f t="shared" si="1"/>
      </c>
      <c r="K475" s="49">
        <f t="shared" si="2"/>
      </c>
      <c r="L475" s="2">
        <f t="shared" si="3"/>
      </c>
    </row>
    <row r="476">
      <c r="A476" s="43">
        <f t="shared" si="0"/>
      </c>
      <c r="B476" s="44" t="n"/>
      <c r="C476" s="45" t="n"/>
      <c r="D476" s="50" t="n"/>
      <c r="E476" s="45" t="n"/>
      <c r="F476" s="50" t="n"/>
      <c r="G476" s="47" t="n"/>
      <c r="H476" s="52" t="n"/>
      <c r="I476" s="50" t="n"/>
      <c r="J476" s="53">
        <f t="shared" si="1"/>
      </c>
      <c r="K476" s="49">
        <f t="shared" si="2"/>
      </c>
      <c r="L476" s="2">
        <f t="shared" si="3"/>
      </c>
    </row>
    <row r="477">
      <c r="A477" s="43">
        <f t="shared" si="0"/>
      </c>
      <c r="B477" s="44" t="n"/>
      <c r="C477" s="45" t="n"/>
      <c r="D477" s="50" t="n"/>
      <c r="E477" s="45" t="n"/>
      <c r="F477" s="50" t="n"/>
      <c r="G477" s="47" t="n"/>
      <c r="H477" s="52" t="n"/>
      <c r="I477" s="50" t="n"/>
      <c r="J477" s="53">
        <f t="shared" si="1"/>
      </c>
      <c r="K477" s="49">
        <f t="shared" si="2"/>
      </c>
      <c r="L477" s="2">
        <f t="shared" si="3"/>
      </c>
    </row>
    <row r="478">
      <c r="A478" s="43">
        <f t="shared" si="0"/>
      </c>
      <c r="B478" s="44" t="n"/>
      <c r="C478" s="45" t="n"/>
      <c r="D478" s="50" t="n"/>
      <c r="E478" s="45" t="n"/>
      <c r="F478" s="50" t="n"/>
      <c r="G478" s="47" t="n"/>
      <c r="H478" s="52" t="n"/>
      <c r="I478" s="50" t="n"/>
      <c r="J478" s="53">
        <f t="shared" si="1"/>
      </c>
      <c r="K478" s="49">
        <f t="shared" si="2"/>
      </c>
      <c r="L478" s="2">
        <f t="shared" si="3"/>
      </c>
    </row>
    <row r="479">
      <c r="A479" s="43">
        <f t="shared" si="0"/>
      </c>
      <c r="B479" s="44" t="n"/>
      <c r="C479" s="45" t="n"/>
      <c r="D479" s="50" t="n"/>
      <c r="E479" s="45" t="n"/>
      <c r="F479" s="50" t="n"/>
      <c r="G479" s="47" t="n"/>
      <c r="H479" s="52" t="n"/>
      <c r="I479" s="50" t="n"/>
      <c r="J479" s="53">
        <f t="shared" si="1"/>
      </c>
      <c r="K479" s="49">
        <f t="shared" si="2"/>
      </c>
      <c r="L479" s="2">
        <f t="shared" si="3"/>
      </c>
    </row>
    <row r="480">
      <c r="A480" s="43">
        <f t="shared" si="0"/>
      </c>
      <c r="B480" s="44" t="n"/>
      <c r="C480" s="45" t="n"/>
      <c r="D480" s="50" t="n"/>
      <c r="E480" s="45" t="n"/>
      <c r="F480" s="50" t="n"/>
      <c r="G480" s="47" t="n"/>
      <c r="H480" s="52" t="n"/>
      <c r="I480" s="50" t="n"/>
      <c r="J480" s="53">
        <f t="shared" si="1"/>
      </c>
      <c r="K480" s="49">
        <f t="shared" si="2"/>
      </c>
      <c r="L480" s="2">
        <f t="shared" si="3"/>
      </c>
    </row>
    <row r="481">
      <c r="A481" s="43">
        <f t="shared" si="0"/>
      </c>
      <c r="B481" s="44" t="n"/>
      <c r="C481" s="45" t="n"/>
      <c r="D481" s="50" t="n"/>
      <c r="E481" s="45" t="n"/>
      <c r="F481" s="50" t="n"/>
      <c r="G481" s="47" t="n"/>
      <c r="H481" s="52" t="n"/>
      <c r="I481" s="50" t="n"/>
      <c r="J481" s="53">
        <f t="shared" si="1"/>
      </c>
      <c r="K481" s="49">
        <f t="shared" si="2"/>
      </c>
      <c r="L481" s="2">
        <f t="shared" si="3"/>
      </c>
    </row>
    <row r="482">
      <c r="A482" s="43">
        <f t="shared" si="0"/>
      </c>
      <c r="B482" s="44" t="n"/>
      <c r="C482" s="45" t="n"/>
      <c r="D482" s="50" t="n"/>
      <c r="E482" s="45" t="n"/>
      <c r="F482" s="50" t="n"/>
      <c r="G482" s="47" t="n"/>
      <c r="H482" s="52" t="n"/>
      <c r="I482" s="50" t="n"/>
      <c r="J482" s="53">
        <f t="shared" si="1"/>
      </c>
      <c r="K482" s="49">
        <f t="shared" si="2"/>
      </c>
      <c r="L482" s="2">
        <f t="shared" si="3"/>
      </c>
    </row>
    <row r="483">
      <c r="A483" s="43">
        <f t="shared" si="0"/>
      </c>
      <c r="B483" s="44" t="n"/>
      <c r="C483" s="45" t="n"/>
      <c r="D483" s="50" t="n"/>
      <c r="E483" s="45" t="n"/>
      <c r="F483" s="50" t="n"/>
      <c r="G483" s="47" t="n"/>
      <c r="H483" s="52" t="n"/>
      <c r="I483" s="50" t="n"/>
      <c r="J483" s="53">
        <f t="shared" si="1"/>
      </c>
      <c r="K483" s="49">
        <f t="shared" si="2"/>
      </c>
      <c r="L483" s="2">
        <f t="shared" si="3"/>
      </c>
    </row>
    <row r="484">
      <c r="A484" s="43">
        <f t="shared" si="0"/>
      </c>
      <c r="B484" s="44" t="n"/>
      <c r="C484" s="45" t="n"/>
      <c r="D484" s="50" t="n"/>
      <c r="E484" s="45" t="n"/>
      <c r="F484" s="50" t="n"/>
      <c r="G484" s="47" t="n"/>
      <c r="H484" s="52" t="n"/>
      <c r="I484" s="50" t="n"/>
      <c r="J484" s="53">
        <f t="shared" si="1"/>
      </c>
      <c r="K484" s="49">
        <f t="shared" si="2"/>
      </c>
      <c r="L484" s="2">
        <f t="shared" si="3"/>
      </c>
    </row>
    <row r="485">
      <c r="A485" s="43">
        <f t="shared" si="0"/>
      </c>
      <c r="B485" s="44" t="n"/>
      <c r="C485" s="45" t="n"/>
      <c r="D485" s="50" t="n"/>
      <c r="E485" s="45" t="n"/>
      <c r="F485" s="50" t="n"/>
      <c r="G485" s="47" t="n"/>
      <c r="H485" s="52" t="n"/>
      <c r="I485" s="50" t="n"/>
      <c r="J485" s="53">
        <f t="shared" si="1"/>
      </c>
      <c r="K485" s="49">
        <f t="shared" si="2"/>
      </c>
      <c r="L485" s="2">
        <f t="shared" si="3"/>
      </c>
    </row>
    <row r="486">
      <c r="A486" s="43">
        <f t="shared" si="0"/>
      </c>
      <c r="B486" s="44" t="n"/>
      <c r="C486" s="45" t="n"/>
      <c r="D486" s="50" t="n"/>
      <c r="E486" s="45" t="n"/>
      <c r="F486" s="50" t="n"/>
      <c r="G486" s="47" t="n"/>
      <c r="H486" s="52" t="n"/>
      <c r="I486" s="50" t="n"/>
      <c r="J486" s="53">
        <f t="shared" si="1"/>
      </c>
      <c r="K486" s="49">
        <f t="shared" si="2"/>
      </c>
      <c r="L486" s="2">
        <f t="shared" si="3"/>
      </c>
    </row>
    <row r="487">
      <c r="A487" s="43">
        <f t="shared" si="0"/>
      </c>
      <c r="B487" s="44" t="n"/>
      <c r="C487" s="45" t="n"/>
      <c r="D487" s="50" t="n"/>
      <c r="E487" s="45" t="n"/>
      <c r="F487" s="50" t="n"/>
      <c r="G487" s="47" t="n"/>
      <c r="H487" s="52" t="n"/>
      <c r="I487" s="50" t="n"/>
      <c r="J487" s="53">
        <f t="shared" si="1"/>
      </c>
      <c r="K487" s="49">
        <f t="shared" si="2"/>
      </c>
      <c r="L487" s="2">
        <f t="shared" si="3"/>
      </c>
    </row>
    <row r="488">
      <c r="A488" s="43">
        <f t="shared" si="0"/>
      </c>
      <c r="B488" s="44" t="n"/>
      <c r="C488" s="45" t="n"/>
      <c r="D488" s="50" t="n"/>
      <c r="E488" s="45" t="n"/>
      <c r="F488" s="50" t="n"/>
      <c r="G488" s="47" t="n"/>
      <c r="H488" s="52" t="n"/>
      <c r="I488" s="50" t="n"/>
      <c r="J488" s="53">
        <f t="shared" si="1"/>
      </c>
      <c r="K488" s="49">
        <f t="shared" si="2"/>
      </c>
      <c r="L488" s="2">
        <f t="shared" si="3"/>
      </c>
    </row>
    <row r="489">
      <c r="A489" s="43">
        <f t="shared" si="0"/>
      </c>
      <c r="B489" s="44" t="n"/>
      <c r="C489" s="45" t="n"/>
      <c r="D489" s="50" t="n"/>
      <c r="E489" s="45" t="n"/>
      <c r="F489" s="50" t="n"/>
      <c r="G489" s="47" t="n"/>
      <c r="H489" s="52" t="n"/>
      <c r="I489" s="50" t="n"/>
      <c r="J489" s="53">
        <f t="shared" si="1"/>
      </c>
      <c r="K489" s="49">
        <f t="shared" si="2"/>
      </c>
      <c r="L489" s="2">
        <f t="shared" si="3"/>
      </c>
    </row>
    <row r="490">
      <c r="A490" s="43">
        <f t="shared" si="0"/>
      </c>
      <c r="B490" s="44" t="n"/>
      <c r="C490" s="45" t="n"/>
      <c r="D490" s="50" t="n"/>
      <c r="E490" s="45" t="n"/>
      <c r="F490" s="50" t="n"/>
      <c r="G490" s="47" t="n"/>
      <c r="H490" s="52" t="n"/>
      <c r="I490" s="50" t="n"/>
      <c r="J490" s="53">
        <f t="shared" si="1"/>
      </c>
      <c r="K490" s="49">
        <f t="shared" si="2"/>
      </c>
      <c r="L490" s="2">
        <f t="shared" si="3"/>
      </c>
    </row>
    <row r="491">
      <c r="A491" s="43">
        <f t="shared" si="0"/>
      </c>
      <c r="B491" s="44" t="n"/>
      <c r="C491" s="45" t="n"/>
      <c r="D491" s="50" t="n"/>
      <c r="E491" s="45" t="n"/>
      <c r="F491" s="50" t="n"/>
      <c r="G491" s="47" t="n"/>
      <c r="H491" s="52" t="n"/>
      <c r="I491" s="50" t="n"/>
      <c r="J491" s="53">
        <f t="shared" si="1"/>
      </c>
      <c r="K491" s="49">
        <f t="shared" si="2"/>
      </c>
      <c r="L491" s="2">
        <f t="shared" si="3"/>
      </c>
    </row>
    <row r="492">
      <c r="A492" s="43">
        <f t="shared" si="0"/>
      </c>
      <c r="B492" s="44" t="n"/>
      <c r="C492" s="45" t="n"/>
      <c r="D492" s="50" t="n"/>
      <c r="E492" s="45" t="n"/>
      <c r="F492" s="50" t="n"/>
      <c r="G492" s="47" t="n"/>
      <c r="H492" s="52" t="n"/>
      <c r="I492" s="50" t="n"/>
      <c r="J492" s="53">
        <f t="shared" si="1"/>
      </c>
      <c r="K492" s="49">
        <f t="shared" si="2"/>
      </c>
      <c r="L492" s="2">
        <f t="shared" si="3"/>
      </c>
    </row>
    <row r="493">
      <c r="A493" s="43">
        <f t="shared" si="0"/>
      </c>
      <c r="B493" s="44" t="n"/>
      <c r="C493" s="45" t="n"/>
      <c r="D493" s="50" t="n"/>
      <c r="E493" s="45" t="n"/>
      <c r="F493" s="50" t="n"/>
      <c r="G493" s="47" t="n"/>
      <c r="H493" s="52" t="n"/>
      <c r="I493" s="50" t="n"/>
      <c r="J493" s="53">
        <f t="shared" si="1"/>
      </c>
      <c r="K493" s="49">
        <f t="shared" si="2"/>
      </c>
      <c r="L493" s="2">
        <f t="shared" si="3"/>
      </c>
    </row>
    <row r="494">
      <c r="A494" s="43">
        <f t="shared" si="0"/>
      </c>
      <c r="B494" s="44" t="n"/>
      <c r="C494" s="45" t="n"/>
      <c r="D494" s="50" t="n"/>
      <c r="E494" s="45" t="n"/>
      <c r="F494" s="50" t="n"/>
      <c r="G494" s="47" t="n"/>
      <c r="H494" s="52" t="n"/>
      <c r="I494" s="50" t="n"/>
      <c r="J494" s="53">
        <f t="shared" si="1"/>
      </c>
      <c r="K494" s="49">
        <f t="shared" si="2"/>
      </c>
      <c r="L494" s="2">
        <f t="shared" si="3"/>
      </c>
    </row>
    <row r="495">
      <c r="A495" s="43">
        <f t="shared" si="0"/>
      </c>
      <c r="B495" s="44" t="n"/>
      <c r="C495" s="45" t="n"/>
      <c r="D495" s="50" t="n"/>
      <c r="E495" s="45" t="n"/>
      <c r="F495" s="50" t="n"/>
      <c r="G495" s="47" t="n"/>
      <c r="H495" s="52" t="n"/>
      <c r="I495" s="50" t="n"/>
      <c r="J495" s="53">
        <f t="shared" si="1"/>
      </c>
      <c r="K495" s="49">
        <f t="shared" si="2"/>
      </c>
      <c r="L495" s="2">
        <f t="shared" si="3"/>
      </c>
    </row>
    <row r="496">
      <c r="A496" s="43">
        <f t="shared" si="0"/>
      </c>
      <c r="B496" s="44" t="n"/>
      <c r="C496" s="45" t="n"/>
      <c r="D496" s="50" t="n"/>
      <c r="E496" s="45" t="n"/>
      <c r="F496" s="50" t="n"/>
      <c r="G496" s="47" t="n"/>
      <c r="H496" s="52" t="n"/>
      <c r="I496" s="50" t="n"/>
      <c r="J496" s="53">
        <f t="shared" si="1"/>
      </c>
      <c r="K496" s="49">
        <f t="shared" si="2"/>
      </c>
      <c r="L496" s="2">
        <f t="shared" si="3"/>
      </c>
    </row>
    <row r="497">
      <c r="A497" s="43">
        <f t="shared" si="0"/>
      </c>
      <c r="B497" s="44" t="n"/>
      <c r="C497" s="45" t="n"/>
      <c r="D497" s="50" t="n"/>
      <c r="E497" s="45" t="n"/>
      <c r="F497" s="50" t="n"/>
      <c r="G497" s="47" t="n"/>
      <c r="H497" s="52" t="n"/>
      <c r="I497" s="50" t="n"/>
      <c r="J497" s="53">
        <f t="shared" si="1"/>
      </c>
      <c r="K497" s="49">
        <f t="shared" si="2"/>
      </c>
      <c r="L497" s="2">
        <f t="shared" si="3"/>
      </c>
    </row>
    <row r="498">
      <c r="A498" s="43">
        <f t="shared" si="0"/>
      </c>
      <c r="B498" s="44" t="n"/>
      <c r="C498" s="45" t="n"/>
      <c r="D498" s="50" t="n"/>
      <c r="E498" s="45" t="n"/>
      <c r="F498" s="50" t="n"/>
      <c r="G498" s="47" t="n"/>
      <c r="H498" s="52" t="n"/>
      <c r="I498" s="50" t="n"/>
      <c r="J498" s="53">
        <f t="shared" si="1"/>
      </c>
      <c r="K498" s="49">
        <f t="shared" si="2"/>
      </c>
      <c r="L498" s="2">
        <f t="shared" si="3"/>
      </c>
    </row>
    <row r="499">
      <c r="A499" s="43">
        <f t="shared" si="0"/>
      </c>
      <c r="B499" s="44" t="n"/>
      <c r="C499" s="45" t="n"/>
      <c r="D499" s="50" t="n"/>
      <c r="E499" s="45" t="n"/>
      <c r="F499" s="50" t="n"/>
      <c r="G499" s="47" t="n"/>
      <c r="H499" s="52" t="n"/>
      <c r="I499" s="50" t="n"/>
      <c r="J499" s="53">
        <f t="shared" si="1"/>
      </c>
      <c r="K499" s="49">
        <f t="shared" si="2"/>
      </c>
      <c r="L499" s="2">
        <f t="shared" si="3"/>
      </c>
    </row>
    <row r="500">
      <c r="A500" s="43">
        <f t="shared" si="0"/>
      </c>
      <c r="B500" s="44" t="n"/>
      <c r="C500" s="45" t="n"/>
      <c r="D500" s="50" t="n"/>
      <c r="E500" s="45" t="n"/>
      <c r="F500" s="50" t="n"/>
      <c r="G500" s="47" t="n"/>
      <c r="H500" s="52" t="n"/>
      <c r="I500" s="50" t="n"/>
      <c r="J500" s="53">
        <f t="shared" si="1"/>
      </c>
      <c r="K500" s="49">
        <f t="shared" si="2"/>
      </c>
      <c r="L500" s="2">
        <f t="shared" si="3"/>
      </c>
    </row>
    <row r="501">
      <c r="A501" s="43">
        <f t="shared" si="0"/>
      </c>
      <c r="B501" s="44" t="n"/>
      <c r="C501" s="45" t="n"/>
      <c r="D501" s="50" t="n"/>
      <c r="E501" s="45" t="n"/>
      <c r="F501" s="50" t="n"/>
      <c r="G501" s="47" t="n"/>
      <c r="H501" s="52" t="n"/>
      <c r="I501" s="50" t="n"/>
      <c r="J501" s="53">
        <f t="shared" si="1"/>
      </c>
      <c r="K501" s="49">
        <f t="shared" si="2"/>
      </c>
      <c r="L501" s="2">
        <f t="shared" si="3"/>
      </c>
    </row>
    <row r="502">
      <c r="A502" s="43">
        <f t="shared" si="0"/>
      </c>
      <c r="B502" s="44" t="n"/>
      <c r="C502" s="45" t="n"/>
      <c r="D502" s="50" t="n"/>
      <c r="E502" s="45" t="n"/>
      <c r="F502" s="50" t="n"/>
      <c r="G502" s="47" t="n"/>
      <c r="H502" s="52" t="n"/>
      <c r="I502" s="50" t="n"/>
      <c r="J502" s="53">
        <f t="shared" si="1"/>
      </c>
      <c r="K502" s="49">
        <f t="shared" si="2"/>
      </c>
      <c r="L502" s="2">
        <f t="shared" si="3"/>
      </c>
    </row>
    <row r="503">
      <c r="A503" s="43">
        <f t="shared" si="0"/>
      </c>
      <c r="B503" s="44" t="n"/>
      <c r="C503" s="45" t="n"/>
      <c r="D503" s="50" t="n"/>
      <c r="E503" s="45" t="n"/>
      <c r="F503" s="50" t="n"/>
      <c r="G503" s="47" t="n"/>
      <c r="H503" s="52" t="n"/>
      <c r="I503" s="50" t="n"/>
      <c r="J503" s="53">
        <f t="shared" si="1"/>
      </c>
      <c r="K503" s="49">
        <f t="shared" si="2"/>
      </c>
      <c r="L503" s="2">
        <f t="shared" si="3"/>
      </c>
    </row>
    <row r="504">
      <c r="A504" s="43">
        <f t="shared" si="0"/>
      </c>
      <c r="B504" s="44" t="n"/>
      <c r="C504" s="45" t="n"/>
      <c r="D504" s="50" t="n"/>
      <c r="E504" s="45" t="n"/>
      <c r="F504" s="50" t="n"/>
      <c r="G504" s="47" t="n"/>
      <c r="H504" s="52" t="n"/>
      <c r="I504" s="50" t="n"/>
      <c r="J504" s="53">
        <f t="shared" si="1"/>
      </c>
      <c r="K504" s="49">
        <f t="shared" si="2"/>
      </c>
      <c r="L504" s="2">
        <f t="shared" si="3"/>
      </c>
    </row>
    <row r="505">
      <c r="A505" s="43">
        <f t="shared" si="0"/>
      </c>
      <c r="B505" s="44" t="n"/>
      <c r="C505" s="45" t="n"/>
      <c r="D505" s="50" t="n"/>
      <c r="E505" s="45" t="n"/>
      <c r="F505" s="50" t="n"/>
      <c r="G505" s="47" t="n"/>
      <c r="H505" s="52" t="n"/>
      <c r="I505" s="50" t="n"/>
      <c r="J505" s="53">
        <f t="shared" si="1"/>
      </c>
      <c r="K505" s="49">
        <f t="shared" si="2"/>
      </c>
      <c r="L505" s="2">
        <f t="shared" si="3"/>
      </c>
    </row>
    <row r="506">
      <c r="A506" s="43">
        <f t="shared" si="0"/>
      </c>
      <c r="B506" s="44" t="n"/>
      <c r="C506" s="45" t="n"/>
      <c r="D506" s="50" t="n"/>
      <c r="E506" s="45" t="n"/>
      <c r="F506" s="50" t="n"/>
      <c r="G506" s="47" t="n"/>
      <c r="H506" s="52" t="n"/>
      <c r="I506" s="50" t="n"/>
      <c r="J506" s="53">
        <f t="shared" si="1"/>
      </c>
      <c r="K506" s="49">
        <f t="shared" si="2"/>
      </c>
      <c r="L506" s="2">
        <f t="shared" si="3"/>
      </c>
    </row>
    <row r="507">
      <c r="A507" s="43">
        <f t="shared" si="0"/>
      </c>
      <c r="B507" s="44" t="n"/>
      <c r="C507" s="45" t="n"/>
      <c r="D507" s="50" t="n"/>
      <c r="E507" s="45" t="n"/>
      <c r="F507" s="50" t="n"/>
      <c r="G507" s="47" t="n"/>
      <c r="H507" s="52" t="n"/>
      <c r="I507" s="50" t="n"/>
      <c r="J507" s="53">
        <f t="shared" si="1"/>
      </c>
      <c r="K507" s="49">
        <f t="shared" si="2"/>
      </c>
      <c r="L507" s="2">
        <f t="shared" si="3"/>
      </c>
    </row>
    <row r="508">
      <c r="A508" s="43">
        <f t="shared" si="0"/>
      </c>
      <c r="B508" s="44" t="n"/>
      <c r="C508" s="45" t="n"/>
      <c r="D508" s="50" t="n"/>
      <c r="E508" s="45" t="n"/>
      <c r="F508" s="50" t="n"/>
      <c r="G508" s="47" t="n"/>
      <c r="H508" s="52" t="n"/>
      <c r="I508" s="50" t="n"/>
      <c r="J508" s="53">
        <f t="shared" si="1"/>
      </c>
      <c r="K508" s="49">
        <f t="shared" si="2"/>
      </c>
      <c r="L508" s="2">
        <f t="shared" si="3"/>
      </c>
    </row>
    <row r="509">
      <c r="A509" s="43">
        <f t="shared" si="0"/>
      </c>
      <c r="B509" s="44" t="n"/>
      <c r="C509" s="45" t="n"/>
      <c r="D509" s="50" t="n"/>
      <c r="E509" s="45" t="n"/>
      <c r="F509" s="50" t="n"/>
      <c r="G509" s="47" t="n"/>
      <c r="H509" s="52" t="n"/>
      <c r="I509" s="50" t="n"/>
      <c r="J509" s="53">
        <f t="shared" si="1"/>
      </c>
      <c r="K509" s="49">
        <f t="shared" si="2"/>
      </c>
      <c r="L509" s="2">
        <f t="shared" si="3"/>
      </c>
    </row>
    <row r="510">
      <c r="A510" s="43">
        <f t="shared" si="0"/>
      </c>
      <c r="B510" s="44" t="n"/>
      <c r="C510" s="45" t="n"/>
      <c r="D510" s="50" t="n"/>
      <c r="E510" s="45" t="n"/>
      <c r="F510" s="50" t="n"/>
      <c r="G510" s="47" t="n"/>
      <c r="H510" s="52" t="n"/>
      <c r="I510" s="50" t="n"/>
      <c r="J510" s="53">
        <f t="shared" si="1"/>
      </c>
      <c r="K510" s="49">
        <f t="shared" si="2"/>
      </c>
      <c r="L510" s="2">
        <f t="shared" si="3"/>
      </c>
    </row>
    <row r="511">
      <c r="A511" s="43">
        <f t="shared" si="0"/>
      </c>
      <c r="B511" s="44" t="n"/>
      <c r="C511" s="45" t="n"/>
      <c r="D511" s="50" t="n"/>
      <c r="E511" s="45" t="n"/>
      <c r="F511" s="50" t="n"/>
      <c r="G511" s="47" t="n"/>
      <c r="H511" s="52" t="n"/>
      <c r="I511" s="50" t="n"/>
      <c r="J511" s="53">
        <f t="shared" si="1"/>
      </c>
      <c r="K511" s="49">
        <f t="shared" si="2"/>
      </c>
      <c r="L511" s="2">
        <f t="shared" si="3"/>
      </c>
    </row>
    <row r="512">
      <c r="A512" s="43">
        <f t="shared" si="0"/>
      </c>
      <c r="B512" s="44" t="n"/>
      <c r="C512" s="45" t="n"/>
      <c r="D512" s="50" t="n"/>
      <c r="E512" s="45" t="n"/>
      <c r="F512" s="50" t="n"/>
      <c r="G512" s="47" t="n"/>
      <c r="H512" s="52" t="n"/>
      <c r="I512" s="50" t="n"/>
      <c r="J512" s="53">
        <f t="shared" si="1"/>
      </c>
      <c r="K512" s="49">
        <f t="shared" si="2"/>
      </c>
      <c r="L512" s="2">
        <f t="shared" si="3"/>
      </c>
    </row>
    <row r="513">
      <c r="A513" s="43">
        <f t="shared" si="0"/>
      </c>
      <c r="B513" s="44" t="n"/>
      <c r="C513" s="45" t="n"/>
      <c r="D513" s="50" t="n"/>
      <c r="E513" s="45" t="n"/>
      <c r="F513" s="50" t="n"/>
      <c r="G513" s="47" t="n"/>
      <c r="H513" s="52" t="n"/>
      <c r="I513" s="50" t="n"/>
      <c r="J513" s="53">
        <f t="shared" si="1"/>
      </c>
      <c r="K513" s="49">
        <f t="shared" si="2"/>
      </c>
      <c r="L513" s="2">
        <f t="shared" si="3"/>
      </c>
    </row>
    <row r="514">
      <c r="A514" s="43">
        <f t="shared" si="0"/>
      </c>
      <c r="B514" s="44" t="n"/>
      <c r="C514" s="45" t="n"/>
      <c r="D514" s="50" t="n"/>
      <c r="E514" s="45" t="n"/>
      <c r="F514" s="50" t="n"/>
      <c r="G514" s="47" t="n"/>
      <c r="H514" s="52" t="n"/>
      <c r="I514" s="50" t="n"/>
      <c r="J514" s="53">
        <f t="shared" si="1"/>
      </c>
      <c r="K514" s="49">
        <f t="shared" si="2"/>
      </c>
      <c r="L514" s="2">
        <f t="shared" si="3"/>
      </c>
    </row>
    <row r="515">
      <c r="A515" s="43">
        <f t="shared" si="0"/>
      </c>
      <c r="B515" s="44" t="n"/>
      <c r="C515" s="45" t="n"/>
      <c r="D515" s="50" t="n"/>
      <c r="E515" s="45" t="n"/>
      <c r="F515" s="50" t="n"/>
      <c r="G515" s="47" t="n"/>
      <c r="H515" s="52" t="n"/>
      <c r="I515" s="50" t="n"/>
      <c r="J515" s="53">
        <f t="shared" si="1"/>
      </c>
      <c r="K515" s="49">
        <f t="shared" si="2"/>
      </c>
      <c r="L515" s="2">
        <f t="shared" si="3"/>
      </c>
    </row>
    <row r="516">
      <c r="A516" s="43">
        <f t="shared" si="0"/>
      </c>
      <c r="B516" s="44" t="n"/>
      <c r="C516" s="45" t="n"/>
      <c r="D516" s="50" t="n"/>
      <c r="E516" s="45" t="n"/>
      <c r="F516" s="50" t="n"/>
      <c r="G516" s="47" t="n"/>
      <c r="H516" s="52" t="n"/>
      <c r="I516" s="50" t="n"/>
      <c r="J516" s="53">
        <f t="shared" si="1"/>
      </c>
      <c r="K516" s="49">
        <f t="shared" si="2"/>
      </c>
      <c r="L516" s="2">
        <f t="shared" si="3"/>
      </c>
    </row>
    <row r="517">
      <c r="A517" s="43">
        <f t="shared" si="0"/>
      </c>
      <c r="B517" s="44" t="n"/>
      <c r="C517" s="45" t="n"/>
      <c r="D517" s="50" t="n"/>
      <c r="E517" s="45" t="n"/>
      <c r="F517" s="50" t="n"/>
      <c r="G517" s="47" t="n"/>
      <c r="H517" s="52" t="n"/>
      <c r="I517" s="50" t="n"/>
      <c r="J517" s="53">
        <f t="shared" si="1"/>
      </c>
      <c r="K517" s="49">
        <f t="shared" si="2"/>
      </c>
      <c r="L517" s="2">
        <f t="shared" si="3"/>
      </c>
    </row>
    <row r="518">
      <c r="A518" s="43">
        <f t="shared" si="0"/>
      </c>
      <c r="B518" s="44" t="n"/>
      <c r="C518" s="45" t="n"/>
      <c r="D518" s="50" t="n"/>
      <c r="E518" s="45" t="n"/>
      <c r="F518" s="50" t="n"/>
      <c r="G518" s="47" t="n"/>
      <c r="H518" s="52" t="n"/>
      <c r="I518" s="50" t="n"/>
      <c r="J518" s="53">
        <f t="shared" si="1"/>
      </c>
      <c r="K518" s="49">
        <f t="shared" si="2"/>
      </c>
      <c r="L518" s="2">
        <f t="shared" si="3"/>
      </c>
    </row>
    <row r="519">
      <c r="A519" s="43">
        <f t="shared" si="0"/>
      </c>
      <c r="B519" s="44" t="n"/>
      <c r="C519" s="45" t="n"/>
      <c r="D519" s="50" t="n"/>
      <c r="E519" s="45" t="n"/>
      <c r="F519" s="50" t="n"/>
      <c r="G519" s="47" t="n"/>
      <c r="H519" s="52" t="n"/>
      <c r="I519" s="50" t="n"/>
      <c r="J519" s="53">
        <f t="shared" si="1"/>
      </c>
      <c r="K519" s="49">
        <f t="shared" si="2"/>
      </c>
      <c r="L519" s="2">
        <f t="shared" si="3"/>
      </c>
    </row>
    <row r="520">
      <c r="A520" s="43">
        <f t="shared" si="0"/>
      </c>
      <c r="B520" s="44" t="n"/>
      <c r="C520" s="45" t="n"/>
      <c r="D520" s="50" t="n"/>
      <c r="E520" s="45" t="n"/>
      <c r="F520" s="50" t="n"/>
      <c r="G520" s="47" t="n"/>
      <c r="H520" s="52" t="n"/>
      <c r="I520" s="50" t="n"/>
      <c r="J520" s="53">
        <f t="shared" si="1"/>
      </c>
      <c r="K520" s="49">
        <f t="shared" si="2"/>
      </c>
      <c r="L520" s="2">
        <f t="shared" si="3"/>
      </c>
    </row>
    <row r="521">
      <c r="A521" s="43">
        <f t="shared" si="0"/>
      </c>
      <c r="B521" s="44" t="n"/>
      <c r="C521" s="45" t="n"/>
      <c r="D521" s="50" t="n"/>
      <c r="E521" s="45" t="n"/>
      <c r="F521" s="50" t="n"/>
      <c r="G521" s="47" t="n"/>
      <c r="H521" s="52" t="n"/>
      <c r="I521" s="50" t="n"/>
      <c r="J521" s="53">
        <f t="shared" si="1"/>
      </c>
      <c r="K521" s="49">
        <f t="shared" si="2"/>
      </c>
      <c r="L521" s="2">
        <f t="shared" si="3"/>
      </c>
    </row>
    <row r="522">
      <c r="A522" s="43">
        <f t="shared" si="0"/>
      </c>
      <c r="B522" s="44" t="n"/>
      <c r="C522" s="45" t="n"/>
      <c r="D522" s="50" t="n"/>
      <c r="E522" s="45" t="n"/>
      <c r="F522" s="50" t="n"/>
      <c r="G522" s="47" t="n"/>
      <c r="H522" s="52" t="n"/>
      <c r="I522" s="50" t="n"/>
      <c r="J522" s="53">
        <f t="shared" si="1"/>
      </c>
      <c r="K522" s="49">
        <f t="shared" si="2"/>
      </c>
      <c r="L522" s="2">
        <f t="shared" si="3"/>
      </c>
    </row>
    <row r="523">
      <c r="A523" s="43">
        <f t="shared" si="0"/>
      </c>
      <c r="B523" s="44" t="n"/>
      <c r="C523" s="45" t="n"/>
      <c r="D523" s="50" t="n"/>
      <c r="E523" s="45" t="n"/>
      <c r="F523" s="50" t="n"/>
      <c r="G523" s="47" t="n"/>
      <c r="H523" s="52" t="n"/>
      <c r="I523" s="50" t="n"/>
      <c r="J523" s="53">
        <f t="shared" si="1"/>
      </c>
      <c r="K523" s="49">
        <f t="shared" si="2"/>
      </c>
      <c r="L523" s="2">
        <f t="shared" si="3"/>
      </c>
    </row>
    <row r="524">
      <c r="A524" s="43">
        <f t="shared" si="0"/>
      </c>
      <c r="B524" s="44" t="n"/>
      <c r="C524" s="45" t="n"/>
      <c r="D524" s="50" t="n"/>
      <c r="E524" s="45" t="n"/>
      <c r="F524" s="50" t="n"/>
      <c r="G524" s="47" t="n"/>
      <c r="H524" s="52" t="n"/>
      <c r="I524" s="50" t="n"/>
      <c r="J524" s="53">
        <f t="shared" si="1"/>
      </c>
      <c r="K524" s="49">
        <f t="shared" si="2"/>
      </c>
      <c r="L524" s="2">
        <f t="shared" si="3"/>
      </c>
    </row>
    <row r="525">
      <c r="A525" s="43">
        <f t="shared" si="0"/>
      </c>
      <c r="B525" s="44" t="n"/>
      <c r="C525" s="45" t="n"/>
      <c r="D525" s="50" t="n"/>
      <c r="E525" s="45" t="n"/>
      <c r="F525" s="50" t="n"/>
      <c r="G525" s="47" t="n"/>
      <c r="H525" s="52" t="n"/>
      <c r="I525" s="50" t="n"/>
      <c r="J525" s="53">
        <f t="shared" si="1"/>
      </c>
      <c r="K525" s="49">
        <f t="shared" si="2"/>
      </c>
      <c r="L525" s="2">
        <f t="shared" si="3"/>
      </c>
    </row>
    <row r="526">
      <c r="A526" s="43">
        <f t="shared" si="0"/>
      </c>
      <c r="B526" s="44" t="n"/>
      <c r="C526" s="45" t="n"/>
      <c r="D526" s="50" t="n"/>
      <c r="E526" s="45" t="n"/>
      <c r="F526" s="50" t="n"/>
      <c r="G526" s="47" t="n"/>
      <c r="H526" s="52" t="n"/>
      <c r="I526" s="50" t="n"/>
      <c r="J526" s="53">
        <f t="shared" si="1"/>
      </c>
      <c r="K526" s="49">
        <f t="shared" si="2"/>
      </c>
      <c r="L526" s="2">
        <f t="shared" si="3"/>
      </c>
    </row>
    <row r="527">
      <c r="A527" s="43">
        <f t="shared" si="0"/>
      </c>
      <c r="B527" s="44" t="n"/>
      <c r="C527" s="45" t="n"/>
      <c r="D527" s="50" t="n"/>
      <c r="E527" s="45" t="n"/>
      <c r="F527" s="50" t="n"/>
      <c r="G527" s="47" t="n"/>
      <c r="H527" s="52" t="n"/>
      <c r="I527" s="50" t="n"/>
      <c r="J527" s="53">
        <f t="shared" si="1"/>
      </c>
      <c r="K527" s="49">
        <f t="shared" si="2"/>
      </c>
      <c r="L527" s="2">
        <f t="shared" si="3"/>
      </c>
    </row>
    <row r="528">
      <c r="A528" s="43">
        <f t="shared" si="0"/>
      </c>
      <c r="B528" s="44" t="n"/>
      <c r="C528" s="45" t="n"/>
      <c r="D528" s="50" t="n"/>
      <c r="E528" s="45" t="n"/>
      <c r="F528" s="50" t="n"/>
      <c r="G528" s="47" t="n"/>
      <c r="H528" s="52" t="n"/>
      <c r="I528" s="50" t="n"/>
      <c r="J528" s="53">
        <f t="shared" si="1"/>
      </c>
      <c r="K528" s="49">
        <f t="shared" si="2"/>
      </c>
      <c r="L528" s="2">
        <f t="shared" si="3"/>
      </c>
    </row>
    <row r="529">
      <c r="A529" s="43">
        <f t="shared" si="0"/>
      </c>
      <c r="B529" s="44" t="n"/>
      <c r="C529" s="45" t="n"/>
      <c r="D529" s="50" t="n"/>
      <c r="E529" s="45" t="n"/>
      <c r="F529" s="50" t="n"/>
      <c r="G529" s="47" t="n"/>
      <c r="H529" s="52" t="n"/>
      <c r="I529" s="50" t="n"/>
      <c r="J529" s="53">
        <f t="shared" si="1"/>
      </c>
      <c r="K529" s="49">
        <f t="shared" si="2"/>
      </c>
      <c r="L529" s="2">
        <f t="shared" si="3"/>
      </c>
    </row>
    <row r="530">
      <c r="A530" s="43">
        <f t="shared" si="0"/>
      </c>
      <c r="B530" s="44" t="n"/>
      <c r="C530" s="45" t="n"/>
      <c r="D530" s="50" t="n"/>
      <c r="E530" s="45" t="n"/>
      <c r="F530" s="50" t="n"/>
      <c r="G530" s="47" t="n"/>
      <c r="H530" s="52" t="n"/>
      <c r="I530" s="50" t="n"/>
      <c r="J530" s="53">
        <f t="shared" si="1"/>
      </c>
      <c r="K530" s="49">
        <f t="shared" si="2"/>
      </c>
      <c r="L530" s="2">
        <f t="shared" si="3"/>
      </c>
    </row>
    <row r="531">
      <c r="A531" s="43">
        <f t="shared" si="0"/>
      </c>
      <c r="B531" s="44" t="n"/>
      <c r="C531" s="45" t="n"/>
      <c r="D531" s="50" t="n"/>
      <c r="E531" s="45" t="n"/>
      <c r="F531" s="50" t="n"/>
      <c r="G531" s="47" t="n"/>
      <c r="H531" s="52" t="n"/>
      <c r="I531" s="50" t="n"/>
      <c r="J531" s="53">
        <f t="shared" si="1"/>
      </c>
      <c r="K531" s="49">
        <f t="shared" si="2"/>
      </c>
      <c r="L531" s="2">
        <f t="shared" si="3"/>
      </c>
    </row>
    <row r="532">
      <c r="A532" s="43">
        <f t="shared" si="0"/>
      </c>
      <c r="B532" s="44" t="n"/>
      <c r="C532" s="45" t="n"/>
      <c r="D532" s="50" t="n"/>
      <c r="E532" s="45" t="n"/>
      <c r="F532" s="50" t="n"/>
      <c r="G532" s="47" t="n"/>
      <c r="H532" s="52" t="n"/>
      <c r="I532" s="50" t="n"/>
      <c r="J532" s="53">
        <f t="shared" si="1"/>
      </c>
      <c r="K532" s="49">
        <f t="shared" si="2"/>
      </c>
      <c r="L532" s="2">
        <f t="shared" si="3"/>
      </c>
    </row>
    <row r="533">
      <c r="A533" s="43">
        <f t="shared" si="0"/>
      </c>
      <c r="B533" s="44" t="n"/>
      <c r="C533" s="45" t="n"/>
      <c r="D533" s="50" t="n"/>
      <c r="E533" s="45" t="n"/>
      <c r="F533" s="50" t="n"/>
      <c r="G533" s="47" t="n"/>
      <c r="H533" s="52" t="n"/>
      <c r="I533" s="50" t="n"/>
      <c r="J533" s="53">
        <f t="shared" si="1"/>
      </c>
      <c r="K533" s="49">
        <f t="shared" si="2"/>
      </c>
      <c r="L533" s="2">
        <f t="shared" si="3"/>
      </c>
    </row>
    <row r="534">
      <c r="A534" s="43">
        <f t="shared" si="0"/>
      </c>
      <c r="B534" s="44" t="n"/>
      <c r="C534" s="45" t="n"/>
      <c r="D534" s="50" t="n"/>
      <c r="E534" s="45" t="n"/>
      <c r="F534" s="50" t="n"/>
      <c r="G534" s="47" t="n"/>
      <c r="H534" s="52" t="n"/>
      <c r="I534" s="50" t="n"/>
      <c r="J534" s="53">
        <f t="shared" si="1"/>
      </c>
      <c r="K534" s="49">
        <f t="shared" si="2"/>
      </c>
      <c r="L534" s="2">
        <f t="shared" si="3"/>
      </c>
    </row>
    <row r="535">
      <c r="A535" s="43">
        <f t="shared" si="0"/>
      </c>
      <c r="B535" s="44" t="n"/>
      <c r="C535" s="45" t="n"/>
      <c r="D535" s="50" t="n"/>
      <c r="E535" s="45" t="n"/>
      <c r="F535" s="50" t="n"/>
      <c r="G535" s="47" t="n"/>
      <c r="H535" s="52" t="n"/>
      <c r="I535" s="50" t="n"/>
      <c r="J535" s="53">
        <f t="shared" si="1"/>
      </c>
      <c r="K535" s="49">
        <f t="shared" si="2"/>
      </c>
      <c r="L535" s="2">
        <f t="shared" si="3"/>
      </c>
    </row>
    <row r="536">
      <c r="A536" s="43">
        <f t="shared" si="0"/>
      </c>
      <c r="B536" s="44" t="n"/>
      <c r="C536" s="45" t="n"/>
      <c r="D536" s="50" t="n"/>
      <c r="E536" s="45" t="n"/>
      <c r="F536" s="50" t="n"/>
      <c r="G536" s="47" t="n"/>
      <c r="H536" s="52" t="n"/>
      <c r="I536" s="50" t="n"/>
      <c r="J536" s="53">
        <f t="shared" si="1"/>
      </c>
      <c r="K536" s="49">
        <f t="shared" si="2"/>
      </c>
      <c r="L536" s="2">
        <f t="shared" si="3"/>
      </c>
    </row>
    <row r="537">
      <c r="A537" s="43">
        <f t="shared" si="0"/>
      </c>
      <c r="B537" s="44" t="n"/>
      <c r="C537" s="45" t="n"/>
      <c r="D537" s="50" t="n"/>
      <c r="E537" s="45" t="n"/>
      <c r="F537" s="50" t="n"/>
      <c r="G537" s="47" t="n"/>
      <c r="H537" s="52" t="n"/>
      <c r="I537" s="50" t="n"/>
      <c r="J537" s="53">
        <f t="shared" si="1"/>
      </c>
      <c r="K537" s="49">
        <f t="shared" si="2"/>
      </c>
      <c r="L537" s="2">
        <f t="shared" si="3"/>
      </c>
    </row>
    <row r="538">
      <c r="A538" s="43">
        <f t="shared" si="0"/>
      </c>
      <c r="B538" s="44" t="n"/>
      <c r="C538" s="45" t="n"/>
      <c r="D538" s="50" t="n"/>
      <c r="E538" s="45" t="n"/>
      <c r="F538" s="50" t="n"/>
      <c r="G538" s="47" t="n"/>
      <c r="H538" s="52" t="n"/>
      <c r="I538" s="50" t="n"/>
      <c r="J538" s="53">
        <f t="shared" si="1"/>
      </c>
      <c r="K538" s="49">
        <f t="shared" si="2"/>
      </c>
      <c r="L538" s="2">
        <f t="shared" si="3"/>
      </c>
    </row>
    <row r="539">
      <c r="A539" s="43">
        <f t="shared" si="0"/>
      </c>
      <c r="B539" s="44" t="n"/>
      <c r="C539" s="45" t="n"/>
      <c r="D539" s="50" t="n"/>
      <c r="E539" s="45" t="n"/>
      <c r="F539" s="50" t="n"/>
      <c r="G539" s="47" t="n"/>
      <c r="H539" s="52" t="n"/>
      <c r="I539" s="50" t="n"/>
      <c r="J539" s="53">
        <f t="shared" si="1"/>
      </c>
      <c r="K539" s="49">
        <f t="shared" si="2"/>
      </c>
      <c r="L539" s="2">
        <f t="shared" si="3"/>
      </c>
    </row>
    <row r="540">
      <c r="A540" s="43">
        <f t="shared" si="0"/>
      </c>
      <c r="B540" s="44" t="n"/>
      <c r="C540" s="45" t="n"/>
      <c r="D540" s="50" t="n"/>
      <c r="E540" s="45" t="n"/>
      <c r="F540" s="50" t="n"/>
      <c r="G540" s="47" t="n"/>
      <c r="H540" s="52" t="n"/>
      <c r="I540" s="50" t="n"/>
      <c r="J540" s="53">
        <f t="shared" si="1"/>
      </c>
      <c r="K540" s="49">
        <f t="shared" si="2"/>
      </c>
      <c r="L540" s="2">
        <f t="shared" si="3"/>
      </c>
    </row>
    <row r="541">
      <c r="A541" s="43">
        <f t="shared" si="0"/>
      </c>
      <c r="B541" s="44" t="n"/>
      <c r="C541" s="45" t="n"/>
      <c r="D541" s="50" t="n"/>
      <c r="E541" s="45" t="n"/>
      <c r="F541" s="50" t="n"/>
      <c r="G541" s="47" t="n"/>
      <c r="H541" s="52" t="n"/>
      <c r="I541" s="50" t="n"/>
      <c r="J541" s="53">
        <f t="shared" si="1"/>
      </c>
      <c r="K541" s="49">
        <f t="shared" si="2"/>
      </c>
      <c r="L541" s="2">
        <f t="shared" si="3"/>
      </c>
    </row>
    <row r="542">
      <c r="A542" s="43">
        <f t="shared" si="0"/>
      </c>
      <c r="B542" s="44" t="n"/>
      <c r="C542" s="45" t="n"/>
      <c r="D542" s="50" t="n"/>
      <c r="E542" s="45" t="n"/>
      <c r="F542" s="50" t="n"/>
      <c r="G542" s="47" t="n"/>
      <c r="H542" s="52" t="n"/>
      <c r="I542" s="50" t="n"/>
      <c r="J542" s="53">
        <f t="shared" si="1"/>
      </c>
      <c r="K542" s="49">
        <f t="shared" si="2"/>
      </c>
      <c r="L542" s="2">
        <f t="shared" si="3"/>
      </c>
    </row>
    <row r="543">
      <c r="A543" s="43">
        <f t="shared" si="0"/>
      </c>
      <c r="B543" s="44" t="n"/>
      <c r="C543" s="45" t="n"/>
      <c r="D543" s="50" t="n"/>
      <c r="E543" s="45" t="n"/>
      <c r="F543" s="50" t="n"/>
      <c r="G543" s="47" t="n"/>
      <c r="H543" s="52" t="n"/>
      <c r="I543" s="50" t="n"/>
      <c r="J543" s="53">
        <f t="shared" si="1"/>
      </c>
      <c r="K543" s="49">
        <f t="shared" si="2"/>
      </c>
      <c r="L543" s="2">
        <f t="shared" si="3"/>
      </c>
    </row>
    <row r="544">
      <c r="A544" s="43">
        <f t="shared" si="0"/>
      </c>
      <c r="B544" s="44" t="n"/>
      <c r="C544" s="45" t="n"/>
      <c r="D544" s="50" t="n"/>
      <c r="E544" s="45" t="n"/>
      <c r="F544" s="50" t="n"/>
      <c r="G544" s="47" t="n"/>
      <c r="H544" s="52" t="n"/>
      <c r="I544" s="50" t="n"/>
      <c r="J544" s="53">
        <f t="shared" si="1"/>
      </c>
      <c r="K544" s="49">
        <f t="shared" si="2"/>
      </c>
      <c r="L544" s="2">
        <f t="shared" si="3"/>
      </c>
    </row>
    <row r="545">
      <c r="A545" s="43">
        <f t="shared" si="0"/>
      </c>
      <c r="B545" s="44" t="n"/>
      <c r="C545" s="45" t="n"/>
      <c r="D545" s="50" t="n"/>
      <c r="E545" s="45" t="n"/>
      <c r="F545" s="50" t="n"/>
      <c r="G545" s="47" t="n"/>
      <c r="H545" s="52" t="n"/>
      <c r="I545" s="50" t="n"/>
      <c r="J545" s="53">
        <f t="shared" si="1"/>
      </c>
      <c r="K545" s="49">
        <f t="shared" si="2"/>
      </c>
      <c r="L545" s="2">
        <f t="shared" si="3"/>
      </c>
    </row>
    <row r="546">
      <c r="A546" s="43">
        <f t="shared" si="0"/>
      </c>
      <c r="B546" s="44" t="n"/>
      <c r="C546" s="45" t="n"/>
      <c r="D546" s="50" t="n"/>
      <c r="E546" s="45" t="n"/>
      <c r="F546" s="50" t="n"/>
      <c r="G546" s="47" t="n"/>
      <c r="H546" s="52" t="n"/>
      <c r="I546" s="50" t="n"/>
      <c r="J546" s="53">
        <f t="shared" si="1"/>
      </c>
      <c r="K546" s="49">
        <f t="shared" si="2"/>
      </c>
      <c r="L546" s="2">
        <f t="shared" si="3"/>
      </c>
    </row>
    <row r="547">
      <c r="A547" s="43">
        <f t="shared" si="0"/>
      </c>
      <c r="B547" s="44" t="n"/>
      <c r="C547" s="45" t="n"/>
      <c r="D547" s="50" t="n"/>
      <c r="E547" s="45" t="n"/>
      <c r="F547" s="50" t="n"/>
      <c r="G547" s="47" t="n"/>
      <c r="H547" s="52" t="n"/>
      <c r="I547" s="50" t="n"/>
      <c r="J547" s="53">
        <f t="shared" si="1"/>
      </c>
      <c r="K547" s="49">
        <f t="shared" si="2"/>
      </c>
      <c r="L547" s="2">
        <f t="shared" si="3"/>
      </c>
    </row>
    <row r="548">
      <c r="A548" s="43">
        <f t="shared" si="0"/>
      </c>
      <c r="B548" s="44" t="n"/>
      <c r="C548" s="45" t="n"/>
      <c r="D548" s="50" t="n"/>
      <c r="E548" s="45" t="n"/>
      <c r="F548" s="50" t="n"/>
      <c r="G548" s="47" t="n"/>
      <c r="H548" s="52" t="n"/>
      <c r="I548" s="50" t="n"/>
      <c r="J548" s="53">
        <f t="shared" si="1"/>
      </c>
      <c r="K548" s="49">
        <f t="shared" si="2"/>
      </c>
      <c r="L548" s="2">
        <f t="shared" si="3"/>
      </c>
    </row>
    <row r="549">
      <c r="A549" s="43">
        <f t="shared" si="0"/>
      </c>
      <c r="B549" s="44" t="n"/>
      <c r="C549" s="45" t="n"/>
      <c r="D549" s="50" t="n"/>
      <c r="E549" s="45" t="n"/>
      <c r="F549" s="50" t="n"/>
      <c r="G549" s="47" t="n"/>
      <c r="H549" s="52" t="n"/>
      <c r="I549" s="50" t="n"/>
      <c r="J549" s="53">
        <f t="shared" si="1"/>
      </c>
      <c r="K549" s="49">
        <f t="shared" si="2"/>
      </c>
      <c r="L549" s="2">
        <f t="shared" si="3"/>
      </c>
    </row>
    <row r="550">
      <c r="A550" s="43">
        <f t="shared" si="0"/>
      </c>
      <c r="B550" s="44" t="n"/>
      <c r="C550" s="45" t="n"/>
      <c r="D550" s="50" t="n"/>
      <c r="E550" s="45" t="n"/>
      <c r="F550" s="50" t="n"/>
      <c r="G550" s="47" t="n"/>
      <c r="H550" s="52" t="n"/>
      <c r="I550" s="50" t="n"/>
      <c r="J550" s="53">
        <f t="shared" si="1"/>
      </c>
      <c r="K550" s="49">
        <f t="shared" si="2"/>
      </c>
      <c r="L550" s="2">
        <f t="shared" si="3"/>
      </c>
    </row>
    <row r="551">
      <c r="A551" s="43">
        <f t="shared" si="0"/>
      </c>
      <c r="B551" s="44" t="n"/>
      <c r="C551" s="45" t="n"/>
      <c r="D551" s="50" t="n"/>
      <c r="E551" s="45" t="n"/>
      <c r="F551" s="50" t="n"/>
      <c r="G551" s="47" t="n"/>
      <c r="H551" s="52" t="n"/>
      <c r="I551" s="50" t="n"/>
      <c r="J551" s="53">
        <f t="shared" si="1"/>
      </c>
      <c r="K551" s="49">
        <f t="shared" si="2"/>
      </c>
      <c r="L551" s="2">
        <f t="shared" si="3"/>
      </c>
    </row>
    <row r="552">
      <c r="A552" s="43">
        <f t="shared" si="0"/>
      </c>
      <c r="B552" s="44" t="n"/>
      <c r="C552" s="45" t="n"/>
      <c r="D552" s="50" t="n"/>
      <c r="E552" s="45" t="n"/>
      <c r="F552" s="50" t="n"/>
      <c r="G552" s="47" t="n"/>
      <c r="H552" s="52" t="n"/>
      <c r="I552" s="50" t="n"/>
      <c r="J552" s="53">
        <f t="shared" si="1"/>
      </c>
      <c r="K552" s="49">
        <f t="shared" si="2"/>
      </c>
      <c r="L552" s="2">
        <f t="shared" si="3"/>
      </c>
    </row>
    <row r="553">
      <c r="A553" s="43">
        <f t="shared" si="0"/>
      </c>
      <c r="B553" s="44" t="n"/>
      <c r="C553" s="45" t="n"/>
      <c r="D553" s="50" t="n"/>
      <c r="E553" s="45" t="n"/>
      <c r="F553" s="50" t="n"/>
      <c r="G553" s="47" t="n"/>
      <c r="H553" s="52" t="n"/>
      <c r="I553" s="50" t="n"/>
      <c r="J553" s="53">
        <f t="shared" si="1"/>
      </c>
      <c r="K553" s="49">
        <f t="shared" si="2"/>
      </c>
      <c r="L553" s="2">
        <f t="shared" si="3"/>
      </c>
    </row>
    <row r="554">
      <c r="A554" s="43">
        <f t="shared" si="0"/>
      </c>
      <c r="B554" s="44" t="n"/>
      <c r="C554" s="45" t="n"/>
      <c r="D554" s="50" t="n"/>
      <c r="E554" s="45" t="n"/>
      <c r="F554" s="50" t="n"/>
      <c r="G554" s="47" t="n"/>
      <c r="H554" s="52" t="n"/>
      <c r="I554" s="50" t="n"/>
      <c r="J554" s="53">
        <f t="shared" si="1"/>
      </c>
      <c r="K554" s="49">
        <f t="shared" si="2"/>
      </c>
      <c r="L554" s="2">
        <f t="shared" si="3"/>
      </c>
    </row>
    <row r="555">
      <c r="A555" s="43">
        <f t="shared" si="0"/>
      </c>
      <c r="B555" s="44" t="n"/>
      <c r="C555" s="45" t="n"/>
      <c r="D555" s="50" t="n"/>
      <c r="E555" s="45" t="n"/>
      <c r="F555" s="50" t="n"/>
      <c r="G555" s="47" t="n"/>
      <c r="H555" s="52" t="n"/>
      <c r="I555" s="50" t="n"/>
      <c r="J555" s="53">
        <f t="shared" si="1"/>
      </c>
      <c r="K555" s="49">
        <f t="shared" si="2"/>
      </c>
      <c r="L555" s="2">
        <f t="shared" si="3"/>
      </c>
    </row>
    <row r="556">
      <c r="A556" s="43">
        <f t="shared" si="0"/>
      </c>
      <c r="B556" s="44" t="n"/>
      <c r="C556" s="45" t="n"/>
      <c r="D556" s="50" t="n"/>
      <c r="E556" s="45" t="n"/>
      <c r="F556" s="50" t="n"/>
      <c r="G556" s="47" t="n"/>
      <c r="H556" s="52" t="n"/>
      <c r="I556" s="50" t="n"/>
      <c r="J556" s="53">
        <f t="shared" si="1"/>
      </c>
      <c r="K556" s="49">
        <f t="shared" si="2"/>
      </c>
      <c r="L556" s="2">
        <f t="shared" si="3"/>
      </c>
    </row>
    <row r="557">
      <c r="A557" s="43">
        <f t="shared" si="0"/>
      </c>
      <c r="B557" s="44" t="n"/>
      <c r="C557" s="45" t="n"/>
      <c r="D557" s="50" t="n"/>
      <c r="E557" s="45" t="n"/>
      <c r="F557" s="50" t="n"/>
      <c r="G557" s="47" t="n"/>
      <c r="H557" s="52" t="n"/>
      <c r="I557" s="50" t="n"/>
      <c r="J557" s="53">
        <f t="shared" si="1"/>
      </c>
      <c r="K557" s="49">
        <f t="shared" si="2"/>
      </c>
      <c r="L557" s="2">
        <f t="shared" si="3"/>
      </c>
    </row>
    <row r="558">
      <c r="A558" s="43">
        <f t="shared" si="0"/>
      </c>
      <c r="B558" s="44" t="n"/>
      <c r="C558" s="45" t="n"/>
      <c r="D558" s="50" t="n"/>
      <c r="E558" s="45" t="n"/>
      <c r="F558" s="50" t="n"/>
      <c r="G558" s="47" t="n"/>
      <c r="H558" s="52" t="n"/>
      <c r="I558" s="50" t="n"/>
      <c r="J558" s="53">
        <f t="shared" si="1"/>
      </c>
      <c r="K558" s="49">
        <f t="shared" si="2"/>
      </c>
      <c r="L558" s="2">
        <f t="shared" si="3"/>
      </c>
    </row>
    <row r="559">
      <c r="A559" s="43">
        <f t="shared" si="0"/>
      </c>
      <c r="B559" s="44" t="n"/>
      <c r="C559" s="45" t="n"/>
      <c r="D559" s="50" t="n"/>
      <c r="E559" s="45" t="n"/>
      <c r="F559" s="50" t="n"/>
      <c r="G559" s="47" t="n"/>
      <c r="H559" s="52" t="n"/>
      <c r="I559" s="50" t="n"/>
      <c r="J559" s="53">
        <f t="shared" si="1"/>
      </c>
      <c r="K559" s="49">
        <f t="shared" si="2"/>
      </c>
      <c r="L559" s="2">
        <f t="shared" si="3"/>
      </c>
    </row>
    <row r="560">
      <c r="A560" s="43">
        <f t="shared" si="0"/>
      </c>
      <c r="B560" s="44" t="n"/>
      <c r="C560" s="45" t="n"/>
      <c r="D560" s="50" t="n"/>
      <c r="E560" s="45" t="n"/>
      <c r="F560" s="50" t="n"/>
      <c r="G560" s="47" t="n"/>
      <c r="H560" s="52" t="n"/>
      <c r="I560" s="50" t="n"/>
      <c r="J560" s="53">
        <f t="shared" si="1"/>
      </c>
      <c r="K560" s="49">
        <f t="shared" si="2"/>
      </c>
      <c r="L560" s="2">
        <f t="shared" si="3"/>
      </c>
    </row>
    <row r="561">
      <c r="A561" s="43">
        <f t="shared" si="0"/>
      </c>
      <c r="B561" s="44" t="n"/>
      <c r="C561" s="45" t="n"/>
      <c r="D561" s="50" t="n"/>
      <c r="E561" s="45" t="n"/>
      <c r="F561" s="50" t="n"/>
      <c r="G561" s="47" t="n"/>
      <c r="H561" s="52" t="n"/>
      <c r="I561" s="50" t="n"/>
      <c r="J561" s="53">
        <f t="shared" si="1"/>
      </c>
      <c r="K561" s="49">
        <f t="shared" si="2"/>
      </c>
      <c r="L561" s="2">
        <f t="shared" si="3"/>
      </c>
    </row>
    <row r="562">
      <c r="A562" s="43">
        <f t="shared" si="0"/>
      </c>
      <c r="B562" s="44" t="n"/>
      <c r="C562" s="45" t="n"/>
      <c r="D562" s="50" t="n"/>
      <c r="E562" s="45" t="n"/>
      <c r="F562" s="50" t="n"/>
      <c r="G562" s="47" t="n"/>
      <c r="H562" s="52" t="n"/>
      <c r="I562" s="50" t="n"/>
      <c r="J562" s="53">
        <f t="shared" si="1"/>
      </c>
      <c r="K562" s="49">
        <f t="shared" si="2"/>
      </c>
      <c r="L562" s="2">
        <f t="shared" si="3"/>
      </c>
    </row>
    <row r="563">
      <c r="A563" s="43">
        <f t="shared" si="0"/>
      </c>
      <c r="B563" s="44" t="n"/>
      <c r="C563" s="45" t="n"/>
      <c r="D563" s="50" t="n"/>
      <c r="E563" s="45" t="n"/>
      <c r="F563" s="50" t="n"/>
      <c r="G563" s="47" t="n"/>
      <c r="H563" s="52" t="n"/>
      <c r="I563" s="50" t="n"/>
      <c r="J563" s="53">
        <f t="shared" si="1"/>
      </c>
      <c r="K563" s="49">
        <f t="shared" si="2"/>
      </c>
      <c r="L563" s="2">
        <f t="shared" si="3"/>
      </c>
    </row>
    <row r="564">
      <c r="A564" s="43">
        <f t="shared" si="0"/>
      </c>
      <c r="B564" s="44" t="n"/>
      <c r="C564" s="45" t="n"/>
      <c r="D564" s="50" t="n"/>
      <c r="E564" s="45" t="n"/>
      <c r="F564" s="50" t="n"/>
      <c r="G564" s="47" t="n"/>
      <c r="H564" s="52" t="n"/>
      <c r="I564" s="50" t="n"/>
      <c r="J564" s="53">
        <f t="shared" si="1"/>
      </c>
      <c r="K564" s="49">
        <f t="shared" si="2"/>
      </c>
      <c r="L564" s="2">
        <f t="shared" si="3"/>
      </c>
    </row>
    <row r="565">
      <c r="A565" s="43">
        <f t="shared" si="0"/>
      </c>
      <c r="B565" s="44" t="n"/>
      <c r="C565" s="45" t="n"/>
      <c r="D565" s="50" t="n"/>
      <c r="E565" s="45" t="n"/>
      <c r="F565" s="50" t="n"/>
      <c r="G565" s="47" t="n"/>
      <c r="H565" s="52" t="n"/>
      <c r="I565" s="50" t="n"/>
      <c r="J565" s="53">
        <f t="shared" si="1"/>
      </c>
      <c r="K565" s="49">
        <f t="shared" si="2"/>
      </c>
      <c r="L565" s="2">
        <f t="shared" si="3"/>
      </c>
    </row>
    <row r="566">
      <c r="A566" s="43">
        <f t="shared" si="0"/>
      </c>
      <c r="B566" s="44" t="n"/>
      <c r="C566" s="45" t="n"/>
      <c r="D566" s="50" t="n"/>
      <c r="E566" s="45" t="n"/>
      <c r="F566" s="50" t="n"/>
      <c r="G566" s="47" t="n"/>
      <c r="H566" s="52" t="n"/>
      <c r="I566" s="50" t="n"/>
      <c r="J566" s="53">
        <f t="shared" si="1"/>
      </c>
      <c r="K566" s="49">
        <f t="shared" si="2"/>
      </c>
      <c r="L566" s="2">
        <f t="shared" si="3"/>
      </c>
    </row>
    <row r="567">
      <c r="A567" s="43">
        <f t="shared" si="0"/>
      </c>
      <c r="B567" s="44" t="n"/>
      <c r="C567" s="45" t="n"/>
      <c r="D567" s="50" t="n"/>
      <c r="E567" s="45" t="n"/>
      <c r="F567" s="50" t="n"/>
      <c r="G567" s="47" t="n"/>
      <c r="H567" s="52" t="n"/>
      <c r="I567" s="50" t="n"/>
      <c r="J567" s="53">
        <f t="shared" si="1"/>
      </c>
      <c r="K567" s="49">
        <f t="shared" si="2"/>
      </c>
      <c r="L567" s="2">
        <f t="shared" si="3"/>
      </c>
    </row>
    <row r="568">
      <c r="A568" s="43">
        <f t="shared" si="0"/>
      </c>
      <c r="B568" s="44" t="n"/>
      <c r="C568" s="45" t="n"/>
      <c r="D568" s="50" t="n"/>
      <c r="E568" s="45" t="n"/>
      <c r="F568" s="50" t="n"/>
      <c r="G568" s="47" t="n"/>
      <c r="H568" s="52" t="n"/>
      <c r="I568" s="50" t="n"/>
      <c r="J568" s="53">
        <f t="shared" si="1"/>
      </c>
      <c r="K568" s="49">
        <f t="shared" si="2"/>
      </c>
      <c r="L568" s="2">
        <f t="shared" si="3"/>
      </c>
    </row>
    <row r="569">
      <c r="A569" s="43">
        <f t="shared" si="0"/>
      </c>
      <c r="B569" s="44" t="n"/>
      <c r="C569" s="45" t="n"/>
      <c r="D569" s="50" t="n"/>
      <c r="E569" s="45" t="n"/>
      <c r="F569" s="50" t="n"/>
      <c r="G569" s="47" t="n"/>
      <c r="H569" s="52" t="n"/>
      <c r="I569" s="50" t="n"/>
      <c r="J569" s="53">
        <f t="shared" si="1"/>
      </c>
      <c r="K569" s="49">
        <f t="shared" si="2"/>
      </c>
      <c r="L569" s="2">
        <f t="shared" si="3"/>
      </c>
    </row>
    <row r="570">
      <c r="A570" s="43">
        <f t="shared" si="0"/>
      </c>
      <c r="B570" s="44" t="n"/>
      <c r="C570" s="45" t="n"/>
      <c r="D570" s="50" t="n"/>
      <c r="E570" s="45" t="n"/>
      <c r="F570" s="50" t="n"/>
      <c r="G570" s="47" t="n"/>
      <c r="H570" s="52" t="n"/>
      <c r="I570" s="50" t="n"/>
      <c r="J570" s="53">
        <f t="shared" si="1"/>
      </c>
      <c r="K570" s="49">
        <f t="shared" si="2"/>
      </c>
      <c r="L570" s="2">
        <f t="shared" si="3"/>
      </c>
    </row>
    <row r="571">
      <c r="A571" s="43">
        <f t="shared" si="0"/>
      </c>
      <c r="B571" s="44" t="n"/>
      <c r="C571" s="45" t="n"/>
      <c r="D571" s="50" t="n"/>
      <c r="E571" s="45" t="n"/>
      <c r="F571" s="50" t="n"/>
      <c r="G571" s="47" t="n"/>
      <c r="H571" s="52" t="n"/>
      <c r="I571" s="50" t="n"/>
      <c r="J571" s="53">
        <f t="shared" si="1"/>
      </c>
      <c r="K571" s="49">
        <f t="shared" si="2"/>
      </c>
      <c r="L571" s="2">
        <f t="shared" si="3"/>
      </c>
    </row>
    <row r="572">
      <c r="A572" s="43">
        <f t="shared" si="0"/>
      </c>
      <c r="B572" s="44" t="n"/>
      <c r="C572" s="45" t="n"/>
      <c r="D572" s="50" t="n"/>
      <c r="E572" s="45" t="n"/>
      <c r="F572" s="50" t="n"/>
      <c r="G572" s="47" t="n"/>
      <c r="H572" s="52" t="n"/>
      <c r="I572" s="50" t="n"/>
      <c r="J572" s="53">
        <f t="shared" si="1"/>
      </c>
      <c r="K572" s="49">
        <f t="shared" si="2"/>
      </c>
      <c r="L572" s="2">
        <f t="shared" si="3"/>
      </c>
    </row>
    <row r="573">
      <c r="A573" s="43">
        <f t="shared" si="0"/>
      </c>
      <c r="B573" s="44" t="n"/>
      <c r="C573" s="45" t="n"/>
      <c r="D573" s="50" t="n"/>
      <c r="E573" s="45" t="n"/>
      <c r="F573" s="50" t="n"/>
      <c r="G573" s="47" t="n"/>
      <c r="H573" s="52" t="n"/>
      <c r="I573" s="50" t="n"/>
      <c r="J573" s="53">
        <f t="shared" si="1"/>
      </c>
      <c r="K573" s="49">
        <f t="shared" si="2"/>
      </c>
      <c r="L573" s="2">
        <f t="shared" si="3"/>
      </c>
    </row>
    <row r="574">
      <c r="A574" s="43">
        <f t="shared" si="0"/>
      </c>
      <c r="B574" s="44" t="n"/>
      <c r="C574" s="45" t="n"/>
      <c r="D574" s="50" t="n"/>
      <c r="E574" s="45" t="n"/>
      <c r="F574" s="50" t="n"/>
      <c r="G574" s="47" t="n"/>
      <c r="H574" s="52" t="n"/>
      <c r="I574" s="50" t="n"/>
      <c r="J574" s="53">
        <f t="shared" si="1"/>
      </c>
      <c r="K574" s="49">
        <f t="shared" si="2"/>
      </c>
      <c r="L574" s="2">
        <f t="shared" si="3"/>
      </c>
    </row>
    <row r="575">
      <c r="A575" s="43">
        <f t="shared" si="0"/>
      </c>
      <c r="B575" s="44" t="n"/>
      <c r="C575" s="45" t="n"/>
      <c r="D575" s="50" t="n"/>
      <c r="E575" s="45" t="n"/>
      <c r="F575" s="50" t="n"/>
      <c r="G575" s="47" t="n"/>
      <c r="H575" s="52" t="n"/>
      <c r="I575" s="50" t="n"/>
      <c r="J575" s="53">
        <f t="shared" si="1"/>
      </c>
      <c r="K575" s="49">
        <f t="shared" si="2"/>
      </c>
      <c r="L575" s="2">
        <f t="shared" si="3"/>
      </c>
    </row>
    <row r="576">
      <c r="A576" s="43">
        <f t="shared" si="0"/>
      </c>
      <c r="B576" s="44" t="n"/>
      <c r="C576" s="45" t="n"/>
      <c r="D576" s="50" t="n"/>
      <c r="E576" s="45" t="n"/>
      <c r="F576" s="50" t="n"/>
      <c r="G576" s="47" t="n"/>
      <c r="H576" s="52" t="n"/>
      <c r="I576" s="50" t="n"/>
      <c r="J576" s="53">
        <f t="shared" si="1"/>
      </c>
      <c r="K576" s="49">
        <f t="shared" si="2"/>
      </c>
      <c r="L576" s="2">
        <f t="shared" si="3"/>
      </c>
    </row>
    <row r="577">
      <c r="A577" s="43">
        <f t="shared" si="0"/>
      </c>
      <c r="B577" s="44" t="n"/>
      <c r="C577" s="45" t="n"/>
      <c r="D577" s="50" t="n"/>
      <c r="E577" s="45" t="n"/>
      <c r="F577" s="50" t="n"/>
      <c r="G577" s="47" t="n"/>
      <c r="H577" s="52" t="n"/>
      <c r="I577" s="50" t="n"/>
      <c r="J577" s="53">
        <f t="shared" si="1"/>
      </c>
      <c r="K577" s="49">
        <f t="shared" si="2"/>
      </c>
      <c r="L577" s="2">
        <f t="shared" si="3"/>
      </c>
    </row>
    <row r="578">
      <c r="A578" s="43">
        <f t="shared" si="0"/>
      </c>
      <c r="B578" s="44" t="n"/>
      <c r="C578" s="45" t="n"/>
      <c r="D578" s="50" t="n"/>
      <c r="E578" s="45" t="n"/>
      <c r="F578" s="50" t="n"/>
      <c r="G578" s="47" t="n"/>
      <c r="H578" s="52" t="n"/>
      <c r="I578" s="50" t="n"/>
      <c r="J578" s="53">
        <f t="shared" si="1"/>
      </c>
      <c r="K578" s="49">
        <f t="shared" si="2"/>
      </c>
      <c r="L578" s="2">
        <f t="shared" si="3"/>
      </c>
    </row>
    <row r="579">
      <c r="A579" s="43">
        <f t="shared" si="0"/>
      </c>
      <c r="B579" s="44" t="n"/>
      <c r="C579" s="45" t="n"/>
      <c r="D579" s="50" t="n"/>
      <c r="E579" s="45" t="n"/>
      <c r="F579" s="50" t="n"/>
      <c r="G579" s="47" t="n"/>
      <c r="H579" s="52" t="n"/>
      <c r="I579" s="50" t="n"/>
      <c r="J579" s="53">
        <f t="shared" si="1"/>
      </c>
      <c r="K579" s="49">
        <f t="shared" si="2"/>
      </c>
      <c r="L579" s="2">
        <f t="shared" si="3"/>
      </c>
    </row>
    <row r="580">
      <c r="A580" s="43">
        <f t="shared" si="0"/>
      </c>
      <c r="B580" s="44" t="n"/>
      <c r="C580" s="45" t="n"/>
      <c r="D580" s="50" t="n"/>
      <c r="E580" s="45" t="n"/>
      <c r="F580" s="50" t="n"/>
      <c r="G580" s="47" t="n"/>
      <c r="H580" s="52" t="n"/>
      <c r="I580" s="50" t="n"/>
      <c r="J580" s="53">
        <f t="shared" si="1"/>
      </c>
      <c r="K580" s="49">
        <f t="shared" si="2"/>
      </c>
      <c r="L580" s="2">
        <f t="shared" si="3"/>
      </c>
    </row>
    <row r="581">
      <c r="A581" s="43">
        <f t="shared" si="0"/>
      </c>
      <c r="B581" s="44" t="n"/>
      <c r="C581" s="45" t="n"/>
      <c r="D581" s="50" t="n"/>
      <c r="E581" s="45" t="n"/>
      <c r="F581" s="50" t="n"/>
      <c r="G581" s="47" t="n"/>
      <c r="H581" s="52" t="n"/>
      <c r="I581" s="50" t="n"/>
      <c r="J581" s="53">
        <f t="shared" si="1"/>
      </c>
      <c r="K581" s="49">
        <f t="shared" si="2"/>
      </c>
      <c r="L581" s="2">
        <f t="shared" si="3"/>
      </c>
    </row>
    <row r="582">
      <c r="A582" s="43">
        <f t="shared" si="0"/>
      </c>
      <c r="B582" s="44" t="n"/>
      <c r="C582" s="45" t="n"/>
      <c r="D582" s="50" t="n"/>
      <c r="E582" s="45" t="n"/>
      <c r="F582" s="50" t="n"/>
      <c r="G582" s="47" t="n"/>
      <c r="H582" s="52" t="n"/>
      <c r="I582" s="50" t="n"/>
      <c r="J582" s="53">
        <f t="shared" si="1"/>
      </c>
      <c r="K582" s="49">
        <f t="shared" si="2"/>
      </c>
      <c r="L582" s="2">
        <f t="shared" si="3"/>
      </c>
    </row>
    <row r="583">
      <c r="A583" s="43">
        <f t="shared" si="0"/>
      </c>
      <c r="B583" s="44" t="n"/>
      <c r="C583" s="45" t="n"/>
      <c r="D583" s="50" t="n"/>
      <c r="E583" s="45" t="n"/>
      <c r="F583" s="50" t="n"/>
      <c r="G583" s="47" t="n"/>
      <c r="H583" s="52" t="n"/>
      <c r="I583" s="50" t="n"/>
      <c r="J583" s="53">
        <f t="shared" si="1"/>
      </c>
      <c r="K583" s="49">
        <f t="shared" si="2"/>
      </c>
      <c r="L583" s="2">
        <f t="shared" si="3"/>
      </c>
    </row>
    <row r="584">
      <c r="A584" s="43">
        <f t="shared" si="0"/>
      </c>
      <c r="B584" s="44" t="n"/>
      <c r="C584" s="45" t="n"/>
      <c r="D584" s="50" t="n"/>
      <c r="E584" s="45" t="n"/>
      <c r="F584" s="50" t="n"/>
      <c r="G584" s="47" t="n"/>
      <c r="H584" s="52" t="n"/>
      <c r="I584" s="50" t="n"/>
      <c r="J584" s="53">
        <f t="shared" si="1"/>
      </c>
      <c r="K584" s="49">
        <f t="shared" si="2"/>
      </c>
      <c r="L584" s="2">
        <f t="shared" si="3"/>
      </c>
    </row>
    <row r="585">
      <c r="A585" s="43">
        <f t="shared" si="0"/>
      </c>
      <c r="B585" s="44" t="n"/>
      <c r="C585" s="45" t="n"/>
      <c r="D585" s="50" t="n"/>
      <c r="E585" s="45" t="n"/>
      <c r="F585" s="50" t="n"/>
      <c r="G585" s="47" t="n"/>
      <c r="H585" s="52" t="n"/>
      <c r="I585" s="50" t="n"/>
      <c r="J585" s="53">
        <f t="shared" si="1"/>
      </c>
      <c r="K585" s="49">
        <f t="shared" si="2"/>
      </c>
      <c r="L585" s="2">
        <f t="shared" si="3"/>
      </c>
    </row>
    <row r="586">
      <c r="A586" s="43">
        <f t="shared" si="0"/>
      </c>
      <c r="B586" s="44" t="n"/>
      <c r="C586" s="45" t="n"/>
      <c r="D586" s="50" t="n"/>
      <c r="E586" s="45" t="n"/>
      <c r="F586" s="50" t="n"/>
      <c r="G586" s="47" t="n"/>
      <c r="H586" s="52" t="n"/>
      <c r="I586" s="50" t="n"/>
      <c r="J586" s="53">
        <f t="shared" si="1"/>
      </c>
      <c r="K586" s="49">
        <f t="shared" si="2"/>
      </c>
      <c r="L586" s="2">
        <f t="shared" si="3"/>
      </c>
    </row>
    <row r="587">
      <c r="A587" s="43">
        <f t="shared" si="0"/>
      </c>
      <c r="B587" s="44" t="n"/>
      <c r="C587" s="45" t="n"/>
      <c r="D587" s="50" t="n"/>
      <c r="E587" s="45" t="n"/>
      <c r="F587" s="50" t="n"/>
      <c r="G587" s="47" t="n"/>
      <c r="H587" s="52" t="n"/>
      <c r="I587" s="50" t="n"/>
      <c r="J587" s="53">
        <f t="shared" si="1"/>
      </c>
      <c r="K587" s="49">
        <f t="shared" si="2"/>
      </c>
      <c r="L587" s="2">
        <f t="shared" si="3"/>
      </c>
    </row>
    <row r="588">
      <c r="A588" s="43">
        <f t="shared" si="0"/>
      </c>
      <c r="B588" s="44" t="n"/>
      <c r="C588" s="45" t="n"/>
      <c r="D588" s="50" t="n"/>
      <c r="E588" s="45" t="n"/>
      <c r="F588" s="50" t="n"/>
      <c r="G588" s="47" t="n"/>
      <c r="H588" s="52" t="n"/>
      <c r="I588" s="50" t="n"/>
      <c r="J588" s="53">
        <f t="shared" si="1"/>
      </c>
      <c r="K588" s="49">
        <f t="shared" si="2"/>
      </c>
      <c r="L588" s="2">
        <f t="shared" si="3"/>
      </c>
    </row>
    <row r="589">
      <c r="A589" s="43">
        <f t="shared" si="0"/>
      </c>
      <c r="B589" s="44" t="n"/>
      <c r="C589" s="45" t="n"/>
      <c r="D589" s="50" t="n"/>
      <c r="E589" s="45" t="n"/>
      <c r="F589" s="50" t="n"/>
      <c r="G589" s="47" t="n"/>
      <c r="H589" s="52" t="n"/>
      <c r="I589" s="50" t="n"/>
      <c r="J589" s="53">
        <f t="shared" si="1"/>
      </c>
      <c r="K589" s="49">
        <f t="shared" si="2"/>
      </c>
      <c r="L589" s="2">
        <f t="shared" si="3"/>
      </c>
    </row>
    <row r="590">
      <c r="A590" s="43">
        <f t="shared" si="0"/>
      </c>
      <c r="B590" s="44" t="n"/>
      <c r="C590" s="45" t="n"/>
      <c r="D590" s="50" t="n"/>
      <c r="E590" s="45" t="n"/>
      <c r="F590" s="50" t="n"/>
      <c r="G590" s="47" t="n"/>
      <c r="H590" s="52" t="n"/>
      <c r="I590" s="50" t="n"/>
      <c r="J590" s="53">
        <f t="shared" si="1"/>
      </c>
      <c r="K590" s="49">
        <f t="shared" si="2"/>
      </c>
      <c r="L590" s="2">
        <f t="shared" si="3"/>
      </c>
    </row>
    <row r="591">
      <c r="A591" s="43">
        <f t="shared" si="0"/>
      </c>
      <c r="B591" s="44" t="n"/>
      <c r="C591" s="45" t="n"/>
      <c r="D591" s="50" t="n"/>
      <c r="E591" s="45" t="n"/>
      <c r="F591" s="50" t="n"/>
      <c r="G591" s="47" t="n"/>
      <c r="H591" s="52" t="n"/>
      <c r="I591" s="50" t="n"/>
      <c r="J591" s="53">
        <f t="shared" si="1"/>
      </c>
      <c r="K591" s="49">
        <f t="shared" si="2"/>
      </c>
      <c r="L591" s="2">
        <f t="shared" si="3"/>
      </c>
    </row>
    <row r="592">
      <c r="A592" s="43">
        <f t="shared" si="0"/>
      </c>
      <c r="B592" s="44" t="n"/>
      <c r="C592" s="45" t="n"/>
      <c r="D592" s="50" t="n"/>
      <c r="E592" s="45" t="n"/>
      <c r="F592" s="50" t="n"/>
      <c r="G592" s="47" t="n"/>
      <c r="H592" s="52" t="n"/>
      <c r="I592" s="50" t="n"/>
      <c r="J592" s="53">
        <f t="shared" si="1"/>
      </c>
      <c r="K592" s="49">
        <f t="shared" si="2"/>
      </c>
      <c r="L592" s="2">
        <f t="shared" si="3"/>
      </c>
    </row>
    <row r="593">
      <c r="A593" s="43">
        <f t="shared" si="0"/>
      </c>
      <c r="B593" s="44" t="n"/>
      <c r="C593" s="45" t="n"/>
      <c r="D593" s="50" t="n"/>
      <c r="E593" s="45" t="n"/>
      <c r="F593" s="50" t="n"/>
      <c r="G593" s="47" t="n"/>
      <c r="H593" s="52" t="n"/>
      <c r="I593" s="50" t="n"/>
      <c r="J593" s="53">
        <f t="shared" si="1"/>
      </c>
      <c r="K593" s="49">
        <f t="shared" si="2"/>
      </c>
      <c r="L593" s="2">
        <f t="shared" si="3"/>
      </c>
    </row>
    <row r="594">
      <c r="A594" s="43">
        <f t="shared" si="0"/>
      </c>
      <c r="B594" s="44" t="n"/>
      <c r="C594" s="45" t="n"/>
      <c r="D594" s="50" t="n"/>
      <c r="E594" s="45" t="n"/>
      <c r="F594" s="50" t="n"/>
      <c r="G594" s="47" t="n"/>
      <c r="H594" s="52" t="n"/>
      <c r="I594" s="50" t="n"/>
      <c r="J594" s="53">
        <f t="shared" si="1"/>
      </c>
      <c r="K594" s="49">
        <f t="shared" si="2"/>
      </c>
      <c r="L594" s="2">
        <f t="shared" si="3"/>
      </c>
    </row>
    <row r="595">
      <c r="A595" s="43">
        <f t="shared" si="0"/>
      </c>
      <c r="B595" s="44" t="n"/>
      <c r="C595" s="45" t="n"/>
      <c r="D595" s="50" t="n"/>
      <c r="E595" s="45" t="n"/>
      <c r="F595" s="50" t="n"/>
      <c r="G595" s="47" t="n"/>
      <c r="H595" s="52" t="n"/>
      <c r="I595" s="50" t="n"/>
      <c r="J595" s="53">
        <f t="shared" si="1"/>
      </c>
      <c r="K595" s="49">
        <f t="shared" si="2"/>
      </c>
      <c r="L595" s="2">
        <f t="shared" si="3"/>
      </c>
    </row>
    <row r="596">
      <c r="A596" s="43">
        <f t="shared" si="0"/>
      </c>
      <c r="B596" s="44" t="n"/>
      <c r="C596" s="45" t="n"/>
      <c r="D596" s="50" t="n"/>
      <c r="E596" s="45" t="n"/>
      <c r="F596" s="50" t="n"/>
      <c r="G596" s="47" t="n"/>
      <c r="H596" s="52" t="n"/>
      <c r="I596" s="50" t="n"/>
      <c r="J596" s="53">
        <f t="shared" si="1"/>
      </c>
      <c r="K596" s="49">
        <f t="shared" si="2"/>
      </c>
      <c r="L596" s="2">
        <f t="shared" si="3"/>
      </c>
    </row>
    <row r="597">
      <c r="A597" s="43">
        <f t="shared" si="0"/>
      </c>
      <c r="B597" s="44" t="n"/>
      <c r="C597" s="45" t="n"/>
      <c r="D597" s="50" t="n"/>
      <c r="E597" s="45" t="n"/>
      <c r="F597" s="50" t="n"/>
      <c r="G597" s="47" t="n"/>
      <c r="H597" s="52" t="n"/>
      <c r="I597" s="50" t="n"/>
      <c r="J597" s="53">
        <f t="shared" si="1"/>
      </c>
      <c r="K597" s="49">
        <f t="shared" si="2"/>
      </c>
      <c r="L597" s="2">
        <f t="shared" si="3"/>
      </c>
    </row>
    <row r="598">
      <c r="A598" s="43">
        <f t="shared" si="0"/>
      </c>
      <c r="B598" s="44" t="n"/>
      <c r="C598" s="45" t="n"/>
      <c r="D598" s="50" t="n"/>
      <c r="E598" s="45" t="n"/>
      <c r="F598" s="50" t="n"/>
      <c r="G598" s="47" t="n"/>
      <c r="H598" s="52" t="n"/>
      <c r="I598" s="50" t="n"/>
      <c r="J598" s="53">
        <f t="shared" si="1"/>
      </c>
      <c r="K598" s="49">
        <f t="shared" si="2"/>
      </c>
      <c r="L598" s="2">
        <f t="shared" si="3"/>
      </c>
    </row>
    <row r="599">
      <c r="A599" s="43">
        <f t="shared" si="0"/>
      </c>
      <c r="B599" s="44" t="n"/>
      <c r="C599" s="45" t="n"/>
      <c r="D599" s="50" t="n"/>
      <c r="E599" s="45" t="n"/>
      <c r="F599" s="50" t="n"/>
      <c r="G599" s="47" t="n"/>
      <c r="H599" s="52" t="n"/>
      <c r="I599" s="50" t="n"/>
      <c r="J599" s="53">
        <f t="shared" si="1"/>
      </c>
      <c r="K599" s="49">
        <f t="shared" si="2"/>
      </c>
      <c r="L599" s="2">
        <f t="shared" si="3"/>
      </c>
    </row>
    <row r="600">
      <c r="A600" s="43">
        <f t="shared" si="0"/>
      </c>
      <c r="B600" s="44" t="n"/>
      <c r="C600" s="45" t="n"/>
      <c r="D600" s="50" t="n"/>
      <c r="E600" s="45" t="n"/>
      <c r="F600" s="50" t="n"/>
      <c r="G600" s="47" t="n"/>
      <c r="H600" s="52" t="n"/>
      <c r="I600" s="50" t="n"/>
      <c r="J600" s="53">
        <f t="shared" si="1"/>
      </c>
      <c r="K600" s="49">
        <f t="shared" si="2"/>
      </c>
      <c r="L600" s="2">
        <f t="shared" si="3"/>
      </c>
    </row>
    <row r="601">
      <c r="A601" s="43">
        <f t="shared" si="0"/>
      </c>
      <c r="B601" s="44" t="n"/>
      <c r="C601" s="45" t="n"/>
      <c r="D601" s="50" t="n"/>
      <c r="E601" s="45" t="n"/>
      <c r="F601" s="50" t="n"/>
      <c r="G601" s="47" t="n"/>
      <c r="H601" s="52" t="n"/>
      <c r="I601" s="50" t="n"/>
      <c r="J601" s="53">
        <f t="shared" si="1"/>
      </c>
      <c r="K601" s="49">
        <f t="shared" si="2"/>
      </c>
      <c r="L601" s="2">
        <f t="shared" si="3"/>
      </c>
    </row>
    <row r="602">
      <c r="A602" s="43">
        <f t="shared" si="0"/>
      </c>
      <c r="B602" s="44" t="n"/>
      <c r="C602" s="45" t="n"/>
      <c r="D602" s="50" t="n"/>
      <c r="E602" s="45" t="n"/>
      <c r="F602" s="50" t="n"/>
      <c r="G602" s="47" t="n"/>
      <c r="H602" s="52" t="n"/>
      <c r="I602" s="50" t="n"/>
      <c r="J602" s="53">
        <f t="shared" si="1"/>
      </c>
      <c r="K602" s="49">
        <f t="shared" si="2"/>
      </c>
      <c r="L602" s="2">
        <f t="shared" si="3"/>
      </c>
    </row>
    <row r="603">
      <c r="A603" s="43">
        <f t="shared" si="0"/>
      </c>
      <c r="B603" s="44" t="n"/>
      <c r="C603" s="45" t="n"/>
      <c r="D603" s="50" t="n"/>
      <c r="E603" s="45" t="n"/>
      <c r="F603" s="50" t="n"/>
      <c r="G603" s="47" t="n"/>
      <c r="H603" s="52" t="n"/>
      <c r="I603" s="50" t="n"/>
      <c r="J603" s="53">
        <f t="shared" si="1"/>
      </c>
      <c r="K603" s="49">
        <f t="shared" si="2"/>
      </c>
      <c r="L603" s="2">
        <f t="shared" si="3"/>
      </c>
    </row>
    <row r="604">
      <c r="A604" s="43">
        <f t="shared" si="0"/>
      </c>
      <c r="B604" s="44" t="n"/>
      <c r="C604" s="45" t="n"/>
      <c r="D604" s="50" t="n"/>
      <c r="E604" s="45" t="n"/>
      <c r="F604" s="50" t="n"/>
      <c r="G604" s="47" t="n"/>
      <c r="H604" s="52" t="n"/>
      <c r="I604" s="50" t="n"/>
      <c r="J604" s="53">
        <f t="shared" si="1"/>
      </c>
      <c r="K604" s="49">
        <f t="shared" si="2"/>
      </c>
      <c r="L604" s="2">
        <f t="shared" si="3"/>
      </c>
    </row>
    <row r="605">
      <c r="A605" s="43">
        <f t="shared" si="0"/>
      </c>
      <c r="B605" s="44" t="n"/>
      <c r="C605" s="45" t="n"/>
      <c r="D605" s="50" t="n"/>
      <c r="E605" s="45" t="n"/>
      <c r="F605" s="50" t="n"/>
      <c r="G605" s="47" t="n"/>
      <c r="H605" s="52" t="n"/>
      <c r="I605" s="50" t="n"/>
      <c r="J605" s="53">
        <f t="shared" si="1"/>
      </c>
      <c r="K605" s="49">
        <f t="shared" si="2"/>
      </c>
      <c r="L605" s="2">
        <f t="shared" si="3"/>
      </c>
    </row>
    <row r="606">
      <c r="A606" s="43">
        <f t="shared" si="0"/>
      </c>
      <c r="B606" s="44" t="n"/>
      <c r="C606" s="45" t="n"/>
      <c r="D606" s="50" t="n"/>
      <c r="E606" s="45" t="n"/>
      <c r="F606" s="50" t="n"/>
      <c r="G606" s="47" t="n"/>
      <c r="H606" s="52" t="n"/>
      <c r="I606" s="50" t="n"/>
      <c r="J606" s="53">
        <f t="shared" si="1"/>
      </c>
      <c r="K606" s="49">
        <f t="shared" si="2"/>
      </c>
      <c r="L606" s="2">
        <f t="shared" si="3"/>
      </c>
    </row>
    <row r="607">
      <c r="A607" s="43">
        <f t="shared" si="0"/>
      </c>
      <c r="B607" s="44" t="n"/>
      <c r="C607" s="45" t="n"/>
      <c r="D607" s="50" t="n"/>
      <c r="E607" s="45" t="n"/>
      <c r="F607" s="50" t="n"/>
      <c r="G607" s="47" t="n"/>
      <c r="H607" s="52" t="n"/>
      <c r="I607" s="50" t="n"/>
      <c r="J607" s="53">
        <f t="shared" si="1"/>
      </c>
      <c r="K607" s="49">
        <f t="shared" si="2"/>
      </c>
      <c r="L607" s="2">
        <f t="shared" si="3"/>
      </c>
    </row>
    <row r="608">
      <c r="A608" s="43">
        <f t="shared" si="0"/>
      </c>
      <c r="B608" s="44" t="n"/>
      <c r="C608" s="45" t="n"/>
      <c r="D608" s="50" t="n"/>
      <c r="E608" s="45" t="n"/>
      <c r="F608" s="50" t="n"/>
      <c r="G608" s="47" t="n"/>
      <c r="H608" s="52" t="n"/>
      <c r="I608" s="50" t="n"/>
      <c r="J608" s="53">
        <f t="shared" si="1"/>
      </c>
      <c r="K608" s="49">
        <f t="shared" si="2"/>
      </c>
      <c r="L608" s="2">
        <f t="shared" si="3"/>
      </c>
    </row>
    <row r="609">
      <c r="A609" s="43">
        <f t="shared" si="0"/>
      </c>
      <c r="B609" s="44" t="n"/>
      <c r="C609" s="45" t="n"/>
      <c r="D609" s="50" t="n"/>
      <c r="E609" s="45" t="n"/>
      <c r="F609" s="50" t="n"/>
      <c r="G609" s="47" t="n"/>
      <c r="H609" s="52" t="n"/>
      <c r="I609" s="50" t="n"/>
      <c r="J609" s="53">
        <f t="shared" si="1"/>
      </c>
      <c r="K609" s="49">
        <f t="shared" si="2"/>
      </c>
      <c r="L609" s="2">
        <f t="shared" si="3"/>
      </c>
    </row>
    <row r="610">
      <c r="A610" s="43">
        <f t="shared" si="0"/>
      </c>
      <c r="B610" s="44" t="n"/>
      <c r="C610" s="45" t="n"/>
      <c r="D610" s="50" t="n"/>
      <c r="E610" s="45" t="n"/>
      <c r="F610" s="50" t="n"/>
      <c r="G610" s="47" t="n"/>
      <c r="H610" s="52" t="n"/>
      <c r="I610" s="50" t="n"/>
      <c r="J610" s="53">
        <f t="shared" si="1"/>
      </c>
      <c r="K610" s="49">
        <f t="shared" si="2"/>
      </c>
      <c r="L610" s="2">
        <f t="shared" si="3"/>
      </c>
    </row>
    <row r="611">
      <c r="A611" s="43">
        <f t="shared" si="0"/>
      </c>
      <c r="B611" s="44" t="n"/>
      <c r="C611" s="45" t="n"/>
      <c r="D611" s="50" t="n"/>
      <c r="E611" s="45" t="n"/>
      <c r="F611" s="50" t="n"/>
      <c r="G611" s="47" t="n"/>
      <c r="H611" s="52" t="n"/>
      <c r="I611" s="50" t="n"/>
      <c r="J611" s="53">
        <f t="shared" si="1"/>
      </c>
      <c r="K611" s="49">
        <f t="shared" si="2"/>
      </c>
      <c r="L611" s="2">
        <f t="shared" si="3"/>
      </c>
    </row>
    <row r="612">
      <c r="A612" s="43">
        <f t="shared" si="0"/>
      </c>
      <c r="B612" s="44" t="n"/>
      <c r="C612" s="45" t="n"/>
      <c r="D612" s="50" t="n"/>
      <c r="E612" s="45" t="n"/>
      <c r="F612" s="50" t="n"/>
      <c r="G612" s="47" t="n"/>
      <c r="H612" s="52" t="n"/>
      <c r="I612" s="50" t="n"/>
      <c r="J612" s="53">
        <f t="shared" si="1"/>
      </c>
      <c r="K612" s="49">
        <f t="shared" si="2"/>
      </c>
      <c r="L612" s="2">
        <f t="shared" si="3"/>
      </c>
    </row>
    <row r="613">
      <c r="A613" s="43">
        <f t="shared" si="0"/>
      </c>
      <c r="B613" s="44" t="n"/>
      <c r="C613" s="45" t="n"/>
      <c r="D613" s="50" t="n"/>
      <c r="E613" s="45" t="n"/>
      <c r="F613" s="50" t="n"/>
      <c r="G613" s="47" t="n"/>
      <c r="H613" s="52" t="n"/>
      <c r="I613" s="50" t="n"/>
      <c r="J613" s="53">
        <f t="shared" si="1"/>
      </c>
      <c r="K613" s="49">
        <f t="shared" si="2"/>
      </c>
      <c r="L613" s="2">
        <f t="shared" si="3"/>
      </c>
    </row>
    <row r="614">
      <c r="A614" s="43">
        <f t="shared" si="0"/>
      </c>
      <c r="B614" s="44" t="n"/>
      <c r="C614" s="45" t="n"/>
      <c r="D614" s="50" t="n"/>
      <c r="E614" s="45" t="n"/>
      <c r="F614" s="50" t="n"/>
      <c r="G614" s="47" t="n"/>
      <c r="H614" s="52" t="n"/>
      <c r="I614" s="50" t="n"/>
      <c r="J614" s="53">
        <f t="shared" si="1"/>
      </c>
      <c r="K614" s="49">
        <f t="shared" si="2"/>
      </c>
      <c r="L614" s="2">
        <f t="shared" si="3"/>
      </c>
    </row>
    <row r="615">
      <c r="A615" s="43">
        <f t="shared" si="0"/>
      </c>
      <c r="B615" s="44" t="n"/>
      <c r="C615" s="45" t="n"/>
      <c r="D615" s="50" t="n"/>
      <c r="E615" s="45" t="n"/>
      <c r="F615" s="50" t="n"/>
      <c r="G615" s="47" t="n"/>
      <c r="H615" s="52" t="n"/>
      <c r="I615" s="50" t="n"/>
      <c r="J615" s="53">
        <f t="shared" si="1"/>
      </c>
      <c r="K615" s="49">
        <f t="shared" si="2"/>
      </c>
      <c r="L615" s="2">
        <f t="shared" si="3"/>
      </c>
    </row>
    <row r="616">
      <c r="A616" s="43">
        <f t="shared" si="0"/>
      </c>
      <c r="B616" s="44" t="n"/>
      <c r="C616" s="45" t="n"/>
      <c r="D616" s="50" t="n"/>
      <c r="E616" s="45" t="n"/>
      <c r="F616" s="50" t="n"/>
      <c r="G616" s="47" t="n"/>
      <c r="H616" s="52" t="n"/>
      <c r="I616" s="50" t="n"/>
      <c r="J616" s="53">
        <f t="shared" si="1"/>
      </c>
      <c r="K616" s="49">
        <f t="shared" si="2"/>
      </c>
      <c r="L616" s="2">
        <f t="shared" si="3"/>
      </c>
    </row>
    <row r="617">
      <c r="A617" s="43">
        <f t="shared" si="0"/>
      </c>
      <c r="B617" s="44" t="n"/>
      <c r="C617" s="45" t="n"/>
      <c r="D617" s="50" t="n"/>
      <c r="E617" s="45" t="n"/>
      <c r="F617" s="50" t="n"/>
      <c r="G617" s="47" t="n"/>
      <c r="H617" s="52" t="n"/>
      <c r="I617" s="50" t="n"/>
      <c r="J617" s="53">
        <f t="shared" si="1"/>
      </c>
      <c r="K617" s="49">
        <f t="shared" si="2"/>
      </c>
      <c r="L617" s="2">
        <f t="shared" si="3"/>
      </c>
    </row>
    <row r="618">
      <c r="A618" s="43">
        <f t="shared" si="0"/>
      </c>
      <c r="B618" s="44" t="n"/>
      <c r="C618" s="45" t="n"/>
      <c r="D618" s="50" t="n"/>
      <c r="E618" s="45" t="n"/>
      <c r="F618" s="50" t="n"/>
      <c r="G618" s="47" t="n"/>
      <c r="H618" s="52" t="n"/>
      <c r="I618" s="50" t="n"/>
      <c r="J618" s="53">
        <f t="shared" si="1"/>
      </c>
      <c r="K618" s="49">
        <f t="shared" si="2"/>
      </c>
      <c r="L618" s="2">
        <f t="shared" si="3"/>
      </c>
    </row>
    <row r="619">
      <c r="A619" s="43">
        <f t="shared" si="0"/>
      </c>
      <c r="B619" s="44" t="n"/>
      <c r="C619" s="45" t="n"/>
      <c r="D619" s="50" t="n"/>
      <c r="E619" s="45" t="n"/>
      <c r="F619" s="50" t="n"/>
      <c r="G619" s="47" t="n"/>
      <c r="H619" s="52" t="n"/>
      <c r="I619" s="50" t="n"/>
      <c r="J619" s="53">
        <f t="shared" si="1"/>
      </c>
      <c r="K619" s="49">
        <f t="shared" si="2"/>
      </c>
      <c r="L619" s="2">
        <f t="shared" si="3"/>
      </c>
    </row>
    <row r="620">
      <c r="A620" s="43">
        <f t="shared" si="0"/>
      </c>
      <c r="B620" s="44" t="n"/>
      <c r="C620" s="45" t="n"/>
      <c r="D620" s="50" t="n"/>
      <c r="E620" s="45" t="n"/>
      <c r="F620" s="50" t="n"/>
      <c r="G620" s="47" t="n"/>
      <c r="H620" s="52" t="n"/>
      <c r="I620" s="50" t="n"/>
      <c r="J620" s="53">
        <f t="shared" si="1"/>
      </c>
      <c r="K620" s="49">
        <f t="shared" si="2"/>
      </c>
      <c r="L620" s="2">
        <f t="shared" si="3"/>
      </c>
    </row>
    <row r="621">
      <c r="A621" s="43">
        <f t="shared" si="0"/>
      </c>
      <c r="B621" s="44" t="n"/>
      <c r="C621" s="45" t="n"/>
      <c r="D621" s="50" t="n"/>
      <c r="E621" s="45" t="n"/>
      <c r="F621" s="50" t="n"/>
      <c r="G621" s="47" t="n"/>
      <c r="H621" s="52" t="n"/>
      <c r="I621" s="50" t="n"/>
      <c r="J621" s="53">
        <f t="shared" si="1"/>
      </c>
      <c r="K621" s="49">
        <f t="shared" si="2"/>
      </c>
      <c r="L621" s="2">
        <f t="shared" si="3"/>
      </c>
    </row>
    <row r="622">
      <c r="A622" s="43">
        <f t="shared" si="0"/>
      </c>
      <c r="B622" s="44" t="n"/>
      <c r="C622" s="45" t="n"/>
      <c r="D622" s="50" t="n"/>
      <c r="E622" s="45" t="n"/>
      <c r="F622" s="50" t="n"/>
      <c r="G622" s="47" t="n"/>
      <c r="H622" s="52" t="n"/>
      <c r="I622" s="50" t="n"/>
      <c r="J622" s="53">
        <f t="shared" si="1"/>
      </c>
      <c r="K622" s="49">
        <f t="shared" si="2"/>
      </c>
      <c r="L622" s="2">
        <f t="shared" si="3"/>
      </c>
    </row>
    <row r="623">
      <c r="A623" s="43">
        <f t="shared" si="0"/>
      </c>
      <c r="B623" s="44" t="n"/>
      <c r="C623" s="45" t="n"/>
      <c r="D623" s="50" t="n"/>
      <c r="E623" s="45" t="n"/>
      <c r="F623" s="50" t="n"/>
      <c r="G623" s="47" t="n"/>
      <c r="H623" s="52" t="n"/>
      <c r="I623" s="50" t="n"/>
      <c r="J623" s="53">
        <f t="shared" si="1"/>
      </c>
      <c r="K623" s="49">
        <f t="shared" si="2"/>
      </c>
      <c r="L623" s="2">
        <f t="shared" si="3"/>
      </c>
    </row>
    <row r="624">
      <c r="A624" s="43">
        <f t="shared" si="0"/>
      </c>
      <c r="B624" s="44" t="n"/>
      <c r="C624" s="45" t="n"/>
      <c r="D624" s="50" t="n"/>
      <c r="E624" s="45" t="n"/>
      <c r="F624" s="50" t="n"/>
      <c r="G624" s="47" t="n"/>
      <c r="H624" s="52" t="n"/>
      <c r="I624" s="50" t="n"/>
      <c r="J624" s="53">
        <f t="shared" si="1"/>
      </c>
      <c r="K624" s="49">
        <f t="shared" si="2"/>
      </c>
      <c r="L624" s="2">
        <f t="shared" si="3"/>
      </c>
    </row>
    <row r="625">
      <c r="A625" s="43">
        <f t="shared" si="0"/>
      </c>
      <c r="B625" s="44" t="n"/>
      <c r="C625" s="45" t="n"/>
      <c r="D625" s="50" t="n"/>
      <c r="E625" s="45" t="n"/>
      <c r="F625" s="50" t="n"/>
      <c r="G625" s="47" t="n"/>
      <c r="H625" s="52" t="n"/>
      <c r="I625" s="50" t="n"/>
      <c r="J625" s="53">
        <f t="shared" si="1"/>
      </c>
      <c r="K625" s="49">
        <f t="shared" si="2"/>
      </c>
      <c r="L625" s="2">
        <f t="shared" si="3"/>
      </c>
    </row>
    <row r="626">
      <c r="A626" s="43">
        <f t="shared" si="0"/>
      </c>
      <c r="B626" s="44" t="n"/>
      <c r="C626" s="45" t="n"/>
      <c r="D626" s="50" t="n"/>
      <c r="E626" s="45" t="n"/>
      <c r="F626" s="50" t="n"/>
      <c r="G626" s="47" t="n"/>
      <c r="H626" s="52" t="n"/>
      <c r="I626" s="50" t="n"/>
      <c r="J626" s="53">
        <f t="shared" si="1"/>
      </c>
      <c r="K626" s="49">
        <f t="shared" si="2"/>
      </c>
      <c r="L626" s="2">
        <f t="shared" si="3"/>
      </c>
    </row>
    <row r="627">
      <c r="A627" s="43">
        <f t="shared" si="0"/>
      </c>
      <c r="B627" s="44" t="n"/>
      <c r="C627" s="45" t="n"/>
      <c r="D627" s="50" t="n"/>
      <c r="E627" s="45" t="n"/>
      <c r="F627" s="50" t="n"/>
      <c r="G627" s="47" t="n"/>
      <c r="H627" s="52" t="n"/>
      <c r="I627" s="50" t="n"/>
      <c r="J627" s="53">
        <f t="shared" si="1"/>
      </c>
      <c r="K627" s="49">
        <f t="shared" si="2"/>
      </c>
      <c r="L627" s="2">
        <f t="shared" si="3"/>
      </c>
    </row>
    <row r="628">
      <c r="A628" s="43">
        <f t="shared" si="0"/>
      </c>
      <c r="B628" s="44" t="n"/>
      <c r="C628" s="45" t="n"/>
      <c r="D628" s="50" t="n"/>
      <c r="E628" s="45" t="n"/>
      <c r="F628" s="50" t="n"/>
      <c r="G628" s="47" t="n"/>
      <c r="H628" s="52" t="n"/>
      <c r="I628" s="50" t="n"/>
      <c r="J628" s="53">
        <f t="shared" si="1"/>
      </c>
      <c r="K628" s="49">
        <f t="shared" si="2"/>
      </c>
      <c r="L628" s="2">
        <f t="shared" si="3"/>
      </c>
    </row>
    <row r="629">
      <c r="A629" s="43">
        <f t="shared" si="0"/>
      </c>
      <c r="B629" s="44" t="n"/>
      <c r="C629" s="45" t="n"/>
      <c r="D629" s="50" t="n"/>
      <c r="E629" s="45" t="n"/>
      <c r="F629" s="50" t="n"/>
      <c r="G629" s="47" t="n"/>
      <c r="H629" s="52" t="n"/>
      <c r="I629" s="50" t="n"/>
      <c r="J629" s="53">
        <f t="shared" si="1"/>
      </c>
      <c r="K629" s="49">
        <f t="shared" si="2"/>
      </c>
      <c r="L629" s="2">
        <f t="shared" si="3"/>
      </c>
    </row>
    <row r="630">
      <c r="A630" s="43">
        <f t="shared" si="0"/>
      </c>
      <c r="B630" s="44" t="n"/>
      <c r="C630" s="45" t="n"/>
      <c r="D630" s="50" t="n"/>
      <c r="E630" s="45" t="n"/>
      <c r="F630" s="50" t="n"/>
      <c r="G630" s="47" t="n"/>
      <c r="H630" s="52" t="n"/>
      <c r="I630" s="50" t="n"/>
      <c r="J630" s="53">
        <f t="shared" si="1"/>
      </c>
      <c r="K630" s="49">
        <f t="shared" si="2"/>
      </c>
      <c r="L630" s="2">
        <f t="shared" si="3"/>
      </c>
    </row>
    <row r="631">
      <c r="A631" s="43">
        <f t="shared" si="0"/>
      </c>
      <c r="B631" s="44" t="n"/>
      <c r="C631" s="45" t="n"/>
      <c r="D631" s="50" t="n"/>
      <c r="E631" s="45" t="n"/>
      <c r="F631" s="50" t="n"/>
      <c r="G631" s="47" t="n"/>
      <c r="H631" s="52" t="n"/>
      <c r="I631" s="50" t="n"/>
      <c r="J631" s="53">
        <f t="shared" si="1"/>
      </c>
      <c r="K631" s="49">
        <f t="shared" si="2"/>
      </c>
      <c r="L631" s="2">
        <f t="shared" si="3"/>
      </c>
    </row>
    <row r="632">
      <c r="A632" s="43">
        <f t="shared" si="0"/>
      </c>
      <c r="B632" s="44" t="n"/>
      <c r="C632" s="45" t="n"/>
      <c r="D632" s="50" t="n"/>
      <c r="E632" s="45" t="n"/>
      <c r="F632" s="50" t="n"/>
      <c r="G632" s="47" t="n"/>
      <c r="H632" s="52" t="n"/>
      <c r="I632" s="50" t="n"/>
      <c r="J632" s="53">
        <f t="shared" si="1"/>
      </c>
      <c r="K632" s="49">
        <f t="shared" si="2"/>
      </c>
      <c r="L632" s="2">
        <f t="shared" si="3"/>
      </c>
    </row>
    <row r="633">
      <c r="A633" s="43">
        <f t="shared" si="0"/>
      </c>
      <c r="B633" s="44" t="n"/>
      <c r="C633" s="45" t="n"/>
      <c r="D633" s="50" t="n"/>
      <c r="E633" s="45" t="n"/>
      <c r="F633" s="50" t="n"/>
      <c r="G633" s="47" t="n"/>
      <c r="H633" s="52" t="n"/>
      <c r="I633" s="50" t="n"/>
      <c r="J633" s="53">
        <f t="shared" si="1"/>
      </c>
      <c r="K633" s="49">
        <f t="shared" si="2"/>
      </c>
      <c r="L633" s="2">
        <f t="shared" si="3"/>
      </c>
    </row>
    <row r="634">
      <c r="A634" s="43">
        <f t="shared" si="0"/>
      </c>
      <c r="B634" s="44" t="n"/>
      <c r="C634" s="45" t="n"/>
      <c r="D634" s="50" t="n"/>
      <c r="E634" s="45" t="n"/>
      <c r="F634" s="50" t="n"/>
      <c r="G634" s="47" t="n"/>
      <c r="H634" s="52" t="n"/>
      <c r="I634" s="50" t="n"/>
      <c r="J634" s="53">
        <f t="shared" si="1"/>
      </c>
      <c r="K634" s="49">
        <f t="shared" si="2"/>
      </c>
      <c r="L634" s="2">
        <f t="shared" si="3"/>
      </c>
    </row>
    <row r="635">
      <c r="A635" s="43">
        <f t="shared" si="0"/>
      </c>
      <c r="B635" s="44" t="n"/>
      <c r="C635" s="45" t="n"/>
      <c r="D635" s="50" t="n"/>
      <c r="E635" s="45" t="n"/>
      <c r="F635" s="50" t="n"/>
      <c r="G635" s="47" t="n"/>
      <c r="H635" s="52" t="n"/>
      <c r="I635" s="50" t="n"/>
      <c r="J635" s="53">
        <f t="shared" si="1"/>
      </c>
      <c r="K635" s="49">
        <f t="shared" si="2"/>
      </c>
      <c r="L635" s="2">
        <f t="shared" si="3"/>
      </c>
    </row>
    <row r="636">
      <c r="A636" s="43">
        <f t="shared" si="0"/>
      </c>
      <c r="B636" s="44" t="n"/>
      <c r="C636" s="45" t="n"/>
      <c r="D636" s="50" t="n"/>
      <c r="E636" s="45" t="n"/>
      <c r="F636" s="50" t="n"/>
      <c r="G636" s="47" t="n"/>
      <c r="H636" s="52" t="n"/>
      <c r="I636" s="50" t="n"/>
      <c r="J636" s="53">
        <f t="shared" si="1"/>
      </c>
      <c r="K636" s="49">
        <f t="shared" si="2"/>
      </c>
      <c r="L636" s="2">
        <f t="shared" si="3"/>
      </c>
    </row>
    <row r="637">
      <c r="A637" s="43">
        <f t="shared" si="0"/>
      </c>
      <c r="B637" s="44" t="n"/>
      <c r="C637" s="45" t="n"/>
      <c r="D637" s="50" t="n"/>
      <c r="E637" s="45" t="n"/>
      <c r="F637" s="50" t="n"/>
      <c r="G637" s="47" t="n"/>
      <c r="H637" s="52" t="n"/>
      <c r="I637" s="50" t="n"/>
      <c r="J637" s="53">
        <f t="shared" si="1"/>
      </c>
      <c r="K637" s="49">
        <f t="shared" si="2"/>
      </c>
      <c r="L637" s="2">
        <f t="shared" si="3"/>
      </c>
    </row>
    <row r="638">
      <c r="A638" s="43">
        <f t="shared" si="0"/>
      </c>
      <c r="B638" s="44" t="n"/>
      <c r="C638" s="45" t="n"/>
      <c r="D638" s="50" t="n"/>
      <c r="E638" s="45" t="n"/>
      <c r="F638" s="50" t="n"/>
      <c r="G638" s="47" t="n"/>
      <c r="H638" s="52" t="n"/>
      <c r="I638" s="50" t="n"/>
      <c r="J638" s="53">
        <f t="shared" si="1"/>
      </c>
      <c r="K638" s="49">
        <f t="shared" si="2"/>
      </c>
      <c r="L638" s="2">
        <f t="shared" si="3"/>
      </c>
    </row>
    <row r="639">
      <c r="A639" s="43">
        <f t="shared" si="0"/>
      </c>
      <c r="B639" s="44" t="n"/>
      <c r="C639" s="45" t="n"/>
      <c r="D639" s="50" t="n"/>
      <c r="E639" s="45" t="n"/>
      <c r="F639" s="50" t="n"/>
      <c r="G639" s="47" t="n"/>
      <c r="H639" s="52" t="n"/>
      <c r="I639" s="50" t="n"/>
      <c r="J639" s="53">
        <f t="shared" si="1"/>
      </c>
      <c r="K639" s="49">
        <f t="shared" si="2"/>
      </c>
      <c r="L639" s="2">
        <f t="shared" si="3"/>
      </c>
    </row>
    <row r="640">
      <c r="A640" s="43">
        <f t="shared" si="0"/>
      </c>
      <c r="B640" s="44" t="n"/>
      <c r="C640" s="45" t="n"/>
      <c r="D640" s="50" t="n"/>
      <c r="E640" s="45" t="n"/>
      <c r="F640" s="50" t="n"/>
      <c r="G640" s="47" t="n"/>
      <c r="H640" s="52" t="n"/>
      <c r="I640" s="50" t="n"/>
      <c r="J640" s="53">
        <f t="shared" si="1"/>
      </c>
      <c r="K640" s="49">
        <f t="shared" si="2"/>
      </c>
      <c r="L640" s="2">
        <f t="shared" si="3"/>
      </c>
    </row>
    <row r="641">
      <c r="A641" s="43">
        <f t="shared" si="0"/>
      </c>
      <c r="B641" s="44" t="n"/>
      <c r="C641" s="45" t="n"/>
      <c r="D641" s="50" t="n"/>
      <c r="E641" s="45" t="n"/>
      <c r="F641" s="50" t="n"/>
      <c r="G641" s="47" t="n"/>
      <c r="H641" s="52" t="n"/>
      <c r="I641" s="50" t="n"/>
      <c r="J641" s="53">
        <f t="shared" si="1"/>
      </c>
      <c r="K641" s="49">
        <f t="shared" si="2"/>
      </c>
      <c r="L641" s="2">
        <f t="shared" si="3"/>
      </c>
    </row>
    <row r="642">
      <c r="A642" s="43">
        <f t="shared" si="0"/>
      </c>
      <c r="B642" s="44" t="n"/>
      <c r="C642" s="45" t="n"/>
      <c r="D642" s="50" t="n"/>
      <c r="E642" s="45" t="n"/>
      <c r="F642" s="50" t="n"/>
      <c r="G642" s="47" t="n"/>
      <c r="H642" s="52" t="n"/>
      <c r="I642" s="50" t="n"/>
      <c r="J642" s="53">
        <f t="shared" si="1"/>
      </c>
      <c r="K642" s="49">
        <f t="shared" si="2"/>
      </c>
      <c r="L642" s="2">
        <f t="shared" si="3"/>
      </c>
    </row>
    <row r="643">
      <c r="A643" s="43">
        <f t="shared" si="0"/>
      </c>
      <c r="B643" s="44" t="n"/>
      <c r="C643" s="45" t="n"/>
      <c r="D643" s="50" t="n"/>
      <c r="E643" s="45" t="n"/>
      <c r="F643" s="50" t="n"/>
      <c r="G643" s="47" t="n"/>
      <c r="H643" s="52" t="n"/>
      <c r="I643" s="50" t="n"/>
      <c r="J643" s="53">
        <f t="shared" si="1"/>
      </c>
      <c r="K643" s="49">
        <f t="shared" si="2"/>
      </c>
      <c r="L643" s="2">
        <f t="shared" si="3"/>
      </c>
    </row>
    <row r="644">
      <c r="A644" s="43">
        <f t="shared" si="0"/>
      </c>
      <c r="B644" s="44" t="n"/>
      <c r="C644" s="45" t="n"/>
      <c r="D644" s="50" t="n"/>
      <c r="E644" s="45" t="n"/>
      <c r="F644" s="50" t="n"/>
      <c r="G644" s="47" t="n"/>
      <c r="H644" s="52" t="n"/>
      <c r="I644" s="50" t="n"/>
      <c r="J644" s="53">
        <f t="shared" si="1"/>
      </c>
      <c r="K644" s="49">
        <f t="shared" si="2"/>
      </c>
      <c r="L644" s="2">
        <f t="shared" si="3"/>
      </c>
    </row>
    <row r="645">
      <c r="A645" s="43">
        <f t="shared" si="0"/>
      </c>
      <c r="B645" s="44" t="n"/>
      <c r="C645" s="45" t="n"/>
      <c r="D645" s="50" t="n"/>
      <c r="E645" s="45" t="n"/>
      <c r="F645" s="50" t="n"/>
      <c r="G645" s="47" t="n"/>
      <c r="H645" s="52" t="n"/>
      <c r="I645" s="50" t="n"/>
      <c r="J645" s="53">
        <f t="shared" si="1"/>
      </c>
      <c r="K645" s="49">
        <f t="shared" si="2"/>
      </c>
      <c r="L645" s="2">
        <f t="shared" si="3"/>
      </c>
    </row>
    <row r="646">
      <c r="A646" s="43">
        <f t="shared" si="0"/>
      </c>
      <c r="B646" s="44" t="n"/>
      <c r="C646" s="45" t="n"/>
      <c r="D646" s="50" t="n"/>
      <c r="E646" s="45" t="n"/>
      <c r="F646" s="50" t="n"/>
      <c r="G646" s="47" t="n"/>
      <c r="H646" s="52" t="n"/>
      <c r="I646" s="50" t="n"/>
      <c r="J646" s="53">
        <f t="shared" si="1"/>
      </c>
      <c r="K646" s="49">
        <f t="shared" si="2"/>
      </c>
      <c r="L646" s="2">
        <f t="shared" si="3"/>
      </c>
    </row>
    <row r="647">
      <c r="A647" s="43">
        <f t="shared" si="0"/>
      </c>
      <c r="B647" s="44" t="n"/>
      <c r="C647" s="45" t="n"/>
      <c r="D647" s="50" t="n"/>
      <c r="E647" s="45" t="n"/>
      <c r="F647" s="50" t="n"/>
      <c r="G647" s="47" t="n"/>
      <c r="H647" s="52" t="n"/>
      <c r="I647" s="50" t="n"/>
      <c r="J647" s="53">
        <f t="shared" si="1"/>
      </c>
      <c r="K647" s="49">
        <f t="shared" si="2"/>
      </c>
      <c r="L647" s="2">
        <f t="shared" si="3"/>
      </c>
    </row>
    <row r="648">
      <c r="A648" s="43">
        <f t="shared" si="0"/>
      </c>
      <c r="B648" s="44" t="n"/>
      <c r="C648" s="45" t="n"/>
      <c r="D648" s="50" t="n"/>
      <c r="E648" s="45" t="n"/>
      <c r="F648" s="50" t="n"/>
      <c r="G648" s="47" t="n"/>
      <c r="H648" s="52" t="n"/>
      <c r="I648" s="50" t="n"/>
      <c r="J648" s="53">
        <f t="shared" si="1"/>
      </c>
      <c r="K648" s="49">
        <f t="shared" si="2"/>
      </c>
      <c r="L648" s="2">
        <f t="shared" si="3"/>
      </c>
    </row>
    <row r="649">
      <c r="A649" s="43">
        <f t="shared" si="0"/>
      </c>
      <c r="B649" s="44" t="n"/>
      <c r="C649" s="45" t="n"/>
      <c r="D649" s="50" t="n"/>
      <c r="E649" s="45" t="n"/>
      <c r="F649" s="50" t="n"/>
      <c r="G649" s="47" t="n"/>
      <c r="H649" s="52" t="n"/>
      <c r="I649" s="50" t="n"/>
      <c r="J649" s="53">
        <f t="shared" si="1"/>
      </c>
      <c r="K649" s="49">
        <f t="shared" si="2"/>
      </c>
      <c r="L649" s="2">
        <f t="shared" si="3"/>
      </c>
    </row>
    <row r="650">
      <c r="A650" s="43">
        <f t="shared" si="0"/>
      </c>
      <c r="B650" s="44" t="n"/>
      <c r="C650" s="45" t="n"/>
      <c r="D650" s="50" t="n"/>
      <c r="E650" s="45" t="n"/>
      <c r="F650" s="50" t="n"/>
      <c r="G650" s="47" t="n"/>
      <c r="H650" s="52" t="n"/>
      <c r="I650" s="50" t="n"/>
      <c r="J650" s="53">
        <f t="shared" si="1"/>
      </c>
      <c r="K650" s="49">
        <f t="shared" si="2"/>
      </c>
      <c r="L650" s="2">
        <f t="shared" si="3"/>
      </c>
    </row>
    <row r="651">
      <c r="A651" s="43">
        <f t="shared" si="0"/>
      </c>
      <c r="B651" s="44" t="n"/>
      <c r="C651" s="45" t="n"/>
      <c r="D651" s="50" t="n"/>
      <c r="E651" s="45" t="n"/>
      <c r="F651" s="50" t="n"/>
      <c r="G651" s="47" t="n"/>
      <c r="H651" s="52" t="n"/>
      <c r="I651" s="50" t="n"/>
      <c r="J651" s="53">
        <f t="shared" si="1"/>
      </c>
      <c r="K651" s="49">
        <f t="shared" si="2"/>
      </c>
      <c r="L651" s="2">
        <f t="shared" si="3"/>
      </c>
    </row>
    <row r="652">
      <c r="A652" s="43">
        <f t="shared" si="0"/>
      </c>
      <c r="B652" s="44" t="n"/>
      <c r="C652" s="45" t="n"/>
      <c r="D652" s="50" t="n"/>
      <c r="E652" s="45" t="n"/>
      <c r="F652" s="50" t="n"/>
      <c r="G652" s="47" t="n"/>
      <c r="H652" s="52" t="n"/>
      <c r="I652" s="50" t="n"/>
      <c r="J652" s="53">
        <f t="shared" si="1"/>
      </c>
      <c r="K652" s="49">
        <f t="shared" si="2"/>
      </c>
      <c r="L652" s="2">
        <f t="shared" si="3"/>
      </c>
    </row>
    <row r="653">
      <c r="A653" s="43">
        <f t="shared" si="0"/>
      </c>
      <c r="B653" s="44" t="n"/>
      <c r="C653" s="45" t="n"/>
      <c r="D653" s="50" t="n"/>
      <c r="E653" s="45" t="n"/>
      <c r="F653" s="50" t="n"/>
      <c r="G653" s="47" t="n"/>
      <c r="H653" s="52" t="n"/>
      <c r="I653" s="50" t="n"/>
      <c r="J653" s="53">
        <f t="shared" si="1"/>
      </c>
      <c r="K653" s="49">
        <f t="shared" si="2"/>
      </c>
      <c r="L653" s="2">
        <f t="shared" si="3"/>
      </c>
    </row>
    <row r="654">
      <c r="A654" s="43">
        <f t="shared" si="0"/>
      </c>
      <c r="B654" s="44" t="n"/>
      <c r="C654" s="45" t="n"/>
      <c r="D654" s="50" t="n"/>
      <c r="E654" s="45" t="n"/>
      <c r="F654" s="50" t="n"/>
      <c r="G654" s="47" t="n"/>
      <c r="H654" s="52" t="n"/>
      <c r="I654" s="50" t="n"/>
      <c r="J654" s="53">
        <f t="shared" si="1"/>
      </c>
      <c r="K654" s="49">
        <f t="shared" si="2"/>
      </c>
      <c r="L654" s="2">
        <f t="shared" si="3"/>
      </c>
    </row>
    <row r="655">
      <c r="A655" s="43">
        <f t="shared" si="0"/>
      </c>
      <c r="B655" s="44" t="n"/>
      <c r="C655" s="45" t="n"/>
      <c r="D655" s="50" t="n"/>
      <c r="E655" s="45" t="n"/>
      <c r="F655" s="50" t="n"/>
      <c r="G655" s="47" t="n"/>
      <c r="H655" s="52" t="n"/>
      <c r="I655" s="50" t="n"/>
      <c r="J655" s="53">
        <f t="shared" si="1"/>
      </c>
      <c r="K655" s="49">
        <f t="shared" si="2"/>
      </c>
      <c r="L655" s="2">
        <f t="shared" si="3"/>
      </c>
    </row>
    <row r="656">
      <c r="A656" s="43">
        <f t="shared" si="0"/>
      </c>
      <c r="B656" s="44" t="n"/>
      <c r="C656" s="45" t="n"/>
      <c r="D656" s="50" t="n"/>
      <c r="E656" s="45" t="n"/>
      <c r="F656" s="50" t="n"/>
      <c r="G656" s="47" t="n"/>
      <c r="H656" s="52" t="n"/>
      <c r="I656" s="50" t="n"/>
      <c r="J656" s="53">
        <f t="shared" si="1"/>
      </c>
      <c r="K656" s="49">
        <f t="shared" si="2"/>
      </c>
      <c r="L656" s="2">
        <f t="shared" si="3"/>
      </c>
    </row>
    <row r="657">
      <c r="A657" s="43">
        <f t="shared" si="0"/>
      </c>
      <c r="B657" s="44" t="n"/>
      <c r="C657" s="45" t="n"/>
      <c r="D657" s="50" t="n"/>
      <c r="E657" s="45" t="n"/>
      <c r="F657" s="50" t="n"/>
      <c r="G657" s="47" t="n"/>
      <c r="H657" s="52" t="n"/>
      <c r="I657" s="50" t="n"/>
      <c r="J657" s="53">
        <f t="shared" si="1"/>
      </c>
      <c r="K657" s="49">
        <f t="shared" si="2"/>
      </c>
      <c r="L657" s="2">
        <f t="shared" si="3"/>
      </c>
    </row>
    <row r="658">
      <c r="A658" s="43">
        <f t="shared" si="0"/>
      </c>
      <c r="B658" s="44" t="n"/>
      <c r="C658" s="45" t="n"/>
      <c r="D658" s="50" t="n"/>
      <c r="E658" s="45" t="n"/>
      <c r="F658" s="50" t="n"/>
      <c r="G658" s="47" t="n"/>
      <c r="H658" s="52" t="n"/>
      <c r="I658" s="50" t="n"/>
      <c r="J658" s="53">
        <f t="shared" si="1"/>
      </c>
      <c r="K658" s="49">
        <f t="shared" si="2"/>
      </c>
      <c r="L658" s="2">
        <f t="shared" si="3"/>
      </c>
    </row>
    <row r="659">
      <c r="A659" s="43">
        <f t="shared" si="0"/>
      </c>
      <c r="B659" s="44" t="n"/>
      <c r="C659" s="45" t="n"/>
      <c r="D659" s="50" t="n"/>
      <c r="E659" s="45" t="n"/>
      <c r="F659" s="50" t="n"/>
      <c r="G659" s="47" t="n"/>
      <c r="H659" s="52" t="n"/>
      <c r="I659" s="50" t="n"/>
      <c r="J659" s="53">
        <f t="shared" si="1"/>
      </c>
      <c r="K659" s="49">
        <f t="shared" si="2"/>
      </c>
      <c r="L659" s="2">
        <f t="shared" si="3"/>
      </c>
    </row>
    <row r="660">
      <c r="A660" s="43">
        <f t="shared" si="0"/>
      </c>
      <c r="B660" s="44" t="n"/>
      <c r="C660" s="45" t="n"/>
      <c r="D660" s="50" t="n"/>
      <c r="E660" s="45" t="n"/>
      <c r="F660" s="50" t="n"/>
      <c r="G660" s="47" t="n"/>
      <c r="H660" s="52" t="n"/>
      <c r="I660" s="50" t="n"/>
      <c r="J660" s="53">
        <f t="shared" si="1"/>
      </c>
      <c r="K660" s="49">
        <f t="shared" si="2"/>
      </c>
      <c r="L660" s="2">
        <f t="shared" si="3"/>
      </c>
    </row>
    <row r="661">
      <c r="A661" s="43">
        <f t="shared" si="0"/>
      </c>
      <c r="B661" s="44" t="n"/>
      <c r="C661" s="45" t="n"/>
      <c r="D661" s="50" t="n"/>
      <c r="E661" s="45" t="n"/>
      <c r="F661" s="50" t="n"/>
      <c r="G661" s="47" t="n"/>
      <c r="H661" s="52" t="n"/>
      <c r="I661" s="50" t="n"/>
      <c r="J661" s="53">
        <f t="shared" si="1"/>
      </c>
      <c r="K661" s="49">
        <f t="shared" si="2"/>
      </c>
      <c r="L661" s="2">
        <f t="shared" si="3"/>
      </c>
    </row>
    <row r="662">
      <c r="A662" s="43">
        <f t="shared" si="0"/>
      </c>
      <c r="B662" s="44" t="n"/>
      <c r="C662" s="45" t="n"/>
      <c r="D662" s="50" t="n"/>
      <c r="E662" s="45" t="n"/>
      <c r="F662" s="50" t="n"/>
      <c r="G662" s="47" t="n"/>
      <c r="H662" s="52" t="n"/>
      <c r="I662" s="50" t="n"/>
      <c r="J662" s="53">
        <f t="shared" si="1"/>
      </c>
      <c r="K662" s="49">
        <f t="shared" si="2"/>
      </c>
      <c r="L662" s="2">
        <f t="shared" si="3"/>
      </c>
    </row>
    <row r="663">
      <c r="A663" s="43">
        <f t="shared" si="0"/>
      </c>
      <c r="B663" s="44" t="n"/>
      <c r="C663" s="45" t="n"/>
      <c r="D663" s="50" t="n"/>
      <c r="E663" s="45" t="n"/>
      <c r="F663" s="50" t="n"/>
      <c r="G663" s="47" t="n"/>
      <c r="H663" s="52" t="n"/>
      <c r="I663" s="50" t="n"/>
      <c r="J663" s="53">
        <f t="shared" si="1"/>
      </c>
      <c r="K663" s="49">
        <f t="shared" si="2"/>
      </c>
      <c r="L663" s="2">
        <f t="shared" si="3"/>
      </c>
    </row>
    <row r="664">
      <c r="A664" s="43">
        <f t="shared" si="0"/>
      </c>
      <c r="B664" s="44" t="n"/>
      <c r="C664" s="45" t="n"/>
      <c r="D664" s="50" t="n"/>
      <c r="E664" s="45" t="n"/>
      <c r="F664" s="50" t="n"/>
      <c r="G664" s="47" t="n"/>
      <c r="H664" s="52" t="n"/>
      <c r="I664" s="50" t="n"/>
      <c r="J664" s="53">
        <f t="shared" si="1"/>
      </c>
      <c r="K664" s="49">
        <f t="shared" si="2"/>
      </c>
      <c r="L664" s="2">
        <f t="shared" si="3"/>
      </c>
    </row>
    <row r="665">
      <c r="A665" s="43">
        <f t="shared" si="0"/>
      </c>
      <c r="B665" s="44" t="n"/>
      <c r="C665" s="45" t="n"/>
      <c r="D665" s="50" t="n"/>
      <c r="E665" s="45" t="n"/>
      <c r="F665" s="50" t="n"/>
      <c r="G665" s="47" t="n"/>
      <c r="H665" s="52" t="n"/>
      <c r="I665" s="50" t="n"/>
      <c r="J665" s="53">
        <f t="shared" si="1"/>
      </c>
      <c r="K665" s="49">
        <f t="shared" si="2"/>
      </c>
      <c r="L665" s="2">
        <f t="shared" si="3"/>
      </c>
    </row>
    <row r="666">
      <c r="A666" s="43">
        <f t="shared" si="0"/>
      </c>
      <c r="B666" s="44" t="n"/>
      <c r="C666" s="45" t="n"/>
      <c r="D666" s="50" t="n"/>
      <c r="E666" s="45" t="n"/>
      <c r="F666" s="50" t="n"/>
      <c r="G666" s="47" t="n"/>
      <c r="H666" s="52" t="n"/>
      <c r="I666" s="50" t="n"/>
      <c r="J666" s="53">
        <f t="shared" si="1"/>
      </c>
      <c r="K666" s="49">
        <f t="shared" si="2"/>
      </c>
      <c r="L666" s="2">
        <f t="shared" si="3"/>
      </c>
    </row>
    <row r="667">
      <c r="A667" s="43">
        <f t="shared" si="0"/>
      </c>
      <c r="B667" s="44" t="n"/>
      <c r="C667" s="45" t="n"/>
      <c r="D667" s="50" t="n"/>
      <c r="E667" s="45" t="n"/>
      <c r="F667" s="50" t="n"/>
      <c r="G667" s="47" t="n"/>
      <c r="H667" s="52" t="n"/>
      <c r="I667" s="50" t="n"/>
      <c r="J667" s="53">
        <f t="shared" si="1"/>
      </c>
      <c r="K667" s="49">
        <f t="shared" si="2"/>
      </c>
      <c r="L667" s="2">
        <f t="shared" si="3"/>
      </c>
    </row>
    <row r="668">
      <c r="A668" s="43">
        <f t="shared" si="0"/>
      </c>
      <c r="B668" s="44" t="n"/>
      <c r="C668" s="45" t="n"/>
      <c r="D668" s="50" t="n"/>
      <c r="E668" s="45" t="n"/>
      <c r="F668" s="50" t="n"/>
      <c r="G668" s="47" t="n"/>
      <c r="H668" s="52" t="n"/>
      <c r="I668" s="50" t="n"/>
      <c r="J668" s="53">
        <f t="shared" si="1"/>
      </c>
      <c r="K668" s="49">
        <f t="shared" si="2"/>
      </c>
      <c r="L668" s="2">
        <f t="shared" si="3"/>
      </c>
    </row>
    <row r="669">
      <c r="A669" s="43">
        <f t="shared" si="0"/>
      </c>
      <c r="B669" s="44" t="n"/>
      <c r="C669" s="45" t="n"/>
      <c r="D669" s="50" t="n"/>
      <c r="E669" s="45" t="n"/>
      <c r="F669" s="50" t="n"/>
      <c r="G669" s="47" t="n"/>
      <c r="H669" s="52" t="n"/>
      <c r="I669" s="50" t="n"/>
      <c r="J669" s="53">
        <f t="shared" si="1"/>
      </c>
      <c r="K669" s="49">
        <f t="shared" si="2"/>
      </c>
      <c r="L669" s="2">
        <f t="shared" si="3"/>
      </c>
    </row>
    <row r="670">
      <c r="A670" s="43">
        <f t="shared" si="0"/>
      </c>
      <c r="B670" s="44" t="n"/>
      <c r="C670" s="45" t="n"/>
      <c r="D670" s="50" t="n"/>
      <c r="E670" s="45" t="n"/>
      <c r="F670" s="50" t="n"/>
      <c r="G670" s="47" t="n"/>
      <c r="H670" s="52" t="n"/>
      <c r="I670" s="50" t="n"/>
      <c r="J670" s="53">
        <f t="shared" si="1"/>
      </c>
      <c r="K670" s="49">
        <f t="shared" si="2"/>
      </c>
      <c r="L670" s="2">
        <f t="shared" si="3"/>
      </c>
    </row>
    <row r="671">
      <c r="A671" s="43">
        <f t="shared" si="0"/>
      </c>
      <c r="B671" s="44" t="n"/>
      <c r="C671" s="45" t="n"/>
      <c r="D671" s="50" t="n"/>
      <c r="E671" s="45" t="n"/>
      <c r="F671" s="50" t="n"/>
      <c r="G671" s="47" t="n"/>
      <c r="H671" s="52" t="n"/>
      <c r="I671" s="50" t="n"/>
      <c r="J671" s="53">
        <f t="shared" si="1"/>
      </c>
      <c r="K671" s="49">
        <f t="shared" si="2"/>
      </c>
      <c r="L671" s="2">
        <f t="shared" si="3"/>
      </c>
    </row>
    <row r="672">
      <c r="A672" s="43">
        <f t="shared" si="0"/>
      </c>
      <c r="B672" s="44" t="n"/>
      <c r="C672" s="45" t="n"/>
      <c r="D672" s="50" t="n"/>
      <c r="E672" s="45" t="n"/>
      <c r="F672" s="50" t="n"/>
      <c r="G672" s="47" t="n"/>
      <c r="H672" s="52" t="n"/>
      <c r="I672" s="50" t="n"/>
      <c r="J672" s="53">
        <f t="shared" si="1"/>
      </c>
      <c r="K672" s="49">
        <f t="shared" si="2"/>
      </c>
      <c r="L672" s="2">
        <f t="shared" si="3"/>
      </c>
    </row>
    <row r="673">
      <c r="A673" s="43">
        <f t="shared" si="0"/>
      </c>
      <c r="B673" s="44" t="n"/>
      <c r="C673" s="45" t="n"/>
      <c r="D673" s="50" t="n"/>
      <c r="E673" s="45" t="n"/>
      <c r="F673" s="50" t="n"/>
      <c r="G673" s="47" t="n"/>
      <c r="H673" s="52" t="n"/>
      <c r="I673" s="50" t="n"/>
      <c r="J673" s="53">
        <f t="shared" si="1"/>
      </c>
      <c r="K673" s="49">
        <f t="shared" si="2"/>
      </c>
      <c r="L673" s="2">
        <f t="shared" si="3"/>
      </c>
    </row>
    <row r="674">
      <c r="A674" s="43">
        <f t="shared" si="0"/>
      </c>
      <c r="B674" s="44" t="n"/>
      <c r="C674" s="45" t="n"/>
      <c r="D674" s="50" t="n"/>
      <c r="E674" s="45" t="n"/>
      <c r="F674" s="50" t="n"/>
      <c r="G674" s="47" t="n"/>
      <c r="H674" s="52" t="n"/>
      <c r="I674" s="50" t="n"/>
      <c r="J674" s="53">
        <f t="shared" si="1"/>
      </c>
      <c r="K674" s="49">
        <f t="shared" si="2"/>
      </c>
      <c r="L674" s="2">
        <f t="shared" si="3"/>
      </c>
    </row>
    <row r="675">
      <c r="A675" s="43">
        <f t="shared" si="0"/>
      </c>
      <c r="B675" s="44" t="n"/>
      <c r="C675" s="45" t="n"/>
      <c r="D675" s="50" t="n"/>
      <c r="E675" s="45" t="n"/>
      <c r="F675" s="50" t="n"/>
      <c r="G675" s="47" t="n"/>
      <c r="H675" s="52" t="n"/>
      <c r="I675" s="50" t="n"/>
      <c r="J675" s="53">
        <f t="shared" si="1"/>
      </c>
      <c r="K675" s="49">
        <f t="shared" si="2"/>
      </c>
      <c r="L675" s="2">
        <f t="shared" si="3"/>
      </c>
    </row>
    <row r="676">
      <c r="A676" s="43">
        <f t="shared" si="0"/>
      </c>
      <c r="B676" s="44" t="n"/>
      <c r="C676" s="45" t="n"/>
      <c r="D676" s="50" t="n"/>
      <c r="E676" s="45" t="n"/>
      <c r="F676" s="50" t="n"/>
      <c r="G676" s="47" t="n"/>
      <c r="H676" s="52" t="n"/>
      <c r="I676" s="50" t="n"/>
      <c r="J676" s="53">
        <f t="shared" si="1"/>
      </c>
      <c r="K676" s="49">
        <f t="shared" si="2"/>
      </c>
      <c r="L676" s="2">
        <f t="shared" si="3"/>
      </c>
    </row>
    <row r="677">
      <c r="A677" s="43">
        <f t="shared" si="0"/>
      </c>
      <c r="B677" s="44" t="n"/>
      <c r="C677" s="45" t="n"/>
      <c r="D677" s="50" t="n"/>
      <c r="E677" s="45" t="n"/>
      <c r="F677" s="50" t="n"/>
      <c r="G677" s="47" t="n"/>
      <c r="H677" s="52" t="n"/>
      <c r="I677" s="50" t="n"/>
      <c r="J677" s="53">
        <f t="shared" si="1"/>
      </c>
      <c r="K677" s="49">
        <f t="shared" si="2"/>
      </c>
      <c r="L677" s="2">
        <f t="shared" si="3"/>
      </c>
    </row>
    <row r="678">
      <c r="A678" s="43">
        <f t="shared" si="0"/>
      </c>
      <c r="B678" s="44" t="n"/>
      <c r="C678" s="45" t="n"/>
      <c r="D678" s="50" t="n"/>
      <c r="E678" s="45" t="n"/>
      <c r="F678" s="50" t="n"/>
      <c r="G678" s="47" t="n"/>
      <c r="H678" s="52" t="n"/>
      <c r="I678" s="50" t="n"/>
      <c r="J678" s="53">
        <f t="shared" si="1"/>
      </c>
      <c r="K678" s="49">
        <f t="shared" si="2"/>
      </c>
      <c r="L678" s="2">
        <f t="shared" si="3"/>
      </c>
    </row>
    <row r="679">
      <c r="A679" s="43">
        <f t="shared" si="0"/>
      </c>
      <c r="B679" s="44" t="n"/>
      <c r="C679" s="45" t="n"/>
      <c r="D679" s="50" t="n"/>
      <c r="E679" s="45" t="n"/>
      <c r="F679" s="50" t="n"/>
      <c r="G679" s="47" t="n"/>
      <c r="H679" s="52" t="n"/>
      <c r="I679" s="50" t="n"/>
      <c r="J679" s="53">
        <f t="shared" si="1"/>
      </c>
      <c r="K679" s="49">
        <f t="shared" si="2"/>
      </c>
      <c r="L679" s="2">
        <f t="shared" si="3"/>
      </c>
    </row>
    <row r="680">
      <c r="A680" s="43">
        <f t="shared" si="0"/>
      </c>
      <c r="B680" s="44" t="n"/>
      <c r="C680" s="45" t="n"/>
      <c r="D680" s="50" t="n"/>
      <c r="E680" s="45" t="n"/>
      <c r="F680" s="50" t="n"/>
      <c r="G680" s="47" t="n"/>
      <c r="H680" s="52" t="n"/>
      <c r="I680" s="50" t="n"/>
      <c r="J680" s="53">
        <f t="shared" si="1"/>
      </c>
      <c r="K680" s="49">
        <f t="shared" si="2"/>
      </c>
      <c r="L680" s="2">
        <f t="shared" si="3"/>
      </c>
    </row>
    <row r="681">
      <c r="A681" s="43">
        <f t="shared" si="0"/>
      </c>
      <c r="B681" s="44" t="n"/>
      <c r="C681" s="45" t="n"/>
      <c r="D681" s="50" t="n"/>
      <c r="E681" s="45" t="n"/>
      <c r="F681" s="50" t="n"/>
      <c r="G681" s="47" t="n"/>
      <c r="H681" s="52" t="n"/>
      <c r="I681" s="50" t="n"/>
      <c r="J681" s="53">
        <f t="shared" si="1"/>
      </c>
      <c r="K681" s="49">
        <f t="shared" si="2"/>
      </c>
      <c r="L681" s="2">
        <f t="shared" si="3"/>
      </c>
    </row>
    <row r="682">
      <c r="A682" s="43">
        <f t="shared" si="0"/>
      </c>
      <c r="B682" s="44" t="n"/>
      <c r="C682" s="45" t="n"/>
      <c r="D682" s="50" t="n"/>
      <c r="E682" s="45" t="n"/>
      <c r="F682" s="50" t="n"/>
      <c r="G682" s="47" t="n"/>
      <c r="H682" s="52" t="n"/>
      <c r="I682" s="50" t="n"/>
      <c r="J682" s="53">
        <f t="shared" si="1"/>
      </c>
      <c r="K682" s="49">
        <f t="shared" si="2"/>
      </c>
      <c r="L682" s="2">
        <f t="shared" si="3"/>
      </c>
    </row>
    <row r="683">
      <c r="A683" s="43">
        <f t="shared" si="0"/>
      </c>
      <c r="B683" s="44" t="n"/>
      <c r="C683" s="45" t="n"/>
      <c r="D683" s="50" t="n"/>
      <c r="E683" s="45" t="n"/>
      <c r="F683" s="50" t="n"/>
      <c r="G683" s="47" t="n"/>
      <c r="H683" s="52" t="n"/>
      <c r="I683" s="50" t="n"/>
      <c r="J683" s="53">
        <f t="shared" si="1"/>
      </c>
      <c r="K683" s="49">
        <f t="shared" si="2"/>
      </c>
      <c r="L683" s="2">
        <f t="shared" si="3"/>
      </c>
    </row>
    <row r="684">
      <c r="A684" s="43">
        <f t="shared" si="0"/>
      </c>
      <c r="B684" s="44" t="n"/>
      <c r="C684" s="45" t="n"/>
      <c r="D684" s="50" t="n"/>
      <c r="E684" s="45" t="n"/>
      <c r="F684" s="50" t="n"/>
      <c r="G684" s="47" t="n"/>
      <c r="H684" s="52" t="n"/>
      <c r="I684" s="50" t="n"/>
      <c r="J684" s="53">
        <f t="shared" si="1"/>
      </c>
      <c r="K684" s="49">
        <f t="shared" si="2"/>
      </c>
      <c r="L684" s="2">
        <f t="shared" si="3"/>
      </c>
    </row>
    <row r="685">
      <c r="A685" s="43">
        <f t="shared" si="0"/>
      </c>
      <c r="B685" s="44" t="n"/>
      <c r="C685" s="45" t="n"/>
      <c r="D685" s="50" t="n"/>
      <c r="E685" s="45" t="n"/>
      <c r="F685" s="50" t="n"/>
      <c r="G685" s="47" t="n"/>
      <c r="H685" s="52" t="n"/>
      <c r="I685" s="50" t="n"/>
      <c r="J685" s="53">
        <f t="shared" si="1"/>
      </c>
      <c r="K685" s="49">
        <f t="shared" si="2"/>
      </c>
      <c r="L685" s="2">
        <f t="shared" si="3"/>
      </c>
    </row>
    <row r="686">
      <c r="A686" s="43">
        <f t="shared" si="0"/>
      </c>
      <c r="B686" s="44" t="n"/>
      <c r="C686" s="45" t="n"/>
      <c r="D686" s="50" t="n"/>
      <c r="E686" s="45" t="n"/>
      <c r="F686" s="50" t="n"/>
      <c r="G686" s="47" t="n"/>
      <c r="H686" s="52" t="n"/>
      <c r="I686" s="50" t="n"/>
      <c r="J686" s="53">
        <f t="shared" si="1"/>
      </c>
      <c r="K686" s="49">
        <f t="shared" si="2"/>
      </c>
      <c r="L686" s="2">
        <f t="shared" si="3"/>
      </c>
    </row>
    <row r="687">
      <c r="A687" s="43">
        <f t="shared" si="0"/>
      </c>
      <c r="B687" s="44" t="n"/>
      <c r="C687" s="45" t="n"/>
      <c r="D687" s="50" t="n"/>
      <c r="E687" s="45" t="n"/>
      <c r="F687" s="50" t="n"/>
      <c r="G687" s="47" t="n"/>
      <c r="H687" s="52" t="n"/>
      <c r="I687" s="50" t="n"/>
      <c r="J687" s="53">
        <f t="shared" si="1"/>
      </c>
      <c r="K687" s="49">
        <f t="shared" si="2"/>
      </c>
      <c r="L687" s="2">
        <f t="shared" si="3"/>
      </c>
    </row>
    <row r="688">
      <c r="A688" s="43">
        <f t="shared" si="0"/>
      </c>
      <c r="B688" s="44" t="n"/>
      <c r="C688" s="45" t="n"/>
      <c r="D688" s="50" t="n"/>
      <c r="E688" s="45" t="n"/>
      <c r="F688" s="50" t="n"/>
      <c r="G688" s="47" t="n"/>
      <c r="H688" s="52" t="n"/>
      <c r="I688" s="50" t="n"/>
      <c r="J688" s="53">
        <f t="shared" si="1"/>
      </c>
      <c r="K688" s="49">
        <f t="shared" si="2"/>
      </c>
      <c r="L688" s="2">
        <f t="shared" si="3"/>
      </c>
    </row>
    <row r="689">
      <c r="A689" s="43">
        <f t="shared" si="0"/>
      </c>
      <c r="B689" s="44" t="n"/>
      <c r="C689" s="45" t="n"/>
      <c r="D689" s="50" t="n"/>
      <c r="E689" s="45" t="n"/>
      <c r="F689" s="50" t="n"/>
      <c r="G689" s="47" t="n"/>
      <c r="H689" s="52" t="n"/>
      <c r="I689" s="50" t="n"/>
      <c r="J689" s="53">
        <f t="shared" si="1"/>
      </c>
      <c r="K689" s="49">
        <f t="shared" si="2"/>
      </c>
      <c r="L689" s="2">
        <f t="shared" si="3"/>
      </c>
    </row>
    <row r="690">
      <c r="A690" s="43">
        <f t="shared" si="0"/>
      </c>
      <c r="B690" s="44" t="n"/>
      <c r="C690" s="45" t="n"/>
      <c r="D690" s="50" t="n"/>
      <c r="E690" s="45" t="n"/>
      <c r="F690" s="50" t="n"/>
      <c r="G690" s="47" t="n"/>
      <c r="H690" s="52" t="n"/>
      <c r="I690" s="50" t="n"/>
      <c r="J690" s="53">
        <f t="shared" si="1"/>
      </c>
      <c r="K690" s="49">
        <f t="shared" si="2"/>
      </c>
      <c r="L690" s="2">
        <f t="shared" si="3"/>
      </c>
    </row>
    <row r="691">
      <c r="A691" s="43">
        <f t="shared" si="0"/>
      </c>
      <c r="B691" s="44" t="n"/>
      <c r="C691" s="45" t="n"/>
      <c r="D691" s="50" t="n"/>
      <c r="E691" s="45" t="n"/>
      <c r="F691" s="50" t="n"/>
      <c r="G691" s="47" t="n"/>
      <c r="H691" s="52" t="n"/>
      <c r="I691" s="50" t="n"/>
      <c r="J691" s="53">
        <f t="shared" si="1"/>
      </c>
      <c r="K691" s="49">
        <f t="shared" si="2"/>
      </c>
      <c r="L691" s="2">
        <f t="shared" si="3"/>
      </c>
    </row>
    <row r="692">
      <c r="A692" s="43">
        <f t="shared" si="0"/>
      </c>
      <c r="B692" s="44" t="n"/>
      <c r="C692" s="45" t="n"/>
      <c r="D692" s="50" t="n"/>
      <c r="E692" s="45" t="n"/>
      <c r="F692" s="50" t="n"/>
      <c r="G692" s="47" t="n"/>
      <c r="H692" s="52" t="n"/>
      <c r="I692" s="50" t="n"/>
      <c r="J692" s="53">
        <f t="shared" si="1"/>
      </c>
      <c r="K692" s="49">
        <f t="shared" si="2"/>
      </c>
      <c r="L692" s="2">
        <f t="shared" si="3"/>
      </c>
    </row>
    <row r="693">
      <c r="A693" s="43">
        <f t="shared" si="0"/>
      </c>
      <c r="B693" s="44" t="n"/>
      <c r="C693" s="45" t="n"/>
      <c r="D693" s="50" t="n"/>
      <c r="E693" s="45" t="n"/>
      <c r="F693" s="50" t="n"/>
      <c r="G693" s="47" t="n"/>
      <c r="H693" s="52" t="n"/>
      <c r="I693" s="50" t="n"/>
      <c r="J693" s="53">
        <f t="shared" si="1"/>
      </c>
      <c r="K693" s="49">
        <f t="shared" si="2"/>
      </c>
      <c r="L693" s="2">
        <f t="shared" si="3"/>
      </c>
    </row>
    <row r="694">
      <c r="A694" s="43">
        <f t="shared" si="0"/>
      </c>
      <c r="B694" s="44" t="n"/>
      <c r="C694" s="45" t="n"/>
      <c r="D694" s="50" t="n"/>
      <c r="E694" s="45" t="n"/>
      <c r="F694" s="50" t="n"/>
      <c r="G694" s="47" t="n"/>
      <c r="H694" s="52" t="n"/>
      <c r="I694" s="50" t="n"/>
      <c r="J694" s="53">
        <f t="shared" si="1"/>
      </c>
      <c r="K694" s="49">
        <f t="shared" si="2"/>
      </c>
      <c r="L694" s="2">
        <f t="shared" si="3"/>
      </c>
    </row>
    <row r="695">
      <c r="A695" s="43">
        <f t="shared" si="0"/>
      </c>
      <c r="B695" s="44" t="n"/>
      <c r="C695" s="45" t="n"/>
      <c r="D695" s="50" t="n"/>
      <c r="E695" s="45" t="n"/>
      <c r="F695" s="50" t="n"/>
      <c r="G695" s="47" t="n"/>
      <c r="H695" s="52" t="n"/>
      <c r="I695" s="50" t="n"/>
      <c r="J695" s="53">
        <f t="shared" si="1"/>
      </c>
      <c r="K695" s="49">
        <f t="shared" si="2"/>
      </c>
      <c r="L695" s="2">
        <f t="shared" si="3"/>
      </c>
    </row>
    <row r="696">
      <c r="A696" s="43">
        <f t="shared" si="0"/>
      </c>
      <c r="B696" s="44" t="n"/>
      <c r="C696" s="45" t="n"/>
      <c r="D696" s="50" t="n"/>
      <c r="E696" s="45" t="n"/>
      <c r="F696" s="50" t="n"/>
      <c r="G696" s="47" t="n"/>
      <c r="H696" s="52" t="n"/>
      <c r="I696" s="50" t="n"/>
      <c r="J696" s="53">
        <f t="shared" si="1"/>
      </c>
      <c r="K696" s="49">
        <f t="shared" si="2"/>
      </c>
      <c r="L696" s="2">
        <f t="shared" si="3"/>
      </c>
    </row>
    <row r="697">
      <c r="A697" s="43">
        <f t="shared" si="0"/>
      </c>
      <c r="B697" s="44" t="n"/>
      <c r="C697" s="45" t="n"/>
      <c r="D697" s="50" t="n"/>
      <c r="E697" s="45" t="n"/>
      <c r="F697" s="50" t="n"/>
      <c r="G697" s="47" t="n"/>
      <c r="H697" s="52" t="n"/>
      <c r="I697" s="50" t="n"/>
      <c r="J697" s="53">
        <f t="shared" si="1"/>
      </c>
      <c r="K697" s="49">
        <f t="shared" si="2"/>
      </c>
      <c r="L697" s="2">
        <f t="shared" si="3"/>
      </c>
    </row>
    <row r="698">
      <c r="A698" s="43">
        <f t="shared" si="0"/>
      </c>
      <c r="B698" s="44" t="n"/>
      <c r="C698" s="45" t="n"/>
      <c r="D698" s="50" t="n"/>
      <c r="E698" s="45" t="n"/>
      <c r="F698" s="50" t="n"/>
      <c r="G698" s="47" t="n"/>
      <c r="H698" s="52" t="n"/>
      <c r="I698" s="50" t="n"/>
      <c r="J698" s="53">
        <f t="shared" si="1"/>
      </c>
      <c r="K698" s="49">
        <f t="shared" si="2"/>
      </c>
      <c r="L698" s="2">
        <f t="shared" si="3"/>
      </c>
    </row>
    <row r="699">
      <c r="A699" s="43">
        <f t="shared" si="0"/>
      </c>
      <c r="B699" s="44" t="n"/>
      <c r="C699" s="45" t="n"/>
      <c r="D699" s="50" t="n"/>
      <c r="E699" s="45" t="n"/>
      <c r="F699" s="50" t="n"/>
      <c r="G699" s="47" t="n"/>
      <c r="H699" s="52" t="n"/>
      <c r="I699" s="50" t="n"/>
      <c r="J699" s="53">
        <f t="shared" si="1"/>
      </c>
      <c r="K699" s="49">
        <f t="shared" si="2"/>
      </c>
      <c r="L699" s="2">
        <f t="shared" si="3"/>
      </c>
    </row>
    <row r="700">
      <c r="A700" s="43">
        <f t="shared" si="0"/>
      </c>
      <c r="B700" s="44" t="n"/>
      <c r="C700" s="45" t="n"/>
      <c r="D700" s="50" t="n"/>
      <c r="E700" s="45" t="n"/>
      <c r="F700" s="50" t="n"/>
      <c r="G700" s="47" t="n"/>
      <c r="H700" s="52" t="n"/>
      <c r="I700" s="50" t="n"/>
      <c r="J700" s="53">
        <f t="shared" si="1"/>
      </c>
      <c r="K700" s="49">
        <f t="shared" si="2"/>
      </c>
      <c r="L700" s="2">
        <f t="shared" si="3"/>
      </c>
    </row>
    <row r="701">
      <c r="A701" s="43">
        <f t="shared" si="0"/>
      </c>
      <c r="B701" s="44" t="n"/>
      <c r="C701" s="45" t="n"/>
      <c r="D701" s="50" t="n"/>
      <c r="E701" s="45" t="n"/>
      <c r="F701" s="50" t="n"/>
      <c r="G701" s="47" t="n"/>
      <c r="H701" s="52" t="n"/>
      <c r="I701" s="50" t="n"/>
      <c r="J701" s="53">
        <f t="shared" si="1"/>
      </c>
      <c r="K701" s="49">
        <f t="shared" si="2"/>
      </c>
      <c r="L701" s="2">
        <f t="shared" si="3"/>
      </c>
    </row>
    <row r="702">
      <c r="A702" s="43">
        <f t="shared" si="0"/>
      </c>
      <c r="B702" s="44" t="n"/>
      <c r="C702" s="45" t="n"/>
      <c r="D702" s="50" t="n"/>
      <c r="E702" s="45" t="n"/>
      <c r="F702" s="50" t="n"/>
      <c r="G702" s="47" t="n"/>
      <c r="H702" s="52" t="n"/>
      <c r="I702" s="50" t="n"/>
      <c r="J702" s="53">
        <f t="shared" si="1"/>
      </c>
      <c r="K702" s="49">
        <f t="shared" si="2"/>
      </c>
      <c r="L702" s="2">
        <f t="shared" si="3"/>
      </c>
    </row>
    <row r="703">
      <c r="A703" s="43">
        <f t="shared" si="0"/>
      </c>
      <c r="B703" s="44" t="n"/>
      <c r="C703" s="45" t="n"/>
      <c r="D703" s="50" t="n"/>
      <c r="E703" s="45" t="n"/>
      <c r="F703" s="50" t="n"/>
      <c r="G703" s="47" t="n"/>
      <c r="H703" s="52" t="n"/>
      <c r="I703" s="50" t="n"/>
      <c r="J703" s="53">
        <f t="shared" si="1"/>
      </c>
      <c r="K703" s="49">
        <f t="shared" si="2"/>
      </c>
      <c r="L703" s="2">
        <f t="shared" si="3"/>
      </c>
    </row>
    <row r="704">
      <c r="A704" s="43">
        <f t="shared" si="0"/>
      </c>
      <c r="B704" s="44" t="n"/>
      <c r="C704" s="45" t="n"/>
      <c r="D704" s="50" t="n"/>
      <c r="E704" s="45" t="n"/>
      <c r="F704" s="50" t="n"/>
      <c r="G704" s="47" t="n"/>
      <c r="H704" s="52" t="n"/>
      <c r="I704" s="50" t="n"/>
      <c r="J704" s="53">
        <f t="shared" si="1"/>
      </c>
      <c r="K704" s="49">
        <f t="shared" si="2"/>
      </c>
      <c r="L704" s="2">
        <f t="shared" si="3"/>
      </c>
    </row>
    <row r="705">
      <c r="A705" s="43">
        <f t="shared" si="0"/>
      </c>
      <c r="B705" s="44" t="n"/>
      <c r="C705" s="45" t="n"/>
      <c r="D705" s="50" t="n"/>
      <c r="E705" s="45" t="n"/>
      <c r="F705" s="50" t="n"/>
      <c r="G705" s="47" t="n"/>
      <c r="H705" s="52" t="n"/>
      <c r="I705" s="50" t="n"/>
      <c r="J705" s="53">
        <f t="shared" si="1"/>
      </c>
      <c r="K705" s="49">
        <f t="shared" si="2"/>
      </c>
      <c r="L705" s="2">
        <f t="shared" si="3"/>
      </c>
    </row>
    <row r="706">
      <c r="A706" s="43">
        <f t="shared" si="0"/>
      </c>
      <c r="B706" s="44" t="n"/>
      <c r="C706" s="45" t="n"/>
      <c r="D706" s="50" t="n"/>
      <c r="E706" s="45" t="n"/>
      <c r="F706" s="50" t="n"/>
      <c r="G706" s="47" t="n"/>
      <c r="H706" s="52" t="n"/>
      <c r="I706" s="50" t="n"/>
      <c r="J706" s="53">
        <f t="shared" si="1"/>
      </c>
      <c r="K706" s="49">
        <f t="shared" si="2"/>
      </c>
      <c r="L706" s="2">
        <f t="shared" si="3"/>
      </c>
    </row>
    <row r="707">
      <c r="A707" s="43">
        <f t="shared" si="0"/>
      </c>
      <c r="B707" s="44" t="n"/>
      <c r="C707" s="45" t="n"/>
      <c r="D707" s="50" t="n"/>
      <c r="E707" s="45" t="n"/>
      <c r="F707" s="50" t="n"/>
      <c r="G707" s="47" t="n"/>
      <c r="H707" s="52" t="n"/>
      <c r="I707" s="50" t="n"/>
      <c r="J707" s="53">
        <f t="shared" si="1"/>
      </c>
      <c r="K707" s="49">
        <f t="shared" si="2"/>
      </c>
      <c r="L707" s="2">
        <f t="shared" si="3"/>
      </c>
    </row>
    <row r="708">
      <c r="A708" s="43">
        <f t="shared" si="0"/>
      </c>
      <c r="B708" s="44" t="n"/>
      <c r="C708" s="45" t="n"/>
      <c r="D708" s="50" t="n"/>
      <c r="E708" s="45" t="n"/>
      <c r="F708" s="50" t="n"/>
      <c r="G708" s="47" t="n"/>
      <c r="H708" s="52" t="n"/>
      <c r="I708" s="50" t="n"/>
      <c r="J708" s="53">
        <f t="shared" si="1"/>
      </c>
      <c r="K708" s="49">
        <f t="shared" si="2"/>
      </c>
      <c r="L708" s="2">
        <f t="shared" si="3"/>
      </c>
    </row>
    <row r="709">
      <c r="A709" s="43">
        <f t="shared" si="0"/>
      </c>
      <c r="B709" s="44" t="n"/>
      <c r="C709" s="45" t="n"/>
      <c r="D709" s="50" t="n"/>
      <c r="E709" s="45" t="n"/>
      <c r="F709" s="50" t="n"/>
      <c r="G709" s="47" t="n"/>
      <c r="H709" s="52" t="n"/>
      <c r="I709" s="50" t="n"/>
      <c r="J709" s="53">
        <f t="shared" si="1"/>
      </c>
      <c r="K709" s="49">
        <f t="shared" si="2"/>
      </c>
      <c r="L709" s="2">
        <f t="shared" si="3"/>
      </c>
    </row>
    <row r="710">
      <c r="A710" s="43">
        <f t="shared" si="0"/>
      </c>
      <c r="B710" s="44" t="n"/>
      <c r="C710" s="45" t="n"/>
      <c r="D710" s="50" t="n"/>
      <c r="E710" s="45" t="n"/>
      <c r="F710" s="50" t="n"/>
      <c r="G710" s="47" t="n"/>
      <c r="H710" s="52" t="n"/>
      <c r="I710" s="50" t="n"/>
      <c r="J710" s="53">
        <f t="shared" si="1"/>
      </c>
      <c r="K710" s="49">
        <f t="shared" si="2"/>
      </c>
      <c r="L710" s="2">
        <f t="shared" si="3"/>
      </c>
    </row>
    <row r="711">
      <c r="A711" s="43">
        <f t="shared" si="0"/>
      </c>
      <c r="B711" s="44" t="n"/>
      <c r="C711" s="45" t="n"/>
      <c r="D711" s="50" t="n"/>
      <c r="E711" s="45" t="n"/>
      <c r="F711" s="50" t="n"/>
      <c r="G711" s="47" t="n"/>
      <c r="H711" s="52" t="n"/>
      <c r="I711" s="50" t="n"/>
      <c r="J711" s="53">
        <f t="shared" si="1"/>
      </c>
      <c r="K711" s="49">
        <f t="shared" si="2"/>
      </c>
      <c r="L711" s="2">
        <f t="shared" si="3"/>
      </c>
    </row>
    <row r="712">
      <c r="A712" s="43">
        <f t="shared" si="0"/>
      </c>
      <c r="B712" s="44" t="n"/>
      <c r="C712" s="45" t="n"/>
      <c r="D712" s="50" t="n"/>
      <c r="E712" s="45" t="n"/>
      <c r="F712" s="50" t="n"/>
      <c r="G712" s="47" t="n"/>
      <c r="H712" s="52" t="n"/>
      <c r="I712" s="50" t="n"/>
      <c r="J712" s="53">
        <f t="shared" si="1"/>
      </c>
      <c r="K712" s="49">
        <f t="shared" si="2"/>
      </c>
      <c r="L712" s="2">
        <f t="shared" si="3"/>
      </c>
    </row>
    <row r="713">
      <c r="A713" s="43">
        <f t="shared" si="0"/>
      </c>
      <c r="B713" s="44" t="n"/>
      <c r="C713" s="45" t="n"/>
      <c r="D713" s="50" t="n"/>
      <c r="E713" s="45" t="n"/>
      <c r="F713" s="50" t="n"/>
      <c r="G713" s="47" t="n"/>
      <c r="H713" s="52" t="n"/>
      <c r="I713" s="50" t="n"/>
      <c r="J713" s="53">
        <f t="shared" si="1"/>
      </c>
      <c r="K713" s="49">
        <f t="shared" si="2"/>
      </c>
      <c r="L713" s="2">
        <f t="shared" si="3"/>
      </c>
    </row>
    <row r="714">
      <c r="A714" s="43">
        <f t="shared" si="0"/>
      </c>
      <c r="B714" s="44" t="n"/>
      <c r="C714" s="45" t="n"/>
      <c r="D714" s="50" t="n"/>
      <c r="E714" s="45" t="n"/>
      <c r="F714" s="50" t="n"/>
      <c r="G714" s="47" t="n"/>
      <c r="H714" s="52" t="n"/>
      <c r="I714" s="50" t="n"/>
      <c r="J714" s="53">
        <f t="shared" si="1"/>
      </c>
      <c r="K714" s="49">
        <f t="shared" si="2"/>
      </c>
      <c r="L714" s="2">
        <f t="shared" si="3"/>
      </c>
    </row>
    <row r="715">
      <c r="A715" s="43">
        <f t="shared" si="0"/>
      </c>
      <c r="B715" s="44" t="n"/>
      <c r="C715" s="45" t="n"/>
      <c r="D715" s="50" t="n"/>
      <c r="E715" s="45" t="n"/>
      <c r="F715" s="50" t="n"/>
      <c r="G715" s="47" t="n"/>
      <c r="H715" s="52" t="n"/>
      <c r="I715" s="50" t="n"/>
      <c r="J715" s="53">
        <f t="shared" si="1"/>
      </c>
      <c r="K715" s="49">
        <f t="shared" si="2"/>
      </c>
      <c r="L715" s="2">
        <f t="shared" si="3"/>
      </c>
    </row>
    <row r="716">
      <c r="A716" s="43">
        <f t="shared" si="0"/>
      </c>
      <c r="B716" s="44" t="n"/>
      <c r="C716" s="45" t="n"/>
      <c r="D716" s="50" t="n"/>
      <c r="E716" s="45" t="n"/>
      <c r="F716" s="50" t="n"/>
      <c r="G716" s="47" t="n"/>
      <c r="H716" s="52" t="n"/>
      <c r="I716" s="50" t="n"/>
      <c r="J716" s="53">
        <f t="shared" si="1"/>
      </c>
      <c r="K716" s="49">
        <f t="shared" si="2"/>
      </c>
      <c r="L716" s="2">
        <f t="shared" si="3"/>
      </c>
    </row>
    <row r="717">
      <c r="A717" s="43">
        <f t="shared" si="0"/>
      </c>
      <c r="B717" s="44" t="n"/>
      <c r="C717" s="45" t="n"/>
      <c r="D717" s="50" t="n"/>
      <c r="E717" s="45" t="n"/>
      <c r="F717" s="50" t="n"/>
      <c r="G717" s="47" t="n"/>
      <c r="H717" s="52" t="n"/>
      <c r="I717" s="50" t="n"/>
      <c r="J717" s="53">
        <f t="shared" si="1"/>
      </c>
      <c r="K717" s="49">
        <f t="shared" si="2"/>
      </c>
      <c r="L717" s="2">
        <f t="shared" si="3"/>
      </c>
    </row>
    <row r="718">
      <c r="A718" s="43">
        <f t="shared" si="0"/>
      </c>
      <c r="B718" s="44" t="n"/>
      <c r="C718" s="45" t="n"/>
      <c r="D718" s="50" t="n"/>
      <c r="E718" s="45" t="n"/>
      <c r="F718" s="50" t="n"/>
      <c r="G718" s="47" t="n"/>
      <c r="H718" s="52" t="n"/>
      <c r="I718" s="50" t="n"/>
      <c r="J718" s="53">
        <f t="shared" si="1"/>
      </c>
      <c r="K718" s="49">
        <f t="shared" si="2"/>
      </c>
      <c r="L718" s="2">
        <f t="shared" si="3"/>
      </c>
    </row>
    <row r="719">
      <c r="A719" s="43">
        <f t="shared" si="0"/>
      </c>
      <c r="B719" s="44" t="n"/>
      <c r="C719" s="45" t="n"/>
      <c r="D719" s="50" t="n"/>
      <c r="E719" s="45" t="n"/>
      <c r="F719" s="50" t="n"/>
      <c r="G719" s="47" t="n"/>
      <c r="H719" s="52" t="n"/>
      <c r="I719" s="50" t="n"/>
      <c r="J719" s="53">
        <f t="shared" si="1"/>
      </c>
      <c r="K719" s="49">
        <f t="shared" si="2"/>
      </c>
      <c r="L719" s="2">
        <f t="shared" si="3"/>
      </c>
    </row>
    <row r="720">
      <c r="A720" s="43">
        <f t="shared" si="0"/>
      </c>
      <c r="B720" s="44" t="n"/>
      <c r="C720" s="45" t="n"/>
      <c r="D720" s="50" t="n"/>
      <c r="E720" s="45" t="n"/>
      <c r="F720" s="50" t="n"/>
      <c r="G720" s="47" t="n"/>
      <c r="H720" s="52" t="n"/>
      <c r="I720" s="50" t="n"/>
      <c r="J720" s="53">
        <f t="shared" si="1"/>
      </c>
      <c r="K720" s="49">
        <f t="shared" si="2"/>
      </c>
      <c r="L720" s="2">
        <f t="shared" si="3"/>
      </c>
    </row>
    <row r="721">
      <c r="A721" s="43">
        <f t="shared" si="0"/>
      </c>
      <c r="B721" s="44" t="n"/>
      <c r="C721" s="45" t="n"/>
      <c r="D721" s="50" t="n"/>
      <c r="E721" s="45" t="n"/>
      <c r="F721" s="50" t="n"/>
      <c r="G721" s="47" t="n"/>
      <c r="H721" s="52" t="n"/>
      <c r="I721" s="50" t="n"/>
      <c r="J721" s="53">
        <f t="shared" si="1"/>
      </c>
      <c r="K721" s="49">
        <f t="shared" si="2"/>
      </c>
      <c r="L721" s="2">
        <f t="shared" si="3"/>
      </c>
    </row>
    <row r="722">
      <c r="A722" s="43">
        <f t="shared" si="0"/>
      </c>
      <c r="B722" s="44" t="n"/>
      <c r="C722" s="45" t="n"/>
      <c r="D722" s="50" t="n"/>
      <c r="E722" s="45" t="n"/>
      <c r="F722" s="50" t="n"/>
      <c r="G722" s="47" t="n"/>
      <c r="H722" s="52" t="n"/>
      <c r="I722" s="50" t="n"/>
      <c r="J722" s="53">
        <f t="shared" si="1"/>
      </c>
      <c r="K722" s="49">
        <f t="shared" si="2"/>
      </c>
      <c r="L722" s="2">
        <f t="shared" si="3"/>
      </c>
    </row>
    <row r="723">
      <c r="A723" s="43">
        <f t="shared" si="0"/>
      </c>
      <c r="B723" s="44" t="n"/>
      <c r="C723" s="45" t="n"/>
      <c r="D723" s="50" t="n"/>
      <c r="E723" s="45" t="n"/>
      <c r="F723" s="50" t="n"/>
      <c r="G723" s="47" t="n"/>
      <c r="H723" s="52" t="n"/>
      <c r="I723" s="50" t="n"/>
      <c r="J723" s="53">
        <f t="shared" si="1"/>
      </c>
      <c r="K723" s="49">
        <f t="shared" si="2"/>
      </c>
      <c r="L723" s="2">
        <f t="shared" si="3"/>
      </c>
    </row>
    <row r="724">
      <c r="A724" s="43">
        <f t="shared" si="0"/>
      </c>
      <c r="B724" s="44" t="n"/>
      <c r="C724" s="45" t="n"/>
      <c r="D724" s="50" t="n"/>
      <c r="E724" s="45" t="n"/>
      <c r="F724" s="50" t="n"/>
      <c r="G724" s="47" t="n"/>
      <c r="H724" s="52" t="n"/>
      <c r="I724" s="50" t="n"/>
      <c r="J724" s="53">
        <f t="shared" si="1"/>
      </c>
      <c r="K724" s="49">
        <f t="shared" si="2"/>
      </c>
      <c r="L724" s="2">
        <f t="shared" si="3"/>
      </c>
    </row>
    <row r="725">
      <c r="A725" s="43">
        <f t="shared" si="0"/>
      </c>
      <c r="B725" s="44" t="n"/>
      <c r="C725" s="45" t="n"/>
      <c r="D725" s="50" t="n"/>
      <c r="E725" s="45" t="n"/>
      <c r="F725" s="50" t="n"/>
      <c r="G725" s="47" t="n"/>
      <c r="H725" s="52" t="n"/>
      <c r="I725" s="50" t="n"/>
      <c r="J725" s="53">
        <f t="shared" si="1"/>
      </c>
      <c r="K725" s="49">
        <f t="shared" si="2"/>
      </c>
      <c r="L725" s="2">
        <f t="shared" si="3"/>
      </c>
    </row>
    <row r="726">
      <c r="A726" s="43">
        <f t="shared" si="0"/>
      </c>
      <c r="B726" s="44" t="n"/>
      <c r="C726" s="45" t="n"/>
      <c r="D726" s="50" t="n"/>
      <c r="E726" s="45" t="n"/>
      <c r="F726" s="50" t="n"/>
      <c r="G726" s="47" t="n"/>
      <c r="H726" s="52" t="n"/>
      <c r="I726" s="50" t="n"/>
      <c r="J726" s="53">
        <f t="shared" si="1"/>
      </c>
      <c r="K726" s="49">
        <f t="shared" si="2"/>
      </c>
      <c r="L726" s="2">
        <f t="shared" si="3"/>
      </c>
    </row>
    <row r="727">
      <c r="A727" s="43">
        <f t="shared" si="0"/>
      </c>
      <c r="B727" s="44" t="n"/>
      <c r="C727" s="45" t="n"/>
      <c r="D727" s="50" t="n"/>
      <c r="E727" s="45" t="n"/>
      <c r="F727" s="50" t="n"/>
      <c r="G727" s="47" t="n"/>
      <c r="H727" s="52" t="n"/>
      <c r="I727" s="50" t="n"/>
      <c r="J727" s="53">
        <f t="shared" si="1"/>
      </c>
      <c r="K727" s="49">
        <f t="shared" si="2"/>
      </c>
      <c r="L727" s="2">
        <f t="shared" si="3"/>
      </c>
    </row>
    <row r="728">
      <c r="A728" s="43">
        <f t="shared" si="0"/>
      </c>
      <c r="B728" s="44" t="n"/>
      <c r="C728" s="45" t="n"/>
      <c r="D728" s="50" t="n"/>
      <c r="E728" s="45" t="n"/>
      <c r="F728" s="50" t="n"/>
      <c r="G728" s="47" t="n"/>
      <c r="H728" s="52" t="n"/>
      <c r="I728" s="50" t="n"/>
      <c r="J728" s="53">
        <f t="shared" si="1"/>
      </c>
      <c r="K728" s="49">
        <f t="shared" si="2"/>
      </c>
      <c r="L728" s="2">
        <f t="shared" si="3"/>
      </c>
    </row>
    <row r="729">
      <c r="A729" s="43">
        <f t="shared" si="0"/>
      </c>
      <c r="B729" s="44" t="n"/>
      <c r="C729" s="45" t="n"/>
      <c r="D729" s="50" t="n"/>
      <c r="E729" s="45" t="n"/>
      <c r="F729" s="50" t="n"/>
      <c r="G729" s="47" t="n"/>
      <c r="H729" s="52" t="n"/>
      <c r="I729" s="50" t="n"/>
      <c r="J729" s="53">
        <f t="shared" si="1"/>
      </c>
      <c r="K729" s="49">
        <f t="shared" si="2"/>
      </c>
      <c r="L729" s="2">
        <f t="shared" si="3"/>
      </c>
    </row>
    <row r="730">
      <c r="A730" s="43">
        <f t="shared" si="0"/>
      </c>
      <c r="B730" s="44" t="n"/>
      <c r="C730" s="45" t="n"/>
      <c r="D730" s="50" t="n"/>
      <c r="E730" s="45" t="n"/>
      <c r="F730" s="50" t="n"/>
      <c r="G730" s="47" t="n"/>
      <c r="H730" s="52" t="n"/>
      <c r="I730" s="50" t="n"/>
      <c r="J730" s="53">
        <f t="shared" si="1"/>
      </c>
      <c r="K730" s="49">
        <f t="shared" si="2"/>
      </c>
      <c r="L730" s="2">
        <f t="shared" si="3"/>
      </c>
    </row>
    <row r="731">
      <c r="A731" s="43">
        <f t="shared" si="0"/>
      </c>
      <c r="B731" s="44" t="n"/>
      <c r="C731" s="45" t="n"/>
      <c r="D731" s="50" t="n"/>
      <c r="E731" s="45" t="n"/>
      <c r="F731" s="50" t="n"/>
      <c r="G731" s="47" t="n"/>
      <c r="H731" s="52" t="n"/>
      <c r="I731" s="50" t="n"/>
      <c r="J731" s="53">
        <f t="shared" si="1"/>
      </c>
      <c r="K731" s="49">
        <f t="shared" si="2"/>
      </c>
      <c r="L731" s="2">
        <f t="shared" si="3"/>
      </c>
    </row>
    <row r="732">
      <c r="A732" s="43">
        <f t="shared" si="0"/>
      </c>
      <c r="B732" s="44" t="n"/>
      <c r="C732" s="45" t="n"/>
      <c r="D732" s="50" t="n"/>
      <c r="E732" s="45" t="n"/>
      <c r="F732" s="50" t="n"/>
      <c r="G732" s="47" t="n"/>
      <c r="H732" s="52" t="n"/>
      <c r="I732" s="50" t="n"/>
      <c r="J732" s="53">
        <f t="shared" si="1"/>
      </c>
      <c r="K732" s="49">
        <f t="shared" si="2"/>
      </c>
      <c r="L732" s="2">
        <f t="shared" si="3"/>
      </c>
    </row>
    <row r="733">
      <c r="A733" s="43">
        <f t="shared" si="0"/>
      </c>
      <c r="B733" s="44" t="n"/>
      <c r="C733" s="45" t="n"/>
      <c r="D733" s="50" t="n"/>
      <c r="E733" s="45" t="n"/>
      <c r="F733" s="50" t="n"/>
      <c r="G733" s="47" t="n"/>
      <c r="H733" s="52" t="n"/>
      <c r="I733" s="50" t="n"/>
      <c r="J733" s="53">
        <f t="shared" si="1"/>
      </c>
      <c r="K733" s="49">
        <f t="shared" si="2"/>
      </c>
      <c r="L733" s="2">
        <f t="shared" si="3"/>
      </c>
    </row>
    <row r="734">
      <c r="A734" s="43">
        <f t="shared" si="0"/>
      </c>
      <c r="B734" s="44" t="n"/>
      <c r="C734" s="45" t="n"/>
      <c r="D734" s="50" t="n"/>
      <c r="E734" s="45" t="n"/>
      <c r="F734" s="50" t="n"/>
      <c r="G734" s="47" t="n"/>
      <c r="H734" s="52" t="n"/>
      <c r="I734" s="50" t="n"/>
      <c r="J734" s="53">
        <f t="shared" si="1"/>
      </c>
      <c r="K734" s="49">
        <f t="shared" si="2"/>
      </c>
      <c r="L734" s="2">
        <f t="shared" si="3"/>
      </c>
    </row>
    <row r="735">
      <c r="A735" s="43">
        <f t="shared" si="0"/>
      </c>
      <c r="B735" s="44" t="n"/>
      <c r="C735" s="45" t="n"/>
      <c r="D735" s="50" t="n"/>
      <c r="E735" s="45" t="n"/>
      <c r="F735" s="50" t="n"/>
      <c r="G735" s="47" t="n"/>
      <c r="H735" s="52" t="n"/>
      <c r="I735" s="50" t="n"/>
      <c r="J735" s="53">
        <f t="shared" si="1"/>
      </c>
      <c r="K735" s="49">
        <f t="shared" si="2"/>
      </c>
      <c r="L735" s="2">
        <f t="shared" si="3"/>
      </c>
    </row>
    <row r="736">
      <c r="A736" s="43">
        <f t="shared" si="0"/>
      </c>
      <c r="B736" s="44" t="n"/>
      <c r="C736" s="45" t="n"/>
      <c r="D736" s="50" t="n"/>
      <c r="E736" s="45" t="n"/>
      <c r="F736" s="50" t="n"/>
      <c r="G736" s="47" t="n"/>
      <c r="H736" s="52" t="n"/>
      <c r="I736" s="50" t="n"/>
      <c r="J736" s="53">
        <f t="shared" si="1"/>
      </c>
      <c r="K736" s="49">
        <f t="shared" si="2"/>
      </c>
      <c r="L736" s="2">
        <f t="shared" si="3"/>
      </c>
    </row>
    <row r="737">
      <c r="A737" s="43">
        <f t="shared" si="0"/>
      </c>
      <c r="B737" s="44" t="n"/>
      <c r="C737" s="45" t="n"/>
      <c r="D737" s="50" t="n"/>
      <c r="E737" s="45" t="n"/>
      <c r="F737" s="50" t="n"/>
      <c r="G737" s="47" t="n"/>
      <c r="H737" s="52" t="n"/>
      <c r="I737" s="50" t="n"/>
      <c r="J737" s="53">
        <f t="shared" si="1"/>
      </c>
      <c r="K737" s="49">
        <f t="shared" si="2"/>
      </c>
      <c r="L737" s="2">
        <f t="shared" si="3"/>
      </c>
    </row>
    <row r="738">
      <c r="A738" s="43">
        <f t="shared" si="0"/>
      </c>
      <c r="B738" s="44" t="n"/>
      <c r="C738" s="45" t="n"/>
      <c r="D738" s="50" t="n"/>
      <c r="E738" s="45" t="n"/>
      <c r="F738" s="50" t="n"/>
      <c r="G738" s="47" t="n"/>
      <c r="H738" s="52" t="n"/>
      <c r="I738" s="50" t="n"/>
      <c r="J738" s="53">
        <f t="shared" si="1"/>
      </c>
      <c r="K738" s="49">
        <f t="shared" si="2"/>
      </c>
      <c r="L738" s="2">
        <f t="shared" si="3"/>
      </c>
    </row>
    <row r="739">
      <c r="A739" s="43">
        <f t="shared" si="0"/>
      </c>
      <c r="B739" s="44" t="n"/>
      <c r="C739" s="45" t="n"/>
      <c r="D739" s="50" t="n"/>
      <c r="E739" s="45" t="n"/>
      <c r="F739" s="50" t="n"/>
      <c r="G739" s="47" t="n"/>
      <c r="H739" s="52" t="n"/>
      <c r="I739" s="50" t="n"/>
      <c r="J739" s="53">
        <f t="shared" si="1"/>
      </c>
      <c r="K739" s="49">
        <f t="shared" si="2"/>
      </c>
      <c r="L739" s="2">
        <f t="shared" si="3"/>
      </c>
    </row>
    <row r="740">
      <c r="A740" s="43">
        <f t="shared" si="0"/>
      </c>
      <c r="B740" s="44" t="n"/>
      <c r="C740" s="45" t="n"/>
      <c r="D740" s="50" t="n"/>
      <c r="E740" s="45" t="n"/>
      <c r="F740" s="50" t="n"/>
      <c r="G740" s="47" t="n"/>
      <c r="H740" s="52" t="n"/>
      <c r="I740" s="50" t="n"/>
      <c r="J740" s="53">
        <f t="shared" si="1"/>
      </c>
      <c r="K740" s="49">
        <f t="shared" si="2"/>
      </c>
      <c r="L740" s="2">
        <f t="shared" si="3"/>
      </c>
    </row>
    <row r="741">
      <c r="A741" s="43">
        <f t="shared" si="0"/>
      </c>
      <c r="B741" s="44" t="n"/>
      <c r="C741" s="45" t="n"/>
      <c r="D741" s="50" t="n"/>
      <c r="E741" s="45" t="n"/>
      <c r="F741" s="50" t="n"/>
      <c r="G741" s="47" t="n"/>
      <c r="H741" s="52" t="n"/>
      <c r="I741" s="50" t="n"/>
      <c r="J741" s="53">
        <f t="shared" si="1"/>
      </c>
      <c r="K741" s="49">
        <f t="shared" si="2"/>
      </c>
      <c r="L741" s="2">
        <f t="shared" si="3"/>
      </c>
    </row>
    <row r="742">
      <c r="A742" s="43">
        <f t="shared" si="0"/>
      </c>
      <c r="B742" s="44" t="n"/>
      <c r="C742" s="45" t="n"/>
      <c r="D742" s="50" t="n"/>
      <c r="E742" s="45" t="n"/>
      <c r="F742" s="50" t="n"/>
      <c r="G742" s="47" t="n"/>
      <c r="H742" s="52" t="n"/>
      <c r="I742" s="50" t="n"/>
      <c r="J742" s="53">
        <f t="shared" si="1"/>
      </c>
      <c r="K742" s="49">
        <f t="shared" si="2"/>
      </c>
      <c r="L742" s="2">
        <f t="shared" si="3"/>
      </c>
    </row>
    <row r="743">
      <c r="A743" s="43">
        <f t="shared" si="0"/>
      </c>
      <c r="B743" s="44" t="n"/>
      <c r="C743" s="45" t="n"/>
      <c r="D743" s="50" t="n"/>
      <c r="E743" s="45" t="n"/>
      <c r="F743" s="50" t="n"/>
      <c r="G743" s="47" t="n"/>
      <c r="H743" s="52" t="n"/>
      <c r="I743" s="50" t="n"/>
      <c r="J743" s="53">
        <f t="shared" si="1"/>
      </c>
      <c r="K743" s="49">
        <f t="shared" si="2"/>
      </c>
      <c r="L743" s="2">
        <f t="shared" si="3"/>
      </c>
    </row>
    <row r="744">
      <c r="A744" s="43">
        <f t="shared" si="0"/>
      </c>
      <c r="B744" s="44" t="n"/>
      <c r="C744" s="45" t="n"/>
      <c r="D744" s="50" t="n"/>
      <c r="E744" s="45" t="n"/>
      <c r="F744" s="50" t="n"/>
      <c r="G744" s="47" t="n"/>
      <c r="H744" s="52" t="n"/>
      <c r="I744" s="50" t="n"/>
      <c r="J744" s="53">
        <f t="shared" si="1"/>
      </c>
      <c r="K744" s="49">
        <f t="shared" si="2"/>
      </c>
      <c r="L744" s="2">
        <f t="shared" si="3"/>
      </c>
    </row>
    <row r="745">
      <c r="A745" s="43">
        <f t="shared" si="0"/>
      </c>
      <c r="B745" s="44" t="n"/>
      <c r="C745" s="45" t="n"/>
      <c r="D745" s="50" t="n"/>
      <c r="E745" s="45" t="n"/>
      <c r="F745" s="50" t="n"/>
      <c r="G745" s="47" t="n"/>
      <c r="H745" s="52" t="n"/>
      <c r="I745" s="50" t="n"/>
      <c r="J745" s="53">
        <f t="shared" si="1"/>
      </c>
      <c r="K745" s="49">
        <f t="shared" si="2"/>
      </c>
      <c r="L745" s="2">
        <f t="shared" si="3"/>
      </c>
    </row>
    <row r="746">
      <c r="A746" s="43">
        <f t="shared" si="0"/>
      </c>
      <c r="B746" s="44" t="n"/>
      <c r="C746" s="45" t="n"/>
      <c r="D746" s="50" t="n"/>
      <c r="E746" s="45" t="n"/>
      <c r="F746" s="50" t="n"/>
      <c r="G746" s="47" t="n"/>
      <c r="H746" s="52" t="n"/>
      <c r="I746" s="50" t="n"/>
      <c r="J746" s="53">
        <f t="shared" si="1"/>
      </c>
      <c r="K746" s="49">
        <f t="shared" si="2"/>
      </c>
      <c r="L746" s="2">
        <f t="shared" si="3"/>
      </c>
    </row>
    <row r="747">
      <c r="A747" s="43">
        <f t="shared" si="0"/>
      </c>
      <c r="B747" s="44" t="n"/>
      <c r="C747" s="45" t="n"/>
      <c r="D747" s="50" t="n"/>
      <c r="E747" s="45" t="n"/>
      <c r="F747" s="50" t="n"/>
      <c r="G747" s="47" t="n"/>
      <c r="H747" s="52" t="n"/>
      <c r="I747" s="50" t="n"/>
      <c r="J747" s="53">
        <f t="shared" si="1"/>
      </c>
      <c r="K747" s="49">
        <f t="shared" si="2"/>
      </c>
      <c r="L747" s="2">
        <f t="shared" si="3"/>
      </c>
    </row>
    <row r="748">
      <c r="A748" s="43">
        <f t="shared" si="0"/>
      </c>
      <c r="B748" s="44" t="n"/>
      <c r="C748" s="45" t="n"/>
      <c r="D748" s="50" t="n"/>
      <c r="E748" s="45" t="n"/>
      <c r="F748" s="50" t="n"/>
      <c r="G748" s="47" t="n"/>
      <c r="H748" s="52" t="n"/>
      <c r="I748" s="50" t="n"/>
      <c r="J748" s="53">
        <f t="shared" si="1"/>
      </c>
      <c r="K748" s="49">
        <f t="shared" si="2"/>
      </c>
      <c r="L748" s="2">
        <f t="shared" si="3"/>
      </c>
    </row>
    <row r="749">
      <c r="A749" s="43">
        <f t="shared" si="0"/>
      </c>
      <c r="B749" s="44" t="n"/>
      <c r="C749" s="45" t="n"/>
      <c r="D749" s="50" t="n"/>
      <c r="E749" s="45" t="n"/>
      <c r="F749" s="50" t="n"/>
      <c r="G749" s="47" t="n"/>
      <c r="H749" s="52" t="n"/>
      <c r="I749" s="50" t="n"/>
      <c r="J749" s="53">
        <f t="shared" si="1"/>
      </c>
      <c r="K749" s="49">
        <f t="shared" si="2"/>
      </c>
      <c r="L749" s="2">
        <f t="shared" si="3"/>
      </c>
    </row>
    <row r="750">
      <c r="A750" s="43">
        <f t="shared" si="0"/>
      </c>
      <c r="B750" s="44" t="n"/>
      <c r="C750" s="45" t="n"/>
      <c r="D750" s="50" t="n"/>
      <c r="E750" s="45" t="n"/>
      <c r="F750" s="50" t="n"/>
      <c r="G750" s="47" t="n"/>
      <c r="H750" s="52" t="n"/>
      <c r="I750" s="50" t="n"/>
      <c r="J750" s="53">
        <f t="shared" si="1"/>
      </c>
      <c r="K750" s="49">
        <f t="shared" si="2"/>
      </c>
      <c r="L750" s="2">
        <f t="shared" si="3"/>
      </c>
    </row>
    <row r="751">
      <c r="A751" s="43">
        <f t="shared" si="0"/>
      </c>
      <c r="B751" s="44" t="n"/>
      <c r="C751" s="45" t="n"/>
      <c r="D751" s="50" t="n"/>
      <c r="E751" s="45" t="n"/>
      <c r="F751" s="50" t="n"/>
      <c r="G751" s="47" t="n"/>
      <c r="H751" s="52" t="n"/>
      <c r="I751" s="50" t="n"/>
      <c r="J751" s="53">
        <f t="shared" si="1"/>
      </c>
      <c r="K751" s="49">
        <f t="shared" si="2"/>
      </c>
      <c r="L751" s="2">
        <f t="shared" si="3"/>
      </c>
    </row>
    <row r="752">
      <c r="A752" s="43">
        <f t="shared" si="0"/>
      </c>
      <c r="B752" s="44" t="n"/>
      <c r="C752" s="45" t="n"/>
      <c r="D752" s="50" t="n"/>
      <c r="E752" s="45" t="n"/>
      <c r="F752" s="50" t="n"/>
      <c r="G752" s="47" t="n"/>
      <c r="H752" s="52" t="n"/>
      <c r="I752" s="50" t="n"/>
      <c r="J752" s="53">
        <f t="shared" si="1"/>
      </c>
      <c r="K752" s="49">
        <f t="shared" si="2"/>
      </c>
      <c r="L752" s="2">
        <f t="shared" si="3"/>
      </c>
    </row>
    <row r="753">
      <c r="A753" s="43">
        <f t="shared" si="0"/>
      </c>
      <c r="B753" s="44" t="n"/>
      <c r="C753" s="45" t="n"/>
      <c r="D753" s="50" t="n"/>
      <c r="E753" s="45" t="n"/>
      <c r="F753" s="50" t="n"/>
      <c r="G753" s="47" t="n"/>
      <c r="H753" s="52" t="n"/>
      <c r="I753" s="50" t="n"/>
      <c r="J753" s="53">
        <f t="shared" si="1"/>
      </c>
      <c r="K753" s="49">
        <f t="shared" si="2"/>
      </c>
      <c r="L753" s="2">
        <f t="shared" si="3"/>
      </c>
    </row>
    <row r="754">
      <c r="A754" s="43">
        <f t="shared" si="0"/>
      </c>
      <c r="B754" s="44" t="n"/>
      <c r="C754" s="45" t="n"/>
      <c r="D754" s="50" t="n"/>
      <c r="E754" s="45" t="n"/>
      <c r="F754" s="50" t="n"/>
      <c r="G754" s="47" t="n"/>
      <c r="H754" s="52" t="n"/>
      <c r="I754" s="50" t="n"/>
      <c r="J754" s="53">
        <f t="shared" si="1"/>
      </c>
      <c r="K754" s="49">
        <f t="shared" si="2"/>
      </c>
      <c r="L754" s="2">
        <f t="shared" si="3"/>
      </c>
    </row>
    <row r="755">
      <c r="A755" s="43">
        <f t="shared" si="0"/>
      </c>
      <c r="B755" s="44" t="n"/>
      <c r="C755" s="45" t="n"/>
      <c r="D755" s="50" t="n"/>
      <c r="E755" s="45" t="n"/>
      <c r="F755" s="50" t="n"/>
      <c r="G755" s="47" t="n"/>
      <c r="H755" s="52" t="n"/>
      <c r="I755" s="50" t="n"/>
      <c r="J755" s="53">
        <f t="shared" si="1"/>
      </c>
      <c r="K755" s="49">
        <f t="shared" si="2"/>
      </c>
      <c r="L755" s="2">
        <f t="shared" si="3"/>
      </c>
    </row>
    <row r="756">
      <c r="A756" s="43">
        <f t="shared" si="0"/>
      </c>
      <c r="B756" s="44" t="n"/>
      <c r="C756" s="45" t="n"/>
      <c r="D756" s="50" t="n"/>
      <c r="E756" s="45" t="n"/>
      <c r="F756" s="50" t="n"/>
      <c r="G756" s="47" t="n"/>
      <c r="H756" s="52" t="n"/>
      <c r="I756" s="50" t="n"/>
      <c r="J756" s="53">
        <f t="shared" si="1"/>
      </c>
      <c r="K756" s="49">
        <f t="shared" si="2"/>
      </c>
      <c r="L756" s="2">
        <f t="shared" si="3"/>
      </c>
    </row>
    <row r="757">
      <c r="A757" s="43">
        <f t="shared" si="0"/>
      </c>
      <c r="B757" s="44" t="n"/>
      <c r="C757" s="45" t="n"/>
      <c r="D757" s="50" t="n"/>
      <c r="E757" s="45" t="n"/>
      <c r="F757" s="50" t="n"/>
      <c r="G757" s="47" t="n"/>
      <c r="H757" s="52" t="n"/>
      <c r="I757" s="50" t="n"/>
      <c r="J757" s="53">
        <f t="shared" si="1"/>
      </c>
      <c r="K757" s="49">
        <f t="shared" si="2"/>
      </c>
      <c r="L757" s="2">
        <f t="shared" si="3"/>
      </c>
    </row>
    <row r="758">
      <c r="A758" s="43">
        <f t="shared" si="0"/>
      </c>
      <c r="B758" s="44" t="n"/>
      <c r="C758" s="45" t="n"/>
      <c r="D758" s="50" t="n"/>
      <c r="E758" s="45" t="n"/>
      <c r="F758" s="50" t="n"/>
      <c r="G758" s="47" t="n"/>
      <c r="H758" s="52" t="n"/>
      <c r="I758" s="50" t="n"/>
      <c r="J758" s="53">
        <f t="shared" si="1"/>
      </c>
      <c r="K758" s="49">
        <f t="shared" si="2"/>
      </c>
      <c r="L758" s="2">
        <f t="shared" si="3"/>
      </c>
    </row>
    <row r="759">
      <c r="A759" s="43">
        <f t="shared" si="0"/>
      </c>
      <c r="B759" s="44" t="n"/>
      <c r="C759" s="45" t="n"/>
      <c r="D759" s="50" t="n"/>
      <c r="E759" s="45" t="n"/>
      <c r="F759" s="50" t="n"/>
      <c r="G759" s="47" t="n"/>
      <c r="H759" s="52" t="n"/>
      <c r="I759" s="50" t="n"/>
      <c r="J759" s="53">
        <f t="shared" si="1"/>
      </c>
      <c r="K759" s="49">
        <f t="shared" si="2"/>
      </c>
      <c r="L759" s="2">
        <f t="shared" si="3"/>
      </c>
    </row>
    <row r="760">
      <c r="A760" s="43">
        <f t="shared" si="0"/>
      </c>
      <c r="B760" s="44" t="n"/>
      <c r="C760" s="45" t="n"/>
      <c r="D760" s="50" t="n"/>
      <c r="E760" s="45" t="n"/>
      <c r="F760" s="50" t="n"/>
      <c r="G760" s="47" t="n"/>
      <c r="H760" s="52" t="n"/>
      <c r="I760" s="50" t="n"/>
      <c r="J760" s="53">
        <f t="shared" si="1"/>
      </c>
      <c r="K760" s="49">
        <f t="shared" si="2"/>
      </c>
      <c r="L760" s="2">
        <f t="shared" si="3"/>
      </c>
    </row>
    <row r="761">
      <c r="A761" s="43">
        <f t="shared" si="0"/>
      </c>
      <c r="B761" s="44" t="n"/>
      <c r="C761" s="45" t="n"/>
      <c r="D761" s="50" t="n"/>
      <c r="E761" s="45" t="n"/>
      <c r="F761" s="50" t="n"/>
      <c r="G761" s="47" t="n"/>
      <c r="H761" s="52" t="n"/>
      <c r="I761" s="50" t="n"/>
      <c r="J761" s="53">
        <f t="shared" si="1"/>
      </c>
      <c r="K761" s="49">
        <f t="shared" si="2"/>
      </c>
      <c r="L761" s="2">
        <f t="shared" si="3"/>
      </c>
    </row>
    <row r="762">
      <c r="A762" s="43">
        <f t="shared" si="0"/>
      </c>
      <c r="B762" s="44" t="n"/>
      <c r="C762" s="45" t="n"/>
      <c r="D762" s="50" t="n"/>
      <c r="E762" s="45" t="n"/>
      <c r="F762" s="50" t="n"/>
      <c r="G762" s="47" t="n"/>
      <c r="H762" s="52" t="n"/>
      <c r="I762" s="50" t="n"/>
      <c r="J762" s="53">
        <f t="shared" si="1"/>
      </c>
      <c r="K762" s="49">
        <f t="shared" si="2"/>
      </c>
      <c r="L762" s="2">
        <f t="shared" si="3"/>
      </c>
    </row>
    <row r="763">
      <c r="A763" s="43">
        <f t="shared" si="0"/>
      </c>
      <c r="B763" s="44" t="n"/>
      <c r="C763" s="45" t="n"/>
      <c r="D763" s="50" t="n"/>
      <c r="E763" s="45" t="n"/>
      <c r="F763" s="50" t="n"/>
      <c r="G763" s="47" t="n"/>
      <c r="H763" s="52" t="n"/>
      <c r="I763" s="50" t="n"/>
      <c r="J763" s="53">
        <f t="shared" si="1"/>
      </c>
      <c r="K763" s="49">
        <f t="shared" si="2"/>
      </c>
      <c r="L763" s="2">
        <f t="shared" si="3"/>
      </c>
    </row>
    <row r="764">
      <c r="A764" s="43">
        <f t="shared" si="0"/>
      </c>
      <c r="B764" s="44" t="n"/>
      <c r="C764" s="45" t="n"/>
      <c r="D764" s="50" t="n"/>
      <c r="E764" s="45" t="n"/>
      <c r="F764" s="50" t="n"/>
      <c r="G764" s="47" t="n"/>
      <c r="H764" s="52" t="n"/>
      <c r="I764" s="50" t="n"/>
      <c r="J764" s="53">
        <f t="shared" si="1"/>
      </c>
      <c r="K764" s="49">
        <f t="shared" si="2"/>
      </c>
      <c r="L764" s="2">
        <f t="shared" si="3"/>
      </c>
    </row>
    <row r="765">
      <c r="A765" s="43">
        <f t="shared" si="0"/>
      </c>
      <c r="B765" s="44" t="n"/>
      <c r="C765" s="45" t="n"/>
      <c r="D765" s="50" t="n"/>
      <c r="E765" s="45" t="n"/>
      <c r="F765" s="50" t="n"/>
      <c r="G765" s="47" t="n"/>
      <c r="H765" s="52" t="n"/>
      <c r="I765" s="50" t="n"/>
      <c r="J765" s="53">
        <f t="shared" si="1"/>
      </c>
      <c r="K765" s="49">
        <f t="shared" si="2"/>
      </c>
      <c r="L765" s="2">
        <f t="shared" si="3"/>
      </c>
    </row>
    <row r="766">
      <c r="A766" s="43">
        <f t="shared" si="0"/>
      </c>
      <c r="B766" s="44" t="n"/>
      <c r="C766" s="45" t="n"/>
      <c r="D766" s="50" t="n"/>
      <c r="E766" s="45" t="n"/>
      <c r="F766" s="50" t="n"/>
      <c r="G766" s="47" t="n"/>
      <c r="H766" s="52" t="n"/>
      <c r="I766" s="50" t="n"/>
      <c r="J766" s="53">
        <f t="shared" si="1"/>
      </c>
      <c r="K766" s="49">
        <f t="shared" si="2"/>
      </c>
      <c r="L766" s="2">
        <f t="shared" si="3"/>
      </c>
    </row>
    <row r="767">
      <c r="A767" s="43">
        <f t="shared" si="0"/>
      </c>
      <c r="B767" s="44" t="n"/>
      <c r="C767" s="45" t="n"/>
      <c r="D767" s="50" t="n"/>
      <c r="E767" s="45" t="n"/>
      <c r="F767" s="50" t="n"/>
      <c r="G767" s="47" t="n"/>
      <c r="H767" s="52" t="n"/>
      <c r="I767" s="50" t="n"/>
      <c r="J767" s="53">
        <f t="shared" si="1"/>
      </c>
      <c r="K767" s="49">
        <f t="shared" si="2"/>
      </c>
      <c r="L767" s="2">
        <f t="shared" si="3"/>
      </c>
    </row>
    <row r="768">
      <c r="A768" s="43">
        <f t="shared" si="0"/>
      </c>
      <c r="B768" s="44" t="n"/>
      <c r="C768" s="45" t="n"/>
      <c r="D768" s="50" t="n"/>
      <c r="E768" s="45" t="n"/>
      <c r="F768" s="50" t="n"/>
      <c r="G768" s="47" t="n"/>
      <c r="H768" s="52" t="n"/>
      <c r="I768" s="50" t="n"/>
      <c r="J768" s="53">
        <f t="shared" si="1"/>
      </c>
      <c r="K768" s="49">
        <f t="shared" si="2"/>
      </c>
      <c r="L768" s="2">
        <f t="shared" si="3"/>
      </c>
    </row>
    <row r="769">
      <c r="A769" s="43">
        <f t="shared" si="0"/>
      </c>
      <c r="B769" s="44" t="n"/>
      <c r="C769" s="45" t="n"/>
      <c r="D769" s="50" t="n"/>
      <c r="E769" s="45" t="n"/>
      <c r="F769" s="50" t="n"/>
      <c r="G769" s="47" t="n"/>
      <c r="H769" s="52" t="n"/>
      <c r="I769" s="50" t="n"/>
      <c r="J769" s="53">
        <f t="shared" si="1"/>
      </c>
      <c r="K769" s="49">
        <f t="shared" si="2"/>
      </c>
      <c r="L769" s="2">
        <f t="shared" si="3"/>
      </c>
    </row>
    <row r="770">
      <c r="A770" s="43">
        <f t="shared" si="0"/>
      </c>
      <c r="B770" s="44" t="n"/>
      <c r="C770" s="45" t="n"/>
      <c r="D770" s="50" t="n"/>
      <c r="E770" s="45" t="n"/>
      <c r="F770" s="50" t="n"/>
      <c r="G770" s="47" t="n"/>
      <c r="H770" s="52" t="n"/>
      <c r="I770" s="50" t="n"/>
      <c r="J770" s="53">
        <f t="shared" si="1"/>
      </c>
      <c r="K770" s="49">
        <f t="shared" si="2"/>
      </c>
      <c r="L770" s="2">
        <f t="shared" si="3"/>
      </c>
    </row>
    <row r="771">
      <c r="A771" s="43">
        <f t="shared" si="0"/>
      </c>
      <c r="B771" s="44" t="n"/>
      <c r="C771" s="45" t="n"/>
      <c r="D771" s="50" t="n"/>
      <c r="E771" s="45" t="n"/>
      <c r="F771" s="50" t="n"/>
      <c r="G771" s="47" t="n"/>
      <c r="H771" s="52" t="n"/>
      <c r="I771" s="50" t="n"/>
      <c r="J771" s="53">
        <f t="shared" si="1"/>
      </c>
      <c r="K771" s="49">
        <f t="shared" si="2"/>
      </c>
      <c r="L771" s="2">
        <f t="shared" si="3"/>
      </c>
    </row>
    <row r="772">
      <c r="A772" s="43">
        <f t="shared" si="0"/>
      </c>
      <c r="B772" s="44" t="n"/>
      <c r="C772" s="45" t="n"/>
      <c r="D772" s="50" t="n"/>
      <c r="E772" s="45" t="n"/>
      <c r="F772" s="50" t="n"/>
      <c r="G772" s="47" t="n"/>
      <c r="H772" s="52" t="n"/>
      <c r="I772" s="50" t="n"/>
      <c r="J772" s="53">
        <f t="shared" si="1"/>
      </c>
      <c r="K772" s="49">
        <f t="shared" si="2"/>
      </c>
      <c r="L772" s="2">
        <f t="shared" si="3"/>
      </c>
    </row>
    <row r="773">
      <c r="A773" s="43">
        <f t="shared" si="0"/>
      </c>
      <c r="B773" s="44" t="n"/>
      <c r="C773" s="45" t="n"/>
      <c r="D773" s="50" t="n"/>
      <c r="E773" s="45" t="n"/>
      <c r="F773" s="50" t="n"/>
      <c r="G773" s="47" t="n"/>
      <c r="H773" s="52" t="n"/>
      <c r="I773" s="50" t="n"/>
      <c r="J773" s="53">
        <f t="shared" si="1"/>
      </c>
      <c r="K773" s="49">
        <f t="shared" si="2"/>
      </c>
      <c r="L773" s="2">
        <f t="shared" si="3"/>
      </c>
    </row>
    <row r="774">
      <c r="A774" s="43">
        <f t="shared" si="0"/>
      </c>
      <c r="B774" s="44" t="n"/>
      <c r="C774" s="45" t="n"/>
      <c r="D774" s="50" t="n"/>
      <c r="E774" s="45" t="n"/>
      <c r="F774" s="50" t="n"/>
      <c r="G774" s="47" t="n"/>
      <c r="H774" s="52" t="n"/>
      <c r="I774" s="50" t="n"/>
      <c r="J774" s="53">
        <f t="shared" si="1"/>
      </c>
      <c r="K774" s="49">
        <f t="shared" si="2"/>
      </c>
      <c r="L774" s="2">
        <f t="shared" si="3"/>
      </c>
    </row>
    <row r="775">
      <c r="A775" s="43">
        <f t="shared" si="0"/>
      </c>
      <c r="B775" s="44" t="n"/>
      <c r="C775" s="45" t="n"/>
      <c r="D775" s="50" t="n"/>
      <c r="E775" s="45" t="n"/>
      <c r="F775" s="50" t="n"/>
      <c r="G775" s="47" t="n"/>
      <c r="H775" s="52" t="n"/>
      <c r="I775" s="50" t="n"/>
      <c r="J775" s="53">
        <f t="shared" si="1"/>
      </c>
      <c r="K775" s="49">
        <f t="shared" si="2"/>
      </c>
      <c r="L775" s="2">
        <f t="shared" si="3"/>
      </c>
    </row>
    <row r="776">
      <c r="A776" s="43">
        <f t="shared" si="0"/>
      </c>
      <c r="B776" s="44" t="n"/>
      <c r="C776" s="45" t="n"/>
      <c r="D776" s="50" t="n"/>
      <c r="E776" s="45" t="n"/>
      <c r="F776" s="50" t="n"/>
      <c r="G776" s="47" t="n"/>
      <c r="H776" s="52" t="n"/>
      <c r="I776" s="50" t="n"/>
      <c r="J776" s="53">
        <f t="shared" si="1"/>
      </c>
      <c r="K776" s="49">
        <f t="shared" si="2"/>
      </c>
      <c r="L776" s="2">
        <f t="shared" si="3"/>
      </c>
    </row>
    <row r="777">
      <c r="A777" s="43">
        <f t="shared" si="0"/>
      </c>
      <c r="B777" s="44" t="n"/>
      <c r="C777" s="45" t="n"/>
      <c r="D777" s="50" t="n"/>
      <c r="E777" s="45" t="n"/>
      <c r="F777" s="50" t="n"/>
      <c r="G777" s="47" t="n"/>
      <c r="H777" s="52" t="n"/>
      <c r="I777" s="50" t="n"/>
      <c r="J777" s="53">
        <f t="shared" si="1"/>
      </c>
      <c r="K777" s="49">
        <f t="shared" si="2"/>
      </c>
      <c r="L777" s="2">
        <f t="shared" si="3"/>
      </c>
    </row>
    <row r="778">
      <c r="A778" s="43">
        <f t="shared" si="0"/>
      </c>
      <c r="B778" s="44" t="n"/>
      <c r="C778" s="45" t="n"/>
      <c r="D778" s="50" t="n"/>
      <c r="E778" s="45" t="n"/>
      <c r="F778" s="50" t="n"/>
      <c r="G778" s="47" t="n"/>
      <c r="H778" s="52" t="n"/>
      <c r="I778" s="50" t="n"/>
      <c r="J778" s="53">
        <f t="shared" si="1"/>
      </c>
      <c r="K778" s="49">
        <f t="shared" si="2"/>
      </c>
      <c r="L778" s="2">
        <f t="shared" si="3"/>
      </c>
    </row>
    <row r="779">
      <c r="A779" s="43">
        <f t="shared" si="0"/>
      </c>
      <c r="B779" s="44" t="n"/>
      <c r="C779" s="45" t="n"/>
      <c r="D779" s="50" t="n"/>
      <c r="E779" s="45" t="n"/>
      <c r="F779" s="50" t="n"/>
      <c r="G779" s="47" t="n"/>
      <c r="H779" s="52" t="n"/>
      <c r="I779" s="50" t="n"/>
      <c r="J779" s="53">
        <f t="shared" si="1"/>
      </c>
      <c r="K779" s="49">
        <f t="shared" si="2"/>
      </c>
      <c r="L779" s="2">
        <f t="shared" si="3"/>
      </c>
    </row>
    <row r="780">
      <c r="A780" s="43">
        <f t="shared" si="0"/>
      </c>
      <c r="B780" s="44" t="n"/>
      <c r="C780" s="45" t="n"/>
      <c r="D780" s="50" t="n"/>
      <c r="E780" s="45" t="n"/>
      <c r="F780" s="50" t="n"/>
      <c r="G780" s="47" t="n"/>
      <c r="H780" s="52" t="n"/>
      <c r="I780" s="50" t="n"/>
      <c r="J780" s="53">
        <f t="shared" si="1"/>
      </c>
      <c r="K780" s="49">
        <f t="shared" si="2"/>
      </c>
      <c r="L780" s="2">
        <f t="shared" si="3"/>
      </c>
    </row>
    <row r="781">
      <c r="A781" s="43">
        <f t="shared" si="0"/>
      </c>
      <c r="B781" s="44" t="n"/>
      <c r="C781" s="45" t="n"/>
      <c r="D781" s="50" t="n"/>
      <c r="E781" s="45" t="n"/>
      <c r="F781" s="50" t="n"/>
      <c r="G781" s="47" t="n"/>
      <c r="H781" s="52" t="n"/>
      <c r="I781" s="50" t="n"/>
      <c r="J781" s="53">
        <f t="shared" si="1"/>
      </c>
      <c r="K781" s="49">
        <f t="shared" si="2"/>
      </c>
      <c r="L781" s="2">
        <f t="shared" si="3"/>
      </c>
    </row>
    <row r="782">
      <c r="A782" s="43">
        <f t="shared" si="0"/>
      </c>
      <c r="B782" s="44" t="n"/>
      <c r="C782" s="45" t="n"/>
      <c r="D782" s="50" t="n"/>
      <c r="E782" s="45" t="n"/>
      <c r="F782" s="50" t="n"/>
      <c r="G782" s="47" t="n"/>
      <c r="H782" s="52" t="n"/>
      <c r="I782" s="50" t="n"/>
      <c r="J782" s="53">
        <f t="shared" si="1"/>
      </c>
      <c r="K782" s="49">
        <f t="shared" si="2"/>
      </c>
      <c r="L782" s="2">
        <f t="shared" si="3"/>
      </c>
    </row>
    <row r="783">
      <c r="A783" s="43">
        <f t="shared" si="0"/>
      </c>
      <c r="B783" s="44" t="n"/>
      <c r="C783" s="45" t="n"/>
      <c r="D783" s="50" t="n"/>
      <c r="E783" s="45" t="n"/>
      <c r="F783" s="50" t="n"/>
      <c r="G783" s="47" t="n"/>
      <c r="H783" s="52" t="n"/>
      <c r="I783" s="50" t="n"/>
      <c r="J783" s="53">
        <f t="shared" si="1"/>
      </c>
      <c r="K783" s="49">
        <f t="shared" si="2"/>
      </c>
      <c r="L783" s="2">
        <f t="shared" si="3"/>
      </c>
    </row>
    <row r="784">
      <c r="A784" s="43">
        <f t="shared" si="0"/>
      </c>
      <c r="B784" s="44" t="n"/>
      <c r="C784" s="45" t="n"/>
      <c r="D784" s="50" t="n"/>
      <c r="E784" s="45" t="n"/>
      <c r="F784" s="50" t="n"/>
      <c r="G784" s="47" t="n"/>
      <c r="H784" s="52" t="n"/>
      <c r="I784" s="50" t="n"/>
      <c r="J784" s="53">
        <f t="shared" si="1"/>
      </c>
      <c r="K784" s="49">
        <f t="shared" si="2"/>
      </c>
      <c r="L784" s="2">
        <f t="shared" si="3"/>
      </c>
    </row>
    <row r="785">
      <c r="A785" s="43">
        <f t="shared" si="0"/>
      </c>
      <c r="B785" s="44" t="n"/>
      <c r="C785" s="45" t="n"/>
      <c r="D785" s="50" t="n"/>
      <c r="E785" s="45" t="n"/>
      <c r="F785" s="50" t="n"/>
      <c r="G785" s="47" t="n"/>
      <c r="H785" s="52" t="n"/>
      <c r="I785" s="50" t="n"/>
      <c r="J785" s="53">
        <f t="shared" si="1"/>
      </c>
      <c r="K785" s="49">
        <f t="shared" si="2"/>
      </c>
      <c r="L785" s="2">
        <f t="shared" si="3"/>
      </c>
    </row>
    <row r="786">
      <c r="A786" s="43">
        <f t="shared" si="0"/>
      </c>
      <c r="B786" s="44" t="n"/>
      <c r="C786" s="45" t="n"/>
      <c r="D786" s="50" t="n"/>
      <c r="E786" s="45" t="n"/>
      <c r="F786" s="50" t="n"/>
      <c r="G786" s="47" t="n"/>
      <c r="H786" s="52" t="n"/>
      <c r="I786" s="50" t="n"/>
      <c r="J786" s="53">
        <f t="shared" si="1"/>
      </c>
      <c r="K786" s="49">
        <f t="shared" si="2"/>
      </c>
      <c r="L786" s="2">
        <f t="shared" si="3"/>
      </c>
    </row>
    <row r="787">
      <c r="A787" s="43">
        <f t="shared" si="0"/>
      </c>
      <c r="B787" s="44" t="n"/>
      <c r="C787" s="45" t="n"/>
      <c r="D787" s="50" t="n"/>
      <c r="E787" s="45" t="n"/>
      <c r="F787" s="50" t="n"/>
      <c r="G787" s="47" t="n"/>
      <c r="H787" s="52" t="n"/>
      <c r="I787" s="50" t="n"/>
      <c r="J787" s="53">
        <f t="shared" si="1"/>
      </c>
      <c r="K787" s="49">
        <f t="shared" si="2"/>
      </c>
      <c r="L787" s="2">
        <f t="shared" si="3"/>
      </c>
    </row>
    <row r="788">
      <c r="A788" s="43">
        <f t="shared" si="0"/>
      </c>
      <c r="B788" s="44" t="n"/>
      <c r="C788" s="45" t="n"/>
      <c r="D788" s="50" t="n"/>
      <c r="E788" s="45" t="n"/>
      <c r="F788" s="50" t="n"/>
      <c r="G788" s="47" t="n"/>
      <c r="H788" s="52" t="n"/>
      <c r="I788" s="50" t="n"/>
      <c r="J788" s="53">
        <f t="shared" si="1"/>
      </c>
      <c r="K788" s="49">
        <f t="shared" si="2"/>
      </c>
      <c r="L788" s="2">
        <f t="shared" si="3"/>
      </c>
    </row>
    <row r="789">
      <c r="A789" s="43">
        <f t="shared" si="0"/>
      </c>
      <c r="B789" s="44" t="n"/>
      <c r="C789" s="45" t="n"/>
      <c r="D789" s="50" t="n"/>
      <c r="E789" s="45" t="n"/>
      <c r="F789" s="50" t="n"/>
      <c r="G789" s="47" t="n"/>
      <c r="H789" s="52" t="n"/>
      <c r="I789" s="50" t="n"/>
      <c r="J789" s="53">
        <f t="shared" si="1"/>
      </c>
      <c r="K789" s="49">
        <f t="shared" si="2"/>
      </c>
      <c r="L789" s="2">
        <f t="shared" si="3"/>
      </c>
    </row>
    <row r="790">
      <c r="A790" s="43">
        <f t="shared" si="0"/>
      </c>
      <c r="B790" s="44" t="n"/>
      <c r="C790" s="45" t="n"/>
      <c r="D790" s="50" t="n"/>
      <c r="E790" s="45" t="n"/>
      <c r="F790" s="50" t="n"/>
      <c r="G790" s="47" t="n"/>
      <c r="H790" s="52" t="n"/>
      <c r="I790" s="50" t="n"/>
      <c r="J790" s="53">
        <f t="shared" si="1"/>
      </c>
      <c r="K790" s="49">
        <f t="shared" si="2"/>
      </c>
      <c r="L790" s="2">
        <f t="shared" si="3"/>
      </c>
    </row>
    <row r="791">
      <c r="A791" s="43">
        <f t="shared" si="0"/>
      </c>
      <c r="B791" s="44" t="n"/>
      <c r="C791" s="45" t="n"/>
      <c r="D791" s="50" t="n"/>
      <c r="E791" s="45" t="n"/>
      <c r="F791" s="50" t="n"/>
      <c r="G791" s="47" t="n"/>
      <c r="H791" s="52" t="n"/>
      <c r="I791" s="50" t="n"/>
      <c r="J791" s="53">
        <f t="shared" si="1"/>
      </c>
      <c r="K791" s="49">
        <f t="shared" si="2"/>
      </c>
      <c r="L791" s="2">
        <f t="shared" si="3"/>
      </c>
    </row>
    <row r="792">
      <c r="A792" s="43">
        <f t="shared" si="0"/>
      </c>
      <c r="B792" s="44" t="n"/>
      <c r="C792" s="45" t="n"/>
      <c r="D792" s="50" t="n"/>
      <c r="E792" s="45" t="n"/>
      <c r="F792" s="50" t="n"/>
      <c r="G792" s="47" t="n"/>
      <c r="H792" s="52" t="n"/>
      <c r="I792" s="50" t="n"/>
      <c r="J792" s="53">
        <f t="shared" si="1"/>
      </c>
      <c r="K792" s="49">
        <f t="shared" si="2"/>
      </c>
      <c r="L792" s="2">
        <f t="shared" si="3"/>
      </c>
    </row>
    <row r="793">
      <c r="A793" s="43">
        <f t="shared" si="0"/>
      </c>
      <c r="B793" s="44" t="n"/>
      <c r="C793" s="45" t="n"/>
      <c r="D793" s="50" t="n"/>
      <c r="E793" s="45" t="n"/>
      <c r="F793" s="50" t="n"/>
      <c r="G793" s="47" t="n"/>
      <c r="H793" s="52" t="n"/>
      <c r="I793" s="50" t="n"/>
      <c r="J793" s="53">
        <f t="shared" si="1"/>
      </c>
      <c r="K793" s="49">
        <f t="shared" si="2"/>
      </c>
      <c r="L793" s="2">
        <f t="shared" si="3"/>
      </c>
    </row>
    <row r="794">
      <c r="A794" s="43">
        <f t="shared" si="0"/>
      </c>
      <c r="B794" s="44" t="n"/>
      <c r="C794" s="45" t="n"/>
      <c r="D794" s="50" t="n"/>
      <c r="E794" s="45" t="n"/>
      <c r="F794" s="50" t="n"/>
      <c r="G794" s="47" t="n"/>
      <c r="H794" s="52" t="n"/>
      <c r="I794" s="50" t="n"/>
      <c r="J794" s="53">
        <f t="shared" si="1"/>
      </c>
      <c r="K794" s="49">
        <f t="shared" si="2"/>
      </c>
      <c r="L794" s="2">
        <f t="shared" si="3"/>
      </c>
    </row>
    <row r="795">
      <c r="A795" s="43">
        <f t="shared" si="0"/>
      </c>
      <c r="B795" s="44" t="n"/>
      <c r="C795" s="45" t="n"/>
      <c r="D795" s="50" t="n"/>
      <c r="E795" s="45" t="n"/>
      <c r="F795" s="50" t="n"/>
      <c r="G795" s="47" t="n"/>
      <c r="H795" s="52" t="n"/>
      <c r="I795" s="50" t="n"/>
      <c r="J795" s="53">
        <f t="shared" si="1"/>
      </c>
      <c r="K795" s="49">
        <f t="shared" si="2"/>
      </c>
      <c r="L795" s="2">
        <f t="shared" si="3"/>
      </c>
    </row>
    <row r="796">
      <c r="A796" s="43">
        <f t="shared" si="0"/>
      </c>
      <c r="B796" s="44" t="n"/>
      <c r="C796" s="45" t="n"/>
      <c r="D796" s="50" t="n"/>
      <c r="E796" s="45" t="n"/>
      <c r="F796" s="50" t="n"/>
      <c r="G796" s="47" t="n"/>
      <c r="H796" s="52" t="n"/>
      <c r="I796" s="50" t="n"/>
      <c r="J796" s="53">
        <f t="shared" si="1"/>
      </c>
      <c r="K796" s="49">
        <f t="shared" si="2"/>
      </c>
      <c r="L796" s="2">
        <f t="shared" si="3"/>
      </c>
    </row>
    <row r="797">
      <c r="A797" s="43">
        <f t="shared" si="0"/>
      </c>
      <c r="B797" s="44" t="n"/>
      <c r="C797" s="45" t="n"/>
      <c r="D797" s="50" t="n"/>
      <c r="E797" s="45" t="n"/>
      <c r="F797" s="50" t="n"/>
      <c r="G797" s="47" t="n"/>
      <c r="H797" s="52" t="n"/>
      <c r="I797" s="50" t="n"/>
      <c r="J797" s="53">
        <f t="shared" si="1"/>
      </c>
      <c r="K797" s="49">
        <f t="shared" si="2"/>
      </c>
      <c r="L797" s="2">
        <f t="shared" si="3"/>
      </c>
    </row>
    <row r="798">
      <c r="A798" s="43">
        <f t="shared" si="0"/>
      </c>
      <c r="B798" s="44" t="n"/>
      <c r="C798" s="45" t="n"/>
      <c r="D798" s="50" t="n"/>
      <c r="E798" s="45" t="n"/>
      <c r="F798" s="50" t="n"/>
      <c r="G798" s="47" t="n"/>
      <c r="H798" s="52" t="n"/>
      <c r="I798" s="50" t="n"/>
      <c r="J798" s="53">
        <f t="shared" si="1"/>
      </c>
      <c r="K798" s="49">
        <f t="shared" si="2"/>
      </c>
      <c r="L798" s="2">
        <f t="shared" si="3"/>
      </c>
    </row>
    <row r="799">
      <c r="A799" s="43">
        <f t="shared" si="0"/>
      </c>
      <c r="B799" s="44" t="n"/>
      <c r="C799" s="45" t="n"/>
      <c r="D799" s="50" t="n"/>
      <c r="E799" s="45" t="n"/>
      <c r="F799" s="50" t="n"/>
      <c r="G799" s="47" t="n"/>
      <c r="H799" s="52" t="n"/>
      <c r="I799" s="50" t="n"/>
      <c r="J799" s="53">
        <f t="shared" si="1"/>
      </c>
      <c r="K799" s="49">
        <f t="shared" si="2"/>
      </c>
      <c r="L799" s="2">
        <f t="shared" si="3"/>
      </c>
    </row>
    <row r="800">
      <c r="A800" s="43">
        <f t="shared" si="0"/>
      </c>
      <c r="B800" s="44" t="n"/>
      <c r="C800" s="45" t="n"/>
      <c r="D800" s="50" t="n"/>
      <c r="E800" s="45" t="n"/>
      <c r="F800" s="50" t="n"/>
      <c r="G800" s="47" t="n"/>
      <c r="H800" s="52" t="n"/>
      <c r="I800" s="50" t="n"/>
      <c r="J800" s="53">
        <f t="shared" si="1"/>
      </c>
      <c r="K800" s="49">
        <f t="shared" si="2"/>
      </c>
      <c r="L800" s="2">
        <f t="shared" si="3"/>
      </c>
    </row>
    <row r="801">
      <c r="A801" s="43">
        <f t="shared" si="0"/>
      </c>
      <c r="B801" s="44" t="n"/>
      <c r="C801" s="45" t="n"/>
      <c r="D801" s="50" t="n"/>
      <c r="E801" s="45" t="n"/>
      <c r="F801" s="50" t="n"/>
      <c r="G801" s="47" t="n"/>
      <c r="H801" s="52" t="n"/>
      <c r="I801" s="50" t="n"/>
      <c r="J801" s="53">
        <f t="shared" si="1"/>
      </c>
      <c r="K801" s="49">
        <f t="shared" si="2"/>
      </c>
      <c r="L801" s="2">
        <f t="shared" si="3"/>
      </c>
    </row>
    <row r="802">
      <c r="A802" s="43">
        <f t="shared" si="0"/>
      </c>
      <c r="B802" s="44" t="n"/>
      <c r="C802" s="45" t="n"/>
      <c r="D802" s="50" t="n"/>
      <c r="E802" s="45" t="n"/>
      <c r="F802" s="50" t="n"/>
      <c r="G802" s="47" t="n"/>
      <c r="H802" s="52" t="n"/>
      <c r="I802" s="50" t="n"/>
      <c r="J802" s="53">
        <f t="shared" si="1"/>
      </c>
      <c r="K802" s="49">
        <f t="shared" si="2"/>
      </c>
      <c r="L802" s="2">
        <f t="shared" si="3"/>
      </c>
    </row>
    <row r="803">
      <c r="A803" s="43">
        <f t="shared" si="0"/>
      </c>
      <c r="B803" s="44" t="n"/>
      <c r="C803" s="45" t="n"/>
      <c r="D803" s="50" t="n"/>
      <c r="E803" s="45" t="n"/>
      <c r="F803" s="50" t="n"/>
      <c r="G803" s="47" t="n"/>
      <c r="H803" s="52" t="n"/>
      <c r="I803" s="50" t="n"/>
      <c r="J803" s="53">
        <f t="shared" si="1"/>
      </c>
      <c r="K803" s="49">
        <f t="shared" si="2"/>
      </c>
      <c r="L803" s="2">
        <f t="shared" si="3"/>
      </c>
    </row>
    <row r="804">
      <c r="A804" s="43">
        <f t="shared" si="0"/>
      </c>
      <c r="B804" s="44" t="n"/>
      <c r="C804" s="45" t="n"/>
      <c r="D804" s="50" t="n"/>
      <c r="E804" s="45" t="n"/>
      <c r="F804" s="50" t="n"/>
      <c r="G804" s="47" t="n"/>
      <c r="H804" s="52" t="n"/>
      <c r="I804" s="50" t="n"/>
      <c r="J804" s="53">
        <f t="shared" si="1"/>
      </c>
      <c r="K804" s="49">
        <f t="shared" si="2"/>
      </c>
      <c r="L804" s="2">
        <f t="shared" si="3"/>
      </c>
    </row>
    <row r="805">
      <c r="A805" s="43">
        <f t="shared" si="0"/>
      </c>
      <c r="B805" s="44" t="n"/>
      <c r="C805" s="45" t="n"/>
      <c r="D805" s="50" t="n"/>
      <c r="E805" s="45" t="n"/>
      <c r="F805" s="50" t="n"/>
      <c r="G805" s="47" t="n"/>
      <c r="H805" s="52" t="n"/>
      <c r="I805" s="50" t="n"/>
      <c r="J805" s="53">
        <f t="shared" si="1"/>
      </c>
      <c r="K805" s="49">
        <f t="shared" si="2"/>
      </c>
      <c r="L805" s="2">
        <f t="shared" si="3"/>
      </c>
    </row>
    <row r="806">
      <c r="A806" s="43">
        <f t="shared" si="0"/>
      </c>
      <c r="B806" s="44" t="n"/>
      <c r="C806" s="45" t="n"/>
      <c r="D806" s="50" t="n"/>
      <c r="E806" s="45" t="n"/>
      <c r="F806" s="50" t="n"/>
      <c r="G806" s="47" t="n"/>
      <c r="H806" s="52" t="n"/>
      <c r="I806" s="50" t="n"/>
      <c r="J806" s="53">
        <f t="shared" si="1"/>
      </c>
      <c r="K806" s="49">
        <f t="shared" si="2"/>
      </c>
      <c r="L806" s="2">
        <f t="shared" si="3"/>
      </c>
    </row>
    <row r="807">
      <c r="A807" s="43">
        <f t="shared" si="0"/>
      </c>
      <c r="B807" s="44" t="n"/>
      <c r="C807" s="45" t="n"/>
      <c r="D807" s="50" t="n"/>
      <c r="E807" s="45" t="n"/>
      <c r="F807" s="50" t="n"/>
      <c r="G807" s="47" t="n"/>
      <c r="H807" s="52" t="n"/>
      <c r="I807" s="50" t="n"/>
      <c r="J807" s="53">
        <f t="shared" si="1"/>
      </c>
      <c r="K807" s="49">
        <f t="shared" si="2"/>
      </c>
      <c r="L807" s="2">
        <f t="shared" si="3"/>
      </c>
    </row>
    <row r="808">
      <c r="A808" s="43">
        <f t="shared" si="0"/>
      </c>
      <c r="B808" s="44" t="n"/>
      <c r="C808" s="45" t="n"/>
      <c r="D808" s="50" t="n"/>
      <c r="E808" s="45" t="n"/>
      <c r="F808" s="50" t="n"/>
      <c r="G808" s="47" t="n"/>
      <c r="H808" s="52" t="n"/>
      <c r="I808" s="50" t="n"/>
      <c r="J808" s="53">
        <f t="shared" si="1"/>
      </c>
      <c r="K808" s="49">
        <f t="shared" si="2"/>
      </c>
      <c r="L808" s="2">
        <f t="shared" si="3"/>
      </c>
    </row>
    <row r="809">
      <c r="A809" s="43">
        <f t="shared" si="0"/>
      </c>
      <c r="B809" s="44" t="n"/>
      <c r="C809" s="45" t="n"/>
      <c r="D809" s="50" t="n"/>
      <c r="E809" s="45" t="n"/>
      <c r="F809" s="50" t="n"/>
      <c r="G809" s="47" t="n"/>
      <c r="H809" s="52" t="n"/>
      <c r="I809" s="50" t="n"/>
      <c r="J809" s="53">
        <f t="shared" si="1"/>
      </c>
      <c r="K809" s="49">
        <f t="shared" si="2"/>
      </c>
      <c r="L809" s="2">
        <f t="shared" si="3"/>
      </c>
    </row>
    <row r="810">
      <c r="A810" s="43">
        <f t="shared" si="0"/>
      </c>
      <c r="B810" s="44" t="n"/>
      <c r="C810" s="45" t="n"/>
      <c r="D810" s="50" t="n"/>
      <c r="E810" s="45" t="n"/>
      <c r="F810" s="50" t="n"/>
      <c r="G810" s="47" t="n"/>
      <c r="H810" s="52" t="n"/>
      <c r="I810" s="50" t="n"/>
      <c r="J810" s="53">
        <f t="shared" si="1"/>
      </c>
      <c r="K810" s="49">
        <f t="shared" si="2"/>
      </c>
      <c r="L810" s="2">
        <f t="shared" si="3"/>
      </c>
    </row>
    <row r="811">
      <c r="A811" s="43">
        <f t="shared" si="0"/>
      </c>
      <c r="B811" s="44" t="n"/>
      <c r="C811" s="45" t="n"/>
      <c r="D811" s="50" t="n"/>
      <c r="E811" s="45" t="n"/>
      <c r="F811" s="50" t="n"/>
      <c r="G811" s="47" t="n"/>
      <c r="H811" s="52" t="n"/>
      <c r="I811" s="50" t="n"/>
      <c r="J811" s="53">
        <f t="shared" si="1"/>
      </c>
      <c r="K811" s="49">
        <f t="shared" si="2"/>
      </c>
      <c r="L811" s="2">
        <f t="shared" si="3"/>
      </c>
    </row>
    <row r="812">
      <c r="A812" s="43">
        <f t="shared" si="0"/>
      </c>
      <c r="B812" s="44" t="n"/>
      <c r="C812" s="45" t="n"/>
      <c r="D812" s="50" t="n"/>
      <c r="E812" s="45" t="n"/>
      <c r="F812" s="50" t="n"/>
      <c r="G812" s="47" t="n"/>
      <c r="H812" s="52" t="n"/>
      <c r="I812" s="50" t="n"/>
      <c r="J812" s="53">
        <f t="shared" si="1"/>
      </c>
      <c r="K812" s="49">
        <f t="shared" si="2"/>
      </c>
      <c r="L812" s="2">
        <f t="shared" si="3"/>
      </c>
    </row>
    <row r="813">
      <c r="A813" s="43">
        <f t="shared" si="0"/>
      </c>
      <c r="B813" s="44" t="n"/>
      <c r="C813" s="45" t="n"/>
      <c r="D813" s="50" t="n"/>
      <c r="E813" s="45" t="n"/>
      <c r="F813" s="50" t="n"/>
      <c r="G813" s="47" t="n"/>
      <c r="H813" s="52" t="n"/>
      <c r="I813" s="50" t="n"/>
      <c r="J813" s="53">
        <f t="shared" si="1"/>
      </c>
      <c r="K813" s="49">
        <f t="shared" si="2"/>
      </c>
      <c r="L813" s="2">
        <f t="shared" si="3"/>
      </c>
    </row>
    <row r="814">
      <c r="A814" s="43">
        <f t="shared" si="0"/>
      </c>
      <c r="B814" s="44" t="n"/>
      <c r="C814" s="45" t="n"/>
      <c r="D814" s="50" t="n"/>
      <c r="E814" s="45" t="n"/>
      <c r="F814" s="50" t="n"/>
      <c r="G814" s="47" t="n"/>
      <c r="H814" s="52" t="n"/>
      <c r="I814" s="50" t="n"/>
      <c r="J814" s="53">
        <f t="shared" si="1"/>
      </c>
      <c r="K814" s="49">
        <f t="shared" si="2"/>
      </c>
      <c r="L814" s="2">
        <f t="shared" si="3"/>
      </c>
    </row>
    <row r="815">
      <c r="A815" s="43">
        <f t="shared" si="0"/>
      </c>
      <c r="B815" s="44" t="n"/>
      <c r="C815" s="45" t="n"/>
      <c r="D815" s="50" t="n"/>
      <c r="E815" s="45" t="n"/>
      <c r="F815" s="50" t="n"/>
      <c r="G815" s="47" t="n"/>
      <c r="H815" s="52" t="n"/>
      <c r="I815" s="50" t="n"/>
      <c r="J815" s="53">
        <f t="shared" si="1"/>
      </c>
      <c r="K815" s="49">
        <f t="shared" si="2"/>
      </c>
      <c r="L815" s="2">
        <f t="shared" si="3"/>
      </c>
    </row>
    <row r="816">
      <c r="A816" s="43">
        <f t="shared" si="0"/>
      </c>
      <c r="B816" s="44" t="n"/>
      <c r="C816" s="45" t="n"/>
      <c r="D816" s="50" t="n"/>
      <c r="E816" s="45" t="n"/>
      <c r="F816" s="50" t="n"/>
      <c r="G816" s="47" t="n"/>
      <c r="H816" s="52" t="n"/>
      <c r="I816" s="50" t="n"/>
      <c r="J816" s="53">
        <f t="shared" si="1"/>
      </c>
      <c r="K816" s="49">
        <f t="shared" si="2"/>
      </c>
      <c r="L816" s="2">
        <f t="shared" si="3"/>
      </c>
    </row>
    <row r="817">
      <c r="A817" s="43">
        <f t="shared" si="0"/>
      </c>
      <c r="B817" s="44" t="n"/>
      <c r="C817" s="45" t="n"/>
      <c r="D817" s="50" t="n"/>
      <c r="E817" s="45" t="n"/>
      <c r="F817" s="50" t="n"/>
      <c r="G817" s="47" t="n"/>
      <c r="H817" s="52" t="n"/>
      <c r="I817" s="50" t="n"/>
      <c r="J817" s="53">
        <f t="shared" si="1"/>
      </c>
      <c r="K817" s="49">
        <f t="shared" si="2"/>
      </c>
      <c r="L817" s="2">
        <f t="shared" si="3"/>
      </c>
    </row>
    <row r="818">
      <c r="A818" s="43">
        <f t="shared" si="0"/>
      </c>
      <c r="B818" s="44" t="n"/>
      <c r="C818" s="45" t="n"/>
      <c r="D818" s="50" t="n"/>
      <c r="E818" s="45" t="n"/>
      <c r="F818" s="50" t="n"/>
      <c r="G818" s="47" t="n"/>
      <c r="H818" s="52" t="n"/>
      <c r="I818" s="50" t="n"/>
      <c r="J818" s="53">
        <f t="shared" si="1"/>
      </c>
      <c r="K818" s="49">
        <f t="shared" si="2"/>
      </c>
      <c r="L818" s="2">
        <f t="shared" si="3"/>
      </c>
    </row>
    <row r="819">
      <c r="A819" s="43">
        <f t="shared" si="0"/>
      </c>
      <c r="B819" s="44" t="n"/>
      <c r="C819" s="45" t="n"/>
      <c r="D819" s="50" t="n"/>
      <c r="E819" s="45" t="n"/>
      <c r="F819" s="50" t="n"/>
      <c r="G819" s="47" t="n"/>
      <c r="H819" s="52" t="n"/>
      <c r="I819" s="50" t="n"/>
      <c r="J819" s="53">
        <f t="shared" si="1"/>
      </c>
      <c r="K819" s="49">
        <f t="shared" si="2"/>
      </c>
      <c r="L819" s="2">
        <f t="shared" si="3"/>
      </c>
    </row>
    <row r="820">
      <c r="A820" s="43">
        <f t="shared" si="0"/>
      </c>
      <c r="B820" s="44" t="n"/>
      <c r="C820" s="45" t="n"/>
      <c r="D820" s="50" t="n"/>
      <c r="E820" s="45" t="n"/>
      <c r="F820" s="50" t="n"/>
      <c r="G820" s="47" t="n"/>
      <c r="H820" s="52" t="n"/>
      <c r="I820" s="50" t="n"/>
      <c r="J820" s="53">
        <f t="shared" si="1"/>
      </c>
      <c r="K820" s="49">
        <f t="shared" si="2"/>
      </c>
      <c r="L820" s="2">
        <f t="shared" si="3"/>
      </c>
    </row>
    <row r="821">
      <c r="A821" s="43">
        <f t="shared" si="0"/>
      </c>
      <c r="B821" s="44" t="n"/>
      <c r="C821" s="45" t="n"/>
      <c r="D821" s="50" t="n"/>
      <c r="E821" s="45" t="n"/>
      <c r="F821" s="50" t="n"/>
      <c r="G821" s="47" t="n"/>
      <c r="H821" s="52" t="n"/>
      <c r="I821" s="50" t="n"/>
      <c r="J821" s="53">
        <f t="shared" si="1"/>
      </c>
      <c r="K821" s="49">
        <f t="shared" si="2"/>
      </c>
      <c r="L821" s="2">
        <f t="shared" si="3"/>
      </c>
    </row>
    <row r="822">
      <c r="A822" s="43">
        <f t="shared" si="0"/>
      </c>
      <c r="B822" s="44" t="n"/>
      <c r="C822" s="45" t="n"/>
      <c r="D822" s="50" t="n"/>
      <c r="E822" s="45" t="n"/>
      <c r="F822" s="50" t="n"/>
      <c r="G822" s="47" t="n"/>
      <c r="H822" s="52" t="n"/>
      <c r="I822" s="50" t="n"/>
      <c r="J822" s="53">
        <f t="shared" si="1"/>
      </c>
      <c r="K822" s="49">
        <f t="shared" si="2"/>
      </c>
      <c r="L822" s="2">
        <f t="shared" si="3"/>
      </c>
    </row>
    <row r="823">
      <c r="A823" s="43">
        <f t="shared" si="0"/>
      </c>
      <c r="B823" s="44" t="n"/>
      <c r="C823" s="45" t="n"/>
      <c r="D823" s="50" t="n"/>
      <c r="E823" s="45" t="n"/>
      <c r="F823" s="50" t="n"/>
      <c r="G823" s="47" t="n"/>
      <c r="H823" s="52" t="n"/>
      <c r="I823" s="50" t="n"/>
      <c r="J823" s="53">
        <f t="shared" si="1"/>
      </c>
      <c r="K823" s="49">
        <f t="shared" si="2"/>
      </c>
      <c r="L823" s="2">
        <f t="shared" si="3"/>
      </c>
    </row>
    <row r="824">
      <c r="A824" s="43">
        <f t="shared" si="0"/>
      </c>
      <c r="B824" s="44" t="n"/>
      <c r="C824" s="45" t="n"/>
      <c r="D824" s="50" t="n"/>
      <c r="E824" s="45" t="n"/>
      <c r="F824" s="50" t="n"/>
      <c r="G824" s="47" t="n"/>
      <c r="H824" s="52" t="n"/>
      <c r="I824" s="50" t="n"/>
      <c r="J824" s="53">
        <f t="shared" si="1"/>
      </c>
      <c r="K824" s="49">
        <f t="shared" si="2"/>
      </c>
      <c r="L824" s="2">
        <f t="shared" si="3"/>
      </c>
    </row>
    <row r="825">
      <c r="A825" s="43">
        <f t="shared" si="0"/>
      </c>
      <c r="B825" s="44" t="n"/>
      <c r="C825" s="45" t="n"/>
      <c r="D825" s="50" t="n"/>
      <c r="E825" s="45" t="n"/>
      <c r="F825" s="50" t="n"/>
      <c r="G825" s="47" t="n"/>
      <c r="H825" s="52" t="n"/>
      <c r="I825" s="50" t="n"/>
      <c r="J825" s="53">
        <f t="shared" si="1"/>
      </c>
      <c r="K825" s="49">
        <f t="shared" si="2"/>
      </c>
      <c r="L825" s="2">
        <f t="shared" si="3"/>
      </c>
    </row>
    <row r="826">
      <c r="A826" s="43">
        <f t="shared" si="0"/>
      </c>
      <c r="B826" s="44" t="n"/>
      <c r="C826" s="45" t="n"/>
      <c r="D826" s="50" t="n"/>
      <c r="E826" s="45" t="n"/>
      <c r="F826" s="50" t="n"/>
      <c r="G826" s="47" t="n"/>
      <c r="H826" s="52" t="n"/>
      <c r="I826" s="50" t="n"/>
      <c r="J826" s="53">
        <f t="shared" si="1"/>
      </c>
      <c r="K826" s="49">
        <f t="shared" si="2"/>
      </c>
      <c r="L826" s="2">
        <f t="shared" si="3"/>
      </c>
    </row>
    <row r="827">
      <c r="A827" s="43">
        <f t="shared" si="0"/>
      </c>
      <c r="B827" s="44" t="n"/>
      <c r="C827" s="45" t="n"/>
      <c r="D827" s="50" t="n"/>
      <c r="E827" s="45" t="n"/>
      <c r="F827" s="50" t="n"/>
      <c r="G827" s="47" t="n"/>
      <c r="H827" s="52" t="n"/>
      <c r="I827" s="50" t="n"/>
      <c r="J827" s="53">
        <f t="shared" si="1"/>
      </c>
      <c r="K827" s="49">
        <f t="shared" si="2"/>
      </c>
      <c r="L827" s="2">
        <f t="shared" si="3"/>
      </c>
    </row>
    <row r="828">
      <c r="A828" s="43">
        <f t="shared" si="0"/>
      </c>
      <c r="B828" s="44" t="n"/>
      <c r="C828" s="45" t="n"/>
      <c r="D828" s="50" t="n"/>
      <c r="E828" s="45" t="n"/>
      <c r="F828" s="50" t="n"/>
      <c r="G828" s="47" t="n"/>
      <c r="H828" s="52" t="n"/>
      <c r="I828" s="50" t="n"/>
      <c r="J828" s="53">
        <f t="shared" si="1"/>
      </c>
      <c r="K828" s="49">
        <f t="shared" si="2"/>
      </c>
      <c r="L828" s="2">
        <f t="shared" si="3"/>
      </c>
    </row>
    <row r="829">
      <c r="A829" s="43">
        <f t="shared" si="0"/>
      </c>
      <c r="B829" s="44" t="n"/>
      <c r="C829" s="45" t="n"/>
      <c r="D829" s="50" t="n"/>
      <c r="E829" s="45" t="n"/>
      <c r="F829" s="50" t="n"/>
      <c r="G829" s="47" t="n"/>
      <c r="H829" s="52" t="n"/>
      <c r="I829" s="50" t="n"/>
      <c r="J829" s="53">
        <f t="shared" si="1"/>
      </c>
      <c r="K829" s="49">
        <f t="shared" si="2"/>
      </c>
      <c r="L829" s="2">
        <f t="shared" si="3"/>
      </c>
    </row>
    <row r="830">
      <c r="A830" s="43">
        <f t="shared" si="0"/>
      </c>
      <c r="B830" s="44" t="n"/>
      <c r="C830" s="45" t="n"/>
      <c r="D830" s="50" t="n"/>
      <c r="E830" s="45" t="n"/>
      <c r="F830" s="50" t="n"/>
      <c r="G830" s="47" t="n"/>
      <c r="H830" s="52" t="n"/>
      <c r="I830" s="50" t="n"/>
      <c r="J830" s="53">
        <f t="shared" si="1"/>
      </c>
      <c r="K830" s="49">
        <f t="shared" si="2"/>
      </c>
      <c r="L830" s="2">
        <f t="shared" si="3"/>
      </c>
    </row>
    <row r="831">
      <c r="A831" s="43">
        <f t="shared" si="0"/>
      </c>
      <c r="B831" s="44" t="n"/>
      <c r="C831" s="45" t="n"/>
      <c r="D831" s="50" t="n"/>
      <c r="E831" s="45" t="n"/>
      <c r="F831" s="50" t="n"/>
      <c r="G831" s="47" t="n"/>
      <c r="H831" s="52" t="n"/>
      <c r="I831" s="50" t="n"/>
      <c r="J831" s="53">
        <f t="shared" si="1"/>
      </c>
      <c r="K831" s="49">
        <f t="shared" si="2"/>
      </c>
      <c r="L831" s="2">
        <f t="shared" si="3"/>
      </c>
    </row>
    <row r="832">
      <c r="A832" s="43">
        <f t="shared" si="0"/>
      </c>
      <c r="B832" s="44" t="n"/>
      <c r="C832" s="45" t="n"/>
      <c r="D832" s="50" t="n"/>
      <c r="E832" s="45" t="n"/>
      <c r="F832" s="50" t="n"/>
      <c r="G832" s="47" t="n"/>
      <c r="H832" s="52" t="n"/>
      <c r="I832" s="50" t="n"/>
      <c r="J832" s="53">
        <f t="shared" si="1"/>
      </c>
      <c r="K832" s="49">
        <f t="shared" si="2"/>
      </c>
      <c r="L832" s="2">
        <f t="shared" si="3"/>
      </c>
    </row>
    <row r="833">
      <c r="A833" s="43">
        <f t="shared" si="0"/>
      </c>
      <c r="B833" s="44" t="n"/>
      <c r="C833" s="45" t="n"/>
      <c r="D833" s="50" t="n"/>
      <c r="E833" s="45" t="n"/>
      <c r="F833" s="50" t="n"/>
      <c r="G833" s="47" t="n"/>
      <c r="H833" s="52" t="n"/>
      <c r="I833" s="50" t="n"/>
      <c r="J833" s="53">
        <f t="shared" si="1"/>
      </c>
      <c r="K833" s="49">
        <f t="shared" si="2"/>
      </c>
      <c r="L833" s="2">
        <f t="shared" si="3"/>
      </c>
    </row>
    <row r="834">
      <c r="A834" s="43">
        <f t="shared" si="0"/>
      </c>
      <c r="B834" s="44" t="n"/>
      <c r="C834" s="45" t="n"/>
      <c r="D834" s="50" t="n"/>
      <c r="E834" s="45" t="n"/>
      <c r="F834" s="50" t="n"/>
      <c r="G834" s="47" t="n"/>
      <c r="H834" s="52" t="n"/>
      <c r="I834" s="50" t="n"/>
      <c r="J834" s="53">
        <f t="shared" si="1"/>
      </c>
      <c r="K834" s="49">
        <f t="shared" si="2"/>
      </c>
      <c r="L834" s="2">
        <f t="shared" si="3"/>
      </c>
    </row>
    <row r="835">
      <c r="A835" s="43">
        <f t="shared" si="0"/>
      </c>
      <c r="B835" s="44" t="n"/>
      <c r="C835" s="45" t="n"/>
      <c r="D835" s="50" t="n"/>
      <c r="E835" s="45" t="n"/>
      <c r="F835" s="50" t="n"/>
      <c r="G835" s="47" t="n"/>
      <c r="H835" s="52" t="n"/>
      <c r="I835" s="50" t="n"/>
      <c r="J835" s="53">
        <f t="shared" si="1"/>
      </c>
      <c r="K835" s="49">
        <f t="shared" si="2"/>
      </c>
      <c r="L835" s="2">
        <f t="shared" si="3"/>
      </c>
    </row>
    <row r="836">
      <c r="A836" s="43">
        <f t="shared" si="0"/>
      </c>
      <c r="B836" s="44" t="n"/>
      <c r="C836" s="45" t="n"/>
      <c r="D836" s="50" t="n"/>
      <c r="E836" s="45" t="n"/>
      <c r="F836" s="50" t="n"/>
      <c r="G836" s="47" t="n"/>
      <c r="H836" s="52" t="n"/>
      <c r="I836" s="50" t="n"/>
      <c r="J836" s="53">
        <f t="shared" si="1"/>
      </c>
      <c r="K836" s="49">
        <f t="shared" si="2"/>
      </c>
      <c r="L836" s="2">
        <f t="shared" si="3"/>
      </c>
    </row>
    <row r="837">
      <c r="A837" s="43">
        <f t="shared" si="0"/>
      </c>
      <c r="B837" s="44" t="n"/>
      <c r="C837" s="45" t="n"/>
      <c r="D837" s="50" t="n"/>
      <c r="E837" s="45" t="n"/>
      <c r="F837" s="50" t="n"/>
      <c r="G837" s="47" t="n"/>
      <c r="H837" s="52" t="n"/>
      <c r="I837" s="50" t="n"/>
      <c r="J837" s="53">
        <f t="shared" si="1"/>
      </c>
      <c r="K837" s="49">
        <f t="shared" si="2"/>
      </c>
      <c r="L837" s="2">
        <f t="shared" si="3"/>
      </c>
    </row>
    <row r="838">
      <c r="A838" s="43">
        <f t="shared" si="0"/>
      </c>
      <c r="B838" s="44" t="n"/>
      <c r="C838" s="45" t="n"/>
      <c r="D838" s="50" t="n"/>
      <c r="E838" s="45" t="n"/>
      <c r="F838" s="50" t="n"/>
      <c r="G838" s="47" t="n"/>
      <c r="H838" s="52" t="n"/>
      <c r="I838" s="50" t="n"/>
      <c r="J838" s="53">
        <f t="shared" si="1"/>
      </c>
      <c r="K838" s="49">
        <f t="shared" si="2"/>
      </c>
      <c r="L838" s="2">
        <f t="shared" si="3"/>
      </c>
    </row>
    <row r="839">
      <c r="A839" s="43">
        <f t="shared" si="0"/>
      </c>
      <c r="B839" s="44" t="n"/>
      <c r="C839" s="45" t="n"/>
      <c r="D839" s="50" t="n"/>
      <c r="E839" s="45" t="n"/>
      <c r="F839" s="50" t="n"/>
      <c r="G839" s="47" t="n"/>
      <c r="H839" s="52" t="n"/>
      <c r="I839" s="50" t="n"/>
      <c r="J839" s="53">
        <f t="shared" si="1"/>
      </c>
      <c r="K839" s="49">
        <f t="shared" si="2"/>
      </c>
      <c r="L839" s="2">
        <f t="shared" si="3"/>
      </c>
    </row>
    <row r="840">
      <c r="A840" s="43">
        <f t="shared" si="0"/>
      </c>
      <c r="B840" s="44" t="n"/>
      <c r="C840" s="45" t="n"/>
      <c r="D840" s="50" t="n"/>
      <c r="E840" s="45" t="n"/>
      <c r="F840" s="50" t="n"/>
      <c r="G840" s="47" t="n"/>
      <c r="H840" s="52" t="n"/>
      <c r="I840" s="50" t="n"/>
      <c r="J840" s="53">
        <f t="shared" si="1"/>
      </c>
      <c r="K840" s="49">
        <f t="shared" si="2"/>
      </c>
      <c r="L840" s="2">
        <f t="shared" si="3"/>
      </c>
    </row>
    <row r="841">
      <c r="A841" s="43">
        <f t="shared" si="0"/>
      </c>
      <c r="B841" s="44" t="n"/>
      <c r="C841" s="45" t="n"/>
      <c r="D841" s="50" t="n"/>
      <c r="E841" s="45" t="n"/>
      <c r="F841" s="50" t="n"/>
      <c r="G841" s="47" t="n"/>
      <c r="H841" s="52" t="n"/>
      <c r="I841" s="50" t="n"/>
      <c r="J841" s="53">
        <f t="shared" si="1"/>
      </c>
      <c r="K841" s="49">
        <f t="shared" si="2"/>
      </c>
      <c r="L841" s="2">
        <f t="shared" si="3"/>
      </c>
    </row>
    <row r="842">
      <c r="A842" s="43">
        <f t="shared" si="0"/>
      </c>
      <c r="B842" s="44" t="n"/>
      <c r="C842" s="45" t="n"/>
      <c r="D842" s="50" t="n"/>
      <c r="E842" s="45" t="n"/>
      <c r="F842" s="50" t="n"/>
      <c r="G842" s="47" t="n"/>
      <c r="H842" s="52" t="n"/>
      <c r="I842" s="50" t="n"/>
      <c r="J842" s="53">
        <f t="shared" si="1"/>
      </c>
      <c r="K842" s="49">
        <f t="shared" si="2"/>
      </c>
      <c r="L842" s="2">
        <f t="shared" si="3"/>
      </c>
    </row>
    <row r="843">
      <c r="A843" s="43">
        <f t="shared" si="0"/>
      </c>
      <c r="B843" s="44" t="n"/>
      <c r="C843" s="45" t="n"/>
      <c r="D843" s="50" t="n"/>
      <c r="E843" s="45" t="n"/>
      <c r="F843" s="50" t="n"/>
      <c r="G843" s="47" t="n"/>
      <c r="H843" s="52" t="n"/>
      <c r="I843" s="50" t="n"/>
      <c r="J843" s="53">
        <f t="shared" si="1"/>
      </c>
      <c r="K843" s="49">
        <f t="shared" si="2"/>
      </c>
      <c r="L843" s="2">
        <f t="shared" si="3"/>
      </c>
    </row>
    <row r="844">
      <c r="A844" s="43">
        <f t="shared" si="0"/>
      </c>
      <c r="B844" s="44" t="n"/>
      <c r="C844" s="45" t="n"/>
      <c r="D844" s="50" t="n"/>
      <c r="E844" s="45" t="n"/>
      <c r="F844" s="50" t="n"/>
      <c r="G844" s="47" t="n"/>
      <c r="H844" s="52" t="n"/>
      <c r="I844" s="50" t="n"/>
      <c r="J844" s="53">
        <f t="shared" si="1"/>
      </c>
      <c r="K844" s="49">
        <f t="shared" si="2"/>
      </c>
      <c r="L844" s="2">
        <f t="shared" si="3"/>
      </c>
    </row>
    <row r="845">
      <c r="A845" s="43">
        <f t="shared" si="0"/>
      </c>
      <c r="B845" s="44" t="n"/>
      <c r="C845" s="45" t="n"/>
      <c r="D845" s="50" t="n"/>
      <c r="E845" s="45" t="n"/>
      <c r="F845" s="50" t="n"/>
      <c r="G845" s="47" t="n"/>
      <c r="H845" s="52" t="n"/>
      <c r="I845" s="50" t="n"/>
      <c r="J845" s="53">
        <f t="shared" si="1"/>
      </c>
      <c r="K845" s="49">
        <f t="shared" si="2"/>
      </c>
      <c r="L845" s="2">
        <f t="shared" si="3"/>
      </c>
    </row>
    <row r="846">
      <c r="A846" s="43">
        <f t="shared" si="0"/>
      </c>
      <c r="B846" s="44" t="n"/>
      <c r="C846" s="45" t="n"/>
      <c r="D846" s="50" t="n"/>
      <c r="E846" s="45" t="n"/>
      <c r="F846" s="50" t="n"/>
      <c r="G846" s="47" t="n"/>
      <c r="H846" s="52" t="n"/>
      <c r="I846" s="50" t="n"/>
      <c r="J846" s="53">
        <f t="shared" si="1"/>
      </c>
      <c r="K846" s="49">
        <f t="shared" si="2"/>
      </c>
      <c r="L846" s="2">
        <f t="shared" si="3"/>
      </c>
    </row>
    <row r="847">
      <c r="A847" s="43">
        <f t="shared" si="0"/>
      </c>
      <c r="B847" s="44" t="n"/>
      <c r="C847" s="45" t="n"/>
      <c r="D847" s="50" t="n"/>
      <c r="E847" s="45" t="n"/>
      <c r="F847" s="50" t="n"/>
      <c r="G847" s="47" t="n"/>
      <c r="H847" s="52" t="n"/>
      <c r="I847" s="50" t="n"/>
      <c r="J847" s="53">
        <f t="shared" si="1"/>
      </c>
      <c r="K847" s="49">
        <f t="shared" si="2"/>
      </c>
      <c r="L847" s="2">
        <f t="shared" si="3"/>
      </c>
    </row>
    <row r="848">
      <c r="A848" s="43">
        <f t="shared" si="0"/>
      </c>
      <c r="B848" s="44" t="n"/>
      <c r="C848" s="45" t="n"/>
      <c r="D848" s="50" t="n"/>
      <c r="E848" s="45" t="n"/>
      <c r="F848" s="50" t="n"/>
      <c r="G848" s="47" t="n"/>
      <c r="H848" s="52" t="n"/>
      <c r="I848" s="50" t="n"/>
      <c r="J848" s="53">
        <f t="shared" si="1"/>
      </c>
      <c r="K848" s="49">
        <f t="shared" si="2"/>
      </c>
      <c r="L848" s="2">
        <f t="shared" si="3"/>
      </c>
    </row>
    <row r="849">
      <c r="A849" s="43">
        <f t="shared" si="0"/>
      </c>
      <c r="B849" s="44" t="n"/>
      <c r="C849" s="45" t="n"/>
      <c r="D849" s="50" t="n"/>
      <c r="E849" s="45" t="n"/>
      <c r="F849" s="50" t="n"/>
      <c r="G849" s="47" t="n"/>
      <c r="H849" s="52" t="n"/>
      <c r="I849" s="50" t="n"/>
      <c r="J849" s="53">
        <f t="shared" si="1"/>
      </c>
      <c r="K849" s="49">
        <f t="shared" si="2"/>
      </c>
      <c r="L849" s="2">
        <f t="shared" si="3"/>
      </c>
    </row>
    <row r="850">
      <c r="A850" s="43">
        <f t="shared" si="0"/>
      </c>
      <c r="B850" s="44" t="n"/>
      <c r="C850" s="45" t="n"/>
      <c r="D850" s="50" t="n"/>
      <c r="E850" s="45" t="n"/>
      <c r="F850" s="50" t="n"/>
      <c r="G850" s="47" t="n"/>
      <c r="H850" s="52" t="n"/>
      <c r="I850" s="50" t="n"/>
      <c r="J850" s="53">
        <f t="shared" si="1"/>
      </c>
      <c r="K850" s="49">
        <f t="shared" si="2"/>
      </c>
      <c r="L850" s="2">
        <f t="shared" si="3"/>
      </c>
    </row>
    <row r="851">
      <c r="A851" s="43">
        <f t="shared" si="0"/>
      </c>
      <c r="B851" s="44" t="n"/>
      <c r="C851" s="45" t="n"/>
      <c r="D851" s="50" t="n"/>
      <c r="E851" s="45" t="n"/>
      <c r="F851" s="50" t="n"/>
      <c r="G851" s="47" t="n"/>
      <c r="H851" s="52" t="n"/>
      <c r="I851" s="50" t="n"/>
      <c r="J851" s="53">
        <f t="shared" si="1"/>
      </c>
      <c r="K851" s="49">
        <f t="shared" si="2"/>
      </c>
      <c r="L851" s="2">
        <f t="shared" si="3"/>
      </c>
    </row>
    <row r="852">
      <c r="A852" s="43">
        <f t="shared" si="0"/>
      </c>
      <c r="B852" s="44" t="n"/>
      <c r="C852" s="45" t="n"/>
      <c r="D852" s="50" t="n"/>
      <c r="E852" s="45" t="n"/>
      <c r="F852" s="50" t="n"/>
      <c r="G852" s="47" t="n"/>
      <c r="H852" s="52" t="n"/>
      <c r="I852" s="50" t="n"/>
      <c r="J852" s="53">
        <f t="shared" si="1"/>
      </c>
      <c r="K852" s="49">
        <f t="shared" si="2"/>
      </c>
      <c r="L852" s="2">
        <f t="shared" si="3"/>
      </c>
    </row>
    <row r="853">
      <c r="A853" s="43">
        <f t="shared" si="0"/>
      </c>
      <c r="B853" s="44" t="n"/>
      <c r="C853" s="45" t="n"/>
      <c r="D853" s="50" t="n"/>
      <c r="E853" s="45" t="n"/>
      <c r="F853" s="50" t="n"/>
      <c r="G853" s="47" t="n"/>
      <c r="H853" s="52" t="n"/>
      <c r="I853" s="50" t="n"/>
      <c r="J853" s="53">
        <f t="shared" si="1"/>
      </c>
      <c r="K853" s="49">
        <f t="shared" si="2"/>
      </c>
      <c r="L853" s="2">
        <f t="shared" si="3"/>
      </c>
    </row>
    <row r="854">
      <c r="A854" s="43">
        <f t="shared" si="0"/>
      </c>
      <c r="B854" s="44" t="n"/>
      <c r="C854" s="45" t="n"/>
      <c r="D854" s="50" t="n"/>
      <c r="E854" s="45" t="n"/>
      <c r="F854" s="50" t="n"/>
      <c r="G854" s="47" t="n"/>
      <c r="H854" s="52" t="n"/>
      <c r="I854" s="50" t="n"/>
      <c r="J854" s="53">
        <f t="shared" si="1"/>
      </c>
      <c r="K854" s="49">
        <f t="shared" si="2"/>
      </c>
      <c r="L854" s="2">
        <f t="shared" si="3"/>
      </c>
    </row>
    <row r="855">
      <c r="A855" s="43">
        <f t="shared" si="0"/>
      </c>
      <c r="B855" s="44" t="n"/>
      <c r="C855" s="45" t="n"/>
      <c r="D855" s="50" t="n"/>
      <c r="E855" s="45" t="n"/>
      <c r="F855" s="50" t="n"/>
      <c r="G855" s="47" t="n"/>
      <c r="H855" s="52" t="n"/>
      <c r="I855" s="50" t="n"/>
      <c r="J855" s="53">
        <f t="shared" si="1"/>
      </c>
      <c r="K855" s="49">
        <f t="shared" si="2"/>
      </c>
      <c r="L855" s="2">
        <f t="shared" si="3"/>
      </c>
    </row>
    <row r="856">
      <c r="A856" s="43">
        <f t="shared" si="0"/>
      </c>
      <c r="B856" s="44" t="n"/>
      <c r="C856" s="45" t="n"/>
      <c r="D856" s="50" t="n"/>
      <c r="E856" s="45" t="n"/>
      <c r="F856" s="50" t="n"/>
      <c r="G856" s="47" t="n"/>
      <c r="H856" s="52" t="n"/>
      <c r="I856" s="50" t="n"/>
      <c r="J856" s="53">
        <f t="shared" si="1"/>
      </c>
      <c r="K856" s="49">
        <f t="shared" si="2"/>
      </c>
      <c r="L856" s="2">
        <f t="shared" si="3"/>
      </c>
    </row>
    <row r="857">
      <c r="A857" s="43">
        <f t="shared" si="0"/>
      </c>
      <c r="B857" s="44" t="n"/>
      <c r="C857" s="45" t="n"/>
      <c r="D857" s="50" t="n"/>
      <c r="E857" s="45" t="n"/>
      <c r="F857" s="50" t="n"/>
      <c r="G857" s="47" t="n"/>
      <c r="H857" s="52" t="n"/>
      <c r="I857" s="50" t="n"/>
      <c r="J857" s="53">
        <f t="shared" si="1"/>
      </c>
      <c r="K857" s="49">
        <f t="shared" si="2"/>
      </c>
      <c r="L857" s="2">
        <f t="shared" si="3"/>
      </c>
    </row>
    <row r="858">
      <c r="A858" s="43">
        <f t="shared" si="0"/>
      </c>
      <c r="B858" s="44" t="n"/>
      <c r="C858" s="45" t="n"/>
      <c r="D858" s="50" t="n"/>
      <c r="E858" s="45" t="n"/>
      <c r="F858" s="50" t="n"/>
      <c r="G858" s="47" t="n"/>
      <c r="H858" s="52" t="n"/>
      <c r="I858" s="50" t="n"/>
      <c r="J858" s="53">
        <f t="shared" si="1"/>
      </c>
      <c r="K858" s="49">
        <f t="shared" si="2"/>
      </c>
      <c r="L858" s="2">
        <f t="shared" si="3"/>
      </c>
    </row>
    <row r="859">
      <c r="A859" s="43">
        <f t="shared" si="0"/>
      </c>
      <c r="B859" s="44" t="n"/>
      <c r="C859" s="45" t="n"/>
      <c r="D859" s="50" t="n"/>
      <c r="E859" s="45" t="n"/>
      <c r="F859" s="50" t="n"/>
      <c r="G859" s="47" t="n"/>
      <c r="H859" s="52" t="n"/>
      <c r="I859" s="50" t="n"/>
      <c r="J859" s="53">
        <f t="shared" si="1"/>
      </c>
      <c r="K859" s="49">
        <f t="shared" si="2"/>
      </c>
      <c r="L859" s="2">
        <f t="shared" si="3"/>
      </c>
    </row>
    <row r="860">
      <c r="A860" s="43">
        <f t="shared" si="0"/>
      </c>
      <c r="B860" s="44" t="n"/>
      <c r="C860" s="45" t="n"/>
      <c r="D860" s="50" t="n"/>
      <c r="E860" s="45" t="n"/>
      <c r="F860" s="50" t="n"/>
      <c r="G860" s="47" t="n"/>
      <c r="H860" s="52" t="n"/>
      <c r="I860" s="50" t="n"/>
      <c r="J860" s="53">
        <f t="shared" si="1"/>
      </c>
      <c r="K860" s="49">
        <f t="shared" si="2"/>
      </c>
      <c r="L860" s="2">
        <f t="shared" si="3"/>
      </c>
    </row>
    <row r="861">
      <c r="A861" s="43">
        <f t="shared" si="0"/>
      </c>
      <c r="B861" s="44" t="n"/>
      <c r="C861" s="45" t="n"/>
      <c r="D861" s="50" t="n"/>
      <c r="E861" s="45" t="n"/>
      <c r="F861" s="50" t="n"/>
      <c r="G861" s="47" t="n"/>
      <c r="H861" s="52" t="n"/>
      <c r="I861" s="50" t="n"/>
      <c r="J861" s="53">
        <f t="shared" si="1"/>
      </c>
      <c r="K861" s="49">
        <f t="shared" si="2"/>
      </c>
      <c r="L861" s="2">
        <f t="shared" si="3"/>
      </c>
    </row>
    <row r="862">
      <c r="A862" s="43">
        <f t="shared" si="0"/>
      </c>
      <c r="B862" s="44" t="n"/>
      <c r="C862" s="45" t="n"/>
      <c r="D862" s="50" t="n"/>
      <c r="E862" s="45" t="n"/>
      <c r="F862" s="50" t="n"/>
      <c r="G862" s="47" t="n"/>
      <c r="H862" s="52" t="n"/>
      <c r="I862" s="50" t="n"/>
      <c r="J862" s="53">
        <f t="shared" si="1"/>
      </c>
      <c r="K862" s="49">
        <f t="shared" si="2"/>
      </c>
      <c r="L862" s="2">
        <f t="shared" si="3"/>
      </c>
    </row>
    <row r="863">
      <c r="A863" s="43">
        <f t="shared" si="0"/>
      </c>
      <c r="B863" s="44" t="n"/>
      <c r="C863" s="45" t="n"/>
      <c r="D863" s="50" t="n"/>
      <c r="E863" s="45" t="n"/>
      <c r="F863" s="50" t="n"/>
      <c r="G863" s="47" t="n"/>
      <c r="H863" s="52" t="n"/>
      <c r="I863" s="50" t="n"/>
      <c r="J863" s="53">
        <f t="shared" si="1"/>
      </c>
      <c r="K863" s="49">
        <f t="shared" si="2"/>
      </c>
      <c r="L863" s="2">
        <f t="shared" si="3"/>
      </c>
    </row>
    <row r="864">
      <c r="A864" s="43">
        <f t="shared" si="0"/>
      </c>
      <c r="B864" s="44" t="n"/>
      <c r="C864" s="45" t="n"/>
      <c r="D864" s="50" t="n"/>
      <c r="E864" s="45" t="n"/>
      <c r="F864" s="50" t="n"/>
      <c r="G864" s="47" t="n"/>
      <c r="H864" s="52" t="n"/>
      <c r="I864" s="50" t="n"/>
      <c r="J864" s="53">
        <f t="shared" si="1"/>
      </c>
      <c r="K864" s="49">
        <f t="shared" si="2"/>
      </c>
      <c r="L864" s="2">
        <f t="shared" si="3"/>
      </c>
    </row>
    <row r="865">
      <c r="A865" s="43">
        <f t="shared" si="0"/>
      </c>
      <c r="B865" s="44" t="n"/>
      <c r="C865" s="45" t="n"/>
      <c r="D865" s="50" t="n"/>
      <c r="E865" s="45" t="n"/>
      <c r="F865" s="50" t="n"/>
      <c r="G865" s="47" t="n"/>
      <c r="H865" s="52" t="n"/>
      <c r="I865" s="50" t="n"/>
      <c r="J865" s="53">
        <f t="shared" si="1"/>
      </c>
      <c r="K865" s="49">
        <f t="shared" si="2"/>
      </c>
      <c r="L865" s="2">
        <f t="shared" si="3"/>
      </c>
    </row>
    <row r="866">
      <c r="A866" s="43">
        <f t="shared" si="0"/>
      </c>
      <c r="B866" s="44" t="n"/>
      <c r="C866" s="45" t="n"/>
      <c r="D866" s="50" t="n"/>
      <c r="E866" s="45" t="n"/>
      <c r="F866" s="50" t="n"/>
      <c r="G866" s="47" t="n"/>
      <c r="H866" s="52" t="n"/>
      <c r="I866" s="50" t="n"/>
      <c r="J866" s="53">
        <f t="shared" si="1"/>
      </c>
      <c r="K866" s="49">
        <f t="shared" si="2"/>
      </c>
      <c r="L866" s="2">
        <f t="shared" si="3"/>
      </c>
    </row>
    <row r="867">
      <c r="A867" s="43">
        <f t="shared" si="0"/>
      </c>
      <c r="B867" s="44" t="n"/>
      <c r="C867" s="45" t="n"/>
      <c r="D867" s="50" t="n"/>
      <c r="E867" s="45" t="n"/>
      <c r="F867" s="50" t="n"/>
      <c r="G867" s="47" t="n"/>
      <c r="H867" s="52" t="n"/>
      <c r="I867" s="50" t="n"/>
      <c r="J867" s="53">
        <f t="shared" si="1"/>
      </c>
      <c r="K867" s="49">
        <f t="shared" si="2"/>
      </c>
      <c r="L867" s="2">
        <f t="shared" si="3"/>
      </c>
    </row>
    <row r="868">
      <c r="A868" s="43">
        <f t="shared" si="0"/>
      </c>
      <c r="B868" s="44" t="n"/>
      <c r="C868" s="45" t="n"/>
      <c r="D868" s="50" t="n"/>
      <c r="E868" s="45" t="n"/>
      <c r="F868" s="50" t="n"/>
      <c r="G868" s="47" t="n"/>
      <c r="H868" s="52" t="n"/>
      <c r="I868" s="50" t="n"/>
      <c r="J868" s="53">
        <f t="shared" si="1"/>
      </c>
      <c r="K868" s="49">
        <f t="shared" si="2"/>
      </c>
      <c r="L868" s="2">
        <f t="shared" si="3"/>
      </c>
    </row>
    <row r="869">
      <c r="A869" s="43">
        <f t="shared" si="0"/>
      </c>
      <c r="B869" s="44" t="n"/>
      <c r="C869" s="45" t="n"/>
      <c r="D869" s="50" t="n"/>
      <c r="E869" s="45" t="n"/>
      <c r="F869" s="50" t="n"/>
      <c r="G869" s="47" t="n"/>
      <c r="H869" s="52" t="n"/>
      <c r="I869" s="50" t="n"/>
      <c r="J869" s="53">
        <f t="shared" si="1"/>
      </c>
      <c r="K869" s="49">
        <f t="shared" si="2"/>
      </c>
      <c r="L869" s="2">
        <f t="shared" si="3"/>
      </c>
    </row>
    <row r="870">
      <c r="A870" s="43">
        <f t="shared" si="0"/>
      </c>
      <c r="B870" s="44" t="n"/>
      <c r="C870" s="45" t="n"/>
      <c r="D870" s="50" t="n"/>
      <c r="E870" s="45" t="n"/>
      <c r="F870" s="50" t="n"/>
      <c r="G870" s="47" t="n"/>
      <c r="H870" s="52" t="n"/>
      <c r="I870" s="50" t="n"/>
      <c r="J870" s="53">
        <f t="shared" si="1"/>
      </c>
      <c r="K870" s="49">
        <f t="shared" si="2"/>
      </c>
      <c r="L870" s="2">
        <f t="shared" si="3"/>
      </c>
    </row>
    <row r="871">
      <c r="A871" s="43">
        <f t="shared" si="0"/>
      </c>
      <c r="B871" s="44" t="n"/>
      <c r="C871" s="45" t="n"/>
      <c r="D871" s="50" t="n"/>
      <c r="E871" s="45" t="n"/>
      <c r="F871" s="50" t="n"/>
      <c r="G871" s="47" t="n"/>
      <c r="H871" s="52" t="n"/>
      <c r="I871" s="50" t="n"/>
      <c r="J871" s="53">
        <f t="shared" si="1"/>
      </c>
      <c r="K871" s="49">
        <f t="shared" si="2"/>
      </c>
      <c r="L871" s="2">
        <f t="shared" si="3"/>
      </c>
    </row>
    <row r="872">
      <c r="A872" s="43">
        <f t="shared" si="0"/>
      </c>
      <c r="B872" s="44" t="n"/>
      <c r="C872" s="45" t="n"/>
      <c r="D872" s="50" t="n"/>
      <c r="E872" s="45" t="n"/>
      <c r="F872" s="50" t="n"/>
      <c r="G872" s="47" t="n"/>
      <c r="H872" s="52" t="n"/>
      <c r="I872" s="50" t="n"/>
      <c r="J872" s="53">
        <f t="shared" si="1"/>
      </c>
      <c r="K872" s="49">
        <f t="shared" si="2"/>
      </c>
      <c r="L872" s="2">
        <f t="shared" si="3"/>
      </c>
    </row>
    <row r="873">
      <c r="A873" s="43">
        <f t="shared" si="0"/>
      </c>
      <c r="B873" s="44" t="n"/>
      <c r="C873" s="45" t="n"/>
      <c r="D873" s="50" t="n"/>
      <c r="E873" s="45" t="n"/>
      <c r="F873" s="50" t="n"/>
      <c r="G873" s="47" t="n"/>
      <c r="H873" s="52" t="n"/>
      <c r="I873" s="50" t="n"/>
      <c r="J873" s="53">
        <f t="shared" si="1"/>
      </c>
      <c r="K873" s="49">
        <f t="shared" si="2"/>
      </c>
      <c r="L873" s="2">
        <f t="shared" si="3"/>
      </c>
    </row>
    <row r="874">
      <c r="A874" s="43">
        <f t="shared" si="0"/>
      </c>
      <c r="B874" s="44" t="n"/>
      <c r="C874" s="45" t="n"/>
      <c r="D874" s="50" t="n"/>
      <c r="E874" s="45" t="n"/>
      <c r="F874" s="50" t="n"/>
      <c r="G874" s="47" t="n"/>
      <c r="H874" s="52" t="n"/>
      <c r="I874" s="50" t="n"/>
      <c r="J874" s="53">
        <f t="shared" si="1"/>
      </c>
      <c r="K874" s="49">
        <f t="shared" si="2"/>
      </c>
      <c r="L874" s="2">
        <f t="shared" si="3"/>
      </c>
    </row>
    <row r="875">
      <c r="A875" s="43">
        <f t="shared" si="0"/>
      </c>
      <c r="B875" s="44" t="n"/>
      <c r="C875" s="45" t="n"/>
      <c r="D875" s="50" t="n"/>
      <c r="E875" s="45" t="n"/>
      <c r="F875" s="50" t="n"/>
      <c r="G875" s="47" t="n"/>
      <c r="H875" s="52" t="n"/>
      <c r="I875" s="50" t="n"/>
      <c r="J875" s="53">
        <f t="shared" si="1"/>
      </c>
      <c r="K875" s="49">
        <f t="shared" si="2"/>
      </c>
      <c r="L875" s="2">
        <f t="shared" si="3"/>
      </c>
    </row>
    <row r="876">
      <c r="A876" s="43">
        <f t="shared" si="0"/>
      </c>
      <c r="B876" s="44" t="n"/>
      <c r="C876" s="45" t="n"/>
      <c r="D876" s="50" t="n"/>
      <c r="E876" s="45" t="n"/>
      <c r="F876" s="50" t="n"/>
      <c r="G876" s="47" t="n"/>
      <c r="H876" s="52" t="n"/>
      <c r="I876" s="50" t="n"/>
      <c r="J876" s="53">
        <f t="shared" si="1"/>
      </c>
      <c r="K876" s="49">
        <f t="shared" si="2"/>
      </c>
      <c r="L876" s="2">
        <f t="shared" si="3"/>
      </c>
    </row>
    <row r="877">
      <c r="A877" s="43">
        <f t="shared" si="0"/>
      </c>
      <c r="B877" s="44" t="n"/>
      <c r="C877" s="45" t="n"/>
      <c r="D877" s="50" t="n"/>
      <c r="E877" s="45" t="n"/>
      <c r="F877" s="50" t="n"/>
      <c r="G877" s="47" t="n"/>
      <c r="H877" s="52" t="n"/>
      <c r="I877" s="50" t="n"/>
      <c r="J877" s="53">
        <f t="shared" si="1"/>
      </c>
      <c r="K877" s="49">
        <f t="shared" si="2"/>
      </c>
      <c r="L877" s="2">
        <f t="shared" si="3"/>
      </c>
    </row>
    <row r="878">
      <c r="A878" s="43">
        <f t="shared" si="0"/>
      </c>
      <c r="B878" s="44" t="n"/>
      <c r="C878" s="45" t="n"/>
      <c r="D878" s="50" t="n"/>
      <c r="E878" s="45" t="n"/>
      <c r="F878" s="50" t="n"/>
      <c r="G878" s="47" t="n"/>
      <c r="H878" s="52" t="n"/>
      <c r="I878" s="50" t="n"/>
      <c r="J878" s="53">
        <f t="shared" si="1"/>
      </c>
      <c r="K878" s="49">
        <f t="shared" si="2"/>
      </c>
      <c r="L878" s="2">
        <f t="shared" si="3"/>
      </c>
    </row>
    <row r="879">
      <c r="A879" s="43">
        <f t="shared" si="0"/>
      </c>
      <c r="B879" s="44" t="n"/>
      <c r="C879" s="45" t="n"/>
      <c r="D879" s="50" t="n"/>
      <c r="E879" s="45" t="n"/>
      <c r="F879" s="50" t="n"/>
      <c r="G879" s="47" t="n"/>
      <c r="H879" s="52" t="n"/>
      <c r="I879" s="50" t="n"/>
      <c r="J879" s="53">
        <f t="shared" si="1"/>
      </c>
      <c r="K879" s="49">
        <f t="shared" si="2"/>
      </c>
      <c r="L879" s="2">
        <f t="shared" si="3"/>
      </c>
    </row>
    <row r="880">
      <c r="A880" s="43">
        <f t="shared" si="0"/>
      </c>
      <c r="B880" s="44" t="n"/>
      <c r="C880" s="45" t="n"/>
      <c r="D880" s="50" t="n"/>
      <c r="E880" s="45" t="n"/>
      <c r="F880" s="50" t="n"/>
      <c r="G880" s="47" t="n"/>
      <c r="H880" s="52" t="n"/>
      <c r="I880" s="50" t="n"/>
      <c r="J880" s="53">
        <f t="shared" si="1"/>
      </c>
      <c r="K880" s="49">
        <f t="shared" si="2"/>
      </c>
      <c r="L880" s="2">
        <f t="shared" si="3"/>
      </c>
    </row>
    <row r="881">
      <c r="A881" s="43">
        <f t="shared" si="0"/>
      </c>
      <c r="B881" s="44" t="n"/>
      <c r="C881" s="45" t="n"/>
      <c r="D881" s="50" t="n"/>
      <c r="E881" s="45" t="n"/>
      <c r="F881" s="50" t="n"/>
      <c r="G881" s="47" t="n"/>
      <c r="H881" s="52" t="n"/>
      <c r="I881" s="50" t="n"/>
      <c r="J881" s="53">
        <f t="shared" si="1"/>
      </c>
      <c r="K881" s="49">
        <f t="shared" si="2"/>
      </c>
      <c r="L881" s="2">
        <f t="shared" si="3"/>
      </c>
    </row>
    <row r="882">
      <c r="A882" s="43">
        <f t="shared" si="0"/>
      </c>
      <c r="B882" s="44" t="n"/>
      <c r="C882" s="45" t="n"/>
      <c r="D882" s="50" t="n"/>
      <c r="E882" s="45" t="n"/>
      <c r="F882" s="50" t="n"/>
      <c r="G882" s="47" t="n"/>
      <c r="H882" s="52" t="n"/>
      <c r="I882" s="50" t="n"/>
      <c r="J882" s="53">
        <f t="shared" si="1"/>
      </c>
      <c r="K882" s="49">
        <f t="shared" si="2"/>
      </c>
      <c r="L882" s="2">
        <f t="shared" si="3"/>
      </c>
    </row>
    <row r="883">
      <c r="A883" s="43">
        <f t="shared" si="0"/>
      </c>
      <c r="B883" s="44" t="n"/>
      <c r="C883" s="45" t="n"/>
      <c r="D883" s="50" t="n"/>
      <c r="E883" s="45" t="n"/>
      <c r="F883" s="50" t="n"/>
      <c r="G883" s="47" t="n"/>
      <c r="H883" s="52" t="n"/>
      <c r="I883" s="50" t="n"/>
      <c r="J883" s="53">
        <f t="shared" si="1"/>
      </c>
      <c r="K883" s="49">
        <f t="shared" si="2"/>
      </c>
      <c r="L883" s="2">
        <f t="shared" si="3"/>
      </c>
    </row>
    <row r="884">
      <c r="A884" s="43">
        <f t="shared" si="0"/>
      </c>
      <c r="B884" s="44" t="n"/>
      <c r="C884" s="45" t="n"/>
      <c r="D884" s="50" t="n"/>
      <c r="E884" s="45" t="n"/>
      <c r="F884" s="50" t="n"/>
      <c r="G884" s="47" t="n"/>
      <c r="H884" s="52" t="n"/>
      <c r="I884" s="50" t="n"/>
      <c r="J884" s="53">
        <f t="shared" si="1"/>
      </c>
      <c r="K884" s="49">
        <f t="shared" si="2"/>
      </c>
      <c r="L884" s="2">
        <f t="shared" si="3"/>
      </c>
    </row>
    <row r="885">
      <c r="A885" s="43">
        <f t="shared" si="0"/>
      </c>
      <c r="B885" s="44" t="n"/>
      <c r="C885" s="45" t="n"/>
      <c r="D885" s="50" t="n"/>
      <c r="E885" s="45" t="n"/>
      <c r="F885" s="50" t="n"/>
      <c r="G885" s="47" t="n"/>
      <c r="H885" s="52" t="n"/>
      <c r="I885" s="50" t="n"/>
      <c r="J885" s="53">
        <f t="shared" si="1"/>
      </c>
      <c r="K885" s="49">
        <f t="shared" si="2"/>
      </c>
      <c r="L885" s="2">
        <f t="shared" si="3"/>
      </c>
    </row>
    <row r="886">
      <c r="A886" s="43">
        <f t="shared" si="0"/>
      </c>
      <c r="B886" s="44" t="n"/>
      <c r="C886" s="45" t="n"/>
      <c r="D886" s="50" t="n"/>
      <c r="E886" s="45" t="n"/>
      <c r="F886" s="50" t="n"/>
      <c r="G886" s="47" t="n"/>
      <c r="H886" s="52" t="n"/>
      <c r="I886" s="50" t="n"/>
      <c r="J886" s="53">
        <f t="shared" si="1"/>
      </c>
      <c r="K886" s="49">
        <f t="shared" si="2"/>
      </c>
      <c r="L886" s="2">
        <f t="shared" si="3"/>
      </c>
    </row>
    <row r="887">
      <c r="A887" s="43">
        <f t="shared" si="0"/>
      </c>
      <c r="B887" s="44" t="n"/>
      <c r="C887" s="45" t="n"/>
      <c r="D887" s="50" t="n"/>
      <c r="E887" s="45" t="n"/>
      <c r="F887" s="50" t="n"/>
      <c r="G887" s="47" t="n"/>
      <c r="H887" s="52" t="n"/>
      <c r="I887" s="50" t="n"/>
      <c r="J887" s="53">
        <f t="shared" si="1"/>
      </c>
      <c r="K887" s="49">
        <f t="shared" si="2"/>
      </c>
      <c r="L887" s="2">
        <f t="shared" si="3"/>
      </c>
    </row>
    <row r="888">
      <c r="A888" s="43">
        <f t="shared" si="0"/>
      </c>
      <c r="B888" s="44" t="n"/>
      <c r="C888" s="45" t="n"/>
      <c r="D888" s="50" t="n"/>
      <c r="E888" s="45" t="n"/>
      <c r="F888" s="50" t="n"/>
      <c r="G888" s="47" t="n"/>
      <c r="H888" s="52" t="n"/>
      <c r="I888" s="50" t="n"/>
      <c r="J888" s="53">
        <f t="shared" si="1"/>
      </c>
      <c r="K888" s="49">
        <f t="shared" si="2"/>
      </c>
      <c r="L888" s="2">
        <f t="shared" si="3"/>
      </c>
    </row>
    <row r="889">
      <c r="A889" s="43">
        <f t="shared" si="0"/>
      </c>
      <c r="B889" s="44" t="n"/>
      <c r="C889" s="45" t="n"/>
      <c r="D889" s="50" t="n"/>
      <c r="E889" s="45" t="n"/>
      <c r="F889" s="50" t="n"/>
      <c r="G889" s="47" t="n"/>
      <c r="H889" s="52" t="n"/>
      <c r="I889" s="50" t="n"/>
      <c r="J889" s="53">
        <f t="shared" si="1"/>
      </c>
      <c r="K889" s="49">
        <f t="shared" si="2"/>
      </c>
      <c r="L889" s="2">
        <f t="shared" si="3"/>
      </c>
    </row>
    <row r="890">
      <c r="A890" s="43">
        <f t="shared" si="0"/>
      </c>
      <c r="B890" s="44" t="n"/>
      <c r="C890" s="45" t="n"/>
      <c r="D890" s="50" t="n"/>
      <c r="E890" s="45" t="n"/>
      <c r="F890" s="50" t="n"/>
      <c r="G890" s="47" t="n"/>
      <c r="H890" s="52" t="n"/>
      <c r="I890" s="50" t="n"/>
      <c r="J890" s="53">
        <f t="shared" si="1"/>
      </c>
      <c r="K890" s="49">
        <f t="shared" si="2"/>
      </c>
      <c r="L890" s="2">
        <f t="shared" si="3"/>
      </c>
    </row>
    <row r="891">
      <c r="A891" s="43">
        <f t="shared" si="0"/>
      </c>
      <c r="B891" s="44" t="n"/>
      <c r="C891" s="45" t="n"/>
      <c r="D891" s="50" t="n"/>
      <c r="E891" s="45" t="n"/>
      <c r="F891" s="50" t="n"/>
      <c r="G891" s="47" t="n"/>
      <c r="H891" s="52" t="n"/>
      <c r="I891" s="50" t="n"/>
      <c r="J891" s="53">
        <f t="shared" si="1"/>
      </c>
      <c r="K891" s="49">
        <f t="shared" si="2"/>
      </c>
      <c r="L891" s="2">
        <f t="shared" si="3"/>
      </c>
    </row>
    <row r="892">
      <c r="A892" s="43">
        <f t="shared" si="0"/>
      </c>
      <c r="B892" s="44" t="n"/>
      <c r="C892" s="45" t="n"/>
      <c r="D892" s="50" t="n"/>
      <c r="E892" s="45" t="n"/>
      <c r="F892" s="50" t="n"/>
      <c r="G892" s="47" t="n"/>
      <c r="H892" s="52" t="n"/>
      <c r="I892" s="50" t="n"/>
      <c r="J892" s="53">
        <f t="shared" si="1"/>
      </c>
      <c r="K892" s="49">
        <f t="shared" si="2"/>
      </c>
      <c r="L892" s="2">
        <f t="shared" si="3"/>
      </c>
    </row>
    <row r="893">
      <c r="A893" s="43">
        <f t="shared" si="0"/>
      </c>
      <c r="B893" s="44" t="n"/>
      <c r="C893" s="45" t="n"/>
      <c r="D893" s="50" t="n"/>
      <c r="E893" s="45" t="n"/>
      <c r="F893" s="50" t="n"/>
      <c r="G893" s="47" t="n"/>
      <c r="H893" s="52" t="n"/>
      <c r="I893" s="50" t="n"/>
      <c r="J893" s="53">
        <f t="shared" si="1"/>
      </c>
      <c r="K893" s="49">
        <f t="shared" si="2"/>
      </c>
      <c r="L893" s="2">
        <f t="shared" si="3"/>
      </c>
    </row>
    <row r="894">
      <c r="A894" s="43">
        <f t="shared" si="0"/>
      </c>
      <c r="B894" s="44" t="n"/>
      <c r="C894" s="45" t="n"/>
      <c r="D894" s="50" t="n"/>
      <c r="E894" s="45" t="n"/>
      <c r="F894" s="50" t="n"/>
      <c r="G894" s="47" t="n"/>
      <c r="H894" s="52" t="n"/>
      <c r="I894" s="50" t="n"/>
      <c r="J894" s="53">
        <f t="shared" si="1"/>
      </c>
      <c r="K894" s="49">
        <f t="shared" si="2"/>
      </c>
      <c r="L894" s="2">
        <f t="shared" si="3"/>
      </c>
    </row>
    <row r="895">
      <c r="A895" s="43">
        <f t="shared" si="0"/>
      </c>
      <c r="B895" s="44" t="n"/>
      <c r="C895" s="45" t="n"/>
      <c r="D895" s="50" t="n"/>
      <c r="E895" s="45" t="n"/>
      <c r="F895" s="50" t="n"/>
      <c r="G895" s="47" t="n"/>
      <c r="H895" s="52" t="n"/>
      <c r="I895" s="50" t="n"/>
      <c r="J895" s="53">
        <f t="shared" si="1"/>
      </c>
      <c r="K895" s="49">
        <f t="shared" si="2"/>
      </c>
      <c r="L895" s="2">
        <f t="shared" si="3"/>
      </c>
    </row>
    <row r="896">
      <c r="A896" s="43">
        <f t="shared" si="0"/>
      </c>
      <c r="B896" s="44" t="n"/>
      <c r="C896" s="45" t="n"/>
      <c r="D896" s="50" t="n"/>
      <c r="E896" s="45" t="n"/>
      <c r="F896" s="50" t="n"/>
      <c r="G896" s="47" t="n"/>
      <c r="H896" s="52" t="n"/>
      <c r="I896" s="50" t="n"/>
      <c r="J896" s="53">
        <f t="shared" si="1"/>
      </c>
      <c r="K896" s="49">
        <f t="shared" si="2"/>
      </c>
      <c r="L896" s="2">
        <f t="shared" si="3"/>
      </c>
    </row>
    <row r="897">
      <c r="A897" s="43">
        <f t="shared" si="0"/>
      </c>
      <c r="B897" s="44" t="n"/>
      <c r="C897" s="45" t="n"/>
      <c r="D897" s="50" t="n"/>
      <c r="E897" s="45" t="n"/>
      <c r="F897" s="50" t="n"/>
      <c r="G897" s="47" t="n"/>
      <c r="H897" s="52" t="n"/>
      <c r="I897" s="50" t="n"/>
      <c r="J897" s="53">
        <f t="shared" si="1"/>
      </c>
      <c r="K897" s="49">
        <f t="shared" si="2"/>
      </c>
      <c r="L897" s="2">
        <f t="shared" si="3"/>
      </c>
    </row>
    <row r="898">
      <c r="A898" s="43">
        <f t="shared" si="0"/>
      </c>
      <c r="B898" s="44" t="n"/>
      <c r="C898" s="45" t="n"/>
      <c r="D898" s="50" t="n"/>
      <c r="E898" s="45" t="n"/>
      <c r="F898" s="50" t="n"/>
      <c r="G898" s="47" t="n"/>
      <c r="H898" s="52" t="n"/>
      <c r="I898" s="50" t="n"/>
      <c r="J898" s="53">
        <f t="shared" si="1"/>
      </c>
      <c r="K898" s="49">
        <f t="shared" si="2"/>
      </c>
      <c r="L898" s="2">
        <f t="shared" si="3"/>
      </c>
    </row>
    <row r="899">
      <c r="A899" s="43">
        <f t="shared" si="0"/>
      </c>
      <c r="B899" s="44" t="n"/>
      <c r="C899" s="45" t="n"/>
      <c r="D899" s="50" t="n"/>
      <c r="E899" s="45" t="n"/>
      <c r="F899" s="50" t="n"/>
      <c r="G899" s="47" t="n"/>
      <c r="H899" s="52" t="n"/>
      <c r="I899" s="50" t="n"/>
      <c r="J899" s="53">
        <f t="shared" si="1"/>
      </c>
      <c r="K899" s="49">
        <f t="shared" si="2"/>
      </c>
      <c r="L899" s="2">
        <f t="shared" si="3"/>
      </c>
    </row>
    <row r="900">
      <c r="A900" s="43">
        <f t="shared" si="0"/>
      </c>
      <c r="B900" s="44" t="n"/>
      <c r="C900" s="45" t="n"/>
      <c r="D900" s="50" t="n"/>
      <c r="E900" s="45" t="n"/>
      <c r="F900" s="50" t="n"/>
      <c r="G900" s="47" t="n"/>
      <c r="H900" s="52" t="n"/>
      <c r="I900" s="50" t="n"/>
      <c r="J900" s="53">
        <f t="shared" si="1"/>
      </c>
      <c r="K900" s="49">
        <f t="shared" si="2"/>
      </c>
      <c r="L900" s="2">
        <f t="shared" si="3"/>
      </c>
    </row>
    <row r="901">
      <c r="A901" s="43">
        <f t="shared" si="0"/>
      </c>
      <c r="B901" s="44" t="n"/>
      <c r="C901" s="45" t="n"/>
      <c r="D901" s="50" t="n"/>
      <c r="E901" s="45" t="n"/>
      <c r="F901" s="50" t="n"/>
      <c r="G901" s="47" t="n"/>
      <c r="H901" s="52" t="n"/>
      <c r="I901" s="50" t="n"/>
      <c r="J901" s="53">
        <f t="shared" si="1"/>
      </c>
      <c r="K901" s="49">
        <f t="shared" si="2"/>
      </c>
      <c r="L901" s="2">
        <f t="shared" si="3"/>
      </c>
    </row>
    <row r="902">
      <c r="A902" s="43">
        <f t="shared" si="0"/>
      </c>
      <c r="B902" s="44" t="n"/>
      <c r="C902" s="45" t="n"/>
      <c r="D902" s="50" t="n"/>
      <c r="E902" s="45" t="n"/>
      <c r="F902" s="50" t="n"/>
      <c r="G902" s="47" t="n"/>
      <c r="H902" s="52" t="n"/>
      <c r="I902" s="50" t="n"/>
      <c r="J902" s="53">
        <f t="shared" si="1"/>
      </c>
      <c r="K902" s="49">
        <f t="shared" si="2"/>
      </c>
      <c r="L902" s="2">
        <f t="shared" si="3"/>
      </c>
    </row>
    <row r="903">
      <c r="A903" s="43">
        <f t="shared" si="0"/>
      </c>
      <c r="B903" s="44" t="n"/>
      <c r="C903" s="45" t="n"/>
      <c r="D903" s="50" t="n"/>
      <c r="E903" s="45" t="n"/>
      <c r="F903" s="50" t="n"/>
      <c r="G903" s="47" t="n"/>
      <c r="H903" s="52" t="n"/>
      <c r="I903" s="50" t="n"/>
      <c r="J903" s="53">
        <f t="shared" si="1"/>
      </c>
      <c r="K903" s="49">
        <f t="shared" si="2"/>
      </c>
      <c r="L903" s="2">
        <f t="shared" si="3"/>
      </c>
    </row>
    <row r="904">
      <c r="A904" s="43">
        <f t="shared" si="0"/>
      </c>
      <c r="B904" s="44" t="n"/>
      <c r="C904" s="45" t="n"/>
      <c r="D904" s="50" t="n"/>
      <c r="E904" s="45" t="n"/>
      <c r="F904" s="50" t="n"/>
      <c r="G904" s="47" t="n"/>
      <c r="H904" s="52" t="n"/>
      <c r="I904" s="50" t="n"/>
      <c r="J904" s="53">
        <f t="shared" si="1"/>
      </c>
      <c r="K904" s="49">
        <f t="shared" si="2"/>
      </c>
      <c r="L904" s="2">
        <f t="shared" si="3"/>
      </c>
    </row>
    <row r="905">
      <c r="A905" s="43">
        <f t="shared" si="0"/>
      </c>
      <c r="B905" s="44" t="n"/>
      <c r="C905" s="45" t="n"/>
      <c r="D905" s="50" t="n"/>
      <c r="E905" s="45" t="n"/>
      <c r="F905" s="50" t="n"/>
      <c r="G905" s="47" t="n"/>
      <c r="H905" s="52" t="n"/>
      <c r="I905" s="50" t="n"/>
      <c r="J905" s="53">
        <f t="shared" si="1"/>
      </c>
      <c r="K905" s="49">
        <f t="shared" si="2"/>
      </c>
      <c r="L905" s="2">
        <f t="shared" si="3"/>
      </c>
    </row>
    <row r="906">
      <c r="A906" s="43">
        <f t="shared" si="0"/>
      </c>
      <c r="B906" s="44" t="n"/>
      <c r="C906" s="45" t="n"/>
      <c r="D906" s="50" t="n"/>
      <c r="E906" s="45" t="n"/>
      <c r="F906" s="50" t="n"/>
      <c r="G906" s="47" t="n"/>
      <c r="H906" s="52" t="n"/>
      <c r="I906" s="50" t="n"/>
      <c r="J906" s="53">
        <f t="shared" si="1"/>
      </c>
      <c r="K906" s="49">
        <f t="shared" si="2"/>
      </c>
      <c r="L906" s="2">
        <f t="shared" si="3"/>
      </c>
    </row>
    <row r="907">
      <c r="A907" s="43">
        <f t="shared" si="0"/>
      </c>
      <c r="B907" s="44" t="n"/>
      <c r="C907" s="45" t="n"/>
      <c r="D907" s="50" t="n"/>
      <c r="E907" s="45" t="n"/>
      <c r="F907" s="50" t="n"/>
      <c r="G907" s="47" t="n"/>
      <c r="H907" s="52" t="n"/>
      <c r="I907" s="50" t="n"/>
      <c r="J907" s="53">
        <f t="shared" si="1"/>
      </c>
      <c r="K907" s="49">
        <f t="shared" si="2"/>
      </c>
      <c r="L907" s="2">
        <f t="shared" si="3"/>
      </c>
    </row>
    <row r="908">
      <c r="A908" s="43">
        <f t="shared" si="0"/>
      </c>
      <c r="B908" s="44" t="n"/>
      <c r="C908" s="45" t="n"/>
      <c r="D908" s="50" t="n"/>
      <c r="E908" s="45" t="n"/>
      <c r="F908" s="50" t="n"/>
      <c r="G908" s="47" t="n"/>
      <c r="H908" s="52" t="n"/>
      <c r="I908" s="50" t="n"/>
      <c r="J908" s="53">
        <f t="shared" si="1"/>
      </c>
      <c r="K908" s="49">
        <f t="shared" si="2"/>
      </c>
      <c r="L908" s="2">
        <f t="shared" si="3"/>
      </c>
    </row>
    <row r="909">
      <c r="A909" s="43">
        <f t="shared" si="0"/>
      </c>
      <c r="B909" s="44" t="n"/>
      <c r="C909" s="45" t="n"/>
      <c r="D909" s="50" t="n"/>
      <c r="E909" s="45" t="n"/>
      <c r="F909" s="50" t="n"/>
      <c r="G909" s="47" t="n"/>
      <c r="H909" s="52" t="n"/>
      <c r="I909" s="50" t="n"/>
      <c r="J909" s="53">
        <f t="shared" si="1"/>
      </c>
      <c r="K909" s="49">
        <f t="shared" si="2"/>
      </c>
      <c r="L909" s="2">
        <f t="shared" si="3"/>
      </c>
    </row>
    <row r="910">
      <c r="A910" s="43">
        <f t="shared" si="0"/>
      </c>
      <c r="B910" s="44" t="n"/>
      <c r="C910" s="45" t="n"/>
      <c r="D910" s="50" t="n"/>
      <c r="E910" s="45" t="n"/>
      <c r="F910" s="50" t="n"/>
      <c r="G910" s="47" t="n"/>
      <c r="H910" s="52" t="n"/>
      <c r="I910" s="50" t="n"/>
      <c r="J910" s="53">
        <f t="shared" si="1"/>
      </c>
      <c r="K910" s="49">
        <f t="shared" si="2"/>
      </c>
      <c r="L910" s="2">
        <f t="shared" si="3"/>
      </c>
    </row>
    <row r="911">
      <c r="A911" s="43">
        <f t="shared" si="0"/>
      </c>
      <c r="B911" s="44" t="n"/>
      <c r="C911" s="45" t="n"/>
      <c r="D911" s="50" t="n"/>
      <c r="E911" s="45" t="n"/>
      <c r="F911" s="50" t="n"/>
      <c r="G911" s="47" t="n"/>
      <c r="H911" s="52" t="n"/>
      <c r="I911" s="50" t="n"/>
      <c r="J911" s="53">
        <f t="shared" si="1"/>
      </c>
      <c r="K911" s="49">
        <f t="shared" si="2"/>
      </c>
      <c r="L911" s="2">
        <f t="shared" si="3"/>
      </c>
    </row>
    <row r="912">
      <c r="A912" s="43">
        <f t="shared" si="0"/>
      </c>
      <c r="B912" s="44" t="n"/>
      <c r="C912" s="45" t="n"/>
      <c r="D912" s="50" t="n"/>
      <c r="E912" s="45" t="n"/>
      <c r="F912" s="50" t="n"/>
      <c r="G912" s="47" t="n"/>
      <c r="H912" s="52" t="n"/>
      <c r="I912" s="50" t="n"/>
      <c r="J912" s="53">
        <f t="shared" si="1"/>
      </c>
      <c r="K912" s="49">
        <f t="shared" si="2"/>
      </c>
      <c r="L912" s="2">
        <f t="shared" si="3"/>
      </c>
    </row>
    <row r="913">
      <c r="A913" s="43">
        <f t="shared" si="0"/>
      </c>
      <c r="B913" s="44" t="n"/>
      <c r="C913" s="45" t="n"/>
      <c r="D913" s="50" t="n"/>
      <c r="E913" s="45" t="n"/>
      <c r="F913" s="50" t="n"/>
      <c r="G913" s="47" t="n"/>
      <c r="H913" s="52" t="n"/>
      <c r="I913" s="50" t="n"/>
      <c r="J913" s="53">
        <f t="shared" si="1"/>
      </c>
      <c r="K913" s="49">
        <f t="shared" si="2"/>
      </c>
      <c r="L913" s="2">
        <f t="shared" si="3"/>
      </c>
    </row>
    <row r="914">
      <c r="A914" s="43">
        <f t="shared" si="0"/>
      </c>
      <c r="B914" s="44" t="n"/>
      <c r="C914" s="45" t="n"/>
      <c r="D914" s="50" t="n"/>
      <c r="E914" s="45" t="n"/>
      <c r="F914" s="50" t="n"/>
      <c r="G914" s="47" t="n"/>
      <c r="H914" s="52" t="n"/>
      <c r="I914" s="50" t="n"/>
      <c r="J914" s="53">
        <f t="shared" si="1"/>
      </c>
      <c r="K914" s="49">
        <f t="shared" si="2"/>
      </c>
      <c r="L914" s="2">
        <f t="shared" si="3"/>
      </c>
    </row>
    <row r="915">
      <c r="A915" s="43">
        <f t="shared" si="0"/>
      </c>
      <c r="B915" s="44" t="n"/>
      <c r="C915" s="45" t="n"/>
      <c r="D915" s="50" t="n"/>
      <c r="E915" s="45" t="n"/>
      <c r="F915" s="50" t="n"/>
      <c r="G915" s="47" t="n"/>
      <c r="H915" s="52" t="n"/>
      <c r="I915" s="50" t="n"/>
      <c r="J915" s="53">
        <f t="shared" si="1"/>
      </c>
      <c r="K915" s="49">
        <f t="shared" si="2"/>
      </c>
      <c r="L915" s="2">
        <f t="shared" si="3"/>
      </c>
    </row>
    <row r="916">
      <c r="A916" s="43">
        <f t="shared" si="0"/>
      </c>
      <c r="B916" s="44" t="n"/>
      <c r="C916" s="45" t="n"/>
      <c r="D916" s="50" t="n"/>
      <c r="E916" s="45" t="n"/>
      <c r="F916" s="50" t="n"/>
      <c r="G916" s="47" t="n"/>
      <c r="H916" s="52" t="n"/>
      <c r="I916" s="50" t="n"/>
      <c r="J916" s="53">
        <f t="shared" si="1"/>
      </c>
      <c r="K916" s="49">
        <f t="shared" si="2"/>
      </c>
      <c r="L916" s="2">
        <f t="shared" si="3"/>
      </c>
    </row>
    <row r="917">
      <c r="A917" s="43">
        <f t="shared" si="0"/>
      </c>
      <c r="B917" s="44" t="n"/>
      <c r="C917" s="45" t="n"/>
      <c r="D917" s="50" t="n"/>
      <c r="E917" s="45" t="n"/>
      <c r="F917" s="50" t="n"/>
      <c r="G917" s="47" t="n"/>
      <c r="H917" s="52" t="n"/>
      <c r="I917" s="50" t="n"/>
      <c r="J917" s="53">
        <f t="shared" si="1"/>
      </c>
      <c r="K917" s="49">
        <f t="shared" si="2"/>
      </c>
      <c r="L917" s="2">
        <f t="shared" si="3"/>
      </c>
    </row>
    <row r="918">
      <c r="A918" s="43">
        <f t="shared" si="0"/>
      </c>
      <c r="B918" s="44" t="n"/>
      <c r="C918" s="45" t="n"/>
      <c r="D918" s="50" t="n"/>
      <c r="E918" s="45" t="n"/>
      <c r="F918" s="50" t="n"/>
      <c r="G918" s="47" t="n"/>
      <c r="H918" s="52" t="n"/>
      <c r="I918" s="50" t="n"/>
      <c r="J918" s="53">
        <f t="shared" si="1"/>
      </c>
      <c r="K918" s="49">
        <f t="shared" si="2"/>
      </c>
      <c r="L918" s="2">
        <f t="shared" si="3"/>
      </c>
    </row>
    <row r="919">
      <c r="A919" s="43">
        <f t="shared" si="0"/>
      </c>
      <c r="B919" s="44" t="n"/>
      <c r="C919" s="45" t="n"/>
      <c r="D919" s="50" t="n"/>
      <c r="E919" s="45" t="n"/>
      <c r="F919" s="50" t="n"/>
      <c r="G919" s="47" t="n"/>
      <c r="H919" s="52" t="n"/>
      <c r="I919" s="50" t="n"/>
      <c r="J919" s="53">
        <f t="shared" si="1"/>
      </c>
      <c r="K919" s="49">
        <f t="shared" si="2"/>
      </c>
      <c r="L919" s="2">
        <f t="shared" si="3"/>
      </c>
    </row>
    <row r="920">
      <c r="A920" s="43">
        <f t="shared" si="0"/>
      </c>
      <c r="B920" s="44" t="n"/>
      <c r="C920" s="45" t="n"/>
      <c r="D920" s="50" t="n"/>
      <c r="E920" s="45" t="n"/>
      <c r="F920" s="50" t="n"/>
      <c r="G920" s="47" t="n"/>
      <c r="H920" s="52" t="n"/>
      <c r="I920" s="50" t="n"/>
      <c r="J920" s="53">
        <f t="shared" si="1"/>
      </c>
      <c r="K920" s="49">
        <f t="shared" si="2"/>
      </c>
      <c r="L920" s="2">
        <f t="shared" si="3"/>
      </c>
    </row>
    <row r="921">
      <c r="A921" s="43">
        <f t="shared" si="0"/>
      </c>
      <c r="B921" s="44" t="n"/>
      <c r="C921" s="45" t="n"/>
      <c r="D921" s="50" t="n"/>
      <c r="E921" s="45" t="n"/>
      <c r="F921" s="50" t="n"/>
      <c r="G921" s="47" t="n"/>
      <c r="H921" s="52" t="n"/>
      <c r="I921" s="50" t="n"/>
      <c r="J921" s="53">
        <f t="shared" si="1"/>
      </c>
      <c r="K921" s="49">
        <f t="shared" si="2"/>
      </c>
      <c r="L921" s="2">
        <f t="shared" si="3"/>
      </c>
    </row>
    <row r="922">
      <c r="A922" s="43">
        <f t="shared" si="0"/>
      </c>
      <c r="B922" s="44" t="n"/>
      <c r="C922" s="45" t="n"/>
      <c r="D922" s="50" t="n"/>
      <c r="E922" s="45" t="n"/>
      <c r="F922" s="50" t="n"/>
      <c r="G922" s="47" t="n"/>
      <c r="H922" s="52" t="n"/>
      <c r="I922" s="50" t="n"/>
      <c r="J922" s="53">
        <f t="shared" si="1"/>
      </c>
      <c r="K922" s="49">
        <f t="shared" si="2"/>
      </c>
      <c r="L922" s="2">
        <f t="shared" si="3"/>
      </c>
    </row>
    <row r="923">
      <c r="A923" s="43">
        <f t="shared" si="0"/>
      </c>
      <c r="B923" s="44" t="n"/>
      <c r="C923" s="45" t="n"/>
      <c r="D923" s="50" t="n"/>
      <c r="E923" s="45" t="n"/>
      <c r="F923" s="50" t="n"/>
      <c r="G923" s="47" t="n"/>
      <c r="H923" s="52" t="n"/>
      <c r="I923" s="50" t="n"/>
      <c r="J923" s="53">
        <f t="shared" si="1"/>
      </c>
      <c r="K923" s="49">
        <f t="shared" si="2"/>
      </c>
      <c r="L923" s="2">
        <f t="shared" si="3"/>
      </c>
    </row>
    <row r="924">
      <c r="A924" s="43">
        <f t="shared" si="0"/>
      </c>
      <c r="B924" s="44" t="n"/>
      <c r="C924" s="45" t="n"/>
      <c r="D924" s="50" t="n"/>
      <c r="E924" s="45" t="n"/>
      <c r="F924" s="50" t="n"/>
      <c r="G924" s="47" t="n"/>
      <c r="H924" s="52" t="n"/>
      <c r="I924" s="50" t="n"/>
      <c r="J924" s="53">
        <f t="shared" si="1"/>
      </c>
      <c r="K924" s="49">
        <f t="shared" si="2"/>
      </c>
      <c r="L924" s="2">
        <f t="shared" si="3"/>
      </c>
    </row>
    <row r="925">
      <c r="A925" s="43">
        <f t="shared" si="0"/>
      </c>
      <c r="B925" s="44" t="n"/>
      <c r="C925" s="45" t="n"/>
      <c r="D925" s="50" t="n"/>
      <c r="E925" s="45" t="n"/>
      <c r="F925" s="50" t="n"/>
      <c r="G925" s="47" t="n"/>
      <c r="H925" s="52" t="n"/>
      <c r="I925" s="50" t="n"/>
      <c r="J925" s="53">
        <f t="shared" si="1"/>
      </c>
      <c r="K925" s="49">
        <f t="shared" si="2"/>
      </c>
      <c r="L925" s="2">
        <f t="shared" si="3"/>
      </c>
    </row>
    <row r="926">
      <c r="A926" s="43">
        <f t="shared" si="0"/>
      </c>
      <c r="B926" s="44" t="n"/>
      <c r="C926" s="45" t="n"/>
      <c r="D926" s="50" t="n"/>
      <c r="E926" s="45" t="n"/>
      <c r="F926" s="50" t="n"/>
      <c r="G926" s="47" t="n"/>
      <c r="H926" s="52" t="n"/>
      <c r="I926" s="50" t="n"/>
      <c r="J926" s="53">
        <f t="shared" si="1"/>
      </c>
      <c r="K926" s="49">
        <f t="shared" si="2"/>
      </c>
      <c r="L926" s="2">
        <f t="shared" si="3"/>
      </c>
    </row>
    <row r="927">
      <c r="A927" s="43">
        <f t="shared" si="0"/>
      </c>
      <c r="B927" s="44" t="n"/>
      <c r="C927" s="45" t="n"/>
      <c r="D927" s="50" t="n"/>
      <c r="E927" s="45" t="n"/>
      <c r="F927" s="50" t="n"/>
      <c r="G927" s="47" t="n"/>
      <c r="H927" s="52" t="n"/>
      <c r="I927" s="50" t="n"/>
      <c r="J927" s="53">
        <f t="shared" si="1"/>
      </c>
      <c r="K927" s="49">
        <f t="shared" si="2"/>
      </c>
      <c r="L927" s="2">
        <f t="shared" si="3"/>
      </c>
    </row>
    <row r="928">
      <c r="A928" s="43">
        <f t="shared" si="0"/>
      </c>
      <c r="B928" s="44" t="n"/>
      <c r="C928" s="45" t="n"/>
      <c r="D928" s="50" t="n"/>
      <c r="E928" s="45" t="n"/>
      <c r="F928" s="50" t="n"/>
      <c r="G928" s="47" t="n"/>
      <c r="H928" s="52" t="n"/>
      <c r="I928" s="50" t="n"/>
      <c r="J928" s="53">
        <f t="shared" si="1"/>
      </c>
      <c r="K928" s="49">
        <f t="shared" si="2"/>
      </c>
      <c r="L928" s="2">
        <f t="shared" si="3"/>
      </c>
    </row>
    <row r="929">
      <c r="A929" s="43">
        <f t="shared" si="0"/>
      </c>
      <c r="B929" s="44" t="n"/>
      <c r="C929" s="45" t="n"/>
      <c r="D929" s="50" t="n"/>
      <c r="E929" s="45" t="n"/>
      <c r="F929" s="50" t="n"/>
      <c r="G929" s="47" t="n"/>
      <c r="H929" s="52" t="n"/>
      <c r="I929" s="50" t="n"/>
      <c r="J929" s="53">
        <f t="shared" si="1"/>
      </c>
      <c r="K929" s="49">
        <f t="shared" si="2"/>
      </c>
      <c r="L929" s="2">
        <f t="shared" si="3"/>
      </c>
    </row>
    <row r="930">
      <c r="A930" s="43">
        <f t="shared" si="0"/>
      </c>
      <c r="B930" s="44" t="n"/>
      <c r="C930" s="45" t="n"/>
      <c r="D930" s="50" t="n"/>
      <c r="E930" s="45" t="n"/>
      <c r="F930" s="50" t="n"/>
      <c r="G930" s="47" t="n"/>
      <c r="H930" s="52" t="n"/>
      <c r="I930" s="50" t="n"/>
      <c r="J930" s="53">
        <f t="shared" si="1"/>
      </c>
      <c r="K930" s="49">
        <f t="shared" si="2"/>
      </c>
      <c r="L930" s="2">
        <f t="shared" si="3"/>
      </c>
    </row>
    <row r="931">
      <c r="A931" s="43">
        <f t="shared" si="0"/>
      </c>
      <c r="B931" s="44" t="n"/>
      <c r="C931" s="45" t="n"/>
      <c r="D931" s="50" t="n"/>
      <c r="E931" s="45" t="n"/>
      <c r="F931" s="50" t="n"/>
      <c r="G931" s="47" t="n"/>
      <c r="H931" s="52" t="n"/>
      <c r="I931" s="50" t="n"/>
      <c r="J931" s="53">
        <f t="shared" si="1"/>
      </c>
      <c r="K931" s="49">
        <f t="shared" si="2"/>
      </c>
      <c r="L931" s="2">
        <f t="shared" si="3"/>
      </c>
    </row>
    <row r="932">
      <c r="A932" s="43">
        <f t="shared" si="0"/>
      </c>
      <c r="B932" s="44" t="n"/>
      <c r="C932" s="45" t="n"/>
      <c r="D932" s="50" t="n"/>
      <c r="E932" s="45" t="n"/>
      <c r="F932" s="50" t="n"/>
      <c r="G932" s="47" t="n"/>
      <c r="H932" s="52" t="n"/>
      <c r="I932" s="50" t="n"/>
      <c r="J932" s="53">
        <f t="shared" si="1"/>
      </c>
      <c r="K932" s="49">
        <f t="shared" si="2"/>
      </c>
      <c r="L932" s="2">
        <f t="shared" si="3"/>
      </c>
    </row>
    <row r="933">
      <c r="A933" s="43">
        <f t="shared" si="0"/>
      </c>
      <c r="B933" s="44" t="n"/>
      <c r="C933" s="45" t="n"/>
      <c r="D933" s="50" t="n"/>
      <c r="E933" s="45" t="n"/>
      <c r="F933" s="50" t="n"/>
      <c r="G933" s="47" t="n"/>
      <c r="H933" s="52" t="n"/>
      <c r="I933" s="50" t="n"/>
      <c r="J933" s="53">
        <f t="shared" si="1"/>
      </c>
      <c r="K933" s="49">
        <f t="shared" si="2"/>
      </c>
      <c r="L933" s="2">
        <f t="shared" si="3"/>
      </c>
    </row>
    <row r="934">
      <c r="A934" s="43">
        <f t="shared" si="0"/>
      </c>
      <c r="B934" s="44" t="n"/>
      <c r="C934" s="45" t="n"/>
      <c r="D934" s="50" t="n"/>
      <c r="E934" s="45" t="n"/>
      <c r="F934" s="50" t="n"/>
      <c r="G934" s="47" t="n"/>
      <c r="H934" s="52" t="n"/>
      <c r="I934" s="50" t="n"/>
      <c r="J934" s="53">
        <f t="shared" si="1"/>
      </c>
      <c r="K934" s="49">
        <f t="shared" si="2"/>
      </c>
      <c r="L934" s="2">
        <f t="shared" si="3"/>
      </c>
    </row>
    <row r="935">
      <c r="A935" s="43">
        <f t="shared" si="0"/>
      </c>
      <c r="B935" s="44" t="n"/>
      <c r="C935" s="45" t="n"/>
      <c r="D935" s="50" t="n"/>
      <c r="E935" s="45" t="n"/>
      <c r="F935" s="50" t="n"/>
      <c r="G935" s="47" t="n"/>
      <c r="H935" s="52" t="n"/>
      <c r="I935" s="50" t="n"/>
      <c r="J935" s="53">
        <f t="shared" si="1"/>
      </c>
      <c r="K935" s="49">
        <f t="shared" si="2"/>
      </c>
      <c r="L935" s="2">
        <f t="shared" si="3"/>
      </c>
    </row>
    <row r="936">
      <c r="A936" s="43">
        <f t="shared" si="0"/>
      </c>
      <c r="B936" s="44" t="n"/>
      <c r="C936" s="45" t="n"/>
      <c r="D936" s="50" t="n"/>
      <c r="E936" s="45" t="n"/>
      <c r="F936" s="50" t="n"/>
      <c r="G936" s="47" t="n"/>
      <c r="H936" s="52" t="n"/>
      <c r="I936" s="50" t="n"/>
      <c r="J936" s="53">
        <f t="shared" si="1"/>
      </c>
      <c r="K936" s="49">
        <f t="shared" si="2"/>
      </c>
      <c r="L936" s="2">
        <f t="shared" si="3"/>
      </c>
    </row>
    <row r="937">
      <c r="A937" s="43">
        <f t="shared" si="0"/>
      </c>
      <c r="B937" s="44" t="n"/>
      <c r="C937" s="45" t="n"/>
      <c r="D937" s="50" t="n"/>
      <c r="E937" s="45" t="n"/>
      <c r="F937" s="50" t="n"/>
      <c r="G937" s="47" t="n"/>
      <c r="H937" s="52" t="n"/>
      <c r="I937" s="50" t="n"/>
      <c r="J937" s="53">
        <f t="shared" si="1"/>
      </c>
      <c r="K937" s="49">
        <f t="shared" si="2"/>
      </c>
      <c r="L937" s="2">
        <f t="shared" si="3"/>
      </c>
    </row>
    <row r="938">
      <c r="A938" s="43">
        <f t="shared" si="0"/>
      </c>
      <c r="B938" s="44" t="n"/>
      <c r="C938" s="45" t="n"/>
      <c r="D938" s="50" t="n"/>
      <c r="E938" s="45" t="n"/>
      <c r="F938" s="50" t="n"/>
      <c r="G938" s="47" t="n"/>
      <c r="H938" s="52" t="n"/>
      <c r="I938" s="50" t="n"/>
      <c r="J938" s="53">
        <f t="shared" si="1"/>
      </c>
      <c r="K938" s="49">
        <f t="shared" si="2"/>
      </c>
      <c r="L938" s="2">
        <f t="shared" si="3"/>
      </c>
    </row>
    <row r="939">
      <c r="A939" s="43">
        <f t="shared" si="0"/>
      </c>
      <c r="B939" s="44" t="n"/>
      <c r="C939" s="45" t="n"/>
      <c r="D939" s="50" t="n"/>
      <c r="E939" s="45" t="n"/>
      <c r="F939" s="50" t="n"/>
      <c r="G939" s="47" t="n"/>
      <c r="H939" s="52" t="n"/>
      <c r="I939" s="50" t="n"/>
      <c r="J939" s="53">
        <f t="shared" si="1"/>
      </c>
      <c r="K939" s="49">
        <f t="shared" si="2"/>
      </c>
      <c r="L939" s="2">
        <f t="shared" si="3"/>
      </c>
    </row>
    <row r="940">
      <c r="A940" s="43">
        <f t="shared" si="0"/>
      </c>
      <c r="B940" s="44" t="n"/>
      <c r="C940" s="45" t="n"/>
      <c r="D940" s="50" t="n"/>
      <c r="E940" s="45" t="n"/>
      <c r="F940" s="50" t="n"/>
      <c r="G940" s="47" t="n"/>
      <c r="H940" s="52" t="n"/>
      <c r="I940" s="50" t="n"/>
      <c r="J940" s="53">
        <f t="shared" si="1"/>
      </c>
      <c r="K940" s="49">
        <f t="shared" si="2"/>
      </c>
      <c r="L940" s="2">
        <f t="shared" si="3"/>
      </c>
    </row>
    <row r="941">
      <c r="A941" s="43">
        <f t="shared" si="0"/>
      </c>
      <c r="B941" s="44" t="n"/>
      <c r="C941" s="45" t="n"/>
      <c r="D941" s="50" t="n"/>
      <c r="E941" s="45" t="n"/>
      <c r="F941" s="50" t="n"/>
      <c r="G941" s="47" t="n"/>
      <c r="H941" s="52" t="n"/>
      <c r="I941" s="50" t="n"/>
      <c r="J941" s="53">
        <f t="shared" si="1"/>
      </c>
      <c r="K941" s="49">
        <f t="shared" si="2"/>
      </c>
      <c r="L941" s="2">
        <f t="shared" si="3"/>
      </c>
    </row>
    <row r="942">
      <c r="A942" s="43">
        <f t="shared" si="0"/>
      </c>
      <c r="B942" s="44" t="n"/>
      <c r="C942" s="45" t="n"/>
      <c r="D942" s="50" t="n"/>
      <c r="E942" s="45" t="n"/>
      <c r="F942" s="50" t="n"/>
      <c r="G942" s="47" t="n"/>
      <c r="H942" s="52" t="n"/>
      <c r="I942" s="50" t="n"/>
      <c r="J942" s="53">
        <f t="shared" si="1"/>
      </c>
      <c r="K942" s="49">
        <f t="shared" si="2"/>
      </c>
      <c r="L942" s="2">
        <f t="shared" si="3"/>
      </c>
    </row>
    <row r="943">
      <c r="A943" s="43">
        <f t="shared" si="0"/>
      </c>
      <c r="B943" s="44" t="n"/>
      <c r="C943" s="45" t="n"/>
      <c r="D943" s="50" t="n"/>
      <c r="E943" s="45" t="n"/>
      <c r="F943" s="50" t="n"/>
      <c r="G943" s="47" t="n"/>
      <c r="H943" s="52" t="n"/>
      <c r="I943" s="50" t="n"/>
      <c r="J943" s="53">
        <f t="shared" si="1"/>
      </c>
      <c r="K943" s="49">
        <f t="shared" si="2"/>
      </c>
      <c r="L943" s="2">
        <f t="shared" si="3"/>
      </c>
    </row>
    <row r="944">
      <c r="A944" s="43">
        <f t="shared" si="0"/>
      </c>
      <c r="B944" s="44" t="n"/>
      <c r="C944" s="45" t="n"/>
      <c r="D944" s="50" t="n"/>
      <c r="E944" s="45" t="n"/>
      <c r="F944" s="50" t="n"/>
      <c r="G944" s="47" t="n"/>
      <c r="H944" s="52" t="n"/>
      <c r="I944" s="50" t="n"/>
      <c r="J944" s="53">
        <f t="shared" si="1"/>
      </c>
      <c r="K944" s="49">
        <f t="shared" si="2"/>
      </c>
      <c r="L944" s="2">
        <f t="shared" si="3"/>
      </c>
    </row>
    <row r="945">
      <c r="A945" s="43">
        <f t="shared" si="0"/>
      </c>
      <c r="B945" s="44" t="n"/>
      <c r="C945" s="45" t="n"/>
      <c r="D945" s="50" t="n"/>
      <c r="E945" s="45" t="n"/>
      <c r="F945" s="50" t="n"/>
      <c r="G945" s="47" t="n"/>
      <c r="H945" s="52" t="n"/>
      <c r="I945" s="50" t="n"/>
      <c r="J945" s="53">
        <f t="shared" si="1"/>
      </c>
      <c r="K945" s="49">
        <f t="shared" si="2"/>
      </c>
      <c r="L945" s="2">
        <f t="shared" si="3"/>
      </c>
    </row>
    <row r="946">
      <c r="A946" s="43">
        <f t="shared" si="0"/>
      </c>
      <c r="B946" s="44" t="n"/>
      <c r="C946" s="45" t="n"/>
      <c r="D946" s="50" t="n"/>
      <c r="E946" s="45" t="n"/>
      <c r="F946" s="50" t="n"/>
      <c r="G946" s="47" t="n"/>
      <c r="H946" s="52" t="n"/>
      <c r="I946" s="50" t="n"/>
      <c r="J946" s="53">
        <f t="shared" si="1"/>
      </c>
      <c r="K946" s="49">
        <f t="shared" si="2"/>
      </c>
      <c r="L946" s="2">
        <f t="shared" si="3"/>
      </c>
    </row>
    <row r="947">
      <c r="A947" s="43">
        <f t="shared" si="0"/>
      </c>
      <c r="B947" s="44" t="n"/>
      <c r="C947" s="45" t="n"/>
      <c r="D947" s="50" t="n"/>
      <c r="E947" s="45" t="n"/>
      <c r="F947" s="50" t="n"/>
      <c r="G947" s="47" t="n"/>
      <c r="H947" s="52" t="n"/>
      <c r="I947" s="50" t="n"/>
      <c r="J947" s="53">
        <f t="shared" si="1"/>
      </c>
      <c r="K947" s="49">
        <f t="shared" si="2"/>
      </c>
      <c r="L947" s="2">
        <f t="shared" si="3"/>
      </c>
    </row>
    <row r="948">
      <c r="A948" s="43">
        <f t="shared" si="0"/>
      </c>
      <c r="B948" s="44" t="n"/>
      <c r="C948" s="45" t="n"/>
      <c r="D948" s="50" t="n"/>
      <c r="E948" s="45" t="n"/>
      <c r="F948" s="50" t="n"/>
      <c r="G948" s="47" t="n"/>
      <c r="H948" s="52" t="n"/>
      <c r="I948" s="50" t="n"/>
      <c r="J948" s="53">
        <f t="shared" si="1"/>
      </c>
      <c r="K948" s="49">
        <f t="shared" si="2"/>
      </c>
      <c r="L948" s="2">
        <f t="shared" si="3"/>
      </c>
    </row>
    <row r="949">
      <c r="A949" s="43">
        <f t="shared" si="0"/>
      </c>
      <c r="B949" s="44" t="n"/>
      <c r="C949" s="45" t="n"/>
      <c r="D949" s="50" t="n"/>
      <c r="E949" s="45" t="n"/>
      <c r="F949" s="50" t="n"/>
      <c r="G949" s="47" t="n"/>
      <c r="H949" s="52" t="n"/>
      <c r="I949" s="50" t="n"/>
      <c r="J949" s="53">
        <f t="shared" si="1"/>
      </c>
      <c r="K949" s="49">
        <f t="shared" si="2"/>
      </c>
      <c r="L949" s="2">
        <f t="shared" si="3"/>
      </c>
    </row>
    <row r="950">
      <c r="A950" s="43">
        <f t="shared" si="0"/>
      </c>
      <c r="B950" s="44" t="n"/>
      <c r="C950" s="45" t="n"/>
      <c r="D950" s="50" t="n"/>
      <c r="E950" s="45" t="n"/>
      <c r="F950" s="50" t="n"/>
      <c r="G950" s="47" t="n"/>
      <c r="H950" s="52" t="n"/>
      <c r="I950" s="50" t="n"/>
      <c r="J950" s="53">
        <f t="shared" si="1"/>
      </c>
      <c r="K950" s="49">
        <f t="shared" si="2"/>
      </c>
      <c r="L950" s="2">
        <f t="shared" si="3"/>
      </c>
    </row>
    <row r="951">
      <c r="A951" s="43">
        <f t="shared" si="0"/>
      </c>
      <c r="B951" s="44" t="n"/>
      <c r="C951" s="45" t="n"/>
      <c r="D951" s="50" t="n"/>
      <c r="E951" s="45" t="n"/>
      <c r="F951" s="50" t="n"/>
      <c r="G951" s="47" t="n"/>
      <c r="H951" s="52" t="n"/>
      <c r="I951" s="50" t="n"/>
      <c r="J951" s="53">
        <f t="shared" si="1"/>
      </c>
      <c r="K951" s="49">
        <f t="shared" si="2"/>
      </c>
      <c r="L951" s="2">
        <f t="shared" si="3"/>
      </c>
    </row>
    <row r="952">
      <c r="A952" s="43">
        <f t="shared" si="0"/>
      </c>
      <c r="B952" s="44" t="n"/>
      <c r="C952" s="45" t="n"/>
      <c r="D952" s="50" t="n"/>
      <c r="E952" s="45" t="n"/>
      <c r="F952" s="50" t="n"/>
      <c r="G952" s="47" t="n"/>
      <c r="H952" s="52" t="n"/>
      <c r="I952" s="50" t="n"/>
      <c r="J952" s="53">
        <f t="shared" si="1"/>
      </c>
      <c r="K952" s="49">
        <f t="shared" si="2"/>
      </c>
      <c r="L952" s="2">
        <f t="shared" si="3"/>
      </c>
    </row>
    <row r="953">
      <c r="A953" s="43">
        <f t="shared" si="0"/>
      </c>
      <c r="B953" s="44" t="n"/>
      <c r="C953" s="45" t="n"/>
      <c r="D953" s="50" t="n"/>
      <c r="E953" s="45" t="n"/>
      <c r="F953" s="50" t="n"/>
      <c r="G953" s="47" t="n"/>
      <c r="H953" s="52" t="n"/>
      <c r="I953" s="50" t="n"/>
      <c r="J953" s="53">
        <f t="shared" si="1"/>
      </c>
      <c r="K953" s="49">
        <f t="shared" si="2"/>
      </c>
      <c r="L953" s="2">
        <f t="shared" si="3"/>
      </c>
    </row>
    <row r="954">
      <c r="A954" s="43">
        <f t="shared" si="0"/>
      </c>
      <c r="B954" s="44" t="n"/>
      <c r="C954" s="45" t="n"/>
      <c r="D954" s="50" t="n"/>
      <c r="E954" s="45" t="n"/>
      <c r="F954" s="50" t="n"/>
      <c r="G954" s="47" t="n"/>
      <c r="H954" s="52" t="n"/>
      <c r="I954" s="50" t="n"/>
      <c r="J954" s="53">
        <f t="shared" si="1"/>
      </c>
      <c r="K954" s="49">
        <f t="shared" si="2"/>
      </c>
      <c r="L954" s="2">
        <f t="shared" si="3"/>
      </c>
    </row>
    <row r="955">
      <c r="A955" s="43">
        <f t="shared" si="0"/>
      </c>
      <c r="B955" s="44" t="n"/>
      <c r="C955" s="45" t="n"/>
      <c r="D955" s="50" t="n"/>
      <c r="E955" s="45" t="n"/>
      <c r="F955" s="50" t="n"/>
      <c r="G955" s="47" t="n"/>
      <c r="H955" s="52" t="n"/>
      <c r="I955" s="50" t="n"/>
      <c r="J955" s="53">
        <f t="shared" si="1"/>
      </c>
      <c r="K955" s="49">
        <f t="shared" si="2"/>
      </c>
      <c r="L955" s="2">
        <f t="shared" si="3"/>
      </c>
    </row>
    <row r="956">
      <c r="A956" s="43">
        <f t="shared" si="0"/>
      </c>
      <c r="B956" s="44" t="n"/>
      <c r="C956" s="45" t="n"/>
      <c r="D956" s="50" t="n"/>
      <c r="E956" s="45" t="n"/>
      <c r="F956" s="50" t="n"/>
      <c r="G956" s="47" t="n"/>
      <c r="H956" s="52" t="n"/>
      <c r="I956" s="50" t="n"/>
      <c r="J956" s="53">
        <f t="shared" si="1"/>
      </c>
      <c r="K956" s="49">
        <f t="shared" si="2"/>
      </c>
      <c r="L956" s="2">
        <f t="shared" si="3"/>
      </c>
    </row>
    <row r="957">
      <c r="A957" s="43">
        <f t="shared" si="0"/>
      </c>
      <c r="B957" s="44" t="n"/>
      <c r="C957" s="45" t="n"/>
      <c r="D957" s="50" t="n"/>
      <c r="E957" s="45" t="n"/>
      <c r="F957" s="50" t="n"/>
      <c r="G957" s="47" t="n"/>
      <c r="H957" s="52" t="n"/>
      <c r="I957" s="50" t="n"/>
      <c r="J957" s="53">
        <f t="shared" si="1"/>
      </c>
      <c r="K957" s="49">
        <f t="shared" si="2"/>
      </c>
      <c r="L957" s="2">
        <f t="shared" si="3"/>
      </c>
    </row>
    <row r="958">
      <c r="A958" s="43">
        <f t="shared" si="0"/>
      </c>
      <c r="B958" s="44" t="n"/>
      <c r="C958" s="45" t="n"/>
      <c r="D958" s="50" t="n"/>
      <c r="E958" s="45" t="n"/>
      <c r="F958" s="50" t="n"/>
      <c r="G958" s="47" t="n"/>
      <c r="H958" s="52" t="n"/>
      <c r="I958" s="50" t="n"/>
      <c r="J958" s="53">
        <f t="shared" si="1"/>
      </c>
      <c r="K958" s="49">
        <f t="shared" si="2"/>
      </c>
      <c r="L958" s="2">
        <f t="shared" si="3"/>
      </c>
    </row>
    <row r="959">
      <c r="A959" s="43">
        <f t="shared" si="0"/>
      </c>
      <c r="B959" s="44" t="n"/>
      <c r="C959" s="45" t="n"/>
      <c r="D959" s="50" t="n"/>
      <c r="E959" s="45" t="n"/>
      <c r="F959" s="50" t="n"/>
      <c r="G959" s="47" t="n"/>
      <c r="H959" s="52" t="n"/>
      <c r="I959" s="50" t="n"/>
      <c r="J959" s="53">
        <f t="shared" si="1"/>
      </c>
      <c r="K959" s="49">
        <f t="shared" si="2"/>
      </c>
      <c r="L959" s="2">
        <f t="shared" si="3"/>
      </c>
    </row>
    <row r="960">
      <c r="A960" s="43">
        <f t="shared" si="0"/>
      </c>
      <c r="B960" s="44" t="n"/>
      <c r="C960" s="45" t="n"/>
      <c r="D960" s="50" t="n"/>
      <c r="E960" s="45" t="n"/>
      <c r="F960" s="50" t="n"/>
      <c r="G960" s="47" t="n"/>
      <c r="H960" s="52" t="n"/>
      <c r="I960" s="50" t="n"/>
      <c r="J960" s="53">
        <f t="shared" si="1"/>
      </c>
      <c r="K960" s="49">
        <f t="shared" si="2"/>
      </c>
      <c r="L960" s="2">
        <f t="shared" si="3"/>
      </c>
    </row>
    <row r="961">
      <c r="A961" s="43">
        <f t="shared" si="0"/>
      </c>
      <c r="B961" s="44" t="n"/>
      <c r="C961" s="45" t="n"/>
      <c r="D961" s="50" t="n"/>
      <c r="E961" s="45" t="n"/>
      <c r="F961" s="50" t="n"/>
      <c r="G961" s="47" t="n"/>
      <c r="H961" s="52" t="n"/>
      <c r="I961" s="50" t="n"/>
      <c r="J961" s="53">
        <f t="shared" si="1"/>
      </c>
      <c r="K961" s="49">
        <f t="shared" si="2"/>
      </c>
      <c r="L961" s="2">
        <f t="shared" si="3"/>
      </c>
    </row>
    <row r="962">
      <c r="A962" s="43">
        <f t="shared" si="0"/>
      </c>
      <c r="B962" s="44" t="n"/>
      <c r="C962" s="45" t="n"/>
      <c r="D962" s="50" t="n"/>
      <c r="E962" s="45" t="n"/>
      <c r="F962" s="50" t="n"/>
      <c r="G962" s="47" t="n"/>
      <c r="H962" s="52" t="n"/>
      <c r="I962" s="50" t="n"/>
      <c r="J962" s="53">
        <f t="shared" si="1"/>
      </c>
      <c r="K962" s="49">
        <f t="shared" si="2"/>
      </c>
      <c r="L962" s="2">
        <f t="shared" si="3"/>
      </c>
    </row>
    <row r="963">
      <c r="A963" s="43">
        <f t="shared" si="0"/>
      </c>
      <c r="B963" s="44" t="n"/>
      <c r="C963" s="45" t="n"/>
      <c r="D963" s="50" t="n"/>
      <c r="E963" s="45" t="n"/>
      <c r="F963" s="50" t="n"/>
      <c r="G963" s="47" t="n"/>
      <c r="H963" s="52" t="n"/>
      <c r="I963" s="50" t="n"/>
      <c r="J963" s="53">
        <f t="shared" si="1"/>
      </c>
      <c r="K963" s="49">
        <f t="shared" si="2"/>
      </c>
      <c r="L963" s="2">
        <f t="shared" si="3"/>
      </c>
    </row>
    <row r="964">
      <c r="A964" s="43">
        <f t="shared" si="0"/>
      </c>
      <c r="B964" s="44" t="n"/>
      <c r="C964" s="45" t="n"/>
      <c r="D964" s="50" t="n"/>
      <c r="E964" s="45" t="n"/>
      <c r="F964" s="50" t="n"/>
      <c r="G964" s="47" t="n"/>
      <c r="H964" s="52" t="n"/>
      <c r="I964" s="50" t="n"/>
      <c r="J964" s="53">
        <f t="shared" si="1"/>
      </c>
      <c r="K964" s="49">
        <f t="shared" si="2"/>
      </c>
      <c r="L964" s="2">
        <f t="shared" si="3"/>
      </c>
    </row>
    <row r="965">
      <c r="A965" s="43">
        <f t="shared" si="0"/>
      </c>
      <c r="B965" s="44" t="n"/>
      <c r="C965" s="45" t="n"/>
      <c r="D965" s="50" t="n"/>
      <c r="E965" s="45" t="n"/>
      <c r="F965" s="50" t="n"/>
      <c r="G965" s="47" t="n"/>
      <c r="H965" s="52" t="n"/>
      <c r="I965" s="50" t="n"/>
      <c r="J965" s="53">
        <f t="shared" si="1"/>
      </c>
      <c r="K965" s="49">
        <f t="shared" si="2"/>
      </c>
      <c r="L965" s="2">
        <f t="shared" si="3"/>
      </c>
    </row>
    <row r="966">
      <c r="A966" s="43">
        <f t="shared" si="0"/>
      </c>
      <c r="B966" s="44" t="n"/>
      <c r="C966" s="45" t="n"/>
      <c r="D966" s="50" t="n"/>
      <c r="E966" s="45" t="n"/>
      <c r="F966" s="50" t="n"/>
      <c r="G966" s="47" t="n"/>
      <c r="H966" s="52" t="n"/>
      <c r="I966" s="50" t="n"/>
      <c r="J966" s="53">
        <f t="shared" si="1"/>
      </c>
      <c r="K966" s="49">
        <f t="shared" si="2"/>
      </c>
      <c r="L966" s="2">
        <f t="shared" si="3"/>
      </c>
    </row>
    <row r="967">
      <c r="A967" s="43">
        <f t="shared" si="0"/>
      </c>
      <c r="B967" s="44" t="n"/>
      <c r="C967" s="45" t="n"/>
      <c r="D967" s="50" t="n"/>
      <c r="E967" s="45" t="n"/>
      <c r="F967" s="50" t="n"/>
      <c r="G967" s="47" t="n"/>
      <c r="H967" s="52" t="n"/>
      <c r="I967" s="50" t="n"/>
      <c r="J967" s="53">
        <f t="shared" si="1"/>
      </c>
      <c r="K967" s="49">
        <f t="shared" si="2"/>
      </c>
      <c r="L967" s="2">
        <f t="shared" si="3"/>
      </c>
    </row>
    <row r="968">
      <c r="A968" s="43">
        <f t="shared" si="0"/>
      </c>
      <c r="B968" s="44" t="n"/>
      <c r="C968" s="45" t="n"/>
      <c r="D968" s="50" t="n"/>
      <c r="E968" s="45" t="n"/>
      <c r="F968" s="50" t="n"/>
      <c r="G968" s="47" t="n"/>
      <c r="H968" s="52" t="n"/>
      <c r="I968" s="50" t="n"/>
      <c r="J968" s="53">
        <f t="shared" si="1"/>
      </c>
      <c r="K968" s="49">
        <f t="shared" si="2"/>
      </c>
      <c r="L968" s="2">
        <f t="shared" si="3"/>
      </c>
    </row>
    <row r="969">
      <c r="A969" s="43">
        <f t="shared" si="0"/>
      </c>
      <c r="B969" s="44" t="n"/>
      <c r="C969" s="45" t="n"/>
      <c r="D969" s="50" t="n"/>
      <c r="E969" s="45" t="n"/>
      <c r="F969" s="50" t="n"/>
      <c r="G969" s="47" t="n"/>
      <c r="H969" s="52" t="n"/>
      <c r="I969" s="50" t="n"/>
      <c r="J969" s="53">
        <f t="shared" si="1"/>
      </c>
      <c r="K969" s="49">
        <f t="shared" si="2"/>
      </c>
      <c r="L969" s="2">
        <f t="shared" si="3"/>
      </c>
    </row>
    <row r="970">
      <c r="A970" s="43">
        <f t="shared" si="0"/>
      </c>
      <c r="B970" s="44" t="n"/>
      <c r="C970" s="45" t="n"/>
      <c r="D970" s="50" t="n"/>
      <c r="E970" s="45" t="n"/>
      <c r="F970" s="50" t="n"/>
      <c r="G970" s="47" t="n"/>
      <c r="H970" s="52" t="n"/>
      <c r="I970" s="50" t="n"/>
      <c r="J970" s="53">
        <f t="shared" si="1"/>
      </c>
      <c r="K970" s="49">
        <f t="shared" si="2"/>
      </c>
      <c r="L970" s="2">
        <f t="shared" si="3"/>
      </c>
    </row>
    <row r="971">
      <c r="A971" s="43">
        <f t="shared" si="0"/>
      </c>
      <c r="B971" s="44" t="n"/>
      <c r="C971" s="45" t="n"/>
      <c r="D971" s="50" t="n"/>
      <c r="E971" s="45" t="n"/>
      <c r="F971" s="50" t="n"/>
      <c r="G971" s="47" t="n"/>
      <c r="H971" s="52" t="n"/>
      <c r="I971" s="50" t="n"/>
      <c r="J971" s="53">
        <f t="shared" si="1"/>
      </c>
      <c r="K971" s="49">
        <f t="shared" si="2"/>
      </c>
      <c r="L971" s="2">
        <f t="shared" si="3"/>
      </c>
    </row>
    <row r="972">
      <c r="A972" s="43">
        <f t="shared" si="0"/>
      </c>
      <c r="B972" s="44" t="n"/>
      <c r="C972" s="45" t="n"/>
      <c r="D972" s="50" t="n"/>
      <c r="E972" s="45" t="n"/>
      <c r="F972" s="50" t="n"/>
      <c r="G972" s="47" t="n"/>
      <c r="H972" s="52" t="n"/>
      <c r="I972" s="50" t="n"/>
      <c r="J972" s="53">
        <f t="shared" si="1"/>
      </c>
      <c r="K972" s="49">
        <f t="shared" si="2"/>
      </c>
      <c r="L972" s="2">
        <f t="shared" si="3"/>
      </c>
    </row>
    <row r="973">
      <c r="A973" s="43">
        <f t="shared" si="0"/>
      </c>
      <c r="B973" s="44" t="n"/>
      <c r="C973" s="45" t="n"/>
      <c r="D973" s="50" t="n"/>
      <c r="E973" s="45" t="n"/>
      <c r="F973" s="50" t="n"/>
      <c r="G973" s="47" t="n"/>
      <c r="H973" s="52" t="n"/>
      <c r="I973" s="50" t="n"/>
      <c r="J973" s="53">
        <f t="shared" si="1"/>
      </c>
      <c r="K973" s="49">
        <f t="shared" si="2"/>
      </c>
      <c r="L973" s="2">
        <f t="shared" si="3"/>
      </c>
    </row>
    <row r="974">
      <c r="A974" s="43">
        <f t="shared" si="0"/>
      </c>
      <c r="B974" s="44" t="n"/>
      <c r="C974" s="45" t="n"/>
      <c r="D974" s="50" t="n"/>
      <c r="E974" s="45" t="n"/>
      <c r="F974" s="50" t="n"/>
      <c r="G974" s="47" t="n"/>
      <c r="H974" s="52" t="n"/>
      <c r="I974" s="50" t="n"/>
      <c r="J974" s="53">
        <f t="shared" si="1"/>
      </c>
      <c r="K974" s="49">
        <f t="shared" si="2"/>
      </c>
      <c r="L974" s="2">
        <f t="shared" si="3"/>
      </c>
    </row>
    <row r="975">
      <c r="A975" s="43">
        <f t="shared" si="0"/>
      </c>
      <c r="B975" s="44" t="n"/>
      <c r="C975" s="45" t="n"/>
      <c r="D975" s="50" t="n"/>
      <c r="E975" s="45" t="n"/>
      <c r="F975" s="50" t="n"/>
      <c r="G975" s="47" t="n"/>
      <c r="H975" s="52" t="n"/>
      <c r="I975" s="50" t="n"/>
      <c r="J975" s="53">
        <f t="shared" si="1"/>
      </c>
      <c r="K975" s="49">
        <f t="shared" si="2"/>
      </c>
      <c r="L975" s="2">
        <f t="shared" si="3"/>
      </c>
    </row>
    <row r="976">
      <c r="A976" s="43">
        <f t="shared" si="0"/>
      </c>
      <c r="B976" s="44" t="n"/>
      <c r="C976" s="45" t="n"/>
      <c r="D976" s="50" t="n"/>
      <c r="E976" s="45" t="n"/>
      <c r="F976" s="50" t="n"/>
      <c r="G976" s="47" t="n"/>
      <c r="H976" s="52" t="n"/>
      <c r="I976" s="50" t="n"/>
      <c r="J976" s="53">
        <f t="shared" si="1"/>
      </c>
      <c r="K976" s="49">
        <f t="shared" si="2"/>
      </c>
      <c r="L976" s="2">
        <f t="shared" si="3"/>
      </c>
    </row>
    <row r="977">
      <c r="A977" s="43">
        <f t="shared" si="0"/>
      </c>
      <c r="B977" s="44" t="n"/>
      <c r="C977" s="45" t="n"/>
      <c r="D977" s="50" t="n"/>
      <c r="E977" s="45" t="n"/>
      <c r="F977" s="50" t="n"/>
      <c r="G977" s="47" t="n"/>
      <c r="H977" s="52" t="n"/>
      <c r="I977" s="50" t="n"/>
      <c r="J977" s="53">
        <f t="shared" si="1"/>
      </c>
      <c r="K977" s="49">
        <f t="shared" si="2"/>
      </c>
      <c r="L977" s="2">
        <f t="shared" si="3"/>
      </c>
    </row>
    <row r="978">
      <c r="A978" s="43">
        <f t="shared" si="0"/>
      </c>
      <c r="B978" s="44" t="n"/>
      <c r="C978" s="45" t="n"/>
      <c r="D978" s="50" t="n"/>
      <c r="E978" s="45" t="n"/>
      <c r="F978" s="50" t="n"/>
      <c r="G978" s="47" t="n"/>
      <c r="H978" s="52" t="n"/>
      <c r="I978" s="50" t="n"/>
      <c r="J978" s="53">
        <f t="shared" si="1"/>
      </c>
      <c r="K978" s="49">
        <f t="shared" si="2"/>
      </c>
      <c r="L978" s="2">
        <f t="shared" si="3"/>
      </c>
    </row>
    <row r="979">
      <c r="A979" s="43">
        <f t="shared" si="0"/>
      </c>
      <c r="B979" s="44" t="n"/>
      <c r="C979" s="45" t="n"/>
      <c r="D979" s="50" t="n"/>
      <c r="E979" s="45" t="n"/>
      <c r="F979" s="50" t="n"/>
      <c r="G979" s="47" t="n"/>
      <c r="H979" s="52" t="n"/>
      <c r="I979" s="50" t="n"/>
      <c r="J979" s="53">
        <f t="shared" si="1"/>
      </c>
      <c r="K979" s="49">
        <f t="shared" si="2"/>
      </c>
      <c r="L979" s="2">
        <f t="shared" si="3"/>
      </c>
    </row>
    <row r="980">
      <c r="A980" s="43">
        <f t="shared" si="0"/>
      </c>
      <c r="B980" s="44" t="n"/>
      <c r="C980" s="45" t="n"/>
      <c r="D980" s="50" t="n"/>
      <c r="E980" s="45" t="n"/>
      <c r="F980" s="50" t="n"/>
      <c r="G980" s="47" t="n"/>
      <c r="H980" s="52" t="n"/>
      <c r="I980" s="50" t="n"/>
      <c r="J980" s="53">
        <f t="shared" si="1"/>
      </c>
      <c r="K980" s="49">
        <f t="shared" si="2"/>
      </c>
      <c r="L980" s="2">
        <f t="shared" si="3"/>
      </c>
    </row>
    <row r="981">
      <c r="A981" s="43">
        <f t="shared" si="0"/>
      </c>
      <c r="B981" s="44" t="n"/>
      <c r="C981" s="45" t="n"/>
      <c r="D981" s="50" t="n"/>
      <c r="E981" s="45" t="n"/>
      <c r="F981" s="50" t="n"/>
      <c r="G981" s="47" t="n"/>
      <c r="H981" s="52" t="n"/>
      <c r="I981" s="50" t="n"/>
      <c r="J981" s="53">
        <f t="shared" si="1"/>
      </c>
      <c r="K981" s="49">
        <f t="shared" si="2"/>
      </c>
      <c r="L981" s="2">
        <f t="shared" si="3"/>
      </c>
    </row>
    <row r="982">
      <c r="A982" s="43">
        <f t="shared" si="0"/>
      </c>
      <c r="B982" s="44" t="n"/>
      <c r="C982" s="45" t="n"/>
      <c r="D982" s="50" t="n"/>
      <c r="E982" s="45" t="n"/>
      <c r="F982" s="50" t="n"/>
      <c r="G982" s="47" t="n"/>
      <c r="H982" s="52" t="n"/>
      <c r="I982" s="50" t="n"/>
      <c r="J982" s="53">
        <f t="shared" si="1"/>
      </c>
      <c r="K982" s="49">
        <f t="shared" si="2"/>
      </c>
      <c r="L982" s="2">
        <f t="shared" si="3"/>
      </c>
    </row>
    <row r="983">
      <c r="A983" s="43">
        <f t="shared" si="0"/>
      </c>
      <c r="B983" s="44" t="n"/>
      <c r="C983" s="45" t="n"/>
      <c r="D983" s="50" t="n"/>
      <c r="E983" s="45" t="n"/>
      <c r="F983" s="50" t="n"/>
      <c r="G983" s="47" t="n"/>
      <c r="H983" s="52" t="n"/>
      <c r="I983" s="50" t="n"/>
      <c r="J983" s="53">
        <f t="shared" si="1"/>
      </c>
      <c r="K983" s="49">
        <f t="shared" si="2"/>
      </c>
      <c r="L983" s="2">
        <f t="shared" si="3"/>
      </c>
    </row>
    <row r="984">
      <c r="A984" s="43">
        <f t="shared" si="0"/>
      </c>
      <c r="B984" s="44" t="n"/>
      <c r="C984" s="45" t="n"/>
      <c r="D984" s="50" t="n"/>
      <c r="E984" s="45" t="n"/>
      <c r="F984" s="50" t="n"/>
      <c r="G984" s="47" t="n"/>
      <c r="H984" s="52" t="n"/>
      <c r="I984" s="50" t="n"/>
      <c r="J984" s="53">
        <f t="shared" si="1"/>
      </c>
      <c r="K984" s="49">
        <f t="shared" si="2"/>
      </c>
      <c r="L984" s="2">
        <f t="shared" si="3"/>
      </c>
    </row>
    <row r="985">
      <c r="A985" s="43">
        <f t="shared" si="0"/>
      </c>
      <c r="B985" s="44" t="n"/>
      <c r="C985" s="45" t="n"/>
      <c r="D985" s="50" t="n"/>
      <c r="E985" s="45" t="n"/>
      <c r="F985" s="50" t="n"/>
      <c r="G985" s="47" t="n"/>
      <c r="H985" s="52" t="n"/>
      <c r="I985" s="50" t="n"/>
      <c r="J985" s="53">
        <f t="shared" si="1"/>
      </c>
      <c r="K985" s="49">
        <f t="shared" si="2"/>
      </c>
      <c r="L985" s="2">
        <f t="shared" si="3"/>
      </c>
    </row>
    <row r="986">
      <c r="A986" s="43">
        <f t="shared" si="0"/>
      </c>
      <c r="B986" s="44" t="n"/>
      <c r="C986" s="45" t="n"/>
      <c r="D986" s="50" t="n"/>
      <c r="E986" s="45" t="n"/>
      <c r="F986" s="50" t="n"/>
      <c r="G986" s="47" t="n"/>
      <c r="H986" s="52" t="n"/>
      <c r="I986" s="50" t="n"/>
      <c r="J986" s="53">
        <f t="shared" si="1"/>
      </c>
      <c r="K986" s="49">
        <f t="shared" si="2"/>
      </c>
      <c r="L986" s="2">
        <f t="shared" si="3"/>
      </c>
    </row>
    <row r="987">
      <c r="A987" s="43">
        <f t="shared" si="0"/>
      </c>
      <c r="B987" s="44" t="n"/>
      <c r="C987" s="45" t="n"/>
      <c r="D987" s="50" t="n"/>
      <c r="E987" s="45" t="n"/>
      <c r="F987" s="50" t="n"/>
      <c r="G987" s="47" t="n"/>
      <c r="H987" s="52" t="n"/>
      <c r="I987" s="50" t="n"/>
      <c r="J987" s="53">
        <f t="shared" si="1"/>
      </c>
      <c r="K987" s="49">
        <f t="shared" si="2"/>
      </c>
      <c r="L987" s="2">
        <f t="shared" si="3"/>
      </c>
    </row>
    <row r="988">
      <c r="A988" s="43">
        <f t="shared" si="0"/>
      </c>
      <c r="B988" s="44" t="n"/>
      <c r="C988" s="45" t="n"/>
      <c r="D988" s="50" t="n"/>
      <c r="E988" s="45" t="n"/>
      <c r="F988" s="50" t="n"/>
      <c r="G988" s="47" t="n"/>
      <c r="H988" s="52" t="n"/>
      <c r="I988" s="50" t="n"/>
      <c r="J988" s="53">
        <f t="shared" si="1"/>
      </c>
      <c r="K988" s="49">
        <f t="shared" si="2"/>
      </c>
      <c r="L988" s="2">
        <f t="shared" si="3"/>
      </c>
    </row>
    <row r="989">
      <c r="A989" s="43">
        <f t="shared" si="0"/>
      </c>
      <c r="B989" s="44" t="n"/>
      <c r="C989" s="45" t="n"/>
      <c r="D989" s="50" t="n"/>
      <c r="E989" s="45" t="n"/>
      <c r="F989" s="50" t="n"/>
      <c r="G989" s="47" t="n"/>
      <c r="H989" s="52" t="n"/>
      <c r="I989" s="50" t="n"/>
      <c r="J989" s="53">
        <f t="shared" si="1"/>
      </c>
      <c r="K989" s="49">
        <f t="shared" si="2"/>
      </c>
      <c r="L989" s="2">
        <f t="shared" si="3"/>
      </c>
    </row>
    <row r="990">
      <c r="A990" s="43">
        <f t="shared" si="0"/>
      </c>
      <c r="B990" s="44" t="n"/>
      <c r="C990" s="45" t="n"/>
      <c r="D990" s="50" t="n"/>
      <c r="E990" s="45" t="n"/>
      <c r="F990" s="50" t="n"/>
      <c r="G990" s="47" t="n"/>
      <c r="H990" s="52" t="n"/>
      <c r="I990" s="50" t="n"/>
      <c r="J990" s="53">
        <f t="shared" si="1"/>
      </c>
      <c r="K990" s="49">
        <f t="shared" si="2"/>
      </c>
      <c r="L990" s="2">
        <f t="shared" si="3"/>
      </c>
    </row>
    <row r="991">
      <c r="A991" s="43">
        <f t="shared" si="0"/>
      </c>
      <c r="B991" s="44" t="n"/>
      <c r="C991" s="45" t="n"/>
      <c r="D991" s="50" t="n"/>
      <c r="E991" s="45" t="n"/>
      <c r="F991" s="50" t="n"/>
      <c r="G991" s="47" t="n"/>
      <c r="H991" s="52" t="n"/>
      <c r="I991" s="50" t="n"/>
      <c r="J991" s="53">
        <f t="shared" si="1"/>
      </c>
      <c r="K991" s="49">
        <f t="shared" si="2"/>
      </c>
      <c r="L991" s="2">
        <f t="shared" si="3"/>
      </c>
    </row>
    <row r="992">
      <c r="A992" s="43">
        <f t="shared" si="0"/>
      </c>
      <c r="B992" s="44" t="n"/>
      <c r="C992" s="45" t="n"/>
      <c r="D992" s="50" t="n"/>
      <c r="E992" s="45" t="n"/>
      <c r="F992" s="50" t="n"/>
      <c r="G992" s="47" t="n"/>
      <c r="H992" s="52" t="n"/>
      <c r="I992" s="50" t="n"/>
      <c r="J992" s="53">
        <f t="shared" si="1"/>
      </c>
      <c r="K992" s="49">
        <f t="shared" si="2"/>
      </c>
      <c r="L992" s="2">
        <f t="shared" si="3"/>
      </c>
    </row>
    <row r="993">
      <c r="A993" s="43">
        <f t="shared" si="0"/>
      </c>
      <c r="B993" s="44" t="n"/>
      <c r="C993" s="45" t="n"/>
      <c r="D993" s="50" t="n"/>
      <c r="E993" s="45" t="n"/>
      <c r="F993" s="50" t="n"/>
      <c r="G993" s="47" t="n"/>
      <c r="H993" s="52" t="n"/>
      <c r="I993" s="50" t="n"/>
      <c r="J993" s="53">
        <f t="shared" si="1"/>
      </c>
      <c r="K993" s="49">
        <f t="shared" si="2"/>
      </c>
      <c r="L993" s="2">
        <f t="shared" si="3"/>
      </c>
    </row>
    <row r="994">
      <c r="A994" s="43">
        <f t="shared" si="0"/>
      </c>
      <c r="B994" s="44" t="n"/>
      <c r="C994" s="45" t="n"/>
      <c r="D994" s="50" t="n"/>
      <c r="E994" s="45" t="n"/>
      <c r="F994" s="50" t="n"/>
      <c r="G994" s="47" t="n"/>
      <c r="H994" s="52" t="n"/>
      <c r="I994" s="50" t="n"/>
      <c r="J994" s="53">
        <f t="shared" si="1"/>
      </c>
      <c r="K994" s="49">
        <f t="shared" si="2"/>
      </c>
      <c r="L994" s="2">
        <f t="shared" si="3"/>
      </c>
    </row>
    <row r="995">
      <c r="A995" s="43">
        <f t="shared" si="0"/>
      </c>
      <c r="B995" s="44" t="n"/>
      <c r="C995" s="45" t="n"/>
      <c r="D995" s="50" t="n"/>
      <c r="E995" s="45" t="n"/>
      <c r="F995" s="50" t="n"/>
      <c r="G995" s="47" t="n"/>
      <c r="H995" s="52" t="n"/>
      <c r="I995" s="50" t="n"/>
      <c r="J995" s="53">
        <f t="shared" si="1"/>
      </c>
      <c r="K995" s="49">
        <f t="shared" si="2"/>
      </c>
      <c r="L995" s="2">
        <f t="shared" si="3"/>
      </c>
    </row>
    <row r="996">
      <c r="A996" s="43">
        <f t="shared" si="0"/>
      </c>
      <c r="B996" s="44" t="n"/>
      <c r="C996" s="45" t="n"/>
      <c r="D996" s="50" t="n"/>
      <c r="E996" s="45" t="n"/>
      <c r="F996" s="50" t="n"/>
      <c r="G996" s="47" t="n"/>
      <c r="H996" s="52" t="n"/>
      <c r="I996" s="50" t="n"/>
      <c r="J996" s="53">
        <f t="shared" si="1"/>
      </c>
      <c r="K996" s="49">
        <f t="shared" si="2"/>
      </c>
      <c r="L996" s="2">
        <f t="shared" si="3"/>
      </c>
    </row>
    <row r="997">
      <c r="A997" s="43">
        <f t="shared" si="0"/>
      </c>
      <c r="B997" s="44" t="n"/>
      <c r="C997" s="45" t="n"/>
      <c r="D997" s="50" t="n"/>
      <c r="E997" s="45" t="n"/>
      <c r="F997" s="50" t="n"/>
      <c r="G997" s="47" t="n"/>
      <c r="H997" s="52" t="n"/>
      <c r="I997" s="50" t="n"/>
      <c r="J997" s="53">
        <f t="shared" si="1"/>
      </c>
      <c r="K997" s="49">
        <f t="shared" si="2"/>
      </c>
      <c r="L997" s="2">
        <f t="shared" si="3"/>
      </c>
    </row>
    <row r="998">
      <c r="A998" s="43">
        <f t="shared" si="0"/>
      </c>
      <c r="B998" s="44" t="n"/>
      <c r="C998" s="45" t="n"/>
      <c r="D998" s="50" t="n"/>
      <c r="E998" s="45" t="n"/>
      <c r="F998" s="50" t="n"/>
      <c r="G998" s="47" t="n"/>
      <c r="H998" s="52" t="n"/>
      <c r="I998" s="50" t="n"/>
      <c r="J998" s="53">
        <f t="shared" si="1"/>
      </c>
      <c r="K998" s="49">
        <f t="shared" si="2"/>
      </c>
      <c r="L998" s="2">
        <f t="shared" si="3"/>
      </c>
    </row>
    <row r="999">
      <c r="A999" s="43">
        <f t="shared" si="0"/>
      </c>
      <c r="B999" s="44" t="n"/>
      <c r="C999" s="45" t="n"/>
      <c r="D999" s="50" t="n"/>
      <c r="E999" s="45" t="n"/>
      <c r="F999" s="50" t="n"/>
      <c r="G999" s="47" t="n"/>
      <c r="H999" s="52" t="n"/>
      <c r="I999" s="50" t="n"/>
      <c r="J999" s="53">
        <f t="shared" si="1"/>
      </c>
      <c r="K999" s="49">
        <f t="shared" si="2"/>
      </c>
      <c r="L999" s="2">
        <f t="shared" si="3"/>
      </c>
    </row>
    <row r="1000">
      <c r="A1000" s="43">
        <f t="shared" si="0"/>
      </c>
      <c r="B1000" s="44" t="n"/>
      <c r="C1000" s="45" t="n"/>
      <c r="D1000" s="50" t="n"/>
      <c r="E1000" s="45" t="n"/>
      <c r="F1000" s="50" t="n"/>
      <c r="G1000" s="47" t="n"/>
      <c r="H1000" s="52" t="n"/>
      <c r="I1000" s="50" t="n"/>
      <c r="J1000" s="53">
        <f t="shared" si="1"/>
      </c>
      <c r="K1000" s="49">
        <f t="shared" si="2"/>
      </c>
      <c r="L1000" s="2">
        <f t="shared" si="3"/>
      </c>
    </row>
    <row r="1001">
      <c r="A1001" s="43">
        <f t="shared" si="0"/>
      </c>
      <c r="B1001" s="44" t="n"/>
      <c r="C1001" s="45" t="n"/>
      <c r="D1001" s="50" t="n"/>
      <c r="E1001" s="45" t="n"/>
      <c r="F1001" s="50" t="n"/>
      <c r="G1001" s="47" t="n"/>
      <c r="H1001" s="52" t="n"/>
      <c r="I1001" s="50" t="n"/>
      <c r="J1001" s="53">
        <f t="shared" si="1"/>
      </c>
      <c r="K1001" s="49">
        <f t="shared" si="2"/>
      </c>
      <c r="L1001" s="2">
        <f t="shared" si="3"/>
      </c>
    </row>
    <row r="1002">
      <c r="A1002" s="43">
        <f t="shared" si="0"/>
      </c>
      <c r="B1002" s="44" t="n"/>
      <c r="C1002" s="45" t="n"/>
      <c r="D1002" s="50" t="n"/>
      <c r="E1002" s="45" t="n"/>
      <c r="F1002" s="50" t="n"/>
      <c r="G1002" s="47" t="n"/>
      <c r="H1002" s="52" t="n"/>
      <c r="I1002" s="50" t="n"/>
      <c r="J1002" s="53">
        <f t="shared" si="1"/>
      </c>
      <c r="K1002" s="49">
        <f t="shared" si="2"/>
      </c>
      <c r="L1002" s="2">
        <f t="shared" si="3"/>
      </c>
    </row>
    <row r="1003">
      <c r="A1003" s="43">
        <f t="shared" si="0"/>
      </c>
      <c r="B1003" s="44" t="n"/>
      <c r="C1003" s="45" t="n"/>
      <c r="D1003" s="50" t="n"/>
      <c r="E1003" s="45" t="n"/>
      <c r="F1003" s="50" t="n"/>
      <c r="G1003" s="47" t="n"/>
      <c r="H1003" s="52" t="n"/>
      <c r="I1003" s="50" t="n"/>
      <c r="J1003" s="53">
        <f t="shared" si="1"/>
      </c>
      <c r="K1003" s="49">
        <f t="shared" si="2"/>
      </c>
      <c r="L1003" s="2">
        <f t="shared" si="3"/>
      </c>
    </row>
    <row r="1004">
      <c r="A1004" s="43">
        <f t="shared" si="0"/>
      </c>
      <c r="B1004" s="44" t="n"/>
      <c r="C1004" s="45" t="n"/>
      <c r="D1004" s="50" t="n"/>
      <c r="E1004" s="45" t="n"/>
      <c r="F1004" s="50" t="n"/>
      <c r="G1004" s="47" t="n"/>
      <c r="H1004" s="52" t="n"/>
      <c r="I1004" s="50" t="n"/>
      <c r="J1004" s="53">
        <f t="shared" si="1"/>
      </c>
      <c r="K1004" s="49">
        <f t="shared" si="2"/>
      </c>
      <c r="L1004" s="2">
        <f t="shared" si="3"/>
      </c>
    </row>
  </sheetData>
  <autoFilter ref="A4:K1004"/>
  <mergeCells count="2">
    <mergeCell ref="A2:K2"/>
    <mergeCell ref="A1:K1"/>
  </mergeCells>
  <conditionalFormatting sqref="K5:K1004">
    <cfRule type="expression" priority="1" dxfId="2">
      <formula>LEFT($K5,1)="✗"</formula>
    </cfRule>
    <cfRule type="expression" priority="2" dxfId="3">
      <formula>LEFT($K5,1)="⚠"</formula>
    </cfRule>
    <cfRule type="expression" priority="3" dxfId="4">
      <formula>$K5="√"</formula>
    </cfRule>
  </conditionalFormatting>
  <dataValidations count="4">
    <dataValidation sqref="B5:B1004" showDropDown="0" showInputMessage="0" showErrorMessage="1" allowBlank="1" errorTitle="日期" error="要像 2026/9/1 这样填日期" type="date" errorStyle="warning" operator="between">
      <formula1>36526</formula1>
      <formula2>73050</formula2>
    </dataValidation>
    <dataValidation sqref="C5:C1004" showDropDown="0" showInputMessage="0" showErrorMessage="1" allowBlank="1" errorTitle="不在清单里" error="请从下拉里选；清单里没有的，先到【基础资料】/【往来单位】里登记" type="list" errorStyle="stop">
      <formula1>"材料,分包,机械运输,其他直接费"</formula1>
    </dataValidation>
    <dataValidation sqref="D5:D1004" showDropDown="0" showInputMessage="1" showErrorMessage="0" allowBlank="1" errorTitle="不在清单里" error="请从下拉里选；清单里没有的，先到【基础资料】/【往来单位】里登记" promptTitle="提示" prompt="【往来单位】登记过的" type="list" errorStyle="warning">
      <formula1>=往来单位!$B$4:$B$303</formula1>
    </dataValidation>
    <dataValidation sqref="E5:E1004" showDropDown="0" showInputMessage="0" showErrorMessage="1" allowBlank="1" errorTitle="不在清单里" error="请从下拉里选；清单里没有的，先到【基础资料】/【往来单位】里登记" type="list" errorStyle="stop">
      <formula1>=项目档案!$B$4:$B$63</formula1>
    </dataValidation>
  </dataValidations>
  <hyperlinks>
    <hyperlink ref="L1" location="'首页'!A1" display="← 回首页"/>
  </hyperlinks>
  <pageMargins left="0.3" right="0.3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AI1004"/>
  <sheetViews>
    <sheetView showGridLines="0" tabSelected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.5" customWidth="1" min="2" max="2"/>
    <col width="9" customWidth="1" min="3" max="3"/>
    <col width="12" customWidth="1" min="4" max="4"/>
    <col width="6" customWidth="1" min="5" max="5"/>
    <col width="12" customWidth="1" min="6" max="6"/>
    <col width="6" customWidth="1" min="7" max="7"/>
    <col width="12" customWidth="1" min="8" max="8"/>
    <col width="6" customWidth="1" min="9" max="9"/>
    <col width="12" customWidth="1" min="10" max="10"/>
    <col width="6" customWidth="1" min="11" max="11"/>
    <col width="11" customWidth="1" min="12" max="12"/>
    <col width="8" customWidth="1" min="13" max="13"/>
    <col width="9" customWidth="1" min="14" max="14"/>
    <col width="13.5" customWidth="1" min="15" max="15"/>
    <col width="8" customWidth="1" min="16" max="16"/>
    <col width="14" customWidth="1" min="17" max="17"/>
    <col width="7" customWidth="1" min="18" max="18"/>
    <col width="11" customWidth="1" min="19" max="19"/>
    <col width="6" customWidth="1" min="20" max="20"/>
    <col width="13.5" customWidth="1" min="21" max="21"/>
    <col width="13.5" customWidth="1" min="22" max="22"/>
    <col width="13.5" customWidth="1" min="23" max="23"/>
    <col width="34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</cols>
  <sheetData>
    <row r="1" ht="33" customHeight="1">
      <c r="A1" s="1" t="inlineStr">
        <is>
          <t>考 勤 工 资（每人每月一行 · 项目＋天数成对填 · 单价自动按工资标准查）</t>
        </is>
      </c>
      <c r="Y1" s="33" t="inlineStr">
        <is>
          <t>← 回首页</t>
        </is>
      </c>
    </row>
    <row r="2" ht="70" customHeight="1">
      <c r="A2" s="3" t="inlineStr">
        <is>
          <t>💡 每个月每人一行：月份（这个月任意一天）、姓名，然后「项目1 天数1、项目2 天数2……」在哪个工地干了几天就填几天（半天填 0.5），在公司/办公室干的项目选「公司管理」。一个月跑了 5 个以上工地，同一个人再加一行接着填。删行请清空内容，别删整行。单价自动从【工资标准】查（涨工资在那边加一行，以前的月份不变）；月中涨薪：这个月拆两行，涨薪前的天数那一行在「单价手填」填旧单价。月薪的人（老板、负责人、办公室）：应发＝月薪，在工地干了几天就填那个项目几天、其余填「公司管理」——按天数把工资拆到项目和公司；不填天数＝全部算公司管理费。零星的临时工、点工当场结清的不用录这里，直接在【资金流水】记「临时工工资」、选项目。月薪的人一个月拆成两行（月中涨薪、超过 4 个工地）时，月薪按两行的天数比例分，不会算两遍。发工资不在这里记：在【资金流水】记（类别「工资」），【工资表】自动算已发多少、还欠多少。</t>
        </is>
      </c>
    </row>
    <row r="3"/>
    <row r="4" ht="34" customHeight="1">
      <c r="A4" s="40" t="inlineStr">
        <is>
          <t>序号</t>
        </is>
      </c>
      <c r="B4" s="40" t="inlineStr">
        <is>
          <t>月份</t>
        </is>
      </c>
      <c r="C4" s="40" t="inlineStr">
        <is>
          <t>姓名</t>
        </is>
      </c>
      <c r="D4" s="17" t="inlineStr">
        <is>
          <t>项目1</t>
        </is>
      </c>
      <c r="E4" s="17" t="inlineStr">
        <is>
          <t>天数1</t>
        </is>
      </c>
      <c r="F4" s="17" t="inlineStr">
        <is>
          <t>项目2</t>
        </is>
      </c>
      <c r="G4" s="17" t="inlineStr">
        <is>
          <t>天数2</t>
        </is>
      </c>
      <c r="H4" s="17" t="inlineStr">
        <is>
          <t>项目3</t>
        </is>
      </c>
      <c r="I4" s="17" t="inlineStr">
        <is>
          <t>天数3</t>
        </is>
      </c>
      <c r="J4" s="17" t="inlineStr">
        <is>
          <t>项目4</t>
        </is>
      </c>
      <c r="K4" s="17" t="inlineStr">
        <is>
          <t>天数4</t>
        </is>
      </c>
      <c r="L4" s="42" t="inlineStr">
        <is>
          <t>单价手填
（空＝自动）</t>
        </is>
      </c>
      <c r="M4" s="42" t="inlineStr">
        <is>
          <t>补贴</t>
        </is>
      </c>
      <c r="N4" s="42" t="inlineStr">
        <is>
          <t>其他加减
（±）</t>
        </is>
      </c>
      <c r="O4" s="42" t="inlineStr">
        <is>
          <t>代扣
个税</t>
        </is>
      </c>
      <c r="P4" s="42" t="inlineStr">
        <is>
          <t>代扣
社保</t>
        </is>
      </c>
      <c r="Q4" s="42" t="inlineStr">
        <is>
          <t>备注</t>
        </is>
      </c>
      <c r="R4" s="41" t="inlineStr">
        <is>
          <t>合计
天数</t>
        </is>
      </c>
      <c r="S4" s="41" t="inlineStr">
        <is>
          <t>单价</t>
        </is>
      </c>
      <c r="T4" s="41" t="inlineStr">
        <is>
          <t>计薪</t>
        </is>
      </c>
      <c r="U4" s="41" t="inlineStr">
        <is>
          <t>基本工资</t>
        </is>
      </c>
      <c r="V4" s="41" t="inlineStr">
        <is>
          <t>应发合计</t>
        </is>
      </c>
      <c r="W4" s="41" t="inlineStr">
        <is>
          <t>实发应付
（给他的）</t>
        </is>
      </c>
      <c r="X4" s="41" t="inlineStr">
        <is>
          <t>校验</t>
        </is>
      </c>
      <c r="Y4" s="2" t="inlineStr">
        <is>
          <t>年月</t>
        </is>
      </c>
      <c r="Z4" s="2" t="inlineStr">
        <is>
          <t>生效日</t>
        </is>
      </c>
      <c r="AA4" s="2" t="inlineStr">
        <is>
          <t>标准日薪</t>
        </is>
      </c>
      <c r="AB4" s="2" t="inlineStr">
        <is>
          <t>标准月薪</t>
        </is>
      </c>
      <c r="AC4" s="2" t="inlineStr">
        <is>
          <t>项目1金额</t>
        </is>
      </c>
      <c r="AD4" s="2" t="inlineStr">
        <is>
          <t>项目2金额</t>
        </is>
      </c>
      <c r="AE4" s="2" t="inlineStr">
        <is>
          <t>项目3金额</t>
        </is>
      </c>
      <c r="AF4" s="2" t="inlineStr">
        <is>
          <t>项目4金额</t>
        </is>
      </c>
      <c r="AG4" s="2" t="inlineStr">
        <is>
          <t>公司部分</t>
        </is>
      </c>
      <c r="AH4" s="2" t="inlineStr">
        <is>
          <t>月中调价日</t>
        </is>
      </c>
      <c r="AI4" s="2" t="inlineStr">
        <is>
          <t>人员类型</t>
        </is>
      </c>
    </row>
    <row r="5">
      <c r="A5" s="43">
        <f t="shared" ref="A5:A1004" si="0">IF(AND(B5="",C5=""),"",ROW()-4)</f>
        <v>1</v>
      </c>
      <c r="B5" s="54" t="n">
        <v>46113</v>
      </c>
      <c r="C5" s="45" t="inlineStr">
        <is>
          <t>聂峰</t>
        </is>
      </c>
      <c r="D5" s="50" t="inlineStr">
        <is>
          <t>科创中心</t>
        </is>
      </c>
      <c r="E5" s="55" t="n">
        <v>6</v>
      </c>
      <c r="F5" s="50" t="inlineStr">
        <is>
          <t>邹桥派出所</t>
        </is>
      </c>
      <c r="G5" s="55" t="n">
        <v>18</v>
      </c>
      <c r="H5" s="50" t="n"/>
      <c r="I5" s="55" t="n"/>
      <c r="J5" s="50" t="n"/>
      <c r="K5" s="55" t="n"/>
      <c r="L5" s="56" t="n"/>
      <c r="M5" s="57" t="n"/>
      <c r="N5" s="57" t="n"/>
      <c r="O5" s="57" t="n"/>
      <c r="P5" s="57" t="n"/>
      <c r="Q5" s="50" t="n"/>
      <c r="R5" s="58">
        <f t="shared" ref="R5:R1004" si="1">IF(C5="","",N(E5)+N(G5)+N(I5)+N(K5))</f>
        <v>24</v>
      </c>
      <c r="S5" s="59">
        <f t="shared" ref="S5:S1004" si="2">IF(C5="","",IF(L5&lt;&gt;"",N(L5),IF(T5="月薪",AB5,AA5)))</f>
        <v>500</v>
      </c>
      <c r="T5" s="43" t="str">
        <f t="shared" ref="T5:T1004" si="3">IF(C5="","",IF(AB5&gt;0,"月薪","日薪"))</f>
        <v>日薪</v>
      </c>
      <c r="U5" s="60">
        <f t="shared" ref="U5:U1004" si="4">IF(C5="","",ROUND(IF(T5="月薪",IF(SUMIFS(考勤工资!$R$5:$R$1004,考勤工资!$C$5:$C$1004,C5,考勤工资!$Y$5:$Y$1004,Y5)=0,IF(COUNTIFS($C$5:C5,C5,$Y$5:Y5,Y5)=1,N(S5),0),N(S5)*N(R5)/SUMIFS(考勤工资!$R$5:$R$1004,考勤工资!$C$5:$C$1004,C5,考勤工资!$Y$5:$Y$1004,Y5)),N(R5)*N(S5)),2))</f>
        <v>12000</v>
      </c>
      <c r="V5" s="60">
        <f t="shared" ref="V5:V1004" si="5">IF(C5="","",ROUND(N(U5)+N(M5)+N(N5),2))</f>
        <v>12000</v>
      </c>
      <c r="W5" s="60">
        <f t="shared" ref="W5:W1004" si="6">IF(C5="","",ROUND(N(V5)-N(O5)-N(P5),2))</f>
        <v>12000</v>
      </c>
      <c r="X5" s="49" t="str">
        <f t="shared" ref="X5:X1004" si="7">IF(AND(B5="",C5=""),"",IF(NOT(ISNUMBER(B5)),"✗ 月份要填成日期（这个月任意一天）",IF(C5="","✗ 填姓名",IF(AI5="","✗ 这个人没在【往来单位】登记",IF(AI5="临时工","✗ 临时工现结不走考勤：在【资金流水】记「临时工工资」（要代扣个税的，在往来单位改成「工人」）",IF(AND(AI5&lt;&gt;"工人",AI5&lt;&gt;"管理人员"),"✗ 只有工人、管理人员录考勤（往来单位里的类型）",IF(B5&lt;基础资料!$C$9-DAY(基础资料!$C$9)+1,"✗ 月份早于建账日期",IF(AND(L5="",N(S5)=0),"✗ 【工资标准】里查不到他这个月的单价（工资算成 0）",IF(OR(AND(D5&lt;&gt;"",D5&lt;&gt;"公司管理",COUNTIF(项目档案!$B$4:$B$63,D5)=0),AND(F5&lt;&gt;"",F5&lt;&gt;"公司管理",COUNTIF(项目档案!$B$4:$B$63,F5)=0),AND(H5&lt;&gt;"",H5&lt;&gt;"公司管理",COUNTIF(项目档案!$B$4:$B$63,H5)=0),AND(J5&lt;&gt;"",J5&lt;&gt;"公司管理",COUNTIF(项目档案!$B$4:$B$63,J5)=0)),"✗ 项目不在【项目档案】里",IF(OR(AND(D5="",N(E5)&lt;&gt;0),AND(F5="",N(G5)&lt;&gt;0),AND(H5="",N(I5)&lt;&gt;0),AND(J5="",N(K5)&lt;&gt;0)),"✗ 有天数没选项目",IF(OR(AND(D5&lt;&gt;"",N(E5)=0),AND(F5&lt;&gt;"",N(G5)=0),AND(H5&lt;&gt;"",N(I5)=0),AND(J5&lt;&gt;"",N(K5)=0)),"✗ 选了项目没填天数",IF(AND(T5="日薪",N(R5)=0,N(V5)&lt;&gt;0),"✗ 日薪的人要填天数和项目",IF(OR(AND(D5&lt;&gt;"",D5=F5),AND(D5&lt;&gt;"",D5=H5),AND(D5&lt;&gt;"",D5=J5),AND(F5&lt;&gt;"",F5=H5),AND(F5&lt;&gt;"",F5=J5),AND(H5&lt;&gt;"",H5=J5)),"⚠ 同一个项目填了两次",IF(AND(N(AH5)&gt;0,L5="",COUNTIFS(考勤工资!$C$5:$C$1004,C5,考勤工资!$Y$5:$Y$1004,Y5)=1),"⚠ 本月"&amp;DAY(AH5)&amp;"号调价：拆两行，调价前那行手填旧单价",IF(SUMIFS(考勤工资!$R$5:$R$1004,考勤工资!$C$5:$C$1004,C5,考勤工资!$Y$5:$Y$1004,Y5)&gt;DAY(EOMONTH(B5,0)),"⚠ 这个人这个月天数比当月天数还多","√")))))))))))))))</f>
        <v>√</v>
      </c>
      <c r="Y5" s="2">
        <f t="shared" ref="Y5:Y1004" si="8">IF(ISNUMBER(B5),YEAR(B5)*100+MONTH(B5),"")</f>
        <v>202604</v>
      </c>
      <c r="Z5" s="2">
        <f t="shared" ref="Z5:Z1004" si="9">IF(AND(C5&lt;&gt;"",ISNUMBER(B5)),IF(COUNTIFS(工资标准!$B$4:$B$303,C5,工资标准!$H$4:$H$303,"&gt;0",工资标准!$H$4:$H$303,"&lt;="&amp;EOMONTH(B5,0))=0,0,IFERROR(INDEX(工资标准!$H$4:$H$303,MATCH(C5&amp;"|"&amp;COUNTIFS(工资标准!$B$4:$B$303,C5,工资标准!$H$4:$H$303,"&gt;0",工资标准!$H$4:$H$303,"&lt;="&amp;EOMONTH(B5,0)),工资标准!$I$4:$I$303,0)),0)),0)</f>
        <v>45658</v>
      </c>
      <c r="AA5" s="2">
        <f t="shared" ref="AA5:AA1004" si="10">IF(N(Z5)=0,0,SUMIFS(工资标准!$D$4:$D$303,工资标准!$B$4:$B$303,C5,工资标准!$H$4:$H$303,Z5))</f>
        <v>500</v>
      </c>
      <c r="AB5" s="2">
        <f t="shared" ref="AB5:AB1004" si="11">IF(N(Z5)=0,0,SUMIFS(工资标准!$E$4:$E$303,工资标准!$B$4:$B$303,C5,工资标准!$H$4:$H$303,Z5))</f>
        <v>0</v>
      </c>
      <c r="AC5" s="2">
        <f t="shared" ref="AC5:AC1004" si="12">IF(OR(D5="",N(E5)=0,N(R5)=0),0,ROUND(N(V5)*E5/R5,2))</f>
        <v>3000</v>
      </c>
      <c r="AD5" s="2">
        <f t="shared" ref="AD5:AD1004" si="13">IF(OR(F5="",N(G5)=0,N(R5)=0),0,ROUND(N(V5)*G5/R5,2))</f>
        <v>9000</v>
      </c>
      <c r="AE5" s="2">
        <f t="shared" ref="AE5:AE1004" si="14">IF(OR(H5="",N(I5)=0,N(R5)=0),0,ROUND(N(V5)*I5/R5,2))</f>
        <v>0</v>
      </c>
      <c r="AF5" s="2">
        <f t="shared" ref="AF5:AF1004" si="15">IF(OR(J5="",N(K5)=0,N(R5)=0),0,ROUND(N(V5)*K5/R5,2))</f>
        <v>0</v>
      </c>
      <c r="AG5" s="2">
        <f t="shared" ref="AG5:AG1004" si="16">IF(C5="",0,ROUND(N(V5)-(AC5*(D5&lt;&gt;"公司管理")+AD5*(F5&lt;&gt;"公司管理")+AE5*(H5&lt;&gt;"公司管理")+AF5*(J5&lt;&gt;"公司管理")),2))</f>
        <v>0</v>
      </c>
      <c r="AH5" s="2">
        <f t="shared" ref="AH5:AH1004" si="17">IF(NOT(AND(C5&lt;&gt;"",ISNUMBER(B5))),0,IF(OR(COUNTIFS(工资标准!$B$4:$B$303,C5,工资标准!$H$4:$H$303,"&gt;0",工资标准!$H$4:$H$303,"&lt;="&amp;(B5-DAY(B5)+1))=0,COUNTIFS(工资标准!$B$4:$B$303,C5,工资标准!$H$4:$H$303,"&gt;0",工资标准!$H$4:$H$303,"&lt;="&amp;EOMONTH(B5,0))&lt;=COUNTIFS(工资标准!$B$4:$B$303,C5,工资标准!$H$4:$H$303,"&gt;0",工资标准!$H$4:$H$303,"&lt;="&amp;(B5-DAY(B5)+1))),0,IFERROR(INDEX(工资标准!$H$4:$H$303,MATCH(C5&amp;"|"&amp;COUNTIFS(工资标准!$B$4:$B$303,C5,工资标准!$H$4:$H$303,"&gt;0",工资标准!$H$4:$H$303,"&lt;="&amp;EOMONTH(B5,0)),工资标准!$I$4:$I$303,0)),0)))</f>
        <v>0</v>
      </c>
      <c r="AI5" s="2" t="str">
        <f t="shared" ref="AI5:AI1004" si="18">IF(C5="","",IFERROR(INDEX(往来单位!$C$4:$C$303,MATCH(C5,往来单位!$B$4:$B$303,0))&amp;"",""))</f>
        <v>工人</v>
      </c>
    </row>
    <row r="6">
      <c r="A6" s="43">
        <f t="shared" si="0"/>
        <v>2</v>
      </c>
      <c r="B6" s="54" t="n">
        <v>46113</v>
      </c>
      <c r="C6" s="45" t="inlineStr">
        <is>
          <t>袁斌财</t>
        </is>
      </c>
      <c r="D6" s="50" t="inlineStr">
        <is>
          <t>德安养老中心</t>
        </is>
      </c>
      <c r="E6" s="55" t="n">
        <v>7.67</v>
      </c>
      <c r="F6" s="50" t="inlineStr">
        <is>
          <t>九安架空层</t>
        </is>
      </c>
      <c r="G6" s="55" t="n">
        <v>17</v>
      </c>
      <c r="H6" s="50" t="n"/>
      <c r="I6" s="55" t="n"/>
      <c r="J6" s="50" t="n"/>
      <c r="K6" s="55" t="n"/>
      <c r="L6" s="56" t="n"/>
      <c r="M6" s="57" t="n"/>
      <c r="N6" s="57" t="n"/>
      <c r="O6" s="57" t="n"/>
      <c r="P6" s="57" t="n"/>
      <c r="Q6" s="50" t="n"/>
      <c r="R6" s="58">
        <f t="shared" si="1"/>
        <v>24.67</v>
      </c>
      <c r="S6" s="59">
        <f t="shared" si="2"/>
        <v>330</v>
      </c>
      <c r="T6" s="43" t="str">
        <f t="shared" si="3"/>
        <v>日薪</v>
      </c>
      <c r="U6" s="60">
        <f t="shared" si="4"/>
        <v>8141.1</v>
      </c>
      <c r="V6" s="60">
        <f t="shared" si="5"/>
        <v>8141.1</v>
      </c>
      <c r="W6" s="60">
        <f t="shared" si="6"/>
        <v>8141.1</v>
      </c>
      <c r="X6" s="49" t="str">
        <f t="shared" si="7"/>
        <v>√</v>
      </c>
      <c r="Y6" s="2">
        <f t="shared" si="8"/>
        <v>202604</v>
      </c>
      <c r="Z6" s="2">
        <f t="shared" si="9"/>
        <v>45658</v>
      </c>
      <c r="AA6" s="2">
        <f t="shared" si="10"/>
        <v>330</v>
      </c>
      <c r="AB6" s="2">
        <f t="shared" si="11"/>
        <v>0</v>
      </c>
      <c r="AC6" s="2">
        <f t="shared" si="12"/>
        <v>2531.1</v>
      </c>
      <c r="AD6" s="2">
        <f t="shared" si="13"/>
        <v>5610</v>
      </c>
      <c r="AE6" s="2">
        <f t="shared" si="14"/>
        <v>0</v>
      </c>
      <c r="AF6" s="2">
        <f t="shared" si="15"/>
        <v>0</v>
      </c>
      <c r="AG6" s="2">
        <f t="shared" si="16"/>
        <v>0</v>
      </c>
      <c r="AH6" s="2">
        <f t="shared" si="17"/>
        <v>0</v>
      </c>
      <c r="AI6" s="2" t="str">
        <f t="shared" si="18"/>
        <v>工人</v>
      </c>
    </row>
    <row r="7">
      <c r="A7" s="43">
        <f t="shared" si="0"/>
        <v>3</v>
      </c>
      <c r="B7" s="54" t="n">
        <v>46113</v>
      </c>
      <c r="C7" s="45" t="inlineStr">
        <is>
          <t>胡家新</t>
        </is>
      </c>
      <c r="D7" s="50" t="inlineStr">
        <is>
          <t>德安养老中心</t>
        </is>
      </c>
      <c r="E7" s="55" t="n">
        <v>3</v>
      </c>
      <c r="F7" s="50" t="n"/>
      <c r="G7" s="55" t="n"/>
      <c r="H7" s="50" t="n"/>
      <c r="I7" s="55" t="n"/>
      <c r="J7" s="50" t="n"/>
      <c r="K7" s="55" t="n"/>
      <c r="L7" s="56" t="n"/>
      <c r="M7" s="57" t="n"/>
      <c r="N7" s="57" t="n"/>
      <c r="O7" s="57" t="n"/>
      <c r="P7" s="57" t="n"/>
      <c r="Q7" s="50" t="n"/>
      <c r="R7" s="58">
        <f t="shared" si="1"/>
        <v>3</v>
      </c>
      <c r="S7" s="59">
        <f t="shared" si="2"/>
        <v>270</v>
      </c>
      <c r="T7" s="43" t="str">
        <f t="shared" si="3"/>
        <v>日薪</v>
      </c>
      <c r="U7" s="60">
        <f t="shared" si="4"/>
        <v>810</v>
      </c>
      <c r="V7" s="60">
        <f t="shared" si="5"/>
        <v>810</v>
      </c>
      <c r="W7" s="60">
        <f t="shared" si="6"/>
        <v>810</v>
      </c>
      <c r="X7" s="49" t="str">
        <f t="shared" si="7"/>
        <v>√</v>
      </c>
      <c r="Y7" s="2">
        <f t="shared" si="8"/>
        <v>202604</v>
      </c>
      <c r="Z7" s="2">
        <f t="shared" si="9"/>
        <v>45658</v>
      </c>
      <c r="AA7" s="2">
        <f t="shared" si="10"/>
        <v>270</v>
      </c>
      <c r="AB7" s="2">
        <f t="shared" si="11"/>
        <v>0</v>
      </c>
      <c r="AC7" s="2">
        <f t="shared" si="12"/>
        <v>810</v>
      </c>
      <c r="AD7" s="2">
        <f t="shared" si="13"/>
        <v>0</v>
      </c>
      <c r="AE7" s="2">
        <f t="shared" si="14"/>
        <v>0</v>
      </c>
      <c r="AF7" s="2">
        <f t="shared" si="15"/>
        <v>0</v>
      </c>
      <c r="AG7" s="2">
        <f t="shared" si="16"/>
        <v>0</v>
      </c>
      <c r="AH7" s="2">
        <f t="shared" si="17"/>
        <v>0</v>
      </c>
      <c r="AI7" s="2" t="str">
        <f t="shared" si="18"/>
        <v>工人</v>
      </c>
    </row>
    <row r="8">
      <c r="A8" s="43">
        <f t="shared" si="0"/>
        <v>4</v>
      </c>
      <c r="B8" s="54" t="n">
        <v>46113</v>
      </c>
      <c r="C8" s="45" t="inlineStr">
        <is>
          <t>刘海</t>
        </is>
      </c>
      <c r="D8" s="50" t="inlineStr">
        <is>
          <t>德安养老中心</t>
        </is>
      </c>
      <c r="E8" s="55" t="n">
        <v>3</v>
      </c>
      <c r="F8" s="50" t="n"/>
      <c r="G8" s="55" t="n"/>
      <c r="H8" s="50" t="n"/>
      <c r="I8" s="55" t="n"/>
      <c r="J8" s="50" t="n"/>
      <c r="K8" s="55" t="n"/>
      <c r="L8" s="56" t="n"/>
      <c r="M8" s="57" t="n"/>
      <c r="N8" s="57" t="n"/>
      <c r="O8" s="57" t="n"/>
      <c r="P8" s="57" t="n"/>
      <c r="Q8" s="50" t="n"/>
      <c r="R8" s="58">
        <f t="shared" si="1"/>
        <v>3</v>
      </c>
      <c r="S8" s="59">
        <f t="shared" si="2"/>
        <v>250</v>
      </c>
      <c r="T8" s="43" t="str">
        <f t="shared" si="3"/>
        <v>日薪</v>
      </c>
      <c r="U8" s="60">
        <f t="shared" si="4"/>
        <v>750</v>
      </c>
      <c r="V8" s="60">
        <f t="shared" si="5"/>
        <v>750</v>
      </c>
      <c r="W8" s="60">
        <f t="shared" si="6"/>
        <v>750</v>
      </c>
      <c r="X8" s="49" t="str">
        <f t="shared" si="7"/>
        <v>√</v>
      </c>
      <c r="Y8" s="2">
        <f t="shared" si="8"/>
        <v>202604</v>
      </c>
      <c r="Z8" s="2">
        <f t="shared" si="9"/>
        <v>45658</v>
      </c>
      <c r="AA8" s="2">
        <f t="shared" si="10"/>
        <v>250</v>
      </c>
      <c r="AB8" s="2">
        <f t="shared" si="11"/>
        <v>0</v>
      </c>
      <c r="AC8" s="2">
        <f t="shared" si="12"/>
        <v>750</v>
      </c>
      <c r="AD8" s="2">
        <f t="shared" si="13"/>
        <v>0</v>
      </c>
      <c r="AE8" s="2">
        <f t="shared" si="14"/>
        <v>0</v>
      </c>
      <c r="AF8" s="2">
        <f t="shared" si="15"/>
        <v>0</v>
      </c>
      <c r="AG8" s="2">
        <f t="shared" si="16"/>
        <v>0</v>
      </c>
      <c r="AH8" s="2">
        <f t="shared" si="17"/>
        <v>0</v>
      </c>
      <c r="AI8" s="2" t="str">
        <f t="shared" si="18"/>
        <v>工人</v>
      </c>
    </row>
    <row r="9">
      <c r="A9" s="43">
        <f t="shared" si="0"/>
        <v>5</v>
      </c>
      <c r="B9" s="54" t="n">
        <v>46113</v>
      </c>
      <c r="C9" s="45" t="inlineStr">
        <is>
          <t>程章赐</t>
        </is>
      </c>
      <c r="D9" s="50" t="inlineStr">
        <is>
          <t>德安养老中心</t>
        </is>
      </c>
      <c r="E9" s="55" t="n">
        <v>10</v>
      </c>
      <c r="F9" s="50" t="inlineStr">
        <is>
          <t>科创中心</t>
        </is>
      </c>
      <c r="G9" s="55" t="n">
        <v>0.5</v>
      </c>
      <c r="H9" s="50" t="inlineStr">
        <is>
          <t>邹桥派出所</t>
        </is>
      </c>
      <c r="I9" s="55" t="n">
        <v>4.5</v>
      </c>
      <c r="J9" s="50" t="n"/>
      <c r="K9" s="55" t="n"/>
      <c r="L9" s="56" t="n"/>
      <c r="M9" s="57" t="n"/>
      <c r="N9" s="57" t="n"/>
      <c r="O9" s="57" t="n"/>
      <c r="P9" s="57" t="n"/>
      <c r="Q9" s="50" t="n"/>
      <c r="R9" s="58">
        <f t="shared" si="1"/>
        <v>15</v>
      </c>
      <c r="S9" s="59">
        <f t="shared" si="2"/>
        <v>350</v>
      </c>
      <c r="T9" s="43" t="str">
        <f t="shared" si="3"/>
        <v>日薪</v>
      </c>
      <c r="U9" s="60">
        <f t="shared" si="4"/>
        <v>5250</v>
      </c>
      <c r="V9" s="60">
        <f t="shared" si="5"/>
        <v>5250</v>
      </c>
      <c r="W9" s="60">
        <f t="shared" si="6"/>
        <v>5250</v>
      </c>
      <c r="X9" s="49" t="str">
        <f t="shared" si="7"/>
        <v>√</v>
      </c>
      <c r="Y9" s="2">
        <f t="shared" si="8"/>
        <v>202604</v>
      </c>
      <c r="Z9" s="2">
        <f t="shared" si="9"/>
        <v>45658</v>
      </c>
      <c r="AA9" s="2">
        <f t="shared" si="10"/>
        <v>350</v>
      </c>
      <c r="AB9" s="2">
        <f t="shared" si="11"/>
        <v>0</v>
      </c>
      <c r="AC9" s="2">
        <f t="shared" si="12"/>
        <v>3500</v>
      </c>
      <c r="AD9" s="2">
        <f t="shared" si="13"/>
        <v>175</v>
      </c>
      <c r="AE9" s="2">
        <f t="shared" si="14"/>
        <v>1575</v>
      </c>
      <c r="AF9" s="2">
        <f t="shared" si="15"/>
        <v>0</v>
      </c>
      <c r="AG9" s="2">
        <f t="shared" si="16"/>
        <v>0</v>
      </c>
      <c r="AH9" s="2">
        <f t="shared" si="17"/>
        <v>0</v>
      </c>
      <c r="AI9" s="2" t="str">
        <f t="shared" si="18"/>
        <v>工人</v>
      </c>
    </row>
    <row r="10">
      <c r="A10" s="43">
        <f t="shared" si="0"/>
        <v>6</v>
      </c>
      <c r="B10" s="54" t="n">
        <v>46113</v>
      </c>
      <c r="C10" s="45" t="inlineStr">
        <is>
          <t>程章材</t>
        </is>
      </c>
      <c r="D10" s="50" t="inlineStr">
        <is>
          <t>德安养老中心</t>
        </is>
      </c>
      <c r="E10" s="55" t="n">
        <v>7</v>
      </c>
      <c r="F10" s="50" t="inlineStr">
        <is>
          <t>科创中心</t>
        </is>
      </c>
      <c r="G10" s="55" t="n">
        <v>0.5</v>
      </c>
      <c r="H10" s="50" t="inlineStr">
        <is>
          <t>邹桥派出所</t>
        </is>
      </c>
      <c r="I10" s="55" t="n">
        <v>4.5</v>
      </c>
      <c r="J10" s="50" t="n"/>
      <c r="K10" s="55" t="n"/>
      <c r="L10" s="56" t="n"/>
      <c r="M10" s="57" t="n"/>
      <c r="N10" s="57" t="n"/>
      <c r="O10" s="57" t="n"/>
      <c r="P10" s="57" t="n"/>
      <c r="Q10" s="50" t="n"/>
      <c r="R10" s="58">
        <f t="shared" si="1"/>
        <v>12</v>
      </c>
      <c r="S10" s="59">
        <f t="shared" si="2"/>
        <v>200</v>
      </c>
      <c r="T10" s="43" t="str">
        <f t="shared" si="3"/>
        <v>日薪</v>
      </c>
      <c r="U10" s="60">
        <f t="shared" si="4"/>
        <v>2400</v>
      </c>
      <c r="V10" s="60">
        <f t="shared" si="5"/>
        <v>2400</v>
      </c>
      <c r="W10" s="60">
        <f t="shared" si="6"/>
        <v>2400</v>
      </c>
      <c r="X10" s="49" t="str">
        <f t="shared" si="7"/>
        <v>√</v>
      </c>
      <c r="Y10" s="2">
        <f t="shared" si="8"/>
        <v>202604</v>
      </c>
      <c r="Z10" s="2">
        <f t="shared" si="9"/>
        <v>45658</v>
      </c>
      <c r="AA10" s="2">
        <f t="shared" si="10"/>
        <v>200</v>
      </c>
      <c r="AB10" s="2">
        <f t="shared" si="11"/>
        <v>0</v>
      </c>
      <c r="AC10" s="2">
        <f t="shared" si="12"/>
        <v>1400</v>
      </c>
      <c r="AD10" s="2">
        <f t="shared" si="13"/>
        <v>100</v>
      </c>
      <c r="AE10" s="2">
        <f t="shared" si="14"/>
        <v>900</v>
      </c>
      <c r="AF10" s="2">
        <f t="shared" si="15"/>
        <v>0</v>
      </c>
      <c r="AG10" s="2">
        <f t="shared" si="16"/>
        <v>0</v>
      </c>
      <c r="AH10" s="2">
        <f t="shared" si="17"/>
        <v>0</v>
      </c>
      <c r="AI10" s="2" t="str">
        <f t="shared" si="18"/>
        <v>工人</v>
      </c>
    </row>
    <row r="11">
      <c r="A11" s="43">
        <f t="shared" si="0"/>
        <v>7</v>
      </c>
      <c r="B11" s="54" t="n">
        <v>46113</v>
      </c>
      <c r="C11" s="45" t="inlineStr">
        <is>
          <t>叶炳南</t>
        </is>
      </c>
      <c r="D11" s="50" t="inlineStr">
        <is>
          <t>德安养老中心</t>
        </is>
      </c>
      <c r="E11" s="55" t="n">
        <v>25.78</v>
      </c>
      <c r="F11" s="50" t="n"/>
      <c r="G11" s="55" t="n"/>
      <c r="H11" s="50" t="n"/>
      <c r="I11" s="55" t="n"/>
      <c r="J11" s="50" t="n"/>
      <c r="K11" s="55" t="n"/>
      <c r="L11" s="56" t="n"/>
      <c r="M11" s="57" t="n"/>
      <c r="N11" s="57" t="n"/>
      <c r="O11" s="57" t="n"/>
      <c r="P11" s="57" t="n"/>
      <c r="Q11" s="50" t="n"/>
      <c r="R11" s="58">
        <f t="shared" si="1"/>
        <v>25.78</v>
      </c>
      <c r="S11" s="59">
        <f t="shared" si="2"/>
        <v>330</v>
      </c>
      <c r="T11" s="43" t="str">
        <f t="shared" si="3"/>
        <v>日薪</v>
      </c>
      <c r="U11" s="60">
        <f t="shared" si="4"/>
        <v>8507.4</v>
      </c>
      <c r="V11" s="60">
        <f t="shared" si="5"/>
        <v>8507.4</v>
      </c>
      <c r="W11" s="60">
        <f t="shared" si="6"/>
        <v>8507.4</v>
      </c>
      <c r="X11" s="49" t="str">
        <f t="shared" si="7"/>
        <v>√</v>
      </c>
      <c r="Y11" s="2">
        <f t="shared" si="8"/>
        <v>202604</v>
      </c>
      <c r="Z11" s="2">
        <f t="shared" si="9"/>
        <v>45658</v>
      </c>
      <c r="AA11" s="2">
        <f t="shared" si="10"/>
        <v>330</v>
      </c>
      <c r="AB11" s="2">
        <f t="shared" si="11"/>
        <v>0</v>
      </c>
      <c r="AC11" s="2">
        <f t="shared" si="12"/>
        <v>8507.4</v>
      </c>
      <c r="AD11" s="2">
        <f t="shared" si="13"/>
        <v>0</v>
      </c>
      <c r="AE11" s="2">
        <f t="shared" si="14"/>
        <v>0</v>
      </c>
      <c r="AF11" s="2">
        <f t="shared" si="15"/>
        <v>0</v>
      </c>
      <c r="AG11" s="2">
        <f t="shared" si="16"/>
        <v>0</v>
      </c>
      <c r="AH11" s="2">
        <f t="shared" si="17"/>
        <v>0</v>
      </c>
      <c r="AI11" s="2" t="str">
        <f t="shared" si="18"/>
        <v>工人</v>
      </c>
    </row>
    <row r="12">
      <c r="A12" s="43">
        <f t="shared" si="0"/>
        <v>8</v>
      </c>
      <c r="B12" s="54" t="n">
        <v>46113</v>
      </c>
      <c r="C12" s="45" t="inlineStr">
        <is>
          <t>万焕和</t>
        </is>
      </c>
      <c r="D12" s="50" t="inlineStr">
        <is>
          <t>德安养老中心</t>
        </is>
      </c>
      <c r="E12" s="55" t="n">
        <v>3</v>
      </c>
      <c r="F12" s="50" t="n"/>
      <c r="G12" s="55" t="n"/>
      <c r="H12" s="50" t="n"/>
      <c r="I12" s="55" t="n"/>
      <c r="J12" s="50" t="n"/>
      <c r="K12" s="55" t="n"/>
      <c r="L12" s="56" t="n"/>
      <c r="M12" s="57" t="n"/>
      <c r="N12" s="57" t="n"/>
      <c r="O12" s="57" t="n"/>
      <c r="P12" s="57" t="n"/>
      <c r="Q12" s="50" t="n"/>
      <c r="R12" s="58">
        <f t="shared" si="1"/>
        <v>3</v>
      </c>
      <c r="S12" s="59">
        <f t="shared" si="2"/>
        <v>320</v>
      </c>
      <c r="T12" s="43" t="str">
        <f t="shared" si="3"/>
        <v>日薪</v>
      </c>
      <c r="U12" s="60">
        <f t="shared" si="4"/>
        <v>960</v>
      </c>
      <c r="V12" s="60">
        <f t="shared" si="5"/>
        <v>960</v>
      </c>
      <c r="W12" s="60">
        <f t="shared" si="6"/>
        <v>960</v>
      </c>
      <c r="X12" s="49" t="str">
        <f t="shared" si="7"/>
        <v>√</v>
      </c>
      <c r="Y12" s="2">
        <f t="shared" si="8"/>
        <v>202604</v>
      </c>
      <c r="Z12" s="2">
        <f t="shared" si="9"/>
        <v>45658</v>
      </c>
      <c r="AA12" s="2">
        <f t="shared" si="10"/>
        <v>320</v>
      </c>
      <c r="AB12" s="2">
        <f t="shared" si="11"/>
        <v>0</v>
      </c>
      <c r="AC12" s="2">
        <f t="shared" si="12"/>
        <v>960</v>
      </c>
      <c r="AD12" s="2">
        <f t="shared" si="13"/>
        <v>0</v>
      </c>
      <c r="AE12" s="2">
        <f t="shared" si="14"/>
        <v>0</v>
      </c>
      <c r="AF12" s="2">
        <f t="shared" si="15"/>
        <v>0</v>
      </c>
      <c r="AG12" s="2">
        <f t="shared" si="16"/>
        <v>0</v>
      </c>
      <c r="AH12" s="2">
        <f t="shared" si="17"/>
        <v>0</v>
      </c>
      <c r="AI12" s="2" t="str">
        <f t="shared" si="18"/>
        <v>工人</v>
      </c>
    </row>
    <row r="13">
      <c r="A13" s="43">
        <f t="shared" si="0"/>
        <v>9</v>
      </c>
      <c r="B13" s="54" t="n">
        <v>46113</v>
      </c>
      <c r="C13" s="45" t="inlineStr">
        <is>
          <t>邓泽贵</t>
        </is>
      </c>
      <c r="D13" s="50" t="inlineStr">
        <is>
          <t>德安养老中心</t>
        </is>
      </c>
      <c r="E13" s="55" t="n">
        <v>26.78</v>
      </c>
      <c r="F13" s="50" t="n"/>
      <c r="G13" s="55" t="n"/>
      <c r="H13" s="50" t="n"/>
      <c r="I13" s="55" t="n"/>
      <c r="J13" s="50" t="n"/>
      <c r="K13" s="55" t="n"/>
      <c r="L13" s="56" t="n"/>
      <c r="M13" s="57" t="n"/>
      <c r="N13" s="57" t="n"/>
      <c r="O13" s="57" t="n"/>
      <c r="P13" s="57" t="n"/>
      <c r="Q13" s="50" t="n"/>
      <c r="R13" s="58">
        <f t="shared" si="1"/>
        <v>26.78</v>
      </c>
      <c r="S13" s="59">
        <f t="shared" si="2"/>
        <v>350</v>
      </c>
      <c r="T13" s="43" t="str">
        <f t="shared" si="3"/>
        <v>日薪</v>
      </c>
      <c r="U13" s="60">
        <f t="shared" si="4"/>
        <v>9373</v>
      </c>
      <c r="V13" s="60">
        <f t="shared" si="5"/>
        <v>9373</v>
      </c>
      <c r="W13" s="60">
        <f t="shared" si="6"/>
        <v>9373</v>
      </c>
      <c r="X13" s="49" t="str">
        <f t="shared" si="7"/>
        <v>√</v>
      </c>
      <c r="Y13" s="2">
        <f t="shared" si="8"/>
        <v>202604</v>
      </c>
      <c r="Z13" s="2">
        <f t="shared" si="9"/>
        <v>45658</v>
      </c>
      <c r="AA13" s="2">
        <f t="shared" si="10"/>
        <v>350</v>
      </c>
      <c r="AB13" s="2">
        <f t="shared" si="11"/>
        <v>0</v>
      </c>
      <c r="AC13" s="2">
        <f t="shared" si="12"/>
        <v>9373</v>
      </c>
      <c r="AD13" s="2">
        <f t="shared" si="13"/>
        <v>0</v>
      </c>
      <c r="AE13" s="2">
        <f t="shared" si="14"/>
        <v>0</v>
      </c>
      <c r="AF13" s="2">
        <f t="shared" si="15"/>
        <v>0</v>
      </c>
      <c r="AG13" s="2">
        <f t="shared" si="16"/>
        <v>0</v>
      </c>
      <c r="AH13" s="2">
        <f t="shared" si="17"/>
        <v>0</v>
      </c>
      <c r="AI13" s="2" t="str">
        <f t="shared" si="18"/>
        <v>工人</v>
      </c>
    </row>
    <row r="14">
      <c r="A14" s="43">
        <f t="shared" si="0"/>
        <v>10</v>
      </c>
      <c r="B14" s="54" t="n">
        <v>46113</v>
      </c>
      <c r="C14" s="45" t="inlineStr">
        <is>
          <t>吴长友</t>
        </is>
      </c>
      <c r="D14" s="50" t="inlineStr">
        <is>
          <t>德安养老中心</t>
        </is>
      </c>
      <c r="E14" s="55" t="n">
        <v>14.28</v>
      </c>
      <c r="F14" s="50" t="n"/>
      <c r="G14" s="55" t="n"/>
      <c r="H14" s="50" t="n"/>
      <c r="I14" s="55" t="n"/>
      <c r="J14" s="50" t="n"/>
      <c r="K14" s="55" t="n"/>
      <c r="L14" s="56" t="n"/>
      <c r="M14" s="57" t="n"/>
      <c r="N14" s="57" t="n"/>
      <c r="O14" s="57" t="n"/>
      <c r="P14" s="57" t="n"/>
      <c r="Q14" s="50" t="n"/>
      <c r="R14" s="58">
        <f t="shared" si="1"/>
        <v>14.28</v>
      </c>
      <c r="S14" s="59">
        <f t="shared" si="2"/>
        <v>330</v>
      </c>
      <c r="T14" s="43" t="str">
        <f t="shared" si="3"/>
        <v>日薪</v>
      </c>
      <c r="U14" s="60">
        <f t="shared" si="4"/>
        <v>4712.4</v>
      </c>
      <c r="V14" s="60">
        <f t="shared" si="5"/>
        <v>4712.4</v>
      </c>
      <c r="W14" s="60">
        <f t="shared" si="6"/>
        <v>4712.4</v>
      </c>
      <c r="X14" s="49" t="str">
        <f t="shared" si="7"/>
        <v>√</v>
      </c>
      <c r="Y14" s="2">
        <f t="shared" si="8"/>
        <v>202604</v>
      </c>
      <c r="Z14" s="2">
        <f t="shared" si="9"/>
        <v>45658</v>
      </c>
      <c r="AA14" s="2">
        <f t="shared" si="10"/>
        <v>330</v>
      </c>
      <c r="AB14" s="2">
        <f t="shared" si="11"/>
        <v>0</v>
      </c>
      <c r="AC14" s="2">
        <f t="shared" si="12"/>
        <v>4712.4</v>
      </c>
      <c r="AD14" s="2">
        <f t="shared" si="13"/>
        <v>0</v>
      </c>
      <c r="AE14" s="2">
        <f t="shared" si="14"/>
        <v>0</v>
      </c>
      <c r="AF14" s="2">
        <f t="shared" si="15"/>
        <v>0</v>
      </c>
      <c r="AG14" s="2">
        <f t="shared" si="16"/>
        <v>0</v>
      </c>
      <c r="AH14" s="2">
        <f t="shared" si="17"/>
        <v>0</v>
      </c>
      <c r="AI14" s="2" t="str">
        <f t="shared" si="18"/>
        <v>工人</v>
      </c>
    </row>
    <row r="15">
      <c r="A15" s="43">
        <f t="shared" si="0"/>
        <v>11</v>
      </c>
      <c r="B15" s="54" t="n">
        <v>46113</v>
      </c>
      <c r="C15" s="45" t="inlineStr">
        <is>
          <t>闵清林</t>
        </is>
      </c>
      <c r="D15" s="50" t="inlineStr">
        <is>
          <t>德安养老中心</t>
        </is>
      </c>
      <c r="E15" s="55" t="n">
        <v>13.5</v>
      </c>
      <c r="F15" s="50" t="n"/>
      <c r="G15" s="55" t="n"/>
      <c r="H15" s="50" t="n"/>
      <c r="I15" s="55" t="n"/>
      <c r="J15" s="50" t="n"/>
      <c r="K15" s="55" t="n"/>
      <c r="L15" s="56" t="n"/>
      <c r="M15" s="57" t="n"/>
      <c r="N15" s="57" t="n"/>
      <c r="O15" s="57" t="n"/>
      <c r="P15" s="57" t="n"/>
      <c r="Q15" s="50" t="n"/>
      <c r="R15" s="58">
        <f t="shared" si="1"/>
        <v>13.5</v>
      </c>
      <c r="S15" s="59">
        <f t="shared" si="2"/>
        <v>300</v>
      </c>
      <c r="T15" s="43" t="str">
        <f t="shared" si="3"/>
        <v>日薪</v>
      </c>
      <c r="U15" s="60">
        <f t="shared" si="4"/>
        <v>4050</v>
      </c>
      <c r="V15" s="60">
        <f t="shared" si="5"/>
        <v>4050</v>
      </c>
      <c r="W15" s="60">
        <f t="shared" si="6"/>
        <v>4050</v>
      </c>
      <c r="X15" s="49" t="str">
        <f t="shared" si="7"/>
        <v>√</v>
      </c>
      <c r="Y15" s="2">
        <f t="shared" si="8"/>
        <v>202604</v>
      </c>
      <c r="Z15" s="2">
        <f t="shared" si="9"/>
        <v>45658</v>
      </c>
      <c r="AA15" s="2">
        <f t="shared" si="10"/>
        <v>300</v>
      </c>
      <c r="AB15" s="2">
        <f t="shared" si="11"/>
        <v>0</v>
      </c>
      <c r="AC15" s="2">
        <f t="shared" si="12"/>
        <v>4050</v>
      </c>
      <c r="AD15" s="2">
        <f t="shared" si="13"/>
        <v>0</v>
      </c>
      <c r="AE15" s="2">
        <f t="shared" si="14"/>
        <v>0</v>
      </c>
      <c r="AF15" s="2">
        <f t="shared" si="15"/>
        <v>0</v>
      </c>
      <c r="AG15" s="2">
        <f t="shared" si="16"/>
        <v>0</v>
      </c>
      <c r="AH15" s="2">
        <f t="shared" si="17"/>
        <v>0</v>
      </c>
      <c r="AI15" s="2" t="str">
        <f t="shared" si="18"/>
        <v>工人</v>
      </c>
    </row>
    <row r="16">
      <c r="A16" s="43">
        <f t="shared" si="0"/>
        <v>12</v>
      </c>
      <c r="B16" s="54" t="n">
        <v>46113</v>
      </c>
      <c r="C16" s="45" t="inlineStr">
        <is>
          <t>徐从国</t>
        </is>
      </c>
      <c r="D16" s="50" t="inlineStr">
        <is>
          <t>德安养老中心</t>
        </is>
      </c>
      <c r="E16" s="55" t="n">
        <v>24.5</v>
      </c>
      <c r="F16" s="50" t="n"/>
      <c r="G16" s="55" t="n"/>
      <c r="H16" s="50" t="n"/>
      <c r="I16" s="55" t="n"/>
      <c r="J16" s="50" t="n"/>
      <c r="K16" s="55" t="n"/>
      <c r="L16" s="56" t="n"/>
      <c r="M16" s="57" t="n"/>
      <c r="N16" s="57" t="n"/>
      <c r="O16" s="57" t="n"/>
      <c r="P16" s="57" t="n"/>
      <c r="Q16" s="50" t="n"/>
      <c r="R16" s="58">
        <f t="shared" si="1"/>
        <v>24.5</v>
      </c>
      <c r="S16" s="59">
        <f t="shared" si="2"/>
        <v>280</v>
      </c>
      <c r="T16" s="43" t="str">
        <f t="shared" si="3"/>
        <v>日薪</v>
      </c>
      <c r="U16" s="60">
        <f t="shared" si="4"/>
        <v>6860</v>
      </c>
      <c r="V16" s="60">
        <f t="shared" si="5"/>
        <v>6860</v>
      </c>
      <c r="W16" s="60">
        <f t="shared" si="6"/>
        <v>6860</v>
      </c>
      <c r="X16" s="49" t="str">
        <f t="shared" si="7"/>
        <v>√</v>
      </c>
      <c r="Y16" s="2">
        <f t="shared" si="8"/>
        <v>202604</v>
      </c>
      <c r="Z16" s="2">
        <f t="shared" si="9"/>
        <v>45658</v>
      </c>
      <c r="AA16" s="2">
        <f t="shared" si="10"/>
        <v>280</v>
      </c>
      <c r="AB16" s="2">
        <f t="shared" si="11"/>
        <v>0</v>
      </c>
      <c r="AC16" s="2">
        <f t="shared" si="12"/>
        <v>6860</v>
      </c>
      <c r="AD16" s="2">
        <f t="shared" si="13"/>
        <v>0</v>
      </c>
      <c r="AE16" s="2">
        <f t="shared" si="14"/>
        <v>0</v>
      </c>
      <c r="AF16" s="2">
        <f t="shared" si="15"/>
        <v>0</v>
      </c>
      <c r="AG16" s="2">
        <f t="shared" si="16"/>
        <v>0</v>
      </c>
      <c r="AH16" s="2">
        <f t="shared" si="17"/>
        <v>0</v>
      </c>
      <c r="AI16" s="2" t="str">
        <f t="shared" si="18"/>
        <v>工人</v>
      </c>
    </row>
    <row r="17">
      <c r="A17" s="43">
        <f t="shared" si="0"/>
        <v>13</v>
      </c>
      <c r="B17" s="54" t="n">
        <v>46113</v>
      </c>
      <c r="C17" s="45" t="inlineStr">
        <is>
          <t>梅秀刚</t>
        </is>
      </c>
      <c r="D17" s="50" t="inlineStr">
        <is>
          <t>德安养老中心</t>
        </is>
      </c>
      <c r="E17" s="55" t="n">
        <v>11.5</v>
      </c>
      <c r="F17" s="50" t="n"/>
      <c r="G17" s="55" t="n"/>
      <c r="H17" s="50" t="n"/>
      <c r="I17" s="55" t="n"/>
      <c r="J17" s="50" t="n"/>
      <c r="K17" s="55" t="n"/>
      <c r="L17" s="56" t="n"/>
      <c r="M17" s="57" t="n"/>
      <c r="N17" s="57" t="n"/>
      <c r="O17" s="57" t="n"/>
      <c r="P17" s="57" t="n"/>
      <c r="Q17" s="50" t="n"/>
      <c r="R17" s="58">
        <f t="shared" si="1"/>
        <v>11.5</v>
      </c>
      <c r="S17" s="59">
        <f t="shared" si="2"/>
        <v>340</v>
      </c>
      <c r="T17" s="43" t="str">
        <f t="shared" si="3"/>
        <v>日薪</v>
      </c>
      <c r="U17" s="60">
        <f t="shared" si="4"/>
        <v>3910</v>
      </c>
      <c r="V17" s="60">
        <f t="shared" si="5"/>
        <v>3910</v>
      </c>
      <c r="W17" s="60">
        <f t="shared" si="6"/>
        <v>3910</v>
      </c>
      <c r="X17" s="49" t="str">
        <f t="shared" si="7"/>
        <v>√</v>
      </c>
      <c r="Y17" s="2">
        <f t="shared" si="8"/>
        <v>202604</v>
      </c>
      <c r="Z17" s="2">
        <f t="shared" si="9"/>
        <v>45658</v>
      </c>
      <c r="AA17" s="2">
        <f t="shared" si="10"/>
        <v>340</v>
      </c>
      <c r="AB17" s="2">
        <f t="shared" si="11"/>
        <v>0</v>
      </c>
      <c r="AC17" s="2">
        <f t="shared" si="12"/>
        <v>3910</v>
      </c>
      <c r="AD17" s="2">
        <f t="shared" si="13"/>
        <v>0</v>
      </c>
      <c r="AE17" s="2">
        <f t="shared" si="14"/>
        <v>0</v>
      </c>
      <c r="AF17" s="2">
        <f t="shared" si="15"/>
        <v>0</v>
      </c>
      <c r="AG17" s="2">
        <f t="shared" si="16"/>
        <v>0</v>
      </c>
      <c r="AH17" s="2">
        <f t="shared" si="17"/>
        <v>0</v>
      </c>
      <c r="AI17" s="2" t="str">
        <f t="shared" si="18"/>
        <v>工人</v>
      </c>
    </row>
    <row r="18">
      <c r="A18" s="43">
        <f t="shared" si="0"/>
        <v>14</v>
      </c>
      <c r="B18" s="54" t="n">
        <v>46113</v>
      </c>
      <c r="C18" s="45" t="inlineStr">
        <is>
          <t>金南水</t>
        </is>
      </c>
      <c r="D18" s="50" t="inlineStr">
        <is>
          <t>德安养老中心</t>
        </is>
      </c>
      <c r="E18" s="55" t="n">
        <v>24.5</v>
      </c>
      <c r="F18" s="50" t="n"/>
      <c r="G18" s="55" t="n"/>
      <c r="H18" s="50" t="n"/>
      <c r="I18" s="55" t="n"/>
      <c r="J18" s="50" t="n"/>
      <c r="K18" s="55" t="n"/>
      <c r="L18" s="56" t="n"/>
      <c r="M18" s="57" t="n"/>
      <c r="N18" s="57" t="n"/>
      <c r="O18" s="57" t="n"/>
      <c r="P18" s="57" t="n"/>
      <c r="Q18" s="50" t="n"/>
      <c r="R18" s="58">
        <f t="shared" si="1"/>
        <v>24.5</v>
      </c>
      <c r="S18" s="59">
        <f t="shared" si="2"/>
        <v>290</v>
      </c>
      <c r="T18" s="43" t="str">
        <f t="shared" si="3"/>
        <v>日薪</v>
      </c>
      <c r="U18" s="60">
        <f t="shared" si="4"/>
        <v>7105</v>
      </c>
      <c r="V18" s="60">
        <f t="shared" si="5"/>
        <v>7105</v>
      </c>
      <c r="W18" s="60">
        <f t="shared" si="6"/>
        <v>7105</v>
      </c>
      <c r="X18" s="49" t="str">
        <f t="shared" si="7"/>
        <v>√</v>
      </c>
      <c r="Y18" s="2">
        <f t="shared" si="8"/>
        <v>202604</v>
      </c>
      <c r="Z18" s="2">
        <f t="shared" si="9"/>
        <v>45658</v>
      </c>
      <c r="AA18" s="2">
        <f t="shared" si="10"/>
        <v>290</v>
      </c>
      <c r="AB18" s="2">
        <f t="shared" si="11"/>
        <v>0</v>
      </c>
      <c r="AC18" s="2">
        <f t="shared" si="12"/>
        <v>7105</v>
      </c>
      <c r="AD18" s="2">
        <f t="shared" si="13"/>
        <v>0</v>
      </c>
      <c r="AE18" s="2">
        <f t="shared" si="14"/>
        <v>0</v>
      </c>
      <c r="AF18" s="2">
        <f t="shared" si="15"/>
        <v>0</v>
      </c>
      <c r="AG18" s="2">
        <f t="shared" si="16"/>
        <v>0</v>
      </c>
      <c r="AH18" s="2">
        <f t="shared" si="17"/>
        <v>0</v>
      </c>
      <c r="AI18" s="2" t="str">
        <f t="shared" si="18"/>
        <v>工人</v>
      </c>
    </row>
    <row r="19">
      <c r="A19" s="43">
        <f t="shared" si="0"/>
        <v>15</v>
      </c>
      <c r="B19" s="54" t="n">
        <v>46113</v>
      </c>
      <c r="C19" s="45" t="inlineStr">
        <is>
          <t>金李平</t>
        </is>
      </c>
      <c r="D19" s="50" t="inlineStr">
        <is>
          <t>德安养老中心</t>
        </is>
      </c>
      <c r="E19" s="55" t="n">
        <v>14.28</v>
      </c>
      <c r="F19" s="50" t="n"/>
      <c r="G19" s="55" t="n"/>
      <c r="H19" s="50" t="n"/>
      <c r="I19" s="55" t="n"/>
      <c r="J19" s="50" t="n"/>
      <c r="K19" s="55" t="n"/>
      <c r="L19" s="56" t="n"/>
      <c r="M19" s="57" t="n"/>
      <c r="N19" s="57" t="n"/>
      <c r="O19" s="57" t="n"/>
      <c r="P19" s="57" t="n"/>
      <c r="Q19" s="50" t="n"/>
      <c r="R19" s="58">
        <f t="shared" si="1"/>
        <v>14.28</v>
      </c>
      <c r="S19" s="59">
        <f t="shared" si="2"/>
        <v>270</v>
      </c>
      <c r="T19" s="43" t="str">
        <f t="shared" si="3"/>
        <v>日薪</v>
      </c>
      <c r="U19" s="60">
        <f t="shared" si="4"/>
        <v>3855.6</v>
      </c>
      <c r="V19" s="60">
        <f t="shared" si="5"/>
        <v>3855.6</v>
      </c>
      <c r="W19" s="60">
        <f t="shared" si="6"/>
        <v>3855.6</v>
      </c>
      <c r="X19" s="49" t="str">
        <f t="shared" si="7"/>
        <v>√</v>
      </c>
      <c r="Y19" s="2">
        <f t="shared" si="8"/>
        <v>202604</v>
      </c>
      <c r="Z19" s="2">
        <f t="shared" si="9"/>
        <v>45658</v>
      </c>
      <c r="AA19" s="2">
        <f t="shared" si="10"/>
        <v>270</v>
      </c>
      <c r="AB19" s="2">
        <f t="shared" si="11"/>
        <v>0</v>
      </c>
      <c r="AC19" s="2">
        <f t="shared" si="12"/>
        <v>3855.6</v>
      </c>
      <c r="AD19" s="2">
        <f t="shared" si="13"/>
        <v>0</v>
      </c>
      <c r="AE19" s="2">
        <f t="shared" si="14"/>
        <v>0</v>
      </c>
      <c r="AF19" s="2">
        <f t="shared" si="15"/>
        <v>0</v>
      </c>
      <c r="AG19" s="2">
        <f t="shared" si="16"/>
        <v>0</v>
      </c>
      <c r="AH19" s="2">
        <f t="shared" si="17"/>
        <v>0</v>
      </c>
      <c r="AI19" s="2" t="str">
        <f t="shared" si="18"/>
        <v>工人</v>
      </c>
    </row>
    <row r="20">
      <c r="A20" s="43">
        <f t="shared" si="0"/>
        <v>16</v>
      </c>
      <c r="B20" s="54" t="n">
        <v>46113</v>
      </c>
      <c r="C20" s="45" t="inlineStr">
        <is>
          <t>杨明定</t>
        </is>
      </c>
      <c r="D20" s="50" t="inlineStr">
        <is>
          <t>德安养老中心</t>
        </is>
      </c>
      <c r="E20" s="55" t="n">
        <v>13.28</v>
      </c>
      <c r="F20" s="50" t="n"/>
      <c r="G20" s="55" t="n"/>
      <c r="H20" s="50" t="n"/>
      <c r="I20" s="55" t="n"/>
      <c r="J20" s="50" t="n"/>
      <c r="K20" s="55" t="n"/>
      <c r="L20" s="56" t="n"/>
      <c r="M20" s="57" t="n"/>
      <c r="N20" s="57" t="n"/>
      <c r="O20" s="57" t="n"/>
      <c r="P20" s="57" t="n"/>
      <c r="Q20" s="50" t="n"/>
      <c r="R20" s="58">
        <f t="shared" si="1"/>
        <v>13.28</v>
      </c>
      <c r="S20" s="59">
        <f t="shared" si="2"/>
        <v>310</v>
      </c>
      <c r="T20" s="43" t="str">
        <f t="shared" si="3"/>
        <v>日薪</v>
      </c>
      <c r="U20" s="60">
        <f t="shared" si="4"/>
        <v>4116.8</v>
      </c>
      <c r="V20" s="60">
        <f t="shared" si="5"/>
        <v>4116.8</v>
      </c>
      <c r="W20" s="60">
        <f t="shared" si="6"/>
        <v>4116.8</v>
      </c>
      <c r="X20" s="49" t="str">
        <f t="shared" si="7"/>
        <v>√</v>
      </c>
      <c r="Y20" s="2">
        <f t="shared" si="8"/>
        <v>202604</v>
      </c>
      <c r="Z20" s="2">
        <f t="shared" si="9"/>
        <v>45658</v>
      </c>
      <c r="AA20" s="2">
        <f t="shared" si="10"/>
        <v>310</v>
      </c>
      <c r="AB20" s="2">
        <f t="shared" si="11"/>
        <v>0</v>
      </c>
      <c r="AC20" s="2">
        <f t="shared" si="12"/>
        <v>4116.8</v>
      </c>
      <c r="AD20" s="2">
        <f t="shared" si="13"/>
        <v>0</v>
      </c>
      <c r="AE20" s="2">
        <f t="shared" si="14"/>
        <v>0</v>
      </c>
      <c r="AF20" s="2">
        <f t="shared" si="15"/>
        <v>0</v>
      </c>
      <c r="AG20" s="2">
        <f t="shared" si="16"/>
        <v>0</v>
      </c>
      <c r="AH20" s="2">
        <f t="shared" si="17"/>
        <v>0</v>
      </c>
      <c r="AI20" s="2" t="str">
        <f t="shared" si="18"/>
        <v>工人</v>
      </c>
    </row>
    <row r="21">
      <c r="A21" s="43">
        <f t="shared" si="0"/>
        <v>17</v>
      </c>
      <c r="B21" s="54" t="n">
        <v>46113</v>
      </c>
      <c r="C21" s="45" t="inlineStr">
        <is>
          <t>王兴蛟</t>
        </is>
      </c>
      <c r="D21" s="50" t="inlineStr">
        <is>
          <t>德安养老中心</t>
        </is>
      </c>
      <c r="E21" s="55" t="n">
        <v>22.78</v>
      </c>
      <c r="F21" s="50" t="n"/>
      <c r="G21" s="55" t="n"/>
      <c r="H21" s="50" t="n"/>
      <c r="I21" s="55" t="n"/>
      <c r="J21" s="50" t="n"/>
      <c r="K21" s="55" t="n"/>
      <c r="L21" s="56" t="n"/>
      <c r="M21" s="57" t="n"/>
      <c r="N21" s="57" t="n"/>
      <c r="O21" s="57" t="n"/>
      <c r="P21" s="57" t="n"/>
      <c r="Q21" s="50" t="n"/>
      <c r="R21" s="58">
        <f t="shared" si="1"/>
        <v>22.78</v>
      </c>
      <c r="S21" s="59">
        <f t="shared" si="2"/>
        <v>320</v>
      </c>
      <c r="T21" s="43" t="str">
        <f t="shared" si="3"/>
        <v>日薪</v>
      </c>
      <c r="U21" s="60">
        <f t="shared" si="4"/>
        <v>7289.6</v>
      </c>
      <c r="V21" s="60">
        <f t="shared" si="5"/>
        <v>7289.6</v>
      </c>
      <c r="W21" s="60">
        <f t="shared" si="6"/>
        <v>7289.6</v>
      </c>
      <c r="X21" s="49" t="str">
        <f t="shared" si="7"/>
        <v>√</v>
      </c>
      <c r="Y21" s="2">
        <f t="shared" si="8"/>
        <v>202604</v>
      </c>
      <c r="Z21" s="2">
        <f t="shared" si="9"/>
        <v>45658</v>
      </c>
      <c r="AA21" s="2">
        <f t="shared" si="10"/>
        <v>320</v>
      </c>
      <c r="AB21" s="2">
        <f t="shared" si="11"/>
        <v>0</v>
      </c>
      <c r="AC21" s="2">
        <f t="shared" si="12"/>
        <v>7289.6</v>
      </c>
      <c r="AD21" s="2">
        <f t="shared" si="13"/>
        <v>0</v>
      </c>
      <c r="AE21" s="2">
        <f t="shared" si="14"/>
        <v>0</v>
      </c>
      <c r="AF21" s="2">
        <f t="shared" si="15"/>
        <v>0</v>
      </c>
      <c r="AG21" s="2">
        <f t="shared" si="16"/>
        <v>0</v>
      </c>
      <c r="AH21" s="2">
        <f t="shared" si="17"/>
        <v>0</v>
      </c>
      <c r="AI21" s="2" t="str">
        <f t="shared" si="18"/>
        <v>工人</v>
      </c>
    </row>
    <row r="22">
      <c r="A22" s="43">
        <f t="shared" si="0"/>
        <v>18</v>
      </c>
      <c r="B22" s="54" t="n">
        <v>46113</v>
      </c>
      <c r="C22" s="45" t="inlineStr">
        <is>
          <t>高征坤</t>
        </is>
      </c>
      <c r="D22" s="50" t="inlineStr">
        <is>
          <t>德安养老中心</t>
        </is>
      </c>
      <c r="E22" s="55" t="n">
        <v>13</v>
      </c>
      <c r="F22" s="50" t="n"/>
      <c r="G22" s="55" t="n"/>
      <c r="H22" s="50" t="n"/>
      <c r="I22" s="55" t="n"/>
      <c r="J22" s="50" t="n"/>
      <c r="K22" s="55" t="n"/>
      <c r="L22" s="56" t="n"/>
      <c r="M22" s="57" t="n"/>
      <c r="N22" s="57" t="n"/>
      <c r="O22" s="57" t="n"/>
      <c r="P22" s="57" t="n"/>
      <c r="Q22" s="50" t="n"/>
      <c r="R22" s="58">
        <f t="shared" si="1"/>
        <v>13</v>
      </c>
      <c r="S22" s="59">
        <f t="shared" si="2"/>
        <v>290</v>
      </c>
      <c r="T22" s="43" t="str">
        <f t="shared" si="3"/>
        <v>日薪</v>
      </c>
      <c r="U22" s="60">
        <f t="shared" si="4"/>
        <v>3770</v>
      </c>
      <c r="V22" s="60">
        <f t="shared" si="5"/>
        <v>3770</v>
      </c>
      <c r="W22" s="60">
        <f t="shared" si="6"/>
        <v>3770</v>
      </c>
      <c r="X22" s="49" t="str">
        <f t="shared" si="7"/>
        <v>√</v>
      </c>
      <c r="Y22" s="2">
        <f t="shared" si="8"/>
        <v>202604</v>
      </c>
      <c r="Z22" s="2">
        <f t="shared" si="9"/>
        <v>45658</v>
      </c>
      <c r="AA22" s="2">
        <f t="shared" si="10"/>
        <v>290</v>
      </c>
      <c r="AB22" s="2">
        <f t="shared" si="11"/>
        <v>0</v>
      </c>
      <c r="AC22" s="2">
        <f t="shared" si="12"/>
        <v>3770</v>
      </c>
      <c r="AD22" s="2">
        <f t="shared" si="13"/>
        <v>0</v>
      </c>
      <c r="AE22" s="2">
        <f t="shared" si="14"/>
        <v>0</v>
      </c>
      <c r="AF22" s="2">
        <f t="shared" si="15"/>
        <v>0</v>
      </c>
      <c r="AG22" s="2">
        <f t="shared" si="16"/>
        <v>0</v>
      </c>
      <c r="AH22" s="2">
        <f t="shared" si="17"/>
        <v>0</v>
      </c>
      <c r="AI22" s="2" t="str">
        <f t="shared" si="18"/>
        <v>工人</v>
      </c>
    </row>
    <row r="23">
      <c r="A23" s="43">
        <f t="shared" si="0"/>
        <v>19</v>
      </c>
      <c r="B23" s="54" t="n">
        <v>46113</v>
      </c>
      <c r="C23" s="45" t="inlineStr">
        <is>
          <t>张亮亮</t>
        </is>
      </c>
      <c r="D23" s="50" t="inlineStr">
        <is>
          <t>德安养老中心</t>
        </is>
      </c>
      <c r="E23" s="55" t="n">
        <v>3</v>
      </c>
      <c r="F23" s="50" t="inlineStr">
        <is>
          <t>邹桥派出所</t>
        </is>
      </c>
      <c r="G23" s="55" t="n">
        <v>11</v>
      </c>
      <c r="H23" s="50" t="n"/>
      <c r="I23" s="55" t="n"/>
      <c r="J23" s="50" t="n"/>
      <c r="K23" s="55" t="n"/>
      <c r="L23" s="56" t="n"/>
      <c r="M23" s="57" t="n"/>
      <c r="N23" s="57" t="n"/>
      <c r="O23" s="57" t="n"/>
      <c r="P23" s="57" t="n"/>
      <c r="Q23" s="50" t="n"/>
      <c r="R23" s="58">
        <f t="shared" si="1"/>
        <v>14</v>
      </c>
      <c r="S23" s="59">
        <f t="shared" si="2"/>
        <v>390</v>
      </c>
      <c r="T23" s="43" t="str">
        <f t="shared" si="3"/>
        <v>日薪</v>
      </c>
      <c r="U23" s="60">
        <f t="shared" si="4"/>
        <v>5460</v>
      </c>
      <c r="V23" s="60">
        <f t="shared" si="5"/>
        <v>5460</v>
      </c>
      <c r="W23" s="60">
        <f t="shared" si="6"/>
        <v>5460</v>
      </c>
      <c r="X23" s="49" t="str">
        <f t="shared" si="7"/>
        <v>√</v>
      </c>
      <c r="Y23" s="2">
        <f t="shared" si="8"/>
        <v>202604</v>
      </c>
      <c r="Z23" s="2">
        <f t="shared" si="9"/>
        <v>45658</v>
      </c>
      <c r="AA23" s="2">
        <f t="shared" si="10"/>
        <v>390</v>
      </c>
      <c r="AB23" s="2">
        <f t="shared" si="11"/>
        <v>0</v>
      </c>
      <c r="AC23" s="2">
        <f t="shared" si="12"/>
        <v>1170</v>
      </c>
      <c r="AD23" s="2">
        <f t="shared" si="13"/>
        <v>4290</v>
      </c>
      <c r="AE23" s="2">
        <f t="shared" si="14"/>
        <v>0</v>
      </c>
      <c r="AF23" s="2">
        <f t="shared" si="15"/>
        <v>0</v>
      </c>
      <c r="AG23" s="2">
        <f t="shared" si="16"/>
        <v>0</v>
      </c>
      <c r="AH23" s="2">
        <f t="shared" si="17"/>
        <v>0</v>
      </c>
      <c r="AI23" s="2" t="str">
        <f t="shared" si="18"/>
        <v>工人</v>
      </c>
    </row>
    <row r="24">
      <c r="A24" s="43">
        <f t="shared" si="0"/>
        <v>20</v>
      </c>
      <c r="B24" s="54" t="n">
        <v>46113</v>
      </c>
      <c r="C24" s="45" t="inlineStr">
        <is>
          <t>成峰</t>
        </is>
      </c>
      <c r="D24" s="50" t="inlineStr">
        <is>
          <t>德安养老中心</t>
        </is>
      </c>
      <c r="E24" s="55" t="n">
        <v>3</v>
      </c>
      <c r="F24" s="50" t="n"/>
      <c r="G24" s="55" t="n"/>
      <c r="H24" s="50" t="n"/>
      <c r="I24" s="55" t="n"/>
      <c r="J24" s="50" t="n"/>
      <c r="K24" s="55" t="n"/>
      <c r="L24" s="56" t="n"/>
      <c r="M24" s="57" t="n"/>
      <c r="N24" s="57" t="n"/>
      <c r="O24" s="57" t="n"/>
      <c r="P24" s="57" t="n"/>
      <c r="Q24" s="50" t="n"/>
      <c r="R24" s="58">
        <f t="shared" si="1"/>
        <v>3</v>
      </c>
      <c r="S24" s="59">
        <f t="shared" si="2"/>
        <v>370</v>
      </c>
      <c r="T24" s="43" t="str">
        <f t="shared" si="3"/>
        <v>日薪</v>
      </c>
      <c r="U24" s="60">
        <f t="shared" si="4"/>
        <v>1110</v>
      </c>
      <c r="V24" s="60">
        <f t="shared" si="5"/>
        <v>1110</v>
      </c>
      <c r="W24" s="60">
        <f t="shared" si="6"/>
        <v>1110</v>
      </c>
      <c r="X24" s="49" t="str">
        <f t="shared" si="7"/>
        <v>√</v>
      </c>
      <c r="Y24" s="2">
        <f t="shared" si="8"/>
        <v>202604</v>
      </c>
      <c r="Z24" s="2">
        <f t="shared" si="9"/>
        <v>45658</v>
      </c>
      <c r="AA24" s="2">
        <f t="shared" si="10"/>
        <v>370</v>
      </c>
      <c r="AB24" s="2">
        <f t="shared" si="11"/>
        <v>0</v>
      </c>
      <c r="AC24" s="2">
        <f t="shared" si="12"/>
        <v>1110</v>
      </c>
      <c r="AD24" s="2">
        <f t="shared" si="13"/>
        <v>0</v>
      </c>
      <c r="AE24" s="2">
        <f t="shared" si="14"/>
        <v>0</v>
      </c>
      <c r="AF24" s="2">
        <f t="shared" si="15"/>
        <v>0</v>
      </c>
      <c r="AG24" s="2">
        <f t="shared" si="16"/>
        <v>0</v>
      </c>
      <c r="AH24" s="2">
        <f t="shared" si="17"/>
        <v>0</v>
      </c>
      <c r="AI24" s="2" t="str">
        <f t="shared" si="18"/>
        <v>工人</v>
      </c>
    </row>
    <row r="25">
      <c r="A25" s="43">
        <f t="shared" si="0"/>
        <v>21</v>
      </c>
      <c r="B25" s="54" t="n">
        <v>46113</v>
      </c>
      <c r="C25" s="45" t="inlineStr">
        <is>
          <t>何正新</t>
        </is>
      </c>
      <c r="D25" s="50" t="inlineStr">
        <is>
          <t>德安养老中心</t>
        </is>
      </c>
      <c r="E25" s="55" t="n">
        <v>3</v>
      </c>
      <c r="F25" s="50" t="n"/>
      <c r="G25" s="55" t="n"/>
      <c r="H25" s="50" t="n"/>
      <c r="I25" s="55" t="n"/>
      <c r="J25" s="50" t="n"/>
      <c r="K25" s="55" t="n"/>
      <c r="L25" s="56" t="n"/>
      <c r="M25" s="57" t="n"/>
      <c r="N25" s="57" t="n"/>
      <c r="O25" s="57" t="n"/>
      <c r="P25" s="57" t="n"/>
      <c r="Q25" s="50" t="n"/>
      <c r="R25" s="58">
        <f t="shared" si="1"/>
        <v>3</v>
      </c>
      <c r="S25" s="59">
        <f t="shared" si="2"/>
        <v>320</v>
      </c>
      <c r="T25" s="43" t="str">
        <f t="shared" si="3"/>
        <v>日薪</v>
      </c>
      <c r="U25" s="60">
        <f t="shared" si="4"/>
        <v>960</v>
      </c>
      <c r="V25" s="60">
        <f t="shared" si="5"/>
        <v>960</v>
      </c>
      <c r="W25" s="60">
        <f t="shared" si="6"/>
        <v>960</v>
      </c>
      <c r="X25" s="49" t="str">
        <f t="shared" si="7"/>
        <v>√</v>
      </c>
      <c r="Y25" s="2">
        <f t="shared" si="8"/>
        <v>202604</v>
      </c>
      <c r="Z25" s="2">
        <f t="shared" si="9"/>
        <v>45658</v>
      </c>
      <c r="AA25" s="2">
        <f t="shared" si="10"/>
        <v>320</v>
      </c>
      <c r="AB25" s="2">
        <f t="shared" si="11"/>
        <v>0</v>
      </c>
      <c r="AC25" s="2">
        <f t="shared" si="12"/>
        <v>960</v>
      </c>
      <c r="AD25" s="2">
        <f t="shared" si="13"/>
        <v>0</v>
      </c>
      <c r="AE25" s="2">
        <f t="shared" si="14"/>
        <v>0</v>
      </c>
      <c r="AF25" s="2">
        <f t="shared" si="15"/>
        <v>0</v>
      </c>
      <c r="AG25" s="2">
        <f t="shared" si="16"/>
        <v>0</v>
      </c>
      <c r="AH25" s="2">
        <f t="shared" si="17"/>
        <v>0</v>
      </c>
      <c r="AI25" s="2" t="str">
        <f t="shared" si="18"/>
        <v>工人</v>
      </c>
    </row>
    <row r="26">
      <c r="A26" s="43">
        <f t="shared" si="0"/>
        <v>22</v>
      </c>
      <c r="B26" s="54" t="n">
        <v>46113</v>
      </c>
      <c r="C26" s="45" t="inlineStr">
        <is>
          <t>吴志刚</t>
        </is>
      </c>
      <c r="D26" s="50" t="inlineStr">
        <is>
          <t>德安养老中心</t>
        </is>
      </c>
      <c r="E26" s="55" t="n">
        <v>26.28</v>
      </c>
      <c r="F26" s="50" t="n"/>
      <c r="G26" s="55" t="n"/>
      <c r="H26" s="50" t="n"/>
      <c r="I26" s="55" t="n"/>
      <c r="J26" s="50" t="n"/>
      <c r="K26" s="55" t="n"/>
      <c r="L26" s="56" t="n"/>
      <c r="M26" s="57" t="n"/>
      <c r="N26" s="57" t="n"/>
      <c r="O26" s="57" t="n"/>
      <c r="P26" s="57" t="n"/>
      <c r="Q26" s="50" t="n"/>
      <c r="R26" s="58">
        <f t="shared" si="1"/>
        <v>26.28</v>
      </c>
      <c r="S26" s="59">
        <f t="shared" si="2"/>
        <v>350</v>
      </c>
      <c r="T26" s="43" t="str">
        <f t="shared" si="3"/>
        <v>日薪</v>
      </c>
      <c r="U26" s="60">
        <f t="shared" si="4"/>
        <v>9198</v>
      </c>
      <c r="V26" s="60">
        <f t="shared" si="5"/>
        <v>9198</v>
      </c>
      <c r="W26" s="60">
        <f t="shared" si="6"/>
        <v>9198</v>
      </c>
      <c r="X26" s="49" t="str">
        <f t="shared" si="7"/>
        <v>√</v>
      </c>
      <c r="Y26" s="2">
        <f t="shared" si="8"/>
        <v>202604</v>
      </c>
      <c r="Z26" s="2">
        <f t="shared" si="9"/>
        <v>45658</v>
      </c>
      <c r="AA26" s="2">
        <f t="shared" si="10"/>
        <v>350</v>
      </c>
      <c r="AB26" s="2">
        <f t="shared" si="11"/>
        <v>0</v>
      </c>
      <c r="AC26" s="2">
        <f t="shared" si="12"/>
        <v>9198</v>
      </c>
      <c r="AD26" s="2">
        <f t="shared" si="13"/>
        <v>0</v>
      </c>
      <c r="AE26" s="2">
        <f t="shared" si="14"/>
        <v>0</v>
      </c>
      <c r="AF26" s="2">
        <f t="shared" si="15"/>
        <v>0</v>
      </c>
      <c r="AG26" s="2">
        <f t="shared" si="16"/>
        <v>0</v>
      </c>
      <c r="AH26" s="2">
        <f t="shared" si="17"/>
        <v>0</v>
      </c>
      <c r="AI26" s="2" t="str">
        <f t="shared" si="18"/>
        <v>工人</v>
      </c>
    </row>
    <row r="27">
      <c r="A27" s="43">
        <f t="shared" si="0"/>
        <v>23</v>
      </c>
      <c r="B27" s="54" t="n">
        <v>46113</v>
      </c>
      <c r="C27" s="45" t="inlineStr">
        <is>
          <t>张小友</t>
        </is>
      </c>
      <c r="D27" s="50" t="inlineStr">
        <is>
          <t>德安养老中心</t>
        </is>
      </c>
      <c r="E27" s="55" t="n">
        <v>3</v>
      </c>
      <c r="F27" s="50" t="inlineStr">
        <is>
          <t>邹桥派出所</t>
        </is>
      </c>
      <c r="G27" s="55" t="n">
        <v>11</v>
      </c>
      <c r="H27" s="50" t="n"/>
      <c r="I27" s="55" t="n"/>
      <c r="J27" s="50" t="n"/>
      <c r="K27" s="55" t="n"/>
      <c r="L27" s="56" t="n"/>
      <c r="M27" s="57" t="n"/>
      <c r="N27" s="57" t="n"/>
      <c r="O27" s="57" t="n"/>
      <c r="P27" s="57" t="n"/>
      <c r="Q27" s="50" t="n"/>
      <c r="R27" s="58">
        <f t="shared" si="1"/>
        <v>14</v>
      </c>
      <c r="S27" s="59">
        <f t="shared" si="2"/>
        <v>370</v>
      </c>
      <c r="T27" s="43" t="str">
        <f t="shared" si="3"/>
        <v>日薪</v>
      </c>
      <c r="U27" s="60">
        <f t="shared" si="4"/>
        <v>5180</v>
      </c>
      <c r="V27" s="60">
        <f t="shared" si="5"/>
        <v>5180</v>
      </c>
      <c r="W27" s="60">
        <f t="shared" si="6"/>
        <v>5180</v>
      </c>
      <c r="X27" s="49" t="str">
        <f t="shared" si="7"/>
        <v>√</v>
      </c>
      <c r="Y27" s="2">
        <f t="shared" si="8"/>
        <v>202604</v>
      </c>
      <c r="Z27" s="2">
        <f t="shared" si="9"/>
        <v>45658</v>
      </c>
      <c r="AA27" s="2">
        <f t="shared" si="10"/>
        <v>370</v>
      </c>
      <c r="AB27" s="2">
        <f t="shared" si="11"/>
        <v>0</v>
      </c>
      <c r="AC27" s="2">
        <f t="shared" si="12"/>
        <v>1110</v>
      </c>
      <c r="AD27" s="2">
        <f t="shared" si="13"/>
        <v>4070</v>
      </c>
      <c r="AE27" s="2">
        <f t="shared" si="14"/>
        <v>0</v>
      </c>
      <c r="AF27" s="2">
        <f t="shared" si="15"/>
        <v>0</v>
      </c>
      <c r="AG27" s="2">
        <f t="shared" si="16"/>
        <v>0</v>
      </c>
      <c r="AH27" s="2">
        <f t="shared" si="17"/>
        <v>0</v>
      </c>
      <c r="AI27" s="2" t="str">
        <f t="shared" si="18"/>
        <v>工人</v>
      </c>
    </row>
    <row r="28">
      <c r="A28" s="43">
        <f t="shared" si="0"/>
        <v>24</v>
      </c>
      <c r="B28" s="54" t="n">
        <v>46113</v>
      </c>
      <c r="C28" s="45" t="inlineStr">
        <is>
          <t>曹买生</t>
        </is>
      </c>
      <c r="D28" s="50" t="inlineStr">
        <is>
          <t>德安养老中心</t>
        </is>
      </c>
      <c r="E28" s="55" t="n">
        <v>3</v>
      </c>
      <c r="F28" s="50" t="n"/>
      <c r="G28" s="55" t="n"/>
      <c r="H28" s="50" t="n"/>
      <c r="I28" s="55" t="n"/>
      <c r="J28" s="50" t="n"/>
      <c r="K28" s="55" t="n"/>
      <c r="L28" s="56" t="n"/>
      <c r="M28" s="57" t="n"/>
      <c r="N28" s="57" t="n"/>
      <c r="O28" s="57" t="n"/>
      <c r="P28" s="57" t="n"/>
      <c r="Q28" s="50" t="n"/>
      <c r="R28" s="58">
        <f t="shared" si="1"/>
        <v>3</v>
      </c>
      <c r="S28" s="59">
        <f t="shared" si="2"/>
        <v>360</v>
      </c>
      <c r="T28" s="43" t="str">
        <f t="shared" si="3"/>
        <v>日薪</v>
      </c>
      <c r="U28" s="60">
        <f t="shared" si="4"/>
        <v>1080</v>
      </c>
      <c r="V28" s="60">
        <f t="shared" si="5"/>
        <v>1080</v>
      </c>
      <c r="W28" s="60">
        <f t="shared" si="6"/>
        <v>1080</v>
      </c>
      <c r="X28" s="49" t="str">
        <f t="shared" si="7"/>
        <v>√</v>
      </c>
      <c r="Y28" s="2">
        <f t="shared" si="8"/>
        <v>202604</v>
      </c>
      <c r="Z28" s="2">
        <f t="shared" si="9"/>
        <v>45658</v>
      </c>
      <c r="AA28" s="2">
        <f t="shared" si="10"/>
        <v>360</v>
      </c>
      <c r="AB28" s="2">
        <f t="shared" si="11"/>
        <v>0</v>
      </c>
      <c r="AC28" s="2">
        <f t="shared" si="12"/>
        <v>1080</v>
      </c>
      <c r="AD28" s="2">
        <f t="shared" si="13"/>
        <v>0</v>
      </c>
      <c r="AE28" s="2">
        <f t="shared" si="14"/>
        <v>0</v>
      </c>
      <c r="AF28" s="2">
        <f t="shared" si="15"/>
        <v>0</v>
      </c>
      <c r="AG28" s="2">
        <f t="shared" si="16"/>
        <v>0</v>
      </c>
      <c r="AH28" s="2">
        <f t="shared" si="17"/>
        <v>0</v>
      </c>
      <c r="AI28" s="2" t="str">
        <f t="shared" si="18"/>
        <v>工人</v>
      </c>
    </row>
    <row r="29">
      <c r="A29" s="43">
        <f t="shared" si="0"/>
        <v>25</v>
      </c>
      <c r="B29" s="54" t="n">
        <v>46113</v>
      </c>
      <c r="C29" s="45" t="inlineStr">
        <is>
          <t>刘桂水</t>
        </is>
      </c>
      <c r="D29" s="50" t="inlineStr">
        <is>
          <t>德安养老中心</t>
        </is>
      </c>
      <c r="E29" s="55" t="n">
        <v>3</v>
      </c>
      <c r="F29" s="50" t="n"/>
      <c r="G29" s="55" t="n"/>
      <c r="H29" s="50" t="n"/>
      <c r="I29" s="55" t="n"/>
      <c r="J29" s="50" t="n"/>
      <c r="K29" s="55" t="n"/>
      <c r="L29" s="56" t="n"/>
      <c r="M29" s="57" t="n"/>
      <c r="N29" s="57" t="n"/>
      <c r="O29" s="57" t="n"/>
      <c r="P29" s="57" t="n"/>
      <c r="Q29" s="50" t="n"/>
      <c r="R29" s="58">
        <f t="shared" si="1"/>
        <v>3</v>
      </c>
      <c r="S29" s="59">
        <f t="shared" si="2"/>
        <v>270</v>
      </c>
      <c r="T29" s="43" t="str">
        <f t="shared" si="3"/>
        <v>日薪</v>
      </c>
      <c r="U29" s="60">
        <f t="shared" si="4"/>
        <v>810</v>
      </c>
      <c r="V29" s="60">
        <f t="shared" si="5"/>
        <v>810</v>
      </c>
      <c r="W29" s="60">
        <f t="shared" si="6"/>
        <v>810</v>
      </c>
      <c r="X29" s="49" t="str">
        <f t="shared" si="7"/>
        <v>√</v>
      </c>
      <c r="Y29" s="2">
        <f t="shared" si="8"/>
        <v>202604</v>
      </c>
      <c r="Z29" s="2">
        <f t="shared" si="9"/>
        <v>45658</v>
      </c>
      <c r="AA29" s="2">
        <f t="shared" si="10"/>
        <v>270</v>
      </c>
      <c r="AB29" s="2">
        <f t="shared" si="11"/>
        <v>0</v>
      </c>
      <c r="AC29" s="2">
        <f t="shared" si="12"/>
        <v>810</v>
      </c>
      <c r="AD29" s="2">
        <f t="shared" si="13"/>
        <v>0</v>
      </c>
      <c r="AE29" s="2">
        <f t="shared" si="14"/>
        <v>0</v>
      </c>
      <c r="AF29" s="2">
        <f t="shared" si="15"/>
        <v>0</v>
      </c>
      <c r="AG29" s="2">
        <f t="shared" si="16"/>
        <v>0</v>
      </c>
      <c r="AH29" s="2">
        <f t="shared" si="17"/>
        <v>0</v>
      </c>
      <c r="AI29" s="2" t="str">
        <f t="shared" si="18"/>
        <v>工人</v>
      </c>
    </row>
    <row r="30">
      <c r="A30" s="43">
        <f t="shared" si="0"/>
        <v>26</v>
      </c>
      <c r="B30" s="54" t="n">
        <v>46113</v>
      </c>
      <c r="C30" s="45" t="inlineStr">
        <is>
          <t>张小朋</t>
        </is>
      </c>
      <c r="D30" s="50" t="inlineStr">
        <is>
          <t>邹桥派出所</t>
        </is>
      </c>
      <c r="E30" s="55" t="n">
        <v>11</v>
      </c>
      <c r="F30" s="50" t="n"/>
      <c r="G30" s="55" t="n"/>
      <c r="H30" s="50" t="n"/>
      <c r="I30" s="55" t="n"/>
      <c r="J30" s="50" t="n"/>
      <c r="K30" s="55" t="n"/>
      <c r="L30" s="56" t="n"/>
      <c r="M30" s="57" t="n"/>
      <c r="N30" s="57" t="n"/>
      <c r="O30" s="57" t="n"/>
      <c r="P30" s="57" t="n"/>
      <c r="Q30" s="50" t="n"/>
      <c r="R30" s="58">
        <f t="shared" si="1"/>
        <v>11</v>
      </c>
      <c r="S30" s="59">
        <f t="shared" si="2"/>
        <v>400</v>
      </c>
      <c r="T30" s="43" t="str">
        <f t="shared" si="3"/>
        <v>日薪</v>
      </c>
      <c r="U30" s="60">
        <f t="shared" si="4"/>
        <v>4400</v>
      </c>
      <c r="V30" s="60">
        <f t="shared" si="5"/>
        <v>4400</v>
      </c>
      <c r="W30" s="60">
        <f t="shared" si="6"/>
        <v>4400</v>
      </c>
      <c r="X30" s="49" t="str">
        <f t="shared" si="7"/>
        <v>√</v>
      </c>
      <c r="Y30" s="2">
        <f t="shared" si="8"/>
        <v>202604</v>
      </c>
      <c r="Z30" s="2">
        <f t="shared" si="9"/>
        <v>45658</v>
      </c>
      <c r="AA30" s="2">
        <f t="shared" si="10"/>
        <v>400</v>
      </c>
      <c r="AB30" s="2">
        <f t="shared" si="11"/>
        <v>0</v>
      </c>
      <c r="AC30" s="2">
        <f t="shared" si="12"/>
        <v>4400</v>
      </c>
      <c r="AD30" s="2">
        <f t="shared" si="13"/>
        <v>0</v>
      </c>
      <c r="AE30" s="2">
        <f t="shared" si="14"/>
        <v>0</v>
      </c>
      <c r="AF30" s="2">
        <f t="shared" si="15"/>
        <v>0</v>
      </c>
      <c r="AG30" s="2">
        <f t="shared" si="16"/>
        <v>0</v>
      </c>
      <c r="AH30" s="2">
        <f t="shared" si="17"/>
        <v>0</v>
      </c>
      <c r="AI30" s="2" t="str">
        <f t="shared" si="18"/>
        <v>工人</v>
      </c>
    </row>
    <row r="31">
      <c r="A31" s="43">
        <f t="shared" si="0"/>
        <v>27</v>
      </c>
      <c r="B31" s="54" t="n">
        <v>46113</v>
      </c>
      <c r="C31" s="45" t="inlineStr">
        <is>
          <t>叶焰平</t>
        </is>
      </c>
      <c r="D31" s="50" t="inlineStr">
        <is>
          <t>德安养老中心</t>
        </is>
      </c>
      <c r="E31" s="55" t="n">
        <v>29</v>
      </c>
      <c r="F31" s="50" t="n"/>
      <c r="G31" s="55" t="n"/>
      <c r="H31" s="50" t="n"/>
      <c r="I31" s="55" t="n"/>
      <c r="J31" s="50" t="n"/>
      <c r="K31" s="55" t="n"/>
      <c r="L31" s="56" t="n"/>
      <c r="M31" s="57" t="n"/>
      <c r="N31" s="57" t="n"/>
      <c r="O31" s="57" t="n"/>
      <c r="P31" s="57" t="n"/>
      <c r="Q31" s="50" t="n"/>
      <c r="R31" s="58">
        <f t="shared" si="1"/>
        <v>29</v>
      </c>
      <c r="S31" s="59">
        <f t="shared" si="2"/>
        <v>500</v>
      </c>
      <c r="T31" s="43" t="str">
        <f t="shared" si="3"/>
        <v>日薪</v>
      </c>
      <c r="U31" s="60">
        <f t="shared" si="4"/>
        <v>14500</v>
      </c>
      <c r="V31" s="60">
        <f t="shared" si="5"/>
        <v>14500</v>
      </c>
      <c r="W31" s="60">
        <f t="shared" si="6"/>
        <v>14500</v>
      </c>
      <c r="X31" s="49" t="str">
        <f t="shared" si="7"/>
        <v>√</v>
      </c>
      <c r="Y31" s="2">
        <f t="shared" si="8"/>
        <v>202604</v>
      </c>
      <c r="Z31" s="2">
        <f t="shared" si="9"/>
        <v>45658</v>
      </c>
      <c r="AA31" s="2">
        <f t="shared" si="10"/>
        <v>500</v>
      </c>
      <c r="AB31" s="2">
        <f t="shared" si="11"/>
        <v>0</v>
      </c>
      <c r="AC31" s="2">
        <f t="shared" si="12"/>
        <v>14500</v>
      </c>
      <c r="AD31" s="2">
        <f t="shared" si="13"/>
        <v>0</v>
      </c>
      <c r="AE31" s="2">
        <f t="shared" si="14"/>
        <v>0</v>
      </c>
      <c r="AF31" s="2">
        <f t="shared" si="15"/>
        <v>0</v>
      </c>
      <c r="AG31" s="2">
        <f t="shared" si="16"/>
        <v>0</v>
      </c>
      <c r="AH31" s="2">
        <f t="shared" si="17"/>
        <v>0</v>
      </c>
      <c r="AI31" s="2" t="str">
        <f t="shared" si="18"/>
        <v>工人</v>
      </c>
    </row>
    <row r="32">
      <c r="A32" s="43">
        <f t="shared" si="0"/>
        <v>28</v>
      </c>
      <c r="B32" s="54" t="n">
        <v>46113</v>
      </c>
      <c r="C32" s="45" t="inlineStr">
        <is>
          <t>张滨</t>
        </is>
      </c>
      <c r="D32" s="50" t="n"/>
      <c r="E32" s="55" t="n"/>
      <c r="F32" s="50" t="n"/>
      <c r="G32" s="55" t="n"/>
      <c r="H32" s="50" t="n"/>
      <c r="I32" s="55" t="n"/>
      <c r="J32" s="50" t="n"/>
      <c r="K32" s="55" t="n"/>
      <c r="L32" s="56" t="n"/>
      <c r="M32" s="57" t="n"/>
      <c r="N32" s="57" t="n"/>
      <c r="O32" s="57" t="n"/>
      <c r="P32" s="57" t="n"/>
      <c r="Q32" s="50" t="inlineStr">
        <is>
          <t>月薪，没填天数＝全部算公司管理费</t>
        </is>
      </c>
      <c r="R32" s="58">
        <f t="shared" si="1"/>
        <v>0</v>
      </c>
      <c r="S32" s="59">
        <f t="shared" si="2"/>
        <v>8000</v>
      </c>
      <c r="T32" s="43" t="str">
        <f t="shared" si="3"/>
        <v>月薪</v>
      </c>
      <c r="U32" s="60">
        <f t="shared" si="4"/>
        <v>8000</v>
      </c>
      <c r="V32" s="60">
        <f t="shared" si="5"/>
        <v>8000</v>
      </c>
      <c r="W32" s="60">
        <f t="shared" si="6"/>
        <v>8000</v>
      </c>
      <c r="X32" s="49" t="str">
        <f t="shared" si="7"/>
        <v>√</v>
      </c>
      <c r="Y32" s="2">
        <f t="shared" si="8"/>
        <v>202604</v>
      </c>
      <c r="Z32" s="2">
        <f t="shared" si="9"/>
        <v>45658</v>
      </c>
      <c r="AA32" s="2">
        <f t="shared" si="10"/>
        <v>0</v>
      </c>
      <c r="AB32" s="2">
        <f t="shared" si="11"/>
        <v>8000</v>
      </c>
      <c r="AC32" s="2">
        <f t="shared" si="12"/>
        <v>0</v>
      </c>
      <c r="AD32" s="2">
        <f t="shared" si="13"/>
        <v>0</v>
      </c>
      <c r="AE32" s="2">
        <f t="shared" si="14"/>
        <v>0</v>
      </c>
      <c r="AF32" s="2">
        <f t="shared" si="15"/>
        <v>0</v>
      </c>
      <c r="AG32" s="2">
        <f t="shared" si="16"/>
        <v>8000</v>
      </c>
      <c r="AH32" s="2">
        <f t="shared" si="17"/>
        <v>0</v>
      </c>
      <c r="AI32" s="2" t="str">
        <f t="shared" si="18"/>
        <v>管理人员</v>
      </c>
    </row>
    <row r="33">
      <c r="A33" s="43">
        <f t="shared" si="0"/>
        <v>29</v>
      </c>
      <c r="B33" s="54" t="n">
        <v>46113</v>
      </c>
      <c r="C33" s="45" t="inlineStr">
        <is>
          <t>张淑平</t>
        </is>
      </c>
      <c r="D33" s="50" t="n"/>
      <c r="E33" s="55" t="n"/>
      <c r="F33" s="50" t="n"/>
      <c r="G33" s="55" t="n"/>
      <c r="H33" s="50" t="n"/>
      <c r="I33" s="55" t="n"/>
      <c r="J33" s="50" t="n"/>
      <c r="K33" s="55" t="n"/>
      <c r="L33" s="56" t="n"/>
      <c r="M33" s="57" t="n"/>
      <c r="N33" s="57" t="n"/>
      <c r="O33" s="57" t="n"/>
      <c r="P33" s="57" t="n"/>
      <c r="Q33" s="50" t="inlineStr">
        <is>
          <t>月薪，没填天数＝全部算公司管理费</t>
        </is>
      </c>
      <c r="R33" s="58">
        <f t="shared" si="1"/>
        <v>0</v>
      </c>
      <c r="S33" s="59">
        <f t="shared" si="2"/>
        <v>5000</v>
      </c>
      <c r="T33" s="43" t="str">
        <f t="shared" si="3"/>
        <v>月薪</v>
      </c>
      <c r="U33" s="60">
        <f t="shared" si="4"/>
        <v>5000</v>
      </c>
      <c r="V33" s="60">
        <f t="shared" si="5"/>
        <v>5000</v>
      </c>
      <c r="W33" s="60">
        <f t="shared" si="6"/>
        <v>5000</v>
      </c>
      <c r="X33" s="49" t="str">
        <f t="shared" si="7"/>
        <v>√</v>
      </c>
      <c r="Y33" s="2">
        <f t="shared" si="8"/>
        <v>202604</v>
      </c>
      <c r="Z33" s="2">
        <f t="shared" si="9"/>
        <v>45658</v>
      </c>
      <c r="AA33" s="2">
        <f t="shared" si="10"/>
        <v>0</v>
      </c>
      <c r="AB33" s="2">
        <f t="shared" si="11"/>
        <v>5000</v>
      </c>
      <c r="AC33" s="2">
        <f t="shared" si="12"/>
        <v>0</v>
      </c>
      <c r="AD33" s="2">
        <f t="shared" si="13"/>
        <v>0</v>
      </c>
      <c r="AE33" s="2">
        <f t="shared" si="14"/>
        <v>0</v>
      </c>
      <c r="AF33" s="2">
        <f t="shared" si="15"/>
        <v>0</v>
      </c>
      <c r="AG33" s="2">
        <f t="shared" si="16"/>
        <v>5000</v>
      </c>
      <c r="AH33" s="2">
        <f t="shared" si="17"/>
        <v>0</v>
      </c>
      <c r="AI33" s="2" t="str">
        <f t="shared" si="18"/>
        <v>管理人员</v>
      </c>
    </row>
    <row r="34">
      <c r="A34" s="43">
        <f t="shared" si="0"/>
        <v>30</v>
      </c>
      <c r="B34" s="54" t="n">
        <v>46113</v>
      </c>
      <c r="C34" s="45" t="inlineStr">
        <is>
          <t>聂辉</t>
        </is>
      </c>
      <c r="D34" s="50" t="n"/>
      <c r="E34" s="55" t="n"/>
      <c r="F34" s="50" t="n"/>
      <c r="G34" s="55" t="n"/>
      <c r="H34" s="50" t="n"/>
      <c r="I34" s="55" t="n"/>
      <c r="J34" s="50" t="n"/>
      <c r="K34" s="55" t="n"/>
      <c r="L34" s="56" t="n"/>
      <c r="M34" s="57" t="n"/>
      <c r="N34" s="57" t="n"/>
      <c r="O34" s="57" t="n"/>
      <c r="P34" s="57" t="n"/>
      <c r="Q34" s="50" t="inlineStr">
        <is>
          <t>月薪，没填天数＝全部算公司管理费</t>
        </is>
      </c>
      <c r="R34" s="58">
        <f t="shared" si="1"/>
        <v>0</v>
      </c>
      <c r="S34" s="59">
        <f t="shared" si="2"/>
        <v>10000</v>
      </c>
      <c r="T34" s="43" t="str">
        <f t="shared" si="3"/>
        <v>月薪</v>
      </c>
      <c r="U34" s="60">
        <f t="shared" si="4"/>
        <v>10000</v>
      </c>
      <c r="V34" s="60">
        <f t="shared" si="5"/>
        <v>10000</v>
      </c>
      <c r="W34" s="60">
        <f t="shared" si="6"/>
        <v>10000</v>
      </c>
      <c r="X34" s="49" t="str">
        <f t="shared" si="7"/>
        <v>√</v>
      </c>
      <c r="Y34" s="2">
        <f t="shared" si="8"/>
        <v>202604</v>
      </c>
      <c r="Z34" s="2">
        <f t="shared" si="9"/>
        <v>45658</v>
      </c>
      <c r="AA34" s="2">
        <f t="shared" si="10"/>
        <v>0</v>
      </c>
      <c r="AB34" s="2">
        <f t="shared" si="11"/>
        <v>10000</v>
      </c>
      <c r="AC34" s="2">
        <f t="shared" si="12"/>
        <v>0</v>
      </c>
      <c r="AD34" s="2">
        <f t="shared" si="13"/>
        <v>0</v>
      </c>
      <c r="AE34" s="2">
        <f t="shared" si="14"/>
        <v>0</v>
      </c>
      <c r="AF34" s="2">
        <f t="shared" si="15"/>
        <v>0</v>
      </c>
      <c r="AG34" s="2">
        <f t="shared" si="16"/>
        <v>10000</v>
      </c>
      <c r="AH34" s="2">
        <f t="shared" si="17"/>
        <v>0</v>
      </c>
      <c r="AI34" s="2" t="str">
        <f t="shared" si="18"/>
        <v>管理人员</v>
      </c>
    </row>
    <row r="35">
      <c r="A35" s="43">
        <f t="shared" si="0"/>
        <v>31</v>
      </c>
      <c r="B35" s="54" t="n">
        <v>46113</v>
      </c>
      <c r="C35" s="45" t="inlineStr">
        <is>
          <t>王伟</t>
        </is>
      </c>
      <c r="D35" s="50" t="n"/>
      <c r="E35" s="55" t="n"/>
      <c r="F35" s="50" t="n"/>
      <c r="G35" s="55" t="n"/>
      <c r="H35" s="50" t="n"/>
      <c r="I35" s="55" t="n"/>
      <c r="J35" s="50" t="n"/>
      <c r="K35" s="55" t="n"/>
      <c r="L35" s="56" t="n"/>
      <c r="M35" s="57" t="n"/>
      <c r="N35" s="57" t="n"/>
      <c r="O35" s="57" t="n"/>
      <c r="P35" s="57" t="n"/>
      <c r="Q35" s="50" t="inlineStr">
        <is>
          <t>月薪，没填天数＝全部算公司管理费</t>
        </is>
      </c>
      <c r="R35" s="58">
        <f t="shared" si="1"/>
        <v>0</v>
      </c>
      <c r="S35" s="59">
        <f t="shared" si="2"/>
        <v>10000</v>
      </c>
      <c r="T35" s="43" t="str">
        <f t="shared" si="3"/>
        <v>月薪</v>
      </c>
      <c r="U35" s="60">
        <f t="shared" si="4"/>
        <v>10000</v>
      </c>
      <c r="V35" s="60">
        <f t="shared" si="5"/>
        <v>10000</v>
      </c>
      <c r="W35" s="60">
        <f t="shared" si="6"/>
        <v>10000</v>
      </c>
      <c r="X35" s="49" t="str">
        <f t="shared" si="7"/>
        <v>√</v>
      </c>
      <c r="Y35" s="2">
        <f t="shared" si="8"/>
        <v>202604</v>
      </c>
      <c r="Z35" s="2">
        <f t="shared" si="9"/>
        <v>45658</v>
      </c>
      <c r="AA35" s="2">
        <f t="shared" si="10"/>
        <v>0</v>
      </c>
      <c r="AB35" s="2">
        <f t="shared" si="11"/>
        <v>10000</v>
      </c>
      <c r="AC35" s="2">
        <f t="shared" si="12"/>
        <v>0</v>
      </c>
      <c r="AD35" s="2">
        <f t="shared" si="13"/>
        <v>0</v>
      </c>
      <c r="AE35" s="2">
        <f t="shared" si="14"/>
        <v>0</v>
      </c>
      <c r="AF35" s="2">
        <f t="shared" si="15"/>
        <v>0</v>
      </c>
      <c r="AG35" s="2">
        <f t="shared" si="16"/>
        <v>10000</v>
      </c>
      <c r="AH35" s="2">
        <f t="shared" si="17"/>
        <v>0</v>
      </c>
      <c r="AI35" s="2" t="str">
        <f t="shared" si="18"/>
        <v>管理人员</v>
      </c>
    </row>
    <row r="36">
      <c r="A36" s="43">
        <f t="shared" si="0"/>
        <v>32</v>
      </c>
      <c r="B36" s="54" t="n">
        <v>46113</v>
      </c>
      <c r="C36" s="45" t="inlineStr">
        <is>
          <t>姚俊强</t>
        </is>
      </c>
      <c r="D36" s="50" t="n"/>
      <c r="E36" s="55" t="n"/>
      <c r="F36" s="50" t="n"/>
      <c r="G36" s="55" t="n"/>
      <c r="H36" s="50" t="n"/>
      <c r="I36" s="55" t="n"/>
      <c r="J36" s="50" t="n"/>
      <c r="K36" s="55" t="n"/>
      <c r="L36" s="56" t="n"/>
      <c r="M36" s="57" t="n"/>
      <c r="N36" s="57" t="n"/>
      <c r="O36" s="57" t="n"/>
      <c r="P36" s="57" t="n"/>
      <c r="Q36" s="50" t="inlineStr">
        <is>
          <t>月薪，没填天数＝全部算公司管理费</t>
        </is>
      </c>
      <c r="R36" s="58">
        <f t="shared" si="1"/>
        <v>0</v>
      </c>
      <c r="S36" s="59">
        <f t="shared" si="2"/>
        <v>4500</v>
      </c>
      <c r="T36" s="43" t="str">
        <f t="shared" si="3"/>
        <v>月薪</v>
      </c>
      <c r="U36" s="60">
        <f t="shared" si="4"/>
        <v>4500</v>
      </c>
      <c r="V36" s="60">
        <f t="shared" si="5"/>
        <v>4500</v>
      </c>
      <c r="W36" s="60">
        <f t="shared" si="6"/>
        <v>4500</v>
      </c>
      <c r="X36" s="49" t="str">
        <f t="shared" si="7"/>
        <v>√</v>
      </c>
      <c r="Y36" s="2">
        <f t="shared" si="8"/>
        <v>202604</v>
      </c>
      <c r="Z36" s="2">
        <f t="shared" si="9"/>
        <v>45658</v>
      </c>
      <c r="AA36" s="2">
        <f t="shared" si="10"/>
        <v>0</v>
      </c>
      <c r="AB36" s="2">
        <f t="shared" si="11"/>
        <v>4500</v>
      </c>
      <c r="AC36" s="2">
        <f t="shared" si="12"/>
        <v>0</v>
      </c>
      <c r="AD36" s="2">
        <f t="shared" si="13"/>
        <v>0</v>
      </c>
      <c r="AE36" s="2">
        <f t="shared" si="14"/>
        <v>0</v>
      </c>
      <c r="AF36" s="2">
        <f t="shared" si="15"/>
        <v>0</v>
      </c>
      <c r="AG36" s="2">
        <f t="shared" si="16"/>
        <v>4500</v>
      </c>
      <c r="AH36" s="2">
        <f t="shared" si="17"/>
        <v>0</v>
      </c>
      <c r="AI36" s="2" t="str">
        <f t="shared" si="18"/>
        <v>管理人员</v>
      </c>
    </row>
    <row r="37">
      <c r="A37" s="43">
        <f t="shared" si="0"/>
        <v>33</v>
      </c>
      <c r="B37" s="54" t="n">
        <v>46082</v>
      </c>
      <c r="C37" s="45" t="inlineStr">
        <is>
          <t>聂峰</t>
        </is>
      </c>
      <c r="D37" s="50" t="inlineStr">
        <is>
          <t>科创中心</t>
        </is>
      </c>
      <c r="E37" s="55" t="n">
        <v>21</v>
      </c>
      <c r="F37" s="50" t="inlineStr">
        <is>
          <t>示范园</t>
        </is>
      </c>
      <c r="G37" s="55" t="n">
        <v>5</v>
      </c>
      <c r="H37" s="50" t="inlineStr">
        <is>
          <t>邹桥派出所</t>
        </is>
      </c>
      <c r="I37" s="55" t="n">
        <v>10</v>
      </c>
      <c r="J37" s="50" t="n"/>
      <c r="K37" s="55" t="n"/>
      <c r="L37" s="56" t="n"/>
      <c r="M37" s="57" t="n"/>
      <c r="N37" s="57" t="n"/>
      <c r="O37" s="57" t="n"/>
      <c r="P37" s="57" t="n"/>
      <c r="Q37" s="50" t="inlineStr">
        <is>
          <t>2、3 月合在一起的（截图）</t>
        </is>
      </c>
      <c r="R37" s="58">
        <f t="shared" si="1"/>
        <v>36</v>
      </c>
      <c r="S37" s="59">
        <f t="shared" si="2"/>
        <v>500</v>
      </c>
      <c r="T37" s="43" t="str">
        <f t="shared" si="3"/>
        <v>日薪</v>
      </c>
      <c r="U37" s="60">
        <f t="shared" si="4"/>
        <v>18000</v>
      </c>
      <c r="V37" s="60">
        <f t="shared" si="5"/>
        <v>18000</v>
      </c>
      <c r="W37" s="60">
        <f t="shared" si="6"/>
        <v>18000</v>
      </c>
      <c r="X37" s="49" t="str">
        <f t="shared" si="7"/>
        <v>⚠ 这个人这个月天数比当月天数还多</v>
      </c>
      <c r="Y37" s="2">
        <f t="shared" si="8"/>
        <v>202603</v>
      </c>
      <c r="Z37" s="2">
        <f t="shared" si="9"/>
        <v>45658</v>
      </c>
      <c r="AA37" s="2">
        <f t="shared" si="10"/>
        <v>500</v>
      </c>
      <c r="AB37" s="2">
        <f t="shared" si="11"/>
        <v>0</v>
      </c>
      <c r="AC37" s="2">
        <f t="shared" si="12"/>
        <v>10500</v>
      </c>
      <c r="AD37" s="2">
        <f t="shared" si="13"/>
        <v>2500</v>
      </c>
      <c r="AE37" s="2">
        <f t="shared" si="14"/>
        <v>5000</v>
      </c>
      <c r="AF37" s="2">
        <f t="shared" si="15"/>
        <v>0</v>
      </c>
      <c r="AG37" s="2">
        <f t="shared" si="16"/>
        <v>0</v>
      </c>
      <c r="AH37" s="2">
        <f t="shared" si="17"/>
        <v>0</v>
      </c>
      <c r="AI37" s="2" t="str">
        <f t="shared" si="18"/>
        <v>工人</v>
      </c>
    </row>
    <row r="38">
      <c r="A38" s="43">
        <f t="shared" si="0"/>
        <v>34</v>
      </c>
      <c r="B38" s="54" t="n">
        <v>46082</v>
      </c>
      <c r="C38" s="45" t="inlineStr">
        <is>
          <t>袁斌财</t>
        </is>
      </c>
      <c r="D38" s="50" t="inlineStr">
        <is>
          <t>德安养老中心</t>
        </is>
      </c>
      <c r="E38" s="55" t="n">
        <v>34.5</v>
      </c>
      <c r="F38" s="50" t="inlineStr">
        <is>
          <t>科创中心</t>
        </is>
      </c>
      <c r="G38" s="55" t="n">
        <v>1.5</v>
      </c>
      <c r="H38" s="50" t="n"/>
      <c r="I38" s="55" t="n"/>
      <c r="J38" s="50" t="n"/>
      <c r="K38" s="55" t="n"/>
      <c r="L38" s="56" t="n"/>
      <c r="M38" s="57" t="n"/>
      <c r="N38" s="57" t="n"/>
      <c r="O38" s="57" t="n"/>
      <c r="P38" s="57" t="n"/>
      <c r="Q38" s="50" t="inlineStr">
        <is>
          <t>2、3 月合在一起的（截图）</t>
        </is>
      </c>
      <c r="R38" s="58">
        <f t="shared" si="1"/>
        <v>36</v>
      </c>
      <c r="S38" s="59">
        <f t="shared" si="2"/>
        <v>330</v>
      </c>
      <c r="T38" s="43" t="str">
        <f t="shared" si="3"/>
        <v>日薪</v>
      </c>
      <c r="U38" s="60">
        <f t="shared" si="4"/>
        <v>11880</v>
      </c>
      <c r="V38" s="60">
        <f t="shared" si="5"/>
        <v>11880</v>
      </c>
      <c r="W38" s="60">
        <f t="shared" si="6"/>
        <v>11880</v>
      </c>
      <c r="X38" s="49" t="str">
        <f t="shared" si="7"/>
        <v>⚠ 这个人这个月天数比当月天数还多</v>
      </c>
      <c r="Y38" s="2">
        <f t="shared" si="8"/>
        <v>202603</v>
      </c>
      <c r="Z38" s="2">
        <f t="shared" si="9"/>
        <v>45658</v>
      </c>
      <c r="AA38" s="2">
        <f t="shared" si="10"/>
        <v>330</v>
      </c>
      <c r="AB38" s="2">
        <f t="shared" si="11"/>
        <v>0</v>
      </c>
      <c r="AC38" s="2">
        <f t="shared" si="12"/>
        <v>11385</v>
      </c>
      <c r="AD38" s="2">
        <f t="shared" si="13"/>
        <v>495</v>
      </c>
      <c r="AE38" s="2">
        <f t="shared" si="14"/>
        <v>0</v>
      </c>
      <c r="AF38" s="2">
        <f t="shared" si="15"/>
        <v>0</v>
      </c>
      <c r="AG38" s="2">
        <f t="shared" si="16"/>
        <v>0</v>
      </c>
      <c r="AH38" s="2">
        <f t="shared" si="17"/>
        <v>0</v>
      </c>
      <c r="AI38" s="2" t="str">
        <f t="shared" si="18"/>
        <v>工人</v>
      </c>
    </row>
    <row r="39">
      <c r="A39" s="43">
        <f t="shared" si="0"/>
        <v>35</v>
      </c>
      <c r="B39" s="54" t="n">
        <v>46082</v>
      </c>
      <c r="C39" s="45" t="inlineStr">
        <is>
          <t>胡家新</t>
        </is>
      </c>
      <c r="D39" s="50" t="inlineStr">
        <is>
          <t>德安养老中心</t>
        </is>
      </c>
      <c r="E39" s="55" t="n">
        <v>33.5</v>
      </c>
      <c r="F39" s="50" t="inlineStr">
        <is>
          <t>科创中心</t>
        </is>
      </c>
      <c r="G39" s="55" t="n">
        <v>1.5</v>
      </c>
      <c r="H39" s="50" t="n"/>
      <c r="I39" s="55" t="n"/>
      <c r="J39" s="50" t="n"/>
      <c r="K39" s="55" t="n"/>
      <c r="L39" s="56" t="n"/>
      <c r="M39" s="57" t="n"/>
      <c r="N39" s="57" t="n"/>
      <c r="O39" s="57" t="n"/>
      <c r="P39" s="57" t="n"/>
      <c r="Q39" s="50" t="inlineStr">
        <is>
          <t>2、3 月合在一起的（截图）</t>
        </is>
      </c>
      <c r="R39" s="58">
        <f t="shared" si="1"/>
        <v>35</v>
      </c>
      <c r="S39" s="59">
        <f t="shared" si="2"/>
        <v>270</v>
      </c>
      <c r="T39" s="43" t="str">
        <f t="shared" si="3"/>
        <v>日薪</v>
      </c>
      <c r="U39" s="60">
        <f t="shared" si="4"/>
        <v>9450</v>
      </c>
      <c r="V39" s="60">
        <f t="shared" si="5"/>
        <v>9450</v>
      </c>
      <c r="W39" s="60">
        <f t="shared" si="6"/>
        <v>9450</v>
      </c>
      <c r="X39" s="49" t="str">
        <f t="shared" si="7"/>
        <v>⚠ 这个人这个月天数比当月天数还多</v>
      </c>
      <c r="Y39" s="2">
        <f t="shared" si="8"/>
        <v>202603</v>
      </c>
      <c r="Z39" s="2">
        <f t="shared" si="9"/>
        <v>45658</v>
      </c>
      <c r="AA39" s="2">
        <f t="shared" si="10"/>
        <v>270</v>
      </c>
      <c r="AB39" s="2">
        <f t="shared" si="11"/>
        <v>0</v>
      </c>
      <c r="AC39" s="2">
        <f t="shared" si="12"/>
        <v>9045</v>
      </c>
      <c r="AD39" s="2">
        <f t="shared" si="13"/>
        <v>405</v>
      </c>
      <c r="AE39" s="2">
        <f t="shared" si="14"/>
        <v>0</v>
      </c>
      <c r="AF39" s="2">
        <f t="shared" si="15"/>
        <v>0</v>
      </c>
      <c r="AG39" s="2">
        <f t="shared" si="16"/>
        <v>0</v>
      </c>
      <c r="AH39" s="2">
        <f t="shared" si="17"/>
        <v>0</v>
      </c>
      <c r="AI39" s="2" t="str">
        <f t="shared" si="18"/>
        <v>工人</v>
      </c>
    </row>
    <row r="40">
      <c r="A40" s="43">
        <f t="shared" si="0"/>
        <v>36</v>
      </c>
      <c r="B40" s="54" t="n">
        <v>46082</v>
      </c>
      <c r="C40" s="45" t="inlineStr">
        <is>
          <t>刘海</t>
        </is>
      </c>
      <c r="D40" s="50" t="inlineStr">
        <is>
          <t>德安养老中心</t>
        </is>
      </c>
      <c r="E40" s="55" t="n">
        <v>29</v>
      </c>
      <c r="F40" s="50" t="inlineStr">
        <is>
          <t>科创中心</t>
        </is>
      </c>
      <c r="G40" s="55" t="n">
        <v>1</v>
      </c>
      <c r="H40" s="50" t="n"/>
      <c r="I40" s="55" t="n"/>
      <c r="J40" s="50" t="n"/>
      <c r="K40" s="55" t="n"/>
      <c r="L40" s="56" t="n"/>
      <c r="M40" s="57" t="n"/>
      <c r="N40" s="57" t="n"/>
      <c r="O40" s="57" t="n"/>
      <c r="P40" s="57" t="n"/>
      <c r="Q40" s="50" t="inlineStr">
        <is>
          <t>2、3 月合在一起的（截图）</t>
        </is>
      </c>
      <c r="R40" s="58">
        <f t="shared" si="1"/>
        <v>30</v>
      </c>
      <c r="S40" s="59">
        <f t="shared" si="2"/>
        <v>250</v>
      </c>
      <c r="T40" s="43" t="str">
        <f t="shared" si="3"/>
        <v>日薪</v>
      </c>
      <c r="U40" s="60">
        <f t="shared" si="4"/>
        <v>7500</v>
      </c>
      <c r="V40" s="60">
        <f t="shared" si="5"/>
        <v>7500</v>
      </c>
      <c r="W40" s="60">
        <f t="shared" si="6"/>
        <v>7500</v>
      </c>
      <c r="X40" s="49" t="str">
        <f t="shared" si="7"/>
        <v>√</v>
      </c>
      <c r="Y40" s="2">
        <f t="shared" si="8"/>
        <v>202603</v>
      </c>
      <c r="Z40" s="2">
        <f t="shared" si="9"/>
        <v>45658</v>
      </c>
      <c r="AA40" s="2">
        <f t="shared" si="10"/>
        <v>250</v>
      </c>
      <c r="AB40" s="2">
        <f t="shared" si="11"/>
        <v>0</v>
      </c>
      <c r="AC40" s="2">
        <f t="shared" si="12"/>
        <v>7250</v>
      </c>
      <c r="AD40" s="2">
        <f t="shared" si="13"/>
        <v>250</v>
      </c>
      <c r="AE40" s="2">
        <f t="shared" si="14"/>
        <v>0</v>
      </c>
      <c r="AF40" s="2">
        <f t="shared" si="15"/>
        <v>0</v>
      </c>
      <c r="AG40" s="2">
        <f t="shared" si="16"/>
        <v>0</v>
      </c>
      <c r="AH40" s="2">
        <f t="shared" si="17"/>
        <v>0</v>
      </c>
      <c r="AI40" s="2" t="str">
        <f t="shared" si="18"/>
        <v>工人</v>
      </c>
    </row>
    <row r="41">
      <c r="A41" s="43">
        <f t="shared" si="0"/>
        <v>37</v>
      </c>
      <c r="B41" s="54" t="n">
        <v>46082</v>
      </c>
      <c r="C41" s="45" t="inlineStr">
        <is>
          <t>成峰</t>
        </is>
      </c>
      <c r="D41" s="50" t="inlineStr">
        <is>
          <t>德安养老中心</t>
        </is>
      </c>
      <c r="E41" s="55" t="n">
        <v>21.5</v>
      </c>
      <c r="F41" s="50" t="inlineStr">
        <is>
          <t>科创中心</t>
        </is>
      </c>
      <c r="G41" s="55" t="n">
        <v>2.5</v>
      </c>
      <c r="H41" s="50" t="n"/>
      <c r="I41" s="55" t="n"/>
      <c r="J41" s="50" t="n"/>
      <c r="K41" s="55" t="n"/>
      <c r="L41" s="56" t="n"/>
      <c r="M41" s="57" t="n"/>
      <c r="N41" s="57" t="n"/>
      <c r="O41" s="57" t="n"/>
      <c r="P41" s="57" t="n"/>
      <c r="Q41" s="50" t="inlineStr">
        <is>
          <t>2、3 月合在一起的（截图）</t>
        </is>
      </c>
      <c r="R41" s="58">
        <f t="shared" si="1"/>
        <v>24</v>
      </c>
      <c r="S41" s="59">
        <f t="shared" si="2"/>
        <v>370</v>
      </c>
      <c r="T41" s="43" t="str">
        <f t="shared" si="3"/>
        <v>日薪</v>
      </c>
      <c r="U41" s="60">
        <f t="shared" si="4"/>
        <v>8880</v>
      </c>
      <c r="V41" s="60">
        <f t="shared" si="5"/>
        <v>8880</v>
      </c>
      <c r="W41" s="60">
        <f t="shared" si="6"/>
        <v>8880</v>
      </c>
      <c r="X41" s="49" t="str">
        <f t="shared" si="7"/>
        <v>√</v>
      </c>
      <c r="Y41" s="2">
        <f t="shared" si="8"/>
        <v>202603</v>
      </c>
      <c r="Z41" s="2">
        <f t="shared" si="9"/>
        <v>45658</v>
      </c>
      <c r="AA41" s="2">
        <f t="shared" si="10"/>
        <v>370</v>
      </c>
      <c r="AB41" s="2">
        <f t="shared" si="11"/>
        <v>0</v>
      </c>
      <c r="AC41" s="2">
        <f t="shared" si="12"/>
        <v>7955</v>
      </c>
      <c r="AD41" s="2">
        <f t="shared" si="13"/>
        <v>925</v>
      </c>
      <c r="AE41" s="2">
        <f t="shared" si="14"/>
        <v>0</v>
      </c>
      <c r="AF41" s="2">
        <f t="shared" si="15"/>
        <v>0</v>
      </c>
      <c r="AG41" s="2">
        <f t="shared" si="16"/>
        <v>0</v>
      </c>
      <c r="AH41" s="2">
        <f t="shared" si="17"/>
        <v>0</v>
      </c>
      <c r="AI41" s="2" t="str">
        <f t="shared" si="18"/>
        <v>工人</v>
      </c>
    </row>
    <row r="42">
      <c r="A42" s="43">
        <f t="shared" si="0"/>
        <v>38</v>
      </c>
      <c r="B42" s="54" t="n">
        <v>46082</v>
      </c>
      <c r="C42" s="45" t="inlineStr">
        <is>
          <t>何正新</t>
        </is>
      </c>
      <c r="D42" s="50" t="inlineStr">
        <is>
          <t>德安养老中心</t>
        </is>
      </c>
      <c r="E42" s="55" t="n">
        <v>20.5</v>
      </c>
      <c r="F42" s="50" t="inlineStr">
        <is>
          <t>科创中心</t>
        </is>
      </c>
      <c r="G42" s="55" t="n">
        <v>2.5</v>
      </c>
      <c r="H42" s="50" t="n"/>
      <c r="I42" s="55" t="n"/>
      <c r="J42" s="50" t="n"/>
      <c r="K42" s="55" t="n"/>
      <c r="L42" s="56" t="n"/>
      <c r="M42" s="57" t="n"/>
      <c r="N42" s="57" t="n"/>
      <c r="O42" s="57" t="n"/>
      <c r="P42" s="57" t="n"/>
      <c r="Q42" s="50" t="inlineStr">
        <is>
          <t>2、3 月合在一起的（截图）</t>
        </is>
      </c>
      <c r="R42" s="58">
        <f t="shared" si="1"/>
        <v>23</v>
      </c>
      <c r="S42" s="59">
        <f t="shared" si="2"/>
        <v>320</v>
      </c>
      <c r="T42" s="43" t="str">
        <f t="shared" si="3"/>
        <v>日薪</v>
      </c>
      <c r="U42" s="60">
        <f t="shared" si="4"/>
        <v>7360</v>
      </c>
      <c r="V42" s="60">
        <f t="shared" si="5"/>
        <v>7360</v>
      </c>
      <c r="W42" s="60">
        <f t="shared" si="6"/>
        <v>7360</v>
      </c>
      <c r="X42" s="49" t="str">
        <f t="shared" si="7"/>
        <v>√</v>
      </c>
      <c r="Y42" s="2">
        <f t="shared" si="8"/>
        <v>202603</v>
      </c>
      <c r="Z42" s="2">
        <f t="shared" si="9"/>
        <v>45658</v>
      </c>
      <c r="AA42" s="2">
        <f t="shared" si="10"/>
        <v>320</v>
      </c>
      <c r="AB42" s="2">
        <f t="shared" si="11"/>
        <v>0</v>
      </c>
      <c r="AC42" s="2">
        <f t="shared" si="12"/>
        <v>6560</v>
      </c>
      <c r="AD42" s="2">
        <f t="shared" si="13"/>
        <v>800</v>
      </c>
      <c r="AE42" s="2">
        <f t="shared" si="14"/>
        <v>0</v>
      </c>
      <c r="AF42" s="2">
        <f t="shared" si="15"/>
        <v>0</v>
      </c>
      <c r="AG42" s="2">
        <f t="shared" si="16"/>
        <v>0</v>
      </c>
      <c r="AH42" s="2">
        <f t="shared" si="17"/>
        <v>0</v>
      </c>
      <c r="AI42" s="2" t="str">
        <f t="shared" si="18"/>
        <v>工人</v>
      </c>
    </row>
    <row r="43">
      <c r="A43" s="43">
        <f t="shared" si="0"/>
        <v>39</v>
      </c>
      <c r="B43" s="54" t="n">
        <v>46082</v>
      </c>
      <c r="C43" s="45" t="inlineStr">
        <is>
          <t>程章赐</t>
        </is>
      </c>
      <c r="D43" s="50" t="inlineStr">
        <is>
          <t>德安养老中心</t>
        </is>
      </c>
      <c r="E43" s="55" t="n">
        <v>3</v>
      </c>
      <c r="F43" s="50" t="inlineStr">
        <is>
          <t>科创中心</t>
        </is>
      </c>
      <c r="G43" s="55" t="n">
        <v>8.5</v>
      </c>
      <c r="H43" s="50" t="inlineStr">
        <is>
          <t>示范园</t>
        </is>
      </c>
      <c r="I43" s="55" t="n">
        <v>8</v>
      </c>
      <c r="J43" s="50" t="inlineStr">
        <is>
          <t>邹桥派出所</t>
        </is>
      </c>
      <c r="K43" s="55" t="n">
        <v>1</v>
      </c>
      <c r="L43" s="56" t="n"/>
      <c r="M43" s="57" t="n"/>
      <c r="N43" s="57" t="n"/>
      <c r="O43" s="57" t="n"/>
      <c r="P43" s="57" t="n"/>
      <c r="Q43" s="50" t="inlineStr">
        <is>
          <t>2、3 月合在一起的（截图）</t>
        </is>
      </c>
      <c r="R43" s="58">
        <f t="shared" si="1"/>
        <v>20.5</v>
      </c>
      <c r="S43" s="59">
        <f t="shared" si="2"/>
        <v>350</v>
      </c>
      <c r="T43" s="43" t="str">
        <f t="shared" si="3"/>
        <v>日薪</v>
      </c>
      <c r="U43" s="60">
        <f t="shared" si="4"/>
        <v>7175</v>
      </c>
      <c r="V43" s="60">
        <f t="shared" si="5"/>
        <v>7175</v>
      </c>
      <c r="W43" s="60">
        <f t="shared" si="6"/>
        <v>7175</v>
      </c>
      <c r="X43" s="49" t="str">
        <f t="shared" si="7"/>
        <v>√</v>
      </c>
      <c r="Y43" s="2">
        <f t="shared" si="8"/>
        <v>202603</v>
      </c>
      <c r="Z43" s="2">
        <f t="shared" si="9"/>
        <v>45658</v>
      </c>
      <c r="AA43" s="2">
        <f t="shared" si="10"/>
        <v>350</v>
      </c>
      <c r="AB43" s="2">
        <f t="shared" si="11"/>
        <v>0</v>
      </c>
      <c r="AC43" s="2">
        <f t="shared" si="12"/>
        <v>1050</v>
      </c>
      <c r="AD43" s="2">
        <f t="shared" si="13"/>
        <v>2975</v>
      </c>
      <c r="AE43" s="2">
        <f t="shared" si="14"/>
        <v>2800</v>
      </c>
      <c r="AF43" s="2">
        <f t="shared" si="15"/>
        <v>350</v>
      </c>
      <c r="AG43" s="2">
        <f t="shared" si="16"/>
        <v>0</v>
      </c>
      <c r="AH43" s="2">
        <f t="shared" si="17"/>
        <v>0</v>
      </c>
      <c r="AI43" s="2" t="str">
        <f t="shared" si="18"/>
        <v>工人</v>
      </c>
    </row>
    <row r="44">
      <c r="A44" s="43">
        <f t="shared" si="0"/>
        <v>40</v>
      </c>
      <c r="B44" s="54" t="n">
        <v>46082</v>
      </c>
      <c r="C44" s="45" t="inlineStr">
        <is>
          <t>程章材</t>
        </is>
      </c>
      <c r="D44" s="50" t="inlineStr">
        <is>
          <t>德安养老中心</t>
        </is>
      </c>
      <c r="E44" s="55" t="n">
        <v>3</v>
      </c>
      <c r="F44" s="50" t="inlineStr">
        <is>
          <t>科创中心</t>
        </is>
      </c>
      <c r="G44" s="55" t="n">
        <v>8.5</v>
      </c>
      <c r="H44" s="50" t="inlineStr">
        <is>
          <t>示范园</t>
        </is>
      </c>
      <c r="I44" s="55" t="n">
        <v>8</v>
      </c>
      <c r="J44" s="50" t="inlineStr">
        <is>
          <t>邹桥派出所</t>
        </is>
      </c>
      <c r="K44" s="55" t="n">
        <v>1</v>
      </c>
      <c r="L44" s="56" t="n"/>
      <c r="M44" s="57" t="n"/>
      <c r="N44" s="57" t="n"/>
      <c r="O44" s="57" t="n"/>
      <c r="P44" s="57" t="n"/>
      <c r="Q44" s="50" t="inlineStr">
        <is>
          <t>2、3 月合在一起的（截图）</t>
        </is>
      </c>
      <c r="R44" s="58">
        <f t="shared" si="1"/>
        <v>20.5</v>
      </c>
      <c r="S44" s="59">
        <f t="shared" si="2"/>
        <v>200</v>
      </c>
      <c r="T44" s="43" t="str">
        <f t="shared" si="3"/>
        <v>日薪</v>
      </c>
      <c r="U44" s="60">
        <f t="shared" si="4"/>
        <v>4100</v>
      </c>
      <c r="V44" s="60">
        <f t="shared" si="5"/>
        <v>4100</v>
      </c>
      <c r="W44" s="60">
        <f t="shared" si="6"/>
        <v>4100</v>
      </c>
      <c r="X44" s="49" t="str">
        <f t="shared" si="7"/>
        <v>√</v>
      </c>
      <c r="Y44" s="2">
        <f t="shared" si="8"/>
        <v>202603</v>
      </c>
      <c r="Z44" s="2">
        <f t="shared" si="9"/>
        <v>45658</v>
      </c>
      <c r="AA44" s="2">
        <f t="shared" si="10"/>
        <v>200</v>
      </c>
      <c r="AB44" s="2">
        <f t="shared" si="11"/>
        <v>0</v>
      </c>
      <c r="AC44" s="2">
        <f t="shared" si="12"/>
        <v>600</v>
      </c>
      <c r="AD44" s="2">
        <f t="shared" si="13"/>
        <v>1700</v>
      </c>
      <c r="AE44" s="2">
        <f t="shared" si="14"/>
        <v>1600</v>
      </c>
      <c r="AF44" s="2">
        <f t="shared" si="15"/>
        <v>200</v>
      </c>
      <c r="AG44" s="2">
        <f t="shared" si="16"/>
        <v>0</v>
      </c>
      <c r="AH44" s="2">
        <f t="shared" si="17"/>
        <v>0</v>
      </c>
      <c r="AI44" s="2" t="str">
        <f t="shared" si="18"/>
        <v>工人</v>
      </c>
    </row>
    <row r="45">
      <c r="A45" s="43">
        <f t="shared" si="0"/>
        <v>41</v>
      </c>
      <c r="B45" s="54" t="n">
        <v>46082</v>
      </c>
      <c r="C45" s="45" t="inlineStr">
        <is>
          <t>徐平</t>
        </is>
      </c>
      <c r="D45" s="50" t="inlineStr">
        <is>
          <t>邹桥派出所</t>
        </is>
      </c>
      <c r="E45" s="55" t="n">
        <v>5.5</v>
      </c>
      <c r="F45" s="50" t="n"/>
      <c r="G45" s="55" t="n"/>
      <c r="H45" s="50" t="n"/>
      <c r="I45" s="55" t="n"/>
      <c r="J45" s="50" t="n"/>
      <c r="K45" s="55" t="n"/>
      <c r="L45" s="56" t="n"/>
      <c r="M45" s="57" t="n"/>
      <c r="N45" s="57" t="n"/>
      <c r="O45" s="57" t="n"/>
      <c r="P45" s="57" t="n"/>
      <c r="Q45" s="50" t="inlineStr">
        <is>
          <t>2、3 月合在一起的（截图）</t>
        </is>
      </c>
      <c r="R45" s="58">
        <f t="shared" si="1"/>
        <v>5.5</v>
      </c>
      <c r="S45" s="59">
        <f t="shared" si="2"/>
        <v>350</v>
      </c>
      <c r="T45" s="43" t="str">
        <f t="shared" si="3"/>
        <v>日薪</v>
      </c>
      <c r="U45" s="60">
        <f t="shared" si="4"/>
        <v>1925</v>
      </c>
      <c r="V45" s="60">
        <f t="shared" si="5"/>
        <v>1925</v>
      </c>
      <c r="W45" s="60">
        <f t="shared" si="6"/>
        <v>1925</v>
      </c>
      <c r="X45" s="49" t="str">
        <f t="shared" si="7"/>
        <v>√</v>
      </c>
      <c r="Y45" s="2">
        <f t="shared" si="8"/>
        <v>202603</v>
      </c>
      <c r="Z45" s="2">
        <f t="shared" si="9"/>
        <v>45658</v>
      </c>
      <c r="AA45" s="2">
        <f t="shared" si="10"/>
        <v>350</v>
      </c>
      <c r="AB45" s="2">
        <f t="shared" si="11"/>
        <v>0</v>
      </c>
      <c r="AC45" s="2">
        <f t="shared" si="12"/>
        <v>1925</v>
      </c>
      <c r="AD45" s="2">
        <f t="shared" si="13"/>
        <v>0</v>
      </c>
      <c r="AE45" s="2">
        <f t="shared" si="14"/>
        <v>0</v>
      </c>
      <c r="AF45" s="2">
        <f t="shared" si="15"/>
        <v>0</v>
      </c>
      <c r="AG45" s="2">
        <f t="shared" si="16"/>
        <v>0</v>
      </c>
      <c r="AH45" s="2">
        <f t="shared" si="17"/>
        <v>0</v>
      </c>
      <c r="AI45" s="2" t="str">
        <f t="shared" si="18"/>
        <v>工人</v>
      </c>
    </row>
    <row r="46">
      <c r="A46" s="43">
        <f t="shared" si="0"/>
        <v>42</v>
      </c>
      <c r="B46" s="54" t="n">
        <v>46082</v>
      </c>
      <c r="C46" s="45" t="inlineStr">
        <is>
          <t>朱俊英</t>
        </is>
      </c>
      <c r="D46" s="50" t="inlineStr">
        <is>
          <t>邹桥派出所</t>
        </is>
      </c>
      <c r="E46" s="55" t="n">
        <v>5.5</v>
      </c>
      <c r="F46" s="50" t="n"/>
      <c r="G46" s="55" t="n"/>
      <c r="H46" s="50" t="n"/>
      <c r="I46" s="55" t="n"/>
      <c r="J46" s="50" t="n"/>
      <c r="K46" s="55" t="n"/>
      <c r="L46" s="56" t="n"/>
      <c r="M46" s="57" t="n"/>
      <c r="N46" s="57" t="n"/>
      <c r="O46" s="57" t="n"/>
      <c r="P46" s="57" t="n"/>
      <c r="Q46" s="50" t="inlineStr">
        <is>
          <t>2、3 月合在一起的（截图）</t>
        </is>
      </c>
      <c r="R46" s="58">
        <f t="shared" si="1"/>
        <v>5.5</v>
      </c>
      <c r="S46" s="59">
        <f t="shared" si="2"/>
        <v>240</v>
      </c>
      <c r="T46" s="43" t="str">
        <f t="shared" si="3"/>
        <v>日薪</v>
      </c>
      <c r="U46" s="60">
        <f t="shared" si="4"/>
        <v>1320</v>
      </c>
      <c r="V46" s="60">
        <f t="shared" si="5"/>
        <v>1320</v>
      </c>
      <c r="W46" s="60">
        <f t="shared" si="6"/>
        <v>1320</v>
      </c>
      <c r="X46" s="49" t="str">
        <f t="shared" si="7"/>
        <v>√</v>
      </c>
      <c r="Y46" s="2">
        <f t="shared" si="8"/>
        <v>202603</v>
      </c>
      <c r="Z46" s="2">
        <f t="shared" si="9"/>
        <v>45658</v>
      </c>
      <c r="AA46" s="2">
        <f t="shared" si="10"/>
        <v>240</v>
      </c>
      <c r="AB46" s="2">
        <f t="shared" si="11"/>
        <v>0</v>
      </c>
      <c r="AC46" s="2">
        <f t="shared" si="12"/>
        <v>1320</v>
      </c>
      <c r="AD46" s="2">
        <f t="shared" si="13"/>
        <v>0</v>
      </c>
      <c r="AE46" s="2">
        <f t="shared" si="14"/>
        <v>0</v>
      </c>
      <c r="AF46" s="2">
        <f t="shared" si="15"/>
        <v>0</v>
      </c>
      <c r="AG46" s="2">
        <f t="shared" si="16"/>
        <v>0</v>
      </c>
      <c r="AH46" s="2">
        <f t="shared" si="17"/>
        <v>0</v>
      </c>
      <c r="AI46" s="2" t="str">
        <f t="shared" si="18"/>
        <v>工人</v>
      </c>
    </row>
    <row r="47">
      <c r="A47" s="43">
        <f t="shared" si="0"/>
        <v>43</v>
      </c>
      <c r="B47" s="54" t="n">
        <v>46082</v>
      </c>
      <c r="C47" s="45" t="inlineStr">
        <is>
          <t>彭海飞</t>
        </is>
      </c>
      <c r="D47" s="50" t="inlineStr">
        <is>
          <t>邹桥派出所</t>
        </is>
      </c>
      <c r="E47" s="55" t="n">
        <v>5.5</v>
      </c>
      <c r="F47" s="50" t="n"/>
      <c r="G47" s="55" t="n"/>
      <c r="H47" s="50" t="n"/>
      <c r="I47" s="55" t="n"/>
      <c r="J47" s="50" t="n"/>
      <c r="K47" s="55" t="n"/>
      <c r="L47" s="56" t="n"/>
      <c r="M47" s="57" t="n"/>
      <c r="N47" s="57" t="n"/>
      <c r="O47" s="57" t="n"/>
      <c r="P47" s="57" t="n"/>
      <c r="Q47" s="50" t="inlineStr">
        <is>
          <t>2、3 月合在一起的（截图）</t>
        </is>
      </c>
      <c r="R47" s="58">
        <f t="shared" si="1"/>
        <v>5.5</v>
      </c>
      <c r="S47" s="59">
        <f t="shared" si="2"/>
        <v>350</v>
      </c>
      <c r="T47" s="43" t="str">
        <f t="shared" si="3"/>
        <v>日薪</v>
      </c>
      <c r="U47" s="60">
        <f t="shared" si="4"/>
        <v>1925</v>
      </c>
      <c r="V47" s="60">
        <f t="shared" si="5"/>
        <v>1925</v>
      </c>
      <c r="W47" s="60">
        <f t="shared" si="6"/>
        <v>1925</v>
      </c>
      <c r="X47" s="49" t="str">
        <f t="shared" si="7"/>
        <v>√</v>
      </c>
      <c r="Y47" s="2">
        <f t="shared" si="8"/>
        <v>202603</v>
      </c>
      <c r="Z47" s="2">
        <f t="shared" si="9"/>
        <v>45658</v>
      </c>
      <c r="AA47" s="2">
        <f t="shared" si="10"/>
        <v>350</v>
      </c>
      <c r="AB47" s="2">
        <f t="shared" si="11"/>
        <v>0</v>
      </c>
      <c r="AC47" s="2">
        <f t="shared" si="12"/>
        <v>1925</v>
      </c>
      <c r="AD47" s="2">
        <f t="shared" si="13"/>
        <v>0</v>
      </c>
      <c r="AE47" s="2">
        <f t="shared" si="14"/>
        <v>0</v>
      </c>
      <c r="AF47" s="2">
        <f t="shared" si="15"/>
        <v>0</v>
      </c>
      <c r="AG47" s="2">
        <f t="shared" si="16"/>
        <v>0</v>
      </c>
      <c r="AH47" s="2">
        <f t="shared" si="17"/>
        <v>0</v>
      </c>
      <c r="AI47" s="2" t="str">
        <f t="shared" si="18"/>
        <v>工人</v>
      </c>
    </row>
    <row r="48">
      <c r="A48" s="43">
        <f t="shared" si="0"/>
        <v>44</v>
      </c>
      <c r="B48" s="54" t="n">
        <v>46082</v>
      </c>
      <c r="C48" s="45" t="inlineStr">
        <is>
          <t>钟磊</t>
        </is>
      </c>
      <c r="D48" s="50" t="inlineStr">
        <is>
          <t>邹桥派出所</t>
        </is>
      </c>
      <c r="E48" s="55" t="n">
        <v>5.5</v>
      </c>
      <c r="F48" s="50" t="n"/>
      <c r="G48" s="55" t="n"/>
      <c r="H48" s="50" t="n"/>
      <c r="I48" s="55" t="n"/>
      <c r="J48" s="50" t="n"/>
      <c r="K48" s="55" t="n"/>
      <c r="L48" s="56" t="n"/>
      <c r="M48" s="57" t="n"/>
      <c r="N48" s="57" t="n"/>
      <c r="O48" s="57" t="n"/>
      <c r="P48" s="57" t="n"/>
      <c r="Q48" s="50" t="inlineStr">
        <is>
          <t>2、3 月合在一起的（截图）</t>
        </is>
      </c>
      <c r="R48" s="58">
        <f t="shared" si="1"/>
        <v>5.5</v>
      </c>
      <c r="S48" s="59">
        <f t="shared" si="2"/>
        <v>300</v>
      </c>
      <c r="T48" s="43" t="str">
        <f t="shared" si="3"/>
        <v>日薪</v>
      </c>
      <c r="U48" s="60">
        <f t="shared" si="4"/>
        <v>1650</v>
      </c>
      <c r="V48" s="60">
        <f t="shared" si="5"/>
        <v>1650</v>
      </c>
      <c r="W48" s="60">
        <f t="shared" si="6"/>
        <v>1650</v>
      </c>
      <c r="X48" s="49" t="str">
        <f t="shared" si="7"/>
        <v>√</v>
      </c>
      <c r="Y48" s="2">
        <f t="shared" si="8"/>
        <v>202603</v>
      </c>
      <c r="Z48" s="2">
        <f t="shared" si="9"/>
        <v>45658</v>
      </c>
      <c r="AA48" s="2">
        <f t="shared" si="10"/>
        <v>300</v>
      </c>
      <c r="AB48" s="2">
        <f t="shared" si="11"/>
        <v>0</v>
      </c>
      <c r="AC48" s="2">
        <f t="shared" si="12"/>
        <v>1650</v>
      </c>
      <c r="AD48" s="2">
        <f t="shared" si="13"/>
        <v>0</v>
      </c>
      <c r="AE48" s="2">
        <f t="shared" si="14"/>
        <v>0</v>
      </c>
      <c r="AF48" s="2">
        <f t="shared" si="15"/>
        <v>0</v>
      </c>
      <c r="AG48" s="2">
        <f t="shared" si="16"/>
        <v>0</v>
      </c>
      <c r="AH48" s="2">
        <f t="shared" si="17"/>
        <v>0</v>
      </c>
      <c r="AI48" s="2" t="str">
        <f t="shared" si="18"/>
        <v>工人</v>
      </c>
    </row>
    <row r="49">
      <c r="A49" s="43">
        <f t="shared" si="0"/>
        <v>45</v>
      </c>
      <c r="B49" s="54" t="n">
        <v>46204</v>
      </c>
      <c r="C49" s="45" t="inlineStr">
        <is>
          <t>张洪林</t>
        </is>
      </c>
      <c r="D49" s="50" t="inlineStr">
        <is>
          <t>邹桥派出所</t>
        </is>
      </c>
      <c r="E49" s="55" t="n">
        <v>1</v>
      </c>
      <c r="F49" s="50" t="n"/>
      <c r="G49" s="55" t="n"/>
      <c r="H49" s="50" t="n"/>
      <c r="I49" s="55" t="n"/>
      <c r="J49" s="50" t="n"/>
      <c r="K49" s="55" t="n"/>
      <c r="L49" s="56" t="n">
        <v>1200</v>
      </c>
      <c r="M49" s="57" t="n"/>
      <c r="N49" s="57" t="n"/>
      <c r="O49" s="57" t="n">
        <v>80</v>
      </c>
      <c r="P49" s="57" t="n"/>
      <c r="Q49" s="50" t="inlineStr">
        <is>
          <t>搬运保温棉 1 天（流水 7/31 实发 1,120）</t>
        </is>
      </c>
      <c r="R49" s="58">
        <f t="shared" si="1"/>
        <v>1</v>
      </c>
      <c r="S49" s="59">
        <f t="shared" si="2"/>
        <v>1200</v>
      </c>
      <c r="T49" s="43" t="str">
        <f t="shared" si="3"/>
        <v>日薪</v>
      </c>
      <c r="U49" s="60">
        <f t="shared" si="4"/>
        <v>1200</v>
      </c>
      <c r="V49" s="60">
        <f t="shared" si="5"/>
        <v>1200</v>
      </c>
      <c r="W49" s="60">
        <f t="shared" si="6"/>
        <v>1120</v>
      </c>
      <c r="X49" s="49" t="str">
        <f t="shared" si="7"/>
        <v>√</v>
      </c>
      <c r="Y49" s="2">
        <f t="shared" si="8"/>
        <v>202607</v>
      </c>
      <c r="Z49" s="2">
        <f t="shared" si="9"/>
        <v>0</v>
      </c>
      <c r="AA49" s="2">
        <f t="shared" si="10"/>
        <v>0</v>
      </c>
      <c r="AB49" s="2">
        <f t="shared" si="11"/>
        <v>0</v>
      </c>
      <c r="AC49" s="2">
        <f t="shared" si="12"/>
        <v>1200</v>
      </c>
      <c r="AD49" s="2">
        <f t="shared" si="13"/>
        <v>0</v>
      </c>
      <c r="AE49" s="2">
        <f t="shared" si="14"/>
        <v>0</v>
      </c>
      <c r="AF49" s="2">
        <f t="shared" si="15"/>
        <v>0</v>
      </c>
      <c r="AG49" s="2">
        <f t="shared" si="16"/>
        <v>0</v>
      </c>
      <c r="AH49" s="2">
        <f t="shared" si="17"/>
        <v>0</v>
      </c>
      <c r="AI49" s="2" t="str">
        <f t="shared" si="18"/>
        <v>工人</v>
      </c>
    </row>
    <row r="50">
      <c r="A50" s="43">
        <f t="shared" si="0"/>
      </c>
      <c r="B50" s="54" t="n"/>
      <c r="C50" s="45" t="n"/>
      <c r="D50" s="50" t="n"/>
      <c r="E50" s="55" t="n"/>
      <c r="F50" s="50" t="n"/>
      <c r="G50" s="55" t="n"/>
      <c r="H50" s="50" t="n"/>
      <c r="I50" s="55" t="n"/>
      <c r="J50" s="50" t="n"/>
      <c r="K50" s="55" t="n"/>
      <c r="L50" s="56" t="n"/>
      <c r="M50" s="57" t="n"/>
      <c r="N50" s="57" t="n"/>
      <c r="O50" s="57" t="n"/>
      <c r="P50" s="57" t="n"/>
      <c r="Q50" s="50" t="n"/>
      <c r="R50" s="58">
        <f t="shared" si="1"/>
      </c>
      <c r="S50" s="59">
        <f t="shared" si="2"/>
      </c>
      <c r="T50" s="43">
        <f t="shared" si="3"/>
      </c>
      <c r="U50" s="60">
        <f t="shared" si="4"/>
      </c>
      <c r="V50" s="60">
        <f t="shared" si="5"/>
      </c>
      <c r="W50" s="60">
        <f t="shared" si="6"/>
      </c>
      <c r="X50" s="49">
        <f t="shared" si="7"/>
      </c>
      <c r="Y50" s="2">
        <f t="shared" si="8"/>
      </c>
      <c r="Z50" s="2">
        <f t="shared" si="9"/>
        <v>0</v>
      </c>
      <c r="AA50" s="2">
        <f t="shared" si="10"/>
        <v>0</v>
      </c>
      <c r="AB50" s="2">
        <f t="shared" si="11"/>
        <v>0</v>
      </c>
      <c r="AC50" s="2">
        <f t="shared" si="12"/>
        <v>0</v>
      </c>
      <c r="AD50" s="2">
        <f t="shared" si="13"/>
        <v>0</v>
      </c>
      <c r="AE50" s="2">
        <f t="shared" si="14"/>
        <v>0</v>
      </c>
      <c r="AF50" s="2">
        <f t="shared" si="15"/>
        <v>0</v>
      </c>
      <c r="AG50" s="2">
        <f t="shared" si="16"/>
        <v>0</v>
      </c>
      <c r="AH50" s="2">
        <f t="shared" si="17"/>
        <v>0</v>
      </c>
      <c r="AI50" s="2">
        <f t="shared" si="18"/>
      </c>
    </row>
    <row r="51">
      <c r="A51" s="43">
        <f t="shared" si="0"/>
      </c>
      <c r="B51" s="54" t="n"/>
      <c r="C51" s="45" t="n"/>
      <c r="D51" s="50" t="n"/>
      <c r="E51" s="55" t="n"/>
      <c r="F51" s="50" t="n"/>
      <c r="G51" s="55" t="n"/>
      <c r="H51" s="50" t="n"/>
      <c r="I51" s="55" t="n"/>
      <c r="J51" s="50" t="n"/>
      <c r="K51" s="55" t="n"/>
      <c r="L51" s="56" t="n"/>
      <c r="M51" s="57" t="n"/>
      <c r="N51" s="57" t="n"/>
      <c r="O51" s="57" t="n"/>
      <c r="P51" s="57" t="n"/>
      <c r="Q51" s="50" t="n"/>
      <c r="R51" s="58">
        <f t="shared" si="1"/>
      </c>
      <c r="S51" s="59">
        <f t="shared" si="2"/>
      </c>
      <c r="T51" s="43">
        <f t="shared" si="3"/>
      </c>
      <c r="U51" s="60">
        <f t="shared" si="4"/>
      </c>
      <c r="V51" s="60">
        <f t="shared" si="5"/>
      </c>
      <c r="W51" s="60">
        <f t="shared" si="6"/>
      </c>
      <c r="X51" s="49">
        <f t="shared" si="7"/>
      </c>
      <c r="Y51" s="2">
        <f t="shared" si="8"/>
      </c>
      <c r="Z51" s="2">
        <f t="shared" si="9"/>
        <v>0</v>
      </c>
      <c r="AA51" s="2">
        <f t="shared" si="10"/>
        <v>0</v>
      </c>
      <c r="AB51" s="2">
        <f t="shared" si="11"/>
        <v>0</v>
      </c>
      <c r="AC51" s="2">
        <f t="shared" si="12"/>
        <v>0</v>
      </c>
      <c r="AD51" s="2">
        <f t="shared" si="13"/>
        <v>0</v>
      </c>
      <c r="AE51" s="2">
        <f t="shared" si="14"/>
        <v>0</v>
      </c>
      <c r="AF51" s="2">
        <f t="shared" si="15"/>
        <v>0</v>
      </c>
      <c r="AG51" s="2">
        <f t="shared" si="16"/>
        <v>0</v>
      </c>
      <c r="AH51" s="2">
        <f t="shared" si="17"/>
        <v>0</v>
      </c>
      <c r="AI51" s="2">
        <f t="shared" si="18"/>
      </c>
    </row>
    <row r="52">
      <c r="A52" s="43">
        <f t="shared" si="0"/>
      </c>
      <c r="B52" s="54" t="n"/>
      <c r="C52" s="45" t="n"/>
      <c r="D52" s="50" t="n"/>
      <c r="E52" s="55" t="n"/>
      <c r="F52" s="50" t="n"/>
      <c r="G52" s="55" t="n"/>
      <c r="H52" s="50" t="n"/>
      <c r="I52" s="55" t="n"/>
      <c r="J52" s="50" t="n"/>
      <c r="K52" s="55" t="n"/>
      <c r="L52" s="56" t="n"/>
      <c r="M52" s="57" t="n"/>
      <c r="N52" s="57" t="n"/>
      <c r="O52" s="57" t="n"/>
      <c r="P52" s="57" t="n"/>
      <c r="Q52" s="50" t="n"/>
      <c r="R52" s="58">
        <f t="shared" si="1"/>
      </c>
      <c r="S52" s="59">
        <f t="shared" si="2"/>
      </c>
      <c r="T52" s="43">
        <f t="shared" si="3"/>
      </c>
      <c r="U52" s="60">
        <f t="shared" si="4"/>
      </c>
      <c r="V52" s="60">
        <f t="shared" si="5"/>
      </c>
      <c r="W52" s="60">
        <f t="shared" si="6"/>
      </c>
      <c r="X52" s="49">
        <f t="shared" si="7"/>
      </c>
      <c r="Y52" s="2">
        <f t="shared" si="8"/>
      </c>
      <c r="Z52" s="2">
        <f t="shared" si="9"/>
        <v>0</v>
      </c>
      <c r="AA52" s="2">
        <f t="shared" si="10"/>
        <v>0</v>
      </c>
      <c r="AB52" s="2">
        <f t="shared" si="11"/>
        <v>0</v>
      </c>
      <c r="AC52" s="2">
        <f t="shared" si="12"/>
        <v>0</v>
      </c>
      <c r="AD52" s="2">
        <f t="shared" si="13"/>
        <v>0</v>
      </c>
      <c r="AE52" s="2">
        <f t="shared" si="14"/>
        <v>0</v>
      </c>
      <c r="AF52" s="2">
        <f t="shared" si="15"/>
        <v>0</v>
      </c>
      <c r="AG52" s="2">
        <f t="shared" si="16"/>
        <v>0</v>
      </c>
      <c r="AH52" s="2">
        <f t="shared" si="17"/>
        <v>0</v>
      </c>
      <c r="AI52" s="2">
        <f t="shared" si="18"/>
      </c>
    </row>
    <row r="53">
      <c r="A53" s="43">
        <f t="shared" si="0"/>
      </c>
      <c r="B53" s="54" t="n"/>
      <c r="C53" s="45" t="n"/>
      <c r="D53" s="50" t="n"/>
      <c r="E53" s="55" t="n"/>
      <c r="F53" s="50" t="n"/>
      <c r="G53" s="55" t="n"/>
      <c r="H53" s="50" t="n"/>
      <c r="I53" s="55" t="n"/>
      <c r="J53" s="50" t="n"/>
      <c r="K53" s="55" t="n"/>
      <c r="L53" s="56" t="n"/>
      <c r="M53" s="57" t="n"/>
      <c r="N53" s="57" t="n"/>
      <c r="O53" s="57" t="n"/>
      <c r="P53" s="57" t="n"/>
      <c r="Q53" s="50" t="n"/>
      <c r="R53" s="58">
        <f t="shared" si="1"/>
      </c>
      <c r="S53" s="59">
        <f t="shared" si="2"/>
      </c>
      <c r="T53" s="43">
        <f t="shared" si="3"/>
      </c>
      <c r="U53" s="60">
        <f t="shared" si="4"/>
      </c>
      <c r="V53" s="60">
        <f t="shared" si="5"/>
      </c>
      <c r="W53" s="60">
        <f t="shared" si="6"/>
      </c>
      <c r="X53" s="49">
        <f t="shared" si="7"/>
      </c>
      <c r="Y53" s="2">
        <f t="shared" si="8"/>
      </c>
      <c r="Z53" s="2">
        <f t="shared" si="9"/>
        <v>0</v>
      </c>
      <c r="AA53" s="2">
        <f t="shared" si="10"/>
        <v>0</v>
      </c>
      <c r="AB53" s="2">
        <f t="shared" si="11"/>
        <v>0</v>
      </c>
      <c r="AC53" s="2">
        <f t="shared" si="12"/>
        <v>0</v>
      </c>
      <c r="AD53" s="2">
        <f t="shared" si="13"/>
        <v>0</v>
      </c>
      <c r="AE53" s="2">
        <f t="shared" si="14"/>
        <v>0</v>
      </c>
      <c r="AF53" s="2">
        <f t="shared" si="15"/>
        <v>0</v>
      </c>
      <c r="AG53" s="2">
        <f t="shared" si="16"/>
        <v>0</v>
      </c>
      <c r="AH53" s="2">
        <f t="shared" si="17"/>
        <v>0</v>
      </c>
      <c r="AI53" s="2">
        <f t="shared" si="18"/>
      </c>
    </row>
    <row r="54">
      <c r="A54" s="43">
        <f t="shared" si="0"/>
      </c>
      <c r="B54" s="54" t="n"/>
      <c r="C54" s="45" t="n"/>
      <c r="D54" s="50" t="n"/>
      <c r="E54" s="55" t="n"/>
      <c r="F54" s="50" t="n"/>
      <c r="G54" s="55" t="n"/>
      <c r="H54" s="50" t="n"/>
      <c r="I54" s="55" t="n"/>
      <c r="J54" s="50" t="n"/>
      <c r="K54" s="55" t="n"/>
      <c r="L54" s="56" t="n"/>
      <c r="M54" s="57" t="n"/>
      <c r="N54" s="57" t="n"/>
      <c r="O54" s="57" t="n"/>
      <c r="P54" s="57" t="n"/>
      <c r="Q54" s="50" t="n"/>
      <c r="R54" s="58">
        <f t="shared" si="1"/>
      </c>
      <c r="S54" s="59">
        <f t="shared" si="2"/>
      </c>
      <c r="T54" s="43">
        <f t="shared" si="3"/>
      </c>
      <c r="U54" s="60">
        <f t="shared" si="4"/>
      </c>
      <c r="V54" s="60">
        <f t="shared" si="5"/>
      </c>
      <c r="W54" s="60">
        <f t="shared" si="6"/>
      </c>
      <c r="X54" s="49">
        <f t="shared" si="7"/>
      </c>
      <c r="Y54" s="2">
        <f t="shared" si="8"/>
      </c>
      <c r="Z54" s="2">
        <f t="shared" si="9"/>
        <v>0</v>
      </c>
      <c r="AA54" s="2">
        <f t="shared" si="10"/>
        <v>0</v>
      </c>
      <c r="AB54" s="2">
        <f t="shared" si="11"/>
        <v>0</v>
      </c>
      <c r="AC54" s="2">
        <f t="shared" si="12"/>
        <v>0</v>
      </c>
      <c r="AD54" s="2">
        <f t="shared" si="13"/>
        <v>0</v>
      </c>
      <c r="AE54" s="2">
        <f t="shared" si="14"/>
        <v>0</v>
      </c>
      <c r="AF54" s="2">
        <f t="shared" si="15"/>
        <v>0</v>
      </c>
      <c r="AG54" s="2">
        <f t="shared" si="16"/>
        <v>0</v>
      </c>
      <c r="AH54" s="2">
        <f t="shared" si="17"/>
        <v>0</v>
      </c>
      <c r="AI54" s="2">
        <f t="shared" si="18"/>
      </c>
    </row>
    <row r="55">
      <c r="A55" s="43">
        <f t="shared" si="0"/>
      </c>
      <c r="B55" s="54" t="n"/>
      <c r="C55" s="45" t="n"/>
      <c r="D55" s="50" t="n"/>
      <c r="E55" s="55" t="n"/>
      <c r="F55" s="50" t="n"/>
      <c r="G55" s="55" t="n"/>
      <c r="H55" s="50" t="n"/>
      <c r="I55" s="55" t="n"/>
      <c r="J55" s="50" t="n"/>
      <c r="K55" s="55" t="n"/>
      <c r="L55" s="56" t="n"/>
      <c r="M55" s="57" t="n"/>
      <c r="N55" s="57" t="n"/>
      <c r="O55" s="57" t="n"/>
      <c r="P55" s="57" t="n"/>
      <c r="Q55" s="50" t="n"/>
      <c r="R55" s="58">
        <f t="shared" si="1"/>
      </c>
      <c r="S55" s="59">
        <f t="shared" si="2"/>
      </c>
      <c r="T55" s="43">
        <f t="shared" si="3"/>
      </c>
      <c r="U55" s="60">
        <f t="shared" si="4"/>
      </c>
      <c r="V55" s="60">
        <f t="shared" si="5"/>
      </c>
      <c r="W55" s="60">
        <f t="shared" si="6"/>
      </c>
      <c r="X55" s="49">
        <f t="shared" si="7"/>
      </c>
      <c r="Y55" s="2">
        <f t="shared" si="8"/>
      </c>
      <c r="Z55" s="2">
        <f t="shared" si="9"/>
        <v>0</v>
      </c>
      <c r="AA55" s="2">
        <f t="shared" si="10"/>
        <v>0</v>
      </c>
      <c r="AB55" s="2">
        <f t="shared" si="11"/>
        <v>0</v>
      </c>
      <c r="AC55" s="2">
        <f t="shared" si="12"/>
        <v>0</v>
      </c>
      <c r="AD55" s="2">
        <f t="shared" si="13"/>
        <v>0</v>
      </c>
      <c r="AE55" s="2">
        <f t="shared" si="14"/>
        <v>0</v>
      </c>
      <c r="AF55" s="2">
        <f t="shared" si="15"/>
        <v>0</v>
      </c>
      <c r="AG55" s="2">
        <f t="shared" si="16"/>
        <v>0</v>
      </c>
      <c r="AH55" s="2">
        <f t="shared" si="17"/>
        <v>0</v>
      </c>
      <c r="AI55" s="2">
        <f t="shared" si="18"/>
      </c>
    </row>
    <row r="56">
      <c r="A56" s="43">
        <f t="shared" si="0"/>
      </c>
      <c r="B56" s="54" t="n"/>
      <c r="C56" s="45" t="n"/>
      <c r="D56" s="50" t="n"/>
      <c r="E56" s="55" t="n"/>
      <c r="F56" s="50" t="n"/>
      <c r="G56" s="55" t="n"/>
      <c r="H56" s="50" t="n"/>
      <c r="I56" s="55" t="n"/>
      <c r="J56" s="50" t="n"/>
      <c r="K56" s="55" t="n"/>
      <c r="L56" s="56" t="n"/>
      <c r="M56" s="57" t="n"/>
      <c r="N56" s="57" t="n"/>
      <c r="O56" s="57" t="n"/>
      <c r="P56" s="57" t="n"/>
      <c r="Q56" s="50" t="n"/>
      <c r="R56" s="58">
        <f t="shared" si="1"/>
      </c>
      <c r="S56" s="59">
        <f t="shared" si="2"/>
      </c>
      <c r="T56" s="43">
        <f t="shared" si="3"/>
      </c>
      <c r="U56" s="60">
        <f t="shared" si="4"/>
      </c>
      <c r="V56" s="60">
        <f t="shared" si="5"/>
      </c>
      <c r="W56" s="60">
        <f t="shared" si="6"/>
      </c>
      <c r="X56" s="49">
        <f t="shared" si="7"/>
      </c>
      <c r="Y56" s="2">
        <f t="shared" si="8"/>
      </c>
      <c r="Z56" s="2">
        <f t="shared" si="9"/>
        <v>0</v>
      </c>
      <c r="AA56" s="2">
        <f t="shared" si="10"/>
        <v>0</v>
      </c>
      <c r="AB56" s="2">
        <f t="shared" si="11"/>
        <v>0</v>
      </c>
      <c r="AC56" s="2">
        <f t="shared" si="12"/>
        <v>0</v>
      </c>
      <c r="AD56" s="2">
        <f t="shared" si="13"/>
        <v>0</v>
      </c>
      <c r="AE56" s="2">
        <f t="shared" si="14"/>
        <v>0</v>
      </c>
      <c r="AF56" s="2">
        <f t="shared" si="15"/>
        <v>0</v>
      </c>
      <c r="AG56" s="2">
        <f t="shared" si="16"/>
        <v>0</v>
      </c>
      <c r="AH56" s="2">
        <f t="shared" si="17"/>
        <v>0</v>
      </c>
      <c r="AI56" s="2">
        <f t="shared" si="18"/>
      </c>
    </row>
    <row r="57">
      <c r="A57" s="43">
        <f t="shared" si="0"/>
      </c>
      <c r="B57" s="54" t="n"/>
      <c r="C57" s="45" t="n"/>
      <c r="D57" s="50" t="n"/>
      <c r="E57" s="55" t="n"/>
      <c r="F57" s="50" t="n"/>
      <c r="G57" s="55" t="n"/>
      <c r="H57" s="50" t="n"/>
      <c r="I57" s="55" t="n"/>
      <c r="J57" s="50" t="n"/>
      <c r="K57" s="55" t="n"/>
      <c r="L57" s="56" t="n"/>
      <c r="M57" s="57" t="n"/>
      <c r="N57" s="57" t="n"/>
      <c r="O57" s="57" t="n"/>
      <c r="P57" s="57" t="n"/>
      <c r="Q57" s="50" t="n"/>
      <c r="R57" s="58">
        <f t="shared" si="1"/>
      </c>
      <c r="S57" s="59">
        <f t="shared" si="2"/>
      </c>
      <c r="T57" s="43">
        <f t="shared" si="3"/>
      </c>
      <c r="U57" s="60">
        <f t="shared" si="4"/>
      </c>
      <c r="V57" s="60">
        <f t="shared" si="5"/>
      </c>
      <c r="W57" s="60">
        <f t="shared" si="6"/>
      </c>
      <c r="X57" s="49">
        <f t="shared" si="7"/>
      </c>
      <c r="Y57" s="2">
        <f t="shared" si="8"/>
      </c>
      <c r="Z57" s="2">
        <f t="shared" si="9"/>
        <v>0</v>
      </c>
      <c r="AA57" s="2">
        <f t="shared" si="10"/>
        <v>0</v>
      </c>
      <c r="AB57" s="2">
        <f t="shared" si="11"/>
        <v>0</v>
      </c>
      <c r="AC57" s="2">
        <f t="shared" si="12"/>
        <v>0</v>
      </c>
      <c r="AD57" s="2">
        <f t="shared" si="13"/>
        <v>0</v>
      </c>
      <c r="AE57" s="2">
        <f t="shared" si="14"/>
        <v>0</v>
      </c>
      <c r="AF57" s="2">
        <f t="shared" si="15"/>
        <v>0</v>
      </c>
      <c r="AG57" s="2">
        <f t="shared" si="16"/>
        <v>0</v>
      </c>
      <c r="AH57" s="2">
        <f t="shared" si="17"/>
        <v>0</v>
      </c>
      <c r="AI57" s="2">
        <f t="shared" si="18"/>
      </c>
    </row>
    <row r="58">
      <c r="A58" s="43">
        <f t="shared" si="0"/>
      </c>
      <c r="B58" s="54" t="n"/>
      <c r="C58" s="45" t="n"/>
      <c r="D58" s="50" t="n"/>
      <c r="E58" s="55" t="n"/>
      <c r="F58" s="50" t="n"/>
      <c r="G58" s="55" t="n"/>
      <c r="H58" s="50" t="n"/>
      <c r="I58" s="55" t="n"/>
      <c r="J58" s="50" t="n"/>
      <c r="K58" s="55" t="n"/>
      <c r="L58" s="56" t="n"/>
      <c r="M58" s="57" t="n"/>
      <c r="N58" s="57" t="n"/>
      <c r="O58" s="57" t="n"/>
      <c r="P58" s="57" t="n"/>
      <c r="Q58" s="50" t="n"/>
      <c r="R58" s="58">
        <f t="shared" si="1"/>
      </c>
      <c r="S58" s="59">
        <f t="shared" si="2"/>
      </c>
      <c r="T58" s="43">
        <f t="shared" si="3"/>
      </c>
      <c r="U58" s="60">
        <f t="shared" si="4"/>
      </c>
      <c r="V58" s="60">
        <f t="shared" si="5"/>
      </c>
      <c r="W58" s="60">
        <f t="shared" si="6"/>
      </c>
      <c r="X58" s="49">
        <f t="shared" si="7"/>
      </c>
      <c r="Y58" s="2">
        <f t="shared" si="8"/>
      </c>
      <c r="Z58" s="2">
        <f t="shared" si="9"/>
        <v>0</v>
      </c>
      <c r="AA58" s="2">
        <f t="shared" si="10"/>
        <v>0</v>
      </c>
      <c r="AB58" s="2">
        <f t="shared" si="11"/>
        <v>0</v>
      </c>
      <c r="AC58" s="2">
        <f t="shared" si="12"/>
        <v>0</v>
      </c>
      <c r="AD58" s="2">
        <f t="shared" si="13"/>
        <v>0</v>
      </c>
      <c r="AE58" s="2">
        <f t="shared" si="14"/>
        <v>0</v>
      </c>
      <c r="AF58" s="2">
        <f t="shared" si="15"/>
        <v>0</v>
      </c>
      <c r="AG58" s="2">
        <f t="shared" si="16"/>
        <v>0</v>
      </c>
      <c r="AH58" s="2">
        <f t="shared" si="17"/>
        <v>0</v>
      </c>
      <c r="AI58" s="2">
        <f t="shared" si="18"/>
      </c>
    </row>
    <row r="59">
      <c r="A59" s="43">
        <f t="shared" si="0"/>
      </c>
      <c r="B59" s="54" t="n"/>
      <c r="C59" s="45" t="n"/>
      <c r="D59" s="50" t="n"/>
      <c r="E59" s="55" t="n"/>
      <c r="F59" s="50" t="n"/>
      <c r="G59" s="55" t="n"/>
      <c r="H59" s="50" t="n"/>
      <c r="I59" s="55" t="n"/>
      <c r="J59" s="50" t="n"/>
      <c r="K59" s="55" t="n"/>
      <c r="L59" s="56" t="n"/>
      <c r="M59" s="57" t="n"/>
      <c r="N59" s="57" t="n"/>
      <c r="O59" s="57" t="n"/>
      <c r="P59" s="57" t="n"/>
      <c r="Q59" s="50" t="n"/>
      <c r="R59" s="58">
        <f t="shared" si="1"/>
      </c>
      <c r="S59" s="59">
        <f t="shared" si="2"/>
      </c>
      <c r="T59" s="43">
        <f t="shared" si="3"/>
      </c>
      <c r="U59" s="60">
        <f t="shared" si="4"/>
      </c>
      <c r="V59" s="60">
        <f t="shared" si="5"/>
      </c>
      <c r="W59" s="60">
        <f t="shared" si="6"/>
      </c>
      <c r="X59" s="49">
        <f t="shared" si="7"/>
      </c>
      <c r="Y59" s="2">
        <f t="shared" si="8"/>
      </c>
      <c r="Z59" s="2">
        <f t="shared" si="9"/>
        <v>0</v>
      </c>
      <c r="AA59" s="2">
        <f t="shared" si="10"/>
        <v>0</v>
      </c>
      <c r="AB59" s="2">
        <f t="shared" si="11"/>
        <v>0</v>
      </c>
      <c r="AC59" s="2">
        <f t="shared" si="12"/>
        <v>0</v>
      </c>
      <c r="AD59" s="2">
        <f t="shared" si="13"/>
        <v>0</v>
      </c>
      <c r="AE59" s="2">
        <f t="shared" si="14"/>
        <v>0</v>
      </c>
      <c r="AF59" s="2">
        <f t="shared" si="15"/>
        <v>0</v>
      </c>
      <c r="AG59" s="2">
        <f t="shared" si="16"/>
        <v>0</v>
      </c>
      <c r="AH59" s="2">
        <f t="shared" si="17"/>
        <v>0</v>
      </c>
      <c r="AI59" s="2">
        <f t="shared" si="18"/>
      </c>
    </row>
    <row r="60">
      <c r="A60" s="43">
        <f t="shared" si="0"/>
      </c>
      <c r="B60" s="54" t="n"/>
      <c r="C60" s="45" t="n"/>
      <c r="D60" s="50" t="n"/>
      <c r="E60" s="55" t="n"/>
      <c r="F60" s="50" t="n"/>
      <c r="G60" s="55" t="n"/>
      <c r="H60" s="50" t="n"/>
      <c r="I60" s="55" t="n"/>
      <c r="J60" s="50" t="n"/>
      <c r="K60" s="55" t="n"/>
      <c r="L60" s="56" t="n"/>
      <c r="M60" s="57" t="n"/>
      <c r="N60" s="57" t="n"/>
      <c r="O60" s="57" t="n"/>
      <c r="P60" s="57" t="n"/>
      <c r="Q60" s="50" t="n"/>
      <c r="R60" s="58">
        <f t="shared" si="1"/>
      </c>
      <c r="S60" s="59">
        <f t="shared" si="2"/>
      </c>
      <c r="T60" s="43">
        <f t="shared" si="3"/>
      </c>
      <c r="U60" s="60">
        <f t="shared" si="4"/>
      </c>
      <c r="V60" s="60">
        <f t="shared" si="5"/>
      </c>
      <c r="W60" s="60">
        <f t="shared" si="6"/>
      </c>
      <c r="X60" s="49">
        <f t="shared" si="7"/>
      </c>
      <c r="Y60" s="2">
        <f t="shared" si="8"/>
      </c>
      <c r="Z60" s="2">
        <f t="shared" si="9"/>
        <v>0</v>
      </c>
      <c r="AA60" s="2">
        <f t="shared" si="10"/>
        <v>0</v>
      </c>
      <c r="AB60" s="2">
        <f t="shared" si="11"/>
        <v>0</v>
      </c>
      <c r="AC60" s="2">
        <f t="shared" si="12"/>
        <v>0</v>
      </c>
      <c r="AD60" s="2">
        <f t="shared" si="13"/>
        <v>0</v>
      </c>
      <c r="AE60" s="2">
        <f t="shared" si="14"/>
        <v>0</v>
      </c>
      <c r="AF60" s="2">
        <f t="shared" si="15"/>
        <v>0</v>
      </c>
      <c r="AG60" s="2">
        <f t="shared" si="16"/>
        <v>0</v>
      </c>
      <c r="AH60" s="2">
        <f t="shared" si="17"/>
        <v>0</v>
      </c>
      <c r="AI60" s="2">
        <f t="shared" si="18"/>
      </c>
    </row>
    <row r="61">
      <c r="A61" s="43">
        <f t="shared" si="0"/>
      </c>
      <c r="B61" s="54" t="n"/>
      <c r="C61" s="45" t="n"/>
      <c r="D61" s="50" t="n"/>
      <c r="E61" s="55" t="n"/>
      <c r="F61" s="50" t="n"/>
      <c r="G61" s="55" t="n"/>
      <c r="H61" s="50" t="n"/>
      <c r="I61" s="55" t="n"/>
      <c r="J61" s="50" t="n"/>
      <c r="K61" s="55" t="n"/>
      <c r="L61" s="56" t="n"/>
      <c r="M61" s="57" t="n"/>
      <c r="N61" s="57" t="n"/>
      <c r="O61" s="57" t="n"/>
      <c r="P61" s="57" t="n"/>
      <c r="Q61" s="50" t="n"/>
      <c r="R61" s="58">
        <f t="shared" si="1"/>
      </c>
      <c r="S61" s="59">
        <f t="shared" si="2"/>
      </c>
      <c r="T61" s="43">
        <f t="shared" si="3"/>
      </c>
      <c r="U61" s="60">
        <f t="shared" si="4"/>
      </c>
      <c r="V61" s="60">
        <f t="shared" si="5"/>
      </c>
      <c r="W61" s="60">
        <f t="shared" si="6"/>
      </c>
      <c r="X61" s="49">
        <f t="shared" si="7"/>
      </c>
      <c r="Y61" s="2">
        <f t="shared" si="8"/>
      </c>
      <c r="Z61" s="2">
        <f t="shared" si="9"/>
        <v>0</v>
      </c>
      <c r="AA61" s="2">
        <f t="shared" si="10"/>
        <v>0</v>
      </c>
      <c r="AB61" s="2">
        <f t="shared" si="11"/>
        <v>0</v>
      </c>
      <c r="AC61" s="2">
        <f t="shared" si="12"/>
        <v>0</v>
      </c>
      <c r="AD61" s="2">
        <f t="shared" si="13"/>
        <v>0</v>
      </c>
      <c r="AE61" s="2">
        <f t="shared" si="14"/>
        <v>0</v>
      </c>
      <c r="AF61" s="2">
        <f t="shared" si="15"/>
        <v>0</v>
      </c>
      <c r="AG61" s="2">
        <f t="shared" si="16"/>
        <v>0</v>
      </c>
      <c r="AH61" s="2">
        <f t="shared" si="17"/>
        <v>0</v>
      </c>
      <c r="AI61" s="2">
        <f t="shared" si="18"/>
      </c>
    </row>
    <row r="62">
      <c r="A62" s="43">
        <f t="shared" si="0"/>
      </c>
      <c r="B62" s="54" t="n"/>
      <c r="C62" s="45" t="n"/>
      <c r="D62" s="50" t="n"/>
      <c r="E62" s="55" t="n"/>
      <c r="F62" s="50" t="n"/>
      <c r="G62" s="55" t="n"/>
      <c r="H62" s="50" t="n"/>
      <c r="I62" s="55" t="n"/>
      <c r="J62" s="50" t="n"/>
      <c r="K62" s="55" t="n"/>
      <c r="L62" s="56" t="n"/>
      <c r="M62" s="57" t="n"/>
      <c r="N62" s="57" t="n"/>
      <c r="O62" s="57" t="n"/>
      <c r="P62" s="57" t="n"/>
      <c r="Q62" s="50" t="n"/>
      <c r="R62" s="58">
        <f t="shared" si="1"/>
      </c>
      <c r="S62" s="59">
        <f t="shared" si="2"/>
      </c>
      <c r="T62" s="43">
        <f t="shared" si="3"/>
      </c>
      <c r="U62" s="60">
        <f t="shared" si="4"/>
      </c>
      <c r="V62" s="60">
        <f t="shared" si="5"/>
      </c>
      <c r="W62" s="60">
        <f t="shared" si="6"/>
      </c>
      <c r="X62" s="49">
        <f t="shared" si="7"/>
      </c>
      <c r="Y62" s="2">
        <f t="shared" si="8"/>
      </c>
      <c r="Z62" s="2">
        <f t="shared" si="9"/>
        <v>0</v>
      </c>
      <c r="AA62" s="2">
        <f t="shared" si="10"/>
        <v>0</v>
      </c>
      <c r="AB62" s="2">
        <f t="shared" si="11"/>
        <v>0</v>
      </c>
      <c r="AC62" s="2">
        <f t="shared" si="12"/>
        <v>0</v>
      </c>
      <c r="AD62" s="2">
        <f t="shared" si="13"/>
        <v>0</v>
      </c>
      <c r="AE62" s="2">
        <f t="shared" si="14"/>
        <v>0</v>
      </c>
      <c r="AF62" s="2">
        <f t="shared" si="15"/>
        <v>0</v>
      </c>
      <c r="AG62" s="2">
        <f t="shared" si="16"/>
        <v>0</v>
      </c>
      <c r="AH62" s="2">
        <f t="shared" si="17"/>
        <v>0</v>
      </c>
      <c r="AI62" s="2">
        <f t="shared" si="18"/>
      </c>
    </row>
    <row r="63">
      <c r="A63" s="43">
        <f t="shared" si="0"/>
      </c>
      <c r="B63" s="54" t="n"/>
      <c r="C63" s="45" t="n"/>
      <c r="D63" s="50" t="n"/>
      <c r="E63" s="55" t="n"/>
      <c r="F63" s="50" t="n"/>
      <c r="G63" s="55" t="n"/>
      <c r="H63" s="50" t="n"/>
      <c r="I63" s="55" t="n"/>
      <c r="J63" s="50" t="n"/>
      <c r="K63" s="55" t="n"/>
      <c r="L63" s="56" t="n"/>
      <c r="M63" s="57" t="n"/>
      <c r="N63" s="57" t="n"/>
      <c r="O63" s="57" t="n"/>
      <c r="P63" s="57" t="n"/>
      <c r="Q63" s="50" t="n"/>
      <c r="R63" s="58">
        <f t="shared" si="1"/>
      </c>
      <c r="S63" s="59">
        <f t="shared" si="2"/>
      </c>
      <c r="T63" s="43">
        <f t="shared" si="3"/>
      </c>
      <c r="U63" s="60">
        <f t="shared" si="4"/>
      </c>
      <c r="V63" s="60">
        <f t="shared" si="5"/>
      </c>
      <c r="W63" s="60">
        <f t="shared" si="6"/>
      </c>
      <c r="X63" s="49">
        <f t="shared" si="7"/>
      </c>
      <c r="Y63" s="2">
        <f t="shared" si="8"/>
      </c>
      <c r="Z63" s="2">
        <f t="shared" si="9"/>
        <v>0</v>
      </c>
      <c r="AA63" s="2">
        <f t="shared" si="10"/>
        <v>0</v>
      </c>
      <c r="AB63" s="2">
        <f t="shared" si="11"/>
        <v>0</v>
      </c>
      <c r="AC63" s="2">
        <f t="shared" si="12"/>
        <v>0</v>
      </c>
      <c r="AD63" s="2">
        <f t="shared" si="13"/>
        <v>0</v>
      </c>
      <c r="AE63" s="2">
        <f t="shared" si="14"/>
        <v>0</v>
      </c>
      <c r="AF63" s="2">
        <f t="shared" si="15"/>
        <v>0</v>
      </c>
      <c r="AG63" s="2">
        <f t="shared" si="16"/>
        <v>0</v>
      </c>
      <c r="AH63" s="2">
        <f t="shared" si="17"/>
        <v>0</v>
      </c>
      <c r="AI63" s="2">
        <f t="shared" si="18"/>
      </c>
    </row>
    <row r="64">
      <c r="A64" s="43">
        <f t="shared" si="0"/>
      </c>
      <c r="B64" s="54" t="n"/>
      <c r="C64" s="45" t="n"/>
      <c r="D64" s="50" t="n"/>
      <c r="E64" s="55" t="n"/>
      <c r="F64" s="50" t="n"/>
      <c r="G64" s="55" t="n"/>
      <c r="H64" s="50" t="n"/>
      <c r="I64" s="55" t="n"/>
      <c r="J64" s="50" t="n"/>
      <c r="K64" s="55" t="n"/>
      <c r="L64" s="56" t="n"/>
      <c r="M64" s="57" t="n"/>
      <c r="N64" s="57" t="n"/>
      <c r="O64" s="57" t="n"/>
      <c r="P64" s="57" t="n"/>
      <c r="Q64" s="50" t="n"/>
      <c r="R64" s="58">
        <f t="shared" si="1"/>
      </c>
      <c r="S64" s="59">
        <f t="shared" si="2"/>
      </c>
      <c r="T64" s="43">
        <f t="shared" si="3"/>
      </c>
      <c r="U64" s="60">
        <f t="shared" si="4"/>
      </c>
      <c r="V64" s="60">
        <f t="shared" si="5"/>
      </c>
      <c r="W64" s="60">
        <f t="shared" si="6"/>
      </c>
      <c r="X64" s="49">
        <f t="shared" si="7"/>
      </c>
      <c r="Y64" s="2">
        <f t="shared" si="8"/>
      </c>
      <c r="Z64" s="2">
        <f t="shared" si="9"/>
        <v>0</v>
      </c>
      <c r="AA64" s="2">
        <f t="shared" si="10"/>
        <v>0</v>
      </c>
      <c r="AB64" s="2">
        <f t="shared" si="11"/>
        <v>0</v>
      </c>
      <c r="AC64" s="2">
        <f t="shared" si="12"/>
        <v>0</v>
      </c>
      <c r="AD64" s="2">
        <f t="shared" si="13"/>
        <v>0</v>
      </c>
      <c r="AE64" s="2">
        <f t="shared" si="14"/>
        <v>0</v>
      </c>
      <c r="AF64" s="2">
        <f t="shared" si="15"/>
        <v>0</v>
      </c>
      <c r="AG64" s="2">
        <f t="shared" si="16"/>
        <v>0</v>
      </c>
      <c r="AH64" s="2">
        <f t="shared" si="17"/>
        <v>0</v>
      </c>
      <c r="AI64" s="2">
        <f t="shared" si="18"/>
      </c>
    </row>
    <row r="65">
      <c r="A65" s="43">
        <f t="shared" si="0"/>
      </c>
      <c r="B65" s="54" t="n"/>
      <c r="C65" s="45" t="n"/>
      <c r="D65" s="50" t="n"/>
      <c r="E65" s="55" t="n"/>
      <c r="F65" s="50" t="n"/>
      <c r="G65" s="55" t="n"/>
      <c r="H65" s="50" t="n"/>
      <c r="I65" s="55" t="n"/>
      <c r="J65" s="50" t="n"/>
      <c r="K65" s="55" t="n"/>
      <c r="L65" s="56" t="n"/>
      <c r="M65" s="57" t="n"/>
      <c r="N65" s="57" t="n"/>
      <c r="O65" s="57" t="n"/>
      <c r="P65" s="57" t="n"/>
      <c r="Q65" s="50" t="n"/>
      <c r="R65" s="58">
        <f t="shared" si="1"/>
      </c>
      <c r="S65" s="59">
        <f t="shared" si="2"/>
      </c>
      <c r="T65" s="43">
        <f t="shared" si="3"/>
      </c>
      <c r="U65" s="60">
        <f t="shared" si="4"/>
      </c>
      <c r="V65" s="60">
        <f t="shared" si="5"/>
      </c>
      <c r="W65" s="60">
        <f t="shared" si="6"/>
      </c>
      <c r="X65" s="49">
        <f t="shared" si="7"/>
      </c>
      <c r="Y65" s="2">
        <f t="shared" si="8"/>
      </c>
      <c r="Z65" s="2">
        <f t="shared" si="9"/>
        <v>0</v>
      </c>
      <c r="AA65" s="2">
        <f t="shared" si="10"/>
        <v>0</v>
      </c>
      <c r="AB65" s="2">
        <f t="shared" si="11"/>
        <v>0</v>
      </c>
      <c r="AC65" s="2">
        <f t="shared" si="12"/>
        <v>0</v>
      </c>
      <c r="AD65" s="2">
        <f t="shared" si="13"/>
        <v>0</v>
      </c>
      <c r="AE65" s="2">
        <f t="shared" si="14"/>
        <v>0</v>
      </c>
      <c r="AF65" s="2">
        <f t="shared" si="15"/>
        <v>0</v>
      </c>
      <c r="AG65" s="2">
        <f t="shared" si="16"/>
        <v>0</v>
      </c>
      <c r="AH65" s="2">
        <f t="shared" si="17"/>
        <v>0</v>
      </c>
      <c r="AI65" s="2">
        <f t="shared" si="18"/>
      </c>
    </row>
    <row r="66">
      <c r="A66" s="43">
        <f t="shared" si="0"/>
      </c>
      <c r="B66" s="54" t="n"/>
      <c r="C66" s="45" t="n"/>
      <c r="D66" s="50" t="n"/>
      <c r="E66" s="55" t="n"/>
      <c r="F66" s="50" t="n"/>
      <c r="G66" s="55" t="n"/>
      <c r="H66" s="50" t="n"/>
      <c r="I66" s="55" t="n"/>
      <c r="J66" s="50" t="n"/>
      <c r="K66" s="55" t="n"/>
      <c r="L66" s="56" t="n"/>
      <c r="M66" s="57" t="n"/>
      <c r="N66" s="57" t="n"/>
      <c r="O66" s="57" t="n"/>
      <c r="P66" s="57" t="n"/>
      <c r="Q66" s="50" t="n"/>
      <c r="R66" s="58">
        <f t="shared" si="1"/>
      </c>
      <c r="S66" s="59">
        <f t="shared" si="2"/>
      </c>
      <c r="T66" s="43">
        <f t="shared" si="3"/>
      </c>
      <c r="U66" s="60">
        <f t="shared" si="4"/>
      </c>
      <c r="V66" s="60">
        <f t="shared" si="5"/>
      </c>
      <c r="W66" s="60">
        <f t="shared" si="6"/>
      </c>
      <c r="X66" s="49">
        <f t="shared" si="7"/>
      </c>
      <c r="Y66" s="2">
        <f t="shared" si="8"/>
      </c>
      <c r="Z66" s="2">
        <f t="shared" si="9"/>
        <v>0</v>
      </c>
      <c r="AA66" s="2">
        <f t="shared" si="10"/>
        <v>0</v>
      </c>
      <c r="AB66" s="2">
        <f t="shared" si="11"/>
        <v>0</v>
      </c>
      <c r="AC66" s="2">
        <f t="shared" si="12"/>
        <v>0</v>
      </c>
      <c r="AD66" s="2">
        <f t="shared" si="13"/>
        <v>0</v>
      </c>
      <c r="AE66" s="2">
        <f t="shared" si="14"/>
        <v>0</v>
      </c>
      <c r="AF66" s="2">
        <f t="shared" si="15"/>
        <v>0</v>
      </c>
      <c r="AG66" s="2">
        <f t="shared" si="16"/>
        <v>0</v>
      </c>
      <c r="AH66" s="2">
        <f t="shared" si="17"/>
        <v>0</v>
      </c>
      <c r="AI66" s="2">
        <f t="shared" si="18"/>
      </c>
    </row>
    <row r="67">
      <c r="A67" s="43">
        <f t="shared" si="0"/>
      </c>
      <c r="B67" s="54" t="n"/>
      <c r="C67" s="45" t="n"/>
      <c r="D67" s="50" t="n"/>
      <c r="E67" s="55" t="n"/>
      <c r="F67" s="50" t="n"/>
      <c r="G67" s="55" t="n"/>
      <c r="H67" s="50" t="n"/>
      <c r="I67" s="55" t="n"/>
      <c r="J67" s="50" t="n"/>
      <c r="K67" s="55" t="n"/>
      <c r="L67" s="56" t="n"/>
      <c r="M67" s="57" t="n"/>
      <c r="N67" s="57" t="n"/>
      <c r="O67" s="57" t="n"/>
      <c r="P67" s="57" t="n"/>
      <c r="Q67" s="50" t="n"/>
      <c r="R67" s="58">
        <f t="shared" si="1"/>
      </c>
      <c r="S67" s="59">
        <f t="shared" si="2"/>
      </c>
      <c r="T67" s="43">
        <f t="shared" si="3"/>
      </c>
      <c r="U67" s="60">
        <f t="shared" si="4"/>
      </c>
      <c r="V67" s="60">
        <f t="shared" si="5"/>
      </c>
      <c r="W67" s="60">
        <f t="shared" si="6"/>
      </c>
      <c r="X67" s="49">
        <f t="shared" si="7"/>
      </c>
      <c r="Y67" s="2">
        <f t="shared" si="8"/>
      </c>
      <c r="Z67" s="2">
        <f t="shared" si="9"/>
        <v>0</v>
      </c>
      <c r="AA67" s="2">
        <f t="shared" si="10"/>
        <v>0</v>
      </c>
      <c r="AB67" s="2">
        <f t="shared" si="11"/>
        <v>0</v>
      </c>
      <c r="AC67" s="2">
        <f t="shared" si="12"/>
        <v>0</v>
      </c>
      <c r="AD67" s="2">
        <f t="shared" si="13"/>
        <v>0</v>
      </c>
      <c r="AE67" s="2">
        <f t="shared" si="14"/>
        <v>0</v>
      </c>
      <c r="AF67" s="2">
        <f t="shared" si="15"/>
        <v>0</v>
      </c>
      <c r="AG67" s="2">
        <f t="shared" si="16"/>
        <v>0</v>
      </c>
      <c r="AH67" s="2">
        <f t="shared" si="17"/>
        <v>0</v>
      </c>
      <c r="AI67" s="2">
        <f t="shared" si="18"/>
      </c>
    </row>
    <row r="68">
      <c r="A68" s="43">
        <f t="shared" si="0"/>
      </c>
      <c r="B68" s="54" t="n"/>
      <c r="C68" s="45" t="n"/>
      <c r="D68" s="50" t="n"/>
      <c r="E68" s="55" t="n"/>
      <c r="F68" s="50" t="n"/>
      <c r="G68" s="55" t="n"/>
      <c r="H68" s="50" t="n"/>
      <c r="I68" s="55" t="n"/>
      <c r="J68" s="50" t="n"/>
      <c r="K68" s="55" t="n"/>
      <c r="L68" s="56" t="n"/>
      <c r="M68" s="57" t="n"/>
      <c r="N68" s="57" t="n"/>
      <c r="O68" s="57" t="n"/>
      <c r="P68" s="57" t="n"/>
      <c r="Q68" s="50" t="n"/>
      <c r="R68" s="58">
        <f t="shared" si="1"/>
      </c>
      <c r="S68" s="59">
        <f t="shared" si="2"/>
      </c>
      <c r="T68" s="43">
        <f t="shared" si="3"/>
      </c>
      <c r="U68" s="60">
        <f t="shared" si="4"/>
      </c>
      <c r="V68" s="60">
        <f t="shared" si="5"/>
      </c>
      <c r="W68" s="60">
        <f t="shared" si="6"/>
      </c>
      <c r="X68" s="49">
        <f t="shared" si="7"/>
      </c>
      <c r="Y68" s="2">
        <f t="shared" si="8"/>
      </c>
      <c r="Z68" s="2">
        <f t="shared" si="9"/>
        <v>0</v>
      </c>
      <c r="AA68" s="2">
        <f t="shared" si="10"/>
        <v>0</v>
      </c>
      <c r="AB68" s="2">
        <f t="shared" si="11"/>
        <v>0</v>
      </c>
      <c r="AC68" s="2">
        <f t="shared" si="12"/>
        <v>0</v>
      </c>
      <c r="AD68" s="2">
        <f t="shared" si="13"/>
        <v>0</v>
      </c>
      <c r="AE68" s="2">
        <f t="shared" si="14"/>
        <v>0</v>
      </c>
      <c r="AF68" s="2">
        <f t="shared" si="15"/>
        <v>0</v>
      </c>
      <c r="AG68" s="2">
        <f t="shared" si="16"/>
        <v>0</v>
      </c>
      <c r="AH68" s="2">
        <f t="shared" si="17"/>
        <v>0</v>
      </c>
      <c r="AI68" s="2">
        <f t="shared" si="18"/>
      </c>
    </row>
    <row r="69">
      <c r="A69" s="43">
        <f t="shared" si="0"/>
      </c>
      <c r="B69" s="54" t="n"/>
      <c r="C69" s="45" t="n"/>
      <c r="D69" s="50" t="n"/>
      <c r="E69" s="55" t="n"/>
      <c r="F69" s="50" t="n"/>
      <c r="G69" s="55" t="n"/>
      <c r="H69" s="50" t="n"/>
      <c r="I69" s="55" t="n"/>
      <c r="J69" s="50" t="n"/>
      <c r="K69" s="55" t="n"/>
      <c r="L69" s="56" t="n"/>
      <c r="M69" s="57" t="n"/>
      <c r="N69" s="57" t="n"/>
      <c r="O69" s="57" t="n"/>
      <c r="P69" s="57" t="n"/>
      <c r="Q69" s="50" t="n"/>
      <c r="R69" s="58">
        <f t="shared" si="1"/>
      </c>
      <c r="S69" s="59">
        <f t="shared" si="2"/>
      </c>
      <c r="T69" s="43">
        <f t="shared" si="3"/>
      </c>
      <c r="U69" s="60">
        <f t="shared" si="4"/>
      </c>
      <c r="V69" s="60">
        <f t="shared" si="5"/>
      </c>
      <c r="W69" s="60">
        <f t="shared" si="6"/>
      </c>
      <c r="X69" s="49">
        <f t="shared" si="7"/>
      </c>
      <c r="Y69" s="2">
        <f t="shared" si="8"/>
      </c>
      <c r="Z69" s="2">
        <f t="shared" si="9"/>
        <v>0</v>
      </c>
      <c r="AA69" s="2">
        <f t="shared" si="10"/>
        <v>0</v>
      </c>
      <c r="AB69" s="2">
        <f t="shared" si="11"/>
        <v>0</v>
      </c>
      <c r="AC69" s="2">
        <f t="shared" si="12"/>
        <v>0</v>
      </c>
      <c r="AD69" s="2">
        <f t="shared" si="13"/>
        <v>0</v>
      </c>
      <c r="AE69" s="2">
        <f t="shared" si="14"/>
        <v>0</v>
      </c>
      <c r="AF69" s="2">
        <f t="shared" si="15"/>
        <v>0</v>
      </c>
      <c r="AG69" s="2">
        <f t="shared" si="16"/>
        <v>0</v>
      </c>
      <c r="AH69" s="2">
        <f t="shared" si="17"/>
        <v>0</v>
      </c>
      <c r="AI69" s="2">
        <f t="shared" si="18"/>
      </c>
    </row>
    <row r="70">
      <c r="A70" s="43">
        <f t="shared" si="0"/>
      </c>
      <c r="B70" s="54" t="n"/>
      <c r="C70" s="45" t="n"/>
      <c r="D70" s="50" t="n"/>
      <c r="E70" s="55" t="n"/>
      <c r="F70" s="50" t="n"/>
      <c r="G70" s="55" t="n"/>
      <c r="H70" s="50" t="n"/>
      <c r="I70" s="55" t="n"/>
      <c r="J70" s="50" t="n"/>
      <c r="K70" s="55" t="n"/>
      <c r="L70" s="56" t="n"/>
      <c r="M70" s="57" t="n"/>
      <c r="N70" s="57" t="n"/>
      <c r="O70" s="57" t="n"/>
      <c r="P70" s="57" t="n"/>
      <c r="Q70" s="50" t="n"/>
      <c r="R70" s="58">
        <f t="shared" si="1"/>
      </c>
      <c r="S70" s="59">
        <f t="shared" si="2"/>
      </c>
      <c r="T70" s="43">
        <f t="shared" si="3"/>
      </c>
      <c r="U70" s="60">
        <f t="shared" si="4"/>
      </c>
      <c r="V70" s="60">
        <f t="shared" si="5"/>
      </c>
      <c r="W70" s="60">
        <f t="shared" si="6"/>
      </c>
      <c r="X70" s="49">
        <f t="shared" si="7"/>
      </c>
      <c r="Y70" s="2">
        <f t="shared" si="8"/>
      </c>
      <c r="Z70" s="2">
        <f t="shared" si="9"/>
        <v>0</v>
      </c>
      <c r="AA70" s="2">
        <f t="shared" si="10"/>
        <v>0</v>
      </c>
      <c r="AB70" s="2">
        <f t="shared" si="11"/>
        <v>0</v>
      </c>
      <c r="AC70" s="2">
        <f t="shared" si="12"/>
        <v>0</v>
      </c>
      <c r="AD70" s="2">
        <f t="shared" si="13"/>
        <v>0</v>
      </c>
      <c r="AE70" s="2">
        <f t="shared" si="14"/>
        <v>0</v>
      </c>
      <c r="AF70" s="2">
        <f t="shared" si="15"/>
        <v>0</v>
      </c>
      <c r="AG70" s="2">
        <f t="shared" si="16"/>
        <v>0</v>
      </c>
      <c r="AH70" s="2">
        <f t="shared" si="17"/>
        <v>0</v>
      </c>
      <c r="AI70" s="2">
        <f t="shared" si="18"/>
      </c>
    </row>
    <row r="71">
      <c r="A71" s="43">
        <f t="shared" si="0"/>
      </c>
      <c r="B71" s="54" t="n"/>
      <c r="C71" s="45" t="n"/>
      <c r="D71" s="50" t="n"/>
      <c r="E71" s="55" t="n"/>
      <c r="F71" s="50" t="n"/>
      <c r="G71" s="55" t="n"/>
      <c r="H71" s="50" t="n"/>
      <c r="I71" s="55" t="n"/>
      <c r="J71" s="50" t="n"/>
      <c r="K71" s="55" t="n"/>
      <c r="L71" s="56" t="n"/>
      <c r="M71" s="57" t="n"/>
      <c r="N71" s="57" t="n"/>
      <c r="O71" s="57" t="n"/>
      <c r="P71" s="57" t="n"/>
      <c r="Q71" s="50" t="n"/>
      <c r="R71" s="58">
        <f t="shared" si="1"/>
      </c>
      <c r="S71" s="59">
        <f t="shared" si="2"/>
      </c>
      <c r="T71" s="43">
        <f t="shared" si="3"/>
      </c>
      <c r="U71" s="60">
        <f t="shared" si="4"/>
      </c>
      <c r="V71" s="60">
        <f t="shared" si="5"/>
      </c>
      <c r="W71" s="60">
        <f t="shared" si="6"/>
      </c>
      <c r="X71" s="49">
        <f t="shared" si="7"/>
      </c>
      <c r="Y71" s="2">
        <f t="shared" si="8"/>
      </c>
      <c r="Z71" s="2">
        <f t="shared" si="9"/>
        <v>0</v>
      </c>
      <c r="AA71" s="2">
        <f t="shared" si="10"/>
        <v>0</v>
      </c>
      <c r="AB71" s="2">
        <f t="shared" si="11"/>
        <v>0</v>
      </c>
      <c r="AC71" s="2">
        <f t="shared" si="12"/>
        <v>0</v>
      </c>
      <c r="AD71" s="2">
        <f t="shared" si="13"/>
        <v>0</v>
      </c>
      <c r="AE71" s="2">
        <f t="shared" si="14"/>
        <v>0</v>
      </c>
      <c r="AF71" s="2">
        <f t="shared" si="15"/>
        <v>0</v>
      </c>
      <c r="AG71" s="2">
        <f t="shared" si="16"/>
        <v>0</v>
      </c>
      <c r="AH71" s="2">
        <f t="shared" si="17"/>
        <v>0</v>
      </c>
      <c r="AI71" s="2">
        <f t="shared" si="18"/>
      </c>
    </row>
    <row r="72">
      <c r="A72" s="43">
        <f t="shared" si="0"/>
      </c>
      <c r="B72" s="54" t="n"/>
      <c r="C72" s="45" t="n"/>
      <c r="D72" s="50" t="n"/>
      <c r="E72" s="55" t="n"/>
      <c r="F72" s="50" t="n"/>
      <c r="G72" s="55" t="n"/>
      <c r="H72" s="50" t="n"/>
      <c r="I72" s="55" t="n"/>
      <c r="J72" s="50" t="n"/>
      <c r="K72" s="55" t="n"/>
      <c r="L72" s="56" t="n"/>
      <c r="M72" s="57" t="n"/>
      <c r="N72" s="57" t="n"/>
      <c r="O72" s="57" t="n"/>
      <c r="P72" s="57" t="n"/>
      <c r="Q72" s="50" t="n"/>
      <c r="R72" s="58">
        <f t="shared" si="1"/>
      </c>
      <c r="S72" s="59">
        <f t="shared" si="2"/>
      </c>
      <c r="T72" s="43">
        <f t="shared" si="3"/>
      </c>
      <c r="U72" s="60">
        <f t="shared" si="4"/>
      </c>
      <c r="V72" s="60">
        <f t="shared" si="5"/>
      </c>
      <c r="W72" s="60">
        <f t="shared" si="6"/>
      </c>
      <c r="X72" s="49">
        <f t="shared" si="7"/>
      </c>
      <c r="Y72" s="2">
        <f t="shared" si="8"/>
      </c>
      <c r="Z72" s="2">
        <f t="shared" si="9"/>
        <v>0</v>
      </c>
      <c r="AA72" s="2">
        <f t="shared" si="10"/>
        <v>0</v>
      </c>
      <c r="AB72" s="2">
        <f t="shared" si="11"/>
        <v>0</v>
      </c>
      <c r="AC72" s="2">
        <f t="shared" si="12"/>
        <v>0</v>
      </c>
      <c r="AD72" s="2">
        <f t="shared" si="13"/>
        <v>0</v>
      </c>
      <c r="AE72" s="2">
        <f t="shared" si="14"/>
        <v>0</v>
      </c>
      <c r="AF72" s="2">
        <f t="shared" si="15"/>
        <v>0</v>
      </c>
      <c r="AG72" s="2">
        <f t="shared" si="16"/>
        <v>0</v>
      </c>
      <c r="AH72" s="2">
        <f t="shared" si="17"/>
        <v>0</v>
      </c>
      <c r="AI72" s="2">
        <f t="shared" si="18"/>
      </c>
    </row>
    <row r="73">
      <c r="A73" s="43">
        <f t="shared" si="0"/>
      </c>
      <c r="B73" s="54" t="n"/>
      <c r="C73" s="45" t="n"/>
      <c r="D73" s="50" t="n"/>
      <c r="E73" s="55" t="n"/>
      <c r="F73" s="50" t="n"/>
      <c r="G73" s="55" t="n"/>
      <c r="H73" s="50" t="n"/>
      <c r="I73" s="55" t="n"/>
      <c r="J73" s="50" t="n"/>
      <c r="K73" s="55" t="n"/>
      <c r="L73" s="56" t="n"/>
      <c r="M73" s="57" t="n"/>
      <c r="N73" s="57" t="n"/>
      <c r="O73" s="57" t="n"/>
      <c r="P73" s="57" t="n"/>
      <c r="Q73" s="50" t="n"/>
      <c r="R73" s="58">
        <f t="shared" si="1"/>
      </c>
      <c r="S73" s="59">
        <f t="shared" si="2"/>
      </c>
      <c r="T73" s="43">
        <f t="shared" si="3"/>
      </c>
      <c r="U73" s="60">
        <f t="shared" si="4"/>
      </c>
      <c r="V73" s="60">
        <f t="shared" si="5"/>
      </c>
      <c r="W73" s="60">
        <f t="shared" si="6"/>
      </c>
      <c r="X73" s="49">
        <f t="shared" si="7"/>
      </c>
      <c r="Y73" s="2">
        <f t="shared" si="8"/>
      </c>
      <c r="Z73" s="2">
        <f t="shared" si="9"/>
        <v>0</v>
      </c>
      <c r="AA73" s="2">
        <f t="shared" si="10"/>
        <v>0</v>
      </c>
      <c r="AB73" s="2">
        <f t="shared" si="11"/>
        <v>0</v>
      </c>
      <c r="AC73" s="2">
        <f t="shared" si="12"/>
        <v>0</v>
      </c>
      <c r="AD73" s="2">
        <f t="shared" si="13"/>
        <v>0</v>
      </c>
      <c r="AE73" s="2">
        <f t="shared" si="14"/>
        <v>0</v>
      </c>
      <c r="AF73" s="2">
        <f t="shared" si="15"/>
        <v>0</v>
      </c>
      <c r="AG73" s="2">
        <f t="shared" si="16"/>
        <v>0</v>
      </c>
      <c r="AH73" s="2">
        <f t="shared" si="17"/>
        <v>0</v>
      </c>
      <c r="AI73" s="2">
        <f t="shared" si="18"/>
      </c>
    </row>
    <row r="74">
      <c r="A74" s="43">
        <f t="shared" si="0"/>
      </c>
      <c r="B74" s="54" t="n"/>
      <c r="C74" s="45" t="n"/>
      <c r="D74" s="50" t="n"/>
      <c r="E74" s="55" t="n"/>
      <c r="F74" s="50" t="n"/>
      <c r="G74" s="55" t="n"/>
      <c r="H74" s="50" t="n"/>
      <c r="I74" s="55" t="n"/>
      <c r="J74" s="50" t="n"/>
      <c r="K74" s="55" t="n"/>
      <c r="L74" s="56" t="n"/>
      <c r="M74" s="57" t="n"/>
      <c r="N74" s="57" t="n"/>
      <c r="O74" s="57" t="n"/>
      <c r="P74" s="57" t="n"/>
      <c r="Q74" s="50" t="n"/>
      <c r="R74" s="58">
        <f t="shared" si="1"/>
      </c>
      <c r="S74" s="59">
        <f t="shared" si="2"/>
      </c>
      <c r="T74" s="43">
        <f t="shared" si="3"/>
      </c>
      <c r="U74" s="60">
        <f t="shared" si="4"/>
      </c>
      <c r="V74" s="60">
        <f t="shared" si="5"/>
      </c>
      <c r="W74" s="60">
        <f t="shared" si="6"/>
      </c>
      <c r="X74" s="49">
        <f t="shared" si="7"/>
      </c>
      <c r="Y74" s="2">
        <f t="shared" si="8"/>
      </c>
      <c r="Z74" s="2">
        <f t="shared" si="9"/>
        <v>0</v>
      </c>
      <c r="AA74" s="2">
        <f t="shared" si="10"/>
        <v>0</v>
      </c>
      <c r="AB74" s="2">
        <f t="shared" si="11"/>
        <v>0</v>
      </c>
      <c r="AC74" s="2">
        <f t="shared" si="12"/>
        <v>0</v>
      </c>
      <c r="AD74" s="2">
        <f t="shared" si="13"/>
        <v>0</v>
      </c>
      <c r="AE74" s="2">
        <f t="shared" si="14"/>
        <v>0</v>
      </c>
      <c r="AF74" s="2">
        <f t="shared" si="15"/>
        <v>0</v>
      </c>
      <c r="AG74" s="2">
        <f t="shared" si="16"/>
        <v>0</v>
      </c>
      <c r="AH74" s="2">
        <f t="shared" si="17"/>
        <v>0</v>
      </c>
      <c r="AI74" s="2">
        <f t="shared" si="18"/>
      </c>
    </row>
    <row r="75">
      <c r="A75" s="43">
        <f t="shared" si="0"/>
      </c>
      <c r="B75" s="54" t="n"/>
      <c r="C75" s="45" t="n"/>
      <c r="D75" s="50" t="n"/>
      <c r="E75" s="55" t="n"/>
      <c r="F75" s="50" t="n"/>
      <c r="G75" s="55" t="n"/>
      <c r="H75" s="50" t="n"/>
      <c r="I75" s="55" t="n"/>
      <c r="J75" s="50" t="n"/>
      <c r="K75" s="55" t="n"/>
      <c r="L75" s="56" t="n"/>
      <c r="M75" s="57" t="n"/>
      <c r="N75" s="57" t="n"/>
      <c r="O75" s="57" t="n"/>
      <c r="P75" s="57" t="n"/>
      <c r="Q75" s="50" t="n"/>
      <c r="R75" s="58">
        <f t="shared" si="1"/>
      </c>
      <c r="S75" s="59">
        <f t="shared" si="2"/>
      </c>
      <c r="T75" s="43">
        <f t="shared" si="3"/>
      </c>
      <c r="U75" s="60">
        <f t="shared" si="4"/>
      </c>
      <c r="V75" s="60">
        <f t="shared" si="5"/>
      </c>
      <c r="W75" s="60">
        <f t="shared" si="6"/>
      </c>
      <c r="X75" s="49">
        <f t="shared" si="7"/>
      </c>
      <c r="Y75" s="2">
        <f t="shared" si="8"/>
      </c>
      <c r="Z75" s="2">
        <f t="shared" si="9"/>
        <v>0</v>
      </c>
      <c r="AA75" s="2">
        <f t="shared" si="10"/>
        <v>0</v>
      </c>
      <c r="AB75" s="2">
        <f t="shared" si="11"/>
        <v>0</v>
      </c>
      <c r="AC75" s="2">
        <f t="shared" si="12"/>
        <v>0</v>
      </c>
      <c r="AD75" s="2">
        <f t="shared" si="13"/>
        <v>0</v>
      </c>
      <c r="AE75" s="2">
        <f t="shared" si="14"/>
        <v>0</v>
      </c>
      <c r="AF75" s="2">
        <f t="shared" si="15"/>
        <v>0</v>
      </c>
      <c r="AG75" s="2">
        <f t="shared" si="16"/>
        <v>0</v>
      </c>
      <c r="AH75" s="2">
        <f t="shared" si="17"/>
        <v>0</v>
      </c>
      <c r="AI75" s="2">
        <f t="shared" si="18"/>
      </c>
    </row>
    <row r="76">
      <c r="A76" s="43">
        <f t="shared" si="0"/>
      </c>
      <c r="B76" s="54" t="n"/>
      <c r="C76" s="45" t="n"/>
      <c r="D76" s="50" t="n"/>
      <c r="E76" s="55" t="n"/>
      <c r="F76" s="50" t="n"/>
      <c r="G76" s="55" t="n"/>
      <c r="H76" s="50" t="n"/>
      <c r="I76" s="55" t="n"/>
      <c r="J76" s="50" t="n"/>
      <c r="K76" s="55" t="n"/>
      <c r="L76" s="56" t="n"/>
      <c r="M76" s="57" t="n"/>
      <c r="N76" s="57" t="n"/>
      <c r="O76" s="57" t="n"/>
      <c r="P76" s="57" t="n"/>
      <c r="Q76" s="50" t="n"/>
      <c r="R76" s="58">
        <f t="shared" si="1"/>
      </c>
      <c r="S76" s="59">
        <f t="shared" si="2"/>
      </c>
      <c r="T76" s="43">
        <f t="shared" si="3"/>
      </c>
      <c r="U76" s="60">
        <f t="shared" si="4"/>
      </c>
      <c r="V76" s="60">
        <f t="shared" si="5"/>
      </c>
      <c r="W76" s="60">
        <f t="shared" si="6"/>
      </c>
      <c r="X76" s="49">
        <f t="shared" si="7"/>
      </c>
      <c r="Y76" s="2">
        <f t="shared" si="8"/>
      </c>
      <c r="Z76" s="2">
        <f t="shared" si="9"/>
        <v>0</v>
      </c>
      <c r="AA76" s="2">
        <f t="shared" si="10"/>
        <v>0</v>
      </c>
      <c r="AB76" s="2">
        <f t="shared" si="11"/>
        <v>0</v>
      </c>
      <c r="AC76" s="2">
        <f t="shared" si="12"/>
        <v>0</v>
      </c>
      <c r="AD76" s="2">
        <f t="shared" si="13"/>
        <v>0</v>
      </c>
      <c r="AE76" s="2">
        <f t="shared" si="14"/>
        <v>0</v>
      </c>
      <c r="AF76" s="2">
        <f t="shared" si="15"/>
        <v>0</v>
      </c>
      <c r="AG76" s="2">
        <f t="shared" si="16"/>
        <v>0</v>
      </c>
      <c r="AH76" s="2">
        <f t="shared" si="17"/>
        <v>0</v>
      </c>
      <c r="AI76" s="2">
        <f t="shared" si="18"/>
      </c>
    </row>
    <row r="77">
      <c r="A77" s="43">
        <f t="shared" si="0"/>
      </c>
      <c r="B77" s="54" t="n"/>
      <c r="C77" s="45" t="n"/>
      <c r="D77" s="50" t="n"/>
      <c r="E77" s="55" t="n"/>
      <c r="F77" s="50" t="n"/>
      <c r="G77" s="55" t="n"/>
      <c r="H77" s="50" t="n"/>
      <c r="I77" s="55" t="n"/>
      <c r="J77" s="50" t="n"/>
      <c r="K77" s="55" t="n"/>
      <c r="L77" s="56" t="n"/>
      <c r="M77" s="57" t="n"/>
      <c r="N77" s="57" t="n"/>
      <c r="O77" s="57" t="n"/>
      <c r="P77" s="57" t="n"/>
      <c r="Q77" s="50" t="n"/>
      <c r="R77" s="58">
        <f t="shared" si="1"/>
      </c>
      <c r="S77" s="59">
        <f t="shared" si="2"/>
      </c>
      <c r="T77" s="43">
        <f t="shared" si="3"/>
      </c>
      <c r="U77" s="60">
        <f t="shared" si="4"/>
      </c>
      <c r="V77" s="60">
        <f t="shared" si="5"/>
      </c>
      <c r="W77" s="60">
        <f t="shared" si="6"/>
      </c>
      <c r="X77" s="49">
        <f t="shared" si="7"/>
      </c>
      <c r="Y77" s="2">
        <f t="shared" si="8"/>
      </c>
      <c r="Z77" s="2">
        <f t="shared" si="9"/>
        <v>0</v>
      </c>
      <c r="AA77" s="2">
        <f t="shared" si="10"/>
        <v>0</v>
      </c>
      <c r="AB77" s="2">
        <f t="shared" si="11"/>
        <v>0</v>
      </c>
      <c r="AC77" s="2">
        <f t="shared" si="12"/>
        <v>0</v>
      </c>
      <c r="AD77" s="2">
        <f t="shared" si="13"/>
        <v>0</v>
      </c>
      <c r="AE77" s="2">
        <f t="shared" si="14"/>
        <v>0</v>
      </c>
      <c r="AF77" s="2">
        <f t="shared" si="15"/>
        <v>0</v>
      </c>
      <c r="AG77" s="2">
        <f t="shared" si="16"/>
        <v>0</v>
      </c>
      <c r="AH77" s="2">
        <f t="shared" si="17"/>
        <v>0</v>
      </c>
      <c r="AI77" s="2">
        <f t="shared" si="18"/>
      </c>
    </row>
    <row r="78">
      <c r="A78" s="43">
        <f t="shared" si="0"/>
      </c>
      <c r="B78" s="54" t="n"/>
      <c r="C78" s="45" t="n"/>
      <c r="D78" s="50" t="n"/>
      <c r="E78" s="55" t="n"/>
      <c r="F78" s="50" t="n"/>
      <c r="G78" s="55" t="n"/>
      <c r="H78" s="50" t="n"/>
      <c r="I78" s="55" t="n"/>
      <c r="J78" s="50" t="n"/>
      <c r="K78" s="55" t="n"/>
      <c r="L78" s="56" t="n"/>
      <c r="M78" s="57" t="n"/>
      <c r="N78" s="57" t="n"/>
      <c r="O78" s="57" t="n"/>
      <c r="P78" s="57" t="n"/>
      <c r="Q78" s="50" t="n"/>
      <c r="R78" s="58">
        <f t="shared" si="1"/>
      </c>
      <c r="S78" s="59">
        <f t="shared" si="2"/>
      </c>
      <c r="T78" s="43">
        <f t="shared" si="3"/>
      </c>
      <c r="U78" s="60">
        <f t="shared" si="4"/>
      </c>
      <c r="V78" s="60">
        <f t="shared" si="5"/>
      </c>
      <c r="W78" s="60">
        <f t="shared" si="6"/>
      </c>
      <c r="X78" s="49">
        <f t="shared" si="7"/>
      </c>
      <c r="Y78" s="2">
        <f t="shared" si="8"/>
      </c>
      <c r="Z78" s="2">
        <f t="shared" si="9"/>
        <v>0</v>
      </c>
      <c r="AA78" s="2">
        <f t="shared" si="10"/>
        <v>0</v>
      </c>
      <c r="AB78" s="2">
        <f t="shared" si="11"/>
        <v>0</v>
      </c>
      <c r="AC78" s="2">
        <f t="shared" si="12"/>
        <v>0</v>
      </c>
      <c r="AD78" s="2">
        <f t="shared" si="13"/>
        <v>0</v>
      </c>
      <c r="AE78" s="2">
        <f t="shared" si="14"/>
        <v>0</v>
      </c>
      <c r="AF78" s="2">
        <f t="shared" si="15"/>
        <v>0</v>
      </c>
      <c r="AG78" s="2">
        <f t="shared" si="16"/>
        <v>0</v>
      </c>
      <c r="AH78" s="2">
        <f t="shared" si="17"/>
        <v>0</v>
      </c>
      <c r="AI78" s="2">
        <f t="shared" si="18"/>
      </c>
    </row>
    <row r="79">
      <c r="A79" s="43">
        <f t="shared" si="0"/>
      </c>
      <c r="B79" s="54" t="n"/>
      <c r="C79" s="45" t="n"/>
      <c r="D79" s="50" t="n"/>
      <c r="E79" s="55" t="n"/>
      <c r="F79" s="50" t="n"/>
      <c r="G79" s="55" t="n"/>
      <c r="H79" s="50" t="n"/>
      <c r="I79" s="55" t="n"/>
      <c r="J79" s="50" t="n"/>
      <c r="K79" s="55" t="n"/>
      <c r="L79" s="56" t="n"/>
      <c r="M79" s="57" t="n"/>
      <c r="N79" s="57" t="n"/>
      <c r="O79" s="57" t="n"/>
      <c r="P79" s="57" t="n"/>
      <c r="Q79" s="50" t="n"/>
      <c r="R79" s="58">
        <f t="shared" si="1"/>
      </c>
      <c r="S79" s="59">
        <f t="shared" si="2"/>
      </c>
      <c r="T79" s="43">
        <f t="shared" si="3"/>
      </c>
      <c r="U79" s="60">
        <f t="shared" si="4"/>
      </c>
      <c r="V79" s="60">
        <f t="shared" si="5"/>
      </c>
      <c r="W79" s="60">
        <f t="shared" si="6"/>
      </c>
      <c r="X79" s="49">
        <f t="shared" si="7"/>
      </c>
      <c r="Y79" s="2">
        <f t="shared" si="8"/>
      </c>
      <c r="Z79" s="2">
        <f t="shared" si="9"/>
        <v>0</v>
      </c>
      <c r="AA79" s="2">
        <f t="shared" si="10"/>
        <v>0</v>
      </c>
      <c r="AB79" s="2">
        <f t="shared" si="11"/>
        <v>0</v>
      </c>
      <c r="AC79" s="2">
        <f t="shared" si="12"/>
        <v>0</v>
      </c>
      <c r="AD79" s="2">
        <f t="shared" si="13"/>
        <v>0</v>
      </c>
      <c r="AE79" s="2">
        <f t="shared" si="14"/>
        <v>0</v>
      </c>
      <c r="AF79" s="2">
        <f t="shared" si="15"/>
        <v>0</v>
      </c>
      <c r="AG79" s="2">
        <f t="shared" si="16"/>
        <v>0</v>
      </c>
      <c r="AH79" s="2">
        <f t="shared" si="17"/>
        <v>0</v>
      </c>
      <c r="AI79" s="2">
        <f t="shared" si="18"/>
      </c>
    </row>
    <row r="80">
      <c r="A80" s="43">
        <f t="shared" si="0"/>
      </c>
      <c r="B80" s="54" t="n"/>
      <c r="C80" s="45" t="n"/>
      <c r="D80" s="50" t="n"/>
      <c r="E80" s="55" t="n"/>
      <c r="F80" s="50" t="n"/>
      <c r="G80" s="55" t="n"/>
      <c r="H80" s="50" t="n"/>
      <c r="I80" s="55" t="n"/>
      <c r="J80" s="50" t="n"/>
      <c r="K80" s="55" t="n"/>
      <c r="L80" s="56" t="n"/>
      <c r="M80" s="57" t="n"/>
      <c r="N80" s="57" t="n"/>
      <c r="O80" s="57" t="n"/>
      <c r="P80" s="57" t="n"/>
      <c r="Q80" s="50" t="n"/>
      <c r="R80" s="58">
        <f t="shared" si="1"/>
      </c>
      <c r="S80" s="59">
        <f t="shared" si="2"/>
      </c>
      <c r="T80" s="43">
        <f t="shared" si="3"/>
      </c>
      <c r="U80" s="60">
        <f t="shared" si="4"/>
      </c>
      <c r="V80" s="60">
        <f t="shared" si="5"/>
      </c>
      <c r="W80" s="60">
        <f t="shared" si="6"/>
      </c>
      <c r="X80" s="49">
        <f t="shared" si="7"/>
      </c>
      <c r="Y80" s="2">
        <f t="shared" si="8"/>
      </c>
      <c r="Z80" s="2">
        <f t="shared" si="9"/>
        <v>0</v>
      </c>
      <c r="AA80" s="2">
        <f t="shared" si="10"/>
        <v>0</v>
      </c>
      <c r="AB80" s="2">
        <f t="shared" si="11"/>
        <v>0</v>
      </c>
      <c r="AC80" s="2">
        <f t="shared" si="12"/>
        <v>0</v>
      </c>
      <c r="AD80" s="2">
        <f t="shared" si="13"/>
        <v>0</v>
      </c>
      <c r="AE80" s="2">
        <f t="shared" si="14"/>
        <v>0</v>
      </c>
      <c r="AF80" s="2">
        <f t="shared" si="15"/>
        <v>0</v>
      </c>
      <c r="AG80" s="2">
        <f t="shared" si="16"/>
        <v>0</v>
      </c>
      <c r="AH80" s="2">
        <f t="shared" si="17"/>
        <v>0</v>
      </c>
      <c r="AI80" s="2">
        <f t="shared" si="18"/>
      </c>
    </row>
    <row r="81">
      <c r="A81" s="43">
        <f t="shared" si="0"/>
      </c>
      <c r="B81" s="54" t="n"/>
      <c r="C81" s="45" t="n"/>
      <c r="D81" s="50" t="n"/>
      <c r="E81" s="55" t="n"/>
      <c r="F81" s="50" t="n"/>
      <c r="G81" s="55" t="n"/>
      <c r="H81" s="50" t="n"/>
      <c r="I81" s="55" t="n"/>
      <c r="J81" s="50" t="n"/>
      <c r="K81" s="55" t="n"/>
      <c r="L81" s="56" t="n"/>
      <c r="M81" s="57" t="n"/>
      <c r="N81" s="57" t="n"/>
      <c r="O81" s="57" t="n"/>
      <c r="P81" s="57" t="n"/>
      <c r="Q81" s="50" t="n"/>
      <c r="R81" s="58">
        <f t="shared" si="1"/>
      </c>
      <c r="S81" s="59">
        <f t="shared" si="2"/>
      </c>
      <c r="T81" s="43">
        <f t="shared" si="3"/>
      </c>
      <c r="U81" s="60">
        <f t="shared" si="4"/>
      </c>
      <c r="V81" s="60">
        <f t="shared" si="5"/>
      </c>
      <c r="W81" s="60">
        <f t="shared" si="6"/>
      </c>
      <c r="X81" s="49">
        <f t="shared" si="7"/>
      </c>
      <c r="Y81" s="2">
        <f t="shared" si="8"/>
      </c>
      <c r="Z81" s="2">
        <f t="shared" si="9"/>
        <v>0</v>
      </c>
      <c r="AA81" s="2">
        <f t="shared" si="10"/>
        <v>0</v>
      </c>
      <c r="AB81" s="2">
        <f t="shared" si="11"/>
        <v>0</v>
      </c>
      <c r="AC81" s="2">
        <f t="shared" si="12"/>
        <v>0</v>
      </c>
      <c r="AD81" s="2">
        <f t="shared" si="13"/>
        <v>0</v>
      </c>
      <c r="AE81" s="2">
        <f t="shared" si="14"/>
        <v>0</v>
      </c>
      <c r="AF81" s="2">
        <f t="shared" si="15"/>
        <v>0</v>
      </c>
      <c r="AG81" s="2">
        <f t="shared" si="16"/>
        <v>0</v>
      </c>
      <c r="AH81" s="2">
        <f t="shared" si="17"/>
        <v>0</v>
      </c>
      <c r="AI81" s="2">
        <f t="shared" si="18"/>
      </c>
    </row>
    <row r="82">
      <c r="A82" s="43">
        <f t="shared" si="0"/>
      </c>
      <c r="B82" s="54" t="n"/>
      <c r="C82" s="45" t="n"/>
      <c r="D82" s="50" t="n"/>
      <c r="E82" s="55" t="n"/>
      <c r="F82" s="50" t="n"/>
      <c r="G82" s="55" t="n"/>
      <c r="H82" s="50" t="n"/>
      <c r="I82" s="55" t="n"/>
      <c r="J82" s="50" t="n"/>
      <c r="K82" s="55" t="n"/>
      <c r="L82" s="56" t="n"/>
      <c r="M82" s="57" t="n"/>
      <c r="N82" s="57" t="n"/>
      <c r="O82" s="57" t="n"/>
      <c r="P82" s="57" t="n"/>
      <c r="Q82" s="50" t="n"/>
      <c r="R82" s="58">
        <f t="shared" si="1"/>
      </c>
      <c r="S82" s="59">
        <f t="shared" si="2"/>
      </c>
      <c r="T82" s="43">
        <f t="shared" si="3"/>
      </c>
      <c r="U82" s="60">
        <f t="shared" si="4"/>
      </c>
      <c r="V82" s="60">
        <f t="shared" si="5"/>
      </c>
      <c r="W82" s="60">
        <f t="shared" si="6"/>
      </c>
      <c r="X82" s="49">
        <f t="shared" si="7"/>
      </c>
      <c r="Y82" s="2">
        <f t="shared" si="8"/>
      </c>
      <c r="Z82" s="2">
        <f t="shared" si="9"/>
        <v>0</v>
      </c>
      <c r="AA82" s="2">
        <f t="shared" si="10"/>
        <v>0</v>
      </c>
      <c r="AB82" s="2">
        <f t="shared" si="11"/>
        <v>0</v>
      </c>
      <c r="AC82" s="2">
        <f t="shared" si="12"/>
        <v>0</v>
      </c>
      <c r="AD82" s="2">
        <f t="shared" si="13"/>
        <v>0</v>
      </c>
      <c r="AE82" s="2">
        <f t="shared" si="14"/>
        <v>0</v>
      </c>
      <c r="AF82" s="2">
        <f t="shared" si="15"/>
        <v>0</v>
      </c>
      <c r="AG82" s="2">
        <f t="shared" si="16"/>
        <v>0</v>
      </c>
      <c r="AH82" s="2">
        <f t="shared" si="17"/>
        <v>0</v>
      </c>
      <c r="AI82" s="2">
        <f t="shared" si="18"/>
      </c>
    </row>
    <row r="83">
      <c r="A83" s="43">
        <f t="shared" si="0"/>
      </c>
      <c r="B83" s="54" t="n"/>
      <c r="C83" s="45" t="n"/>
      <c r="D83" s="50" t="n"/>
      <c r="E83" s="55" t="n"/>
      <c r="F83" s="50" t="n"/>
      <c r="G83" s="55" t="n"/>
      <c r="H83" s="50" t="n"/>
      <c r="I83" s="55" t="n"/>
      <c r="J83" s="50" t="n"/>
      <c r="K83" s="55" t="n"/>
      <c r="L83" s="56" t="n"/>
      <c r="M83" s="57" t="n"/>
      <c r="N83" s="57" t="n"/>
      <c r="O83" s="57" t="n"/>
      <c r="P83" s="57" t="n"/>
      <c r="Q83" s="50" t="n"/>
      <c r="R83" s="58">
        <f t="shared" si="1"/>
      </c>
      <c r="S83" s="59">
        <f t="shared" si="2"/>
      </c>
      <c r="T83" s="43">
        <f t="shared" si="3"/>
      </c>
      <c r="U83" s="60">
        <f t="shared" si="4"/>
      </c>
      <c r="V83" s="60">
        <f t="shared" si="5"/>
      </c>
      <c r="W83" s="60">
        <f t="shared" si="6"/>
      </c>
      <c r="X83" s="49">
        <f t="shared" si="7"/>
      </c>
      <c r="Y83" s="2">
        <f t="shared" si="8"/>
      </c>
      <c r="Z83" s="2">
        <f t="shared" si="9"/>
        <v>0</v>
      </c>
      <c r="AA83" s="2">
        <f t="shared" si="10"/>
        <v>0</v>
      </c>
      <c r="AB83" s="2">
        <f t="shared" si="11"/>
        <v>0</v>
      </c>
      <c r="AC83" s="2">
        <f t="shared" si="12"/>
        <v>0</v>
      </c>
      <c r="AD83" s="2">
        <f t="shared" si="13"/>
        <v>0</v>
      </c>
      <c r="AE83" s="2">
        <f t="shared" si="14"/>
        <v>0</v>
      </c>
      <c r="AF83" s="2">
        <f t="shared" si="15"/>
        <v>0</v>
      </c>
      <c r="AG83" s="2">
        <f t="shared" si="16"/>
        <v>0</v>
      </c>
      <c r="AH83" s="2">
        <f t="shared" si="17"/>
        <v>0</v>
      </c>
      <c r="AI83" s="2">
        <f t="shared" si="18"/>
      </c>
    </row>
    <row r="84">
      <c r="A84" s="43">
        <f t="shared" si="0"/>
      </c>
      <c r="B84" s="54" t="n"/>
      <c r="C84" s="45" t="n"/>
      <c r="D84" s="50" t="n"/>
      <c r="E84" s="55" t="n"/>
      <c r="F84" s="50" t="n"/>
      <c r="G84" s="55" t="n"/>
      <c r="H84" s="50" t="n"/>
      <c r="I84" s="55" t="n"/>
      <c r="J84" s="50" t="n"/>
      <c r="K84" s="55" t="n"/>
      <c r="L84" s="56" t="n"/>
      <c r="M84" s="57" t="n"/>
      <c r="N84" s="57" t="n"/>
      <c r="O84" s="57" t="n"/>
      <c r="P84" s="57" t="n"/>
      <c r="Q84" s="50" t="n"/>
      <c r="R84" s="58">
        <f t="shared" si="1"/>
      </c>
      <c r="S84" s="59">
        <f t="shared" si="2"/>
      </c>
      <c r="T84" s="43">
        <f t="shared" si="3"/>
      </c>
      <c r="U84" s="60">
        <f t="shared" si="4"/>
      </c>
      <c r="V84" s="60">
        <f t="shared" si="5"/>
      </c>
      <c r="W84" s="60">
        <f t="shared" si="6"/>
      </c>
      <c r="X84" s="49">
        <f t="shared" si="7"/>
      </c>
      <c r="Y84" s="2">
        <f t="shared" si="8"/>
      </c>
      <c r="Z84" s="2">
        <f t="shared" si="9"/>
        <v>0</v>
      </c>
      <c r="AA84" s="2">
        <f t="shared" si="10"/>
        <v>0</v>
      </c>
      <c r="AB84" s="2">
        <f t="shared" si="11"/>
        <v>0</v>
      </c>
      <c r="AC84" s="2">
        <f t="shared" si="12"/>
        <v>0</v>
      </c>
      <c r="AD84" s="2">
        <f t="shared" si="13"/>
        <v>0</v>
      </c>
      <c r="AE84" s="2">
        <f t="shared" si="14"/>
        <v>0</v>
      </c>
      <c r="AF84" s="2">
        <f t="shared" si="15"/>
        <v>0</v>
      </c>
      <c r="AG84" s="2">
        <f t="shared" si="16"/>
        <v>0</v>
      </c>
      <c r="AH84" s="2">
        <f t="shared" si="17"/>
        <v>0</v>
      </c>
      <c r="AI84" s="2">
        <f t="shared" si="18"/>
      </c>
    </row>
    <row r="85">
      <c r="A85" s="43">
        <f t="shared" si="0"/>
      </c>
      <c r="B85" s="54" t="n"/>
      <c r="C85" s="45" t="n"/>
      <c r="D85" s="50" t="n"/>
      <c r="E85" s="55" t="n"/>
      <c r="F85" s="50" t="n"/>
      <c r="G85" s="55" t="n"/>
      <c r="H85" s="50" t="n"/>
      <c r="I85" s="55" t="n"/>
      <c r="J85" s="50" t="n"/>
      <c r="K85" s="55" t="n"/>
      <c r="L85" s="56" t="n"/>
      <c r="M85" s="57" t="n"/>
      <c r="N85" s="57" t="n"/>
      <c r="O85" s="57" t="n"/>
      <c r="P85" s="57" t="n"/>
      <c r="Q85" s="50" t="n"/>
      <c r="R85" s="58">
        <f t="shared" si="1"/>
      </c>
      <c r="S85" s="59">
        <f t="shared" si="2"/>
      </c>
      <c r="T85" s="43">
        <f t="shared" si="3"/>
      </c>
      <c r="U85" s="60">
        <f t="shared" si="4"/>
      </c>
      <c r="V85" s="60">
        <f t="shared" si="5"/>
      </c>
      <c r="W85" s="60">
        <f t="shared" si="6"/>
      </c>
      <c r="X85" s="49">
        <f t="shared" si="7"/>
      </c>
      <c r="Y85" s="2">
        <f t="shared" si="8"/>
      </c>
      <c r="Z85" s="2">
        <f t="shared" si="9"/>
        <v>0</v>
      </c>
      <c r="AA85" s="2">
        <f t="shared" si="10"/>
        <v>0</v>
      </c>
      <c r="AB85" s="2">
        <f t="shared" si="11"/>
        <v>0</v>
      </c>
      <c r="AC85" s="2">
        <f t="shared" si="12"/>
        <v>0</v>
      </c>
      <c r="AD85" s="2">
        <f t="shared" si="13"/>
        <v>0</v>
      </c>
      <c r="AE85" s="2">
        <f t="shared" si="14"/>
        <v>0</v>
      </c>
      <c r="AF85" s="2">
        <f t="shared" si="15"/>
        <v>0</v>
      </c>
      <c r="AG85" s="2">
        <f t="shared" si="16"/>
        <v>0</v>
      </c>
      <c r="AH85" s="2">
        <f t="shared" si="17"/>
        <v>0</v>
      </c>
      <c r="AI85" s="2">
        <f t="shared" si="18"/>
      </c>
    </row>
    <row r="86">
      <c r="A86" s="43">
        <f t="shared" si="0"/>
      </c>
      <c r="B86" s="54" t="n"/>
      <c r="C86" s="45" t="n"/>
      <c r="D86" s="50" t="n"/>
      <c r="E86" s="55" t="n"/>
      <c r="F86" s="50" t="n"/>
      <c r="G86" s="55" t="n"/>
      <c r="H86" s="50" t="n"/>
      <c r="I86" s="55" t="n"/>
      <c r="J86" s="50" t="n"/>
      <c r="K86" s="55" t="n"/>
      <c r="L86" s="56" t="n"/>
      <c r="M86" s="57" t="n"/>
      <c r="N86" s="57" t="n"/>
      <c r="O86" s="57" t="n"/>
      <c r="P86" s="57" t="n"/>
      <c r="Q86" s="50" t="n"/>
      <c r="R86" s="58">
        <f t="shared" si="1"/>
      </c>
      <c r="S86" s="59">
        <f t="shared" si="2"/>
      </c>
      <c r="T86" s="43">
        <f t="shared" si="3"/>
      </c>
      <c r="U86" s="60">
        <f t="shared" si="4"/>
      </c>
      <c r="V86" s="60">
        <f t="shared" si="5"/>
      </c>
      <c r="W86" s="60">
        <f t="shared" si="6"/>
      </c>
      <c r="X86" s="49">
        <f t="shared" si="7"/>
      </c>
      <c r="Y86" s="2">
        <f t="shared" si="8"/>
      </c>
      <c r="Z86" s="2">
        <f t="shared" si="9"/>
        <v>0</v>
      </c>
      <c r="AA86" s="2">
        <f t="shared" si="10"/>
        <v>0</v>
      </c>
      <c r="AB86" s="2">
        <f t="shared" si="11"/>
        <v>0</v>
      </c>
      <c r="AC86" s="2">
        <f t="shared" si="12"/>
        <v>0</v>
      </c>
      <c r="AD86" s="2">
        <f t="shared" si="13"/>
        <v>0</v>
      </c>
      <c r="AE86" s="2">
        <f t="shared" si="14"/>
        <v>0</v>
      </c>
      <c r="AF86" s="2">
        <f t="shared" si="15"/>
        <v>0</v>
      </c>
      <c r="AG86" s="2">
        <f t="shared" si="16"/>
        <v>0</v>
      </c>
      <c r="AH86" s="2">
        <f t="shared" si="17"/>
        <v>0</v>
      </c>
      <c r="AI86" s="2">
        <f t="shared" si="18"/>
      </c>
    </row>
    <row r="87">
      <c r="A87" s="43">
        <f t="shared" si="0"/>
      </c>
      <c r="B87" s="54" t="n"/>
      <c r="C87" s="45" t="n"/>
      <c r="D87" s="50" t="n"/>
      <c r="E87" s="55" t="n"/>
      <c r="F87" s="50" t="n"/>
      <c r="G87" s="55" t="n"/>
      <c r="H87" s="50" t="n"/>
      <c r="I87" s="55" t="n"/>
      <c r="J87" s="50" t="n"/>
      <c r="K87" s="55" t="n"/>
      <c r="L87" s="56" t="n"/>
      <c r="M87" s="57" t="n"/>
      <c r="N87" s="57" t="n"/>
      <c r="O87" s="57" t="n"/>
      <c r="P87" s="57" t="n"/>
      <c r="Q87" s="50" t="n"/>
      <c r="R87" s="58">
        <f t="shared" si="1"/>
      </c>
      <c r="S87" s="59">
        <f t="shared" si="2"/>
      </c>
      <c r="T87" s="43">
        <f t="shared" si="3"/>
      </c>
      <c r="U87" s="60">
        <f t="shared" si="4"/>
      </c>
      <c r="V87" s="60">
        <f t="shared" si="5"/>
      </c>
      <c r="W87" s="60">
        <f t="shared" si="6"/>
      </c>
      <c r="X87" s="49">
        <f t="shared" si="7"/>
      </c>
      <c r="Y87" s="2">
        <f t="shared" si="8"/>
      </c>
      <c r="Z87" s="2">
        <f t="shared" si="9"/>
        <v>0</v>
      </c>
      <c r="AA87" s="2">
        <f t="shared" si="10"/>
        <v>0</v>
      </c>
      <c r="AB87" s="2">
        <f t="shared" si="11"/>
        <v>0</v>
      </c>
      <c r="AC87" s="2">
        <f t="shared" si="12"/>
        <v>0</v>
      </c>
      <c r="AD87" s="2">
        <f t="shared" si="13"/>
        <v>0</v>
      </c>
      <c r="AE87" s="2">
        <f t="shared" si="14"/>
        <v>0</v>
      </c>
      <c r="AF87" s="2">
        <f t="shared" si="15"/>
        <v>0</v>
      </c>
      <c r="AG87" s="2">
        <f t="shared" si="16"/>
        <v>0</v>
      </c>
      <c r="AH87" s="2">
        <f t="shared" si="17"/>
        <v>0</v>
      </c>
      <c r="AI87" s="2">
        <f t="shared" si="18"/>
      </c>
    </row>
    <row r="88">
      <c r="A88" s="43">
        <f t="shared" si="0"/>
      </c>
      <c r="B88" s="54" t="n"/>
      <c r="C88" s="45" t="n"/>
      <c r="D88" s="50" t="n"/>
      <c r="E88" s="55" t="n"/>
      <c r="F88" s="50" t="n"/>
      <c r="G88" s="55" t="n"/>
      <c r="H88" s="50" t="n"/>
      <c r="I88" s="55" t="n"/>
      <c r="J88" s="50" t="n"/>
      <c r="K88" s="55" t="n"/>
      <c r="L88" s="56" t="n"/>
      <c r="M88" s="57" t="n"/>
      <c r="N88" s="57" t="n"/>
      <c r="O88" s="57" t="n"/>
      <c r="P88" s="57" t="n"/>
      <c r="Q88" s="50" t="n"/>
      <c r="R88" s="58">
        <f t="shared" si="1"/>
      </c>
      <c r="S88" s="59">
        <f t="shared" si="2"/>
      </c>
      <c r="T88" s="43">
        <f t="shared" si="3"/>
      </c>
      <c r="U88" s="60">
        <f t="shared" si="4"/>
      </c>
      <c r="V88" s="60">
        <f t="shared" si="5"/>
      </c>
      <c r="W88" s="60">
        <f t="shared" si="6"/>
      </c>
      <c r="X88" s="49">
        <f t="shared" si="7"/>
      </c>
      <c r="Y88" s="2">
        <f t="shared" si="8"/>
      </c>
      <c r="Z88" s="2">
        <f t="shared" si="9"/>
        <v>0</v>
      </c>
      <c r="AA88" s="2">
        <f t="shared" si="10"/>
        <v>0</v>
      </c>
      <c r="AB88" s="2">
        <f t="shared" si="11"/>
        <v>0</v>
      </c>
      <c r="AC88" s="2">
        <f t="shared" si="12"/>
        <v>0</v>
      </c>
      <c r="AD88" s="2">
        <f t="shared" si="13"/>
        <v>0</v>
      </c>
      <c r="AE88" s="2">
        <f t="shared" si="14"/>
        <v>0</v>
      </c>
      <c r="AF88" s="2">
        <f t="shared" si="15"/>
        <v>0</v>
      </c>
      <c r="AG88" s="2">
        <f t="shared" si="16"/>
        <v>0</v>
      </c>
      <c r="AH88" s="2">
        <f t="shared" si="17"/>
        <v>0</v>
      </c>
      <c r="AI88" s="2">
        <f t="shared" si="18"/>
      </c>
    </row>
    <row r="89">
      <c r="A89" s="43">
        <f t="shared" si="0"/>
      </c>
      <c r="B89" s="54" t="n"/>
      <c r="C89" s="45" t="n"/>
      <c r="D89" s="50" t="n"/>
      <c r="E89" s="55" t="n"/>
      <c r="F89" s="50" t="n"/>
      <c r="G89" s="55" t="n"/>
      <c r="H89" s="50" t="n"/>
      <c r="I89" s="55" t="n"/>
      <c r="J89" s="50" t="n"/>
      <c r="K89" s="55" t="n"/>
      <c r="L89" s="56" t="n"/>
      <c r="M89" s="57" t="n"/>
      <c r="N89" s="57" t="n"/>
      <c r="O89" s="57" t="n"/>
      <c r="P89" s="57" t="n"/>
      <c r="Q89" s="50" t="n"/>
      <c r="R89" s="58">
        <f t="shared" si="1"/>
      </c>
      <c r="S89" s="59">
        <f t="shared" si="2"/>
      </c>
      <c r="T89" s="43">
        <f t="shared" si="3"/>
      </c>
      <c r="U89" s="60">
        <f t="shared" si="4"/>
      </c>
      <c r="V89" s="60">
        <f t="shared" si="5"/>
      </c>
      <c r="W89" s="60">
        <f t="shared" si="6"/>
      </c>
      <c r="X89" s="49">
        <f t="shared" si="7"/>
      </c>
      <c r="Y89" s="2">
        <f t="shared" si="8"/>
      </c>
      <c r="Z89" s="2">
        <f t="shared" si="9"/>
        <v>0</v>
      </c>
      <c r="AA89" s="2">
        <f t="shared" si="10"/>
        <v>0</v>
      </c>
      <c r="AB89" s="2">
        <f t="shared" si="11"/>
        <v>0</v>
      </c>
      <c r="AC89" s="2">
        <f t="shared" si="12"/>
        <v>0</v>
      </c>
      <c r="AD89" s="2">
        <f t="shared" si="13"/>
        <v>0</v>
      </c>
      <c r="AE89" s="2">
        <f t="shared" si="14"/>
        <v>0</v>
      </c>
      <c r="AF89" s="2">
        <f t="shared" si="15"/>
        <v>0</v>
      </c>
      <c r="AG89" s="2">
        <f t="shared" si="16"/>
        <v>0</v>
      </c>
      <c r="AH89" s="2">
        <f t="shared" si="17"/>
        <v>0</v>
      </c>
      <c r="AI89" s="2">
        <f t="shared" si="18"/>
      </c>
    </row>
    <row r="90">
      <c r="A90" s="43">
        <f t="shared" si="0"/>
      </c>
      <c r="B90" s="54" t="n"/>
      <c r="C90" s="45" t="n"/>
      <c r="D90" s="50" t="n"/>
      <c r="E90" s="55" t="n"/>
      <c r="F90" s="50" t="n"/>
      <c r="G90" s="55" t="n"/>
      <c r="H90" s="50" t="n"/>
      <c r="I90" s="55" t="n"/>
      <c r="J90" s="50" t="n"/>
      <c r="K90" s="55" t="n"/>
      <c r="L90" s="56" t="n"/>
      <c r="M90" s="57" t="n"/>
      <c r="N90" s="57" t="n"/>
      <c r="O90" s="57" t="n"/>
      <c r="P90" s="57" t="n"/>
      <c r="Q90" s="50" t="n"/>
      <c r="R90" s="58">
        <f t="shared" si="1"/>
      </c>
      <c r="S90" s="59">
        <f t="shared" si="2"/>
      </c>
      <c r="T90" s="43">
        <f t="shared" si="3"/>
      </c>
      <c r="U90" s="60">
        <f t="shared" si="4"/>
      </c>
      <c r="V90" s="60">
        <f t="shared" si="5"/>
      </c>
      <c r="W90" s="60">
        <f t="shared" si="6"/>
      </c>
      <c r="X90" s="49">
        <f t="shared" si="7"/>
      </c>
      <c r="Y90" s="2">
        <f t="shared" si="8"/>
      </c>
      <c r="Z90" s="2">
        <f t="shared" si="9"/>
        <v>0</v>
      </c>
      <c r="AA90" s="2">
        <f t="shared" si="10"/>
        <v>0</v>
      </c>
      <c r="AB90" s="2">
        <f t="shared" si="11"/>
        <v>0</v>
      </c>
      <c r="AC90" s="2">
        <f t="shared" si="12"/>
        <v>0</v>
      </c>
      <c r="AD90" s="2">
        <f t="shared" si="13"/>
        <v>0</v>
      </c>
      <c r="AE90" s="2">
        <f t="shared" si="14"/>
        <v>0</v>
      </c>
      <c r="AF90" s="2">
        <f t="shared" si="15"/>
        <v>0</v>
      </c>
      <c r="AG90" s="2">
        <f t="shared" si="16"/>
        <v>0</v>
      </c>
      <c r="AH90" s="2">
        <f t="shared" si="17"/>
        <v>0</v>
      </c>
      <c r="AI90" s="2">
        <f t="shared" si="18"/>
      </c>
    </row>
    <row r="91">
      <c r="A91" s="43">
        <f t="shared" si="0"/>
      </c>
      <c r="B91" s="54" t="n"/>
      <c r="C91" s="45" t="n"/>
      <c r="D91" s="50" t="n"/>
      <c r="E91" s="55" t="n"/>
      <c r="F91" s="50" t="n"/>
      <c r="G91" s="55" t="n"/>
      <c r="H91" s="50" t="n"/>
      <c r="I91" s="55" t="n"/>
      <c r="J91" s="50" t="n"/>
      <c r="K91" s="55" t="n"/>
      <c r="L91" s="56" t="n"/>
      <c r="M91" s="57" t="n"/>
      <c r="N91" s="57" t="n"/>
      <c r="O91" s="57" t="n"/>
      <c r="P91" s="57" t="n"/>
      <c r="Q91" s="50" t="n"/>
      <c r="R91" s="58">
        <f t="shared" si="1"/>
      </c>
      <c r="S91" s="59">
        <f t="shared" si="2"/>
      </c>
      <c r="T91" s="43">
        <f t="shared" si="3"/>
      </c>
      <c r="U91" s="60">
        <f t="shared" si="4"/>
      </c>
      <c r="V91" s="60">
        <f t="shared" si="5"/>
      </c>
      <c r="W91" s="60">
        <f t="shared" si="6"/>
      </c>
      <c r="X91" s="49">
        <f t="shared" si="7"/>
      </c>
      <c r="Y91" s="2">
        <f t="shared" si="8"/>
      </c>
      <c r="Z91" s="2">
        <f t="shared" si="9"/>
        <v>0</v>
      </c>
      <c r="AA91" s="2">
        <f t="shared" si="10"/>
        <v>0</v>
      </c>
      <c r="AB91" s="2">
        <f t="shared" si="11"/>
        <v>0</v>
      </c>
      <c r="AC91" s="2">
        <f t="shared" si="12"/>
        <v>0</v>
      </c>
      <c r="AD91" s="2">
        <f t="shared" si="13"/>
        <v>0</v>
      </c>
      <c r="AE91" s="2">
        <f t="shared" si="14"/>
        <v>0</v>
      </c>
      <c r="AF91" s="2">
        <f t="shared" si="15"/>
        <v>0</v>
      </c>
      <c r="AG91" s="2">
        <f t="shared" si="16"/>
        <v>0</v>
      </c>
      <c r="AH91" s="2">
        <f t="shared" si="17"/>
        <v>0</v>
      </c>
      <c r="AI91" s="2">
        <f t="shared" si="18"/>
      </c>
    </row>
    <row r="92">
      <c r="A92" s="43">
        <f t="shared" si="0"/>
      </c>
      <c r="B92" s="54" t="n"/>
      <c r="C92" s="45" t="n"/>
      <c r="D92" s="50" t="n"/>
      <c r="E92" s="55" t="n"/>
      <c r="F92" s="50" t="n"/>
      <c r="G92" s="55" t="n"/>
      <c r="H92" s="50" t="n"/>
      <c r="I92" s="55" t="n"/>
      <c r="J92" s="50" t="n"/>
      <c r="K92" s="55" t="n"/>
      <c r="L92" s="56" t="n"/>
      <c r="M92" s="57" t="n"/>
      <c r="N92" s="57" t="n"/>
      <c r="O92" s="57" t="n"/>
      <c r="P92" s="57" t="n"/>
      <c r="Q92" s="50" t="n"/>
      <c r="R92" s="58">
        <f t="shared" si="1"/>
      </c>
      <c r="S92" s="59">
        <f t="shared" si="2"/>
      </c>
      <c r="T92" s="43">
        <f t="shared" si="3"/>
      </c>
      <c r="U92" s="60">
        <f t="shared" si="4"/>
      </c>
      <c r="V92" s="60">
        <f t="shared" si="5"/>
      </c>
      <c r="W92" s="60">
        <f t="shared" si="6"/>
      </c>
      <c r="X92" s="49">
        <f t="shared" si="7"/>
      </c>
      <c r="Y92" s="2">
        <f t="shared" si="8"/>
      </c>
      <c r="Z92" s="2">
        <f t="shared" si="9"/>
        <v>0</v>
      </c>
      <c r="AA92" s="2">
        <f t="shared" si="10"/>
        <v>0</v>
      </c>
      <c r="AB92" s="2">
        <f t="shared" si="11"/>
        <v>0</v>
      </c>
      <c r="AC92" s="2">
        <f t="shared" si="12"/>
        <v>0</v>
      </c>
      <c r="AD92" s="2">
        <f t="shared" si="13"/>
        <v>0</v>
      </c>
      <c r="AE92" s="2">
        <f t="shared" si="14"/>
        <v>0</v>
      </c>
      <c r="AF92" s="2">
        <f t="shared" si="15"/>
        <v>0</v>
      </c>
      <c r="AG92" s="2">
        <f t="shared" si="16"/>
        <v>0</v>
      </c>
      <c r="AH92" s="2">
        <f t="shared" si="17"/>
        <v>0</v>
      </c>
      <c r="AI92" s="2">
        <f t="shared" si="18"/>
      </c>
    </row>
    <row r="93">
      <c r="A93" s="43">
        <f t="shared" si="0"/>
      </c>
      <c r="B93" s="54" t="n"/>
      <c r="C93" s="45" t="n"/>
      <c r="D93" s="50" t="n"/>
      <c r="E93" s="55" t="n"/>
      <c r="F93" s="50" t="n"/>
      <c r="G93" s="55" t="n"/>
      <c r="H93" s="50" t="n"/>
      <c r="I93" s="55" t="n"/>
      <c r="J93" s="50" t="n"/>
      <c r="K93" s="55" t="n"/>
      <c r="L93" s="56" t="n"/>
      <c r="M93" s="57" t="n"/>
      <c r="N93" s="57" t="n"/>
      <c r="O93" s="57" t="n"/>
      <c r="P93" s="57" t="n"/>
      <c r="Q93" s="50" t="n"/>
      <c r="R93" s="58">
        <f t="shared" si="1"/>
      </c>
      <c r="S93" s="59">
        <f t="shared" si="2"/>
      </c>
      <c r="T93" s="43">
        <f t="shared" si="3"/>
      </c>
      <c r="U93" s="60">
        <f t="shared" si="4"/>
      </c>
      <c r="V93" s="60">
        <f t="shared" si="5"/>
      </c>
      <c r="W93" s="60">
        <f t="shared" si="6"/>
      </c>
      <c r="X93" s="49">
        <f t="shared" si="7"/>
      </c>
      <c r="Y93" s="2">
        <f t="shared" si="8"/>
      </c>
      <c r="Z93" s="2">
        <f t="shared" si="9"/>
        <v>0</v>
      </c>
      <c r="AA93" s="2">
        <f t="shared" si="10"/>
        <v>0</v>
      </c>
      <c r="AB93" s="2">
        <f t="shared" si="11"/>
        <v>0</v>
      </c>
      <c r="AC93" s="2">
        <f t="shared" si="12"/>
        <v>0</v>
      </c>
      <c r="AD93" s="2">
        <f t="shared" si="13"/>
        <v>0</v>
      </c>
      <c r="AE93" s="2">
        <f t="shared" si="14"/>
        <v>0</v>
      </c>
      <c r="AF93" s="2">
        <f t="shared" si="15"/>
        <v>0</v>
      </c>
      <c r="AG93" s="2">
        <f t="shared" si="16"/>
        <v>0</v>
      </c>
      <c r="AH93" s="2">
        <f t="shared" si="17"/>
        <v>0</v>
      </c>
      <c r="AI93" s="2">
        <f t="shared" si="18"/>
      </c>
    </row>
    <row r="94">
      <c r="A94" s="43">
        <f t="shared" si="0"/>
      </c>
      <c r="B94" s="54" t="n"/>
      <c r="C94" s="45" t="n"/>
      <c r="D94" s="50" t="n"/>
      <c r="E94" s="55" t="n"/>
      <c r="F94" s="50" t="n"/>
      <c r="G94" s="55" t="n"/>
      <c r="H94" s="50" t="n"/>
      <c r="I94" s="55" t="n"/>
      <c r="J94" s="50" t="n"/>
      <c r="K94" s="55" t="n"/>
      <c r="L94" s="56" t="n"/>
      <c r="M94" s="57" t="n"/>
      <c r="N94" s="57" t="n"/>
      <c r="O94" s="57" t="n"/>
      <c r="P94" s="57" t="n"/>
      <c r="Q94" s="50" t="n"/>
      <c r="R94" s="58">
        <f t="shared" si="1"/>
      </c>
      <c r="S94" s="59">
        <f t="shared" si="2"/>
      </c>
      <c r="T94" s="43">
        <f t="shared" si="3"/>
      </c>
      <c r="U94" s="60">
        <f t="shared" si="4"/>
      </c>
      <c r="V94" s="60">
        <f t="shared" si="5"/>
      </c>
      <c r="W94" s="60">
        <f t="shared" si="6"/>
      </c>
      <c r="X94" s="49">
        <f t="shared" si="7"/>
      </c>
      <c r="Y94" s="2">
        <f t="shared" si="8"/>
      </c>
      <c r="Z94" s="2">
        <f t="shared" si="9"/>
        <v>0</v>
      </c>
      <c r="AA94" s="2">
        <f t="shared" si="10"/>
        <v>0</v>
      </c>
      <c r="AB94" s="2">
        <f t="shared" si="11"/>
        <v>0</v>
      </c>
      <c r="AC94" s="2">
        <f t="shared" si="12"/>
        <v>0</v>
      </c>
      <c r="AD94" s="2">
        <f t="shared" si="13"/>
        <v>0</v>
      </c>
      <c r="AE94" s="2">
        <f t="shared" si="14"/>
        <v>0</v>
      </c>
      <c r="AF94" s="2">
        <f t="shared" si="15"/>
        <v>0</v>
      </c>
      <c r="AG94" s="2">
        <f t="shared" si="16"/>
        <v>0</v>
      </c>
      <c r="AH94" s="2">
        <f t="shared" si="17"/>
        <v>0</v>
      </c>
      <c r="AI94" s="2">
        <f t="shared" si="18"/>
      </c>
    </row>
    <row r="95">
      <c r="A95" s="43">
        <f t="shared" si="0"/>
      </c>
      <c r="B95" s="54" t="n"/>
      <c r="C95" s="45" t="n"/>
      <c r="D95" s="50" t="n"/>
      <c r="E95" s="55" t="n"/>
      <c r="F95" s="50" t="n"/>
      <c r="G95" s="55" t="n"/>
      <c r="H95" s="50" t="n"/>
      <c r="I95" s="55" t="n"/>
      <c r="J95" s="50" t="n"/>
      <c r="K95" s="55" t="n"/>
      <c r="L95" s="56" t="n"/>
      <c r="M95" s="57" t="n"/>
      <c r="N95" s="57" t="n"/>
      <c r="O95" s="57" t="n"/>
      <c r="P95" s="57" t="n"/>
      <c r="Q95" s="50" t="n"/>
      <c r="R95" s="58">
        <f t="shared" si="1"/>
      </c>
      <c r="S95" s="59">
        <f t="shared" si="2"/>
      </c>
      <c r="T95" s="43">
        <f t="shared" si="3"/>
      </c>
      <c r="U95" s="60">
        <f t="shared" si="4"/>
      </c>
      <c r="V95" s="60">
        <f t="shared" si="5"/>
      </c>
      <c r="W95" s="60">
        <f t="shared" si="6"/>
      </c>
      <c r="X95" s="49">
        <f t="shared" si="7"/>
      </c>
      <c r="Y95" s="2">
        <f t="shared" si="8"/>
      </c>
      <c r="Z95" s="2">
        <f t="shared" si="9"/>
        <v>0</v>
      </c>
      <c r="AA95" s="2">
        <f t="shared" si="10"/>
        <v>0</v>
      </c>
      <c r="AB95" s="2">
        <f t="shared" si="11"/>
        <v>0</v>
      </c>
      <c r="AC95" s="2">
        <f t="shared" si="12"/>
        <v>0</v>
      </c>
      <c r="AD95" s="2">
        <f t="shared" si="13"/>
        <v>0</v>
      </c>
      <c r="AE95" s="2">
        <f t="shared" si="14"/>
        <v>0</v>
      </c>
      <c r="AF95" s="2">
        <f t="shared" si="15"/>
        <v>0</v>
      </c>
      <c r="AG95" s="2">
        <f t="shared" si="16"/>
        <v>0</v>
      </c>
      <c r="AH95" s="2">
        <f t="shared" si="17"/>
        <v>0</v>
      </c>
      <c r="AI95" s="2">
        <f t="shared" si="18"/>
      </c>
    </row>
    <row r="96">
      <c r="A96" s="43">
        <f t="shared" si="0"/>
      </c>
      <c r="B96" s="54" t="n"/>
      <c r="C96" s="45" t="n"/>
      <c r="D96" s="50" t="n"/>
      <c r="E96" s="55" t="n"/>
      <c r="F96" s="50" t="n"/>
      <c r="G96" s="55" t="n"/>
      <c r="H96" s="50" t="n"/>
      <c r="I96" s="55" t="n"/>
      <c r="J96" s="50" t="n"/>
      <c r="K96" s="55" t="n"/>
      <c r="L96" s="56" t="n"/>
      <c r="M96" s="57" t="n"/>
      <c r="N96" s="57" t="n"/>
      <c r="O96" s="57" t="n"/>
      <c r="P96" s="57" t="n"/>
      <c r="Q96" s="50" t="n"/>
      <c r="R96" s="58">
        <f t="shared" si="1"/>
      </c>
      <c r="S96" s="59">
        <f t="shared" si="2"/>
      </c>
      <c r="T96" s="43">
        <f t="shared" si="3"/>
      </c>
      <c r="U96" s="60">
        <f t="shared" si="4"/>
      </c>
      <c r="V96" s="60">
        <f t="shared" si="5"/>
      </c>
      <c r="W96" s="60">
        <f t="shared" si="6"/>
      </c>
      <c r="X96" s="49">
        <f t="shared" si="7"/>
      </c>
      <c r="Y96" s="2">
        <f t="shared" si="8"/>
      </c>
      <c r="Z96" s="2">
        <f t="shared" si="9"/>
        <v>0</v>
      </c>
      <c r="AA96" s="2">
        <f t="shared" si="10"/>
        <v>0</v>
      </c>
      <c r="AB96" s="2">
        <f t="shared" si="11"/>
        <v>0</v>
      </c>
      <c r="AC96" s="2">
        <f t="shared" si="12"/>
        <v>0</v>
      </c>
      <c r="AD96" s="2">
        <f t="shared" si="13"/>
        <v>0</v>
      </c>
      <c r="AE96" s="2">
        <f t="shared" si="14"/>
        <v>0</v>
      </c>
      <c r="AF96" s="2">
        <f t="shared" si="15"/>
        <v>0</v>
      </c>
      <c r="AG96" s="2">
        <f t="shared" si="16"/>
        <v>0</v>
      </c>
      <c r="AH96" s="2">
        <f t="shared" si="17"/>
        <v>0</v>
      </c>
      <c r="AI96" s="2">
        <f t="shared" si="18"/>
      </c>
    </row>
    <row r="97">
      <c r="A97" s="43">
        <f t="shared" si="0"/>
      </c>
      <c r="B97" s="54" t="n"/>
      <c r="C97" s="45" t="n"/>
      <c r="D97" s="50" t="n"/>
      <c r="E97" s="55" t="n"/>
      <c r="F97" s="50" t="n"/>
      <c r="G97" s="55" t="n"/>
      <c r="H97" s="50" t="n"/>
      <c r="I97" s="55" t="n"/>
      <c r="J97" s="50" t="n"/>
      <c r="K97" s="55" t="n"/>
      <c r="L97" s="56" t="n"/>
      <c r="M97" s="57" t="n"/>
      <c r="N97" s="57" t="n"/>
      <c r="O97" s="57" t="n"/>
      <c r="P97" s="57" t="n"/>
      <c r="Q97" s="50" t="n"/>
      <c r="R97" s="58">
        <f t="shared" si="1"/>
      </c>
      <c r="S97" s="59">
        <f t="shared" si="2"/>
      </c>
      <c r="T97" s="43">
        <f t="shared" si="3"/>
      </c>
      <c r="U97" s="60">
        <f t="shared" si="4"/>
      </c>
      <c r="V97" s="60">
        <f t="shared" si="5"/>
      </c>
      <c r="W97" s="60">
        <f t="shared" si="6"/>
      </c>
      <c r="X97" s="49">
        <f t="shared" si="7"/>
      </c>
      <c r="Y97" s="2">
        <f t="shared" si="8"/>
      </c>
      <c r="Z97" s="2">
        <f t="shared" si="9"/>
        <v>0</v>
      </c>
      <c r="AA97" s="2">
        <f t="shared" si="10"/>
        <v>0</v>
      </c>
      <c r="AB97" s="2">
        <f t="shared" si="11"/>
        <v>0</v>
      </c>
      <c r="AC97" s="2">
        <f t="shared" si="12"/>
        <v>0</v>
      </c>
      <c r="AD97" s="2">
        <f t="shared" si="13"/>
        <v>0</v>
      </c>
      <c r="AE97" s="2">
        <f t="shared" si="14"/>
        <v>0</v>
      </c>
      <c r="AF97" s="2">
        <f t="shared" si="15"/>
        <v>0</v>
      </c>
      <c r="AG97" s="2">
        <f t="shared" si="16"/>
        <v>0</v>
      </c>
      <c r="AH97" s="2">
        <f t="shared" si="17"/>
        <v>0</v>
      </c>
      <c r="AI97" s="2">
        <f t="shared" si="18"/>
      </c>
    </row>
    <row r="98">
      <c r="A98" s="43">
        <f t="shared" si="0"/>
      </c>
      <c r="B98" s="54" t="n"/>
      <c r="C98" s="45" t="n"/>
      <c r="D98" s="50" t="n"/>
      <c r="E98" s="55" t="n"/>
      <c r="F98" s="50" t="n"/>
      <c r="G98" s="55" t="n"/>
      <c r="H98" s="50" t="n"/>
      <c r="I98" s="55" t="n"/>
      <c r="J98" s="50" t="n"/>
      <c r="K98" s="55" t="n"/>
      <c r="L98" s="56" t="n"/>
      <c r="M98" s="57" t="n"/>
      <c r="N98" s="57" t="n"/>
      <c r="O98" s="57" t="n"/>
      <c r="P98" s="57" t="n"/>
      <c r="Q98" s="50" t="n"/>
      <c r="R98" s="58">
        <f t="shared" si="1"/>
      </c>
      <c r="S98" s="59">
        <f t="shared" si="2"/>
      </c>
      <c r="T98" s="43">
        <f t="shared" si="3"/>
      </c>
      <c r="U98" s="60">
        <f t="shared" si="4"/>
      </c>
      <c r="V98" s="60">
        <f t="shared" si="5"/>
      </c>
      <c r="W98" s="60">
        <f t="shared" si="6"/>
      </c>
      <c r="X98" s="49">
        <f t="shared" si="7"/>
      </c>
      <c r="Y98" s="2">
        <f t="shared" si="8"/>
      </c>
      <c r="Z98" s="2">
        <f t="shared" si="9"/>
        <v>0</v>
      </c>
      <c r="AA98" s="2">
        <f t="shared" si="10"/>
        <v>0</v>
      </c>
      <c r="AB98" s="2">
        <f t="shared" si="11"/>
        <v>0</v>
      </c>
      <c r="AC98" s="2">
        <f t="shared" si="12"/>
        <v>0</v>
      </c>
      <c r="AD98" s="2">
        <f t="shared" si="13"/>
        <v>0</v>
      </c>
      <c r="AE98" s="2">
        <f t="shared" si="14"/>
        <v>0</v>
      </c>
      <c r="AF98" s="2">
        <f t="shared" si="15"/>
        <v>0</v>
      </c>
      <c r="AG98" s="2">
        <f t="shared" si="16"/>
        <v>0</v>
      </c>
      <c r="AH98" s="2">
        <f t="shared" si="17"/>
        <v>0</v>
      </c>
      <c r="AI98" s="2">
        <f t="shared" si="18"/>
      </c>
    </row>
    <row r="99">
      <c r="A99" s="43">
        <f t="shared" si="0"/>
      </c>
      <c r="B99" s="54" t="n"/>
      <c r="C99" s="45" t="n"/>
      <c r="D99" s="50" t="n"/>
      <c r="E99" s="55" t="n"/>
      <c r="F99" s="50" t="n"/>
      <c r="G99" s="55" t="n"/>
      <c r="H99" s="50" t="n"/>
      <c r="I99" s="55" t="n"/>
      <c r="J99" s="50" t="n"/>
      <c r="K99" s="55" t="n"/>
      <c r="L99" s="56" t="n"/>
      <c r="M99" s="57" t="n"/>
      <c r="N99" s="57" t="n"/>
      <c r="O99" s="57" t="n"/>
      <c r="P99" s="57" t="n"/>
      <c r="Q99" s="50" t="n"/>
      <c r="R99" s="58">
        <f t="shared" si="1"/>
      </c>
      <c r="S99" s="59">
        <f t="shared" si="2"/>
      </c>
      <c r="T99" s="43">
        <f t="shared" si="3"/>
      </c>
      <c r="U99" s="60">
        <f t="shared" si="4"/>
      </c>
      <c r="V99" s="60">
        <f t="shared" si="5"/>
      </c>
      <c r="W99" s="60">
        <f t="shared" si="6"/>
      </c>
      <c r="X99" s="49">
        <f t="shared" si="7"/>
      </c>
      <c r="Y99" s="2">
        <f t="shared" si="8"/>
      </c>
      <c r="Z99" s="2">
        <f t="shared" si="9"/>
        <v>0</v>
      </c>
      <c r="AA99" s="2">
        <f t="shared" si="10"/>
        <v>0</v>
      </c>
      <c r="AB99" s="2">
        <f t="shared" si="11"/>
        <v>0</v>
      </c>
      <c r="AC99" s="2">
        <f t="shared" si="12"/>
        <v>0</v>
      </c>
      <c r="AD99" s="2">
        <f t="shared" si="13"/>
        <v>0</v>
      </c>
      <c r="AE99" s="2">
        <f t="shared" si="14"/>
        <v>0</v>
      </c>
      <c r="AF99" s="2">
        <f t="shared" si="15"/>
        <v>0</v>
      </c>
      <c r="AG99" s="2">
        <f t="shared" si="16"/>
        <v>0</v>
      </c>
      <c r="AH99" s="2">
        <f t="shared" si="17"/>
        <v>0</v>
      </c>
      <c r="AI99" s="2">
        <f t="shared" si="18"/>
      </c>
    </row>
    <row r="100">
      <c r="A100" s="43">
        <f t="shared" si="0"/>
      </c>
      <c r="B100" s="54" t="n"/>
      <c r="C100" s="45" t="n"/>
      <c r="D100" s="50" t="n"/>
      <c r="E100" s="55" t="n"/>
      <c r="F100" s="50" t="n"/>
      <c r="G100" s="55" t="n"/>
      <c r="H100" s="50" t="n"/>
      <c r="I100" s="55" t="n"/>
      <c r="J100" s="50" t="n"/>
      <c r="K100" s="55" t="n"/>
      <c r="L100" s="56" t="n"/>
      <c r="M100" s="57" t="n"/>
      <c r="N100" s="57" t="n"/>
      <c r="O100" s="57" t="n"/>
      <c r="P100" s="57" t="n"/>
      <c r="Q100" s="50" t="n"/>
      <c r="R100" s="58">
        <f t="shared" si="1"/>
      </c>
      <c r="S100" s="59">
        <f t="shared" si="2"/>
      </c>
      <c r="T100" s="43">
        <f t="shared" si="3"/>
      </c>
      <c r="U100" s="60">
        <f t="shared" si="4"/>
      </c>
      <c r="V100" s="60">
        <f t="shared" si="5"/>
      </c>
      <c r="W100" s="60">
        <f t="shared" si="6"/>
      </c>
      <c r="X100" s="49">
        <f t="shared" si="7"/>
      </c>
      <c r="Y100" s="2">
        <f t="shared" si="8"/>
      </c>
      <c r="Z100" s="2">
        <f t="shared" si="9"/>
        <v>0</v>
      </c>
      <c r="AA100" s="2">
        <f t="shared" si="10"/>
        <v>0</v>
      </c>
      <c r="AB100" s="2">
        <f t="shared" si="11"/>
        <v>0</v>
      </c>
      <c r="AC100" s="2">
        <f t="shared" si="12"/>
        <v>0</v>
      </c>
      <c r="AD100" s="2">
        <f t="shared" si="13"/>
        <v>0</v>
      </c>
      <c r="AE100" s="2">
        <f t="shared" si="14"/>
        <v>0</v>
      </c>
      <c r="AF100" s="2">
        <f t="shared" si="15"/>
        <v>0</v>
      </c>
      <c r="AG100" s="2">
        <f t="shared" si="16"/>
        <v>0</v>
      </c>
      <c r="AH100" s="2">
        <f t="shared" si="17"/>
        <v>0</v>
      </c>
      <c r="AI100" s="2">
        <f t="shared" si="18"/>
      </c>
    </row>
    <row r="101">
      <c r="A101" s="43">
        <f t="shared" si="0"/>
      </c>
      <c r="B101" s="54" t="n"/>
      <c r="C101" s="45" t="n"/>
      <c r="D101" s="50" t="n"/>
      <c r="E101" s="55" t="n"/>
      <c r="F101" s="50" t="n"/>
      <c r="G101" s="55" t="n"/>
      <c r="H101" s="50" t="n"/>
      <c r="I101" s="55" t="n"/>
      <c r="J101" s="50" t="n"/>
      <c r="K101" s="55" t="n"/>
      <c r="L101" s="56" t="n"/>
      <c r="M101" s="57" t="n"/>
      <c r="N101" s="57" t="n"/>
      <c r="O101" s="57" t="n"/>
      <c r="P101" s="57" t="n"/>
      <c r="Q101" s="50" t="n"/>
      <c r="R101" s="58">
        <f t="shared" si="1"/>
      </c>
      <c r="S101" s="59">
        <f t="shared" si="2"/>
      </c>
      <c r="T101" s="43">
        <f t="shared" si="3"/>
      </c>
      <c r="U101" s="60">
        <f t="shared" si="4"/>
      </c>
      <c r="V101" s="60">
        <f t="shared" si="5"/>
      </c>
      <c r="W101" s="60">
        <f t="shared" si="6"/>
      </c>
      <c r="X101" s="49">
        <f t="shared" si="7"/>
      </c>
      <c r="Y101" s="2">
        <f t="shared" si="8"/>
      </c>
      <c r="Z101" s="2">
        <f t="shared" si="9"/>
        <v>0</v>
      </c>
      <c r="AA101" s="2">
        <f t="shared" si="10"/>
        <v>0</v>
      </c>
      <c r="AB101" s="2">
        <f t="shared" si="11"/>
        <v>0</v>
      </c>
      <c r="AC101" s="2">
        <f t="shared" si="12"/>
        <v>0</v>
      </c>
      <c r="AD101" s="2">
        <f t="shared" si="13"/>
        <v>0</v>
      </c>
      <c r="AE101" s="2">
        <f t="shared" si="14"/>
        <v>0</v>
      </c>
      <c r="AF101" s="2">
        <f t="shared" si="15"/>
        <v>0</v>
      </c>
      <c r="AG101" s="2">
        <f t="shared" si="16"/>
        <v>0</v>
      </c>
      <c r="AH101" s="2">
        <f t="shared" si="17"/>
        <v>0</v>
      </c>
      <c r="AI101" s="2">
        <f t="shared" si="18"/>
      </c>
    </row>
    <row r="102">
      <c r="A102" s="43">
        <f t="shared" si="0"/>
      </c>
      <c r="B102" s="54" t="n"/>
      <c r="C102" s="45" t="n"/>
      <c r="D102" s="50" t="n"/>
      <c r="E102" s="55" t="n"/>
      <c r="F102" s="50" t="n"/>
      <c r="G102" s="55" t="n"/>
      <c r="H102" s="50" t="n"/>
      <c r="I102" s="55" t="n"/>
      <c r="J102" s="50" t="n"/>
      <c r="K102" s="55" t="n"/>
      <c r="L102" s="56" t="n"/>
      <c r="M102" s="57" t="n"/>
      <c r="N102" s="57" t="n"/>
      <c r="O102" s="57" t="n"/>
      <c r="P102" s="57" t="n"/>
      <c r="Q102" s="50" t="n"/>
      <c r="R102" s="58">
        <f t="shared" si="1"/>
      </c>
      <c r="S102" s="59">
        <f t="shared" si="2"/>
      </c>
      <c r="T102" s="43">
        <f t="shared" si="3"/>
      </c>
      <c r="U102" s="60">
        <f t="shared" si="4"/>
      </c>
      <c r="V102" s="60">
        <f t="shared" si="5"/>
      </c>
      <c r="W102" s="60">
        <f t="shared" si="6"/>
      </c>
      <c r="X102" s="49">
        <f t="shared" si="7"/>
      </c>
      <c r="Y102" s="2">
        <f t="shared" si="8"/>
      </c>
      <c r="Z102" s="2">
        <f t="shared" si="9"/>
        <v>0</v>
      </c>
      <c r="AA102" s="2">
        <f t="shared" si="10"/>
        <v>0</v>
      </c>
      <c r="AB102" s="2">
        <f t="shared" si="11"/>
        <v>0</v>
      </c>
      <c r="AC102" s="2">
        <f t="shared" si="12"/>
        <v>0</v>
      </c>
      <c r="AD102" s="2">
        <f t="shared" si="13"/>
        <v>0</v>
      </c>
      <c r="AE102" s="2">
        <f t="shared" si="14"/>
        <v>0</v>
      </c>
      <c r="AF102" s="2">
        <f t="shared" si="15"/>
        <v>0</v>
      </c>
      <c r="AG102" s="2">
        <f t="shared" si="16"/>
        <v>0</v>
      </c>
      <c r="AH102" s="2">
        <f t="shared" si="17"/>
        <v>0</v>
      </c>
      <c r="AI102" s="2">
        <f t="shared" si="18"/>
      </c>
    </row>
    <row r="103">
      <c r="A103" s="43">
        <f t="shared" si="0"/>
      </c>
      <c r="B103" s="54" t="n"/>
      <c r="C103" s="45" t="n"/>
      <c r="D103" s="50" t="n"/>
      <c r="E103" s="55" t="n"/>
      <c r="F103" s="50" t="n"/>
      <c r="G103" s="55" t="n"/>
      <c r="H103" s="50" t="n"/>
      <c r="I103" s="55" t="n"/>
      <c r="J103" s="50" t="n"/>
      <c r="K103" s="55" t="n"/>
      <c r="L103" s="56" t="n"/>
      <c r="M103" s="57" t="n"/>
      <c r="N103" s="57" t="n"/>
      <c r="O103" s="57" t="n"/>
      <c r="P103" s="57" t="n"/>
      <c r="Q103" s="50" t="n"/>
      <c r="R103" s="58">
        <f t="shared" si="1"/>
      </c>
      <c r="S103" s="59">
        <f t="shared" si="2"/>
      </c>
      <c r="T103" s="43">
        <f t="shared" si="3"/>
      </c>
      <c r="U103" s="60">
        <f t="shared" si="4"/>
      </c>
      <c r="V103" s="60">
        <f t="shared" si="5"/>
      </c>
      <c r="W103" s="60">
        <f t="shared" si="6"/>
      </c>
      <c r="X103" s="49">
        <f t="shared" si="7"/>
      </c>
      <c r="Y103" s="2">
        <f t="shared" si="8"/>
      </c>
      <c r="Z103" s="2">
        <f t="shared" si="9"/>
        <v>0</v>
      </c>
      <c r="AA103" s="2">
        <f t="shared" si="10"/>
        <v>0</v>
      </c>
      <c r="AB103" s="2">
        <f t="shared" si="11"/>
        <v>0</v>
      </c>
      <c r="AC103" s="2">
        <f t="shared" si="12"/>
        <v>0</v>
      </c>
      <c r="AD103" s="2">
        <f t="shared" si="13"/>
        <v>0</v>
      </c>
      <c r="AE103" s="2">
        <f t="shared" si="14"/>
        <v>0</v>
      </c>
      <c r="AF103" s="2">
        <f t="shared" si="15"/>
        <v>0</v>
      </c>
      <c r="AG103" s="2">
        <f t="shared" si="16"/>
        <v>0</v>
      </c>
      <c r="AH103" s="2">
        <f t="shared" si="17"/>
        <v>0</v>
      </c>
      <c r="AI103" s="2">
        <f t="shared" si="18"/>
      </c>
    </row>
    <row r="104">
      <c r="A104" s="43">
        <f t="shared" si="0"/>
      </c>
      <c r="B104" s="54" t="n"/>
      <c r="C104" s="45" t="n"/>
      <c r="D104" s="50" t="n"/>
      <c r="E104" s="55" t="n"/>
      <c r="F104" s="50" t="n"/>
      <c r="G104" s="55" t="n"/>
      <c r="H104" s="50" t="n"/>
      <c r="I104" s="55" t="n"/>
      <c r="J104" s="50" t="n"/>
      <c r="K104" s="55" t="n"/>
      <c r="L104" s="56" t="n"/>
      <c r="M104" s="57" t="n"/>
      <c r="N104" s="57" t="n"/>
      <c r="O104" s="57" t="n"/>
      <c r="P104" s="57" t="n"/>
      <c r="Q104" s="50" t="n"/>
      <c r="R104" s="58">
        <f t="shared" si="1"/>
      </c>
      <c r="S104" s="59">
        <f t="shared" si="2"/>
      </c>
      <c r="T104" s="43">
        <f t="shared" si="3"/>
      </c>
      <c r="U104" s="60">
        <f t="shared" si="4"/>
      </c>
      <c r="V104" s="60">
        <f t="shared" si="5"/>
      </c>
      <c r="W104" s="60">
        <f t="shared" si="6"/>
      </c>
      <c r="X104" s="49">
        <f t="shared" si="7"/>
      </c>
      <c r="Y104" s="2">
        <f t="shared" si="8"/>
      </c>
      <c r="Z104" s="2">
        <f t="shared" si="9"/>
        <v>0</v>
      </c>
      <c r="AA104" s="2">
        <f t="shared" si="10"/>
        <v>0</v>
      </c>
      <c r="AB104" s="2">
        <f t="shared" si="11"/>
        <v>0</v>
      </c>
      <c r="AC104" s="2">
        <f t="shared" si="12"/>
        <v>0</v>
      </c>
      <c r="AD104" s="2">
        <f t="shared" si="13"/>
        <v>0</v>
      </c>
      <c r="AE104" s="2">
        <f t="shared" si="14"/>
        <v>0</v>
      </c>
      <c r="AF104" s="2">
        <f t="shared" si="15"/>
        <v>0</v>
      </c>
      <c r="AG104" s="2">
        <f t="shared" si="16"/>
        <v>0</v>
      </c>
      <c r="AH104" s="2">
        <f t="shared" si="17"/>
        <v>0</v>
      </c>
      <c r="AI104" s="2">
        <f t="shared" si="18"/>
      </c>
    </row>
    <row r="105">
      <c r="A105" s="43">
        <f t="shared" si="0"/>
      </c>
      <c r="B105" s="54" t="n"/>
      <c r="C105" s="45" t="n"/>
      <c r="D105" s="50" t="n"/>
      <c r="E105" s="55" t="n"/>
      <c r="F105" s="50" t="n"/>
      <c r="G105" s="55" t="n"/>
      <c r="H105" s="50" t="n"/>
      <c r="I105" s="55" t="n"/>
      <c r="J105" s="50" t="n"/>
      <c r="K105" s="55" t="n"/>
      <c r="L105" s="56" t="n"/>
      <c r="M105" s="57" t="n"/>
      <c r="N105" s="57" t="n"/>
      <c r="O105" s="57" t="n"/>
      <c r="P105" s="57" t="n"/>
      <c r="Q105" s="50" t="n"/>
      <c r="R105" s="58">
        <f t="shared" si="1"/>
      </c>
      <c r="S105" s="59">
        <f t="shared" si="2"/>
      </c>
      <c r="T105" s="43">
        <f t="shared" si="3"/>
      </c>
      <c r="U105" s="60">
        <f t="shared" si="4"/>
      </c>
      <c r="V105" s="60">
        <f t="shared" si="5"/>
      </c>
      <c r="W105" s="60">
        <f t="shared" si="6"/>
      </c>
      <c r="X105" s="49">
        <f t="shared" si="7"/>
      </c>
      <c r="Y105" s="2">
        <f t="shared" si="8"/>
      </c>
      <c r="Z105" s="2">
        <f t="shared" si="9"/>
        <v>0</v>
      </c>
      <c r="AA105" s="2">
        <f t="shared" si="10"/>
        <v>0</v>
      </c>
      <c r="AB105" s="2">
        <f t="shared" si="11"/>
        <v>0</v>
      </c>
      <c r="AC105" s="2">
        <f t="shared" si="12"/>
        <v>0</v>
      </c>
      <c r="AD105" s="2">
        <f t="shared" si="13"/>
        <v>0</v>
      </c>
      <c r="AE105" s="2">
        <f t="shared" si="14"/>
        <v>0</v>
      </c>
      <c r="AF105" s="2">
        <f t="shared" si="15"/>
        <v>0</v>
      </c>
      <c r="AG105" s="2">
        <f t="shared" si="16"/>
        <v>0</v>
      </c>
      <c r="AH105" s="2">
        <f t="shared" si="17"/>
        <v>0</v>
      </c>
      <c r="AI105" s="2">
        <f t="shared" si="18"/>
      </c>
    </row>
    <row r="106">
      <c r="A106" s="43">
        <f t="shared" si="0"/>
      </c>
      <c r="B106" s="54" t="n"/>
      <c r="C106" s="45" t="n"/>
      <c r="D106" s="50" t="n"/>
      <c r="E106" s="55" t="n"/>
      <c r="F106" s="50" t="n"/>
      <c r="G106" s="55" t="n"/>
      <c r="H106" s="50" t="n"/>
      <c r="I106" s="55" t="n"/>
      <c r="J106" s="50" t="n"/>
      <c r="K106" s="55" t="n"/>
      <c r="L106" s="56" t="n"/>
      <c r="M106" s="57" t="n"/>
      <c r="N106" s="57" t="n"/>
      <c r="O106" s="57" t="n"/>
      <c r="P106" s="57" t="n"/>
      <c r="Q106" s="50" t="n"/>
      <c r="R106" s="58">
        <f t="shared" si="1"/>
      </c>
      <c r="S106" s="59">
        <f t="shared" si="2"/>
      </c>
      <c r="T106" s="43">
        <f t="shared" si="3"/>
      </c>
      <c r="U106" s="60">
        <f t="shared" si="4"/>
      </c>
      <c r="V106" s="60">
        <f t="shared" si="5"/>
      </c>
      <c r="W106" s="60">
        <f t="shared" si="6"/>
      </c>
      <c r="X106" s="49">
        <f t="shared" si="7"/>
      </c>
      <c r="Y106" s="2">
        <f t="shared" si="8"/>
      </c>
      <c r="Z106" s="2">
        <f t="shared" si="9"/>
        <v>0</v>
      </c>
      <c r="AA106" s="2">
        <f t="shared" si="10"/>
        <v>0</v>
      </c>
      <c r="AB106" s="2">
        <f t="shared" si="11"/>
        <v>0</v>
      </c>
      <c r="AC106" s="2">
        <f t="shared" si="12"/>
        <v>0</v>
      </c>
      <c r="AD106" s="2">
        <f t="shared" si="13"/>
        <v>0</v>
      </c>
      <c r="AE106" s="2">
        <f t="shared" si="14"/>
        <v>0</v>
      </c>
      <c r="AF106" s="2">
        <f t="shared" si="15"/>
        <v>0</v>
      </c>
      <c r="AG106" s="2">
        <f t="shared" si="16"/>
        <v>0</v>
      </c>
      <c r="AH106" s="2">
        <f t="shared" si="17"/>
        <v>0</v>
      </c>
      <c r="AI106" s="2">
        <f t="shared" si="18"/>
      </c>
    </row>
    <row r="107">
      <c r="A107" s="43">
        <f t="shared" si="0"/>
      </c>
      <c r="B107" s="54" t="n"/>
      <c r="C107" s="45" t="n"/>
      <c r="D107" s="50" t="n"/>
      <c r="E107" s="55" t="n"/>
      <c r="F107" s="50" t="n"/>
      <c r="G107" s="55" t="n"/>
      <c r="H107" s="50" t="n"/>
      <c r="I107" s="55" t="n"/>
      <c r="J107" s="50" t="n"/>
      <c r="K107" s="55" t="n"/>
      <c r="L107" s="56" t="n"/>
      <c r="M107" s="57" t="n"/>
      <c r="N107" s="57" t="n"/>
      <c r="O107" s="57" t="n"/>
      <c r="P107" s="57" t="n"/>
      <c r="Q107" s="50" t="n"/>
      <c r="R107" s="58">
        <f t="shared" si="1"/>
      </c>
      <c r="S107" s="59">
        <f t="shared" si="2"/>
      </c>
      <c r="T107" s="43">
        <f t="shared" si="3"/>
      </c>
      <c r="U107" s="60">
        <f t="shared" si="4"/>
      </c>
      <c r="V107" s="60">
        <f t="shared" si="5"/>
      </c>
      <c r="W107" s="60">
        <f t="shared" si="6"/>
      </c>
      <c r="X107" s="49">
        <f t="shared" si="7"/>
      </c>
      <c r="Y107" s="2">
        <f t="shared" si="8"/>
      </c>
      <c r="Z107" s="2">
        <f t="shared" si="9"/>
        <v>0</v>
      </c>
      <c r="AA107" s="2">
        <f t="shared" si="10"/>
        <v>0</v>
      </c>
      <c r="AB107" s="2">
        <f t="shared" si="11"/>
        <v>0</v>
      </c>
      <c r="AC107" s="2">
        <f t="shared" si="12"/>
        <v>0</v>
      </c>
      <c r="AD107" s="2">
        <f t="shared" si="13"/>
        <v>0</v>
      </c>
      <c r="AE107" s="2">
        <f t="shared" si="14"/>
        <v>0</v>
      </c>
      <c r="AF107" s="2">
        <f t="shared" si="15"/>
        <v>0</v>
      </c>
      <c r="AG107" s="2">
        <f t="shared" si="16"/>
        <v>0</v>
      </c>
      <c r="AH107" s="2">
        <f t="shared" si="17"/>
        <v>0</v>
      </c>
      <c r="AI107" s="2">
        <f t="shared" si="18"/>
      </c>
    </row>
    <row r="108">
      <c r="A108" s="43">
        <f t="shared" si="0"/>
      </c>
      <c r="B108" s="54" t="n"/>
      <c r="C108" s="45" t="n"/>
      <c r="D108" s="50" t="n"/>
      <c r="E108" s="55" t="n"/>
      <c r="F108" s="50" t="n"/>
      <c r="G108" s="55" t="n"/>
      <c r="H108" s="50" t="n"/>
      <c r="I108" s="55" t="n"/>
      <c r="J108" s="50" t="n"/>
      <c r="K108" s="55" t="n"/>
      <c r="L108" s="56" t="n"/>
      <c r="M108" s="57" t="n"/>
      <c r="N108" s="57" t="n"/>
      <c r="O108" s="57" t="n"/>
      <c r="P108" s="57" t="n"/>
      <c r="Q108" s="50" t="n"/>
      <c r="R108" s="58">
        <f t="shared" si="1"/>
      </c>
      <c r="S108" s="59">
        <f t="shared" si="2"/>
      </c>
      <c r="T108" s="43">
        <f t="shared" si="3"/>
      </c>
      <c r="U108" s="60">
        <f t="shared" si="4"/>
      </c>
      <c r="V108" s="60">
        <f t="shared" si="5"/>
      </c>
      <c r="W108" s="60">
        <f t="shared" si="6"/>
      </c>
      <c r="X108" s="49">
        <f t="shared" si="7"/>
      </c>
      <c r="Y108" s="2">
        <f t="shared" si="8"/>
      </c>
      <c r="Z108" s="2">
        <f t="shared" si="9"/>
        <v>0</v>
      </c>
      <c r="AA108" s="2">
        <f t="shared" si="10"/>
        <v>0</v>
      </c>
      <c r="AB108" s="2">
        <f t="shared" si="11"/>
        <v>0</v>
      </c>
      <c r="AC108" s="2">
        <f t="shared" si="12"/>
        <v>0</v>
      </c>
      <c r="AD108" s="2">
        <f t="shared" si="13"/>
        <v>0</v>
      </c>
      <c r="AE108" s="2">
        <f t="shared" si="14"/>
        <v>0</v>
      </c>
      <c r="AF108" s="2">
        <f t="shared" si="15"/>
        <v>0</v>
      </c>
      <c r="AG108" s="2">
        <f t="shared" si="16"/>
        <v>0</v>
      </c>
      <c r="AH108" s="2">
        <f t="shared" si="17"/>
        <v>0</v>
      </c>
      <c r="AI108" s="2">
        <f t="shared" si="18"/>
      </c>
    </row>
    <row r="109">
      <c r="A109" s="43">
        <f t="shared" si="0"/>
      </c>
      <c r="B109" s="54" t="n"/>
      <c r="C109" s="45" t="n"/>
      <c r="D109" s="50" t="n"/>
      <c r="E109" s="55" t="n"/>
      <c r="F109" s="50" t="n"/>
      <c r="G109" s="55" t="n"/>
      <c r="H109" s="50" t="n"/>
      <c r="I109" s="55" t="n"/>
      <c r="J109" s="50" t="n"/>
      <c r="K109" s="55" t="n"/>
      <c r="L109" s="56" t="n"/>
      <c r="M109" s="57" t="n"/>
      <c r="N109" s="57" t="n"/>
      <c r="O109" s="57" t="n"/>
      <c r="P109" s="57" t="n"/>
      <c r="Q109" s="50" t="n"/>
      <c r="R109" s="58">
        <f t="shared" si="1"/>
      </c>
      <c r="S109" s="59">
        <f t="shared" si="2"/>
      </c>
      <c r="T109" s="43">
        <f t="shared" si="3"/>
      </c>
      <c r="U109" s="60">
        <f t="shared" si="4"/>
      </c>
      <c r="V109" s="60">
        <f t="shared" si="5"/>
      </c>
      <c r="W109" s="60">
        <f t="shared" si="6"/>
      </c>
      <c r="X109" s="49">
        <f t="shared" si="7"/>
      </c>
      <c r="Y109" s="2">
        <f t="shared" si="8"/>
      </c>
      <c r="Z109" s="2">
        <f t="shared" si="9"/>
        <v>0</v>
      </c>
      <c r="AA109" s="2">
        <f t="shared" si="10"/>
        <v>0</v>
      </c>
      <c r="AB109" s="2">
        <f t="shared" si="11"/>
        <v>0</v>
      </c>
      <c r="AC109" s="2">
        <f t="shared" si="12"/>
        <v>0</v>
      </c>
      <c r="AD109" s="2">
        <f t="shared" si="13"/>
        <v>0</v>
      </c>
      <c r="AE109" s="2">
        <f t="shared" si="14"/>
        <v>0</v>
      </c>
      <c r="AF109" s="2">
        <f t="shared" si="15"/>
        <v>0</v>
      </c>
      <c r="AG109" s="2">
        <f t="shared" si="16"/>
        <v>0</v>
      </c>
      <c r="AH109" s="2">
        <f t="shared" si="17"/>
        <v>0</v>
      </c>
      <c r="AI109" s="2">
        <f t="shared" si="18"/>
      </c>
    </row>
    <row r="110">
      <c r="A110" s="43">
        <f t="shared" si="0"/>
      </c>
      <c r="B110" s="54" t="n"/>
      <c r="C110" s="45" t="n"/>
      <c r="D110" s="50" t="n"/>
      <c r="E110" s="55" t="n"/>
      <c r="F110" s="50" t="n"/>
      <c r="G110" s="55" t="n"/>
      <c r="H110" s="50" t="n"/>
      <c r="I110" s="55" t="n"/>
      <c r="J110" s="50" t="n"/>
      <c r="K110" s="55" t="n"/>
      <c r="L110" s="56" t="n"/>
      <c r="M110" s="57" t="n"/>
      <c r="N110" s="57" t="n"/>
      <c r="O110" s="57" t="n"/>
      <c r="P110" s="57" t="n"/>
      <c r="Q110" s="50" t="n"/>
      <c r="R110" s="58">
        <f t="shared" si="1"/>
      </c>
      <c r="S110" s="59">
        <f t="shared" si="2"/>
      </c>
      <c r="T110" s="43">
        <f t="shared" si="3"/>
      </c>
      <c r="U110" s="60">
        <f t="shared" si="4"/>
      </c>
      <c r="V110" s="60">
        <f t="shared" si="5"/>
      </c>
      <c r="W110" s="60">
        <f t="shared" si="6"/>
      </c>
      <c r="X110" s="49">
        <f t="shared" si="7"/>
      </c>
      <c r="Y110" s="2">
        <f t="shared" si="8"/>
      </c>
      <c r="Z110" s="2">
        <f t="shared" si="9"/>
        <v>0</v>
      </c>
      <c r="AA110" s="2">
        <f t="shared" si="10"/>
        <v>0</v>
      </c>
      <c r="AB110" s="2">
        <f t="shared" si="11"/>
        <v>0</v>
      </c>
      <c r="AC110" s="2">
        <f t="shared" si="12"/>
        <v>0</v>
      </c>
      <c r="AD110" s="2">
        <f t="shared" si="13"/>
        <v>0</v>
      </c>
      <c r="AE110" s="2">
        <f t="shared" si="14"/>
        <v>0</v>
      </c>
      <c r="AF110" s="2">
        <f t="shared" si="15"/>
        <v>0</v>
      </c>
      <c r="AG110" s="2">
        <f t="shared" si="16"/>
        <v>0</v>
      </c>
      <c r="AH110" s="2">
        <f t="shared" si="17"/>
        <v>0</v>
      </c>
      <c r="AI110" s="2">
        <f t="shared" si="18"/>
      </c>
    </row>
    <row r="111">
      <c r="A111" s="43">
        <f t="shared" si="0"/>
      </c>
      <c r="B111" s="54" t="n"/>
      <c r="C111" s="45" t="n"/>
      <c r="D111" s="50" t="n"/>
      <c r="E111" s="55" t="n"/>
      <c r="F111" s="50" t="n"/>
      <c r="G111" s="55" t="n"/>
      <c r="H111" s="50" t="n"/>
      <c r="I111" s="55" t="n"/>
      <c r="J111" s="50" t="n"/>
      <c r="K111" s="55" t="n"/>
      <c r="L111" s="56" t="n"/>
      <c r="M111" s="57" t="n"/>
      <c r="N111" s="57" t="n"/>
      <c r="O111" s="57" t="n"/>
      <c r="P111" s="57" t="n"/>
      <c r="Q111" s="50" t="n"/>
      <c r="R111" s="58">
        <f t="shared" si="1"/>
      </c>
      <c r="S111" s="59">
        <f t="shared" si="2"/>
      </c>
      <c r="T111" s="43">
        <f t="shared" si="3"/>
      </c>
      <c r="U111" s="60">
        <f t="shared" si="4"/>
      </c>
      <c r="V111" s="60">
        <f t="shared" si="5"/>
      </c>
      <c r="W111" s="60">
        <f t="shared" si="6"/>
      </c>
      <c r="X111" s="49">
        <f t="shared" si="7"/>
      </c>
      <c r="Y111" s="2">
        <f t="shared" si="8"/>
      </c>
      <c r="Z111" s="2">
        <f t="shared" si="9"/>
        <v>0</v>
      </c>
      <c r="AA111" s="2">
        <f t="shared" si="10"/>
        <v>0</v>
      </c>
      <c r="AB111" s="2">
        <f t="shared" si="11"/>
        <v>0</v>
      </c>
      <c r="AC111" s="2">
        <f t="shared" si="12"/>
        <v>0</v>
      </c>
      <c r="AD111" s="2">
        <f t="shared" si="13"/>
        <v>0</v>
      </c>
      <c r="AE111" s="2">
        <f t="shared" si="14"/>
        <v>0</v>
      </c>
      <c r="AF111" s="2">
        <f t="shared" si="15"/>
        <v>0</v>
      </c>
      <c r="AG111" s="2">
        <f t="shared" si="16"/>
        <v>0</v>
      </c>
      <c r="AH111" s="2">
        <f t="shared" si="17"/>
        <v>0</v>
      </c>
      <c r="AI111" s="2">
        <f t="shared" si="18"/>
      </c>
    </row>
    <row r="112">
      <c r="A112" s="43">
        <f t="shared" si="0"/>
      </c>
      <c r="B112" s="54" t="n"/>
      <c r="C112" s="45" t="n"/>
      <c r="D112" s="50" t="n"/>
      <c r="E112" s="55" t="n"/>
      <c r="F112" s="50" t="n"/>
      <c r="G112" s="55" t="n"/>
      <c r="H112" s="50" t="n"/>
      <c r="I112" s="55" t="n"/>
      <c r="J112" s="50" t="n"/>
      <c r="K112" s="55" t="n"/>
      <c r="L112" s="56" t="n"/>
      <c r="M112" s="57" t="n"/>
      <c r="N112" s="57" t="n"/>
      <c r="O112" s="57" t="n"/>
      <c r="P112" s="57" t="n"/>
      <c r="Q112" s="50" t="n"/>
      <c r="R112" s="58">
        <f t="shared" si="1"/>
      </c>
      <c r="S112" s="59">
        <f t="shared" si="2"/>
      </c>
      <c r="T112" s="43">
        <f t="shared" si="3"/>
      </c>
      <c r="U112" s="60">
        <f t="shared" si="4"/>
      </c>
      <c r="V112" s="60">
        <f t="shared" si="5"/>
      </c>
      <c r="W112" s="60">
        <f t="shared" si="6"/>
      </c>
      <c r="X112" s="49">
        <f t="shared" si="7"/>
      </c>
      <c r="Y112" s="2">
        <f t="shared" si="8"/>
      </c>
      <c r="Z112" s="2">
        <f t="shared" si="9"/>
        <v>0</v>
      </c>
      <c r="AA112" s="2">
        <f t="shared" si="10"/>
        <v>0</v>
      </c>
      <c r="AB112" s="2">
        <f t="shared" si="11"/>
        <v>0</v>
      </c>
      <c r="AC112" s="2">
        <f t="shared" si="12"/>
        <v>0</v>
      </c>
      <c r="AD112" s="2">
        <f t="shared" si="13"/>
        <v>0</v>
      </c>
      <c r="AE112" s="2">
        <f t="shared" si="14"/>
        <v>0</v>
      </c>
      <c r="AF112" s="2">
        <f t="shared" si="15"/>
        <v>0</v>
      </c>
      <c r="AG112" s="2">
        <f t="shared" si="16"/>
        <v>0</v>
      </c>
      <c r="AH112" s="2">
        <f t="shared" si="17"/>
        <v>0</v>
      </c>
      <c r="AI112" s="2">
        <f t="shared" si="18"/>
      </c>
    </row>
    <row r="113">
      <c r="A113" s="43">
        <f t="shared" si="0"/>
      </c>
      <c r="B113" s="54" t="n"/>
      <c r="C113" s="45" t="n"/>
      <c r="D113" s="50" t="n"/>
      <c r="E113" s="55" t="n"/>
      <c r="F113" s="50" t="n"/>
      <c r="G113" s="55" t="n"/>
      <c r="H113" s="50" t="n"/>
      <c r="I113" s="55" t="n"/>
      <c r="J113" s="50" t="n"/>
      <c r="K113" s="55" t="n"/>
      <c r="L113" s="56" t="n"/>
      <c r="M113" s="57" t="n"/>
      <c r="N113" s="57" t="n"/>
      <c r="O113" s="57" t="n"/>
      <c r="P113" s="57" t="n"/>
      <c r="Q113" s="50" t="n"/>
      <c r="R113" s="58">
        <f t="shared" si="1"/>
      </c>
      <c r="S113" s="59">
        <f t="shared" si="2"/>
      </c>
      <c r="T113" s="43">
        <f t="shared" si="3"/>
      </c>
      <c r="U113" s="60">
        <f t="shared" si="4"/>
      </c>
      <c r="V113" s="60">
        <f t="shared" si="5"/>
      </c>
      <c r="W113" s="60">
        <f t="shared" si="6"/>
      </c>
      <c r="X113" s="49">
        <f t="shared" si="7"/>
      </c>
      <c r="Y113" s="2">
        <f t="shared" si="8"/>
      </c>
      <c r="Z113" s="2">
        <f t="shared" si="9"/>
        <v>0</v>
      </c>
      <c r="AA113" s="2">
        <f t="shared" si="10"/>
        <v>0</v>
      </c>
      <c r="AB113" s="2">
        <f t="shared" si="11"/>
        <v>0</v>
      </c>
      <c r="AC113" s="2">
        <f t="shared" si="12"/>
        <v>0</v>
      </c>
      <c r="AD113" s="2">
        <f t="shared" si="13"/>
        <v>0</v>
      </c>
      <c r="AE113" s="2">
        <f t="shared" si="14"/>
        <v>0</v>
      </c>
      <c r="AF113" s="2">
        <f t="shared" si="15"/>
        <v>0</v>
      </c>
      <c r="AG113" s="2">
        <f t="shared" si="16"/>
        <v>0</v>
      </c>
      <c r="AH113" s="2">
        <f t="shared" si="17"/>
        <v>0</v>
      </c>
      <c r="AI113" s="2">
        <f t="shared" si="18"/>
      </c>
    </row>
    <row r="114">
      <c r="A114" s="43">
        <f t="shared" si="0"/>
      </c>
      <c r="B114" s="54" t="n"/>
      <c r="C114" s="45" t="n"/>
      <c r="D114" s="50" t="n"/>
      <c r="E114" s="55" t="n"/>
      <c r="F114" s="50" t="n"/>
      <c r="G114" s="55" t="n"/>
      <c r="H114" s="50" t="n"/>
      <c r="I114" s="55" t="n"/>
      <c r="J114" s="50" t="n"/>
      <c r="K114" s="55" t="n"/>
      <c r="L114" s="56" t="n"/>
      <c r="M114" s="57" t="n"/>
      <c r="N114" s="57" t="n"/>
      <c r="O114" s="57" t="n"/>
      <c r="P114" s="57" t="n"/>
      <c r="Q114" s="50" t="n"/>
      <c r="R114" s="58">
        <f t="shared" si="1"/>
      </c>
      <c r="S114" s="59">
        <f t="shared" si="2"/>
      </c>
      <c r="T114" s="43">
        <f t="shared" si="3"/>
      </c>
      <c r="U114" s="60">
        <f t="shared" si="4"/>
      </c>
      <c r="V114" s="60">
        <f t="shared" si="5"/>
      </c>
      <c r="W114" s="60">
        <f t="shared" si="6"/>
      </c>
      <c r="X114" s="49">
        <f t="shared" si="7"/>
      </c>
      <c r="Y114" s="2">
        <f t="shared" si="8"/>
      </c>
      <c r="Z114" s="2">
        <f t="shared" si="9"/>
        <v>0</v>
      </c>
      <c r="AA114" s="2">
        <f t="shared" si="10"/>
        <v>0</v>
      </c>
      <c r="AB114" s="2">
        <f t="shared" si="11"/>
        <v>0</v>
      </c>
      <c r="AC114" s="2">
        <f t="shared" si="12"/>
        <v>0</v>
      </c>
      <c r="AD114" s="2">
        <f t="shared" si="13"/>
        <v>0</v>
      </c>
      <c r="AE114" s="2">
        <f t="shared" si="14"/>
        <v>0</v>
      </c>
      <c r="AF114" s="2">
        <f t="shared" si="15"/>
        <v>0</v>
      </c>
      <c r="AG114" s="2">
        <f t="shared" si="16"/>
        <v>0</v>
      </c>
      <c r="AH114" s="2">
        <f t="shared" si="17"/>
        <v>0</v>
      </c>
      <c r="AI114" s="2">
        <f t="shared" si="18"/>
      </c>
    </row>
    <row r="115">
      <c r="A115" s="43">
        <f t="shared" si="0"/>
      </c>
      <c r="B115" s="54" t="n"/>
      <c r="C115" s="45" t="n"/>
      <c r="D115" s="50" t="n"/>
      <c r="E115" s="55" t="n"/>
      <c r="F115" s="50" t="n"/>
      <c r="G115" s="55" t="n"/>
      <c r="H115" s="50" t="n"/>
      <c r="I115" s="55" t="n"/>
      <c r="J115" s="50" t="n"/>
      <c r="K115" s="55" t="n"/>
      <c r="L115" s="56" t="n"/>
      <c r="M115" s="57" t="n"/>
      <c r="N115" s="57" t="n"/>
      <c r="O115" s="57" t="n"/>
      <c r="P115" s="57" t="n"/>
      <c r="Q115" s="50" t="n"/>
      <c r="R115" s="58">
        <f t="shared" si="1"/>
      </c>
      <c r="S115" s="59">
        <f t="shared" si="2"/>
      </c>
      <c r="T115" s="43">
        <f t="shared" si="3"/>
      </c>
      <c r="U115" s="60">
        <f t="shared" si="4"/>
      </c>
      <c r="V115" s="60">
        <f t="shared" si="5"/>
      </c>
      <c r="W115" s="60">
        <f t="shared" si="6"/>
      </c>
      <c r="X115" s="49">
        <f t="shared" si="7"/>
      </c>
      <c r="Y115" s="2">
        <f t="shared" si="8"/>
      </c>
      <c r="Z115" s="2">
        <f t="shared" si="9"/>
        <v>0</v>
      </c>
      <c r="AA115" s="2">
        <f t="shared" si="10"/>
        <v>0</v>
      </c>
      <c r="AB115" s="2">
        <f t="shared" si="11"/>
        <v>0</v>
      </c>
      <c r="AC115" s="2">
        <f t="shared" si="12"/>
        <v>0</v>
      </c>
      <c r="AD115" s="2">
        <f t="shared" si="13"/>
        <v>0</v>
      </c>
      <c r="AE115" s="2">
        <f t="shared" si="14"/>
        <v>0</v>
      </c>
      <c r="AF115" s="2">
        <f t="shared" si="15"/>
        <v>0</v>
      </c>
      <c r="AG115" s="2">
        <f t="shared" si="16"/>
        <v>0</v>
      </c>
      <c r="AH115" s="2">
        <f t="shared" si="17"/>
        <v>0</v>
      </c>
      <c r="AI115" s="2">
        <f t="shared" si="18"/>
      </c>
    </row>
    <row r="116">
      <c r="A116" s="43">
        <f t="shared" si="0"/>
      </c>
      <c r="B116" s="54" t="n"/>
      <c r="C116" s="45" t="n"/>
      <c r="D116" s="50" t="n"/>
      <c r="E116" s="55" t="n"/>
      <c r="F116" s="50" t="n"/>
      <c r="G116" s="55" t="n"/>
      <c r="H116" s="50" t="n"/>
      <c r="I116" s="55" t="n"/>
      <c r="J116" s="50" t="n"/>
      <c r="K116" s="55" t="n"/>
      <c r="L116" s="56" t="n"/>
      <c r="M116" s="57" t="n"/>
      <c r="N116" s="57" t="n"/>
      <c r="O116" s="57" t="n"/>
      <c r="P116" s="57" t="n"/>
      <c r="Q116" s="50" t="n"/>
      <c r="R116" s="58">
        <f t="shared" si="1"/>
      </c>
      <c r="S116" s="59">
        <f t="shared" si="2"/>
      </c>
      <c r="T116" s="43">
        <f t="shared" si="3"/>
      </c>
      <c r="U116" s="60">
        <f t="shared" si="4"/>
      </c>
      <c r="V116" s="60">
        <f t="shared" si="5"/>
      </c>
      <c r="W116" s="60">
        <f t="shared" si="6"/>
      </c>
      <c r="X116" s="49">
        <f t="shared" si="7"/>
      </c>
      <c r="Y116" s="2">
        <f t="shared" si="8"/>
      </c>
      <c r="Z116" s="2">
        <f t="shared" si="9"/>
        <v>0</v>
      </c>
      <c r="AA116" s="2">
        <f t="shared" si="10"/>
        <v>0</v>
      </c>
      <c r="AB116" s="2">
        <f t="shared" si="11"/>
        <v>0</v>
      </c>
      <c r="AC116" s="2">
        <f t="shared" si="12"/>
        <v>0</v>
      </c>
      <c r="AD116" s="2">
        <f t="shared" si="13"/>
        <v>0</v>
      </c>
      <c r="AE116" s="2">
        <f t="shared" si="14"/>
        <v>0</v>
      </c>
      <c r="AF116" s="2">
        <f t="shared" si="15"/>
        <v>0</v>
      </c>
      <c r="AG116" s="2">
        <f t="shared" si="16"/>
        <v>0</v>
      </c>
      <c r="AH116" s="2">
        <f t="shared" si="17"/>
        <v>0</v>
      </c>
      <c r="AI116" s="2">
        <f t="shared" si="18"/>
      </c>
    </row>
    <row r="117">
      <c r="A117" s="43">
        <f t="shared" si="0"/>
      </c>
      <c r="B117" s="54" t="n"/>
      <c r="C117" s="45" t="n"/>
      <c r="D117" s="50" t="n"/>
      <c r="E117" s="55" t="n"/>
      <c r="F117" s="50" t="n"/>
      <c r="G117" s="55" t="n"/>
      <c r="H117" s="50" t="n"/>
      <c r="I117" s="55" t="n"/>
      <c r="J117" s="50" t="n"/>
      <c r="K117" s="55" t="n"/>
      <c r="L117" s="56" t="n"/>
      <c r="M117" s="57" t="n"/>
      <c r="N117" s="57" t="n"/>
      <c r="O117" s="57" t="n"/>
      <c r="P117" s="57" t="n"/>
      <c r="Q117" s="50" t="n"/>
      <c r="R117" s="58">
        <f t="shared" si="1"/>
      </c>
      <c r="S117" s="59">
        <f t="shared" si="2"/>
      </c>
      <c r="T117" s="43">
        <f t="shared" si="3"/>
      </c>
      <c r="U117" s="60">
        <f t="shared" si="4"/>
      </c>
      <c r="V117" s="60">
        <f t="shared" si="5"/>
      </c>
      <c r="W117" s="60">
        <f t="shared" si="6"/>
      </c>
      <c r="X117" s="49">
        <f t="shared" si="7"/>
      </c>
      <c r="Y117" s="2">
        <f t="shared" si="8"/>
      </c>
      <c r="Z117" s="2">
        <f t="shared" si="9"/>
        <v>0</v>
      </c>
      <c r="AA117" s="2">
        <f t="shared" si="10"/>
        <v>0</v>
      </c>
      <c r="AB117" s="2">
        <f t="shared" si="11"/>
        <v>0</v>
      </c>
      <c r="AC117" s="2">
        <f t="shared" si="12"/>
        <v>0</v>
      </c>
      <c r="AD117" s="2">
        <f t="shared" si="13"/>
        <v>0</v>
      </c>
      <c r="AE117" s="2">
        <f t="shared" si="14"/>
        <v>0</v>
      </c>
      <c r="AF117" s="2">
        <f t="shared" si="15"/>
        <v>0</v>
      </c>
      <c r="AG117" s="2">
        <f t="shared" si="16"/>
        <v>0</v>
      </c>
      <c r="AH117" s="2">
        <f t="shared" si="17"/>
        <v>0</v>
      </c>
      <c r="AI117" s="2">
        <f t="shared" si="18"/>
      </c>
    </row>
    <row r="118">
      <c r="A118" s="43">
        <f t="shared" si="0"/>
      </c>
      <c r="B118" s="54" t="n"/>
      <c r="C118" s="45" t="n"/>
      <c r="D118" s="50" t="n"/>
      <c r="E118" s="55" t="n"/>
      <c r="F118" s="50" t="n"/>
      <c r="G118" s="55" t="n"/>
      <c r="H118" s="50" t="n"/>
      <c r="I118" s="55" t="n"/>
      <c r="J118" s="50" t="n"/>
      <c r="K118" s="55" t="n"/>
      <c r="L118" s="56" t="n"/>
      <c r="M118" s="57" t="n"/>
      <c r="N118" s="57" t="n"/>
      <c r="O118" s="57" t="n"/>
      <c r="P118" s="57" t="n"/>
      <c r="Q118" s="50" t="n"/>
      <c r="R118" s="58">
        <f t="shared" si="1"/>
      </c>
      <c r="S118" s="59">
        <f t="shared" si="2"/>
      </c>
      <c r="T118" s="43">
        <f t="shared" si="3"/>
      </c>
      <c r="U118" s="60">
        <f t="shared" si="4"/>
      </c>
      <c r="V118" s="60">
        <f t="shared" si="5"/>
      </c>
      <c r="W118" s="60">
        <f t="shared" si="6"/>
      </c>
      <c r="X118" s="49">
        <f t="shared" si="7"/>
      </c>
      <c r="Y118" s="2">
        <f t="shared" si="8"/>
      </c>
      <c r="Z118" s="2">
        <f t="shared" si="9"/>
        <v>0</v>
      </c>
      <c r="AA118" s="2">
        <f t="shared" si="10"/>
        <v>0</v>
      </c>
      <c r="AB118" s="2">
        <f t="shared" si="11"/>
        <v>0</v>
      </c>
      <c r="AC118" s="2">
        <f t="shared" si="12"/>
        <v>0</v>
      </c>
      <c r="AD118" s="2">
        <f t="shared" si="13"/>
        <v>0</v>
      </c>
      <c r="AE118" s="2">
        <f t="shared" si="14"/>
        <v>0</v>
      </c>
      <c r="AF118" s="2">
        <f t="shared" si="15"/>
        <v>0</v>
      </c>
      <c r="AG118" s="2">
        <f t="shared" si="16"/>
        <v>0</v>
      </c>
      <c r="AH118" s="2">
        <f t="shared" si="17"/>
        <v>0</v>
      </c>
      <c r="AI118" s="2">
        <f t="shared" si="18"/>
      </c>
    </row>
    <row r="119">
      <c r="A119" s="43">
        <f t="shared" si="0"/>
      </c>
      <c r="B119" s="54" t="n"/>
      <c r="C119" s="45" t="n"/>
      <c r="D119" s="50" t="n"/>
      <c r="E119" s="55" t="n"/>
      <c r="F119" s="50" t="n"/>
      <c r="G119" s="55" t="n"/>
      <c r="H119" s="50" t="n"/>
      <c r="I119" s="55" t="n"/>
      <c r="J119" s="50" t="n"/>
      <c r="K119" s="55" t="n"/>
      <c r="L119" s="56" t="n"/>
      <c r="M119" s="57" t="n"/>
      <c r="N119" s="57" t="n"/>
      <c r="O119" s="57" t="n"/>
      <c r="P119" s="57" t="n"/>
      <c r="Q119" s="50" t="n"/>
      <c r="R119" s="58">
        <f t="shared" si="1"/>
      </c>
      <c r="S119" s="59">
        <f t="shared" si="2"/>
      </c>
      <c r="T119" s="43">
        <f t="shared" si="3"/>
      </c>
      <c r="U119" s="60">
        <f t="shared" si="4"/>
      </c>
      <c r="V119" s="60">
        <f t="shared" si="5"/>
      </c>
      <c r="W119" s="60">
        <f t="shared" si="6"/>
      </c>
      <c r="X119" s="49">
        <f t="shared" si="7"/>
      </c>
      <c r="Y119" s="2">
        <f t="shared" si="8"/>
      </c>
      <c r="Z119" s="2">
        <f t="shared" si="9"/>
        <v>0</v>
      </c>
      <c r="AA119" s="2">
        <f t="shared" si="10"/>
        <v>0</v>
      </c>
      <c r="AB119" s="2">
        <f t="shared" si="11"/>
        <v>0</v>
      </c>
      <c r="AC119" s="2">
        <f t="shared" si="12"/>
        <v>0</v>
      </c>
      <c r="AD119" s="2">
        <f t="shared" si="13"/>
        <v>0</v>
      </c>
      <c r="AE119" s="2">
        <f t="shared" si="14"/>
        <v>0</v>
      </c>
      <c r="AF119" s="2">
        <f t="shared" si="15"/>
        <v>0</v>
      </c>
      <c r="AG119" s="2">
        <f t="shared" si="16"/>
        <v>0</v>
      </c>
      <c r="AH119" s="2">
        <f t="shared" si="17"/>
        <v>0</v>
      </c>
      <c r="AI119" s="2">
        <f t="shared" si="18"/>
      </c>
    </row>
    <row r="120">
      <c r="A120" s="43">
        <f t="shared" si="0"/>
      </c>
      <c r="B120" s="54" t="n"/>
      <c r="C120" s="45" t="n"/>
      <c r="D120" s="50" t="n"/>
      <c r="E120" s="55" t="n"/>
      <c r="F120" s="50" t="n"/>
      <c r="G120" s="55" t="n"/>
      <c r="H120" s="50" t="n"/>
      <c r="I120" s="55" t="n"/>
      <c r="J120" s="50" t="n"/>
      <c r="K120" s="55" t="n"/>
      <c r="L120" s="56" t="n"/>
      <c r="M120" s="57" t="n"/>
      <c r="N120" s="57" t="n"/>
      <c r="O120" s="57" t="n"/>
      <c r="P120" s="57" t="n"/>
      <c r="Q120" s="50" t="n"/>
      <c r="R120" s="58">
        <f t="shared" si="1"/>
      </c>
      <c r="S120" s="59">
        <f t="shared" si="2"/>
      </c>
      <c r="T120" s="43">
        <f t="shared" si="3"/>
      </c>
      <c r="U120" s="60">
        <f t="shared" si="4"/>
      </c>
      <c r="V120" s="60">
        <f t="shared" si="5"/>
      </c>
      <c r="W120" s="60">
        <f t="shared" si="6"/>
      </c>
      <c r="X120" s="49">
        <f t="shared" si="7"/>
      </c>
      <c r="Y120" s="2">
        <f t="shared" si="8"/>
      </c>
      <c r="Z120" s="2">
        <f t="shared" si="9"/>
        <v>0</v>
      </c>
      <c r="AA120" s="2">
        <f t="shared" si="10"/>
        <v>0</v>
      </c>
      <c r="AB120" s="2">
        <f t="shared" si="11"/>
        <v>0</v>
      </c>
      <c r="AC120" s="2">
        <f t="shared" si="12"/>
        <v>0</v>
      </c>
      <c r="AD120" s="2">
        <f t="shared" si="13"/>
        <v>0</v>
      </c>
      <c r="AE120" s="2">
        <f t="shared" si="14"/>
        <v>0</v>
      </c>
      <c r="AF120" s="2">
        <f t="shared" si="15"/>
        <v>0</v>
      </c>
      <c r="AG120" s="2">
        <f t="shared" si="16"/>
        <v>0</v>
      </c>
      <c r="AH120" s="2">
        <f t="shared" si="17"/>
        <v>0</v>
      </c>
      <c r="AI120" s="2">
        <f t="shared" si="18"/>
      </c>
    </row>
    <row r="121">
      <c r="A121" s="43">
        <f t="shared" si="0"/>
      </c>
      <c r="B121" s="54" t="n"/>
      <c r="C121" s="45" t="n"/>
      <c r="D121" s="50" t="n"/>
      <c r="E121" s="55" t="n"/>
      <c r="F121" s="50" t="n"/>
      <c r="G121" s="55" t="n"/>
      <c r="H121" s="50" t="n"/>
      <c r="I121" s="55" t="n"/>
      <c r="J121" s="50" t="n"/>
      <c r="K121" s="55" t="n"/>
      <c r="L121" s="56" t="n"/>
      <c r="M121" s="57" t="n"/>
      <c r="N121" s="57" t="n"/>
      <c r="O121" s="57" t="n"/>
      <c r="P121" s="57" t="n"/>
      <c r="Q121" s="50" t="n"/>
      <c r="R121" s="58">
        <f t="shared" si="1"/>
      </c>
      <c r="S121" s="59">
        <f t="shared" si="2"/>
      </c>
      <c r="T121" s="43">
        <f t="shared" si="3"/>
      </c>
      <c r="U121" s="60">
        <f t="shared" si="4"/>
      </c>
      <c r="V121" s="60">
        <f t="shared" si="5"/>
      </c>
      <c r="W121" s="60">
        <f t="shared" si="6"/>
      </c>
      <c r="X121" s="49">
        <f t="shared" si="7"/>
      </c>
      <c r="Y121" s="2">
        <f t="shared" si="8"/>
      </c>
      <c r="Z121" s="2">
        <f t="shared" si="9"/>
        <v>0</v>
      </c>
      <c r="AA121" s="2">
        <f t="shared" si="10"/>
        <v>0</v>
      </c>
      <c r="AB121" s="2">
        <f t="shared" si="11"/>
        <v>0</v>
      </c>
      <c r="AC121" s="2">
        <f t="shared" si="12"/>
        <v>0</v>
      </c>
      <c r="AD121" s="2">
        <f t="shared" si="13"/>
        <v>0</v>
      </c>
      <c r="AE121" s="2">
        <f t="shared" si="14"/>
        <v>0</v>
      </c>
      <c r="AF121" s="2">
        <f t="shared" si="15"/>
        <v>0</v>
      </c>
      <c r="AG121" s="2">
        <f t="shared" si="16"/>
        <v>0</v>
      </c>
      <c r="AH121" s="2">
        <f t="shared" si="17"/>
        <v>0</v>
      </c>
      <c r="AI121" s="2">
        <f t="shared" si="18"/>
      </c>
    </row>
    <row r="122">
      <c r="A122" s="43">
        <f t="shared" si="0"/>
      </c>
      <c r="B122" s="54" t="n"/>
      <c r="C122" s="45" t="n"/>
      <c r="D122" s="50" t="n"/>
      <c r="E122" s="55" t="n"/>
      <c r="F122" s="50" t="n"/>
      <c r="G122" s="55" t="n"/>
      <c r="H122" s="50" t="n"/>
      <c r="I122" s="55" t="n"/>
      <c r="J122" s="50" t="n"/>
      <c r="K122" s="55" t="n"/>
      <c r="L122" s="56" t="n"/>
      <c r="M122" s="57" t="n"/>
      <c r="N122" s="57" t="n"/>
      <c r="O122" s="57" t="n"/>
      <c r="P122" s="57" t="n"/>
      <c r="Q122" s="50" t="n"/>
      <c r="R122" s="58">
        <f t="shared" si="1"/>
      </c>
      <c r="S122" s="59">
        <f t="shared" si="2"/>
      </c>
      <c r="T122" s="43">
        <f t="shared" si="3"/>
      </c>
      <c r="U122" s="60">
        <f t="shared" si="4"/>
      </c>
      <c r="V122" s="60">
        <f t="shared" si="5"/>
      </c>
      <c r="W122" s="60">
        <f t="shared" si="6"/>
      </c>
      <c r="X122" s="49">
        <f t="shared" si="7"/>
      </c>
      <c r="Y122" s="2">
        <f t="shared" si="8"/>
      </c>
      <c r="Z122" s="2">
        <f t="shared" si="9"/>
        <v>0</v>
      </c>
      <c r="AA122" s="2">
        <f t="shared" si="10"/>
        <v>0</v>
      </c>
      <c r="AB122" s="2">
        <f t="shared" si="11"/>
        <v>0</v>
      </c>
      <c r="AC122" s="2">
        <f t="shared" si="12"/>
        <v>0</v>
      </c>
      <c r="AD122" s="2">
        <f t="shared" si="13"/>
        <v>0</v>
      </c>
      <c r="AE122" s="2">
        <f t="shared" si="14"/>
        <v>0</v>
      </c>
      <c r="AF122" s="2">
        <f t="shared" si="15"/>
        <v>0</v>
      </c>
      <c r="AG122" s="2">
        <f t="shared" si="16"/>
        <v>0</v>
      </c>
      <c r="AH122" s="2">
        <f t="shared" si="17"/>
        <v>0</v>
      </c>
      <c r="AI122" s="2">
        <f t="shared" si="18"/>
      </c>
    </row>
    <row r="123">
      <c r="A123" s="43">
        <f t="shared" si="0"/>
      </c>
      <c r="B123" s="54" t="n"/>
      <c r="C123" s="45" t="n"/>
      <c r="D123" s="50" t="n"/>
      <c r="E123" s="55" t="n"/>
      <c r="F123" s="50" t="n"/>
      <c r="G123" s="55" t="n"/>
      <c r="H123" s="50" t="n"/>
      <c r="I123" s="55" t="n"/>
      <c r="J123" s="50" t="n"/>
      <c r="K123" s="55" t="n"/>
      <c r="L123" s="56" t="n"/>
      <c r="M123" s="57" t="n"/>
      <c r="N123" s="57" t="n"/>
      <c r="O123" s="57" t="n"/>
      <c r="P123" s="57" t="n"/>
      <c r="Q123" s="50" t="n"/>
      <c r="R123" s="58">
        <f t="shared" si="1"/>
      </c>
      <c r="S123" s="59">
        <f t="shared" si="2"/>
      </c>
      <c r="T123" s="43">
        <f t="shared" si="3"/>
      </c>
      <c r="U123" s="60">
        <f t="shared" si="4"/>
      </c>
      <c r="V123" s="60">
        <f t="shared" si="5"/>
      </c>
      <c r="W123" s="60">
        <f t="shared" si="6"/>
      </c>
      <c r="X123" s="49">
        <f t="shared" si="7"/>
      </c>
      <c r="Y123" s="2">
        <f t="shared" si="8"/>
      </c>
      <c r="Z123" s="2">
        <f t="shared" si="9"/>
        <v>0</v>
      </c>
      <c r="AA123" s="2">
        <f t="shared" si="10"/>
        <v>0</v>
      </c>
      <c r="AB123" s="2">
        <f t="shared" si="11"/>
        <v>0</v>
      </c>
      <c r="AC123" s="2">
        <f t="shared" si="12"/>
        <v>0</v>
      </c>
      <c r="AD123" s="2">
        <f t="shared" si="13"/>
        <v>0</v>
      </c>
      <c r="AE123" s="2">
        <f t="shared" si="14"/>
        <v>0</v>
      </c>
      <c r="AF123" s="2">
        <f t="shared" si="15"/>
        <v>0</v>
      </c>
      <c r="AG123" s="2">
        <f t="shared" si="16"/>
        <v>0</v>
      </c>
      <c r="AH123" s="2">
        <f t="shared" si="17"/>
        <v>0</v>
      </c>
      <c r="AI123" s="2">
        <f t="shared" si="18"/>
      </c>
    </row>
    <row r="124">
      <c r="A124" s="43">
        <f t="shared" si="0"/>
      </c>
      <c r="B124" s="54" t="n"/>
      <c r="C124" s="45" t="n"/>
      <c r="D124" s="50" t="n"/>
      <c r="E124" s="55" t="n"/>
      <c r="F124" s="50" t="n"/>
      <c r="G124" s="55" t="n"/>
      <c r="H124" s="50" t="n"/>
      <c r="I124" s="55" t="n"/>
      <c r="J124" s="50" t="n"/>
      <c r="K124" s="55" t="n"/>
      <c r="L124" s="56" t="n"/>
      <c r="M124" s="57" t="n"/>
      <c r="N124" s="57" t="n"/>
      <c r="O124" s="57" t="n"/>
      <c r="P124" s="57" t="n"/>
      <c r="Q124" s="50" t="n"/>
      <c r="R124" s="58">
        <f t="shared" si="1"/>
      </c>
      <c r="S124" s="59">
        <f t="shared" si="2"/>
      </c>
      <c r="T124" s="43">
        <f t="shared" si="3"/>
      </c>
      <c r="U124" s="60">
        <f t="shared" si="4"/>
      </c>
      <c r="V124" s="60">
        <f t="shared" si="5"/>
      </c>
      <c r="W124" s="60">
        <f t="shared" si="6"/>
      </c>
      <c r="X124" s="49">
        <f t="shared" si="7"/>
      </c>
      <c r="Y124" s="2">
        <f t="shared" si="8"/>
      </c>
      <c r="Z124" s="2">
        <f t="shared" si="9"/>
        <v>0</v>
      </c>
      <c r="AA124" s="2">
        <f t="shared" si="10"/>
        <v>0</v>
      </c>
      <c r="AB124" s="2">
        <f t="shared" si="11"/>
        <v>0</v>
      </c>
      <c r="AC124" s="2">
        <f t="shared" si="12"/>
        <v>0</v>
      </c>
      <c r="AD124" s="2">
        <f t="shared" si="13"/>
        <v>0</v>
      </c>
      <c r="AE124" s="2">
        <f t="shared" si="14"/>
        <v>0</v>
      </c>
      <c r="AF124" s="2">
        <f t="shared" si="15"/>
        <v>0</v>
      </c>
      <c r="AG124" s="2">
        <f t="shared" si="16"/>
        <v>0</v>
      </c>
      <c r="AH124" s="2">
        <f t="shared" si="17"/>
        <v>0</v>
      </c>
      <c r="AI124" s="2">
        <f t="shared" si="18"/>
      </c>
    </row>
    <row r="125">
      <c r="A125" s="43">
        <f t="shared" si="0"/>
      </c>
      <c r="B125" s="54" t="n"/>
      <c r="C125" s="45" t="n"/>
      <c r="D125" s="50" t="n"/>
      <c r="E125" s="55" t="n"/>
      <c r="F125" s="50" t="n"/>
      <c r="G125" s="55" t="n"/>
      <c r="H125" s="50" t="n"/>
      <c r="I125" s="55" t="n"/>
      <c r="J125" s="50" t="n"/>
      <c r="K125" s="55" t="n"/>
      <c r="L125" s="56" t="n"/>
      <c r="M125" s="57" t="n"/>
      <c r="N125" s="57" t="n"/>
      <c r="O125" s="57" t="n"/>
      <c r="P125" s="57" t="n"/>
      <c r="Q125" s="50" t="n"/>
      <c r="R125" s="58">
        <f t="shared" si="1"/>
      </c>
      <c r="S125" s="59">
        <f t="shared" si="2"/>
      </c>
      <c r="T125" s="43">
        <f t="shared" si="3"/>
      </c>
      <c r="U125" s="60">
        <f t="shared" si="4"/>
      </c>
      <c r="V125" s="60">
        <f t="shared" si="5"/>
      </c>
      <c r="W125" s="60">
        <f t="shared" si="6"/>
      </c>
      <c r="X125" s="49">
        <f t="shared" si="7"/>
      </c>
      <c r="Y125" s="2">
        <f t="shared" si="8"/>
      </c>
      <c r="Z125" s="2">
        <f t="shared" si="9"/>
        <v>0</v>
      </c>
      <c r="AA125" s="2">
        <f t="shared" si="10"/>
        <v>0</v>
      </c>
      <c r="AB125" s="2">
        <f t="shared" si="11"/>
        <v>0</v>
      </c>
      <c r="AC125" s="2">
        <f t="shared" si="12"/>
        <v>0</v>
      </c>
      <c r="AD125" s="2">
        <f t="shared" si="13"/>
        <v>0</v>
      </c>
      <c r="AE125" s="2">
        <f t="shared" si="14"/>
        <v>0</v>
      </c>
      <c r="AF125" s="2">
        <f t="shared" si="15"/>
        <v>0</v>
      </c>
      <c r="AG125" s="2">
        <f t="shared" si="16"/>
        <v>0</v>
      </c>
      <c r="AH125" s="2">
        <f t="shared" si="17"/>
        <v>0</v>
      </c>
      <c r="AI125" s="2">
        <f t="shared" si="18"/>
      </c>
    </row>
    <row r="126">
      <c r="A126" s="43">
        <f t="shared" si="0"/>
      </c>
      <c r="B126" s="54" t="n"/>
      <c r="C126" s="45" t="n"/>
      <c r="D126" s="50" t="n"/>
      <c r="E126" s="55" t="n"/>
      <c r="F126" s="50" t="n"/>
      <c r="G126" s="55" t="n"/>
      <c r="H126" s="50" t="n"/>
      <c r="I126" s="55" t="n"/>
      <c r="J126" s="50" t="n"/>
      <c r="K126" s="55" t="n"/>
      <c r="L126" s="56" t="n"/>
      <c r="M126" s="57" t="n"/>
      <c r="N126" s="57" t="n"/>
      <c r="O126" s="57" t="n"/>
      <c r="P126" s="57" t="n"/>
      <c r="Q126" s="50" t="n"/>
      <c r="R126" s="58">
        <f t="shared" si="1"/>
      </c>
      <c r="S126" s="59">
        <f t="shared" si="2"/>
      </c>
      <c r="T126" s="43">
        <f t="shared" si="3"/>
      </c>
      <c r="U126" s="60">
        <f t="shared" si="4"/>
      </c>
      <c r="V126" s="60">
        <f t="shared" si="5"/>
      </c>
      <c r="W126" s="60">
        <f t="shared" si="6"/>
      </c>
      <c r="X126" s="49">
        <f t="shared" si="7"/>
      </c>
      <c r="Y126" s="2">
        <f t="shared" si="8"/>
      </c>
      <c r="Z126" s="2">
        <f t="shared" si="9"/>
        <v>0</v>
      </c>
      <c r="AA126" s="2">
        <f t="shared" si="10"/>
        <v>0</v>
      </c>
      <c r="AB126" s="2">
        <f t="shared" si="11"/>
        <v>0</v>
      </c>
      <c r="AC126" s="2">
        <f t="shared" si="12"/>
        <v>0</v>
      </c>
      <c r="AD126" s="2">
        <f t="shared" si="13"/>
        <v>0</v>
      </c>
      <c r="AE126" s="2">
        <f t="shared" si="14"/>
        <v>0</v>
      </c>
      <c r="AF126" s="2">
        <f t="shared" si="15"/>
        <v>0</v>
      </c>
      <c r="AG126" s="2">
        <f t="shared" si="16"/>
        <v>0</v>
      </c>
      <c r="AH126" s="2">
        <f t="shared" si="17"/>
        <v>0</v>
      </c>
      <c r="AI126" s="2">
        <f t="shared" si="18"/>
      </c>
    </row>
    <row r="127">
      <c r="A127" s="43">
        <f t="shared" si="0"/>
      </c>
      <c r="B127" s="54" t="n"/>
      <c r="C127" s="45" t="n"/>
      <c r="D127" s="50" t="n"/>
      <c r="E127" s="55" t="n"/>
      <c r="F127" s="50" t="n"/>
      <c r="G127" s="55" t="n"/>
      <c r="H127" s="50" t="n"/>
      <c r="I127" s="55" t="n"/>
      <c r="J127" s="50" t="n"/>
      <c r="K127" s="55" t="n"/>
      <c r="L127" s="56" t="n"/>
      <c r="M127" s="57" t="n"/>
      <c r="N127" s="57" t="n"/>
      <c r="O127" s="57" t="n"/>
      <c r="P127" s="57" t="n"/>
      <c r="Q127" s="50" t="n"/>
      <c r="R127" s="58">
        <f t="shared" si="1"/>
      </c>
      <c r="S127" s="59">
        <f t="shared" si="2"/>
      </c>
      <c r="T127" s="43">
        <f t="shared" si="3"/>
      </c>
      <c r="U127" s="60">
        <f t="shared" si="4"/>
      </c>
      <c r="V127" s="60">
        <f t="shared" si="5"/>
      </c>
      <c r="W127" s="60">
        <f t="shared" si="6"/>
      </c>
      <c r="X127" s="49">
        <f t="shared" si="7"/>
      </c>
      <c r="Y127" s="2">
        <f t="shared" si="8"/>
      </c>
      <c r="Z127" s="2">
        <f t="shared" si="9"/>
        <v>0</v>
      </c>
      <c r="AA127" s="2">
        <f t="shared" si="10"/>
        <v>0</v>
      </c>
      <c r="AB127" s="2">
        <f t="shared" si="11"/>
        <v>0</v>
      </c>
      <c r="AC127" s="2">
        <f t="shared" si="12"/>
        <v>0</v>
      </c>
      <c r="AD127" s="2">
        <f t="shared" si="13"/>
        <v>0</v>
      </c>
      <c r="AE127" s="2">
        <f t="shared" si="14"/>
        <v>0</v>
      </c>
      <c r="AF127" s="2">
        <f t="shared" si="15"/>
        <v>0</v>
      </c>
      <c r="AG127" s="2">
        <f t="shared" si="16"/>
        <v>0</v>
      </c>
      <c r="AH127" s="2">
        <f t="shared" si="17"/>
        <v>0</v>
      </c>
      <c r="AI127" s="2">
        <f t="shared" si="18"/>
      </c>
    </row>
    <row r="128">
      <c r="A128" s="43">
        <f t="shared" si="0"/>
      </c>
      <c r="B128" s="54" t="n"/>
      <c r="C128" s="45" t="n"/>
      <c r="D128" s="50" t="n"/>
      <c r="E128" s="55" t="n"/>
      <c r="F128" s="50" t="n"/>
      <c r="G128" s="55" t="n"/>
      <c r="H128" s="50" t="n"/>
      <c r="I128" s="55" t="n"/>
      <c r="J128" s="50" t="n"/>
      <c r="K128" s="55" t="n"/>
      <c r="L128" s="56" t="n"/>
      <c r="M128" s="57" t="n"/>
      <c r="N128" s="57" t="n"/>
      <c r="O128" s="57" t="n"/>
      <c r="P128" s="57" t="n"/>
      <c r="Q128" s="50" t="n"/>
      <c r="R128" s="58">
        <f t="shared" si="1"/>
      </c>
      <c r="S128" s="59">
        <f t="shared" si="2"/>
      </c>
      <c r="T128" s="43">
        <f t="shared" si="3"/>
      </c>
      <c r="U128" s="60">
        <f t="shared" si="4"/>
      </c>
      <c r="V128" s="60">
        <f t="shared" si="5"/>
      </c>
      <c r="W128" s="60">
        <f t="shared" si="6"/>
      </c>
      <c r="X128" s="49">
        <f t="shared" si="7"/>
      </c>
      <c r="Y128" s="2">
        <f t="shared" si="8"/>
      </c>
      <c r="Z128" s="2">
        <f t="shared" si="9"/>
        <v>0</v>
      </c>
      <c r="AA128" s="2">
        <f t="shared" si="10"/>
        <v>0</v>
      </c>
      <c r="AB128" s="2">
        <f t="shared" si="11"/>
        <v>0</v>
      </c>
      <c r="AC128" s="2">
        <f t="shared" si="12"/>
        <v>0</v>
      </c>
      <c r="AD128" s="2">
        <f t="shared" si="13"/>
        <v>0</v>
      </c>
      <c r="AE128" s="2">
        <f t="shared" si="14"/>
        <v>0</v>
      </c>
      <c r="AF128" s="2">
        <f t="shared" si="15"/>
        <v>0</v>
      </c>
      <c r="AG128" s="2">
        <f t="shared" si="16"/>
        <v>0</v>
      </c>
      <c r="AH128" s="2">
        <f t="shared" si="17"/>
        <v>0</v>
      </c>
      <c r="AI128" s="2">
        <f t="shared" si="18"/>
      </c>
    </row>
    <row r="129">
      <c r="A129" s="43">
        <f t="shared" si="0"/>
      </c>
      <c r="B129" s="54" t="n"/>
      <c r="C129" s="45" t="n"/>
      <c r="D129" s="50" t="n"/>
      <c r="E129" s="55" t="n"/>
      <c r="F129" s="50" t="n"/>
      <c r="G129" s="55" t="n"/>
      <c r="H129" s="50" t="n"/>
      <c r="I129" s="55" t="n"/>
      <c r="J129" s="50" t="n"/>
      <c r="K129" s="55" t="n"/>
      <c r="L129" s="56" t="n"/>
      <c r="M129" s="57" t="n"/>
      <c r="N129" s="57" t="n"/>
      <c r="O129" s="57" t="n"/>
      <c r="P129" s="57" t="n"/>
      <c r="Q129" s="50" t="n"/>
      <c r="R129" s="58">
        <f t="shared" si="1"/>
      </c>
      <c r="S129" s="59">
        <f t="shared" si="2"/>
      </c>
      <c r="T129" s="43">
        <f t="shared" si="3"/>
      </c>
      <c r="U129" s="60">
        <f t="shared" si="4"/>
      </c>
      <c r="V129" s="60">
        <f t="shared" si="5"/>
      </c>
      <c r="W129" s="60">
        <f t="shared" si="6"/>
      </c>
      <c r="X129" s="49">
        <f t="shared" si="7"/>
      </c>
      <c r="Y129" s="2">
        <f t="shared" si="8"/>
      </c>
      <c r="Z129" s="2">
        <f t="shared" si="9"/>
        <v>0</v>
      </c>
      <c r="AA129" s="2">
        <f t="shared" si="10"/>
        <v>0</v>
      </c>
      <c r="AB129" s="2">
        <f t="shared" si="11"/>
        <v>0</v>
      </c>
      <c r="AC129" s="2">
        <f t="shared" si="12"/>
        <v>0</v>
      </c>
      <c r="AD129" s="2">
        <f t="shared" si="13"/>
        <v>0</v>
      </c>
      <c r="AE129" s="2">
        <f t="shared" si="14"/>
        <v>0</v>
      </c>
      <c r="AF129" s="2">
        <f t="shared" si="15"/>
        <v>0</v>
      </c>
      <c r="AG129" s="2">
        <f t="shared" si="16"/>
        <v>0</v>
      </c>
      <c r="AH129" s="2">
        <f t="shared" si="17"/>
        <v>0</v>
      </c>
      <c r="AI129" s="2">
        <f t="shared" si="18"/>
      </c>
    </row>
    <row r="130">
      <c r="A130" s="43">
        <f t="shared" si="0"/>
      </c>
      <c r="B130" s="54" t="n"/>
      <c r="C130" s="45" t="n"/>
      <c r="D130" s="50" t="n"/>
      <c r="E130" s="55" t="n"/>
      <c r="F130" s="50" t="n"/>
      <c r="G130" s="55" t="n"/>
      <c r="H130" s="50" t="n"/>
      <c r="I130" s="55" t="n"/>
      <c r="J130" s="50" t="n"/>
      <c r="K130" s="55" t="n"/>
      <c r="L130" s="56" t="n"/>
      <c r="M130" s="57" t="n"/>
      <c r="N130" s="57" t="n"/>
      <c r="O130" s="57" t="n"/>
      <c r="P130" s="57" t="n"/>
      <c r="Q130" s="50" t="n"/>
      <c r="R130" s="58">
        <f t="shared" si="1"/>
      </c>
      <c r="S130" s="59">
        <f t="shared" si="2"/>
      </c>
      <c r="T130" s="43">
        <f t="shared" si="3"/>
      </c>
      <c r="U130" s="60">
        <f t="shared" si="4"/>
      </c>
      <c r="V130" s="60">
        <f t="shared" si="5"/>
      </c>
      <c r="W130" s="60">
        <f t="shared" si="6"/>
      </c>
      <c r="X130" s="49">
        <f t="shared" si="7"/>
      </c>
      <c r="Y130" s="2">
        <f t="shared" si="8"/>
      </c>
      <c r="Z130" s="2">
        <f t="shared" si="9"/>
        <v>0</v>
      </c>
      <c r="AA130" s="2">
        <f t="shared" si="10"/>
        <v>0</v>
      </c>
      <c r="AB130" s="2">
        <f t="shared" si="11"/>
        <v>0</v>
      </c>
      <c r="AC130" s="2">
        <f t="shared" si="12"/>
        <v>0</v>
      </c>
      <c r="AD130" s="2">
        <f t="shared" si="13"/>
        <v>0</v>
      </c>
      <c r="AE130" s="2">
        <f t="shared" si="14"/>
        <v>0</v>
      </c>
      <c r="AF130" s="2">
        <f t="shared" si="15"/>
        <v>0</v>
      </c>
      <c r="AG130" s="2">
        <f t="shared" si="16"/>
        <v>0</v>
      </c>
      <c r="AH130" s="2">
        <f t="shared" si="17"/>
        <v>0</v>
      </c>
      <c r="AI130" s="2">
        <f t="shared" si="18"/>
      </c>
    </row>
    <row r="131">
      <c r="A131" s="43">
        <f t="shared" si="0"/>
      </c>
      <c r="B131" s="54" t="n"/>
      <c r="C131" s="45" t="n"/>
      <c r="D131" s="50" t="n"/>
      <c r="E131" s="55" t="n"/>
      <c r="F131" s="50" t="n"/>
      <c r="G131" s="55" t="n"/>
      <c r="H131" s="50" t="n"/>
      <c r="I131" s="55" t="n"/>
      <c r="J131" s="50" t="n"/>
      <c r="K131" s="55" t="n"/>
      <c r="L131" s="56" t="n"/>
      <c r="M131" s="57" t="n"/>
      <c r="N131" s="57" t="n"/>
      <c r="O131" s="57" t="n"/>
      <c r="P131" s="57" t="n"/>
      <c r="Q131" s="50" t="n"/>
      <c r="R131" s="58">
        <f t="shared" si="1"/>
      </c>
      <c r="S131" s="59">
        <f t="shared" si="2"/>
      </c>
      <c r="T131" s="43">
        <f t="shared" si="3"/>
      </c>
      <c r="U131" s="60">
        <f t="shared" si="4"/>
      </c>
      <c r="V131" s="60">
        <f t="shared" si="5"/>
      </c>
      <c r="W131" s="60">
        <f t="shared" si="6"/>
      </c>
      <c r="X131" s="49">
        <f t="shared" si="7"/>
      </c>
      <c r="Y131" s="2">
        <f t="shared" si="8"/>
      </c>
      <c r="Z131" s="2">
        <f t="shared" si="9"/>
        <v>0</v>
      </c>
      <c r="AA131" s="2">
        <f t="shared" si="10"/>
        <v>0</v>
      </c>
      <c r="AB131" s="2">
        <f t="shared" si="11"/>
        <v>0</v>
      </c>
      <c r="AC131" s="2">
        <f t="shared" si="12"/>
        <v>0</v>
      </c>
      <c r="AD131" s="2">
        <f t="shared" si="13"/>
        <v>0</v>
      </c>
      <c r="AE131" s="2">
        <f t="shared" si="14"/>
        <v>0</v>
      </c>
      <c r="AF131" s="2">
        <f t="shared" si="15"/>
        <v>0</v>
      </c>
      <c r="AG131" s="2">
        <f t="shared" si="16"/>
        <v>0</v>
      </c>
      <c r="AH131" s="2">
        <f t="shared" si="17"/>
        <v>0</v>
      </c>
      <c r="AI131" s="2">
        <f t="shared" si="18"/>
      </c>
    </row>
    <row r="132">
      <c r="A132" s="43">
        <f t="shared" si="0"/>
      </c>
      <c r="B132" s="54" t="n"/>
      <c r="C132" s="45" t="n"/>
      <c r="D132" s="50" t="n"/>
      <c r="E132" s="55" t="n"/>
      <c r="F132" s="50" t="n"/>
      <c r="G132" s="55" t="n"/>
      <c r="H132" s="50" t="n"/>
      <c r="I132" s="55" t="n"/>
      <c r="J132" s="50" t="n"/>
      <c r="K132" s="55" t="n"/>
      <c r="L132" s="56" t="n"/>
      <c r="M132" s="57" t="n"/>
      <c r="N132" s="57" t="n"/>
      <c r="O132" s="57" t="n"/>
      <c r="P132" s="57" t="n"/>
      <c r="Q132" s="50" t="n"/>
      <c r="R132" s="58">
        <f t="shared" si="1"/>
      </c>
      <c r="S132" s="59">
        <f t="shared" si="2"/>
      </c>
      <c r="T132" s="43">
        <f t="shared" si="3"/>
      </c>
      <c r="U132" s="60">
        <f t="shared" si="4"/>
      </c>
      <c r="V132" s="60">
        <f t="shared" si="5"/>
      </c>
      <c r="W132" s="60">
        <f t="shared" si="6"/>
      </c>
      <c r="X132" s="49">
        <f t="shared" si="7"/>
      </c>
      <c r="Y132" s="2">
        <f t="shared" si="8"/>
      </c>
      <c r="Z132" s="2">
        <f t="shared" si="9"/>
        <v>0</v>
      </c>
      <c r="AA132" s="2">
        <f t="shared" si="10"/>
        <v>0</v>
      </c>
      <c r="AB132" s="2">
        <f t="shared" si="11"/>
        <v>0</v>
      </c>
      <c r="AC132" s="2">
        <f t="shared" si="12"/>
        <v>0</v>
      </c>
      <c r="AD132" s="2">
        <f t="shared" si="13"/>
        <v>0</v>
      </c>
      <c r="AE132" s="2">
        <f t="shared" si="14"/>
        <v>0</v>
      </c>
      <c r="AF132" s="2">
        <f t="shared" si="15"/>
        <v>0</v>
      </c>
      <c r="AG132" s="2">
        <f t="shared" si="16"/>
        <v>0</v>
      </c>
      <c r="AH132" s="2">
        <f t="shared" si="17"/>
        <v>0</v>
      </c>
      <c r="AI132" s="2">
        <f t="shared" si="18"/>
      </c>
    </row>
    <row r="133">
      <c r="A133" s="43">
        <f t="shared" si="0"/>
      </c>
      <c r="B133" s="54" t="n"/>
      <c r="C133" s="45" t="n"/>
      <c r="D133" s="50" t="n"/>
      <c r="E133" s="55" t="n"/>
      <c r="F133" s="50" t="n"/>
      <c r="G133" s="55" t="n"/>
      <c r="H133" s="50" t="n"/>
      <c r="I133" s="55" t="n"/>
      <c r="J133" s="50" t="n"/>
      <c r="K133" s="55" t="n"/>
      <c r="L133" s="56" t="n"/>
      <c r="M133" s="57" t="n"/>
      <c r="N133" s="57" t="n"/>
      <c r="O133" s="57" t="n"/>
      <c r="P133" s="57" t="n"/>
      <c r="Q133" s="50" t="n"/>
      <c r="R133" s="58">
        <f t="shared" si="1"/>
      </c>
      <c r="S133" s="59">
        <f t="shared" si="2"/>
      </c>
      <c r="T133" s="43">
        <f t="shared" si="3"/>
      </c>
      <c r="U133" s="60">
        <f t="shared" si="4"/>
      </c>
      <c r="V133" s="60">
        <f t="shared" si="5"/>
      </c>
      <c r="W133" s="60">
        <f t="shared" si="6"/>
      </c>
      <c r="X133" s="49">
        <f t="shared" si="7"/>
      </c>
      <c r="Y133" s="2">
        <f t="shared" si="8"/>
      </c>
      <c r="Z133" s="2">
        <f t="shared" si="9"/>
        <v>0</v>
      </c>
      <c r="AA133" s="2">
        <f t="shared" si="10"/>
        <v>0</v>
      </c>
      <c r="AB133" s="2">
        <f t="shared" si="11"/>
        <v>0</v>
      </c>
      <c r="AC133" s="2">
        <f t="shared" si="12"/>
        <v>0</v>
      </c>
      <c r="AD133" s="2">
        <f t="shared" si="13"/>
        <v>0</v>
      </c>
      <c r="AE133" s="2">
        <f t="shared" si="14"/>
        <v>0</v>
      </c>
      <c r="AF133" s="2">
        <f t="shared" si="15"/>
        <v>0</v>
      </c>
      <c r="AG133" s="2">
        <f t="shared" si="16"/>
        <v>0</v>
      </c>
      <c r="AH133" s="2">
        <f t="shared" si="17"/>
        <v>0</v>
      </c>
      <c r="AI133" s="2">
        <f t="shared" si="18"/>
      </c>
    </row>
    <row r="134">
      <c r="A134" s="43">
        <f t="shared" si="0"/>
      </c>
      <c r="B134" s="54" t="n"/>
      <c r="C134" s="45" t="n"/>
      <c r="D134" s="50" t="n"/>
      <c r="E134" s="55" t="n"/>
      <c r="F134" s="50" t="n"/>
      <c r="G134" s="55" t="n"/>
      <c r="H134" s="50" t="n"/>
      <c r="I134" s="55" t="n"/>
      <c r="J134" s="50" t="n"/>
      <c r="K134" s="55" t="n"/>
      <c r="L134" s="56" t="n"/>
      <c r="M134" s="57" t="n"/>
      <c r="N134" s="57" t="n"/>
      <c r="O134" s="57" t="n"/>
      <c r="P134" s="57" t="n"/>
      <c r="Q134" s="50" t="n"/>
      <c r="R134" s="58">
        <f t="shared" si="1"/>
      </c>
      <c r="S134" s="59">
        <f t="shared" si="2"/>
      </c>
      <c r="T134" s="43">
        <f t="shared" si="3"/>
      </c>
      <c r="U134" s="60">
        <f t="shared" si="4"/>
      </c>
      <c r="V134" s="60">
        <f t="shared" si="5"/>
      </c>
      <c r="W134" s="60">
        <f t="shared" si="6"/>
      </c>
      <c r="X134" s="49">
        <f t="shared" si="7"/>
      </c>
      <c r="Y134" s="2">
        <f t="shared" si="8"/>
      </c>
      <c r="Z134" s="2">
        <f t="shared" si="9"/>
        <v>0</v>
      </c>
      <c r="AA134" s="2">
        <f t="shared" si="10"/>
        <v>0</v>
      </c>
      <c r="AB134" s="2">
        <f t="shared" si="11"/>
        <v>0</v>
      </c>
      <c r="AC134" s="2">
        <f t="shared" si="12"/>
        <v>0</v>
      </c>
      <c r="AD134" s="2">
        <f t="shared" si="13"/>
        <v>0</v>
      </c>
      <c r="AE134" s="2">
        <f t="shared" si="14"/>
        <v>0</v>
      </c>
      <c r="AF134" s="2">
        <f t="shared" si="15"/>
        <v>0</v>
      </c>
      <c r="AG134" s="2">
        <f t="shared" si="16"/>
        <v>0</v>
      </c>
      <c r="AH134" s="2">
        <f t="shared" si="17"/>
        <v>0</v>
      </c>
      <c r="AI134" s="2">
        <f t="shared" si="18"/>
      </c>
    </row>
    <row r="135">
      <c r="A135" s="43">
        <f t="shared" si="0"/>
      </c>
      <c r="B135" s="54" t="n"/>
      <c r="C135" s="45" t="n"/>
      <c r="D135" s="50" t="n"/>
      <c r="E135" s="55" t="n"/>
      <c r="F135" s="50" t="n"/>
      <c r="G135" s="55" t="n"/>
      <c r="H135" s="50" t="n"/>
      <c r="I135" s="55" t="n"/>
      <c r="J135" s="50" t="n"/>
      <c r="K135" s="55" t="n"/>
      <c r="L135" s="56" t="n"/>
      <c r="M135" s="57" t="n"/>
      <c r="N135" s="57" t="n"/>
      <c r="O135" s="57" t="n"/>
      <c r="P135" s="57" t="n"/>
      <c r="Q135" s="50" t="n"/>
      <c r="R135" s="58">
        <f t="shared" si="1"/>
      </c>
      <c r="S135" s="59">
        <f t="shared" si="2"/>
      </c>
      <c r="T135" s="43">
        <f t="shared" si="3"/>
      </c>
      <c r="U135" s="60">
        <f t="shared" si="4"/>
      </c>
      <c r="V135" s="60">
        <f t="shared" si="5"/>
      </c>
      <c r="W135" s="60">
        <f t="shared" si="6"/>
      </c>
      <c r="X135" s="49">
        <f t="shared" si="7"/>
      </c>
      <c r="Y135" s="2">
        <f t="shared" si="8"/>
      </c>
      <c r="Z135" s="2">
        <f t="shared" si="9"/>
        <v>0</v>
      </c>
      <c r="AA135" s="2">
        <f t="shared" si="10"/>
        <v>0</v>
      </c>
      <c r="AB135" s="2">
        <f t="shared" si="11"/>
        <v>0</v>
      </c>
      <c r="AC135" s="2">
        <f t="shared" si="12"/>
        <v>0</v>
      </c>
      <c r="AD135" s="2">
        <f t="shared" si="13"/>
        <v>0</v>
      </c>
      <c r="AE135" s="2">
        <f t="shared" si="14"/>
        <v>0</v>
      </c>
      <c r="AF135" s="2">
        <f t="shared" si="15"/>
        <v>0</v>
      </c>
      <c r="AG135" s="2">
        <f t="shared" si="16"/>
        <v>0</v>
      </c>
      <c r="AH135" s="2">
        <f t="shared" si="17"/>
        <v>0</v>
      </c>
      <c r="AI135" s="2">
        <f t="shared" si="18"/>
      </c>
    </row>
    <row r="136">
      <c r="A136" s="43">
        <f t="shared" si="0"/>
      </c>
      <c r="B136" s="54" t="n"/>
      <c r="C136" s="45" t="n"/>
      <c r="D136" s="50" t="n"/>
      <c r="E136" s="55" t="n"/>
      <c r="F136" s="50" t="n"/>
      <c r="G136" s="55" t="n"/>
      <c r="H136" s="50" t="n"/>
      <c r="I136" s="55" t="n"/>
      <c r="J136" s="50" t="n"/>
      <c r="K136" s="55" t="n"/>
      <c r="L136" s="56" t="n"/>
      <c r="M136" s="57" t="n"/>
      <c r="N136" s="57" t="n"/>
      <c r="O136" s="57" t="n"/>
      <c r="P136" s="57" t="n"/>
      <c r="Q136" s="50" t="n"/>
      <c r="R136" s="58">
        <f t="shared" si="1"/>
      </c>
      <c r="S136" s="59">
        <f t="shared" si="2"/>
      </c>
      <c r="T136" s="43">
        <f t="shared" si="3"/>
      </c>
      <c r="U136" s="60">
        <f t="shared" si="4"/>
      </c>
      <c r="V136" s="60">
        <f t="shared" si="5"/>
      </c>
      <c r="W136" s="60">
        <f t="shared" si="6"/>
      </c>
      <c r="X136" s="49">
        <f t="shared" si="7"/>
      </c>
      <c r="Y136" s="2">
        <f t="shared" si="8"/>
      </c>
      <c r="Z136" s="2">
        <f t="shared" si="9"/>
        <v>0</v>
      </c>
      <c r="AA136" s="2">
        <f t="shared" si="10"/>
        <v>0</v>
      </c>
      <c r="AB136" s="2">
        <f t="shared" si="11"/>
        <v>0</v>
      </c>
      <c r="AC136" s="2">
        <f t="shared" si="12"/>
        <v>0</v>
      </c>
      <c r="AD136" s="2">
        <f t="shared" si="13"/>
        <v>0</v>
      </c>
      <c r="AE136" s="2">
        <f t="shared" si="14"/>
        <v>0</v>
      </c>
      <c r="AF136" s="2">
        <f t="shared" si="15"/>
        <v>0</v>
      </c>
      <c r="AG136" s="2">
        <f t="shared" si="16"/>
        <v>0</v>
      </c>
      <c r="AH136" s="2">
        <f t="shared" si="17"/>
        <v>0</v>
      </c>
      <c r="AI136" s="2">
        <f t="shared" si="18"/>
      </c>
    </row>
    <row r="137">
      <c r="A137" s="43">
        <f t="shared" si="0"/>
      </c>
      <c r="B137" s="54" t="n"/>
      <c r="C137" s="45" t="n"/>
      <c r="D137" s="50" t="n"/>
      <c r="E137" s="55" t="n"/>
      <c r="F137" s="50" t="n"/>
      <c r="G137" s="55" t="n"/>
      <c r="H137" s="50" t="n"/>
      <c r="I137" s="55" t="n"/>
      <c r="J137" s="50" t="n"/>
      <c r="K137" s="55" t="n"/>
      <c r="L137" s="56" t="n"/>
      <c r="M137" s="57" t="n"/>
      <c r="N137" s="57" t="n"/>
      <c r="O137" s="57" t="n"/>
      <c r="P137" s="57" t="n"/>
      <c r="Q137" s="50" t="n"/>
      <c r="R137" s="58">
        <f t="shared" si="1"/>
      </c>
      <c r="S137" s="59">
        <f t="shared" si="2"/>
      </c>
      <c r="T137" s="43">
        <f t="shared" si="3"/>
      </c>
      <c r="U137" s="60">
        <f t="shared" si="4"/>
      </c>
      <c r="V137" s="60">
        <f t="shared" si="5"/>
      </c>
      <c r="W137" s="60">
        <f t="shared" si="6"/>
      </c>
      <c r="X137" s="49">
        <f t="shared" si="7"/>
      </c>
      <c r="Y137" s="2">
        <f t="shared" si="8"/>
      </c>
      <c r="Z137" s="2">
        <f t="shared" si="9"/>
        <v>0</v>
      </c>
      <c r="AA137" s="2">
        <f t="shared" si="10"/>
        <v>0</v>
      </c>
      <c r="AB137" s="2">
        <f t="shared" si="11"/>
        <v>0</v>
      </c>
      <c r="AC137" s="2">
        <f t="shared" si="12"/>
        <v>0</v>
      </c>
      <c r="AD137" s="2">
        <f t="shared" si="13"/>
        <v>0</v>
      </c>
      <c r="AE137" s="2">
        <f t="shared" si="14"/>
        <v>0</v>
      </c>
      <c r="AF137" s="2">
        <f t="shared" si="15"/>
        <v>0</v>
      </c>
      <c r="AG137" s="2">
        <f t="shared" si="16"/>
        <v>0</v>
      </c>
      <c r="AH137" s="2">
        <f t="shared" si="17"/>
        <v>0</v>
      </c>
      <c r="AI137" s="2">
        <f t="shared" si="18"/>
      </c>
    </row>
    <row r="138">
      <c r="A138" s="43">
        <f t="shared" si="0"/>
      </c>
      <c r="B138" s="54" t="n"/>
      <c r="C138" s="45" t="n"/>
      <c r="D138" s="50" t="n"/>
      <c r="E138" s="55" t="n"/>
      <c r="F138" s="50" t="n"/>
      <c r="G138" s="55" t="n"/>
      <c r="H138" s="50" t="n"/>
      <c r="I138" s="55" t="n"/>
      <c r="J138" s="50" t="n"/>
      <c r="K138" s="55" t="n"/>
      <c r="L138" s="56" t="n"/>
      <c r="M138" s="57" t="n"/>
      <c r="N138" s="57" t="n"/>
      <c r="O138" s="57" t="n"/>
      <c r="P138" s="57" t="n"/>
      <c r="Q138" s="50" t="n"/>
      <c r="R138" s="58">
        <f t="shared" si="1"/>
      </c>
      <c r="S138" s="59">
        <f t="shared" si="2"/>
      </c>
      <c r="T138" s="43">
        <f t="shared" si="3"/>
      </c>
      <c r="U138" s="60">
        <f t="shared" si="4"/>
      </c>
      <c r="V138" s="60">
        <f t="shared" si="5"/>
      </c>
      <c r="W138" s="60">
        <f t="shared" si="6"/>
      </c>
      <c r="X138" s="49">
        <f t="shared" si="7"/>
      </c>
      <c r="Y138" s="2">
        <f t="shared" si="8"/>
      </c>
      <c r="Z138" s="2">
        <f t="shared" si="9"/>
        <v>0</v>
      </c>
      <c r="AA138" s="2">
        <f t="shared" si="10"/>
        <v>0</v>
      </c>
      <c r="AB138" s="2">
        <f t="shared" si="11"/>
        <v>0</v>
      </c>
      <c r="AC138" s="2">
        <f t="shared" si="12"/>
        <v>0</v>
      </c>
      <c r="AD138" s="2">
        <f t="shared" si="13"/>
        <v>0</v>
      </c>
      <c r="AE138" s="2">
        <f t="shared" si="14"/>
        <v>0</v>
      </c>
      <c r="AF138" s="2">
        <f t="shared" si="15"/>
        <v>0</v>
      </c>
      <c r="AG138" s="2">
        <f t="shared" si="16"/>
        <v>0</v>
      </c>
      <c r="AH138" s="2">
        <f t="shared" si="17"/>
        <v>0</v>
      </c>
      <c r="AI138" s="2">
        <f t="shared" si="18"/>
      </c>
    </row>
    <row r="139">
      <c r="A139" s="43">
        <f t="shared" si="0"/>
      </c>
      <c r="B139" s="54" t="n"/>
      <c r="C139" s="45" t="n"/>
      <c r="D139" s="50" t="n"/>
      <c r="E139" s="55" t="n"/>
      <c r="F139" s="50" t="n"/>
      <c r="G139" s="55" t="n"/>
      <c r="H139" s="50" t="n"/>
      <c r="I139" s="55" t="n"/>
      <c r="J139" s="50" t="n"/>
      <c r="K139" s="55" t="n"/>
      <c r="L139" s="56" t="n"/>
      <c r="M139" s="57" t="n"/>
      <c r="N139" s="57" t="n"/>
      <c r="O139" s="57" t="n"/>
      <c r="P139" s="57" t="n"/>
      <c r="Q139" s="50" t="n"/>
      <c r="R139" s="58">
        <f t="shared" si="1"/>
      </c>
      <c r="S139" s="59">
        <f t="shared" si="2"/>
      </c>
      <c r="T139" s="43">
        <f t="shared" si="3"/>
      </c>
      <c r="U139" s="60">
        <f t="shared" si="4"/>
      </c>
      <c r="V139" s="60">
        <f t="shared" si="5"/>
      </c>
      <c r="W139" s="60">
        <f t="shared" si="6"/>
      </c>
      <c r="X139" s="49">
        <f t="shared" si="7"/>
      </c>
      <c r="Y139" s="2">
        <f t="shared" si="8"/>
      </c>
      <c r="Z139" s="2">
        <f t="shared" si="9"/>
        <v>0</v>
      </c>
      <c r="AA139" s="2">
        <f t="shared" si="10"/>
        <v>0</v>
      </c>
      <c r="AB139" s="2">
        <f t="shared" si="11"/>
        <v>0</v>
      </c>
      <c r="AC139" s="2">
        <f t="shared" si="12"/>
        <v>0</v>
      </c>
      <c r="AD139" s="2">
        <f t="shared" si="13"/>
        <v>0</v>
      </c>
      <c r="AE139" s="2">
        <f t="shared" si="14"/>
        <v>0</v>
      </c>
      <c r="AF139" s="2">
        <f t="shared" si="15"/>
        <v>0</v>
      </c>
      <c r="AG139" s="2">
        <f t="shared" si="16"/>
        <v>0</v>
      </c>
      <c r="AH139" s="2">
        <f t="shared" si="17"/>
        <v>0</v>
      </c>
      <c r="AI139" s="2">
        <f t="shared" si="18"/>
      </c>
    </row>
    <row r="140">
      <c r="A140" s="43">
        <f t="shared" si="0"/>
      </c>
      <c r="B140" s="54" t="n"/>
      <c r="C140" s="45" t="n"/>
      <c r="D140" s="50" t="n"/>
      <c r="E140" s="55" t="n"/>
      <c r="F140" s="50" t="n"/>
      <c r="G140" s="55" t="n"/>
      <c r="H140" s="50" t="n"/>
      <c r="I140" s="55" t="n"/>
      <c r="J140" s="50" t="n"/>
      <c r="K140" s="55" t="n"/>
      <c r="L140" s="56" t="n"/>
      <c r="M140" s="57" t="n"/>
      <c r="N140" s="57" t="n"/>
      <c r="O140" s="57" t="n"/>
      <c r="P140" s="57" t="n"/>
      <c r="Q140" s="50" t="n"/>
      <c r="R140" s="58">
        <f t="shared" si="1"/>
      </c>
      <c r="S140" s="59">
        <f t="shared" si="2"/>
      </c>
      <c r="T140" s="43">
        <f t="shared" si="3"/>
      </c>
      <c r="U140" s="60">
        <f t="shared" si="4"/>
      </c>
      <c r="V140" s="60">
        <f t="shared" si="5"/>
      </c>
      <c r="W140" s="60">
        <f t="shared" si="6"/>
      </c>
      <c r="X140" s="49">
        <f t="shared" si="7"/>
      </c>
      <c r="Y140" s="2">
        <f t="shared" si="8"/>
      </c>
      <c r="Z140" s="2">
        <f t="shared" si="9"/>
        <v>0</v>
      </c>
      <c r="AA140" s="2">
        <f t="shared" si="10"/>
        <v>0</v>
      </c>
      <c r="AB140" s="2">
        <f t="shared" si="11"/>
        <v>0</v>
      </c>
      <c r="AC140" s="2">
        <f t="shared" si="12"/>
        <v>0</v>
      </c>
      <c r="AD140" s="2">
        <f t="shared" si="13"/>
        <v>0</v>
      </c>
      <c r="AE140" s="2">
        <f t="shared" si="14"/>
        <v>0</v>
      </c>
      <c r="AF140" s="2">
        <f t="shared" si="15"/>
        <v>0</v>
      </c>
      <c r="AG140" s="2">
        <f t="shared" si="16"/>
        <v>0</v>
      </c>
      <c r="AH140" s="2">
        <f t="shared" si="17"/>
        <v>0</v>
      </c>
      <c r="AI140" s="2">
        <f t="shared" si="18"/>
      </c>
    </row>
    <row r="141">
      <c r="A141" s="43">
        <f t="shared" si="0"/>
      </c>
      <c r="B141" s="54" t="n"/>
      <c r="C141" s="45" t="n"/>
      <c r="D141" s="50" t="n"/>
      <c r="E141" s="55" t="n"/>
      <c r="F141" s="50" t="n"/>
      <c r="G141" s="55" t="n"/>
      <c r="H141" s="50" t="n"/>
      <c r="I141" s="55" t="n"/>
      <c r="J141" s="50" t="n"/>
      <c r="K141" s="55" t="n"/>
      <c r="L141" s="56" t="n"/>
      <c r="M141" s="57" t="n"/>
      <c r="N141" s="57" t="n"/>
      <c r="O141" s="57" t="n"/>
      <c r="P141" s="57" t="n"/>
      <c r="Q141" s="50" t="n"/>
      <c r="R141" s="58">
        <f t="shared" si="1"/>
      </c>
      <c r="S141" s="59">
        <f t="shared" si="2"/>
      </c>
      <c r="T141" s="43">
        <f t="shared" si="3"/>
      </c>
      <c r="U141" s="60">
        <f t="shared" si="4"/>
      </c>
      <c r="V141" s="60">
        <f t="shared" si="5"/>
      </c>
      <c r="W141" s="60">
        <f t="shared" si="6"/>
      </c>
      <c r="X141" s="49">
        <f t="shared" si="7"/>
      </c>
      <c r="Y141" s="2">
        <f t="shared" si="8"/>
      </c>
      <c r="Z141" s="2">
        <f t="shared" si="9"/>
        <v>0</v>
      </c>
      <c r="AA141" s="2">
        <f t="shared" si="10"/>
        <v>0</v>
      </c>
      <c r="AB141" s="2">
        <f t="shared" si="11"/>
        <v>0</v>
      </c>
      <c r="AC141" s="2">
        <f t="shared" si="12"/>
        <v>0</v>
      </c>
      <c r="AD141" s="2">
        <f t="shared" si="13"/>
        <v>0</v>
      </c>
      <c r="AE141" s="2">
        <f t="shared" si="14"/>
        <v>0</v>
      </c>
      <c r="AF141" s="2">
        <f t="shared" si="15"/>
        <v>0</v>
      </c>
      <c r="AG141" s="2">
        <f t="shared" si="16"/>
        <v>0</v>
      </c>
      <c r="AH141" s="2">
        <f t="shared" si="17"/>
        <v>0</v>
      </c>
      <c r="AI141" s="2">
        <f t="shared" si="18"/>
      </c>
    </row>
    <row r="142">
      <c r="A142" s="43">
        <f t="shared" si="0"/>
      </c>
      <c r="B142" s="54" t="n"/>
      <c r="C142" s="45" t="n"/>
      <c r="D142" s="50" t="n"/>
      <c r="E142" s="55" t="n"/>
      <c r="F142" s="50" t="n"/>
      <c r="G142" s="55" t="n"/>
      <c r="H142" s="50" t="n"/>
      <c r="I142" s="55" t="n"/>
      <c r="J142" s="50" t="n"/>
      <c r="K142" s="55" t="n"/>
      <c r="L142" s="56" t="n"/>
      <c r="M142" s="57" t="n"/>
      <c r="N142" s="57" t="n"/>
      <c r="O142" s="57" t="n"/>
      <c r="P142" s="57" t="n"/>
      <c r="Q142" s="50" t="n"/>
      <c r="R142" s="58">
        <f t="shared" si="1"/>
      </c>
      <c r="S142" s="59">
        <f t="shared" si="2"/>
      </c>
      <c r="T142" s="43">
        <f t="shared" si="3"/>
      </c>
      <c r="U142" s="60">
        <f t="shared" si="4"/>
      </c>
      <c r="V142" s="60">
        <f t="shared" si="5"/>
      </c>
      <c r="W142" s="60">
        <f t="shared" si="6"/>
      </c>
      <c r="X142" s="49">
        <f t="shared" si="7"/>
      </c>
      <c r="Y142" s="2">
        <f t="shared" si="8"/>
      </c>
      <c r="Z142" s="2">
        <f t="shared" si="9"/>
        <v>0</v>
      </c>
      <c r="AA142" s="2">
        <f t="shared" si="10"/>
        <v>0</v>
      </c>
      <c r="AB142" s="2">
        <f t="shared" si="11"/>
        <v>0</v>
      </c>
      <c r="AC142" s="2">
        <f t="shared" si="12"/>
        <v>0</v>
      </c>
      <c r="AD142" s="2">
        <f t="shared" si="13"/>
        <v>0</v>
      </c>
      <c r="AE142" s="2">
        <f t="shared" si="14"/>
        <v>0</v>
      </c>
      <c r="AF142" s="2">
        <f t="shared" si="15"/>
        <v>0</v>
      </c>
      <c r="AG142" s="2">
        <f t="shared" si="16"/>
        <v>0</v>
      </c>
      <c r="AH142" s="2">
        <f t="shared" si="17"/>
        <v>0</v>
      </c>
      <c r="AI142" s="2">
        <f t="shared" si="18"/>
      </c>
    </row>
    <row r="143">
      <c r="A143" s="43">
        <f t="shared" si="0"/>
      </c>
      <c r="B143" s="54" t="n"/>
      <c r="C143" s="45" t="n"/>
      <c r="D143" s="50" t="n"/>
      <c r="E143" s="55" t="n"/>
      <c r="F143" s="50" t="n"/>
      <c r="G143" s="55" t="n"/>
      <c r="H143" s="50" t="n"/>
      <c r="I143" s="55" t="n"/>
      <c r="J143" s="50" t="n"/>
      <c r="K143" s="55" t="n"/>
      <c r="L143" s="56" t="n"/>
      <c r="M143" s="57" t="n"/>
      <c r="N143" s="57" t="n"/>
      <c r="O143" s="57" t="n"/>
      <c r="P143" s="57" t="n"/>
      <c r="Q143" s="50" t="n"/>
      <c r="R143" s="58">
        <f t="shared" si="1"/>
      </c>
      <c r="S143" s="59">
        <f t="shared" si="2"/>
      </c>
      <c r="T143" s="43">
        <f t="shared" si="3"/>
      </c>
      <c r="U143" s="60">
        <f t="shared" si="4"/>
      </c>
      <c r="V143" s="60">
        <f t="shared" si="5"/>
      </c>
      <c r="W143" s="60">
        <f t="shared" si="6"/>
      </c>
      <c r="X143" s="49">
        <f t="shared" si="7"/>
      </c>
      <c r="Y143" s="2">
        <f t="shared" si="8"/>
      </c>
      <c r="Z143" s="2">
        <f t="shared" si="9"/>
        <v>0</v>
      </c>
      <c r="AA143" s="2">
        <f t="shared" si="10"/>
        <v>0</v>
      </c>
      <c r="AB143" s="2">
        <f t="shared" si="11"/>
        <v>0</v>
      </c>
      <c r="AC143" s="2">
        <f t="shared" si="12"/>
        <v>0</v>
      </c>
      <c r="AD143" s="2">
        <f t="shared" si="13"/>
        <v>0</v>
      </c>
      <c r="AE143" s="2">
        <f t="shared" si="14"/>
        <v>0</v>
      </c>
      <c r="AF143" s="2">
        <f t="shared" si="15"/>
        <v>0</v>
      </c>
      <c r="AG143" s="2">
        <f t="shared" si="16"/>
        <v>0</v>
      </c>
      <c r="AH143" s="2">
        <f t="shared" si="17"/>
        <v>0</v>
      </c>
      <c r="AI143" s="2">
        <f t="shared" si="18"/>
      </c>
    </row>
    <row r="144">
      <c r="A144" s="43">
        <f t="shared" si="0"/>
      </c>
      <c r="B144" s="54" t="n"/>
      <c r="C144" s="45" t="n"/>
      <c r="D144" s="50" t="n"/>
      <c r="E144" s="55" t="n"/>
      <c r="F144" s="50" t="n"/>
      <c r="G144" s="55" t="n"/>
      <c r="H144" s="50" t="n"/>
      <c r="I144" s="55" t="n"/>
      <c r="J144" s="50" t="n"/>
      <c r="K144" s="55" t="n"/>
      <c r="L144" s="56" t="n"/>
      <c r="M144" s="57" t="n"/>
      <c r="N144" s="57" t="n"/>
      <c r="O144" s="57" t="n"/>
      <c r="P144" s="57" t="n"/>
      <c r="Q144" s="50" t="n"/>
      <c r="R144" s="58">
        <f t="shared" si="1"/>
      </c>
      <c r="S144" s="59">
        <f t="shared" si="2"/>
      </c>
      <c r="T144" s="43">
        <f t="shared" si="3"/>
      </c>
      <c r="U144" s="60">
        <f t="shared" si="4"/>
      </c>
      <c r="V144" s="60">
        <f t="shared" si="5"/>
      </c>
      <c r="W144" s="60">
        <f t="shared" si="6"/>
      </c>
      <c r="X144" s="49">
        <f t="shared" si="7"/>
      </c>
      <c r="Y144" s="2">
        <f t="shared" si="8"/>
      </c>
      <c r="Z144" s="2">
        <f t="shared" si="9"/>
        <v>0</v>
      </c>
      <c r="AA144" s="2">
        <f t="shared" si="10"/>
        <v>0</v>
      </c>
      <c r="AB144" s="2">
        <f t="shared" si="11"/>
        <v>0</v>
      </c>
      <c r="AC144" s="2">
        <f t="shared" si="12"/>
        <v>0</v>
      </c>
      <c r="AD144" s="2">
        <f t="shared" si="13"/>
        <v>0</v>
      </c>
      <c r="AE144" s="2">
        <f t="shared" si="14"/>
        <v>0</v>
      </c>
      <c r="AF144" s="2">
        <f t="shared" si="15"/>
        <v>0</v>
      </c>
      <c r="AG144" s="2">
        <f t="shared" si="16"/>
        <v>0</v>
      </c>
      <c r="AH144" s="2">
        <f t="shared" si="17"/>
        <v>0</v>
      </c>
      <c r="AI144" s="2">
        <f t="shared" si="18"/>
      </c>
    </row>
    <row r="145">
      <c r="A145" s="43">
        <f t="shared" si="0"/>
      </c>
      <c r="B145" s="54" t="n"/>
      <c r="C145" s="45" t="n"/>
      <c r="D145" s="50" t="n"/>
      <c r="E145" s="55" t="n"/>
      <c r="F145" s="50" t="n"/>
      <c r="G145" s="55" t="n"/>
      <c r="H145" s="50" t="n"/>
      <c r="I145" s="55" t="n"/>
      <c r="J145" s="50" t="n"/>
      <c r="K145" s="55" t="n"/>
      <c r="L145" s="56" t="n"/>
      <c r="M145" s="57" t="n"/>
      <c r="N145" s="57" t="n"/>
      <c r="O145" s="57" t="n"/>
      <c r="P145" s="57" t="n"/>
      <c r="Q145" s="50" t="n"/>
      <c r="R145" s="58">
        <f t="shared" si="1"/>
      </c>
      <c r="S145" s="59">
        <f t="shared" si="2"/>
      </c>
      <c r="T145" s="43">
        <f t="shared" si="3"/>
      </c>
      <c r="U145" s="60">
        <f t="shared" si="4"/>
      </c>
      <c r="V145" s="60">
        <f t="shared" si="5"/>
      </c>
      <c r="W145" s="60">
        <f t="shared" si="6"/>
      </c>
      <c r="X145" s="49">
        <f t="shared" si="7"/>
      </c>
      <c r="Y145" s="2">
        <f t="shared" si="8"/>
      </c>
      <c r="Z145" s="2">
        <f t="shared" si="9"/>
        <v>0</v>
      </c>
      <c r="AA145" s="2">
        <f t="shared" si="10"/>
        <v>0</v>
      </c>
      <c r="AB145" s="2">
        <f t="shared" si="11"/>
        <v>0</v>
      </c>
      <c r="AC145" s="2">
        <f t="shared" si="12"/>
        <v>0</v>
      </c>
      <c r="AD145" s="2">
        <f t="shared" si="13"/>
        <v>0</v>
      </c>
      <c r="AE145" s="2">
        <f t="shared" si="14"/>
        <v>0</v>
      </c>
      <c r="AF145" s="2">
        <f t="shared" si="15"/>
        <v>0</v>
      </c>
      <c r="AG145" s="2">
        <f t="shared" si="16"/>
        <v>0</v>
      </c>
      <c r="AH145" s="2">
        <f t="shared" si="17"/>
        <v>0</v>
      </c>
      <c r="AI145" s="2">
        <f t="shared" si="18"/>
      </c>
    </row>
    <row r="146">
      <c r="A146" s="43">
        <f t="shared" si="0"/>
      </c>
      <c r="B146" s="54" t="n"/>
      <c r="C146" s="45" t="n"/>
      <c r="D146" s="50" t="n"/>
      <c r="E146" s="55" t="n"/>
      <c r="F146" s="50" t="n"/>
      <c r="G146" s="55" t="n"/>
      <c r="H146" s="50" t="n"/>
      <c r="I146" s="55" t="n"/>
      <c r="J146" s="50" t="n"/>
      <c r="K146" s="55" t="n"/>
      <c r="L146" s="56" t="n"/>
      <c r="M146" s="57" t="n"/>
      <c r="N146" s="57" t="n"/>
      <c r="O146" s="57" t="n"/>
      <c r="P146" s="57" t="n"/>
      <c r="Q146" s="50" t="n"/>
      <c r="R146" s="58">
        <f t="shared" si="1"/>
      </c>
      <c r="S146" s="59">
        <f t="shared" si="2"/>
      </c>
      <c r="T146" s="43">
        <f t="shared" si="3"/>
      </c>
      <c r="U146" s="60">
        <f t="shared" si="4"/>
      </c>
      <c r="V146" s="60">
        <f t="shared" si="5"/>
      </c>
      <c r="W146" s="60">
        <f t="shared" si="6"/>
      </c>
      <c r="X146" s="49">
        <f t="shared" si="7"/>
      </c>
      <c r="Y146" s="2">
        <f t="shared" si="8"/>
      </c>
      <c r="Z146" s="2">
        <f t="shared" si="9"/>
        <v>0</v>
      </c>
      <c r="AA146" s="2">
        <f t="shared" si="10"/>
        <v>0</v>
      </c>
      <c r="AB146" s="2">
        <f t="shared" si="11"/>
        <v>0</v>
      </c>
      <c r="AC146" s="2">
        <f t="shared" si="12"/>
        <v>0</v>
      </c>
      <c r="AD146" s="2">
        <f t="shared" si="13"/>
        <v>0</v>
      </c>
      <c r="AE146" s="2">
        <f t="shared" si="14"/>
        <v>0</v>
      </c>
      <c r="AF146" s="2">
        <f t="shared" si="15"/>
        <v>0</v>
      </c>
      <c r="AG146" s="2">
        <f t="shared" si="16"/>
        <v>0</v>
      </c>
      <c r="AH146" s="2">
        <f t="shared" si="17"/>
        <v>0</v>
      </c>
      <c r="AI146" s="2">
        <f t="shared" si="18"/>
      </c>
    </row>
    <row r="147">
      <c r="A147" s="43">
        <f t="shared" si="0"/>
      </c>
      <c r="B147" s="54" t="n"/>
      <c r="C147" s="45" t="n"/>
      <c r="D147" s="50" t="n"/>
      <c r="E147" s="55" t="n"/>
      <c r="F147" s="50" t="n"/>
      <c r="G147" s="55" t="n"/>
      <c r="H147" s="50" t="n"/>
      <c r="I147" s="55" t="n"/>
      <c r="J147" s="50" t="n"/>
      <c r="K147" s="55" t="n"/>
      <c r="L147" s="56" t="n"/>
      <c r="M147" s="57" t="n"/>
      <c r="N147" s="57" t="n"/>
      <c r="O147" s="57" t="n"/>
      <c r="P147" s="57" t="n"/>
      <c r="Q147" s="50" t="n"/>
      <c r="R147" s="58">
        <f t="shared" si="1"/>
      </c>
      <c r="S147" s="59">
        <f t="shared" si="2"/>
      </c>
      <c r="T147" s="43">
        <f t="shared" si="3"/>
      </c>
      <c r="U147" s="60">
        <f t="shared" si="4"/>
      </c>
      <c r="V147" s="60">
        <f t="shared" si="5"/>
      </c>
      <c r="W147" s="60">
        <f t="shared" si="6"/>
      </c>
      <c r="X147" s="49">
        <f t="shared" si="7"/>
      </c>
      <c r="Y147" s="2">
        <f t="shared" si="8"/>
      </c>
      <c r="Z147" s="2">
        <f t="shared" si="9"/>
        <v>0</v>
      </c>
      <c r="AA147" s="2">
        <f t="shared" si="10"/>
        <v>0</v>
      </c>
      <c r="AB147" s="2">
        <f t="shared" si="11"/>
        <v>0</v>
      </c>
      <c r="AC147" s="2">
        <f t="shared" si="12"/>
        <v>0</v>
      </c>
      <c r="AD147" s="2">
        <f t="shared" si="13"/>
        <v>0</v>
      </c>
      <c r="AE147" s="2">
        <f t="shared" si="14"/>
        <v>0</v>
      </c>
      <c r="AF147" s="2">
        <f t="shared" si="15"/>
        <v>0</v>
      </c>
      <c r="AG147" s="2">
        <f t="shared" si="16"/>
        <v>0</v>
      </c>
      <c r="AH147" s="2">
        <f t="shared" si="17"/>
        <v>0</v>
      </c>
      <c r="AI147" s="2">
        <f t="shared" si="18"/>
      </c>
    </row>
    <row r="148">
      <c r="A148" s="43">
        <f t="shared" si="0"/>
      </c>
      <c r="B148" s="54" t="n"/>
      <c r="C148" s="45" t="n"/>
      <c r="D148" s="50" t="n"/>
      <c r="E148" s="55" t="n"/>
      <c r="F148" s="50" t="n"/>
      <c r="G148" s="55" t="n"/>
      <c r="H148" s="50" t="n"/>
      <c r="I148" s="55" t="n"/>
      <c r="J148" s="50" t="n"/>
      <c r="K148" s="55" t="n"/>
      <c r="L148" s="56" t="n"/>
      <c r="M148" s="57" t="n"/>
      <c r="N148" s="57" t="n"/>
      <c r="O148" s="57" t="n"/>
      <c r="P148" s="57" t="n"/>
      <c r="Q148" s="50" t="n"/>
      <c r="R148" s="58">
        <f t="shared" si="1"/>
      </c>
      <c r="S148" s="59">
        <f t="shared" si="2"/>
      </c>
      <c r="T148" s="43">
        <f t="shared" si="3"/>
      </c>
      <c r="U148" s="60">
        <f t="shared" si="4"/>
      </c>
      <c r="V148" s="60">
        <f t="shared" si="5"/>
      </c>
      <c r="W148" s="60">
        <f t="shared" si="6"/>
      </c>
      <c r="X148" s="49">
        <f t="shared" si="7"/>
      </c>
      <c r="Y148" s="2">
        <f t="shared" si="8"/>
      </c>
      <c r="Z148" s="2">
        <f t="shared" si="9"/>
        <v>0</v>
      </c>
      <c r="AA148" s="2">
        <f t="shared" si="10"/>
        <v>0</v>
      </c>
      <c r="AB148" s="2">
        <f t="shared" si="11"/>
        <v>0</v>
      </c>
      <c r="AC148" s="2">
        <f t="shared" si="12"/>
        <v>0</v>
      </c>
      <c r="AD148" s="2">
        <f t="shared" si="13"/>
        <v>0</v>
      </c>
      <c r="AE148" s="2">
        <f t="shared" si="14"/>
        <v>0</v>
      </c>
      <c r="AF148" s="2">
        <f t="shared" si="15"/>
        <v>0</v>
      </c>
      <c r="AG148" s="2">
        <f t="shared" si="16"/>
        <v>0</v>
      </c>
      <c r="AH148" s="2">
        <f t="shared" si="17"/>
        <v>0</v>
      </c>
      <c r="AI148" s="2">
        <f t="shared" si="18"/>
      </c>
    </row>
    <row r="149">
      <c r="A149" s="43">
        <f t="shared" si="0"/>
      </c>
      <c r="B149" s="54" t="n"/>
      <c r="C149" s="45" t="n"/>
      <c r="D149" s="50" t="n"/>
      <c r="E149" s="55" t="n"/>
      <c r="F149" s="50" t="n"/>
      <c r="G149" s="55" t="n"/>
      <c r="H149" s="50" t="n"/>
      <c r="I149" s="55" t="n"/>
      <c r="J149" s="50" t="n"/>
      <c r="K149" s="55" t="n"/>
      <c r="L149" s="56" t="n"/>
      <c r="M149" s="57" t="n"/>
      <c r="N149" s="57" t="n"/>
      <c r="O149" s="57" t="n"/>
      <c r="P149" s="57" t="n"/>
      <c r="Q149" s="50" t="n"/>
      <c r="R149" s="58">
        <f t="shared" si="1"/>
      </c>
      <c r="S149" s="59">
        <f t="shared" si="2"/>
      </c>
      <c r="T149" s="43">
        <f t="shared" si="3"/>
      </c>
      <c r="U149" s="60">
        <f t="shared" si="4"/>
      </c>
      <c r="V149" s="60">
        <f t="shared" si="5"/>
      </c>
      <c r="W149" s="60">
        <f t="shared" si="6"/>
      </c>
      <c r="X149" s="49">
        <f t="shared" si="7"/>
      </c>
      <c r="Y149" s="2">
        <f t="shared" si="8"/>
      </c>
      <c r="Z149" s="2">
        <f t="shared" si="9"/>
        <v>0</v>
      </c>
      <c r="AA149" s="2">
        <f t="shared" si="10"/>
        <v>0</v>
      </c>
      <c r="AB149" s="2">
        <f t="shared" si="11"/>
        <v>0</v>
      </c>
      <c r="AC149" s="2">
        <f t="shared" si="12"/>
        <v>0</v>
      </c>
      <c r="AD149" s="2">
        <f t="shared" si="13"/>
        <v>0</v>
      </c>
      <c r="AE149" s="2">
        <f t="shared" si="14"/>
        <v>0</v>
      </c>
      <c r="AF149" s="2">
        <f t="shared" si="15"/>
        <v>0</v>
      </c>
      <c r="AG149" s="2">
        <f t="shared" si="16"/>
        <v>0</v>
      </c>
      <c r="AH149" s="2">
        <f t="shared" si="17"/>
        <v>0</v>
      </c>
      <c r="AI149" s="2">
        <f t="shared" si="18"/>
      </c>
    </row>
    <row r="150">
      <c r="A150" s="43">
        <f t="shared" si="0"/>
      </c>
      <c r="B150" s="54" t="n"/>
      <c r="C150" s="45" t="n"/>
      <c r="D150" s="50" t="n"/>
      <c r="E150" s="55" t="n"/>
      <c r="F150" s="50" t="n"/>
      <c r="G150" s="55" t="n"/>
      <c r="H150" s="50" t="n"/>
      <c r="I150" s="55" t="n"/>
      <c r="J150" s="50" t="n"/>
      <c r="K150" s="55" t="n"/>
      <c r="L150" s="56" t="n"/>
      <c r="M150" s="57" t="n"/>
      <c r="N150" s="57" t="n"/>
      <c r="O150" s="57" t="n"/>
      <c r="P150" s="57" t="n"/>
      <c r="Q150" s="50" t="n"/>
      <c r="R150" s="58">
        <f t="shared" si="1"/>
      </c>
      <c r="S150" s="59">
        <f t="shared" si="2"/>
      </c>
      <c r="T150" s="43">
        <f t="shared" si="3"/>
      </c>
      <c r="U150" s="60">
        <f t="shared" si="4"/>
      </c>
      <c r="V150" s="60">
        <f t="shared" si="5"/>
      </c>
      <c r="W150" s="60">
        <f t="shared" si="6"/>
      </c>
      <c r="X150" s="49">
        <f t="shared" si="7"/>
      </c>
      <c r="Y150" s="2">
        <f t="shared" si="8"/>
      </c>
      <c r="Z150" s="2">
        <f t="shared" si="9"/>
        <v>0</v>
      </c>
      <c r="AA150" s="2">
        <f t="shared" si="10"/>
        <v>0</v>
      </c>
      <c r="AB150" s="2">
        <f t="shared" si="11"/>
        <v>0</v>
      </c>
      <c r="AC150" s="2">
        <f t="shared" si="12"/>
        <v>0</v>
      </c>
      <c r="AD150" s="2">
        <f t="shared" si="13"/>
        <v>0</v>
      </c>
      <c r="AE150" s="2">
        <f t="shared" si="14"/>
        <v>0</v>
      </c>
      <c r="AF150" s="2">
        <f t="shared" si="15"/>
        <v>0</v>
      </c>
      <c r="AG150" s="2">
        <f t="shared" si="16"/>
        <v>0</v>
      </c>
      <c r="AH150" s="2">
        <f t="shared" si="17"/>
        <v>0</v>
      </c>
      <c r="AI150" s="2">
        <f t="shared" si="18"/>
      </c>
    </row>
    <row r="151">
      <c r="A151" s="43">
        <f t="shared" si="0"/>
      </c>
      <c r="B151" s="54" t="n"/>
      <c r="C151" s="45" t="n"/>
      <c r="D151" s="50" t="n"/>
      <c r="E151" s="55" t="n"/>
      <c r="F151" s="50" t="n"/>
      <c r="G151" s="55" t="n"/>
      <c r="H151" s="50" t="n"/>
      <c r="I151" s="55" t="n"/>
      <c r="J151" s="50" t="n"/>
      <c r="K151" s="55" t="n"/>
      <c r="L151" s="56" t="n"/>
      <c r="M151" s="57" t="n"/>
      <c r="N151" s="57" t="n"/>
      <c r="O151" s="57" t="n"/>
      <c r="P151" s="57" t="n"/>
      <c r="Q151" s="50" t="n"/>
      <c r="R151" s="58">
        <f t="shared" si="1"/>
      </c>
      <c r="S151" s="59">
        <f t="shared" si="2"/>
      </c>
      <c r="T151" s="43">
        <f t="shared" si="3"/>
      </c>
      <c r="U151" s="60">
        <f t="shared" si="4"/>
      </c>
      <c r="V151" s="60">
        <f t="shared" si="5"/>
      </c>
      <c r="W151" s="60">
        <f t="shared" si="6"/>
      </c>
      <c r="X151" s="49">
        <f t="shared" si="7"/>
      </c>
      <c r="Y151" s="2">
        <f t="shared" si="8"/>
      </c>
      <c r="Z151" s="2">
        <f t="shared" si="9"/>
        <v>0</v>
      </c>
      <c r="AA151" s="2">
        <f t="shared" si="10"/>
        <v>0</v>
      </c>
      <c r="AB151" s="2">
        <f t="shared" si="11"/>
        <v>0</v>
      </c>
      <c r="AC151" s="2">
        <f t="shared" si="12"/>
        <v>0</v>
      </c>
      <c r="AD151" s="2">
        <f t="shared" si="13"/>
        <v>0</v>
      </c>
      <c r="AE151" s="2">
        <f t="shared" si="14"/>
        <v>0</v>
      </c>
      <c r="AF151" s="2">
        <f t="shared" si="15"/>
        <v>0</v>
      </c>
      <c r="AG151" s="2">
        <f t="shared" si="16"/>
        <v>0</v>
      </c>
      <c r="AH151" s="2">
        <f t="shared" si="17"/>
        <v>0</v>
      </c>
      <c r="AI151" s="2">
        <f t="shared" si="18"/>
      </c>
    </row>
    <row r="152">
      <c r="A152" s="43">
        <f t="shared" si="0"/>
      </c>
      <c r="B152" s="54" t="n"/>
      <c r="C152" s="45" t="n"/>
      <c r="D152" s="50" t="n"/>
      <c r="E152" s="55" t="n"/>
      <c r="F152" s="50" t="n"/>
      <c r="G152" s="55" t="n"/>
      <c r="H152" s="50" t="n"/>
      <c r="I152" s="55" t="n"/>
      <c r="J152" s="50" t="n"/>
      <c r="K152" s="55" t="n"/>
      <c r="L152" s="56" t="n"/>
      <c r="M152" s="57" t="n"/>
      <c r="N152" s="57" t="n"/>
      <c r="O152" s="57" t="n"/>
      <c r="P152" s="57" t="n"/>
      <c r="Q152" s="50" t="n"/>
      <c r="R152" s="58">
        <f t="shared" si="1"/>
      </c>
      <c r="S152" s="59">
        <f t="shared" si="2"/>
      </c>
      <c r="T152" s="43">
        <f t="shared" si="3"/>
      </c>
      <c r="U152" s="60">
        <f t="shared" si="4"/>
      </c>
      <c r="V152" s="60">
        <f t="shared" si="5"/>
      </c>
      <c r="W152" s="60">
        <f t="shared" si="6"/>
      </c>
      <c r="X152" s="49">
        <f t="shared" si="7"/>
      </c>
      <c r="Y152" s="2">
        <f t="shared" si="8"/>
      </c>
      <c r="Z152" s="2">
        <f t="shared" si="9"/>
        <v>0</v>
      </c>
      <c r="AA152" s="2">
        <f t="shared" si="10"/>
        <v>0</v>
      </c>
      <c r="AB152" s="2">
        <f t="shared" si="11"/>
        <v>0</v>
      </c>
      <c r="AC152" s="2">
        <f t="shared" si="12"/>
        <v>0</v>
      </c>
      <c r="AD152" s="2">
        <f t="shared" si="13"/>
        <v>0</v>
      </c>
      <c r="AE152" s="2">
        <f t="shared" si="14"/>
        <v>0</v>
      </c>
      <c r="AF152" s="2">
        <f t="shared" si="15"/>
        <v>0</v>
      </c>
      <c r="AG152" s="2">
        <f t="shared" si="16"/>
        <v>0</v>
      </c>
      <c r="AH152" s="2">
        <f t="shared" si="17"/>
        <v>0</v>
      </c>
      <c r="AI152" s="2">
        <f t="shared" si="18"/>
      </c>
    </row>
    <row r="153">
      <c r="A153" s="43">
        <f t="shared" si="0"/>
      </c>
      <c r="B153" s="54" t="n"/>
      <c r="C153" s="45" t="n"/>
      <c r="D153" s="50" t="n"/>
      <c r="E153" s="55" t="n"/>
      <c r="F153" s="50" t="n"/>
      <c r="G153" s="55" t="n"/>
      <c r="H153" s="50" t="n"/>
      <c r="I153" s="55" t="n"/>
      <c r="J153" s="50" t="n"/>
      <c r="K153" s="55" t="n"/>
      <c r="L153" s="56" t="n"/>
      <c r="M153" s="57" t="n"/>
      <c r="N153" s="57" t="n"/>
      <c r="O153" s="57" t="n"/>
      <c r="P153" s="57" t="n"/>
      <c r="Q153" s="50" t="n"/>
      <c r="R153" s="58">
        <f t="shared" si="1"/>
      </c>
      <c r="S153" s="59">
        <f t="shared" si="2"/>
      </c>
      <c r="T153" s="43">
        <f t="shared" si="3"/>
      </c>
      <c r="U153" s="60">
        <f t="shared" si="4"/>
      </c>
      <c r="V153" s="60">
        <f t="shared" si="5"/>
      </c>
      <c r="W153" s="60">
        <f t="shared" si="6"/>
      </c>
      <c r="X153" s="49">
        <f t="shared" si="7"/>
      </c>
      <c r="Y153" s="2">
        <f t="shared" si="8"/>
      </c>
      <c r="Z153" s="2">
        <f t="shared" si="9"/>
        <v>0</v>
      </c>
      <c r="AA153" s="2">
        <f t="shared" si="10"/>
        <v>0</v>
      </c>
      <c r="AB153" s="2">
        <f t="shared" si="11"/>
        <v>0</v>
      </c>
      <c r="AC153" s="2">
        <f t="shared" si="12"/>
        <v>0</v>
      </c>
      <c r="AD153" s="2">
        <f t="shared" si="13"/>
        <v>0</v>
      </c>
      <c r="AE153" s="2">
        <f t="shared" si="14"/>
        <v>0</v>
      </c>
      <c r="AF153" s="2">
        <f t="shared" si="15"/>
        <v>0</v>
      </c>
      <c r="AG153" s="2">
        <f t="shared" si="16"/>
        <v>0</v>
      </c>
      <c r="AH153" s="2">
        <f t="shared" si="17"/>
        <v>0</v>
      </c>
      <c r="AI153" s="2">
        <f t="shared" si="18"/>
      </c>
    </row>
    <row r="154">
      <c r="A154" s="43">
        <f t="shared" si="0"/>
      </c>
      <c r="B154" s="54" t="n"/>
      <c r="C154" s="45" t="n"/>
      <c r="D154" s="50" t="n"/>
      <c r="E154" s="55" t="n"/>
      <c r="F154" s="50" t="n"/>
      <c r="G154" s="55" t="n"/>
      <c r="H154" s="50" t="n"/>
      <c r="I154" s="55" t="n"/>
      <c r="J154" s="50" t="n"/>
      <c r="K154" s="55" t="n"/>
      <c r="L154" s="56" t="n"/>
      <c r="M154" s="57" t="n"/>
      <c r="N154" s="57" t="n"/>
      <c r="O154" s="57" t="n"/>
      <c r="P154" s="57" t="n"/>
      <c r="Q154" s="50" t="n"/>
      <c r="R154" s="58">
        <f t="shared" si="1"/>
      </c>
      <c r="S154" s="59">
        <f t="shared" si="2"/>
      </c>
      <c r="T154" s="43">
        <f t="shared" si="3"/>
      </c>
      <c r="U154" s="60">
        <f t="shared" si="4"/>
      </c>
      <c r="V154" s="60">
        <f t="shared" si="5"/>
      </c>
      <c r="W154" s="60">
        <f t="shared" si="6"/>
      </c>
      <c r="X154" s="49">
        <f t="shared" si="7"/>
      </c>
      <c r="Y154" s="2">
        <f t="shared" si="8"/>
      </c>
      <c r="Z154" s="2">
        <f t="shared" si="9"/>
        <v>0</v>
      </c>
      <c r="AA154" s="2">
        <f t="shared" si="10"/>
        <v>0</v>
      </c>
      <c r="AB154" s="2">
        <f t="shared" si="11"/>
        <v>0</v>
      </c>
      <c r="AC154" s="2">
        <f t="shared" si="12"/>
        <v>0</v>
      </c>
      <c r="AD154" s="2">
        <f t="shared" si="13"/>
        <v>0</v>
      </c>
      <c r="AE154" s="2">
        <f t="shared" si="14"/>
        <v>0</v>
      </c>
      <c r="AF154" s="2">
        <f t="shared" si="15"/>
        <v>0</v>
      </c>
      <c r="AG154" s="2">
        <f t="shared" si="16"/>
        <v>0</v>
      </c>
      <c r="AH154" s="2">
        <f t="shared" si="17"/>
        <v>0</v>
      </c>
      <c r="AI154" s="2">
        <f t="shared" si="18"/>
      </c>
    </row>
    <row r="155">
      <c r="A155" s="43">
        <f t="shared" si="0"/>
      </c>
      <c r="B155" s="54" t="n"/>
      <c r="C155" s="45" t="n"/>
      <c r="D155" s="50" t="n"/>
      <c r="E155" s="55" t="n"/>
      <c r="F155" s="50" t="n"/>
      <c r="G155" s="55" t="n"/>
      <c r="H155" s="50" t="n"/>
      <c r="I155" s="55" t="n"/>
      <c r="J155" s="50" t="n"/>
      <c r="K155" s="55" t="n"/>
      <c r="L155" s="56" t="n"/>
      <c r="M155" s="57" t="n"/>
      <c r="N155" s="57" t="n"/>
      <c r="O155" s="57" t="n"/>
      <c r="P155" s="57" t="n"/>
      <c r="Q155" s="50" t="n"/>
      <c r="R155" s="58">
        <f t="shared" si="1"/>
      </c>
      <c r="S155" s="59">
        <f t="shared" si="2"/>
      </c>
      <c r="T155" s="43">
        <f t="shared" si="3"/>
      </c>
      <c r="U155" s="60">
        <f t="shared" si="4"/>
      </c>
      <c r="V155" s="60">
        <f t="shared" si="5"/>
      </c>
      <c r="W155" s="60">
        <f t="shared" si="6"/>
      </c>
      <c r="X155" s="49">
        <f t="shared" si="7"/>
      </c>
      <c r="Y155" s="2">
        <f t="shared" si="8"/>
      </c>
      <c r="Z155" s="2">
        <f t="shared" si="9"/>
        <v>0</v>
      </c>
      <c r="AA155" s="2">
        <f t="shared" si="10"/>
        <v>0</v>
      </c>
      <c r="AB155" s="2">
        <f t="shared" si="11"/>
        <v>0</v>
      </c>
      <c r="AC155" s="2">
        <f t="shared" si="12"/>
        <v>0</v>
      </c>
      <c r="AD155" s="2">
        <f t="shared" si="13"/>
        <v>0</v>
      </c>
      <c r="AE155" s="2">
        <f t="shared" si="14"/>
        <v>0</v>
      </c>
      <c r="AF155" s="2">
        <f t="shared" si="15"/>
        <v>0</v>
      </c>
      <c r="AG155" s="2">
        <f t="shared" si="16"/>
        <v>0</v>
      </c>
      <c r="AH155" s="2">
        <f t="shared" si="17"/>
        <v>0</v>
      </c>
      <c r="AI155" s="2">
        <f t="shared" si="18"/>
      </c>
    </row>
    <row r="156">
      <c r="A156" s="43">
        <f t="shared" si="0"/>
      </c>
      <c r="B156" s="54" t="n"/>
      <c r="C156" s="45" t="n"/>
      <c r="D156" s="50" t="n"/>
      <c r="E156" s="55" t="n"/>
      <c r="F156" s="50" t="n"/>
      <c r="G156" s="55" t="n"/>
      <c r="H156" s="50" t="n"/>
      <c r="I156" s="55" t="n"/>
      <c r="J156" s="50" t="n"/>
      <c r="K156" s="55" t="n"/>
      <c r="L156" s="56" t="n"/>
      <c r="M156" s="57" t="n"/>
      <c r="N156" s="57" t="n"/>
      <c r="O156" s="57" t="n"/>
      <c r="P156" s="57" t="n"/>
      <c r="Q156" s="50" t="n"/>
      <c r="R156" s="58">
        <f t="shared" si="1"/>
      </c>
      <c r="S156" s="59">
        <f t="shared" si="2"/>
      </c>
      <c r="T156" s="43">
        <f t="shared" si="3"/>
      </c>
      <c r="U156" s="60">
        <f t="shared" si="4"/>
      </c>
      <c r="V156" s="60">
        <f t="shared" si="5"/>
      </c>
      <c r="W156" s="60">
        <f t="shared" si="6"/>
      </c>
      <c r="X156" s="49">
        <f t="shared" si="7"/>
      </c>
      <c r="Y156" s="2">
        <f t="shared" si="8"/>
      </c>
      <c r="Z156" s="2">
        <f t="shared" si="9"/>
        <v>0</v>
      </c>
      <c r="AA156" s="2">
        <f t="shared" si="10"/>
        <v>0</v>
      </c>
      <c r="AB156" s="2">
        <f t="shared" si="11"/>
        <v>0</v>
      </c>
      <c r="AC156" s="2">
        <f t="shared" si="12"/>
        <v>0</v>
      </c>
      <c r="AD156" s="2">
        <f t="shared" si="13"/>
        <v>0</v>
      </c>
      <c r="AE156" s="2">
        <f t="shared" si="14"/>
        <v>0</v>
      </c>
      <c r="AF156" s="2">
        <f t="shared" si="15"/>
        <v>0</v>
      </c>
      <c r="AG156" s="2">
        <f t="shared" si="16"/>
        <v>0</v>
      </c>
      <c r="AH156" s="2">
        <f t="shared" si="17"/>
        <v>0</v>
      </c>
      <c r="AI156" s="2">
        <f t="shared" si="18"/>
      </c>
    </row>
    <row r="157">
      <c r="A157" s="43">
        <f t="shared" si="0"/>
      </c>
      <c r="B157" s="54" t="n"/>
      <c r="C157" s="45" t="n"/>
      <c r="D157" s="50" t="n"/>
      <c r="E157" s="55" t="n"/>
      <c r="F157" s="50" t="n"/>
      <c r="G157" s="55" t="n"/>
      <c r="H157" s="50" t="n"/>
      <c r="I157" s="55" t="n"/>
      <c r="J157" s="50" t="n"/>
      <c r="K157" s="55" t="n"/>
      <c r="L157" s="56" t="n"/>
      <c r="M157" s="57" t="n"/>
      <c r="N157" s="57" t="n"/>
      <c r="O157" s="57" t="n"/>
      <c r="P157" s="57" t="n"/>
      <c r="Q157" s="50" t="n"/>
      <c r="R157" s="58">
        <f t="shared" si="1"/>
      </c>
      <c r="S157" s="59">
        <f t="shared" si="2"/>
      </c>
      <c r="T157" s="43">
        <f t="shared" si="3"/>
      </c>
      <c r="U157" s="60">
        <f t="shared" si="4"/>
      </c>
      <c r="V157" s="60">
        <f t="shared" si="5"/>
      </c>
      <c r="W157" s="60">
        <f t="shared" si="6"/>
      </c>
      <c r="X157" s="49">
        <f t="shared" si="7"/>
      </c>
      <c r="Y157" s="2">
        <f t="shared" si="8"/>
      </c>
      <c r="Z157" s="2">
        <f t="shared" si="9"/>
        <v>0</v>
      </c>
      <c r="AA157" s="2">
        <f t="shared" si="10"/>
        <v>0</v>
      </c>
      <c r="AB157" s="2">
        <f t="shared" si="11"/>
        <v>0</v>
      </c>
      <c r="AC157" s="2">
        <f t="shared" si="12"/>
        <v>0</v>
      </c>
      <c r="AD157" s="2">
        <f t="shared" si="13"/>
        <v>0</v>
      </c>
      <c r="AE157" s="2">
        <f t="shared" si="14"/>
        <v>0</v>
      </c>
      <c r="AF157" s="2">
        <f t="shared" si="15"/>
        <v>0</v>
      </c>
      <c r="AG157" s="2">
        <f t="shared" si="16"/>
        <v>0</v>
      </c>
      <c r="AH157" s="2">
        <f t="shared" si="17"/>
        <v>0</v>
      </c>
      <c r="AI157" s="2">
        <f t="shared" si="18"/>
      </c>
    </row>
    <row r="158">
      <c r="A158" s="43">
        <f t="shared" si="0"/>
      </c>
      <c r="B158" s="54" t="n"/>
      <c r="C158" s="45" t="n"/>
      <c r="D158" s="50" t="n"/>
      <c r="E158" s="55" t="n"/>
      <c r="F158" s="50" t="n"/>
      <c r="G158" s="55" t="n"/>
      <c r="H158" s="50" t="n"/>
      <c r="I158" s="55" t="n"/>
      <c r="J158" s="50" t="n"/>
      <c r="K158" s="55" t="n"/>
      <c r="L158" s="56" t="n"/>
      <c r="M158" s="57" t="n"/>
      <c r="N158" s="57" t="n"/>
      <c r="O158" s="57" t="n"/>
      <c r="P158" s="57" t="n"/>
      <c r="Q158" s="50" t="n"/>
      <c r="R158" s="58">
        <f t="shared" si="1"/>
      </c>
      <c r="S158" s="59">
        <f t="shared" si="2"/>
      </c>
      <c r="T158" s="43">
        <f t="shared" si="3"/>
      </c>
      <c r="U158" s="60">
        <f t="shared" si="4"/>
      </c>
      <c r="V158" s="60">
        <f t="shared" si="5"/>
      </c>
      <c r="W158" s="60">
        <f t="shared" si="6"/>
      </c>
      <c r="X158" s="49">
        <f t="shared" si="7"/>
      </c>
      <c r="Y158" s="2">
        <f t="shared" si="8"/>
      </c>
      <c r="Z158" s="2">
        <f t="shared" si="9"/>
        <v>0</v>
      </c>
      <c r="AA158" s="2">
        <f t="shared" si="10"/>
        <v>0</v>
      </c>
      <c r="AB158" s="2">
        <f t="shared" si="11"/>
        <v>0</v>
      </c>
      <c r="AC158" s="2">
        <f t="shared" si="12"/>
        <v>0</v>
      </c>
      <c r="AD158" s="2">
        <f t="shared" si="13"/>
        <v>0</v>
      </c>
      <c r="AE158" s="2">
        <f t="shared" si="14"/>
        <v>0</v>
      </c>
      <c r="AF158" s="2">
        <f t="shared" si="15"/>
        <v>0</v>
      </c>
      <c r="AG158" s="2">
        <f t="shared" si="16"/>
        <v>0</v>
      </c>
      <c r="AH158" s="2">
        <f t="shared" si="17"/>
        <v>0</v>
      </c>
      <c r="AI158" s="2">
        <f t="shared" si="18"/>
      </c>
    </row>
    <row r="159">
      <c r="A159" s="43">
        <f t="shared" si="0"/>
      </c>
      <c r="B159" s="54" t="n"/>
      <c r="C159" s="45" t="n"/>
      <c r="D159" s="50" t="n"/>
      <c r="E159" s="55" t="n"/>
      <c r="F159" s="50" t="n"/>
      <c r="G159" s="55" t="n"/>
      <c r="H159" s="50" t="n"/>
      <c r="I159" s="55" t="n"/>
      <c r="J159" s="50" t="n"/>
      <c r="K159" s="55" t="n"/>
      <c r="L159" s="56" t="n"/>
      <c r="M159" s="57" t="n"/>
      <c r="N159" s="57" t="n"/>
      <c r="O159" s="57" t="n"/>
      <c r="P159" s="57" t="n"/>
      <c r="Q159" s="50" t="n"/>
      <c r="R159" s="58">
        <f t="shared" si="1"/>
      </c>
      <c r="S159" s="59">
        <f t="shared" si="2"/>
      </c>
      <c r="T159" s="43">
        <f t="shared" si="3"/>
      </c>
      <c r="U159" s="60">
        <f t="shared" si="4"/>
      </c>
      <c r="V159" s="60">
        <f t="shared" si="5"/>
      </c>
      <c r="W159" s="60">
        <f t="shared" si="6"/>
      </c>
      <c r="X159" s="49">
        <f t="shared" si="7"/>
      </c>
      <c r="Y159" s="2">
        <f t="shared" si="8"/>
      </c>
      <c r="Z159" s="2">
        <f t="shared" si="9"/>
        <v>0</v>
      </c>
      <c r="AA159" s="2">
        <f t="shared" si="10"/>
        <v>0</v>
      </c>
      <c r="AB159" s="2">
        <f t="shared" si="11"/>
        <v>0</v>
      </c>
      <c r="AC159" s="2">
        <f t="shared" si="12"/>
        <v>0</v>
      </c>
      <c r="AD159" s="2">
        <f t="shared" si="13"/>
        <v>0</v>
      </c>
      <c r="AE159" s="2">
        <f t="shared" si="14"/>
        <v>0</v>
      </c>
      <c r="AF159" s="2">
        <f t="shared" si="15"/>
        <v>0</v>
      </c>
      <c r="AG159" s="2">
        <f t="shared" si="16"/>
        <v>0</v>
      </c>
      <c r="AH159" s="2">
        <f t="shared" si="17"/>
        <v>0</v>
      </c>
      <c r="AI159" s="2">
        <f t="shared" si="18"/>
      </c>
    </row>
    <row r="160">
      <c r="A160" s="43">
        <f t="shared" si="0"/>
      </c>
      <c r="B160" s="54" t="n"/>
      <c r="C160" s="45" t="n"/>
      <c r="D160" s="50" t="n"/>
      <c r="E160" s="55" t="n"/>
      <c r="F160" s="50" t="n"/>
      <c r="G160" s="55" t="n"/>
      <c r="H160" s="50" t="n"/>
      <c r="I160" s="55" t="n"/>
      <c r="J160" s="50" t="n"/>
      <c r="K160" s="55" t="n"/>
      <c r="L160" s="56" t="n"/>
      <c r="M160" s="57" t="n"/>
      <c r="N160" s="57" t="n"/>
      <c r="O160" s="57" t="n"/>
      <c r="P160" s="57" t="n"/>
      <c r="Q160" s="50" t="n"/>
      <c r="R160" s="58">
        <f t="shared" si="1"/>
      </c>
      <c r="S160" s="59">
        <f t="shared" si="2"/>
      </c>
      <c r="T160" s="43">
        <f t="shared" si="3"/>
      </c>
      <c r="U160" s="60">
        <f t="shared" si="4"/>
      </c>
      <c r="V160" s="60">
        <f t="shared" si="5"/>
      </c>
      <c r="W160" s="60">
        <f t="shared" si="6"/>
      </c>
      <c r="X160" s="49">
        <f t="shared" si="7"/>
      </c>
      <c r="Y160" s="2">
        <f t="shared" si="8"/>
      </c>
      <c r="Z160" s="2">
        <f t="shared" si="9"/>
        <v>0</v>
      </c>
      <c r="AA160" s="2">
        <f t="shared" si="10"/>
        <v>0</v>
      </c>
      <c r="AB160" s="2">
        <f t="shared" si="11"/>
        <v>0</v>
      </c>
      <c r="AC160" s="2">
        <f t="shared" si="12"/>
        <v>0</v>
      </c>
      <c r="AD160" s="2">
        <f t="shared" si="13"/>
        <v>0</v>
      </c>
      <c r="AE160" s="2">
        <f t="shared" si="14"/>
        <v>0</v>
      </c>
      <c r="AF160" s="2">
        <f t="shared" si="15"/>
        <v>0</v>
      </c>
      <c r="AG160" s="2">
        <f t="shared" si="16"/>
        <v>0</v>
      </c>
      <c r="AH160" s="2">
        <f t="shared" si="17"/>
        <v>0</v>
      </c>
      <c r="AI160" s="2">
        <f t="shared" si="18"/>
      </c>
    </row>
    <row r="161">
      <c r="A161" s="43">
        <f t="shared" si="0"/>
      </c>
      <c r="B161" s="54" t="n"/>
      <c r="C161" s="45" t="n"/>
      <c r="D161" s="50" t="n"/>
      <c r="E161" s="55" t="n"/>
      <c r="F161" s="50" t="n"/>
      <c r="G161" s="55" t="n"/>
      <c r="H161" s="50" t="n"/>
      <c r="I161" s="55" t="n"/>
      <c r="J161" s="50" t="n"/>
      <c r="K161" s="55" t="n"/>
      <c r="L161" s="56" t="n"/>
      <c r="M161" s="57" t="n"/>
      <c r="N161" s="57" t="n"/>
      <c r="O161" s="57" t="n"/>
      <c r="P161" s="57" t="n"/>
      <c r="Q161" s="50" t="n"/>
      <c r="R161" s="58">
        <f t="shared" si="1"/>
      </c>
      <c r="S161" s="59">
        <f t="shared" si="2"/>
      </c>
      <c r="T161" s="43">
        <f t="shared" si="3"/>
      </c>
      <c r="U161" s="60">
        <f t="shared" si="4"/>
      </c>
      <c r="V161" s="60">
        <f t="shared" si="5"/>
      </c>
      <c r="W161" s="60">
        <f t="shared" si="6"/>
      </c>
      <c r="X161" s="49">
        <f t="shared" si="7"/>
      </c>
      <c r="Y161" s="2">
        <f t="shared" si="8"/>
      </c>
      <c r="Z161" s="2">
        <f t="shared" si="9"/>
        <v>0</v>
      </c>
      <c r="AA161" s="2">
        <f t="shared" si="10"/>
        <v>0</v>
      </c>
      <c r="AB161" s="2">
        <f t="shared" si="11"/>
        <v>0</v>
      </c>
      <c r="AC161" s="2">
        <f t="shared" si="12"/>
        <v>0</v>
      </c>
      <c r="AD161" s="2">
        <f t="shared" si="13"/>
        <v>0</v>
      </c>
      <c r="AE161" s="2">
        <f t="shared" si="14"/>
        <v>0</v>
      </c>
      <c r="AF161" s="2">
        <f t="shared" si="15"/>
        <v>0</v>
      </c>
      <c r="AG161" s="2">
        <f t="shared" si="16"/>
        <v>0</v>
      </c>
      <c r="AH161" s="2">
        <f t="shared" si="17"/>
        <v>0</v>
      </c>
      <c r="AI161" s="2">
        <f t="shared" si="18"/>
      </c>
    </row>
    <row r="162">
      <c r="A162" s="43">
        <f t="shared" si="0"/>
      </c>
      <c r="B162" s="54" t="n"/>
      <c r="C162" s="45" t="n"/>
      <c r="D162" s="50" t="n"/>
      <c r="E162" s="55" t="n"/>
      <c r="F162" s="50" t="n"/>
      <c r="G162" s="55" t="n"/>
      <c r="H162" s="50" t="n"/>
      <c r="I162" s="55" t="n"/>
      <c r="J162" s="50" t="n"/>
      <c r="K162" s="55" t="n"/>
      <c r="L162" s="56" t="n"/>
      <c r="M162" s="57" t="n"/>
      <c r="N162" s="57" t="n"/>
      <c r="O162" s="57" t="n"/>
      <c r="P162" s="57" t="n"/>
      <c r="Q162" s="50" t="n"/>
      <c r="R162" s="58">
        <f t="shared" si="1"/>
      </c>
      <c r="S162" s="59">
        <f t="shared" si="2"/>
      </c>
      <c r="T162" s="43">
        <f t="shared" si="3"/>
      </c>
      <c r="U162" s="60">
        <f t="shared" si="4"/>
      </c>
      <c r="V162" s="60">
        <f t="shared" si="5"/>
      </c>
      <c r="W162" s="60">
        <f t="shared" si="6"/>
      </c>
      <c r="X162" s="49">
        <f t="shared" si="7"/>
      </c>
      <c r="Y162" s="2">
        <f t="shared" si="8"/>
      </c>
      <c r="Z162" s="2">
        <f t="shared" si="9"/>
        <v>0</v>
      </c>
      <c r="AA162" s="2">
        <f t="shared" si="10"/>
        <v>0</v>
      </c>
      <c r="AB162" s="2">
        <f t="shared" si="11"/>
        <v>0</v>
      </c>
      <c r="AC162" s="2">
        <f t="shared" si="12"/>
        <v>0</v>
      </c>
      <c r="AD162" s="2">
        <f t="shared" si="13"/>
        <v>0</v>
      </c>
      <c r="AE162" s="2">
        <f t="shared" si="14"/>
        <v>0</v>
      </c>
      <c r="AF162" s="2">
        <f t="shared" si="15"/>
        <v>0</v>
      </c>
      <c r="AG162" s="2">
        <f t="shared" si="16"/>
        <v>0</v>
      </c>
      <c r="AH162" s="2">
        <f t="shared" si="17"/>
        <v>0</v>
      </c>
      <c r="AI162" s="2">
        <f t="shared" si="18"/>
      </c>
    </row>
    <row r="163">
      <c r="A163" s="43">
        <f t="shared" si="0"/>
      </c>
      <c r="B163" s="54" t="n"/>
      <c r="C163" s="45" t="n"/>
      <c r="D163" s="50" t="n"/>
      <c r="E163" s="55" t="n"/>
      <c r="F163" s="50" t="n"/>
      <c r="G163" s="55" t="n"/>
      <c r="H163" s="50" t="n"/>
      <c r="I163" s="55" t="n"/>
      <c r="J163" s="50" t="n"/>
      <c r="K163" s="55" t="n"/>
      <c r="L163" s="56" t="n"/>
      <c r="M163" s="57" t="n"/>
      <c r="N163" s="57" t="n"/>
      <c r="O163" s="57" t="n"/>
      <c r="P163" s="57" t="n"/>
      <c r="Q163" s="50" t="n"/>
      <c r="R163" s="58">
        <f t="shared" si="1"/>
      </c>
      <c r="S163" s="59">
        <f t="shared" si="2"/>
      </c>
      <c r="T163" s="43">
        <f t="shared" si="3"/>
      </c>
      <c r="U163" s="60">
        <f t="shared" si="4"/>
      </c>
      <c r="V163" s="60">
        <f t="shared" si="5"/>
      </c>
      <c r="W163" s="60">
        <f t="shared" si="6"/>
      </c>
      <c r="X163" s="49">
        <f t="shared" si="7"/>
      </c>
      <c r="Y163" s="2">
        <f t="shared" si="8"/>
      </c>
      <c r="Z163" s="2">
        <f t="shared" si="9"/>
        <v>0</v>
      </c>
      <c r="AA163" s="2">
        <f t="shared" si="10"/>
        <v>0</v>
      </c>
      <c r="AB163" s="2">
        <f t="shared" si="11"/>
        <v>0</v>
      </c>
      <c r="AC163" s="2">
        <f t="shared" si="12"/>
        <v>0</v>
      </c>
      <c r="AD163" s="2">
        <f t="shared" si="13"/>
        <v>0</v>
      </c>
      <c r="AE163" s="2">
        <f t="shared" si="14"/>
        <v>0</v>
      </c>
      <c r="AF163" s="2">
        <f t="shared" si="15"/>
        <v>0</v>
      </c>
      <c r="AG163" s="2">
        <f t="shared" si="16"/>
        <v>0</v>
      </c>
      <c r="AH163" s="2">
        <f t="shared" si="17"/>
        <v>0</v>
      </c>
      <c r="AI163" s="2">
        <f t="shared" si="18"/>
      </c>
    </row>
    <row r="164">
      <c r="A164" s="43">
        <f t="shared" si="0"/>
      </c>
      <c r="B164" s="54" t="n"/>
      <c r="C164" s="45" t="n"/>
      <c r="D164" s="50" t="n"/>
      <c r="E164" s="55" t="n"/>
      <c r="F164" s="50" t="n"/>
      <c r="G164" s="55" t="n"/>
      <c r="H164" s="50" t="n"/>
      <c r="I164" s="55" t="n"/>
      <c r="J164" s="50" t="n"/>
      <c r="K164" s="55" t="n"/>
      <c r="L164" s="56" t="n"/>
      <c r="M164" s="57" t="n"/>
      <c r="N164" s="57" t="n"/>
      <c r="O164" s="57" t="n"/>
      <c r="P164" s="57" t="n"/>
      <c r="Q164" s="50" t="n"/>
      <c r="R164" s="58">
        <f t="shared" si="1"/>
      </c>
      <c r="S164" s="59">
        <f t="shared" si="2"/>
      </c>
      <c r="T164" s="43">
        <f t="shared" si="3"/>
      </c>
      <c r="U164" s="60">
        <f t="shared" si="4"/>
      </c>
      <c r="V164" s="60">
        <f t="shared" si="5"/>
      </c>
      <c r="W164" s="60">
        <f t="shared" si="6"/>
      </c>
      <c r="X164" s="49">
        <f t="shared" si="7"/>
      </c>
      <c r="Y164" s="2">
        <f t="shared" si="8"/>
      </c>
      <c r="Z164" s="2">
        <f t="shared" si="9"/>
        <v>0</v>
      </c>
      <c r="AA164" s="2">
        <f t="shared" si="10"/>
        <v>0</v>
      </c>
      <c r="AB164" s="2">
        <f t="shared" si="11"/>
        <v>0</v>
      </c>
      <c r="AC164" s="2">
        <f t="shared" si="12"/>
        <v>0</v>
      </c>
      <c r="AD164" s="2">
        <f t="shared" si="13"/>
        <v>0</v>
      </c>
      <c r="AE164" s="2">
        <f t="shared" si="14"/>
        <v>0</v>
      </c>
      <c r="AF164" s="2">
        <f t="shared" si="15"/>
        <v>0</v>
      </c>
      <c r="AG164" s="2">
        <f t="shared" si="16"/>
        <v>0</v>
      </c>
      <c r="AH164" s="2">
        <f t="shared" si="17"/>
        <v>0</v>
      </c>
      <c r="AI164" s="2">
        <f t="shared" si="18"/>
      </c>
    </row>
    <row r="165">
      <c r="A165" s="43">
        <f t="shared" si="0"/>
      </c>
      <c r="B165" s="54" t="n"/>
      <c r="C165" s="45" t="n"/>
      <c r="D165" s="50" t="n"/>
      <c r="E165" s="55" t="n"/>
      <c r="F165" s="50" t="n"/>
      <c r="G165" s="55" t="n"/>
      <c r="H165" s="50" t="n"/>
      <c r="I165" s="55" t="n"/>
      <c r="J165" s="50" t="n"/>
      <c r="K165" s="55" t="n"/>
      <c r="L165" s="56" t="n"/>
      <c r="M165" s="57" t="n"/>
      <c r="N165" s="57" t="n"/>
      <c r="O165" s="57" t="n"/>
      <c r="P165" s="57" t="n"/>
      <c r="Q165" s="50" t="n"/>
      <c r="R165" s="58">
        <f t="shared" si="1"/>
      </c>
      <c r="S165" s="59">
        <f t="shared" si="2"/>
      </c>
      <c r="T165" s="43">
        <f t="shared" si="3"/>
      </c>
      <c r="U165" s="60">
        <f t="shared" si="4"/>
      </c>
      <c r="V165" s="60">
        <f t="shared" si="5"/>
      </c>
      <c r="W165" s="60">
        <f t="shared" si="6"/>
      </c>
      <c r="X165" s="49">
        <f t="shared" si="7"/>
      </c>
      <c r="Y165" s="2">
        <f t="shared" si="8"/>
      </c>
      <c r="Z165" s="2">
        <f t="shared" si="9"/>
        <v>0</v>
      </c>
      <c r="AA165" s="2">
        <f t="shared" si="10"/>
        <v>0</v>
      </c>
      <c r="AB165" s="2">
        <f t="shared" si="11"/>
        <v>0</v>
      </c>
      <c r="AC165" s="2">
        <f t="shared" si="12"/>
        <v>0</v>
      </c>
      <c r="AD165" s="2">
        <f t="shared" si="13"/>
        <v>0</v>
      </c>
      <c r="AE165" s="2">
        <f t="shared" si="14"/>
        <v>0</v>
      </c>
      <c r="AF165" s="2">
        <f t="shared" si="15"/>
        <v>0</v>
      </c>
      <c r="AG165" s="2">
        <f t="shared" si="16"/>
        <v>0</v>
      </c>
      <c r="AH165" s="2">
        <f t="shared" si="17"/>
        <v>0</v>
      </c>
      <c r="AI165" s="2">
        <f t="shared" si="18"/>
      </c>
    </row>
    <row r="166">
      <c r="A166" s="43">
        <f t="shared" si="0"/>
      </c>
      <c r="B166" s="54" t="n"/>
      <c r="C166" s="45" t="n"/>
      <c r="D166" s="50" t="n"/>
      <c r="E166" s="55" t="n"/>
      <c r="F166" s="50" t="n"/>
      <c r="G166" s="55" t="n"/>
      <c r="H166" s="50" t="n"/>
      <c r="I166" s="55" t="n"/>
      <c r="J166" s="50" t="n"/>
      <c r="K166" s="55" t="n"/>
      <c r="L166" s="56" t="n"/>
      <c r="M166" s="57" t="n"/>
      <c r="N166" s="57" t="n"/>
      <c r="O166" s="57" t="n"/>
      <c r="P166" s="57" t="n"/>
      <c r="Q166" s="50" t="n"/>
      <c r="R166" s="58">
        <f t="shared" si="1"/>
      </c>
      <c r="S166" s="59">
        <f t="shared" si="2"/>
      </c>
      <c r="T166" s="43">
        <f t="shared" si="3"/>
      </c>
      <c r="U166" s="60">
        <f t="shared" si="4"/>
      </c>
      <c r="V166" s="60">
        <f t="shared" si="5"/>
      </c>
      <c r="W166" s="60">
        <f t="shared" si="6"/>
      </c>
      <c r="X166" s="49">
        <f t="shared" si="7"/>
      </c>
      <c r="Y166" s="2">
        <f t="shared" si="8"/>
      </c>
      <c r="Z166" s="2">
        <f t="shared" si="9"/>
        <v>0</v>
      </c>
      <c r="AA166" s="2">
        <f t="shared" si="10"/>
        <v>0</v>
      </c>
      <c r="AB166" s="2">
        <f t="shared" si="11"/>
        <v>0</v>
      </c>
      <c r="AC166" s="2">
        <f t="shared" si="12"/>
        <v>0</v>
      </c>
      <c r="AD166" s="2">
        <f t="shared" si="13"/>
        <v>0</v>
      </c>
      <c r="AE166" s="2">
        <f t="shared" si="14"/>
        <v>0</v>
      </c>
      <c r="AF166" s="2">
        <f t="shared" si="15"/>
        <v>0</v>
      </c>
      <c r="AG166" s="2">
        <f t="shared" si="16"/>
        <v>0</v>
      </c>
      <c r="AH166" s="2">
        <f t="shared" si="17"/>
        <v>0</v>
      </c>
      <c r="AI166" s="2">
        <f t="shared" si="18"/>
      </c>
    </row>
    <row r="167">
      <c r="A167" s="43">
        <f t="shared" si="0"/>
      </c>
      <c r="B167" s="54" t="n"/>
      <c r="C167" s="45" t="n"/>
      <c r="D167" s="50" t="n"/>
      <c r="E167" s="55" t="n"/>
      <c r="F167" s="50" t="n"/>
      <c r="G167" s="55" t="n"/>
      <c r="H167" s="50" t="n"/>
      <c r="I167" s="55" t="n"/>
      <c r="J167" s="50" t="n"/>
      <c r="K167" s="55" t="n"/>
      <c r="L167" s="56" t="n"/>
      <c r="M167" s="57" t="n"/>
      <c r="N167" s="57" t="n"/>
      <c r="O167" s="57" t="n"/>
      <c r="P167" s="57" t="n"/>
      <c r="Q167" s="50" t="n"/>
      <c r="R167" s="58">
        <f t="shared" si="1"/>
      </c>
      <c r="S167" s="59">
        <f t="shared" si="2"/>
      </c>
      <c r="T167" s="43">
        <f t="shared" si="3"/>
      </c>
      <c r="U167" s="60">
        <f t="shared" si="4"/>
      </c>
      <c r="V167" s="60">
        <f t="shared" si="5"/>
      </c>
      <c r="W167" s="60">
        <f t="shared" si="6"/>
      </c>
      <c r="X167" s="49">
        <f t="shared" si="7"/>
      </c>
      <c r="Y167" s="2">
        <f t="shared" si="8"/>
      </c>
      <c r="Z167" s="2">
        <f t="shared" si="9"/>
        <v>0</v>
      </c>
      <c r="AA167" s="2">
        <f t="shared" si="10"/>
        <v>0</v>
      </c>
      <c r="AB167" s="2">
        <f t="shared" si="11"/>
        <v>0</v>
      </c>
      <c r="AC167" s="2">
        <f t="shared" si="12"/>
        <v>0</v>
      </c>
      <c r="AD167" s="2">
        <f t="shared" si="13"/>
        <v>0</v>
      </c>
      <c r="AE167" s="2">
        <f t="shared" si="14"/>
        <v>0</v>
      </c>
      <c r="AF167" s="2">
        <f t="shared" si="15"/>
        <v>0</v>
      </c>
      <c r="AG167" s="2">
        <f t="shared" si="16"/>
        <v>0</v>
      </c>
      <c r="AH167" s="2">
        <f t="shared" si="17"/>
        <v>0</v>
      </c>
      <c r="AI167" s="2">
        <f t="shared" si="18"/>
      </c>
    </row>
    <row r="168">
      <c r="A168" s="43">
        <f t="shared" si="0"/>
      </c>
      <c r="B168" s="54" t="n"/>
      <c r="C168" s="45" t="n"/>
      <c r="D168" s="50" t="n"/>
      <c r="E168" s="55" t="n"/>
      <c r="F168" s="50" t="n"/>
      <c r="G168" s="55" t="n"/>
      <c r="H168" s="50" t="n"/>
      <c r="I168" s="55" t="n"/>
      <c r="J168" s="50" t="n"/>
      <c r="K168" s="55" t="n"/>
      <c r="L168" s="56" t="n"/>
      <c r="M168" s="57" t="n"/>
      <c r="N168" s="57" t="n"/>
      <c r="O168" s="57" t="n"/>
      <c r="P168" s="57" t="n"/>
      <c r="Q168" s="50" t="n"/>
      <c r="R168" s="58">
        <f t="shared" si="1"/>
      </c>
      <c r="S168" s="59">
        <f t="shared" si="2"/>
      </c>
      <c r="T168" s="43">
        <f t="shared" si="3"/>
      </c>
      <c r="U168" s="60">
        <f t="shared" si="4"/>
      </c>
      <c r="V168" s="60">
        <f t="shared" si="5"/>
      </c>
      <c r="W168" s="60">
        <f t="shared" si="6"/>
      </c>
      <c r="X168" s="49">
        <f t="shared" si="7"/>
      </c>
      <c r="Y168" s="2">
        <f t="shared" si="8"/>
      </c>
      <c r="Z168" s="2">
        <f t="shared" si="9"/>
        <v>0</v>
      </c>
      <c r="AA168" s="2">
        <f t="shared" si="10"/>
        <v>0</v>
      </c>
      <c r="AB168" s="2">
        <f t="shared" si="11"/>
        <v>0</v>
      </c>
      <c r="AC168" s="2">
        <f t="shared" si="12"/>
        <v>0</v>
      </c>
      <c r="AD168" s="2">
        <f t="shared" si="13"/>
        <v>0</v>
      </c>
      <c r="AE168" s="2">
        <f t="shared" si="14"/>
        <v>0</v>
      </c>
      <c r="AF168" s="2">
        <f t="shared" si="15"/>
        <v>0</v>
      </c>
      <c r="AG168" s="2">
        <f t="shared" si="16"/>
        <v>0</v>
      </c>
      <c r="AH168" s="2">
        <f t="shared" si="17"/>
        <v>0</v>
      </c>
      <c r="AI168" s="2">
        <f t="shared" si="18"/>
      </c>
    </row>
    <row r="169">
      <c r="A169" s="43">
        <f t="shared" si="0"/>
      </c>
      <c r="B169" s="54" t="n"/>
      <c r="C169" s="45" t="n"/>
      <c r="D169" s="50" t="n"/>
      <c r="E169" s="55" t="n"/>
      <c r="F169" s="50" t="n"/>
      <c r="G169" s="55" t="n"/>
      <c r="H169" s="50" t="n"/>
      <c r="I169" s="55" t="n"/>
      <c r="J169" s="50" t="n"/>
      <c r="K169" s="55" t="n"/>
      <c r="L169" s="56" t="n"/>
      <c r="M169" s="57" t="n"/>
      <c r="N169" s="57" t="n"/>
      <c r="O169" s="57" t="n"/>
      <c r="P169" s="57" t="n"/>
      <c r="Q169" s="50" t="n"/>
      <c r="R169" s="58">
        <f t="shared" si="1"/>
      </c>
      <c r="S169" s="59">
        <f t="shared" si="2"/>
      </c>
      <c r="T169" s="43">
        <f t="shared" si="3"/>
      </c>
      <c r="U169" s="60">
        <f t="shared" si="4"/>
      </c>
      <c r="V169" s="60">
        <f t="shared" si="5"/>
      </c>
      <c r="W169" s="60">
        <f t="shared" si="6"/>
      </c>
      <c r="X169" s="49">
        <f t="shared" si="7"/>
      </c>
      <c r="Y169" s="2">
        <f t="shared" si="8"/>
      </c>
      <c r="Z169" s="2">
        <f t="shared" si="9"/>
        <v>0</v>
      </c>
      <c r="AA169" s="2">
        <f t="shared" si="10"/>
        <v>0</v>
      </c>
      <c r="AB169" s="2">
        <f t="shared" si="11"/>
        <v>0</v>
      </c>
      <c r="AC169" s="2">
        <f t="shared" si="12"/>
        <v>0</v>
      </c>
      <c r="AD169" s="2">
        <f t="shared" si="13"/>
        <v>0</v>
      </c>
      <c r="AE169" s="2">
        <f t="shared" si="14"/>
        <v>0</v>
      </c>
      <c r="AF169" s="2">
        <f t="shared" si="15"/>
        <v>0</v>
      </c>
      <c r="AG169" s="2">
        <f t="shared" si="16"/>
        <v>0</v>
      </c>
      <c r="AH169" s="2">
        <f t="shared" si="17"/>
        <v>0</v>
      </c>
      <c r="AI169" s="2">
        <f t="shared" si="18"/>
      </c>
    </row>
    <row r="170">
      <c r="A170" s="43">
        <f t="shared" si="0"/>
      </c>
      <c r="B170" s="54" t="n"/>
      <c r="C170" s="45" t="n"/>
      <c r="D170" s="50" t="n"/>
      <c r="E170" s="55" t="n"/>
      <c r="F170" s="50" t="n"/>
      <c r="G170" s="55" t="n"/>
      <c r="H170" s="50" t="n"/>
      <c r="I170" s="55" t="n"/>
      <c r="J170" s="50" t="n"/>
      <c r="K170" s="55" t="n"/>
      <c r="L170" s="56" t="n"/>
      <c r="M170" s="57" t="n"/>
      <c r="N170" s="57" t="n"/>
      <c r="O170" s="57" t="n"/>
      <c r="P170" s="57" t="n"/>
      <c r="Q170" s="50" t="n"/>
      <c r="R170" s="58">
        <f t="shared" si="1"/>
      </c>
      <c r="S170" s="59">
        <f t="shared" si="2"/>
      </c>
      <c r="T170" s="43">
        <f t="shared" si="3"/>
      </c>
      <c r="U170" s="60">
        <f t="shared" si="4"/>
      </c>
      <c r="V170" s="60">
        <f t="shared" si="5"/>
      </c>
      <c r="W170" s="60">
        <f t="shared" si="6"/>
      </c>
      <c r="X170" s="49">
        <f t="shared" si="7"/>
      </c>
      <c r="Y170" s="2">
        <f t="shared" si="8"/>
      </c>
      <c r="Z170" s="2">
        <f t="shared" si="9"/>
        <v>0</v>
      </c>
      <c r="AA170" s="2">
        <f t="shared" si="10"/>
        <v>0</v>
      </c>
      <c r="AB170" s="2">
        <f t="shared" si="11"/>
        <v>0</v>
      </c>
      <c r="AC170" s="2">
        <f t="shared" si="12"/>
        <v>0</v>
      </c>
      <c r="AD170" s="2">
        <f t="shared" si="13"/>
        <v>0</v>
      </c>
      <c r="AE170" s="2">
        <f t="shared" si="14"/>
        <v>0</v>
      </c>
      <c r="AF170" s="2">
        <f t="shared" si="15"/>
        <v>0</v>
      </c>
      <c r="AG170" s="2">
        <f t="shared" si="16"/>
        <v>0</v>
      </c>
      <c r="AH170" s="2">
        <f t="shared" si="17"/>
        <v>0</v>
      </c>
      <c r="AI170" s="2">
        <f t="shared" si="18"/>
      </c>
    </row>
    <row r="171">
      <c r="A171" s="43">
        <f t="shared" si="0"/>
      </c>
      <c r="B171" s="54" t="n"/>
      <c r="C171" s="45" t="n"/>
      <c r="D171" s="50" t="n"/>
      <c r="E171" s="55" t="n"/>
      <c r="F171" s="50" t="n"/>
      <c r="G171" s="55" t="n"/>
      <c r="H171" s="50" t="n"/>
      <c r="I171" s="55" t="n"/>
      <c r="J171" s="50" t="n"/>
      <c r="K171" s="55" t="n"/>
      <c r="L171" s="56" t="n"/>
      <c r="M171" s="57" t="n"/>
      <c r="N171" s="57" t="n"/>
      <c r="O171" s="57" t="n"/>
      <c r="P171" s="57" t="n"/>
      <c r="Q171" s="50" t="n"/>
      <c r="R171" s="58">
        <f t="shared" si="1"/>
      </c>
      <c r="S171" s="59">
        <f t="shared" si="2"/>
      </c>
      <c r="T171" s="43">
        <f t="shared" si="3"/>
      </c>
      <c r="U171" s="60">
        <f t="shared" si="4"/>
      </c>
      <c r="V171" s="60">
        <f t="shared" si="5"/>
      </c>
      <c r="W171" s="60">
        <f t="shared" si="6"/>
      </c>
      <c r="X171" s="49">
        <f t="shared" si="7"/>
      </c>
      <c r="Y171" s="2">
        <f t="shared" si="8"/>
      </c>
      <c r="Z171" s="2">
        <f t="shared" si="9"/>
        <v>0</v>
      </c>
      <c r="AA171" s="2">
        <f t="shared" si="10"/>
        <v>0</v>
      </c>
      <c r="AB171" s="2">
        <f t="shared" si="11"/>
        <v>0</v>
      </c>
      <c r="AC171" s="2">
        <f t="shared" si="12"/>
        <v>0</v>
      </c>
      <c r="AD171" s="2">
        <f t="shared" si="13"/>
        <v>0</v>
      </c>
      <c r="AE171" s="2">
        <f t="shared" si="14"/>
        <v>0</v>
      </c>
      <c r="AF171" s="2">
        <f t="shared" si="15"/>
        <v>0</v>
      </c>
      <c r="AG171" s="2">
        <f t="shared" si="16"/>
        <v>0</v>
      </c>
      <c r="AH171" s="2">
        <f t="shared" si="17"/>
        <v>0</v>
      </c>
      <c r="AI171" s="2">
        <f t="shared" si="18"/>
      </c>
    </row>
    <row r="172">
      <c r="A172" s="43">
        <f t="shared" si="0"/>
      </c>
      <c r="B172" s="54" t="n"/>
      <c r="C172" s="45" t="n"/>
      <c r="D172" s="50" t="n"/>
      <c r="E172" s="55" t="n"/>
      <c r="F172" s="50" t="n"/>
      <c r="G172" s="55" t="n"/>
      <c r="H172" s="50" t="n"/>
      <c r="I172" s="55" t="n"/>
      <c r="J172" s="50" t="n"/>
      <c r="K172" s="55" t="n"/>
      <c r="L172" s="56" t="n"/>
      <c r="M172" s="57" t="n"/>
      <c r="N172" s="57" t="n"/>
      <c r="O172" s="57" t="n"/>
      <c r="P172" s="57" t="n"/>
      <c r="Q172" s="50" t="n"/>
      <c r="R172" s="58">
        <f t="shared" si="1"/>
      </c>
      <c r="S172" s="59">
        <f t="shared" si="2"/>
      </c>
      <c r="T172" s="43">
        <f t="shared" si="3"/>
      </c>
      <c r="U172" s="60">
        <f t="shared" si="4"/>
      </c>
      <c r="V172" s="60">
        <f t="shared" si="5"/>
      </c>
      <c r="W172" s="60">
        <f t="shared" si="6"/>
      </c>
      <c r="X172" s="49">
        <f t="shared" si="7"/>
      </c>
      <c r="Y172" s="2">
        <f t="shared" si="8"/>
      </c>
      <c r="Z172" s="2">
        <f t="shared" si="9"/>
        <v>0</v>
      </c>
      <c r="AA172" s="2">
        <f t="shared" si="10"/>
        <v>0</v>
      </c>
      <c r="AB172" s="2">
        <f t="shared" si="11"/>
        <v>0</v>
      </c>
      <c r="AC172" s="2">
        <f t="shared" si="12"/>
        <v>0</v>
      </c>
      <c r="AD172" s="2">
        <f t="shared" si="13"/>
        <v>0</v>
      </c>
      <c r="AE172" s="2">
        <f t="shared" si="14"/>
        <v>0</v>
      </c>
      <c r="AF172" s="2">
        <f t="shared" si="15"/>
        <v>0</v>
      </c>
      <c r="AG172" s="2">
        <f t="shared" si="16"/>
        <v>0</v>
      </c>
      <c r="AH172" s="2">
        <f t="shared" si="17"/>
        <v>0</v>
      </c>
      <c r="AI172" s="2">
        <f t="shared" si="18"/>
      </c>
    </row>
    <row r="173">
      <c r="A173" s="43">
        <f t="shared" si="0"/>
      </c>
      <c r="B173" s="54" t="n"/>
      <c r="C173" s="45" t="n"/>
      <c r="D173" s="50" t="n"/>
      <c r="E173" s="55" t="n"/>
      <c r="F173" s="50" t="n"/>
      <c r="G173" s="55" t="n"/>
      <c r="H173" s="50" t="n"/>
      <c r="I173" s="55" t="n"/>
      <c r="J173" s="50" t="n"/>
      <c r="K173" s="55" t="n"/>
      <c r="L173" s="56" t="n"/>
      <c r="M173" s="57" t="n"/>
      <c r="N173" s="57" t="n"/>
      <c r="O173" s="57" t="n"/>
      <c r="P173" s="57" t="n"/>
      <c r="Q173" s="50" t="n"/>
      <c r="R173" s="58">
        <f t="shared" si="1"/>
      </c>
      <c r="S173" s="59">
        <f t="shared" si="2"/>
      </c>
      <c r="T173" s="43">
        <f t="shared" si="3"/>
      </c>
      <c r="U173" s="60">
        <f t="shared" si="4"/>
      </c>
      <c r="V173" s="60">
        <f t="shared" si="5"/>
      </c>
      <c r="W173" s="60">
        <f t="shared" si="6"/>
      </c>
      <c r="X173" s="49">
        <f t="shared" si="7"/>
      </c>
      <c r="Y173" s="2">
        <f t="shared" si="8"/>
      </c>
      <c r="Z173" s="2">
        <f t="shared" si="9"/>
        <v>0</v>
      </c>
      <c r="AA173" s="2">
        <f t="shared" si="10"/>
        <v>0</v>
      </c>
      <c r="AB173" s="2">
        <f t="shared" si="11"/>
        <v>0</v>
      </c>
      <c r="AC173" s="2">
        <f t="shared" si="12"/>
        <v>0</v>
      </c>
      <c r="AD173" s="2">
        <f t="shared" si="13"/>
        <v>0</v>
      </c>
      <c r="AE173" s="2">
        <f t="shared" si="14"/>
        <v>0</v>
      </c>
      <c r="AF173" s="2">
        <f t="shared" si="15"/>
        <v>0</v>
      </c>
      <c r="AG173" s="2">
        <f t="shared" si="16"/>
        <v>0</v>
      </c>
      <c r="AH173" s="2">
        <f t="shared" si="17"/>
        <v>0</v>
      </c>
      <c r="AI173" s="2">
        <f t="shared" si="18"/>
      </c>
    </row>
    <row r="174">
      <c r="A174" s="43">
        <f t="shared" si="0"/>
      </c>
      <c r="B174" s="54" t="n"/>
      <c r="C174" s="45" t="n"/>
      <c r="D174" s="50" t="n"/>
      <c r="E174" s="55" t="n"/>
      <c r="F174" s="50" t="n"/>
      <c r="G174" s="55" t="n"/>
      <c r="H174" s="50" t="n"/>
      <c r="I174" s="55" t="n"/>
      <c r="J174" s="50" t="n"/>
      <c r="K174" s="55" t="n"/>
      <c r="L174" s="56" t="n"/>
      <c r="M174" s="57" t="n"/>
      <c r="N174" s="57" t="n"/>
      <c r="O174" s="57" t="n"/>
      <c r="P174" s="57" t="n"/>
      <c r="Q174" s="50" t="n"/>
      <c r="R174" s="58">
        <f t="shared" si="1"/>
      </c>
      <c r="S174" s="59">
        <f t="shared" si="2"/>
      </c>
      <c r="T174" s="43">
        <f t="shared" si="3"/>
      </c>
      <c r="U174" s="60">
        <f t="shared" si="4"/>
      </c>
      <c r="V174" s="60">
        <f t="shared" si="5"/>
      </c>
      <c r="W174" s="60">
        <f t="shared" si="6"/>
      </c>
      <c r="X174" s="49">
        <f t="shared" si="7"/>
      </c>
      <c r="Y174" s="2">
        <f t="shared" si="8"/>
      </c>
      <c r="Z174" s="2">
        <f t="shared" si="9"/>
        <v>0</v>
      </c>
      <c r="AA174" s="2">
        <f t="shared" si="10"/>
        <v>0</v>
      </c>
      <c r="AB174" s="2">
        <f t="shared" si="11"/>
        <v>0</v>
      </c>
      <c r="AC174" s="2">
        <f t="shared" si="12"/>
        <v>0</v>
      </c>
      <c r="AD174" s="2">
        <f t="shared" si="13"/>
        <v>0</v>
      </c>
      <c r="AE174" s="2">
        <f t="shared" si="14"/>
        <v>0</v>
      </c>
      <c r="AF174" s="2">
        <f t="shared" si="15"/>
        <v>0</v>
      </c>
      <c r="AG174" s="2">
        <f t="shared" si="16"/>
        <v>0</v>
      </c>
      <c r="AH174" s="2">
        <f t="shared" si="17"/>
        <v>0</v>
      </c>
      <c r="AI174" s="2">
        <f t="shared" si="18"/>
      </c>
    </row>
    <row r="175">
      <c r="A175" s="43">
        <f t="shared" si="0"/>
      </c>
      <c r="B175" s="54" t="n"/>
      <c r="C175" s="45" t="n"/>
      <c r="D175" s="50" t="n"/>
      <c r="E175" s="55" t="n"/>
      <c r="F175" s="50" t="n"/>
      <c r="G175" s="55" t="n"/>
      <c r="H175" s="50" t="n"/>
      <c r="I175" s="55" t="n"/>
      <c r="J175" s="50" t="n"/>
      <c r="K175" s="55" t="n"/>
      <c r="L175" s="56" t="n"/>
      <c r="M175" s="57" t="n"/>
      <c r="N175" s="57" t="n"/>
      <c r="O175" s="57" t="n"/>
      <c r="P175" s="57" t="n"/>
      <c r="Q175" s="50" t="n"/>
      <c r="R175" s="58">
        <f t="shared" si="1"/>
      </c>
      <c r="S175" s="59">
        <f t="shared" si="2"/>
      </c>
      <c r="T175" s="43">
        <f t="shared" si="3"/>
      </c>
      <c r="U175" s="60">
        <f t="shared" si="4"/>
      </c>
      <c r="V175" s="60">
        <f t="shared" si="5"/>
      </c>
      <c r="W175" s="60">
        <f t="shared" si="6"/>
      </c>
      <c r="X175" s="49">
        <f t="shared" si="7"/>
      </c>
      <c r="Y175" s="2">
        <f t="shared" si="8"/>
      </c>
      <c r="Z175" s="2">
        <f t="shared" si="9"/>
        <v>0</v>
      </c>
      <c r="AA175" s="2">
        <f t="shared" si="10"/>
        <v>0</v>
      </c>
      <c r="AB175" s="2">
        <f t="shared" si="11"/>
        <v>0</v>
      </c>
      <c r="AC175" s="2">
        <f t="shared" si="12"/>
        <v>0</v>
      </c>
      <c r="AD175" s="2">
        <f t="shared" si="13"/>
        <v>0</v>
      </c>
      <c r="AE175" s="2">
        <f t="shared" si="14"/>
        <v>0</v>
      </c>
      <c r="AF175" s="2">
        <f t="shared" si="15"/>
        <v>0</v>
      </c>
      <c r="AG175" s="2">
        <f t="shared" si="16"/>
        <v>0</v>
      </c>
      <c r="AH175" s="2">
        <f t="shared" si="17"/>
        <v>0</v>
      </c>
      <c r="AI175" s="2">
        <f t="shared" si="18"/>
      </c>
    </row>
    <row r="176">
      <c r="A176" s="43">
        <f t="shared" si="0"/>
      </c>
      <c r="B176" s="54" t="n"/>
      <c r="C176" s="45" t="n"/>
      <c r="D176" s="50" t="n"/>
      <c r="E176" s="55" t="n"/>
      <c r="F176" s="50" t="n"/>
      <c r="G176" s="55" t="n"/>
      <c r="H176" s="50" t="n"/>
      <c r="I176" s="55" t="n"/>
      <c r="J176" s="50" t="n"/>
      <c r="K176" s="55" t="n"/>
      <c r="L176" s="56" t="n"/>
      <c r="M176" s="57" t="n"/>
      <c r="N176" s="57" t="n"/>
      <c r="O176" s="57" t="n"/>
      <c r="P176" s="57" t="n"/>
      <c r="Q176" s="50" t="n"/>
      <c r="R176" s="58">
        <f t="shared" si="1"/>
      </c>
      <c r="S176" s="59">
        <f t="shared" si="2"/>
      </c>
      <c r="T176" s="43">
        <f t="shared" si="3"/>
      </c>
      <c r="U176" s="60">
        <f t="shared" si="4"/>
      </c>
      <c r="V176" s="60">
        <f t="shared" si="5"/>
      </c>
      <c r="W176" s="60">
        <f t="shared" si="6"/>
      </c>
      <c r="X176" s="49">
        <f t="shared" si="7"/>
      </c>
      <c r="Y176" s="2">
        <f t="shared" si="8"/>
      </c>
      <c r="Z176" s="2">
        <f t="shared" si="9"/>
        <v>0</v>
      </c>
      <c r="AA176" s="2">
        <f t="shared" si="10"/>
        <v>0</v>
      </c>
      <c r="AB176" s="2">
        <f t="shared" si="11"/>
        <v>0</v>
      </c>
      <c r="AC176" s="2">
        <f t="shared" si="12"/>
        <v>0</v>
      </c>
      <c r="AD176" s="2">
        <f t="shared" si="13"/>
        <v>0</v>
      </c>
      <c r="AE176" s="2">
        <f t="shared" si="14"/>
        <v>0</v>
      </c>
      <c r="AF176" s="2">
        <f t="shared" si="15"/>
        <v>0</v>
      </c>
      <c r="AG176" s="2">
        <f t="shared" si="16"/>
        <v>0</v>
      </c>
      <c r="AH176" s="2">
        <f t="shared" si="17"/>
        <v>0</v>
      </c>
      <c r="AI176" s="2">
        <f t="shared" si="18"/>
      </c>
    </row>
    <row r="177">
      <c r="A177" s="43">
        <f t="shared" si="0"/>
      </c>
      <c r="B177" s="54" t="n"/>
      <c r="C177" s="45" t="n"/>
      <c r="D177" s="50" t="n"/>
      <c r="E177" s="55" t="n"/>
      <c r="F177" s="50" t="n"/>
      <c r="G177" s="55" t="n"/>
      <c r="H177" s="50" t="n"/>
      <c r="I177" s="55" t="n"/>
      <c r="J177" s="50" t="n"/>
      <c r="K177" s="55" t="n"/>
      <c r="L177" s="56" t="n"/>
      <c r="M177" s="57" t="n"/>
      <c r="N177" s="57" t="n"/>
      <c r="O177" s="57" t="n"/>
      <c r="P177" s="57" t="n"/>
      <c r="Q177" s="50" t="n"/>
      <c r="R177" s="58">
        <f t="shared" si="1"/>
      </c>
      <c r="S177" s="59">
        <f t="shared" si="2"/>
      </c>
      <c r="T177" s="43">
        <f t="shared" si="3"/>
      </c>
      <c r="U177" s="60">
        <f t="shared" si="4"/>
      </c>
      <c r="V177" s="60">
        <f t="shared" si="5"/>
      </c>
      <c r="W177" s="60">
        <f t="shared" si="6"/>
      </c>
      <c r="X177" s="49">
        <f t="shared" si="7"/>
      </c>
      <c r="Y177" s="2">
        <f t="shared" si="8"/>
      </c>
      <c r="Z177" s="2">
        <f t="shared" si="9"/>
        <v>0</v>
      </c>
      <c r="AA177" s="2">
        <f t="shared" si="10"/>
        <v>0</v>
      </c>
      <c r="AB177" s="2">
        <f t="shared" si="11"/>
        <v>0</v>
      </c>
      <c r="AC177" s="2">
        <f t="shared" si="12"/>
        <v>0</v>
      </c>
      <c r="AD177" s="2">
        <f t="shared" si="13"/>
        <v>0</v>
      </c>
      <c r="AE177" s="2">
        <f t="shared" si="14"/>
        <v>0</v>
      </c>
      <c r="AF177" s="2">
        <f t="shared" si="15"/>
        <v>0</v>
      </c>
      <c r="AG177" s="2">
        <f t="shared" si="16"/>
        <v>0</v>
      </c>
      <c r="AH177" s="2">
        <f t="shared" si="17"/>
        <v>0</v>
      </c>
      <c r="AI177" s="2">
        <f t="shared" si="18"/>
      </c>
    </row>
    <row r="178">
      <c r="A178" s="43">
        <f t="shared" si="0"/>
      </c>
      <c r="B178" s="54" t="n"/>
      <c r="C178" s="45" t="n"/>
      <c r="D178" s="50" t="n"/>
      <c r="E178" s="55" t="n"/>
      <c r="F178" s="50" t="n"/>
      <c r="G178" s="55" t="n"/>
      <c r="H178" s="50" t="n"/>
      <c r="I178" s="55" t="n"/>
      <c r="J178" s="50" t="n"/>
      <c r="K178" s="55" t="n"/>
      <c r="L178" s="56" t="n"/>
      <c r="M178" s="57" t="n"/>
      <c r="N178" s="57" t="n"/>
      <c r="O178" s="57" t="n"/>
      <c r="P178" s="57" t="n"/>
      <c r="Q178" s="50" t="n"/>
      <c r="R178" s="58">
        <f t="shared" si="1"/>
      </c>
      <c r="S178" s="59">
        <f t="shared" si="2"/>
      </c>
      <c r="T178" s="43">
        <f t="shared" si="3"/>
      </c>
      <c r="U178" s="60">
        <f t="shared" si="4"/>
      </c>
      <c r="V178" s="60">
        <f t="shared" si="5"/>
      </c>
      <c r="W178" s="60">
        <f t="shared" si="6"/>
      </c>
      <c r="X178" s="49">
        <f t="shared" si="7"/>
      </c>
      <c r="Y178" s="2">
        <f t="shared" si="8"/>
      </c>
      <c r="Z178" s="2">
        <f t="shared" si="9"/>
        <v>0</v>
      </c>
      <c r="AA178" s="2">
        <f t="shared" si="10"/>
        <v>0</v>
      </c>
      <c r="AB178" s="2">
        <f t="shared" si="11"/>
        <v>0</v>
      </c>
      <c r="AC178" s="2">
        <f t="shared" si="12"/>
        <v>0</v>
      </c>
      <c r="AD178" s="2">
        <f t="shared" si="13"/>
        <v>0</v>
      </c>
      <c r="AE178" s="2">
        <f t="shared" si="14"/>
        <v>0</v>
      </c>
      <c r="AF178" s="2">
        <f t="shared" si="15"/>
        <v>0</v>
      </c>
      <c r="AG178" s="2">
        <f t="shared" si="16"/>
        <v>0</v>
      </c>
      <c r="AH178" s="2">
        <f t="shared" si="17"/>
        <v>0</v>
      </c>
      <c r="AI178" s="2">
        <f t="shared" si="18"/>
      </c>
    </row>
    <row r="179">
      <c r="A179" s="43">
        <f t="shared" si="0"/>
      </c>
      <c r="B179" s="54" t="n"/>
      <c r="C179" s="45" t="n"/>
      <c r="D179" s="50" t="n"/>
      <c r="E179" s="55" t="n"/>
      <c r="F179" s="50" t="n"/>
      <c r="G179" s="55" t="n"/>
      <c r="H179" s="50" t="n"/>
      <c r="I179" s="55" t="n"/>
      <c r="J179" s="50" t="n"/>
      <c r="K179" s="55" t="n"/>
      <c r="L179" s="56" t="n"/>
      <c r="M179" s="57" t="n"/>
      <c r="N179" s="57" t="n"/>
      <c r="O179" s="57" t="n"/>
      <c r="P179" s="57" t="n"/>
      <c r="Q179" s="50" t="n"/>
      <c r="R179" s="58">
        <f t="shared" si="1"/>
      </c>
      <c r="S179" s="59">
        <f t="shared" si="2"/>
      </c>
      <c r="T179" s="43">
        <f t="shared" si="3"/>
      </c>
      <c r="U179" s="60">
        <f t="shared" si="4"/>
      </c>
      <c r="V179" s="60">
        <f t="shared" si="5"/>
      </c>
      <c r="W179" s="60">
        <f t="shared" si="6"/>
      </c>
      <c r="X179" s="49">
        <f t="shared" si="7"/>
      </c>
      <c r="Y179" s="2">
        <f t="shared" si="8"/>
      </c>
      <c r="Z179" s="2">
        <f t="shared" si="9"/>
        <v>0</v>
      </c>
      <c r="AA179" s="2">
        <f t="shared" si="10"/>
        <v>0</v>
      </c>
      <c r="AB179" s="2">
        <f t="shared" si="11"/>
        <v>0</v>
      </c>
      <c r="AC179" s="2">
        <f t="shared" si="12"/>
        <v>0</v>
      </c>
      <c r="AD179" s="2">
        <f t="shared" si="13"/>
        <v>0</v>
      </c>
      <c r="AE179" s="2">
        <f t="shared" si="14"/>
        <v>0</v>
      </c>
      <c r="AF179" s="2">
        <f t="shared" si="15"/>
        <v>0</v>
      </c>
      <c r="AG179" s="2">
        <f t="shared" si="16"/>
        <v>0</v>
      </c>
      <c r="AH179" s="2">
        <f t="shared" si="17"/>
        <v>0</v>
      </c>
      <c r="AI179" s="2">
        <f t="shared" si="18"/>
      </c>
    </row>
    <row r="180">
      <c r="A180" s="43">
        <f t="shared" si="0"/>
      </c>
      <c r="B180" s="54" t="n"/>
      <c r="C180" s="45" t="n"/>
      <c r="D180" s="50" t="n"/>
      <c r="E180" s="55" t="n"/>
      <c r="F180" s="50" t="n"/>
      <c r="G180" s="55" t="n"/>
      <c r="H180" s="50" t="n"/>
      <c r="I180" s="55" t="n"/>
      <c r="J180" s="50" t="n"/>
      <c r="K180" s="55" t="n"/>
      <c r="L180" s="56" t="n"/>
      <c r="M180" s="57" t="n"/>
      <c r="N180" s="57" t="n"/>
      <c r="O180" s="57" t="n"/>
      <c r="P180" s="57" t="n"/>
      <c r="Q180" s="50" t="n"/>
      <c r="R180" s="58">
        <f t="shared" si="1"/>
      </c>
      <c r="S180" s="59">
        <f t="shared" si="2"/>
      </c>
      <c r="T180" s="43">
        <f t="shared" si="3"/>
      </c>
      <c r="U180" s="60">
        <f t="shared" si="4"/>
      </c>
      <c r="V180" s="60">
        <f t="shared" si="5"/>
      </c>
      <c r="W180" s="60">
        <f t="shared" si="6"/>
      </c>
      <c r="X180" s="49">
        <f t="shared" si="7"/>
      </c>
      <c r="Y180" s="2">
        <f t="shared" si="8"/>
      </c>
      <c r="Z180" s="2">
        <f t="shared" si="9"/>
        <v>0</v>
      </c>
      <c r="AA180" s="2">
        <f t="shared" si="10"/>
        <v>0</v>
      </c>
      <c r="AB180" s="2">
        <f t="shared" si="11"/>
        <v>0</v>
      </c>
      <c r="AC180" s="2">
        <f t="shared" si="12"/>
        <v>0</v>
      </c>
      <c r="AD180" s="2">
        <f t="shared" si="13"/>
        <v>0</v>
      </c>
      <c r="AE180" s="2">
        <f t="shared" si="14"/>
        <v>0</v>
      </c>
      <c r="AF180" s="2">
        <f t="shared" si="15"/>
        <v>0</v>
      </c>
      <c r="AG180" s="2">
        <f t="shared" si="16"/>
        <v>0</v>
      </c>
      <c r="AH180" s="2">
        <f t="shared" si="17"/>
        <v>0</v>
      </c>
      <c r="AI180" s="2">
        <f t="shared" si="18"/>
      </c>
    </row>
    <row r="181">
      <c r="A181" s="43">
        <f t="shared" si="0"/>
      </c>
      <c r="B181" s="54" t="n"/>
      <c r="C181" s="45" t="n"/>
      <c r="D181" s="50" t="n"/>
      <c r="E181" s="55" t="n"/>
      <c r="F181" s="50" t="n"/>
      <c r="G181" s="55" t="n"/>
      <c r="H181" s="50" t="n"/>
      <c r="I181" s="55" t="n"/>
      <c r="J181" s="50" t="n"/>
      <c r="K181" s="55" t="n"/>
      <c r="L181" s="56" t="n"/>
      <c r="M181" s="57" t="n"/>
      <c r="N181" s="57" t="n"/>
      <c r="O181" s="57" t="n"/>
      <c r="P181" s="57" t="n"/>
      <c r="Q181" s="50" t="n"/>
      <c r="R181" s="58">
        <f t="shared" si="1"/>
      </c>
      <c r="S181" s="59">
        <f t="shared" si="2"/>
      </c>
      <c r="T181" s="43">
        <f t="shared" si="3"/>
      </c>
      <c r="U181" s="60">
        <f t="shared" si="4"/>
      </c>
      <c r="V181" s="60">
        <f t="shared" si="5"/>
      </c>
      <c r="W181" s="60">
        <f t="shared" si="6"/>
      </c>
      <c r="X181" s="49">
        <f t="shared" si="7"/>
      </c>
      <c r="Y181" s="2">
        <f t="shared" si="8"/>
      </c>
      <c r="Z181" s="2">
        <f t="shared" si="9"/>
        <v>0</v>
      </c>
      <c r="AA181" s="2">
        <f t="shared" si="10"/>
        <v>0</v>
      </c>
      <c r="AB181" s="2">
        <f t="shared" si="11"/>
        <v>0</v>
      </c>
      <c r="AC181" s="2">
        <f t="shared" si="12"/>
        <v>0</v>
      </c>
      <c r="AD181" s="2">
        <f t="shared" si="13"/>
        <v>0</v>
      </c>
      <c r="AE181" s="2">
        <f t="shared" si="14"/>
        <v>0</v>
      </c>
      <c r="AF181" s="2">
        <f t="shared" si="15"/>
        <v>0</v>
      </c>
      <c r="AG181" s="2">
        <f t="shared" si="16"/>
        <v>0</v>
      </c>
      <c r="AH181" s="2">
        <f t="shared" si="17"/>
        <v>0</v>
      </c>
      <c r="AI181" s="2">
        <f t="shared" si="18"/>
      </c>
    </row>
    <row r="182">
      <c r="A182" s="43">
        <f t="shared" si="0"/>
      </c>
      <c r="B182" s="54" t="n"/>
      <c r="C182" s="45" t="n"/>
      <c r="D182" s="50" t="n"/>
      <c r="E182" s="55" t="n"/>
      <c r="F182" s="50" t="n"/>
      <c r="G182" s="55" t="n"/>
      <c r="H182" s="50" t="n"/>
      <c r="I182" s="55" t="n"/>
      <c r="J182" s="50" t="n"/>
      <c r="K182" s="55" t="n"/>
      <c r="L182" s="56" t="n"/>
      <c r="M182" s="57" t="n"/>
      <c r="N182" s="57" t="n"/>
      <c r="O182" s="57" t="n"/>
      <c r="P182" s="57" t="n"/>
      <c r="Q182" s="50" t="n"/>
      <c r="R182" s="58">
        <f t="shared" si="1"/>
      </c>
      <c r="S182" s="59">
        <f t="shared" si="2"/>
      </c>
      <c r="T182" s="43">
        <f t="shared" si="3"/>
      </c>
      <c r="U182" s="60">
        <f t="shared" si="4"/>
      </c>
      <c r="V182" s="60">
        <f t="shared" si="5"/>
      </c>
      <c r="W182" s="60">
        <f t="shared" si="6"/>
      </c>
      <c r="X182" s="49">
        <f t="shared" si="7"/>
      </c>
      <c r="Y182" s="2">
        <f t="shared" si="8"/>
      </c>
      <c r="Z182" s="2">
        <f t="shared" si="9"/>
        <v>0</v>
      </c>
      <c r="AA182" s="2">
        <f t="shared" si="10"/>
        <v>0</v>
      </c>
      <c r="AB182" s="2">
        <f t="shared" si="11"/>
        <v>0</v>
      </c>
      <c r="AC182" s="2">
        <f t="shared" si="12"/>
        <v>0</v>
      </c>
      <c r="AD182" s="2">
        <f t="shared" si="13"/>
        <v>0</v>
      </c>
      <c r="AE182" s="2">
        <f t="shared" si="14"/>
        <v>0</v>
      </c>
      <c r="AF182" s="2">
        <f t="shared" si="15"/>
        <v>0</v>
      </c>
      <c r="AG182" s="2">
        <f t="shared" si="16"/>
        <v>0</v>
      </c>
      <c r="AH182" s="2">
        <f t="shared" si="17"/>
        <v>0</v>
      </c>
      <c r="AI182" s="2">
        <f t="shared" si="18"/>
      </c>
    </row>
    <row r="183">
      <c r="A183" s="43">
        <f t="shared" si="0"/>
      </c>
      <c r="B183" s="54" t="n"/>
      <c r="C183" s="45" t="n"/>
      <c r="D183" s="50" t="n"/>
      <c r="E183" s="55" t="n"/>
      <c r="F183" s="50" t="n"/>
      <c r="G183" s="55" t="n"/>
      <c r="H183" s="50" t="n"/>
      <c r="I183" s="55" t="n"/>
      <c r="J183" s="50" t="n"/>
      <c r="K183" s="55" t="n"/>
      <c r="L183" s="56" t="n"/>
      <c r="M183" s="57" t="n"/>
      <c r="N183" s="57" t="n"/>
      <c r="O183" s="57" t="n"/>
      <c r="P183" s="57" t="n"/>
      <c r="Q183" s="50" t="n"/>
      <c r="R183" s="58">
        <f t="shared" si="1"/>
      </c>
      <c r="S183" s="59">
        <f t="shared" si="2"/>
      </c>
      <c r="T183" s="43">
        <f t="shared" si="3"/>
      </c>
      <c r="U183" s="60">
        <f t="shared" si="4"/>
      </c>
      <c r="V183" s="60">
        <f t="shared" si="5"/>
      </c>
      <c r="W183" s="60">
        <f t="shared" si="6"/>
      </c>
      <c r="X183" s="49">
        <f t="shared" si="7"/>
      </c>
      <c r="Y183" s="2">
        <f t="shared" si="8"/>
      </c>
      <c r="Z183" s="2">
        <f t="shared" si="9"/>
        <v>0</v>
      </c>
      <c r="AA183" s="2">
        <f t="shared" si="10"/>
        <v>0</v>
      </c>
      <c r="AB183" s="2">
        <f t="shared" si="11"/>
        <v>0</v>
      </c>
      <c r="AC183" s="2">
        <f t="shared" si="12"/>
        <v>0</v>
      </c>
      <c r="AD183" s="2">
        <f t="shared" si="13"/>
        <v>0</v>
      </c>
      <c r="AE183" s="2">
        <f t="shared" si="14"/>
        <v>0</v>
      </c>
      <c r="AF183" s="2">
        <f t="shared" si="15"/>
        <v>0</v>
      </c>
      <c r="AG183" s="2">
        <f t="shared" si="16"/>
        <v>0</v>
      </c>
      <c r="AH183" s="2">
        <f t="shared" si="17"/>
        <v>0</v>
      </c>
      <c r="AI183" s="2">
        <f t="shared" si="18"/>
      </c>
    </row>
    <row r="184">
      <c r="A184" s="43">
        <f t="shared" si="0"/>
      </c>
      <c r="B184" s="54" t="n"/>
      <c r="C184" s="45" t="n"/>
      <c r="D184" s="50" t="n"/>
      <c r="E184" s="55" t="n"/>
      <c r="F184" s="50" t="n"/>
      <c r="G184" s="55" t="n"/>
      <c r="H184" s="50" t="n"/>
      <c r="I184" s="55" t="n"/>
      <c r="J184" s="50" t="n"/>
      <c r="K184" s="55" t="n"/>
      <c r="L184" s="56" t="n"/>
      <c r="M184" s="57" t="n"/>
      <c r="N184" s="57" t="n"/>
      <c r="O184" s="57" t="n"/>
      <c r="P184" s="57" t="n"/>
      <c r="Q184" s="50" t="n"/>
      <c r="R184" s="58">
        <f t="shared" si="1"/>
      </c>
      <c r="S184" s="59">
        <f t="shared" si="2"/>
      </c>
      <c r="T184" s="43">
        <f t="shared" si="3"/>
      </c>
      <c r="U184" s="60">
        <f t="shared" si="4"/>
      </c>
      <c r="V184" s="60">
        <f t="shared" si="5"/>
      </c>
      <c r="W184" s="60">
        <f t="shared" si="6"/>
      </c>
      <c r="X184" s="49">
        <f t="shared" si="7"/>
      </c>
      <c r="Y184" s="2">
        <f t="shared" si="8"/>
      </c>
      <c r="Z184" s="2">
        <f t="shared" si="9"/>
        <v>0</v>
      </c>
      <c r="AA184" s="2">
        <f t="shared" si="10"/>
        <v>0</v>
      </c>
      <c r="AB184" s="2">
        <f t="shared" si="11"/>
        <v>0</v>
      </c>
      <c r="AC184" s="2">
        <f t="shared" si="12"/>
        <v>0</v>
      </c>
      <c r="AD184" s="2">
        <f t="shared" si="13"/>
        <v>0</v>
      </c>
      <c r="AE184" s="2">
        <f t="shared" si="14"/>
        <v>0</v>
      </c>
      <c r="AF184" s="2">
        <f t="shared" si="15"/>
        <v>0</v>
      </c>
      <c r="AG184" s="2">
        <f t="shared" si="16"/>
        <v>0</v>
      </c>
      <c r="AH184" s="2">
        <f t="shared" si="17"/>
        <v>0</v>
      </c>
      <c r="AI184" s="2">
        <f t="shared" si="18"/>
      </c>
    </row>
    <row r="185">
      <c r="A185" s="43">
        <f t="shared" si="0"/>
      </c>
      <c r="B185" s="54" t="n"/>
      <c r="C185" s="45" t="n"/>
      <c r="D185" s="50" t="n"/>
      <c r="E185" s="55" t="n"/>
      <c r="F185" s="50" t="n"/>
      <c r="G185" s="55" t="n"/>
      <c r="H185" s="50" t="n"/>
      <c r="I185" s="55" t="n"/>
      <c r="J185" s="50" t="n"/>
      <c r="K185" s="55" t="n"/>
      <c r="L185" s="56" t="n"/>
      <c r="M185" s="57" t="n"/>
      <c r="N185" s="57" t="n"/>
      <c r="O185" s="57" t="n"/>
      <c r="P185" s="57" t="n"/>
      <c r="Q185" s="50" t="n"/>
      <c r="R185" s="58">
        <f t="shared" si="1"/>
      </c>
      <c r="S185" s="59">
        <f t="shared" si="2"/>
      </c>
      <c r="T185" s="43">
        <f t="shared" si="3"/>
      </c>
      <c r="U185" s="60">
        <f t="shared" si="4"/>
      </c>
      <c r="V185" s="60">
        <f t="shared" si="5"/>
      </c>
      <c r="W185" s="60">
        <f t="shared" si="6"/>
      </c>
      <c r="X185" s="49">
        <f t="shared" si="7"/>
      </c>
      <c r="Y185" s="2">
        <f t="shared" si="8"/>
      </c>
      <c r="Z185" s="2">
        <f t="shared" si="9"/>
        <v>0</v>
      </c>
      <c r="AA185" s="2">
        <f t="shared" si="10"/>
        <v>0</v>
      </c>
      <c r="AB185" s="2">
        <f t="shared" si="11"/>
        <v>0</v>
      </c>
      <c r="AC185" s="2">
        <f t="shared" si="12"/>
        <v>0</v>
      </c>
      <c r="AD185" s="2">
        <f t="shared" si="13"/>
        <v>0</v>
      </c>
      <c r="AE185" s="2">
        <f t="shared" si="14"/>
        <v>0</v>
      </c>
      <c r="AF185" s="2">
        <f t="shared" si="15"/>
        <v>0</v>
      </c>
      <c r="AG185" s="2">
        <f t="shared" si="16"/>
        <v>0</v>
      </c>
      <c r="AH185" s="2">
        <f t="shared" si="17"/>
        <v>0</v>
      </c>
      <c r="AI185" s="2">
        <f t="shared" si="18"/>
      </c>
    </row>
    <row r="186">
      <c r="A186" s="43">
        <f t="shared" si="0"/>
      </c>
      <c r="B186" s="54" t="n"/>
      <c r="C186" s="45" t="n"/>
      <c r="D186" s="50" t="n"/>
      <c r="E186" s="55" t="n"/>
      <c r="F186" s="50" t="n"/>
      <c r="G186" s="55" t="n"/>
      <c r="H186" s="50" t="n"/>
      <c r="I186" s="55" t="n"/>
      <c r="J186" s="50" t="n"/>
      <c r="K186" s="55" t="n"/>
      <c r="L186" s="56" t="n"/>
      <c r="M186" s="57" t="n"/>
      <c r="N186" s="57" t="n"/>
      <c r="O186" s="57" t="n"/>
      <c r="P186" s="57" t="n"/>
      <c r="Q186" s="50" t="n"/>
      <c r="R186" s="58">
        <f t="shared" si="1"/>
      </c>
      <c r="S186" s="59">
        <f t="shared" si="2"/>
      </c>
      <c r="T186" s="43">
        <f t="shared" si="3"/>
      </c>
      <c r="U186" s="60">
        <f t="shared" si="4"/>
      </c>
      <c r="V186" s="60">
        <f t="shared" si="5"/>
      </c>
      <c r="W186" s="60">
        <f t="shared" si="6"/>
      </c>
      <c r="X186" s="49">
        <f t="shared" si="7"/>
      </c>
      <c r="Y186" s="2">
        <f t="shared" si="8"/>
      </c>
      <c r="Z186" s="2">
        <f t="shared" si="9"/>
        <v>0</v>
      </c>
      <c r="AA186" s="2">
        <f t="shared" si="10"/>
        <v>0</v>
      </c>
      <c r="AB186" s="2">
        <f t="shared" si="11"/>
        <v>0</v>
      </c>
      <c r="AC186" s="2">
        <f t="shared" si="12"/>
        <v>0</v>
      </c>
      <c r="AD186" s="2">
        <f t="shared" si="13"/>
        <v>0</v>
      </c>
      <c r="AE186" s="2">
        <f t="shared" si="14"/>
        <v>0</v>
      </c>
      <c r="AF186" s="2">
        <f t="shared" si="15"/>
        <v>0</v>
      </c>
      <c r="AG186" s="2">
        <f t="shared" si="16"/>
        <v>0</v>
      </c>
      <c r="AH186" s="2">
        <f t="shared" si="17"/>
        <v>0</v>
      </c>
      <c r="AI186" s="2">
        <f t="shared" si="18"/>
      </c>
    </row>
    <row r="187">
      <c r="A187" s="43">
        <f t="shared" si="0"/>
      </c>
      <c r="B187" s="54" t="n"/>
      <c r="C187" s="45" t="n"/>
      <c r="D187" s="50" t="n"/>
      <c r="E187" s="55" t="n"/>
      <c r="F187" s="50" t="n"/>
      <c r="G187" s="55" t="n"/>
      <c r="H187" s="50" t="n"/>
      <c r="I187" s="55" t="n"/>
      <c r="J187" s="50" t="n"/>
      <c r="K187" s="55" t="n"/>
      <c r="L187" s="56" t="n"/>
      <c r="M187" s="57" t="n"/>
      <c r="N187" s="57" t="n"/>
      <c r="O187" s="57" t="n"/>
      <c r="P187" s="57" t="n"/>
      <c r="Q187" s="50" t="n"/>
      <c r="R187" s="58">
        <f t="shared" si="1"/>
      </c>
      <c r="S187" s="59">
        <f t="shared" si="2"/>
      </c>
      <c r="T187" s="43">
        <f t="shared" si="3"/>
      </c>
      <c r="U187" s="60">
        <f t="shared" si="4"/>
      </c>
      <c r="V187" s="60">
        <f t="shared" si="5"/>
      </c>
      <c r="W187" s="60">
        <f t="shared" si="6"/>
      </c>
      <c r="X187" s="49">
        <f t="shared" si="7"/>
      </c>
      <c r="Y187" s="2">
        <f t="shared" si="8"/>
      </c>
      <c r="Z187" s="2">
        <f t="shared" si="9"/>
        <v>0</v>
      </c>
      <c r="AA187" s="2">
        <f t="shared" si="10"/>
        <v>0</v>
      </c>
      <c r="AB187" s="2">
        <f t="shared" si="11"/>
        <v>0</v>
      </c>
      <c r="AC187" s="2">
        <f t="shared" si="12"/>
        <v>0</v>
      </c>
      <c r="AD187" s="2">
        <f t="shared" si="13"/>
        <v>0</v>
      </c>
      <c r="AE187" s="2">
        <f t="shared" si="14"/>
        <v>0</v>
      </c>
      <c r="AF187" s="2">
        <f t="shared" si="15"/>
        <v>0</v>
      </c>
      <c r="AG187" s="2">
        <f t="shared" si="16"/>
        <v>0</v>
      </c>
      <c r="AH187" s="2">
        <f t="shared" si="17"/>
        <v>0</v>
      </c>
      <c r="AI187" s="2">
        <f t="shared" si="18"/>
      </c>
    </row>
    <row r="188">
      <c r="A188" s="43">
        <f t="shared" si="0"/>
      </c>
      <c r="B188" s="54" t="n"/>
      <c r="C188" s="45" t="n"/>
      <c r="D188" s="50" t="n"/>
      <c r="E188" s="55" t="n"/>
      <c r="F188" s="50" t="n"/>
      <c r="G188" s="55" t="n"/>
      <c r="H188" s="50" t="n"/>
      <c r="I188" s="55" t="n"/>
      <c r="J188" s="50" t="n"/>
      <c r="K188" s="55" t="n"/>
      <c r="L188" s="56" t="n"/>
      <c r="M188" s="57" t="n"/>
      <c r="N188" s="57" t="n"/>
      <c r="O188" s="57" t="n"/>
      <c r="P188" s="57" t="n"/>
      <c r="Q188" s="50" t="n"/>
      <c r="R188" s="58">
        <f t="shared" si="1"/>
      </c>
      <c r="S188" s="59">
        <f t="shared" si="2"/>
      </c>
      <c r="T188" s="43">
        <f t="shared" si="3"/>
      </c>
      <c r="U188" s="60">
        <f t="shared" si="4"/>
      </c>
      <c r="V188" s="60">
        <f t="shared" si="5"/>
      </c>
      <c r="W188" s="60">
        <f t="shared" si="6"/>
      </c>
      <c r="X188" s="49">
        <f t="shared" si="7"/>
      </c>
      <c r="Y188" s="2">
        <f t="shared" si="8"/>
      </c>
      <c r="Z188" s="2">
        <f t="shared" si="9"/>
        <v>0</v>
      </c>
      <c r="AA188" s="2">
        <f t="shared" si="10"/>
        <v>0</v>
      </c>
      <c r="AB188" s="2">
        <f t="shared" si="11"/>
        <v>0</v>
      </c>
      <c r="AC188" s="2">
        <f t="shared" si="12"/>
        <v>0</v>
      </c>
      <c r="AD188" s="2">
        <f t="shared" si="13"/>
        <v>0</v>
      </c>
      <c r="AE188" s="2">
        <f t="shared" si="14"/>
        <v>0</v>
      </c>
      <c r="AF188" s="2">
        <f t="shared" si="15"/>
        <v>0</v>
      </c>
      <c r="AG188" s="2">
        <f t="shared" si="16"/>
        <v>0</v>
      </c>
      <c r="AH188" s="2">
        <f t="shared" si="17"/>
        <v>0</v>
      </c>
      <c r="AI188" s="2">
        <f t="shared" si="18"/>
      </c>
    </row>
    <row r="189">
      <c r="A189" s="43">
        <f t="shared" si="0"/>
      </c>
      <c r="B189" s="54" t="n"/>
      <c r="C189" s="45" t="n"/>
      <c r="D189" s="50" t="n"/>
      <c r="E189" s="55" t="n"/>
      <c r="F189" s="50" t="n"/>
      <c r="G189" s="55" t="n"/>
      <c r="H189" s="50" t="n"/>
      <c r="I189" s="55" t="n"/>
      <c r="J189" s="50" t="n"/>
      <c r="K189" s="55" t="n"/>
      <c r="L189" s="56" t="n"/>
      <c r="M189" s="57" t="n"/>
      <c r="N189" s="57" t="n"/>
      <c r="O189" s="57" t="n"/>
      <c r="P189" s="57" t="n"/>
      <c r="Q189" s="50" t="n"/>
      <c r="R189" s="58">
        <f t="shared" si="1"/>
      </c>
      <c r="S189" s="59">
        <f t="shared" si="2"/>
      </c>
      <c r="T189" s="43">
        <f t="shared" si="3"/>
      </c>
      <c r="U189" s="60">
        <f t="shared" si="4"/>
      </c>
      <c r="V189" s="60">
        <f t="shared" si="5"/>
      </c>
      <c r="W189" s="60">
        <f t="shared" si="6"/>
      </c>
      <c r="X189" s="49">
        <f t="shared" si="7"/>
      </c>
      <c r="Y189" s="2">
        <f t="shared" si="8"/>
      </c>
      <c r="Z189" s="2">
        <f t="shared" si="9"/>
        <v>0</v>
      </c>
      <c r="AA189" s="2">
        <f t="shared" si="10"/>
        <v>0</v>
      </c>
      <c r="AB189" s="2">
        <f t="shared" si="11"/>
        <v>0</v>
      </c>
      <c r="AC189" s="2">
        <f t="shared" si="12"/>
        <v>0</v>
      </c>
      <c r="AD189" s="2">
        <f t="shared" si="13"/>
        <v>0</v>
      </c>
      <c r="AE189" s="2">
        <f t="shared" si="14"/>
        <v>0</v>
      </c>
      <c r="AF189" s="2">
        <f t="shared" si="15"/>
        <v>0</v>
      </c>
      <c r="AG189" s="2">
        <f t="shared" si="16"/>
        <v>0</v>
      </c>
      <c r="AH189" s="2">
        <f t="shared" si="17"/>
        <v>0</v>
      </c>
      <c r="AI189" s="2">
        <f t="shared" si="18"/>
      </c>
    </row>
    <row r="190">
      <c r="A190" s="43">
        <f t="shared" si="0"/>
      </c>
      <c r="B190" s="54" t="n"/>
      <c r="C190" s="45" t="n"/>
      <c r="D190" s="50" t="n"/>
      <c r="E190" s="55" t="n"/>
      <c r="F190" s="50" t="n"/>
      <c r="G190" s="55" t="n"/>
      <c r="H190" s="50" t="n"/>
      <c r="I190" s="55" t="n"/>
      <c r="J190" s="50" t="n"/>
      <c r="K190" s="55" t="n"/>
      <c r="L190" s="56" t="n"/>
      <c r="M190" s="57" t="n"/>
      <c r="N190" s="57" t="n"/>
      <c r="O190" s="57" t="n"/>
      <c r="P190" s="57" t="n"/>
      <c r="Q190" s="50" t="n"/>
      <c r="R190" s="58">
        <f t="shared" si="1"/>
      </c>
      <c r="S190" s="59">
        <f t="shared" si="2"/>
      </c>
      <c r="T190" s="43">
        <f t="shared" si="3"/>
      </c>
      <c r="U190" s="60">
        <f t="shared" si="4"/>
      </c>
      <c r="V190" s="60">
        <f t="shared" si="5"/>
      </c>
      <c r="W190" s="60">
        <f t="shared" si="6"/>
      </c>
      <c r="X190" s="49">
        <f t="shared" si="7"/>
      </c>
      <c r="Y190" s="2">
        <f t="shared" si="8"/>
      </c>
      <c r="Z190" s="2">
        <f t="shared" si="9"/>
        <v>0</v>
      </c>
      <c r="AA190" s="2">
        <f t="shared" si="10"/>
        <v>0</v>
      </c>
      <c r="AB190" s="2">
        <f t="shared" si="11"/>
        <v>0</v>
      </c>
      <c r="AC190" s="2">
        <f t="shared" si="12"/>
        <v>0</v>
      </c>
      <c r="AD190" s="2">
        <f t="shared" si="13"/>
        <v>0</v>
      </c>
      <c r="AE190" s="2">
        <f t="shared" si="14"/>
        <v>0</v>
      </c>
      <c r="AF190" s="2">
        <f t="shared" si="15"/>
        <v>0</v>
      </c>
      <c r="AG190" s="2">
        <f t="shared" si="16"/>
        <v>0</v>
      </c>
      <c r="AH190" s="2">
        <f t="shared" si="17"/>
        <v>0</v>
      </c>
      <c r="AI190" s="2">
        <f t="shared" si="18"/>
      </c>
    </row>
    <row r="191">
      <c r="A191" s="43">
        <f t="shared" si="0"/>
      </c>
      <c r="B191" s="54" t="n"/>
      <c r="C191" s="45" t="n"/>
      <c r="D191" s="50" t="n"/>
      <c r="E191" s="55" t="n"/>
      <c r="F191" s="50" t="n"/>
      <c r="G191" s="55" t="n"/>
      <c r="H191" s="50" t="n"/>
      <c r="I191" s="55" t="n"/>
      <c r="J191" s="50" t="n"/>
      <c r="K191" s="55" t="n"/>
      <c r="L191" s="56" t="n"/>
      <c r="M191" s="57" t="n"/>
      <c r="N191" s="57" t="n"/>
      <c r="O191" s="57" t="n"/>
      <c r="P191" s="57" t="n"/>
      <c r="Q191" s="50" t="n"/>
      <c r="R191" s="58">
        <f t="shared" si="1"/>
      </c>
      <c r="S191" s="59">
        <f t="shared" si="2"/>
      </c>
      <c r="T191" s="43">
        <f t="shared" si="3"/>
      </c>
      <c r="U191" s="60">
        <f t="shared" si="4"/>
      </c>
      <c r="V191" s="60">
        <f t="shared" si="5"/>
      </c>
      <c r="W191" s="60">
        <f t="shared" si="6"/>
      </c>
      <c r="X191" s="49">
        <f t="shared" si="7"/>
      </c>
      <c r="Y191" s="2">
        <f t="shared" si="8"/>
      </c>
      <c r="Z191" s="2">
        <f t="shared" si="9"/>
        <v>0</v>
      </c>
      <c r="AA191" s="2">
        <f t="shared" si="10"/>
        <v>0</v>
      </c>
      <c r="AB191" s="2">
        <f t="shared" si="11"/>
        <v>0</v>
      </c>
      <c r="AC191" s="2">
        <f t="shared" si="12"/>
        <v>0</v>
      </c>
      <c r="AD191" s="2">
        <f t="shared" si="13"/>
        <v>0</v>
      </c>
      <c r="AE191" s="2">
        <f t="shared" si="14"/>
        <v>0</v>
      </c>
      <c r="AF191" s="2">
        <f t="shared" si="15"/>
        <v>0</v>
      </c>
      <c r="AG191" s="2">
        <f t="shared" si="16"/>
        <v>0</v>
      </c>
      <c r="AH191" s="2">
        <f t="shared" si="17"/>
        <v>0</v>
      </c>
      <c r="AI191" s="2">
        <f t="shared" si="18"/>
      </c>
    </row>
    <row r="192">
      <c r="A192" s="43">
        <f t="shared" si="0"/>
      </c>
      <c r="B192" s="54" t="n"/>
      <c r="C192" s="45" t="n"/>
      <c r="D192" s="50" t="n"/>
      <c r="E192" s="55" t="n"/>
      <c r="F192" s="50" t="n"/>
      <c r="G192" s="55" t="n"/>
      <c r="H192" s="50" t="n"/>
      <c r="I192" s="55" t="n"/>
      <c r="J192" s="50" t="n"/>
      <c r="K192" s="55" t="n"/>
      <c r="L192" s="56" t="n"/>
      <c r="M192" s="57" t="n"/>
      <c r="N192" s="57" t="n"/>
      <c r="O192" s="57" t="n"/>
      <c r="P192" s="57" t="n"/>
      <c r="Q192" s="50" t="n"/>
      <c r="R192" s="58">
        <f t="shared" si="1"/>
      </c>
      <c r="S192" s="59">
        <f t="shared" si="2"/>
      </c>
      <c r="T192" s="43">
        <f t="shared" si="3"/>
      </c>
      <c r="U192" s="60">
        <f t="shared" si="4"/>
      </c>
      <c r="V192" s="60">
        <f t="shared" si="5"/>
      </c>
      <c r="W192" s="60">
        <f t="shared" si="6"/>
      </c>
      <c r="X192" s="49">
        <f t="shared" si="7"/>
      </c>
      <c r="Y192" s="2">
        <f t="shared" si="8"/>
      </c>
      <c r="Z192" s="2">
        <f t="shared" si="9"/>
        <v>0</v>
      </c>
      <c r="AA192" s="2">
        <f t="shared" si="10"/>
        <v>0</v>
      </c>
      <c r="AB192" s="2">
        <f t="shared" si="11"/>
        <v>0</v>
      </c>
      <c r="AC192" s="2">
        <f t="shared" si="12"/>
        <v>0</v>
      </c>
      <c r="AD192" s="2">
        <f t="shared" si="13"/>
        <v>0</v>
      </c>
      <c r="AE192" s="2">
        <f t="shared" si="14"/>
        <v>0</v>
      </c>
      <c r="AF192" s="2">
        <f t="shared" si="15"/>
        <v>0</v>
      </c>
      <c r="AG192" s="2">
        <f t="shared" si="16"/>
        <v>0</v>
      </c>
      <c r="AH192" s="2">
        <f t="shared" si="17"/>
        <v>0</v>
      </c>
      <c r="AI192" s="2">
        <f t="shared" si="18"/>
      </c>
    </row>
    <row r="193">
      <c r="A193" s="43">
        <f t="shared" si="0"/>
      </c>
      <c r="B193" s="54" t="n"/>
      <c r="C193" s="45" t="n"/>
      <c r="D193" s="50" t="n"/>
      <c r="E193" s="55" t="n"/>
      <c r="F193" s="50" t="n"/>
      <c r="G193" s="55" t="n"/>
      <c r="H193" s="50" t="n"/>
      <c r="I193" s="55" t="n"/>
      <c r="J193" s="50" t="n"/>
      <c r="K193" s="55" t="n"/>
      <c r="L193" s="56" t="n"/>
      <c r="M193" s="57" t="n"/>
      <c r="N193" s="57" t="n"/>
      <c r="O193" s="57" t="n"/>
      <c r="P193" s="57" t="n"/>
      <c r="Q193" s="50" t="n"/>
      <c r="R193" s="58">
        <f t="shared" si="1"/>
      </c>
      <c r="S193" s="59">
        <f t="shared" si="2"/>
      </c>
      <c r="T193" s="43">
        <f t="shared" si="3"/>
      </c>
      <c r="U193" s="60">
        <f t="shared" si="4"/>
      </c>
      <c r="V193" s="60">
        <f t="shared" si="5"/>
      </c>
      <c r="W193" s="60">
        <f t="shared" si="6"/>
      </c>
      <c r="X193" s="49">
        <f t="shared" si="7"/>
      </c>
      <c r="Y193" s="2">
        <f t="shared" si="8"/>
      </c>
      <c r="Z193" s="2">
        <f t="shared" si="9"/>
        <v>0</v>
      </c>
      <c r="AA193" s="2">
        <f t="shared" si="10"/>
        <v>0</v>
      </c>
      <c r="AB193" s="2">
        <f t="shared" si="11"/>
        <v>0</v>
      </c>
      <c r="AC193" s="2">
        <f t="shared" si="12"/>
        <v>0</v>
      </c>
      <c r="AD193" s="2">
        <f t="shared" si="13"/>
        <v>0</v>
      </c>
      <c r="AE193" s="2">
        <f t="shared" si="14"/>
        <v>0</v>
      </c>
      <c r="AF193" s="2">
        <f t="shared" si="15"/>
        <v>0</v>
      </c>
      <c r="AG193" s="2">
        <f t="shared" si="16"/>
        <v>0</v>
      </c>
      <c r="AH193" s="2">
        <f t="shared" si="17"/>
        <v>0</v>
      </c>
      <c r="AI193" s="2">
        <f t="shared" si="18"/>
      </c>
    </row>
    <row r="194">
      <c r="A194" s="43">
        <f t="shared" si="0"/>
      </c>
      <c r="B194" s="54" t="n"/>
      <c r="C194" s="45" t="n"/>
      <c r="D194" s="50" t="n"/>
      <c r="E194" s="55" t="n"/>
      <c r="F194" s="50" t="n"/>
      <c r="G194" s="55" t="n"/>
      <c r="H194" s="50" t="n"/>
      <c r="I194" s="55" t="n"/>
      <c r="J194" s="50" t="n"/>
      <c r="K194" s="55" t="n"/>
      <c r="L194" s="56" t="n"/>
      <c r="M194" s="57" t="n"/>
      <c r="N194" s="57" t="n"/>
      <c r="O194" s="57" t="n"/>
      <c r="P194" s="57" t="n"/>
      <c r="Q194" s="50" t="n"/>
      <c r="R194" s="58">
        <f t="shared" si="1"/>
      </c>
      <c r="S194" s="59">
        <f t="shared" si="2"/>
      </c>
      <c r="T194" s="43">
        <f t="shared" si="3"/>
      </c>
      <c r="U194" s="60">
        <f t="shared" si="4"/>
      </c>
      <c r="V194" s="60">
        <f t="shared" si="5"/>
      </c>
      <c r="W194" s="60">
        <f t="shared" si="6"/>
      </c>
      <c r="X194" s="49">
        <f t="shared" si="7"/>
      </c>
      <c r="Y194" s="2">
        <f t="shared" si="8"/>
      </c>
      <c r="Z194" s="2">
        <f t="shared" si="9"/>
        <v>0</v>
      </c>
      <c r="AA194" s="2">
        <f t="shared" si="10"/>
        <v>0</v>
      </c>
      <c r="AB194" s="2">
        <f t="shared" si="11"/>
        <v>0</v>
      </c>
      <c r="AC194" s="2">
        <f t="shared" si="12"/>
        <v>0</v>
      </c>
      <c r="AD194" s="2">
        <f t="shared" si="13"/>
        <v>0</v>
      </c>
      <c r="AE194" s="2">
        <f t="shared" si="14"/>
        <v>0</v>
      </c>
      <c r="AF194" s="2">
        <f t="shared" si="15"/>
        <v>0</v>
      </c>
      <c r="AG194" s="2">
        <f t="shared" si="16"/>
        <v>0</v>
      </c>
      <c r="AH194" s="2">
        <f t="shared" si="17"/>
        <v>0</v>
      </c>
      <c r="AI194" s="2">
        <f t="shared" si="18"/>
      </c>
    </row>
    <row r="195">
      <c r="A195" s="43">
        <f t="shared" si="0"/>
      </c>
      <c r="B195" s="54" t="n"/>
      <c r="C195" s="45" t="n"/>
      <c r="D195" s="50" t="n"/>
      <c r="E195" s="55" t="n"/>
      <c r="F195" s="50" t="n"/>
      <c r="G195" s="55" t="n"/>
      <c r="H195" s="50" t="n"/>
      <c r="I195" s="55" t="n"/>
      <c r="J195" s="50" t="n"/>
      <c r="K195" s="55" t="n"/>
      <c r="L195" s="56" t="n"/>
      <c r="M195" s="57" t="n"/>
      <c r="N195" s="57" t="n"/>
      <c r="O195" s="57" t="n"/>
      <c r="P195" s="57" t="n"/>
      <c r="Q195" s="50" t="n"/>
      <c r="R195" s="58">
        <f t="shared" si="1"/>
      </c>
      <c r="S195" s="59">
        <f t="shared" si="2"/>
      </c>
      <c r="T195" s="43">
        <f t="shared" si="3"/>
      </c>
      <c r="U195" s="60">
        <f t="shared" si="4"/>
      </c>
      <c r="V195" s="60">
        <f t="shared" si="5"/>
      </c>
      <c r="W195" s="60">
        <f t="shared" si="6"/>
      </c>
      <c r="X195" s="49">
        <f t="shared" si="7"/>
      </c>
      <c r="Y195" s="2">
        <f t="shared" si="8"/>
      </c>
      <c r="Z195" s="2">
        <f t="shared" si="9"/>
        <v>0</v>
      </c>
      <c r="AA195" s="2">
        <f t="shared" si="10"/>
        <v>0</v>
      </c>
      <c r="AB195" s="2">
        <f t="shared" si="11"/>
        <v>0</v>
      </c>
      <c r="AC195" s="2">
        <f t="shared" si="12"/>
        <v>0</v>
      </c>
      <c r="AD195" s="2">
        <f t="shared" si="13"/>
        <v>0</v>
      </c>
      <c r="AE195" s="2">
        <f t="shared" si="14"/>
        <v>0</v>
      </c>
      <c r="AF195" s="2">
        <f t="shared" si="15"/>
        <v>0</v>
      </c>
      <c r="AG195" s="2">
        <f t="shared" si="16"/>
        <v>0</v>
      </c>
      <c r="AH195" s="2">
        <f t="shared" si="17"/>
        <v>0</v>
      </c>
      <c r="AI195" s="2">
        <f t="shared" si="18"/>
      </c>
    </row>
    <row r="196">
      <c r="A196" s="43">
        <f t="shared" si="0"/>
      </c>
      <c r="B196" s="54" t="n"/>
      <c r="C196" s="45" t="n"/>
      <c r="D196" s="50" t="n"/>
      <c r="E196" s="55" t="n"/>
      <c r="F196" s="50" t="n"/>
      <c r="G196" s="55" t="n"/>
      <c r="H196" s="50" t="n"/>
      <c r="I196" s="55" t="n"/>
      <c r="J196" s="50" t="n"/>
      <c r="K196" s="55" t="n"/>
      <c r="L196" s="56" t="n"/>
      <c r="M196" s="57" t="n"/>
      <c r="N196" s="57" t="n"/>
      <c r="O196" s="57" t="n"/>
      <c r="P196" s="57" t="n"/>
      <c r="Q196" s="50" t="n"/>
      <c r="R196" s="58">
        <f t="shared" si="1"/>
      </c>
      <c r="S196" s="59">
        <f t="shared" si="2"/>
      </c>
      <c r="T196" s="43">
        <f t="shared" si="3"/>
      </c>
      <c r="U196" s="60">
        <f t="shared" si="4"/>
      </c>
      <c r="V196" s="60">
        <f t="shared" si="5"/>
      </c>
      <c r="W196" s="60">
        <f t="shared" si="6"/>
      </c>
      <c r="X196" s="49">
        <f t="shared" si="7"/>
      </c>
      <c r="Y196" s="2">
        <f t="shared" si="8"/>
      </c>
      <c r="Z196" s="2">
        <f t="shared" si="9"/>
        <v>0</v>
      </c>
      <c r="AA196" s="2">
        <f t="shared" si="10"/>
        <v>0</v>
      </c>
      <c r="AB196" s="2">
        <f t="shared" si="11"/>
        <v>0</v>
      </c>
      <c r="AC196" s="2">
        <f t="shared" si="12"/>
        <v>0</v>
      </c>
      <c r="AD196" s="2">
        <f t="shared" si="13"/>
        <v>0</v>
      </c>
      <c r="AE196" s="2">
        <f t="shared" si="14"/>
        <v>0</v>
      </c>
      <c r="AF196" s="2">
        <f t="shared" si="15"/>
        <v>0</v>
      </c>
      <c r="AG196" s="2">
        <f t="shared" si="16"/>
        <v>0</v>
      </c>
      <c r="AH196" s="2">
        <f t="shared" si="17"/>
        <v>0</v>
      </c>
      <c r="AI196" s="2">
        <f t="shared" si="18"/>
      </c>
    </row>
    <row r="197">
      <c r="A197" s="43">
        <f t="shared" si="0"/>
      </c>
      <c r="B197" s="54" t="n"/>
      <c r="C197" s="45" t="n"/>
      <c r="D197" s="50" t="n"/>
      <c r="E197" s="55" t="n"/>
      <c r="F197" s="50" t="n"/>
      <c r="G197" s="55" t="n"/>
      <c r="H197" s="50" t="n"/>
      <c r="I197" s="55" t="n"/>
      <c r="J197" s="50" t="n"/>
      <c r="K197" s="55" t="n"/>
      <c r="L197" s="56" t="n"/>
      <c r="M197" s="57" t="n"/>
      <c r="N197" s="57" t="n"/>
      <c r="O197" s="57" t="n"/>
      <c r="P197" s="57" t="n"/>
      <c r="Q197" s="50" t="n"/>
      <c r="R197" s="58">
        <f t="shared" si="1"/>
      </c>
      <c r="S197" s="59">
        <f t="shared" si="2"/>
      </c>
      <c r="T197" s="43">
        <f t="shared" si="3"/>
      </c>
      <c r="U197" s="60">
        <f t="shared" si="4"/>
      </c>
      <c r="V197" s="60">
        <f t="shared" si="5"/>
      </c>
      <c r="W197" s="60">
        <f t="shared" si="6"/>
      </c>
      <c r="X197" s="49">
        <f t="shared" si="7"/>
      </c>
      <c r="Y197" s="2">
        <f t="shared" si="8"/>
      </c>
      <c r="Z197" s="2">
        <f t="shared" si="9"/>
        <v>0</v>
      </c>
      <c r="AA197" s="2">
        <f t="shared" si="10"/>
        <v>0</v>
      </c>
      <c r="AB197" s="2">
        <f t="shared" si="11"/>
        <v>0</v>
      </c>
      <c r="AC197" s="2">
        <f t="shared" si="12"/>
        <v>0</v>
      </c>
      <c r="AD197" s="2">
        <f t="shared" si="13"/>
        <v>0</v>
      </c>
      <c r="AE197" s="2">
        <f t="shared" si="14"/>
        <v>0</v>
      </c>
      <c r="AF197" s="2">
        <f t="shared" si="15"/>
        <v>0</v>
      </c>
      <c r="AG197" s="2">
        <f t="shared" si="16"/>
        <v>0</v>
      </c>
      <c r="AH197" s="2">
        <f t="shared" si="17"/>
        <v>0</v>
      </c>
      <c r="AI197" s="2">
        <f t="shared" si="18"/>
      </c>
    </row>
    <row r="198">
      <c r="A198" s="43">
        <f t="shared" si="0"/>
      </c>
      <c r="B198" s="54" t="n"/>
      <c r="C198" s="45" t="n"/>
      <c r="D198" s="50" t="n"/>
      <c r="E198" s="55" t="n"/>
      <c r="F198" s="50" t="n"/>
      <c r="G198" s="55" t="n"/>
      <c r="H198" s="50" t="n"/>
      <c r="I198" s="55" t="n"/>
      <c r="J198" s="50" t="n"/>
      <c r="K198" s="55" t="n"/>
      <c r="L198" s="56" t="n"/>
      <c r="M198" s="57" t="n"/>
      <c r="N198" s="57" t="n"/>
      <c r="O198" s="57" t="n"/>
      <c r="P198" s="57" t="n"/>
      <c r="Q198" s="50" t="n"/>
      <c r="R198" s="58">
        <f t="shared" si="1"/>
      </c>
      <c r="S198" s="59">
        <f t="shared" si="2"/>
      </c>
      <c r="T198" s="43">
        <f t="shared" si="3"/>
      </c>
      <c r="U198" s="60">
        <f t="shared" si="4"/>
      </c>
      <c r="V198" s="60">
        <f t="shared" si="5"/>
      </c>
      <c r="W198" s="60">
        <f t="shared" si="6"/>
      </c>
      <c r="X198" s="49">
        <f t="shared" si="7"/>
      </c>
      <c r="Y198" s="2">
        <f t="shared" si="8"/>
      </c>
      <c r="Z198" s="2">
        <f t="shared" si="9"/>
        <v>0</v>
      </c>
      <c r="AA198" s="2">
        <f t="shared" si="10"/>
        <v>0</v>
      </c>
      <c r="AB198" s="2">
        <f t="shared" si="11"/>
        <v>0</v>
      </c>
      <c r="AC198" s="2">
        <f t="shared" si="12"/>
        <v>0</v>
      </c>
      <c r="AD198" s="2">
        <f t="shared" si="13"/>
        <v>0</v>
      </c>
      <c r="AE198" s="2">
        <f t="shared" si="14"/>
        <v>0</v>
      </c>
      <c r="AF198" s="2">
        <f t="shared" si="15"/>
        <v>0</v>
      </c>
      <c r="AG198" s="2">
        <f t="shared" si="16"/>
        <v>0</v>
      </c>
      <c r="AH198" s="2">
        <f t="shared" si="17"/>
        <v>0</v>
      </c>
      <c r="AI198" s="2">
        <f t="shared" si="18"/>
      </c>
    </row>
    <row r="199">
      <c r="A199" s="43">
        <f t="shared" si="0"/>
      </c>
      <c r="B199" s="54" t="n"/>
      <c r="C199" s="45" t="n"/>
      <c r="D199" s="50" t="n"/>
      <c r="E199" s="55" t="n"/>
      <c r="F199" s="50" t="n"/>
      <c r="G199" s="55" t="n"/>
      <c r="H199" s="50" t="n"/>
      <c r="I199" s="55" t="n"/>
      <c r="J199" s="50" t="n"/>
      <c r="K199" s="55" t="n"/>
      <c r="L199" s="56" t="n"/>
      <c r="M199" s="57" t="n"/>
      <c r="N199" s="57" t="n"/>
      <c r="O199" s="57" t="n"/>
      <c r="P199" s="57" t="n"/>
      <c r="Q199" s="50" t="n"/>
      <c r="R199" s="58">
        <f t="shared" si="1"/>
      </c>
      <c r="S199" s="59">
        <f t="shared" si="2"/>
      </c>
      <c r="T199" s="43">
        <f t="shared" si="3"/>
      </c>
      <c r="U199" s="60">
        <f t="shared" si="4"/>
      </c>
      <c r="V199" s="60">
        <f t="shared" si="5"/>
      </c>
      <c r="W199" s="60">
        <f t="shared" si="6"/>
      </c>
      <c r="X199" s="49">
        <f t="shared" si="7"/>
      </c>
      <c r="Y199" s="2">
        <f t="shared" si="8"/>
      </c>
      <c r="Z199" s="2">
        <f t="shared" si="9"/>
        <v>0</v>
      </c>
      <c r="AA199" s="2">
        <f t="shared" si="10"/>
        <v>0</v>
      </c>
      <c r="AB199" s="2">
        <f t="shared" si="11"/>
        <v>0</v>
      </c>
      <c r="AC199" s="2">
        <f t="shared" si="12"/>
        <v>0</v>
      </c>
      <c r="AD199" s="2">
        <f t="shared" si="13"/>
        <v>0</v>
      </c>
      <c r="AE199" s="2">
        <f t="shared" si="14"/>
        <v>0</v>
      </c>
      <c r="AF199" s="2">
        <f t="shared" si="15"/>
        <v>0</v>
      </c>
      <c r="AG199" s="2">
        <f t="shared" si="16"/>
        <v>0</v>
      </c>
      <c r="AH199" s="2">
        <f t="shared" si="17"/>
        <v>0</v>
      </c>
      <c r="AI199" s="2">
        <f t="shared" si="18"/>
      </c>
    </row>
    <row r="200">
      <c r="A200" s="43">
        <f t="shared" si="0"/>
      </c>
      <c r="B200" s="54" t="n"/>
      <c r="C200" s="45" t="n"/>
      <c r="D200" s="50" t="n"/>
      <c r="E200" s="55" t="n"/>
      <c r="F200" s="50" t="n"/>
      <c r="G200" s="55" t="n"/>
      <c r="H200" s="50" t="n"/>
      <c r="I200" s="55" t="n"/>
      <c r="J200" s="50" t="n"/>
      <c r="K200" s="55" t="n"/>
      <c r="L200" s="56" t="n"/>
      <c r="M200" s="57" t="n"/>
      <c r="N200" s="57" t="n"/>
      <c r="O200" s="57" t="n"/>
      <c r="P200" s="57" t="n"/>
      <c r="Q200" s="50" t="n"/>
      <c r="R200" s="58">
        <f t="shared" si="1"/>
      </c>
      <c r="S200" s="59">
        <f t="shared" si="2"/>
      </c>
      <c r="T200" s="43">
        <f t="shared" si="3"/>
      </c>
      <c r="U200" s="60">
        <f t="shared" si="4"/>
      </c>
      <c r="V200" s="60">
        <f t="shared" si="5"/>
      </c>
      <c r="W200" s="60">
        <f t="shared" si="6"/>
      </c>
      <c r="X200" s="49">
        <f t="shared" si="7"/>
      </c>
      <c r="Y200" s="2">
        <f t="shared" si="8"/>
      </c>
      <c r="Z200" s="2">
        <f t="shared" si="9"/>
        <v>0</v>
      </c>
      <c r="AA200" s="2">
        <f t="shared" si="10"/>
        <v>0</v>
      </c>
      <c r="AB200" s="2">
        <f t="shared" si="11"/>
        <v>0</v>
      </c>
      <c r="AC200" s="2">
        <f t="shared" si="12"/>
        <v>0</v>
      </c>
      <c r="AD200" s="2">
        <f t="shared" si="13"/>
        <v>0</v>
      </c>
      <c r="AE200" s="2">
        <f t="shared" si="14"/>
        <v>0</v>
      </c>
      <c r="AF200" s="2">
        <f t="shared" si="15"/>
        <v>0</v>
      </c>
      <c r="AG200" s="2">
        <f t="shared" si="16"/>
        <v>0</v>
      </c>
      <c r="AH200" s="2">
        <f t="shared" si="17"/>
        <v>0</v>
      </c>
      <c r="AI200" s="2">
        <f t="shared" si="18"/>
      </c>
    </row>
    <row r="201">
      <c r="A201" s="43">
        <f t="shared" si="0"/>
      </c>
      <c r="B201" s="54" t="n"/>
      <c r="C201" s="45" t="n"/>
      <c r="D201" s="50" t="n"/>
      <c r="E201" s="55" t="n"/>
      <c r="F201" s="50" t="n"/>
      <c r="G201" s="55" t="n"/>
      <c r="H201" s="50" t="n"/>
      <c r="I201" s="55" t="n"/>
      <c r="J201" s="50" t="n"/>
      <c r="K201" s="55" t="n"/>
      <c r="L201" s="56" t="n"/>
      <c r="M201" s="57" t="n"/>
      <c r="N201" s="57" t="n"/>
      <c r="O201" s="57" t="n"/>
      <c r="P201" s="57" t="n"/>
      <c r="Q201" s="50" t="n"/>
      <c r="R201" s="58">
        <f t="shared" si="1"/>
      </c>
      <c r="S201" s="59">
        <f t="shared" si="2"/>
      </c>
      <c r="T201" s="43">
        <f t="shared" si="3"/>
      </c>
      <c r="U201" s="60">
        <f t="shared" si="4"/>
      </c>
      <c r="V201" s="60">
        <f t="shared" si="5"/>
      </c>
      <c r="W201" s="60">
        <f t="shared" si="6"/>
      </c>
      <c r="X201" s="49">
        <f t="shared" si="7"/>
      </c>
      <c r="Y201" s="2">
        <f t="shared" si="8"/>
      </c>
      <c r="Z201" s="2">
        <f t="shared" si="9"/>
        <v>0</v>
      </c>
      <c r="AA201" s="2">
        <f t="shared" si="10"/>
        <v>0</v>
      </c>
      <c r="AB201" s="2">
        <f t="shared" si="11"/>
        <v>0</v>
      </c>
      <c r="AC201" s="2">
        <f t="shared" si="12"/>
        <v>0</v>
      </c>
      <c r="AD201" s="2">
        <f t="shared" si="13"/>
        <v>0</v>
      </c>
      <c r="AE201" s="2">
        <f t="shared" si="14"/>
        <v>0</v>
      </c>
      <c r="AF201" s="2">
        <f t="shared" si="15"/>
        <v>0</v>
      </c>
      <c r="AG201" s="2">
        <f t="shared" si="16"/>
        <v>0</v>
      </c>
      <c r="AH201" s="2">
        <f t="shared" si="17"/>
        <v>0</v>
      </c>
      <c r="AI201" s="2">
        <f t="shared" si="18"/>
      </c>
    </row>
    <row r="202">
      <c r="A202" s="43">
        <f t="shared" si="0"/>
      </c>
      <c r="B202" s="54" t="n"/>
      <c r="C202" s="45" t="n"/>
      <c r="D202" s="50" t="n"/>
      <c r="E202" s="55" t="n"/>
      <c r="F202" s="50" t="n"/>
      <c r="G202" s="55" t="n"/>
      <c r="H202" s="50" t="n"/>
      <c r="I202" s="55" t="n"/>
      <c r="J202" s="50" t="n"/>
      <c r="K202" s="55" t="n"/>
      <c r="L202" s="56" t="n"/>
      <c r="M202" s="57" t="n"/>
      <c r="N202" s="57" t="n"/>
      <c r="O202" s="57" t="n"/>
      <c r="P202" s="57" t="n"/>
      <c r="Q202" s="50" t="n"/>
      <c r="R202" s="58">
        <f t="shared" si="1"/>
      </c>
      <c r="S202" s="59">
        <f t="shared" si="2"/>
      </c>
      <c r="T202" s="43">
        <f t="shared" si="3"/>
      </c>
      <c r="U202" s="60">
        <f t="shared" si="4"/>
      </c>
      <c r="V202" s="60">
        <f t="shared" si="5"/>
      </c>
      <c r="W202" s="60">
        <f t="shared" si="6"/>
      </c>
      <c r="X202" s="49">
        <f t="shared" si="7"/>
      </c>
      <c r="Y202" s="2">
        <f t="shared" si="8"/>
      </c>
      <c r="Z202" s="2">
        <f t="shared" si="9"/>
        <v>0</v>
      </c>
      <c r="AA202" s="2">
        <f t="shared" si="10"/>
        <v>0</v>
      </c>
      <c r="AB202" s="2">
        <f t="shared" si="11"/>
        <v>0</v>
      </c>
      <c r="AC202" s="2">
        <f t="shared" si="12"/>
        <v>0</v>
      </c>
      <c r="AD202" s="2">
        <f t="shared" si="13"/>
        <v>0</v>
      </c>
      <c r="AE202" s="2">
        <f t="shared" si="14"/>
        <v>0</v>
      </c>
      <c r="AF202" s="2">
        <f t="shared" si="15"/>
        <v>0</v>
      </c>
      <c r="AG202" s="2">
        <f t="shared" si="16"/>
        <v>0</v>
      </c>
      <c r="AH202" s="2">
        <f t="shared" si="17"/>
        <v>0</v>
      </c>
      <c r="AI202" s="2">
        <f t="shared" si="18"/>
      </c>
    </row>
    <row r="203">
      <c r="A203" s="43">
        <f t="shared" si="0"/>
      </c>
      <c r="B203" s="54" t="n"/>
      <c r="C203" s="45" t="n"/>
      <c r="D203" s="50" t="n"/>
      <c r="E203" s="55" t="n"/>
      <c r="F203" s="50" t="n"/>
      <c r="G203" s="55" t="n"/>
      <c r="H203" s="50" t="n"/>
      <c r="I203" s="55" t="n"/>
      <c r="J203" s="50" t="n"/>
      <c r="K203" s="55" t="n"/>
      <c r="L203" s="56" t="n"/>
      <c r="M203" s="57" t="n"/>
      <c r="N203" s="57" t="n"/>
      <c r="O203" s="57" t="n"/>
      <c r="P203" s="57" t="n"/>
      <c r="Q203" s="50" t="n"/>
      <c r="R203" s="58">
        <f t="shared" si="1"/>
      </c>
      <c r="S203" s="59">
        <f t="shared" si="2"/>
      </c>
      <c r="T203" s="43">
        <f t="shared" si="3"/>
      </c>
      <c r="U203" s="60">
        <f t="shared" si="4"/>
      </c>
      <c r="V203" s="60">
        <f t="shared" si="5"/>
      </c>
      <c r="W203" s="60">
        <f t="shared" si="6"/>
      </c>
      <c r="X203" s="49">
        <f t="shared" si="7"/>
      </c>
      <c r="Y203" s="2">
        <f t="shared" si="8"/>
      </c>
      <c r="Z203" s="2">
        <f t="shared" si="9"/>
        <v>0</v>
      </c>
      <c r="AA203" s="2">
        <f t="shared" si="10"/>
        <v>0</v>
      </c>
      <c r="AB203" s="2">
        <f t="shared" si="11"/>
        <v>0</v>
      </c>
      <c r="AC203" s="2">
        <f t="shared" si="12"/>
        <v>0</v>
      </c>
      <c r="AD203" s="2">
        <f t="shared" si="13"/>
        <v>0</v>
      </c>
      <c r="AE203" s="2">
        <f t="shared" si="14"/>
        <v>0</v>
      </c>
      <c r="AF203" s="2">
        <f t="shared" si="15"/>
        <v>0</v>
      </c>
      <c r="AG203" s="2">
        <f t="shared" si="16"/>
        <v>0</v>
      </c>
      <c r="AH203" s="2">
        <f t="shared" si="17"/>
        <v>0</v>
      </c>
      <c r="AI203" s="2">
        <f t="shared" si="18"/>
      </c>
    </row>
    <row r="204">
      <c r="A204" s="43">
        <f t="shared" si="0"/>
      </c>
      <c r="B204" s="54" t="n"/>
      <c r="C204" s="45" t="n"/>
      <c r="D204" s="50" t="n"/>
      <c r="E204" s="55" t="n"/>
      <c r="F204" s="50" t="n"/>
      <c r="G204" s="55" t="n"/>
      <c r="H204" s="50" t="n"/>
      <c r="I204" s="55" t="n"/>
      <c r="J204" s="50" t="n"/>
      <c r="K204" s="55" t="n"/>
      <c r="L204" s="56" t="n"/>
      <c r="M204" s="57" t="n"/>
      <c r="N204" s="57" t="n"/>
      <c r="O204" s="57" t="n"/>
      <c r="P204" s="57" t="n"/>
      <c r="Q204" s="50" t="n"/>
      <c r="R204" s="58">
        <f t="shared" si="1"/>
      </c>
      <c r="S204" s="59">
        <f t="shared" si="2"/>
      </c>
      <c r="T204" s="43">
        <f t="shared" si="3"/>
      </c>
      <c r="U204" s="60">
        <f t="shared" si="4"/>
      </c>
      <c r="V204" s="60">
        <f t="shared" si="5"/>
      </c>
      <c r="W204" s="60">
        <f t="shared" si="6"/>
      </c>
      <c r="X204" s="49">
        <f t="shared" si="7"/>
      </c>
      <c r="Y204" s="2">
        <f t="shared" si="8"/>
      </c>
      <c r="Z204" s="2">
        <f t="shared" si="9"/>
        <v>0</v>
      </c>
      <c r="AA204" s="2">
        <f t="shared" si="10"/>
        <v>0</v>
      </c>
      <c r="AB204" s="2">
        <f t="shared" si="11"/>
        <v>0</v>
      </c>
      <c r="AC204" s="2">
        <f t="shared" si="12"/>
        <v>0</v>
      </c>
      <c r="AD204" s="2">
        <f t="shared" si="13"/>
        <v>0</v>
      </c>
      <c r="AE204" s="2">
        <f t="shared" si="14"/>
        <v>0</v>
      </c>
      <c r="AF204" s="2">
        <f t="shared" si="15"/>
        <v>0</v>
      </c>
      <c r="AG204" s="2">
        <f t="shared" si="16"/>
        <v>0</v>
      </c>
      <c r="AH204" s="2">
        <f t="shared" si="17"/>
        <v>0</v>
      </c>
      <c r="AI204" s="2">
        <f t="shared" si="18"/>
      </c>
    </row>
    <row r="205">
      <c r="A205" s="43">
        <f t="shared" si="0"/>
      </c>
      <c r="B205" s="54" t="n"/>
      <c r="C205" s="45" t="n"/>
      <c r="D205" s="50" t="n"/>
      <c r="E205" s="55" t="n"/>
      <c r="F205" s="50" t="n"/>
      <c r="G205" s="55" t="n"/>
      <c r="H205" s="50" t="n"/>
      <c r="I205" s="55" t="n"/>
      <c r="J205" s="50" t="n"/>
      <c r="K205" s="55" t="n"/>
      <c r="L205" s="56" t="n"/>
      <c r="M205" s="57" t="n"/>
      <c r="N205" s="57" t="n"/>
      <c r="O205" s="57" t="n"/>
      <c r="P205" s="57" t="n"/>
      <c r="Q205" s="50" t="n"/>
      <c r="R205" s="58">
        <f t="shared" si="1"/>
      </c>
      <c r="S205" s="59">
        <f t="shared" si="2"/>
      </c>
      <c r="T205" s="43">
        <f t="shared" si="3"/>
      </c>
      <c r="U205" s="60">
        <f t="shared" si="4"/>
      </c>
      <c r="V205" s="60">
        <f t="shared" si="5"/>
      </c>
      <c r="W205" s="60">
        <f t="shared" si="6"/>
      </c>
      <c r="X205" s="49">
        <f t="shared" si="7"/>
      </c>
      <c r="Y205" s="2">
        <f t="shared" si="8"/>
      </c>
      <c r="Z205" s="2">
        <f t="shared" si="9"/>
        <v>0</v>
      </c>
      <c r="AA205" s="2">
        <f t="shared" si="10"/>
        <v>0</v>
      </c>
      <c r="AB205" s="2">
        <f t="shared" si="11"/>
        <v>0</v>
      </c>
      <c r="AC205" s="2">
        <f t="shared" si="12"/>
        <v>0</v>
      </c>
      <c r="AD205" s="2">
        <f t="shared" si="13"/>
        <v>0</v>
      </c>
      <c r="AE205" s="2">
        <f t="shared" si="14"/>
        <v>0</v>
      </c>
      <c r="AF205" s="2">
        <f t="shared" si="15"/>
        <v>0</v>
      </c>
      <c r="AG205" s="2">
        <f t="shared" si="16"/>
        <v>0</v>
      </c>
      <c r="AH205" s="2">
        <f t="shared" si="17"/>
        <v>0</v>
      </c>
      <c r="AI205" s="2">
        <f t="shared" si="18"/>
      </c>
    </row>
    <row r="206">
      <c r="A206" s="43">
        <f t="shared" si="0"/>
      </c>
      <c r="B206" s="54" t="n"/>
      <c r="C206" s="45" t="n"/>
      <c r="D206" s="50" t="n"/>
      <c r="E206" s="55" t="n"/>
      <c r="F206" s="50" t="n"/>
      <c r="G206" s="55" t="n"/>
      <c r="H206" s="50" t="n"/>
      <c r="I206" s="55" t="n"/>
      <c r="J206" s="50" t="n"/>
      <c r="K206" s="55" t="n"/>
      <c r="L206" s="56" t="n"/>
      <c r="M206" s="57" t="n"/>
      <c r="N206" s="57" t="n"/>
      <c r="O206" s="57" t="n"/>
      <c r="P206" s="57" t="n"/>
      <c r="Q206" s="50" t="n"/>
      <c r="R206" s="58">
        <f t="shared" si="1"/>
      </c>
      <c r="S206" s="59">
        <f t="shared" si="2"/>
      </c>
      <c r="T206" s="43">
        <f t="shared" si="3"/>
      </c>
      <c r="U206" s="60">
        <f t="shared" si="4"/>
      </c>
      <c r="V206" s="60">
        <f t="shared" si="5"/>
      </c>
      <c r="W206" s="60">
        <f t="shared" si="6"/>
      </c>
      <c r="X206" s="49">
        <f t="shared" si="7"/>
      </c>
      <c r="Y206" s="2">
        <f t="shared" si="8"/>
      </c>
      <c r="Z206" s="2">
        <f t="shared" si="9"/>
        <v>0</v>
      </c>
      <c r="AA206" s="2">
        <f t="shared" si="10"/>
        <v>0</v>
      </c>
      <c r="AB206" s="2">
        <f t="shared" si="11"/>
        <v>0</v>
      </c>
      <c r="AC206" s="2">
        <f t="shared" si="12"/>
        <v>0</v>
      </c>
      <c r="AD206" s="2">
        <f t="shared" si="13"/>
        <v>0</v>
      </c>
      <c r="AE206" s="2">
        <f t="shared" si="14"/>
        <v>0</v>
      </c>
      <c r="AF206" s="2">
        <f t="shared" si="15"/>
        <v>0</v>
      </c>
      <c r="AG206" s="2">
        <f t="shared" si="16"/>
        <v>0</v>
      </c>
      <c r="AH206" s="2">
        <f t="shared" si="17"/>
        <v>0</v>
      </c>
      <c r="AI206" s="2">
        <f t="shared" si="18"/>
      </c>
    </row>
    <row r="207">
      <c r="A207" s="43">
        <f t="shared" si="0"/>
      </c>
      <c r="B207" s="54" t="n"/>
      <c r="C207" s="45" t="n"/>
      <c r="D207" s="50" t="n"/>
      <c r="E207" s="55" t="n"/>
      <c r="F207" s="50" t="n"/>
      <c r="G207" s="55" t="n"/>
      <c r="H207" s="50" t="n"/>
      <c r="I207" s="55" t="n"/>
      <c r="J207" s="50" t="n"/>
      <c r="K207" s="55" t="n"/>
      <c r="L207" s="56" t="n"/>
      <c r="M207" s="57" t="n"/>
      <c r="N207" s="57" t="n"/>
      <c r="O207" s="57" t="n"/>
      <c r="P207" s="57" t="n"/>
      <c r="Q207" s="50" t="n"/>
      <c r="R207" s="58">
        <f t="shared" si="1"/>
      </c>
      <c r="S207" s="59">
        <f t="shared" si="2"/>
      </c>
      <c r="T207" s="43">
        <f t="shared" si="3"/>
      </c>
      <c r="U207" s="60">
        <f t="shared" si="4"/>
      </c>
      <c r="V207" s="60">
        <f t="shared" si="5"/>
      </c>
      <c r="W207" s="60">
        <f t="shared" si="6"/>
      </c>
      <c r="X207" s="49">
        <f t="shared" si="7"/>
      </c>
      <c r="Y207" s="2">
        <f t="shared" si="8"/>
      </c>
      <c r="Z207" s="2">
        <f t="shared" si="9"/>
        <v>0</v>
      </c>
      <c r="AA207" s="2">
        <f t="shared" si="10"/>
        <v>0</v>
      </c>
      <c r="AB207" s="2">
        <f t="shared" si="11"/>
        <v>0</v>
      </c>
      <c r="AC207" s="2">
        <f t="shared" si="12"/>
        <v>0</v>
      </c>
      <c r="AD207" s="2">
        <f t="shared" si="13"/>
        <v>0</v>
      </c>
      <c r="AE207" s="2">
        <f t="shared" si="14"/>
        <v>0</v>
      </c>
      <c r="AF207" s="2">
        <f t="shared" si="15"/>
        <v>0</v>
      </c>
      <c r="AG207" s="2">
        <f t="shared" si="16"/>
        <v>0</v>
      </c>
      <c r="AH207" s="2">
        <f t="shared" si="17"/>
        <v>0</v>
      </c>
      <c r="AI207" s="2">
        <f t="shared" si="18"/>
      </c>
    </row>
    <row r="208">
      <c r="A208" s="43">
        <f t="shared" si="0"/>
      </c>
      <c r="B208" s="54" t="n"/>
      <c r="C208" s="45" t="n"/>
      <c r="D208" s="50" t="n"/>
      <c r="E208" s="55" t="n"/>
      <c r="F208" s="50" t="n"/>
      <c r="G208" s="55" t="n"/>
      <c r="H208" s="50" t="n"/>
      <c r="I208" s="55" t="n"/>
      <c r="J208" s="50" t="n"/>
      <c r="K208" s="55" t="n"/>
      <c r="L208" s="56" t="n"/>
      <c r="M208" s="57" t="n"/>
      <c r="N208" s="57" t="n"/>
      <c r="O208" s="57" t="n"/>
      <c r="P208" s="57" t="n"/>
      <c r="Q208" s="50" t="n"/>
      <c r="R208" s="58">
        <f t="shared" si="1"/>
      </c>
      <c r="S208" s="59">
        <f t="shared" si="2"/>
      </c>
      <c r="T208" s="43">
        <f t="shared" si="3"/>
      </c>
      <c r="U208" s="60">
        <f t="shared" si="4"/>
      </c>
      <c r="V208" s="60">
        <f t="shared" si="5"/>
      </c>
      <c r="W208" s="60">
        <f t="shared" si="6"/>
      </c>
      <c r="X208" s="49">
        <f t="shared" si="7"/>
      </c>
      <c r="Y208" s="2">
        <f t="shared" si="8"/>
      </c>
      <c r="Z208" s="2">
        <f t="shared" si="9"/>
        <v>0</v>
      </c>
      <c r="AA208" s="2">
        <f t="shared" si="10"/>
        <v>0</v>
      </c>
      <c r="AB208" s="2">
        <f t="shared" si="11"/>
        <v>0</v>
      </c>
      <c r="AC208" s="2">
        <f t="shared" si="12"/>
        <v>0</v>
      </c>
      <c r="AD208" s="2">
        <f t="shared" si="13"/>
        <v>0</v>
      </c>
      <c r="AE208" s="2">
        <f t="shared" si="14"/>
        <v>0</v>
      </c>
      <c r="AF208" s="2">
        <f t="shared" si="15"/>
        <v>0</v>
      </c>
      <c r="AG208" s="2">
        <f t="shared" si="16"/>
        <v>0</v>
      </c>
      <c r="AH208" s="2">
        <f t="shared" si="17"/>
        <v>0</v>
      </c>
      <c r="AI208" s="2">
        <f t="shared" si="18"/>
      </c>
    </row>
    <row r="209">
      <c r="A209" s="43">
        <f t="shared" si="0"/>
      </c>
      <c r="B209" s="54" t="n"/>
      <c r="C209" s="45" t="n"/>
      <c r="D209" s="50" t="n"/>
      <c r="E209" s="55" t="n"/>
      <c r="F209" s="50" t="n"/>
      <c r="G209" s="55" t="n"/>
      <c r="H209" s="50" t="n"/>
      <c r="I209" s="55" t="n"/>
      <c r="J209" s="50" t="n"/>
      <c r="K209" s="55" t="n"/>
      <c r="L209" s="56" t="n"/>
      <c r="M209" s="57" t="n"/>
      <c r="N209" s="57" t="n"/>
      <c r="O209" s="57" t="n"/>
      <c r="P209" s="57" t="n"/>
      <c r="Q209" s="50" t="n"/>
      <c r="R209" s="58">
        <f t="shared" si="1"/>
      </c>
      <c r="S209" s="59">
        <f t="shared" si="2"/>
      </c>
      <c r="T209" s="43">
        <f t="shared" si="3"/>
      </c>
      <c r="U209" s="60">
        <f t="shared" si="4"/>
      </c>
      <c r="V209" s="60">
        <f t="shared" si="5"/>
      </c>
      <c r="W209" s="60">
        <f t="shared" si="6"/>
      </c>
      <c r="X209" s="49">
        <f t="shared" si="7"/>
      </c>
      <c r="Y209" s="2">
        <f t="shared" si="8"/>
      </c>
      <c r="Z209" s="2">
        <f t="shared" si="9"/>
        <v>0</v>
      </c>
      <c r="AA209" s="2">
        <f t="shared" si="10"/>
        <v>0</v>
      </c>
      <c r="AB209" s="2">
        <f t="shared" si="11"/>
        <v>0</v>
      </c>
      <c r="AC209" s="2">
        <f t="shared" si="12"/>
        <v>0</v>
      </c>
      <c r="AD209" s="2">
        <f t="shared" si="13"/>
        <v>0</v>
      </c>
      <c r="AE209" s="2">
        <f t="shared" si="14"/>
        <v>0</v>
      </c>
      <c r="AF209" s="2">
        <f t="shared" si="15"/>
        <v>0</v>
      </c>
      <c r="AG209" s="2">
        <f t="shared" si="16"/>
        <v>0</v>
      </c>
      <c r="AH209" s="2">
        <f t="shared" si="17"/>
        <v>0</v>
      </c>
      <c r="AI209" s="2">
        <f t="shared" si="18"/>
      </c>
    </row>
    <row r="210">
      <c r="A210" s="43">
        <f t="shared" si="0"/>
      </c>
      <c r="B210" s="54" t="n"/>
      <c r="C210" s="45" t="n"/>
      <c r="D210" s="50" t="n"/>
      <c r="E210" s="55" t="n"/>
      <c r="F210" s="50" t="n"/>
      <c r="G210" s="55" t="n"/>
      <c r="H210" s="50" t="n"/>
      <c r="I210" s="55" t="n"/>
      <c r="J210" s="50" t="n"/>
      <c r="K210" s="55" t="n"/>
      <c r="L210" s="56" t="n"/>
      <c r="M210" s="57" t="n"/>
      <c r="N210" s="57" t="n"/>
      <c r="O210" s="57" t="n"/>
      <c r="P210" s="57" t="n"/>
      <c r="Q210" s="50" t="n"/>
      <c r="R210" s="58">
        <f t="shared" si="1"/>
      </c>
      <c r="S210" s="59">
        <f t="shared" si="2"/>
      </c>
      <c r="T210" s="43">
        <f t="shared" si="3"/>
      </c>
      <c r="U210" s="60">
        <f t="shared" si="4"/>
      </c>
      <c r="V210" s="60">
        <f t="shared" si="5"/>
      </c>
      <c r="W210" s="60">
        <f t="shared" si="6"/>
      </c>
      <c r="X210" s="49">
        <f t="shared" si="7"/>
      </c>
      <c r="Y210" s="2">
        <f t="shared" si="8"/>
      </c>
      <c r="Z210" s="2">
        <f t="shared" si="9"/>
        <v>0</v>
      </c>
      <c r="AA210" s="2">
        <f t="shared" si="10"/>
        <v>0</v>
      </c>
      <c r="AB210" s="2">
        <f t="shared" si="11"/>
        <v>0</v>
      </c>
      <c r="AC210" s="2">
        <f t="shared" si="12"/>
        <v>0</v>
      </c>
      <c r="AD210" s="2">
        <f t="shared" si="13"/>
        <v>0</v>
      </c>
      <c r="AE210" s="2">
        <f t="shared" si="14"/>
        <v>0</v>
      </c>
      <c r="AF210" s="2">
        <f t="shared" si="15"/>
        <v>0</v>
      </c>
      <c r="AG210" s="2">
        <f t="shared" si="16"/>
        <v>0</v>
      </c>
      <c r="AH210" s="2">
        <f t="shared" si="17"/>
        <v>0</v>
      </c>
      <c r="AI210" s="2">
        <f t="shared" si="18"/>
      </c>
    </row>
    <row r="211">
      <c r="A211" s="43">
        <f t="shared" si="0"/>
      </c>
      <c r="B211" s="54" t="n"/>
      <c r="C211" s="45" t="n"/>
      <c r="D211" s="50" t="n"/>
      <c r="E211" s="55" t="n"/>
      <c r="F211" s="50" t="n"/>
      <c r="G211" s="55" t="n"/>
      <c r="H211" s="50" t="n"/>
      <c r="I211" s="55" t="n"/>
      <c r="J211" s="50" t="n"/>
      <c r="K211" s="55" t="n"/>
      <c r="L211" s="56" t="n"/>
      <c r="M211" s="57" t="n"/>
      <c r="N211" s="57" t="n"/>
      <c r="O211" s="57" t="n"/>
      <c r="P211" s="57" t="n"/>
      <c r="Q211" s="50" t="n"/>
      <c r="R211" s="58">
        <f t="shared" si="1"/>
      </c>
      <c r="S211" s="59">
        <f t="shared" si="2"/>
      </c>
      <c r="T211" s="43">
        <f t="shared" si="3"/>
      </c>
      <c r="U211" s="60">
        <f t="shared" si="4"/>
      </c>
      <c r="V211" s="60">
        <f t="shared" si="5"/>
      </c>
      <c r="W211" s="60">
        <f t="shared" si="6"/>
      </c>
      <c r="X211" s="49">
        <f t="shared" si="7"/>
      </c>
      <c r="Y211" s="2">
        <f t="shared" si="8"/>
      </c>
      <c r="Z211" s="2">
        <f t="shared" si="9"/>
        <v>0</v>
      </c>
      <c r="AA211" s="2">
        <f t="shared" si="10"/>
        <v>0</v>
      </c>
      <c r="AB211" s="2">
        <f t="shared" si="11"/>
        <v>0</v>
      </c>
      <c r="AC211" s="2">
        <f t="shared" si="12"/>
        <v>0</v>
      </c>
      <c r="AD211" s="2">
        <f t="shared" si="13"/>
        <v>0</v>
      </c>
      <c r="AE211" s="2">
        <f t="shared" si="14"/>
        <v>0</v>
      </c>
      <c r="AF211" s="2">
        <f t="shared" si="15"/>
        <v>0</v>
      </c>
      <c r="AG211" s="2">
        <f t="shared" si="16"/>
        <v>0</v>
      </c>
      <c r="AH211" s="2">
        <f t="shared" si="17"/>
        <v>0</v>
      </c>
      <c r="AI211" s="2">
        <f t="shared" si="18"/>
      </c>
    </row>
    <row r="212">
      <c r="A212" s="43">
        <f t="shared" si="0"/>
      </c>
      <c r="B212" s="54" t="n"/>
      <c r="C212" s="45" t="n"/>
      <c r="D212" s="50" t="n"/>
      <c r="E212" s="55" t="n"/>
      <c r="F212" s="50" t="n"/>
      <c r="G212" s="55" t="n"/>
      <c r="H212" s="50" t="n"/>
      <c r="I212" s="55" t="n"/>
      <c r="J212" s="50" t="n"/>
      <c r="K212" s="55" t="n"/>
      <c r="L212" s="56" t="n"/>
      <c r="M212" s="57" t="n"/>
      <c r="N212" s="57" t="n"/>
      <c r="O212" s="57" t="n"/>
      <c r="P212" s="57" t="n"/>
      <c r="Q212" s="50" t="n"/>
      <c r="R212" s="58">
        <f t="shared" si="1"/>
      </c>
      <c r="S212" s="59">
        <f t="shared" si="2"/>
      </c>
      <c r="T212" s="43">
        <f t="shared" si="3"/>
      </c>
      <c r="U212" s="60">
        <f t="shared" si="4"/>
      </c>
      <c r="V212" s="60">
        <f t="shared" si="5"/>
      </c>
      <c r="W212" s="60">
        <f t="shared" si="6"/>
      </c>
      <c r="X212" s="49">
        <f t="shared" si="7"/>
      </c>
      <c r="Y212" s="2">
        <f t="shared" si="8"/>
      </c>
      <c r="Z212" s="2">
        <f t="shared" si="9"/>
        <v>0</v>
      </c>
      <c r="AA212" s="2">
        <f t="shared" si="10"/>
        <v>0</v>
      </c>
      <c r="AB212" s="2">
        <f t="shared" si="11"/>
        <v>0</v>
      </c>
      <c r="AC212" s="2">
        <f t="shared" si="12"/>
        <v>0</v>
      </c>
      <c r="AD212" s="2">
        <f t="shared" si="13"/>
        <v>0</v>
      </c>
      <c r="AE212" s="2">
        <f t="shared" si="14"/>
        <v>0</v>
      </c>
      <c r="AF212" s="2">
        <f t="shared" si="15"/>
        <v>0</v>
      </c>
      <c r="AG212" s="2">
        <f t="shared" si="16"/>
        <v>0</v>
      </c>
      <c r="AH212" s="2">
        <f t="shared" si="17"/>
        <v>0</v>
      </c>
      <c r="AI212" s="2">
        <f t="shared" si="18"/>
      </c>
    </row>
    <row r="213">
      <c r="A213" s="43">
        <f t="shared" si="0"/>
      </c>
      <c r="B213" s="54" t="n"/>
      <c r="C213" s="45" t="n"/>
      <c r="D213" s="50" t="n"/>
      <c r="E213" s="55" t="n"/>
      <c r="F213" s="50" t="n"/>
      <c r="G213" s="55" t="n"/>
      <c r="H213" s="50" t="n"/>
      <c r="I213" s="55" t="n"/>
      <c r="J213" s="50" t="n"/>
      <c r="K213" s="55" t="n"/>
      <c r="L213" s="56" t="n"/>
      <c r="M213" s="57" t="n"/>
      <c r="N213" s="57" t="n"/>
      <c r="O213" s="57" t="n"/>
      <c r="P213" s="57" t="n"/>
      <c r="Q213" s="50" t="n"/>
      <c r="R213" s="58">
        <f t="shared" si="1"/>
      </c>
      <c r="S213" s="59">
        <f t="shared" si="2"/>
      </c>
      <c r="T213" s="43">
        <f t="shared" si="3"/>
      </c>
      <c r="U213" s="60">
        <f t="shared" si="4"/>
      </c>
      <c r="V213" s="60">
        <f t="shared" si="5"/>
      </c>
      <c r="W213" s="60">
        <f t="shared" si="6"/>
      </c>
      <c r="X213" s="49">
        <f t="shared" si="7"/>
      </c>
      <c r="Y213" s="2">
        <f t="shared" si="8"/>
      </c>
      <c r="Z213" s="2">
        <f t="shared" si="9"/>
        <v>0</v>
      </c>
      <c r="AA213" s="2">
        <f t="shared" si="10"/>
        <v>0</v>
      </c>
      <c r="AB213" s="2">
        <f t="shared" si="11"/>
        <v>0</v>
      </c>
      <c r="AC213" s="2">
        <f t="shared" si="12"/>
        <v>0</v>
      </c>
      <c r="AD213" s="2">
        <f t="shared" si="13"/>
        <v>0</v>
      </c>
      <c r="AE213" s="2">
        <f t="shared" si="14"/>
        <v>0</v>
      </c>
      <c r="AF213" s="2">
        <f t="shared" si="15"/>
        <v>0</v>
      </c>
      <c r="AG213" s="2">
        <f t="shared" si="16"/>
        <v>0</v>
      </c>
      <c r="AH213" s="2">
        <f t="shared" si="17"/>
        <v>0</v>
      </c>
      <c r="AI213" s="2">
        <f t="shared" si="18"/>
      </c>
    </row>
    <row r="214">
      <c r="A214" s="43">
        <f t="shared" si="0"/>
      </c>
      <c r="B214" s="54" t="n"/>
      <c r="C214" s="45" t="n"/>
      <c r="D214" s="50" t="n"/>
      <c r="E214" s="55" t="n"/>
      <c r="F214" s="50" t="n"/>
      <c r="G214" s="55" t="n"/>
      <c r="H214" s="50" t="n"/>
      <c r="I214" s="55" t="n"/>
      <c r="J214" s="50" t="n"/>
      <c r="K214" s="55" t="n"/>
      <c r="L214" s="56" t="n"/>
      <c r="M214" s="57" t="n"/>
      <c r="N214" s="57" t="n"/>
      <c r="O214" s="57" t="n"/>
      <c r="P214" s="57" t="n"/>
      <c r="Q214" s="50" t="n"/>
      <c r="R214" s="58">
        <f t="shared" si="1"/>
      </c>
      <c r="S214" s="59">
        <f t="shared" si="2"/>
      </c>
      <c r="T214" s="43">
        <f t="shared" si="3"/>
      </c>
      <c r="U214" s="60">
        <f t="shared" si="4"/>
      </c>
      <c r="V214" s="60">
        <f t="shared" si="5"/>
      </c>
      <c r="W214" s="60">
        <f t="shared" si="6"/>
      </c>
      <c r="X214" s="49">
        <f t="shared" si="7"/>
      </c>
      <c r="Y214" s="2">
        <f t="shared" si="8"/>
      </c>
      <c r="Z214" s="2">
        <f t="shared" si="9"/>
        <v>0</v>
      </c>
      <c r="AA214" s="2">
        <f t="shared" si="10"/>
        <v>0</v>
      </c>
      <c r="AB214" s="2">
        <f t="shared" si="11"/>
        <v>0</v>
      </c>
      <c r="AC214" s="2">
        <f t="shared" si="12"/>
        <v>0</v>
      </c>
      <c r="AD214" s="2">
        <f t="shared" si="13"/>
        <v>0</v>
      </c>
      <c r="AE214" s="2">
        <f t="shared" si="14"/>
        <v>0</v>
      </c>
      <c r="AF214" s="2">
        <f t="shared" si="15"/>
        <v>0</v>
      </c>
      <c r="AG214" s="2">
        <f t="shared" si="16"/>
        <v>0</v>
      </c>
      <c r="AH214" s="2">
        <f t="shared" si="17"/>
        <v>0</v>
      </c>
      <c r="AI214" s="2">
        <f t="shared" si="18"/>
      </c>
    </row>
    <row r="215">
      <c r="A215" s="43">
        <f t="shared" si="0"/>
      </c>
      <c r="B215" s="54" t="n"/>
      <c r="C215" s="45" t="n"/>
      <c r="D215" s="50" t="n"/>
      <c r="E215" s="55" t="n"/>
      <c r="F215" s="50" t="n"/>
      <c r="G215" s="55" t="n"/>
      <c r="H215" s="50" t="n"/>
      <c r="I215" s="55" t="n"/>
      <c r="J215" s="50" t="n"/>
      <c r="K215" s="55" t="n"/>
      <c r="L215" s="56" t="n"/>
      <c r="M215" s="57" t="n"/>
      <c r="N215" s="57" t="n"/>
      <c r="O215" s="57" t="n"/>
      <c r="P215" s="57" t="n"/>
      <c r="Q215" s="50" t="n"/>
      <c r="R215" s="58">
        <f t="shared" si="1"/>
      </c>
      <c r="S215" s="59">
        <f t="shared" si="2"/>
      </c>
      <c r="T215" s="43">
        <f t="shared" si="3"/>
      </c>
      <c r="U215" s="60">
        <f t="shared" si="4"/>
      </c>
      <c r="V215" s="60">
        <f t="shared" si="5"/>
      </c>
      <c r="W215" s="60">
        <f t="shared" si="6"/>
      </c>
      <c r="X215" s="49">
        <f t="shared" si="7"/>
      </c>
      <c r="Y215" s="2">
        <f t="shared" si="8"/>
      </c>
      <c r="Z215" s="2">
        <f t="shared" si="9"/>
        <v>0</v>
      </c>
      <c r="AA215" s="2">
        <f t="shared" si="10"/>
        <v>0</v>
      </c>
      <c r="AB215" s="2">
        <f t="shared" si="11"/>
        <v>0</v>
      </c>
      <c r="AC215" s="2">
        <f t="shared" si="12"/>
        <v>0</v>
      </c>
      <c r="AD215" s="2">
        <f t="shared" si="13"/>
        <v>0</v>
      </c>
      <c r="AE215" s="2">
        <f t="shared" si="14"/>
        <v>0</v>
      </c>
      <c r="AF215" s="2">
        <f t="shared" si="15"/>
        <v>0</v>
      </c>
      <c r="AG215" s="2">
        <f t="shared" si="16"/>
        <v>0</v>
      </c>
      <c r="AH215" s="2">
        <f t="shared" si="17"/>
        <v>0</v>
      </c>
      <c r="AI215" s="2">
        <f t="shared" si="18"/>
      </c>
    </row>
    <row r="216">
      <c r="A216" s="43">
        <f t="shared" si="0"/>
      </c>
      <c r="B216" s="54" t="n"/>
      <c r="C216" s="45" t="n"/>
      <c r="D216" s="50" t="n"/>
      <c r="E216" s="55" t="n"/>
      <c r="F216" s="50" t="n"/>
      <c r="G216" s="55" t="n"/>
      <c r="H216" s="50" t="n"/>
      <c r="I216" s="55" t="n"/>
      <c r="J216" s="50" t="n"/>
      <c r="K216" s="55" t="n"/>
      <c r="L216" s="56" t="n"/>
      <c r="M216" s="57" t="n"/>
      <c r="N216" s="57" t="n"/>
      <c r="O216" s="57" t="n"/>
      <c r="P216" s="57" t="n"/>
      <c r="Q216" s="50" t="n"/>
      <c r="R216" s="58">
        <f t="shared" si="1"/>
      </c>
      <c r="S216" s="59">
        <f t="shared" si="2"/>
      </c>
      <c r="T216" s="43">
        <f t="shared" si="3"/>
      </c>
      <c r="U216" s="60">
        <f t="shared" si="4"/>
      </c>
      <c r="V216" s="60">
        <f t="shared" si="5"/>
      </c>
      <c r="W216" s="60">
        <f t="shared" si="6"/>
      </c>
      <c r="X216" s="49">
        <f t="shared" si="7"/>
      </c>
      <c r="Y216" s="2">
        <f t="shared" si="8"/>
      </c>
      <c r="Z216" s="2">
        <f t="shared" si="9"/>
        <v>0</v>
      </c>
      <c r="AA216" s="2">
        <f t="shared" si="10"/>
        <v>0</v>
      </c>
      <c r="AB216" s="2">
        <f t="shared" si="11"/>
        <v>0</v>
      </c>
      <c r="AC216" s="2">
        <f t="shared" si="12"/>
        <v>0</v>
      </c>
      <c r="AD216" s="2">
        <f t="shared" si="13"/>
        <v>0</v>
      </c>
      <c r="AE216" s="2">
        <f t="shared" si="14"/>
        <v>0</v>
      </c>
      <c r="AF216" s="2">
        <f t="shared" si="15"/>
        <v>0</v>
      </c>
      <c r="AG216" s="2">
        <f t="shared" si="16"/>
        <v>0</v>
      </c>
      <c r="AH216" s="2">
        <f t="shared" si="17"/>
        <v>0</v>
      </c>
      <c r="AI216" s="2">
        <f t="shared" si="18"/>
      </c>
    </row>
    <row r="217">
      <c r="A217" s="43">
        <f t="shared" si="0"/>
      </c>
      <c r="B217" s="54" t="n"/>
      <c r="C217" s="45" t="n"/>
      <c r="D217" s="50" t="n"/>
      <c r="E217" s="55" t="n"/>
      <c r="F217" s="50" t="n"/>
      <c r="G217" s="55" t="n"/>
      <c r="H217" s="50" t="n"/>
      <c r="I217" s="55" t="n"/>
      <c r="J217" s="50" t="n"/>
      <c r="K217" s="55" t="n"/>
      <c r="L217" s="56" t="n"/>
      <c r="M217" s="57" t="n"/>
      <c r="N217" s="57" t="n"/>
      <c r="O217" s="57" t="n"/>
      <c r="P217" s="57" t="n"/>
      <c r="Q217" s="50" t="n"/>
      <c r="R217" s="58">
        <f t="shared" si="1"/>
      </c>
      <c r="S217" s="59">
        <f t="shared" si="2"/>
      </c>
      <c r="T217" s="43">
        <f t="shared" si="3"/>
      </c>
      <c r="U217" s="60">
        <f t="shared" si="4"/>
      </c>
      <c r="V217" s="60">
        <f t="shared" si="5"/>
      </c>
      <c r="W217" s="60">
        <f t="shared" si="6"/>
      </c>
      <c r="X217" s="49">
        <f t="shared" si="7"/>
      </c>
      <c r="Y217" s="2">
        <f t="shared" si="8"/>
      </c>
      <c r="Z217" s="2">
        <f t="shared" si="9"/>
        <v>0</v>
      </c>
      <c r="AA217" s="2">
        <f t="shared" si="10"/>
        <v>0</v>
      </c>
      <c r="AB217" s="2">
        <f t="shared" si="11"/>
        <v>0</v>
      </c>
      <c r="AC217" s="2">
        <f t="shared" si="12"/>
        <v>0</v>
      </c>
      <c r="AD217" s="2">
        <f t="shared" si="13"/>
        <v>0</v>
      </c>
      <c r="AE217" s="2">
        <f t="shared" si="14"/>
        <v>0</v>
      </c>
      <c r="AF217" s="2">
        <f t="shared" si="15"/>
        <v>0</v>
      </c>
      <c r="AG217" s="2">
        <f t="shared" si="16"/>
        <v>0</v>
      </c>
      <c r="AH217" s="2">
        <f t="shared" si="17"/>
        <v>0</v>
      </c>
      <c r="AI217" s="2">
        <f t="shared" si="18"/>
      </c>
    </row>
    <row r="218">
      <c r="A218" s="43">
        <f t="shared" si="0"/>
      </c>
      <c r="B218" s="54" t="n"/>
      <c r="C218" s="45" t="n"/>
      <c r="D218" s="50" t="n"/>
      <c r="E218" s="55" t="n"/>
      <c r="F218" s="50" t="n"/>
      <c r="G218" s="55" t="n"/>
      <c r="H218" s="50" t="n"/>
      <c r="I218" s="55" t="n"/>
      <c r="J218" s="50" t="n"/>
      <c r="K218" s="55" t="n"/>
      <c r="L218" s="56" t="n"/>
      <c r="M218" s="57" t="n"/>
      <c r="N218" s="57" t="n"/>
      <c r="O218" s="57" t="n"/>
      <c r="P218" s="57" t="n"/>
      <c r="Q218" s="50" t="n"/>
      <c r="R218" s="58">
        <f t="shared" si="1"/>
      </c>
      <c r="S218" s="59">
        <f t="shared" si="2"/>
      </c>
      <c r="T218" s="43">
        <f t="shared" si="3"/>
      </c>
      <c r="U218" s="60">
        <f t="shared" si="4"/>
      </c>
      <c r="V218" s="60">
        <f t="shared" si="5"/>
      </c>
      <c r="W218" s="60">
        <f t="shared" si="6"/>
      </c>
      <c r="X218" s="49">
        <f t="shared" si="7"/>
      </c>
      <c r="Y218" s="2">
        <f t="shared" si="8"/>
      </c>
      <c r="Z218" s="2">
        <f t="shared" si="9"/>
        <v>0</v>
      </c>
      <c r="AA218" s="2">
        <f t="shared" si="10"/>
        <v>0</v>
      </c>
      <c r="AB218" s="2">
        <f t="shared" si="11"/>
        <v>0</v>
      </c>
      <c r="AC218" s="2">
        <f t="shared" si="12"/>
        <v>0</v>
      </c>
      <c r="AD218" s="2">
        <f t="shared" si="13"/>
        <v>0</v>
      </c>
      <c r="AE218" s="2">
        <f t="shared" si="14"/>
        <v>0</v>
      </c>
      <c r="AF218" s="2">
        <f t="shared" si="15"/>
        <v>0</v>
      </c>
      <c r="AG218" s="2">
        <f t="shared" si="16"/>
        <v>0</v>
      </c>
      <c r="AH218" s="2">
        <f t="shared" si="17"/>
        <v>0</v>
      </c>
      <c r="AI218" s="2">
        <f t="shared" si="18"/>
      </c>
    </row>
    <row r="219">
      <c r="A219" s="43">
        <f t="shared" si="0"/>
      </c>
      <c r="B219" s="54" t="n"/>
      <c r="C219" s="45" t="n"/>
      <c r="D219" s="50" t="n"/>
      <c r="E219" s="55" t="n"/>
      <c r="F219" s="50" t="n"/>
      <c r="G219" s="55" t="n"/>
      <c r="H219" s="50" t="n"/>
      <c r="I219" s="55" t="n"/>
      <c r="J219" s="50" t="n"/>
      <c r="K219" s="55" t="n"/>
      <c r="L219" s="56" t="n"/>
      <c r="M219" s="57" t="n"/>
      <c r="N219" s="57" t="n"/>
      <c r="O219" s="57" t="n"/>
      <c r="P219" s="57" t="n"/>
      <c r="Q219" s="50" t="n"/>
      <c r="R219" s="58">
        <f t="shared" si="1"/>
      </c>
      <c r="S219" s="59">
        <f t="shared" si="2"/>
      </c>
      <c r="T219" s="43">
        <f t="shared" si="3"/>
      </c>
      <c r="U219" s="60">
        <f t="shared" si="4"/>
      </c>
      <c r="V219" s="60">
        <f t="shared" si="5"/>
      </c>
      <c r="W219" s="60">
        <f t="shared" si="6"/>
      </c>
      <c r="X219" s="49">
        <f t="shared" si="7"/>
      </c>
      <c r="Y219" s="2">
        <f t="shared" si="8"/>
      </c>
      <c r="Z219" s="2">
        <f t="shared" si="9"/>
        <v>0</v>
      </c>
      <c r="AA219" s="2">
        <f t="shared" si="10"/>
        <v>0</v>
      </c>
      <c r="AB219" s="2">
        <f t="shared" si="11"/>
        <v>0</v>
      </c>
      <c r="AC219" s="2">
        <f t="shared" si="12"/>
        <v>0</v>
      </c>
      <c r="AD219" s="2">
        <f t="shared" si="13"/>
        <v>0</v>
      </c>
      <c r="AE219" s="2">
        <f t="shared" si="14"/>
        <v>0</v>
      </c>
      <c r="AF219" s="2">
        <f t="shared" si="15"/>
        <v>0</v>
      </c>
      <c r="AG219" s="2">
        <f t="shared" si="16"/>
        <v>0</v>
      </c>
      <c r="AH219" s="2">
        <f t="shared" si="17"/>
        <v>0</v>
      </c>
      <c r="AI219" s="2">
        <f t="shared" si="18"/>
      </c>
    </row>
    <row r="220">
      <c r="A220" s="43">
        <f t="shared" si="0"/>
      </c>
      <c r="B220" s="54" t="n"/>
      <c r="C220" s="45" t="n"/>
      <c r="D220" s="50" t="n"/>
      <c r="E220" s="55" t="n"/>
      <c r="F220" s="50" t="n"/>
      <c r="G220" s="55" t="n"/>
      <c r="H220" s="50" t="n"/>
      <c r="I220" s="55" t="n"/>
      <c r="J220" s="50" t="n"/>
      <c r="K220" s="55" t="n"/>
      <c r="L220" s="56" t="n"/>
      <c r="M220" s="57" t="n"/>
      <c r="N220" s="57" t="n"/>
      <c r="O220" s="57" t="n"/>
      <c r="P220" s="57" t="n"/>
      <c r="Q220" s="50" t="n"/>
      <c r="R220" s="58">
        <f t="shared" si="1"/>
      </c>
      <c r="S220" s="59">
        <f t="shared" si="2"/>
      </c>
      <c r="T220" s="43">
        <f t="shared" si="3"/>
      </c>
      <c r="U220" s="60">
        <f t="shared" si="4"/>
      </c>
      <c r="V220" s="60">
        <f t="shared" si="5"/>
      </c>
      <c r="W220" s="60">
        <f t="shared" si="6"/>
      </c>
      <c r="X220" s="49">
        <f t="shared" si="7"/>
      </c>
      <c r="Y220" s="2">
        <f t="shared" si="8"/>
      </c>
      <c r="Z220" s="2">
        <f t="shared" si="9"/>
        <v>0</v>
      </c>
      <c r="AA220" s="2">
        <f t="shared" si="10"/>
        <v>0</v>
      </c>
      <c r="AB220" s="2">
        <f t="shared" si="11"/>
        <v>0</v>
      </c>
      <c r="AC220" s="2">
        <f t="shared" si="12"/>
        <v>0</v>
      </c>
      <c r="AD220" s="2">
        <f t="shared" si="13"/>
        <v>0</v>
      </c>
      <c r="AE220" s="2">
        <f t="shared" si="14"/>
        <v>0</v>
      </c>
      <c r="AF220" s="2">
        <f t="shared" si="15"/>
        <v>0</v>
      </c>
      <c r="AG220" s="2">
        <f t="shared" si="16"/>
        <v>0</v>
      </c>
      <c r="AH220" s="2">
        <f t="shared" si="17"/>
        <v>0</v>
      </c>
      <c r="AI220" s="2">
        <f t="shared" si="18"/>
      </c>
    </row>
    <row r="221">
      <c r="A221" s="43">
        <f t="shared" si="0"/>
      </c>
      <c r="B221" s="54" t="n"/>
      <c r="C221" s="45" t="n"/>
      <c r="D221" s="50" t="n"/>
      <c r="E221" s="55" t="n"/>
      <c r="F221" s="50" t="n"/>
      <c r="G221" s="55" t="n"/>
      <c r="H221" s="50" t="n"/>
      <c r="I221" s="55" t="n"/>
      <c r="J221" s="50" t="n"/>
      <c r="K221" s="55" t="n"/>
      <c r="L221" s="56" t="n"/>
      <c r="M221" s="57" t="n"/>
      <c r="N221" s="57" t="n"/>
      <c r="O221" s="57" t="n"/>
      <c r="P221" s="57" t="n"/>
      <c r="Q221" s="50" t="n"/>
      <c r="R221" s="58">
        <f t="shared" si="1"/>
      </c>
      <c r="S221" s="59">
        <f t="shared" si="2"/>
      </c>
      <c r="T221" s="43">
        <f t="shared" si="3"/>
      </c>
      <c r="U221" s="60">
        <f t="shared" si="4"/>
      </c>
      <c r="V221" s="60">
        <f t="shared" si="5"/>
      </c>
      <c r="W221" s="60">
        <f t="shared" si="6"/>
      </c>
      <c r="X221" s="49">
        <f t="shared" si="7"/>
      </c>
      <c r="Y221" s="2">
        <f t="shared" si="8"/>
      </c>
      <c r="Z221" s="2">
        <f t="shared" si="9"/>
        <v>0</v>
      </c>
      <c r="AA221" s="2">
        <f t="shared" si="10"/>
        <v>0</v>
      </c>
      <c r="AB221" s="2">
        <f t="shared" si="11"/>
        <v>0</v>
      </c>
      <c r="AC221" s="2">
        <f t="shared" si="12"/>
        <v>0</v>
      </c>
      <c r="AD221" s="2">
        <f t="shared" si="13"/>
        <v>0</v>
      </c>
      <c r="AE221" s="2">
        <f t="shared" si="14"/>
        <v>0</v>
      </c>
      <c r="AF221" s="2">
        <f t="shared" si="15"/>
        <v>0</v>
      </c>
      <c r="AG221" s="2">
        <f t="shared" si="16"/>
        <v>0</v>
      </c>
      <c r="AH221" s="2">
        <f t="shared" si="17"/>
        <v>0</v>
      </c>
      <c r="AI221" s="2">
        <f t="shared" si="18"/>
      </c>
    </row>
    <row r="222">
      <c r="A222" s="43">
        <f t="shared" si="0"/>
      </c>
      <c r="B222" s="54" t="n"/>
      <c r="C222" s="45" t="n"/>
      <c r="D222" s="50" t="n"/>
      <c r="E222" s="55" t="n"/>
      <c r="F222" s="50" t="n"/>
      <c r="G222" s="55" t="n"/>
      <c r="H222" s="50" t="n"/>
      <c r="I222" s="55" t="n"/>
      <c r="J222" s="50" t="n"/>
      <c r="K222" s="55" t="n"/>
      <c r="L222" s="56" t="n"/>
      <c r="M222" s="57" t="n"/>
      <c r="N222" s="57" t="n"/>
      <c r="O222" s="57" t="n"/>
      <c r="P222" s="57" t="n"/>
      <c r="Q222" s="50" t="n"/>
      <c r="R222" s="58">
        <f t="shared" si="1"/>
      </c>
      <c r="S222" s="59">
        <f t="shared" si="2"/>
      </c>
      <c r="T222" s="43">
        <f t="shared" si="3"/>
      </c>
      <c r="U222" s="60">
        <f t="shared" si="4"/>
      </c>
      <c r="V222" s="60">
        <f t="shared" si="5"/>
      </c>
      <c r="W222" s="60">
        <f t="shared" si="6"/>
      </c>
      <c r="X222" s="49">
        <f t="shared" si="7"/>
      </c>
      <c r="Y222" s="2">
        <f t="shared" si="8"/>
      </c>
      <c r="Z222" s="2">
        <f t="shared" si="9"/>
        <v>0</v>
      </c>
      <c r="AA222" s="2">
        <f t="shared" si="10"/>
        <v>0</v>
      </c>
      <c r="AB222" s="2">
        <f t="shared" si="11"/>
        <v>0</v>
      </c>
      <c r="AC222" s="2">
        <f t="shared" si="12"/>
        <v>0</v>
      </c>
      <c r="AD222" s="2">
        <f t="shared" si="13"/>
        <v>0</v>
      </c>
      <c r="AE222" s="2">
        <f t="shared" si="14"/>
        <v>0</v>
      </c>
      <c r="AF222" s="2">
        <f t="shared" si="15"/>
        <v>0</v>
      </c>
      <c r="AG222" s="2">
        <f t="shared" si="16"/>
        <v>0</v>
      </c>
      <c r="AH222" s="2">
        <f t="shared" si="17"/>
        <v>0</v>
      </c>
      <c r="AI222" s="2">
        <f t="shared" si="18"/>
      </c>
    </row>
    <row r="223">
      <c r="A223" s="43">
        <f t="shared" si="0"/>
      </c>
      <c r="B223" s="54" t="n"/>
      <c r="C223" s="45" t="n"/>
      <c r="D223" s="50" t="n"/>
      <c r="E223" s="55" t="n"/>
      <c r="F223" s="50" t="n"/>
      <c r="G223" s="55" t="n"/>
      <c r="H223" s="50" t="n"/>
      <c r="I223" s="55" t="n"/>
      <c r="J223" s="50" t="n"/>
      <c r="K223" s="55" t="n"/>
      <c r="L223" s="56" t="n"/>
      <c r="M223" s="57" t="n"/>
      <c r="N223" s="57" t="n"/>
      <c r="O223" s="57" t="n"/>
      <c r="P223" s="57" t="n"/>
      <c r="Q223" s="50" t="n"/>
      <c r="R223" s="58">
        <f t="shared" si="1"/>
      </c>
      <c r="S223" s="59">
        <f t="shared" si="2"/>
      </c>
      <c r="T223" s="43">
        <f t="shared" si="3"/>
      </c>
      <c r="U223" s="60">
        <f t="shared" si="4"/>
      </c>
      <c r="V223" s="60">
        <f t="shared" si="5"/>
      </c>
      <c r="W223" s="60">
        <f t="shared" si="6"/>
      </c>
      <c r="X223" s="49">
        <f t="shared" si="7"/>
      </c>
      <c r="Y223" s="2">
        <f t="shared" si="8"/>
      </c>
      <c r="Z223" s="2">
        <f t="shared" si="9"/>
        <v>0</v>
      </c>
      <c r="AA223" s="2">
        <f t="shared" si="10"/>
        <v>0</v>
      </c>
      <c r="AB223" s="2">
        <f t="shared" si="11"/>
        <v>0</v>
      </c>
      <c r="AC223" s="2">
        <f t="shared" si="12"/>
        <v>0</v>
      </c>
      <c r="AD223" s="2">
        <f t="shared" si="13"/>
        <v>0</v>
      </c>
      <c r="AE223" s="2">
        <f t="shared" si="14"/>
        <v>0</v>
      </c>
      <c r="AF223" s="2">
        <f t="shared" si="15"/>
        <v>0</v>
      </c>
      <c r="AG223" s="2">
        <f t="shared" si="16"/>
        <v>0</v>
      </c>
      <c r="AH223" s="2">
        <f t="shared" si="17"/>
        <v>0</v>
      </c>
      <c r="AI223" s="2">
        <f t="shared" si="18"/>
      </c>
    </row>
    <row r="224">
      <c r="A224" s="43">
        <f t="shared" si="0"/>
      </c>
      <c r="B224" s="54" t="n"/>
      <c r="C224" s="45" t="n"/>
      <c r="D224" s="50" t="n"/>
      <c r="E224" s="55" t="n"/>
      <c r="F224" s="50" t="n"/>
      <c r="G224" s="55" t="n"/>
      <c r="H224" s="50" t="n"/>
      <c r="I224" s="55" t="n"/>
      <c r="J224" s="50" t="n"/>
      <c r="K224" s="55" t="n"/>
      <c r="L224" s="56" t="n"/>
      <c r="M224" s="57" t="n"/>
      <c r="N224" s="57" t="n"/>
      <c r="O224" s="57" t="n"/>
      <c r="P224" s="57" t="n"/>
      <c r="Q224" s="50" t="n"/>
      <c r="R224" s="58">
        <f t="shared" si="1"/>
      </c>
      <c r="S224" s="59">
        <f t="shared" si="2"/>
      </c>
      <c r="T224" s="43">
        <f t="shared" si="3"/>
      </c>
      <c r="U224" s="60">
        <f t="shared" si="4"/>
      </c>
      <c r="V224" s="60">
        <f t="shared" si="5"/>
      </c>
      <c r="W224" s="60">
        <f t="shared" si="6"/>
      </c>
      <c r="X224" s="49">
        <f t="shared" si="7"/>
      </c>
      <c r="Y224" s="2">
        <f t="shared" si="8"/>
      </c>
      <c r="Z224" s="2">
        <f t="shared" si="9"/>
        <v>0</v>
      </c>
      <c r="AA224" s="2">
        <f t="shared" si="10"/>
        <v>0</v>
      </c>
      <c r="AB224" s="2">
        <f t="shared" si="11"/>
        <v>0</v>
      </c>
      <c r="AC224" s="2">
        <f t="shared" si="12"/>
        <v>0</v>
      </c>
      <c r="AD224" s="2">
        <f t="shared" si="13"/>
        <v>0</v>
      </c>
      <c r="AE224" s="2">
        <f t="shared" si="14"/>
        <v>0</v>
      </c>
      <c r="AF224" s="2">
        <f t="shared" si="15"/>
        <v>0</v>
      </c>
      <c r="AG224" s="2">
        <f t="shared" si="16"/>
        <v>0</v>
      </c>
      <c r="AH224" s="2">
        <f t="shared" si="17"/>
        <v>0</v>
      </c>
      <c r="AI224" s="2">
        <f t="shared" si="18"/>
      </c>
    </row>
    <row r="225">
      <c r="A225" s="43">
        <f t="shared" si="0"/>
      </c>
      <c r="B225" s="54" t="n"/>
      <c r="C225" s="45" t="n"/>
      <c r="D225" s="50" t="n"/>
      <c r="E225" s="55" t="n"/>
      <c r="F225" s="50" t="n"/>
      <c r="G225" s="55" t="n"/>
      <c r="H225" s="50" t="n"/>
      <c r="I225" s="55" t="n"/>
      <c r="J225" s="50" t="n"/>
      <c r="K225" s="55" t="n"/>
      <c r="L225" s="56" t="n"/>
      <c r="M225" s="57" t="n"/>
      <c r="N225" s="57" t="n"/>
      <c r="O225" s="57" t="n"/>
      <c r="P225" s="57" t="n"/>
      <c r="Q225" s="50" t="n"/>
      <c r="R225" s="58">
        <f t="shared" si="1"/>
      </c>
      <c r="S225" s="59">
        <f t="shared" si="2"/>
      </c>
      <c r="T225" s="43">
        <f t="shared" si="3"/>
      </c>
      <c r="U225" s="60">
        <f t="shared" si="4"/>
      </c>
      <c r="V225" s="60">
        <f t="shared" si="5"/>
      </c>
      <c r="W225" s="60">
        <f t="shared" si="6"/>
      </c>
      <c r="X225" s="49">
        <f t="shared" si="7"/>
      </c>
      <c r="Y225" s="2">
        <f t="shared" si="8"/>
      </c>
      <c r="Z225" s="2">
        <f t="shared" si="9"/>
        <v>0</v>
      </c>
      <c r="AA225" s="2">
        <f t="shared" si="10"/>
        <v>0</v>
      </c>
      <c r="AB225" s="2">
        <f t="shared" si="11"/>
        <v>0</v>
      </c>
      <c r="AC225" s="2">
        <f t="shared" si="12"/>
        <v>0</v>
      </c>
      <c r="AD225" s="2">
        <f t="shared" si="13"/>
        <v>0</v>
      </c>
      <c r="AE225" s="2">
        <f t="shared" si="14"/>
        <v>0</v>
      </c>
      <c r="AF225" s="2">
        <f t="shared" si="15"/>
        <v>0</v>
      </c>
      <c r="AG225" s="2">
        <f t="shared" si="16"/>
        <v>0</v>
      </c>
      <c r="AH225" s="2">
        <f t="shared" si="17"/>
        <v>0</v>
      </c>
      <c r="AI225" s="2">
        <f t="shared" si="18"/>
      </c>
    </row>
    <row r="226">
      <c r="A226" s="43">
        <f t="shared" si="0"/>
      </c>
      <c r="B226" s="54" t="n"/>
      <c r="C226" s="45" t="n"/>
      <c r="D226" s="50" t="n"/>
      <c r="E226" s="55" t="n"/>
      <c r="F226" s="50" t="n"/>
      <c r="G226" s="55" t="n"/>
      <c r="H226" s="50" t="n"/>
      <c r="I226" s="55" t="n"/>
      <c r="J226" s="50" t="n"/>
      <c r="K226" s="55" t="n"/>
      <c r="L226" s="56" t="n"/>
      <c r="M226" s="57" t="n"/>
      <c r="N226" s="57" t="n"/>
      <c r="O226" s="57" t="n"/>
      <c r="P226" s="57" t="n"/>
      <c r="Q226" s="50" t="n"/>
      <c r="R226" s="58">
        <f t="shared" si="1"/>
      </c>
      <c r="S226" s="59">
        <f t="shared" si="2"/>
      </c>
      <c r="T226" s="43">
        <f t="shared" si="3"/>
      </c>
      <c r="U226" s="60">
        <f t="shared" si="4"/>
      </c>
      <c r="V226" s="60">
        <f t="shared" si="5"/>
      </c>
      <c r="W226" s="60">
        <f t="shared" si="6"/>
      </c>
      <c r="X226" s="49">
        <f t="shared" si="7"/>
      </c>
      <c r="Y226" s="2">
        <f t="shared" si="8"/>
      </c>
      <c r="Z226" s="2">
        <f t="shared" si="9"/>
        <v>0</v>
      </c>
      <c r="AA226" s="2">
        <f t="shared" si="10"/>
        <v>0</v>
      </c>
      <c r="AB226" s="2">
        <f t="shared" si="11"/>
        <v>0</v>
      </c>
      <c r="AC226" s="2">
        <f t="shared" si="12"/>
        <v>0</v>
      </c>
      <c r="AD226" s="2">
        <f t="shared" si="13"/>
        <v>0</v>
      </c>
      <c r="AE226" s="2">
        <f t="shared" si="14"/>
        <v>0</v>
      </c>
      <c r="AF226" s="2">
        <f t="shared" si="15"/>
        <v>0</v>
      </c>
      <c r="AG226" s="2">
        <f t="shared" si="16"/>
        <v>0</v>
      </c>
      <c r="AH226" s="2">
        <f t="shared" si="17"/>
        <v>0</v>
      </c>
      <c r="AI226" s="2">
        <f t="shared" si="18"/>
      </c>
    </row>
    <row r="227">
      <c r="A227" s="43">
        <f t="shared" si="0"/>
      </c>
      <c r="B227" s="54" t="n"/>
      <c r="C227" s="45" t="n"/>
      <c r="D227" s="50" t="n"/>
      <c r="E227" s="55" t="n"/>
      <c r="F227" s="50" t="n"/>
      <c r="G227" s="55" t="n"/>
      <c r="H227" s="50" t="n"/>
      <c r="I227" s="55" t="n"/>
      <c r="J227" s="50" t="n"/>
      <c r="K227" s="55" t="n"/>
      <c r="L227" s="56" t="n"/>
      <c r="M227" s="57" t="n"/>
      <c r="N227" s="57" t="n"/>
      <c r="O227" s="57" t="n"/>
      <c r="P227" s="57" t="n"/>
      <c r="Q227" s="50" t="n"/>
      <c r="R227" s="58">
        <f t="shared" si="1"/>
      </c>
      <c r="S227" s="59">
        <f t="shared" si="2"/>
      </c>
      <c r="T227" s="43">
        <f t="shared" si="3"/>
      </c>
      <c r="U227" s="60">
        <f t="shared" si="4"/>
      </c>
      <c r="V227" s="60">
        <f t="shared" si="5"/>
      </c>
      <c r="W227" s="60">
        <f t="shared" si="6"/>
      </c>
      <c r="X227" s="49">
        <f t="shared" si="7"/>
      </c>
      <c r="Y227" s="2">
        <f t="shared" si="8"/>
      </c>
      <c r="Z227" s="2">
        <f t="shared" si="9"/>
        <v>0</v>
      </c>
      <c r="AA227" s="2">
        <f t="shared" si="10"/>
        <v>0</v>
      </c>
      <c r="AB227" s="2">
        <f t="shared" si="11"/>
        <v>0</v>
      </c>
      <c r="AC227" s="2">
        <f t="shared" si="12"/>
        <v>0</v>
      </c>
      <c r="AD227" s="2">
        <f t="shared" si="13"/>
        <v>0</v>
      </c>
      <c r="AE227" s="2">
        <f t="shared" si="14"/>
        <v>0</v>
      </c>
      <c r="AF227" s="2">
        <f t="shared" si="15"/>
        <v>0</v>
      </c>
      <c r="AG227" s="2">
        <f t="shared" si="16"/>
        <v>0</v>
      </c>
      <c r="AH227" s="2">
        <f t="shared" si="17"/>
        <v>0</v>
      </c>
      <c r="AI227" s="2">
        <f t="shared" si="18"/>
      </c>
    </row>
    <row r="228">
      <c r="A228" s="43">
        <f t="shared" si="0"/>
      </c>
      <c r="B228" s="54" t="n"/>
      <c r="C228" s="45" t="n"/>
      <c r="D228" s="50" t="n"/>
      <c r="E228" s="55" t="n"/>
      <c r="F228" s="50" t="n"/>
      <c r="G228" s="55" t="n"/>
      <c r="H228" s="50" t="n"/>
      <c r="I228" s="55" t="n"/>
      <c r="J228" s="50" t="n"/>
      <c r="K228" s="55" t="n"/>
      <c r="L228" s="56" t="n"/>
      <c r="M228" s="57" t="n"/>
      <c r="N228" s="57" t="n"/>
      <c r="O228" s="57" t="n"/>
      <c r="P228" s="57" t="n"/>
      <c r="Q228" s="50" t="n"/>
      <c r="R228" s="58">
        <f t="shared" si="1"/>
      </c>
      <c r="S228" s="59">
        <f t="shared" si="2"/>
      </c>
      <c r="T228" s="43">
        <f t="shared" si="3"/>
      </c>
      <c r="U228" s="60">
        <f t="shared" si="4"/>
      </c>
      <c r="V228" s="60">
        <f t="shared" si="5"/>
      </c>
      <c r="W228" s="60">
        <f t="shared" si="6"/>
      </c>
      <c r="X228" s="49">
        <f t="shared" si="7"/>
      </c>
      <c r="Y228" s="2">
        <f t="shared" si="8"/>
      </c>
      <c r="Z228" s="2">
        <f t="shared" si="9"/>
        <v>0</v>
      </c>
      <c r="AA228" s="2">
        <f t="shared" si="10"/>
        <v>0</v>
      </c>
      <c r="AB228" s="2">
        <f t="shared" si="11"/>
        <v>0</v>
      </c>
      <c r="AC228" s="2">
        <f t="shared" si="12"/>
        <v>0</v>
      </c>
      <c r="AD228" s="2">
        <f t="shared" si="13"/>
        <v>0</v>
      </c>
      <c r="AE228" s="2">
        <f t="shared" si="14"/>
        <v>0</v>
      </c>
      <c r="AF228" s="2">
        <f t="shared" si="15"/>
        <v>0</v>
      </c>
      <c r="AG228" s="2">
        <f t="shared" si="16"/>
        <v>0</v>
      </c>
      <c r="AH228" s="2">
        <f t="shared" si="17"/>
        <v>0</v>
      </c>
      <c r="AI228" s="2">
        <f t="shared" si="18"/>
      </c>
    </row>
    <row r="229">
      <c r="A229" s="43">
        <f t="shared" si="0"/>
      </c>
      <c r="B229" s="54" t="n"/>
      <c r="C229" s="45" t="n"/>
      <c r="D229" s="50" t="n"/>
      <c r="E229" s="55" t="n"/>
      <c r="F229" s="50" t="n"/>
      <c r="G229" s="55" t="n"/>
      <c r="H229" s="50" t="n"/>
      <c r="I229" s="55" t="n"/>
      <c r="J229" s="50" t="n"/>
      <c r="K229" s="55" t="n"/>
      <c r="L229" s="56" t="n"/>
      <c r="M229" s="57" t="n"/>
      <c r="N229" s="57" t="n"/>
      <c r="O229" s="57" t="n"/>
      <c r="P229" s="57" t="n"/>
      <c r="Q229" s="50" t="n"/>
      <c r="R229" s="58">
        <f t="shared" si="1"/>
      </c>
      <c r="S229" s="59">
        <f t="shared" si="2"/>
      </c>
      <c r="T229" s="43">
        <f t="shared" si="3"/>
      </c>
      <c r="U229" s="60">
        <f t="shared" si="4"/>
      </c>
      <c r="V229" s="60">
        <f t="shared" si="5"/>
      </c>
      <c r="W229" s="60">
        <f t="shared" si="6"/>
      </c>
      <c r="X229" s="49">
        <f t="shared" si="7"/>
      </c>
      <c r="Y229" s="2">
        <f t="shared" si="8"/>
      </c>
      <c r="Z229" s="2">
        <f t="shared" si="9"/>
        <v>0</v>
      </c>
      <c r="AA229" s="2">
        <f t="shared" si="10"/>
        <v>0</v>
      </c>
      <c r="AB229" s="2">
        <f t="shared" si="11"/>
        <v>0</v>
      </c>
      <c r="AC229" s="2">
        <f t="shared" si="12"/>
        <v>0</v>
      </c>
      <c r="AD229" s="2">
        <f t="shared" si="13"/>
        <v>0</v>
      </c>
      <c r="AE229" s="2">
        <f t="shared" si="14"/>
        <v>0</v>
      </c>
      <c r="AF229" s="2">
        <f t="shared" si="15"/>
        <v>0</v>
      </c>
      <c r="AG229" s="2">
        <f t="shared" si="16"/>
        <v>0</v>
      </c>
      <c r="AH229" s="2">
        <f t="shared" si="17"/>
        <v>0</v>
      </c>
      <c r="AI229" s="2">
        <f t="shared" si="18"/>
      </c>
    </row>
    <row r="230">
      <c r="A230" s="43">
        <f t="shared" si="0"/>
      </c>
      <c r="B230" s="54" t="n"/>
      <c r="C230" s="45" t="n"/>
      <c r="D230" s="50" t="n"/>
      <c r="E230" s="55" t="n"/>
      <c r="F230" s="50" t="n"/>
      <c r="G230" s="55" t="n"/>
      <c r="H230" s="50" t="n"/>
      <c r="I230" s="55" t="n"/>
      <c r="J230" s="50" t="n"/>
      <c r="K230" s="55" t="n"/>
      <c r="L230" s="56" t="n"/>
      <c r="M230" s="57" t="n"/>
      <c r="N230" s="57" t="n"/>
      <c r="O230" s="57" t="n"/>
      <c r="P230" s="57" t="n"/>
      <c r="Q230" s="50" t="n"/>
      <c r="R230" s="58">
        <f t="shared" si="1"/>
      </c>
      <c r="S230" s="59">
        <f t="shared" si="2"/>
      </c>
      <c r="T230" s="43">
        <f t="shared" si="3"/>
      </c>
      <c r="U230" s="60">
        <f t="shared" si="4"/>
      </c>
      <c r="V230" s="60">
        <f t="shared" si="5"/>
      </c>
      <c r="W230" s="60">
        <f t="shared" si="6"/>
      </c>
      <c r="X230" s="49">
        <f t="shared" si="7"/>
      </c>
      <c r="Y230" s="2">
        <f t="shared" si="8"/>
      </c>
      <c r="Z230" s="2">
        <f t="shared" si="9"/>
        <v>0</v>
      </c>
      <c r="AA230" s="2">
        <f t="shared" si="10"/>
        <v>0</v>
      </c>
      <c r="AB230" s="2">
        <f t="shared" si="11"/>
        <v>0</v>
      </c>
      <c r="AC230" s="2">
        <f t="shared" si="12"/>
        <v>0</v>
      </c>
      <c r="AD230" s="2">
        <f t="shared" si="13"/>
        <v>0</v>
      </c>
      <c r="AE230" s="2">
        <f t="shared" si="14"/>
        <v>0</v>
      </c>
      <c r="AF230" s="2">
        <f t="shared" si="15"/>
        <v>0</v>
      </c>
      <c r="AG230" s="2">
        <f t="shared" si="16"/>
        <v>0</v>
      </c>
      <c r="AH230" s="2">
        <f t="shared" si="17"/>
        <v>0</v>
      </c>
      <c r="AI230" s="2">
        <f t="shared" si="18"/>
      </c>
    </row>
    <row r="231">
      <c r="A231" s="43">
        <f t="shared" si="0"/>
      </c>
      <c r="B231" s="54" t="n"/>
      <c r="C231" s="45" t="n"/>
      <c r="D231" s="50" t="n"/>
      <c r="E231" s="55" t="n"/>
      <c r="F231" s="50" t="n"/>
      <c r="G231" s="55" t="n"/>
      <c r="H231" s="50" t="n"/>
      <c r="I231" s="55" t="n"/>
      <c r="J231" s="50" t="n"/>
      <c r="K231" s="55" t="n"/>
      <c r="L231" s="56" t="n"/>
      <c r="M231" s="57" t="n"/>
      <c r="N231" s="57" t="n"/>
      <c r="O231" s="57" t="n"/>
      <c r="P231" s="57" t="n"/>
      <c r="Q231" s="50" t="n"/>
      <c r="R231" s="58">
        <f t="shared" si="1"/>
      </c>
      <c r="S231" s="59">
        <f t="shared" si="2"/>
      </c>
      <c r="T231" s="43">
        <f t="shared" si="3"/>
      </c>
      <c r="U231" s="60">
        <f t="shared" si="4"/>
      </c>
      <c r="V231" s="60">
        <f t="shared" si="5"/>
      </c>
      <c r="W231" s="60">
        <f t="shared" si="6"/>
      </c>
      <c r="X231" s="49">
        <f t="shared" si="7"/>
      </c>
      <c r="Y231" s="2">
        <f t="shared" si="8"/>
      </c>
      <c r="Z231" s="2">
        <f t="shared" si="9"/>
        <v>0</v>
      </c>
      <c r="AA231" s="2">
        <f t="shared" si="10"/>
        <v>0</v>
      </c>
      <c r="AB231" s="2">
        <f t="shared" si="11"/>
        <v>0</v>
      </c>
      <c r="AC231" s="2">
        <f t="shared" si="12"/>
        <v>0</v>
      </c>
      <c r="AD231" s="2">
        <f t="shared" si="13"/>
        <v>0</v>
      </c>
      <c r="AE231" s="2">
        <f t="shared" si="14"/>
        <v>0</v>
      </c>
      <c r="AF231" s="2">
        <f t="shared" si="15"/>
        <v>0</v>
      </c>
      <c r="AG231" s="2">
        <f t="shared" si="16"/>
        <v>0</v>
      </c>
      <c r="AH231" s="2">
        <f t="shared" si="17"/>
        <v>0</v>
      </c>
      <c r="AI231" s="2">
        <f t="shared" si="18"/>
      </c>
    </row>
    <row r="232">
      <c r="A232" s="43">
        <f t="shared" si="0"/>
      </c>
      <c r="B232" s="54" t="n"/>
      <c r="C232" s="45" t="n"/>
      <c r="D232" s="50" t="n"/>
      <c r="E232" s="55" t="n"/>
      <c r="F232" s="50" t="n"/>
      <c r="G232" s="55" t="n"/>
      <c r="H232" s="50" t="n"/>
      <c r="I232" s="55" t="n"/>
      <c r="J232" s="50" t="n"/>
      <c r="K232" s="55" t="n"/>
      <c r="L232" s="56" t="n"/>
      <c r="M232" s="57" t="n"/>
      <c r="N232" s="57" t="n"/>
      <c r="O232" s="57" t="n"/>
      <c r="P232" s="57" t="n"/>
      <c r="Q232" s="50" t="n"/>
      <c r="R232" s="58">
        <f t="shared" si="1"/>
      </c>
      <c r="S232" s="59">
        <f t="shared" si="2"/>
      </c>
      <c r="T232" s="43">
        <f t="shared" si="3"/>
      </c>
      <c r="U232" s="60">
        <f t="shared" si="4"/>
      </c>
      <c r="V232" s="60">
        <f t="shared" si="5"/>
      </c>
      <c r="W232" s="60">
        <f t="shared" si="6"/>
      </c>
      <c r="X232" s="49">
        <f t="shared" si="7"/>
      </c>
      <c r="Y232" s="2">
        <f t="shared" si="8"/>
      </c>
      <c r="Z232" s="2">
        <f t="shared" si="9"/>
        <v>0</v>
      </c>
      <c r="AA232" s="2">
        <f t="shared" si="10"/>
        <v>0</v>
      </c>
      <c r="AB232" s="2">
        <f t="shared" si="11"/>
        <v>0</v>
      </c>
      <c r="AC232" s="2">
        <f t="shared" si="12"/>
        <v>0</v>
      </c>
      <c r="AD232" s="2">
        <f t="shared" si="13"/>
        <v>0</v>
      </c>
      <c r="AE232" s="2">
        <f t="shared" si="14"/>
        <v>0</v>
      </c>
      <c r="AF232" s="2">
        <f t="shared" si="15"/>
        <v>0</v>
      </c>
      <c r="AG232" s="2">
        <f t="shared" si="16"/>
        <v>0</v>
      </c>
      <c r="AH232" s="2">
        <f t="shared" si="17"/>
        <v>0</v>
      </c>
      <c r="AI232" s="2">
        <f t="shared" si="18"/>
      </c>
    </row>
    <row r="233">
      <c r="A233" s="43">
        <f t="shared" si="0"/>
      </c>
      <c r="B233" s="54" t="n"/>
      <c r="C233" s="45" t="n"/>
      <c r="D233" s="50" t="n"/>
      <c r="E233" s="55" t="n"/>
      <c r="F233" s="50" t="n"/>
      <c r="G233" s="55" t="n"/>
      <c r="H233" s="50" t="n"/>
      <c r="I233" s="55" t="n"/>
      <c r="J233" s="50" t="n"/>
      <c r="K233" s="55" t="n"/>
      <c r="L233" s="56" t="n"/>
      <c r="M233" s="57" t="n"/>
      <c r="N233" s="57" t="n"/>
      <c r="O233" s="57" t="n"/>
      <c r="P233" s="57" t="n"/>
      <c r="Q233" s="50" t="n"/>
      <c r="R233" s="58">
        <f t="shared" si="1"/>
      </c>
      <c r="S233" s="59">
        <f t="shared" si="2"/>
      </c>
      <c r="T233" s="43">
        <f t="shared" si="3"/>
      </c>
      <c r="U233" s="60">
        <f t="shared" si="4"/>
      </c>
      <c r="V233" s="60">
        <f t="shared" si="5"/>
      </c>
      <c r="W233" s="60">
        <f t="shared" si="6"/>
      </c>
      <c r="X233" s="49">
        <f t="shared" si="7"/>
      </c>
      <c r="Y233" s="2">
        <f t="shared" si="8"/>
      </c>
      <c r="Z233" s="2">
        <f t="shared" si="9"/>
        <v>0</v>
      </c>
      <c r="AA233" s="2">
        <f t="shared" si="10"/>
        <v>0</v>
      </c>
      <c r="AB233" s="2">
        <f t="shared" si="11"/>
        <v>0</v>
      </c>
      <c r="AC233" s="2">
        <f t="shared" si="12"/>
        <v>0</v>
      </c>
      <c r="AD233" s="2">
        <f t="shared" si="13"/>
        <v>0</v>
      </c>
      <c r="AE233" s="2">
        <f t="shared" si="14"/>
        <v>0</v>
      </c>
      <c r="AF233" s="2">
        <f t="shared" si="15"/>
        <v>0</v>
      </c>
      <c r="AG233" s="2">
        <f t="shared" si="16"/>
        <v>0</v>
      </c>
      <c r="AH233" s="2">
        <f t="shared" si="17"/>
        <v>0</v>
      </c>
      <c r="AI233" s="2">
        <f t="shared" si="18"/>
      </c>
    </row>
    <row r="234">
      <c r="A234" s="43">
        <f t="shared" si="0"/>
      </c>
      <c r="B234" s="54" t="n"/>
      <c r="C234" s="45" t="n"/>
      <c r="D234" s="50" t="n"/>
      <c r="E234" s="55" t="n"/>
      <c r="F234" s="50" t="n"/>
      <c r="G234" s="55" t="n"/>
      <c r="H234" s="50" t="n"/>
      <c r="I234" s="55" t="n"/>
      <c r="J234" s="50" t="n"/>
      <c r="K234" s="55" t="n"/>
      <c r="L234" s="56" t="n"/>
      <c r="M234" s="57" t="n"/>
      <c r="N234" s="57" t="n"/>
      <c r="O234" s="57" t="n"/>
      <c r="P234" s="57" t="n"/>
      <c r="Q234" s="50" t="n"/>
      <c r="R234" s="58">
        <f t="shared" si="1"/>
      </c>
      <c r="S234" s="59">
        <f t="shared" si="2"/>
      </c>
      <c r="T234" s="43">
        <f t="shared" si="3"/>
      </c>
      <c r="U234" s="60">
        <f t="shared" si="4"/>
      </c>
      <c r="V234" s="60">
        <f t="shared" si="5"/>
      </c>
      <c r="W234" s="60">
        <f t="shared" si="6"/>
      </c>
      <c r="X234" s="49">
        <f t="shared" si="7"/>
      </c>
      <c r="Y234" s="2">
        <f t="shared" si="8"/>
      </c>
      <c r="Z234" s="2">
        <f t="shared" si="9"/>
        <v>0</v>
      </c>
      <c r="AA234" s="2">
        <f t="shared" si="10"/>
        <v>0</v>
      </c>
      <c r="AB234" s="2">
        <f t="shared" si="11"/>
        <v>0</v>
      </c>
      <c r="AC234" s="2">
        <f t="shared" si="12"/>
        <v>0</v>
      </c>
      <c r="AD234" s="2">
        <f t="shared" si="13"/>
        <v>0</v>
      </c>
      <c r="AE234" s="2">
        <f t="shared" si="14"/>
        <v>0</v>
      </c>
      <c r="AF234" s="2">
        <f t="shared" si="15"/>
        <v>0</v>
      </c>
      <c r="AG234" s="2">
        <f t="shared" si="16"/>
        <v>0</v>
      </c>
      <c r="AH234" s="2">
        <f t="shared" si="17"/>
        <v>0</v>
      </c>
      <c r="AI234" s="2">
        <f t="shared" si="18"/>
      </c>
    </row>
    <row r="235">
      <c r="A235" s="43">
        <f t="shared" si="0"/>
      </c>
      <c r="B235" s="54" t="n"/>
      <c r="C235" s="45" t="n"/>
      <c r="D235" s="50" t="n"/>
      <c r="E235" s="55" t="n"/>
      <c r="F235" s="50" t="n"/>
      <c r="G235" s="55" t="n"/>
      <c r="H235" s="50" t="n"/>
      <c r="I235" s="55" t="n"/>
      <c r="J235" s="50" t="n"/>
      <c r="K235" s="55" t="n"/>
      <c r="L235" s="56" t="n"/>
      <c r="M235" s="57" t="n"/>
      <c r="N235" s="57" t="n"/>
      <c r="O235" s="57" t="n"/>
      <c r="P235" s="57" t="n"/>
      <c r="Q235" s="50" t="n"/>
      <c r="R235" s="58">
        <f t="shared" si="1"/>
      </c>
      <c r="S235" s="59">
        <f t="shared" si="2"/>
      </c>
      <c r="T235" s="43">
        <f t="shared" si="3"/>
      </c>
      <c r="U235" s="60">
        <f t="shared" si="4"/>
      </c>
      <c r="V235" s="60">
        <f t="shared" si="5"/>
      </c>
      <c r="W235" s="60">
        <f t="shared" si="6"/>
      </c>
      <c r="X235" s="49">
        <f t="shared" si="7"/>
      </c>
      <c r="Y235" s="2">
        <f t="shared" si="8"/>
      </c>
      <c r="Z235" s="2">
        <f t="shared" si="9"/>
        <v>0</v>
      </c>
      <c r="AA235" s="2">
        <f t="shared" si="10"/>
        <v>0</v>
      </c>
      <c r="AB235" s="2">
        <f t="shared" si="11"/>
        <v>0</v>
      </c>
      <c r="AC235" s="2">
        <f t="shared" si="12"/>
        <v>0</v>
      </c>
      <c r="AD235" s="2">
        <f t="shared" si="13"/>
        <v>0</v>
      </c>
      <c r="AE235" s="2">
        <f t="shared" si="14"/>
        <v>0</v>
      </c>
      <c r="AF235" s="2">
        <f t="shared" si="15"/>
        <v>0</v>
      </c>
      <c r="AG235" s="2">
        <f t="shared" si="16"/>
        <v>0</v>
      </c>
      <c r="AH235" s="2">
        <f t="shared" si="17"/>
        <v>0</v>
      </c>
      <c r="AI235" s="2">
        <f t="shared" si="18"/>
      </c>
    </row>
    <row r="236">
      <c r="A236" s="43">
        <f t="shared" si="0"/>
      </c>
      <c r="B236" s="54" t="n"/>
      <c r="C236" s="45" t="n"/>
      <c r="D236" s="50" t="n"/>
      <c r="E236" s="55" t="n"/>
      <c r="F236" s="50" t="n"/>
      <c r="G236" s="55" t="n"/>
      <c r="H236" s="50" t="n"/>
      <c r="I236" s="55" t="n"/>
      <c r="J236" s="50" t="n"/>
      <c r="K236" s="55" t="n"/>
      <c r="L236" s="56" t="n"/>
      <c r="M236" s="57" t="n"/>
      <c r="N236" s="57" t="n"/>
      <c r="O236" s="57" t="n"/>
      <c r="P236" s="57" t="n"/>
      <c r="Q236" s="50" t="n"/>
      <c r="R236" s="58">
        <f t="shared" si="1"/>
      </c>
      <c r="S236" s="59">
        <f t="shared" si="2"/>
      </c>
      <c r="T236" s="43">
        <f t="shared" si="3"/>
      </c>
      <c r="U236" s="60">
        <f t="shared" si="4"/>
      </c>
      <c r="V236" s="60">
        <f t="shared" si="5"/>
      </c>
      <c r="W236" s="60">
        <f t="shared" si="6"/>
      </c>
      <c r="X236" s="49">
        <f t="shared" si="7"/>
      </c>
      <c r="Y236" s="2">
        <f t="shared" si="8"/>
      </c>
      <c r="Z236" s="2">
        <f t="shared" si="9"/>
        <v>0</v>
      </c>
      <c r="AA236" s="2">
        <f t="shared" si="10"/>
        <v>0</v>
      </c>
      <c r="AB236" s="2">
        <f t="shared" si="11"/>
        <v>0</v>
      </c>
      <c r="AC236" s="2">
        <f t="shared" si="12"/>
        <v>0</v>
      </c>
      <c r="AD236" s="2">
        <f t="shared" si="13"/>
        <v>0</v>
      </c>
      <c r="AE236" s="2">
        <f t="shared" si="14"/>
        <v>0</v>
      </c>
      <c r="AF236" s="2">
        <f t="shared" si="15"/>
        <v>0</v>
      </c>
      <c r="AG236" s="2">
        <f t="shared" si="16"/>
        <v>0</v>
      </c>
      <c r="AH236" s="2">
        <f t="shared" si="17"/>
        <v>0</v>
      </c>
      <c r="AI236" s="2">
        <f t="shared" si="18"/>
      </c>
    </row>
    <row r="237">
      <c r="A237" s="43">
        <f t="shared" si="0"/>
      </c>
      <c r="B237" s="54" t="n"/>
      <c r="C237" s="45" t="n"/>
      <c r="D237" s="50" t="n"/>
      <c r="E237" s="55" t="n"/>
      <c r="F237" s="50" t="n"/>
      <c r="G237" s="55" t="n"/>
      <c r="H237" s="50" t="n"/>
      <c r="I237" s="55" t="n"/>
      <c r="J237" s="50" t="n"/>
      <c r="K237" s="55" t="n"/>
      <c r="L237" s="56" t="n"/>
      <c r="M237" s="57" t="n"/>
      <c r="N237" s="57" t="n"/>
      <c r="O237" s="57" t="n"/>
      <c r="P237" s="57" t="n"/>
      <c r="Q237" s="50" t="n"/>
      <c r="R237" s="58">
        <f t="shared" si="1"/>
      </c>
      <c r="S237" s="59">
        <f t="shared" si="2"/>
      </c>
      <c r="T237" s="43">
        <f t="shared" si="3"/>
      </c>
      <c r="U237" s="60">
        <f t="shared" si="4"/>
      </c>
      <c r="V237" s="60">
        <f t="shared" si="5"/>
      </c>
      <c r="W237" s="60">
        <f t="shared" si="6"/>
      </c>
      <c r="X237" s="49">
        <f t="shared" si="7"/>
      </c>
      <c r="Y237" s="2">
        <f t="shared" si="8"/>
      </c>
      <c r="Z237" s="2">
        <f t="shared" si="9"/>
        <v>0</v>
      </c>
      <c r="AA237" s="2">
        <f t="shared" si="10"/>
        <v>0</v>
      </c>
      <c r="AB237" s="2">
        <f t="shared" si="11"/>
        <v>0</v>
      </c>
      <c r="AC237" s="2">
        <f t="shared" si="12"/>
        <v>0</v>
      </c>
      <c r="AD237" s="2">
        <f t="shared" si="13"/>
        <v>0</v>
      </c>
      <c r="AE237" s="2">
        <f t="shared" si="14"/>
        <v>0</v>
      </c>
      <c r="AF237" s="2">
        <f t="shared" si="15"/>
        <v>0</v>
      </c>
      <c r="AG237" s="2">
        <f t="shared" si="16"/>
        <v>0</v>
      </c>
      <c r="AH237" s="2">
        <f t="shared" si="17"/>
        <v>0</v>
      </c>
      <c r="AI237" s="2">
        <f t="shared" si="18"/>
      </c>
    </row>
    <row r="238">
      <c r="A238" s="43">
        <f t="shared" si="0"/>
      </c>
      <c r="B238" s="54" t="n"/>
      <c r="C238" s="45" t="n"/>
      <c r="D238" s="50" t="n"/>
      <c r="E238" s="55" t="n"/>
      <c r="F238" s="50" t="n"/>
      <c r="G238" s="55" t="n"/>
      <c r="H238" s="50" t="n"/>
      <c r="I238" s="55" t="n"/>
      <c r="J238" s="50" t="n"/>
      <c r="K238" s="55" t="n"/>
      <c r="L238" s="56" t="n"/>
      <c r="M238" s="57" t="n"/>
      <c r="N238" s="57" t="n"/>
      <c r="O238" s="57" t="n"/>
      <c r="P238" s="57" t="n"/>
      <c r="Q238" s="50" t="n"/>
      <c r="R238" s="58">
        <f t="shared" si="1"/>
      </c>
      <c r="S238" s="59">
        <f t="shared" si="2"/>
      </c>
      <c r="T238" s="43">
        <f t="shared" si="3"/>
      </c>
      <c r="U238" s="60">
        <f t="shared" si="4"/>
      </c>
      <c r="V238" s="60">
        <f t="shared" si="5"/>
      </c>
      <c r="W238" s="60">
        <f t="shared" si="6"/>
      </c>
      <c r="X238" s="49">
        <f t="shared" si="7"/>
      </c>
      <c r="Y238" s="2">
        <f t="shared" si="8"/>
      </c>
      <c r="Z238" s="2">
        <f t="shared" si="9"/>
        <v>0</v>
      </c>
      <c r="AA238" s="2">
        <f t="shared" si="10"/>
        <v>0</v>
      </c>
      <c r="AB238" s="2">
        <f t="shared" si="11"/>
        <v>0</v>
      </c>
      <c r="AC238" s="2">
        <f t="shared" si="12"/>
        <v>0</v>
      </c>
      <c r="AD238" s="2">
        <f t="shared" si="13"/>
        <v>0</v>
      </c>
      <c r="AE238" s="2">
        <f t="shared" si="14"/>
        <v>0</v>
      </c>
      <c r="AF238" s="2">
        <f t="shared" si="15"/>
        <v>0</v>
      </c>
      <c r="AG238" s="2">
        <f t="shared" si="16"/>
        <v>0</v>
      </c>
      <c r="AH238" s="2">
        <f t="shared" si="17"/>
        <v>0</v>
      </c>
      <c r="AI238" s="2">
        <f t="shared" si="18"/>
      </c>
    </row>
    <row r="239">
      <c r="A239" s="43">
        <f t="shared" si="0"/>
      </c>
      <c r="B239" s="54" t="n"/>
      <c r="C239" s="45" t="n"/>
      <c r="D239" s="50" t="n"/>
      <c r="E239" s="55" t="n"/>
      <c r="F239" s="50" t="n"/>
      <c r="G239" s="55" t="n"/>
      <c r="H239" s="50" t="n"/>
      <c r="I239" s="55" t="n"/>
      <c r="J239" s="50" t="n"/>
      <c r="K239" s="55" t="n"/>
      <c r="L239" s="56" t="n"/>
      <c r="M239" s="57" t="n"/>
      <c r="N239" s="57" t="n"/>
      <c r="O239" s="57" t="n"/>
      <c r="P239" s="57" t="n"/>
      <c r="Q239" s="50" t="n"/>
      <c r="R239" s="58">
        <f t="shared" si="1"/>
      </c>
      <c r="S239" s="59">
        <f t="shared" si="2"/>
      </c>
      <c r="T239" s="43">
        <f t="shared" si="3"/>
      </c>
      <c r="U239" s="60">
        <f t="shared" si="4"/>
      </c>
      <c r="V239" s="60">
        <f t="shared" si="5"/>
      </c>
      <c r="W239" s="60">
        <f t="shared" si="6"/>
      </c>
      <c r="X239" s="49">
        <f t="shared" si="7"/>
      </c>
      <c r="Y239" s="2">
        <f t="shared" si="8"/>
      </c>
      <c r="Z239" s="2">
        <f t="shared" si="9"/>
        <v>0</v>
      </c>
      <c r="AA239" s="2">
        <f t="shared" si="10"/>
        <v>0</v>
      </c>
      <c r="AB239" s="2">
        <f t="shared" si="11"/>
        <v>0</v>
      </c>
      <c r="AC239" s="2">
        <f t="shared" si="12"/>
        <v>0</v>
      </c>
      <c r="AD239" s="2">
        <f t="shared" si="13"/>
        <v>0</v>
      </c>
      <c r="AE239" s="2">
        <f t="shared" si="14"/>
        <v>0</v>
      </c>
      <c r="AF239" s="2">
        <f t="shared" si="15"/>
        <v>0</v>
      </c>
      <c r="AG239" s="2">
        <f t="shared" si="16"/>
        <v>0</v>
      </c>
      <c r="AH239" s="2">
        <f t="shared" si="17"/>
        <v>0</v>
      </c>
      <c r="AI239" s="2">
        <f t="shared" si="18"/>
      </c>
    </row>
    <row r="240">
      <c r="A240" s="43">
        <f t="shared" si="0"/>
      </c>
      <c r="B240" s="54" t="n"/>
      <c r="C240" s="45" t="n"/>
      <c r="D240" s="50" t="n"/>
      <c r="E240" s="55" t="n"/>
      <c r="F240" s="50" t="n"/>
      <c r="G240" s="55" t="n"/>
      <c r="H240" s="50" t="n"/>
      <c r="I240" s="55" t="n"/>
      <c r="J240" s="50" t="n"/>
      <c r="K240" s="55" t="n"/>
      <c r="L240" s="56" t="n"/>
      <c r="M240" s="57" t="n"/>
      <c r="N240" s="57" t="n"/>
      <c r="O240" s="57" t="n"/>
      <c r="P240" s="57" t="n"/>
      <c r="Q240" s="50" t="n"/>
      <c r="R240" s="58">
        <f t="shared" si="1"/>
      </c>
      <c r="S240" s="59">
        <f t="shared" si="2"/>
      </c>
      <c r="T240" s="43">
        <f t="shared" si="3"/>
      </c>
      <c r="U240" s="60">
        <f t="shared" si="4"/>
      </c>
      <c r="V240" s="60">
        <f t="shared" si="5"/>
      </c>
      <c r="W240" s="60">
        <f t="shared" si="6"/>
      </c>
      <c r="X240" s="49">
        <f t="shared" si="7"/>
      </c>
      <c r="Y240" s="2">
        <f t="shared" si="8"/>
      </c>
      <c r="Z240" s="2">
        <f t="shared" si="9"/>
        <v>0</v>
      </c>
      <c r="AA240" s="2">
        <f t="shared" si="10"/>
        <v>0</v>
      </c>
      <c r="AB240" s="2">
        <f t="shared" si="11"/>
        <v>0</v>
      </c>
      <c r="AC240" s="2">
        <f t="shared" si="12"/>
        <v>0</v>
      </c>
      <c r="AD240" s="2">
        <f t="shared" si="13"/>
        <v>0</v>
      </c>
      <c r="AE240" s="2">
        <f t="shared" si="14"/>
        <v>0</v>
      </c>
      <c r="AF240" s="2">
        <f t="shared" si="15"/>
        <v>0</v>
      </c>
      <c r="AG240" s="2">
        <f t="shared" si="16"/>
        <v>0</v>
      </c>
      <c r="AH240" s="2">
        <f t="shared" si="17"/>
        <v>0</v>
      </c>
      <c r="AI240" s="2">
        <f t="shared" si="18"/>
      </c>
    </row>
    <row r="241">
      <c r="A241" s="43">
        <f t="shared" si="0"/>
      </c>
      <c r="B241" s="54" t="n"/>
      <c r="C241" s="45" t="n"/>
      <c r="D241" s="50" t="n"/>
      <c r="E241" s="55" t="n"/>
      <c r="F241" s="50" t="n"/>
      <c r="G241" s="55" t="n"/>
      <c r="H241" s="50" t="n"/>
      <c r="I241" s="55" t="n"/>
      <c r="J241" s="50" t="n"/>
      <c r="K241" s="55" t="n"/>
      <c r="L241" s="56" t="n"/>
      <c r="M241" s="57" t="n"/>
      <c r="N241" s="57" t="n"/>
      <c r="O241" s="57" t="n"/>
      <c r="P241" s="57" t="n"/>
      <c r="Q241" s="50" t="n"/>
      <c r="R241" s="58">
        <f t="shared" si="1"/>
      </c>
      <c r="S241" s="59">
        <f t="shared" si="2"/>
      </c>
      <c r="T241" s="43">
        <f t="shared" si="3"/>
      </c>
      <c r="U241" s="60">
        <f t="shared" si="4"/>
      </c>
      <c r="V241" s="60">
        <f t="shared" si="5"/>
      </c>
      <c r="W241" s="60">
        <f t="shared" si="6"/>
      </c>
      <c r="X241" s="49">
        <f t="shared" si="7"/>
      </c>
      <c r="Y241" s="2">
        <f t="shared" si="8"/>
      </c>
      <c r="Z241" s="2">
        <f t="shared" si="9"/>
        <v>0</v>
      </c>
      <c r="AA241" s="2">
        <f t="shared" si="10"/>
        <v>0</v>
      </c>
      <c r="AB241" s="2">
        <f t="shared" si="11"/>
        <v>0</v>
      </c>
      <c r="AC241" s="2">
        <f t="shared" si="12"/>
        <v>0</v>
      </c>
      <c r="AD241" s="2">
        <f t="shared" si="13"/>
        <v>0</v>
      </c>
      <c r="AE241" s="2">
        <f t="shared" si="14"/>
        <v>0</v>
      </c>
      <c r="AF241" s="2">
        <f t="shared" si="15"/>
        <v>0</v>
      </c>
      <c r="AG241" s="2">
        <f t="shared" si="16"/>
        <v>0</v>
      </c>
      <c r="AH241" s="2">
        <f t="shared" si="17"/>
        <v>0</v>
      </c>
      <c r="AI241" s="2">
        <f t="shared" si="18"/>
      </c>
    </row>
    <row r="242">
      <c r="A242" s="43">
        <f t="shared" si="0"/>
      </c>
      <c r="B242" s="54" t="n"/>
      <c r="C242" s="45" t="n"/>
      <c r="D242" s="50" t="n"/>
      <c r="E242" s="55" t="n"/>
      <c r="F242" s="50" t="n"/>
      <c r="G242" s="55" t="n"/>
      <c r="H242" s="50" t="n"/>
      <c r="I242" s="55" t="n"/>
      <c r="J242" s="50" t="n"/>
      <c r="K242" s="55" t="n"/>
      <c r="L242" s="56" t="n"/>
      <c r="M242" s="57" t="n"/>
      <c r="N242" s="57" t="n"/>
      <c r="O242" s="57" t="n"/>
      <c r="P242" s="57" t="n"/>
      <c r="Q242" s="50" t="n"/>
      <c r="R242" s="58">
        <f t="shared" si="1"/>
      </c>
      <c r="S242" s="59">
        <f t="shared" si="2"/>
      </c>
      <c r="T242" s="43">
        <f t="shared" si="3"/>
      </c>
      <c r="U242" s="60">
        <f t="shared" si="4"/>
      </c>
      <c r="V242" s="60">
        <f t="shared" si="5"/>
      </c>
      <c r="W242" s="60">
        <f t="shared" si="6"/>
      </c>
      <c r="X242" s="49">
        <f t="shared" si="7"/>
      </c>
      <c r="Y242" s="2">
        <f t="shared" si="8"/>
      </c>
      <c r="Z242" s="2">
        <f t="shared" si="9"/>
        <v>0</v>
      </c>
      <c r="AA242" s="2">
        <f t="shared" si="10"/>
        <v>0</v>
      </c>
      <c r="AB242" s="2">
        <f t="shared" si="11"/>
        <v>0</v>
      </c>
      <c r="AC242" s="2">
        <f t="shared" si="12"/>
        <v>0</v>
      </c>
      <c r="AD242" s="2">
        <f t="shared" si="13"/>
        <v>0</v>
      </c>
      <c r="AE242" s="2">
        <f t="shared" si="14"/>
        <v>0</v>
      </c>
      <c r="AF242" s="2">
        <f t="shared" si="15"/>
        <v>0</v>
      </c>
      <c r="AG242" s="2">
        <f t="shared" si="16"/>
        <v>0</v>
      </c>
      <c r="AH242" s="2">
        <f t="shared" si="17"/>
        <v>0</v>
      </c>
      <c r="AI242" s="2">
        <f t="shared" si="18"/>
      </c>
    </row>
    <row r="243">
      <c r="A243" s="43">
        <f t="shared" si="0"/>
      </c>
      <c r="B243" s="54" t="n"/>
      <c r="C243" s="45" t="n"/>
      <c r="D243" s="50" t="n"/>
      <c r="E243" s="55" t="n"/>
      <c r="F243" s="50" t="n"/>
      <c r="G243" s="55" t="n"/>
      <c r="H243" s="50" t="n"/>
      <c r="I243" s="55" t="n"/>
      <c r="J243" s="50" t="n"/>
      <c r="K243" s="55" t="n"/>
      <c r="L243" s="56" t="n"/>
      <c r="M243" s="57" t="n"/>
      <c r="N243" s="57" t="n"/>
      <c r="O243" s="57" t="n"/>
      <c r="P243" s="57" t="n"/>
      <c r="Q243" s="50" t="n"/>
      <c r="R243" s="58">
        <f t="shared" si="1"/>
      </c>
      <c r="S243" s="59">
        <f t="shared" si="2"/>
      </c>
      <c r="T243" s="43">
        <f t="shared" si="3"/>
      </c>
      <c r="U243" s="60">
        <f t="shared" si="4"/>
      </c>
      <c r="V243" s="60">
        <f t="shared" si="5"/>
      </c>
      <c r="W243" s="60">
        <f t="shared" si="6"/>
      </c>
      <c r="X243" s="49">
        <f t="shared" si="7"/>
      </c>
      <c r="Y243" s="2">
        <f t="shared" si="8"/>
      </c>
      <c r="Z243" s="2">
        <f t="shared" si="9"/>
        <v>0</v>
      </c>
      <c r="AA243" s="2">
        <f t="shared" si="10"/>
        <v>0</v>
      </c>
      <c r="AB243" s="2">
        <f t="shared" si="11"/>
        <v>0</v>
      </c>
      <c r="AC243" s="2">
        <f t="shared" si="12"/>
        <v>0</v>
      </c>
      <c r="AD243" s="2">
        <f t="shared" si="13"/>
        <v>0</v>
      </c>
      <c r="AE243" s="2">
        <f t="shared" si="14"/>
        <v>0</v>
      </c>
      <c r="AF243" s="2">
        <f t="shared" si="15"/>
        <v>0</v>
      </c>
      <c r="AG243" s="2">
        <f t="shared" si="16"/>
        <v>0</v>
      </c>
      <c r="AH243" s="2">
        <f t="shared" si="17"/>
        <v>0</v>
      </c>
      <c r="AI243" s="2">
        <f t="shared" si="18"/>
      </c>
    </row>
    <row r="244">
      <c r="A244" s="43">
        <f t="shared" si="0"/>
      </c>
      <c r="B244" s="54" t="n"/>
      <c r="C244" s="45" t="n"/>
      <c r="D244" s="50" t="n"/>
      <c r="E244" s="55" t="n"/>
      <c r="F244" s="50" t="n"/>
      <c r="G244" s="55" t="n"/>
      <c r="H244" s="50" t="n"/>
      <c r="I244" s="55" t="n"/>
      <c r="J244" s="50" t="n"/>
      <c r="K244" s="55" t="n"/>
      <c r="L244" s="56" t="n"/>
      <c r="M244" s="57" t="n"/>
      <c r="N244" s="57" t="n"/>
      <c r="O244" s="57" t="n"/>
      <c r="P244" s="57" t="n"/>
      <c r="Q244" s="50" t="n"/>
      <c r="R244" s="58">
        <f t="shared" si="1"/>
      </c>
      <c r="S244" s="59">
        <f t="shared" si="2"/>
      </c>
      <c r="T244" s="43">
        <f t="shared" si="3"/>
      </c>
      <c r="U244" s="60">
        <f t="shared" si="4"/>
      </c>
      <c r="V244" s="60">
        <f t="shared" si="5"/>
      </c>
      <c r="W244" s="60">
        <f t="shared" si="6"/>
      </c>
      <c r="X244" s="49">
        <f t="shared" si="7"/>
      </c>
      <c r="Y244" s="2">
        <f t="shared" si="8"/>
      </c>
      <c r="Z244" s="2">
        <f t="shared" si="9"/>
        <v>0</v>
      </c>
      <c r="AA244" s="2">
        <f t="shared" si="10"/>
        <v>0</v>
      </c>
      <c r="AB244" s="2">
        <f t="shared" si="11"/>
        <v>0</v>
      </c>
      <c r="AC244" s="2">
        <f t="shared" si="12"/>
        <v>0</v>
      </c>
      <c r="AD244" s="2">
        <f t="shared" si="13"/>
        <v>0</v>
      </c>
      <c r="AE244" s="2">
        <f t="shared" si="14"/>
        <v>0</v>
      </c>
      <c r="AF244" s="2">
        <f t="shared" si="15"/>
        <v>0</v>
      </c>
      <c r="AG244" s="2">
        <f t="shared" si="16"/>
        <v>0</v>
      </c>
      <c r="AH244" s="2">
        <f t="shared" si="17"/>
        <v>0</v>
      </c>
      <c r="AI244" s="2">
        <f t="shared" si="18"/>
      </c>
    </row>
    <row r="245">
      <c r="A245" s="43">
        <f t="shared" si="0"/>
      </c>
      <c r="B245" s="54" t="n"/>
      <c r="C245" s="45" t="n"/>
      <c r="D245" s="50" t="n"/>
      <c r="E245" s="55" t="n"/>
      <c r="F245" s="50" t="n"/>
      <c r="G245" s="55" t="n"/>
      <c r="H245" s="50" t="n"/>
      <c r="I245" s="55" t="n"/>
      <c r="J245" s="50" t="n"/>
      <c r="K245" s="55" t="n"/>
      <c r="L245" s="56" t="n"/>
      <c r="M245" s="57" t="n"/>
      <c r="N245" s="57" t="n"/>
      <c r="O245" s="57" t="n"/>
      <c r="P245" s="57" t="n"/>
      <c r="Q245" s="50" t="n"/>
      <c r="R245" s="58">
        <f t="shared" si="1"/>
      </c>
      <c r="S245" s="59">
        <f t="shared" si="2"/>
      </c>
      <c r="T245" s="43">
        <f t="shared" si="3"/>
      </c>
      <c r="U245" s="60">
        <f t="shared" si="4"/>
      </c>
      <c r="V245" s="60">
        <f t="shared" si="5"/>
      </c>
      <c r="W245" s="60">
        <f t="shared" si="6"/>
      </c>
      <c r="X245" s="49">
        <f t="shared" si="7"/>
      </c>
      <c r="Y245" s="2">
        <f t="shared" si="8"/>
      </c>
      <c r="Z245" s="2">
        <f t="shared" si="9"/>
        <v>0</v>
      </c>
      <c r="AA245" s="2">
        <f t="shared" si="10"/>
        <v>0</v>
      </c>
      <c r="AB245" s="2">
        <f t="shared" si="11"/>
        <v>0</v>
      </c>
      <c r="AC245" s="2">
        <f t="shared" si="12"/>
        <v>0</v>
      </c>
      <c r="AD245" s="2">
        <f t="shared" si="13"/>
        <v>0</v>
      </c>
      <c r="AE245" s="2">
        <f t="shared" si="14"/>
        <v>0</v>
      </c>
      <c r="AF245" s="2">
        <f t="shared" si="15"/>
        <v>0</v>
      </c>
      <c r="AG245" s="2">
        <f t="shared" si="16"/>
        <v>0</v>
      </c>
      <c r="AH245" s="2">
        <f t="shared" si="17"/>
        <v>0</v>
      </c>
      <c r="AI245" s="2">
        <f t="shared" si="18"/>
      </c>
    </row>
    <row r="246">
      <c r="A246" s="43">
        <f t="shared" si="0"/>
      </c>
      <c r="B246" s="54" t="n"/>
      <c r="C246" s="45" t="n"/>
      <c r="D246" s="50" t="n"/>
      <c r="E246" s="55" t="n"/>
      <c r="F246" s="50" t="n"/>
      <c r="G246" s="55" t="n"/>
      <c r="H246" s="50" t="n"/>
      <c r="I246" s="55" t="n"/>
      <c r="J246" s="50" t="n"/>
      <c r="K246" s="55" t="n"/>
      <c r="L246" s="56" t="n"/>
      <c r="M246" s="57" t="n"/>
      <c r="N246" s="57" t="n"/>
      <c r="O246" s="57" t="n"/>
      <c r="P246" s="57" t="n"/>
      <c r="Q246" s="50" t="n"/>
      <c r="R246" s="58">
        <f t="shared" si="1"/>
      </c>
      <c r="S246" s="59">
        <f t="shared" si="2"/>
      </c>
      <c r="T246" s="43">
        <f t="shared" si="3"/>
      </c>
      <c r="U246" s="60">
        <f t="shared" si="4"/>
      </c>
      <c r="V246" s="60">
        <f t="shared" si="5"/>
      </c>
      <c r="W246" s="60">
        <f t="shared" si="6"/>
      </c>
      <c r="X246" s="49">
        <f t="shared" si="7"/>
      </c>
      <c r="Y246" s="2">
        <f t="shared" si="8"/>
      </c>
      <c r="Z246" s="2">
        <f t="shared" si="9"/>
        <v>0</v>
      </c>
      <c r="AA246" s="2">
        <f t="shared" si="10"/>
        <v>0</v>
      </c>
      <c r="AB246" s="2">
        <f t="shared" si="11"/>
        <v>0</v>
      </c>
      <c r="AC246" s="2">
        <f t="shared" si="12"/>
        <v>0</v>
      </c>
      <c r="AD246" s="2">
        <f t="shared" si="13"/>
        <v>0</v>
      </c>
      <c r="AE246" s="2">
        <f t="shared" si="14"/>
        <v>0</v>
      </c>
      <c r="AF246" s="2">
        <f t="shared" si="15"/>
        <v>0</v>
      </c>
      <c r="AG246" s="2">
        <f t="shared" si="16"/>
        <v>0</v>
      </c>
      <c r="AH246" s="2">
        <f t="shared" si="17"/>
        <v>0</v>
      </c>
      <c r="AI246" s="2">
        <f t="shared" si="18"/>
      </c>
    </row>
    <row r="247">
      <c r="A247" s="43">
        <f t="shared" si="0"/>
      </c>
      <c r="B247" s="54" t="n"/>
      <c r="C247" s="45" t="n"/>
      <c r="D247" s="50" t="n"/>
      <c r="E247" s="55" t="n"/>
      <c r="F247" s="50" t="n"/>
      <c r="G247" s="55" t="n"/>
      <c r="H247" s="50" t="n"/>
      <c r="I247" s="55" t="n"/>
      <c r="J247" s="50" t="n"/>
      <c r="K247" s="55" t="n"/>
      <c r="L247" s="56" t="n"/>
      <c r="M247" s="57" t="n"/>
      <c r="N247" s="57" t="n"/>
      <c r="O247" s="57" t="n"/>
      <c r="P247" s="57" t="n"/>
      <c r="Q247" s="50" t="n"/>
      <c r="R247" s="58">
        <f t="shared" si="1"/>
      </c>
      <c r="S247" s="59">
        <f t="shared" si="2"/>
      </c>
      <c r="T247" s="43">
        <f t="shared" si="3"/>
      </c>
      <c r="U247" s="60">
        <f t="shared" si="4"/>
      </c>
      <c r="V247" s="60">
        <f t="shared" si="5"/>
      </c>
      <c r="W247" s="60">
        <f t="shared" si="6"/>
      </c>
      <c r="X247" s="49">
        <f t="shared" si="7"/>
      </c>
      <c r="Y247" s="2">
        <f t="shared" si="8"/>
      </c>
      <c r="Z247" s="2">
        <f t="shared" si="9"/>
        <v>0</v>
      </c>
      <c r="AA247" s="2">
        <f t="shared" si="10"/>
        <v>0</v>
      </c>
      <c r="AB247" s="2">
        <f t="shared" si="11"/>
        <v>0</v>
      </c>
      <c r="AC247" s="2">
        <f t="shared" si="12"/>
        <v>0</v>
      </c>
      <c r="AD247" s="2">
        <f t="shared" si="13"/>
        <v>0</v>
      </c>
      <c r="AE247" s="2">
        <f t="shared" si="14"/>
        <v>0</v>
      </c>
      <c r="AF247" s="2">
        <f t="shared" si="15"/>
        <v>0</v>
      </c>
      <c r="AG247" s="2">
        <f t="shared" si="16"/>
        <v>0</v>
      </c>
      <c r="AH247" s="2">
        <f t="shared" si="17"/>
        <v>0</v>
      </c>
      <c r="AI247" s="2">
        <f t="shared" si="18"/>
      </c>
    </row>
    <row r="248">
      <c r="A248" s="43">
        <f t="shared" si="0"/>
      </c>
      <c r="B248" s="54" t="n"/>
      <c r="C248" s="45" t="n"/>
      <c r="D248" s="50" t="n"/>
      <c r="E248" s="55" t="n"/>
      <c r="F248" s="50" t="n"/>
      <c r="G248" s="55" t="n"/>
      <c r="H248" s="50" t="n"/>
      <c r="I248" s="55" t="n"/>
      <c r="J248" s="50" t="n"/>
      <c r="K248" s="55" t="n"/>
      <c r="L248" s="56" t="n"/>
      <c r="M248" s="57" t="n"/>
      <c r="N248" s="57" t="n"/>
      <c r="O248" s="57" t="n"/>
      <c r="P248" s="57" t="n"/>
      <c r="Q248" s="50" t="n"/>
      <c r="R248" s="58">
        <f t="shared" si="1"/>
      </c>
      <c r="S248" s="59">
        <f t="shared" si="2"/>
      </c>
      <c r="T248" s="43">
        <f t="shared" si="3"/>
      </c>
      <c r="U248" s="60">
        <f t="shared" si="4"/>
      </c>
      <c r="V248" s="60">
        <f t="shared" si="5"/>
      </c>
      <c r="W248" s="60">
        <f t="shared" si="6"/>
      </c>
      <c r="X248" s="49">
        <f t="shared" si="7"/>
      </c>
      <c r="Y248" s="2">
        <f t="shared" si="8"/>
      </c>
      <c r="Z248" s="2">
        <f t="shared" si="9"/>
        <v>0</v>
      </c>
      <c r="AA248" s="2">
        <f t="shared" si="10"/>
        <v>0</v>
      </c>
      <c r="AB248" s="2">
        <f t="shared" si="11"/>
        <v>0</v>
      </c>
      <c r="AC248" s="2">
        <f t="shared" si="12"/>
        <v>0</v>
      </c>
      <c r="AD248" s="2">
        <f t="shared" si="13"/>
        <v>0</v>
      </c>
      <c r="AE248" s="2">
        <f t="shared" si="14"/>
        <v>0</v>
      </c>
      <c r="AF248" s="2">
        <f t="shared" si="15"/>
        <v>0</v>
      </c>
      <c r="AG248" s="2">
        <f t="shared" si="16"/>
        <v>0</v>
      </c>
      <c r="AH248" s="2">
        <f t="shared" si="17"/>
        <v>0</v>
      </c>
      <c r="AI248" s="2">
        <f t="shared" si="18"/>
      </c>
    </row>
    <row r="249">
      <c r="A249" s="43">
        <f t="shared" si="0"/>
      </c>
      <c r="B249" s="54" t="n"/>
      <c r="C249" s="45" t="n"/>
      <c r="D249" s="50" t="n"/>
      <c r="E249" s="55" t="n"/>
      <c r="F249" s="50" t="n"/>
      <c r="G249" s="55" t="n"/>
      <c r="H249" s="50" t="n"/>
      <c r="I249" s="55" t="n"/>
      <c r="J249" s="50" t="n"/>
      <c r="K249" s="55" t="n"/>
      <c r="L249" s="56" t="n"/>
      <c r="M249" s="57" t="n"/>
      <c r="N249" s="57" t="n"/>
      <c r="O249" s="57" t="n"/>
      <c r="P249" s="57" t="n"/>
      <c r="Q249" s="50" t="n"/>
      <c r="R249" s="58">
        <f t="shared" si="1"/>
      </c>
      <c r="S249" s="59">
        <f t="shared" si="2"/>
      </c>
      <c r="T249" s="43">
        <f t="shared" si="3"/>
      </c>
      <c r="U249" s="60">
        <f t="shared" si="4"/>
      </c>
      <c r="V249" s="60">
        <f t="shared" si="5"/>
      </c>
      <c r="W249" s="60">
        <f t="shared" si="6"/>
      </c>
      <c r="X249" s="49">
        <f t="shared" si="7"/>
      </c>
      <c r="Y249" s="2">
        <f t="shared" si="8"/>
      </c>
      <c r="Z249" s="2">
        <f t="shared" si="9"/>
        <v>0</v>
      </c>
      <c r="AA249" s="2">
        <f t="shared" si="10"/>
        <v>0</v>
      </c>
      <c r="AB249" s="2">
        <f t="shared" si="11"/>
        <v>0</v>
      </c>
      <c r="AC249" s="2">
        <f t="shared" si="12"/>
        <v>0</v>
      </c>
      <c r="AD249" s="2">
        <f t="shared" si="13"/>
        <v>0</v>
      </c>
      <c r="AE249" s="2">
        <f t="shared" si="14"/>
        <v>0</v>
      </c>
      <c r="AF249" s="2">
        <f t="shared" si="15"/>
        <v>0</v>
      </c>
      <c r="AG249" s="2">
        <f t="shared" si="16"/>
        <v>0</v>
      </c>
      <c r="AH249" s="2">
        <f t="shared" si="17"/>
        <v>0</v>
      </c>
      <c r="AI249" s="2">
        <f t="shared" si="18"/>
      </c>
    </row>
    <row r="250">
      <c r="A250" s="43">
        <f t="shared" si="0"/>
      </c>
      <c r="B250" s="54" t="n"/>
      <c r="C250" s="45" t="n"/>
      <c r="D250" s="50" t="n"/>
      <c r="E250" s="55" t="n"/>
      <c r="F250" s="50" t="n"/>
      <c r="G250" s="55" t="n"/>
      <c r="H250" s="50" t="n"/>
      <c r="I250" s="55" t="n"/>
      <c r="J250" s="50" t="n"/>
      <c r="K250" s="55" t="n"/>
      <c r="L250" s="56" t="n"/>
      <c r="M250" s="57" t="n"/>
      <c r="N250" s="57" t="n"/>
      <c r="O250" s="57" t="n"/>
      <c r="P250" s="57" t="n"/>
      <c r="Q250" s="50" t="n"/>
      <c r="R250" s="58">
        <f t="shared" si="1"/>
      </c>
      <c r="S250" s="59">
        <f t="shared" si="2"/>
      </c>
      <c r="T250" s="43">
        <f t="shared" si="3"/>
      </c>
      <c r="U250" s="60">
        <f t="shared" si="4"/>
      </c>
      <c r="V250" s="60">
        <f t="shared" si="5"/>
      </c>
      <c r="W250" s="60">
        <f t="shared" si="6"/>
      </c>
      <c r="X250" s="49">
        <f t="shared" si="7"/>
      </c>
      <c r="Y250" s="2">
        <f t="shared" si="8"/>
      </c>
      <c r="Z250" s="2">
        <f t="shared" si="9"/>
        <v>0</v>
      </c>
      <c r="AA250" s="2">
        <f t="shared" si="10"/>
        <v>0</v>
      </c>
      <c r="AB250" s="2">
        <f t="shared" si="11"/>
        <v>0</v>
      </c>
      <c r="AC250" s="2">
        <f t="shared" si="12"/>
        <v>0</v>
      </c>
      <c r="AD250" s="2">
        <f t="shared" si="13"/>
        <v>0</v>
      </c>
      <c r="AE250" s="2">
        <f t="shared" si="14"/>
        <v>0</v>
      </c>
      <c r="AF250" s="2">
        <f t="shared" si="15"/>
        <v>0</v>
      </c>
      <c r="AG250" s="2">
        <f t="shared" si="16"/>
        <v>0</v>
      </c>
      <c r="AH250" s="2">
        <f t="shared" si="17"/>
        <v>0</v>
      </c>
      <c r="AI250" s="2">
        <f t="shared" si="18"/>
      </c>
    </row>
    <row r="251">
      <c r="A251" s="43">
        <f t="shared" si="0"/>
      </c>
      <c r="B251" s="54" t="n"/>
      <c r="C251" s="45" t="n"/>
      <c r="D251" s="50" t="n"/>
      <c r="E251" s="55" t="n"/>
      <c r="F251" s="50" t="n"/>
      <c r="G251" s="55" t="n"/>
      <c r="H251" s="50" t="n"/>
      <c r="I251" s="55" t="n"/>
      <c r="J251" s="50" t="n"/>
      <c r="K251" s="55" t="n"/>
      <c r="L251" s="56" t="n"/>
      <c r="M251" s="57" t="n"/>
      <c r="N251" s="57" t="n"/>
      <c r="O251" s="57" t="n"/>
      <c r="P251" s="57" t="n"/>
      <c r="Q251" s="50" t="n"/>
      <c r="R251" s="58">
        <f t="shared" si="1"/>
      </c>
      <c r="S251" s="59">
        <f t="shared" si="2"/>
      </c>
      <c r="T251" s="43">
        <f t="shared" si="3"/>
      </c>
      <c r="U251" s="60">
        <f t="shared" si="4"/>
      </c>
      <c r="V251" s="60">
        <f t="shared" si="5"/>
      </c>
      <c r="W251" s="60">
        <f t="shared" si="6"/>
      </c>
      <c r="X251" s="49">
        <f t="shared" si="7"/>
      </c>
      <c r="Y251" s="2">
        <f t="shared" si="8"/>
      </c>
      <c r="Z251" s="2">
        <f t="shared" si="9"/>
        <v>0</v>
      </c>
      <c r="AA251" s="2">
        <f t="shared" si="10"/>
        <v>0</v>
      </c>
      <c r="AB251" s="2">
        <f t="shared" si="11"/>
        <v>0</v>
      </c>
      <c r="AC251" s="2">
        <f t="shared" si="12"/>
        <v>0</v>
      </c>
      <c r="AD251" s="2">
        <f t="shared" si="13"/>
        <v>0</v>
      </c>
      <c r="AE251" s="2">
        <f t="shared" si="14"/>
        <v>0</v>
      </c>
      <c r="AF251" s="2">
        <f t="shared" si="15"/>
        <v>0</v>
      </c>
      <c r="AG251" s="2">
        <f t="shared" si="16"/>
        <v>0</v>
      </c>
      <c r="AH251" s="2">
        <f t="shared" si="17"/>
        <v>0</v>
      </c>
      <c r="AI251" s="2">
        <f t="shared" si="18"/>
      </c>
    </row>
    <row r="252">
      <c r="A252" s="43">
        <f t="shared" si="0"/>
      </c>
      <c r="B252" s="54" t="n"/>
      <c r="C252" s="45" t="n"/>
      <c r="D252" s="50" t="n"/>
      <c r="E252" s="55" t="n"/>
      <c r="F252" s="50" t="n"/>
      <c r="G252" s="55" t="n"/>
      <c r="H252" s="50" t="n"/>
      <c r="I252" s="55" t="n"/>
      <c r="J252" s="50" t="n"/>
      <c r="K252" s="55" t="n"/>
      <c r="L252" s="56" t="n"/>
      <c r="M252" s="57" t="n"/>
      <c r="N252" s="57" t="n"/>
      <c r="O252" s="57" t="n"/>
      <c r="P252" s="57" t="n"/>
      <c r="Q252" s="50" t="n"/>
      <c r="R252" s="58">
        <f t="shared" si="1"/>
      </c>
      <c r="S252" s="59">
        <f t="shared" si="2"/>
      </c>
      <c r="T252" s="43">
        <f t="shared" si="3"/>
      </c>
      <c r="U252" s="60">
        <f t="shared" si="4"/>
      </c>
      <c r="V252" s="60">
        <f t="shared" si="5"/>
      </c>
      <c r="W252" s="60">
        <f t="shared" si="6"/>
      </c>
      <c r="X252" s="49">
        <f t="shared" si="7"/>
      </c>
      <c r="Y252" s="2">
        <f t="shared" si="8"/>
      </c>
      <c r="Z252" s="2">
        <f t="shared" si="9"/>
        <v>0</v>
      </c>
      <c r="AA252" s="2">
        <f t="shared" si="10"/>
        <v>0</v>
      </c>
      <c r="AB252" s="2">
        <f t="shared" si="11"/>
        <v>0</v>
      </c>
      <c r="AC252" s="2">
        <f t="shared" si="12"/>
        <v>0</v>
      </c>
      <c r="AD252" s="2">
        <f t="shared" si="13"/>
        <v>0</v>
      </c>
      <c r="AE252" s="2">
        <f t="shared" si="14"/>
        <v>0</v>
      </c>
      <c r="AF252" s="2">
        <f t="shared" si="15"/>
        <v>0</v>
      </c>
      <c r="AG252" s="2">
        <f t="shared" si="16"/>
        <v>0</v>
      </c>
      <c r="AH252" s="2">
        <f t="shared" si="17"/>
        <v>0</v>
      </c>
      <c r="AI252" s="2">
        <f t="shared" si="18"/>
      </c>
    </row>
    <row r="253">
      <c r="A253" s="43">
        <f t="shared" si="0"/>
      </c>
      <c r="B253" s="54" t="n"/>
      <c r="C253" s="45" t="n"/>
      <c r="D253" s="50" t="n"/>
      <c r="E253" s="55" t="n"/>
      <c r="F253" s="50" t="n"/>
      <c r="G253" s="55" t="n"/>
      <c r="H253" s="50" t="n"/>
      <c r="I253" s="55" t="n"/>
      <c r="J253" s="50" t="n"/>
      <c r="K253" s="55" t="n"/>
      <c r="L253" s="56" t="n"/>
      <c r="M253" s="57" t="n"/>
      <c r="N253" s="57" t="n"/>
      <c r="O253" s="57" t="n"/>
      <c r="P253" s="57" t="n"/>
      <c r="Q253" s="50" t="n"/>
      <c r="R253" s="58">
        <f t="shared" si="1"/>
      </c>
      <c r="S253" s="59">
        <f t="shared" si="2"/>
      </c>
      <c r="T253" s="43">
        <f t="shared" si="3"/>
      </c>
      <c r="U253" s="60">
        <f t="shared" si="4"/>
      </c>
      <c r="V253" s="60">
        <f t="shared" si="5"/>
      </c>
      <c r="W253" s="60">
        <f t="shared" si="6"/>
      </c>
      <c r="X253" s="49">
        <f t="shared" si="7"/>
      </c>
      <c r="Y253" s="2">
        <f t="shared" si="8"/>
      </c>
      <c r="Z253" s="2">
        <f t="shared" si="9"/>
        <v>0</v>
      </c>
      <c r="AA253" s="2">
        <f t="shared" si="10"/>
        <v>0</v>
      </c>
      <c r="AB253" s="2">
        <f t="shared" si="11"/>
        <v>0</v>
      </c>
      <c r="AC253" s="2">
        <f t="shared" si="12"/>
        <v>0</v>
      </c>
      <c r="AD253" s="2">
        <f t="shared" si="13"/>
        <v>0</v>
      </c>
      <c r="AE253" s="2">
        <f t="shared" si="14"/>
        <v>0</v>
      </c>
      <c r="AF253" s="2">
        <f t="shared" si="15"/>
        <v>0</v>
      </c>
      <c r="AG253" s="2">
        <f t="shared" si="16"/>
        <v>0</v>
      </c>
      <c r="AH253" s="2">
        <f t="shared" si="17"/>
        <v>0</v>
      </c>
      <c r="AI253" s="2">
        <f t="shared" si="18"/>
      </c>
    </row>
    <row r="254">
      <c r="A254" s="43">
        <f t="shared" si="0"/>
      </c>
      <c r="B254" s="54" t="n"/>
      <c r="C254" s="45" t="n"/>
      <c r="D254" s="50" t="n"/>
      <c r="E254" s="55" t="n"/>
      <c r="F254" s="50" t="n"/>
      <c r="G254" s="55" t="n"/>
      <c r="H254" s="50" t="n"/>
      <c r="I254" s="55" t="n"/>
      <c r="J254" s="50" t="n"/>
      <c r="K254" s="55" t="n"/>
      <c r="L254" s="56" t="n"/>
      <c r="M254" s="57" t="n"/>
      <c r="N254" s="57" t="n"/>
      <c r="O254" s="57" t="n"/>
      <c r="P254" s="57" t="n"/>
      <c r="Q254" s="50" t="n"/>
      <c r="R254" s="58">
        <f t="shared" si="1"/>
      </c>
      <c r="S254" s="59">
        <f t="shared" si="2"/>
      </c>
      <c r="T254" s="43">
        <f t="shared" si="3"/>
      </c>
      <c r="U254" s="60">
        <f t="shared" si="4"/>
      </c>
      <c r="V254" s="60">
        <f t="shared" si="5"/>
      </c>
      <c r="W254" s="60">
        <f t="shared" si="6"/>
      </c>
      <c r="X254" s="49">
        <f t="shared" si="7"/>
      </c>
      <c r="Y254" s="2">
        <f t="shared" si="8"/>
      </c>
      <c r="Z254" s="2">
        <f t="shared" si="9"/>
        <v>0</v>
      </c>
      <c r="AA254" s="2">
        <f t="shared" si="10"/>
        <v>0</v>
      </c>
      <c r="AB254" s="2">
        <f t="shared" si="11"/>
        <v>0</v>
      </c>
      <c r="AC254" s="2">
        <f t="shared" si="12"/>
        <v>0</v>
      </c>
      <c r="AD254" s="2">
        <f t="shared" si="13"/>
        <v>0</v>
      </c>
      <c r="AE254" s="2">
        <f t="shared" si="14"/>
        <v>0</v>
      </c>
      <c r="AF254" s="2">
        <f t="shared" si="15"/>
        <v>0</v>
      </c>
      <c r="AG254" s="2">
        <f t="shared" si="16"/>
        <v>0</v>
      </c>
      <c r="AH254" s="2">
        <f t="shared" si="17"/>
        <v>0</v>
      </c>
      <c r="AI254" s="2">
        <f t="shared" si="18"/>
      </c>
    </row>
    <row r="255">
      <c r="A255" s="43">
        <f t="shared" si="0"/>
      </c>
      <c r="B255" s="54" t="n"/>
      <c r="C255" s="45" t="n"/>
      <c r="D255" s="50" t="n"/>
      <c r="E255" s="55" t="n"/>
      <c r="F255" s="50" t="n"/>
      <c r="G255" s="55" t="n"/>
      <c r="H255" s="50" t="n"/>
      <c r="I255" s="55" t="n"/>
      <c r="J255" s="50" t="n"/>
      <c r="K255" s="55" t="n"/>
      <c r="L255" s="56" t="n"/>
      <c r="M255" s="57" t="n"/>
      <c r="N255" s="57" t="n"/>
      <c r="O255" s="57" t="n"/>
      <c r="P255" s="57" t="n"/>
      <c r="Q255" s="50" t="n"/>
      <c r="R255" s="58">
        <f t="shared" si="1"/>
      </c>
      <c r="S255" s="59">
        <f t="shared" si="2"/>
      </c>
      <c r="T255" s="43">
        <f t="shared" si="3"/>
      </c>
      <c r="U255" s="60">
        <f t="shared" si="4"/>
      </c>
      <c r="V255" s="60">
        <f t="shared" si="5"/>
      </c>
      <c r="W255" s="60">
        <f t="shared" si="6"/>
      </c>
      <c r="X255" s="49">
        <f t="shared" si="7"/>
      </c>
      <c r="Y255" s="2">
        <f t="shared" si="8"/>
      </c>
      <c r="Z255" s="2">
        <f t="shared" si="9"/>
        <v>0</v>
      </c>
      <c r="AA255" s="2">
        <f t="shared" si="10"/>
        <v>0</v>
      </c>
      <c r="AB255" s="2">
        <f t="shared" si="11"/>
        <v>0</v>
      </c>
      <c r="AC255" s="2">
        <f t="shared" si="12"/>
        <v>0</v>
      </c>
      <c r="AD255" s="2">
        <f t="shared" si="13"/>
        <v>0</v>
      </c>
      <c r="AE255" s="2">
        <f t="shared" si="14"/>
        <v>0</v>
      </c>
      <c r="AF255" s="2">
        <f t="shared" si="15"/>
        <v>0</v>
      </c>
      <c r="AG255" s="2">
        <f t="shared" si="16"/>
        <v>0</v>
      </c>
      <c r="AH255" s="2">
        <f t="shared" si="17"/>
        <v>0</v>
      </c>
      <c r="AI255" s="2">
        <f t="shared" si="18"/>
      </c>
    </row>
    <row r="256">
      <c r="A256" s="43">
        <f t="shared" si="0"/>
      </c>
      <c r="B256" s="54" t="n"/>
      <c r="C256" s="45" t="n"/>
      <c r="D256" s="50" t="n"/>
      <c r="E256" s="55" t="n"/>
      <c r="F256" s="50" t="n"/>
      <c r="G256" s="55" t="n"/>
      <c r="H256" s="50" t="n"/>
      <c r="I256" s="55" t="n"/>
      <c r="J256" s="50" t="n"/>
      <c r="K256" s="55" t="n"/>
      <c r="L256" s="56" t="n"/>
      <c r="M256" s="57" t="n"/>
      <c r="N256" s="57" t="n"/>
      <c r="O256" s="57" t="n"/>
      <c r="P256" s="57" t="n"/>
      <c r="Q256" s="50" t="n"/>
      <c r="R256" s="58">
        <f t="shared" si="1"/>
      </c>
      <c r="S256" s="59">
        <f t="shared" si="2"/>
      </c>
      <c r="T256" s="43">
        <f t="shared" si="3"/>
      </c>
      <c r="U256" s="60">
        <f t="shared" si="4"/>
      </c>
      <c r="V256" s="60">
        <f t="shared" si="5"/>
      </c>
      <c r="W256" s="60">
        <f t="shared" si="6"/>
      </c>
      <c r="X256" s="49">
        <f t="shared" si="7"/>
      </c>
      <c r="Y256" s="2">
        <f t="shared" si="8"/>
      </c>
      <c r="Z256" s="2">
        <f t="shared" si="9"/>
        <v>0</v>
      </c>
      <c r="AA256" s="2">
        <f t="shared" si="10"/>
        <v>0</v>
      </c>
      <c r="AB256" s="2">
        <f t="shared" si="11"/>
        <v>0</v>
      </c>
      <c r="AC256" s="2">
        <f t="shared" si="12"/>
        <v>0</v>
      </c>
      <c r="AD256" s="2">
        <f t="shared" si="13"/>
        <v>0</v>
      </c>
      <c r="AE256" s="2">
        <f t="shared" si="14"/>
        <v>0</v>
      </c>
      <c r="AF256" s="2">
        <f t="shared" si="15"/>
        <v>0</v>
      </c>
      <c r="AG256" s="2">
        <f t="shared" si="16"/>
        <v>0</v>
      </c>
      <c r="AH256" s="2">
        <f t="shared" si="17"/>
        <v>0</v>
      </c>
      <c r="AI256" s="2">
        <f t="shared" si="18"/>
      </c>
    </row>
    <row r="257">
      <c r="A257" s="43">
        <f t="shared" si="0"/>
      </c>
      <c r="B257" s="54" t="n"/>
      <c r="C257" s="45" t="n"/>
      <c r="D257" s="50" t="n"/>
      <c r="E257" s="55" t="n"/>
      <c r="F257" s="50" t="n"/>
      <c r="G257" s="55" t="n"/>
      <c r="H257" s="50" t="n"/>
      <c r="I257" s="55" t="n"/>
      <c r="J257" s="50" t="n"/>
      <c r="K257" s="55" t="n"/>
      <c r="L257" s="56" t="n"/>
      <c r="M257" s="57" t="n"/>
      <c r="N257" s="57" t="n"/>
      <c r="O257" s="57" t="n"/>
      <c r="P257" s="57" t="n"/>
      <c r="Q257" s="50" t="n"/>
      <c r="R257" s="58">
        <f t="shared" si="1"/>
      </c>
      <c r="S257" s="59">
        <f t="shared" si="2"/>
      </c>
      <c r="T257" s="43">
        <f t="shared" si="3"/>
      </c>
      <c r="U257" s="60">
        <f t="shared" si="4"/>
      </c>
      <c r="V257" s="60">
        <f t="shared" si="5"/>
      </c>
      <c r="W257" s="60">
        <f t="shared" si="6"/>
      </c>
      <c r="X257" s="49">
        <f t="shared" si="7"/>
      </c>
      <c r="Y257" s="2">
        <f t="shared" si="8"/>
      </c>
      <c r="Z257" s="2">
        <f t="shared" si="9"/>
        <v>0</v>
      </c>
      <c r="AA257" s="2">
        <f t="shared" si="10"/>
        <v>0</v>
      </c>
      <c r="AB257" s="2">
        <f t="shared" si="11"/>
        <v>0</v>
      </c>
      <c r="AC257" s="2">
        <f t="shared" si="12"/>
        <v>0</v>
      </c>
      <c r="AD257" s="2">
        <f t="shared" si="13"/>
        <v>0</v>
      </c>
      <c r="AE257" s="2">
        <f t="shared" si="14"/>
        <v>0</v>
      </c>
      <c r="AF257" s="2">
        <f t="shared" si="15"/>
        <v>0</v>
      </c>
      <c r="AG257" s="2">
        <f t="shared" si="16"/>
        <v>0</v>
      </c>
      <c r="AH257" s="2">
        <f t="shared" si="17"/>
        <v>0</v>
      </c>
      <c r="AI257" s="2">
        <f t="shared" si="18"/>
      </c>
    </row>
    <row r="258">
      <c r="A258" s="43">
        <f t="shared" si="0"/>
      </c>
      <c r="B258" s="54" t="n"/>
      <c r="C258" s="45" t="n"/>
      <c r="D258" s="50" t="n"/>
      <c r="E258" s="55" t="n"/>
      <c r="F258" s="50" t="n"/>
      <c r="G258" s="55" t="n"/>
      <c r="H258" s="50" t="n"/>
      <c r="I258" s="55" t="n"/>
      <c r="J258" s="50" t="n"/>
      <c r="K258" s="55" t="n"/>
      <c r="L258" s="56" t="n"/>
      <c r="M258" s="57" t="n"/>
      <c r="N258" s="57" t="n"/>
      <c r="O258" s="57" t="n"/>
      <c r="P258" s="57" t="n"/>
      <c r="Q258" s="50" t="n"/>
      <c r="R258" s="58">
        <f t="shared" si="1"/>
      </c>
      <c r="S258" s="59">
        <f t="shared" si="2"/>
      </c>
      <c r="T258" s="43">
        <f t="shared" si="3"/>
      </c>
      <c r="U258" s="60">
        <f t="shared" si="4"/>
      </c>
      <c r="V258" s="60">
        <f t="shared" si="5"/>
      </c>
      <c r="W258" s="60">
        <f t="shared" si="6"/>
      </c>
      <c r="X258" s="49">
        <f t="shared" si="7"/>
      </c>
      <c r="Y258" s="2">
        <f t="shared" si="8"/>
      </c>
      <c r="Z258" s="2">
        <f t="shared" si="9"/>
        <v>0</v>
      </c>
      <c r="AA258" s="2">
        <f t="shared" si="10"/>
        <v>0</v>
      </c>
      <c r="AB258" s="2">
        <f t="shared" si="11"/>
        <v>0</v>
      </c>
      <c r="AC258" s="2">
        <f t="shared" si="12"/>
        <v>0</v>
      </c>
      <c r="AD258" s="2">
        <f t="shared" si="13"/>
        <v>0</v>
      </c>
      <c r="AE258" s="2">
        <f t="shared" si="14"/>
        <v>0</v>
      </c>
      <c r="AF258" s="2">
        <f t="shared" si="15"/>
        <v>0</v>
      </c>
      <c r="AG258" s="2">
        <f t="shared" si="16"/>
        <v>0</v>
      </c>
      <c r="AH258" s="2">
        <f t="shared" si="17"/>
        <v>0</v>
      </c>
      <c r="AI258" s="2">
        <f t="shared" si="18"/>
      </c>
    </row>
    <row r="259">
      <c r="A259" s="43">
        <f t="shared" si="0"/>
      </c>
      <c r="B259" s="54" t="n"/>
      <c r="C259" s="45" t="n"/>
      <c r="D259" s="50" t="n"/>
      <c r="E259" s="55" t="n"/>
      <c r="F259" s="50" t="n"/>
      <c r="G259" s="55" t="n"/>
      <c r="H259" s="50" t="n"/>
      <c r="I259" s="55" t="n"/>
      <c r="J259" s="50" t="n"/>
      <c r="K259" s="55" t="n"/>
      <c r="L259" s="56" t="n"/>
      <c r="M259" s="57" t="n"/>
      <c r="N259" s="57" t="n"/>
      <c r="O259" s="57" t="n"/>
      <c r="P259" s="57" t="n"/>
      <c r="Q259" s="50" t="n"/>
      <c r="R259" s="58">
        <f t="shared" si="1"/>
      </c>
      <c r="S259" s="59">
        <f t="shared" si="2"/>
      </c>
      <c r="T259" s="43">
        <f t="shared" si="3"/>
      </c>
      <c r="U259" s="60">
        <f t="shared" si="4"/>
      </c>
      <c r="V259" s="60">
        <f t="shared" si="5"/>
      </c>
      <c r="W259" s="60">
        <f t="shared" si="6"/>
      </c>
      <c r="X259" s="49">
        <f t="shared" si="7"/>
      </c>
      <c r="Y259" s="2">
        <f t="shared" si="8"/>
      </c>
      <c r="Z259" s="2">
        <f t="shared" si="9"/>
        <v>0</v>
      </c>
      <c r="AA259" s="2">
        <f t="shared" si="10"/>
        <v>0</v>
      </c>
      <c r="AB259" s="2">
        <f t="shared" si="11"/>
        <v>0</v>
      </c>
      <c r="AC259" s="2">
        <f t="shared" si="12"/>
        <v>0</v>
      </c>
      <c r="AD259" s="2">
        <f t="shared" si="13"/>
        <v>0</v>
      </c>
      <c r="AE259" s="2">
        <f t="shared" si="14"/>
        <v>0</v>
      </c>
      <c r="AF259" s="2">
        <f t="shared" si="15"/>
        <v>0</v>
      </c>
      <c r="AG259" s="2">
        <f t="shared" si="16"/>
        <v>0</v>
      </c>
      <c r="AH259" s="2">
        <f t="shared" si="17"/>
        <v>0</v>
      </c>
      <c r="AI259" s="2">
        <f t="shared" si="18"/>
      </c>
    </row>
    <row r="260">
      <c r="A260" s="43">
        <f t="shared" si="0"/>
      </c>
      <c r="B260" s="54" t="n"/>
      <c r="C260" s="45" t="n"/>
      <c r="D260" s="50" t="n"/>
      <c r="E260" s="55" t="n"/>
      <c r="F260" s="50" t="n"/>
      <c r="G260" s="55" t="n"/>
      <c r="H260" s="50" t="n"/>
      <c r="I260" s="55" t="n"/>
      <c r="J260" s="50" t="n"/>
      <c r="K260" s="55" t="n"/>
      <c r="L260" s="56" t="n"/>
      <c r="M260" s="57" t="n"/>
      <c r="N260" s="57" t="n"/>
      <c r="O260" s="57" t="n"/>
      <c r="P260" s="57" t="n"/>
      <c r="Q260" s="50" t="n"/>
      <c r="R260" s="58">
        <f t="shared" si="1"/>
      </c>
      <c r="S260" s="59">
        <f t="shared" si="2"/>
      </c>
      <c r="T260" s="43">
        <f t="shared" si="3"/>
      </c>
      <c r="U260" s="60">
        <f t="shared" si="4"/>
      </c>
      <c r="V260" s="60">
        <f t="shared" si="5"/>
      </c>
      <c r="W260" s="60">
        <f t="shared" si="6"/>
      </c>
      <c r="X260" s="49">
        <f t="shared" si="7"/>
      </c>
      <c r="Y260" s="2">
        <f t="shared" si="8"/>
      </c>
      <c r="Z260" s="2">
        <f t="shared" si="9"/>
        <v>0</v>
      </c>
      <c r="AA260" s="2">
        <f t="shared" si="10"/>
        <v>0</v>
      </c>
      <c r="AB260" s="2">
        <f t="shared" si="11"/>
        <v>0</v>
      </c>
      <c r="AC260" s="2">
        <f t="shared" si="12"/>
        <v>0</v>
      </c>
      <c r="AD260" s="2">
        <f t="shared" si="13"/>
        <v>0</v>
      </c>
      <c r="AE260" s="2">
        <f t="shared" si="14"/>
        <v>0</v>
      </c>
      <c r="AF260" s="2">
        <f t="shared" si="15"/>
        <v>0</v>
      </c>
      <c r="AG260" s="2">
        <f t="shared" si="16"/>
        <v>0</v>
      </c>
      <c r="AH260" s="2">
        <f t="shared" si="17"/>
        <v>0</v>
      </c>
      <c r="AI260" s="2">
        <f t="shared" si="18"/>
      </c>
    </row>
    <row r="261">
      <c r="A261" s="43">
        <f t="shared" si="0"/>
      </c>
      <c r="B261" s="54" t="n"/>
      <c r="C261" s="45" t="n"/>
      <c r="D261" s="50" t="n"/>
      <c r="E261" s="55" t="n"/>
      <c r="F261" s="50" t="n"/>
      <c r="G261" s="55" t="n"/>
      <c r="H261" s="50" t="n"/>
      <c r="I261" s="55" t="n"/>
      <c r="J261" s="50" t="n"/>
      <c r="K261" s="55" t="n"/>
      <c r="L261" s="56" t="n"/>
      <c r="M261" s="57" t="n"/>
      <c r="N261" s="57" t="n"/>
      <c r="O261" s="57" t="n"/>
      <c r="P261" s="57" t="n"/>
      <c r="Q261" s="50" t="n"/>
      <c r="R261" s="58">
        <f t="shared" si="1"/>
      </c>
      <c r="S261" s="59">
        <f t="shared" si="2"/>
      </c>
      <c r="T261" s="43">
        <f t="shared" si="3"/>
      </c>
      <c r="U261" s="60">
        <f t="shared" si="4"/>
      </c>
      <c r="V261" s="60">
        <f t="shared" si="5"/>
      </c>
      <c r="W261" s="60">
        <f t="shared" si="6"/>
      </c>
      <c r="X261" s="49">
        <f t="shared" si="7"/>
      </c>
      <c r="Y261" s="2">
        <f t="shared" si="8"/>
      </c>
      <c r="Z261" s="2">
        <f t="shared" si="9"/>
        <v>0</v>
      </c>
      <c r="AA261" s="2">
        <f t="shared" si="10"/>
        <v>0</v>
      </c>
      <c r="AB261" s="2">
        <f t="shared" si="11"/>
        <v>0</v>
      </c>
      <c r="AC261" s="2">
        <f t="shared" si="12"/>
        <v>0</v>
      </c>
      <c r="AD261" s="2">
        <f t="shared" si="13"/>
        <v>0</v>
      </c>
      <c r="AE261" s="2">
        <f t="shared" si="14"/>
        <v>0</v>
      </c>
      <c r="AF261" s="2">
        <f t="shared" si="15"/>
        <v>0</v>
      </c>
      <c r="AG261" s="2">
        <f t="shared" si="16"/>
        <v>0</v>
      </c>
      <c r="AH261" s="2">
        <f t="shared" si="17"/>
        <v>0</v>
      </c>
      <c r="AI261" s="2">
        <f t="shared" si="18"/>
      </c>
    </row>
    <row r="262">
      <c r="A262" s="43">
        <f t="shared" si="0"/>
      </c>
      <c r="B262" s="54" t="n"/>
      <c r="C262" s="45" t="n"/>
      <c r="D262" s="50" t="n"/>
      <c r="E262" s="55" t="n"/>
      <c r="F262" s="50" t="n"/>
      <c r="G262" s="55" t="n"/>
      <c r="H262" s="50" t="n"/>
      <c r="I262" s="55" t="n"/>
      <c r="J262" s="50" t="n"/>
      <c r="K262" s="55" t="n"/>
      <c r="L262" s="56" t="n"/>
      <c r="M262" s="57" t="n"/>
      <c r="N262" s="57" t="n"/>
      <c r="O262" s="57" t="n"/>
      <c r="P262" s="57" t="n"/>
      <c r="Q262" s="50" t="n"/>
      <c r="R262" s="58">
        <f t="shared" si="1"/>
      </c>
      <c r="S262" s="59">
        <f t="shared" si="2"/>
      </c>
      <c r="T262" s="43">
        <f t="shared" si="3"/>
      </c>
      <c r="U262" s="60">
        <f t="shared" si="4"/>
      </c>
      <c r="V262" s="60">
        <f t="shared" si="5"/>
      </c>
      <c r="W262" s="60">
        <f t="shared" si="6"/>
      </c>
      <c r="X262" s="49">
        <f t="shared" si="7"/>
      </c>
      <c r="Y262" s="2">
        <f t="shared" si="8"/>
      </c>
      <c r="Z262" s="2">
        <f t="shared" si="9"/>
        <v>0</v>
      </c>
      <c r="AA262" s="2">
        <f t="shared" si="10"/>
        <v>0</v>
      </c>
      <c r="AB262" s="2">
        <f t="shared" si="11"/>
        <v>0</v>
      </c>
      <c r="AC262" s="2">
        <f t="shared" si="12"/>
        <v>0</v>
      </c>
      <c r="AD262" s="2">
        <f t="shared" si="13"/>
        <v>0</v>
      </c>
      <c r="AE262" s="2">
        <f t="shared" si="14"/>
        <v>0</v>
      </c>
      <c r="AF262" s="2">
        <f t="shared" si="15"/>
        <v>0</v>
      </c>
      <c r="AG262" s="2">
        <f t="shared" si="16"/>
        <v>0</v>
      </c>
      <c r="AH262" s="2">
        <f t="shared" si="17"/>
        <v>0</v>
      </c>
      <c r="AI262" s="2">
        <f t="shared" si="18"/>
      </c>
    </row>
    <row r="263">
      <c r="A263" s="43">
        <f t="shared" si="0"/>
      </c>
      <c r="B263" s="54" t="n"/>
      <c r="C263" s="45" t="n"/>
      <c r="D263" s="50" t="n"/>
      <c r="E263" s="55" t="n"/>
      <c r="F263" s="50" t="n"/>
      <c r="G263" s="55" t="n"/>
      <c r="H263" s="50" t="n"/>
      <c r="I263" s="55" t="n"/>
      <c r="J263" s="50" t="n"/>
      <c r="K263" s="55" t="n"/>
      <c r="L263" s="56" t="n"/>
      <c r="M263" s="57" t="n"/>
      <c r="N263" s="57" t="n"/>
      <c r="O263" s="57" t="n"/>
      <c r="P263" s="57" t="n"/>
      <c r="Q263" s="50" t="n"/>
      <c r="R263" s="58">
        <f t="shared" si="1"/>
      </c>
      <c r="S263" s="59">
        <f t="shared" si="2"/>
      </c>
      <c r="T263" s="43">
        <f t="shared" si="3"/>
      </c>
      <c r="U263" s="60">
        <f t="shared" si="4"/>
      </c>
      <c r="V263" s="60">
        <f t="shared" si="5"/>
      </c>
      <c r="W263" s="60">
        <f t="shared" si="6"/>
      </c>
      <c r="X263" s="49">
        <f t="shared" si="7"/>
      </c>
      <c r="Y263" s="2">
        <f t="shared" si="8"/>
      </c>
      <c r="Z263" s="2">
        <f t="shared" si="9"/>
        <v>0</v>
      </c>
      <c r="AA263" s="2">
        <f t="shared" si="10"/>
        <v>0</v>
      </c>
      <c r="AB263" s="2">
        <f t="shared" si="11"/>
        <v>0</v>
      </c>
      <c r="AC263" s="2">
        <f t="shared" si="12"/>
        <v>0</v>
      </c>
      <c r="AD263" s="2">
        <f t="shared" si="13"/>
        <v>0</v>
      </c>
      <c r="AE263" s="2">
        <f t="shared" si="14"/>
        <v>0</v>
      </c>
      <c r="AF263" s="2">
        <f t="shared" si="15"/>
        <v>0</v>
      </c>
      <c r="AG263" s="2">
        <f t="shared" si="16"/>
        <v>0</v>
      </c>
      <c r="AH263" s="2">
        <f t="shared" si="17"/>
        <v>0</v>
      </c>
      <c r="AI263" s="2">
        <f t="shared" si="18"/>
      </c>
    </row>
    <row r="264">
      <c r="A264" s="43">
        <f t="shared" si="0"/>
      </c>
      <c r="B264" s="54" t="n"/>
      <c r="C264" s="45" t="n"/>
      <c r="D264" s="50" t="n"/>
      <c r="E264" s="55" t="n"/>
      <c r="F264" s="50" t="n"/>
      <c r="G264" s="55" t="n"/>
      <c r="H264" s="50" t="n"/>
      <c r="I264" s="55" t="n"/>
      <c r="J264" s="50" t="n"/>
      <c r="K264" s="55" t="n"/>
      <c r="L264" s="56" t="n"/>
      <c r="M264" s="57" t="n"/>
      <c r="N264" s="57" t="n"/>
      <c r="O264" s="57" t="n"/>
      <c r="P264" s="57" t="n"/>
      <c r="Q264" s="50" t="n"/>
      <c r="R264" s="58">
        <f t="shared" si="1"/>
      </c>
      <c r="S264" s="59">
        <f t="shared" si="2"/>
      </c>
      <c r="T264" s="43">
        <f t="shared" si="3"/>
      </c>
      <c r="U264" s="60">
        <f t="shared" si="4"/>
      </c>
      <c r="V264" s="60">
        <f t="shared" si="5"/>
      </c>
      <c r="W264" s="60">
        <f t="shared" si="6"/>
      </c>
      <c r="X264" s="49">
        <f t="shared" si="7"/>
      </c>
      <c r="Y264" s="2">
        <f t="shared" si="8"/>
      </c>
      <c r="Z264" s="2">
        <f t="shared" si="9"/>
        <v>0</v>
      </c>
      <c r="AA264" s="2">
        <f t="shared" si="10"/>
        <v>0</v>
      </c>
      <c r="AB264" s="2">
        <f t="shared" si="11"/>
        <v>0</v>
      </c>
      <c r="AC264" s="2">
        <f t="shared" si="12"/>
        <v>0</v>
      </c>
      <c r="AD264" s="2">
        <f t="shared" si="13"/>
        <v>0</v>
      </c>
      <c r="AE264" s="2">
        <f t="shared" si="14"/>
        <v>0</v>
      </c>
      <c r="AF264" s="2">
        <f t="shared" si="15"/>
        <v>0</v>
      </c>
      <c r="AG264" s="2">
        <f t="shared" si="16"/>
        <v>0</v>
      </c>
      <c r="AH264" s="2">
        <f t="shared" si="17"/>
        <v>0</v>
      </c>
      <c r="AI264" s="2">
        <f t="shared" si="18"/>
      </c>
    </row>
    <row r="265">
      <c r="A265" s="43">
        <f t="shared" si="0"/>
      </c>
      <c r="B265" s="54" t="n"/>
      <c r="C265" s="45" t="n"/>
      <c r="D265" s="50" t="n"/>
      <c r="E265" s="55" t="n"/>
      <c r="F265" s="50" t="n"/>
      <c r="G265" s="55" t="n"/>
      <c r="H265" s="50" t="n"/>
      <c r="I265" s="55" t="n"/>
      <c r="J265" s="50" t="n"/>
      <c r="K265" s="55" t="n"/>
      <c r="L265" s="56" t="n"/>
      <c r="M265" s="57" t="n"/>
      <c r="N265" s="57" t="n"/>
      <c r="O265" s="57" t="n"/>
      <c r="P265" s="57" t="n"/>
      <c r="Q265" s="50" t="n"/>
      <c r="R265" s="58">
        <f t="shared" si="1"/>
      </c>
      <c r="S265" s="59">
        <f t="shared" si="2"/>
      </c>
      <c r="T265" s="43">
        <f t="shared" si="3"/>
      </c>
      <c r="U265" s="60">
        <f t="shared" si="4"/>
      </c>
      <c r="V265" s="60">
        <f t="shared" si="5"/>
      </c>
      <c r="W265" s="60">
        <f t="shared" si="6"/>
      </c>
      <c r="X265" s="49">
        <f t="shared" si="7"/>
      </c>
      <c r="Y265" s="2">
        <f t="shared" si="8"/>
      </c>
      <c r="Z265" s="2">
        <f t="shared" si="9"/>
        <v>0</v>
      </c>
      <c r="AA265" s="2">
        <f t="shared" si="10"/>
        <v>0</v>
      </c>
      <c r="AB265" s="2">
        <f t="shared" si="11"/>
        <v>0</v>
      </c>
      <c r="AC265" s="2">
        <f t="shared" si="12"/>
        <v>0</v>
      </c>
      <c r="AD265" s="2">
        <f t="shared" si="13"/>
        <v>0</v>
      </c>
      <c r="AE265" s="2">
        <f t="shared" si="14"/>
        <v>0</v>
      </c>
      <c r="AF265" s="2">
        <f t="shared" si="15"/>
        <v>0</v>
      </c>
      <c r="AG265" s="2">
        <f t="shared" si="16"/>
        <v>0</v>
      </c>
      <c r="AH265" s="2">
        <f t="shared" si="17"/>
        <v>0</v>
      </c>
      <c r="AI265" s="2">
        <f t="shared" si="18"/>
      </c>
    </row>
    <row r="266">
      <c r="A266" s="43">
        <f t="shared" si="0"/>
      </c>
      <c r="B266" s="54" t="n"/>
      <c r="C266" s="45" t="n"/>
      <c r="D266" s="50" t="n"/>
      <c r="E266" s="55" t="n"/>
      <c r="F266" s="50" t="n"/>
      <c r="G266" s="55" t="n"/>
      <c r="H266" s="50" t="n"/>
      <c r="I266" s="55" t="n"/>
      <c r="J266" s="50" t="n"/>
      <c r="K266" s="55" t="n"/>
      <c r="L266" s="56" t="n"/>
      <c r="M266" s="57" t="n"/>
      <c r="N266" s="57" t="n"/>
      <c r="O266" s="57" t="n"/>
      <c r="P266" s="57" t="n"/>
      <c r="Q266" s="50" t="n"/>
      <c r="R266" s="58">
        <f t="shared" si="1"/>
      </c>
      <c r="S266" s="59">
        <f t="shared" si="2"/>
      </c>
      <c r="T266" s="43">
        <f t="shared" si="3"/>
      </c>
      <c r="U266" s="60">
        <f t="shared" si="4"/>
      </c>
      <c r="V266" s="60">
        <f t="shared" si="5"/>
      </c>
      <c r="W266" s="60">
        <f t="shared" si="6"/>
      </c>
      <c r="X266" s="49">
        <f t="shared" si="7"/>
      </c>
      <c r="Y266" s="2">
        <f t="shared" si="8"/>
      </c>
      <c r="Z266" s="2">
        <f t="shared" si="9"/>
        <v>0</v>
      </c>
      <c r="AA266" s="2">
        <f t="shared" si="10"/>
        <v>0</v>
      </c>
      <c r="AB266" s="2">
        <f t="shared" si="11"/>
        <v>0</v>
      </c>
      <c r="AC266" s="2">
        <f t="shared" si="12"/>
        <v>0</v>
      </c>
      <c r="AD266" s="2">
        <f t="shared" si="13"/>
        <v>0</v>
      </c>
      <c r="AE266" s="2">
        <f t="shared" si="14"/>
        <v>0</v>
      </c>
      <c r="AF266" s="2">
        <f t="shared" si="15"/>
        <v>0</v>
      </c>
      <c r="AG266" s="2">
        <f t="shared" si="16"/>
        <v>0</v>
      </c>
      <c r="AH266" s="2">
        <f t="shared" si="17"/>
        <v>0</v>
      </c>
      <c r="AI266" s="2">
        <f t="shared" si="18"/>
      </c>
    </row>
    <row r="267">
      <c r="A267" s="43">
        <f t="shared" si="0"/>
      </c>
      <c r="B267" s="54" t="n"/>
      <c r="C267" s="45" t="n"/>
      <c r="D267" s="50" t="n"/>
      <c r="E267" s="55" t="n"/>
      <c r="F267" s="50" t="n"/>
      <c r="G267" s="55" t="n"/>
      <c r="H267" s="50" t="n"/>
      <c r="I267" s="55" t="n"/>
      <c r="J267" s="50" t="n"/>
      <c r="K267" s="55" t="n"/>
      <c r="L267" s="56" t="n"/>
      <c r="M267" s="57" t="n"/>
      <c r="N267" s="57" t="n"/>
      <c r="O267" s="57" t="n"/>
      <c r="P267" s="57" t="n"/>
      <c r="Q267" s="50" t="n"/>
      <c r="R267" s="58">
        <f t="shared" si="1"/>
      </c>
      <c r="S267" s="59">
        <f t="shared" si="2"/>
      </c>
      <c r="T267" s="43">
        <f t="shared" si="3"/>
      </c>
      <c r="U267" s="60">
        <f t="shared" si="4"/>
      </c>
      <c r="V267" s="60">
        <f t="shared" si="5"/>
      </c>
      <c r="W267" s="60">
        <f t="shared" si="6"/>
      </c>
      <c r="X267" s="49">
        <f t="shared" si="7"/>
      </c>
      <c r="Y267" s="2">
        <f t="shared" si="8"/>
      </c>
      <c r="Z267" s="2">
        <f t="shared" si="9"/>
        <v>0</v>
      </c>
      <c r="AA267" s="2">
        <f t="shared" si="10"/>
        <v>0</v>
      </c>
      <c r="AB267" s="2">
        <f t="shared" si="11"/>
        <v>0</v>
      </c>
      <c r="AC267" s="2">
        <f t="shared" si="12"/>
        <v>0</v>
      </c>
      <c r="AD267" s="2">
        <f t="shared" si="13"/>
        <v>0</v>
      </c>
      <c r="AE267" s="2">
        <f t="shared" si="14"/>
        <v>0</v>
      </c>
      <c r="AF267" s="2">
        <f t="shared" si="15"/>
        <v>0</v>
      </c>
      <c r="AG267" s="2">
        <f t="shared" si="16"/>
        <v>0</v>
      </c>
      <c r="AH267" s="2">
        <f t="shared" si="17"/>
        <v>0</v>
      </c>
      <c r="AI267" s="2">
        <f t="shared" si="18"/>
      </c>
    </row>
    <row r="268">
      <c r="A268" s="43">
        <f t="shared" si="0"/>
      </c>
      <c r="B268" s="54" t="n"/>
      <c r="C268" s="45" t="n"/>
      <c r="D268" s="50" t="n"/>
      <c r="E268" s="55" t="n"/>
      <c r="F268" s="50" t="n"/>
      <c r="G268" s="55" t="n"/>
      <c r="H268" s="50" t="n"/>
      <c r="I268" s="55" t="n"/>
      <c r="J268" s="50" t="n"/>
      <c r="K268" s="55" t="n"/>
      <c r="L268" s="56" t="n"/>
      <c r="M268" s="57" t="n"/>
      <c r="N268" s="57" t="n"/>
      <c r="O268" s="57" t="n"/>
      <c r="P268" s="57" t="n"/>
      <c r="Q268" s="50" t="n"/>
      <c r="R268" s="58">
        <f t="shared" si="1"/>
      </c>
      <c r="S268" s="59">
        <f t="shared" si="2"/>
      </c>
      <c r="T268" s="43">
        <f t="shared" si="3"/>
      </c>
      <c r="U268" s="60">
        <f t="shared" si="4"/>
      </c>
      <c r="V268" s="60">
        <f t="shared" si="5"/>
      </c>
      <c r="W268" s="60">
        <f t="shared" si="6"/>
      </c>
      <c r="X268" s="49">
        <f t="shared" si="7"/>
      </c>
      <c r="Y268" s="2">
        <f t="shared" si="8"/>
      </c>
      <c r="Z268" s="2">
        <f t="shared" si="9"/>
        <v>0</v>
      </c>
      <c r="AA268" s="2">
        <f t="shared" si="10"/>
        <v>0</v>
      </c>
      <c r="AB268" s="2">
        <f t="shared" si="11"/>
        <v>0</v>
      </c>
      <c r="AC268" s="2">
        <f t="shared" si="12"/>
        <v>0</v>
      </c>
      <c r="AD268" s="2">
        <f t="shared" si="13"/>
        <v>0</v>
      </c>
      <c r="AE268" s="2">
        <f t="shared" si="14"/>
        <v>0</v>
      </c>
      <c r="AF268" s="2">
        <f t="shared" si="15"/>
        <v>0</v>
      </c>
      <c r="AG268" s="2">
        <f t="shared" si="16"/>
        <v>0</v>
      </c>
      <c r="AH268" s="2">
        <f t="shared" si="17"/>
        <v>0</v>
      </c>
      <c r="AI268" s="2">
        <f t="shared" si="18"/>
      </c>
    </row>
    <row r="269">
      <c r="A269" s="43">
        <f t="shared" si="0"/>
      </c>
      <c r="B269" s="54" t="n"/>
      <c r="C269" s="45" t="n"/>
      <c r="D269" s="50" t="n"/>
      <c r="E269" s="55" t="n"/>
      <c r="F269" s="50" t="n"/>
      <c r="G269" s="55" t="n"/>
      <c r="H269" s="50" t="n"/>
      <c r="I269" s="55" t="n"/>
      <c r="J269" s="50" t="n"/>
      <c r="K269" s="55" t="n"/>
      <c r="L269" s="56" t="n"/>
      <c r="M269" s="57" t="n"/>
      <c r="N269" s="57" t="n"/>
      <c r="O269" s="57" t="n"/>
      <c r="P269" s="57" t="n"/>
      <c r="Q269" s="50" t="n"/>
      <c r="R269" s="58">
        <f t="shared" si="1"/>
      </c>
      <c r="S269" s="59">
        <f t="shared" si="2"/>
      </c>
      <c r="T269" s="43">
        <f t="shared" si="3"/>
      </c>
      <c r="U269" s="60">
        <f t="shared" si="4"/>
      </c>
      <c r="V269" s="60">
        <f t="shared" si="5"/>
      </c>
      <c r="W269" s="60">
        <f t="shared" si="6"/>
      </c>
      <c r="X269" s="49">
        <f t="shared" si="7"/>
      </c>
      <c r="Y269" s="2">
        <f t="shared" si="8"/>
      </c>
      <c r="Z269" s="2">
        <f t="shared" si="9"/>
        <v>0</v>
      </c>
      <c r="AA269" s="2">
        <f t="shared" si="10"/>
        <v>0</v>
      </c>
      <c r="AB269" s="2">
        <f t="shared" si="11"/>
        <v>0</v>
      </c>
      <c r="AC269" s="2">
        <f t="shared" si="12"/>
        <v>0</v>
      </c>
      <c r="AD269" s="2">
        <f t="shared" si="13"/>
        <v>0</v>
      </c>
      <c r="AE269" s="2">
        <f t="shared" si="14"/>
        <v>0</v>
      </c>
      <c r="AF269" s="2">
        <f t="shared" si="15"/>
        <v>0</v>
      </c>
      <c r="AG269" s="2">
        <f t="shared" si="16"/>
        <v>0</v>
      </c>
      <c r="AH269" s="2">
        <f t="shared" si="17"/>
        <v>0</v>
      </c>
      <c r="AI269" s="2">
        <f t="shared" si="18"/>
      </c>
    </row>
    <row r="270">
      <c r="A270" s="43">
        <f t="shared" si="0"/>
      </c>
      <c r="B270" s="54" t="n"/>
      <c r="C270" s="45" t="n"/>
      <c r="D270" s="50" t="n"/>
      <c r="E270" s="55" t="n"/>
      <c r="F270" s="50" t="n"/>
      <c r="G270" s="55" t="n"/>
      <c r="H270" s="50" t="n"/>
      <c r="I270" s="55" t="n"/>
      <c r="J270" s="50" t="n"/>
      <c r="K270" s="55" t="n"/>
      <c r="L270" s="56" t="n"/>
      <c r="M270" s="57" t="n"/>
      <c r="N270" s="57" t="n"/>
      <c r="O270" s="57" t="n"/>
      <c r="P270" s="57" t="n"/>
      <c r="Q270" s="50" t="n"/>
      <c r="R270" s="58">
        <f t="shared" si="1"/>
      </c>
      <c r="S270" s="59">
        <f t="shared" si="2"/>
      </c>
      <c r="T270" s="43">
        <f t="shared" si="3"/>
      </c>
      <c r="U270" s="60">
        <f t="shared" si="4"/>
      </c>
      <c r="V270" s="60">
        <f t="shared" si="5"/>
      </c>
      <c r="W270" s="60">
        <f t="shared" si="6"/>
      </c>
      <c r="X270" s="49">
        <f t="shared" si="7"/>
      </c>
      <c r="Y270" s="2">
        <f t="shared" si="8"/>
      </c>
      <c r="Z270" s="2">
        <f t="shared" si="9"/>
        <v>0</v>
      </c>
      <c r="AA270" s="2">
        <f t="shared" si="10"/>
        <v>0</v>
      </c>
      <c r="AB270" s="2">
        <f t="shared" si="11"/>
        <v>0</v>
      </c>
      <c r="AC270" s="2">
        <f t="shared" si="12"/>
        <v>0</v>
      </c>
      <c r="AD270" s="2">
        <f t="shared" si="13"/>
        <v>0</v>
      </c>
      <c r="AE270" s="2">
        <f t="shared" si="14"/>
        <v>0</v>
      </c>
      <c r="AF270" s="2">
        <f t="shared" si="15"/>
        <v>0</v>
      </c>
      <c r="AG270" s="2">
        <f t="shared" si="16"/>
        <v>0</v>
      </c>
      <c r="AH270" s="2">
        <f t="shared" si="17"/>
        <v>0</v>
      </c>
      <c r="AI270" s="2">
        <f t="shared" si="18"/>
      </c>
    </row>
    <row r="271">
      <c r="A271" s="43">
        <f t="shared" si="0"/>
      </c>
      <c r="B271" s="54" t="n"/>
      <c r="C271" s="45" t="n"/>
      <c r="D271" s="50" t="n"/>
      <c r="E271" s="55" t="n"/>
      <c r="F271" s="50" t="n"/>
      <c r="G271" s="55" t="n"/>
      <c r="H271" s="50" t="n"/>
      <c r="I271" s="55" t="n"/>
      <c r="J271" s="50" t="n"/>
      <c r="K271" s="55" t="n"/>
      <c r="L271" s="56" t="n"/>
      <c r="M271" s="57" t="n"/>
      <c r="N271" s="57" t="n"/>
      <c r="O271" s="57" t="n"/>
      <c r="P271" s="57" t="n"/>
      <c r="Q271" s="50" t="n"/>
      <c r="R271" s="58">
        <f t="shared" si="1"/>
      </c>
      <c r="S271" s="59">
        <f t="shared" si="2"/>
      </c>
      <c r="T271" s="43">
        <f t="shared" si="3"/>
      </c>
      <c r="U271" s="60">
        <f t="shared" si="4"/>
      </c>
      <c r="V271" s="60">
        <f t="shared" si="5"/>
      </c>
      <c r="W271" s="60">
        <f t="shared" si="6"/>
      </c>
      <c r="X271" s="49">
        <f t="shared" si="7"/>
      </c>
      <c r="Y271" s="2">
        <f t="shared" si="8"/>
      </c>
      <c r="Z271" s="2">
        <f t="shared" si="9"/>
        <v>0</v>
      </c>
      <c r="AA271" s="2">
        <f t="shared" si="10"/>
        <v>0</v>
      </c>
      <c r="AB271" s="2">
        <f t="shared" si="11"/>
        <v>0</v>
      </c>
      <c r="AC271" s="2">
        <f t="shared" si="12"/>
        <v>0</v>
      </c>
      <c r="AD271" s="2">
        <f t="shared" si="13"/>
        <v>0</v>
      </c>
      <c r="AE271" s="2">
        <f t="shared" si="14"/>
        <v>0</v>
      </c>
      <c r="AF271" s="2">
        <f t="shared" si="15"/>
        <v>0</v>
      </c>
      <c r="AG271" s="2">
        <f t="shared" si="16"/>
        <v>0</v>
      </c>
      <c r="AH271" s="2">
        <f t="shared" si="17"/>
        <v>0</v>
      </c>
      <c r="AI271" s="2">
        <f t="shared" si="18"/>
      </c>
    </row>
    <row r="272">
      <c r="A272" s="43">
        <f t="shared" si="0"/>
      </c>
      <c r="B272" s="54" t="n"/>
      <c r="C272" s="45" t="n"/>
      <c r="D272" s="50" t="n"/>
      <c r="E272" s="55" t="n"/>
      <c r="F272" s="50" t="n"/>
      <c r="G272" s="55" t="n"/>
      <c r="H272" s="50" t="n"/>
      <c r="I272" s="55" t="n"/>
      <c r="J272" s="50" t="n"/>
      <c r="K272" s="55" t="n"/>
      <c r="L272" s="56" t="n"/>
      <c r="M272" s="57" t="n"/>
      <c r="N272" s="57" t="n"/>
      <c r="O272" s="57" t="n"/>
      <c r="P272" s="57" t="n"/>
      <c r="Q272" s="50" t="n"/>
      <c r="R272" s="58">
        <f t="shared" si="1"/>
      </c>
      <c r="S272" s="59">
        <f t="shared" si="2"/>
      </c>
      <c r="T272" s="43">
        <f t="shared" si="3"/>
      </c>
      <c r="U272" s="60">
        <f t="shared" si="4"/>
      </c>
      <c r="V272" s="60">
        <f t="shared" si="5"/>
      </c>
      <c r="W272" s="60">
        <f t="shared" si="6"/>
      </c>
      <c r="X272" s="49">
        <f t="shared" si="7"/>
      </c>
      <c r="Y272" s="2">
        <f t="shared" si="8"/>
      </c>
      <c r="Z272" s="2">
        <f t="shared" si="9"/>
        <v>0</v>
      </c>
      <c r="AA272" s="2">
        <f t="shared" si="10"/>
        <v>0</v>
      </c>
      <c r="AB272" s="2">
        <f t="shared" si="11"/>
        <v>0</v>
      </c>
      <c r="AC272" s="2">
        <f t="shared" si="12"/>
        <v>0</v>
      </c>
      <c r="AD272" s="2">
        <f t="shared" si="13"/>
        <v>0</v>
      </c>
      <c r="AE272" s="2">
        <f t="shared" si="14"/>
        <v>0</v>
      </c>
      <c r="AF272" s="2">
        <f t="shared" si="15"/>
        <v>0</v>
      </c>
      <c r="AG272" s="2">
        <f t="shared" si="16"/>
        <v>0</v>
      </c>
      <c r="AH272" s="2">
        <f t="shared" si="17"/>
        <v>0</v>
      </c>
      <c r="AI272" s="2">
        <f t="shared" si="18"/>
      </c>
    </row>
    <row r="273">
      <c r="A273" s="43">
        <f t="shared" si="0"/>
      </c>
      <c r="B273" s="54" t="n"/>
      <c r="C273" s="45" t="n"/>
      <c r="D273" s="50" t="n"/>
      <c r="E273" s="55" t="n"/>
      <c r="F273" s="50" t="n"/>
      <c r="G273" s="55" t="n"/>
      <c r="H273" s="50" t="n"/>
      <c r="I273" s="55" t="n"/>
      <c r="J273" s="50" t="n"/>
      <c r="K273" s="55" t="n"/>
      <c r="L273" s="56" t="n"/>
      <c r="M273" s="57" t="n"/>
      <c r="N273" s="57" t="n"/>
      <c r="O273" s="57" t="n"/>
      <c r="P273" s="57" t="n"/>
      <c r="Q273" s="50" t="n"/>
      <c r="R273" s="58">
        <f t="shared" si="1"/>
      </c>
      <c r="S273" s="59">
        <f t="shared" si="2"/>
      </c>
      <c r="T273" s="43">
        <f t="shared" si="3"/>
      </c>
      <c r="U273" s="60">
        <f t="shared" si="4"/>
      </c>
      <c r="V273" s="60">
        <f t="shared" si="5"/>
      </c>
      <c r="W273" s="60">
        <f t="shared" si="6"/>
      </c>
      <c r="X273" s="49">
        <f t="shared" si="7"/>
      </c>
      <c r="Y273" s="2">
        <f t="shared" si="8"/>
      </c>
      <c r="Z273" s="2">
        <f t="shared" si="9"/>
        <v>0</v>
      </c>
      <c r="AA273" s="2">
        <f t="shared" si="10"/>
        <v>0</v>
      </c>
      <c r="AB273" s="2">
        <f t="shared" si="11"/>
        <v>0</v>
      </c>
      <c r="AC273" s="2">
        <f t="shared" si="12"/>
        <v>0</v>
      </c>
      <c r="AD273" s="2">
        <f t="shared" si="13"/>
        <v>0</v>
      </c>
      <c r="AE273" s="2">
        <f t="shared" si="14"/>
        <v>0</v>
      </c>
      <c r="AF273" s="2">
        <f t="shared" si="15"/>
        <v>0</v>
      </c>
      <c r="AG273" s="2">
        <f t="shared" si="16"/>
        <v>0</v>
      </c>
      <c r="AH273" s="2">
        <f t="shared" si="17"/>
        <v>0</v>
      </c>
      <c r="AI273" s="2">
        <f t="shared" si="18"/>
      </c>
    </row>
    <row r="274">
      <c r="A274" s="43">
        <f t="shared" si="0"/>
      </c>
      <c r="B274" s="54" t="n"/>
      <c r="C274" s="45" t="n"/>
      <c r="D274" s="50" t="n"/>
      <c r="E274" s="55" t="n"/>
      <c r="F274" s="50" t="n"/>
      <c r="G274" s="55" t="n"/>
      <c r="H274" s="50" t="n"/>
      <c r="I274" s="55" t="n"/>
      <c r="J274" s="50" t="n"/>
      <c r="K274" s="55" t="n"/>
      <c r="L274" s="56" t="n"/>
      <c r="M274" s="57" t="n"/>
      <c r="N274" s="57" t="n"/>
      <c r="O274" s="57" t="n"/>
      <c r="P274" s="57" t="n"/>
      <c r="Q274" s="50" t="n"/>
      <c r="R274" s="58">
        <f t="shared" si="1"/>
      </c>
      <c r="S274" s="59">
        <f t="shared" si="2"/>
      </c>
      <c r="T274" s="43">
        <f t="shared" si="3"/>
      </c>
      <c r="U274" s="60">
        <f t="shared" si="4"/>
      </c>
      <c r="V274" s="60">
        <f t="shared" si="5"/>
      </c>
      <c r="W274" s="60">
        <f t="shared" si="6"/>
      </c>
      <c r="X274" s="49">
        <f t="shared" si="7"/>
      </c>
      <c r="Y274" s="2">
        <f t="shared" si="8"/>
      </c>
      <c r="Z274" s="2">
        <f t="shared" si="9"/>
        <v>0</v>
      </c>
      <c r="AA274" s="2">
        <f t="shared" si="10"/>
        <v>0</v>
      </c>
      <c r="AB274" s="2">
        <f t="shared" si="11"/>
        <v>0</v>
      </c>
      <c r="AC274" s="2">
        <f t="shared" si="12"/>
        <v>0</v>
      </c>
      <c r="AD274" s="2">
        <f t="shared" si="13"/>
        <v>0</v>
      </c>
      <c r="AE274" s="2">
        <f t="shared" si="14"/>
        <v>0</v>
      </c>
      <c r="AF274" s="2">
        <f t="shared" si="15"/>
        <v>0</v>
      </c>
      <c r="AG274" s="2">
        <f t="shared" si="16"/>
        <v>0</v>
      </c>
      <c r="AH274" s="2">
        <f t="shared" si="17"/>
        <v>0</v>
      </c>
      <c r="AI274" s="2">
        <f t="shared" si="18"/>
      </c>
    </row>
    <row r="275">
      <c r="A275" s="43">
        <f t="shared" si="0"/>
      </c>
      <c r="B275" s="54" t="n"/>
      <c r="C275" s="45" t="n"/>
      <c r="D275" s="50" t="n"/>
      <c r="E275" s="55" t="n"/>
      <c r="F275" s="50" t="n"/>
      <c r="G275" s="55" t="n"/>
      <c r="H275" s="50" t="n"/>
      <c r="I275" s="55" t="n"/>
      <c r="J275" s="50" t="n"/>
      <c r="K275" s="55" t="n"/>
      <c r="L275" s="56" t="n"/>
      <c r="M275" s="57" t="n"/>
      <c r="N275" s="57" t="n"/>
      <c r="O275" s="57" t="n"/>
      <c r="P275" s="57" t="n"/>
      <c r="Q275" s="50" t="n"/>
      <c r="R275" s="58">
        <f t="shared" si="1"/>
      </c>
      <c r="S275" s="59">
        <f t="shared" si="2"/>
      </c>
      <c r="T275" s="43">
        <f t="shared" si="3"/>
      </c>
      <c r="U275" s="60">
        <f t="shared" si="4"/>
      </c>
      <c r="V275" s="60">
        <f t="shared" si="5"/>
      </c>
      <c r="W275" s="60">
        <f t="shared" si="6"/>
      </c>
      <c r="X275" s="49">
        <f t="shared" si="7"/>
      </c>
      <c r="Y275" s="2">
        <f t="shared" si="8"/>
      </c>
      <c r="Z275" s="2">
        <f t="shared" si="9"/>
        <v>0</v>
      </c>
      <c r="AA275" s="2">
        <f t="shared" si="10"/>
        <v>0</v>
      </c>
      <c r="AB275" s="2">
        <f t="shared" si="11"/>
        <v>0</v>
      </c>
      <c r="AC275" s="2">
        <f t="shared" si="12"/>
        <v>0</v>
      </c>
      <c r="AD275" s="2">
        <f t="shared" si="13"/>
        <v>0</v>
      </c>
      <c r="AE275" s="2">
        <f t="shared" si="14"/>
        <v>0</v>
      </c>
      <c r="AF275" s="2">
        <f t="shared" si="15"/>
        <v>0</v>
      </c>
      <c r="AG275" s="2">
        <f t="shared" si="16"/>
        <v>0</v>
      </c>
      <c r="AH275" s="2">
        <f t="shared" si="17"/>
        <v>0</v>
      </c>
      <c r="AI275" s="2">
        <f t="shared" si="18"/>
      </c>
    </row>
    <row r="276">
      <c r="A276" s="43">
        <f t="shared" si="0"/>
      </c>
      <c r="B276" s="54" t="n"/>
      <c r="C276" s="45" t="n"/>
      <c r="D276" s="50" t="n"/>
      <c r="E276" s="55" t="n"/>
      <c r="F276" s="50" t="n"/>
      <c r="G276" s="55" t="n"/>
      <c r="H276" s="50" t="n"/>
      <c r="I276" s="55" t="n"/>
      <c r="J276" s="50" t="n"/>
      <c r="K276" s="55" t="n"/>
      <c r="L276" s="56" t="n"/>
      <c r="M276" s="57" t="n"/>
      <c r="N276" s="57" t="n"/>
      <c r="O276" s="57" t="n"/>
      <c r="P276" s="57" t="n"/>
      <c r="Q276" s="50" t="n"/>
      <c r="R276" s="58">
        <f t="shared" si="1"/>
      </c>
      <c r="S276" s="59">
        <f t="shared" si="2"/>
      </c>
      <c r="T276" s="43">
        <f t="shared" si="3"/>
      </c>
      <c r="U276" s="60">
        <f t="shared" si="4"/>
      </c>
      <c r="V276" s="60">
        <f t="shared" si="5"/>
      </c>
      <c r="W276" s="60">
        <f t="shared" si="6"/>
      </c>
      <c r="X276" s="49">
        <f t="shared" si="7"/>
      </c>
      <c r="Y276" s="2">
        <f t="shared" si="8"/>
      </c>
      <c r="Z276" s="2">
        <f t="shared" si="9"/>
        <v>0</v>
      </c>
      <c r="AA276" s="2">
        <f t="shared" si="10"/>
        <v>0</v>
      </c>
      <c r="AB276" s="2">
        <f t="shared" si="11"/>
        <v>0</v>
      </c>
      <c r="AC276" s="2">
        <f t="shared" si="12"/>
        <v>0</v>
      </c>
      <c r="AD276" s="2">
        <f t="shared" si="13"/>
        <v>0</v>
      </c>
      <c r="AE276" s="2">
        <f t="shared" si="14"/>
        <v>0</v>
      </c>
      <c r="AF276" s="2">
        <f t="shared" si="15"/>
        <v>0</v>
      </c>
      <c r="AG276" s="2">
        <f t="shared" si="16"/>
        <v>0</v>
      </c>
      <c r="AH276" s="2">
        <f t="shared" si="17"/>
        <v>0</v>
      </c>
      <c r="AI276" s="2">
        <f t="shared" si="18"/>
      </c>
    </row>
    <row r="277">
      <c r="A277" s="43">
        <f t="shared" si="0"/>
      </c>
      <c r="B277" s="54" t="n"/>
      <c r="C277" s="45" t="n"/>
      <c r="D277" s="50" t="n"/>
      <c r="E277" s="55" t="n"/>
      <c r="F277" s="50" t="n"/>
      <c r="G277" s="55" t="n"/>
      <c r="H277" s="50" t="n"/>
      <c r="I277" s="55" t="n"/>
      <c r="J277" s="50" t="n"/>
      <c r="K277" s="55" t="n"/>
      <c r="L277" s="56" t="n"/>
      <c r="M277" s="57" t="n"/>
      <c r="N277" s="57" t="n"/>
      <c r="O277" s="57" t="n"/>
      <c r="P277" s="57" t="n"/>
      <c r="Q277" s="50" t="n"/>
      <c r="R277" s="58">
        <f t="shared" si="1"/>
      </c>
      <c r="S277" s="59">
        <f t="shared" si="2"/>
      </c>
      <c r="T277" s="43">
        <f t="shared" si="3"/>
      </c>
      <c r="U277" s="60">
        <f t="shared" si="4"/>
      </c>
      <c r="V277" s="60">
        <f t="shared" si="5"/>
      </c>
      <c r="W277" s="60">
        <f t="shared" si="6"/>
      </c>
      <c r="X277" s="49">
        <f t="shared" si="7"/>
      </c>
      <c r="Y277" s="2">
        <f t="shared" si="8"/>
      </c>
      <c r="Z277" s="2">
        <f t="shared" si="9"/>
        <v>0</v>
      </c>
      <c r="AA277" s="2">
        <f t="shared" si="10"/>
        <v>0</v>
      </c>
      <c r="AB277" s="2">
        <f t="shared" si="11"/>
        <v>0</v>
      </c>
      <c r="AC277" s="2">
        <f t="shared" si="12"/>
        <v>0</v>
      </c>
      <c r="AD277" s="2">
        <f t="shared" si="13"/>
        <v>0</v>
      </c>
      <c r="AE277" s="2">
        <f t="shared" si="14"/>
        <v>0</v>
      </c>
      <c r="AF277" s="2">
        <f t="shared" si="15"/>
        <v>0</v>
      </c>
      <c r="AG277" s="2">
        <f t="shared" si="16"/>
        <v>0</v>
      </c>
      <c r="AH277" s="2">
        <f t="shared" si="17"/>
        <v>0</v>
      </c>
      <c r="AI277" s="2">
        <f t="shared" si="18"/>
      </c>
    </row>
    <row r="278">
      <c r="A278" s="43">
        <f t="shared" si="0"/>
      </c>
      <c r="B278" s="54" t="n"/>
      <c r="C278" s="45" t="n"/>
      <c r="D278" s="50" t="n"/>
      <c r="E278" s="55" t="n"/>
      <c r="F278" s="50" t="n"/>
      <c r="G278" s="55" t="n"/>
      <c r="H278" s="50" t="n"/>
      <c r="I278" s="55" t="n"/>
      <c r="J278" s="50" t="n"/>
      <c r="K278" s="55" t="n"/>
      <c r="L278" s="56" t="n"/>
      <c r="M278" s="57" t="n"/>
      <c r="N278" s="57" t="n"/>
      <c r="O278" s="57" t="n"/>
      <c r="P278" s="57" t="n"/>
      <c r="Q278" s="50" t="n"/>
      <c r="R278" s="58">
        <f t="shared" si="1"/>
      </c>
      <c r="S278" s="59">
        <f t="shared" si="2"/>
      </c>
      <c r="T278" s="43">
        <f t="shared" si="3"/>
      </c>
      <c r="U278" s="60">
        <f t="shared" si="4"/>
      </c>
      <c r="V278" s="60">
        <f t="shared" si="5"/>
      </c>
      <c r="W278" s="60">
        <f t="shared" si="6"/>
      </c>
      <c r="X278" s="49">
        <f t="shared" si="7"/>
      </c>
      <c r="Y278" s="2">
        <f t="shared" si="8"/>
      </c>
      <c r="Z278" s="2">
        <f t="shared" si="9"/>
        <v>0</v>
      </c>
      <c r="AA278" s="2">
        <f t="shared" si="10"/>
        <v>0</v>
      </c>
      <c r="AB278" s="2">
        <f t="shared" si="11"/>
        <v>0</v>
      </c>
      <c r="AC278" s="2">
        <f t="shared" si="12"/>
        <v>0</v>
      </c>
      <c r="AD278" s="2">
        <f t="shared" si="13"/>
        <v>0</v>
      </c>
      <c r="AE278" s="2">
        <f t="shared" si="14"/>
        <v>0</v>
      </c>
      <c r="AF278" s="2">
        <f t="shared" si="15"/>
        <v>0</v>
      </c>
      <c r="AG278" s="2">
        <f t="shared" si="16"/>
        <v>0</v>
      </c>
      <c r="AH278" s="2">
        <f t="shared" si="17"/>
        <v>0</v>
      </c>
      <c r="AI278" s="2">
        <f t="shared" si="18"/>
      </c>
    </row>
    <row r="279">
      <c r="A279" s="43">
        <f t="shared" si="0"/>
      </c>
      <c r="B279" s="54" t="n"/>
      <c r="C279" s="45" t="n"/>
      <c r="D279" s="50" t="n"/>
      <c r="E279" s="55" t="n"/>
      <c r="F279" s="50" t="n"/>
      <c r="G279" s="55" t="n"/>
      <c r="H279" s="50" t="n"/>
      <c r="I279" s="55" t="n"/>
      <c r="J279" s="50" t="n"/>
      <c r="K279" s="55" t="n"/>
      <c r="L279" s="56" t="n"/>
      <c r="M279" s="57" t="n"/>
      <c r="N279" s="57" t="n"/>
      <c r="O279" s="57" t="n"/>
      <c r="P279" s="57" t="n"/>
      <c r="Q279" s="50" t="n"/>
      <c r="R279" s="58">
        <f t="shared" si="1"/>
      </c>
      <c r="S279" s="59">
        <f t="shared" si="2"/>
      </c>
      <c r="T279" s="43">
        <f t="shared" si="3"/>
      </c>
      <c r="U279" s="60">
        <f t="shared" si="4"/>
      </c>
      <c r="V279" s="60">
        <f t="shared" si="5"/>
      </c>
      <c r="W279" s="60">
        <f t="shared" si="6"/>
      </c>
      <c r="X279" s="49">
        <f t="shared" si="7"/>
      </c>
      <c r="Y279" s="2">
        <f t="shared" si="8"/>
      </c>
      <c r="Z279" s="2">
        <f t="shared" si="9"/>
        <v>0</v>
      </c>
      <c r="AA279" s="2">
        <f t="shared" si="10"/>
        <v>0</v>
      </c>
      <c r="AB279" s="2">
        <f t="shared" si="11"/>
        <v>0</v>
      </c>
      <c r="AC279" s="2">
        <f t="shared" si="12"/>
        <v>0</v>
      </c>
      <c r="AD279" s="2">
        <f t="shared" si="13"/>
        <v>0</v>
      </c>
      <c r="AE279" s="2">
        <f t="shared" si="14"/>
        <v>0</v>
      </c>
      <c r="AF279" s="2">
        <f t="shared" si="15"/>
        <v>0</v>
      </c>
      <c r="AG279" s="2">
        <f t="shared" si="16"/>
        <v>0</v>
      </c>
      <c r="AH279" s="2">
        <f t="shared" si="17"/>
        <v>0</v>
      </c>
      <c r="AI279" s="2">
        <f t="shared" si="18"/>
      </c>
    </row>
    <row r="280">
      <c r="A280" s="43">
        <f t="shared" si="0"/>
      </c>
      <c r="B280" s="54" t="n"/>
      <c r="C280" s="45" t="n"/>
      <c r="D280" s="50" t="n"/>
      <c r="E280" s="55" t="n"/>
      <c r="F280" s="50" t="n"/>
      <c r="G280" s="55" t="n"/>
      <c r="H280" s="50" t="n"/>
      <c r="I280" s="55" t="n"/>
      <c r="J280" s="50" t="n"/>
      <c r="K280" s="55" t="n"/>
      <c r="L280" s="56" t="n"/>
      <c r="M280" s="57" t="n"/>
      <c r="N280" s="57" t="n"/>
      <c r="O280" s="57" t="n"/>
      <c r="P280" s="57" t="n"/>
      <c r="Q280" s="50" t="n"/>
      <c r="R280" s="58">
        <f t="shared" si="1"/>
      </c>
      <c r="S280" s="59">
        <f t="shared" si="2"/>
      </c>
      <c r="T280" s="43">
        <f t="shared" si="3"/>
      </c>
      <c r="U280" s="60">
        <f t="shared" si="4"/>
      </c>
      <c r="V280" s="60">
        <f t="shared" si="5"/>
      </c>
      <c r="W280" s="60">
        <f t="shared" si="6"/>
      </c>
      <c r="X280" s="49">
        <f t="shared" si="7"/>
      </c>
      <c r="Y280" s="2">
        <f t="shared" si="8"/>
      </c>
      <c r="Z280" s="2">
        <f t="shared" si="9"/>
        <v>0</v>
      </c>
      <c r="AA280" s="2">
        <f t="shared" si="10"/>
        <v>0</v>
      </c>
      <c r="AB280" s="2">
        <f t="shared" si="11"/>
        <v>0</v>
      </c>
      <c r="AC280" s="2">
        <f t="shared" si="12"/>
        <v>0</v>
      </c>
      <c r="AD280" s="2">
        <f t="shared" si="13"/>
        <v>0</v>
      </c>
      <c r="AE280" s="2">
        <f t="shared" si="14"/>
        <v>0</v>
      </c>
      <c r="AF280" s="2">
        <f t="shared" si="15"/>
        <v>0</v>
      </c>
      <c r="AG280" s="2">
        <f t="shared" si="16"/>
        <v>0</v>
      </c>
      <c r="AH280" s="2">
        <f t="shared" si="17"/>
        <v>0</v>
      </c>
      <c r="AI280" s="2">
        <f t="shared" si="18"/>
      </c>
    </row>
    <row r="281">
      <c r="A281" s="43">
        <f t="shared" si="0"/>
      </c>
      <c r="B281" s="54" t="n"/>
      <c r="C281" s="45" t="n"/>
      <c r="D281" s="50" t="n"/>
      <c r="E281" s="55" t="n"/>
      <c r="F281" s="50" t="n"/>
      <c r="G281" s="55" t="n"/>
      <c r="H281" s="50" t="n"/>
      <c r="I281" s="55" t="n"/>
      <c r="J281" s="50" t="n"/>
      <c r="K281" s="55" t="n"/>
      <c r="L281" s="56" t="n"/>
      <c r="M281" s="57" t="n"/>
      <c r="N281" s="57" t="n"/>
      <c r="O281" s="57" t="n"/>
      <c r="P281" s="57" t="n"/>
      <c r="Q281" s="50" t="n"/>
      <c r="R281" s="58">
        <f t="shared" si="1"/>
      </c>
      <c r="S281" s="59">
        <f t="shared" si="2"/>
      </c>
      <c r="T281" s="43">
        <f t="shared" si="3"/>
      </c>
      <c r="U281" s="60">
        <f t="shared" si="4"/>
      </c>
      <c r="V281" s="60">
        <f t="shared" si="5"/>
      </c>
      <c r="W281" s="60">
        <f t="shared" si="6"/>
      </c>
      <c r="X281" s="49">
        <f t="shared" si="7"/>
      </c>
      <c r="Y281" s="2">
        <f t="shared" si="8"/>
      </c>
      <c r="Z281" s="2">
        <f t="shared" si="9"/>
        <v>0</v>
      </c>
      <c r="AA281" s="2">
        <f t="shared" si="10"/>
        <v>0</v>
      </c>
      <c r="AB281" s="2">
        <f t="shared" si="11"/>
        <v>0</v>
      </c>
      <c r="AC281" s="2">
        <f t="shared" si="12"/>
        <v>0</v>
      </c>
      <c r="AD281" s="2">
        <f t="shared" si="13"/>
        <v>0</v>
      </c>
      <c r="AE281" s="2">
        <f t="shared" si="14"/>
        <v>0</v>
      </c>
      <c r="AF281" s="2">
        <f t="shared" si="15"/>
        <v>0</v>
      </c>
      <c r="AG281" s="2">
        <f t="shared" si="16"/>
        <v>0</v>
      </c>
      <c r="AH281" s="2">
        <f t="shared" si="17"/>
        <v>0</v>
      </c>
      <c r="AI281" s="2">
        <f t="shared" si="18"/>
      </c>
    </row>
    <row r="282">
      <c r="A282" s="43">
        <f t="shared" si="0"/>
      </c>
      <c r="B282" s="54" t="n"/>
      <c r="C282" s="45" t="n"/>
      <c r="D282" s="50" t="n"/>
      <c r="E282" s="55" t="n"/>
      <c r="F282" s="50" t="n"/>
      <c r="G282" s="55" t="n"/>
      <c r="H282" s="50" t="n"/>
      <c r="I282" s="55" t="n"/>
      <c r="J282" s="50" t="n"/>
      <c r="K282" s="55" t="n"/>
      <c r="L282" s="56" t="n"/>
      <c r="M282" s="57" t="n"/>
      <c r="N282" s="57" t="n"/>
      <c r="O282" s="57" t="n"/>
      <c r="P282" s="57" t="n"/>
      <c r="Q282" s="50" t="n"/>
      <c r="R282" s="58">
        <f t="shared" si="1"/>
      </c>
      <c r="S282" s="59">
        <f t="shared" si="2"/>
      </c>
      <c r="T282" s="43">
        <f t="shared" si="3"/>
      </c>
      <c r="U282" s="60">
        <f t="shared" si="4"/>
      </c>
      <c r="V282" s="60">
        <f t="shared" si="5"/>
      </c>
      <c r="W282" s="60">
        <f t="shared" si="6"/>
      </c>
      <c r="X282" s="49">
        <f t="shared" si="7"/>
      </c>
      <c r="Y282" s="2">
        <f t="shared" si="8"/>
      </c>
      <c r="Z282" s="2">
        <f t="shared" si="9"/>
        <v>0</v>
      </c>
      <c r="AA282" s="2">
        <f t="shared" si="10"/>
        <v>0</v>
      </c>
      <c r="AB282" s="2">
        <f t="shared" si="11"/>
        <v>0</v>
      </c>
      <c r="AC282" s="2">
        <f t="shared" si="12"/>
        <v>0</v>
      </c>
      <c r="AD282" s="2">
        <f t="shared" si="13"/>
        <v>0</v>
      </c>
      <c r="AE282" s="2">
        <f t="shared" si="14"/>
        <v>0</v>
      </c>
      <c r="AF282" s="2">
        <f t="shared" si="15"/>
        <v>0</v>
      </c>
      <c r="AG282" s="2">
        <f t="shared" si="16"/>
        <v>0</v>
      </c>
      <c r="AH282" s="2">
        <f t="shared" si="17"/>
        <v>0</v>
      </c>
      <c r="AI282" s="2">
        <f t="shared" si="18"/>
      </c>
    </row>
    <row r="283">
      <c r="A283" s="43">
        <f t="shared" si="0"/>
      </c>
      <c r="B283" s="54" t="n"/>
      <c r="C283" s="45" t="n"/>
      <c r="D283" s="50" t="n"/>
      <c r="E283" s="55" t="n"/>
      <c r="F283" s="50" t="n"/>
      <c r="G283" s="55" t="n"/>
      <c r="H283" s="50" t="n"/>
      <c r="I283" s="55" t="n"/>
      <c r="J283" s="50" t="n"/>
      <c r="K283" s="55" t="n"/>
      <c r="L283" s="56" t="n"/>
      <c r="M283" s="57" t="n"/>
      <c r="N283" s="57" t="n"/>
      <c r="O283" s="57" t="n"/>
      <c r="P283" s="57" t="n"/>
      <c r="Q283" s="50" t="n"/>
      <c r="R283" s="58">
        <f t="shared" si="1"/>
      </c>
      <c r="S283" s="59">
        <f t="shared" si="2"/>
      </c>
      <c r="T283" s="43">
        <f t="shared" si="3"/>
      </c>
      <c r="U283" s="60">
        <f t="shared" si="4"/>
      </c>
      <c r="V283" s="60">
        <f t="shared" si="5"/>
      </c>
      <c r="W283" s="60">
        <f t="shared" si="6"/>
      </c>
      <c r="X283" s="49">
        <f t="shared" si="7"/>
      </c>
      <c r="Y283" s="2">
        <f t="shared" si="8"/>
      </c>
      <c r="Z283" s="2">
        <f t="shared" si="9"/>
        <v>0</v>
      </c>
      <c r="AA283" s="2">
        <f t="shared" si="10"/>
        <v>0</v>
      </c>
      <c r="AB283" s="2">
        <f t="shared" si="11"/>
        <v>0</v>
      </c>
      <c r="AC283" s="2">
        <f t="shared" si="12"/>
        <v>0</v>
      </c>
      <c r="AD283" s="2">
        <f t="shared" si="13"/>
        <v>0</v>
      </c>
      <c r="AE283" s="2">
        <f t="shared" si="14"/>
        <v>0</v>
      </c>
      <c r="AF283" s="2">
        <f t="shared" si="15"/>
        <v>0</v>
      </c>
      <c r="AG283" s="2">
        <f t="shared" si="16"/>
        <v>0</v>
      </c>
      <c r="AH283" s="2">
        <f t="shared" si="17"/>
        <v>0</v>
      </c>
      <c r="AI283" s="2">
        <f t="shared" si="18"/>
      </c>
    </row>
    <row r="284">
      <c r="A284" s="43">
        <f t="shared" si="0"/>
      </c>
      <c r="B284" s="54" t="n"/>
      <c r="C284" s="45" t="n"/>
      <c r="D284" s="50" t="n"/>
      <c r="E284" s="55" t="n"/>
      <c r="F284" s="50" t="n"/>
      <c r="G284" s="55" t="n"/>
      <c r="H284" s="50" t="n"/>
      <c r="I284" s="55" t="n"/>
      <c r="J284" s="50" t="n"/>
      <c r="K284" s="55" t="n"/>
      <c r="L284" s="56" t="n"/>
      <c r="M284" s="57" t="n"/>
      <c r="N284" s="57" t="n"/>
      <c r="O284" s="57" t="n"/>
      <c r="P284" s="57" t="n"/>
      <c r="Q284" s="50" t="n"/>
      <c r="R284" s="58">
        <f t="shared" si="1"/>
      </c>
      <c r="S284" s="59">
        <f t="shared" si="2"/>
      </c>
      <c r="T284" s="43">
        <f t="shared" si="3"/>
      </c>
      <c r="U284" s="60">
        <f t="shared" si="4"/>
      </c>
      <c r="V284" s="60">
        <f t="shared" si="5"/>
      </c>
      <c r="W284" s="60">
        <f t="shared" si="6"/>
      </c>
      <c r="X284" s="49">
        <f t="shared" si="7"/>
      </c>
      <c r="Y284" s="2">
        <f t="shared" si="8"/>
      </c>
      <c r="Z284" s="2">
        <f t="shared" si="9"/>
        <v>0</v>
      </c>
      <c r="AA284" s="2">
        <f t="shared" si="10"/>
        <v>0</v>
      </c>
      <c r="AB284" s="2">
        <f t="shared" si="11"/>
        <v>0</v>
      </c>
      <c r="AC284" s="2">
        <f t="shared" si="12"/>
        <v>0</v>
      </c>
      <c r="AD284" s="2">
        <f t="shared" si="13"/>
        <v>0</v>
      </c>
      <c r="AE284" s="2">
        <f t="shared" si="14"/>
        <v>0</v>
      </c>
      <c r="AF284" s="2">
        <f t="shared" si="15"/>
        <v>0</v>
      </c>
      <c r="AG284" s="2">
        <f t="shared" si="16"/>
        <v>0</v>
      </c>
      <c r="AH284" s="2">
        <f t="shared" si="17"/>
        <v>0</v>
      </c>
      <c r="AI284" s="2">
        <f t="shared" si="18"/>
      </c>
    </row>
    <row r="285">
      <c r="A285" s="43">
        <f t="shared" si="0"/>
      </c>
      <c r="B285" s="54" t="n"/>
      <c r="C285" s="45" t="n"/>
      <c r="D285" s="50" t="n"/>
      <c r="E285" s="55" t="n"/>
      <c r="F285" s="50" t="n"/>
      <c r="G285" s="55" t="n"/>
      <c r="H285" s="50" t="n"/>
      <c r="I285" s="55" t="n"/>
      <c r="J285" s="50" t="n"/>
      <c r="K285" s="55" t="n"/>
      <c r="L285" s="56" t="n"/>
      <c r="M285" s="57" t="n"/>
      <c r="N285" s="57" t="n"/>
      <c r="O285" s="57" t="n"/>
      <c r="P285" s="57" t="n"/>
      <c r="Q285" s="50" t="n"/>
      <c r="R285" s="58">
        <f t="shared" si="1"/>
      </c>
      <c r="S285" s="59">
        <f t="shared" si="2"/>
      </c>
      <c r="T285" s="43">
        <f t="shared" si="3"/>
      </c>
      <c r="U285" s="60">
        <f t="shared" si="4"/>
      </c>
      <c r="V285" s="60">
        <f t="shared" si="5"/>
      </c>
      <c r="W285" s="60">
        <f t="shared" si="6"/>
      </c>
      <c r="X285" s="49">
        <f t="shared" si="7"/>
      </c>
      <c r="Y285" s="2">
        <f t="shared" si="8"/>
      </c>
      <c r="Z285" s="2">
        <f t="shared" si="9"/>
        <v>0</v>
      </c>
      <c r="AA285" s="2">
        <f t="shared" si="10"/>
        <v>0</v>
      </c>
      <c r="AB285" s="2">
        <f t="shared" si="11"/>
        <v>0</v>
      </c>
      <c r="AC285" s="2">
        <f t="shared" si="12"/>
        <v>0</v>
      </c>
      <c r="AD285" s="2">
        <f t="shared" si="13"/>
        <v>0</v>
      </c>
      <c r="AE285" s="2">
        <f t="shared" si="14"/>
        <v>0</v>
      </c>
      <c r="AF285" s="2">
        <f t="shared" si="15"/>
        <v>0</v>
      </c>
      <c r="AG285" s="2">
        <f t="shared" si="16"/>
        <v>0</v>
      </c>
      <c r="AH285" s="2">
        <f t="shared" si="17"/>
        <v>0</v>
      </c>
      <c r="AI285" s="2">
        <f t="shared" si="18"/>
      </c>
    </row>
    <row r="286">
      <c r="A286" s="43">
        <f t="shared" si="0"/>
      </c>
      <c r="B286" s="54" t="n"/>
      <c r="C286" s="45" t="n"/>
      <c r="D286" s="50" t="n"/>
      <c r="E286" s="55" t="n"/>
      <c r="F286" s="50" t="n"/>
      <c r="G286" s="55" t="n"/>
      <c r="H286" s="50" t="n"/>
      <c r="I286" s="55" t="n"/>
      <c r="J286" s="50" t="n"/>
      <c r="K286" s="55" t="n"/>
      <c r="L286" s="56" t="n"/>
      <c r="M286" s="57" t="n"/>
      <c r="N286" s="57" t="n"/>
      <c r="O286" s="57" t="n"/>
      <c r="P286" s="57" t="n"/>
      <c r="Q286" s="50" t="n"/>
      <c r="R286" s="58">
        <f t="shared" si="1"/>
      </c>
      <c r="S286" s="59">
        <f t="shared" si="2"/>
      </c>
      <c r="T286" s="43">
        <f t="shared" si="3"/>
      </c>
      <c r="U286" s="60">
        <f t="shared" si="4"/>
      </c>
      <c r="V286" s="60">
        <f t="shared" si="5"/>
      </c>
      <c r="W286" s="60">
        <f t="shared" si="6"/>
      </c>
      <c r="X286" s="49">
        <f t="shared" si="7"/>
      </c>
      <c r="Y286" s="2">
        <f t="shared" si="8"/>
      </c>
      <c r="Z286" s="2">
        <f t="shared" si="9"/>
        <v>0</v>
      </c>
      <c r="AA286" s="2">
        <f t="shared" si="10"/>
        <v>0</v>
      </c>
      <c r="AB286" s="2">
        <f t="shared" si="11"/>
        <v>0</v>
      </c>
      <c r="AC286" s="2">
        <f t="shared" si="12"/>
        <v>0</v>
      </c>
      <c r="AD286" s="2">
        <f t="shared" si="13"/>
        <v>0</v>
      </c>
      <c r="AE286" s="2">
        <f t="shared" si="14"/>
        <v>0</v>
      </c>
      <c r="AF286" s="2">
        <f t="shared" si="15"/>
        <v>0</v>
      </c>
      <c r="AG286" s="2">
        <f t="shared" si="16"/>
        <v>0</v>
      </c>
      <c r="AH286" s="2">
        <f t="shared" si="17"/>
        <v>0</v>
      </c>
      <c r="AI286" s="2">
        <f t="shared" si="18"/>
      </c>
    </row>
    <row r="287">
      <c r="A287" s="43">
        <f t="shared" si="0"/>
      </c>
      <c r="B287" s="54" t="n"/>
      <c r="C287" s="45" t="n"/>
      <c r="D287" s="50" t="n"/>
      <c r="E287" s="55" t="n"/>
      <c r="F287" s="50" t="n"/>
      <c r="G287" s="55" t="n"/>
      <c r="H287" s="50" t="n"/>
      <c r="I287" s="55" t="n"/>
      <c r="J287" s="50" t="n"/>
      <c r="K287" s="55" t="n"/>
      <c r="L287" s="56" t="n"/>
      <c r="M287" s="57" t="n"/>
      <c r="N287" s="57" t="n"/>
      <c r="O287" s="57" t="n"/>
      <c r="P287" s="57" t="n"/>
      <c r="Q287" s="50" t="n"/>
      <c r="R287" s="58">
        <f t="shared" si="1"/>
      </c>
      <c r="S287" s="59">
        <f t="shared" si="2"/>
      </c>
      <c r="T287" s="43">
        <f t="shared" si="3"/>
      </c>
      <c r="U287" s="60">
        <f t="shared" si="4"/>
      </c>
      <c r="V287" s="60">
        <f t="shared" si="5"/>
      </c>
      <c r="W287" s="60">
        <f t="shared" si="6"/>
      </c>
      <c r="X287" s="49">
        <f t="shared" si="7"/>
      </c>
      <c r="Y287" s="2">
        <f t="shared" si="8"/>
      </c>
      <c r="Z287" s="2">
        <f t="shared" si="9"/>
        <v>0</v>
      </c>
      <c r="AA287" s="2">
        <f t="shared" si="10"/>
        <v>0</v>
      </c>
      <c r="AB287" s="2">
        <f t="shared" si="11"/>
        <v>0</v>
      </c>
      <c r="AC287" s="2">
        <f t="shared" si="12"/>
        <v>0</v>
      </c>
      <c r="AD287" s="2">
        <f t="shared" si="13"/>
        <v>0</v>
      </c>
      <c r="AE287" s="2">
        <f t="shared" si="14"/>
        <v>0</v>
      </c>
      <c r="AF287" s="2">
        <f t="shared" si="15"/>
        <v>0</v>
      </c>
      <c r="AG287" s="2">
        <f t="shared" si="16"/>
        <v>0</v>
      </c>
      <c r="AH287" s="2">
        <f t="shared" si="17"/>
        <v>0</v>
      </c>
      <c r="AI287" s="2">
        <f t="shared" si="18"/>
      </c>
    </row>
    <row r="288">
      <c r="A288" s="43">
        <f t="shared" si="0"/>
      </c>
      <c r="B288" s="54" t="n"/>
      <c r="C288" s="45" t="n"/>
      <c r="D288" s="50" t="n"/>
      <c r="E288" s="55" t="n"/>
      <c r="F288" s="50" t="n"/>
      <c r="G288" s="55" t="n"/>
      <c r="H288" s="50" t="n"/>
      <c r="I288" s="55" t="n"/>
      <c r="J288" s="50" t="n"/>
      <c r="K288" s="55" t="n"/>
      <c r="L288" s="56" t="n"/>
      <c r="M288" s="57" t="n"/>
      <c r="N288" s="57" t="n"/>
      <c r="O288" s="57" t="n"/>
      <c r="P288" s="57" t="n"/>
      <c r="Q288" s="50" t="n"/>
      <c r="R288" s="58">
        <f t="shared" si="1"/>
      </c>
      <c r="S288" s="59">
        <f t="shared" si="2"/>
      </c>
      <c r="T288" s="43">
        <f t="shared" si="3"/>
      </c>
      <c r="U288" s="60">
        <f t="shared" si="4"/>
      </c>
      <c r="V288" s="60">
        <f t="shared" si="5"/>
      </c>
      <c r="W288" s="60">
        <f t="shared" si="6"/>
      </c>
      <c r="X288" s="49">
        <f t="shared" si="7"/>
      </c>
      <c r="Y288" s="2">
        <f t="shared" si="8"/>
      </c>
      <c r="Z288" s="2">
        <f t="shared" si="9"/>
        <v>0</v>
      </c>
      <c r="AA288" s="2">
        <f t="shared" si="10"/>
        <v>0</v>
      </c>
      <c r="AB288" s="2">
        <f t="shared" si="11"/>
        <v>0</v>
      </c>
      <c r="AC288" s="2">
        <f t="shared" si="12"/>
        <v>0</v>
      </c>
      <c r="AD288" s="2">
        <f t="shared" si="13"/>
        <v>0</v>
      </c>
      <c r="AE288" s="2">
        <f t="shared" si="14"/>
        <v>0</v>
      </c>
      <c r="AF288" s="2">
        <f t="shared" si="15"/>
        <v>0</v>
      </c>
      <c r="AG288" s="2">
        <f t="shared" si="16"/>
        <v>0</v>
      </c>
      <c r="AH288" s="2">
        <f t="shared" si="17"/>
        <v>0</v>
      </c>
      <c r="AI288" s="2">
        <f t="shared" si="18"/>
      </c>
    </row>
    <row r="289">
      <c r="A289" s="43">
        <f t="shared" si="0"/>
      </c>
      <c r="B289" s="54" t="n"/>
      <c r="C289" s="45" t="n"/>
      <c r="D289" s="50" t="n"/>
      <c r="E289" s="55" t="n"/>
      <c r="F289" s="50" t="n"/>
      <c r="G289" s="55" t="n"/>
      <c r="H289" s="50" t="n"/>
      <c r="I289" s="55" t="n"/>
      <c r="J289" s="50" t="n"/>
      <c r="K289" s="55" t="n"/>
      <c r="L289" s="56" t="n"/>
      <c r="M289" s="57" t="n"/>
      <c r="N289" s="57" t="n"/>
      <c r="O289" s="57" t="n"/>
      <c r="P289" s="57" t="n"/>
      <c r="Q289" s="50" t="n"/>
      <c r="R289" s="58">
        <f t="shared" si="1"/>
      </c>
      <c r="S289" s="59">
        <f t="shared" si="2"/>
      </c>
      <c r="T289" s="43">
        <f t="shared" si="3"/>
      </c>
      <c r="U289" s="60">
        <f t="shared" si="4"/>
      </c>
      <c r="V289" s="60">
        <f t="shared" si="5"/>
      </c>
      <c r="W289" s="60">
        <f t="shared" si="6"/>
      </c>
      <c r="X289" s="49">
        <f t="shared" si="7"/>
      </c>
      <c r="Y289" s="2">
        <f t="shared" si="8"/>
      </c>
      <c r="Z289" s="2">
        <f t="shared" si="9"/>
        <v>0</v>
      </c>
      <c r="AA289" s="2">
        <f t="shared" si="10"/>
        <v>0</v>
      </c>
      <c r="AB289" s="2">
        <f t="shared" si="11"/>
        <v>0</v>
      </c>
      <c r="AC289" s="2">
        <f t="shared" si="12"/>
        <v>0</v>
      </c>
      <c r="AD289" s="2">
        <f t="shared" si="13"/>
        <v>0</v>
      </c>
      <c r="AE289" s="2">
        <f t="shared" si="14"/>
        <v>0</v>
      </c>
      <c r="AF289" s="2">
        <f t="shared" si="15"/>
        <v>0</v>
      </c>
      <c r="AG289" s="2">
        <f t="shared" si="16"/>
        <v>0</v>
      </c>
      <c r="AH289" s="2">
        <f t="shared" si="17"/>
        <v>0</v>
      </c>
      <c r="AI289" s="2">
        <f t="shared" si="18"/>
      </c>
    </row>
    <row r="290">
      <c r="A290" s="43">
        <f t="shared" si="0"/>
      </c>
      <c r="B290" s="54" t="n"/>
      <c r="C290" s="45" t="n"/>
      <c r="D290" s="50" t="n"/>
      <c r="E290" s="55" t="n"/>
      <c r="F290" s="50" t="n"/>
      <c r="G290" s="55" t="n"/>
      <c r="H290" s="50" t="n"/>
      <c r="I290" s="55" t="n"/>
      <c r="J290" s="50" t="n"/>
      <c r="K290" s="55" t="n"/>
      <c r="L290" s="56" t="n"/>
      <c r="M290" s="57" t="n"/>
      <c r="N290" s="57" t="n"/>
      <c r="O290" s="57" t="n"/>
      <c r="P290" s="57" t="n"/>
      <c r="Q290" s="50" t="n"/>
      <c r="R290" s="58">
        <f t="shared" si="1"/>
      </c>
      <c r="S290" s="59">
        <f t="shared" si="2"/>
      </c>
      <c r="T290" s="43">
        <f t="shared" si="3"/>
      </c>
      <c r="U290" s="60">
        <f t="shared" si="4"/>
      </c>
      <c r="V290" s="60">
        <f t="shared" si="5"/>
      </c>
      <c r="W290" s="60">
        <f t="shared" si="6"/>
      </c>
      <c r="X290" s="49">
        <f t="shared" si="7"/>
      </c>
      <c r="Y290" s="2">
        <f t="shared" si="8"/>
      </c>
      <c r="Z290" s="2">
        <f t="shared" si="9"/>
        <v>0</v>
      </c>
      <c r="AA290" s="2">
        <f t="shared" si="10"/>
        <v>0</v>
      </c>
      <c r="AB290" s="2">
        <f t="shared" si="11"/>
        <v>0</v>
      </c>
      <c r="AC290" s="2">
        <f t="shared" si="12"/>
        <v>0</v>
      </c>
      <c r="AD290" s="2">
        <f t="shared" si="13"/>
        <v>0</v>
      </c>
      <c r="AE290" s="2">
        <f t="shared" si="14"/>
        <v>0</v>
      </c>
      <c r="AF290" s="2">
        <f t="shared" si="15"/>
        <v>0</v>
      </c>
      <c r="AG290" s="2">
        <f t="shared" si="16"/>
        <v>0</v>
      </c>
      <c r="AH290" s="2">
        <f t="shared" si="17"/>
        <v>0</v>
      </c>
      <c r="AI290" s="2">
        <f t="shared" si="18"/>
      </c>
    </row>
    <row r="291">
      <c r="A291" s="43">
        <f t="shared" si="0"/>
      </c>
      <c r="B291" s="54" t="n"/>
      <c r="C291" s="45" t="n"/>
      <c r="D291" s="50" t="n"/>
      <c r="E291" s="55" t="n"/>
      <c r="F291" s="50" t="n"/>
      <c r="G291" s="55" t="n"/>
      <c r="H291" s="50" t="n"/>
      <c r="I291" s="55" t="n"/>
      <c r="J291" s="50" t="n"/>
      <c r="K291" s="55" t="n"/>
      <c r="L291" s="56" t="n"/>
      <c r="M291" s="57" t="n"/>
      <c r="N291" s="57" t="n"/>
      <c r="O291" s="57" t="n"/>
      <c r="P291" s="57" t="n"/>
      <c r="Q291" s="50" t="n"/>
      <c r="R291" s="58">
        <f t="shared" si="1"/>
      </c>
      <c r="S291" s="59">
        <f t="shared" si="2"/>
      </c>
      <c r="T291" s="43">
        <f t="shared" si="3"/>
      </c>
      <c r="U291" s="60">
        <f t="shared" si="4"/>
      </c>
      <c r="V291" s="60">
        <f t="shared" si="5"/>
      </c>
      <c r="W291" s="60">
        <f t="shared" si="6"/>
      </c>
      <c r="X291" s="49">
        <f t="shared" si="7"/>
      </c>
      <c r="Y291" s="2">
        <f t="shared" si="8"/>
      </c>
      <c r="Z291" s="2">
        <f t="shared" si="9"/>
        <v>0</v>
      </c>
      <c r="AA291" s="2">
        <f t="shared" si="10"/>
        <v>0</v>
      </c>
      <c r="AB291" s="2">
        <f t="shared" si="11"/>
        <v>0</v>
      </c>
      <c r="AC291" s="2">
        <f t="shared" si="12"/>
        <v>0</v>
      </c>
      <c r="AD291" s="2">
        <f t="shared" si="13"/>
        <v>0</v>
      </c>
      <c r="AE291" s="2">
        <f t="shared" si="14"/>
        <v>0</v>
      </c>
      <c r="AF291" s="2">
        <f t="shared" si="15"/>
        <v>0</v>
      </c>
      <c r="AG291" s="2">
        <f t="shared" si="16"/>
        <v>0</v>
      </c>
      <c r="AH291" s="2">
        <f t="shared" si="17"/>
        <v>0</v>
      </c>
      <c r="AI291" s="2">
        <f t="shared" si="18"/>
      </c>
    </row>
    <row r="292">
      <c r="A292" s="43">
        <f t="shared" si="0"/>
      </c>
      <c r="B292" s="54" t="n"/>
      <c r="C292" s="45" t="n"/>
      <c r="D292" s="50" t="n"/>
      <c r="E292" s="55" t="n"/>
      <c r="F292" s="50" t="n"/>
      <c r="G292" s="55" t="n"/>
      <c r="H292" s="50" t="n"/>
      <c r="I292" s="55" t="n"/>
      <c r="J292" s="50" t="n"/>
      <c r="K292" s="55" t="n"/>
      <c r="L292" s="56" t="n"/>
      <c r="M292" s="57" t="n"/>
      <c r="N292" s="57" t="n"/>
      <c r="O292" s="57" t="n"/>
      <c r="P292" s="57" t="n"/>
      <c r="Q292" s="50" t="n"/>
      <c r="R292" s="58">
        <f t="shared" si="1"/>
      </c>
      <c r="S292" s="59">
        <f t="shared" si="2"/>
      </c>
      <c r="T292" s="43">
        <f t="shared" si="3"/>
      </c>
      <c r="U292" s="60">
        <f t="shared" si="4"/>
      </c>
      <c r="V292" s="60">
        <f t="shared" si="5"/>
      </c>
      <c r="W292" s="60">
        <f t="shared" si="6"/>
      </c>
      <c r="X292" s="49">
        <f t="shared" si="7"/>
      </c>
      <c r="Y292" s="2">
        <f t="shared" si="8"/>
      </c>
      <c r="Z292" s="2">
        <f t="shared" si="9"/>
        <v>0</v>
      </c>
      <c r="AA292" s="2">
        <f t="shared" si="10"/>
        <v>0</v>
      </c>
      <c r="AB292" s="2">
        <f t="shared" si="11"/>
        <v>0</v>
      </c>
      <c r="AC292" s="2">
        <f t="shared" si="12"/>
        <v>0</v>
      </c>
      <c r="AD292" s="2">
        <f t="shared" si="13"/>
        <v>0</v>
      </c>
      <c r="AE292" s="2">
        <f t="shared" si="14"/>
        <v>0</v>
      </c>
      <c r="AF292" s="2">
        <f t="shared" si="15"/>
        <v>0</v>
      </c>
      <c r="AG292" s="2">
        <f t="shared" si="16"/>
        <v>0</v>
      </c>
      <c r="AH292" s="2">
        <f t="shared" si="17"/>
        <v>0</v>
      </c>
      <c r="AI292" s="2">
        <f t="shared" si="18"/>
      </c>
    </row>
    <row r="293">
      <c r="A293" s="43">
        <f t="shared" si="0"/>
      </c>
      <c r="B293" s="54" t="n"/>
      <c r="C293" s="45" t="n"/>
      <c r="D293" s="50" t="n"/>
      <c r="E293" s="55" t="n"/>
      <c r="F293" s="50" t="n"/>
      <c r="G293" s="55" t="n"/>
      <c r="H293" s="50" t="n"/>
      <c r="I293" s="55" t="n"/>
      <c r="J293" s="50" t="n"/>
      <c r="K293" s="55" t="n"/>
      <c r="L293" s="56" t="n"/>
      <c r="M293" s="57" t="n"/>
      <c r="N293" s="57" t="n"/>
      <c r="O293" s="57" t="n"/>
      <c r="P293" s="57" t="n"/>
      <c r="Q293" s="50" t="n"/>
      <c r="R293" s="58">
        <f t="shared" si="1"/>
      </c>
      <c r="S293" s="59">
        <f t="shared" si="2"/>
      </c>
      <c r="T293" s="43">
        <f t="shared" si="3"/>
      </c>
      <c r="U293" s="60">
        <f t="shared" si="4"/>
      </c>
      <c r="V293" s="60">
        <f t="shared" si="5"/>
      </c>
      <c r="W293" s="60">
        <f t="shared" si="6"/>
      </c>
      <c r="X293" s="49">
        <f t="shared" si="7"/>
      </c>
      <c r="Y293" s="2">
        <f t="shared" si="8"/>
      </c>
      <c r="Z293" s="2">
        <f t="shared" si="9"/>
        <v>0</v>
      </c>
      <c r="AA293" s="2">
        <f t="shared" si="10"/>
        <v>0</v>
      </c>
      <c r="AB293" s="2">
        <f t="shared" si="11"/>
        <v>0</v>
      </c>
      <c r="AC293" s="2">
        <f t="shared" si="12"/>
        <v>0</v>
      </c>
      <c r="AD293" s="2">
        <f t="shared" si="13"/>
        <v>0</v>
      </c>
      <c r="AE293" s="2">
        <f t="shared" si="14"/>
        <v>0</v>
      </c>
      <c r="AF293" s="2">
        <f t="shared" si="15"/>
        <v>0</v>
      </c>
      <c r="AG293" s="2">
        <f t="shared" si="16"/>
        <v>0</v>
      </c>
      <c r="AH293" s="2">
        <f t="shared" si="17"/>
        <v>0</v>
      </c>
      <c r="AI293" s="2">
        <f t="shared" si="18"/>
      </c>
    </row>
    <row r="294">
      <c r="A294" s="43">
        <f t="shared" si="0"/>
      </c>
      <c r="B294" s="54" t="n"/>
      <c r="C294" s="45" t="n"/>
      <c r="D294" s="50" t="n"/>
      <c r="E294" s="55" t="n"/>
      <c r="F294" s="50" t="n"/>
      <c r="G294" s="55" t="n"/>
      <c r="H294" s="50" t="n"/>
      <c r="I294" s="55" t="n"/>
      <c r="J294" s="50" t="n"/>
      <c r="K294" s="55" t="n"/>
      <c r="L294" s="56" t="n"/>
      <c r="M294" s="57" t="n"/>
      <c r="N294" s="57" t="n"/>
      <c r="O294" s="57" t="n"/>
      <c r="P294" s="57" t="n"/>
      <c r="Q294" s="50" t="n"/>
      <c r="R294" s="58">
        <f t="shared" si="1"/>
      </c>
      <c r="S294" s="59">
        <f t="shared" si="2"/>
      </c>
      <c r="T294" s="43">
        <f t="shared" si="3"/>
      </c>
      <c r="U294" s="60">
        <f t="shared" si="4"/>
      </c>
      <c r="V294" s="60">
        <f t="shared" si="5"/>
      </c>
      <c r="W294" s="60">
        <f t="shared" si="6"/>
      </c>
      <c r="X294" s="49">
        <f t="shared" si="7"/>
      </c>
      <c r="Y294" s="2">
        <f t="shared" si="8"/>
      </c>
      <c r="Z294" s="2">
        <f t="shared" si="9"/>
        <v>0</v>
      </c>
      <c r="AA294" s="2">
        <f t="shared" si="10"/>
        <v>0</v>
      </c>
      <c r="AB294" s="2">
        <f t="shared" si="11"/>
        <v>0</v>
      </c>
      <c r="AC294" s="2">
        <f t="shared" si="12"/>
        <v>0</v>
      </c>
      <c r="AD294" s="2">
        <f t="shared" si="13"/>
        <v>0</v>
      </c>
      <c r="AE294" s="2">
        <f t="shared" si="14"/>
        <v>0</v>
      </c>
      <c r="AF294" s="2">
        <f t="shared" si="15"/>
        <v>0</v>
      </c>
      <c r="AG294" s="2">
        <f t="shared" si="16"/>
        <v>0</v>
      </c>
      <c r="AH294" s="2">
        <f t="shared" si="17"/>
        <v>0</v>
      </c>
      <c r="AI294" s="2">
        <f t="shared" si="18"/>
      </c>
    </row>
    <row r="295">
      <c r="A295" s="43">
        <f t="shared" si="0"/>
      </c>
      <c r="B295" s="54" t="n"/>
      <c r="C295" s="45" t="n"/>
      <c r="D295" s="50" t="n"/>
      <c r="E295" s="55" t="n"/>
      <c r="F295" s="50" t="n"/>
      <c r="G295" s="55" t="n"/>
      <c r="H295" s="50" t="n"/>
      <c r="I295" s="55" t="n"/>
      <c r="J295" s="50" t="n"/>
      <c r="K295" s="55" t="n"/>
      <c r="L295" s="56" t="n"/>
      <c r="M295" s="57" t="n"/>
      <c r="N295" s="57" t="n"/>
      <c r="O295" s="57" t="n"/>
      <c r="P295" s="57" t="n"/>
      <c r="Q295" s="50" t="n"/>
      <c r="R295" s="58">
        <f t="shared" si="1"/>
      </c>
      <c r="S295" s="59">
        <f t="shared" si="2"/>
      </c>
      <c r="T295" s="43">
        <f t="shared" si="3"/>
      </c>
      <c r="U295" s="60">
        <f t="shared" si="4"/>
      </c>
      <c r="V295" s="60">
        <f t="shared" si="5"/>
      </c>
      <c r="W295" s="60">
        <f t="shared" si="6"/>
      </c>
      <c r="X295" s="49">
        <f t="shared" si="7"/>
      </c>
      <c r="Y295" s="2">
        <f t="shared" si="8"/>
      </c>
      <c r="Z295" s="2">
        <f t="shared" si="9"/>
        <v>0</v>
      </c>
      <c r="AA295" s="2">
        <f t="shared" si="10"/>
        <v>0</v>
      </c>
      <c r="AB295" s="2">
        <f t="shared" si="11"/>
        <v>0</v>
      </c>
      <c r="AC295" s="2">
        <f t="shared" si="12"/>
        <v>0</v>
      </c>
      <c r="AD295" s="2">
        <f t="shared" si="13"/>
        <v>0</v>
      </c>
      <c r="AE295" s="2">
        <f t="shared" si="14"/>
        <v>0</v>
      </c>
      <c r="AF295" s="2">
        <f t="shared" si="15"/>
        <v>0</v>
      </c>
      <c r="AG295" s="2">
        <f t="shared" si="16"/>
        <v>0</v>
      </c>
      <c r="AH295" s="2">
        <f t="shared" si="17"/>
        <v>0</v>
      </c>
      <c r="AI295" s="2">
        <f t="shared" si="18"/>
      </c>
    </row>
    <row r="296">
      <c r="A296" s="43">
        <f t="shared" si="0"/>
      </c>
      <c r="B296" s="54" t="n"/>
      <c r="C296" s="45" t="n"/>
      <c r="D296" s="50" t="n"/>
      <c r="E296" s="55" t="n"/>
      <c r="F296" s="50" t="n"/>
      <c r="G296" s="55" t="n"/>
      <c r="H296" s="50" t="n"/>
      <c r="I296" s="55" t="n"/>
      <c r="J296" s="50" t="n"/>
      <c r="K296" s="55" t="n"/>
      <c r="L296" s="56" t="n"/>
      <c r="M296" s="57" t="n"/>
      <c r="N296" s="57" t="n"/>
      <c r="O296" s="57" t="n"/>
      <c r="P296" s="57" t="n"/>
      <c r="Q296" s="50" t="n"/>
      <c r="R296" s="58">
        <f t="shared" si="1"/>
      </c>
      <c r="S296" s="59">
        <f t="shared" si="2"/>
      </c>
      <c r="T296" s="43">
        <f t="shared" si="3"/>
      </c>
      <c r="U296" s="60">
        <f t="shared" si="4"/>
      </c>
      <c r="V296" s="60">
        <f t="shared" si="5"/>
      </c>
      <c r="W296" s="60">
        <f t="shared" si="6"/>
      </c>
      <c r="X296" s="49">
        <f t="shared" si="7"/>
      </c>
      <c r="Y296" s="2">
        <f t="shared" si="8"/>
      </c>
      <c r="Z296" s="2">
        <f t="shared" si="9"/>
        <v>0</v>
      </c>
      <c r="AA296" s="2">
        <f t="shared" si="10"/>
        <v>0</v>
      </c>
      <c r="AB296" s="2">
        <f t="shared" si="11"/>
        <v>0</v>
      </c>
      <c r="AC296" s="2">
        <f t="shared" si="12"/>
        <v>0</v>
      </c>
      <c r="AD296" s="2">
        <f t="shared" si="13"/>
        <v>0</v>
      </c>
      <c r="AE296" s="2">
        <f t="shared" si="14"/>
        <v>0</v>
      </c>
      <c r="AF296" s="2">
        <f t="shared" si="15"/>
        <v>0</v>
      </c>
      <c r="AG296" s="2">
        <f t="shared" si="16"/>
        <v>0</v>
      </c>
      <c r="AH296" s="2">
        <f t="shared" si="17"/>
        <v>0</v>
      </c>
      <c r="AI296" s="2">
        <f t="shared" si="18"/>
      </c>
    </row>
    <row r="297">
      <c r="A297" s="43">
        <f t="shared" si="0"/>
      </c>
      <c r="B297" s="54" t="n"/>
      <c r="C297" s="45" t="n"/>
      <c r="D297" s="50" t="n"/>
      <c r="E297" s="55" t="n"/>
      <c r="F297" s="50" t="n"/>
      <c r="G297" s="55" t="n"/>
      <c r="H297" s="50" t="n"/>
      <c r="I297" s="55" t="n"/>
      <c r="J297" s="50" t="n"/>
      <c r="K297" s="55" t="n"/>
      <c r="L297" s="56" t="n"/>
      <c r="M297" s="57" t="n"/>
      <c r="N297" s="57" t="n"/>
      <c r="O297" s="57" t="n"/>
      <c r="P297" s="57" t="n"/>
      <c r="Q297" s="50" t="n"/>
      <c r="R297" s="58">
        <f t="shared" si="1"/>
      </c>
      <c r="S297" s="59">
        <f t="shared" si="2"/>
      </c>
      <c r="T297" s="43">
        <f t="shared" si="3"/>
      </c>
      <c r="U297" s="60">
        <f t="shared" si="4"/>
      </c>
      <c r="V297" s="60">
        <f t="shared" si="5"/>
      </c>
      <c r="W297" s="60">
        <f t="shared" si="6"/>
      </c>
      <c r="X297" s="49">
        <f t="shared" si="7"/>
      </c>
      <c r="Y297" s="2">
        <f t="shared" si="8"/>
      </c>
      <c r="Z297" s="2">
        <f t="shared" si="9"/>
        <v>0</v>
      </c>
      <c r="AA297" s="2">
        <f t="shared" si="10"/>
        <v>0</v>
      </c>
      <c r="AB297" s="2">
        <f t="shared" si="11"/>
        <v>0</v>
      </c>
      <c r="AC297" s="2">
        <f t="shared" si="12"/>
        <v>0</v>
      </c>
      <c r="AD297" s="2">
        <f t="shared" si="13"/>
        <v>0</v>
      </c>
      <c r="AE297" s="2">
        <f t="shared" si="14"/>
        <v>0</v>
      </c>
      <c r="AF297" s="2">
        <f t="shared" si="15"/>
        <v>0</v>
      </c>
      <c r="AG297" s="2">
        <f t="shared" si="16"/>
        <v>0</v>
      </c>
      <c r="AH297" s="2">
        <f t="shared" si="17"/>
        <v>0</v>
      </c>
      <c r="AI297" s="2">
        <f t="shared" si="18"/>
      </c>
    </row>
    <row r="298">
      <c r="A298" s="43">
        <f t="shared" si="0"/>
      </c>
      <c r="B298" s="54" t="n"/>
      <c r="C298" s="45" t="n"/>
      <c r="D298" s="50" t="n"/>
      <c r="E298" s="55" t="n"/>
      <c r="F298" s="50" t="n"/>
      <c r="G298" s="55" t="n"/>
      <c r="H298" s="50" t="n"/>
      <c r="I298" s="55" t="n"/>
      <c r="J298" s="50" t="n"/>
      <c r="K298" s="55" t="n"/>
      <c r="L298" s="56" t="n"/>
      <c r="M298" s="57" t="n"/>
      <c r="N298" s="57" t="n"/>
      <c r="O298" s="57" t="n"/>
      <c r="P298" s="57" t="n"/>
      <c r="Q298" s="50" t="n"/>
      <c r="R298" s="58">
        <f t="shared" si="1"/>
      </c>
      <c r="S298" s="59">
        <f t="shared" si="2"/>
      </c>
      <c r="T298" s="43">
        <f t="shared" si="3"/>
      </c>
      <c r="U298" s="60">
        <f t="shared" si="4"/>
      </c>
      <c r="V298" s="60">
        <f t="shared" si="5"/>
      </c>
      <c r="W298" s="60">
        <f t="shared" si="6"/>
      </c>
      <c r="X298" s="49">
        <f t="shared" si="7"/>
      </c>
      <c r="Y298" s="2">
        <f t="shared" si="8"/>
      </c>
      <c r="Z298" s="2">
        <f t="shared" si="9"/>
        <v>0</v>
      </c>
      <c r="AA298" s="2">
        <f t="shared" si="10"/>
        <v>0</v>
      </c>
      <c r="AB298" s="2">
        <f t="shared" si="11"/>
        <v>0</v>
      </c>
      <c r="AC298" s="2">
        <f t="shared" si="12"/>
        <v>0</v>
      </c>
      <c r="AD298" s="2">
        <f t="shared" si="13"/>
        <v>0</v>
      </c>
      <c r="AE298" s="2">
        <f t="shared" si="14"/>
        <v>0</v>
      </c>
      <c r="AF298" s="2">
        <f t="shared" si="15"/>
        <v>0</v>
      </c>
      <c r="AG298" s="2">
        <f t="shared" si="16"/>
        <v>0</v>
      </c>
      <c r="AH298" s="2">
        <f t="shared" si="17"/>
        <v>0</v>
      </c>
      <c r="AI298" s="2">
        <f t="shared" si="18"/>
      </c>
    </row>
    <row r="299">
      <c r="A299" s="43">
        <f t="shared" si="0"/>
      </c>
      <c r="B299" s="54" t="n"/>
      <c r="C299" s="45" t="n"/>
      <c r="D299" s="50" t="n"/>
      <c r="E299" s="55" t="n"/>
      <c r="F299" s="50" t="n"/>
      <c r="G299" s="55" t="n"/>
      <c r="H299" s="50" t="n"/>
      <c r="I299" s="55" t="n"/>
      <c r="J299" s="50" t="n"/>
      <c r="K299" s="55" t="n"/>
      <c r="L299" s="56" t="n"/>
      <c r="M299" s="57" t="n"/>
      <c r="N299" s="57" t="n"/>
      <c r="O299" s="57" t="n"/>
      <c r="P299" s="57" t="n"/>
      <c r="Q299" s="50" t="n"/>
      <c r="R299" s="58">
        <f t="shared" si="1"/>
      </c>
      <c r="S299" s="59">
        <f t="shared" si="2"/>
      </c>
      <c r="T299" s="43">
        <f t="shared" si="3"/>
      </c>
      <c r="U299" s="60">
        <f t="shared" si="4"/>
      </c>
      <c r="V299" s="60">
        <f t="shared" si="5"/>
      </c>
      <c r="W299" s="60">
        <f t="shared" si="6"/>
      </c>
      <c r="X299" s="49">
        <f t="shared" si="7"/>
      </c>
      <c r="Y299" s="2">
        <f t="shared" si="8"/>
      </c>
      <c r="Z299" s="2">
        <f t="shared" si="9"/>
        <v>0</v>
      </c>
      <c r="AA299" s="2">
        <f t="shared" si="10"/>
        <v>0</v>
      </c>
      <c r="AB299" s="2">
        <f t="shared" si="11"/>
        <v>0</v>
      </c>
      <c r="AC299" s="2">
        <f t="shared" si="12"/>
        <v>0</v>
      </c>
      <c r="AD299" s="2">
        <f t="shared" si="13"/>
        <v>0</v>
      </c>
      <c r="AE299" s="2">
        <f t="shared" si="14"/>
        <v>0</v>
      </c>
      <c r="AF299" s="2">
        <f t="shared" si="15"/>
        <v>0</v>
      </c>
      <c r="AG299" s="2">
        <f t="shared" si="16"/>
        <v>0</v>
      </c>
      <c r="AH299" s="2">
        <f t="shared" si="17"/>
        <v>0</v>
      </c>
      <c r="AI299" s="2">
        <f t="shared" si="18"/>
      </c>
    </row>
    <row r="300">
      <c r="A300" s="43">
        <f t="shared" si="0"/>
      </c>
      <c r="B300" s="54" t="n"/>
      <c r="C300" s="45" t="n"/>
      <c r="D300" s="50" t="n"/>
      <c r="E300" s="55" t="n"/>
      <c r="F300" s="50" t="n"/>
      <c r="G300" s="55" t="n"/>
      <c r="H300" s="50" t="n"/>
      <c r="I300" s="55" t="n"/>
      <c r="J300" s="50" t="n"/>
      <c r="K300" s="55" t="n"/>
      <c r="L300" s="56" t="n"/>
      <c r="M300" s="57" t="n"/>
      <c r="N300" s="57" t="n"/>
      <c r="O300" s="57" t="n"/>
      <c r="P300" s="57" t="n"/>
      <c r="Q300" s="50" t="n"/>
      <c r="R300" s="58">
        <f t="shared" si="1"/>
      </c>
      <c r="S300" s="59">
        <f t="shared" si="2"/>
      </c>
      <c r="T300" s="43">
        <f t="shared" si="3"/>
      </c>
      <c r="U300" s="60">
        <f t="shared" si="4"/>
      </c>
      <c r="V300" s="60">
        <f t="shared" si="5"/>
      </c>
      <c r="W300" s="60">
        <f t="shared" si="6"/>
      </c>
      <c r="X300" s="49">
        <f t="shared" si="7"/>
      </c>
      <c r="Y300" s="2">
        <f t="shared" si="8"/>
      </c>
      <c r="Z300" s="2">
        <f t="shared" si="9"/>
        <v>0</v>
      </c>
      <c r="AA300" s="2">
        <f t="shared" si="10"/>
        <v>0</v>
      </c>
      <c r="AB300" s="2">
        <f t="shared" si="11"/>
        <v>0</v>
      </c>
      <c r="AC300" s="2">
        <f t="shared" si="12"/>
        <v>0</v>
      </c>
      <c r="AD300" s="2">
        <f t="shared" si="13"/>
        <v>0</v>
      </c>
      <c r="AE300" s="2">
        <f t="shared" si="14"/>
        <v>0</v>
      </c>
      <c r="AF300" s="2">
        <f t="shared" si="15"/>
        <v>0</v>
      </c>
      <c r="AG300" s="2">
        <f t="shared" si="16"/>
        <v>0</v>
      </c>
      <c r="AH300" s="2">
        <f t="shared" si="17"/>
        <v>0</v>
      </c>
      <c r="AI300" s="2">
        <f t="shared" si="18"/>
      </c>
    </row>
    <row r="301">
      <c r="A301" s="43">
        <f t="shared" si="0"/>
      </c>
      <c r="B301" s="54" t="n"/>
      <c r="C301" s="45" t="n"/>
      <c r="D301" s="50" t="n"/>
      <c r="E301" s="55" t="n"/>
      <c r="F301" s="50" t="n"/>
      <c r="G301" s="55" t="n"/>
      <c r="H301" s="50" t="n"/>
      <c r="I301" s="55" t="n"/>
      <c r="J301" s="50" t="n"/>
      <c r="K301" s="55" t="n"/>
      <c r="L301" s="56" t="n"/>
      <c r="M301" s="57" t="n"/>
      <c r="N301" s="57" t="n"/>
      <c r="O301" s="57" t="n"/>
      <c r="P301" s="57" t="n"/>
      <c r="Q301" s="50" t="n"/>
      <c r="R301" s="58">
        <f t="shared" si="1"/>
      </c>
      <c r="S301" s="59">
        <f t="shared" si="2"/>
      </c>
      <c r="T301" s="43">
        <f t="shared" si="3"/>
      </c>
      <c r="U301" s="60">
        <f t="shared" si="4"/>
      </c>
      <c r="V301" s="60">
        <f t="shared" si="5"/>
      </c>
      <c r="W301" s="60">
        <f t="shared" si="6"/>
      </c>
      <c r="X301" s="49">
        <f t="shared" si="7"/>
      </c>
      <c r="Y301" s="2">
        <f t="shared" si="8"/>
      </c>
      <c r="Z301" s="2">
        <f t="shared" si="9"/>
        <v>0</v>
      </c>
      <c r="AA301" s="2">
        <f t="shared" si="10"/>
        <v>0</v>
      </c>
      <c r="AB301" s="2">
        <f t="shared" si="11"/>
        <v>0</v>
      </c>
      <c r="AC301" s="2">
        <f t="shared" si="12"/>
        <v>0</v>
      </c>
      <c r="AD301" s="2">
        <f t="shared" si="13"/>
        <v>0</v>
      </c>
      <c r="AE301" s="2">
        <f t="shared" si="14"/>
        <v>0</v>
      </c>
      <c r="AF301" s="2">
        <f t="shared" si="15"/>
        <v>0</v>
      </c>
      <c r="AG301" s="2">
        <f t="shared" si="16"/>
        <v>0</v>
      </c>
      <c r="AH301" s="2">
        <f t="shared" si="17"/>
        <v>0</v>
      </c>
      <c r="AI301" s="2">
        <f t="shared" si="18"/>
      </c>
    </row>
    <row r="302">
      <c r="A302" s="43">
        <f t="shared" si="0"/>
      </c>
      <c r="B302" s="54" t="n"/>
      <c r="C302" s="45" t="n"/>
      <c r="D302" s="50" t="n"/>
      <c r="E302" s="55" t="n"/>
      <c r="F302" s="50" t="n"/>
      <c r="G302" s="55" t="n"/>
      <c r="H302" s="50" t="n"/>
      <c r="I302" s="55" t="n"/>
      <c r="J302" s="50" t="n"/>
      <c r="K302" s="55" t="n"/>
      <c r="L302" s="56" t="n"/>
      <c r="M302" s="57" t="n"/>
      <c r="N302" s="57" t="n"/>
      <c r="O302" s="57" t="n"/>
      <c r="P302" s="57" t="n"/>
      <c r="Q302" s="50" t="n"/>
      <c r="R302" s="58">
        <f t="shared" si="1"/>
      </c>
      <c r="S302" s="59">
        <f t="shared" si="2"/>
      </c>
      <c r="T302" s="43">
        <f t="shared" si="3"/>
      </c>
      <c r="U302" s="60">
        <f t="shared" si="4"/>
      </c>
      <c r="V302" s="60">
        <f t="shared" si="5"/>
      </c>
      <c r="W302" s="60">
        <f t="shared" si="6"/>
      </c>
      <c r="X302" s="49">
        <f t="shared" si="7"/>
      </c>
      <c r="Y302" s="2">
        <f t="shared" si="8"/>
      </c>
      <c r="Z302" s="2">
        <f t="shared" si="9"/>
        <v>0</v>
      </c>
      <c r="AA302" s="2">
        <f t="shared" si="10"/>
        <v>0</v>
      </c>
      <c r="AB302" s="2">
        <f t="shared" si="11"/>
        <v>0</v>
      </c>
      <c r="AC302" s="2">
        <f t="shared" si="12"/>
        <v>0</v>
      </c>
      <c r="AD302" s="2">
        <f t="shared" si="13"/>
        <v>0</v>
      </c>
      <c r="AE302" s="2">
        <f t="shared" si="14"/>
        <v>0</v>
      </c>
      <c r="AF302" s="2">
        <f t="shared" si="15"/>
        <v>0</v>
      </c>
      <c r="AG302" s="2">
        <f t="shared" si="16"/>
        <v>0</v>
      </c>
      <c r="AH302" s="2">
        <f t="shared" si="17"/>
        <v>0</v>
      </c>
      <c r="AI302" s="2">
        <f t="shared" si="18"/>
      </c>
    </row>
    <row r="303">
      <c r="A303" s="43">
        <f t="shared" si="0"/>
      </c>
      <c r="B303" s="54" t="n"/>
      <c r="C303" s="45" t="n"/>
      <c r="D303" s="50" t="n"/>
      <c r="E303" s="55" t="n"/>
      <c r="F303" s="50" t="n"/>
      <c r="G303" s="55" t="n"/>
      <c r="H303" s="50" t="n"/>
      <c r="I303" s="55" t="n"/>
      <c r="J303" s="50" t="n"/>
      <c r="K303" s="55" t="n"/>
      <c r="L303" s="56" t="n"/>
      <c r="M303" s="57" t="n"/>
      <c r="N303" s="57" t="n"/>
      <c r="O303" s="57" t="n"/>
      <c r="P303" s="57" t="n"/>
      <c r="Q303" s="50" t="n"/>
      <c r="R303" s="58">
        <f t="shared" si="1"/>
      </c>
      <c r="S303" s="59">
        <f t="shared" si="2"/>
      </c>
      <c r="T303" s="43">
        <f t="shared" si="3"/>
      </c>
      <c r="U303" s="60">
        <f t="shared" si="4"/>
      </c>
      <c r="V303" s="60">
        <f t="shared" si="5"/>
      </c>
      <c r="W303" s="60">
        <f t="shared" si="6"/>
      </c>
      <c r="X303" s="49">
        <f t="shared" si="7"/>
      </c>
      <c r="Y303" s="2">
        <f t="shared" si="8"/>
      </c>
      <c r="Z303" s="2">
        <f t="shared" si="9"/>
        <v>0</v>
      </c>
      <c r="AA303" s="2">
        <f t="shared" si="10"/>
        <v>0</v>
      </c>
      <c r="AB303" s="2">
        <f t="shared" si="11"/>
        <v>0</v>
      </c>
      <c r="AC303" s="2">
        <f t="shared" si="12"/>
        <v>0</v>
      </c>
      <c r="AD303" s="2">
        <f t="shared" si="13"/>
        <v>0</v>
      </c>
      <c r="AE303" s="2">
        <f t="shared" si="14"/>
        <v>0</v>
      </c>
      <c r="AF303" s="2">
        <f t="shared" si="15"/>
        <v>0</v>
      </c>
      <c r="AG303" s="2">
        <f t="shared" si="16"/>
        <v>0</v>
      </c>
      <c r="AH303" s="2">
        <f t="shared" si="17"/>
        <v>0</v>
      </c>
      <c r="AI303" s="2">
        <f t="shared" si="18"/>
      </c>
    </row>
    <row r="304">
      <c r="A304" s="43">
        <f t="shared" si="0"/>
      </c>
      <c r="B304" s="54" t="n"/>
      <c r="C304" s="45" t="n"/>
      <c r="D304" s="50" t="n"/>
      <c r="E304" s="55" t="n"/>
      <c r="F304" s="50" t="n"/>
      <c r="G304" s="55" t="n"/>
      <c r="H304" s="50" t="n"/>
      <c r="I304" s="55" t="n"/>
      <c r="J304" s="50" t="n"/>
      <c r="K304" s="55" t="n"/>
      <c r="L304" s="56" t="n"/>
      <c r="M304" s="57" t="n"/>
      <c r="N304" s="57" t="n"/>
      <c r="O304" s="57" t="n"/>
      <c r="P304" s="57" t="n"/>
      <c r="Q304" s="50" t="n"/>
      <c r="R304" s="58">
        <f t="shared" si="1"/>
      </c>
      <c r="S304" s="59">
        <f t="shared" si="2"/>
      </c>
      <c r="T304" s="43">
        <f t="shared" si="3"/>
      </c>
      <c r="U304" s="60">
        <f t="shared" si="4"/>
      </c>
      <c r="V304" s="60">
        <f t="shared" si="5"/>
      </c>
      <c r="W304" s="60">
        <f t="shared" si="6"/>
      </c>
      <c r="X304" s="49">
        <f t="shared" si="7"/>
      </c>
      <c r="Y304" s="2">
        <f t="shared" si="8"/>
      </c>
      <c r="Z304" s="2">
        <f t="shared" si="9"/>
        <v>0</v>
      </c>
      <c r="AA304" s="2">
        <f t="shared" si="10"/>
        <v>0</v>
      </c>
      <c r="AB304" s="2">
        <f t="shared" si="11"/>
        <v>0</v>
      </c>
      <c r="AC304" s="2">
        <f t="shared" si="12"/>
        <v>0</v>
      </c>
      <c r="AD304" s="2">
        <f t="shared" si="13"/>
        <v>0</v>
      </c>
      <c r="AE304" s="2">
        <f t="shared" si="14"/>
        <v>0</v>
      </c>
      <c r="AF304" s="2">
        <f t="shared" si="15"/>
        <v>0</v>
      </c>
      <c r="AG304" s="2">
        <f t="shared" si="16"/>
        <v>0</v>
      </c>
      <c r="AH304" s="2">
        <f t="shared" si="17"/>
        <v>0</v>
      </c>
      <c r="AI304" s="2">
        <f t="shared" si="18"/>
      </c>
    </row>
    <row r="305">
      <c r="A305" s="43">
        <f t="shared" si="0"/>
      </c>
      <c r="B305" s="54" t="n"/>
      <c r="C305" s="45" t="n"/>
      <c r="D305" s="50" t="n"/>
      <c r="E305" s="55" t="n"/>
      <c r="F305" s="50" t="n"/>
      <c r="G305" s="55" t="n"/>
      <c r="H305" s="50" t="n"/>
      <c r="I305" s="55" t="n"/>
      <c r="J305" s="50" t="n"/>
      <c r="K305" s="55" t="n"/>
      <c r="L305" s="56" t="n"/>
      <c r="M305" s="57" t="n"/>
      <c r="N305" s="57" t="n"/>
      <c r="O305" s="57" t="n"/>
      <c r="P305" s="57" t="n"/>
      <c r="Q305" s="50" t="n"/>
      <c r="R305" s="58">
        <f t="shared" si="1"/>
      </c>
      <c r="S305" s="59">
        <f t="shared" si="2"/>
      </c>
      <c r="T305" s="43">
        <f t="shared" si="3"/>
      </c>
      <c r="U305" s="60">
        <f t="shared" si="4"/>
      </c>
      <c r="V305" s="60">
        <f t="shared" si="5"/>
      </c>
      <c r="W305" s="60">
        <f t="shared" si="6"/>
      </c>
      <c r="X305" s="49">
        <f t="shared" si="7"/>
      </c>
      <c r="Y305" s="2">
        <f t="shared" si="8"/>
      </c>
      <c r="Z305" s="2">
        <f t="shared" si="9"/>
        <v>0</v>
      </c>
      <c r="AA305" s="2">
        <f t="shared" si="10"/>
        <v>0</v>
      </c>
      <c r="AB305" s="2">
        <f t="shared" si="11"/>
        <v>0</v>
      </c>
      <c r="AC305" s="2">
        <f t="shared" si="12"/>
        <v>0</v>
      </c>
      <c r="AD305" s="2">
        <f t="shared" si="13"/>
        <v>0</v>
      </c>
      <c r="AE305" s="2">
        <f t="shared" si="14"/>
        <v>0</v>
      </c>
      <c r="AF305" s="2">
        <f t="shared" si="15"/>
        <v>0</v>
      </c>
      <c r="AG305" s="2">
        <f t="shared" si="16"/>
        <v>0</v>
      </c>
      <c r="AH305" s="2">
        <f t="shared" si="17"/>
        <v>0</v>
      </c>
      <c r="AI305" s="2">
        <f t="shared" si="18"/>
      </c>
    </row>
    <row r="306">
      <c r="A306" s="43">
        <f t="shared" si="0"/>
      </c>
      <c r="B306" s="54" t="n"/>
      <c r="C306" s="45" t="n"/>
      <c r="D306" s="50" t="n"/>
      <c r="E306" s="55" t="n"/>
      <c r="F306" s="50" t="n"/>
      <c r="G306" s="55" t="n"/>
      <c r="H306" s="50" t="n"/>
      <c r="I306" s="55" t="n"/>
      <c r="J306" s="50" t="n"/>
      <c r="K306" s="55" t="n"/>
      <c r="L306" s="56" t="n"/>
      <c r="M306" s="57" t="n"/>
      <c r="N306" s="57" t="n"/>
      <c r="O306" s="57" t="n"/>
      <c r="P306" s="57" t="n"/>
      <c r="Q306" s="50" t="n"/>
      <c r="R306" s="58">
        <f t="shared" si="1"/>
      </c>
      <c r="S306" s="59">
        <f t="shared" si="2"/>
      </c>
      <c r="T306" s="43">
        <f t="shared" si="3"/>
      </c>
      <c r="U306" s="60">
        <f t="shared" si="4"/>
      </c>
      <c r="V306" s="60">
        <f t="shared" si="5"/>
      </c>
      <c r="W306" s="60">
        <f t="shared" si="6"/>
      </c>
      <c r="X306" s="49">
        <f t="shared" si="7"/>
      </c>
      <c r="Y306" s="2">
        <f t="shared" si="8"/>
      </c>
      <c r="Z306" s="2">
        <f t="shared" si="9"/>
        <v>0</v>
      </c>
      <c r="AA306" s="2">
        <f t="shared" si="10"/>
        <v>0</v>
      </c>
      <c r="AB306" s="2">
        <f t="shared" si="11"/>
        <v>0</v>
      </c>
      <c r="AC306" s="2">
        <f t="shared" si="12"/>
        <v>0</v>
      </c>
      <c r="AD306" s="2">
        <f t="shared" si="13"/>
        <v>0</v>
      </c>
      <c r="AE306" s="2">
        <f t="shared" si="14"/>
        <v>0</v>
      </c>
      <c r="AF306" s="2">
        <f t="shared" si="15"/>
        <v>0</v>
      </c>
      <c r="AG306" s="2">
        <f t="shared" si="16"/>
        <v>0</v>
      </c>
      <c r="AH306" s="2">
        <f t="shared" si="17"/>
        <v>0</v>
      </c>
      <c r="AI306" s="2">
        <f t="shared" si="18"/>
      </c>
    </row>
    <row r="307">
      <c r="A307" s="43">
        <f t="shared" si="0"/>
      </c>
      <c r="B307" s="54" t="n"/>
      <c r="C307" s="45" t="n"/>
      <c r="D307" s="50" t="n"/>
      <c r="E307" s="55" t="n"/>
      <c r="F307" s="50" t="n"/>
      <c r="G307" s="55" t="n"/>
      <c r="H307" s="50" t="n"/>
      <c r="I307" s="55" t="n"/>
      <c r="J307" s="50" t="n"/>
      <c r="K307" s="55" t="n"/>
      <c r="L307" s="56" t="n"/>
      <c r="M307" s="57" t="n"/>
      <c r="N307" s="57" t="n"/>
      <c r="O307" s="57" t="n"/>
      <c r="P307" s="57" t="n"/>
      <c r="Q307" s="50" t="n"/>
      <c r="R307" s="58">
        <f t="shared" si="1"/>
      </c>
      <c r="S307" s="59">
        <f t="shared" si="2"/>
      </c>
      <c r="T307" s="43">
        <f t="shared" si="3"/>
      </c>
      <c r="U307" s="60">
        <f t="shared" si="4"/>
      </c>
      <c r="V307" s="60">
        <f t="shared" si="5"/>
      </c>
      <c r="W307" s="60">
        <f t="shared" si="6"/>
      </c>
      <c r="X307" s="49">
        <f t="shared" si="7"/>
      </c>
      <c r="Y307" s="2">
        <f t="shared" si="8"/>
      </c>
      <c r="Z307" s="2">
        <f t="shared" si="9"/>
        <v>0</v>
      </c>
      <c r="AA307" s="2">
        <f t="shared" si="10"/>
        <v>0</v>
      </c>
      <c r="AB307" s="2">
        <f t="shared" si="11"/>
        <v>0</v>
      </c>
      <c r="AC307" s="2">
        <f t="shared" si="12"/>
        <v>0</v>
      </c>
      <c r="AD307" s="2">
        <f t="shared" si="13"/>
        <v>0</v>
      </c>
      <c r="AE307" s="2">
        <f t="shared" si="14"/>
        <v>0</v>
      </c>
      <c r="AF307" s="2">
        <f t="shared" si="15"/>
        <v>0</v>
      </c>
      <c r="AG307" s="2">
        <f t="shared" si="16"/>
        <v>0</v>
      </c>
      <c r="AH307" s="2">
        <f t="shared" si="17"/>
        <v>0</v>
      </c>
      <c r="AI307" s="2">
        <f t="shared" si="18"/>
      </c>
    </row>
    <row r="308">
      <c r="A308" s="43">
        <f t="shared" si="0"/>
      </c>
      <c r="B308" s="54" t="n"/>
      <c r="C308" s="45" t="n"/>
      <c r="D308" s="50" t="n"/>
      <c r="E308" s="55" t="n"/>
      <c r="F308" s="50" t="n"/>
      <c r="G308" s="55" t="n"/>
      <c r="H308" s="50" t="n"/>
      <c r="I308" s="55" t="n"/>
      <c r="J308" s="50" t="n"/>
      <c r="K308" s="55" t="n"/>
      <c r="L308" s="56" t="n"/>
      <c r="M308" s="57" t="n"/>
      <c r="N308" s="57" t="n"/>
      <c r="O308" s="57" t="n"/>
      <c r="P308" s="57" t="n"/>
      <c r="Q308" s="50" t="n"/>
      <c r="R308" s="58">
        <f t="shared" si="1"/>
      </c>
      <c r="S308" s="59">
        <f t="shared" si="2"/>
      </c>
      <c r="T308" s="43">
        <f t="shared" si="3"/>
      </c>
      <c r="U308" s="60">
        <f t="shared" si="4"/>
      </c>
      <c r="V308" s="60">
        <f t="shared" si="5"/>
      </c>
      <c r="W308" s="60">
        <f t="shared" si="6"/>
      </c>
      <c r="X308" s="49">
        <f t="shared" si="7"/>
      </c>
      <c r="Y308" s="2">
        <f t="shared" si="8"/>
      </c>
      <c r="Z308" s="2">
        <f t="shared" si="9"/>
        <v>0</v>
      </c>
      <c r="AA308" s="2">
        <f t="shared" si="10"/>
        <v>0</v>
      </c>
      <c r="AB308" s="2">
        <f t="shared" si="11"/>
        <v>0</v>
      </c>
      <c r="AC308" s="2">
        <f t="shared" si="12"/>
        <v>0</v>
      </c>
      <c r="AD308" s="2">
        <f t="shared" si="13"/>
        <v>0</v>
      </c>
      <c r="AE308" s="2">
        <f t="shared" si="14"/>
        <v>0</v>
      </c>
      <c r="AF308" s="2">
        <f t="shared" si="15"/>
        <v>0</v>
      </c>
      <c r="AG308" s="2">
        <f t="shared" si="16"/>
        <v>0</v>
      </c>
      <c r="AH308" s="2">
        <f t="shared" si="17"/>
        <v>0</v>
      </c>
      <c r="AI308" s="2">
        <f t="shared" si="18"/>
      </c>
    </row>
    <row r="309">
      <c r="A309" s="43">
        <f t="shared" si="0"/>
      </c>
      <c r="B309" s="54" t="n"/>
      <c r="C309" s="45" t="n"/>
      <c r="D309" s="50" t="n"/>
      <c r="E309" s="55" t="n"/>
      <c r="F309" s="50" t="n"/>
      <c r="G309" s="55" t="n"/>
      <c r="H309" s="50" t="n"/>
      <c r="I309" s="55" t="n"/>
      <c r="J309" s="50" t="n"/>
      <c r="K309" s="55" t="n"/>
      <c r="L309" s="56" t="n"/>
      <c r="M309" s="57" t="n"/>
      <c r="N309" s="57" t="n"/>
      <c r="O309" s="57" t="n"/>
      <c r="P309" s="57" t="n"/>
      <c r="Q309" s="50" t="n"/>
      <c r="R309" s="58">
        <f t="shared" si="1"/>
      </c>
      <c r="S309" s="59">
        <f t="shared" si="2"/>
      </c>
      <c r="T309" s="43">
        <f t="shared" si="3"/>
      </c>
      <c r="U309" s="60">
        <f t="shared" si="4"/>
      </c>
      <c r="V309" s="60">
        <f t="shared" si="5"/>
      </c>
      <c r="W309" s="60">
        <f t="shared" si="6"/>
      </c>
      <c r="X309" s="49">
        <f t="shared" si="7"/>
      </c>
      <c r="Y309" s="2">
        <f t="shared" si="8"/>
      </c>
      <c r="Z309" s="2">
        <f t="shared" si="9"/>
        <v>0</v>
      </c>
      <c r="AA309" s="2">
        <f t="shared" si="10"/>
        <v>0</v>
      </c>
      <c r="AB309" s="2">
        <f t="shared" si="11"/>
        <v>0</v>
      </c>
      <c r="AC309" s="2">
        <f t="shared" si="12"/>
        <v>0</v>
      </c>
      <c r="AD309" s="2">
        <f t="shared" si="13"/>
        <v>0</v>
      </c>
      <c r="AE309" s="2">
        <f t="shared" si="14"/>
        <v>0</v>
      </c>
      <c r="AF309" s="2">
        <f t="shared" si="15"/>
        <v>0</v>
      </c>
      <c r="AG309" s="2">
        <f t="shared" si="16"/>
        <v>0</v>
      </c>
      <c r="AH309" s="2">
        <f t="shared" si="17"/>
        <v>0</v>
      </c>
      <c r="AI309" s="2">
        <f t="shared" si="18"/>
      </c>
    </row>
    <row r="310">
      <c r="A310" s="43">
        <f t="shared" si="0"/>
      </c>
      <c r="B310" s="54" t="n"/>
      <c r="C310" s="45" t="n"/>
      <c r="D310" s="50" t="n"/>
      <c r="E310" s="55" t="n"/>
      <c r="F310" s="50" t="n"/>
      <c r="G310" s="55" t="n"/>
      <c r="H310" s="50" t="n"/>
      <c r="I310" s="55" t="n"/>
      <c r="J310" s="50" t="n"/>
      <c r="K310" s="55" t="n"/>
      <c r="L310" s="56" t="n"/>
      <c r="M310" s="57" t="n"/>
      <c r="N310" s="57" t="n"/>
      <c r="O310" s="57" t="n"/>
      <c r="P310" s="57" t="n"/>
      <c r="Q310" s="50" t="n"/>
      <c r="R310" s="58">
        <f t="shared" si="1"/>
      </c>
      <c r="S310" s="59">
        <f t="shared" si="2"/>
      </c>
      <c r="T310" s="43">
        <f t="shared" si="3"/>
      </c>
      <c r="U310" s="60">
        <f t="shared" si="4"/>
      </c>
      <c r="V310" s="60">
        <f t="shared" si="5"/>
      </c>
      <c r="W310" s="60">
        <f t="shared" si="6"/>
      </c>
      <c r="X310" s="49">
        <f t="shared" si="7"/>
      </c>
      <c r="Y310" s="2">
        <f t="shared" si="8"/>
      </c>
      <c r="Z310" s="2">
        <f t="shared" si="9"/>
        <v>0</v>
      </c>
      <c r="AA310" s="2">
        <f t="shared" si="10"/>
        <v>0</v>
      </c>
      <c r="AB310" s="2">
        <f t="shared" si="11"/>
        <v>0</v>
      </c>
      <c r="AC310" s="2">
        <f t="shared" si="12"/>
        <v>0</v>
      </c>
      <c r="AD310" s="2">
        <f t="shared" si="13"/>
        <v>0</v>
      </c>
      <c r="AE310" s="2">
        <f t="shared" si="14"/>
        <v>0</v>
      </c>
      <c r="AF310" s="2">
        <f t="shared" si="15"/>
        <v>0</v>
      </c>
      <c r="AG310" s="2">
        <f t="shared" si="16"/>
        <v>0</v>
      </c>
      <c r="AH310" s="2">
        <f t="shared" si="17"/>
        <v>0</v>
      </c>
      <c r="AI310" s="2">
        <f t="shared" si="18"/>
      </c>
    </row>
    <row r="311">
      <c r="A311" s="43">
        <f t="shared" si="0"/>
      </c>
      <c r="B311" s="54" t="n"/>
      <c r="C311" s="45" t="n"/>
      <c r="D311" s="50" t="n"/>
      <c r="E311" s="55" t="n"/>
      <c r="F311" s="50" t="n"/>
      <c r="G311" s="55" t="n"/>
      <c r="H311" s="50" t="n"/>
      <c r="I311" s="55" t="n"/>
      <c r="J311" s="50" t="n"/>
      <c r="K311" s="55" t="n"/>
      <c r="L311" s="56" t="n"/>
      <c r="M311" s="57" t="n"/>
      <c r="N311" s="57" t="n"/>
      <c r="O311" s="57" t="n"/>
      <c r="P311" s="57" t="n"/>
      <c r="Q311" s="50" t="n"/>
      <c r="R311" s="58">
        <f t="shared" si="1"/>
      </c>
      <c r="S311" s="59">
        <f t="shared" si="2"/>
      </c>
      <c r="T311" s="43">
        <f t="shared" si="3"/>
      </c>
      <c r="U311" s="60">
        <f t="shared" si="4"/>
      </c>
      <c r="V311" s="60">
        <f t="shared" si="5"/>
      </c>
      <c r="W311" s="60">
        <f t="shared" si="6"/>
      </c>
      <c r="X311" s="49">
        <f t="shared" si="7"/>
      </c>
      <c r="Y311" s="2">
        <f t="shared" si="8"/>
      </c>
      <c r="Z311" s="2">
        <f t="shared" si="9"/>
        <v>0</v>
      </c>
      <c r="AA311" s="2">
        <f t="shared" si="10"/>
        <v>0</v>
      </c>
      <c r="AB311" s="2">
        <f t="shared" si="11"/>
        <v>0</v>
      </c>
      <c r="AC311" s="2">
        <f t="shared" si="12"/>
        <v>0</v>
      </c>
      <c r="AD311" s="2">
        <f t="shared" si="13"/>
        <v>0</v>
      </c>
      <c r="AE311" s="2">
        <f t="shared" si="14"/>
        <v>0</v>
      </c>
      <c r="AF311" s="2">
        <f t="shared" si="15"/>
        <v>0</v>
      </c>
      <c r="AG311" s="2">
        <f t="shared" si="16"/>
        <v>0</v>
      </c>
      <c r="AH311" s="2">
        <f t="shared" si="17"/>
        <v>0</v>
      </c>
      <c r="AI311" s="2">
        <f t="shared" si="18"/>
      </c>
    </row>
    <row r="312">
      <c r="A312" s="43">
        <f t="shared" si="0"/>
      </c>
      <c r="B312" s="54" t="n"/>
      <c r="C312" s="45" t="n"/>
      <c r="D312" s="50" t="n"/>
      <c r="E312" s="55" t="n"/>
      <c r="F312" s="50" t="n"/>
      <c r="G312" s="55" t="n"/>
      <c r="H312" s="50" t="n"/>
      <c r="I312" s="55" t="n"/>
      <c r="J312" s="50" t="n"/>
      <c r="K312" s="55" t="n"/>
      <c r="L312" s="56" t="n"/>
      <c r="M312" s="57" t="n"/>
      <c r="N312" s="57" t="n"/>
      <c r="O312" s="57" t="n"/>
      <c r="P312" s="57" t="n"/>
      <c r="Q312" s="50" t="n"/>
      <c r="R312" s="58">
        <f t="shared" si="1"/>
      </c>
      <c r="S312" s="59">
        <f t="shared" si="2"/>
      </c>
      <c r="T312" s="43">
        <f t="shared" si="3"/>
      </c>
      <c r="U312" s="60">
        <f t="shared" si="4"/>
      </c>
      <c r="V312" s="60">
        <f t="shared" si="5"/>
      </c>
      <c r="W312" s="60">
        <f t="shared" si="6"/>
      </c>
      <c r="X312" s="49">
        <f t="shared" si="7"/>
      </c>
      <c r="Y312" s="2">
        <f t="shared" si="8"/>
      </c>
      <c r="Z312" s="2">
        <f t="shared" si="9"/>
        <v>0</v>
      </c>
      <c r="AA312" s="2">
        <f t="shared" si="10"/>
        <v>0</v>
      </c>
      <c r="AB312" s="2">
        <f t="shared" si="11"/>
        <v>0</v>
      </c>
      <c r="AC312" s="2">
        <f t="shared" si="12"/>
        <v>0</v>
      </c>
      <c r="AD312" s="2">
        <f t="shared" si="13"/>
        <v>0</v>
      </c>
      <c r="AE312" s="2">
        <f t="shared" si="14"/>
        <v>0</v>
      </c>
      <c r="AF312" s="2">
        <f t="shared" si="15"/>
        <v>0</v>
      </c>
      <c r="AG312" s="2">
        <f t="shared" si="16"/>
        <v>0</v>
      </c>
      <c r="AH312" s="2">
        <f t="shared" si="17"/>
        <v>0</v>
      </c>
      <c r="AI312" s="2">
        <f t="shared" si="18"/>
      </c>
    </row>
    <row r="313">
      <c r="A313" s="43">
        <f t="shared" si="0"/>
      </c>
      <c r="B313" s="54" t="n"/>
      <c r="C313" s="45" t="n"/>
      <c r="D313" s="50" t="n"/>
      <c r="E313" s="55" t="n"/>
      <c r="F313" s="50" t="n"/>
      <c r="G313" s="55" t="n"/>
      <c r="H313" s="50" t="n"/>
      <c r="I313" s="55" t="n"/>
      <c r="J313" s="50" t="n"/>
      <c r="K313" s="55" t="n"/>
      <c r="L313" s="56" t="n"/>
      <c r="M313" s="57" t="n"/>
      <c r="N313" s="57" t="n"/>
      <c r="O313" s="57" t="n"/>
      <c r="P313" s="57" t="n"/>
      <c r="Q313" s="50" t="n"/>
      <c r="R313" s="58">
        <f t="shared" si="1"/>
      </c>
      <c r="S313" s="59">
        <f t="shared" si="2"/>
      </c>
      <c r="T313" s="43">
        <f t="shared" si="3"/>
      </c>
      <c r="U313" s="60">
        <f t="shared" si="4"/>
      </c>
      <c r="V313" s="60">
        <f t="shared" si="5"/>
      </c>
      <c r="W313" s="60">
        <f t="shared" si="6"/>
      </c>
      <c r="X313" s="49">
        <f t="shared" si="7"/>
      </c>
      <c r="Y313" s="2">
        <f t="shared" si="8"/>
      </c>
      <c r="Z313" s="2">
        <f t="shared" si="9"/>
        <v>0</v>
      </c>
      <c r="AA313" s="2">
        <f t="shared" si="10"/>
        <v>0</v>
      </c>
      <c r="AB313" s="2">
        <f t="shared" si="11"/>
        <v>0</v>
      </c>
      <c r="AC313" s="2">
        <f t="shared" si="12"/>
        <v>0</v>
      </c>
      <c r="AD313" s="2">
        <f t="shared" si="13"/>
        <v>0</v>
      </c>
      <c r="AE313" s="2">
        <f t="shared" si="14"/>
        <v>0</v>
      </c>
      <c r="AF313" s="2">
        <f t="shared" si="15"/>
        <v>0</v>
      </c>
      <c r="AG313" s="2">
        <f t="shared" si="16"/>
        <v>0</v>
      </c>
      <c r="AH313" s="2">
        <f t="shared" si="17"/>
        <v>0</v>
      </c>
      <c r="AI313" s="2">
        <f t="shared" si="18"/>
      </c>
    </row>
    <row r="314">
      <c r="A314" s="43">
        <f t="shared" si="0"/>
      </c>
      <c r="B314" s="54" t="n"/>
      <c r="C314" s="45" t="n"/>
      <c r="D314" s="50" t="n"/>
      <c r="E314" s="55" t="n"/>
      <c r="F314" s="50" t="n"/>
      <c r="G314" s="55" t="n"/>
      <c r="H314" s="50" t="n"/>
      <c r="I314" s="55" t="n"/>
      <c r="J314" s="50" t="n"/>
      <c r="K314" s="55" t="n"/>
      <c r="L314" s="56" t="n"/>
      <c r="M314" s="57" t="n"/>
      <c r="N314" s="57" t="n"/>
      <c r="O314" s="57" t="n"/>
      <c r="P314" s="57" t="n"/>
      <c r="Q314" s="50" t="n"/>
      <c r="R314" s="58">
        <f t="shared" si="1"/>
      </c>
      <c r="S314" s="59">
        <f t="shared" si="2"/>
      </c>
      <c r="T314" s="43">
        <f t="shared" si="3"/>
      </c>
      <c r="U314" s="60">
        <f t="shared" si="4"/>
      </c>
      <c r="V314" s="60">
        <f t="shared" si="5"/>
      </c>
      <c r="W314" s="60">
        <f t="shared" si="6"/>
      </c>
      <c r="X314" s="49">
        <f t="shared" si="7"/>
      </c>
      <c r="Y314" s="2">
        <f t="shared" si="8"/>
      </c>
      <c r="Z314" s="2">
        <f t="shared" si="9"/>
        <v>0</v>
      </c>
      <c r="AA314" s="2">
        <f t="shared" si="10"/>
        <v>0</v>
      </c>
      <c r="AB314" s="2">
        <f t="shared" si="11"/>
        <v>0</v>
      </c>
      <c r="AC314" s="2">
        <f t="shared" si="12"/>
        <v>0</v>
      </c>
      <c r="AD314" s="2">
        <f t="shared" si="13"/>
        <v>0</v>
      </c>
      <c r="AE314" s="2">
        <f t="shared" si="14"/>
        <v>0</v>
      </c>
      <c r="AF314" s="2">
        <f t="shared" si="15"/>
        <v>0</v>
      </c>
      <c r="AG314" s="2">
        <f t="shared" si="16"/>
        <v>0</v>
      </c>
      <c r="AH314" s="2">
        <f t="shared" si="17"/>
        <v>0</v>
      </c>
      <c r="AI314" s="2">
        <f t="shared" si="18"/>
      </c>
    </row>
    <row r="315">
      <c r="A315" s="43">
        <f t="shared" si="0"/>
      </c>
      <c r="B315" s="54" t="n"/>
      <c r="C315" s="45" t="n"/>
      <c r="D315" s="50" t="n"/>
      <c r="E315" s="55" t="n"/>
      <c r="F315" s="50" t="n"/>
      <c r="G315" s="55" t="n"/>
      <c r="H315" s="50" t="n"/>
      <c r="I315" s="55" t="n"/>
      <c r="J315" s="50" t="n"/>
      <c r="K315" s="55" t="n"/>
      <c r="L315" s="56" t="n"/>
      <c r="M315" s="57" t="n"/>
      <c r="N315" s="57" t="n"/>
      <c r="O315" s="57" t="n"/>
      <c r="P315" s="57" t="n"/>
      <c r="Q315" s="50" t="n"/>
      <c r="R315" s="58">
        <f t="shared" si="1"/>
      </c>
      <c r="S315" s="59">
        <f t="shared" si="2"/>
      </c>
      <c r="T315" s="43">
        <f t="shared" si="3"/>
      </c>
      <c r="U315" s="60">
        <f t="shared" si="4"/>
      </c>
      <c r="V315" s="60">
        <f t="shared" si="5"/>
      </c>
      <c r="W315" s="60">
        <f t="shared" si="6"/>
      </c>
      <c r="X315" s="49">
        <f t="shared" si="7"/>
      </c>
      <c r="Y315" s="2">
        <f t="shared" si="8"/>
      </c>
      <c r="Z315" s="2">
        <f t="shared" si="9"/>
        <v>0</v>
      </c>
      <c r="AA315" s="2">
        <f t="shared" si="10"/>
        <v>0</v>
      </c>
      <c r="AB315" s="2">
        <f t="shared" si="11"/>
        <v>0</v>
      </c>
      <c r="AC315" s="2">
        <f t="shared" si="12"/>
        <v>0</v>
      </c>
      <c r="AD315" s="2">
        <f t="shared" si="13"/>
        <v>0</v>
      </c>
      <c r="AE315" s="2">
        <f t="shared" si="14"/>
        <v>0</v>
      </c>
      <c r="AF315" s="2">
        <f t="shared" si="15"/>
        <v>0</v>
      </c>
      <c r="AG315" s="2">
        <f t="shared" si="16"/>
        <v>0</v>
      </c>
      <c r="AH315" s="2">
        <f t="shared" si="17"/>
        <v>0</v>
      </c>
      <c r="AI315" s="2">
        <f t="shared" si="18"/>
      </c>
    </row>
    <row r="316">
      <c r="A316" s="43">
        <f t="shared" si="0"/>
      </c>
      <c r="B316" s="54" t="n"/>
      <c r="C316" s="45" t="n"/>
      <c r="D316" s="50" t="n"/>
      <c r="E316" s="55" t="n"/>
      <c r="F316" s="50" t="n"/>
      <c r="G316" s="55" t="n"/>
      <c r="H316" s="50" t="n"/>
      <c r="I316" s="55" t="n"/>
      <c r="J316" s="50" t="n"/>
      <c r="K316" s="55" t="n"/>
      <c r="L316" s="56" t="n"/>
      <c r="M316" s="57" t="n"/>
      <c r="N316" s="57" t="n"/>
      <c r="O316" s="57" t="n"/>
      <c r="P316" s="57" t="n"/>
      <c r="Q316" s="50" t="n"/>
      <c r="R316" s="58">
        <f t="shared" si="1"/>
      </c>
      <c r="S316" s="59">
        <f t="shared" si="2"/>
      </c>
      <c r="T316" s="43">
        <f t="shared" si="3"/>
      </c>
      <c r="U316" s="60">
        <f t="shared" si="4"/>
      </c>
      <c r="V316" s="60">
        <f t="shared" si="5"/>
      </c>
      <c r="W316" s="60">
        <f t="shared" si="6"/>
      </c>
      <c r="X316" s="49">
        <f t="shared" si="7"/>
      </c>
      <c r="Y316" s="2">
        <f t="shared" si="8"/>
      </c>
      <c r="Z316" s="2">
        <f t="shared" si="9"/>
        <v>0</v>
      </c>
      <c r="AA316" s="2">
        <f t="shared" si="10"/>
        <v>0</v>
      </c>
      <c r="AB316" s="2">
        <f t="shared" si="11"/>
        <v>0</v>
      </c>
      <c r="AC316" s="2">
        <f t="shared" si="12"/>
        <v>0</v>
      </c>
      <c r="AD316" s="2">
        <f t="shared" si="13"/>
        <v>0</v>
      </c>
      <c r="AE316" s="2">
        <f t="shared" si="14"/>
        <v>0</v>
      </c>
      <c r="AF316" s="2">
        <f t="shared" si="15"/>
        <v>0</v>
      </c>
      <c r="AG316" s="2">
        <f t="shared" si="16"/>
        <v>0</v>
      </c>
      <c r="AH316" s="2">
        <f t="shared" si="17"/>
        <v>0</v>
      </c>
      <c r="AI316" s="2">
        <f t="shared" si="18"/>
      </c>
    </row>
    <row r="317">
      <c r="A317" s="43">
        <f t="shared" si="0"/>
      </c>
      <c r="B317" s="54" t="n"/>
      <c r="C317" s="45" t="n"/>
      <c r="D317" s="50" t="n"/>
      <c r="E317" s="55" t="n"/>
      <c r="F317" s="50" t="n"/>
      <c r="G317" s="55" t="n"/>
      <c r="H317" s="50" t="n"/>
      <c r="I317" s="55" t="n"/>
      <c r="J317" s="50" t="n"/>
      <c r="K317" s="55" t="n"/>
      <c r="L317" s="56" t="n"/>
      <c r="M317" s="57" t="n"/>
      <c r="N317" s="57" t="n"/>
      <c r="O317" s="57" t="n"/>
      <c r="P317" s="57" t="n"/>
      <c r="Q317" s="50" t="n"/>
      <c r="R317" s="58">
        <f t="shared" si="1"/>
      </c>
      <c r="S317" s="59">
        <f t="shared" si="2"/>
      </c>
      <c r="T317" s="43">
        <f t="shared" si="3"/>
      </c>
      <c r="U317" s="60">
        <f t="shared" si="4"/>
      </c>
      <c r="V317" s="60">
        <f t="shared" si="5"/>
      </c>
      <c r="W317" s="60">
        <f t="shared" si="6"/>
      </c>
      <c r="X317" s="49">
        <f t="shared" si="7"/>
      </c>
      <c r="Y317" s="2">
        <f t="shared" si="8"/>
      </c>
      <c r="Z317" s="2">
        <f t="shared" si="9"/>
        <v>0</v>
      </c>
      <c r="AA317" s="2">
        <f t="shared" si="10"/>
        <v>0</v>
      </c>
      <c r="AB317" s="2">
        <f t="shared" si="11"/>
        <v>0</v>
      </c>
      <c r="AC317" s="2">
        <f t="shared" si="12"/>
        <v>0</v>
      </c>
      <c r="AD317" s="2">
        <f t="shared" si="13"/>
        <v>0</v>
      </c>
      <c r="AE317" s="2">
        <f t="shared" si="14"/>
        <v>0</v>
      </c>
      <c r="AF317" s="2">
        <f t="shared" si="15"/>
        <v>0</v>
      </c>
      <c r="AG317" s="2">
        <f t="shared" si="16"/>
        <v>0</v>
      </c>
      <c r="AH317" s="2">
        <f t="shared" si="17"/>
        <v>0</v>
      </c>
      <c r="AI317" s="2">
        <f t="shared" si="18"/>
      </c>
    </row>
    <row r="318">
      <c r="A318" s="43">
        <f t="shared" si="0"/>
      </c>
      <c r="B318" s="54" t="n"/>
      <c r="C318" s="45" t="n"/>
      <c r="D318" s="50" t="n"/>
      <c r="E318" s="55" t="n"/>
      <c r="F318" s="50" t="n"/>
      <c r="G318" s="55" t="n"/>
      <c r="H318" s="50" t="n"/>
      <c r="I318" s="55" t="n"/>
      <c r="J318" s="50" t="n"/>
      <c r="K318" s="55" t="n"/>
      <c r="L318" s="56" t="n"/>
      <c r="M318" s="57" t="n"/>
      <c r="N318" s="57" t="n"/>
      <c r="O318" s="57" t="n"/>
      <c r="P318" s="57" t="n"/>
      <c r="Q318" s="50" t="n"/>
      <c r="R318" s="58">
        <f t="shared" si="1"/>
      </c>
      <c r="S318" s="59">
        <f t="shared" si="2"/>
      </c>
      <c r="T318" s="43">
        <f t="shared" si="3"/>
      </c>
      <c r="U318" s="60">
        <f t="shared" si="4"/>
      </c>
      <c r="V318" s="60">
        <f t="shared" si="5"/>
      </c>
      <c r="W318" s="60">
        <f t="shared" si="6"/>
      </c>
      <c r="X318" s="49">
        <f t="shared" si="7"/>
      </c>
      <c r="Y318" s="2">
        <f t="shared" si="8"/>
      </c>
      <c r="Z318" s="2">
        <f t="shared" si="9"/>
        <v>0</v>
      </c>
      <c r="AA318" s="2">
        <f t="shared" si="10"/>
        <v>0</v>
      </c>
      <c r="AB318" s="2">
        <f t="shared" si="11"/>
        <v>0</v>
      </c>
      <c r="AC318" s="2">
        <f t="shared" si="12"/>
        <v>0</v>
      </c>
      <c r="AD318" s="2">
        <f t="shared" si="13"/>
        <v>0</v>
      </c>
      <c r="AE318" s="2">
        <f t="shared" si="14"/>
        <v>0</v>
      </c>
      <c r="AF318" s="2">
        <f t="shared" si="15"/>
        <v>0</v>
      </c>
      <c r="AG318" s="2">
        <f t="shared" si="16"/>
        <v>0</v>
      </c>
      <c r="AH318" s="2">
        <f t="shared" si="17"/>
        <v>0</v>
      </c>
      <c r="AI318" s="2">
        <f t="shared" si="18"/>
      </c>
    </row>
    <row r="319">
      <c r="A319" s="43">
        <f t="shared" si="0"/>
      </c>
      <c r="B319" s="54" t="n"/>
      <c r="C319" s="45" t="n"/>
      <c r="D319" s="50" t="n"/>
      <c r="E319" s="55" t="n"/>
      <c r="F319" s="50" t="n"/>
      <c r="G319" s="55" t="n"/>
      <c r="H319" s="50" t="n"/>
      <c r="I319" s="55" t="n"/>
      <c r="J319" s="50" t="n"/>
      <c r="K319" s="55" t="n"/>
      <c r="L319" s="56" t="n"/>
      <c r="M319" s="57" t="n"/>
      <c r="N319" s="57" t="n"/>
      <c r="O319" s="57" t="n"/>
      <c r="P319" s="57" t="n"/>
      <c r="Q319" s="50" t="n"/>
      <c r="R319" s="58">
        <f t="shared" si="1"/>
      </c>
      <c r="S319" s="59">
        <f t="shared" si="2"/>
      </c>
      <c r="T319" s="43">
        <f t="shared" si="3"/>
      </c>
      <c r="U319" s="60">
        <f t="shared" si="4"/>
      </c>
      <c r="V319" s="60">
        <f t="shared" si="5"/>
      </c>
      <c r="W319" s="60">
        <f t="shared" si="6"/>
      </c>
      <c r="X319" s="49">
        <f t="shared" si="7"/>
      </c>
      <c r="Y319" s="2">
        <f t="shared" si="8"/>
      </c>
      <c r="Z319" s="2">
        <f t="shared" si="9"/>
        <v>0</v>
      </c>
      <c r="AA319" s="2">
        <f t="shared" si="10"/>
        <v>0</v>
      </c>
      <c r="AB319" s="2">
        <f t="shared" si="11"/>
        <v>0</v>
      </c>
      <c r="AC319" s="2">
        <f t="shared" si="12"/>
        <v>0</v>
      </c>
      <c r="AD319" s="2">
        <f t="shared" si="13"/>
        <v>0</v>
      </c>
      <c r="AE319" s="2">
        <f t="shared" si="14"/>
        <v>0</v>
      </c>
      <c r="AF319" s="2">
        <f t="shared" si="15"/>
        <v>0</v>
      </c>
      <c r="AG319" s="2">
        <f t="shared" si="16"/>
        <v>0</v>
      </c>
      <c r="AH319" s="2">
        <f t="shared" si="17"/>
        <v>0</v>
      </c>
      <c r="AI319" s="2">
        <f t="shared" si="18"/>
      </c>
    </row>
    <row r="320">
      <c r="A320" s="43">
        <f t="shared" si="0"/>
      </c>
      <c r="B320" s="54" t="n"/>
      <c r="C320" s="45" t="n"/>
      <c r="D320" s="50" t="n"/>
      <c r="E320" s="55" t="n"/>
      <c r="F320" s="50" t="n"/>
      <c r="G320" s="55" t="n"/>
      <c r="H320" s="50" t="n"/>
      <c r="I320" s="55" t="n"/>
      <c r="J320" s="50" t="n"/>
      <c r="K320" s="55" t="n"/>
      <c r="L320" s="56" t="n"/>
      <c r="M320" s="57" t="n"/>
      <c r="N320" s="57" t="n"/>
      <c r="O320" s="57" t="n"/>
      <c r="P320" s="57" t="n"/>
      <c r="Q320" s="50" t="n"/>
      <c r="R320" s="58">
        <f t="shared" si="1"/>
      </c>
      <c r="S320" s="59">
        <f t="shared" si="2"/>
      </c>
      <c r="T320" s="43">
        <f t="shared" si="3"/>
      </c>
      <c r="U320" s="60">
        <f t="shared" si="4"/>
      </c>
      <c r="V320" s="60">
        <f t="shared" si="5"/>
      </c>
      <c r="W320" s="60">
        <f t="shared" si="6"/>
      </c>
      <c r="X320" s="49">
        <f t="shared" si="7"/>
      </c>
      <c r="Y320" s="2">
        <f t="shared" si="8"/>
      </c>
      <c r="Z320" s="2">
        <f t="shared" si="9"/>
        <v>0</v>
      </c>
      <c r="AA320" s="2">
        <f t="shared" si="10"/>
        <v>0</v>
      </c>
      <c r="AB320" s="2">
        <f t="shared" si="11"/>
        <v>0</v>
      </c>
      <c r="AC320" s="2">
        <f t="shared" si="12"/>
        <v>0</v>
      </c>
      <c r="AD320" s="2">
        <f t="shared" si="13"/>
        <v>0</v>
      </c>
      <c r="AE320" s="2">
        <f t="shared" si="14"/>
        <v>0</v>
      </c>
      <c r="AF320" s="2">
        <f t="shared" si="15"/>
        <v>0</v>
      </c>
      <c r="AG320" s="2">
        <f t="shared" si="16"/>
        <v>0</v>
      </c>
      <c r="AH320" s="2">
        <f t="shared" si="17"/>
        <v>0</v>
      </c>
      <c r="AI320" s="2">
        <f t="shared" si="18"/>
      </c>
    </row>
    <row r="321">
      <c r="A321" s="43">
        <f t="shared" si="0"/>
      </c>
      <c r="B321" s="54" t="n"/>
      <c r="C321" s="45" t="n"/>
      <c r="D321" s="50" t="n"/>
      <c r="E321" s="55" t="n"/>
      <c r="F321" s="50" t="n"/>
      <c r="G321" s="55" t="n"/>
      <c r="H321" s="50" t="n"/>
      <c r="I321" s="55" t="n"/>
      <c r="J321" s="50" t="n"/>
      <c r="K321" s="55" t="n"/>
      <c r="L321" s="56" t="n"/>
      <c r="M321" s="57" t="n"/>
      <c r="N321" s="57" t="n"/>
      <c r="O321" s="57" t="n"/>
      <c r="P321" s="57" t="n"/>
      <c r="Q321" s="50" t="n"/>
      <c r="R321" s="58">
        <f t="shared" si="1"/>
      </c>
      <c r="S321" s="59">
        <f t="shared" si="2"/>
      </c>
      <c r="T321" s="43">
        <f t="shared" si="3"/>
      </c>
      <c r="U321" s="60">
        <f t="shared" si="4"/>
      </c>
      <c r="V321" s="60">
        <f t="shared" si="5"/>
      </c>
      <c r="W321" s="60">
        <f t="shared" si="6"/>
      </c>
      <c r="X321" s="49">
        <f t="shared" si="7"/>
      </c>
      <c r="Y321" s="2">
        <f t="shared" si="8"/>
      </c>
      <c r="Z321" s="2">
        <f t="shared" si="9"/>
        <v>0</v>
      </c>
      <c r="AA321" s="2">
        <f t="shared" si="10"/>
        <v>0</v>
      </c>
      <c r="AB321" s="2">
        <f t="shared" si="11"/>
        <v>0</v>
      </c>
      <c r="AC321" s="2">
        <f t="shared" si="12"/>
        <v>0</v>
      </c>
      <c r="AD321" s="2">
        <f t="shared" si="13"/>
        <v>0</v>
      </c>
      <c r="AE321" s="2">
        <f t="shared" si="14"/>
        <v>0</v>
      </c>
      <c r="AF321" s="2">
        <f t="shared" si="15"/>
        <v>0</v>
      </c>
      <c r="AG321" s="2">
        <f t="shared" si="16"/>
        <v>0</v>
      </c>
      <c r="AH321" s="2">
        <f t="shared" si="17"/>
        <v>0</v>
      </c>
      <c r="AI321" s="2">
        <f t="shared" si="18"/>
      </c>
    </row>
    <row r="322">
      <c r="A322" s="43">
        <f t="shared" si="0"/>
      </c>
      <c r="B322" s="54" t="n"/>
      <c r="C322" s="45" t="n"/>
      <c r="D322" s="50" t="n"/>
      <c r="E322" s="55" t="n"/>
      <c r="F322" s="50" t="n"/>
      <c r="G322" s="55" t="n"/>
      <c r="H322" s="50" t="n"/>
      <c r="I322" s="55" t="n"/>
      <c r="J322" s="50" t="n"/>
      <c r="K322" s="55" t="n"/>
      <c r="L322" s="56" t="n"/>
      <c r="M322" s="57" t="n"/>
      <c r="N322" s="57" t="n"/>
      <c r="O322" s="57" t="n"/>
      <c r="P322" s="57" t="n"/>
      <c r="Q322" s="50" t="n"/>
      <c r="R322" s="58">
        <f t="shared" si="1"/>
      </c>
      <c r="S322" s="59">
        <f t="shared" si="2"/>
      </c>
      <c r="T322" s="43">
        <f t="shared" si="3"/>
      </c>
      <c r="U322" s="60">
        <f t="shared" si="4"/>
      </c>
      <c r="V322" s="60">
        <f t="shared" si="5"/>
      </c>
      <c r="W322" s="60">
        <f t="shared" si="6"/>
      </c>
      <c r="X322" s="49">
        <f t="shared" si="7"/>
      </c>
      <c r="Y322" s="2">
        <f t="shared" si="8"/>
      </c>
      <c r="Z322" s="2">
        <f t="shared" si="9"/>
        <v>0</v>
      </c>
      <c r="AA322" s="2">
        <f t="shared" si="10"/>
        <v>0</v>
      </c>
      <c r="AB322" s="2">
        <f t="shared" si="11"/>
        <v>0</v>
      </c>
      <c r="AC322" s="2">
        <f t="shared" si="12"/>
        <v>0</v>
      </c>
      <c r="AD322" s="2">
        <f t="shared" si="13"/>
        <v>0</v>
      </c>
      <c r="AE322" s="2">
        <f t="shared" si="14"/>
        <v>0</v>
      </c>
      <c r="AF322" s="2">
        <f t="shared" si="15"/>
        <v>0</v>
      </c>
      <c r="AG322" s="2">
        <f t="shared" si="16"/>
        <v>0</v>
      </c>
      <c r="AH322" s="2">
        <f t="shared" si="17"/>
        <v>0</v>
      </c>
      <c r="AI322" s="2">
        <f t="shared" si="18"/>
      </c>
    </row>
    <row r="323">
      <c r="A323" s="43">
        <f t="shared" si="0"/>
      </c>
      <c r="B323" s="54" t="n"/>
      <c r="C323" s="45" t="n"/>
      <c r="D323" s="50" t="n"/>
      <c r="E323" s="55" t="n"/>
      <c r="F323" s="50" t="n"/>
      <c r="G323" s="55" t="n"/>
      <c r="H323" s="50" t="n"/>
      <c r="I323" s="55" t="n"/>
      <c r="J323" s="50" t="n"/>
      <c r="K323" s="55" t="n"/>
      <c r="L323" s="56" t="n"/>
      <c r="M323" s="57" t="n"/>
      <c r="N323" s="57" t="n"/>
      <c r="O323" s="57" t="n"/>
      <c r="P323" s="57" t="n"/>
      <c r="Q323" s="50" t="n"/>
      <c r="R323" s="58">
        <f t="shared" si="1"/>
      </c>
      <c r="S323" s="59">
        <f t="shared" si="2"/>
      </c>
      <c r="T323" s="43">
        <f t="shared" si="3"/>
      </c>
      <c r="U323" s="60">
        <f t="shared" si="4"/>
      </c>
      <c r="V323" s="60">
        <f t="shared" si="5"/>
      </c>
      <c r="W323" s="60">
        <f t="shared" si="6"/>
      </c>
      <c r="X323" s="49">
        <f t="shared" si="7"/>
      </c>
      <c r="Y323" s="2">
        <f t="shared" si="8"/>
      </c>
      <c r="Z323" s="2">
        <f t="shared" si="9"/>
        <v>0</v>
      </c>
      <c r="AA323" s="2">
        <f t="shared" si="10"/>
        <v>0</v>
      </c>
      <c r="AB323" s="2">
        <f t="shared" si="11"/>
        <v>0</v>
      </c>
      <c r="AC323" s="2">
        <f t="shared" si="12"/>
        <v>0</v>
      </c>
      <c r="AD323" s="2">
        <f t="shared" si="13"/>
        <v>0</v>
      </c>
      <c r="AE323" s="2">
        <f t="shared" si="14"/>
        <v>0</v>
      </c>
      <c r="AF323" s="2">
        <f t="shared" si="15"/>
        <v>0</v>
      </c>
      <c r="AG323" s="2">
        <f t="shared" si="16"/>
        <v>0</v>
      </c>
      <c r="AH323" s="2">
        <f t="shared" si="17"/>
        <v>0</v>
      </c>
      <c r="AI323" s="2">
        <f t="shared" si="18"/>
      </c>
    </row>
    <row r="324">
      <c r="A324" s="43">
        <f t="shared" si="0"/>
      </c>
      <c r="B324" s="54" t="n"/>
      <c r="C324" s="45" t="n"/>
      <c r="D324" s="50" t="n"/>
      <c r="E324" s="55" t="n"/>
      <c r="F324" s="50" t="n"/>
      <c r="G324" s="55" t="n"/>
      <c r="H324" s="50" t="n"/>
      <c r="I324" s="55" t="n"/>
      <c r="J324" s="50" t="n"/>
      <c r="K324" s="55" t="n"/>
      <c r="L324" s="56" t="n"/>
      <c r="M324" s="57" t="n"/>
      <c r="N324" s="57" t="n"/>
      <c r="O324" s="57" t="n"/>
      <c r="P324" s="57" t="n"/>
      <c r="Q324" s="50" t="n"/>
      <c r="R324" s="58">
        <f t="shared" si="1"/>
      </c>
      <c r="S324" s="59">
        <f t="shared" si="2"/>
      </c>
      <c r="T324" s="43">
        <f t="shared" si="3"/>
      </c>
      <c r="U324" s="60">
        <f t="shared" si="4"/>
      </c>
      <c r="V324" s="60">
        <f t="shared" si="5"/>
      </c>
      <c r="W324" s="60">
        <f t="shared" si="6"/>
      </c>
      <c r="X324" s="49">
        <f t="shared" si="7"/>
      </c>
      <c r="Y324" s="2">
        <f t="shared" si="8"/>
      </c>
      <c r="Z324" s="2">
        <f t="shared" si="9"/>
        <v>0</v>
      </c>
      <c r="AA324" s="2">
        <f t="shared" si="10"/>
        <v>0</v>
      </c>
      <c r="AB324" s="2">
        <f t="shared" si="11"/>
        <v>0</v>
      </c>
      <c r="AC324" s="2">
        <f t="shared" si="12"/>
        <v>0</v>
      </c>
      <c r="AD324" s="2">
        <f t="shared" si="13"/>
        <v>0</v>
      </c>
      <c r="AE324" s="2">
        <f t="shared" si="14"/>
        <v>0</v>
      </c>
      <c r="AF324" s="2">
        <f t="shared" si="15"/>
        <v>0</v>
      </c>
      <c r="AG324" s="2">
        <f t="shared" si="16"/>
        <v>0</v>
      </c>
      <c r="AH324" s="2">
        <f t="shared" si="17"/>
        <v>0</v>
      </c>
      <c r="AI324" s="2">
        <f t="shared" si="18"/>
      </c>
    </row>
    <row r="325">
      <c r="A325" s="43">
        <f t="shared" si="0"/>
      </c>
      <c r="B325" s="54" t="n"/>
      <c r="C325" s="45" t="n"/>
      <c r="D325" s="50" t="n"/>
      <c r="E325" s="55" t="n"/>
      <c r="F325" s="50" t="n"/>
      <c r="G325" s="55" t="n"/>
      <c r="H325" s="50" t="n"/>
      <c r="I325" s="55" t="n"/>
      <c r="J325" s="50" t="n"/>
      <c r="K325" s="55" t="n"/>
      <c r="L325" s="56" t="n"/>
      <c r="M325" s="57" t="n"/>
      <c r="N325" s="57" t="n"/>
      <c r="O325" s="57" t="n"/>
      <c r="P325" s="57" t="n"/>
      <c r="Q325" s="50" t="n"/>
      <c r="R325" s="58">
        <f t="shared" si="1"/>
      </c>
      <c r="S325" s="59">
        <f t="shared" si="2"/>
      </c>
      <c r="T325" s="43">
        <f t="shared" si="3"/>
      </c>
      <c r="U325" s="60">
        <f t="shared" si="4"/>
      </c>
      <c r="V325" s="60">
        <f t="shared" si="5"/>
      </c>
      <c r="W325" s="60">
        <f t="shared" si="6"/>
      </c>
      <c r="X325" s="49">
        <f t="shared" si="7"/>
      </c>
      <c r="Y325" s="2">
        <f t="shared" si="8"/>
      </c>
      <c r="Z325" s="2">
        <f t="shared" si="9"/>
        <v>0</v>
      </c>
      <c r="AA325" s="2">
        <f t="shared" si="10"/>
        <v>0</v>
      </c>
      <c r="AB325" s="2">
        <f t="shared" si="11"/>
        <v>0</v>
      </c>
      <c r="AC325" s="2">
        <f t="shared" si="12"/>
        <v>0</v>
      </c>
      <c r="AD325" s="2">
        <f t="shared" si="13"/>
        <v>0</v>
      </c>
      <c r="AE325" s="2">
        <f t="shared" si="14"/>
        <v>0</v>
      </c>
      <c r="AF325" s="2">
        <f t="shared" si="15"/>
        <v>0</v>
      </c>
      <c r="AG325" s="2">
        <f t="shared" si="16"/>
        <v>0</v>
      </c>
      <c r="AH325" s="2">
        <f t="shared" si="17"/>
        <v>0</v>
      </c>
      <c r="AI325" s="2">
        <f t="shared" si="18"/>
      </c>
    </row>
    <row r="326">
      <c r="A326" s="43">
        <f t="shared" si="0"/>
      </c>
      <c r="B326" s="54" t="n"/>
      <c r="C326" s="45" t="n"/>
      <c r="D326" s="50" t="n"/>
      <c r="E326" s="55" t="n"/>
      <c r="F326" s="50" t="n"/>
      <c r="G326" s="55" t="n"/>
      <c r="H326" s="50" t="n"/>
      <c r="I326" s="55" t="n"/>
      <c r="J326" s="50" t="n"/>
      <c r="K326" s="55" t="n"/>
      <c r="L326" s="56" t="n"/>
      <c r="M326" s="57" t="n"/>
      <c r="N326" s="57" t="n"/>
      <c r="O326" s="57" t="n"/>
      <c r="P326" s="57" t="n"/>
      <c r="Q326" s="50" t="n"/>
      <c r="R326" s="58">
        <f t="shared" si="1"/>
      </c>
      <c r="S326" s="59">
        <f t="shared" si="2"/>
      </c>
      <c r="T326" s="43">
        <f t="shared" si="3"/>
      </c>
      <c r="U326" s="60">
        <f t="shared" si="4"/>
      </c>
      <c r="V326" s="60">
        <f t="shared" si="5"/>
      </c>
      <c r="W326" s="60">
        <f t="shared" si="6"/>
      </c>
      <c r="X326" s="49">
        <f t="shared" si="7"/>
      </c>
      <c r="Y326" s="2">
        <f t="shared" si="8"/>
      </c>
      <c r="Z326" s="2">
        <f t="shared" si="9"/>
        <v>0</v>
      </c>
      <c r="AA326" s="2">
        <f t="shared" si="10"/>
        <v>0</v>
      </c>
      <c r="AB326" s="2">
        <f t="shared" si="11"/>
        <v>0</v>
      </c>
      <c r="AC326" s="2">
        <f t="shared" si="12"/>
        <v>0</v>
      </c>
      <c r="AD326" s="2">
        <f t="shared" si="13"/>
        <v>0</v>
      </c>
      <c r="AE326" s="2">
        <f t="shared" si="14"/>
        <v>0</v>
      </c>
      <c r="AF326" s="2">
        <f t="shared" si="15"/>
        <v>0</v>
      </c>
      <c r="AG326" s="2">
        <f t="shared" si="16"/>
        <v>0</v>
      </c>
      <c r="AH326" s="2">
        <f t="shared" si="17"/>
        <v>0</v>
      </c>
      <c r="AI326" s="2">
        <f t="shared" si="18"/>
      </c>
    </row>
    <row r="327">
      <c r="A327" s="43">
        <f t="shared" si="0"/>
      </c>
      <c r="B327" s="54" t="n"/>
      <c r="C327" s="45" t="n"/>
      <c r="D327" s="50" t="n"/>
      <c r="E327" s="55" t="n"/>
      <c r="F327" s="50" t="n"/>
      <c r="G327" s="55" t="n"/>
      <c r="H327" s="50" t="n"/>
      <c r="I327" s="55" t="n"/>
      <c r="J327" s="50" t="n"/>
      <c r="K327" s="55" t="n"/>
      <c r="L327" s="56" t="n"/>
      <c r="M327" s="57" t="n"/>
      <c r="N327" s="57" t="n"/>
      <c r="O327" s="57" t="n"/>
      <c r="P327" s="57" t="n"/>
      <c r="Q327" s="50" t="n"/>
      <c r="R327" s="58">
        <f t="shared" si="1"/>
      </c>
      <c r="S327" s="59">
        <f t="shared" si="2"/>
      </c>
      <c r="T327" s="43">
        <f t="shared" si="3"/>
      </c>
      <c r="U327" s="60">
        <f t="shared" si="4"/>
      </c>
      <c r="V327" s="60">
        <f t="shared" si="5"/>
      </c>
      <c r="W327" s="60">
        <f t="shared" si="6"/>
      </c>
      <c r="X327" s="49">
        <f t="shared" si="7"/>
      </c>
      <c r="Y327" s="2">
        <f t="shared" si="8"/>
      </c>
      <c r="Z327" s="2">
        <f t="shared" si="9"/>
        <v>0</v>
      </c>
      <c r="AA327" s="2">
        <f t="shared" si="10"/>
        <v>0</v>
      </c>
      <c r="AB327" s="2">
        <f t="shared" si="11"/>
        <v>0</v>
      </c>
      <c r="AC327" s="2">
        <f t="shared" si="12"/>
        <v>0</v>
      </c>
      <c r="AD327" s="2">
        <f t="shared" si="13"/>
        <v>0</v>
      </c>
      <c r="AE327" s="2">
        <f t="shared" si="14"/>
        <v>0</v>
      </c>
      <c r="AF327" s="2">
        <f t="shared" si="15"/>
        <v>0</v>
      </c>
      <c r="AG327" s="2">
        <f t="shared" si="16"/>
        <v>0</v>
      </c>
      <c r="AH327" s="2">
        <f t="shared" si="17"/>
        <v>0</v>
      </c>
      <c r="AI327" s="2">
        <f t="shared" si="18"/>
      </c>
    </row>
    <row r="328">
      <c r="A328" s="43">
        <f t="shared" si="0"/>
      </c>
      <c r="B328" s="54" t="n"/>
      <c r="C328" s="45" t="n"/>
      <c r="D328" s="50" t="n"/>
      <c r="E328" s="55" t="n"/>
      <c r="F328" s="50" t="n"/>
      <c r="G328" s="55" t="n"/>
      <c r="H328" s="50" t="n"/>
      <c r="I328" s="55" t="n"/>
      <c r="J328" s="50" t="n"/>
      <c r="K328" s="55" t="n"/>
      <c r="L328" s="56" t="n"/>
      <c r="M328" s="57" t="n"/>
      <c r="N328" s="57" t="n"/>
      <c r="O328" s="57" t="n"/>
      <c r="P328" s="57" t="n"/>
      <c r="Q328" s="50" t="n"/>
      <c r="R328" s="58">
        <f t="shared" si="1"/>
      </c>
      <c r="S328" s="59">
        <f t="shared" si="2"/>
      </c>
      <c r="T328" s="43">
        <f t="shared" si="3"/>
      </c>
      <c r="U328" s="60">
        <f t="shared" si="4"/>
      </c>
      <c r="V328" s="60">
        <f t="shared" si="5"/>
      </c>
      <c r="W328" s="60">
        <f t="shared" si="6"/>
      </c>
      <c r="X328" s="49">
        <f t="shared" si="7"/>
      </c>
      <c r="Y328" s="2">
        <f t="shared" si="8"/>
      </c>
      <c r="Z328" s="2">
        <f t="shared" si="9"/>
        <v>0</v>
      </c>
      <c r="AA328" s="2">
        <f t="shared" si="10"/>
        <v>0</v>
      </c>
      <c r="AB328" s="2">
        <f t="shared" si="11"/>
        <v>0</v>
      </c>
      <c r="AC328" s="2">
        <f t="shared" si="12"/>
        <v>0</v>
      </c>
      <c r="AD328" s="2">
        <f t="shared" si="13"/>
        <v>0</v>
      </c>
      <c r="AE328" s="2">
        <f t="shared" si="14"/>
        <v>0</v>
      </c>
      <c r="AF328" s="2">
        <f t="shared" si="15"/>
        <v>0</v>
      </c>
      <c r="AG328" s="2">
        <f t="shared" si="16"/>
        <v>0</v>
      </c>
      <c r="AH328" s="2">
        <f t="shared" si="17"/>
        <v>0</v>
      </c>
      <c r="AI328" s="2">
        <f t="shared" si="18"/>
      </c>
    </row>
    <row r="329">
      <c r="A329" s="43">
        <f t="shared" si="0"/>
      </c>
      <c r="B329" s="54" t="n"/>
      <c r="C329" s="45" t="n"/>
      <c r="D329" s="50" t="n"/>
      <c r="E329" s="55" t="n"/>
      <c r="F329" s="50" t="n"/>
      <c r="G329" s="55" t="n"/>
      <c r="H329" s="50" t="n"/>
      <c r="I329" s="55" t="n"/>
      <c r="J329" s="50" t="n"/>
      <c r="K329" s="55" t="n"/>
      <c r="L329" s="56" t="n"/>
      <c r="M329" s="57" t="n"/>
      <c r="N329" s="57" t="n"/>
      <c r="O329" s="57" t="n"/>
      <c r="P329" s="57" t="n"/>
      <c r="Q329" s="50" t="n"/>
      <c r="R329" s="58">
        <f t="shared" si="1"/>
      </c>
      <c r="S329" s="59">
        <f t="shared" si="2"/>
      </c>
      <c r="T329" s="43">
        <f t="shared" si="3"/>
      </c>
      <c r="U329" s="60">
        <f t="shared" si="4"/>
      </c>
      <c r="V329" s="60">
        <f t="shared" si="5"/>
      </c>
      <c r="W329" s="60">
        <f t="shared" si="6"/>
      </c>
      <c r="X329" s="49">
        <f t="shared" si="7"/>
      </c>
      <c r="Y329" s="2">
        <f t="shared" si="8"/>
      </c>
      <c r="Z329" s="2">
        <f t="shared" si="9"/>
        <v>0</v>
      </c>
      <c r="AA329" s="2">
        <f t="shared" si="10"/>
        <v>0</v>
      </c>
      <c r="AB329" s="2">
        <f t="shared" si="11"/>
        <v>0</v>
      </c>
      <c r="AC329" s="2">
        <f t="shared" si="12"/>
        <v>0</v>
      </c>
      <c r="AD329" s="2">
        <f t="shared" si="13"/>
        <v>0</v>
      </c>
      <c r="AE329" s="2">
        <f t="shared" si="14"/>
        <v>0</v>
      </c>
      <c r="AF329" s="2">
        <f t="shared" si="15"/>
        <v>0</v>
      </c>
      <c r="AG329" s="2">
        <f t="shared" si="16"/>
        <v>0</v>
      </c>
      <c r="AH329" s="2">
        <f t="shared" si="17"/>
        <v>0</v>
      </c>
      <c r="AI329" s="2">
        <f t="shared" si="18"/>
      </c>
    </row>
    <row r="330">
      <c r="A330" s="43">
        <f t="shared" si="0"/>
      </c>
      <c r="B330" s="54" t="n"/>
      <c r="C330" s="45" t="n"/>
      <c r="D330" s="50" t="n"/>
      <c r="E330" s="55" t="n"/>
      <c r="F330" s="50" t="n"/>
      <c r="G330" s="55" t="n"/>
      <c r="H330" s="50" t="n"/>
      <c r="I330" s="55" t="n"/>
      <c r="J330" s="50" t="n"/>
      <c r="K330" s="55" t="n"/>
      <c r="L330" s="56" t="n"/>
      <c r="M330" s="57" t="n"/>
      <c r="N330" s="57" t="n"/>
      <c r="O330" s="57" t="n"/>
      <c r="P330" s="57" t="n"/>
      <c r="Q330" s="50" t="n"/>
      <c r="R330" s="58">
        <f t="shared" si="1"/>
      </c>
      <c r="S330" s="59">
        <f t="shared" si="2"/>
      </c>
      <c r="T330" s="43">
        <f t="shared" si="3"/>
      </c>
      <c r="U330" s="60">
        <f t="shared" si="4"/>
      </c>
      <c r="V330" s="60">
        <f t="shared" si="5"/>
      </c>
      <c r="W330" s="60">
        <f t="shared" si="6"/>
      </c>
      <c r="X330" s="49">
        <f t="shared" si="7"/>
      </c>
      <c r="Y330" s="2">
        <f t="shared" si="8"/>
      </c>
      <c r="Z330" s="2">
        <f t="shared" si="9"/>
        <v>0</v>
      </c>
      <c r="AA330" s="2">
        <f t="shared" si="10"/>
        <v>0</v>
      </c>
      <c r="AB330" s="2">
        <f t="shared" si="11"/>
        <v>0</v>
      </c>
      <c r="AC330" s="2">
        <f t="shared" si="12"/>
        <v>0</v>
      </c>
      <c r="AD330" s="2">
        <f t="shared" si="13"/>
        <v>0</v>
      </c>
      <c r="AE330" s="2">
        <f t="shared" si="14"/>
        <v>0</v>
      </c>
      <c r="AF330" s="2">
        <f t="shared" si="15"/>
        <v>0</v>
      </c>
      <c r="AG330" s="2">
        <f t="shared" si="16"/>
        <v>0</v>
      </c>
      <c r="AH330" s="2">
        <f t="shared" si="17"/>
        <v>0</v>
      </c>
      <c r="AI330" s="2">
        <f t="shared" si="18"/>
      </c>
    </row>
    <row r="331">
      <c r="A331" s="43">
        <f t="shared" si="0"/>
      </c>
      <c r="B331" s="54" t="n"/>
      <c r="C331" s="45" t="n"/>
      <c r="D331" s="50" t="n"/>
      <c r="E331" s="55" t="n"/>
      <c r="F331" s="50" t="n"/>
      <c r="G331" s="55" t="n"/>
      <c r="H331" s="50" t="n"/>
      <c r="I331" s="55" t="n"/>
      <c r="J331" s="50" t="n"/>
      <c r="K331" s="55" t="n"/>
      <c r="L331" s="56" t="n"/>
      <c r="M331" s="57" t="n"/>
      <c r="N331" s="57" t="n"/>
      <c r="O331" s="57" t="n"/>
      <c r="P331" s="57" t="n"/>
      <c r="Q331" s="50" t="n"/>
      <c r="R331" s="58">
        <f t="shared" si="1"/>
      </c>
      <c r="S331" s="59">
        <f t="shared" si="2"/>
      </c>
      <c r="T331" s="43">
        <f t="shared" si="3"/>
      </c>
      <c r="U331" s="60">
        <f t="shared" si="4"/>
      </c>
      <c r="V331" s="60">
        <f t="shared" si="5"/>
      </c>
      <c r="W331" s="60">
        <f t="shared" si="6"/>
      </c>
      <c r="X331" s="49">
        <f t="shared" si="7"/>
      </c>
      <c r="Y331" s="2">
        <f t="shared" si="8"/>
      </c>
      <c r="Z331" s="2">
        <f t="shared" si="9"/>
        <v>0</v>
      </c>
      <c r="AA331" s="2">
        <f t="shared" si="10"/>
        <v>0</v>
      </c>
      <c r="AB331" s="2">
        <f t="shared" si="11"/>
        <v>0</v>
      </c>
      <c r="AC331" s="2">
        <f t="shared" si="12"/>
        <v>0</v>
      </c>
      <c r="AD331" s="2">
        <f t="shared" si="13"/>
        <v>0</v>
      </c>
      <c r="AE331" s="2">
        <f t="shared" si="14"/>
        <v>0</v>
      </c>
      <c r="AF331" s="2">
        <f t="shared" si="15"/>
        <v>0</v>
      </c>
      <c r="AG331" s="2">
        <f t="shared" si="16"/>
        <v>0</v>
      </c>
      <c r="AH331" s="2">
        <f t="shared" si="17"/>
        <v>0</v>
      </c>
      <c r="AI331" s="2">
        <f t="shared" si="18"/>
      </c>
    </row>
    <row r="332">
      <c r="A332" s="43">
        <f t="shared" si="0"/>
      </c>
      <c r="B332" s="54" t="n"/>
      <c r="C332" s="45" t="n"/>
      <c r="D332" s="50" t="n"/>
      <c r="E332" s="55" t="n"/>
      <c r="F332" s="50" t="n"/>
      <c r="G332" s="55" t="n"/>
      <c r="H332" s="50" t="n"/>
      <c r="I332" s="55" t="n"/>
      <c r="J332" s="50" t="n"/>
      <c r="K332" s="55" t="n"/>
      <c r="L332" s="56" t="n"/>
      <c r="M332" s="57" t="n"/>
      <c r="N332" s="57" t="n"/>
      <c r="O332" s="57" t="n"/>
      <c r="P332" s="57" t="n"/>
      <c r="Q332" s="50" t="n"/>
      <c r="R332" s="58">
        <f t="shared" si="1"/>
      </c>
      <c r="S332" s="59">
        <f t="shared" si="2"/>
      </c>
      <c r="T332" s="43">
        <f t="shared" si="3"/>
      </c>
      <c r="U332" s="60">
        <f t="shared" si="4"/>
      </c>
      <c r="V332" s="60">
        <f t="shared" si="5"/>
      </c>
      <c r="W332" s="60">
        <f t="shared" si="6"/>
      </c>
      <c r="X332" s="49">
        <f t="shared" si="7"/>
      </c>
      <c r="Y332" s="2">
        <f t="shared" si="8"/>
      </c>
      <c r="Z332" s="2">
        <f t="shared" si="9"/>
        <v>0</v>
      </c>
      <c r="AA332" s="2">
        <f t="shared" si="10"/>
        <v>0</v>
      </c>
      <c r="AB332" s="2">
        <f t="shared" si="11"/>
        <v>0</v>
      </c>
      <c r="AC332" s="2">
        <f t="shared" si="12"/>
        <v>0</v>
      </c>
      <c r="AD332" s="2">
        <f t="shared" si="13"/>
        <v>0</v>
      </c>
      <c r="AE332" s="2">
        <f t="shared" si="14"/>
        <v>0</v>
      </c>
      <c r="AF332" s="2">
        <f t="shared" si="15"/>
        <v>0</v>
      </c>
      <c r="AG332" s="2">
        <f t="shared" si="16"/>
        <v>0</v>
      </c>
      <c r="AH332" s="2">
        <f t="shared" si="17"/>
        <v>0</v>
      </c>
      <c r="AI332" s="2">
        <f t="shared" si="18"/>
      </c>
    </row>
    <row r="333">
      <c r="A333" s="43">
        <f t="shared" si="0"/>
      </c>
      <c r="B333" s="54" t="n"/>
      <c r="C333" s="45" t="n"/>
      <c r="D333" s="50" t="n"/>
      <c r="E333" s="55" t="n"/>
      <c r="F333" s="50" t="n"/>
      <c r="G333" s="55" t="n"/>
      <c r="H333" s="50" t="n"/>
      <c r="I333" s="55" t="n"/>
      <c r="J333" s="50" t="n"/>
      <c r="K333" s="55" t="n"/>
      <c r="L333" s="56" t="n"/>
      <c r="M333" s="57" t="n"/>
      <c r="N333" s="57" t="n"/>
      <c r="O333" s="57" t="n"/>
      <c r="P333" s="57" t="n"/>
      <c r="Q333" s="50" t="n"/>
      <c r="R333" s="58">
        <f t="shared" si="1"/>
      </c>
      <c r="S333" s="59">
        <f t="shared" si="2"/>
      </c>
      <c r="T333" s="43">
        <f t="shared" si="3"/>
      </c>
      <c r="U333" s="60">
        <f t="shared" si="4"/>
      </c>
      <c r="V333" s="60">
        <f t="shared" si="5"/>
      </c>
      <c r="W333" s="60">
        <f t="shared" si="6"/>
      </c>
      <c r="X333" s="49">
        <f t="shared" si="7"/>
      </c>
      <c r="Y333" s="2">
        <f t="shared" si="8"/>
      </c>
      <c r="Z333" s="2">
        <f t="shared" si="9"/>
        <v>0</v>
      </c>
      <c r="AA333" s="2">
        <f t="shared" si="10"/>
        <v>0</v>
      </c>
      <c r="AB333" s="2">
        <f t="shared" si="11"/>
        <v>0</v>
      </c>
      <c r="AC333" s="2">
        <f t="shared" si="12"/>
        <v>0</v>
      </c>
      <c r="AD333" s="2">
        <f t="shared" si="13"/>
        <v>0</v>
      </c>
      <c r="AE333" s="2">
        <f t="shared" si="14"/>
        <v>0</v>
      </c>
      <c r="AF333" s="2">
        <f t="shared" si="15"/>
        <v>0</v>
      </c>
      <c r="AG333" s="2">
        <f t="shared" si="16"/>
        <v>0</v>
      </c>
      <c r="AH333" s="2">
        <f t="shared" si="17"/>
        <v>0</v>
      </c>
      <c r="AI333" s="2">
        <f t="shared" si="18"/>
      </c>
    </row>
    <row r="334">
      <c r="A334" s="43">
        <f t="shared" si="0"/>
      </c>
      <c r="B334" s="54" t="n"/>
      <c r="C334" s="45" t="n"/>
      <c r="D334" s="50" t="n"/>
      <c r="E334" s="55" t="n"/>
      <c r="F334" s="50" t="n"/>
      <c r="G334" s="55" t="n"/>
      <c r="H334" s="50" t="n"/>
      <c r="I334" s="55" t="n"/>
      <c r="J334" s="50" t="n"/>
      <c r="K334" s="55" t="n"/>
      <c r="L334" s="56" t="n"/>
      <c r="M334" s="57" t="n"/>
      <c r="N334" s="57" t="n"/>
      <c r="O334" s="57" t="n"/>
      <c r="P334" s="57" t="n"/>
      <c r="Q334" s="50" t="n"/>
      <c r="R334" s="58">
        <f t="shared" si="1"/>
      </c>
      <c r="S334" s="59">
        <f t="shared" si="2"/>
      </c>
      <c r="T334" s="43">
        <f t="shared" si="3"/>
      </c>
      <c r="U334" s="60">
        <f t="shared" si="4"/>
      </c>
      <c r="V334" s="60">
        <f t="shared" si="5"/>
      </c>
      <c r="W334" s="60">
        <f t="shared" si="6"/>
      </c>
      <c r="X334" s="49">
        <f t="shared" si="7"/>
      </c>
      <c r="Y334" s="2">
        <f t="shared" si="8"/>
      </c>
      <c r="Z334" s="2">
        <f t="shared" si="9"/>
        <v>0</v>
      </c>
      <c r="AA334" s="2">
        <f t="shared" si="10"/>
        <v>0</v>
      </c>
      <c r="AB334" s="2">
        <f t="shared" si="11"/>
        <v>0</v>
      </c>
      <c r="AC334" s="2">
        <f t="shared" si="12"/>
        <v>0</v>
      </c>
      <c r="AD334" s="2">
        <f t="shared" si="13"/>
        <v>0</v>
      </c>
      <c r="AE334" s="2">
        <f t="shared" si="14"/>
        <v>0</v>
      </c>
      <c r="AF334" s="2">
        <f t="shared" si="15"/>
        <v>0</v>
      </c>
      <c r="AG334" s="2">
        <f t="shared" si="16"/>
        <v>0</v>
      </c>
      <c r="AH334" s="2">
        <f t="shared" si="17"/>
        <v>0</v>
      </c>
      <c r="AI334" s="2">
        <f t="shared" si="18"/>
      </c>
    </row>
    <row r="335">
      <c r="A335" s="43">
        <f t="shared" si="0"/>
      </c>
      <c r="B335" s="54" t="n"/>
      <c r="C335" s="45" t="n"/>
      <c r="D335" s="50" t="n"/>
      <c r="E335" s="55" t="n"/>
      <c r="F335" s="50" t="n"/>
      <c r="G335" s="55" t="n"/>
      <c r="H335" s="50" t="n"/>
      <c r="I335" s="55" t="n"/>
      <c r="J335" s="50" t="n"/>
      <c r="K335" s="55" t="n"/>
      <c r="L335" s="56" t="n"/>
      <c r="M335" s="57" t="n"/>
      <c r="N335" s="57" t="n"/>
      <c r="O335" s="57" t="n"/>
      <c r="P335" s="57" t="n"/>
      <c r="Q335" s="50" t="n"/>
      <c r="R335" s="58">
        <f t="shared" si="1"/>
      </c>
      <c r="S335" s="59">
        <f t="shared" si="2"/>
      </c>
      <c r="T335" s="43">
        <f t="shared" si="3"/>
      </c>
      <c r="U335" s="60">
        <f t="shared" si="4"/>
      </c>
      <c r="V335" s="60">
        <f t="shared" si="5"/>
      </c>
      <c r="W335" s="60">
        <f t="shared" si="6"/>
      </c>
      <c r="X335" s="49">
        <f t="shared" si="7"/>
      </c>
      <c r="Y335" s="2">
        <f t="shared" si="8"/>
      </c>
      <c r="Z335" s="2">
        <f t="shared" si="9"/>
        <v>0</v>
      </c>
      <c r="AA335" s="2">
        <f t="shared" si="10"/>
        <v>0</v>
      </c>
      <c r="AB335" s="2">
        <f t="shared" si="11"/>
        <v>0</v>
      </c>
      <c r="AC335" s="2">
        <f t="shared" si="12"/>
        <v>0</v>
      </c>
      <c r="AD335" s="2">
        <f t="shared" si="13"/>
        <v>0</v>
      </c>
      <c r="AE335" s="2">
        <f t="shared" si="14"/>
        <v>0</v>
      </c>
      <c r="AF335" s="2">
        <f t="shared" si="15"/>
        <v>0</v>
      </c>
      <c r="AG335" s="2">
        <f t="shared" si="16"/>
        <v>0</v>
      </c>
      <c r="AH335" s="2">
        <f t="shared" si="17"/>
        <v>0</v>
      </c>
      <c r="AI335" s="2">
        <f t="shared" si="18"/>
      </c>
    </row>
    <row r="336">
      <c r="A336" s="43">
        <f t="shared" si="0"/>
      </c>
      <c r="B336" s="54" t="n"/>
      <c r="C336" s="45" t="n"/>
      <c r="D336" s="50" t="n"/>
      <c r="E336" s="55" t="n"/>
      <c r="F336" s="50" t="n"/>
      <c r="G336" s="55" t="n"/>
      <c r="H336" s="50" t="n"/>
      <c r="I336" s="55" t="n"/>
      <c r="J336" s="50" t="n"/>
      <c r="K336" s="55" t="n"/>
      <c r="L336" s="56" t="n"/>
      <c r="M336" s="57" t="n"/>
      <c r="N336" s="57" t="n"/>
      <c r="O336" s="57" t="n"/>
      <c r="P336" s="57" t="n"/>
      <c r="Q336" s="50" t="n"/>
      <c r="R336" s="58">
        <f t="shared" si="1"/>
      </c>
      <c r="S336" s="59">
        <f t="shared" si="2"/>
      </c>
      <c r="T336" s="43">
        <f t="shared" si="3"/>
      </c>
      <c r="U336" s="60">
        <f t="shared" si="4"/>
      </c>
      <c r="V336" s="60">
        <f t="shared" si="5"/>
      </c>
      <c r="W336" s="60">
        <f t="shared" si="6"/>
      </c>
      <c r="X336" s="49">
        <f t="shared" si="7"/>
      </c>
      <c r="Y336" s="2">
        <f t="shared" si="8"/>
      </c>
      <c r="Z336" s="2">
        <f t="shared" si="9"/>
        <v>0</v>
      </c>
      <c r="AA336" s="2">
        <f t="shared" si="10"/>
        <v>0</v>
      </c>
      <c r="AB336" s="2">
        <f t="shared" si="11"/>
        <v>0</v>
      </c>
      <c r="AC336" s="2">
        <f t="shared" si="12"/>
        <v>0</v>
      </c>
      <c r="AD336" s="2">
        <f t="shared" si="13"/>
        <v>0</v>
      </c>
      <c r="AE336" s="2">
        <f t="shared" si="14"/>
        <v>0</v>
      </c>
      <c r="AF336" s="2">
        <f t="shared" si="15"/>
        <v>0</v>
      </c>
      <c r="AG336" s="2">
        <f t="shared" si="16"/>
        <v>0</v>
      </c>
      <c r="AH336" s="2">
        <f t="shared" si="17"/>
        <v>0</v>
      </c>
      <c r="AI336" s="2">
        <f t="shared" si="18"/>
      </c>
    </row>
    <row r="337">
      <c r="A337" s="43">
        <f t="shared" si="0"/>
      </c>
      <c r="B337" s="54" t="n"/>
      <c r="C337" s="45" t="n"/>
      <c r="D337" s="50" t="n"/>
      <c r="E337" s="55" t="n"/>
      <c r="F337" s="50" t="n"/>
      <c r="G337" s="55" t="n"/>
      <c r="H337" s="50" t="n"/>
      <c r="I337" s="55" t="n"/>
      <c r="J337" s="50" t="n"/>
      <c r="K337" s="55" t="n"/>
      <c r="L337" s="56" t="n"/>
      <c r="M337" s="57" t="n"/>
      <c r="N337" s="57" t="n"/>
      <c r="O337" s="57" t="n"/>
      <c r="P337" s="57" t="n"/>
      <c r="Q337" s="50" t="n"/>
      <c r="R337" s="58">
        <f t="shared" si="1"/>
      </c>
      <c r="S337" s="59">
        <f t="shared" si="2"/>
      </c>
      <c r="T337" s="43">
        <f t="shared" si="3"/>
      </c>
      <c r="U337" s="60">
        <f t="shared" si="4"/>
      </c>
      <c r="V337" s="60">
        <f t="shared" si="5"/>
      </c>
      <c r="W337" s="60">
        <f t="shared" si="6"/>
      </c>
      <c r="X337" s="49">
        <f t="shared" si="7"/>
      </c>
      <c r="Y337" s="2">
        <f t="shared" si="8"/>
      </c>
      <c r="Z337" s="2">
        <f t="shared" si="9"/>
        <v>0</v>
      </c>
      <c r="AA337" s="2">
        <f t="shared" si="10"/>
        <v>0</v>
      </c>
      <c r="AB337" s="2">
        <f t="shared" si="11"/>
        <v>0</v>
      </c>
      <c r="AC337" s="2">
        <f t="shared" si="12"/>
        <v>0</v>
      </c>
      <c r="AD337" s="2">
        <f t="shared" si="13"/>
        <v>0</v>
      </c>
      <c r="AE337" s="2">
        <f t="shared" si="14"/>
        <v>0</v>
      </c>
      <c r="AF337" s="2">
        <f t="shared" si="15"/>
        <v>0</v>
      </c>
      <c r="AG337" s="2">
        <f t="shared" si="16"/>
        <v>0</v>
      </c>
      <c r="AH337" s="2">
        <f t="shared" si="17"/>
        <v>0</v>
      </c>
      <c r="AI337" s="2">
        <f t="shared" si="18"/>
      </c>
    </row>
    <row r="338">
      <c r="A338" s="43">
        <f t="shared" si="0"/>
      </c>
      <c r="B338" s="54" t="n"/>
      <c r="C338" s="45" t="n"/>
      <c r="D338" s="50" t="n"/>
      <c r="E338" s="55" t="n"/>
      <c r="F338" s="50" t="n"/>
      <c r="G338" s="55" t="n"/>
      <c r="H338" s="50" t="n"/>
      <c r="I338" s="55" t="n"/>
      <c r="J338" s="50" t="n"/>
      <c r="K338" s="55" t="n"/>
      <c r="L338" s="56" t="n"/>
      <c r="M338" s="57" t="n"/>
      <c r="N338" s="57" t="n"/>
      <c r="O338" s="57" t="n"/>
      <c r="P338" s="57" t="n"/>
      <c r="Q338" s="50" t="n"/>
      <c r="R338" s="58">
        <f t="shared" si="1"/>
      </c>
      <c r="S338" s="59">
        <f t="shared" si="2"/>
      </c>
      <c r="T338" s="43">
        <f t="shared" si="3"/>
      </c>
      <c r="U338" s="60">
        <f t="shared" si="4"/>
      </c>
      <c r="V338" s="60">
        <f t="shared" si="5"/>
      </c>
      <c r="W338" s="60">
        <f t="shared" si="6"/>
      </c>
      <c r="X338" s="49">
        <f t="shared" si="7"/>
      </c>
      <c r="Y338" s="2">
        <f t="shared" si="8"/>
      </c>
      <c r="Z338" s="2">
        <f t="shared" si="9"/>
        <v>0</v>
      </c>
      <c r="AA338" s="2">
        <f t="shared" si="10"/>
        <v>0</v>
      </c>
      <c r="AB338" s="2">
        <f t="shared" si="11"/>
        <v>0</v>
      </c>
      <c r="AC338" s="2">
        <f t="shared" si="12"/>
        <v>0</v>
      </c>
      <c r="AD338" s="2">
        <f t="shared" si="13"/>
        <v>0</v>
      </c>
      <c r="AE338" s="2">
        <f t="shared" si="14"/>
        <v>0</v>
      </c>
      <c r="AF338" s="2">
        <f t="shared" si="15"/>
        <v>0</v>
      </c>
      <c r="AG338" s="2">
        <f t="shared" si="16"/>
        <v>0</v>
      </c>
      <c r="AH338" s="2">
        <f t="shared" si="17"/>
        <v>0</v>
      </c>
      <c r="AI338" s="2">
        <f t="shared" si="18"/>
      </c>
    </row>
    <row r="339">
      <c r="A339" s="43">
        <f t="shared" si="0"/>
      </c>
      <c r="B339" s="54" t="n"/>
      <c r="C339" s="45" t="n"/>
      <c r="D339" s="50" t="n"/>
      <c r="E339" s="55" t="n"/>
      <c r="F339" s="50" t="n"/>
      <c r="G339" s="55" t="n"/>
      <c r="H339" s="50" t="n"/>
      <c r="I339" s="55" t="n"/>
      <c r="J339" s="50" t="n"/>
      <c r="K339" s="55" t="n"/>
      <c r="L339" s="56" t="n"/>
      <c r="M339" s="57" t="n"/>
      <c r="N339" s="57" t="n"/>
      <c r="O339" s="57" t="n"/>
      <c r="P339" s="57" t="n"/>
      <c r="Q339" s="50" t="n"/>
      <c r="R339" s="58">
        <f t="shared" si="1"/>
      </c>
      <c r="S339" s="59">
        <f t="shared" si="2"/>
      </c>
      <c r="T339" s="43">
        <f t="shared" si="3"/>
      </c>
      <c r="U339" s="60">
        <f t="shared" si="4"/>
      </c>
      <c r="V339" s="60">
        <f t="shared" si="5"/>
      </c>
      <c r="W339" s="60">
        <f t="shared" si="6"/>
      </c>
      <c r="X339" s="49">
        <f t="shared" si="7"/>
      </c>
      <c r="Y339" s="2">
        <f t="shared" si="8"/>
      </c>
      <c r="Z339" s="2">
        <f t="shared" si="9"/>
        <v>0</v>
      </c>
      <c r="AA339" s="2">
        <f t="shared" si="10"/>
        <v>0</v>
      </c>
      <c r="AB339" s="2">
        <f t="shared" si="11"/>
        <v>0</v>
      </c>
      <c r="AC339" s="2">
        <f t="shared" si="12"/>
        <v>0</v>
      </c>
      <c r="AD339" s="2">
        <f t="shared" si="13"/>
        <v>0</v>
      </c>
      <c r="AE339" s="2">
        <f t="shared" si="14"/>
        <v>0</v>
      </c>
      <c r="AF339" s="2">
        <f t="shared" si="15"/>
        <v>0</v>
      </c>
      <c r="AG339" s="2">
        <f t="shared" si="16"/>
        <v>0</v>
      </c>
      <c r="AH339" s="2">
        <f t="shared" si="17"/>
        <v>0</v>
      </c>
      <c r="AI339" s="2">
        <f t="shared" si="18"/>
      </c>
    </row>
    <row r="340">
      <c r="A340" s="43">
        <f t="shared" si="0"/>
      </c>
      <c r="B340" s="54" t="n"/>
      <c r="C340" s="45" t="n"/>
      <c r="D340" s="50" t="n"/>
      <c r="E340" s="55" t="n"/>
      <c r="F340" s="50" t="n"/>
      <c r="G340" s="55" t="n"/>
      <c r="H340" s="50" t="n"/>
      <c r="I340" s="55" t="n"/>
      <c r="J340" s="50" t="n"/>
      <c r="K340" s="55" t="n"/>
      <c r="L340" s="56" t="n"/>
      <c r="M340" s="57" t="n"/>
      <c r="N340" s="57" t="n"/>
      <c r="O340" s="57" t="n"/>
      <c r="P340" s="57" t="n"/>
      <c r="Q340" s="50" t="n"/>
      <c r="R340" s="58">
        <f t="shared" si="1"/>
      </c>
      <c r="S340" s="59">
        <f t="shared" si="2"/>
      </c>
      <c r="T340" s="43">
        <f t="shared" si="3"/>
      </c>
      <c r="U340" s="60">
        <f t="shared" si="4"/>
      </c>
      <c r="V340" s="60">
        <f t="shared" si="5"/>
      </c>
      <c r="W340" s="60">
        <f t="shared" si="6"/>
      </c>
      <c r="X340" s="49">
        <f t="shared" si="7"/>
      </c>
      <c r="Y340" s="2">
        <f t="shared" si="8"/>
      </c>
      <c r="Z340" s="2">
        <f t="shared" si="9"/>
        <v>0</v>
      </c>
      <c r="AA340" s="2">
        <f t="shared" si="10"/>
        <v>0</v>
      </c>
      <c r="AB340" s="2">
        <f t="shared" si="11"/>
        <v>0</v>
      </c>
      <c r="AC340" s="2">
        <f t="shared" si="12"/>
        <v>0</v>
      </c>
      <c r="AD340" s="2">
        <f t="shared" si="13"/>
        <v>0</v>
      </c>
      <c r="AE340" s="2">
        <f t="shared" si="14"/>
        <v>0</v>
      </c>
      <c r="AF340" s="2">
        <f t="shared" si="15"/>
        <v>0</v>
      </c>
      <c r="AG340" s="2">
        <f t="shared" si="16"/>
        <v>0</v>
      </c>
      <c r="AH340" s="2">
        <f t="shared" si="17"/>
        <v>0</v>
      </c>
      <c r="AI340" s="2">
        <f t="shared" si="18"/>
      </c>
    </row>
    <row r="341">
      <c r="A341" s="43">
        <f t="shared" si="0"/>
      </c>
      <c r="B341" s="54" t="n"/>
      <c r="C341" s="45" t="n"/>
      <c r="D341" s="50" t="n"/>
      <c r="E341" s="55" t="n"/>
      <c r="F341" s="50" t="n"/>
      <c r="G341" s="55" t="n"/>
      <c r="H341" s="50" t="n"/>
      <c r="I341" s="55" t="n"/>
      <c r="J341" s="50" t="n"/>
      <c r="K341" s="55" t="n"/>
      <c r="L341" s="56" t="n"/>
      <c r="M341" s="57" t="n"/>
      <c r="N341" s="57" t="n"/>
      <c r="O341" s="57" t="n"/>
      <c r="P341" s="57" t="n"/>
      <c r="Q341" s="50" t="n"/>
      <c r="R341" s="58">
        <f t="shared" si="1"/>
      </c>
      <c r="S341" s="59">
        <f t="shared" si="2"/>
      </c>
      <c r="T341" s="43">
        <f t="shared" si="3"/>
      </c>
      <c r="U341" s="60">
        <f t="shared" si="4"/>
      </c>
      <c r="V341" s="60">
        <f t="shared" si="5"/>
      </c>
      <c r="W341" s="60">
        <f t="shared" si="6"/>
      </c>
      <c r="X341" s="49">
        <f t="shared" si="7"/>
      </c>
      <c r="Y341" s="2">
        <f t="shared" si="8"/>
      </c>
      <c r="Z341" s="2">
        <f t="shared" si="9"/>
        <v>0</v>
      </c>
      <c r="AA341" s="2">
        <f t="shared" si="10"/>
        <v>0</v>
      </c>
      <c r="AB341" s="2">
        <f t="shared" si="11"/>
        <v>0</v>
      </c>
      <c r="AC341" s="2">
        <f t="shared" si="12"/>
        <v>0</v>
      </c>
      <c r="AD341" s="2">
        <f t="shared" si="13"/>
        <v>0</v>
      </c>
      <c r="AE341" s="2">
        <f t="shared" si="14"/>
        <v>0</v>
      </c>
      <c r="AF341" s="2">
        <f t="shared" si="15"/>
        <v>0</v>
      </c>
      <c r="AG341" s="2">
        <f t="shared" si="16"/>
        <v>0</v>
      </c>
      <c r="AH341" s="2">
        <f t="shared" si="17"/>
        <v>0</v>
      </c>
      <c r="AI341" s="2">
        <f t="shared" si="18"/>
      </c>
    </row>
    <row r="342">
      <c r="A342" s="43">
        <f t="shared" si="0"/>
      </c>
      <c r="B342" s="54" t="n"/>
      <c r="C342" s="45" t="n"/>
      <c r="D342" s="50" t="n"/>
      <c r="E342" s="55" t="n"/>
      <c r="F342" s="50" t="n"/>
      <c r="G342" s="55" t="n"/>
      <c r="H342" s="50" t="n"/>
      <c r="I342" s="55" t="n"/>
      <c r="J342" s="50" t="n"/>
      <c r="K342" s="55" t="n"/>
      <c r="L342" s="56" t="n"/>
      <c r="M342" s="57" t="n"/>
      <c r="N342" s="57" t="n"/>
      <c r="O342" s="57" t="n"/>
      <c r="P342" s="57" t="n"/>
      <c r="Q342" s="50" t="n"/>
      <c r="R342" s="58">
        <f t="shared" si="1"/>
      </c>
      <c r="S342" s="59">
        <f t="shared" si="2"/>
      </c>
      <c r="T342" s="43">
        <f t="shared" si="3"/>
      </c>
      <c r="U342" s="60">
        <f t="shared" si="4"/>
      </c>
      <c r="V342" s="60">
        <f t="shared" si="5"/>
      </c>
      <c r="W342" s="60">
        <f t="shared" si="6"/>
      </c>
      <c r="X342" s="49">
        <f t="shared" si="7"/>
      </c>
      <c r="Y342" s="2">
        <f t="shared" si="8"/>
      </c>
      <c r="Z342" s="2">
        <f t="shared" si="9"/>
        <v>0</v>
      </c>
      <c r="AA342" s="2">
        <f t="shared" si="10"/>
        <v>0</v>
      </c>
      <c r="AB342" s="2">
        <f t="shared" si="11"/>
        <v>0</v>
      </c>
      <c r="AC342" s="2">
        <f t="shared" si="12"/>
        <v>0</v>
      </c>
      <c r="AD342" s="2">
        <f t="shared" si="13"/>
        <v>0</v>
      </c>
      <c r="AE342" s="2">
        <f t="shared" si="14"/>
        <v>0</v>
      </c>
      <c r="AF342" s="2">
        <f t="shared" si="15"/>
        <v>0</v>
      </c>
      <c r="AG342" s="2">
        <f t="shared" si="16"/>
        <v>0</v>
      </c>
      <c r="AH342" s="2">
        <f t="shared" si="17"/>
        <v>0</v>
      </c>
      <c r="AI342" s="2">
        <f t="shared" si="18"/>
      </c>
    </row>
    <row r="343">
      <c r="A343" s="43">
        <f t="shared" si="0"/>
      </c>
      <c r="B343" s="54" t="n"/>
      <c r="C343" s="45" t="n"/>
      <c r="D343" s="50" t="n"/>
      <c r="E343" s="55" t="n"/>
      <c r="F343" s="50" t="n"/>
      <c r="G343" s="55" t="n"/>
      <c r="H343" s="50" t="n"/>
      <c r="I343" s="55" t="n"/>
      <c r="J343" s="50" t="n"/>
      <c r="K343" s="55" t="n"/>
      <c r="L343" s="56" t="n"/>
      <c r="M343" s="57" t="n"/>
      <c r="N343" s="57" t="n"/>
      <c r="O343" s="57" t="n"/>
      <c r="P343" s="57" t="n"/>
      <c r="Q343" s="50" t="n"/>
      <c r="R343" s="58">
        <f t="shared" si="1"/>
      </c>
      <c r="S343" s="59">
        <f t="shared" si="2"/>
      </c>
      <c r="T343" s="43">
        <f t="shared" si="3"/>
      </c>
      <c r="U343" s="60">
        <f t="shared" si="4"/>
      </c>
      <c r="V343" s="60">
        <f t="shared" si="5"/>
      </c>
      <c r="W343" s="60">
        <f t="shared" si="6"/>
      </c>
      <c r="X343" s="49">
        <f t="shared" si="7"/>
      </c>
      <c r="Y343" s="2">
        <f t="shared" si="8"/>
      </c>
      <c r="Z343" s="2">
        <f t="shared" si="9"/>
        <v>0</v>
      </c>
      <c r="AA343" s="2">
        <f t="shared" si="10"/>
        <v>0</v>
      </c>
      <c r="AB343" s="2">
        <f t="shared" si="11"/>
        <v>0</v>
      </c>
      <c r="AC343" s="2">
        <f t="shared" si="12"/>
        <v>0</v>
      </c>
      <c r="AD343" s="2">
        <f t="shared" si="13"/>
        <v>0</v>
      </c>
      <c r="AE343" s="2">
        <f t="shared" si="14"/>
        <v>0</v>
      </c>
      <c r="AF343" s="2">
        <f t="shared" si="15"/>
        <v>0</v>
      </c>
      <c r="AG343" s="2">
        <f t="shared" si="16"/>
        <v>0</v>
      </c>
      <c r="AH343" s="2">
        <f t="shared" si="17"/>
        <v>0</v>
      </c>
      <c r="AI343" s="2">
        <f t="shared" si="18"/>
      </c>
    </row>
    <row r="344">
      <c r="A344" s="43">
        <f t="shared" si="0"/>
      </c>
      <c r="B344" s="54" t="n"/>
      <c r="C344" s="45" t="n"/>
      <c r="D344" s="50" t="n"/>
      <c r="E344" s="55" t="n"/>
      <c r="F344" s="50" t="n"/>
      <c r="G344" s="55" t="n"/>
      <c r="H344" s="50" t="n"/>
      <c r="I344" s="55" t="n"/>
      <c r="J344" s="50" t="n"/>
      <c r="K344" s="55" t="n"/>
      <c r="L344" s="56" t="n"/>
      <c r="M344" s="57" t="n"/>
      <c r="N344" s="57" t="n"/>
      <c r="O344" s="57" t="n"/>
      <c r="P344" s="57" t="n"/>
      <c r="Q344" s="50" t="n"/>
      <c r="R344" s="58">
        <f t="shared" si="1"/>
      </c>
      <c r="S344" s="59">
        <f t="shared" si="2"/>
      </c>
      <c r="T344" s="43">
        <f t="shared" si="3"/>
      </c>
      <c r="U344" s="60">
        <f t="shared" si="4"/>
      </c>
      <c r="V344" s="60">
        <f t="shared" si="5"/>
      </c>
      <c r="W344" s="60">
        <f t="shared" si="6"/>
      </c>
      <c r="X344" s="49">
        <f t="shared" si="7"/>
      </c>
      <c r="Y344" s="2">
        <f t="shared" si="8"/>
      </c>
      <c r="Z344" s="2">
        <f t="shared" si="9"/>
        <v>0</v>
      </c>
      <c r="AA344" s="2">
        <f t="shared" si="10"/>
        <v>0</v>
      </c>
      <c r="AB344" s="2">
        <f t="shared" si="11"/>
        <v>0</v>
      </c>
      <c r="AC344" s="2">
        <f t="shared" si="12"/>
        <v>0</v>
      </c>
      <c r="AD344" s="2">
        <f t="shared" si="13"/>
        <v>0</v>
      </c>
      <c r="AE344" s="2">
        <f t="shared" si="14"/>
        <v>0</v>
      </c>
      <c r="AF344" s="2">
        <f t="shared" si="15"/>
        <v>0</v>
      </c>
      <c r="AG344" s="2">
        <f t="shared" si="16"/>
        <v>0</v>
      </c>
      <c r="AH344" s="2">
        <f t="shared" si="17"/>
        <v>0</v>
      </c>
      <c r="AI344" s="2">
        <f t="shared" si="18"/>
      </c>
    </row>
    <row r="345">
      <c r="A345" s="43">
        <f t="shared" si="0"/>
      </c>
      <c r="B345" s="54" t="n"/>
      <c r="C345" s="45" t="n"/>
      <c r="D345" s="50" t="n"/>
      <c r="E345" s="55" t="n"/>
      <c r="F345" s="50" t="n"/>
      <c r="G345" s="55" t="n"/>
      <c r="H345" s="50" t="n"/>
      <c r="I345" s="55" t="n"/>
      <c r="J345" s="50" t="n"/>
      <c r="K345" s="55" t="n"/>
      <c r="L345" s="56" t="n"/>
      <c r="M345" s="57" t="n"/>
      <c r="N345" s="57" t="n"/>
      <c r="O345" s="57" t="n"/>
      <c r="P345" s="57" t="n"/>
      <c r="Q345" s="50" t="n"/>
      <c r="R345" s="58">
        <f t="shared" si="1"/>
      </c>
      <c r="S345" s="59">
        <f t="shared" si="2"/>
      </c>
      <c r="T345" s="43">
        <f t="shared" si="3"/>
      </c>
      <c r="U345" s="60">
        <f t="shared" si="4"/>
      </c>
      <c r="V345" s="60">
        <f t="shared" si="5"/>
      </c>
      <c r="W345" s="60">
        <f t="shared" si="6"/>
      </c>
      <c r="X345" s="49">
        <f t="shared" si="7"/>
      </c>
      <c r="Y345" s="2">
        <f t="shared" si="8"/>
      </c>
      <c r="Z345" s="2">
        <f t="shared" si="9"/>
        <v>0</v>
      </c>
      <c r="AA345" s="2">
        <f t="shared" si="10"/>
        <v>0</v>
      </c>
      <c r="AB345" s="2">
        <f t="shared" si="11"/>
        <v>0</v>
      </c>
      <c r="AC345" s="2">
        <f t="shared" si="12"/>
        <v>0</v>
      </c>
      <c r="AD345" s="2">
        <f t="shared" si="13"/>
        <v>0</v>
      </c>
      <c r="AE345" s="2">
        <f t="shared" si="14"/>
        <v>0</v>
      </c>
      <c r="AF345" s="2">
        <f t="shared" si="15"/>
        <v>0</v>
      </c>
      <c r="AG345" s="2">
        <f t="shared" si="16"/>
        <v>0</v>
      </c>
      <c r="AH345" s="2">
        <f t="shared" si="17"/>
        <v>0</v>
      </c>
      <c r="AI345" s="2">
        <f t="shared" si="18"/>
      </c>
    </row>
    <row r="346">
      <c r="A346" s="43">
        <f t="shared" si="0"/>
      </c>
      <c r="B346" s="54" t="n"/>
      <c r="C346" s="45" t="n"/>
      <c r="D346" s="50" t="n"/>
      <c r="E346" s="55" t="n"/>
      <c r="F346" s="50" t="n"/>
      <c r="G346" s="55" t="n"/>
      <c r="H346" s="50" t="n"/>
      <c r="I346" s="55" t="n"/>
      <c r="J346" s="50" t="n"/>
      <c r="K346" s="55" t="n"/>
      <c r="L346" s="56" t="n"/>
      <c r="M346" s="57" t="n"/>
      <c r="N346" s="57" t="n"/>
      <c r="O346" s="57" t="n"/>
      <c r="P346" s="57" t="n"/>
      <c r="Q346" s="50" t="n"/>
      <c r="R346" s="58">
        <f t="shared" si="1"/>
      </c>
      <c r="S346" s="59">
        <f t="shared" si="2"/>
      </c>
      <c r="T346" s="43">
        <f t="shared" si="3"/>
      </c>
      <c r="U346" s="60">
        <f t="shared" si="4"/>
      </c>
      <c r="V346" s="60">
        <f t="shared" si="5"/>
      </c>
      <c r="W346" s="60">
        <f t="shared" si="6"/>
      </c>
      <c r="X346" s="49">
        <f t="shared" si="7"/>
      </c>
      <c r="Y346" s="2">
        <f t="shared" si="8"/>
      </c>
      <c r="Z346" s="2">
        <f t="shared" si="9"/>
        <v>0</v>
      </c>
      <c r="AA346" s="2">
        <f t="shared" si="10"/>
        <v>0</v>
      </c>
      <c r="AB346" s="2">
        <f t="shared" si="11"/>
        <v>0</v>
      </c>
      <c r="AC346" s="2">
        <f t="shared" si="12"/>
        <v>0</v>
      </c>
      <c r="AD346" s="2">
        <f t="shared" si="13"/>
        <v>0</v>
      </c>
      <c r="AE346" s="2">
        <f t="shared" si="14"/>
        <v>0</v>
      </c>
      <c r="AF346" s="2">
        <f t="shared" si="15"/>
        <v>0</v>
      </c>
      <c r="AG346" s="2">
        <f t="shared" si="16"/>
        <v>0</v>
      </c>
      <c r="AH346" s="2">
        <f t="shared" si="17"/>
        <v>0</v>
      </c>
      <c r="AI346" s="2">
        <f t="shared" si="18"/>
      </c>
    </row>
    <row r="347">
      <c r="A347" s="43">
        <f t="shared" si="0"/>
      </c>
      <c r="B347" s="54" t="n"/>
      <c r="C347" s="45" t="n"/>
      <c r="D347" s="50" t="n"/>
      <c r="E347" s="55" t="n"/>
      <c r="F347" s="50" t="n"/>
      <c r="G347" s="55" t="n"/>
      <c r="H347" s="50" t="n"/>
      <c r="I347" s="55" t="n"/>
      <c r="J347" s="50" t="n"/>
      <c r="K347" s="55" t="n"/>
      <c r="L347" s="56" t="n"/>
      <c r="M347" s="57" t="n"/>
      <c r="N347" s="57" t="n"/>
      <c r="O347" s="57" t="n"/>
      <c r="P347" s="57" t="n"/>
      <c r="Q347" s="50" t="n"/>
      <c r="R347" s="58">
        <f t="shared" si="1"/>
      </c>
      <c r="S347" s="59">
        <f t="shared" si="2"/>
      </c>
      <c r="T347" s="43">
        <f t="shared" si="3"/>
      </c>
      <c r="U347" s="60">
        <f t="shared" si="4"/>
      </c>
      <c r="V347" s="60">
        <f t="shared" si="5"/>
      </c>
      <c r="W347" s="60">
        <f t="shared" si="6"/>
      </c>
      <c r="X347" s="49">
        <f t="shared" si="7"/>
      </c>
      <c r="Y347" s="2">
        <f t="shared" si="8"/>
      </c>
      <c r="Z347" s="2">
        <f t="shared" si="9"/>
        <v>0</v>
      </c>
      <c r="AA347" s="2">
        <f t="shared" si="10"/>
        <v>0</v>
      </c>
      <c r="AB347" s="2">
        <f t="shared" si="11"/>
        <v>0</v>
      </c>
      <c r="AC347" s="2">
        <f t="shared" si="12"/>
        <v>0</v>
      </c>
      <c r="AD347" s="2">
        <f t="shared" si="13"/>
        <v>0</v>
      </c>
      <c r="AE347" s="2">
        <f t="shared" si="14"/>
        <v>0</v>
      </c>
      <c r="AF347" s="2">
        <f t="shared" si="15"/>
        <v>0</v>
      </c>
      <c r="AG347" s="2">
        <f t="shared" si="16"/>
        <v>0</v>
      </c>
      <c r="AH347" s="2">
        <f t="shared" si="17"/>
        <v>0</v>
      </c>
      <c r="AI347" s="2">
        <f t="shared" si="18"/>
      </c>
    </row>
    <row r="348">
      <c r="A348" s="43">
        <f t="shared" si="0"/>
      </c>
      <c r="B348" s="54" t="n"/>
      <c r="C348" s="45" t="n"/>
      <c r="D348" s="50" t="n"/>
      <c r="E348" s="55" t="n"/>
      <c r="F348" s="50" t="n"/>
      <c r="G348" s="55" t="n"/>
      <c r="H348" s="50" t="n"/>
      <c r="I348" s="55" t="n"/>
      <c r="J348" s="50" t="n"/>
      <c r="K348" s="55" t="n"/>
      <c r="L348" s="56" t="n"/>
      <c r="M348" s="57" t="n"/>
      <c r="N348" s="57" t="n"/>
      <c r="O348" s="57" t="n"/>
      <c r="P348" s="57" t="n"/>
      <c r="Q348" s="50" t="n"/>
      <c r="R348" s="58">
        <f t="shared" si="1"/>
      </c>
      <c r="S348" s="59">
        <f t="shared" si="2"/>
      </c>
      <c r="T348" s="43">
        <f t="shared" si="3"/>
      </c>
      <c r="U348" s="60">
        <f t="shared" si="4"/>
      </c>
      <c r="V348" s="60">
        <f t="shared" si="5"/>
      </c>
      <c r="W348" s="60">
        <f t="shared" si="6"/>
      </c>
      <c r="X348" s="49">
        <f t="shared" si="7"/>
      </c>
      <c r="Y348" s="2">
        <f t="shared" si="8"/>
      </c>
      <c r="Z348" s="2">
        <f t="shared" si="9"/>
        <v>0</v>
      </c>
      <c r="AA348" s="2">
        <f t="shared" si="10"/>
        <v>0</v>
      </c>
      <c r="AB348" s="2">
        <f t="shared" si="11"/>
        <v>0</v>
      </c>
      <c r="AC348" s="2">
        <f t="shared" si="12"/>
        <v>0</v>
      </c>
      <c r="AD348" s="2">
        <f t="shared" si="13"/>
        <v>0</v>
      </c>
      <c r="AE348" s="2">
        <f t="shared" si="14"/>
        <v>0</v>
      </c>
      <c r="AF348" s="2">
        <f t="shared" si="15"/>
        <v>0</v>
      </c>
      <c r="AG348" s="2">
        <f t="shared" si="16"/>
        <v>0</v>
      </c>
      <c r="AH348" s="2">
        <f t="shared" si="17"/>
        <v>0</v>
      </c>
      <c r="AI348" s="2">
        <f t="shared" si="18"/>
      </c>
    </row>
    <row r="349">
      <c r="A349" s="43">
        <f t="shared" si="0"/>
      </c>
      <c r="B349" s="54" t="n"/>
      <c r="C349" s="45" t="n"/>
      <c r="D349" s="50" t="n"/>
      <c r="E349" s="55" t="n"/>
      <c r="F349" s="50" t="n"/>
      <c r="G349" s="55" t="n"/>
      <c r="H349" s="50" t="n"/>
      <c r="I349" s="55" t="n"/>
      <c r="J349" s="50" t="n"/>
      <c r="K349" s="55" t="n"/>
      <c r="L349" s="56" t="n"/>
      <c r="M349" s="57" t="n"/>
      <c r="N349" s="57" t="n"/>
      <c r="O349" s="57" t="n"/>
      <c r="P349" s="57" t="n"/>
      <c r="Q349" s="50" t="n"/>
      <c r="R349" s="58">
        <f t="shared" si="1"/>
      </c>
      <c r="S349" s="59">
        <f t="shared" si="2"/>
      </c>
      <c r="T349" s="43">
        <f t="shared" si="3"/>
      </c>
      <c r="U349" s="60">
        <f t="shared" si="4"/>
      </c>
      <c r="V349" s="60">
        <f t="shared" si="5"/>
      </c>
      <c r="W349" s="60">
        <f t="shared" si="6"/>
      </c>
      <c r="X349" s="49">
        <f t="shared" si="7"/>
      </c>
      <c r="Y349" s="2">
        <f t="shared" si="8"/>
      </c>
      <c r="Z349" s="2">
        <f t="shared" si="9"/>
        <v>0</v>
      </c>
      <c r="AA349" s="2">
        <f t="shared" si="10"/>
        <v>0</v>
      </c>
      <c r="AB349" s="2">
        <f t="shared" si="11"/>
        <v>0</v>
      </c>
      <c r="AC349" s="2">
        <f t="shared" si="12"/>
        <v>0</v>
      </c>
      <c r="AD349" s="2">
        <f t="shared" si="13"/>
        <v>0</v>
      </c>
      <c r="AE349" s="2">
        <f t="shared" si="14"/>
        <v>0</v>
      </c>
      <c r="AF349" s="2">
        <f t="shared" si="15"/>
        <v>0</v>
      </c>
      <c r="AG349" s="2">
        <f t="shared" si="16"/>
        <v>0</v>
      </c>
      <c r="AH349" s="2">
        <f t="shared" si="17"/>
        <v>0</v>
      </c>
      <c r="AI349" s="2">
        <f t="shared" si="18"/>
      </c>
    </row>
    <row r="350">
      <c r="A350" s="43">
        <f t="shared" si="0"/>
      </c>
      <c r="B350" s="54" t="n"/>
      <c r="C350" s="45" t="n"/>
      <c r="D350" s="50" t="n"/>
      <c r="E350" s="55" t="n"/>
      <c r="F350" s="50" t="n"/>
      <c r="G350" s="55" t="n"/>
      <c r="H350" s="50" t="n"/>
      <c r="I350" s="55" t="n"/>
      <c r="J350" s="50" t="n"/>
      <c r="K350" s="55" t="n"/>
      <c r="L350" s="56" t="n"/>
      <c r="M350" s="57" t="n"/>
      <c r="N350" s="57" t="n"/>
      <c r="O350" s="57" t="n"/>
      <c r="P350" s="57" t="n"/>
      <c r="Q350" s="50" t="n"/>
      <c r="R350" s="58">
        <f t="shared" si="1"/>
      </c>
      <c r="S350" s="59">
        <f t="shared" si="2"/>
      </c>
      <c r="T350" s="43">
        <f t="shared" si="3"/>
      </c>
      <c r="U350" s="60">
        <f t="shared" si="4"/>
      </c>
      <c r="V350" s="60">
        <f t="shared" si="5"/>
      </c>
      <c r="W350" s="60">
        <f t="shared" si="6"/>
      </c>
      <c r="X350" s="49">
        <f t="shared" si="7"/>
      </c>
      <c r="Y350" s="2">
        <f t="shared" si="8"/>
      </c>
      <c r="Z350" s="2">
        <f t="shared" si="9"/>
        <v>0</v>
      </c>
      <c r="AA350" s="2">
        <f t="shared" si="10"/>
        <v>0</v>
      </c>
      <c r="AB350" s="2">
        <f t="shared" si="11"/>
        <v>0</v>
      </c>
      <c r="AC350" s="2">
        <f t="shared" si="12"/>
        <v>0</v>
      </c>
      <c r="AD350" s="2">
        <f t="shared" si="13"/>
        <v>0</v>
      </c>
      <c r="AE350" s="2">
        <f t="shared" si="14"/>
        <v>0</v>
      </c>
      <c r="AF350" s="2">
        <f t="shared" si="15"/>
        <v>0</v>
      </c>
      <c r="AG350" s="2">
        <f t="shared" si="16"/>
        <v>0</v>
      </c>
      <c r="AH350" s="2">
        <f t="shared" si="17"/>
        <v>0</v>
      </c>
      <c r="AI350" s="2">
        <f t="shared" si="18"/>
      </c>
    </row>
    <row r="351">
      <c r="A351" s="43">
        <f t="shared" si="0"/>
      </c>
      <c r="B351" s="54" t="n"/>
      <c r="C351" s="45" t="n"/>
      <c r="D351" s="50" t="n"/>
      <c r="E351" s="55" t="n"/>
      <c r="F351" s="50" t="n"/>
      <c r="G351" s="55" t="n"/>
      <c r="H351" s="50" t="n"/>
      <c r="I351" s="55" t="n"/>
      <c r="J351" s="50" t="n"/>
      <c r="K351" s="55" t="n"/>
      <c r="L351" s="56" t="n"/>
      <c r="M351" s="57" t="n"/>
      <c r="N351" s="57" t="n"/>
      <c r="O351" s="57" t="n"/>
      <c r="P351" s="57" t="n"/>
      <c r="Q351" s="50" t="n"/>
      <c r="R351" s="58">
        <f t="shared" si="1"/>
      </c>
      <c r="S351" s="59">
        <f t="shared" si="2"/>
      </c>
      <c r="T351" s="43">
        <f t="shared" si="3"/>
      </c>
      <c r="U351" s="60">
        <f t="shared" si="4"/>
      </c>
      <c r="V351" s="60">
        <f t="shared" si="5"/>
      </c>
      <c r="W351" s="60">
        <f t="shared" si="6"/>
      </c>
      <c r="X351" s="49">
        <f t="shared" si="7"/>
      </c>
      <c r="Y351" s="2">
        <f t="shared" si="8"/>
      </c>
      <c r="Z351" s="2">
        <f t="shared" si="9"/>
        <v>0</v>
      </c>
      <c r="AA351" s="2">
        <f t="shared" si="10"/>
        <v>0</v>
      </c>
      <c r="AB351" s="2">
        <f t="shared" si="11"/>
        <v>0</v>
      </c>
      <c r="AC351" s="2">
        <f t="shared" si="12"/>
        <v>0</v>
      </c>
      <c r="AD351" s="2">
        <f t="shared" si="13"/>
        <v>0</v>
      </c>
      <c r="AE351" s="2">
        <f t="shared" si="14"/>
        <v>0</v>
      </c>
      <c r="AF351" s="2">
        <f t="shared" si="15"/>
        <v>0</v>
      </c>
      <c r="AG351" s="2">
        <f t="shared" si="16"/>
        <v>0</v>
      </c>
      <c r="AH351" s="2">
        <f t="shared" si="17"/>
        <v>0</v>
      </c>
      <c r="AI351" s="2">
        <f t="shared" si="18"/>
      </c>
    </row>
    <row r="352">
      <c r="A352" s="43">
        <f t="shared" si="0"/>
      </c>
      <c r="B352" s="54" t="n"/>
      <c r="C352" s="45" t="n"/>
      <c r="D352" s="50" t="n"/>
      <c r="E352" s="55" t="n"/>
      <c r="F352" s="50" t="n"/>
      <c r="G352" s="55" t="n"/>
      <c r="H352" s="50" t="n"/>
      <c r="I352" s="55" t="n"/>
      <c r="J352" s="50" t="n"/>
      <c r="K352" s="55" t="n"/>
      <c r="L352" s="56" t="n"/>
      <c r="M352" s="57" t="n"/>
      <c r="N352" s="57" t="n"/>
      <c r="O352" s="57" t="n"/>
      <c r="P352" s="57" t="n"/>
      <c r="Q352" s="50" t="n"/>
      <c r="R352" s="58">
        <f t="shared" si="1"/>
      </c>
      <c r="S352" s="59">
        <f t="shared" si="2"/>
      </c>
      <c r="T352" s="43">
        <f t="shared" si="3"/>
      </c>
      <c r="U352" s="60">
        <f t="shared" si="4"/>
      </c>
      <c r="V352" s="60">
        <f t="shared" si="5"/>
      </c>
      <c r="W352" s="60">
        <f t="shared" si="6"/>
      </c>
      <c r="X352" s="49">
        <f t="shared" si="7"/>
      </c>
      <c r="Y352" s="2">
        <f t="shared" si="8"/>
      </c>
      <c r="Z352" s="2">
        <f t="shared" si="9"/>
        <v>0</v>
      </c>
      <c r="AA352" s="2">
        <f t="shared" si="10"/>
        <v>0</v>
      </c>
      <c r="AB352" s="2">
        <f t="shared" si="11"/>
        <v>0</v>
      </c>
      <c r="AC352" s="2">
        <f t="shared" si="12"/>
        <v>0</v>
      </c>
      <c r="AD352" s="2">
        <f t="shared" si="13"/>
        <v>0</v>
      </c>
      <c r="AE352" s="2">
        <f t="shared" si="14"/>
        <v>0</v>
      </c>
      <c r="AF352" s="2">
        <f t="shared" si="15"/>
        <v>0</v>
      </c>
      <c r="AG352" s="2">
        <f t="shared" si="16"/>
        <v>0</v>
      </c>
      <c r="AH352" s="2">
        <f t="shared" si="17"/>
        <v>0</v>
      </c>
      <c r="AI352" s="2">
        <f t="shared" si="18"/>
      </c>
    </row>
    <row r="353">
      <c r="A353" s="43">
        <f t="shared" si="0"/>
      </c>
      <c r="B353" s="54" t="n"/>
      <c r="C353" s="45" t="n"/>
      <c r="D353" s="50" t="n"/>
      <c r="E353" s="55" t="n"/>
      <c r="F353" s="50" t="n"/>
      <c r="G353" s="55" t="n"/>
      <c r="H353" s="50" t="n"/>
      <c r="I353" s="55" t="n"/>
      <c r="J353" s="50" t="n"/>
      <c r="K353" s="55" t="n"/>
      <c r="L353" s="56" t="n"/>
      <c r="M353" s="57" t="n"/>
      <c r="N353" s="57" t="n"/>
      <c r="O353" s="57" t="n"/>
      <c r="P353" s="57" t="n"/>
      <c r="Q353" s="50" t="n"/>
      <c r="R353" s="58">
        <f t="shared" si="1"/>
      </c>
      <c r="S353" s="59">
        <f t="shared" si="2"/>
      </c>
      <c r="T353" s="43">
        <f t="shared" si="3"/>
      </c>
      <c r="U353" s="60">
        <f t="shared" si="4"/>
      </c>
      <c r="V353" s="60">
        <f t="shared" si="5"/>
      </c>
      <c r="W353" s="60">
        <f t="shared" si="6"/>
      </c>
      <c r="X353" s="49">
        <f t="shared" si="7"/>
      </c>
      <c r="Y353" s="2">
        <f t="shared" si="8"/>
      </c>
      <c r="Z353" s="2">
        <f t="shared" si="9"/>
        <v>0</v>
      </c>
      <c r="AA353" s="2">
        <f t="shared" si="10"/>
        <v>0</v>
      </c>
      <c r="AB353" s="2">
        <f t="shared" si="11"/>
        <v>0</v>
      </c>
      <c r="AC353" s="2">
        <f t="shared" si="12"/>
        <v>0</v>
      </c>
      <c r="AD353" s="2">
        <f t="shared" si="13"/>
        <v>0</v>
      </c>
      <c r="AE353" s="2">
        <f t="shared" si="14"/>
        <v>0</v>
      </c>
      <c r="AF353" s="2">
        <f t="shared" si="15"/>
        <v>0</v>
      </c>
      <c r="AG353" s="2">
        <f t="shared" si="16"/>
        <v>0</v>
      </c>
      <c r="AH353" s="2">
        <f t="shared" si="17"/>
        <v>0</v>
      </c>
      <c r="AI353" s="2">
        <f t="shared" si="18"/>
      </c>
    </row>
    <row r="354">
      <c r="A354" s="43">
        <f t="shared" si="0"/>
      </c>
      <c r="B354" s="54" t="n"/>
      <c r="C354" s="45" t="n"/>
      <c r="D354" s="50" t="n"/>
      <c r="E354" s="55" t="n"/>
      <c r="F354" s="50" t="n"/>
      <c r="G354" s="55" t="n"/>
      <c r="H354" s="50" t="n"/>
      <c r="I354" s="55" t="n"/>
      <c r="J354" s="50" t="n"/>
      <c r="K354" s="55" t="n"/>
      <c r="L354" s="56" t="n"/>
      <c r="M354" s="57" t="n"/>
      <c r="N354" s="57" t="n"/>
      <c r="O354" s="57" t="n"/>
      <c r="P354" s="57" t="n"/>
      <c r="Q354" s="50" t="n"/>
      <c r="R354" s="58">
        <f t="shared" si="1"/>
      </c>
      <c r="S354" s="59">
        <f t="shared" si="2"/>
      </c>
      <c r="T354" s="43">
        <f t="shared" si="3"/>
      </c>
      <c r="U354" s="60">
        <f t="shared" si="4"/>
      </c>
      <c r="V354" s="60">
        <f t="shared" si="5"/>
      </c>
      <c r="W354" s="60">
        <f t="shared" si="6"/>
      </c>
      <c r="X354" s="49">
        <f t="shared" si="7"/>
      </c>
      <c r="Y354" s="2">
        <f t="shared" si="8"/>
      </c>
      <c r="Z354" s="2">
        <f t="shared" si="9"/>
        <v>0</v>
      </c>
      <c r="AA354" s="2">
        <f t="shared" si="10"/>
        <v>0</v>
      </c>
      <c r="AB354" s="2">
        <f t="shared" si="11"/>
        <v>0</v>
      </c>
      <c r="AC354" s="2">
        <f t="shared" si="12"/>
        <v>0</v>
      </c>
      <c r="AD354" s="2">
        <f t="shared" si="13"/>
        <v>0</v>
      </c>
      <c r="AE354" s="2">
        <f t="shared" si="14"/>
        <v>0</v>
      </c>
      <c r="AF354" s="2">
        <f t="shared" si="15"/>
        <v>0</v>
      </c>
      <c r="AG354" s="2">
        <f t="shared" si="16"/>
        <v>0</v>
      </c>
      <c r="AH354" s="2">
        <f t="shared" si="17"/>
        <v>0</v>
      </c>
      <c r="AI354" s="2">
        <f t="shared" si="18"/>
      </c>
    </row>
    <row r="355">
      <c r="A355" s="43">
        <f t="shared" si="0"/>
      </c>
      <c r="B355" s="54" t="n"/>
      <c r="C355" s="45" t="n"/>
      <c r="D355" s="50" t="n"/>
      <c r="E355" s="55" t="n"/>
      <c r="F355" s="50" t="n"/>
      <c r="G355" s="55" t="n"/>
      <c r="H355" s="50" t="n"/>
      <c r="I355" s="55" t="n"/>
      <c r="J355" s="50" t="n"/>
      <c r="K355" s="55" t="n"/>
      <c r="L355" s="56" t="n"/>
      <c r="M355" s="57" t="n"/>
      <c r="N355" s="57" t="n"/>
      <c r="O355" s="57" t="n"/>
      <c r="P355" s="57" t="n"/>
      <c r="Q355" s="50" t="n"/>
      <c r="R355" s="58">
        <f t="shared" si="1"/>
      </c>
      <c r="S355" s="59">
        <f t="shared" si="2"/>
      </c>
      <c r="T355" s="43">
        <f t="shared" si="3"/>
      </c>
      <c r="U355" s="60">
        <f t="shared" si="4"/>
      </c>
      <c r="V355" s="60">
        <f t="shared" si="5"/>
      </c>
      <c r="W355" s="60">
        <f t="shared" si="6"/>
      </c>
      <c r="X355" s="49">
        <f t="shared" si="7"/>
      </c>
      <c r="Y355" s="2">
        <f t="shared" si="8"/>
      </c>
      <c r="Z355" s="2">
        <f t="shared" si="9"/>
        <v>0</v>
      </c>
      <c r="AA355" s="2">
        <f t="shared" si="10"/>
        <v>0</v>
      </c>
      <c r="AB355" s="2">
        <f t="shared" si="11"/>
        <v>0</v>
      </c>
      <c r="AC355" s="2">
        <f t="shared" si="12"/>
        <v>0</v>
      </c>
      <c r="AD355" s="2">
        <f t="shared" si="13"/>
        <v>0</v>
      </c>
      <c r="AE355" s="2">
        <f t="shared" si="14"/>
        <v>0</v>
      </c>
      <c r="AF355" s="2">
        <f t="shared" si="15"/>
        <v>0</v>
      </c>
      <c r="AG355" s="2">
        <f t="shared" si="16"/>
        <v>0</v>
      </c>
      <c r="AH355" s="2">
        <f t="shared" si="17"/>
        <v>0</v>
      </c>
      <c r="AI355" s="2">
        <f t="shared" si="18"/>
      </c>
    </row>
    <row r="356">
      <c r="A356" s="43">
        <f t="shared" si="0"/>
      </c>
      <c r="B356" s="54" t="n"/>
      <c r="C356" s="45" t="n"/>
      <c r="D356" s="50" t="n"/>
      <c r="E356" s="55" t="n"/>
      <c r="F356" s="50" t="n"/>
      <c r="G356" s="55" t="n"/>
      <c r="H356" s="50" t="n"/>
      <c r="I356" s="55" t="n"/>
      <c r="J356" s="50" t="n"/>
      <c r="K356" s="55" t="n"/>
      <c r="L356" s="56" t="n"/>
      <c r="M356" s="57" t="n"/>
      <c r="N356" s="57" t="n"/>
      <c r="O356" s="57" t="n"/>
      <c r="P356" s="57" t="n"/>
      <c r="Q356" s="50" t="n"/>
      <c r="R356" s="58">
        <f t="shared" si="1"/>
      </c>
      <c r="S356" s="59">
        <f t="shared" si="2"/>
      </c>
      <c r="T356" s="43">
        <f t="shared" si="3"/>
      </c>
      <c r="U356" s="60">
        <f t="shared" si="4"/>
      </c>
      <c r="V356" s="60">
        <f t="shared" si="5"/>
      </c>
      <c r="W356" s="60">
        <f t="shared" si="6"/>
      </c>
      <c r="X356" s="49">
        <f t="shared" si="7"/>
      </c>
      <c r="Y356" s="2">
        <f t="shared" si="8"/>
      </c>
      <c r="Z356" s="2">
        <f t="shared" si="9"/>
        <v>0</v>
      </c>
      <c r="AA356" s="2">
        <f t="shared" si="10"/>
        <v>0</v>
      </c>
      <c r="AB356" s="2">
        <f t="shared" si="11"/>
        <v>0</v>
      </c>
      <c r="AC356" s="2">
        <f t="shared" si="12"/>
        <v>0</v>
      </c>
      <c r="AD356" s="2">
        <f t="shared" si="13"/>
        <v>0</v>
      </c>
      <c r="AE356" s="2">
        <f t="shared" si="14"/>
        <v>0</v>
      </c>
      <c r="AF356" s="2">
        <f t="shared" si="15"/>
        <v>0</v>
      </c>
      <c r="AG356" s="2">
        <f t="shared" si="16"/>
        <v>0</v>
      </c>
      <c r="AH356" s="2">
        <f t="shared" si="17"/>
        <v>0</v>
      </c>
      <c r="AI356" s="2">
        <f t="shared" si="18"/>
      </c>
    </row>
    <row r="357">
      <c r="A357" s="43">
        <f t="shared" si="0"/>
      </c>
      <c r="B357" s="54" t="n"/>
      <c r="C357" s="45" t="n"/>
      <c r="D357" s="50" t="n"/>
      <c r="E357" s="55" t="n"/>
      <c r="F357" s="50" t="n"/>
      <c r="G357" s="55" t="n"/>
      <c r="H357" s="50" t="n"/>
      <c r="I357" s="55" t="n"/>
      <c r="J357" s="50" t="n"/>
      <c r="K357" s="55" t="n"/>
      <c r="L357" s="56" t="n"/>
      <c r="M357" s="57" t="n"/>
      <c r="N357" s="57" t="n"/>
      <c r="O357" s="57" t="n"/>
      <c r="P357" s="57" t="n"/>
      <c r="Q357" s="50" t="n"/>
      <c r="R357" s="58">
        <f t="shared" si="1"/>
      </c>
      <c r="S357" s="59">
        <f t="shared" si="2"/>
      </c>
      <c r="T357" s="43">
        <f t="shared" si="3"/>
      </c>
      <c r="U357" s="60">
        <f t="shared" si="4"/>
      </c>
      <c r="V357" s="60">
        <f t="shared" si="5"/>
      </c>
      <c r="W357" s="60">
        <f t="shared" si="6"/>
      </c>
      <c r="X357" s="49">
        <f t="shared" si="7"/>
      </c>
      <c r="Y357" s="2">
        <f t="shared" si="8"/>
      </c>
      <c r="Z357" s="2">
        <f t="shared" si="9"/>
        <v>0</v>
      </c>
      <c r="AA357" s="2">
        <f t="shared" si="10"/>
        <v>0</v>
      </c>
      <c r="AB357" s="2">
        <f t="shared" si="11"/>
        <v>0</v>
      </c>
      <c r="AC357" s="2">
        <f t="shared" si="12"/>
        <v>0</v>
      </c>
      <c r="AD357" s="2">
        <f t="shared" si="13"/>
        <v>0</v>
      </c>
      <c r="AE357" s="2">
        <f t="shared" si="14"/>
        <v>0</v>
      </c>
      <c r="AF357" s="2">
        <f t="shared" si="15"/>
        <v>0</v>
      </c>
      <c r="AG357" s="2">
        <f t="shared" si="16"/>
        <v>0</v>
      </c>
      <c r="AH357" s="2">
        <f t="shared" si="17"/>
        <v>0</v>
      </c>
      <c r="AI357" s="2">
        <f t="shared" si="18"/>
      </c>
    </row>
    <row r="358">
      <c r="A358" s="43">
        <f t="shared" si="0"/>
      </c>
      <c r="B358" s="54" t="n"/>
      <c r="C358" s="45" t="n"/>
      <c r="D358" s="50" t="n"/>
      <c r="E358" s="55" t="n"/>
      <c r="F358" s="50" t="n"/>
      <c r="G358" s="55" t="n"/>
      <c r="H358" s="50" t="n"/>
      <c r="I358" s="55" t="n"/>
      <c r="J358" s="50" t="n"/>
      <c r="K358" s="55" t="n"/>
      <c r="L358" s="56" t="n"/>
      <c r="M358" s="57" t="n"/>
      <c r="N358" s="57" t="n"/>
      <c r="O358" s="57" t="n"/>
      <c r="P358" s="57" t="n"/>
      <c r="Q358" s="50" t="n"/>
      <c r="R358" s="58">
        <f t="shared" si="1"/>
      </c>
      <c r="S358" s="59">
        <f t="shared" si="2"/>
      </c>
      <c r="T358" s="43">
        <f t="shared" si="3"/>
      </c>
      <c r="U358" s="60">
        <f t="shared" si="4"/>
      </c>
      <c r="V358" s="60">
        <f t="shared" si="5"/>
      </c>
      <c r="W358" s="60">
        <f t="shared" si="6"/>
      </c>
      <c r="X358" s="49">
        <f t="shared" si="7"/>
      </c>
      <c r="Y358" s="2">
        <f t="shared" si="8"/>
      </c>
      <c r="Z358" s="2">
        <f t="shared" si="9"/>
        <v>0</v>
      </c>
      <c r="AA358" s="2">
        <f t="shared" si="10"/>
        <v>0</v>
      </c>
      <c r="AB358" s="2">
        <f t="shared" si="11"/>
        <v>0</v>
      </c>
      <c r="AC358" s="2">
        <f t="shared" si="12"/>
        <v>0</v>
      </c>
      <c r="AD358" s="2">
        <f t="shared" si="13"/>
        <v>0</v>
      </c>
      <c r="AE358" s="2">
        <f t="shared" si="14"/>
        <v>0</v>
      </c>
      <c r="AF358" s="2">
        <f t="shared" si="15"/>
        <v>0</v>
      </c>
      <c r="AG358" s="2">
        <f t="shared" si="16"/>
        <v>0</v>
      </c>
      <c r="AH358" s="2">
        <f t="shared" si="17"/>
        <v>0</v>
      </c>
      <c r="AI358" s="2">
        <f t="shared" si="18"/>
      </c>
    </row>
    <row r="359">
      <c r="A359" s="43">
        <f t="shared" si="0"/>
      </c>
      <c r="B359" s="54" t="n"/>
      <c r="C359" s="45" t="n"/>
      <c r="D359" s="50" t="n"/>
      <c r="E359" s="55" t="n"/>
      <c r="F359" s="50" t="n"/>
      <c r="G359" s="55" t="n"/>
      <c r="H359" s="50" t="n"/>
      <c r="I359" s="55" t="n"/>
      <c r="J359" s="50" t="n"/>
      <c r="K359" s="55" t="n"/>
      <c r="L359" s="56" t="n"/>
      <c r="M359" s="57" t="n"/>
      <c r="N359" s="57" t="n"/>
      <c r="O359" s="57" t="n"/>
      <c r="P359" s="57" t="n"/>
      <c r="Q359" s="50" t="n"/>
      <c r="R359" s="58">
        <f t="shared" si="1"/>
      </c>
      <c r="S359" s="59">
        <f t="shared" si="2"/>
      </c>
      <c r="T359" s="43">
        <f t="shared" si="3"/>
      </c>
      <c r="U359" s="60">
        <f t="shared" si="4"/>
      </c>
      <c r="V359" s="60">
        <f t="shared" si="5"/>
      </c>
      <c r="W359" s="60">
        <f t="shared" si="6"/>
      </c>
      <c r="X359" s="49">
        <f t="shared" si="7"/>
      </c>
      <c r="Y359" s="2">
        <f t="shared" si="8"/>
      </c>
      <c r="Z359" s="2">
        <f t="shared" si="9"/>
        <v>0</v>
      </c>
      <c r="AA359" s="2">
        <f t="shared" si="10"/>
        <v>0</v>
      </c>
      <c r="AB359" s="2">
        <f t="shared" si="11"/>
        <v>0</v>
      </c>
      <c r="AC359" s="2">
        <f t="shared" si="12"/>
        <v>0</v>
      </c>
      <c r="AD359" s="2">
        <f t="shared" si="13"/>
        <v>0</v>
      </c>
      <c r="AE359" s="2">
        <f t="shared" si="14"/>
        <v>0</v>
      </c>
      <c r="AF359" s="2">
        <f t="shared" si="15"/>
        <v>0</v>
      </c>
      <c r="AG359" s="2">
        <f t="shared" si="16"/>
        <v>0</v>
      </c>
      <c r="AH359" s="2">
        <f t="shared" si="17"/>
        <v>0</v>
      </c>
      <c r="AI359" s="2">
        <f t="shared" si="18"/>
      </c>
    </row>
    <row r="360">
      <c r="A360" s="43">
        <f t="shared" si="0"/>
      </c>
      <c r="B360" s="54" t="n"/>
      <c r="C360" s="45" t="n"/>
      <c r="D360" s="50" t="n"/>
      <c r="E360" s="55" t="n"/>
      <c r="F360" s="50" t="n"/>
      <c r="G360" s="55" t="n"/>
      <c r="H360" s="50" t="n"/>
      <c r="I360" s="55" t="n"/>
      <c r="J360" s="50" t="n"/>
      <c r="K360" s="55" t="n"/>
      <c r="L360" s="56" t="n"/>
      <c r="M360" s="57" t="n"/>
      <c r="N360" s="57" t="n"/>
      <c r="O360" s="57" t="n"/>
      <c r="P360" s="57" t="n"/>
      <c r="Q360" s="50" t="n"/>
      <c r="R360" s="58">
        <f t="shared" si="1"/>
      </c>
      <c r="S360" s="59">
        <f t="shared" si="2"/>
      </c>
      <c r="T360" s="43">
        <f t="shared" si="3"/>
      </c>
      <c r="U360" s="60">
        <f t="shared" si="4"/>
      </c>
      <c r="V360" s="60">
        <f t="shared" si="5"/>
      </c>
      <c r="W360" s="60">
        <f t="shared" si="6"/>
      </c>
      <c r="X360" s="49">
        <f t="shared" si="7"/>
      </c>
      <c r="Y360" s="2">
        <f t="shared" si="8"/>
      </c>
      <c r="Z360" s="2">
        <f t="shared" si="9"/>
        <v>0</v>
      </c>
      <c r="AA360" s="2">
        <f t="shared" si="10"/>
        <v>0</v>
      </c>
      <c r="AB360" s="2">
        <f t="shared" si="11"/>
        <v>0</v>
      </c>
      <c r="AC360" s="2">
        <f t="shared" si="12"/>
        <v>0</v>
      </c>
      <c r="AD360" s="2">
        <f t="shared" si="13"/>
        <v>0</v>
      </c>
      <c r="AE360" s="2">
        <f t="shared" si="14"/>
        <v>0</v>
      </c>
      <c r="AF360" s="2">
        <f t="shared" si="15"/>
        <v>0</v>
      </c>
      <c r="AG360" s="2">
        <f t="shared" si="16"/>
        <v>0</v>
      </c>
      <c r="AH360" s="2">
        <f t="shared" si="17"/>
        <v>0</v>
      </c>
      <c r="AI360" s="2">
        <f t="shared" si="18"/>
      </c>
    </row>
    <row r="361">
      <c r="A361" s="43">
        <f t="shared" si="0"/>
      </c>
      <c r="B361" s="54" t="n"/>
      <c r="C361" s="45" t="n"/>
      <c r="D361" s="50" t="n"/>
      <c r="E361" s="55" t="n"/>
      <c r="F361" s="50" t="n"/>
      <c r="G361" s="55" t="n"/>
      <c r="H361" s="50" t="n"/>
      <c r="I361" s="55" t="n"/>
      <c r="J361" s="50" t="n"/>
      <c r="K361" s="55" t="n"/>
      <c r="L361" s="56" t="n"/>
      <c r="M361" s="57" t="n"/>
      <c r="N361" s="57" t="n"/>
      <c r="O361" s="57" t="n"/>
      <c r="P361" s="57" t="n"/>
      <c r="Q361" s="50" t="n"/>
      <c r="R361" s="58">
        <f t="shared" si="1"/>
      </c>
      <c r="S361" s="59">
        <f t="shared" si="2"/>
      </c>
      <c r="T361" s="43">
        <f t="shared" si="3"/>
      </c>
      <c r="U361" s="60">
        <f t="shared" si="4"/>
      </c>
      <c r="V361" s="60">
        <f t="shared" si="5"/>
      </c>
      <c r="W361" s="60">
        <f t="shared" si="6"/>
      </c>
      <c r="X361" s="49">
        <f t="shared" si="7"/>
      </c>
      <c r="Y361" s="2">
        <f t="shared" si="8"/>
      </c>
      <c r="Z361" s="2">
        <f t="shared" si="9"/>
        <v>0</v>
      </c>
      <c r="AA361" s="2">
        <f t="shared" si="10"/>
        <v>0</v>
      </c>
      <c r="AB361" s="2">
        <f t="shared" si="11"/>
        <v>0</v>
      </c>
      <c r="AC361" s="2">
        <f t="shared" si="12"/>
        <v>0</v>
      </c>
      <c r="AD361" s="2">
        <f t="shared" si="13"/>
        <v>0</v>
      </c>
      <c r="AE361" s="2">
        <f t="shared" si="14"/>
        <v>0</v>
      </c>
      <c r="AF361" s="2">
        <f t="shared" si="15"/>
        <v>0</v>
      </c>
      <c r="AG361" s="2">
        <f t="shared" si="16"/>
        <v>0</v>
      </c>
      <c r="AH361" s="2">
        <f t="shared" si="17"/>
        <v>0</v>
      </c>
      <c r="AI361" s="2">
        <f t="shared" si="18"/>
      </c>
    </row>
    <row r="362">
      <c r="A362" s="43">
        <f t="shared" si="0"/>
      </c>
      <c r="B362" s="54" t="n"/>
      <c r="C362" s="45" t="n"/>
      <c r="D362" s="50" t="n"/>
      <c r="E362" s="55" t="n"/>
      <c r="F362" s="50" t="n"/>
      <c r="G362" s="55" t="n"/>
      <c r="H362" s="50" t="n"/>
      <c r="I362" s="55" t="n"/>
      <c r="J362" s="50" t="n"/>
      <c r="K362" s="55" t="n"/>
      <c r="L362" s="56" t="n"/>
      <c r="M362" s="57" t="n"/>
      <c r="N362" s="57" t="n"/>
      <c r="O362" s="57" t="n"/>
      <c r="P362" s="57" t="n"/>
      <c r="Q362" s="50" t="n"/>
      <c r="R362" s="58">
        <f t="shared" si="1"/>
      </c>
      <c r="S362" s="59">
        <f t="shared" si="2"/>
      </c>
      <c r="T362" s="43">
        <f t="shared" si="3"/>
      </c>
      <c r="U362" s="60">
        <f t="shared" si="4"/>
      </c>
      <c r="V362" s="60">
        <f t="shared" si="5"/>
      </c>
      <c r="W362" s="60">
        <f t="shared" si="6"/>
      </c>
      <c r="X362" s="49">
        <f t="shared" si="7"/>
      </c>
      <c r="Y362" s="2">
        <f t="shared" si="8"/>
      </c>
      <c r="Z362" s="2">
        <f t="shared" si="9"/>
        <v>0</v>
      </c>
      <c r="AA362" s="2">
        <f t="shared" si="10"/>
        <v>0</v>
      </c>
      <c r="AB362" s="2">
        <f t="shared" si="11"/>
        <v>0</v>
      </c>
      <c r="AC362" s="2">
        <f t="shared" si="12"/>
        <v>0</v>
      </c>
      <c r="AD362" s="2">
        <f t="shared" si="13"/>
        <v>0</v>
      </c>
      <c r="AE362" s="2">
        <f t="shared" si="14"/>
        <v>0</v>
      </c>
      <c r="AF362" s="2">
        <f t="shared" si="15"/>
        <v>0</v>
      </c>
      <c r="AG362" s="2">
        <f t="shared" si="16"/>
        <v>0</v>
      </c>
      <c r="AH362" s="2">
        <f t="shared" si="17"/>
        <v>0</v>
      </c>
      <c r="AI362" s="2">
        <f t="shared" si="18"/>
      </c>
    </row>
    <row r="363">
      <c r="A363" s="43">
        <f t="shared" si="0"/>
      </c>
      <c r="B363" s="54" t="n"/>
      <c r="C363" s="45" t="n"/>
      <c r="D363" s="50" t="n"/>
      <c r="E363" s="55" t="n"/>
      <c r="F363" s="50" t="n"/>
      <c r="G363" s="55" t="n"/>
      <c r="H363" s="50" t="n"/>
      <c r="I363" s="55" t="n"/>
      <c r="J363" s="50" t="n"/>
      <c r="K363" s="55" t="n"/>
      <c r="L363" s="56" t="n"/>
      <c r="M363" s="57" t="n"/>
      <c r="N363" s="57" t="n"/>
      <c r="O363" s="57" t="n"/>
      <c r="P363" s="57" t="n"/>
      <c r="Q363" s="50" t="n"/>
      <c r="R363" s="58">
        <f t="shared" si="1"/>
      </c>
      <c r="S363" s="59">
        <f t="shared" si="2"/>
      </c>
      <c r="T363" s="43">
        <f t="shared" si="3"/>
      </c>
      <c r="U363" s="60">
        <f t="shared" si="4"/>
      </c>
      <c r="V363" s="60">
        <f t="shared" si="5"/>
      </c>
      <c r="W363" s="60">
        <f t="shared" si="6"/>
      </c>
      <c r="X363" s="49">
        <f t="shared" si="7"/>
      </c>
      <c r="Y363" s="2">
        <f t="shared" si="8"/>
      </c>
      <c r="Z363" s="2">
        <f t="shared" si="9"/>
        <v>0</v>
      </c>
      <c r="AA363" s="2">
        <f t="shared" si="10"/>
        <v>0</v>
      </c>
      <c r="AB363" s="2">
        <f t="shared" si="11"/>
        <v>0</v>
      </c>
      <c r="AC363" s="2">
        <f t="shared" si="12"/>
        <v>0</v>
      </c>
      <c r="AD363" s="2">
        <f t="shared" si="13"/>
        <v>0</v>
      </c>
      <c r="AE363" s="2">
        <f t="shared" si="14"/>
        <v>0</v>
      </c>
      <c r="AF363" s="2">
        <f t="shared" si="15"/>
        <v>0</v>
      </c>
      <c r="AG363" s="2">
        <f t="shared" si="16"/>
        <v>0</v>
      </c>
      <c r="AH363" s="2">
        <f t="shared" si="17"/>
        <v>0</v>
      </c>
      <c r="AI363" s="2">
        <f t="shared" si="18"/>
      </c>
    </row>
    <row r="364">
      <c r="A364" s="43">
        <f t="shared" si="0"/>
      </c>
      <c r="B364" s="54" t="n"/>
      <c r="C364" s="45" t="n"/>
      <c r="D364" s="50" t="n"/>
      <c r="E364" s="55" t="n"/>
      <c r="F364" s="50" t="n"/>
      <c r="G364" s="55" t="n"/>
      <c r="H364" s="50" t="n"/>
      <c r="I364" s="55" t="n"/>
      <c r="J364" s="50" t="n"/>
      <c r="K364" s="55" t="n"/>
      <c r="L364" s="56" t="n"/>
      <c r="M364" s="57" t="n"/>
      <c r="N364" s="57" t="n"/>
      <c r="O364" s="57" t="n"/>
      <c r="P364" s="57" t="n"/>
      <c r="Q364" s="50" t="n"/>
      <c r="R364" s="58">
        <f t="shared" si="1"/>
      </c>
      <c r="S364" s="59">
        <f t="shared" si="2"/>
      </c>
      <c r="T364" s="43">
        <f t="shared" si="3"/>
      </c>
      <c r="U364" s="60">
        <f t="shared" si="4"/>
      </c>
      <c r="V364" s="60">
        <f t="shared" si="5"/>
      </c>
      <c r="W364" s="60">
        <f t="shared" si="6"/>
      </c>
      <c r="X364" s="49">
        <f t="shared" si="7"/>
      </c>
      <c r="Y364" s="2">
        <f t="shared" si="8"/>
      </c>
      <c r="Z364" s="2">
        <f t="shared" si="9"/>
        <v>0</v>
      </c>
      <c r="AA364" s="2">
        <f t="shared" si="10"/>
        <v>0</v>
      </c>
      <c r="AB364" s="2">
        <f t="shared" si="11"/>
        <v>0</v>
      </c>
      <c r="AC364" s="2">
        <f t="shared" si="12"/>
        <v>0</v>
      </c>
      <c r="AD364" s="2">
        <f t="shared" si="13"/>
        <v>0</v>
      </c>
      <c r="AE364" s="2">
        <f t="shared" si="14"/>
        <v>0</v>
      </c>
      <c r="AF364" s="2">
        <f t="shared" si="15"/>
        <v>0</v>
      </c>
      <c r="AG364" s="2">
        <f t="shared" si="16"/>
        <v>0</v>
      </c>
      <c r="AH364" s="2">
        <f t="shared" si="17"/>
        <v>0</v>
      </c>
      <c r="AI364" s="2">
        <f t="shared" si="18"/>
      </c>
    </row>
    <row r="365">
      <c r="A365" s="43">
        <f t="shared" si="0"/>
      </c>
      <c r="B365" s="54" t="n"/>
      <c r="C365" s="45" t="n"/>
      <c r="D365" s="50" t="n"/>
      <c r="E365" s="55" t="n"/>
      <c r="F365" s="50" t="n"/>
      <c r="G365" s="55" t="n"/>
      <c r="H365" s="50" t="n"/>
      <c r="I365" s="55" t="n"/>
      <c r="J365" s="50" t="n"/>
      <c r="K365" s="55" t="n"/>
      <c r="L365" s="56" t="n"/>
      <c r="M365" s="57" t="n"/>
      <c r="N365" s="57" t="n"/>
      <c r="O365" s="57" t="n"/>
      <c r="P365" s="57" t="n"/>
      <c r="Q365" s="50" t="n"/>
      <c r="R365" s="58">
        <f t="shared" si="1"/>
      </c>
      <c r="S365" s="59">
        <f t="shared" si="2"/>
      </c>
      <c r="T365" s="43">
        <f t="shared" si="3"/>
      </c>
      <c r="U365" s="60">
        <f t="shared" si="4"/>
      </c>
      <c r="V365" s="60">
        <f t="shared" si="5"/>
      </c>
      <c r="W365" s="60">
        <f t="shared" si="6"/>
      </c>
      <c r="X365" s="49">
        <f t="shared" si="7"/>
      </c>
      <c r="Y365" s="2">
        <f t="shared" si="8"/>
      </c>
      <c r="Z365" s="2">
        <f t="shared" si="9"/>
        <v>0</v>
      </c>
      <c r="AA365" s="2">
        <f t="shared" si="10"/>
        <v>0</v>
      </c>
      <c r="AB365" s="2">
        <f t="shared" si="11"/>
        <v>0</v>
      </c>
      <c r="AC365" s="2">
        <f t="shared" si="12"/>
        <v>0</v>
      </c>
      <c r="AD365" s="2">
        <f t="shared" si="13"/>
        <v>0</v>
      </c>
      <c r="AE365" s="2">
        <f t="shared" si="14"/>
        <v>0</v>
      </c>
      <c r="AF365" s="2">
        <f t="shared" si="15"/>
        <v>0</v>
      </c>
      <c r="AG365" s="2">
        <f t="shared" si="16"/>
        <v>0</v>
      </c>
      <c r="AH365" s="2">
        <f t="shared" si="17"/>
        <v>0</v>
      </c>
      <c r="AI365" s="2">
        <f t="shared" si="18"/>
      </c>
    </row>
    <row r="366">
      <c r="A366" s="43">
        <f t="shared" si="0"/>
      </c>
      <c r="B366" s="54" t="n"/>
      <c r="C366" s="45" t="n"/>
      <c r="D366" s="50" t="n"/>
      <c r="E366" s="55" t="n"/>
      <c r="F366" s="50" t="n"/>
      <c r="G366" s="55" t="n"/>
      <c r="H366" s="50" t="n"/>
      <c r="I366" s="55" t="n"/>
      <c r="J366" s="50" t="n"/>
      <c r="K366" s="55" t="n"/>
      <c r="L366" s="56" t="n"/>
      <c r="M366" s="57" t="n"/>
      <c r="N366" s="57" t="n"/>
      <c r="O366" s="57" t="n"/>
      <c r="P366" s="57" t="n"/>
      <c r="Q366" s="50" t="n"/>
      <c r="R366" s="58">
        <f t="shared" si="1"/>
      </c>
      <c r="S366" s="59">
        <f t="shared" si="2"/>
      </c>
      <c r="T366" s="43">
        <f t="shared" si="3"/>
      </c>
      <c r="U366" s="60">
        <f t="shared" si="4"/>
      </c>
      <c r="V366" s="60">
        <f t="shared" si="5"/>
      </c>
      <c r="W366" s="60">
        <f t="shared" si="6"/>
      </c>
      <c r="X366" s="49">
        <f t="shared" si="7"/>
      </c>
      <c r="Y366" s="2">
        <f t="shared" si="8"/>
      </c>
      <c r="Z366" s="2">
        <f t="shared" si="9"/>
        <v>0</v>
      </c>
      <c r="AA366" s="2">
        <f t="shared" si="10"/>
        <v>0</v>
      </c>
      <c r="AB366" s="2">
        <f t="shared" si="11"/>
        <v>0</v>
      </c>
      <c r="AC366" s="2">
        <f t="shared" si="12"/>
        <v>0</v>
      </c>
      <c r="AD366" s="2">
        <f t="shared" si="13"/>
        <v>0</v>
      </c>
      <c r="AE366" s="2">
        <f t="shared" si="14"/>
        <v>0</v>
      </c>
      <c r="AF366" s="2">
        <f t="shared" si="15"/>
        <v>0</v>
      </c>
      <c r="AG366" s="2">
        <f t="shared" si="16"/>
        <v>0</v>
      </c>
      <c r="AH366" s="2">
        <f t="shared" si="17"/>
        <v>0</v>
      </c>
      <c r="AI366" s="2">
        <f t="shared" si="18"/>
      </c>
    </row>
    <row r="367">
      <c r="A367" s="43">
        <f t="shared" si="0"/>
      </c>
      <c r="B367" s="54" t="n"/>
      <c r="C367" s="45" t="n"/>
      <c r="D367" s="50" t="n"/>
      <c r="E367" s="55" t="n"/>
      <c r="F367" s="50" t="n"/>
      <c r="G367" s="55" t="n"/>
      <c r="H367" s="50" t="n"/>
      <c r="I367" s="55" t="n"/>
      <c r="J367" s="50" t="n"/>
      <c r="K367" s="55" t="n"/>
      <c r="L367" s="56" t="n"/>
      <c r="M367" s="57" t="n"/>
      <c r="N367" s="57" t="n"/>
      <c r="O367" s="57" t="n"/>
      <c r="P367" s="57" t="n"/>
      <c r="Q367" s="50" t="n"/>
      <c r="R367" s="58">
        <f t="shared" si="1"/>
      </c>
      <c r="S367" s="59">
        <f t="shared" si="2"/>
      </c>
      <c r="T367" s="43">
        <f t="shared" si="3"/>
      </c>
      <c r="U367" s="60">
        <f t="shared" si="4"/>
      </c>
      <c r="V367" s="60">
        <f t="shared" si="5"/>
      </c>
      <c r="W367" s="60">
        <f t="shared" si="6"/>
      </c>
      <c r="X367" s="49">
        <f t="shared" si="7"/>
      </c>
      <c r="Y367" s="2">
        <f t="shared" si="8"/>
      </c>
      <c r="Z367" s="2">
        <f t="shared" si="9"/>
        <v>0</v>
      </c>
      <c r="AA367" s="2">
        <f t="shared" si="10"/>
        <v>0</v>
      </c>
      <c r="AB367" s="2">
        <f t="shared" si="11"/>
        <v>0</v>
      </c>
      <c r="AC367" s="2">
        <f t="shared" si="12"/>
        <v>0</v>
      </c>
      <c r="AD367" s="2">
        <f t="shared" si="13"/>
        <v>0</v>
      </c>
      <c r="AE367" s="2">
        <f t="shared" si="14"/>
        <v>0</v>
      </c>
      <c r="AF367" s="2">
        <f t="shared" si="15"/>
        <v>0</v>
      </c>
      <c r="AG367" s="2">
        <f t="shared" si="16"/>
        <v>0</v>
      </c>
      <c r="AH367" s="2">
        <f t="shared" si="17"/>
        <v>0</v>
      </c>
      <c r="AI367" s="2">
        <f t="shared" si="18"/>
      </c>
    </row>
    <row r="368">
      <c r="A368" s="43">
        <f t="shared" si="0"/>
      </c>
      <c r="B368" s="54" t="n"/>
      <c r="C368" s="45" t="n"/>
      <c r="D368" s="50" t="n"/>
      <c r="E368" s="55" t="n"/>
      <c r="F368" s="50" t="n"/>
      <c r="G368" s="55" t="n"/>
      <c r="H368" s="50" t="n"/>
      <c r="I368" s="55" t="n"/>
      <c r="J368" s="50" t="n"/>
      <c r="K368" s="55" t="n"/>
      <c r="L368" s="56" t="n"/>
      <c r="M368" s="57" t="n"/>
      <c r="N368" s="57" t="n"/>
      <c r="O368" s="57" t="n"/>
      <c r="P368" s="57" t="n"/>
      <c r="Q368" s="50" t="n"/>
      <c r="R368" s="58">
        <f t="shared" si="1"/>
      </c>
      <c r="S368" s="59">
        <f t="shared" si="2"/>
      </c>
      <c r="T368" s="43">
        <f t="shared" si="3"/>
      </c>
      <c r="U368" s="60">
        <f t="shared" si="4"/>
      </c>
      <c r="V368" s="60">
        <f t="shared" si="5"/>
      </c>
      <c r="W368" s="60">
        <f t="shared" si="6"/>
      </c>
      <c r="X368" s="49">
        <f t="shared" si="7"/>
      </c>
      <c r="Y368" s="2">
        <f t="shared" si="8"/>
      </c>
      <c r="Z368" s="2">
        <f t="shared" si="9"/>
        <v>0</v>
      </c>
      <c r="AA368" s="2">
        <f t="shared" si="10"/>
        <v>0</v>
      </c>
      <c r="AB368" s="2">
        <f t="shared" si="11"/>
        <v>0</v>
      </c>
      <c r="AC368" s="2">
        <f t="shared" si="12"/>
        <v>0</v>
      </c>
      <c r="AD368" s="2">
        <f t="shared" si="13"/>
        <v>0</v>
      </c>
      <c r="AE368" s="2">
        <f t="shared" si="14"/>
        <v>0</v>
      </c>
      <c r="AF368" s="2">
        <f t="shared" si="15"/>
        <v>0</v>
      </c>
      <c r="AG368" s="2">
        <f t="shared" si="16"/>
        <v>0</v>
      </c>
      <c r="AH368" s="2">
        <f t="shared" si="17"/>
        <v>0</v>
      </c>
      <c r="AI368" s="2">
        <f t="shared" si="18"/>
      </c>
    </row>
    <row r="369">
      <c r="A369" s="43">
        <f t="shared" si="0"/>
      </c>
      <c r="B369" s="54" t="n"/>
      <c r="C369" s="45" t="n"/>
      <c r="D369" s="50" t="n"/>
      <c r="E369" s="55" t="n"/>
      <c r="F369" s="50" t="n"/>
      <c r="G369" s="55" t="n"/>
      <c r="H369" s="50" t="n"/>
      <c r="I369" s="55" t="n"/>
      <c r="J369" s="50" t="n"/>
      <c r="K369" s="55" t="n"/>
      <c r="L369" s="56" t="n"/>
      <c r="M369" s="57" t="n"/>
      <c r="N369" s="57" t="n"/>
      <c r="O369" s="57" t="n"/>
      <c r="P369" s="57" t="n"/>
      <c r="Q369" s="50" t="n"/>
      <c r="R369" s="58">
        <f t="shared" si="1"/>
      </c>
      <c r="S369" s="59">
        <f t="shared" si="2"/>
      </c>
      <c r="T369" s="43">
        <f t="shared" si="3"/>
      </c>
      <c r="U369" s="60">
        <f t="shared" si="4"/>
      </c>
      <c r="V369" s="60">
        <f t="shared" si="5"/>
      </c>
      <c r="W369" s="60">
        <f t="shared" si="6"/>
      </c>
      <c r="X369" s="49">
        <f t="shared" si="7"/>
      </c>
      <c r="Y369" s="2">
        <f t="shared" si="8"/>
      </c>
      <c r="Z369" s="2">
        <f t="shared" si="9"/>
        <v>0</v>
      </c>
      <c r="AA369" s="2">
        <f t="shared" si="10"/>
        <v>0</v>
      </c>
      <c r="AB369" s="2">
        <f t="shared" si="11"/>
        <v>0</v>
      </c>
      <c r="AC369" s="2">
        <f t="shared" si="12"/>
        <v>0</v>
      </c>
      <c r="AD369" s="2">
        <f t="shared" si="13"/>
        <v>0</v>
      </c>
      <c r="AE369" s="2">
        <f t="shared" si="14"/>
        <v>0</v>
      </c>
      <c r="AF369" s="2">
        <f t="shared" si="15"/>
        <v>0</v>
      </c>
      <c r="AG369" s="2">
        <f t="shared" si="16"/>
        <v>0</v>
      </c>
      <c r="AH369" s="2">
        <f t="shared" si="17"/>
        <v>0</v>
      </c>
      <c r="AI369" s="2">
        <f t="shared" si="18"/>
      </c>
    </row>
    <row r="370">
      <c r="A370" s="43">
        <f t="shared" si="0"/>
      </c>
      <c r="B370" s="54" t="n"/>
      <c r="C370" s="45" t="n"/>
      <c r="D370" s="50" t="n"/>
      <c r="E370" s="55" t="n"/>
      <c r="F370" s="50" t="n"/>
      <c r="G370" s="55" t="n"/>
      <c r="H370" s="50" t="n"/>
      <c r="I370" s="55" t="n"/>
      <c r="J370" s="50" t="n"/>
      <c r="K370" s="55" t="n"/>
      <c r="L370" s="56" t="n"/>
      <c r="M370" s="57" t="n"/>
      <c r="N370" s="57" t="n"/>
      <c r="O370" s="57" t="n"/>
      <c r="P370" s="57" t="n"/>
      <c r="Q370" s="50" t="n"/>
      <c r="R370" s="58">
        <f t="shared" si="1"/>
      </c>
      <c r="S370" s="59">
        <f t="shared" si="2"/>
      </c>
      <c r="T370" s="43">
        <f t="shared" si="3"/>
      </c>
      <c r="U370" s="60">
        <f t="shared" si="4"/>
      </c>
      <c r="V370" s="60">
        <f t="shared" si="5"/>
      </c>
      <c r="W370" s="60">
        <f t="shared" si="6"/>
      </c>
      <c r="X370" s="49">
        <f t="shared" si="7"/>
      </c>
      <c r="Y370" s="2">
        <f t="shared" si="8"/>
      </c>
      <c r="Z370" s="2">
        <f t="shared" si="9"/>
        <v>0</v>
      </c>
      <c r="AA370" s="2">
        <f t="shared" si="10"/>
        <v>0</v>
      </c>
      <c r="AB370" s="2">
        <f t="shared" si="11"/>
        <v>0</v>
      </c>
      <c r="AC370" s="2">
        <f t="shared" si="12"/>
        <v>0</v>
      </c>
      <c r="AD370" s="2">
        <f t="shared" si="13"/>
        <v>0</v>
      </c>
      <c r="AE370" s="2">
        <f t="shared" si="14"/>
        <v>0</v>
      </c>
      <c r="AF370" s="2">
        <f t="shared" si="15"/>
        <v>0</v>
      </c>
      <c r="AG370" s="2">
        <f t="shared" si="16"/>
        <v>0</v>
      </c>
      <c r="AH370" s="2">
        <f t="shared" si="17"/>
        <v>0</v>
      </c>
      <c r="AI370" s="2">
        <f t="shared" si="18"/>
      </c>
    </row>
    <row r="371">
      <c r="A371" s="43">
        <f t="shared" si="0"/>
      </c>
      <c r="B371" s="54" t="n"/>
      <c r="C371" s="45" t="n"/>
      <c r="D371" s="50" t="n"/>
      <c r="E371" s="55" t="n"/>
      <c r="F371" s="50" t="n"/>
      <c r="G371" s="55" t="n"/>
      <c r="H371" s="50" t="n"/>
      <c r="I371" s="55" t="n"/>
      <c r="J371" s="50" t="n"/>
      <c r="K371" s="55" t="n"/>
      <c r="L371" s="56" t="n"/>
      <c r="M371" s="57" t="n"/>
      <c r="N371" s="57" t="n"/>
      <c r="O371" s="57" t="n"/>
      <c r="P371" s="57" t="n"/>
      <c r="Q371" s="50" t="n"/>
      <c r="R371" s="58">
        <f t="shared" si="1"/>
      </c>
      <c r="S371" s="59">
        <f t="shared" si="2"/>
      </c>
      <c r="T371" s="43">
        <f t="shared" si="3"/>
      </c>
      <c r="U371" s="60">
        <f t="shared" si="4"/>
      </c>
      <c r="V371" s="60">
        <f t="shared" si="5"/>
      </c>
      <c r="W371" s="60">
        <f t="shared" si="6"/>
      </c>
      <c r="X371" s="49">
        <f t="shared" si="7"/>
      </c>
      <c r="Y371" s="2">
        <f t="shared" si="8"/>
      </c>
      <c r="Z371" s="2">
        <f t="shared" si="9"/>
        <v>0</v>
      </c>
      <c r="AA371" s="2">
        <f t="shared" si="10"/>
        <v>0</v>
      </c>
      <c r="AB371" s="2">
        <f t="shared" si="11"/>
        <v>0</v>
      </c>
      <c r="AC371" s="2">
        <f t="shared" si="12"/>
        <v>0</v>
      </c>
      <c r="AD371" s="2">
        <f t="shared" si="13"/>
        <v>0</v>
      </c>
      <c r="AE371" s="2">
        <f t="shared" si="14"/>
        <v>0</v>
      </c>
      <c r="AF371" s="2">
        <f t="shared" si="15"/>
        <v>0</v>
      </c>
      <c r="AG371" s="2">
        <f t="shared" si="16"/>
        <v>0</v>
      </c>
      <c r="AH371" s="2">
        <f t="shared" si="17"/>
        <v>0</v>
      </c>
      <c r="AI371" s="2">
        <f t="shared" si="18"/>
      </c>
    </row>
    <row r="372">
      <c r="A372" s="43">
        <f t="shared" si="0"/>
      </c>
      <c r="B372" s="54" t="n"/>
      <c r="C372" s="45" t="n"/>
      <c r="D372" s="50" t="n"/>
      <c r="E372" s="55" t="n"/>
      <c r="F372" s="50" t="n"/>
      <c r="G372" s="55" t="n"/>
      <c r="H372" s="50" t="n"/>
      <c r="I372" s="55" t="n"/>
      <c r="J372" s="50" t="n"/>
      <c r="K372" s="55" t="n"/>
      <c r="L372" s="56" t="n"/>
      <c r="M372" s="57" t="n"/>
      <c r="N372" s="57" t="n"/>
      <c r="O372" s="57" t="n"/>
      <c r="P372" s="57" t="n"/>
      <c r="Q372" s="50" t="n"/>
      <c r="R372" s="58">
        <f t="shared" si="1"/>
      </c>
      <c r="S372" s="59">
        <f t="shared" si="2"/>
      </c>
      <c r="T372" s="43">
        <f t="shared" si="3"/>
      </c>
      <c r="U372" s="60">
        <f t="shared" si="4"/>
      </c>
      <c r="V372" s="60">
        <f t="shared" si="5"/>
      </c>
      <c r="W372" s="60">
        <f t="shared" si="6"/>
      </c>
      <c r="X372" s="49">
        <f t="shared" si="7"/>
      </c>
      <c r="Y372" s="2">
        <f t="shared" si="8"/>
      </c>
      <c r="Z372" s="2">
        <f t="shared" si="9"/>
        <v>0</v>
      </c>
      <c r="AA372" s="2">
        <f t="shared" si="10"/>
        <v>0</v>
      </c>
      <c r="AB372" s="2">
        <f t="shared" si="11"/>
        <v>0</v>
      </c>
      <c r="AC372" s="2">
        <f t="shared" si="12"/>
        <v>0</v>
      </c>
      <c r="AD372" s="2">
        <f t="shared" si="13"/>
        <v>0</v>
      </c>
      <c r="AE372" s="2">
        <f t="shared" si="14"/>
        <v>0</v>
      </c>
      <c r="AF372" s="2">
        <f t="shared" si="15"/>
        <v>0</v>
      </c>
      <c r="AG372" s="2">
        <f t="shared" si="16"/>
        <v>0</v>
      </c>
      <c r="AH372" s="2">
        <f t="shared" si="17"/>
        <v>0</v>
      </c>
      <c r="AI372" s="2">
        <f t="shared" si="18"/>
      </c>
    </row>
    <row r="373">
      <c r="A373" s="43">
        <f t="shared" si="0"/>
      </c>
      <c r="B373" s="54" t="n"/>
      <c r="C373" s="45" t="n"/>
      <c r="D373" s="50" t="n"/>
      <c r="E373" s="55" t="n"/>
      <c r="F373" s="50" t="n"/>
      <c r="G373" s="55" t="n"/>
      <c r="H373" s="50" t="n"/>
      <c r="I373" s="55" t="n"/>
      <c r="J373" s="50" t="n"/>
      <c r="K373" s="55" t="n"/>
      <c r="L373" s="56" t="n"/>
      <c r="M373" s="57" t="n"/>
      <c r="N373" s="57" t="n"/>
      <c r="O373" s="57" t="n"/>
      <c r="P373" s="57" t="n"/>
      <c r="Q373" s="50" t="n"/>
      <c r="R373" s="58">
        <f t="shared" si="1"/>
      </c>
      <c r="S373" s="59">
        <f t="shared" si="2"/>
      </c>
      <c r="T373" s="43">
        <f t="shared" si="3"/>
      </c>
      <c r="U373" s="60">
        <f t="shared" si="4"/>
      </c>
      <c r="V373" s="60">
        <f t="shared" si="5"/>
      </c>
      <c r="W373" s="60">
        <f t="shared" si="6"/>
      </c>
      <c r="X373" s="49">
        <f t="shared" si="7"/>
      </c>
      <c r="Y373" s="2">
        <f t="shared" si="8"/>
      </c>
      <c r="Z373" s="2">
        <f t="shared" si="9"/>
        <v>0</v>
      </c>
      <c r="AA373" s="2">
        <f t="shared" si="10"/>
        <v>0</v>
      </c>
      <c r="AB373" s="2">
        <f t="shared" si="11"/>
        <v>0</v>
      </c>
      <c r="AC373" s="2">
        <f t="shared" si="12"/>
        <v>0</v>
      </c>
      <c r="AD373" s="2">
        <f t="shared" si="13"/>
        <v>0</v>
      </c>
      <c r="AE373" s="2">
        <f t="shared" si="14"/>
        <v>0</v>
      </c>
      <c r="AF373" s="2">
        <f t="shared" si="15"/>
        <v>0</v>
      </c>
      <c r="AG373" s="2">
        <f t="shared" si="16"/>
        <v>0</v>
      </c>
      <c r="AH373" s="2">
        <f t="shared" si="17"/>
        <v>0</v>
      </c>
      <c r="AI373" s="2">
        <f t="shared" si="18"/>
      </c>
    </row>
    <row r="374">
      <c r="A374" s="43">
        <f t="shared" si="0"/>
      </c>
      <c r="B374" s="54" t="n"/>
      <c r="C374" s="45" t="n"/>
      <c r="D374" s="50" t="n"/>
      <c r="E374" s="55" t="n"/>
      <c r="F374" s="50" t="n"/>
      <c r="G374" s="55" t="n"/>
      <c r="H374" s="50" t="n"/>
      <c r="I374" s="55" t="n"/>
      <c r="J374" s="50" t="n"/>
      <c r="K374" s="55" t="n"/>
      <c r="L374" s="56" t="n"/>
      <c r="M374" s="57" t="n"/>
      <c r="N374" s="57" t="n"/>
      <c r="O374" s="57" t="n"/>
      <c r="P374" s="57" t="n"/>
      <c r="Q374" s="50" t="n"/>
      <c r="R374" s="58">
        <f t="shared" si="1"/>
      </c>
      <c r="S374" s="59">
        <f t="shared" si="2"/>
      </c>
      <c r="T374" s="43">
        <f t="shared" si="3"/>
      </c>
      <c r="U374" s="60">
        <f t="shared" si="4"/>
      </c>
      <c r="V374" s="60">
        <f t="shared" si="5"/>
      </c>
      <c r="W374" s="60">
        <f t="shared" si="6"/>
      </c>
      <c r="X374" s="49">
        <f t="shared" si="7"/>
      </c>
      <c r="Y374" s="2">
        <f t="shared" si="8"/>
      </c>
      <c r="Z374" s="2">
        <f t="shared" si="9"/>
        <v>0</v>
      </c>
      <c r="AA374" s="2">
        <f t="shared" si="10"/>
        <v>0</v>
      </c>
      <c r="AB374" s="2">
        <f t="shared" si="11"/>
        <v>0</v>
      </c>
      <c r="AC374" s="2">
        <f t="shared" si="12"/>
        <v>0</v>
      </c>
      <c r="AD374" s="2">
        <f t="shared" si="13"/>
        <v>0</v>
      </c>
      <c r="AE374" s="2">
        <f t="shared" si="14"/>
        <v>0</v>
      </c>
      <c r="AF374" s="2">
        <f t="shared" si="15"/>
        <v>0</v>
      </c>
      <c r="AG374" s="2">
        <f t="shared" si="16"/>
        <v>0</v>
      </c>
      <c r="AH374" s="2">
        <f t="shared" si="17"/>
        <v>0</v>
      </c>
      <c r="AI374" s="2">
        <f t="shared" si="18"/>
      </c>
    </row>
    <row r="375">
      <c r="A375" s="43">
        <f t="shared" si="0"/>
      </c>
      <c r="B375" s="54" t="n"/>
      <c r="C375" s="45" t="n"/>
      <c r="D375" s="50" t="n"/>
      <c r="E375" s="55" t="n"/>
      <c r="F375" s="50" t="n"/>
      <c r="G375" s="55" t="n"/>
      <c r="H375" s="50" t="n"/>
      <c r="I375" s="55" t="n"/>
      <c r="J375" s="50" t="n"/>
      <c r="K375" s="55" t="n"/>
      <c r="L375" s="56" t="n"/>
      <c r="M375" s="57" t="n"/>
      <c r="N375" s="57" t="n"/>
      <c r="O375" s="57" t="n"/>
      <c r="P375" s="57" t="n"/>
      <c r="Q375" s="50" t="n"/>
      <c r="R375" s="58">
        <f t="shared" si="1"/>
      </c>
      <c r="S375" s="59">
        <f t="shared" si="2"/>
      </c>
      <c r="T375" s="43">
        <f t="shared" si="3"/>
      </c>
      <c r="U375" s="60">
        <f t="shared" si="4"/>
      </c>
      <c r="V375" s="60">
        <f t="shared" si="5"/>
      </c>
      <c r="W375" s="60">
        <f t="shared" si="6"/>
      </c>
      <c r="X375" s="49">
        <f t="shared" si="7"/>
      </c>
      <c r="Y375" s="2">
        <f t="shared" si="8"/>
      </c>
      <c r="Z375" s="2">
        <f t="shared" si="9"/>
        <v>0</v>
      </c>
      <c r="AA375" s="2">
        <f t="shared" si="10"/>
        <v>0</v>
      </c>
      <c r="AB375" s="2">
        <f t="shared" si="11"/>
        <v>0</v>
      </c>
      <c r="AC375" s="2">
        <f t="shared" si="12"/>
        <v>0</v>
      </c>
      <c r="AD375" s="2">
        <f t="shared" si="13"/>
        <v>0</v>
      </c>
      <c r="AE375" s="2">
        <f t="shared" si="14"/>
        <v>0</v>
      </c>
      <c r="AF375" s="2">
        <f t="shared" si="15"/>
        <v>0</v>
      </c>
      <c r="AG375" s="2">
        <f t="shared" si="16"/>
        <v>0</v>
      </c>
      <c r="AH375" s="2">
        <f t="shared" si="17"/>
        <v>0</v>
      </c>
      <c r="AI375" s="2">
        <f t="shared" si="18"/>
      </c>
    </row>
    <row r="376">
      <c r="A376" s="43">
        <f t="shared" si="0"/>
      </c>
      <c r="B376" s="54" t="n"/>
      <c r="C376" s="45" t="n"/>
      <c r="D376" s="50" t="n"/>
      <c r="E376" s="55" t="n"/>
      <c r="F376" s="50" t="n"/>
      <c r="G376" s="55" t="n"/>
      <c r="H376" s="50" t="n"/>
      <c r="I376" s="55" t="n"/>
      <c r="J376" s="50" t="n"/>
      <c r="K376" s="55" t="n"/>
      <c r="L376" s="56" t="n"/>
      <c r="M376" s="57" t="n"/>
      <c r="N376" s="57" t="n"/>
      <c r="O376" s="57" t="n"/>
      <c r="P376" s="57" t="n"/>
      <c r="Q376" s="50" t="n"/>
      <c r="R376" s="58">
        <f t="shared" si="1"/>
      </c>
      <c r="S376" s="59">
        <f t="shared" si="2"/>
      </c>
      <c r="T376" s="43">
        <f t="shared" si="3"/>
      </c>
      <c r="U376" s="60">
        <f t="shared" si="4"/>
      </c>
      <c r="V376" s="60">
        <f t="shared" si="5"/>
      </c>
      <c r="W376" s="60">
        <f t="shared" si="6"/>
      </c>
      <c r="X376" s="49">
        <f t="shared" si="7"/>
      </c>
      <c r="Y376" s="2">
        <f t="shared" si="8"/>
      </c>
      <c r="Z376" s="2">
        <f t="shared" si="9"/>
        <v>0</v>
      </c>
      <c r="AA376" s="2">
        <f t="shared" si="10"/>
        <v>0</v>
      </c>
      <c r="AB376" s="2">
        <f t="shared" si="11"/>
        <v>0</v>
      </c>
      <c r="AC376" s="2">
        <f t="shared" si="12"/>
        <v>0</v>
      </c>
      <c r="AD376" s="2">
        <f t="shared" si="13"/>
        <v>0</v>
      </c>
      <c r="AE376" s="2">
        <f t="shared" si="14"/>
        <v>0</v>
      </c>
      <c r="AF376" s="2">
        <f t="shared" si="15"/>
        <v>0</v>
      </c>
      <c r="AG376" s="2">
        <f t="shared" si="16"/>
        <v>0</v>
      </c>
      <c r="AH376" s="2">
        <f t="shared" si="17"/>
        <v>0</v>
      </c>
      <c r="AI376" s="2">
        <f t="shared" si="18"/>
      </c>
    </row>
    <row r="377">
      <c r="A377" s="43">
        <f t="shared" si="0"/>
      </c>
      <c r="B377" s="54" t="n"/>
      <c r="C377" s="45" t="n"/>
      <c r="D377" s="50" t="n"/>
      <c r="E377" s="55" t="n"/>
      <c r="F377" s="50" t="n"/>
      <c r="G377" s="55" t="n"/>
      <c r="H377" s="50" t="n"/>
      <c r="I377" s="55" t="n"/>
      <c r="J377" s="50" t="n"/>
      <c r="K377" s="55" t="n"/>
      <c r="L377" s="56" t="n"/>
      <c r="M377" s="57" t="n"/>
      <c r="N377" s="57" t="n"/>
      <c r="O377" s="57" t="n"/>
      <c r="P377" s="57" t="n"/>
      <c r="Q377" s="50" t="n"/>
      <c r="R377" s="58">
        <f t="shared" si="1"/>
      </c>
      <c r="S377" s="59">
        <f t="shared" si="2"/>
      </c>
      <c r="T377" s="43">
        <f t="shared" si="3"/>
      </c>
      <c r="U377" s="60">
        <f t="shared" si="4"/>
      </c>
      <c r="V377" s="60">
        <f t="shared" si="5"/>
      </c>
      <c r="W377" s="60">
        <f t="shared" si="6"/>
      </c>
      <c r="X377" s="49">
        <f t="shared" si="7"/>
      </c>
      <c r="Y377" s="2">
        <f t="shared" si="8"/>
      </c>
      <c r="Z377" s="2">
        <f t="shared" si="9"/>
        <v>0</v>
      </c>
      <c r="AA377" s="2">
        <f t="shared" si="10"/>
        <v>0</v>
      </c>
      <c r="AB377" s="2">
        <f t="shared" si="11"/>
        <v>0</v>
      </c>
      <c r="AC377" s="2">
        <f t="shared" si="12"/>
        <v>0</v>
      </c>
      <c r="AD377" s="2">
        <f t="shared" si="13"/>
        <v>0</v>
      </c>
      <c r="AE377" s="2">
        <f t="shared" si="14"/>
        <v>0</v>
      </c>
      <c r="AF377" s="2">
        <f t="shared" si="15"/>
        <v>0</v>
      </c>
      <c r="AG377" s="2">
        <f t="shared" si="16"/>
        <v>0</v>
      </c>
      <c r="AH377" s="2">
        <f t="shared" si="17"/>
        <v>0</v>
      </c>
      <c r="AI377" s="2">
        <f t="shared" si="18"/>
      </c>
    </row>
    <row r="378">
      <c r="A378" s="43">
        <f t="shared" si="0"/>
      </c>
      <c r="B378" s="54" t="n"/>
      <c r="C378" s="45" t="n"/>
      <c r="D378" s="50" t="n"/>
      <c r="E378" s="55" t="n"/>
      <c r="F378" s="50" t="n"/>
      <c r="G378" s="55" t="n"/>
      <c r="H378" s="50" t="n"/>
      <c r="I378" s="55" t="n"/>
      <c r="J378" s="50" t="n"/>
      <c r="K378" s="55" t="n"/>
      <c r="L378" s="56" t="n"/>
      <c r="M378" s="57" t="n"/>
      <c r="N378" s="57" t="n"/>
      <c r="O378" s="57" t="n"/>
      <c r="P378" s="57" t="n"/>
      <c r="Q378" s="50" t="n"/>
      <c r="R378" s="58">
        <f t="shared" si="1"/>
      </c>
      <c r="S378" s="59">
        <f t="shared" si="2"/>
      </c>
      <c r="T378" s="43">
        <f t="shared" si="3"/>
      </c>
      <c r="U378" s="60">
        <f t="shared" si="4"/>
      </c>
      <c r="V378" s="60">
        <f t="shared" si="5"/>
      </c>
      <c r="W378" s="60">
        <f t="shared" si="6"/>
      </c>
      <c r="X378" s="49">
        <f t="shared" si="7"/>
      </c>
      <c r="Y378" s="2">
        <f t="shared" si="8"/>
      </c>
      <c r="Z378" s="2">
        <f t="shared" si="9"/>
        <v>0</v>
      </c>
      <c r="AA378" s="2">
        <f t="shared" si="10"/>
        <v>0</v>
      </c>
      <c r="AB378" s="2">
        <f t="shared" si="11"/>
        <v>0</v>
      </c>
      <c r="AC378" s="2">
        <f t="shared" si="12"/>
        <v>0</v>
      </c>
      <c r="AD378" s="2">
        <f t="shared" si="13"/>
        <v>0</v>
      </c>
      <c r="AE378" s="2">
        <f t="shared" si="14"/>
        <v>0</v>
      </c>
      <c r="AF378" s="2">
        <f t="shared" si="15"/>
        <v>0</v>
      </c>
      <c r="AG378" s="2">
        <f t="shared" si="16"/>
        <v>0</v>
      </c>
      <c r="AH378" s="2">
        <f t="shared" si="17"/>
        <v>0</v>
      </c>
      <c r="AI378" s="2">
        <f t="shared" si="18"/>
      </c>
    </row>
    <row r="379">
      <c r="A379" s="43">
        <f t="shared" si="0"/>
      </c>
      <c r="B379" s="54" t="n"/>
      <c r="C379" s="45" t="n"/>
      <c r="D379" s="50" t="n"/>
      <c r="E379" s="55" t="n"/>
      <c r="F379" s="50" t="n"/>
      <c r="G379" s="55" t="n"/>
      <c r="H379" s="50" t="n"/>
      <c r="I379" s="55" t="n"/>
      <c r="J379" s="50" t="n"/>
      <c r="K379" s="55" t="n"/>
      <c r="L379" s="56" t="n"/>
      <c r="M379" s="57" t="n"/>
      <c r="N379" s="57" t="n"/>
      <c r="O379" s="57" t="n"/>
      <c r="P379" s="57" t="n"/>
      <c r="Q379" s="50" t="n"/>
      <c r="R379" s="58">
        <f t="shared" si="1"/>
      </c>
      <c r="S379" s="59">
        <f t="shared" si="2"/>
      </c>
      <c r="T379" s="43">
        <f t="shared" si="3"/>
      </c>
      <c r="U379" s="60">
        <f t="shared" si="4"/>
      </c>
      <c r="V379" s="60">
        <f t="shared" si="5"/>
      </c>
      <c r="W379" s="60">
        <f t="shared" si="6"/>
      </c>
      <c r="X379" s="49">
        <f t="shared" si="7"/>
      </c>
      <c r="Y379" s="2">
        <f t="shared" si="8"/>
      </c>
      <c r="Z379" s="2">
        <f t="shared" si="9"/>
        <v>0</v>
      </c>
      <c r="AA379" s="2">
        <f t="shared" si="10"/>
        <v>0</v>
      </c>
      <c r="AB379" s="2">
        <f t="shared" si="11"/>
        <v>0</v>
      </c>
      <c r="AC379" s="2">
        <f t="shared" si="12"/>
        <v>0</v>
      </c>
      <c r="AD379" s="2">
        <f t="shared" si="13"/>
        <v>0</v>
      </c>
      <c r="AE379" s="2">
        <f t="shared" si="14"/>
        <v>0</v>
      </c>
      <c r="AF379" s="2">
        <f t="shared" si="15"/>
        <v>0</v>
      </c>
      <c r="AG379" s="2">
        <f t="shared" si="16"/>
        <v>0</v>
      </c>
      <c r="AH379" s="2">
        <f t="shared" si="17"/>
        <v>0</v>
      </c>
      <c r="AI379" s="2">
        <f t="shared" si="18"/>
      </c>
    </row>
    <row r="380">
      <c r="A380" s="43">
        <f t="shared" si="0"/>
      </c>
      <c r="B380" s="54" t="n"/>
      <c r="C380" s="45" t="n"/>
      <c r="D380" s="50" t="n"/>
      <c r="E380" s="55" t="n"/>
      <c r="F380" s="50" t="n"/>
      <c r="G380" s="55" t="n"/>
      <c r="H380" s="50" t="n"/>
      <c r="I380" s="55" t="n"/>
      <c r="J380" s="50" t="n"/>
      <c r="K380" s="55" t="n"/>
      <c r="L380" s="56" t="n"/>
      <c r="M380" s="57" t="n"/>
      <c r="N380" s="57" t="n"/>
      <c r="O380" s="57" t="n"/>
      <c r="P380" s="57" t="n"/>
      <c r="Q380" s="50" t="n"/>
      <c r="R380" s="58">
        <f t="shared" si="1"/>
      </c>
      <c r="S380" s="59">
        <f t="shared" si="2"/>
      </c>
      <c r="T380" s="43">
        <f t="shared" si="3"/>
      </c>
      <c r="U380" s="60">
        <f t="shared" si="4"/>
      </c>
      <c r="V380" s="60">
        <f t="shared" si="5"/>
      </c>
      <c r="W380" s="60">
        <f t="shared" si="6"/>
      </c>
      <c r="X380" s="49">
        <f t="shared" si="7"/>
      </c>
      <c r="Y380" s="2">
        <f t="shared" si="8"/>
      </c>
      <c r="Z380" s="2">
        <f t="shared" si="9"/>
        <v>0</v>
      </c>
      <c r="AA380" s="2">
        <f t="shared" si="10"/>
        <v>0</v>
      </c>
      <c r="AB380" s="2">
        <f t="shared" si="11"/>
        <v>0</v>
      </c>
      <c r="AC380" s="2">
        <f t="shared" si="12"/>
        <v>0</v>
      </c>
      <c r="AD380" s="2">
        <f t="shared" si="13"/>
        <v>0</v>
      </c>
      <c r="AE380" s="2">
        <f t="shared" si="14"/>
        <v>0</v>
      </c>
      <c r="AF380" s="2">
        <f t="shared" si="15"/>
        <v>0</v>
      </c>
      <c r="AG380" s="2">
        <f t="shared" si="16"/>
        <v>0</v>
      </c>
      <c r="AH380" s="2">
        <f t="shared" si="17"/>
        <v>0</v>
      </c>
      <c r="AI380" s="2">
        <f t="shared" si="18"/>
      </c>
    </row>
    <row r="381">
      <c r="A381" s="43">
        <f t="shared" si="0"/>
      </c>
      <c r="B381" s="54" t="n"/>
      <c r="C381" s="45" t="n"/>
      <c r="D381" s="50" t="n"/>
      <c r="E381" s="55" t="n"/>
      <c r="F381" s="50" t="n"/>
      <c r="G381" s="55" t="n"/>
      <c r="H381" s="50" t="n"/>
      <c r="I381" s="55" t="n"/>
      <c r="J381" s="50" t="n"/>
      <c r="K381" s="55" t="n"/>
      <c r="L381" s="56" t="n"/>
      <c r="M381" s="57" t="n"/>
      <c r="N381" s="57" t="n"/>
      <c r="O381" s="57" t="n"/>
      <c r="P381" s="57" t="n"/>
      <c r="Q381" s="50" t="n"/>
      <c r="R381" s="58">
        <f t="shared" si="1"/>
      </c>
      <c r="S381" s="59">
        <f t="shared" si="2"/>
      </c>
      <c r="T381" s="43">
        <f t="shared" si="3"/>
      </c>
      <c r="U381" s="60">
        <f t="shared" si="4"/>
      </c>
      <c r="V381" s="60">
        <f t="shared" si="5"/>
      </c>
      <c r="W381" s="60">
        <f t="shared" si="6"/>
      </c>
      <c r="X381" s="49">
        <f t="shared" si="7"/>
      </c>
      <c r="Y381" s="2">
        <f t="shared" si="8"/>
      </c>
      <c r="Z381" s="2">
        <f t="shared" si="9"/>
        <v>0</v>
      </c>
      <c r="AA381" s="2">
        <f t="shared" si="10"/>
        <v>0</v>
      </c>
      <c r="AB381" s="2">
        <f t="shared" si="11"/>
        <v>0</v>
      </c>
      <c r="AC381" s="2">
        <f t="shared" si="12"/>
        <v>0</v>
      </c>
      <c r="AD381" s="2">
        <f t="shared" si="13"/>
        <v>0</v>
      </c>
      <c r="AE381" s="2">
        <f t="shared" si="14"/>
        <v>0</v>
      </c>
      <c r="AF381" s="2">
        <f t="shared" si="15"/>
        <v>0</v>
      </c>
      <c r="AG381" s="2">
        <f t="shared" si="16"/>
        <v>0</v>
      </c>
      <c r="AH381" s="2">
        <f t="shared" si="17"/>
        <v>0</v>
      </c>
      <c r="AI381" s="2">
        <f t="shared" si="18"/>
      </c>
    </row>
    <row r="382">
      <c r="A382" s="43">
        <f t="shared" si="0"/>
      </c>
      <c r="B382" s="54" t="n"/>
      <c r="C382" s="45" t="n"/>
      <c r="D382" s="50" t="n"/>
      <c r="E382" s="55" t="n"/>
      <c r="F382" s="50" t="n"/>
      <c r="G382" s="55" t="n"/>
      <c r="H382" s="50" t="n"/>
      <c r="I382" s="55" t="n"/>
      <c r="J382" s="50" t="n"/>
      <c r="K382" s="55" t="n"/>
      <c r="L382" s="56" t="n"/>
      <c r="M382" s="57" t="n"/>
      <c r="N382" s="57" t="n"/>
      <c r="O382" s="57" t="n"/>
      <c r="P382" s="57" t="n"/>
      <c r="Q382" s="50" t="n"/>
      <c r="R382" s="58">
        <f t="shared" si="1"/>
      </c>
      <c r="S382" s="59">
        <f t="shared" si="2"/>
      </c>
      <c r="T382" s="43">
        <f t="shared" si="3"/>
      </c>
      <c r="U382" s="60">
        <f t="shared" si="4"/>
      </c>
      <c r="V382" s="60">
        <f t="shared" si="5"/>
      </c>
      <c r="W382" s="60">
        <f t="shared" si="6"/>
      </c>
      <c r="X382" s="49">
        <f t="shared" si="7"/>
      </c>
      <c r="Y382" s="2">
        <f t="shared" si="8"/>
      </c>
      <c r="Z382" s="2">
        <f t="shared" si="9"/>
        <v>0</v>
      </c>
      <c r="AA382" s="2">
        <f t="shared" si="10"/>
        <v>0</v>
      </c>
      <c r="AB382" s="2">
        <f t="shared" si="11"/>
        <v>0</v>
      </c>
      <c r="AC382" s="2">
        <f t="shared" si="12"/>
        <v>0</v>
      </c>
      <c r="AD382" s="2">
        <f t="shared" si="13"/>
        <v>0</v>
      </c>
      <c r="AE382" s="2">
        <f t="shared" si="14"/>
        <v>0</v>
      </c>
      <c r="AF382" s="2">
        <f t="shared" si="15"/>
        <v>0</v>
      </c>
      <c r="AG382" s="2">
        <f t="shared" si="16"/>
        <v>0</v>
      </c>
      <c r="AH382" s="2">
        <f t="shared" si="17"/>
        <v>0</v>
      </c>
      <c r="AI382" s="2">
        <f t="shared" si="18"/>
      </c>
    </row>
    <row r="383">
      <c r="A383" s="43">
        <f t="shared" si="0"/>
      </c>
      <c r="B383" s="54" t="n"/>
      <c r="C383" s="45" t="n"/>
      <c r="D383" s="50" t="n"/>
      <c r="E383" s="55" t="n"/>
      <c r="F383" s="50" t="n"/>
      <c r="G383" s="55" t="n"/>
      <c r="H383" s="50" t="n"/>
      <c r="I383" s="55" t="n"/>
      <c r="J383" s="50" t="n"/>
      <c r="K383" s="55" t="n"/>
      <c r="L383" s="56" t="n"/>
      <c r="M383" s="57" t="n"/>
      <c r="N383" s="57" t="n"/>
      <c r="O383" s="57" t="n"/>
      <c r="P383" s="57" t="n"/>
      <c r="Q383" s="50" t="n"/>
      <c r="R383" s="58">
        <f t="shared" si="1"/>
      </c>
      <c r="S383" s="59">
        <f t="shared" si="2"/>
      </c>
      <c r="T383" s="43">
        <f t="shared" si="3"/>
      </c>
      <c r="U383" s="60">
        <f t="shared" si="4"/>
      </c>
      <c r="V383" s="60">
        <f t="shared" si="5"/>
      </c>
      <c r="W383" s="60">
        <f t="shared" si="6"/>
      </c>
      <c r="X383" s="49">
        <f t="shared" si="7"/>
      </c>
      <c r="Y383" s="2">
        <f t="shared" si="8"/>
      </c>
      <c r="Z383" s="2">
        <f t="shared" si="9"/>
        <v>0</v>
      </c>
      <c r="AA383" s="2">
        <f t="shared" si="10"/>
        <v>0</v>
      </c>
      <c r="AB383" s="2">
        <f t="shared" si="11"/>
        <v>0</v>
      </c>
      <c r="AC383" s="2">
        <f t="shared" si="12"/>
        <v>0</v>
      </c>
      <c r="AD383" s="2">
        <f t="shared" si="13"/>
        <v>0</v>
      </c>
      <c r="AE383" s="2">
        <f t="shared" si="14"/>
        <v>0</v>
      </c>
      <c r="AF383" s="2">
        <f t="shared" si="15"/>
        <v>0</v>
      </c>
      <c r="AG383" s="2">
        <f t="shared" si="16"/>
        <v>0</v>
      </c>
      <c r="AH383" s="2">
        <f t="shared" si="17"/>
        <v>0</v>
      </c>
      <c r="AI383" s="2">
        <f t="shared" si="18"/>
      </c>
    </row>
    <row r="384">
      <c r="A384" s="43">
        <f t="shared" si="0"/>
      </c>
      <c r="B384" s="54" t="n"/>
      <c r="C384" s="45" t="n"/>
      <c r="D384" s="50" t="n"/>
      <c r="E384" s="55" t="n"/>
      <c r="F384" s="50" t="n"/>
      <c r="G384" s="55" t="n"/>
      <c r="H384" s="50" t="n"/>
      <c r="I384" s="55" t="n"/>
      <c r="J384" s="50" t="n"/>
      <c r="K384" s="55" t="n"/>
      <c r="L384" s="56" t="n"/>
      <c r="M384" s="57" t="n"/>
      <c r="N384" s="57" t="n"/>
      <c r="O384" s="57" t="n"/>
      <c r="P384" s="57" t="n"/>
      <c r="Q384" s="50" t="n"/>
      <c r="R384" s="58">
        <f t="shared" si="1"/>
      </c>
      <c r="S384" s="59">
        <f t="shared" si="2"/>
      </c>
      <c r="T384" s="43">
        <f t="shared" si="3"/>
      </c>
      <c r="U384" s="60">
        <f t="shared" si="4"/>
      </c>
      <c r="V384" s="60">
        <f t="shared" si="5"/>
      </c>
      <c r="W384" s="60">
        <f t="shared" si="6"/>
      </c>
      <c r="X384" s="49">
        <f t="shared" si="7"/>
      </c>
      <c r="Y384" s="2">
        <f t="shared" si="8"/>
      </c>
      <c r="Z384" s="2">
        <f t="shared" si="9"/>
        <v>0</v>
      </c>
      <c r="AA384" s="2">
        <f t="shared" si="10"/>
        <v>0</v>
      </c>
      <c r="AB384" s="2">
        <f t="shared" si="11"/>
        <v>0</v>
      </c>
      <c r="AC384" s="2">
        <f t="shared" si="12"/>
        <v>0</v>
      </c>
      <c r="AD384" s="2">
        <f t="shared" si="13"/>
        <v>0</v>
      </c>
      <c r="AE384" s="2">
        <f t="shared" si="14"/>
        <v>0</v>
      </c>
      <c r="AF384" s="2">
        <f t="shared" si="15"/>
        <v>0</v>
      </c>
      <c r="AG384" s="2">
        <f t="shared" si="16"/>
        <v>0</v>
      </c>
      <c r="AH384" s="2">
        <f t="shared" si="17"/>
        <v>0</v>
      </c>
      <c r="AI384" s="2">
        <f t="shared" si="18"/>
      </c>
    </row>
    <row r="385">
      <c r="A385" s="43">
        <f t="shared" si="0"/>
      </c>
      <c r="B385" s="54" t="n"/>
      <c r="C385" s="45" t="n"/>
      <c r="D385" s="50" t="n"/>
      <c r="E385" s="55" t="n"/>
      <c r="F385" s="50" t="n"/>
      <c r="G385" s="55" t="n"/>
      <c r="H385" s="50" t="n"/>
      <c r="I385" s="55" t="n"/>
      <c r="J385" s="50" t="n"/>
      <c r="K385" s="55" t="n"/>
      <c r="L385" s="56" t="n"/>
      <c r="M385" s="57" t="n"/>
      <c r="N385" s="57" t="n"/>
      <c r="O385" s="57" t="n"/>
      <c r="P385" s="57" t="n"/>
      <c r="Q385" s="50" t="n"/>
      <c r="R385" s="58">
        <f t="shared" si="1"/>
      </c>
      <c r="S385" s="59">
        <f t="shared" si="2"/>
      </c>
      <c r="T385" s="43">
        <f t="shared" si="3"/>
      </c>
      <c r="U385" s="60">
        <f t="shared" si="4"/>
      </c>
      <c r="V385" s="60">
        <f t="shared" si="5"/>
      </c>
      <c r="W385" s="60">
        <f t="shared" si="6"/>
      </c>
      <c r="X385" s="49">
        <f t="shared" si="7"/>
      </c>
      <c r="Y385" s="2">
        <f t="shared" si="8"/>
      </c>
      <c r="Z385" s="2">
        <f t="shared" si="9"/>
        <v>0</v>
      </c>
      <c r="AA385" s="2">
        <f t="shared" si="10"/>
        <v>0</v>
      </c>
      <c r="AB385" s="2">
        <f t="shared" si="11"/>
        <v>0</v>
      </c>
      <c r="AC385" s="2">
        <f t="shared" si="12"/>
        <v>0</v>
      </c>
      <c r="AD385" s="2">
        <f t="shared" si="13"/>
        <v>0</v>
      </c>
      <c r="AE385" s="2">
        <f t="shared" si="14"/>
        <v>0</v>
      </c>
      <c r="AF385" s="2">
        <f t="shared" si="15"/>
        <v>0</v>
      </c>
      <c r="AG385" s="2">
        <f t="shared" si="16"/>
        <v>0</v>
      </c>
      <c r="AH385" s="2">
        <f t="shared" si="17"/>
        <v>0</v>
      </c>
      <c r="AI385" s="2">
        <f t="shared" si="18"/>
      </c>
    </row>
    <row r="386">
      <c r="A386" s="43">
        <f t="shared" si="0"/>
      </c>
      <c r="B386" s="54" t="n"/>
      <c r="C386" s="45" t="n"/>
      <c r="D386" s="50" t="n"/>
      <c r="E386" s="55" t="n"/>
      <c r="F386" s="50" t="n"/>
      <c r="G386" s="55" t="n"/>
      <c r="H386" s="50" t="n"/>
      <c r="I386" s="55" t="n"/>
      <c r="J386" s="50" t="n"/>
      <c r="K386" s="55" t="n"/>
      <c r="L386" s="56" t="n"/>
      <c r="M386" s="57" t="n"/>
      <c r="N386" s="57" t="n"/>
      <c r="O386" s="57" t="n"/>
      <c r="P386" s="57" t="n"/>
      <c r="Q386" s="50" t="n"/>
      <c r="R386" s="58">
        <f t="shared" si="1"/>
      </c>
      <c r="S386" s="59">
        <f t="shared" si="2"/>
      </c>
      <c r="T386" s="43">
        <f t="shared" si="3"/>
      </c>
      <c r="U386" s="60">
        <f t="shared" si="4"/>
      </c>
      <c r="V386" s="60">
        <f t="shared" si="5"/>
      </c>
      <c r="W386" s="60">
        <f t="shared" si="6"/>
      </c>
      <c r="X386" s="49">
        <f t="shared" si="7"/>
      </c>
      <c r="Y386" s="2">
        <f t="shared" si="8"/>
      </c>
      <c r="Z386" s="2">
        <f t="shared" si="9"/>
        <v>0</v>
      </c>
      <c r="AA386" s="2">
        <f t="shared" si="10"/>
        <v>0</v>
      </c>
      <c r="AB386" s="2">
        <f t="shared" si="11"/>
        <v>0</v>
      </c>
      <c r="AC386" s="2">
        <f t="shared" si="12"/>
        <v>0</v>
      </c>
      <c r="AD386" s="2">
        <f t="shared" si="13"/>
        <v>0</v>
      </c>
      <c r="AE386" s="2">
        <f t="shared" si="14"/>
        <v>0</v>
      </c>
      <c r="AF386" s="2">
        <f t="shared" si="15"/>
        <v>0</v>
      </c>
      <c r="AG386" s="2">
        <f t="shared" si="16"/>
        <v>0</v>
      </c>
      <c r="AH386" s="2">
        <f t="shared" si="17"/>
        <v>0</v>
      </c>
      <c r="AI386" s="2">
        <f t="shared" si="18"/>
      </c>
    </row>
    <row r="387">
      <c r="A387" s="43">
        <f t="shared" si="0"/>
      </c>
      <c r="B387" s="54" t="n"/>
      <c r="C387" s="45" t="n"/>
      <c r="D387" s="50" t="n"/>
      <c r="E387" s="55" t="n"/>
      <c r="F387" s="50" t="n"/>
      <c r="G387" s="55" t="n"/>
      <c r="H387" s="50" t="n"/>
      <c r="I387" s="55" t="n"/>
      <c r="J387" s="50" t="n"/>
      <c r="K387" s="55" t="n"/>
      <c r="L387" s="56" t="n"/>
      <c r="M387" s="57" t="n"/>
      <c r="N387" s="57" t="n"/>
      <c r="O387" s="57" t="n"/>
      <c r="P387" s="57" t="n"/>
      <c r="Q387" s="50" t="n"/>
      <c r="R387" s="58">
        <f t="shared" si="1"/>
      </c>
      <c r="S387" s="59">
        <f t="shared" si="2"/>
      </c>
      <c r="T387" s="43">
        <f t="shared" si="3"/>
      </c>
      <c r="U387" s="60">
        <f t="shared" si="4"/>
      </c>
      <c r="V387" s="60">
        <f t="shared" si="5"/>
      </c>
      <c r="W387" s="60">
        <f t="shared" si="6"/>
      </c>
      <c r="X387" s="49">
        <f t="shared" si="7"/>
      </c>
      <c r="Y387" s="2">
        <f t="shared" si="8"/>
      </c>
      <c r="Z387" s="2">
        <f t="shared" si="9"/>
        <v>0</v>
      </c>
      <c r="AA387" s="2">
        <f t="shared" si="10"/>
        <v>0</v>
      </c>
      <c r="AB387" s="2">
        <f t="shared" si="11"/>
        <v>0</v>
      </c>
      <c r="AC387" s="2">
        <f t="shared" si="12"/>
        <v>0</v>
      </c>
      <c r="AD387" s="2">
        <f t="shared" si="13"/>
        <v>0</v>
      </c>
      <c r="AE387" s="2">
        <f t="shared" si="14"/>
        <v>0</v>
      </c>
      <c r="AF387" s="2">
        <f t="shared" si="15"/>
        <v>0</v>
      </c>
      <c r="AG387" s="2">
        <f t="shared" si="16"/>
        <v>0</v>
      </c>
      <c r="AH387" s="2">
        <f t="shared" si="17"/>
        <v>0</v>
      </c>
      <c r="AI387" s="2">
        <f t="shared" si="18"/>
      </c>
    </row>
    <row r="388">
      <c r="A388" s="43">
        <f t="shared" si="0"/>
      </c>
      <c r="B388" s="54" t="n"/>
      <c r="C388" s="45" t="n"/>
      <c r="D388" s="50" t="n"/>
      <c r="E388" s="55" t="n"/>
      <c r="F388" s="50" t="n"/>
      <c r="G388" s="55" t="n"/>
      <c r="H388" s="50" t="n"/>
      <c r="I388" s="55" t="n"/>
      <c r="J388" s="50" t="n"/>
      <c r="K388" s="55" t="n"/>
      <c r="L388" s="56" t="n"/>
      <c r="M388" s="57" t="n"/>
      <c r="N388" s="57" t="n"/>
      <c r="O388" s="57" t="n"/>
      <c r="P388" s="57" t="n"/>
      <c r="Q388" s="50" t="n"/>
      <c r="R388" s="58">
        <f t="shared" si="1"/>
      </c>
      <c r="S388" s="59">
        <f t="shared" si="2"/>
      </c>
      <c r="T388" s="43">
        <f t="shared" si="3"/>
      </c>
      <c r="U388" s="60">
        <f t="shared" si="4"/>
      </c>
      <c r="V388" s="60">
        <f t="shared" si="5"/>
      </c>
      <c r="W388" s="60">
        <f t="shared" si="6"/>
      </c>
      <c r="X388" s="49">
        <f t="shared" si="7"/>
      </c>
      <c r="Y388" s="2">
        <f t="shared" si="8"/>
      </c>
      <c r="Z388" s="2">
        <f t="shared" si="9"/>
        <v>0</v>
      </c>
      <c r="AA388" s="2">
        <f t="shared" si="10"/>
        <v>0</v>
      </c>
      <c r="AB388" s="2">
        <f t="shared" si="11"/>
        <v>0</v>
      </c>
      <c r="AC388" s="2">
        <f t="shared" si="12"/>
        <v>0</v>
      </c>
      <c r="AD388" s="2">
        <f t="shared" si="13"/>
        <v>0</v>
      </c>
      <c r="AE388" s="2">
        <f t="shared" si="14"/>
        <v>0</v>
      </c>
      <c r="AF388" s="2">
        <f t="shared" si="15"/>
        <v>0</v>
      </c>
      <c r="AG388" s="2">
        <f t="shared" si="16"/>
        <v>0</v>
      </c>
      <c r="AH388" s="2">
        <f t="shared" si="17"/>
        <v>0</v>
      </c>
      <c r="AI388" s="2">
        <f t="shared" si="18"/>
      </c>
    </row>
    <row r="389">
      <c r="A389" s="43">
        <f t="shared" si="0"/>
      </c>
      <c r="B389" s="54" t="n"/>
      <c r="C389" s="45" t="n"/>
      <c r="D389" s="50" t="n"/>
      <c r="E389" s="55" t="n"/>
      <c r="F389" s="50" t="n"/>
      <c r="G389" s="55" t="n"/>
      <c r="H389" s="50" t="n"/>
      <c r="I389" s="55" t="n"/>
      <c r="J389" s="50" t="n"/>
      <c r="K389" s="55" t="n"/>
      <c r="L389" s="56" t="n"/>
      <c r="M389" s="57" t="n"/>
      <c r="N389" s="57" t="n"/>
      <c r="O389" s="57" t="n"/>
      <c r="P389" s="57" t="n"/>
      <c r="Q389" s="50" t="n"/>
      <c r="R389" s="58">
        <f t="shared" si="1"/>
      </c>
      <c r="S389" s="59">
        <f t="shared" si="2"/>
      </c>
      <c r="T389" s="43">
        <f t="shared" si="3"/>
      </c>
      <c r="U389" s="60">
        <f t="shared" si="4"/>
      </c>
      <c r="V389" s="60">
        <f t="shared" si="5"/>
      </c>
      <c r="W389" s="60">
        <f t="shared" si="6"/>
      </c>
      <c r="X389" s="49">
        <f t="shared" si="7"/>
      </c>
      <c r="Y389" s="2">
        <f t="shared" si="8"/>
      </c>
      <c r="Z389" s="2">
        <f t="shared" si="9"/>
        <v>0</v>
      </c>
      <c r="AA389" s="2">
        <f t="shared" si="10"/>
        <v>0</v>
      </c>
      <c r="AB389" s="2">
        <f t="shared" si="11"/>
        <v>0</v>
      </c>
      <c r="AC389" s="2">
        <f t="shared" si="12"/>
        <v>0</v>
      </c>
      <c r="AD389" s="2">
        <f t="shared" si="13"/>
        <v>0</v>
      </c>
      <c r="AE389" s="2">
        <f t="shared" si="14"/>
        <v>0</v>
      </c>
      <c r="AF389" s="2">
        <f t="shared" si="15"/>
        <v>0</v>
      </c>
      <c r="AG389" s="2">
        <f t="shared" si="16"/>
        <v>0</v>
      </c>
      <c r="AH389" s="2">
        <f t="shared" si="17"/>
        <v>0</v>
      </c>
      <c r="AI389" s="2">
        <f t="shared" si="18"/>
      </c>
    </row>
    <row r="390">
      <c r="A390" s="43">
        <f t="shared" si="0"/>
      </c>
      <c r="B390" s="54" t="n"/>
      <c r="C390" s="45" t="n"/>
      <c r="D390" s="50" t="n"/>
      <c r="E390" s="55" t="n"/>
      <c r="F390" s="50" t="n"/>
      <c r="G390" s="55" t="n"/>
      <c r="H390" s="50" t="n"/>
      <c r="I390" s="55" t="n"/>
      <c r="J390" s="50" t="n"/>
      <c r="K390" s="55" t="n"/>
      <c r="L390" s="56" t="n"/>
      <c r="M390" s="57" t="n"/>
      <c r="N390" s="57" t="n"/>
      <c r="O390" s="57" t="n"/>
      <c r="P390" s="57" t="n"/>
      <c r="Q390" s="50" t="n"/>
      <c r="R390" s="58">
        <f t="shared" si="1"/>
      </c>
      <c r="S390" s="59">
        <f t="shared" si="2"/>
      </c>
      <c r="T390" s="43">
        <f t="shared" si="3"/>
      </c>
      <c r="U390" s="60">
        <f t="shared" si="4"/>
      </c>
      <c r="V390" s="60">
        <f t="shared" si="5"/>
      </c>
      <c r="W390" s="60">
        <f t="shared" si="6"/>
      </c>
      <c r="X390" s="49">
        <f t="shared" si="7"/>
      </c>
      <c r="Y390" s="2">
        <f t="shared" si="8"/>
      </c>
      <c r="Z390" s="2">
        <f t="shared" si="9"/>
        <v>0</v>
      </c>
      <c r="AA390" s="2">
        <f t="shared" si="10"/>
        <v>0</v>
      </c>
      <c r="AB390" s="2">
        <f t="shared" si="11"/>
        <v>0</v>
      </c>
      <c r="AC390" s="2">
        <f t="shared" si="12"/>
        <v>0</v>
      </c>
      <c r="AD390" s="2">
        <f t="shared" si="13"/>
        <v>0</v>
      </c>
      <c r="AE390" s="2">
        <f t="shared" si="14"/>
        <v>0</v>
      </c>
      <c r="AF390" s="2">
        <f t="shared" si="15"/>
        <v>0</v>
      </c>
      <c r="AG390" s="2">
        <f t="shared" si="16"/>
        <v>0</v>
      </c>
      <c r="AH390" s="2">
        <f t="shared" si="17"/>
        <v>0</v>
      </c>
      <c r="AI390" s="2">
        <f t="shared" si="18"/>
      </c>
    </row>
    <row r="391">
      <c r="A391" s="43">
        <f t="shared" si="0"/>
      </c>
      <c r="B391" s="54" t="n"/>
      <c r="C391" s="45" t="n"/>
      <c r="D391" s="50" t="n"/>
      <c r="E391" s="55" t="n"/>
      <c r="F391" s="50" t="n"/>
      <c r="G391" s="55" t="n"/>
      <c r="H391" s="50" t="n"/>
      <c r="I391" s="55" t="n"/>
      <c r="J391" s="50" t="n"/>
      <c r="K391" s="55" t="n"/>
      <c r="L391" s="56" t="n"/>
      <c r="M391" s="57" t="n"/>
      <c r="N391" s="57" t="n"/>
      <c r="O391" s="57" t="n"/>
      <c r="P391" s="57" t="n"/>
      <c r="Q391" s="50" t="n"/>
      <c r="R391" s="58">
        <f t="shared" si="1"/>
      </c>
      <c r="S391" s="59">
        <f t="shared" si="2"/>
      </c>
      <c r="T391" s="43">
        <f t="shared" si="3"/>
      </c>
      <c r="U391" s="60">
        <f t="shared" si="4"/>
      </c>
      <c r="V391" s="60">
        <f t="shared" si="5"/>
      </c>
      <c r="W391" s="60">
        <f t="shared" si="6"/>
      </c>
      <c r="X391" s="49">
        <f t="shared" si="7"/>
      </c>
      <c r="Y391" s="2">
        <f t="shared" si="8"/>
      </c>
      <c r="Z391" s="2">
        <f t="shared" si="9"/>
        <v>0</v>
      </c>
      <c r="AA391" s="2">
        <f t="shared" si="10"/>
        <v>0</v>
      </c>
      <c r="AB391" s="2">
        <f t="shared" si="11"/>
        <v>0</v>
      </c>
      <c r="AC391" s="2">
        <f t="shared" si="12"/>
        <v>0</v>
      </c>
      <c r="AD391" s="2">
        <f t="shared" si="13"/>
        <v>0</v>
      </c>
      <c r="AE391" s="2">
        <f t="shared" si="14"/>
        <v>0</v>
      </c>
      <c r="AF391" s="2">
        <f t="shared" si="15"/>
        <v>0</v>
      </c>
      <c r="AG391" s="2">
        <f t="shared" si="16"/>
        <v>0</v>
      </c>
      <c r="AH391" s="2">
        <f t="shared" si="17"/>
        <v>0</v>
      </c>
      <c r="AI391" s="2">
        <f t="shared" si="18"/>
      </c>
    </row>
    <row r="392">
      <c r="A392" s="43">
        <f t="shared" si="0"/>
      </c>
      <c r="B392" s="54" t="n"/>
      <c r="C392" s="45" t="n"/>
      <c r="D392" s="50" t="n"/>
      <c r="E392" s="55" t="n"/>
      <c r="F392" s="50" t="n"/>
      <c r="G392" s="55" t="n"/>
      <c r="H392" s="50" t="n"/>
      <c r="I392" s="55" t="n"/>
      <c r="J392" s="50" t="n"/>
      <c r="K392" s="55" t="n"/>
      <c r="L392" s="56" t="n"/>
      <c r="M392" s="57" t="n"/>
      <c r="N392" s="57" t="n"/>
      <c r="O392" s="57" t="n"/>
      <c r="P392" s="57" t="n"/>
      <c r="Q392" s="50" t="n"/>
      <c r="R392" s="58">
        <f t="shared" si="1"/>
      </c>
      <c r="S392" s="59">
        <f t="shared" si="2"/>
      </c>
      <c r="T392" s="43">
        <f t="shared" si="3"/>
      </c>
      <c r="U392" s="60">
        <f t="shared" si="4"/>
      </c>
      <c r="V392" s="60">
        <f t="shared" si="5"/>
      </c>
      <c r="W392" s="60">
        <f t="shared" si="6"/>
      </c>
      <c r="X392" s="49">
        <f t="shared" si="7"/>
      </c>
      <c r="Y392" s="2">
        <f t="shared" si="8"/>
      </c>
      <c r="Z392" s="2">
        <f t="shared" si="9"/>
        <v>0</v>
      </c>
      <c r="AA392" s="2">
        <f t="shared" si="10"/>
        <v>0</v>
      </c>
      <c r="AB392" s="2">
        <f t="shared" si="11"/>
        <v>0</v>
      </c>
      <c r="AC392" s="2">
        <f t="shared" si="12"/>
        <v>0</v>
      </c>
      <c r="AD392" s="2">
        <f t="shared" si="13"/>
        <v>0</v>
      </c>
      <c r="AE392" s="2">
        <f t="shared" si="14"/>
        <v>0</v>
      </c>
      <c r="AF392" s="2">
        <f t="shared" si="15"/>
        <v>0</v>
      </c>
      <c r="AG392" s="2">
        <f t="shared" si="16"/>
        <v>0</v>
      </c>
      <c r="AH392" s="2">
        <f t="shared" si="17"/>
        <v>0</v>
      </c>
      <c r="AI392" s="2">
        <f t="shared" si="18"/>
      </c>
    </row>
    <row r="393">
      <c r="A393" s="43">
        <f t="shared" si="0"/>
      </c>
      <c r="B393" s="54" t="n"/>
      <c r="C393" s="45" t="n"/>
      <c r="D393" s="50" t="n"/>
      <c r="E393" s="55" t="n"/>
      <c r="F393" s="50" t="n"/>
      <c r="G393" s="55" t="n"/>
      <c r="H393" s="50" t="n"/>
      <c r="I393" s="55" t="n"/>
      <c r="J393" s="50" t="n"/>
      <c r="K393" s="55" t="n"/>
      <c r="L393" s="56" t="n"/>
      <c r="M393" s="57" t="n"/>
      <c r="N393" s="57" t="n"/>
      <c r="O393" s="57" t="n"/>
      <c r="P393" s="57" t="n"/>
      <c r="Q393" s="50" t="n"/>
      <c r="R393" s="58">
        <f t="shared" si="1"/>
      </c>
      <c r="S393" s="59">
        <f t="shared" si="2"/>
      </c>
      <c r="T393" s="43">
        <f t="shared" si="3"/>
      </c>
      <c r="U393" s="60">
        <f t="shared" si="4"/>
      </c>
      <c r="V393" s="60">
        <f t="shared" si="5"/>
      </c>
      <c r="W393" s="60">
        <f t="shared" si="6"/>
      </c>
      <c r="X393" s="49">
        <f t="shared" si="7"/>
      </c>
      <c r="Y393" s="2">
        <f t="shared" si="8"/>
      </c>
      <c r="Z393" s="2">
        <f t="shared" si="9"/>
        <v>0</v>
      </c>
      <c r="AA393" s="2">
        <f t="shared" si="10"/>
        <v>0</v>
      </c>
      <c r="AB393" s="2">
        <f t="shared" si="11"/>
        <v>0</v>
      </c>
      <c r="AC393" s="2">
        <f t="shared" si="12"/>
        <v>0</v>
      </c>
      <c r="AD393" s="2">
        <f t="shared" si="13"/>
        <v>0</v>
      </c>
      <c r="AE393" s="2">
        <f t="shared" si="14"/>
        <v>0</v>
      </c>
      <c r="AF393" s="2">
        <f t="shared" si="15"/>
        <v>0</v>
      </c>
      <c r="AG393" s="2">
        <f t="shared" si="16"/>
        <v>0</v>
      </c>
      <c r="AH393" s="2">
        <f t="shared" si="17"/>
        <v>0</v>
      </c>
      <c r="AI393" s="2">
        <f t="shared" si="18"/>
      </c>
    </row>
    <row r="394">
      <c r="A394" s="43">
        <f t="shared" si="0"/>
      </c>
      <c r="B394" s="54" t="n"/>
      <c r="C394" s="45" t="n"/>
      <c r="D394" s="50" t="n"/>
      <c r="E394" s="55" t="n"/>
      <c r="F394" s="50" t="n"/>
      <c r="G394" s="55" t="n"/>
      <c r="H394" s="50" t="n"/>
      <c r="I394" s="55" t="n"/>
      <c r="J394" s="50" t="n"/>
      <c r="K394" s="55" t="n"/>
      <c r="L394" s="56" t="n"/>
      <c r="M394" s="57" t="n"/>
      <c r="N394" s="57" t="n"/>
      <c r="O394" s="57" t="n"/>
      <c r="P394" s="57" t="n"/>
      <c r="Q394" s="50" t="n"/>
      <c r="R394" s="58">
        <f t="shared" si="1"/>
      </c>
      <c r="S394" s="59">
        <f t="shared" si="2"/>
      </c>
      <c r="T394" s="43">
        <f t="shared" si="3"/>
      </c>
      <c r="U394" s="60">
        <f t="shared" si="4"/>
      </c>
      <c r="V394" s="60">
        <f t="shared" si="5"/>
      </c>
      <c r="W394" s="60">
        <f t="shared" si="6"/>
      </c>
      <c r="X394" s="49">
        <f t="shared" si="7"/>
      </c>
      <c r="Y394" s="2">
        <f t="shared" si="8"/>
      </c>
      <c r="Z394" s="2">
        <f t="shared" si="9"/>
        <v>0</v>
      </c>
      <c r="AA394" s="2">
        <f t="shared" si="10"/>
        <v>0</v>
      </c>
      <c r="AB394" s="2">
        <f t="shared" si="11"/>
        <v>0</v>
      </c>
      <c r="AC394" s="2">
        <f t="shared" si="12"/>
        <v>0</v>
      </c>
      <c r="AD394" s="2">
        <f t="shared" si="13"/>
        <v>0</v>
      </c>
      <c r="AE394" s="2">
        <f t="shared" si="14"/>
        <v>0</v>
      </c>
      <c r="AF394" s="2">
        <f t="shared" si="15"/>
        <v>0</v>
      </c>
      <c r="AG394" s="2">
        <f t="shared" si="16"/>
        <v>0</v>
      </c>
      <c r="AH394" s="2">
        <f t="shared" si="17"/>
        <v>0</v>
      </c>
      <c r="AI394" s="2">
        <f t="shared" si="18"/>
      </c>
    </row>
    <row r="395">
      <c r="A395" s="43">
        <f t="shared" si="0"/>
      </c>
      <c r="B395" s="54" t="n"/>
      <c r="C395" s="45" t="n"/>
      <c r="D395" s="50" t="n"/>
      <c r="E395" s="55" t="n"/>
      <c r="F395" s="50" t="n"/>
      <c r="G395" s="55" t="n"/>
      <c r="H395" s="50" t="n"/>
      <c r="I395" s="55" t="n"/>
      <c r="J395" s="50" t="n"/>
      <c r="K395" s="55" t="n"/>
      <c r="L395" s="56" t="n"/>
      <c r="M395" s="57" t="n"/>
      <c r="N395" s="57" t="n"/>
      <c r="O395" s="57" t="n"/>
      <c r="P395" s="57" t="n"/>
      <c r="Q395" s="50" t="n"/>
      <c r="R395" s="58">
        <f t="shared" si="1"/>
      </c>
      <c r="S395" s="59">
        <f t="shared" si="2"/>
      </c>
      <c r="T395" s="43">
        <f t="shared" si="3"/>
      </c>
      <c r="U395" s="60">
        <f t="shared" si="4"/>
      </c>
      <c r="V395" s="60">
        <f t="shared" si="5"/>
      </c>
      <c r="W395" s="60">
        <f t="shared" si="6"/>
      </c>
      <c r="X395" s="49">
        <f t="shared" si="7"/>
      </c>
      <c r="Y395" s="2">
        <f t="shared" si="8"/>
      </c>
      <c r="Z395" s="2">
        <f t="shared" si="9"/>
        <v>0</v>
      </c>
      <c r="AA395" s="2">
        <f t="shared" si="10"/>
        <v>0</v>
      </c>
      <c r="AB395" s="2">
        <f t="shared" si="11"/>
        <v>0</v>
      </c>
      <c r="AC395" s="2">
        <f t="shared" si="12"/>
        <v>0</v>
      </c>
      <c r="AD395" s="2">
        <f t="shared" si="13"/>
        <v>0</v>
      </c>
      <c r="AE395" s="2">
        <f t="shared" si="14"/>
        <v>0</v>
      </c>
      <c r="AF395" s="2">
        <f t="shared" si="15"/>
        <v>0</v>
      </c>
      <c r="AG395" s="2">
        <f t="shared" si="16"/>
        <v>0</v>
      </c>
      <c r="AH395" s="2">
        <f t="shared" si="17"/>
        <v>0</v>
      </c>
      <c r="AI395" s="2">
        <f t="shared" si="18"/>
      </c>
    </row>
    <row r="396">
      <c r="A396" s="43">
        <f t="shared" si="0"/>
      </c>
      <c r="B396" s="54" t="n"/>
      <c r="C396" s="45" t="n"/>
      <c r="D396" s="50" t="n"/>
      <c r="E396" s="55" t="n"/>
      <c r="F396" s="50" t="n"/>
      <c r="G396" s="55" t="n"/>
      <c r="H396" s="50" t="n"/>
      <c r="I396" s="55" t="n"/>
      <c r="J396" s="50" t="n"/>
      <c r="K396" s="55" t="n"/>
      <c r="L396" s="56" t="n"/>
      <c r="M396" s="57" t="n"/>
      <c r="N396" s="57" t="n"/>
      <c r="O396" s="57" t="n"/>
      <c r="P396" s="57" t="n"/>
      <c r="Q396" s="50" t="n"/>
      <c r="R396" s="58">
        <f t="shared" si="1"/>
      </c>
      <c r="S396" s="59">
        <f t="shared" si="2"/>
      </c>
      <c r="T396" s="43">
        <f t="shared" si="3"/>
      </c>
      <c r="U396" s="60">
        <f t="shared" si="4"/>
      </c>
      <c r="V396" s="60">
        <f t="shared" si="5"/>
      </c>
      <c r="W396" s="60">
        <f t="shared" si="6"/>
      </c>
      <c r="X396" s="49">
        <f t="shared" si="7"/>
      </c>
      <c r="Y396" s="2">
        <f t="shared" si="8"/>
      </c>
      <c r="Z396" s="2">
        <f t="shared" si="9"/>
        <v>0</v>
      </c>
      <c r="AA396" s="2">
        <f t="shared" si="10"/>
        <v>0</v>
      </c>
      <c r="AB396" s="2">
        <f t="shared" si="11"/>
        <v>0</v>
      </c>
      <c r="AC396" s="2">
        <f t="shared" si="12"/>
        <v>0</v>
      </c>
      <c r="AD396" s="2">
        <f t="shared" si="13"/>
        <v>0</v>
      </c>
      <c r="AE396" s="2">
        <f t="shared" si="14"/>
        <v>0</v>
      </c>
      <c r="AF396" s="2">
        <f t="shared" si="15"/>
        <v>0</v>
      </c>
      <c r="AG396" s="2">
        <f t="shared" si="16"/>
        <v>0</v>
      </c>
      <c r="AH396" s="2">
        <f t="shared" si="17"/>
        <v>0</v>
      </c>
      <c r="AI396" s="2">
        <f t="shared" si="18"/>
      </c>
    </row>
    <row r="397">
      <c r="A397" s="43">
        <f t="shared" si="0"/>
      </c>
      <c r="B397" s="54" t="n"/>
      <c r="C397" s="45" t="n"/>
      <c r="D397" s="50" t="n"/>
      <c r="E397" s="55" t="n"/>
      <c r="F397" s="50" t="n"/>
      <c r="G397" s="55" t="n"/>
      <c r="H397" s="50" t="n"/>
      <c r="I397" s="55" t="n"/>
      <c r="J397" s="50" t="n"/>
      <c r="K397" s="55" t="n"/>
      <c r="L397" s="56" t="n"/>
      <c r="M397" s="57" t="n"/>
      <c r="N397" s="57" t="n"/>
      <c r="O397" s="57" t="n"/>
      <c r="P397" s="57" t="n"/>
      <c r="Q397" s="50" t="n"/>
      <c r="R397" s="58">
        <f t="shared" si="1"/>
      </c>
      <c r="S397" s="59">
        <f t="shared" si="2"/>
      </c>
      <c r="T397" s="43">
        <f t="shared" si="3"/>
      </c>
      <c r="U397" s="60">
        <f t="shared" si="4"/>
      </c>
      <c r="V397" s="60">
        <f t="shared" si="5"/>
      </c>
      <c r="W397" s="60">
        <f t="shared" si="6"/>
      </c>
      <c r="X397" s="49">
        <f t="shared" si="7"/>
      </c>
      <c r="Y397" s="2">
        <f t="shared" si="8"/>
      </c>
      <c r="Z397" s="2">
        <f t="shared" si="9"/>
        <v>0</v>
      </c>
      <c r="AA397" s="2">
        <f t="shared" si="10"/>
        <v>0</v>
      </c>
      <c r="AB397" s="2">
        <f t="shared" si="11"/>
        <v>0</v>
      </c>
      <c r="AC397" s="2">
        <f t="shared" si="12"/>
        <v>0</v>
      </c>
      <c r="AD397" s="2">
        <f t="shared" si="13"/>
        <v>0</v>
      </c>
      <c r="AE397" s="2">
        <f t="shared" si="14"/>
        <v>0</v>
      </c>
      <c r="AF397" s="2">
        <f t="shared" si="15"/>
        <v>0</v>
      </c>
      <c r="AG397" s="2">
        <f t="shared" si="16"/>
        <v>0</v>
      </c>
      <c r="AH397" s="2">
        <f t="shared" si="17"/>
        <v>0</v>
      </c>
      <c r="AI397" s="2">
        <f t="shared" si="18"/>
      </c>
    </row>
    <row r="398">
      <c r="A398" s="43">
        <f t="shared" si="0"/>
      </c>
      <c r="B398" s="54" t="n"/>
      <c r="C398" s="45" t="n"/>
      <c r="D398" s="50" t="n"/>
      <c r="E398" s="55" t="n"/>
      <c r="F398" s="50" t="n"/>
      <c r="G398" s="55" t="n"/>
      <c r="H398" s="50" t="n"/>
      <c r="I398" s="55" t="n"/>
      <c r="J398" s="50" t="n"/>
      <c r="K398" s="55" t="n"/>
      <c r="L398" s="56" t="n"/>
      <c r="M398" s="57" t="n"/>
      <c r="N398" s="57" t="n"/>
      <c r="O398" s="57" t="n"/>
      <c r="P398" s="57" t="n"/>
      <c r="Q398" s="50" t="n"/>
      <c r="R398" s="58">
        <f t="shared" si="1"/>
      </c>
      <c r="S398" s="59">
        <f t="shared" si="2"/>
      </c>
      <c r="T398" s="43">
        <f t="shared" si="3"/>
      </c>
      <c r="U398" s="60">
        <f t="shared" si="4"/>
      </c>
      <c r="V398" s="60">
        <f t="shared" si="5"/>
      </c>
      <c r="W398" s="60">
        <f t="shared" si="6"/>
      </c>
      <c r="X398" s="49">
        <f t="shared" si="7"/>
      </c>
      <c r="Y398" s="2">
        <f t="shared" si="8"/>
      </c>
      <c r="Z398" s="2">
        <f t="shared" si="9"/>
        <v>0</v>
      </c>
      <c r="AA398" s="2">
        <f t="shared" si="10"/>
        <v>0</v>
      </c>
      <c r="AB398" s="2">
        <f t="shared" si="11"/>
        <v>0</v>
      </c>
      <c r="AC398" s="2">
        <f t="shared" si="12"/>
        <v>0</v>
      </c>
      <c r="AD398" s="2">
        <f t="shared" si="13"/>
        <v>0</v>
      </c>
      <c r="AE398" s="2">
        <f t="shared" si="14"/>
        <v>0</v>
      </c>
      <c r="AF398" s="2">
        <f t="shared" si="15"/>
        <v>0</v>
      </c>
      <c r="AG398" s="2">
        <f t="shared" si="16"/>
        <v>0</v>
      </c>
      <c r="AH398" s="2">
        <f t="shared" si="17"/>
        <v>0</v>
      </c>
      <c r="AI398" s="2">
        <f t="shared" si="18"/>
      </c>
    </row>
    <row r="399">
      <c r="A399" s="43">
        <f t="shared" si="0"/>
      </c>
      <c r="B399" s="54" t="n"/>
      <c r="C399" s="45" t="n"/>
      <c r="D399" s="50" t="n"/>
      <c r="E399" s="55" t="n"/>
      <c r="F399" s="50" t="n"/>
      <c r="G399" s="55" t="n"/>
      <c r="H399" s="50" t="n"/>
      <c r="I399" s="55" t="n"/>
      <c r="J399" s="50" t="n"/>
      <c r="K399" s="55" t="n"/>
      <c r="L399" s="56" t="n"/>
      <c r="M399" s="57" t="n"/>
      <c r="N399" s="57" t="n"/>
      <c r="O399" s="57" t="n"/>
      <c r="P399" s="57" t="n"/>
      <c r="Q399" s="50" t="n"/>
      <c r="R399" s="58">
        <f t="shared" si="1"/>
      </c>
      <c r="S399" s="59">
        <f t="shared" si="2"/>
      </c>
      <c r="T399" s="43">
        <f t="shared" si="3"/>
      </c>
      <c r="U399" s="60">
        <f t="shared" si="4"/>
      </c>
      <c r="V399" s="60">
        <f t="shared" si="5"/>
      </c>
      <c r="W399" s="60">
        <f t="shared" si="6"/>
      </c>
      <c r="X399" s="49">
        <f t="shared" si="7"/>
      </c>
      <c r="Y399" s="2">
        <f t="shared" si="8"/>
      </c>
      <c r="Z399" s="2">
        <f t="shared" si="9"/>
        <v>0</v>
      </c>
      <c r="AA399" s="2">
        <f t="shared" si="10"/>
        <v>0</v>
      </c>
      <c r="AB399" s="2">
        <f t="shared" si="11"/>
        <v>0</v>
      </c>
      <c r="AC399" s="2">
        <f t="shared" si="12"/>
        <v>0</v>
      </c>
      <c r="AD399" s="2">
        <f t="shared" si="13"/>
        <v>0</v>
      </c>
      <c r="AE399" s="2">
        <f t="shared" si="14"/>
        <v>0</v>
      </c>
      <c r="AF399" s="2">
        <f t="shared" si="15"/>
        <v>0</v>
      </c>
      <c r="AG399" s="2">
        <f t="shared" si="16"/>
        <v>0</v>
      </c>
      <c r="AH399" s="2">
        <f t="shared" si="17"/>
        <v>0</v>
      </c>
      <c r="AI399" s="2">
        <f t="shared" si="18"/>
      </c>
    </row>
    <row r="400">
      <c r="A400" s="43">
        <f t="shared" si="0"/>
      </c>
      <c r="B400" s="54" t="n"/>
      <c r="C400" s="45" t="n"/>
      <c r="D400" s="50" t="n"/>
      <c r="E400" s="55" t="n"/>
      <c r="F400" s="50" t="n"/>
      <c r="G400" s="55" t="n"/>
      <c r="H400" s="50" t="n"/>
      <c r="I400" s="55" t="n"/>
      <c r="J400" s="50" t="n"/>
      <c r="K400" s="55" t="n"/>
      <c r="L400" s="56" t="n"/>
      <c r="M400" s="57" t="n"/>
      <c r="N400" s="57" t="n"/>
      <c r="O400" s="57" t="n"/>
      <c r="P400" s="57" t="n"/>
      <c r="Q400" s="50" t="n"/>
      <c r="R400" s="58">
        <f t="shared" si="1"/>
      </c>
      <c r="S400" s="59">
        <f t="shared" si="2"/>
      </c>
      <c r="T400" s="43">
        <f t="shared" si="3"/>
      </c>
      <c r="U400" s="60">
        <f t="shared" si="4"/>
      </c>
      <c r="V400" s="60">
        <f t="shared" si="5"/>
      </c>
      <c r="W400" s="60">
        <f t="shared" si="6"/>
      </c>
      <c r="X400" s="49">
        <f t="shared" si="7"/>
      </c>
      <c r="Y400" s="2">
        <f t="shared" si="8"/>
      </c>
      <c r="Z400" s="2">
        <f t="shared" si="9"/>
        <v>0</v>
      </c>
      <c r="AA400" s="2">
        <f t="shared" si="10"/>
        <v>0</v>
      </c>
      <c r="AB400" s="2">
        <f t="shared" si="11"/>
        <v>0</v>
      </c>
      <c r="AC400" s="2">
        <f t="shared" si="12"/>
        <v>0</v>
      </c>
      <c r="AD400" s="2">
        <f t="shared" si="13"/>
        <v>0</v>
      </c>
      <c r="AE400" s="2">
        <f t="shared" si="14"/>
        <v>0</v>
      </c>
      <c r="AF400" s="2">
        <f t="shared" si="15"/>
        <v>0</v>
      </c>
      <c r="AG400" s="2">
        <f t="shared" si="16"/>
        <v>0</v>
      </c>
      <c r="AH400" s="2">
        <f t="shared" si="17"/>
        <v>0</v>
      </c>
      <c r="AI400" s="2">
        <f t="shared" si="18"/>
      </c>
    </row>
    <row r="401">
      <c r="A401" s="43">
        <f t="shared" si="0"/>
      </c>
      <c r="B401" s="54" t="n"/>
      <c r="C401" s="45" t="n"/>
      <c r="D401" s="50" t="n"/>
      <c r="E401" s="55" t="n"/>
      <c r="F401" s="50" t="n"/>
      <c r="G401" s="55" t="n"/>
      <c r="H401" s="50" t="n"/>
      <c r="I401" s="55" t="n"/>
      <c r="J401" s="50" t="n"/>
      <c r="K401" s="55" t="n"/>
      <c r="L401" s="56" t="n"/>
      <c r="M401" s="57" t="n"/>
      <c r="N401" s="57" t="n"/>
      <c r="O401" s="57" t="n"/>
      <c r="P401" s="57" t="n"/>
      <c r="Q401" s="50" t="n"/>
      <c r="R401" s="58">
        <f t="shared" si="1"/>
      </c>
      <c r="S401" s="59">
        <f t="shared" si="2"/>
      </c>
      <c r="T401" s="43">
        <f t="shared" si="3"/>
      </c>
      <c r="U401" s="60">
        <f t="shared" si="4"/>
      </c>
      <c r="V401" s="60">
        <f t="shared" si="5"/>
      </c>
      <c r="W401" s="60">
        <f t="shared" si="6"/>
      </c>
      <c r="X401" s="49">
        <f t="shared" si="7"/>
      </c>
      <c r="Y401" s="2">
        <f t="shared" si="8"/>
      </c>
      <c r="Z401" s="2">
        <f t="shared" si="9"/>
        <v>0</v>
      </c>
      <c r="AA401" s="2">
        <f t="shared" si="10"/>
        <v>0</v>
      </c>
      <c r="AB401" s="2">
        <f t="shared" si="11"/>
        <v>0</v>
      </c>
      <c r="AC401" s="2">
        <f t="shared" si="12"/>
        <v>0</v>
      </c>
      <c r="AD401" s="2">
        <f t="shared" si="13"/>
        <v>0</v>
      </c>
      <c r="AE401" s="2">
        <f t="shared" si="14"/>
        <v>0</v>
      </c>
      <c r="AF401" s="2">
        <f t="shared" si="15"/>
        <v>0</v>
      </c>
      <c r="AG401" s="2">
        <f t="shared" si="16"/>
        <v>0</v>
      </c>
      <c r="AH401" s="2">
        <f t="shared" si="17"/>
        <v>0</v>
      </c>
      <c r="AI401" s="2">
        <f t="shared" si="18"/>
      </c>
    </row>
    <row r="402">
      <c r="A402" s="43">
        <f t="shared" si="0"/>
      </c>
      <c r="B402" s="54" t="n"/>
      <c r="C402" s="45" t="n"/>
      <c r="D402" s="50" t="n"/>
      <c r="E402" s="55" t="n"/>
      <c r="F402" s="50" t="n"/>
      <c r="G402" s="55" t="n"/>
      <c r="H402" s="50" t="n"/>
      <c r="I402" s="55" t="n"/>
      <c r="J402" s="50" t="n"/>
      <c r="K402" s="55" t="n"/>
      <c r="L402" s="56" t="n"/>
      <c r="M402" s="57" t="n"/>
      <c r="N402" s="57" t="n"/>
      <c r="O402" s="57" t="n"/>
      <c r="P402" s="57" t="n"/>
      <c r="Q402" s="50" t="n"/>
      <c r="R402" s="58">
        <f t="shared" si="1"/>
      </c>
      <c r="S402" s="59">
        <f t="shared" si="2"/>
      </c>
      <c r="T402" s="43">
        <f t="shared" si="3"/>
      </c>
      <c r="U402" s="60">
        <f t="shared" si="4"/>
      </c>
      <c r="V402" s="60">
        <f t="shared" si="5"/>
      </c>
      <c r="W402" s="60">
        <f t="shared" si="6"/>
      </c>
      <c r="X402" s="49">
        <f t="shared" si="7"/>
      </c>
      <c r="Y402" s="2">
        <f t="shared" si="8"/>
      </c>
      <c r="Z402" s="2">
        <f t="shared" si="9"/>
        <v>0</v>
      </c>
      <c r="AA402" s="2">
        <f t="shared" si="10"/>
        <v>0</v>
      </c>
      <c r="AB402" s="2">
        <f t="shared" si="11"/>
        <v>0</v>
      </c>
      <c r="AC402" s="2">
        <f t="shared" si="12"/>
        <v>0</v>
      </c>
      <c r="AD402" s="2">
        <f t="shared" si="13"/>
        <v>0</v>
      </c>
      <c r="AE402" s="2">
        <f t="shared" si="14"/>
        <v>0</v>
      </c>
      <c r="AF402" s="2">
        <f t="shared" si="15"/>
        <v>0</v>
      </c>
      <c r="AG402" s="2">
        <f t="shared" si="16"/>
        <v>0</v>
      </c>
      <c r="AH402" s="2">
        <f t="shared" si="17"/>
        <v>0</v>
      </c>
      <c r="AI402" s="2">
        <f t="shared" si="18"/>
      </c>
    </row>
    <row r="403">
      <c r="A403" s="43">
        <f t="shared" si="0"/>
      </c>
      <c r="B403" s="54" t="n"/>
      <c r="C403" s="45" t="n"/>
      <c r="D403" s="50" t="n"/>
      <c r="E403" s="55" t="n"/>
      <c r="F403" s="50" t="n"/>
      <c r="G403" s="55" t="n"/>
      <c r="H403" s="50" t="n"/>
      <c r="I403" s="55" t="n"/>
      <c r="J403" s="50" t="n"/>
      <c r="K403" s="55" t="n"/>
      <c r="L403" s="56" t="n"/>
      <c r="M403" s="57" t="n"/>
      <c r="N403" s="57" t="n"/>
      <c r="O403" s="57" t="n"/>
      <c r="P403" s="57" t="n"/>
      <c r="Q403" s="50" t="n"/>
      <c r="R403" s="58">
        <f t="shared" si="1"/>
      </c>
      <c r="S403" s="59">
        <f t="shared" si="2"/>
      </c>
      <c r="T403" s="43">
        <f t="shared" si="3"/>
      </c>
      <c r="U403" s="60">
        <f t="shared" si="4"/>
      </c>
      <c r="V403" s="60">
        <f t="shared" si="5"/>
      </c>
      <c r="W403" s="60">
        <f t="shared" si="6"/>
      </c>
      <c r="X403" s="49">
        <f t="shared" si="7"/>
      </c>
      <c r="Y403" s="2">
        <f t="shared" si="8"/>
      </c>
      <c r="Z403" s="2">
        <f t="shared" si="9"/>
        <v>0</v>
      </c>
      <c r="AA403" s="2">
        <f t="shared" si="10"/>
        <v>0</v>
      </c>
      <c r="AB403" s="2">
        <f t="shared" si="11"/>
        <v>0</v>
      </c>
      <c r="AC403" s="2">
        <f t="shared" si="12"/>
        <v>0</v>
      </c>
      <c r="AD403" s="2">
        <f t="shared" si="13"/>
        <v>0</v>
      </c>
      <c r="AE403" s="2">
        <f t="shared" si="14"/>
        <v>0</v>
      </c>
      <c r="AF403" s="2">
        <f t="shared" si="15"/>
        <v>0</v>
      </c>
      <c r="AG403" s="2">
        <f t="shared" si="16"/>
        <v>0</v>
      </c>
      <c r="AH403" s="2">
        <f t="shared" si="17"/>
        <v>0</v>
      </c>
      <c r="AI403" s="2">
        <f t="shared" si="18"/>
      </c>
    </row>
    <row r="404">
      <c r="A404" s="43">
        <f t="shared" si="0"/>
      </c>
      <c r="B404" s="54" t="n"/>
      <c r="C404" s="45" t="n"/>
      <c r="D404" s="50" t="n"/>
      <c r="E404" s="55" t="n"/>
      <c r="F404" s="50" t="n"/>
      <c r="G404" s="55" t="n"/>
      <c r="H404" s="50" t="n"/>
      <c r="I404" s="55" t="n"/>
      <c r="J404" s="50" t="n"/>
      <c r="K404" s="55" t="n"/>
      <c r="L404" s="56" t="n"/>
      <c r="M404" s="57" t="n"/>
      <c r="N404" s="57" t="n"/>
      <c r="O404" s="57" t="n"/>
      <c r="P404" s="57" t="n"/>
      <c r="Q404" s="50" t="n"/>
      <c r="R404" s="58">
        <f t="shared" si="1"/>
      </c>
      <c r="S404" s="59">
        <f t="shared" si="2"/>
      </c>
      <c r="T404" s="43">
        <f t="shared" si="3"/>
      </c>
      <c r="U404" s="60">
        <f t="shared" si="4"/>
      </c>
      <c r="V404" s="60">
        <f t="shared" si="5"/>
      </c>
      <c r="W404" s="60">
        <f t="shared" si="6"/>
      </c>
      <c r="X404" s="49">
        <f t="shared" si="7"/>
      </c>
      <c r="Y404" s="2">
        <f t="shared" si="8"/>
      </c>
      <c r="Z404" s="2">
        <f t="shared" si="9"/>
        <v>0</v>
      </c>
      <c r="AA404" s="2">
        <f t="shared" si="10"/>
        <v>0</v>
      </c>
      <c r="AB404" s="2">
        <f t="shared" si="11"/>
        <v>0</v>
      </c>
      <c r="AC404" s="2">
        <f t="shared" si="12"/>
        <v>0</v>
      </c>
      <c r="AD404" s="2">
        <f t="shared" si="13"/>
        <v>0</v>
      </c>
      <c r="AE404" s="2">
        <f t="shared" si="14"/>
        <v>0</v>
      </c>
      <c r="AF404" s="2">
        <f t="shared" si="15"/>
        <v>0</v>
      </c>
      <c r="AG404" s="2">
        <f t="shared" si="16"/>
        <v>0</v>
      </c>
      <c r="AH404" s="2">
        <f t="shared" si="17"/>
        <v>0</v>
      </c>
      <c r="AI404" s="2">
        <f t="shared" si="18"/>
      </c>
    </row>
    <row r="405">
      <c r="A405" s="43">
        <f t="shared" si="0"/>
      </c>
      <c r="B405" s="54" t="n"/>
      <c r="C405" s="45" t="n"/>
      <c r="D405" s="50" t="n"/>
      <c r="E405" s="55" t="n"/>
      <c r="F405" s="50" t="n"/>
      <c r="G405" s="55" t="n"/>
      <c r="H405" s="50" t="n"/>
      <c r="I405" s="55" t="n"/>
      <c r="J405" s="50" t="n"/>
      <c r="K405" s="55" t="n"/>
      <c r="L405" s="56" t="n"/>
      <c r="M405" s="57" t="n"/>
      <c r="N405" s="57" t="n"/>
      <c r="O405" s="57" t="n"/>
      <c r="P405" s="57" t="n"/>
      <c r="Q405" s="50" t="n"/>
      <c r="R405" s="58">
        <f t="shared" si="1"/>
      </c>
      <c r="S405" s="59">
        <f t="shared" si="2"/>
      </c>
      <c r="T405" s="43">
        <f t="shared" si="3"/>
      </c>
      <c r="U405" s="60">
        <f t="shared" si="4"/>
      </c>
      <c r="V405" s="60">
        <f t="shared" si="5"/>
      </c>
      <c r="W405" s="60">
        <f t="shared" si="6"/>
      </c>
      <c r="X405" s="49">
        <f t="shared" si="7"/>
      </c>
      <c r="Y405" s="2">
        <f t="shared" si="8"/>
      </c>
      <c r="Z405" s="2">
        <f t="shared" si="9"/>
        <v>0</v>
      </c>
      <c r="AA405" s="2">
        <f t="shared" si="10"/>
        <v>0</v>
      </c>
      <c r="AB405" s="2">
        <f t="shared" si="11"/>
        <v>0</v>
      </c>
      <c r="AC405" s="2">
        <f t="shared" si="12"/>
        <v>0</v>
      </c>
      <c r="AD405" s="2">
        <f t="shared" si="13"/>
        <v>0</v>
      </c>
      <c r="AE405" s="2">
        <f t="shared" si="14"/>
        <v>0</v>
      </c>
      <c r="AF405" s="2">
        <f t="shared" si="15"/>
        <v>0</v>
      </c>
      <c r="AG405" s="2">
        <f t="shared" si="16"/>
        <v>0</v>
      </c>
      <c r="AH405" s="2">
        <f t="shared" si="17"/>
        <v>0</v>
      </c>
      <c r="AI405" s="2">
        <f t="shared" si="18"/>
      </c>
    </row>
    <row r="406">
      <c r="A406" s="43">
        <f t="shared" si="0"/>
      </c>
      <c r="B406" s="54" t="n"/>
      <c r="C406" s="45" t="n"/>
      <c r="D406" s="50" t="n"/>
      <c r="E406" s="55" t="n"/>
      <c r="F406" s="50" t="n"/>
      <c r="G406" s="55" t="n"/>
      <c r="H406" s="50" t="n"/>
      <c r="I406" s="55" t="n"/>
      <c r="J406" s="50" t="n"/>
      <c r="K406" s="55" t="n"/>
      <c r="L406" s="56" t="n"/>
      <c r="M406" s="57" t="n"/>
      <c r="N406" s="57" t="n"/>
      <c r="O406" s="57" t="n"/>
      <c r="P406" s="57" t="n"/>
      <c r="Q406" s="50" t="n"/>
      <c r="R406" s="58">
        <f t="shared" si="1"/>
      </c>
      <c r="S406" s="59">
        <f t="shared" si="2"/>
      </c>
      <c r="T406" s="43">
        <f t="shared" si="3"/>
      </c>
      <c r="U406" s="60">
        <f t="shared" si="4"/>
      </c>
      <c r="V406" s="60">
        <f t="shared" si="5"/>
      </c>
      <c r="W406" s="60">
        <f t="shared" si="6"/>
      </c>
      <c r="X406" s="49">
        <f t="shared" si="7"/>
      </c>
      <c r="Y406" s="2">
        <f t="shared" si="8"/>
      </c>
      <c r="Z406" s="2">
        <f t="shared" si="9"/>
        <v>0</v>
      </c>
      <c r="AA406" s="2">
        <f t="shared" si="10"/>
        <v>0</v>
      </c>
      <c r="AB406" s="2">
        <f t="shared" si="11"/>
        <v>0</v>
      </c>
      <c r="AC406" s="2">
        <f t="shared" si="12"/>
        <v>0</v>
      </c>
      <c r="AD406" s="2">
        <f t="shared" si="13"/>
        <v>0</v>
      </c>
      <c r="AE406" s="2">
        <f t="shared" si="14"/>
        <v>0</v>
      </c>
      <c r="AF406" s="2">
        <f t="shared" si="15"/>
        <v>0</v>
      </c>
      <c r="AG406" s="2">
        <f t="shared" si="16"/>
        <v>0</v>
      </c>
      <c r="AH406" s="2">
        <f t="shared" si="17"/>
        <v>0</v>
      </c>
      <c r="AI406" s="2">
        <f t="shared" si="18"/>
      </c>
    </row>
    <row r="407">
      <c r="A407" s="43">
        <f t="shared" si="0"/>
      </c>
      <c r="B407" s="54" t="n"/>
      <c r="C407" s="45" t="n"/>
      <c r="D407" s="50" t="n"/>
      <c r="E407" s="55" t="n"/>
      <c r="F407" s="50" t="n"/>
      <c r="G407" s="55" t="n"/>
      <c r="H407" s="50" t="n"/>
      <c r="I407" s="55" t="n"/>
      <c r="J407" s="50" t="n"/>
      <c r="K407" s="55" t="n"/>
      <c r="L407" s="56" t="n"/>
      <c r="M407" s="57" t="n"/>
      <c r="N407" s="57" t="n"/>
      <c r="O407" s="57" t="n"/>
      <c r="P407" s="57" t="n"/>
      <c r="Q407" s="50" t="n"/>
      <c r="R407" s="58">
        <f t="shared" si="1"/>
      </c>
      <c r="S407" s="59">
        <f t="shared" si="2"/>
      </c>
      <c r="T407" s="43">
        <f t="shared" si="3"/>
      </c>
      <c r="U407" s="60">
        <f t="shared" si="4"/>
      </c>
      <c r="V407" s="60">
        <f t="shared" si="5"/>
      </c>
      <c r="W407" s="60">
        <f t="shared" si="6"/>
      </c>
      <c r="X407" s="49">
        <f t="shared" si="7"/>
      </c>
      <c r="Y407" s="2">
        <f t="shared" si="8"/>
      </c>
      <c r="Z407" s="2">
        <f t="shared" si="9"/>
        <v>0</v>
      </c>
      <c r="AA407" s="2">
        <f t="shared" si="10"/>
        <v>0</v>
      </c>
      <c r="AB407" s="2">
        <f t="shared" si="11"/>
        <v>0</v>
      </c>
      <c r="AC407" s="2">
        <f t="shared" si="12"/>
        <v>0</v>
      </c>
      <c r="AD407" s="2">
        <f t="shared" si="13"/>
        <v>0</v>
      </c>
      <c r="AE407" s="2">
        <f t="shared" si="14"/>
        <v>0</v>
      </c>
      <c r="AF407" s="2">
        <f t="shared" si="15"/>
        <v>0</v>
      </c>
      <c r="AG407" s="2">
        <f t="shared" si="16"/>
        <v>0</v>
      </c>
      <c r="AH407" s="2">
        <f t="shared" si="17"/>
        <v>0</v>
      </c>
      <c r="AI407" s="2">
        <f t="shared" si="18"/>
      </c>
    </row>
    <row r="408">
      <c r="A408" s="43">
        <f t="shared" si="0"/>
      </c>
      <c r="B408" s="54" t="n"/>
      <c r="C408" s="45" t="n"/>
      <c r="D408" s="50" t="n"/>
      <c r="E408" s="55" t="n"/>
      <c r="F408" s="50" t="n"/>
      <c r="G408" s="55" t="n"/>
      <c r="H408" s="50" t="n"/>
      <c r="I408" s="55" t="n"/>
      <c r="J408" s="50" t="n"/>
      <c r="K408" s="55" t="n"/>
      <c r="L408" s="56" t="n"/>
      <c r="M408" s="57" t="n"/>
      <c r="N408" s="57" t="n"/>
      <c r="O408" s="57" t="n"/>
      <c r="P408" s="57" t="n"/>
      <c r="Q408" s="50" t="n"/>
      <c r="R408" s="58">
        <f t="shared" si="1"/>
      </c>
      <c r="S408" s="59">
        <f t="shared" si="2"/>
      </c>
      <c r="T408" s="43">
        <f t="shared" si="3"/>
      </c>
      <c r="U408" s="60">
        <f t="shared" si="4"/>
      </c>
      <c r="V408" s="60">
        <f t="shared" si="5"/>
      </c>
      <c r="W408" s="60">
        <f t="shared" si="6"/>
      </c>
      <c r="X408" s="49">
        <f t="shared" si="7"/>
      </c>
      <c r="Y408" s="2">
        <f t="shared" si="8"/>
      </c>
      <c r="Z408" s="2">
        <f t="shared" si="9"/>
        <v>0</v>
      </c>
      <c r="AA408" s="2">
        <f t="shared" si="10"/>
        <v>0</v>
      </c>
      <c r="AB408" s="2">
        <f t="shared" si="11"/>
        <v>0</v>
      </c>
      <c r="AC408" s="2">
        <f t="shared" si="12"/>
        <v>0</v>
      </c>
      <c r="AD408" s="2">
        <f t="shared" si="13"/>
        <v>0</v>
      </c>
      <c r="AE408" s="2">
        <f t="shared" si="14"/>
        <v>0</v>
      </c>
      <c r="AF408" s="2">
        <f t="shared" si="15"/>
        <v>0</v>
      </c>
      <c r="AG408" s="2">
        <f t="shared" si="16"/>
        <v>0</v>
      </c>
      <c r="AH408" s="2">
        <f t="shared" si="17"/>
        <v>0</v>
      </c>
      <c r="AI408" s="2">
        <f t="shared" si="18"/>
      </c>
    </row>
    <row r="409">
      <c r="A409" s="43">
        <f t="shared" si="0"/>
      </c>
      <c r="B409" s="54" t="n"/>
      <c r="C409" s="45" t="n"/>
      <c r="D409" s="50" t="n"/>
      <c r="E409" s="55" t="n"/>
      <c r="F409" s="50" t="n"/>
      <c r="G409" s="55" t="n"/>
      <c r="H409" s="50" t="n"/>
      <c r="I409" s="55" t="n"/>
      <c r="J409" s="50" t="n"/>
      <c r="K409" s="55" t="n"/>
      <c r="L409" s="56" t="n"/>
      <c r="M409" s="57" t="n"/>
      <c r="N409" s="57" t="n"/>
      <c r="O409" s="57" t="n"/>
      <c r="P409" s="57" t="n"/>
      <c r="Q409" s="50" t="n"/>
      <c r="R409" s="58">
        <f t="shared" si="1"/>
      </c>
      <c r="S409" s="59">
        <f t="shared" si="2"/>
      </c>
      <c r="T409" s="43">
        <f t="shared" si="3"/>
      </c>
      <c r="U409" s="60">
        <f t="shared" si="4"/>
      </c>
      <c r="V409" s="60">
        <f t="shared" si="5"/>
      </c>
      <c r="W409" s="60">
        <f t="shared" si="6"/>
      </c>
      <c r="X409" s="49">
        <f t="shared" si="7"/>
      </c>
      <c r="Y409" s="2">
        <f t="shared" si="8"/>
      </c>
      <c r="Z409" s="2">
        <f t="shared" si="9"/>
        <v>0</v>
      </c>
      <c r="AA409" s="2">
        <f t="shared" si="10"/>
        <v>0</v>
      </c>
      <c r="AB409" s="2">
        <f t="shared" si="11"/>
        <v>0</v>
      </c>
      <c r="AC409" s="2">
        <f t="shared" si="12"/>
        <v>0</v>
      </c>
      <c r="AD409" s="2">
        <f t="shared" si="13"/>
        <v>0</v>
      </c>
      <c r="AE409" s="2">
        <f t="shared" si="14"/>
        <v>0</v>
      </c>
      <c r="AF409" s="2">
        <f t="shared" si="15"/>
        <v>0</v>
      </c>
      <c r="AG409" s="2">
        <f t="shared" si="16"/>
        <v>0</v>
      </c>
      <c r="AH409" s="2">
        <f t="shared" si="17"/>
        <v>0</v>
      </c>
      <c r="AI409" s="2">
        <f t="shared" si="18"/>
      </c>
    </row>
    <row r="410">
      <c r="A410" s="43">
        <f t="shared" si="0"/>
      </c>
      <c r="B410" s="54" t="n"/>
      <c r="C410" s="45" t="n"/>
      <c r="D410" s="50" t="n"/>
      <c r="E410" s="55" t="n"/>
      <c r="F410" s="50" t="n"/>
      <c r="G410" s="55" t="n"/>
      <c r="H410" s="50" t="n"/>
      <c r="I410" s="55" t="n"/>
      <c r="J410" s="50" t="n"/>
      <c r="K410" s="55" t="n"/>
      <c r="L410" s="56" t="n"/>
      <c r="M410" s="57" t="n"/>
      <c r="N410" s="57" t="n"/>
      <c r="O410" s="57" t="n"/>
      <c r="P410" s="57" t="n"/>
      <c r="Q410" s="50" t="n"/>
      <c r="R410" s="58">
        <f t="shared" si="1"/>
      </c>
      <c r="S410" s="59">
        <f t="shared" si="2"/>
      </c>
      <c r="T410" s="43">
        <f t="shared" si="3"/>
      </c>
      <c r="U410" s="60">
        <f t="shared" si="4"/>
      </c>
      <c r="V410" s="60">
        <f t="shared" si="5"/>
      </c>
      <c r="W410" s="60">
        <f t="shared" si="6"/>
      </c>
      <c r="X410" s="49">
        <f t="shared" si="7"/>
      </c>
      <c r="Y410" s="2">
        <f t="shared" si="8"/>
      </c>
      <c r="Z410" s="2">
        <f t="shared" si="9"/>
        <v>0</v>
      </c>
      <c r="AA410" s="2">
        <f t="shared" si="10"/>
        <v>0</v>
      </c>
      <c r="AB410" s="2">
        <f t="shared" si="11"/>
        <v>0</v>
      </c>
      <c r="AC410" s="2">
        <f t="shared" si="12"/>
        <v>0</v>
      </c>
      <c r="AD410" s="2">
        <f t="shared" si="13"/>
        <v>0</v>
      </c>
      <c r="AE410" s="2">
        <f t="shared" si="14"/>
        <v>0</v>
      </c>
      <c r="AF410" s="2">
        <f t="shared" si="15"/>
        <v>0</v>
      </c>
      <c r="AG410" s="2">
        <f t="shared" si="16"/>
        <v>0</v>
      </c>
      <c r="AH410" s="2">
        <f t="shared" si="17"/>
        <v>0</v>
      </c>
      <c r="AI410" s="2">
        <f t="shared" si="18"/>
      </c>
    </row>
    <row r="411">
      <c r="A411" s="43">
        <f t="shared" si="0"/>
      </c>
      <c r="B411" s="54" t="n"/>
      <c r="C411" s="45" t="n"/>
      <c r="D411" s="50" t="n"/>
      <c r="E411" s="55" t="n"/>
      <c r="F411" s="50" t="n"/>
      <c r="G411" s="55" t="n"/>
      <c r="H411" s="50" t="n"/>
      <c r="I411" s="55" t="n"/>
      <c r="J411" s="50" t="n"/>
      <c r="K411" s="55" t="n"/>
      <c r="L411" s="56" t="n"/>
      <c r="M411" s="57" t="n"/>
      <c r="N411" s="57" t="n"/>
      <c r="O411" s="57" t="n"/>
      <c r="P411" s="57" t="n"/>
      <c r="Q411" s="50" t="n"/>
      <c r="R411" s="58">
        <f t="shared" si="1"/>
      </c>
      <c r="S411" s="59">
        <f t="shared" si="2"/>
      </c>
      <c r="T411" s="43">
        <f t="shared" si="3"/>
      </c>
      <c r="U411" s="60">
        <f t="shared" si="4"/>
      </c>
      <c r="V411" s="60">
        <f t="shared" si="5"/>
      </c>
      <c r="W411" s="60">
        <f t="shared" si="6"/>
      </c>
      <c r="X411" s="49">
        <f t="shared" si="7"/>
      </c>
      <c r="Y411" s="2">
        <f t="shared" si="8"/>
      </c>
      <c r="Z411" s="2">
        <f t="shared" si="9"/>
        <v>0</v>
      </c>
      <c r="AA411" s="2">
        <f t="shared" si="10"/>
        <v>0</v>
      </c>
      <c r="AB411" s="2">
        <f t="shared" si="11"/>
        <v>0</v>
      </c>
      <c r="AC411" s="2">
        <f t="shared" si="12"/>
        <v>0</v>
      </c>
      <c r="AD411" s="2">
        <f t="shared" si="13"/>
        <v>0</v>
      </c>
      <c r="AE411" s="2">
        <f t="shared" si="14"/>
        <v>0</v>
      </c>
      <c r="AF411" s="2">
        <f t="shared" si="15"/>
        <v>0</v>
      </c>
      <c r="AG411" s="2">
        <f t="shared" si="16"/>
        <v>0</v>
      </c>
      <c r="AH411" s="2">
        <f t="shared" si="17"/>
        <v>0</v>
      </c>
      <c r="AI411" s="2">
        <f t="shared" si="18"/>
      </c>
    </row>
    <row r="412">
      <c r="A412" s="43">
        <f t="shared" si="0"/>
      </c>
      <c r="B412" s="54" t="n"/>
      <c r="C412" s="45" t="n"/>
      <c r="D412" s="50" t="n"/>
      <c r="E412" s="55" t="n"/>
      <c r="F412" s="50" t="n"/>
      <c r="G412" s="55" t="n"/>
      <c r="H412" s="50" t="n"/>
      <c r="I412" s="55" t="n"/>
      <c r="J412" s="50" t="n"/>
      <c r="K412" s="55" t="n"/>
      <c r="L412" s="56" t="n"/>
      <c r="M412" s="57" t="n"/>
      <c r="N412" s="57" t="n"/>
      <c r="O412" s="57" t="n"/>
      <c r="P412" s="57" t="n"/>
      <c r="Q412" s="50" t="n"/>
      <c r="R412" s="58">
        <f t="shared" si="1"/>
      </c>
      <c r="S412" s="59">
        <f t="shared" si="2"/>
      </c>
      <c r="T412" s="43">
        <f t="shared" si="3"/>
      </c>
      <c r="U412" s="60">
        <f t="shared" si="4"/>
      </c>
      <c r="V412" s="60">
        <f t="shared" si="5"/>
      </c>
      <c r="W412" s="60">
        <f t="shared" si="6"/>
      </c>
      <c r="X412" s="49">
        <f t="shared" si="7"/>
      </c>
      <c r="Y412" s="2">
        <f t="shared" si="8"/>
      </c>
      <c r="Z412" s="2">
        <f t="shared" si="9"/>
        <v>0</v>
      </c>
      <c r="AA412" s="2">
        <f t="shared" si="10"/>
        <v>0</v>
      </c>
      <c r="AB412" s="2">
        <f t="shared" si="11"/>
        <v>0</v>
      </c>
      <c r="AC412" s="2">
        <f t="shared" si="12"/>
        <v>0</v>
      </c>
      <c r="AD412" s="2">
        <f t="shared" si="13"/>
        <v>0</v>
      </c>
      <c r="AE412" s="2">
        <f t="shared" si="14"/>
        <v>0</v>
      </c>
      <c r="AF412" s="2">
        <f t="shared" si="15"/>
        <v>0</v>
      </c>
      <c r="AG412" s="2">
        <f t="shared" si="16"/>
        <v>0</v>
      </c>
      <c r="AH412" s="2">
        <f t="shared" si="17"/>
        <v>0</v>
      </c>
      <c r="AI412" s="2">
        <f t="shared" si="18"/>
      </c>
    </row>
    <row r="413">
      <c r="A413" s="43">
        <f t="shared" si="0"/>
      </c>
      <c r="B413" s="54" t="n"/>
      <c r="C413" s="45" t="n"/>
      <c r="D413" s="50" t="n"/>
      <c r="E413" s="55" t="n"/>
      <c r="F413" s="50" t="n"/>
      <c r="G413" s="55" t="n"/>
      <c r="H413" s="50" t="n"/>
      <c r="I413" s="55" t="n"/>
      <c r="J413" s="50" t="n"/>
      <c r="K413" s="55" t="n"/>
      <c r="L413" s="56" t="n"/>
      <c r="M413" s="57" t="n"/>
      <c r="N413" s="57" t="n"/>
      <c r="O413" s="57" t="n"/>
      <c r="P413" s="57" t="n"/>
      <c r="Q413" s="50" t="n"/>
      <c r="R413" s="58">
        <f t="shared" si="1"/>
      </c>
      <c r="S413" s="59">
        <f t="shared" si="2"/>
      </c>
      <c r="T413" s="43">
        <f t="shared" si="3"/>
      </c>
      <c r="U413" s="60">
        <f t="shared" si="4"/>
      </c>
      <c r="V413" s="60">
        <f t="shared" si="5"/>
      </c>
      <c r="W413" s="60">
        <f t="shared" si="6"/>
      </c>
      <c r="X413" s="49">
        <f t="shared" si="7"/>
      </c>
      <c r="Y413" s="2">
        <f t="shared" si="8"/>
      </c>
      <c r="Z413" s="2">
        <f t="shared" si="9"/>
        <v>0</v>
      </c>
      <c r="AA413" s="2">
        <f t="shared" si="10"/>
        <v>0</v>
      </c>
      <c r="AB413" s="2">
        <f t="shared" si="11"/>
        <v>0</v>
      </c>
      <c r="AC413" s="2">
        <f t="shared" si="12"/>
        <v>0</v>
      </c>
      <c r="AD413" s="2">
        <f t="shared" si="13"/>
        <v>0</v>
      </c>
      <c r="AE413" s="2">
        <f t="shared" si="14"/>
        <v>0</v>
      </c>
      <c r="AF413" s="2">
        <f t="shared" si="15"/>
        <v>0</v>
      </c>
      <c r="AG413" s="2">
        <f t="shared" si="16"/>
        <v>0</v>
      </c>
      <c r="AH413" s="2">
        <f t="shared" si="17"/>
        <v>0</v>
      </c>
      <c r="AI413" s="2">
        <f t="shared" si="18"/>
      </c>
    </row>
    <row r="414">
      <c r="A414" s="43">
        <f t="shared" si="0"/>
      </c>
      <c r="B414" s="54" t="n"/>
      <c r="C414" s="45" t="n"/>
      <c r="D414" s="50" t="n"/>
      <c r="E414" s="55" t="n"/>
      <c r="F414" s="50" t="n"/>
      <c r="G414" s="55" t="n"/>
      <c r="H414" s="50" t="n"/>
      <c r="I414" s="55" t="n"/>
      <c r="J414" s="50" t="n"/>
      <c r="K414" s="55" t="n"/>
      <c r="L414" s="56" t="n"/>
      <c r="M414" s="57" t="n"/>
      <c r="N414" s="57" t="n"/>
      <c r="O414" s="57" t="n"/>
      <c r="P414" s="57" t="n"/>
      <c r="Q414" s="50" t="n"/>
      <c r="R414" s="58">
        <f t="shared" si="1"/>
      </c>
      <c r="S414" s="59">
        <f t="shared" si="2"/>
      </c>
      <c r="T414" s="43">
        <f t="shared" si="3"/>
      </c>
      <c r="U414" s="60">
        <f t="shared" si="4"/>
      </c>
      <c r="V414" s="60">
        <f t="shared" si="5"/>
      </c>
      <c r="W414" s="60">
        <f t="shared" si="6"/>
      </c>
      <c r="X414" s="49">
        <f t="shared" si="7"/>
      </c>
      <c r="Y414" s="2">
        <f t="shared" si="8"/>
      </c>
      <c r="Z414" s="2">
        <f t="shared" si="9"/>
        <v>0</v>
      </c>
      <c r="AA414" s="2">
        <f t="shared" si="10"/>
        <v>0</v>
      </c>
      <c r="AB414" s="2">
        <f t="shared" si="11"/>
        <v>0</v>
      </c>
      <c r="AC414" s="2">
        <f t="shared" si="12"/>
        <v>0</v>
      </c>
      <c r="AD414" s="2">
        <f t="shared" si="13"/>
        <v>0</v>
      </c>
      <c r="AE414" s="2">
        <f t="shared" si="14"/>
        <v>0</v>
      </c>
      <c r="AF414" s="2">
        <f t="shared" si="15"/>
        <v>0</v>
      </c>
      <c r="AG414" s="2">
        <f t="shared" si="16"/>
        <v>0</v>
      </c>
      <c r="AH414" s="2">
        <f t="shared" si="17"/>
        <v>0</v>
      </c>
      <c r="AI414" s="2">
        <f t="shared" si="18"/>
      </c>
    </row>
    <row r="415">
      <c r="A415" s="43">
        <f t="shared" si="0"/>
      </c>
      <c r="B415" s="54" t="n"/>
      <c r="C415" s="45" t="n"/>
      <c r="D415" s="50" t="n"/>
      <c r="E415" s="55" t="n"/>
      <c r="F415" s="50" t="n"/>
      <c r="G415" s="55" t="n"/>
      <c r="H415" s="50" t="n"/>
      <c r="I415" s="55" t="n"/>
      <c r="J415" s="50" t="n"/>
      <c r="K415" s="55" t="n"/>
      <c r="L415" s="56" t="n"/>
      <c r="M415" s="57" t="n"/>
      <c r="N415" s="57" t="n"/>
      <c r="O415" s="57" t="n"/>
      <c r="P415" s="57" t="n"/>
      <c r="Q415" s="50" t="n"/>
      <c r="R415" s="58">
        <f t="shared" si="1"/>
      </c>
      <c r="S415" s="59">
        <f t="shared" si="2"/>
      </c>
      <c r="T415" s="43">
        <f t="shared" si="3"/>
      </c>
      <c r="U415" s="60">
        <f t="shared" si="4"/>
      </c>
      <c r="V415" s="60">
        <f t="shared" si="5"/>
      </c>
      <c r="W415" s="60">
        <f t="shared" si="6"/>
      </c>
      <c r="X415" s="49">
        <f t="shared" si="7"/>
      </c>
      <c r="Y415" s="2">
        <f t="shared" si="8"/>
      </c>
      <c r="Z415" s="2">
        <f t="shared" si="9"/>
        <v>0</v>
      </c>
      <c r="AA415" s="2">
        <f t="shared" si="10"/>
        <v>0</v>
      </c>
      <c r="AB415" s="2">
        <f t="shared" si="11"/>
        <v>0</v>
      </c>
      <c r="AC415" s="2">
        <f t="shared" si="12"/>
        <v>0</v>
      </c>
      <c r="AD415" s="2">
        <f t="shared" si="13"/>
        <v>0</v>
      </c>
      <c r="AE415" s="2">
        <f t="shared" si="14"/>
        <v>0</v>
      </c>
      <c r="AF415" s="2">
        <f t="shared" si="15"/>
        <v>0</v>
      </c>
      <c r="AG415" s="2">
        <f t="shared" si="16"/>
        <v>0</v>
      </c>
      <c r="AH415" s="2">
        <f t="shared" si="17"/>
        <v>0</v>
      </c>
      <c r="AI415" s="2">
        <f t="shared" si="18"/>
      </c>
    </row>
    <row r="416">
      <c r="A416" s="43">
        <f t="shared" si="0"/>
      </c>
      <c r="B416" s="54" t="n"/>
      <c r="C416" s="45" t="n"/>
      <c r="D416" s="50" t="n"/>
      <c r="E416" s="55" t="n"/>
      <c r="F416" s="50" t="n"/>
      <c r="G416" s="55" t="n"/>
      <c r="H416" s="50" t="n"/>
      <c r="I416" s="55" t="n"/>
      <c r="J416" s="50" t="n"/>
      <c r="K416" s="55" t="n"/>
      <c r="L416" s="56" t="n"/>
      <c r="M416" s="57" t="n"/>
      <c r="N416" s="57" t="n"/>
      <c r="O416" s="57" t="n"/>
      <c r="P416" s="57" t="n"/>
      <c r="Q416" s="50" t="n"/>
      <c r="R416" s="58">
        <f t="shared" si="1"/>
      </c>
      <c r="S416" s="59">
        <f t="shared" si="2"/>
      </c>
      <c r="T416" s="43">
        <f t="shared" si="3"/>
      </c>
      <c r="U416" s="60">
        <f t="shared" si="4"/>
      </c>
      <c r="V416" s="60">
        <f t="shared" si="5"/>
      </c>
      <c r="W416" s="60">
        <f t="shared" si="6"/>
      </c>
      <c r="X416" s="49">
        <f t="shared" si="7"/>
      </c>
      <c r="Y416" s="2">
        <f t="shared" si="8"/>
      </c>
      <c r="Z416" s="2">
        <f t="shared" si="9"/>
        <v>0</v>
      </c>
      <c r="AA416" s="2">
        <f t="shared" si="10"/>
        <v>0</v>
      </c>
      <c r="AB416" s="2">
        <f t="shared" si="11"/>
        <v>0</v>
      </c>
      <c r="AC416" s="2">
        <f t="shared" si="12"/>
        <v>0</v>
      </c>
      <c r="AD416" s="2">
        <f t="shared" si="13"/>
        <v>0</v>
      </c>
      <c r="AE416" s="2">
        <f t="shared" si="14"/>
        <v>0</v>
      </c>
      <c r="AF416" s="2">
        <f t="shared" si="15"/>
        <v>0</v>
      </c>
      <c r="AG416" s="2">
        <f t="shared" si="16"/>
        <v>0</v>
      </c>
      <c r="AH416" s="2">
        <f t="shared" si="17"/>
        <v>0</v>
      </c>
      <c r="AI416" s="2">
        <f t="shared" si="18"/>
      </c>
    </row>
    <row r="417">
      <c r="A417" s="43">
        <f t="shared" si="0"/>
      </c>
      <c r="B417" s="54" t="n"/>
      <c r="C417" s="45" t="n"/>
      <c r="D417" s="50" t="n"/>
      <c r="E417" s="55" t="n"/>
      <c r="F417" s="50" t="n"/>
      <c r="G417" s="55" t="n"/>
      <c r="H417" s="50" t="n"/>
      <c r="I417" s="55" t="n"/>
      <c r="J417" s="50" t="n"/>
      <c r="K417" s="55" t="n"/>
      <c r="L417" s="56" t="n"/>
      <c r="M417" s="57" t="n"/>
      <c r="N417" s="57" t="n"/>
      <c r="O417" s="57" t="n"/>
      <c r="P417" s="57" t="n"/>
      <c r="Q417" s="50" t="n"/>
      <c r="R417" s="58">
        <f t="shared" si="1"/>
      </c>
      <c r="S417" s="59">
        <f t="shared" si="2"/>
      </c>
      <c r="T417" s="43">
        <f t="shared" si="3"/>
      </c>
      <c r="U417" s="60">
        <f t="shared" si="4"/>
      </c>
      <c r="V417" s="60">
        <f t="shared" si="5"/>
      </c>
      <c r="W417" s="60">
        <f t="shared" si="6"/>
      </c>
      <c r="X417" s="49">
        <f t="shared" si="7"/>
      </c>
      <c r="Y417" s="2">
        <f t="shared" si="8"/>
      </c>
      <c r="Z417" s="2">
        <f t="shared" si="9"/>
        <v>0</v>
      </c>
      <c r="AA417" s="2">
        <f t="shared" si="10"/>
        <v>0</v>
      </c>
      <c r="AB417" s="2">
        <f t="shared" si="11"/>
        <v>0</v>
      </c>
      <c r="AC417" s="2">
        <f t="shared" si="12"/>
        <v>0</v>
      </c>
      <c r="AD417" s="2">
        <f t="shared" si="13"/>
        <v>0</v>
      </c>
      <c r="AE417" s="2">
        <f t="shared" si="14"/>
        <v>0</v>
      </c>
      <c r="AF417" s="2">
        <f t="shared" si="15"/>
        <v>0</v>
      </c>
      <c r="AG417" s="2">
        <f t="shared" si="16"/>
        <v>0</v>
      </c>
      <c r="AH417" s="2">
        <f t="shared" si="17"/>
        <v>0</v>
      </c>
      <c r="AI417" s="2">
        <f t="shared" si="18"/>
      </c>
    </row>
    <row r="418">
      <c r="A418" s="43">
        <f t="shared" si="0"/>
      </c>
      <c r="B418" s="54" t="n"/>
      <c r="C418" s="45" t="n"/>
      <c r="D418" s="50" t="n"/>
      <c r="E418" s="55" t="n"/>
      <c r="F418" s="50" t="n"/>
      <c r="G418" s="55" t="n"/>
      <c r="H418" s="50" t="n"/>
      <c r="I418" s="55" t="n"/>
      <c r="J418" s="50" t="n"/>
      <c r="K418" s="55" t="n"/>
      <c r="L418" s="56" t="n"/>
      <c r="M418" s="57" t="n"/>
      <c r="N418" s="57" t="n"/>
      <c r="O418" s="57" t="n"/>
      <c r="P418" s="57" t="n"/>
      <c r="Q418" s="50" t="n"/>
      <c r="R418" s="58">
        <f t="shared" si="1"/>
      </c>
      <c r="S418" s="59">
        <f t="shared" si="2"/>
      </c>
      <c r="T418" s="43">
        <f t="shared" si="3"/>
      </c>
      <c r="U418" s="60">
        <f t="shared" si="4"/>
      </c>
      <c r="V418" s="60">
        <f t="shared" si="5"/>
      </c>
      <c r="W418" s="60">
        <f t="shared" si="6"/>
      </c>
      <c r="X418" s="49">
        <f t="shared" si="7"/>
      </c>
      <c r="Y418" s="2">
        <f t="shared" si="8"/>
      </c>
      <c r="Z418" s="2">
        <f t="shared" si="9"/>
        <v>0</v>
      </c>
      <c r="AA418" s="2">
        <f t="shared" si="10"/>
        <v>0</v>
      </c>
      <c r="AB418" s="2">
        <f t="shared" si="11"/>
        <v>0</v>
      </c>
      <c r="AC418" s="2">
        <f t="shared" si="12"/>
        <v>0</v>
      </c>
      <c r="AD418" s="2">
        <f t="shared" si="13"/>
        <v>0</v>
      </c>
      <c r="AE418" s="2">
        <f t="shared" si="14"/>
        <v>0</v>
      </c>
      <c r="AF418" s="2">
        <f t="shared" si="15"/>
        <v>0</v>
      </c>
      <c r="AG418" s="2">
        <f t="shared" si="16"/>
        <v>0</v>
      </c>
      <c r="AH418" s="2">
        <f t="shared" si="17"/>
        <v>0</v>
      </c>
      <c r="AI418" s="2">
        <f t="shared" si="18"/>
      </c>
    </row>
    <row r="419">
      <c r="A419" s="43">
        <f t="shared" si="0"/>
      </c>
      <c r="B419" s="54" t="n"/>
      <c r="C419" s="45" t="n"/>
      <c r="D419" s="50" t="n"/>
      <c r="E419" s="55" t="n"/>
      <c r="F419" s="50" t="n"/>
      <c r="G419" s="55" t="n"/>
      <c r="H419" s="50" t="n"/>
      <c r="I419" s="55" t="n"/>
      <c r="J419" s="50" t="n"/>
      <c r="K419" s="55" t="n"/>
      <c r="L419" s="56" t="n"/>
      <c r="M419" s="57" t="n"/>
      <c r="N419" s="57" t="n"/>
      <c r="O419" s="57" t="n"/>
      <c r="P419" s="57" t="n"/>
      <c r="Q419" s="50" t="n"/>
      <c r="R419" s="58">
        <f t="shared" si="1"/>
      </c>
      <c r="S419" s="59">
        <f t="shared" si="2"/>
      </c>
      <c r="T419" s="43">
        <f t="shared" si="3"/>
      </c>
      <c r="U419" s="60">
        <f t="shared" si="4"/>
      </c>
      <c r="V419" s="60">
        <f t="shared" si="5"/>
      </c>
      <c r="W419" s="60">
        <f t="shared" si="6"/>
      </c>
      <c r="X419" s="49">
        <f t="shared" si="7"/>
      </c>
      <c r="Y419" s="2">
        <f t="shared" si="8"/>
      </c>
      <c r="Z419" s="2">
        <f t="shared" si="9"/>
        <v>0</v>
      </c>
      <c r="AA419" s="2">
        <f t="shared" si="10"/>
        <v>0</v>
      </c>
      <c r="AB419" s="2">
        <f t="shared" si="11"/>
        <v>0</v>
      </c>
      <c r="AC419" s="2">
        <f t="shared" si="12"/>
        <v>0</v>
      </c>
      <c r="AD419" s="2">
        <f t="shared" si="13"/>
        <v>0</v>
      </c>
      <c r="AE419" s="2">
        <f t="shared" si="14"/>
        <v>0</v>
      </c>
      <c r="AF419" s="2">
        <f t="shared" si="15"/>
        <v>0</v>
      </c>
      <c r="AG419" s="2">
        <f t="shared" si="16"/>
        <v>0</v>
      </c>
      <c r="AH419" s="2">
        <f t="shared" si="17"/>
        <v>0</v>
      </c>
      <c r="AI419" s="2">
        <f t="shared" si="18"/>
      </c>
    </row>
    <row r="420">
      <c r="A420" s="43">
        <f t="shared" si="0"/>
      </c>
      <c r="B420" s="54" t="n"/>
      <c r="C420" s="45" t="n"/>
      <c r="D420" s="50" t="n"/>
      <c r="E420" s="55" t="n"/>
      <c r="F420" s="50" t="n"/>
      <c r="G420" s="55" t="n"/>
      <c r="H420" s="50" t="n"/>
      <c r="I420" s="55" t="n"/>
      <c r="J420" s="50" t="n"/>
      <c r="K420" s="55" t="n"/>
      <c r="L420" s="56" t="n"/>
      <c r="M420" s="57" t="n"/>
      <c r="N420" s="57" t="n"/>
      <c r="O420" s="57" t="n"/>
      <c r="P420" s="57" t="n"/>
      <c r="Q420" s="50" t="n"/>
      <c r="R420" s="58">
        <f t="shared" si="1"/>
      </c>
      <c r="S420" s="59">
        <f t="shared" si="2"/>
      </c>
      <c r="T420" s="43">
        <f t="shared" si="3"/>
      </c>
      <c r="U420" s="60">
        <f t="shared" si="4"/>
      </c>
      <c r="V420" s="60">
        <f t="shared" si="5"/>
      </c>
      <c r="W420" s="60">
        <f t="shared" si="6"/>
      </c>
      <c r="X420" s="49">
        <f t="shared" si="7"/>
      </c>
      <c r="Y420" s="2">
        <f t="shared" si="8"/>
      </c>
      <c r="Z420" s="2">
        <f t="shared" si="9"/>
        <v>0</v>
      </c>
      <c r="AA420" s="2">
        <f t="shared" si="10"/>
        <v>0</v>
      </c>
      <c r="AB420" s="2">
        <f t="shared" si="11"/>
        <v>0</v>
      </c>
      <c r="AC420" s="2">
        <f t="shared" si="12"/>
        <v>0</v>
      </c>
      <c r="AD420" s="2">
        <f t="shared" si="13"/>
        <v>0</v>
      </c>
      <c r="AE420" s="2">
        <f t="shared" si="14"/>
        <v>0</v>
      </c>
      <c r="AF420" s="2">
        <f t="shared" si="15"/>
        <v>0</v>
      </c>
      <c r="AG420" s="2">
        <f t="shared" si="16"/>
        <v>0</v>
      </c>
      <c r="AH420" s="2">
        <f t="shared" si="17"/>
        <v>0</v>
      </c>
      <c r="AI420" s="2">
        <f t="shared" si="18"/>
      </c>
    </row>
    <row r="421">
      <c r="A421" s="43">
        <f t="shared" si="0"/>
      </c>
      <c r="B421" s="54" t="n"/>
      <c r="C421" s="45" t="n"/>
      <c r="D421" s="50" t="n"/>
      <c r="E421" s="55" t="n"/>
      <c r="F421" s="50" t="n"/>
      <c r="G421" s="55" t="n"/>
      <c r="H421" s="50" t="n"/>
      <c r="I421" s="55" t="n"/>
      <c r="J421" s="50" t="n"/>
      <c r="K421" s="55" t="n"/>
      <c r="L421" s="56" t="n"/>
      <c r="M421" s="57" t="n"/>
      <c r="N421" s="57" t="n"/>
      <c r="O421" s="57" t="n"/>
      <c r="P421" s="57" t="n"/>
      <c r="Q421" s="50" t="n"/>
      <c r="R421" s="58">
        <f t="shared" si="1"/>
      </c>
      <c r="S421" s="59">
        <f t="shared" si="2"/>
      </c>
      <c r="T421" s="43">
        <f t="shared" si="3"/>
      </c>
      <c r="U421" s="60">
        <f t="shared" si="4"/>
      </c>
      <c r="V421" s="60">
        <f t="shared" si="5"/>
      </c>
      <c r="W421" s="60">
        <f t="shared" si="6"/>
      </c>
      <c r="X421" s="49">
        <f t="shared" si="7"/>
      </c>
      <c r="Y421" s="2">
        <f t="shared" si="8"/>
      </c>
      <c r="Z421" s="2">
        <f t="shared" si="9"/>
        <v>0</v>
      </c>
      <c r="AA421" s="2">
        <f t="shared" si="10"/>
        <v>0</v>
      </c>
      <c r="AB421" s="2">
        <f t="shared" si="11"/>
        <v>0</v>
      </c>
      <c r="AC421" s="2">
        <f t="shared" si="12"/>
        <v>0</v>
      </c>
      <c r="AD421" s="2">
        <f t="shared" si="13"/>
        <v>0</v>
      </c>
      <c r="AE421" s="2">
        <f t="shared" si="14"/>
        <v>0</v>
      </c>
      <c r="AF421" s="2">
        <f t="shared" si="15"/>
        <v>0</v>
      </c>
      <c r="AG421" s="2">
        <f t="shared" si="16"/>
        <v>0</v>
      </c>
      <c r="AH421" s="2">
        <f t="shared" si="17"/>
        <v>0</v>
      </c>
      <c r="AI421" s="2">
        <f t="shared" si="18"/>
      </c>
    </row>
    <row r="422">
      <c r="A422" s="43">
        <f t="shared" si="0"/>
      </c>
      <c r="B422" s="54" t="n"/>
      <c r="C422" s="45" t="n"/>
      <c r="D422" s="50" t="n"/>
      <c r="E422" s="55" t="n"/>
      <c r="F422" s="50" t="n"/>
      <c r="G422" s="55" t="n"/>
      <c r="H422" s="50" t="n"/>
      <c r="I422" s="55" t="n"/>
      <c r="J422" s="50" t="n"/>
      <c r="K422" s="55" t="n"/>
      <c r="L422" s="56" t="n"/>
      <c r="M422" s="57" t="n"/>
      <c r="N422" s="57" t="n"/>
      <c r="O422" s="57" t="n"/>
      <c r="P422" s="57" t="n"/>
      <c r="Q422" s="50" t="n"/>
      <c r="R422" s="58">
        <f t="shared" si="1"/>
      </c>
      <c r="S422" s="59">
        <f t="shared" si="2"/>
      </c>
      <c r="T422" s="43">
        <f t="shared" si="3"/>
      </c>
      <c r="U422" s="60">
        <f t="shared" si="4"/>
      </c>
      <c r="V422" s="60">
        <f t="shared" si="5"/>
      </c>
      <c r="W422" s="60">
        <f t="shared" si="6"/>
      </c>
      <c r="X422" s="49">
        <f t="shared" si="7"/>
      </c>
      <c r="Y422" s="2">
        <f t="shared" si="8"/>
      </c>
      <c r="Z422" s="2">
        <f t="shared" si="9"/>
        <v>0</v>
      </c>
      <c r="AA422" s="2">
        <f t="shared" si="10"/>
        <v>0</v>
      </c>
      <c r="AB422" s="2">
        <f t="shared" si="11"/>
        <v>0</v>
      </c>
      <c r="AC422" s="2">
        <f t="shared" si="12"/>
        <v>0</v>
      </c>
      <c r="AD422" s="2">
        <f t="shared" si="13"/>
        <v>0</v>
      </c>
      <c r="AE422" s="2">
        <f t="shared" si="14"/>
        <v>0</v>
      </c>
      <c r="AF422" s="2">
        <f t="shared" si="15"/>
        <v>0</v>
      </c>
      <c r="AG422" s="2">
        <f t="shared" si="16"/>
        <v>0</v>
      </c>
      <c r="AH422" s="2">
        <f t="shared" si="17"/>
        <v>0</v>
      </c>
      <c r="AI422" s="2">
        <f t="shared" si="18"/>
      </c>
    </row>
    <row r="423">
      <c r="A423" s="43">
        <f t="shared" si="0"/>
      </c>
      <c r="B423" s="54" t="n"/>
      <c r="C423" s="45" t="n"/>
      <c r="D423" s="50" t="n"/>
      <c r="E423" s="55" t="n"/>
      <c r="F423" s="50" t="n"/>
      <c r="G423" s="55" t="n"/>
      <c r="H423" s="50" t="n"/>
      <c r="I423" s="55" t="n"/>
      <c r="J423" s="50" t="n"/>
      <c r="K423" s="55" t="n"/>
      <c r="L423" s="56" t="n"/>
      <c r="M423" s="57" t="n"/>
      <c r="N423" s="57" t="n"/>
      <c r="O423" s="57" t="n"/>
      <c r="P423" s="57" t="n"/>
      <c r="Q423" s="50" t="n"/>
      <c r="R423" s="58">
        <f t="shared" si="1"/>
      </c>
      <c r="S423" s="59">
        <f t="shared" si="2"/>
      </c>
      <c r="T423" s="43">
        <f t="shared" si="3"/>
      </c>
      <c r="U423" s="60">
        <f t="shared" si="4"/>
      </c>
      <c r="V423" s="60">
        <f t="shared" si="5"/>
      </c>
      <c r="W423" s="60">
        <f t="shared" si="6"/>
      </c>
      <c r="X423" s="49">
        <f t="shared" si="7"/>
      </c>
      <c r="Y423" s="2">
        <f t="shared" si="8"/>
      </c>
      <c r="Z423" s="2">
        <f t="shared" si="9"/>
        <v>0</v>
      </c>
      <c r="AA423" s="2">
        <f t="shared" si="10"/>
        <v>0</v>
      </c>
      <c r="AB423" s="2">
        <f t="shared" si="11"/>
        <v>0</v>
      </c>
      <c r="AC423" s="2">
        <f t="shared" si="12"/>
        <v>0</v>
      </c>
      <c r="AD423" s="2">
        <f t="shared" si="13"/>
        <v>0</v>
      </c>
      <c r="AE423" s="2">
        <f t="shared" si="14"/>
        <v>0</v>
      </c>
      <c r="AF423" s="2">
        <f t="shared" si="15"/>
        <v>0</v>
      </c>
      <c r="AG423" s="2">
        <f t="shared" si="16"/>
        <v>0</v>
      </c>
      <c r="AH423" s="2">
        <f t="shared" si="17"/>
        <v>0</v>
      </c>
      <c r="AI423" s="2">
        <f t="shared" si="18"/>
      </c>
    </row>
    <row r="424">
      <c r="A424" s="43">
        <f t="shared" si="0"/>
      </c>
      <c r="B424" s="54" t="n"/>
      <c r="C424" s="45" t="n"/>
      <c r="D424" s="50" t="n"/>
      <c r="E424" s="55" t="n"/>
      <c r="F424" s="50" t="n"/>
      <c r="G424" s="55" t="n"/>
      <c r="H424" s="50" t="n"/>
      <c r="I424" s="55" t="n"/>
      <c r="J424" s="50" t="n"/>
      <c r="K424" s="55" t="n"/>
      <c r="L424" s="56" t="n"/>
      <c r="M424" s="57" t="n"/>
      <c r="N424" s="57" t="n"/>
      <c r="O424" s="57" t="n"/>
      <c r="P424" s="57" t="n"/>
      <c r="Q424" s="50" t="n"/>
      <c r="R424" s="58">
        <f t="shared" si="1"/>
      </c>
      <c r="S424" s="59">
        <f t="shared" si="2"/>
      </c>
      <c r="T424" s="43">
        <f t="shared" si="3"/>
      </c>
      <c r="U424" s="60">
        <f t="shared" si="4"/>
      </c>
      <c r="V424" s="60">
        <f t="shared" si="5"/>
      </c>
      <c r="W424" s="60">
        <f t="shared" si="6"/>
      </c>
      <c r="X424" s="49">
        <f t="shared" si="7"/>
      </c>
      <c r="Y424" s="2">
        <f t="shared" si="8"/>
      </c>
      <c r="Z424" s="2">
        <f t="shared" si="9"/>
        <v>0</v>
      </c>
      <c r="AA424" s="2">
        <f t="shared" si="10"/>
        <v>0</v>
      </c>
      <c r="AB424" s="2">
        <f t="shared" si="11"/>
        <v>0</v>
      </c>
      <c r="AC424" s="2">
        <f t="shared" si="12"/>
        <v>0</v>
      </c>
      <c r="AD424" s="2">
        <f t="shared" si="13"/>
        <v>0</v>
      </c>
      <c r="AE424" s="2">
        <f t="shared" si="14"/>
        <v>0</v>
      </c>
      <c r="AF424" s="2">
        <f t="shared" si="15"/>
        <v>0</v>
      </c>
      <c r="AG424" s="2">
        <f t="shared" si="16"/>
        <v>0</v>
      </c>
      <c r="AH424" s="2">
        <f t="shared" si="17"/>
        <v>0</v>
      </c>
      <c r="AI424" s="2">
        <f t="shared" si="18"/>
      </c>
    </row>
    <row r="425">
      <c r="A425" s="43">
        <f t="shared" si="0"/>
      </c>
      <c r="B425" s="54" t="n"/>
      <c r="C425" s="45" t="n"/>
      <c r="D425" s="50" t="n"/>
      <c r="E425" s="55" t="n"/>
      <c r="F425" s="50" t="n"/>
      <c r="G425" s="55" t="n"/>
      <c r="H425" s="50" t="n"/>
      <c r="I425" s="55" t="n"/>
      <c r="J425" s="50" t="n"/>
      <c r="K425" s="55" t="n"/>
      <c r="L425" s="56" t="n"/>
      <c r="M425" s="57" t="n"/>
      <c r="N425" s="57" t="n"/>
      <c r="O425" s="57" t="n"/>
      <c r="P425" s="57" t="n"/>
      <c r="Q425" s="50" t="n"/>
      <c r="R425" s="58">
        <f t="shared" si="1"/>
      </c>
      <c r="S425" s="59">
        <f t="shared" si="2"/>
      </c>
      <c r="T425" s="43">
        <f t="shared" si="3"/>
      </c>
      <c r="U425" s="60">
        <f t="shared" si="4"/>
      </c>
      <c r="V425" s="60">
        <f t="shared" si="5"/>
      </c>
      <c r="W425" s="60">
        <f t="shared" si="6"/>
      </c>
      <c r="X425" s="49">
        <f t="shared" si="7"/>
      </c>
      <c r="Y425" s="2">
        <f t="shared" si="8"/>
      </c>
      <c r="Z425" s="2">
        <f t="shared" si="9"/>
        <v>0</v>
      </c>
      <c r="AA425" s="2">
        <f t="shared" si="10"/>
        <v>0</v>
      </c>
      <c r="AB425" s="2">
        <f t="shared" si="11"/>
        <v>0</v>
      </c>
      <c r="AC425" s="2">
        <f t="shared" si="12"/>
        <v>0</v>
      </c>
      <c r="AD425" s="2">
        <f t="shared" si="13"/>
        <v>0</v>
      </c>
      <c r="AE425" s="2">
        <f t="shared" si="14"/>
        <v>0</v>
      </c>
      <c r="AF425" s="2">
        <f t="shared" si="15"/>
        <v>0</v>
      </c>
      <c r="AG425" s="2">
        <f t="shared" si="16"/>
        <v>0</v>
      </c>
      <c r="AH425" s="2">
        <f t="shared" si="17"/>
        <v>0</v>
      </c>
      <c r="AI425" s="2">
        <f t="shared" si="18"/>
      </c>
    </row>
    <row r="426">
      <c r="A426" s="43">
        <f t="shared" si="0"/>
      </c>
      <c r="B426" s="54" t="n"/>
      <c r="C426" s="45" t="n"/>
      <c r="D426" s="50" t="n"/>
      <c r="E426" s="55" t="n"/>
      <c r="F426" s="50" t="n"/>
      <c r="G426" s="55" t="n"/>
      <c r="H426" s="50" t="n"/>
      <c r="I426" s="55" t="n"/>
      <c r="J426" s="50" t="n"/>
      <c r="K426" s="55" t="n"/>
      <c r="L426" s="56" t="n"/>
      <c r="M426" s="57" t="n"/>
      <c r="N426" s="57" t="n"/>
      <c r="O426" s="57" t="n"/>
      <c r="P426" s="57" t="n"/>
      <c r="Q426" s="50" t="n"/>
      <c r="R426" s="58">
        <f t="shared" si="1"/>
      </c>
      <c r="S426" s="59">
        <f t="shared" si="2"/>
      </c>
      <c r="T426" s="43">
        <f t="shared" si="3"/>
      </c>
      <c r="U426" s="60">
        <f t="shared" si="4"/>
      </c>
      <c r="V426" s="60">
        <f t="shared" si="5"/>
      </c>
      <c r="W426" s="60">
        <f t="shared" si="6"/>
      </c>
      <c r="X426" s="49">
        <f t="shared" si="7"/>
      </c>
      <c r="Y426" s="2">
        <f t="shared" si="8"/>
      </c>
      <c r="Z426" s="2">
        <f t="shared" si="9"/>
        <v>0</v>
      </c>
      <c r="AA426" s="2">
        <f t="shared" si="10"/>
        <v>0</v>
      </c>
      <c r="AB426" s="2">
        <f t="shared" si="11"/>
        <v>0</v>
      </c>
      <c r="AC426" s="2">
        <f t="shared" si="12"/>
        <v>0</v>
      </c>
      <c r="AD426" s="2">
        <f t="shared" si="13"/>
        <v>0</v>
      </c>
      <c r="AE426" s="2">
        <f t="shared" si="14"/>
        <v>0</v>
      </c>
      <c r="AF426" s="2">
        <f t="shared" si="15"/>
        <v>0</v>
      </c>
      <c r="AG426" s="2">
        <f t="shared" si="16"/>
        <v>0</v>
      </c>
      <c r="AH426" s="2">
        <f t="shared" si="17"/>
        <v>0</v>
      </c>
      <c r="AI426" s="2">
        <f t="shared" si="18"/>
      </c>
    </row>
    <row r="427">
      <c r="A427" s="43">
        <f t="shared" si="0"/>
      </c>
      <c r="B427" s="54" t="n"/>
      <c r="C427" s="45" t="n"/>
      <c r="D427" s="50" t="n"/>
      <c r="E427" s="55" t="n"/>
      <c r="F427" s="50" t="n"/>
      <c r="G427" s="55" t="n"/>
      <c r="H427" s="50" t="n"/>
      <c r="I427" s="55" t="n"/>
      <c r="J427" s="50" t="n"/>
      <c r="K427" s="55" t="n"/>
      <c r="L427" s="56" t="n"/>
      <c r="M427" s="57" t="n"/>
      <c r="N427" s="57" t="n"/>
      <c r="O427" s="57" t="n"/>
      <c r="P427" s="57" t="n"/>
      <c r="Q427" s="50" t="n"/>
      <c r="R427" s="58">
        <f t="shared" si="1"/>
      </c>
      <c r="S427" s="59">
        <f t="shared" si="2"/>
      </c>
      <c r="T427" s="43">
        <f t="shared" si="3"/>
      </c>
      <c r="U427" s="60">
        <f t="shared" si="4"/>
      </c>
      <c r="V427" s="60">
        <f t="shared" si="5"/>
      </c>
      <c r="W427" s="60">
        <f t="shared" si="6"/>
      </c>
      <c r="X427" s="49">
        <f t="shared" si="7"/>
      </c>
      <c r="Y427" s="2">
        <f t="shared" si="8"/>
      </c>
      <c r="Z427" s="2">
        <f t="shared" si="9"/>
        <v>0</v>
      </c>
      <c r="AA427" s="2">
        <f t="shared" si="10"/>
        <v>0</v>
      </c>
      <c r="AB427" s="2">
        <f t="shared" si="11"/>
        <v>0</v>
      </c>
      <c r="AC427" s="2">
        <f t="shared" si="12"/>
        <v>0</v>
      </c>
      <c r="AD427" s="2">
        <f t="shared" si="13"/>
        <v>0</v>
      </c>
      <c r="AE427" s="2">
        <f t="shared" si="14"/>
        <v>0</v>
      </c>
      <c r="AF427" s="2">
        <f t="shared" si="15"/>
        <v>0</v>
      </c>
      <c r="AG427" s="2">
        <f t="shared" si="16"/>
        <v>0</v>
      </c>
      <c r="AH427" s="2">
        <f t="shared" si="17"/>
        <v>0</v>
      </c>
      <c r="AI427" s="2">
        <f t="shared" si="18"/>
      </c>
    </row>
    <row r="428">
      <c r="A428" s="43">
        <f t="shared" si="0"/>
      </c>
      <c r="B428" s="54" t="n"/>
      <c r="C428" s="45" t="n"/>
      <c r="D428" s="50" t="n"/>
      <c r="E428" s="55" t="n"/>
      <c r="F428" s="50" t="n"/>
      <c r="G428" s="55" t="n"/>
      <c r="H428" s="50" t="n"/>
      <c r="I428" s="55" t="n"/>
      <c r="J428" s="50" t="n"/>
      <c r="K428" s="55" t="n"/>
      <c r="L428" s="56" t="n"/>
      <c r="M428" s="57" t="n"/>
      <c r="N428" s="57" t="n"/>
      <c r="O428" s="57" t="n"/>
      <c r="P428" s="57" t="n"/>
      <c r="Q428" s="50" t="n"/>
      <c r="R428" s="58">
        <f t="shared" si="1"/>
      </c>
      <c r="S428" s="59">
        <f t="shared" si="2"/>
      </c>
      <c r="T428" s="43">
        <f t="shared" si="3"/>
      </c>
      <c r="U428" s="60">
        <f t="shared" si="4"/>
      </c>
      <c r="V428" s="60">
        <f t="shared" si="5"/>
      </c>
      <c r="W428" s="60">
        <f t="shared" si="6"/>
      </c>
      <c r="X428" s="49">
        <f t="shared" si="7"/>
      </c>
      <c r="Y428" s="2">
        <f t="shared" si="8"/>
      </c>
      <c r="Z428" s="2">
        <f t="shared" si="9"/>
        <v>0</v>
      </c>
      <c r="AA428" s="2">
        <f t="shared" si="10"/>
        <v>0</v>
      </c>
      <c r="AB428" s="2">
        <f t="shared" si="11"/>
        <v>0</v>
      </c>
      <c r="AC428" s="2">
        <f t="shared" si="12"/>
        <v>0</v>
      </c>
      <c r="AD428" s="2">
        <f t="shared" si="13"/>
        <v>0</v>
      </c>
      <c r="AE428" s="2">
        <f t="shared" si="14"/>
        <v>0</v>
      </c>
      <c r="AF428" s="2">
        <f t="shared" si="15"/>
        <v>0</v>
      </c>
      <c r="AG428" s="2">
        <f t="shared" si="16"/>
        <v>0</v>
      </c>
      <c r="AH428" s="2">
        <f t="shared" si="17"/>
        <v>0</v>
      </c>
      <c r="AI428" s="2">
        <f t="shared" si="18"/>
      </c>
    </row>
    <row r="429">
      <c r="A429" s="43">
        <f t="shared" si="0"/>
      </c>
      <c r="B429" s="54" t="n"/>
      <c r="C429" s="45" t="n"/>
      <c r="D429" s="50" t="n"/>
      <c r="E429" s="55" t="n"/>
      <c r="F429" s="50" t="n"/>
      <c r="G429" s="55" t="n"/>
      <c r="H429" s="50" t="n"/>
      <c r="I429" s="55" t="n"/>
      <c r="J429" s="50" t="n"/>
      <c r="K429" s="55" t="n"/>
      <c r="L429" s="56" t="n"/>
      <c r="M429" s="57" t="n"/>
      <c r="N429" s="57" t="n"/>
      <c r="O429" s="57" t="n"/>
      <c r="P429" s="57" t="n"/>
      <c r="Q429" s="50" t="n"/>
      <c r="R429" s="58">
        <f t="shared" si="1"/>
      </c>
      <c r="S429" s="59">
        <f t="shared" si="2"/>
      </c>
      <c r="T429" s="43">
        <f t="shared" si="3"/>
      </c>
      <c r="U429" s="60">
        <f t="shared" si="4"/>
      </c>
      <c r="V429" s="60">
        <f t="shared" si="5"/>
      </c>
      <c r="W429" s="60">
        <f t="shared" si="6"/>
      </c>
      <c r="X429" s="49">
        <f t="shared" si="7"/>
      </c>
      <c r="Y429" s="2">
        <f t="shared" si="8"/>
      </c>
      <c r="Z429" s="2">
        <f t="shared" si="9"/>
        <v>0</v>
      </c>
      <c r="AA429" s="2">
        <f t="shared" si="10"/>
        <v>0</v>
      </c>
      <c r="AB429" s="2">
        <f t="shared" si="11"/>
        <v>0</v>
      </c>
      <c r="AC429" s="2">
        <f t="shared" si="12"/>
        <v>0</v>
      </c>
      <c r="AD429" s="2">
        <f t="shared" si="13"/>
        <v>0</v>
      </c>
      <c r="AE429" s="2">
        <f t="shared" si="14"/>
        <v>0</v>
      </c>
      <c r="AF429" s="2">
        <f t="shared" si="15"/>
        <v>0</v>
      </c>
      <c r="AG429" s="2">
        <f t="shared" si="16"/>
        <v>0</v>
      </c>
      <c r="AH429" s="2">
        <f t="shared" si="17"/>
        <v>0</v>
      </c>
      <c r="AI429" s="2">
        <f t="shared" si="18"/>
      </c>
    </row>
    <row r="430">
      <c r="A430" s="43">
        <f t="shared" si="0"/>
      </c>
      <c r="B430" s="54" t="n"/>
      <c r="C430" s="45" t="n"/>
      <c r="D430" s="50" t="n"/>
      <c r="E430" s="55" t="n"/>
      <c r="F430" s="50" t="n"/>
      <c r="G430" s="55" t="n"/>
      <c r="H430" s="50" t="n"/>
      <c r="I430" s="55" t="n"/>
      <c r="J430" s="50" t="n"/>
      <c r="K430" s="55" t="n"/>
      <c r="L430" s="56" t="n"/>
      <c r="M430" s="57" t="n"/>
      <c r="N430" s="57" t="n"/>
      <c r="O430" s="57" t="n"/>
      <c r="P430" s="57" t="n"/>
      <c r="Q430" s="50" t="n"/>
      <c r="R430" s="58">
        <f t="shared" si="1"/>
      </c>
      <c r="S430" s="59">
        <f t="shared" si="2"/>
      </c>
      <c r="T430" s="43">
        <f t="shared" si="3"/>
      </c>
      <c r="U430" s="60">
        <f t="shared" si="4"/>
      </c>
      <c r="V430" s="60">
        <f t="shared" si="5"/>
      </c>
      <c r="W430" s="60">
        <f t="shared" si="6"/>
      </c>
      <c r="X430" s="49">
        <f t="shared" si="7"/>
      </c>
      <c r="Y430" s="2">
        <f t="shared" si="8"/>
      </c>
      <c r="Z430" s="2">
        <f t="shared" si="9"/>
        <v>0</v>
      </c>
      <c r="AA430" s="2">
        <f t="shared" si="10"/>
        <v>0</v>
      </c>
      <c r="AB430" s="2">
        <f t="shared" si="11"/>
        <v>0</v>
      </c>
      <c r="AC430" s="2">
        <f t="shared" si="12"/>
        <v>0</v>
      </c>
      <c r="AD430" s="2">
        <f t="shared" si="13"/>
        <v>0</v>
      </c>
      <c r="AE430" s="2">
        <f t="shared" si="14"/>
        <v>0</v>
      </c>
      <c r="AF430" s="2">
        <f t="shared" si="15"/>
        <v>0</v>
      </c>
      <c r="AG430" s="2">
        <f t="shared" si="16"/>
        <v>0</v>
      </c>
      <c r="AH430" s="2">
        <f t="shared" si="17"/>
        <v>0</v>
      </c>
      <c r="AI430" s="2">
        <f t="shared" si="18"/>
      </c>
    </row>
    <row r="431">
      <c r="A431" s="43">
        <f t="shared" si="0"/>
      </c>
      <c r="B431" s="54" t="n"/>
      <c r="C431" s="45" t="n"/>
      <c r="D431" s="50" t="n"/>
      <c r="E431" s="55" t="n"/>
      <c r="F431" s="50" t="n"/>
      <c r="G431" s="55" t="n"/>
      <c r="H431" s="50" t="n"/>
      <c r="I431" s="55" t="n"/>
      <c r="J431" s="50" t="n"/>
      <c r="K431" s="55" t="n"/>
      <c r="L431" s="56" t="n"/>
      <c r="M431" s="57" t="n"/>
      <c r="N431" s="57" t="n"/>
      <c r="O431" s="57" t="n"/>
      <c r="P431" s="57" t="n"/>
      <c r="Q431" s="50" t="n"/>
      <c r="R431" s="58">
        <f t="shared" si="1"/>
      </c>
      <c r="S431" s="59">
        <f t="shared" si="2"/>
      </c>
      <c r="T431" s="43">
        <f t="shared" si="3"/>
      </c>
      <c r="U431" s="60">
        <f t="shared" si="4"/>
      </c>
      <c r="V431" s="60">
        <f t="shared" si="5"/>
      </c>
      <c r="W431" s="60">
        <f t="shared" si="6"/>
      </c>
      <c r="X431" s="49">
        <f t="shared" si="7"/>
      </c>
      <c r="Y431" s="2">
        <f t="shared" si="8"/>
      </c>
      <c r="Z431" s="2">
        <f t="shared" si="9"/>
        <v>0</v>
      </c>
      <c r="AA431" s="2">
        <f t="shared" si="10"/>
        <v>0</v>
      </c>
      <c r="AB431" s="2">
        <f t="shared" si="11"/>
        <v>0</v>
      </c>
      <c r="AC431" s="2">
        <f t="shared" si="12"/>
        <v>0</v>
      </c>
      <c r="AD431" s="2">
        <f t="shared" si="13"/>
        <v>0</v>
      </c>
      <c r="AE431" s="2">
        <f t="shared" si="14"/>
        <v>0</v>
      </c>
      <c r="AF431" s="2">
        <f t="shared" si="15"/>
        <v>0</v>
      </c>
      <c r="AG431" s="2">
        <f t="shared" si="16"/>
        <v>0</v>
      </c>
      <c r="AH431" s="2">
        <f t="shared" si="17"/>
        <v>0</v>
      </c>
      <c r="AI431" s="2">
        <f t="shared" si="18"/>
      </c>
    </row>
    <row r="432">
      <c r="A432" s="43">
        <f t="shared" si="0"/>
      </c>
      <c r="B432" s="54" t="n"/>
      <c r="C432" s="45" t="n"/>
      <c r="D432" s="50" t="n"/>
      <c r="E432" s="55" t="n"/>
      <c r="F432" s="50" t="n"/>
      <c r="G432" s="55" t="n"/>
      <c r="H432" s="50" t="n"/>
      <c r="I432" s="55" t="n"/>
      <c r="J432" s="50" t="n"/>
      <c r="K432" s="55" t="n"/>
      <c r="L432" s="56" t="n"/>
      <c r="M432" s="57" t="n"/>
      <c r="N432" s="57" t="n"/>
      <c r="O432" s="57" t="n"/>
      <c r="P432" s="57" t="n"/>
      <c r="Q432" s="50" t="n"/>
      <c r="R432" s="58">
        <f t="shared" si="1"/>
      </c>
      <c r="S432" s="59">
        <f t="shared" si="2"/>
      </c>
      <c r="T432" s="43">
        <f t="shared" si="3"/>
      </c>
      <c r="U432" s="60">
        <f t="shared" si="4"/>
      </c>
      <c r="V432" s="60">
        <f t="shared" si="5"/>
      </c>
      <c r="W432" s="60">
        <f t="shared" si="6"/>
      </c>
      <c r="X432" s="49">
        <f t="shared" si="7"/>
      </c>
      <c r="Y432" s="2">
        <f t="shared" si="8"/>
      </c>
      <c r="Z432" s="2">
        <f t="shared" si="9"/>
        <v>0</v>
      </c>
      <c r="AA432" s="2">
        <f t="shared" si="10"/>
        <v>0</v>
      </c>
      <c r="AB432" s="2">
        <f t="shared" si="11"/>
        <v>0</v>
      </c>
      <c r="AC432" s="2">
        <f t="shared" si="12"/>
        <v>0</v>
      </c>
      <c r="AD432" s="2">
        <f t="shared" si="13"/>
        <v>0</v>
      </c>
      <c r="AE432" s="2">
        <f t="shared" si="14"/>
        <v>0</v>
      </c>
      <c r="AF432" s="2">
        <f t="shared" si="15"/>
        <v>0</v>
      </c>
      <c r="AG432" s="2">
        <f t="shared" si="16"/>
        <v>0</v>
      </c>
      <c r="AH432" s="2">
        <f t="shared" si="17"/>
        <v>0</v>
      </c>
      <c r="AI432" s="2">
        <f t="shared" si="18"/>
      </c>
    </row>
    <row r="433">
      <c r="A433" s="43">
        <f t="shared" si="0"/>
      </c>
      <c r="B433" s="54" t="n"/>
      <c r="C433" s="45" t="n"/>
      <c r="D433" s="50" t="n"/>
      <c r="E433" s="55" t="n"/>
      <c r="F433" s="50" t="n"/>
      <c r="G433" s="55" t="n"/>
      <c r="H433" s="50" t="n"/>
      <c r="I433" s="55" t="n"/>
      <c r="J433" s="50" t="n"/>
      <c r="K433" s="55" t="n"/>
      <c r="L433" s="56" t="n"/>
      <c r="M433" s="57" t="n"/>
      <c r="N433" s="57" t="n"/>
      <c r="O433" s="57" t="n"/>
      <c r="P433" s="57" t="n"/>
      <c r="Q433" s="50" t="n"/>
      <c r="R433" s="58">
        <f t="shared" si="1"/>
      </c>
      <c r="S433" s="59">
        <f t="shared" si="2"/>
      </c>
      <c r="T433" s="43">
        <f t="shared" si="3"/>
      </c>
      <c r="U433" s="60">
        <f t="shared" si="4"/>
      </c>
      <c r="V433" s="60">
        <f t="shared" si="5"/>
      </c>
      <c r="W433" s="60">
        <f t="shared" si="6"/>
      </c>
      <c r="X433" s="49">
        <f t="shared" si="7"/>
      </c>
      <c r="Y433" s="2">
        <f t="shared" si="8"/>
      </c>
      <c r="Z433" s="2">
        <f t="shared" si="9"/>
        <v>0</v>
      </c>
      <c r="AA433" s="2">
        <f t="shared" si="10"/>
        <v>0</v>
      </c>
      <c r="AB433" s="2">
        <f t="shared" si="11"/>
        <v>0</v>
      </c>
      <c r="AC433" s="2">
        <f t="shared" si="12"/>
        <v>0</v>
      </c>
      <c r="AD433" s="2">
        <f t="shared" si="13"/>
        <v>0</v>
      </c>
      <c r="AE433" s="2">
        <f t="shared" si="14"/>
        <v>0</v>
      </c>
      <c r="AF433" s="2">
        <f t="shared" si="15"/>
        <v>0</v>
      </c>
      <c r="AG433" s="2">
        <f t="shared" si="16"/>
        <v>0</v>
      </c>
      <c r="AH433" s="2">
        <f t="shared" si="17"/>
        <v>0</v>
      </c>
      <c r="AI433" s="2">
        <f t="shared" si="18"/>
      </c>
    </row>
    <row r="434">
      <c r="A434" s="43">
        <f t="shared" si="0"/>
      </c>
      <c r="B434" s="54" t="n"/>
      <c r="C434" s="45" t="n"/>
      <c r="D434" s="50" t="n"/>
      <c r="E434" s="55" t="n"/>
      <c r="F434" s="50" t="n"/>
      <c r="G434" s="55" t="n"/>
      <c r="H434" s="50" t="n"/>
      <c r="I434" s="55" t="n"/>
      <c r="J434" s="50" t="n"/>
      <c r="K434" s="55" t="n"/>
      <c r="L434" s="56" t="n"/>
      <c r="M434" s="57" t="n"/>
      <c r="N434" s="57" t="n"/>
      <c r="O434" s="57" t="n"/>
      <c r="P434" s="57" t="n"/>
      <c r="Q434" s="50" t="n"/>
      <c r="R434" s="58">
        <f t="shared" si="1"/>
      </c>
      <c r="S434" s="59">
        <f t="shared" si="2"/>
      </c>
      <c r="T434" s="43">
        <f t="shared" si="3"/>
      </c>
      <c r="U434" s="60">
        <f t="shared" si="4"/>
      </c>
      <c r="V434" s="60">
        <f t="shared" si="5"/>
      </c>
      <c r="W434" s="60">
        <f t="shared" si="6"/>
      </c>
      <c r="X434" s="49">
        <f t="shared" si="7"/>
      </c>
      <c r="Y434" s="2">
        <f t="shared" si="8"/>
      </c>
      <c r="Z434" s="2">
        <f t="shared" si="9"/>
        <v>0</v>
      </c>
      <c r="AA434" s="2">
        <f t="shared" si="10"/>
        <v>0</v>
      </c>
      <c r="AB434" s="2">
        <f t="shared" si="11"/>
        <v>0</v>
      </c>
      <c r="AC434" s="2">
        <f t="shared" si="12"/>
        <v>0</v>
      </c>
      <c r="AD434" s="2">
        <f t="shared" si="13"/>
        <v>0</v>
      </c>
      <c r="AE434" s="2">
        <f t="shared" si="14"/>
        <v>0</v>
      </c>
      <c r="AF434" s="2">
        <f t="shared" si="15"/>
        <v>0</v>
      </c>
      <c r="AG434" s="2">
        <f t="shared" si="16"/>
        <v>0</v>
      </c>
      <c r="AH434" s="2">
        <f t="shared" si="17"/>
        <v>0</v>
      </c>
      <c r="AI434" s="2">
        <f t="shared" si="18"/>
      </c>
    </row>
    <row r="435">
      <c r="A435" s="43">
        <f t="shared" si="0"/>
      </c>
      <c r="B435" s="54" t="n"/>
      <c r="C435" s="45" t="n"/>
      <c r="D435" s="50" t="n"/>
      <c r="E435" s="55" t="n"/>
      <c r="F435" s="50" t="n"/>
      <c r="G435" s="55" t="n"/>
      <c r="H435" s="50" t="n"/>
      <c r="I435" s="55" t="n"/>
      <c r="J435" s="50" t="n"/>
      <c r="K435" s="55" t="n"/>
      <c r="L435" s="56" t="n"/>
      <c r="M435" s="57" t="n"/>
      <c r="N435" s="57" t="n"/>
      <c r="O435" s="57" t="n"/>
      <c r="P435" s="57" t="n"/>
      <c r="Q435" s="50" t="n"/>
      <c r="R435" s="58">
        <f t="shared" si="1"/>
      </c>
      <c r="S435" s="59">
        <f t="shared" si="2"/>
      </c>
      <c r="T435" s="43">
        <f t="shared" si="3"/>
      </c>
      <c r="U435" s="60">
        <f t="shared" si="4"/>
      </c>
      <c r="V435" s="60">
        <f t="shared" si="5"/>
      </c>
      <c r="W435" s="60">
        <f t="shared" si="6"/>
      </c>
      <c r="X435" s="49">
        <f t="shared" si="7"/>
      </c>
      <c r="Y435" s="2">
        <f t="shared" si="8"/>
      </c>
      <c r="Z435" s="2">
        <f t="shared" si="9"/>
        <v>0</v>
      </c>
      <c r="AA435" s="2">
        <f t="shared" si="10"/>
        <v>0</v>
      </c>
      <c r="AB435" s="2">
        <f t="shared" si="11"/>
        <v>0</v>
      </c>
      <c r="AC435" s="2">
        <f t="shared" si="12"/>
        <v>0</v>
      </c>
      <c r="AD435" s="2">
        <f t="shared" si="13"/>
        <v>0</v>
      </c>
      <c r="AE435" s="2">
        <f t="shared" si="14"/>
        <v>0</v>
      </c>
      <c r="AF435" s="2">
        <f t="shared" si="15"/>
        <v>0</v>
      </c>
      <c r="AG435" s="2">
        <f t="shared" si="16"/>
        <v>0</v>
      </c>
      <c r="AH435" s="2">
        <f t="shared" si="17"/>
        <v>0</v>
      </c>
      <c r="AI435" s="2">
        <f t="shared" si="18"/>
      </c>
    </row>
    <row r="436">
      <c r="A436" s="43">
        <f t="shared" si="0"/>
      </c>
      <c r="B436" s="54" t="n"/>
      <c r="C436" s="45" t="n"/>
      <c r="D436" s="50" t="n"/>
      <c r="E436" s="55" t="n"/>
      <c r="F436" s="50" t="n"/>
      <c r="G436" s="55" t="n"/>
      <c r="H436" s="50" t="n"/>
      <c r="I436" s="55" t="n"/>
      <c r="J436" s="50" t="n"/>
      <c r="K436" s="55" t="n"/>
      <c r="L436" s="56" t="n"/>
      <c r="M436" s="57" t="n"/>
      <c r="N436" s="57" t="n"/>
      <c r="O436" s="57" t="n"/>
      <c r="P436" s="57" t="n"/>
      <c r="Q436" s="50" t="n"/>
      <c r="R436" s="58">
        <f t="shared" si="1"/>
      </c>
      <c r="S436" s="59">
        <f t="shared" si="2"/>
      </c>
      <c r="T436" s="43">
        <f t="shared" si="3"/>
      </c>
      <c r="U436" s="60">
        <f t="shared" si="4"/>
      </c>
      <c r="V436" s="60">
        <f t="shared" si="5"/>
      </c>
      <c r="W436" s="60">
        <f t="shared" si="6"/>
      </c>
      <c r="X436" s="49">
        <f t="shared" si="7"/>
      </c>
      <c r="Y436" s="2">
        <f t="shared" si="8"/>
      </c>
      <c r="Z436" s="2">
        <f t="shared" si="9"/>
        <v>0</v>
      </c>
      <c r="AA436" s="2">
        <f t="shared" si="10"/>
        <v>0</v>
      </c>
      <c r="AB436" s="2">
        <f t="shared" si="11"/>
        <v>0</v>
      </c>
      <c r="AC436" s="2">
        <f t="shared" si="12"/>
        <v>0</v>
      </c>
      <c r="AD436" s="2">
        <f t="shared" si="13"/>
        <v>0</v>
      </c>
      <c r="AE436" s="2">
        <f t="shared" si="14"/>
        <v>0</v>
      </c>
      <c r="AF436" s="2">
        <f t="shared" si="15"/>
        <v>0</v>
      </c>
      <c r="AG436" s="2">
        <f t="shared" si="16"/>
        <v>0</v>
      </c>
      <c r="AH436" s="2">
        <f t="shared" si="17"/>
        <v>0</v>
      </c>
      <c r="AI436" s="2">
        <f t="shared" si="18"/>
      </c>
    </row>
    <row r="437">
      <c r="A437" s="43">
        <f t="shared" si="0"/>
      </c>
      <c r="B437" s="54" t="n"/>
      <c r="C437" s="45" t="n"/>
      <c r="D437" s="50" t="n"/>
      <c r="E437" s="55" t="n"/>
      <c r="F437" s="50" t="n"/>
      <c r="G437" s="55" t="n"/>
      <c r="H437" s="50" t="n"/>
      <c r="I437" s="55" t="n"/>
      <c r="J437" s="50" t="n"/>
      <c r="K437" s="55" t="n"/>
      <c r="L437" s="56" t="n"/>
      <c r="M437" s="57" t="n"/>
      <c r="N437" s="57" t="n"/>
      <c r="O437" s="57" t="n"/>
      <c r="P437" s="57" t="n"/>
      <c r="Q437" s="50" t="n"/>
      <c r="R437" s="58">
        <f t="shared" si="1"/>
      </c>
      <c r="S437" s="59">
        <f t="shared" si="2"/>
      </c>
      <c r="T437" s="43">
        <f t="shared" si="3"/>
      </c>
      <c r="U437" s="60">
        <f t="shared" si="4"/>
      </c>
      <c r="V437" s="60">
        <f t="shared" si="5"/>
      </c>
      <c r="W437" s="60">
        <f t="shared" si="6"/>
      </c>
      <c r="X437" s="49">
        <f t="shared" si="7"/>
      </c>
      <c r="Y437" s="2">
        <f t="shared" si="8"/>
      </c>
      <c r="Z437" s="2">
        <f t="shared" si="9"/>
        <v>0</v>
      </c>
      <c r="AA437" s="2">
        <f t="shared" si="10"/>
        <v>0</v>
      </c>
      <c r="AB437" s="2">
        <f t="shared" si="11"/>
        <v>0</v>
      </c>
      <c r="AC437" s="2">
        <f t="shared" si="12"/>
        <v>0</v>
      </c>
      <c r="AD437" s="2">
        <f t="shared" si="13"/>
        <v>0</v>
      </c>
      <c r="AE437" s="2">
        <f t="shared" si="14"/>
        <v>0</v>
      </c>
      <c r="AF437" s="2">
        <f t="shared" si="15"/>
        <v>0</v>
      </c>
      <c r="AG437" s="2">
        <f t="shared" si="16"/>
        <v>0</v>
      </c>
      <c r="AH437" s="2">
        <f t="shared" si="17"/>
        <v>0</v>
      </c>
      <c r="AI437" s="2">
        <f t="shared" si="18"/>
      </c>
    </row>
    <row r="438">
      <c r="A438" s="43">
        <f t="shared" si="0"/>
      </c>
      <c r="B438" s="54" t="n"/>
      <c r="C438" s="45" t="n"/>
      <c r="D438" s="50" t="n"/>
      <c r="E438" s="55" t="n"/>
      <c r="F438" s="50" t="n"/>
      <c r="G438" s="55" t="n"/>
      <c r="H438" s="50" t="n"/>
      <c r="I438" s="55" t="n"/>
      <c r="J438" s="50" t="n"/>
      <c r="K438" s="55" t="n"/>
      <c r="L438" s="56" t="n"/>
      <c r="M438" s="57" t="n"/>
      <c r="N438" s="57" t="n"/>
      <c r="O438" s="57" t="n"/>
      <c r="P438" s="57" t="n"/>
      <c r="Q438" s="50" t="n"/>
      <c r="R438" s="58">
        <f t="shared" si="1"/>
      </c>
      <c r="S438" s="59">
        <f t="shared" si="2"/>
      </c>
      <c r="T438" s="43">
        <f t="shared" si="3"/>
      </c>
      <c r="U438" s="60">
        <f t="shared" si="4"/>
      </c>
      <c r="V438" s="60">
        <f t="shared" si="5"/>
      </c>
      <c r="W438" s="60">
        <f t="shared" si="6"/>
      </c>
      <c r="X438" s="49">
        <f t="shared" si="7"/>
      </c>
      <c r="Y438" s="2">
        <f t="shared" si="8"/>
      </c>
      <c r="Z438" s="2">
        <f t="shared" si="9"/>
        <v>0</v>
      </c>
      <c r="AA438" s="2">
        <f t="shared" si="10"/>
        <v>0</v>
      </c>
      <c r="AB438" s="2">
        <f t="shared" si="11"/>
        <v>0</v>
      </c>
      <c r="AC438" s="2">
        <f t="shared" si="12"/>
        <v>0</v>
      </c>
      <c r="AD438" s="2">
        <f t="shared" si="13"/>
        <v>0</v>
      </c>
      <c r="AE438" s="2">
        <f t="shared" si="14"/>
        <v>0</v>
      </c>
      <c r="AF438" s="2">
        <f t="shared" si="15"/>
        <v>0</v>
      </c>
      <c r="AG438" s="2">
        <f t="shared" si="16"/>
        <v>0</v>
      </c>
      <c r="AH438" s="2">
        <f t="shared" si="17"/>
        <v>0</v>
      </c>
      <c r="AI438" s="2">
        <f t="shared" si="18"/>
      </c>
    </row>
    <row r="439">
      <c r="A439" s="43">
        <f t="shared" si="0"/>
      </c>
      <c r="B439" s="54" t="n"/>
      <c r="C439" s="45" t="n"/>
      <c r="D439" s="50" t="n"/>
      <c r="E439" s="55" t="n"/>
      <c r="F439" s="50" t="n"/>
      <c r="G439" s="55" t="n"/>
      <c r="H439" s="50" t="n"/>
      <c r="I439" s="55" t="n"/>
      <c r="J439" s="50" t="n"/>
      <c r="K439" s="55" t="n"/>
      <c r="L439" s="56" t="n"/>
      <c r="M439" s="57" t="n"/>
      <c r="N439" s="57" t="n"/>
      <c r="O439" s="57" t="n"/>
      <c r="P439" s="57" t="n"/>
      <c r="Q439" s="50" t="n"/>
      <c r="R439" s="58">
        <f t="shared" si="1"/>
      </c>
      <c r="S439" s="59">
        <f t="shared" si="2"/>
      </c>
      <c r="T439" s="43">
        <f t="shared" si="3"/>
      </c>
      <c r="U439" s="60">
        <f t="shared" si="4"/>
      </c>
      <c r="V439" s="60">
        <f t="shared" si="5"/>
      </c>
      <c r="W439" s="60">
        <f t="shared" si="6"/>
      </c>
      <c r="X439" s="49">
        <f t="shared" si="7"/>
      </c>
      <c r="Y439" s="2">
        <f t="shared" si="8"/>
      </c>
      <c r="Z439" s="2">
        <f t="shared" si="9"/>
        <v>0</v>
      </c>
      <c r="AA439" s="2">
        <f t="shared" si="10"/>
        <v>0</v>
      </c>
      <c r="AB439" s="2">
        <f t="shared" si="11"/>
        <v>0</v>
      </c>
      <c r="AC439" s="2">
        <f t="shared" si="12"/>
        <v>0</v>
      </c>
      <c r="AD439" s="2">
        <f t="shared" si="13"/>
        <v>0</v>
      </c>
      <c r="AE439" s="2">
        <f t="shared" si="14"/>
        <v>0</v>
      </c>
      <c r="AF439" s="2">
        <f t="shared" si="15"/>
        <v>0</v>
      </c>
      <c r="AG439" s="2">
        <f t="shared" si="16"/>
        <v>0</v>
      </c>
      <c r="AH439" s="2">
        <f t="shared" si="17"/>
        <v>0</v>
      </c>
      <c r="AI439" s="2">
        <f t="shared" si="18"/>
      </c>
    </row>
    <row r="440">
      <c r="A440" s="43">
        <f t="shared" si="0"/>
      </c>
      <c r="B440" s="54" t="n"/>
      <c r="C440" s="45" t="n"/>
      <c r="D440" s="50" t="n"/>
      <c r="E440" s="55" t="n"/>
      <c r="F440" s="50" t="n"/>
      <c r="G440" s="55" t="n"/>
      <c r="H440" s="50" t="n"/>
      <c r="I440" s="55" t="n"/>
      <c r="J440" s="50" t="n"/>
      <c r="K440" s="55" t="n"/>
      <c r="L440" s="56" t="n"/>
      <c r="M440" s="57" t="n"/>
      <c r="N440" s="57" t="n"/>
      <c r="O440" s="57" t="n"/>
      <c r="P440" s="57" t="n"/>
      <c r="Q440" s="50" t="n"/>
      <c r="R440" s="58">
        <f t="shared" si="1"/>
      </c>
      <c r="S440" s="59">
        <f t="shared" si="2"/>
      </c>
      <c r="T440" s="43">
        <f t="shared" si="3"/>
      </c>
      <c r="U440" s="60">
        <f t="shared" si="4"/>
      </c>
      <c r="V440" s="60">
        <f t="shared" si="5"/>
      </c>
      <c r="W440" s="60">
        <f t="shared" si="6"/>
      </c>
      <c r="X440" s="49">
        <f t="shared" si="7"/>
      </c>
      <c r="Y440" s="2">
        <f t="shared" si="8"/>
      </c>
      <c r="Z440" s="2">
        <f t="shared" si="9"/>
        <v>0</v>
      </c>
      <c r="AA440" s="2">
        <f t="shared" si="10"/>
        <v>0</v>
      </c>
      <c r="AB440" s="2">
        <f t="shared" si="11"/>
        <v>0</v>
      </c>
      <c r="AC440" s="2">
        <f t="shared" si="12"/>
        <v>0</v>
      </c>
      <c r="AD440" s="2">
        <f t="shared" si="13"/>
        <v>0</v>
      </c>
      <c r="AE440" s="2">
        <f t="shared" si="14"/>
        <v>0</v>
      </c>
      <c r="AF440" s="2">
        <f t="shared" si="15"/>
        <v>0</v>
      </c>
      <c r="AG440" s="2">
        <f t="shared" si="16"/>
        <v>0</v>
      </c>
      <c r="AH440" s="2">
        <f t="shared" si="17"/>
        <v>0</v>
      </c>
      <c r="AI440" s="2">
        <f t="shared" si="18"/>
      </c>
    </row>
    <row r="441">
      <c r="A441" s="43">
        <f t="shared" si="0"/>
      </c>
      <c r="B441" s="54" t="n"/>
      <c r="C441" s="45" t="n"/>
      <c r="D441" s="50" t="n"/>
      <c r="E441" s="55" t="n"/>
      <c r="F441" s="50" t="n"/>
      <c r="G441" s="55" t="n"/>
      <c r="H441" s="50" t="n"/>
      <c r="I441" s="55" t="n"/>
      <c r="J441" s="50" t="n"/>
      <c r="K441" s="55" t="n"/>
      <c r="L441" s="56" t="n"/>
      <c r="M441" s="57" t="n"/>
      <c r="N441" s="57" t="n"/>
      <c r="O441" s="57" t="n"/>
      <c r="P441" s="57" t="n"/>
      <c r="Q441" s="50" t="n"/>
      <c r="R441" s="58">
        <f t="shared" si="1"/>
      </c>
      <c r="S441" s="59">
        <f t="shared" si="2"/>
      </c>
      <c r="T441" s="43">
        <f t="shared" si="3"/>
      </c>
      <c r="U441" s="60">
        <f t="shared" si="4"/>
      </c>
      <c r="V441" s="60">
        <f t="shared" si="5"/>
      </c>
      <c r="W441" s="60">
        <f t="shared" si="6"/>
      </c>
      <c r="X441" s="49">
        <f t="shared" si="7"/>
      </c>
      <c r="Y441" s="2">
        <f t="shared" si="8"/>
      </c>
      <c r="Z441" s="2">
        <f t="shared" si="9"/>
        <v>0</v>
      </c>
      <c r="AA441" s="2">
        <f t="shared" si="10"/>
        <v>0</v>
      </c>
      <c r="AB441" s="2">
        <f t="shared" si="11"/>
        <v>0</v>
      </c>
      <c r="AC441" s="2">
        <f t="shared" si="12"/>
        <v>0</v>
      </c>
      <c r="AD441" s="2">
        <f t="shared" si="13"/>
        <v>0</v>
      </c>
      <c r="AE441" s="2">
        <f t="shared" si="14"/>
        <v>0</v>
      </c>
      <c r="AF441" s="2">
        <f t="shared" si="15"/>
        <v>0</v>
      </c>
      <c r="AG441" s="2">
        <f t="shared" si="16"/>
        <v>0</v>
      </c>
      <c r="AH441" s="2">
        <f t="shared" si="17"/>
        <v>0</v>
      </c>
      <c r="AI441" s="2">
        <f t="shared" si="18"/>
      </c>
    </row>
    <row r="442">
      <c r="A442" s="43">
        <f t="shared" si="0"/>
      </c>
      <c r="B442" s="54" t="n"/>
      <c r="C442" s="45" t="n"/>
      <c r="D442" s="50" t="n"/>
      <c r="E442" s="55" t="n"/>
      <c r="F442" s="50" t="n"/>
      <c r="G442" s="55" t="n"/>
      <c r="H442" s="50" t="n"/>
      <c r="I442" s="55" t="n"/>
      <c r="J442" s="50" t="n"/>
      <c r="K442" s="55" t="n"/>
      <c r="L442" s="56" t="n"/>
      <c r="M442" s="57" t="n"/>
      <c r="N442" s="57" t="n"/>
      <c r="O442" s="57" t="n"/>
      <c r="P442" s="57" t="n"/>
      <c r="Q442" s="50" t="n"/>
      <c r="R442" s="58">
        <f t="shared" si="1"/>
      </c>
      <c r="S442" s="59">
        <f t="shared" si="2"/>
      </c>
      <c r="T442" s="43">
        <f t="shared" si="3"/>
      </c>
      <c r="U442" s="60">
        <f t="shared" si="4"/>
      </c>
      <c r="V442" s="60">
        <f t="shared" si="5"/>
      </c>
      <c r="W442" s="60">
        <f t="shared" si="6"/>
      </c>
      <c r="X442" s="49">
        <f t="shared" si="7"/>
      </c>
      <c r="Y442" s="2">
        <f t="shared" si="8"/>
      </c>
      <c r="Z442" s="2">
        <f t="shared" si="9"/>
        <v>0</v>
      </c>
      <c r="AA442" s="2">
        <f t="shared" si="10"/>
        <v>0</v>
      </c>
      <c r="AB442" s="2">
        <f t="shared" si="11"/>
        <v>0</v>
      </c>
      <c r="AC442" s="2">
        <f t="shared" si="12"/>
        <v>0</v>
      </c>
      <c r="AD442" s="2">
        <f t="shared" si="13"/>
        <v>0</v>
      </c>
      <c r="AE442" s="2">
        <f t="shared" si="14"/>
        <v>0</v>
      </c>
      <c r="AF442" s="2">
        <f t="shared" si="15"/>
        <v>0</v>
      </c>
      <c r="AG442" s="2">
        <f t="shared" si="16"/>
        <v>0</v>
      </c>
      <c r="AH442" s="2">
        <f t="shared" si="17"/>
        <v>0</v>
      </c>
      <c r="AI442" s="2">
        <f t="shared" si="18"/>
      </c>
    </row>
    <row r="443">
      <c r="A443" s="43">
        <f t="shared" si="0"/>
      </c>
      <c r="B443" s="54" t="n"/>
      <c r="C443" s="45" t="n"/>
      <c r="D443" s="50" t="n"/>
      <c r="E443" s="55" t="n"/>
      <c r="F443" s="50" t="n"/>
      <c r="G443" s="55" t="n"/>
      <c r="H443" s="50" t="n"/>
      <c r="I443" s="55" t="n"/>
      <c r="J443" s="50" t="n"/>
      <c r="K443" s="55" t="n"/>
      <c r="L443" s="56" t="n"/>
      <c r="M443" s="57" t="n"/>
      <c r="N443" s="57" t="n"/>
      <c r="O443" s="57" t="n"/>
      <c r="P443" s="57" t="n"/>
      <c r="Q443" s="50" t="n"/>
      <c r="R443" s="58">
        <f t="shared" si="1"/>
      </c>
      <c r="S443" s="59">
        <f t="shared" si="2"/>
      </c>
      <c r="T443" s="43">
        <f t="shared" si="3"/>
      </c>
      <c r="U443" s="60">
        <f t="shared" si="4"/>
      </c>
      <c r="V443" s="60">
        <f t="shared" si="5"/>
      </c>
      <c r="W443" s="60">
        <f t="shared" si="6"/>
      </c>
      <c r="X443" s="49">
        <f t="shared" si="7"/>
      </c>
      <c r="Y443" s="2">
        <f t="shared" si="8"/>
      </c>
      <c r="Z443" s="2">
        <f t="shared" si="9"/>
        <v>0</v>
      </c>
      <c r="AA443" s="2">
        <f t="shared" si="10"/>
        <v>0</v>
      </c>
      <c r="AB443" s="2">
        <f t="shared" si="11"/>
        <v>0</v>
      </c>
      <c r="AC443" s="2">
        <f t="shared" si="12"/>
        <v>0</v>
      </c>
      <c r="AD443" s="2">
        <f t="shared" si="13"/>
        <v>0</v>
      </c>
      <c r="AE443" s="2">
        <f t="shared" si="14"/>
        <v>0</v>
      </c>
      <c r="AF443" s="2">
        <f t="shared" si="15"/>
        <v>0</v>
      </c>
      <c r="AG443" s="2">
        <f t="shared" si="16"/>
        <v>0</v>
      </c>
      <c r="AH443" s="2">
        <f t="shared" si="17"/>
        <v>0</v>
      </c>
      <c r="AI443" s="2">
        <f t="shared" si="18"/>
      </c>
    </row>
    <row r="444">
      <c r="A444" s="43">
        <f t="shared" si="0"/>
      </c>
      <c r="B444" s="54" t="n"/>
      <c r="C444" s="45" t="n"/>
      <c r="D444" s="50" t="n"/>
      <c r="E444" s="55" t="n"/>
      <c r="F444" s="50" t="n"/>
      <c r="G444" s="55" t="n"/>
      <c r="H444" s="50" t="n"/>
      <c r="I444" s="55" t="n"/>
      <c r="J444" s="50" t="n"/>
      <c r="K444" s="55" t="n"/>
      <c r="L444" s="56" t="n"/>
      <c r="M444" s="57" t="n"/>
      <c r="N444" s="57" t="n"/>
      <c r="O444" s="57" t="n"/>
      <c r="P444" s="57" t="n"/>
      <c r="Q444" s="50" t="n"/>
      <c r="R444" s="58">
        <f t="shared" si="1"/>
      </c>
      <c r="S444" s="59">
        <f t="shared" si="2"/>
      </c>
      <c r="T444" s="43">
        <f t="shared" si="3"/>
      </c>
      <c r="U444" s="60">
        <f t="shared" si="4"/>
      </c>
      <c r="V444" s="60">
        <f t="shared" si="5"/>
      </c>
      <c r="W444" s="60">
        <f t="shared" si="6"/>
      </c>
      <c r="X444" s="49">
        <f t="shared" si="7"/>
      </c>
      <c r="Y444" s="2">
        <f t="shared" si="8"/>
      </c>
      <c r="Z444" s="2">
        <f t="shared" si="9"/>
        <v>0</v>
      </c>
      <c r="AA444" s="2">
        <f t="shared" si="10"/>
        <v>0</v>
      </c>
      <c r="AB444" s="2">
        <f t="shared" si="11"/>
        <v>0</v>
      </c>
      <c r="AC444" s="2">
        <f t="shared" si="12"/>
        <v>0</v>
      </c>
      <c r="AD444" s="2">
        <f t="shared" si="13"/>
        <v>0</v>
      </c>
      <c r="AE444" s="2">
        <f t="shared" si="14"/>
        <v>0</v>
      </c>
      <c r="AF444" s="2">
        <f t="shared" si="15"/>
        <v>0</v>
      </c>
      <c r="AG444" s="2">
        <f t="shared" si="16"/>
        <v>0</v>
      </c>
      <c r="AH444" s="2">
        <f t="shared" si="17"/>
        <v>0</v>
      </c>
      <c r="AI444" s="2">
        <f t="shared" si="18"/>
      </c>
    </row>
    <row r="445">
      <c r="A445" s="43">
        <f t="shared" si="0"/>
      </c>
      <c r="B445" s="54" t="n"/>
      <c r="C445" s="45" t="n"/>
      <c r="D445" s="50" t="n"/>
      <c r="E445" s="55" t="n"/>
      <c r="F445" s="50" t="n"/>
      <c r="G445" s="55" t="n"/>
      <c r="H445" s="50" t="n"/>
      <c r="I445" s="55" t="n"/>
      <c r="J445" s="50" t="n"/>
      <c r="K445" s="55" t="n"/>
      <c r="L445" s="56" t="n"/>
      <c r="M445" s="57" t="n"/>
      <c r="N445" s="57" t="n"/>
      <c r="O445" s="57" t="n"/>
      <c r="P445" s="57" t="n"/>
      <c r="Q445" s="50" t="n"/>
      <c r="R445" s="58">
        <f t="shared" si="1"/>
      </c>
      <c r="S445" s="59">
        <f t="shared" si="2"/>
      </c>
      <c r="T445" s="43">
        <f t="shared" si="3"/>
      </c>
      <c r="U445" s="60">
        <f t="shared" si="4"/>
      </c>
      <c r="V445" s="60">
        <f t="shared" si="5"/>
      </c>
      <c r="W445" s="60">
        <f t="shared" si="6"/>
      </c>
      <c r="X445" s="49">
        <f t="shared" si="7"/>
      </c>
      <c r="Y445" s="2">
        <f t="shared" si="8"/>
      </c>
      <c r="Z445" s="2">
        <f t="shared" si="9"/>
        <v>0</v>
      </c>
      <c r="AA445" s="2">
        <f t="shared" si="10"/>
        <v>0</v>
      </c>
      <c r="AB445" s="2">
        <f t="shared" si="11"/>
        <v>0</v>
      </c>
      <c r="AC445" s="2">
        <f t="shared" si="12"/>
        <v>0</v>
      </c>
      <c r="AD445" s="2">
        <f t="shared" si="13"/>
        <v>0</v>
      </c>
      <c r="AE445" s="2">
        <f t="shared" si="14"/>
        <v>0</v>
      </c>
      <c r="AF445" s="2">
        <f t="shared" si="15"/>
        <v>0</v>
      </c>
      <c r="AG445" s="2">
        <f t="shared" si="16"/>
        <v>0</v>
      </c>
      <c r="AH445" s="2">
        <f t="shared" si="17"/>
        <v>0</v>
      </c>
      <c r="AI445" s="2">
        <f t="shared" si="18"/>
      </c>
    </row>
    <row r="446">
      <c r="A446" s="43">
        <f t="shared" si="0"/>
      </c>
      <c r="B446" s="54" t="n"/>
      <c r="C446" s="45" t="n"/>
      <c r="D446" s="50" t="n"/>
      <c r="E446" s="55" t="n"/>
      <c r="F446" s="50" t="n"/>
      <c r="G446" s="55" t="n"/>
      <c r="H446" s="50" t="n"/>
      <c r="I446" s="55" t="n"/>
      <c r="J446" s="50" t="n"/>
      <c r="K446" s="55" t="n"/>
      <c r="L446" s="56" t="n"/>
      <c r="M446" s="57" t="n"/>
      <c r="N446" s="57" t="n"/>
      <c r="O446" s="57" t="n"/>
      <c r="P446" s="57" t="n"/>
      <c r="Q446" s="50" t="n"/>
      <c r="R446" s="58">
        <f t="shared" si="1"/>
      </c>
      <c r="S446" s="59">
        <f t="shared" si="2"/>
      </c>
      <c r="T446" s="43">
        <f t="shared" si="3"/>
      </c>
      <c r="U446" s="60">
        <f t="shared" si="4"/>
      </c>
      <c r="V446" s="60">
        <f t="shared" si="5"/>
      </c>
      <c r="W446" s="60">
        <f t="shared" si="6"/>
      </c>
      <c r="X446" s="49">
        <f t="shared" si="7"/>
      </c>
      <c r="Y446" s="2">
        <f t="shared" si="8"/>
      </c>
      <c r="Z446" s="2">
        <f t="shared" si="9"/>
        <v>0</v>
      </c>
      <c r="AA446" s="2">
        <f t="shared" si="10"/>
        <v>0</v>
      </c>
      <c r="AB446" s="2">
        <f t="shared" si="11"/>
        <v>0</v>
      </c>
      <c r="AC446" s="2">
        <f t="shared" si="12"/>
        <v>0</v>
      </c>
      <c r="AD446" s="2">
        <f t="shared" si="13"/>
        <v>0</v>
      </c>
      <c r="AE446" s="2">
        <f t="shared" si="14"/>
        <v>0</v>
      </c>
      <c r="AF446" s="2">
        <f t="shared" si="15"/>
        <v>0</v>
      </c>
      <c r="AG446" s="2">
        <f t="shared" si="16"/>
        <v>0</v>
      </c>
      <c r="AH446" s="2">
        <f t="shared" si="17"/>
        <v>0</v>
      </c>
      <c r="AI446" s="2">
        <f t="shared" si="18"/>
      </c>
    </row>
    <row r="447">
      <c r="A447" s="43">
        <f t="shared" si="0"/>
      </c>
      <c r="B447" s="54" t="n"/>
      <c r="C447" s="45" t="n"/>
      <c r="D447" s="50" t="n"/>
      <c r="E447" s="55" t="n"/>
      <c r="F447" s="50" t="n"/>
      <c r="G447" s="55" t="n"/>
      <c r="H447" s="50" t="n"/>
      <c r="I447" s="55" t="n"/>
      <c r="J447" s="50" t="n"/>
      <c r="K447" s="55" t="n"/>
      <c r="L447" s="56" t="n"/>
      <c r="M447" s="57" t="n"/>
      <c r="N447" s="57" t="n"/>
      <c r="O447" s="57" t="n"/>
      <c r="P447" s="57" t="n"/>
      <c r="Q447" s="50" t="n"/>
      <c r="R447" s="58">
        <f t="shared" si="1"/>
      </c>
      <c r="S447" s="59">
        <f t="shared" si="2"/>
      </c>
      <c r="T447" s="43">
        <f t="shared" si="3"/>
      </c>
      <c r="U447" s="60">
        <f t="shared" si="4"/>
      </c>
      <c r="V447" s="60">
        <f t="shared" si="5"/>
      </c>
      <c r="W447" s="60">
        <f t="shared" si="6"/>
      </c>
      <c r="X447" s="49">
        <f t="shared" si="7"/>
      </c>
      <c r="Y447" s="2">
        <f t="shared" si="8"/>
      </c>
      <c r="Z447" s="2">
        <f t="shared" si="9"/>
        <v>0</v>
      </c>
      <c r="AA447" s="2">
        <f t="shared" si="10"/>
        <v>0</v>
      </c>
      <c r="AB447" s="2">
        <f t="shared" si="11"/>
        <v>0</v>
      </c>
      <c r="AC447" s="2">
        <f t="shared" si="12"/>
        <v>0</v>
      </c>
      <c r="AD447" s="2">
        <f t="shared" si="13"/>
        <v>0</v>
      </c>
      <c r="AE447" s="2">
        <f t="shared" si="14"/>
        <v>0</v>
      </c>
      <c r="AF447" s="2">
        <f t="shared" si="15"/>
        <v>0</v>
      </c>
      <c r="AG447" s="2">
        <f t="shared" si="16"/>
        <v>0</v>
      </c>
      <c r="AH447" s="2">
        <f t="shared" si="17"/>
        <v>0</v>
      </c>
      <c r="AI447" s="2">
        <f t="shared" si="18"/>
      </c>
    </row>
    <row r="448">
      <c r="A448" s="43">
        <f t="shared" si="0"/>
      </c>
      <c r="B448" s="54" t="n"/>
      <c r="C448" s="45" t="n"/>
      <c r="D448" s="50" t="n"/>
      <c r="E448" s="55" t="n"/>
      <c r="F448" s="50" t="n"/>
      <c r="G448" s="55" t="n"/>
      <c r="H448" s="50" t="n"/>
      <c r="I448" s="55" t="n"/>
      <c r="J448" s="50" t="n"/>
      <c r="K448" s="55" t="n"/>
      <c r="L448" s="56" t="n"/>
      <c r="M448" s="57" t="n"/>
      <c r="N448" s="57" t="n"/>
      <c r="O448" s="57" t="n"/>
      <c r="P448" s="57" t="n"/>
      <c r="Q448" s="50" t="n"/>
      <c r="R448" s="58">
        <f t="shared" si="1"/>
      </c>
      <c r="S448" s="59">
        <f t="shared" si="2"/>
      </c>
      <c r="T448" s="43">
        <f t="shared" si="3"/>
      </c>
      <c r="U448" s="60">
        <f t="shared" si="4"/>
      </c>
      <c r="V448" s="60">
        <f t="shared" si="5"/>
      </c>
      <c r="W448" s="60">
        <f t="shared" si="6"/>
      </c>
      <c r="X448" s="49">
        <f t="shared" si="7"/>
      </c>
      <c r="Y448" s="2">
        <f t="shared" si="8"/>
      </c>
      <c r="Z448" s="2">
        <f t="shared" si="9"/>
        <v>0</v>
      </c>
      <c r="AA448" s="2">
        <f t="shared" si="10"/>
        <v>0</v>
      </c>
      <c r="AB448" s="2">
        <f t="shared" si="11"/>
        <v>0</v>
      </c>
      <c r="AC448" s="2">
        <f t="shared" si="12"/>
        <v>0</v>
      </c>
      <c r="AD448" s="2">
        <f t="shared" si="13"/>
        <v>0</v>
      </c>
      <c r="AE448" s="2">
        <f t="shared" si="14"/>
        <v>0</v>
      </c>
      <c r="AF448" s="2">
        <f t="shared" si="15"/>
        <v>0</v>
      </c>
      <c r="AG448" s="2">
        <f t="shared" si="16"/>
        <v>0</v>
      </c>
      <c r="AH448" s="2">
        <f t="shared" si="17"/>
        <v>0</v>
      </c>
      <c r="AI448" s="2">
        <f t="shared" si="18"/>
      </c>
    </row>
    <row r="449">
      <c r="A449" s="43">
        <f t="shared" si="0"/>
      </c>
      <c r="B449" s="54" t="n"/>
      <c r="C449" s="45" t="n"/>
      <c r="D449" s="50" t="n"/>
      <c r="E449" s="55" t="n"/>
      <c r="F449" s="50" t="n"/>
      <c r="G449" s="55" t="n"/>
      <c r="H449" s="50" t="n"/>
      <c r="I449" s="55" t="n"/>
      <c r="J449" s="50" t="n"/>
      <c r="K449" s="55" t="n"/>
      <c r="L449" s="56" t="n"/>
      <c r="M449" s="57" t="n"/>
      <c r="N449" s="57" t="n"/>
      <c r="O449" s="57" t="n"/>
      <c r="P449" s="57" t="n"/>
      <c r="Q449" s="50" t="n"/>
      <c r="R449" s="58">
        <f t="shared" si="1"/>
      </c>
      <c r="S449" s="59">
        <f t="shared" si="2"/>
      </c>
      <c r="T449" s="43">
        <f t="shared" si="3"/>
      </c>
      <c r="U449" s="60">
        <f t="shared" si="4"/>
      </c>
      <c r="V449" s="60">
        <f t="shared" si="5"/>
      </c>
      <c r="W449" s="60">
        <f t="shared" si="6"/>
      </c>
      <c r="X449" s="49">
        <f t="shared" si="7"/>
      </c>
      <c r="Y449" s="2">
        <f t="shared" si="8"/>
      </c>
      <c r="Z449" s="2">
        <f t="shared" si="9"/>
        <v>0</v>
      </c>
      <c r="AA449" s="2">
        <f t="shared" si="10"/>
        <v>0</v>
      </c>
      <c r="AB449" s="2">
        <f t="shared" si="11"/>
        <v>0</v>
      </c>
      <c r="AC449" s="2">
        <f t="shared" si="12"/>
        <v>0</v>
      </c>
      <c r="AD449" s="2">
        <f t="shared" si="13"/>
        <v>0</v>
      </c>
      <c r="AE449" s="2">
        <f t="shared" si="14"/>
        <v>0</v>
      </c>
      <c r="AF449" s="2">
        <f t="shared" si="15"/>
        <v>0</v>
      </c>
      <c r="AG449" s="2">
        <f t="shared" si="16"/>
        <v>0</v>
      </c>
      <c r="AH449" s="2">
        <f t="shared" si="17"/>
        <v>0</v>
      </c>
      <c r="AI449" s="2">
        <f t="shared" si="18"/>
      </c>
    </row>
    <row r="450">
      <c r="A450" s="43">
        <f t="shared" si="0"/>
      </c>
      <c r="B450" s="54" t="n"/>
      <c r="C450" s="45" t="n"/>
      <c r="D450" s="50" t="n"/>
      <c r="E450" s="55" t="n"/>
      <c r="F450" s="50" t="n"/>
      <c r="G450" s="55" t="n"/>
      <c r="H450" s="50" t="n"/>
      <c r="I450" s="55" t="n"/>
      <c r="J450" s="50" t="n"/>
      <c r="K450" s="55" t="n"/>
      <c r="L450" s="56" t="n"/>
      <c r="M450" s="57" t="n"/>
      <c r="N450" s="57" t="n"/>
      <c r="O450" s="57" t="n"/>
      <c r="P450" s="57" t="n"/>
      <c r="Q450" s="50" t="n"/>
      <c r="R450" s="58">
        <f t="shared" si="1"/>
      </c>
      <c r="S450" s="59">
        <f t="shared" si="2"/>
      </c>
      <c r="T450" s="43">
        <f t="shared" si="3"/>
      </c>
      <c r="U450" s="60">
        <f t="shared" si="4"/>
      </c>
      <c r="V450" s="60">
        <f t="shared" si="5"/>
      </c>
      <c r="W450" s="60">
        <f t="shared" si="6"/>
      </c>
      <c r="X450" s="49">
        <f t="shared" si="7"/>
      </c>
      <c r="Y450" s="2">
        <f t="shared" si="8"/>
      </c>
      <c r="Z450" s="2">
        <f t="shared" si="9"/>
        <v>0</v>
      </c>
      <c r="AA450" s="2">
        <f t="shared" si="10"/>
        <v>0</v>
      </c>
      <c r="AB450" s="2">
        <f t="shared" si="11"/>
        <v>0</v>
      </c>
      <c r="AC450" s="2">
        <f t="shared" si="12"/>
        <v>0</v>
      </c>
      <c r="AD450" s="2">
        <f t="shared" si="13"/>
        <v>0</v>
      </c>
      <c r="AE450" s="2">
        <f t="shared" si="14"/>
        <v>0</v>
      </c>
      <c r="AF450" s="2">
        <f t="shared" si="15"/>
        <v>0</v>
      </c>
      <c r="AG450" s="2">
        <f t="shared" si="16"/>
        <v>0</v>
      </c>
      <c r="AH450" s="2">
        <f t="shared" si="17"/>
        <v>0</v>
      </c>
      <c r="AI450" s="2">
        <f t="shared" si="18"/>
      </c>
    </row>
    <row r="451">
      <c r="A451" s="43">
        <f t="shared" si="0"/>
      </c>
      <c r="B451" s="54" t="n"/>
      <c r="C451" s="45" t="n"/>
      <c r="D451" s="50" t="n"/>
      <c r="E451" s="55" t="n"/>
      <c r="F451" s="50" t="n"/>
      <c r="G451" s="55" t="n"/>
      <c r="H451" s="50" t="n"/>
      <c r="I451" s="55" t="n"/>
      <c r="J451" s="50" t="n"/>
      <c r="K451" s="55" t="n"/>
      <c r="L451" s="56" t="n"/>
      <c r="M451" s="57" t="n"/>
      <c r="N451" s="57" t="n"/>
      <c r="O451" s="57" t="n"/>
      <c r="P451" s="57" t="n"/>
      <c r="Q451" s="50" t="n"/>
      <c r="R451" s="58">
        <f t="shared" si="1"/>
      </c>
      <c r="S451" s="59">
        <f t="shared" si="2"/>
      </c>
      <c r="T451" s="43">
        <f t="shared" si="3"/>
      </c>
      <c r="U451" s="60">
        <f t="shared" si="4"/>
      </c>
      <c r="V451" s="60">
        <f t="shared" si="5"/>
      </c>
      <c r="W451" s="60">
        <f t="shared" si="6"/>
      </c>
      <c r="X451" s="49">
        <f t="shared" si="7"/>
      </c>
      <c r="Y451" s="2">
        <f t="shared" si="8"/>
      </c>
      <c r="Z451" s="2">
        <f t="shared" si="9"/>
        <v>0</v>
      </c>
      <c r="AA451" s="2">
        <f t="shared" si="10"/>
        <v>0</v>
      </c>
      <c r="AB451" s="2">
        <f t="shared" si="11"/>
        <v>0</v>
      </c>
      <c r="AC451" s="2">
        <f t="shared" si="12"/>
        <v>0</v>
      </c>
      <c r="AD451" s="2">
        <f t="shared" si="13"/>
        <v>0</v>
      </c>
      <c r="AE451" s="2">
        <f t="shared" si="14"/>
        <v>0</v>
      </c>
      <c r="AF451" s="2">
        <f t="shared" si="15"/>
        <v>0</v>
      </c>
      <c r="AG451" s="2">
        <f t="shared" si="16"/>
        <v>0</v>
      </c>
      <c r="AH451" s="2">
        <f t="shared" si="17"/>
        <v>0</v>
      </c>
      <c r="AI451" s="2">
        <f t="shared" si="18"/>
      </c>
    </row>
    <row r="452">
      <c r="A452" s="43">
        <f t="shared" si="0"/>
      </c>
      <c r="B452" s="54" t="n"/>
      <c r="C452" s="45" t="n"/>
      <c r="D452" s="50" t="n"/>
      <c r="E452" s="55" t="n"/>
      <c r="F452" s="50" t="n"/>
      <c r="G452" s="55" t="n"/>
      <c r="H452" s="50" t="n"/>
      <c r="I452" s="55" t="n"/>
      <c r="J452" s="50" t="n"/>
      <c r="K452" s="55" t="n"/>
      <c r="L452" s="56" t="n"/>
      <c r="M452" s="57" t="n"/>
      <c r="N452" s="57" t="n"/>
      <c r="O452" s="57" t="n"/>
      <c r="P452" s="57" t="n"/>
      <c r="Q452" s="50" t="n"/>
      <c r="R452" s="58">
        <f t="shared" si="1"/>
      </c>
      <c r="S452" s="59">
        <f t="shared" si="2"/>
      </c>
      <c r="T452" s="43">
        <f t="shared" si="3"/>
      </c>
      <c r="U452" s="60">
        <f t="shared" si="4"/>
      </c>
      <c r="V452" s="60">
        <f t="shared" si="5"/>
      </c>
      <c r="W452" s="60">
        <f t="shared" si="6"/>
      </c>
      <c r="X452" s="49">
        <f t="shared" si="7"/>
      </c>
      <c r="Y452" s="2">
        <f t="shared" si="8"/>
      </c>
      <c r="Z452" s="2">
        <f t="shared" si="9"/>
        <v>0</v>
      </c>
      <c r="AA452" s="2">
        <f t="shared" si="10"/>
        <v>0</v>
      </c>
      <c r="AB452" s="2">
        <f t="shared" si="11"/>
        <v>0</v>
      </c>
      <c r="AC452" s="2">
        <f t="shared" si="12"/>
        <v>0</v>
      </c>
      <c r="AD452" s="2">
        <f t="shared" si="13"/>
        <v>0</v>
      </c>
      <c r="AE452" s="2">
        <f t="shared" si="14"/>
        <v>0</v>
      </c>
      <c r="AF452" s="2">
        <f t="shared" si="15"/>
        <v>0</v>
      </c>
      <c r="AG452" s="2">
        <f t="shared" si="16"/>
        <v>0</v>
      </c>
      <c r="AH452" s="2">
        <f t="shared" si="17"/>
        <v>0</v>
      </c>
      <c r="AI452" s="2">
        <f t="shared" si="18"/>
      </c>
    </row>
    <row r="453">
      <c r="A453" s="43">
        <f t="shared" si="0"/>
      </c>
      <c r="B453" s="54" t="n"/>
      <c r="C453" s="45" t="n"/>
      <c r="D453" s="50" t="n"/>
      <c r="E453" s="55" t="n"/>
      <c r="F453" s="50" t="n"/>
      <c r="G453" s="55" t="n"/>
      <c r="H453" s="50" t="n"/>
      <c r="I453" s="55" t="n"/>
      <c r="J453" s="50" t="n"/>
      <c r="K453" s="55" t="n"/>
      <c r="L453" s="56" t="n"/>
      <c r="M453" s="57" t="n"/>
      <c r="N453" s="57" t="n"/>
      <c r="O453" s="57" t="n"/>
      <c r="P453" s="57" t="n"/>
      <c r="Q453" s="50" t="n"/>
      <c r="R453" s="58">
        <f t="shared" si="1"/>
      </c>
      <c r="S453" s="59">
        <f t="shared" si="2"/>
      </c>
      <c r="T453" s="43">
        <f t="shared" si="3"/>
      </c>
      <c r="U453" s="60">
        <f t="shared" si="4"/>
      </c>
      <c r="V453" s="60">
        <f t="shared" si="5"/>
      </c>
      <c r="W453" s="60">
        <f t="shared" si="6"/>
      </c>
      <c r="X453" s="49">
        <f t="shared" si="7"/>
      </c>
      <c r="Y453" s="2">
        <f t="shared" si="8"/>
      </c>
      <c r="Z453" s="2">
        <f t="shared" si="9"/>
        <v>0</v>
      </c>
      <c r="AA453" s="2">
        <f t="shared" si="10"/>
        <v>0</v>
      </c>
      <c r="AB453" s="2">
        <f t="shared" si="11"/>
        <v>0</v>
      </c>
      <c r="AC453" s="2">
        <f t="shared" si="12"/>
        <v>0</v>
      </c>
      <c r="AD453" s="2">
        <f t="shared" si="13"/>
        <v>0</v>
      </c>
      <c r="AE453" s="2">
        <f t="shared" si="14"/>
        <v>0</v>
      </c>
      <c r="AF453" s="2">
        <f t="shared" si="15"/>
        <v>0</v>
      </c>
      <c r="AG453" s="2">
        <f t="shared" si="16"/>
        <v>0</v>
      </c>
      <c r="AH453" s="2">
        <f t="shared" si="17"/>
        <v>0</v>
      </c>
      <c r="AI453" s="2">
        <f t="shared" si="18"/>
      </c>
    </row>
    <row r="454">
      <c r="A454" s="43">
        <f t="shared" si="0"/>
      </c>
      <c r="B454" s="54" t="n"/>
      <c r="C454" s="45" t="n"/>
      <c r="D454" s="50" t="n"/>
      <c r="E454" s="55" t="n"/>
      <c r="F454" s="50" t="n"/>
      <c r="G454" s="55" t="n"/>
      <c r="H454" s="50" t="n"/>
      <c r="I454" s="55" t="n"/>
      <c r="J454" s="50" t="n"/>
      <c r="K454" s="55" t="n"/>
      <c r="L454" s="56" t="n"/>
      <c r="M454" s="57" t="n"/>
      <c r="N454" s="57" t="n"/>
      <c r="O454" s="57" t="n"/>
      <c r="P454" s="57" t="n"/>
      <c r="Q454" s="50" t="n"/>
      <c r="R454" s="58">
        <f t="shared" si="1"/>
      </c>
      <c r="S454" s="59">
        <f t="shared" si="2"/>
      </c>
      <c r="T454" s="43">
        <f t="shared" si="3"/>
      </c>
      <c r="U454" s="60">
        <f t="shared" si="4"/>
      </c>
      <c r="V454" s="60">
        <f t="shared" si="5"/>
      </c>
      <c r="W454" s="60">
        <f t="shared" si="6"/>
      </c>
      <c r="X454" s="49">
        <f t="shared" si="7"/>
      </c>
      <c r="Y454" s="2">
        <f t="shared" si="8"/>
      </c>
      <c r="Z454" s="2">
        <f t="shared" si="9"/>
        <v>0</v>
      </c>
      <c r="AA454" s="2">
        <f t="shared" si="10"/>
        <v>0</v>
      </c>
      <c r="AB454" s="2">
        <f t="shared" si="11"/>
        <v>0</v>
      </c>
      <c r="AC454" s="2">
        <f t="shared" si="12"/>
        <v>0</v>
      </c>
      <c r="AD454" s="2">
        <f t="shared" si="13"/>
        <v>0</v>
      </c>
      <c r="AE454" s="2">
        <f t="shared" si="14"/>
        <v>0</v>
      </c>
      <c r="AF454" s="2">
        <f t="shared" si="15"/>
        <v>0</v>
      </c>
      <c r="AG454" s="2">
        <f t="shared" si="16"/>
        <v>0</v>
      </c>
      <c r="AH454" s="2">
        <f t="shared" si="17"/>
        <v>0</v>
      </c>
      <c r="AI454" s="2">
        <f t="shared" si="18"/>
      </c>
    </row>
    <row r="455">
      <c r="A455" s="43">
        <f t="shared" si="0"/>
      </c>
      <c r="B455" s="54" t="n"/>
      <c r="C455" s="45" t="n"/>
      <c r="D455" s="50" t="n"/>
      <c r="E455" s="55" t="n"/>
      <c r="F455" s="50" t="n"/>
      <c r="G455" s="55" t="n"/>
      <c r="H455" s="50" t="n"/>
      <c r="I455" s="55" t="n"/>
      <c r="J455" s="50" t="n"/>
      <c r="K455" s="55" t="n"/>
      <c r="L455" s="56" t="n"/>
      <c r="M455" s="57" t="n"/>
      <c r="N455" s="57" t="n"/>
      <c r="O455" s="57" t="n"/>
      <c r="P455" s="57" t="n"/>
      <c r="Q455" s="50" t="n"/>
      <c r="R455" s="58">
        <f t="shared" si="1"/>
      </c>
      <c r="S455" s="59">
        <f t="shared" si="2"/>
      </c>
      <c r="T455" s="43">
        <f t="shared" si="3"/>
      </c>
      <c r="U455" s="60">
        <f t="shared" si="4"/>
      </c>
      <c r="V455" s="60">
        <f t="shared" si="5"/>
      </c>
      <c r="W455" s="60">
        <f t="shared" si="6"/>
      </c>
      <c r="X455" s="49">
        <f t="shared" si="7"/>
      </c>
      <c r="Y455" s="2">
        <f t="shared" si="8"/>
      </c>
      <c r="Z455" s="2">
        <f t="shared" si="9"/>
        <v>0</v>
      </c>
      <c r="AA455" s="2">
        <f t="shared" si="10"/>
        <v>0</v>
      </c>
      <c r="AB455" s="2">
        <f t="shared" si="11"/>
        <v>0</v>
      </c>
      <c r="AC455" s="2">
        <f t="shared" si="12"/>
        <v>0</v>
      </c>
      <c r="AD455" s="2">
        <f t="shared" si="13"/>
        <v>0</v>
      </c>
      <c r="AE455" s="2">
        <f t="shared" si="14"/>
        <v>0</v>
      </c>
      <c r="AF455" s="2">
        <f t="shared" si="15"/>
        <v>0</v>
      </c>
      <c r="AG455" s="2">
        <f t="shared" si="16"/>
        <v>0</v>
      </c>
      <c r="AH455" s="2">
        <f t="shared" si="17"/>
        <v>0</v>
      </c>
      <c r="AI455" s="2">
        <f t="shared" si="18"/>
      </c>
    </row>
    <row r="456">
      <c r="A456" s="43">
        <f t="shared" si="0"/>
      </c>
      <c r="B456" s="54" t="n"/>
      <c r="C456" s="45" t="n"/>
      <c r="D456" s="50" t="n"/>
      <c r="E456" s="55" t="n"/>
      <c r="F456" s="50" t="n"/>
      <c r="G456" s="55" t="n"/>
      <c r="H456" s="50" t="n"/>
      <c r="I456" s="55" t="n"/>
      <c r="J456" s="50" t="n"/>
      <c r="K456" s="55" t="n"/>
      <c r="L456" s="56" t="n"/>
      <c r="M456" s="57" t="n"/>
      <c r="N456" s="57" t="n"/>
      <c r="O456" s="57" t="n"/>
      <c r="P456" s="57" t="n"/>
      <c r="Q456" s="50" t="n"/>
      <c r="R456" s="58">
        <f t="shared" si="1"/>
      </c>
      <c r="S456" s="59">
        <f t="shared" si="2"/>
      </c>
      <c r="T456" s="43">
        <f t="shared" si="3"/>
      </c>
      <c r="U456" s="60">
        <f t="shared" si="4"/>
      </c>
      <c r="V456" s="60">
        <f t="shared" si="5"/>
      </c>
      <c r="W456" s="60">
        <f t="shared" si="6"/>
      </c>
      <c r="X456" s="49">
        <f t="shared" si="7"/>
      </c>
      <c r="Y456" s="2">
        <f t="shared" si="8"/>
      </c>
      <c r="Z456" s="2">
        <f t="shared" si="9"/>
        <v>0</v>
      </c>
      <c r="AA456" s="2">
        <f t="shared" si="10"/>
        <v>0</v>
      </c>
      <c r="AB456" s="2">
        <f t="shared" si="11"/>
        <v>0</v>
      </c>
      <c r="AC456" s="2">
        <f t="shared" si="12"/>
        <v>0</v>
      </c>
      <c r="AD456" s="2">
        <f t="shared" si="13"/>
        <v>0</v>
      </c>
      <c r="AE456" s="2">
        <f t="shared" si="14"/>
        <v>0</v>
      </c>
      <c r="AF456" s="2">
        <f t="shared" si="15"/>
        <v>0</v>
      </c>
      <c r="AG456" s="2">
        <f t="shared" si="16"/>
        <v>0</v>
      </c>
      <c r="AH456" s="2">
        <f t="shared" si="17"/>
        <v>0</v>
      </c>
      <c r="AI456" s="2">
        <f t="shared" si="18"/>
      </c>
    </row>
    <row r="457">
      <c r="A457" s="43">
        <f t="shared" si="0"/>
      </c>
      <c r="B457" s="54" t="n"/>
      <c r="C457" s="45" t="n"/>
      <c r="D457" s="50" t="n"/>
      <c r="E457" s="55" t="n"/>
      <c r="F457" s="50" t="n"/>
      <c r="G457" s="55" t="n"/>
      <c r="H457" s="50" t="n"/>
      <c r="I457" s="55" t="n"/>
      <c r="J457" s="50" t="n"/>
      <c r="K457" s="55" t="n"/>
      <c r="L457" s="56" t="n"/>
      <c r="M457" s="57" t="n"/>
      <c r="N457" s="57" t="n"/>
      <c r="O457" s="57" t="n"/>
      <c r="P457" s="57" t="n"/>
      <c r="Q457" s="50" t="n"/>
      <c r="R457" s="58">
        <f t="shared" si="1"/>
      </c>
      <c r="S457" s="59">
        <f t="shared" si="2"/>
      </c>
      <c r="T457" s="43">
        <f t="shared" si="3"/>
      </c>
      <c r="U457" s="60">
        <f t="shared" si="4"/>
      </c>
      <c r="V457" s="60">
        <f t="shared" si="5"/>
      </c>
      <c r="W457" s="60">
        <f t="shared" si="6"/>
      </c>
      <c r="X457" s="49">
        <f t="shared" si="7"/>
      </c>
      <c r="Y457" s="2">
        <f t="shared" si="8"/>
      </c>
      <c r="Z457" s="2">
        <f t="shared" si="9"/>
        <v>0</v>
      </c>
      <c r="AA457" s="2">
        <f t="shared" si="10"/>
        <v>0</v>
      </c>
      <c r="AB457" s="2">
        <f t="shared" si="11"/>
        <v>0</v>
      </c>
      <c r="AC457" s="2">
        <f t="shared" si="12"/>
        <v>0</v>
      </c>
      <c r="AD457" s="2">
        <f t="shared" si="13"/>
        <v>0</v>
      </c>
      <c r="AE457" s="2">
        <f t="shared" si="14"/>
        <v>0</v>
      </c>
      <c r="AF457" s="2">
        <f t="shared" si="15"/>
        <v>0</v>
      </c>
      <c r="AG457" s="2">
        <f t="shared" si="16"/>
        <v>0</v>
      </c>
      <c r="AH457" s="2">
        <f t="shared" si="17"/>
        <v>0</v>
      </c>
      <c r="AI457" s="2">
        <f t="shared" si="18"/>
      </c>
    </row>
    <row r="458">
      <c r="A458" s="43">
        <f t="shared" si="0"/>
      </c>
      <c r="B458" s="54" t="n"/>
      <c r="C458" s="45" t="n"/>
      <c r="D458" s="50" t="n"/>
      <c r="E458" s="55" t="n"/>
      <c r="F458" s="50" t="n"/>
      <c r="G458" s="55" t="n"/>
      <c r="H458" s="50" t="n"/>
      <c r="I458" s="55" t="n"/>
      <c r="J458" s="50" t="n"/>
      <c r="K458" s="55" t="n"/>
      <c r="L458" s="56" t="n"/>
      <c r="M458" s="57" t="n"/>
      <c r="N458" s="57" t="n"/>
      <c r="O458" s="57" t="n"/>
      <c r="P458" s="57" t="n"/>
      <c r="Q458" s="50" t="n"/>
      <c r="R458" s="58">
        <f t="shared" si="1"/>
      </c>
      <c r="S458" s="59">
        <f t="shared" si="2"/>
      </c>
      <c r="T458" s="43">
        <f t="shared" si="3"/>
      </c>
      <c r="U458" s="60">
        <f t="shared" si="4"/>
      </c>
      <c r="V458" s="60">
        <f t="shared" si="5"/>
      </c>
      <c r="W458" s="60">
        <f t="shared" si="6"/>
      </c>
      <c r="X458" s="49">
        <f t="shared" si="7"/>
      </c>
      <c r="Y458" s="2">
        <f t="shared" si="8"/>
      </c>
      <c r="Z458" s="2">
        <f t="shared" si="9"/>
        <v>0</v>
      </c>
      <c r="AA458" s="2">
        <f t="shared" si="10"/>
        <v>0</v>
      </c>
      <c r="AB458" s="2">
        <f t="shared" si="11"/>
        <v>0</v>
      </c>
      <c r="AC458" s="2">
        <f t="shared" si="12"/>
        <v>0</v>
      </c>
      <c r="AD458" s="2">
        <f t="shared" si="13"/>
        <v>0</v>
      </c>
      <c r="AE458" s="2">
        <f t="shared" si="14"/>
        <v>0</v>
      </c>
      <c r="AF458" s="2">
        <f t="shared" si="15"/>
        <v>0</v>
      </c>
      <c r="AG458" s="2">
        <f t="shared" si="16"/>
        <v>0</v>
      </c>
      <c r="AH458" s="2">
        <f t="shared" si="17"/>
        <v>0</v>
      </c>
      <c r="AI458" s="2">
        <f t="shared" si="18"/>
      </c>
    </row>
    <row r="459">
      <c r="A459" s="43">
        <f t="shared" si="0"/>
      </c>
      <c r="B459" s="54" t="n"/>
      <c r="C459" s="45" t="n"/>
      <c r="D459" s="50" t="n"/>
      <c r="E459" s="55" t="n"/>
      <c r="F459" s="50" t="n"/>
      <c r="G459" s="55" t="n"/>
      <c r="H459" s="50" t="n"/>
      <c r="I459" s="55" t="n"/>
      <c r="J459" s="50" t="n"/>
      <c r="K459" s="55" t="n"/>
      <c r="L459" s="56" t="n"/>
      <c r="M459" s="57" t="n"/>
      <c r="N459" s="57" t="n"/>
      <c r="O459" s="57" t="n"/>
      <c r="P459" s="57" t="n"/>
      <c r="Q459" s="50" t="n"/>
      <c r="R459" s="58">
        <f t="shared" si="1"/>
      </c>
      <c r="S459" s="59">
        <f t="shared" si="2"/>
      </c>
      <c r="T459" s="43">
        <f t="shared" si="3"/>
      </c>
      <c r="U459" s="60">
        <f t="shared" si="4"/>
      </c>
      <c r="V459" s="60">
        <f t="shared" si="5"/>
      </c>
      <c r="W459" s="60">
        <f t="shared" si="6"/>
      </c>
      <c r="X459" s="49">
        <f t="shared" si="7"/>
      </c>
      <c r="Y459" s="2">
        <f t="shared" si="8"/>
      </c>
      <c r="Z459" s="2">
        <f t="shared" si="9"/>
        <v>0</v>
      </c>
      <c r="AA459" s="2">
        <f t="shared" si="10"/>
        <v>0</v>
      </c>
      <c r="AB459" s="2">
        <f t="shared" si="11"/>
        <v>0</v>
      </c>
      <c r="AC459" s="2">
        <f t="shared" si="12"/>
        <v>0</v>
      </c>
      <c r="AD459" s="2">
        <f t="shared" si="13"/>
        <v>0</v>
      </c>
      <c r="AE459" s="2">
        <f t="shared" si="14"/>
        <v>0</v>
      </c>
      <c r="AF459" s="2">
        <f t="shared" si="15"/>
        <v>0</v>
      </c>
      <c r="AG459" s="2">
        <f t="shared" si="16"/>
        <v>0</v>
      </c>
      <c r="AH459" s="2">
        <f t="shared" si="17"/>
        <v>0</v>
      </c>
      <c r="AI459" s="2">
        <f t="shared" si="18"/>
      </c>
    </row>
    <row r="460">
      <c r="A460" s="43">
        <f t="shared" si="0"/>
      </c>
      <c r="B460" s="54" t="n"/>
      <c r="C460" s="45" t="n"/>
      <c r="D460" s="50" t="n"/>
      <c r="E460" s="55" t="n"/>
      <c r="F460" s="50" t="n"/>
      <c r="G460" s="55" t="n"/>
      <c r="H460" s="50" t="n"/>
      <c r="I460" s="55" t="n"/>
      <c r="J460" s="50" t="n"/>
      <c r="K460" s="55" t="n"/>
      <c r="L460" s="56" t="n"/>
      <c r="M460" s="57" t="n"/>
      <c r="N460" s="57" t="n"/>
      <c r="O460" s="57" t="n"/>
      <c r="P460" s="57" t="n"/>
      <c r="Q460" s="50" t="n"/>
      <c r="R460" s="58">
        <f t="shared" si="1"/>
      </c>
      <c r="S460" s="59">
        <f t="shared" si="2"/>
      </c>
      <c r="T460" s="43">
        <f t="shared" si="3"/>
      </c>
      <c r="U460" s="60">
        <f t="shared" si="4"/>
      </c>
      <c r="V460" s="60">
        <f t="shared" si="5"/>
      </c>
      <c r="W460" s="60">
        <f t="shared" si="6"/>
      </c>
      <c r="X460" s="49">
        <f t="shared" si="7"/>
      </c>
      <c r="Y460" s="2">
        <f t="shared" si="8"/>
      </c>
      <c r="Z460" s="2">
        <f t="shared" si="9"/>
        <v>0</v>
      </c>
      <c r="AA460" s="2">
        <f t="shared" si="10"/>
        <v>0</v>
      </c>
      <c r="AB460" s="2">
        <f t="shared" si="11"/>
        <v>0</v>
      </c>
      <c r="AC460" s="2">
        <f t="shared" si="12"/>
        <v>0</v>
      </c>
      <c r="AD460" s="2">
        <f t="shared" si="13"/>
        <v>0</v>
      </c>
      <c r="AE460" s="2">
        <f t="shared" si="14"/>
        <v>0</v>
      </c>
      <c r="AF460" s="2">
        <f t="shared" si="15"/>
        <v>0</v>
      </c>
      <c r="AG460" s="2">
        <f t="shared" si="16"/>
        <v>0</v>
      </c>
      <c r="AH460" s="2">
        <f t="shared" si="17"/>
        <v>0</v>
      </c>
      <c r="AI460" s="2">
        <f t="shared" si="18"/>
      </c>
    </row>
    <row r="461">
      <c r="A461" s="43">
        <f t="shared" si="0"/>
      </c>
      <c r="B461" s="54" t="n"/>
      <c r="C461" s="45" t="n"/>
      <c r="D461" s="50" t="n"/>
      <c r="E461" s="55" t="n"/>
      <c r="F461" s="50" t="n"/>
      <c r="G461" s="55" t="n"/>
      <c r="H461" s="50" t="n"/>
      <c r="I461" s="55" t="n"/>
      <c r="J461" s="50" t="n"/>
      <c r="K461" s="55" t="n"/>
      <c r="L461" s="56" t="n"/>
      <c r="M461" s="57" t="n"/>
      <c r="N461" s="57" t="n"/>
      <c r="O461" s="57" t="n"/>
      <c r="P461" s="57" t="n"/>
      <c r="Q461" s="50" t="n"/>
      <c r="R461" s="58">
        <f t="shared" si="1"/>
      </c>
      <c r="S461" s="59">
        <f t="shared" si="2"/>
      </c>
      <c r="T461" s="43">
        <f t="shared" si="3"/>
      </c>
      <c r="U461" s="60">
        <f t="shared" si="4"/>
      </c>
      <c r="V461" s="60">
        <f t="shared" si="5"/>
      </c>
      <c r="W461" s="60">
        <f t="shared" si="6"/>
      </c>
      <c r="X461" s="49">
        <f t="shared" si="7"/>
      </c>
      <c r="Y461" s="2">
        <f t="shared" si="8"/>
      </c>
      <c r="Z461" s="2">
        <f t="shared" si="9"/>
        <v>0</v>
      </c>
      <c r="AA461" s="2">
        <f t="shared" si="10"/>
        <v>0</v>
      </c>
      <c r="AB461" s="2">
        <f t="shared" si="11"/>
        <v>0</v>
      </c>
      <c r="AC461" s="2">
        <f t="shared" si="12"/>
        <v>0</v>
      </c>
      <c r="AD461" s="2">
        <f t="shared" si="13"/>
        <v>0</v>
      </c>
      <c r="AE461" s="2">
        <f t="shared" si="14"/>
        <v>0</v>
      </c>
      <c r="AF461" s="2">
        <f t="shared" si="15"/>
        <v>0</v>
      </c>
      <c r="AG461" s="2">
        <f t="shared" si="16"/>
        <v>0</v>
      </c>
      <c r="AH461" s="2">
        <f t="shared" si="17"/>
        <v>0</v>
      </c>
      <c r="AI461" s="2">
        <f t="shared" si="18"/>
      </c>
    </row>
    <row r="462">
      <c r="A462" s="43">
        <f t="shared" si="0"/>
      </c>
      <c r="B462" s="54" t="n"/>
      <c r="C462" s="45" t="n"/>
      <c r="D462" s="50" t="n"/>
      <c r="E462" s="55" t="n"/>
      <c r="F462" s="50" t="n"/>
      <c r="G462" s="55" t="n"/>
      <c r="H462" s="50" t="n"/>
      <c r="I462" s="55" t="n"/>
      <c r="J462" s="50" t="n"/>
      <c r="K462" s="55" t="n"/>
      <c r="L462" s="56" t="n"/>
      <c r="M462" s="57" t="n"/>
      <c r="N462" s="57" t="n"/>
      <c r="O462" s="57" t="n"/>
      <c r="P462" s="57" t="n"/>
      <c r="Q462" s="50" t="n"/>
      <c r="R462" s="58">
        <f t="shared" si="1"/>
      </c>
      <c r="S462" s="59">
        <f t="shared" si="2"/>
      </c>
      <c r="T462" s="43">
        <f t="shared" si="3"/>
      </c>
      <c r="U462" s="60">
        <f t="shared" si="4"/>
      </c>
      <c r="V462" s="60">
        <f t="shared" si="5"/>
      </c>
      <c r="W462" s="60">
        <f t="shared" si="6"/>
      </c>
      <c r="X462" s="49">
        <f t="shared" si="7"/>
      </c>
      <c r="Y462" s="2">
        <f t="shared" si="8"/>
      </c>
      <c r="Z462" s="2">
        <f t="shared" si="9"/>
        <v>0</v>
      </c>
      <c r="AA462" s="2">
        <f t="shared" si="10"/>
        <v>0</v>
      </c>
      <c r="AB462" s="2">
        <f t="shared" si="11"/>
        <v>0</v>
      </c>
      <c r="AC462" s="2">
        <f t="shared" si="12"/>
        <v>0</v>
      </c>
      <c r="AD462" s="2">
        <f t="shared" si="13"/>
        <v>0</v>
      </c>
      <c r="AE462" s="2">
        <f t="shared" si="14"/>
        <v>0</v>
      </c>
      <c r="AF462" s="2">
        <f t="shared" si="15"/>
        <v>0</v>
      </c>
      <c r="AG462" s="2">
        <f t="shared" si="16"/>
        <v>0</v>
      </c>
      <c r="AH462" s="2">
        <f t="shared" si="17"/>
        <v>0</v>
      </c>
      <c r="AI462" s="2">
        <f t="shared" si="18"/>
      </c>
    </row>
    <row r="463">
      <c r="A463" s="43">
        <f t="shared" si="0"/>
      </c>
      <c r="B463" s="54" t="n"/>
      <c r="C463" s="45" t="n"/>
      <c r="D463" s="50" t="n"/>
      <c r="E463" s="55" t="n"/>
      <c r="F463" s="50" t="n"/>
      <c r="G463" s="55" t="n"/>
      <c r="H463" s="50" t="n"/>
      <c r="I463" s="55" t="n"/>
      <c r="J463" s="50" t="n"/>
      <c r="K463" s="55" t="n"/>
      <c r="L463" s="56" t="n"/>
      <c r="M463" s="57" t="n"/>
      <c r="N463" s="57" t="n"/>
      <c r="O463" s="57" t="n"/>
      <c r="P463" s="57" t="n"/>
      <c r="Q463" s="50" t="n"/>
      <c r="R463" s="58">
        <f t="shared" si="1"/>
      </c>
      <c r="S463" s="59">
        <f t="shared" si="2"/>
      </c>
      <c r="T463" s="43">
        <f t="shared" si="3"/>
      </c>
      <c r="U463" s="60">
        <f t="shared" si="4"/>
      </c>
      <c r="V463" s="60">
        <f t="shared" si="5"/>
      </c>
      <c r="W463" s="60">
        <f t="shared" si="6"/>
      </c>
      <c r="X463" s="49">
        <f t="shared" si="7"/>
      </c>
      <c r="Y463" s="2">
        <f t="shared" si="8"/>
      </c>
      <c r="Z463" s="2">
        <f t="shared" si="9"/>
        <v>0</v>
      </c>
      <c r="AA463" s="2">
        <f t="shared" si="10"/>
        <v>0</v>
      </c>
      <c r="AB463" s="2">
        <f t="shared" si="11"/>
        <v>0</v>
      </c>
      <c r="AC463" s="2">
        <f t="shared" si="12"/>
        <v>0</v>
      </c>
      <c r="AD463" s="2">
        <f t="shared" si="13"/>
        <v>0</v>
      </c>
      <c r="AE463" s="2">
        <f t="shared" si="14"/>
        <v>0</v>
      </c>
      <c r="AF463" s="2">
        <f t="shared" si="15"/>
        <v>0</v>
      </c>
      <c r="AG463" s="2">
        <f t="shared" si="16"/>
        <v>0</v>
      </c>
      <c r="AH463" s="2">
        <f t="shared" si="17"/>
        <v>0</v>
      </c>
      <c r="AI463" s="2">
        <f t="shared" si="18"/>
      </c>
    </row>
    <row r="464">
      <c r="A464" s="43">
        <f t="shared" si="0"/>
      </c>
      <c r="B464" s="54" t="n"/>
      <c r="C464" s="45" t="n"/>
      <c r="D464" s="50" t="n"/>
      <c r="E464" s="55" t="n"/>
      <c r="F464" s="50" t="n"/>
      <c r="G464" s="55" t="n"/>
      <c r="H464" s="50" t="n"/>
      <c r="I464" s="55" t="n"/>
      <c r="J464" s="50" t="n"/>
      <c r="K464" s="55" t="n"/>
      <c r="L464" s="56" t="n"/>
      <c r="M464" s="57" t="n"/>
      <c r="N464" s="57" t="n"/>
      <c r="O464" s="57" t="n"/>
      <c r="P464" s="57" t="n"/>
      <c r="Q464" s="50" t="n"/>
      <c r="R464" s="58">
        <f t="shared" si="1"/>
      </c>
      <c r="S464" s="59">
        <f t="shared" si="2"/>
      </c>
      <c r="T464" s="43">
        <f t="shared" si="3"/>
      </c>
      <c r="U464" s="60">
        <f t="shared" si="4"/>
      </c>
      <c r="V464" s="60">
        <f t="shared" si="5"/>
      </c>
      <c r="W464" s="60">
        <f t="shared" si="6"/>
      </c>
      <c r="X464" s="49">
        <f t="shared" si="7"/>
      </c>
      <c r="Y464" s="2">
        <f t="shared" si="8"/>
      </c>
      <c r="Z464" s="2">
        <f t="shared" si="9"/>
        <v>0</v>
      </c>
      <c r="AA464" s="2">
        <f t="shared" si="10"/>
        <v>0</v>
      </c>
      <c r="AB464" s="2">
        <f t="shared" si="11"/>
        <v>0</v>
      </c>
      <c r="AC464" s="2">
        <f t="shared" si="12"/>
        <v>0</v>
      </c>
      <c r="AD464" s="2">
        <f t="shared" si="13"/>
        <v>0</v>
      </c>
      <c r="AE464" s="2">
        <f t="shared" si="14"/>
        <v>0</v>
      </c>
      <c r="AF464" s="2">
        <f t="shared" si="15"/>
        <v>0</v>
      </c>
      <c r="AG464" s="2">
        <f t="shared" si="16"/>
        <v>0</v>
      </c>
      <c r="AH464" s="2">
        <f t="shared" si="17"/>
        <v>0</v>
      </c>
      <c r="AI464" s="2">
        <f t="shared" si="18"/>
      </c>
    </row>
    <row r="465">
      <c r="A465" s="43">
        <f t="shared" si="0"/>
      </c>
      <c r="B465" s="54" t="n"/>
      <c r="C465" s="45" t="n"/>
      <c r="D465" s="50" t="n"/>
      <c r="E465" s="55" t="n"/>
      <c r="F465" s="50" t="n"/>
      <c r="G465" s="55" t="n"/>
      <c r="H465" s="50" t="n"/>
      <c r="I465" s="55" t="n"/>
      <c r="J465" s="50" t="n"/>
      <c r="K465" s="55" t="n"/>
      <c r="L465" s="56" t="n"/>
      <c r="M465" s="57" t="n"/>
      <c r="N465" s="57" t="n"/>
      <c r="O465" s="57" t="n"/>
      <c r="P465" s="57" t="n"/>
      <c r="Q465" s="50" t="n"/>
      <c r="R465" s="58">
        <f t="shared" si="1"/>
      </c>
      <c r="S465" s="59">
        <f t="shared" si="2"/>
      </c>
      <c r="T465" s="43">
        <f t="shared" si="3"/>
      </c>
      <c r="U465" s="60">
        <f t="shared" si="4"/>
      </c>
      <c r="V465" s="60">
        <f t="shared" si="5"/>
      </c>
      <c r="W465" s="60">
        <f t="shared" si="6"/>
      </c>
      <c r="X465" s="49">
        <f t="shared" si="7"/>
      </c>
      <c r="Y465" s="2">
        <f t="shared" si="8"/>
      </c>
      <c r="Z465" s="2">
        <f t="shared" si="9"/>
        <v>0</v>
      </c>
      <c r="AA465" s="2">
        <f t="shared" si="10"/>
        <v>0</v>
      </c>
      <c r="AB465" s="2">
        <f t="shared" si="11"/>
        <v>0</v>
      </c>
      <c r="AC465" s="2">
        <f t="shared" si="12"/>
        <v>0</v>
      </c>
      <c r="AD465" s="2">
        <f t="shared" si="13"/>
        <v>0</v>
      </c>
      <c r="AE465" s="2">
        <f t="shared" si="14"/>
        <v>0</v>
      </c>
      <c r="AF465" s="2">
        <f t="shared" si="15"/>
        <v>0</v>
      </c>
      <c r="AG465" s="2">
        <f t="shared" si="16"/>
        <v>0</v>
      </c>
      <c r="AH465" s="2">
        <f t="shared" si="17"/>
        <v>0</v>
      </c>
      <c r="AI465" s="2">
        <f t="shared" si="18"/>
      </c>
    </row>
    <row r="466">
      <c r="A466" s="43">
        <f t="shared" si="0"/>
      </c>
      <c r="B466" s="54" t="n"/>
      <c r="C466" s="45" t="n"/>
      <c r="D466" s="50" t="n"/>
      <c r="E466" s="55" t="n"/>
      <c r="F466" s="50" t="n"/>
      <c r="G466" s="55" t="n"/>
      <c r="H466" s="50" t="n"/>
      <c r="I466" s="55" t="n"/>
      <c r="J466" s="50" t="n"/>
      <c r="K466" s="55" t="n"/>
      <c r="L466" s="56" t="n"/>
      <c r="M466" s="57" t="n"/>
      <c r="N466" s="57" t="n"/>
      <c r="O466" s="57" t="n"/>
      <c r="P466" s="57" t="n"/>
      <c r="Q466" s="50" t="n"/>
      <c r="R466" s="58">
        <f t="shared" si="1"/>
      </c>
      <c r="S466" s="59">
        <f t="shared" si="2"/>
      </c>
      <c r="T466" s="43">
        <f t="shared" si="3"/>
      </c>
      <c r="U466" s="60">
        <f t="shared" si="4"/>
      </c>
      <c r="V466" s="60">
        <f t="shared" si="5"/>
      </c>
      <c r="W466" s="60">
        <f t="shared" si="6"/>
      </c>
      <c r="X466" s="49">
        <f t="shared" si="7"/>
      </c>
      <c r="Y466" s="2">
        <f t="shared" si="8"/>
      </c>
      <c r="Z466" s="2">
        <f t="shared" si="9"/>
        <v>0</v>
      </c>
      <c r="AA466" s="2">
        <f t="shared" si="10"/>
        <v>0</v>
      </c>
      <c r="AB466" s="2">
        <f t="shared" si="11"/>
        <v>0</v>
      </c>
      <c r="AC466" s="2">
        <f t="shared" si="12"/>
        <v>0</v>
      </c>
      <c r="AD466" s="2">
        <f t="shared" si="13"/>
        <v>0</v>
      </c>
      <c r="AE466" s="2">
        <f t="shared" si="14"/>
        <v>0</v>
      </c>
      <c r="AF466" s="2">
        <f t="shared" si="15"/>
        <v>0</v>
      </c>
      <c r="AG466" s="2">
        <f t="shared" si="16"/>
        <v>0</v>
      </c>
      <c r="AH466" s="2">
        <f t="shared" si="17"/>
        <v>0</v>
      </c>
      <c r="AI466" s="2">
        <f t="shared" si="18"/>
      </c>
    </row>
    <row r="467">
      <c r="A467" s="43">
        <f t="shared" si="0"/>
      </c>
      <c r="B467" s="54" t="n"/>
      <c r="C467" s="45" t="n"/>
      <c r="D467" s="50" t="n"/>
      <c r="E467" s="55" t="n"/>
      <c r="F467" s="50" t="n"/>
      <c r="G467" s="55" t="n"/>
      <c r="H467" s="50" t="n"/>
      <c r="I467" s="55" t="n"/>
      <c r="J467" s="50" t="n"/>
      <c r="K467" s="55" t="n"/>
      <c r="L467" s="56" t="n"/>
      <c r="M467" s="57" t="n"/>
      <c r="N467" s="57" t="n"/>
      <c r="O467" s="57" t="n"/>
      <c r="P467" s="57" t="n"/>
      <c r="Q467" s="50" t="n"/>
      <c r="R467" s="58">
        <f t="shared" si="1"/>
      </c>
      <c r="S467" s="59">
        <f t="shared" si="2"/>
      </c>
      <c r="T467" s="43">
        <f t="shared" si="3"/>
      </c>
      <c r="U467" s="60">
        <f t="shared" si="4"/>
      </c>
      <c r="V467" s="60">
        <f t="shared" si="5"/>
      </c>
      <c r="W467" s="60">
        <f t="shared" si="6"/>
      </c>
      <c r="X467" s="49">
        <f t="shared" si="7"/>
      </c>
      <c r="Y467" s="2">
        <f t="shared" si="8"/>
      </c>
      <c r="Z467" s="2">
        <f t="shared" si="9"/>
        <v>0</v>
      </c>
      <c r="AA467" s="2">
        <f t="shared" si="10"/>
        <v>0</v>
      </c>
      <c r="AB467" s="2">
        <f t="shared" si="11"/>
        <v>0</v>
      </c>
      <c r="AC467" s="2">
        <f t="shared" si="12"/>
        <v>0</v>
      </c>
      <c r="AD467" s="2">
        <f t="shared" si="13"/>
        <v>0</v>
      </c>
      <c r="AE467" s="2">
        <f t="shared" si="14"/>
        <v>0</v>
      </c>
      <c r="AF467" s="2">
        <f t="shared" si="15"/>
        <v>0</v>
      </c>
      <c r="AG467" s="2">
        <f t="shared" si="16"/>
        <v>0</v>
      </c>
      <c r="AH467" s="2">
        <f t="shared" si="17"/>
        <v>0</v>
      </c>
      <c r="AI467" s="2">
        <f t="shared" si="18"/>
      </c>
    </row>
    <row r="468">
      <c r="A468" s="43">
        <f t="shared" si="0"/>
      </c>
      <c r="B468" s="54" t="n"/>
      <c r="C468" s="45" t="n"/>
      <c r="D468" s="50" t="n"/>
      <c r="E468" s="55" t="n"/>
      <c r="F468" s="50" t="n"/>
      <c r="G468" s="55" t="n"/>
      <c r="H468" s="50" t="n"/>
      <c r="I468" s="55" t="n"/>
      <c r="J468" s="50" t="n"/>
      <c r="K468" s="55" t="n"/>
      <c r="L468" s="56" t="n"/>
      <c r="M468" s="57" t="n"/>
      <c r="N468" s="57" t="n"/>
      <c r="O468" s="57" t="n"/>
      <c r="P468" s="57" t="n"/>
      <c r="Q468" s="50" t="n"/>
      <c r="R468" s="58">
        <f t="shared" si="1"/>
      </c>
      <c r="S468" s="59">
        <f t="shared" si="2"/>
      </c>
      <c r="T468" s="43">
        <f t="shared" si="3"/>
      </c>
      <c r="U468" s="60">
        <f t="shared" si="4"/>
      </c>
      <c r="V468" s="60">
        <f t="shared" si="5"/>
      </c>
      <c r="W468" s="60">
        <f t="shared" si="6"/>
      </c>
      <c r="X468" s="49">
        <f t="shared" si="7"/>
      </c>
      <c r="Y468" s="2">
        <f t="shared" si="8"/>
      </c>
      <c r="Z468" s="2">
        <f t="shared" si="9"/>
        <v>0</v>
      </c>
      <c r="AA468" s="2">
        <f t="shared" si="10"/>
        <v>0</v>
      </c>
      <c r="AB468" s="2">
        <f t="shared" si="11"/>
        <v>0</v>
      </c>
      <c r="AC468" s="2">
        <f t="shared" si="12"/>
        <v>0</v>
      </c>
      <c r="AD468" s="2">
        <f t="shared" si="13"/>
        <v>0</v>
      </c>
      <c r="AE468" s="2">
        <f t="shared" si="14"/>
        <v>0</v>
      </c>
      <c r="AF468" s="2">
        <f t="shared" si="15"/>
        <v>0</v>
      </c>
      <c r="AG468" s="2">
        <f t="shared" si="16"/>
        <v>0</v>
      </c>
      <c r="AH468" s="2">
        <f t="shared" si="17"/>
        <v>0</v>
      </c>
      <c r="AI468" s="2">
        <f t="shared" si="18"/>
      </c>
    </row>
    <row r="469">
      <c r="A469" s="43">
        <f t="shared" si="0"/>
      </c>
      <c r="B469" s="54" t="n"/>
      <c r="C469" s="45" t="n"/>
      <c r="D469" s="50" t="n"/>
      <c r="E469" s="55" t="n"/>
      <c r="F469" s="50" t="n"/>
      <c r="G469" s="55" t="n"/>
      <c r="H469" s="50" t="n"/>
      <c r="I469" s="55" t="n"/>
      <c r="J469" s="50" t="n"/>
      <c r="K469" s="55" t="n"/>
      <c r="L469" s="56" t="n"/>
      <c r="M469" s="57" t="n"/>
      <c r="N469" s="57" t="n"/>
      <c r="O469" s="57" t="n"/>
      <c r="P469" s="57" t="n"/>
      <c r="Q469" s="50" t="n"/>
      <c r="R469" s="58">
        <f t="shared" si="1"/>
      </c>
      <c r="S469" s="59">
        <f t="shared" si="2"/>
      </c>
      <c r="T469" s="43">
        <f t="shared" si="3"/>
      </c>
      <c r="U469" s="60">
        <f t="shared" si="4"/>
      </c>
      <c r="V469" s="60">
        <f t="shared" si="5"/>
      </c>
      <c r="W469" s="60">
        <f t="shared" si="6"/>
      </c>
      <c r="X469" s="49">
        <f t="shared" si="7"/>
      </c>
      <c r="Y469" s="2">
        <f t="shared" si="8"/>
      </c>
      <c r="Z469" s="2">
        <f t="shared" si="9"/>
        <v>0</v>
      </c>
      <c r="AA469" s="2">
        <f t="shared" si="10"/>
        <v>0</v>
      </c>
      <c r="AB469" s="2">
        <f t="shared" si="11"/>
        <v>0</v>
      </c>
      <c r="AC469" s="2">
        <f t="shared" si="12"/>
        <v>0</v>
      </c>
      <c r="AD469" s="2">
        <f t="shared" si="13"/>
        <v>0</v>
      </c>
      <c r="AE469" s="2">
        <f t="shared" si="14"/>
        <v>0</v>
      </c>
      <c r="AF469" s="2">
        <f t="shared" si="15"/>
        <v>0</v>
      </c>
      <c r="AG469" s="2">
        <f t="shared" si="16"/>
        <v>0</v>
      </c>
      <c r="AH469" s="2">
        <f t="shared" si="17"/>
        <v>0</v>
      </c>
      <c r="AI469" s="2">
        <f t="shared" si="18"/>
      </c>
    </row>
    <row r="470">
      <c r="A470" s="43">
        <f t="shared" si="0"/>
      </c>
      <c r="B470" s="54" t="n"/>
      <c r="C470" s="45" t="n"/>
      <c r="D470" s="50" t="n"/>
      <c r="E470" s="55" t="n"/>
      <c r="F470" s="50" t="n"/>
      <c r="G470" s="55" t="n"/>
      <c r="H470" s="50" t="n"/>
      <c r="I470" s="55" t="n"/>
      <c r="J470" s="50" t="n"/>
      <c r="K470" s="55" t="n"/>
      <c r="L470" s="56" t="n"/>
      <c r="M470" s="57" t="n"/>
      <c r="N470" s="57" t="n"/>
      <c r="O470" s="57" t="n"/>
      <c r="P470" s="57" t="n"/>
      <c r="Q470" s="50" t="n"/>
      <c r="R470" s="58">
        <f t="shared" si="1"/>
      </c>
      <c r="S470" s="59">
        <f t="shared" si="2"/>
      </c>
      <c r="T470" s="43">
        <f t="shared" si="3"/>
      </c>
      <c r="U470" s="60">
        <f t="shared" si="4"/>
      </c>
      <c r="V470" s="60">
        <f t="shared" si="5"/>
      </c>
      <c r="W470" s="60">
        <f t="shared" si="6"/>
      </c>
      <c r="X470" s="49">
        <f t="shared" si="7"/>
      </c>
      <c r="Y470" s="2">
        <f t="shared" si="8"/>
      </c>
      <c r="Z470" s="2">
        <f t="shared" si="9"/>
        <v>0</v>
      </c>
      <c r="AA470" s="2">
        <f t="shared" si="10"/>
        <v>0</v>
      </c>
      <c r="AB470" s="2">
        <f t="shared" si="11"/>
        <v>0</v>
      </c>
      <c r="AC470" s="2">
        <f t="shared" si="12"/>
        <v>0</v>
      </c>
      <c r="AD470" s="2">
        <f t="shared" si="13"/>
        <v>0</v>
      </c>
      <c r="AE470" s="2">
        <f t="shared" si="14"/>
        <v>0</v>
      </c>
      <c r="AF470" s="2">
        <f t="shared" si="15"/>
        <v>0</v>
      </c>
      <c r="AG470" s="2">
        <f t="shared" si="16"/>
        <v>0</v>
      </c>
      <c r="AH470" s="2">
        <f t="shared" si="17"/>
        <v>0</v>
      </c>
      <c r="AI470" s="2">
        <f t="shared" si="18"/>
      </c>
    </row>
    <row r="471">
      <c r="A471" s="43">
        <f t="shared" si="0"/>
      </c>
      <c r="B471" s="54" t="n"/>
      <c r="C471" s="45" t="n"/>
      <c r="D471" s="50" t="n"/>
      <c r="E471" s="55" t="n"/>
      <c r="F471" s="50" t="n"/>
      <c r="G471" s="55" t="n"/>
      <c r="H471" s="50" t="n"/>
      <c r="I471" s="55" t="n"/>
      <c r="J471" s="50" t="n"/>
      <c r="K471" s="55" t="n"/>
      <c r="L471" s="56" t="n"/>
      <c r="M471" s="57" t="n"/>
      <c r="N471" s="57" t="n"/>
      <c r="O471" s="57" t="n"/>
      <c r="P471" s="57" t="n"/>
      <c r="Q471" s="50" t="n"/>
      <c r="R471" s="58">
        <f t="shared" si="1"/>
      </c>
      <c r="S471" s="59">
        <f t="shared" si="2"/>
      </c>
      <c r="T471" s="43">
        <f t="shared" si="3"/>
      </c>
      <c r="U471" s="60">
        <f t="shared" si="4"/>
      </c>
      <c r="V471" s="60">
        <f t="shared" si="5"/>
      </c>
      <c r="W471" s="60">
        <f t="shared" si="6"/>
      </c>
      <c r="X471" s="49">
        <f t="shared" si="7"/>
      </c>
      <c r="Y471" s="2">
        <f t="shared" si="8"/>
      </c>
      <c r="Z471" s="2">
        <f t="shared" si="9"/>
        <v>0</v>
      </c>
      <c r="AA471" s="2">
        <f t="shared" si="10"/>
        <v>0</v>
      </c>
      <c r="AB471" s="2">
        <f t="shared" si="11"/>
        <v>0</v>
      </c>
      <c r="AC471" s="2">
        <f t="shared" si="12"/>
        <v>0</v>
      </c>
      <c r="AD471" s="2">
        <f t="shared" si="13"/>
        <v>0</v>
      </c>
      <c r="AE471" s="2">
        <f t="shared" si="14"/>
        <v>0</v>
      </c>
      <c r="AF471" s="2">
        <f t="shared" si="15"/>
        <v>0</v>
      </c>
      <c r="AG471" s="2">
        <f t="shared" si="16"/>
        <v>0</v>
      </c>
      <c r="AH471" s="2">
        <f t="shared" si="17"/>
        <v>0</v>
      </c>
      <c r="AI471" s="2">
        <f t="shared" si="18"/>
      </c>
    </row>
    <row r="472">
      <c r="A472" s="43">
        <f t="shared" si="0"/>
      </c>
      <c r="B472" s="54" t="n"/>
      <c r="C472" s="45" t="n"/>
      <c r="D472" s="50" t="n"/>
      <c r="E472" s="55" t="n"/>
      <c r="F472" s="50" t="n"/>
      <c r="G472" s="55" t="n"/>
      <c r="H472" s="50" t="n"/>
      <c r="I472" s="55" t="n"/>
      <c r="J472" s="50" t="n"/>
      <c r="K472" s="55" t="n"/>
      <c r="L472" s="56" t="n"/>
      <c r="M472" s="57" t="n"/>
      <c r="N472" s="57" t="n"/>
      <c r="O472" s="57" t="n"/>
      <c r="P472" s="57" t="n"/>
      <c r="Q472" s="50" t="n"/>
      <c r="R472" s="58">
        <f t="shared" si="1"/>
      </c>
      <c r="S472" s="59">
        <f t="shared" si="2"/>
      </c>
      <c r="T472" s="43">
        <f t="shared" si="3"/>
      </c>
      <c r="U472" s="60">
        <f t="shared" si="4"/>
      </c>
      <c r="V472" s="60">
        <f t="shared" si="5"/>
      </c>
      <c r="W472" s="60">
        <f t="shared" si="6"/>
      </c>
      <c r="X472" s="49">
        <f t="shared" si="7"/>
      </c>
      <c r="Y472" s="2">
        <f t="shared" si="8"/>
      </c>
      <c r="Z472" s="2">
        <f t="shared" si="9"/>
        <v>0</v>
      </c>
      <c r="AA472" s="2">
        <f t="shared" si="10"/>
        <v>0</v>
      </c>
      <c r="AB472" s="2">
        <f t="shared" si="11"/>
        <v>0</v>
      </c>
      <c r="AC472" s="2">
        <f t="shared" si="12"/>
        <v>0</v>
      </c>
      <c r="AD472" s="2">
        <f t="shared" si="13"/>
        <v>0</v>
      </c>
      <c r="AE472" s="2">
        <f t="shared" si="14"/>
        <v>0</v>
      </c>
      <c r="AF472" s="2">
        <f t="shared" si="15"/>
        <v>0</v>
      </c>
      <c r="AG472" s="2">
        <f t="shared" si="16"/>
        <v>0</v>
      </c>
      <c r="AH472" s="2">
        <f t="shared" si="17"/>
        <v>0</v>
      </c>
      <c r="AI472" s="2">
        <f t="shared" si="18"/>
      </c>
    </row>
    <row r="473">
      <c r="A473" s="43">
        <f t="shared" si="0"/>
      </c>
      <c r="B473" s="54" t="n"/>
      <c r="C473" s="45" t="n"/>
      <c r="D473" s="50" t="n"/>
      <c r="E473" s="55" t="n"/>
      <c r="F473" s="50" t="n"/>
      <c r="G473" s="55" t="n"/>
      <c r="H473" s="50" t="n"/>
      <c r="I473" s="55" t="n"/>
      <c r="J473" s="50" t="n"/>
      <c r="K473" s="55" t="n"/>
      <c r="L473" s="56" t="n"/>
      <c r="M473" s="57" t="n"/>
      <c r="N473" s="57" t="n"/>
      <c r="O473" s="57" t="n"/>
      <c r="P473" s="57" t="n"/>
      <c r="Q473" s="50" t="n"/>
      <c r="R473" s="58">
        <f t="shared" si="1"/>
      </c>
      <c r="S473" s="59">
        <f t="shared" si="2"/>
      </c>
      <c r="T473" s="43">
        <f t="shared" si="3"/>
      </c>
      <c r="U473" s="60">
        <f t="shared" si="4"/>
      </c>
      <c r="V473" s="60">
        <f t="shared" si="5"/>
      </c>
      <c r="W473" s="60">
        <f t="shared" si="6"/>
      </c>
      <c r="X473" s="49">
        <f t="shared" si="7"/>
      </c>
      <c r="Y473" s="2">
        <f t="shared" si="8"/>
      </c>
      <c r="Z473" s="2">
        <f t="shared" si="9"/>
        <v>0</v>
      </c>
      <c r="AA473" s="2">
        <f t="shared" si="10"/>
        <v>0</v>
      </c>
      <c r="AB473" s="2">
        <f t="shared" si="11"/>
        <v>0</v>
      </c>
      <c r="AC473" s="2">
        <f t="shared" si="12"/>
        <v>0</v>
      </c>
      <c r="AD473" s="2">
        <f t="shared" si="13"/>
        <v>0</v>
      </c>
      <c r="AE473" s="2">
        <f t="shared" si="14"/>
        <v>0</v>
      </c>
      <c r="AF473" s="2">
        <f t="shared" si="15"/>
        <v>0</v>
      </c>
      <c r="AG473" s="2">
        <f t="shared" si="16"/>
        <v>0</v>
      </c>
      <c r="AH473" s="2">
        <f t="shared" si="17"/>
        <v>0</v>
      </c>
      <c r="AI473" s="2">
        <f t="shared" si="18"/>
      </c>
    </row>
    <row r="474">
      <c r="A474" s="43">
        <f t="shared" si="0"/>
      </c>
      <c r="B474" s="54" t="n"/>
      <c r="C474" s="45" t="n"/>
      <c r="D474" s="50" t="n"/>
      <c r="E474" s="55" t="n"/>
      <c r="F474" s="50" t="n"/>
      <c r="G474" s="55" t="n"/>
      <c r="H474" s="50" t="n"/>
      <c r="I474" s="55" t="n"/>
      <c r="J474" s="50" t="n"/>
      <c r="K474" s="55" t="n"/>
      <c r="L474" s="56" t="n"/>
      <c r="M474" s="57" t="n"/>
      <c r="N474" s="57" t="n"/>
      <c r="O474" s="57" t="n"/>
      <c r="P474" s="57" t="n"/>
      <c r="Q474" s="50" t="n"/>
      <c r="R474" s="58">
        <f t="shared" si="1"/>
      </c>
      <c r="S474" s="59">
        <f t="shared" si="2"/>
      </c>
      <c r="T474" s="43">
        <f t="shared" si="3"/>
      </c>
      <c r="U474" s="60">
        <f t="shared" si="4"/>
      </c>
      <c r="V474" s="60">
        <f t="shared" si="5"/>
      </c>
      <c r="W474" s="60">
        <f t="shared" si="6"/>
      </c>
      <c r="X474" s="49">
        <f t="shared" si="7"/>
      </c>
      <c r="Y474" s="2">
        <f t="shared" si="8"/>
      </c>
      <c r="Z474" s="2">
        <f t="shared" si="9"/>
        <v>0</v>
      </c>
      <c r="AA474" s="2">
        <f t="shared" si="10"/>
        <v>0</v>
      </c>
      <c r="AB474" s="2">
        <f t="shared" si="11"/>
        <v>0</v>
      </c>
      <c r="AC474" s="2">
        <f t="shared" si="12"/>
        <v>0</v>
      </c>
      <c r="AD474" s="2">
        <f t="shared" si="13"/>
        <v>0</v>
      </c>
      <c r="AE474" s="2">
        <f t="shared" si="14"/>
        <v>0</v>
      </c>
      <c r="AF474" s="2">
        <f t="shared" si="15"/>
        <v>0</v>
      </c>
      <c r="AG474" s="2">
        <f t="shared" si="16"/>
        <v>0</v>
      </c>
      <c r="AH474" s="2">
        <f t="shared" si="17"/>
        <v>0</v>
      </c>
      <c r="AI474" s="2">
        <f t="shared" si="18"/>
      </c>
    </row>
    <row r="475">
      <c r="A475" s="43">
        <f t="shared" si="0"/>
      </c>
      <c r="B475" s="54" t="n"/>
      <c r="C475" s="45" t="n"/>
      <c r="D475" s="50" t="n"/>
      <c r="E475" s="55" t="n"/>
      <c r="F475" s="50" t="n"/>
      <c r="G475" s="55" t="n"/>
      <c r="H475" s="50" t="n"/>
      <c r="I475" s="55" t="n"/>
      <c r="J475" s="50" t="n"/>
      <c r="K475" s="55" t="n"/>
      <c r="L475" s="56" t="n"/>
      <c r="M475" s="57" t="n"/>
      <c r="N475" s="57" t="n"/>
      <c r="O475" s="57" t="n"/>
      <c r="P475" s="57" t="n"/>
      <c r="Q475" s="50" t="n"/>
      <c r="R475" s="58">
        <f t="shared" si="1"/>
      </c>
      <c r="S475" s="59">
        <f t="shared" si="2"/>
      </c>
      <c r="T475" s="43">
        <f t="shared" si="3"/>
      </c>
      <c r="U475" s="60">
        <f t="shared" si="4"/>
      </c>
      <c r="V475" s="60">
        <f t="shared" si="5"/>
      </c>
      <c r="W475" s="60">
        <f t="shared" si="6"/>
      </c>
      <c r="X475" s="49">
        <f t="shared" si="7"/>
      </c>
      <c r="Y475" s="2">
        <f t="shared" si="8"/>
      </c>
      <c r="Z475" s="2">
        <f t="shared" si="9"/>
        <v>0</v>
      </c>
      <c r="AA475" s="2">
        <f t="shared" si="10"/>
        <v>0</v>
      </c>
      <c r="AB475" s="2">
        <f t="shared" si="11"/>
        <v>0</v>
      </c>
      <c r="AC475" s="2">
        <f t="shared" si="12"/>
        <v>0</v>
      </c>
      <c r="AD475" s="2">
        <f t="shared" si="13"/>
        <v>0</v>
      </c>
      <c r="AE475" s="2">
        <f t="shared" si="14"/>
        <v>0</v>
      </c>
      <c r="AF475" s="2">
        <f t="shared" si="15"/>
        <v>0</v>
      </c>
      <c r="AG475" s="2">
        <f t="shared" si="16"/>
        <v>0</v>
      </c>
      <c r="AH475" s="2">
        <f t="shared" si="17"/>
        <v>0</v>
      </c>
      <c r="AI475" s="2">
        <f t="shared" si="18"/>
      </c>
    </row>
    <row r="476">
      <c r="A476" s="43">
        <f t="shared" si="0"/>
      </c>
      <c r="B476" s="54" t="n"/>
      <c r="C476" s="45" t="n"/>
      <c r="D476" s="50" t="n"/>
      <c r="E476" s="55" t="n"/>
      <c r="F476" s="50" t="n"/>
      <c r="G476" s="55" t="n"/>
      <c r="H476" s="50" t="n"/>
      <c r="I476" s="55" t="n"/>
      <c r="J476" s="50" t="n"/>
      <c r="K476" s="55" t="n"/>
      <c r="L476" s="56" t="n"/>
      <c r="M476" s="57" t="n"/>
      <c r="N476" s="57" t="n"/>
      <c r="O476" s="57" t="n"/>
      <c r="P476" s="57" t="n"/>
      <c r="Q476" s="50" t="n"/>
      <c r="R476" s="58">
        <f t="shared" si="1"/>
      </c>
      <c r="S476" s="59">
        <f t="shared" si="2"/>
      </c>
      <c r="T476" s="43">
        <f t="shared" si="3"/>
      </c>
      <c r="U476" s="60">
        <f t="shared" si="4"/>
      </c>
      <c r="V476" s="60">
        <f t="shared" si="5"/>
      </c>
      <c r="W476" s="60">
        <f t="shared" si="6"/>
      </c>
      <c r="X476" s="49">
        <f t="shared" si="7"/>
      </c>
      <c r="Y476" s="2">
        <f t="shared" si="8"/>
      </c>
      <c r="Z476" s="2">
        <f t="shared" si="9"/>
        <v>0</v>
      </c>
      <c r="AA476" s="2">
        <f t="shared" si="10"/>
        <v>0</v>
      </c>
      <c r="AB476" s="2">
        <f t="shared" si="11"/>
        <v>0</v>
      </c>
      <c r="AC476" s="2">
        <f t="shared" si="12"/>
        <v>0</v>
      </c>
      <c r="AD476" s="2">
        <f t="shared" si="13"/>
        <v>0</v>
      </c>
      <c r="AE476" s="2">
        <f t="shared" si="14"/>
        <v>0</v>
      </c>
      <c r="AF476" s="2">
        <f t="shared" si="15"/>
        <v>0</v>
      </c>
      <c r="AG476" s="2">
        <f t="shared" si="16"/>
        <v>0</v>
      </c>
      <c r="AH476" s="2">
        <f t="shared" si="17"/>
        <v>0</v>
      </c>
      <c r="AI476" s="2">
        <f t="shared" si="18"/>
      </c>
    </row>
    <row r="477">
      <c r="A477" s="43">
        <f t="shared" si="0"/>
      </c>
      <c r="B477" s="54" t="n"/>
      <c r="C477" s="45" t="n"/>
      <c r="D477" s="50" t="n"/>
      <c r="E477" s="55" t="n"/>
      <c r="F477" s="50" t="n"/>
      <c r="G477" s="55" t="n"/>
      <c r="H477" s="50" t="n"/>
      <c r="I477" s="55" t="n"/>
      <c r="J477" s="50" t="n"/>
      <c r="K477" s="55" t="n"/>
      <c r="L477" s="56" t="n"/>
      <c r="M477" s="57" t="n"/>
      <c r="N477" s="57" t="n"/>
      <c r="O477" s="57" t="n"/>
      <c r="P477" s="57" t="n"/>
      <c r="Q477" s="50" t="n"/>
      <c r="R477" s="58">
        <f t="shared" si="1"/>
      </c>
      <c r="S477" s="59">
        <f t="shared" si="2"/>
      </c>
      <c r="T477" s="43">
        <f t="shared" si="3"/>
      </c>
      <c r="U477" s="60">
        <f t="shared" si="4"/>
      </c>
      <c r="V477" s="60">
        <f t="shared" si="5"/>
      </c>
      <c r="W477" s="60">
        <f t="shared" si="6"/>
      </c>
      <c r="X477" s="49">
        <f t="shared" si="7"/>
      </c>
      <c r="Y477" s="2">
        <f t="shared" si="8"/>
      </c>
      <c r="Z477" s="2">
        <f t="shared" si="9"/>
        <v>0</v>
      </c>
      <c r="AA477" s="2">
        <f t="shared" si="10"/>
        <v>0</v>
      </c>
      <c r="AB477" s="2">
        <f t="shared" si="11"/>
        <v>0</v>
      </c>
      <c r="AC477" s="2">
        <f t="shared" si="12"/>
        <v>0</v>
      </c>
      <c r="AD477" s="2">
        <f t="shared" si="13"/>
        <v>0</v>
      </c>
      <c r="AE477" s="2">
        <f t="shared" si="14"/>
        <v>0</v>
      </c>
      <c r="AF477" s="2">
        <f t="shared" si="15"/>
        <v>0</v>
      </c>
      <c r="AG477" s="2">
        <f t="shared" si="16"/>
        <v>0</v>
      </c>
      <c r="AH477" s="2">
        <f t="shared" si="17"/>
        <v>0</v>
      </c>
      <c r="AI477" s="2">
        <f t="shared" si="18"/>
      </c>
    </row>
    <row r="478">
      <c r="A478" s="43">
        <f t="shared" si="0"/>
      </c>
      <c r="B478" s="54" t="n"/>
      <c r="C478" s="45" t="n"/>
      <c r="D478" s="50" t="n"/>
      <c r="E478" s="55" t="n"/>
      <c r="F478" s="50" t="n"/>
      <c r="G478" s="55" t="n"/>
      <c r="H478" s="50" t="n"/>
      <c r="I478" s="55" t="n"/>
      <c r="J478" s="50" t="n"/>
      <c r="K478" s="55" t="n"/>
      <c r="L478" s="56" t="n"/>
      <c r="M478" s="57" t="n"/>
      <c r="N478" s="57" t="n"/>
      <c r="O478" s="57" t="n"/>
      <c r="P478" s="57" t="n"/>
      <c r="Q478" s="50" t="n"/>
      <c r="R478" s="58">
        <f t="shared" si="1"/>
      </c>
      <c r="S478" s="59">
        <f t="shared" si="2"/>
      </c>
      <c r="T478" s="43">
        <f t="shared" si="3"/>
      </c>
      <c r="U478" s="60">
        <f t="shared" si="4"/>
      </c>
      <c r="V478" s="60">
        <f t="shared" si="5"/>
      </c>
      <c r="W478" s="60">
        <f t="shared" si="6"/>
      </c>
      <c r="X478" s="49">
        <f t="shared" si="7"/>
      </c>
      <c r="Y478" s="2">
        <f t="shared" si="8"/>
      </c>
      <c r="Z478" s="2">
        <f t="shared" si="9"/>
        <v>0</v>
      </c>
      <c r="AA478" s="2">
        <f t="shared" si="10"/>
        <v>0</v>
      </c>
      <c r="AB478" s="2">
        <f t="shared" si="11"/>
        <v>0</v>
      </c>
      <c r="AC478" s="2">
        <f t="shared" si="12"/>
        <v>0</v>
      </c>
      <c r="AD478" s="2">
        <f t="shared" si="13"/>
        <v>0</v>
      </c>
      <c r="AE478" s="2">
        <f t="shared" si="14"/>
        <v>0</v>
      </c>
      <c r="AF478" s="2">
        <f t="shared" si="15"/>
        <v>0</v>
      </c>
      <c r="AG478" s="2">
        <f t="shared" si="16"/>
        <v>0</v>
      </c>
      <c r="AH478" s="2">
        <f t="shared" si="17"/>
        <v>0</v>
      </c>
      <c r="AI478" s="2">
        <f t="shared" si="18"/>
      </c>
    </row>
    <row r="479">
      <c r="A479" s="43">
        <f t="shared" si="0"/>
      </c>
      <c r="B479" s="54" t="n"/>
      <c r="C479" s="45" t="n"/>
      <c r="D479" s="50" t="n"/>
      <c r="E479" s="55" t="n"/>
      <c r="F479" s="50" t="n"/>
      <c r="G479" s="55" t="n"/>
      <c r="H479" s="50" t="n"/>
      <c r="I479" s="55" t="n"/>
      <c r="J479" s="50" t="n"/>
      <c r="K479" s="55" t="n"/>
      <c r="L479" s="56" t="n"/>
      <c r="M479" s="57" t="n"/>
      <c r="N479" s="57" t="n"/>
      <c r="O479" s="57" t="n"/>
      <c r="P479" s="57" t="n"/>
      <c r="Q479" s="50" t="n"/>
      <c r="R479" s="58">
        <f t="shared" si="1"/>
      </c>
      <c r="S479" s="59">
        <f t="shared" si="2"/>
      </c>
      <c r="T479" s="43">
        <f t="shared" si="3"/>
      </c>
      <c r="U479" s="60">
        <f t="shared" si="4"/>
      </c>
      <c r="V479" s="60">
        <f t="shared" si="5"/>
      </c>
      <c r="W479" s="60">
        <f t="shared" si="6"/>
      </c>
      <c r="X479" s="49">
        <f t="shared" si="7"/>
      </c>
      <c r="Y479" s="2">
        <f t="shared" si="8"/>
      </c>
      <c r="Z479" s="2">
        <f t="shared" si="9"/>
        <v>0</v>
      </c>
      <c r="AA479" s="2">
        <f t="shared" si="10"/>
        <v>0</v>
      </c>
      <c r="AB479" s="2">
        <f t="shared" si="11"/>
        <v>0</v>
      </c>
      <c r="AC479" s="2">
        <f t="shared" si="12"/>
        <v>0</v>
      </c>
      <c r="AD479" s="2">
        <f t="shared" si="13"/>
        <v>0</v>
      </c>
      <c r="AE479" s="2">
        <f t="shared" si="14"/>
        <v>0</v>
      </c>
      <c r="AF479" s="2">
        <f t="shared" si="15"/>
        <v>0</v>
      </c>
      <c r="AG479" s="2">
        <f t="shared" si="16"/>
        <v>0</v>
      </c>
      <c r="AH479" s="2">
        <f t="shared" si="17"/>
        <v>0</v>
      </c>
      <c r="AI479" s="2">
        <f t="shared" si="18"/>
      </c>
    </row>
    <row r="480">
      <c r="A480" s="43">
        <f t="shared" si="0"/>
      </c>
      <c r="B480" s="54" t="n"/>
      <c r="C480" s="45" t="n"/>
      <c r="D480" s="50" t="n"/>
      <c r="E480" s="55" t="n"/>
      <c r="F480" s="50" t="n"/>
      <c r="G480" s="55" t="n"/>
      <c r="H480" s="50" t="n"/>
      <c r="I480" s="55" t="n"/>
      <c r="J480" s="50" t="n"/>
      <c r="K480" s="55" t="n"/>
      <c r="L480" s="56" t="n"/>
      <c r="M480" s="57" t="n"/>
      <c r="N480" s="57" t="n"/>
      <c r="O480" s="57" t="n"/>
      <c r="P480" s="57" t="n"/>
      <c r="Q480" s="50" t="n"/>
      <c r="R480" s="58">
        <f t="shared" si="1"/>
      </c>
      <c r="S480" s="59">
        <f t="shared" si="2"/>
      </c>
      <c r="T480" s="43">
        <f t="shared" si="3"/>
      </c>
      <c r="U480" s="60">
        <f t="shared" si="4"/>
      </c>
      <c r="V480" s="60">
        <f t="shared" si="5"/>
      </c>
      <c r="W480" s="60">
        <f t="shared" si="6"/>
      </c>
      <c r="X480" s="49">
        <f t="shared" si="7"/>
      </c>
      <c r="Y480" s="2">
        <f t="shared" si="8"/>
      </c>
      <c r="Z480" s="2">
        <f t="shared" si="9"/>
        <v>0</v>
      </c>
      <c r="AA480" s="2">
        <f t="shared" si="10"/>
        <v>0</v>
      </c>
      <c r="AB480" s="2">
        <f t="shared" si="11"/>
        <v>0</v>
      </c>
      <c r="AC480" s="2">
        <f t="shared" si="12"/>
        <v>0</v>
      </c>
      <c r="AD480" s="2">
        <f t="shared" si="13"/>
        <v>0</v>
      </c>
      <c r="AE480" s="2">
        <f t="shared" si="14"/>
        <v>0</v>
      </c>
      <c r="AF480" s="2">
        <f t="shared" si="15"/>
        <v>0</v>
      </c>
      <c r="AG480" s="2">
        <f t="shared" si="16"/>
        <v>0</v>
      </c>
      <c r="AH480" s="2">
        <f t="shared" si="17"/>
        <v>0</v>
      </c>
      <c r="AI480" s="2">
        <f t="shared" si="18"/>
      </c>
    </row>
    <row r="481">
      <c r="A481" s="43">
        <f t="shared" si="0"/>
      </c>
      <c r="B481" s="54" t="n"/>
      <c r="C481" s="45" t="n"/>
      <c r="D481" s="50" t="n"/>
      <c r="E481" s="55" t="n"/>
      <c r="F481" s="50" t="n"/>
      <c r="G481" s="55" t="n"/>
      <c r="H481" s="50" t="n"/>
      <c r="I481" s="55" t="n"/>
      <c r="J481" s="50" t="n"/>
      <c r="K481" s="55" t="n"/>
      <c r="L481" s="56" t="n"/>
      <c r="M481" s="57" t="n"/>
      <c r="N481" s="57" t="n"/>
      <c r="O481" s="57" t="n"/>
      <c r="P481" s="57" t="n"/>
      <c r="Q481" s="50" t="n"/>
      <c r="R481" s="58">
        <f t="shared" si="1"/>
      </c>
      <c r="S481" s="59">
        <f t="shared" si="2"/>
      </c>
      <c r="T481" s="43">
        <f t="shared" si="3"/>
      </c>
      <c r="U481" s="60">
        <f t="shared" si="4"/>
      </c>
      <c r="V481" s="60">
        <f t="shared" si="5"/>
      </c>
      <c r="W481" s="60">
        <f t="shared" si="6"/>
      </c>
      <c r="X481" s="49">
        <f t="shared" si="7"/>
      </c>
      <c r="Y481" s="2">
        <f t="shared" si="8"/>
      </c>
      <c r="Z481" s="2">
        <f t="shared" si="9"/>
        <v>0</v>
      </c>
      <c r="AA481" s="2">
        <f t="shared" si="10"/>
        <v>0</v>
      </c>
      <c r="AB481" s="2">
        <f t="shared" si="11"/>
        <v>0</v>
      </c>
      <c r="AC481" s="2">
        <f t="shared" si="12"/>
        <v>0</v>
      </c>
      <c r="AD481" s="2">
        <f t="shared" si="13"/>
        <v>0</v>
      </c>
      <c r="AE481" s="2">
        <f t="shared" si="14"/>
        <v>0</v>
      </c>
      <c r="AF481" s="2">
        <f t="shared" si="15"/>
        <v>0</v>
      </c>
      <c r="AG481" s="2">
        <f t="shared" si="16"/>
        <v>0</v>
      </c>
      <c r="AH481" s="2">
        <f t="shared" si="17"/>
        <v>0</v>
      </c>
      <c r="AI481" s="2">
        <f t="shared" si="18"/>
      </c>
    </row>
    <row r="482">
      <c r="A482" s="43">
        <f t="shared" si="0"/>
      </c>
      <c r="B482" s="54" t="n"/>
      <c r="C482" s="45" t="n"/>
      <c r="D482" s="50" t="n"/>
      <c r="E482" s="55" t="n"/>
      <c r="F482" s="50" t="n"/>
      <c r="G482" s="55" t="n"/>
      <c r="H482" s="50" t="n"/>
      <c r="I482" s="55" t="n"/>
      <c r="J482" s="50" t="n"/>
      <c r="K482" s="55" t="n"/>
      <c r="L482" s="56" t="n"/>
      <c r="M482" s="57" t="n"/>
      <c r="N482" s="57" t="n"/>
      <c r="O482" s="57" t="n"/>
      <c r="P482" s="57" t="n"/>
      <c r="Q482" s="50" t="n"/>
      <c r="R482" s="58">
        <f t="shared" si="1"/>
      </c>
      <c r="S482" s="59">
        <f t="shared" si="2"/>
      </c>
      <c r="T482" s="43">
        <f t="shared" si="3"/>
      </c>
      <c r="U482" s="60">
        <f t="shared" si="4"/>
      </c>
      <c r="V482" s="60">
        <f t="shared" si="5"/>
      </c>
      <c r="W482" s="60">
        <f t="shared" si="6"/>
      </c>
      <c r="X482" s="49">
        <f t="shared" si="7"/>
      </c>
      <c r="Y482" s="2">
        <f t="shared" si="8"/>
      </c>
      <c r="Z482" s="2">
        <f t="shared" si="9"/>
        <v>0</v>
      </c>
      <c r="AA482" s="2">
        <f t="shared" si="10"/>
        <v>0</v>
      </c>
      <c r="AB482" s="2">
        <f t="shared" si="11"/>
        <v>0</v>
      </c>
      <c r="AC482" s="2">
        <f t="shared" si="12"/>
        <v>0</v>
      </c>
      <c r="AD482" s="2">
        <f t="shared" si="13"/>
        <v>0</v>
      </c>
      <c r="AE482" s="2">
        <f t="shared" si="14"/>
        <v>0</v>
      </c>
      <c r="AF482" s="2">
        <f t="shared" si="15"/>
        <v>0</v>
      </c>
      <c r="AG482" s="2">
        <f t="shared" si="16"/>
        <v>0</v>
      </c>
      <c r="AH482" s="2">
        <f t="shared" si="17"/>
        <v>0</v>
      </c>
      <c r="AI482" s="2">
        <f t="shared" si="18"/>
      </c>
    </row>
    <row r="483">
      <c r="A483" s="43">
        <f t="shared" si="0"/>
      </c>
      <c r="B483" s="54" t="n"/>
      <c r="C483" s="45" t="n"/>
      <c r="D483" s="50" t="n"/>
      <c r="E483" s="55" t="n"/>
      <c r="F483" s="50" t="n"/>
      <c r="G483" s="55" t="n"/>
      <c r="H483" s="50" t="n"/>
      <c r="I483" s="55" t="n"/>
      <c r="J483" s="50" t="n"/>
      <c r="K483" s="55" t="n"/>
      <c r="L483" s="56" t="n"/>
      <c r="M483" s="57" t="n"/>
      <c r="N483" s="57" t="n"/>
      <c r="O483" s="57" t="n"/>
      <c r="P483" s="57" t="n"/>
      <c r="Q483" s="50" t="n"/>
      <c r="R483" s="58">
        <f t="shared" si="1"/>
      </c>
      <c r="S483" s="59">
        <f t="shared" si="2"/>
      </c>
      <c r="T483" s="43">
        <f t="shared" si="3"/>
      </c>
      <c r="U483" s="60">
        <f t="shared" si="4"/>
      </c>
      <c r="V483" s="60">
        <f t="shared" si="5"/>
      </c>
      <c r="W483" s="60">
        <f t="shared" si="6"/>
      </c>
      <c r="X483" s="49">
        <f t="shared" si="7"/>
      </c>
      <c r="Y483" s="2">
        <f t="shared" si="8"/>
      </c>
      <c r="Z483" s="2">
        <f t="shared" si="9"/>
        <v>0</v>
      </c>
      <c r="AA483" s="2">
        <f t="shared" si="10"/>
        <v>0</v>
      </c>
      <c r="AB483" s="2">
        <f t="shared" si="11"/>
        <v>0</v>
      </c>
      <c r="AC483" s="2">
        <f t="shared" si="12"/>
        <v>0</v>
      </c>
      <c r="AD483" s="2">
        <f t="shared" si="13"/>
        <v>0</v>
      </c>
      <c r="AE483" s="2">
        <f t="shared" si="14"/>
        <v>0</v>
      </c>
      <c r="AF483" s="2">
        <f t="shared" si="15"/>
        <v>0</v>
      </c>
      <c r="AG483" s="2">
        <f t="shared" si="16"/>
        <v>0</v>
      </c>
      <c r="AH483" s="2">
        <f t="shared" si="17"/>
        <v>0</v>
      </c>
      <c r="AI483" s="2">
        <f t="shared" si="18"/>
      </c>
    </row>
    <row r="484">
      <c r="A484" s="43">
        <f t="shared" si="0"/>
      </c>
      <c r="B484" s="54" t="n"/>
      <c r="C484" s="45" t="n"/>
      <c r="D484" s="50" t="n"/>
      <c r="E484" s="55" t="n"/>
      <c r="F484" s="50" t="n"/>
      <c r="G484" s="55" t="n"/>
      <c r="H484" s="50" t="n"/>
      <c r="I484" s="55" t="n"/>
      <c r="J484" s="50" t="n"/>
      <c r="K484" s="55" t="n"/>
      <c r="L484" s="56" t="n"/>
      <c r="M484" s="57" t="n"/>
      <c r="N484" s="57" t="n"/>
      <c r="O484" s="57" t="n"/>
      <c r="P484" s="57" t="n"/>
      <c r="Q484" s="50" t="n"/>
      <c r="R484" s="58">
        <f t="shared" si="1"/>
      </c>
      <c r="S484" s="59">
        <f t="shared" si="2"/>
      </c>
      <c r="T484" s="43">
        <f t="shared" si="3"/>
      </c>
      <c r="U484" s="60">
        <f t="shared" si="4"/>
      </c>
      <c r="V484" s="60">
        <f t="shared" si="5"/>
      </c>
      <c r="W484" s="60">
        <f t="shared" si="6"/>
      </c>
      <c r="X484" s="49">
        <f t="shared" si="7"/>
      </c>
      <c r="Y484" s="2">
        <f t="shared" si="8"/>
      </c>
      <c r="Z484" s="2">
        <f t="shared" si="9"/>
        <v>0</v>
      </c>
      <c r="AA484" s="2">
        <f t="shared" si="10"/>
        <v>0</v>
      </c>
      <c r="AB484" s="2">
        <f t="shared" si="11"/>
        <v>0</v>
      </c>
      <c r="AC484" s="2">
        <f t="shared" si="12"/>
        <v>0</v>
      </c>
      <c r="AD484" s="2">
        <f t="shared" si="13"/>
        <v>0</v>
      </c>
      <c r="AE484" s="2">
        <f t="shared" si="14"/>
        <v>0</v>
      </c>
      <c r="AF484" s="2">
        <f t="shared" si="15"/>
        <v>0</v>
      </c>
      <c r="AG484" s="2">
        <f t="shared" si="16"/>
        <v>0</v>
      </c>
      <c r="AH484" s="2">
        <f t="shared" si="17"/>
        <v>0</v>
      </c>
      <c r="AI484" s="2">
        <f t="shared" si="18"/>
      </c>
    </row>
    <row r="485">
      <c r="A485" s="43">
        <f t="shared" si="0"/>
      </c>
      <c r="B485" s="54" t="n"/>
      <c r="C485" s="45" t="n"/>
      <c r="D485" s="50" t="n"/>
      <c r="E485" s="55" t="n"/>
      <c r="F485" s="50" t="n"/>
      <c r="G485" s="55" t="n"/>
      <c r="H485" s="50" t="n"/>
      <c r="I485" s="55" t="n"/>
      <c r="J485" s="50" t="n"/>
      <c r="K485" s="55" t="n"/>
      <c r="L485" s="56" t="n"/>
      <c r="M485" s="57" t="n"/>
      <c r="N485" s="57" t="n"/>
      <c r="O485" s="57" t="n"/>
      <c r="P485" s="57" t="n"/>
      <c r="Q485" s="50" t="n"/>
      <c r="R485" s="58">
        <f t="shared" si="1"/>
      </c>
      <c r="S485" s="59">
        <f t="shared" si="2"/>
      </c>
      <c r="T485" s="43">
        <f t="shared" si="3"/>
      </c>
      <c r="U485" s="60">
        <f t="shared" si="4"/>
      </c>
      <c r="V485" s="60">
        <f t="shared" si="5"/>
      </c>
      <c r="W485" s="60">
        <f t="shared" si="6"/>
      </c>
      <c r="X485" s="49">
        <f t="shared" si="7"/>
      </c>
      <c r="Y485" s="2">
        <f t="shared" si="8"/>
      </c>
      <c r="Z485" s="2">
        <f t="shared" si="9"/>
        <v>0</v>
      </c>
      <c r="AA485" s="2">
        <f t="shared" si="10"/>
        <v>0</v>
      </c>
      <c r="AB485" s="2">
        <f t="shared" si="11"/>
        <v>0</v>
      </c>
      <c r="AC485" s="2">
        <f t="shared" si="12"/>
        <v>0</v>
      </c>
      <c r="AD485" s="2">
        <f t="shared" si="13"/>
        <v>0</v>
      </c>
      <c r="AE485" s="2">
        <f t="shared" si="14"/>
        <v>0</v>
      </c>
      <c r="AF485" s="2">
        <f t="shared" si="15"/>
        <v>0</v>
      </c>
      <c r="AG485" s="2">
        <f t="shared" si="16"/>
        <v>0</v>
      </c>
      <c r="AH485" s="2">
        <f t="shared" si="17"/>
        <v>0</v>
      </c>
      <c r="AI485" s="2">
        <f t="shared" si="18"/>
      </c>
    </row>
    <row r="486">
      <c r="A486" s="43">
        <f t="shared" si="0"/>
      </c>
      <c r="B486" s="54" t="n"/>
      <c r="C486" s="45" t="n"/>
      <c r="D486" s="50" t="n"/>
      <c r="E486" s="55" t="n"/>
      <c r="F486" s="50" t="n"/>
      <c r="G486" s="55" t="n"/>
      <c r="H486" s="50" t="n"/>
      <c r="I486" s="55" t="n"/>
      <c r="J486" s="50" t="n"/>
      <c r="K486" s="55" t="n"/>
      <c r="L486" s="56" t="n"/>
      <c r="M486" s="57" t="n"/>
      <c r="N486" s="57" t="n"/>
      <c r="O486" s="57" t="n"/>
      <c r="P486" s="57" t="n"/>
      <c r="Q486" s="50" t="n"/>
      <c r="R486" s="58">
        <f t="shared" si="1"/>
      </c>
      <c r="S486" s="59">
        <f t="shared" si="2"/>
      </c>
      <c r="T486" s="43">
        <f t="shared" si="3"/>
      </c>
      <c r="U486" s="60">
        <f t="shared" si="4"/>
      </c>
      <c r="V486" s="60">
        <f t="shared" si="5"/>
      </c>
      <c r="W486" s="60">
        <f t="shared" si="6"/>
      </c>
      <c r="X486" s="49">
        <f t="shared" si="7"/>
      </c>
      <c r="Y486" s="2">
        <f t="shared" si="8"/>
      </c>
      <c r="Z486" s="2">
        <f t="shared" si="9"/>
        <v>0</v>
      </c>
      <c r="AA486" s="2">
        <f t="shared" si="10"/>
        <v>0</v>
      </c>
      <c r="AB486" s="2">
        <f t="shared" si="11"/>
        <v>0</v>
      </c>
      <c r="AC486" s="2">
        <f t="shared" si="12"/>
        <v>0</v>
      </c>
      <c r="AD486" s="2">
        <f t="shared" si="13"/>
        <v>0</v>
      </c>
      <c r="AE486" s="2">
        <f t="shared" si="14"/>
        <v>0</v>
      </c>
      <c r="AF486" s="2">
        <f t="shared" si="15"/>
        <v>0</v>
      </c>
      <c r="AG486" s="2">
        <f t="shared" si="16"/>
        <v>0</v>
      </c>
      <c r="AH486" s="2">
        <f t="shared" si="17"/>
        <v>0</v>
      </c>
      <c r="AI486" s="2">
        <f t="shared" si="18"/>
      </c>
    </row>
    <row r="487">
      <c r="A487" s="43">
        <f t="shared" si="0"/>
      </c>
      <c r="B487" s="54" t="n"/>
      <c r="C487" s="45" t="n"/>
      <c r="D487" s="50" t="n"/>
      <c r="E487" s="55" t="n"/>
      <c r="F487" s="50" t="n"/>
      <c r="G487" s="55" t="n"/>
      <c r="H487" s="50" t="n"/>
      <c r="I487" s="55" t="n"/>
      <c r="J487" s="50" t="n"/>
      <c r="K487" s="55" t="n"/>
      <c r="L487" s="56" t="n"/>
      <c r="M487" s="57" t="n"/>
      <c r="N487" s="57" t="n"/>
      <c r="O487" s="57" t="n"/>
      <c r="P487" s="57" t="n"/>
      <c r="Q487" s="50" t="n"/>
      <c r="R487" s="58">
        <f t="shared" si="1"/>
      </c>
      <c r="S487" s="59">
        <f t="shared" si="2"/>
      </c>
      <c r="T487" s="43">
        <f t="shared" si="3"/>
      </c>
      <c r="U487" s="60">
        <f t="shared" si="4"/>
      </c>
      <c r="V487" s="60">
        <f t="shared" si="5"/>
      </c>
      <c r="W487" s="60">
        <f t="shared" si="6"/>
      </c>
      <c r="X487" s="49">
        <f t="shared" si="7"/>
      </c>
      <c r="Y487" s="2">
        <f t="shared" si="8"/>
      </c>
      <c r="Z487" s="2">
        <f t="shared" si="9"/>
        <v>0</v>
      </c>
      <c r="AA487" s="2">
        <f t="shared" si="10"/>
        <v>0</v>
      </c>
      <c r="AB487" s="2">
        <f t="shared" si="11"/>
        <v>0</v>
      </c>
      <c r="AC487" s="2">
        <f t="shared" si="12"/>
        <v>0</v>
      </c>
      <c r="AD487" s="2">
        <f t="shared" si="13"/>
        <v>0</v>
      </c>
      <c r="AE487" s="2">
        <f t="shared" si="14"/>
        <v>0</v>
      </c>
      <c r="AF487" s="2">
        <f t="shared" si="15"/>
        <v>0</v>
      </c>
      <c r="AG487" s="2">
        <f t="shared" si="16"/>
        <v>0</v>
      </c>
      <c r="AH487" s="2">
        <f t="shared" si="17"/>
        <v>0</v>
      </c>
      <c r="AI487" s="2">
        <f t="shared" si="18"/>
      </c>
    </row>
    <row r="488">
      <c r="A488" s="43">
        <f t="shared" si="0"/>
      </c>
      <c r="B488" s="54" t="n"/>
      <c r="C488" s="45" t="n"/>
      <c r="D488" s="50" t="n"/>
      <c r="E488" s="55" t="n"/>
      <c r="F488" s="50" t="n"/>
      <c r="G488" s="55" t="n"/>
      <c r="H488" s="50" t="n"/>
      <c r="I488" s="55" t="n"/>
      <c r="J488" s="50" t="n"/>
      <c r="K488" s="55" t="n"/>
      <c r="L488" s="56" t="n"/>
      <c r="M488" s="57" t="n"/>
      <c r="N488" s="57" t="n"/>
      <c r="O488" s="57" t="n"/>
      <c r="P488" s="57" t="n"/>
      <c r="Q488" s="50" t="n"/>
      <c r="R488" s="58">
        <f t="shared" si="1"/>
      </c>
      <c r="S488" s="59">
        <f t="shared" si="2"/>
      </c>
      <c r="T488" s="43">
        <f t="shared" si="3"/>
      </c>
      <c r="U488" s="60">
        <f t="shared" si="4"/>
      </c>
      <c r="V488" s="60">
        <f t="shared" si="5"/>
      </c>
      <c r="W488" s="60">
        <f t="shared" si="6"/>
      </c>
      <c r="X488" s="49">
        <f t="shared" si="7"/>
      </c>
      <c r="Y488" s="2">
        <f t="shared" si="8"/>
      </c>
      <c r="Z488" s="2">
        <f t="shared" si="9"/>
        <v>0</v>
      </c>
      <c r="AA488" s="2">
        <f t="shared" si="10"/>
        <v>0</v>
      </c>
      <c r="AB488" s="2">
        <f t="shared" si="11"/>
        <v>0</v>
      </c>
      <c r="AC488" s="2">
        <f t="shared" si="12"/>
        <v>0</v>
      </c>
      <c r="AD488" s="2">
        <f t="shared" si="13"/>
        <v>0</v>
      </c>
      <c r="AE488" s="2">
        <f t="shared" si="14"/>
        <v>0</v>
      </c>
      <c r="AF488" s="2">
        <f t="shared" si="15"/>
        <v>0</v>
      </c>
      <c r="AG488" s="2">
        <f t="shared" si="16"/>
        <v>0</v>
      </c>
      <c r="AH488" s="2">
        <f t="shared" si="17"/>
        <v>0</v>
      </c>
      <c r="AI488" s="2">
        <f t="shared" si="18"/>
      </c>
    </row>
    <row r="489">
      <c r="A489" s="43">
        <f t="shared" si="0"/>
      </c>
      <c r="B489" s="54" t="n"/>
      <c r="C489" s="45" t="n"/>
      <c r="D489" s="50" t="n"/>
      <c r="E489" s="55" t="n"/>
      <c r="F489" s="50" t="n"/>
      <c r="G489" s="55" t="n"/>
      <c r="H489" s="50" t="n"/>
      <c r="I489" s="55" t="n"/>
      <c r="J489" s="50" t="n"/>
      <c r="K489" s="55" t="n"/>
      <c r="L489" s="56" t="n"/>
      <c r="M489" s="57" t="n"/>
      <c r="N489" s="57" t="n"/>
      <c r="O489" s="57" t="n"/>
      <c r="P489" s="57" t="n"/>
      <c r="Q489" s="50" t="n"/>
      <c r="R489" s="58">
        <f t="shared" si="1"/>
      </c>
      <c r="S489" s="59">
        <f t="shared" si="2"/>
      </c>
      <c r="T489" s="43">
        <f t="shared" si="3"/>
      </c>
      <c r="U489" s="60">
        <f t="shared" si="4"/>
      </c>
      <c r="V489" s="60">
        <f t="shared" si="5"/>
      </c>
      <c r="W489" s="60">
        <f t="shared" si="6"/>
      </c>
      <c r="X489" s="49">
        <f t="shared" si="7"/>
      </c>
      <c r="Y489" s="2">
        <f t="shared" si="8"/>
      </c>
      <c r="Z489" s="2">
        <f t="shared" si="9"/>
        <v>0</v>
      </c>
      <c r="AA489" s="2">
        <f t="shared" si="10"/>
        <v>0</v>
      </c>
      <c r="AB489" s="2">
        <f t="shared" si="11"/>
        <v>0</v>
      </c>
      <c r="AC489" s="2">
        <f t="shared" si="12"/>
        <v>0</v>
      </c>
      <c r="AD489" s="2">
        <f t="shared" si="13"/>
        <v>0</v>
      </c>
      <c r="AE489" s="2">
        <f t="shared" si="14"/>
        <v>0</v>
      </c>
      <c r="AF489" s="2">
        <f t="shared" si="15"/>
        <v>0</v>
      </c>
      <c r="AG489" s="2">
        <f t="shared" si="16"/>
        <v>0</v>
      </c>
      <c r="AH489" s="2">
        <f t="shared" si="17"/>
        <v>0</v>
      </c>
      <c r="AI489" s="2">
        <f t="shared" si="18"/>
      </c>
    </row>
    <row r="490">
      <c r="A490" s="43">
        <f t="shared" si="0"/>
      </c>
      <c r="B490" s="54" t="n"/>
      <c r="C490" s="45" t="n"/>
      <c r="D490" s="50" t="n"/>
      <c r="E490" s="55" t="n"/>
      <c r="F490" s="50" t="n"/>
      <c r="G490" s="55" t="n"/>
      <c r="H490" s="50" t="n"/>
      <c r="I490" s="55" t="n"/>
      <c r="J490" s="50" t="n"/>
      <c r="K490" s="55" t="n"/>
      <c r="L490" s="56" t="n"/>
      <c r="M490" s="57" t="n"/>
      <c r="N490" s="57" t="n"/>
      <c r="O490" s="57" t="n"/>
      <c r="P490" s="57" t="n"/>
      <c r="Q490" s="50" t="n"/>
      <c r="R490" s="58">
        <f t="shared" si="1"/>
      </c>
      <c r="S490" s="59">
        <f t="shared" si="2"/>
      </c>
      <c r="T490" s="43">
        <f t="shared" si="3"/>
      </c>
      <c r="U490" s="60">
        <f t="shared" si="4"/>
      </c>
      <c r="V490" s="60">
        <f t="shared" si="5"/>
      </c>
      <c r="W490" s="60">
        <f t="shared" si="6"/>
      </c>
      <c r="X490" s="49">
        <f t="shared" si="7"/>
      </c>
      <c r="Y490" s="2">
        <f t="shared" si="8"/>
      </c>
      <c r="Z490" s="2">
        <f t="shared" si="9"/>
        <v>0</v>
      </c>
      <c r="AA490" s="2">
        <f t="shared" si="10"/>
        <v>0</v>
      </c>
      <c r="AB490" s="2">
        <f t="shared" si="11"/>
        <v>0</v>
      </c>
      <c r="AC490" s="2">
        <f t="shared" si="12"/>
        <v>0</v>
      </c>
      <c r="AD490" s="2">
        <f t="shared" si="13"/>
        <v>0</v>
      </c>
      <c r="AE490" s="2">
        <f t="shared" si="14"/>
        <v>0</v>
      </c>
      <c r="AF490" s="2">
        <f t="shared" si="15"/>
        <v>0</v>
      </c>
      <c r="AG490" s="2">
        <f t="shared" si="16"/>
        <v>0</v>
      </c>
      <c r="AH490" s="2">
        <f t="shared" si="17"/>
        <v>0</v>
      </c>
      <c r="AI490" s="2">
        <f t="shared" si="18"/>
      </c>
    </row>
    <row r="491">
      <c r="A491" s="43">
        <f t="shared" si="0"/>
      </c>
      <c r="B491" s="54" t="n"/>
      <c r="C491" s="45" t="n"/>
      <c r="D491" s="50" t="n"/>
      <c r="E491" s="55" t="n"/>
      <c r="F491" s="50" t="n"/>
      <c r="G491" s="55" t="n"/>
      <c r="H491" s="50" t="n"/>
      <c r="I491" s="55" t="n"/>
      <c r="J491" s="50" t="n"/>
      <c r="K491" s="55" t="n"/>
      <c r="L491" s="56" t="n"/>
      <c r="M491" s="57" t="n"/>
      <c r="N491" s="57" t="n"/>
      <c r="O491" s="57" t="n"/>
      <c r="P491" s="57" t="n"/>
      <c r="Q491" s="50" t="n"/>
      <c r="R491" s="58">
        <f t="shared" si="1"/>
      </c>
      <c r="S491" s="59">
        <f t="shared" si="2"/>
      </c>
      <c r="T491" s="43">
        <f t="shared" si="3"/>
      </c>
      <c r="U491" s="60">
        <f t="shared" si="4"/>
      </c>
      <c r="V491" s="60">
        <f t="shared" si="5"/>
      </c>
      <c r="W491" s="60">
        <f t="shared" si="6"/>
      </c>
      <c r="X491" s="49">
        <f t="shared" si="7"/>
      </c>
      <c r="Y491" s="2">
        <f t="shared" si="8"/>
      </c>
      <c r="Z491" s="2">
        <f t="shared" si="9"/>
        <v>0</v>
      </c>
      <c r="AA491" s="2">
        <f t="shared" si="10"/>
        <v>0</v>
      </c>
      <c r="AB491" s="2">
        <f t="shared" si="11"/>
        <v>0</v>
      </c>
      <c r="AC491" s="2">
        <f t="shared" si="12"/>
        <v>0</v>
      </c>
      <c r="AD491" s="2">
        <f t="shared" si="13"/>
        <v>0</v>
      </c>
      <c r="AE491" s="2">
        <f t="shared" si="14"/>
        <v>0</v>
      </c>
      <c r="AF491" s="2">
        <f t="shared" si="15"/>
        <v>0</v>
      </c>
      <c r="AG491" s="2">
        <f t="shared" si="16"/>
        <v>0</v>
      </c>
      <c r="AH491" s="2">
        <f t="shared" si="17"/>
        <v>0</v>
      </c>
      <c r="AI491" s="2">
        <f t="shared" si="18"/>
      </c>
    </row>
    <row r="492">
      <c r="A492" s="43">
        <f t="shared" si="0"/>
      </c>
      <c r="B492" s="54" t="n"/>
      <c r="C492" s="45" t="n"/>
      <c r="D492" s="50" t="n"/>
      <c r="E492" s="55" t="n"/>
      <c r="F492" s="50" t="n"/>
      <c r="G492" s="55" t="n"/>
      <c r="H492" s="50" t="n"/>
      <c r="I492" s="55" t="n"/>
      <c r="J492" s="50" t="n"/>
      <c r="K492" s="55" t="n"/>
      <c r="L492" s="56" t="n"/>
      <c r="M492" s="57" t="n"/>
      <c r="N492" s="57" t="n"/>
      <c r="O492" s="57" t="n"/>
      <c r="P492" s="57" t="n"/>
      <c r="Q492" s="50" t="n"/>
      <c r="R492" s="58">
        <f t="shared" si="1"/>
      </c>
      <c r="S492" s="59">
        <f t="shared" si="2"/>
      </c>
      <c r="T492" s="43">
        <f t="shared" si="3"/>
      </c>
      <c r="U492" s="60">
        <f t="shared" si="4"/>
      </c>
      <c r="V492" s="60">
        <f t="shared" si="5"/>
      </c>
      <c r="W492" s="60">
        <f t="shared" si="6"/>
      </c>
      <c r="X492" s="49">
        <f t="shared" si="7"/>
      </c>
      <c r="Y492" s="2">
        <f t="shared" si="8"/>
      </c>
      <c r="Z492" s="2">
        <f t="shared" si="9"/>
        <v>0</v>
      </c>
      <c r="AA492" s="2">
        <f t="shared" si="10"/>
        <v>0</v>
      </c>
      <c r="AB492" s="2">
        <f t="shared" si="11"/>
        <v>0</v>
      </c>
      <c r="AC492" s="2">
        <f t="shared" si="12"/>
        <v>0</v>
      </c>
      <c r="AD492" s="2">
        <f t="shared" si="13"/>
        <v>0</v>
      </c>
      <c r="AE492" s="2">
        <f t="shared" si="14"/>
        <v>0</v>
      </c>
      <c r="AF492" s="2">
        <f t="shared" si="15"/>
        <v>0</v>
      </c>
      <c r="AG492" s="2">
        <f t="shared" si="16"/>
        <v>0</v>
      </c>
      <c r="AH492" s="2">
        <f t="shared" si="17"/>
        <v>0</v>
      </c>
      <c r="AI492" s="2">
        <f t="shared" si="18"/>
      </c>
    </row>
    <row r="493">
      <c r="A493" s="43">
        <f t="shared" si="0"/>
      </c>
      <c r="B493" s="54" t="n"/>
      <c r="C493" s="45" t="n"/>
      <c r="D493" s="50" t="n"/>
      <c r="E493" s="55" t="n"/>
      <c r="F493" s="50" t="n"/>
      <c r="G493" s="55" t="n"/>
      <c r="H493" s="50" t="n"/>
      <c r="I493" s="55" t="n"/>
      <c r="J493" s="50" t="n"/>
      <c r="K493" s="55" t="n"/>
      <c r="L493" s="56" t="n"/>
      <c r="M493" s="57" t="n"/>
      <c r="N493" s="57" t="n"/>
      <c r="O493" s="57" t="n"/>
      <c r="P493" s="57" t="n"/>
      <c r="Q493" s="50" t="n"/>
      <c r="R493" s="58">
        <f t="shared" si="1"/>
      </c>
      <c r="S493" s="59">
        <f t="shared" si="2"/>
      </c>
      <c r="T493" s="43">
        <f t="shared" si="3"/>
      </c>
      <c r="U493" s="60">
        <f t="shared" si="4"/>
      </c>
      <c r="V493" s="60">
        <f t="shared" si="5"/>
      </c>
      <c r="W493" s="60">
        <f t="shared" si="6"/>
      </c>
      <c r="X493" s="49">
        <f t="shared" si="7"/>
      </c>
      <c r="Y493" s="2">
        <f t="shared" si="8"/>
      </c>
      <c r="Z493" s="2">
        <f t="shared" si="9"/>
        <v>0</v>
      </c>
      <c r="AA493" s="2">
        <f t="shared" si="10"/>
        <v>0</v>
      </c>
      <c r="AB493" s="2">
        <f t="shared" si="11"/>
        <v>0</v>
      </c>
      <c r="AC493" s="2">
        <f t="shared" si="12"/>
        <v>0</v>
      </c>
      <c r="AD493" s="2">
        <f t="shared" si="13"/>
        <v>0</v>
      </c>
      <c r="AE493" s="2">
        <f t="shared" si="14"/>
        <v>0</v>
      </c>
      <c r="AF493" s="2">
        <f t="shared" si="15"/>
        <v>0</v>
      </c>
      <c r="AG493" s="2">
        <f t="shared" si="16"/>
        <v>0</v>
      </c>
      <c r="AH493" s="2">
        <f t="shared" si="17"/>
        <v>0</v>
      </c>
      <c r="AI493" s="2">
        <f t="shared" si="18"/>
      </c>
    </row>
    <row r="494">
      <c r="A494" s="43">
        <f t="shared" si="0"/>
      </c>
      <c r="B494" s="54" t="n"/>
      <c r="C494" s="45" t="n"/>
      <c r="D494" s="50" t="n"/>
      <c r="E494" s="55" t="n"/>
      <c r="F494" s="50" t="n"/>
      <c r="G494" s="55" t="n"/>
      <c r="H494" s="50" t="n"/>
      <c r="I494" s="55" t="n"/>
      <c r="J494" s="50" t="n"/>
      <c r="K494" s="55" t="n"/>
      <c r="L494" s="56" t="n"/>
      <c r="M494" s="57" t="n"/>
      <c r="N494" s="57" t="n"/>
      <c r="O494" s="57" t="n"/>
      <c r="P494" s="57" t="n"/>
      <c r="Q494" s="50" t="n"/>
      <c r="R494" s="58">
        <f t="shared" si="1"/>
      </c>
      <c r="S494" s="59">
        <f t="shared" si="2"/>
      </c>
      <c r="T494" s="43">
        <f t="shared" si="3"/>
      </c>
      <c r="U494" s="60">
        <f t="shared" si="4"/>
      </c>
      <c r="V494" s="60">
        <f t="shared" si="5"/>
      </c>
      <c r="W494" s="60">
        <f t="shared" si="6"/>
      </c>
      <c r="X494" s="49">
        <f t="shared" si="7"/>
      </c>
      <c r="Y494" s="2">
        <f t="shared" si="8"/>
      </c>
      <c r="Z494" s="2">
        <f t="shared" si="9"/>
        <v>0</v>
      </c>
      <c r="AA494" s="2">
        <f t="shared" si="10"/>
        <v>0</v>
      </c>
      <c r="AB494" s="2">
        <f t="shared" si="11"/>
        <v>0</v>
      </c>
      <c r="AC494" s="2">
        <f t="shared" si="12"/>
        <v>0</v>
      </c>
      <c r="AD494" s="2">
        <f t="shared" si="13"/>
        <v>0</v>
      </c>
      <c r="AE494" s="2">
        <f t="shared" si="14"/>
        <v>0</v>
      </c>
      <c r="AF494" s="2">
        <f t="shared" si="15"/>
        <v>0</v>
      </c>
      <c r="AG494" s="2">
        <f t="shared" si="16"/>
        <v>0</v>
      </c>
      <c r="AH494" s="2">
        <f t="shared" si="17"/>
        <v>0</v>
      </c>
      <c r="AI494" s="2">
        <f t="shared" si="18"/>
      </c>
    </row>
    <row r="495">
      <c r="A495" s="43">
        <f t="shared" si="0"/>
      </c>
      <c r="B495" s="54" t="n"/>
      <c r="C495" s="45" t="n"/>
      <c r="D495" s="50" t="n"/>
      <c r="E495" s="55" t="n"/>
      <c r="F495" s="50" t="n"/>
      <c r="G495" s="55" t="n"/>
      <c r="H495" s="50" t="n"/>
      <c r="I495" s="55" t="n"/>
      <c r="J495" s="50" t="n"/>
      <c r="K495" s="55" t="n"/>
      <c r="L495" s="56" t="n"/>
      <c r="M495" s="57" t="n"/>
      <c r="N495" s="57" t="n"/>
      <c r="O495" s="57" t="n"/>
      <c r="P495" s="57" t="n"/>
      <c r="Q495" s="50" t="n"/>
      <c r="R495" s="58">
        <f t="shared" si="1"/>
      </c>
      <c r="S495" s="59">
        <f t="shared" si="2"/>
      </c>
      <c r="T495" s="43">
        <f t="shared" si="3"/>
      </c>
      <c r="U495" s="60">
        <f t="shared" si="4"/>
      </c>
      <c r="V495" s="60">
        <f t="shared" si="5"/>
      </c>
      <c r="W495" s="60">
        <f t="shared" si="6"/>
      </c>
      <c r="X495" s="49">
        <f t="shared" si="7"/>
      </c>
      <c r="Y495" s="2">
        <f t="shared" si="8"/>
      </c>
      <c r="Z495" s="2">
        <f t="shared" si="9"/>
        <v>0</v>
      </c>
      <c r="AA495" s="2">
        <f t="shared" si="10"/>
        <v>0</v>
      </c>
      <c r="AB495" s="2">
        <f t="shared" si="11"/>
        <v>0</v>
      </c>
      <c r="AC495" s="2">
        <f t="shared" si="12"/>
        <v>0</v>
      </c>
      <c r="AD495" s="2">
        <f t="shared" si="13"/>
        <v>0</v>
      </c>
      <c r="AE495" s="2">
        <f t="shared" si="14"/>
        <v>0</v>
      </c>
      <c r="AF495" s="2">
        <f t="shared" si="15"/>
        <v>0</v>
      </c>
      <c r="AG495" s="2">
        <f t="shared" si="16"/>
        <v>0</v>
      </c>
      <c r="AH495" s="2">
        <f t="shared" si="17"/>
        <v>0</v>
      </c>
      <c r="AI495" s="2">
        <f t="shared" si="18"/>
      </c>
    </row>
    <row r="496">
      <c r="A496" s="43">
        <f t="shared" si="0"/>
      </c>
      <c r="B496" s="54" t="n"/>
      <c r="C496" s="45" t="n"/>
      <c r="D496" s="50" t="n"/>
      <c r="E496" s="55" t="n"/>
      <c r="F496" s="50" t="n"/>
      <c r="G496" s="55" t="n"/>
      <c r="H496" s="50" t="n"/>
      <c r="I496" s="55" t="n"/>
      <c r="J496" s="50" t="n"/>
      <c r="K496" s="55" t="n"/>
      <c r="L496" s="56" t="n"/>
      <c r="M496" s="57" t="n"/>
      <c r="N496" s="57" t="n"/>
      <c r="O496" s="57" t="n"/>
      <c r="P496" s="57" t="n"/>
      <c r="Q496" s="50" t="n"/>
      <c r="R496" s="58">
        <f t="shared" si="1"/>
      </c>
      <c r="S496" s="59">
        <f t="shared" si="2"/>
      </c>
      <c r="T496" s="43">
        <f t="shared" si="3"/>
      </c>
      <c r="U496" s="60">
        <f t="shared" si="4"/>
      </c>
      <c r="V496" s="60">
        <f t="shared" si="5"/>
      </c>
      <c r="W496" s="60">
        <f t="shared" si="6"/>
      </c>
      <c r="X496" s="49">
        <f t="shared" si="7"/>
      </c>
      <c r="Y496" s="2">
        <f t="shared" si="8"/>
      </c>
      <c r="Z496" s="2">
        <f t="shared" si="9"/>
        <v>0</v>
      </c>
      <c r="AA496" s="2">
        <f t="shared" si="10"/>
        <v>0</v>
      </c>
      <c r="AB496" s="2">
        <f t="shared" si="11"/>
        <v>0</v>
      </c>
      <c r="AC496" s="2">
        <f t="shared" si="12"/>
        <v>0</v>
      </c>
      <c r="AD496" s="2">
        <f t="shared" si="13"/>
        <v>0</v>
      </c>
      <c r="AE496" s="2">
        <f t="shared" si="14"/>
        <v>0</v>
      </c>
      <c r="AF496" s="2">
        <f t="shared" si="15"/>
        <v>0</v>
      </c>
      <c r="AG496" s="2">
        <f t="shared" si="16"/>
        <v>0</v>
      </c>
      <c r="AH496" s="2">
        <f t="shared" si="17"/>
        <v>0</v>
      </c>
      <c r="AI496" s="2">
        <f t="shared" si="18"/>
      </c>
    </row>
    <row r="497">
      <c r="A497" s="43">
        <f t="shared" si="0"/>
      </c>
      <c r="B497" s="54" t="n"/>
      <c r="C497" s="45" t="n"/>
      <c r="D497" s="50" t="n"/>
      <c r="E497" s="55" t="n"/>
      <c r="F497" s="50" t="n"/>
      <c r="G497" s="55" t="n"/>
      <c r="H497" s="50" t="n"/>
      <c r="I497" s="55" t="n"/>
      <c r="J497" s="50" t="n"/>
      <c r="K497" s="55" t="n"/>
      <c r="L497" s="56" t="n"/>
      <c r="M497" s="57" t="n"/>
      <c r="N497" s="57" t="n"/>
      <c r="O497" s="57" t="n"/>
      <c r="P497" s="57" t="n"/>
      <c r="Q497" s="50" t="n"/>
      <c r="R497" s="58">
        <f t="shared" si="1"/>
      </c>
      <c r="S497" s="59">
        <f t="shared" si="2"/>
      </c>
      <c r="T497" s="43">
        <f t="shared" si="3"/>
      </c>
      <c r="U497" s="60">
        <f t="shared" si="4"/>
      </c>
      <c r="V497" s="60">
        <f t="shared" si="5"/>
      </c>
      <c r="W497" s="60">
        <f t="shared" si="6"/>
      </c>
      <c r="X497" s="49">
        <f t="shared" si="7"/>
      </c>
      <c r="Y497" s="2">
        <f t="shared" si="8"/>
      </c>
      <c r="Z497" s="2">
        <f t="shared" si="9"/>
        <v>0</v>
      </c>
      <c r="AA497" s="2">
        <f t="shared" si="10"/>
        <v>0</v>
      </c>
      <c r="AB497" s="2">
        <f t="shared" si="11"/>
        <v>0</v>
      </c>
      <c r="AC497" s="2">
        <f t="shared" si="12"/>
        <v>0</v>
      </c>
      <c r="AD497" s="2">
        <f t="shared" si="13"/>
        <v>0</v>
      </c>
      <c r="AE497" s="2">
        <f t="shared" si="14"/>
        <v>0</v>
      </c>
      <c r="AF497" s="2">
        <f t="shared" si="15"/>
        <v>0</v>
      </c>
      <c r="AG497" s="2">
        <f t="shared" si="16"/>
        <v>0</v>
      </c>
      <c r="AH497" s="2">
        <f t="shared" si="17"/>
        <v>0</v>
      </c>
      <c r="AI497" s="2">
        <f t="shared" si="18"/>
      </c>
    </row>
    <row r="498">
      <c r="A498" s="43">
        <f t="shared" si="0"/>
      </c>
      <c r="B498" s="54" t="n"/>
      <c r="C498" s="45" t="n"/>
      <c r="D498" s="50" t="n"/>
      <c r="E498" s="55" t="n"/>
      <c r="F498" s="50" t="n"/>
      <c r="G498" s="55" t="n"/>
      <c r="H498" s="50" t="n"/>
      <c r="I498" s="55" t="n"/>
      <c r="J498" s="50" t="n"/>
      <c r="K498" s="55" t="n"/>
      <c r="L498" s="56" t="n"/>
      <c r="M498" s="57" t="n"/>
      <c r="N498" s="57" t="n"/>
      <c r="O498" s="57" t="n"/>
      <c r="P498" s="57" t="n"/>
      <c r="Q498" s="50" t="n"/>
      <c r="R498" s="58">
        <f t="shared" si="1"/>
      </c>
      <c r="S498" s="59">
        <f t="shared" si="2"/>
      </c>
      <c r="T498" s="43">
        <f t="shared" si="3"/>
      </c>
      <c r="U498" s="60">
        <f t="shared" si="4"/>
      </c>
      <c r="V498" s="60">
        <f t="shared" si="5"/>
      </c>
      <c r="W498" s="60">
        <f t="shared" si="6"/>
      </c>
      <c r="X498" s="49">
        <f t="shared" si="7"/>
      </c>
      <c r="Y498" s="2">
        <f t="shared" si="8"/>
      </c>
      <c r="Z498" s="2">
        <f t="shared" si="9"/>
        <v>0</v>
      </c>
      <c r="AA498" s="2">
        <f t="shared" si="10"/>
        <v>0</v>
      </c>
      <c r="AB498" s="2">
        <f t="shared" si="11"/>
        <v>0</v>
      </c>
      <c r="AC498" s="2">
        <f t="shared" si="12"/>
        <v>0</v>
      </c>
      <c r="AD498" s="2">
        <f t="shared" si="13"/>
        <v>0</v>
      </c>
      <c r="AE498" s="2">
        <f t="shared" si="14"/>
        <v>0</v>
      </c>
      <c r="AF498" s="2">
        <f t="shared" si="15"/>
        <v>0</v>
      </c>
      <c r="AG498" s="2">
        <f t="shared" si="16"/>
        <v>0</v>
      </c>
      <c r="AH498" s="2">
        <f t="shared" si="17"/>
        <v>0</v>
      </c>
      <c r="AI498" s="2">
        <f t="shared" si="18"/>
      </c>
    </row>
    <row r="499">
      <c r="A499" s="43">
        <f t="shared" si="0"/>
      </c>
      <c r="B499" s="54" t="n"/>
      <c r="C499" s="45" t="n"/>
      <c r="D499" s="50" t="n"/>
      <c r="E499" s="55" t="n"/>
      <c r="F499" s="50" t="n"/>
      <c r="G499" s="55" t="n"/>
      <c r="H499" s="50" t="n"/>
      <c r="I499" s="55" t="n"/>
      <c r="J499" s="50" t="n"/>
      <c r="K499" s="55" t="n"/>
      <c r="L499" s="56" t="n"/>
      <c r="M499" s="57" t="n"/>
      <c r="N499" s="57" t="n"/>
      <c r="O499" s="57" t="n"/>
      <c r="P499" s="57" t="n"/>
      <c r="Q499" s="50" t="n"/>
      <c r="R499" s="58">
        <f t="shared" si="1"/>
      </c>
      <c r="S499" s="59">
        <f t="shared" si="2"/>
      </c>
      <c r="T499" s="43">
        <f t="shared" si="3"/>
      </c>
      <c r="U499" s="60">
        <f t="shared" si="4"/>
      </c>
      <c r="V499" s="60">
        <f t="shared" si="5"/>
      </c>
      <c r="W499" s="60">
        <f t="shared" si="6"/>
      </c>
      <c r="X499" s="49">
        <f t="shared" si="7"/>
      </c>
      <c r="Y499" s="2">
        <f t="shared" si="8"/>
      </c>
      <c r="Z499" s="2">
        <f t="shared" si="9"/>
        <v>0</v>
      </c>
      <c r="AA499" s="2">
        <f t="shared" si="10"/>
        <v>0</v>
      </c>
      <c r="AB499" s="2">
        <f t="shared" si="11"/>
        <v>0</v>
      </c>
      <c r="AC499" s="2">
        <f t="shared" si="12"/>
        <v>0</v>
      </c>
      <c r="AD499" s="2">
        <f t="shared" si="13"/>
        <v>0</v>
      </c>
      <c r="AE499" s="2">
        <f t="shared" si="14"/>
        <v>0</v>
      </c>
      <c r="AF499" s="2">
        <f t="shared" si="15"/>
        <v>0</v>
      </c>
      <c r="AG499" s="2">
        <f t="shared" si="16"/>
        <v>0</v>
      </c>
      <c r="AH499" s="2">
        <f t="shared" si="17"/>
        <v>0</v>
      </c>
      <c r="AI499" s="2">
        <f t="shared" si="18"/>
      </c>
    </row>
    <row r="500">
      <c r="A500" s="43">
        <f t="shared" si="0"/>
      </c>
      <c r="B500" s="54" t="n"/>
      <c r="C500" s="45" t="n"/>
      <c r="D500" s="50" t="n"/>
      <c r="E500" s="55" t="n"/>
      <c r="F500" s="50" t="n"/>
      <c r="G500" s="55" t="n"/>
      <c r="H500" s="50" t="n"/>
      <c r="I500" s="55" t="n"/>
      <c r="J500" s="50" t="n"/>
      <c r="K500" s="55" t="n"/>
      <c r="L500" s="56" t="n"/>
      <c r="M500" s="57" t="n"/>
      <c r="N500" s="57" t="n"/>
      <c r="O500" s="57" t="n"/>
      <c r="P500" s="57" t="n"/>
      <c r="Q500" s="50" t="n"/>
      <c r="R500" s="58">
        <f t="shared" si="1"/>
      </c>
      <c r="S500" s="59">
        <f t="shared" si="2"/>
      </c>
      <c r="T500" s="43">
        <f t="shared" si="3"/>
      </c>
      <c r="U500" s="60">
        <f t="shared" si="4"/>
      </c>
      <c r="V500" s="60">
        <f t="shared" si="5"/>
      </c>
      <c r="W500" s="60">
        <f t="shared" si="6"/>
      </c>
      <c r="X500" s="49">
        <f t="shared" si="7"/>
      </c>
      <c r="Y500" s="2">
        <f t="shared" si="8"/>
      </c>
      <c r="Z500" s="2">
        <f t="shared" si="9"/>
        <v>0</v>
      </c>
      <c r="AA500" s="2">
        <f t="shared" si="10"/>
        <v>0</v>
      </c>
      <c r="AB500" s="2">
        <f t="shared" si="11"/>
        <v>0</v>
      </c>
      <c r="AC500" s="2">
        <f t="shared" si="12"/>
        <v>0</v>
      </c>
      <c r="AD500" s="2">
        <f t="shared" si="13"/>
        <v>0</v>
      </c>
      <c r="AE500" s="2">
        <f t="shared" si="14"/>
        <v>0</v>
      </c>
      <c r="AF500" s="2">
        <f t="shared" si="15"/>
        <v>0</v>
      </c>
      <c r="AG500" s="2">
        <f t="shared" si="16"/>
        <v>0</v>
      </c>
      <c r="AH500" s="2">
        <f t="shared" si="17"/>
        <v>0</v>
      </c>
      <c r="AI500" s="2">
        <f t="shared" si="18"/>
      </c>
    </row>
    <row r="501">
      <c r="A501" s="43">
        <f t="shared" si="0"/>
      </c>
      <c r="B501" s="54" t="n"/>
      <c r="C501" s="45" t="n"/>
      <c r="D501" s="50" t="n"/>
      <c r="E501" s="55" t="n"/>
      <c r="F501" s="50" t="n"/>
      <c r="G501" s="55" t="n"/>
      <c r="H501" s="50" t="n"/>
      <c r="I501" s="55" t="n"/>
      <c r="J501" s="50" t="n"/>
      <c r="K501" s="55" t="n"/>
      <c r="L501" s="56" t="n"/>
      <c r="M501" s="57" t="n"/>
      <c r="N501" s="57" t="n"/>
      <c r="O501" s="57" t="n"/>
      <c r="P501" s="57" t="n"/>
      <c r="Q501" s="50" t="n"/>
      <c r="R501" s="58">
        <f t="shared" si="1"/>
      </c>
      <c r="S501" s="59">
        <f t="shared" si="2"/>
      </c>
      <c r="T501" s="43">
        <f t="shared" si="3"/>
      </c>
      <c r="U501" s="60">
        <f t="shared" si="4"/>
      </c>
      <c r="V501" s="60">
        <f t="shared" si="5"/>
      </c>
      <c r="W501" s="60">
        <f t="shared" si="6"/>
      </c>
      <c r="X501" s="49">
        <f t="shared" si="7"/>
      </c>
      <c r="Y501" s="2">
        <f t="shared" si="8"/>
      </c>
      <c r="Z501" s="2">
        <f t="shared" si="9"/>
        <v>0</v>
      </c>
      <c r="AA501" s="2">
        <f t="shared" si="10"/>
        <v>0</v>
      </c>
      <c r="AB501" s="2">
        <f t="shared" si="11"/>
        <v>0</v>
      </c>
      <c r="AC501" s="2">
        <f t="shared" si="12"/>
        <v>0</v>
      </c>
      <c r="AD501" s="2">
        <f t="shared" si="13"/>
        <v>0</v>
      </c>
      <c r="AE501" s="2">
        <f t="shared" si="14"/>
        <v>0</v>
      </c>
      <c r="AF501" s="2">
        <f t="shared" si="15"/>
        <v>0</v>
      </c>
      <c r="AG501" s="2">
        <f t="shared" si="16"/>
        <v>0</v>
      </c>
      <c r="AH501" s="2">
        <f t="shared" si="17"/>
        <v>0</v>
      </c>
      <c r="AI501" s="2">
        <f t="shared" si="18"/>
      </c>
    </row>
    <row r="502">
      <c r="A502" s="43">
        <f t="shared" si="0"/>
      </c>
      <c r="B502" s="54" t="n"/>
      <c r="C502" s="45" t="n"/>
      <c r="D502" s="50" t="n"/>
      <c r="E502" s="55" t="n"/>
      <c r="F502" s="50" t="n"/>
      <c r="G502" s="55" t="n"/>
      <c r="H502" s="50" t="n"/>
      <c r="I502" s="55" t="n"/>
      <c r="J502" s="50" t="n"/>
      <c r="K502" s="55" t="n"/>
      <c r="L502" s="56" t="n"/>
      <c r="M502" s="57" t="n"/>
      <c r="N502" s="57" t="n"/>
      <c r="O502" s="57" t="n"/>
      <c r="P502" s="57" t="n"/>
      <c r="Q502" s="50" t="n"/>
      <c r="R502" s="58">
        <f t="shared" si="1"/>
      </c>
      <c r="S502" s="59">
        <f t="shared" si="2"/>
      </c>
      <c r="T502" s="43">
        <f t="shared" si="3"/>
      </c>
      <c r="U502" s="60">
        <f t="shared" si="4"/>
      </c>
      <c r="V502" s="60">
        <f t="shared" si="5"/>
      </c>
      <c r="W502" s="60">
        <f t="shared" si="6"/>
      </c>
      <c r="X502" s="49">
        <f t="shared" si="7"/>
      </c>
      <c r="Y502" s="2">
        <f t="shared" si="8"/>
      </c>
      <c r="Z502" s="2">
        <f t="shared" si="9"/>
        <v>0</v>
      </c>
      <c r="AA502" s="2">
        <f t="shared" si="10"/>
        <v>0</v>
      </c>
      <c r="AB502" s="2">
        <f t="shared" si="11"/>
        <v>0</v>
      </c>
      <c r="AC502" s="2">
        <f t="shared" si="12"/>
        <v>0</v>
      </c>
      <c r="AD502" s="2">
        <f t="shared" si="13"/>
        <v>0</v>
      </c>
      <c r="AE502" s="2">
        <f t="shared" si="14"/>
        <v>0</v>
      </c>
      <c r="AF502" s="2">
        <f t="shared" si="15"/>
        <v>0</v>
      </c>
      <c r="AG502" s="2">
        <f t="shared" si="16"/>
        <v>0</v>
      </c>
      <c r="AH502" s="2">
        <f t="shared" si="17"/>
        <v>0</v>
      </c>
      <c r="AI502" s="2">
        <f t="shared" si="18"/>
      </c>
    </row>
    <row r="503">
      <c r="A503" s="43">
        <f t="shared" si="0"/>
      </c>
      <c r="B503" s="54" t="n"/>
      <c r="C503" s="45" t="n"/>
      <c r="D503" s="50" t="n"/>
      <c r="E503" s="55" t="n"/>
      <c r="F503" s="50" t="n"/>
      <c r="G503" s="55" t="n"/>
      <c r="H503" s="50" t="n"/>
      <c r="I503" s="55" t="n"/>
      <c r="J503" s="50" t="n"/>
      <c r="K503" s="55" t="n"/>
      <c r="L503" s="56" t="n"/>
      <c r="M503" s="57" t="n"/>
      <c r="N503" s="57" t="n"/>
      <c r="O503" s="57" t="n"/>
      <c r="P503" s="57" t="n"/>
      <c r="Q503" s="50" t="n"/>
      <c r="R503" s="58">
        <f t="shared" si="1"/>
      </c>
      <c r="S503" s="59">
        <f t="shared" si="2"/>
      </c>
      <c r="T503" s="43">
        <f t="shared" si="3"/>
      </c>
      <c r="U503" s="60">
        <f t="shared" si="4"/>
      </c>
      <c r="V503" s="60">
        <f t="shared" si="5"/>
      </c>
      <c r="W503" s="60">
        <f t="shared" si="6"/>
      </c>
      <c r="X503" s="49">
        <f t="shared" si="7"/>
      </c>
      <c r="Y503" s="2">
        <f t="shared" si="8"/>
      </c>
      <c r="Z503" s="2">
        <f t="shared" si="9"/>
        <v>0</v>
      </c>
      <c r="AA503" s="2">
        <f t="shared" si="10"/>
        <v>0</v>
      </c>
      <c r="AB503" s="2">
        <f t="shared" si="11"/>
        <v>0</v>
      </c>
      <c r="AC503" s="2">
        <f t="shared" si="12"/>
        <v>0</v>
      </c>
      <c r="AD503" s="2">
        <f t="shared" si="13"/>
        <v>0</v>
      </c>
      <c r="AE503" s="2">
        <f t="shared" si="14"/>
        <v>0</v>
      </c>
      <c r="AF503" s="2">
        <f t="shared" si="15"/>
        <v>0</v>
      </c>
      <c r="AG503" s="2">
        <f t="shared" si="16"/>
        <v>0</v>
      </c>
      <c r="AH503" s="2">
        <f t="shared" si="17"/>
        <v>0</v>
      </c>
      <c r="AI503" s="2">
        <f t="shared" si="18"/>
      </c>
    </row>
    <row r="504">
      <c r="A504" s="43">
        <f t="shared" si="0"/>
      </c>
      <c r="B504" s="54" t="n"/>
      <c r="C504" s="45" t="n"/>
      <c r="D504" s="50" t="n"/>
      <c r="E504" s="55" t="n"/>
      <c r="F504" s="50" t="n"/>
      <c r="G504" s="55" t="n"/>
      <c r="H504" s="50" t="n"/>
      <c r="I504" s="55" t="n"/>
      <c r="J504" s="50" t="n"/>
      <c r="K504" s="55" t="n"/>
      <c r="L504" s="56" t="n"/>
      <c r="M504" s="57" t="n"/>
      <c r="N504" s="57" t="n"/>
      <c r="O504" s="57" t="n"/>
      <c r="P504" s="57" t="n"/>
      <c r="Q504" s="50" t="n"/>
      <c r="R504" s="58">
        <f t="shared" si="1"/>
      </c>
      <c r="S504" s="59">
        <f t="shared" si="2"/>
      </c>
      <c r="T504" s="43">
        <f t="shared" si="3"/>
      </c>
      <c r="U504" s="60">
        <f t="shared" si="4"/>
      </c>
      <c r="V504" s="60">
        <f t="shared" si="5"/>
      </c>
      <c r="W504" s="60">
        <f t="shared" si="6"/>
      </c>
      <c r="X504" s="49">
        <f t="shared" si="7"/>
      </c>
      <c r="Y504" s="2">
        <f t="shared" si="8"/>
      </c>
      <c r="Z504" s="2">
        <f t="shared" si="9"/>
        <v>0</v>
      </c>
      <c r="AA504" s="2">
        <f t="shared" si="10"/>
        <v>0</v>
      </c>
      <c r="AB504" s="2">
        <f t="shared" si="11"/>
        <v>0</v>
      </c>
      <c r="AC504" s="2">
        <f t="shared" si="12"/>
        <v>0</v>
      </c>
      <c r="AD504" s="2">
        <f t="shared" si="13"/>
        <v>0</v>
      </c>
      <c r="AE504" s="2">
        <f t="shared" si="14"/>
        <v>0</v>
      </c>
      <c r="AF504" s="2">
        <f t="shared" si="15"/>
        <v>0</v>
      </c>
      <c r="AG504" s="2">
        <f t="shared" si="16"/>
        <v>0</v>
      </c>
      <c r="AH504" s="2">
        <f t="shared" si="17"/>
        <v>0</v>
      </c>
      <c r="AI504" s="2">
        <f t="shared" si="18"/>
      </c>
    </row>
    <row r="505">
      <c r="A505" s="43">
        <f t="shared" si="0"/>
      </c>
      <c r="B505" s="54" t="n"/>
      <c r="C505" s="45" t="n"/>
      <c r="D505" s="50" t="n"/>
      <c r="E505" s="55" t="n"/>
      <c r="F505" s="50" t="n"/>
      <c r="G505" s="55" t="n"/>
      <c r="H505" s="50" t="n"/>
      <c r="I505" s="55" t="n"/>
      <c r="J505" s="50" t="n"/>
      <c r="K505" s="55" t="n"/>
      <c r="L505" s="56" t="n"/>
      <c r="M505" s="57" t="n"/>
      <c r="N505" s="57" t="n"/>
      <c r="O505" s="57" t="n"/>
      <c r="P505" s="57" t="n"/>
      <c r="Q505" s="50" t="n"/>
      <c r="R505" s="58">
        <f t="shared" si="1"/>
      </c>
      <c r="S505" s="59">
        <f t="shared" si="2"/>
      </c>
      <c r="T505" s="43">
        <f t="shared" si="3"/>
      </c>
      <c r="U505" s="60">
        <f t="shared" si="4"/>
      </c>
      <c r="V505" s="60">
        <f t="shared" si="5"/>
      </c>
      <c r="W505" s="60">
        <f t="shared" si="6"/>
      </c>
      <c r="X505" s="49">
        <f t="shared" si="7"/>
      </c>
      <c r="Y505" s="2">
        <f t="shared" si="8"/>
      </c>
      <c r="Z505" s="2">
        <f t="shared" si="9"/>
        <v>0</v>
      </c>
      <c r="AA505" s="2">
        <f t="shared" si="10"/>
        <v>0</v>
      </c>
      <c r="AB505" s="2">
        <f t="shared" si="11"/>
        <v>0</v>
      </c>
      <c r="AC505" s="2">
        <f t="shared" si="12"/>
        <v>0</v>
      </c>
      <c r="AD505" s="2">
        <f t="shared" si="13"/>
        <v>0</v>
      </c>
      <c r="AE505" s="2">
        <f t="shared" si="14"/>
        <v>0</v>
      </c>
      <c r="AF505" s="2">
        <f t="shared" si="15"/>
        <v>0</v>
      </c>
      <c r="AG505" s="2">
        <f t="shared" si="16"/>
        <v>0</v>
      </c>
      <c r="AH505" s="2">
        <f t="shared" si="17"/>
        <v>0</v>
      </c>
      <c r="AI505" s="2">
        <f t="shared" si="18"/>
      </c>
    </row>
    <row r="506">
      <c r="A506" s="43">
        <f t="shared" si="0"/>
      </c>
      <c r="B506" s="54" t="n"/>
      <c r="C506" s="45" t="n"/>
      <c r="D506" s="50" t="n"/>
      <c r="E506" s="55" t="n"/>
      <c r="F506" s="50" t="n"/>
      <c r="G506" s="55" t="n"/>
      <c r="H506" s="50" t="n"/>
      <c r="I506" s="55" t="n"/>
      <c r="J506" s="50" t="n"/>
      <c r="K506" s="55" t="n"/>
      <c r="L506" s="56" t="n"/>
      <c r="M506" s="57" t="n"/>
      <c r="N506" s="57" t="n"/>
      <c r="O506" s="57" t="n"/>
      <c r="P506" s="57" t="n"/>
      <c r="Q506" s="50" t="n"/>
      <c r="R506" s="58">
        <f t="shared" si="1"/>
      </c>
      <c r="S506" s="59">
        <f t="shared" si="2"/>
      </c>
      <c r="T506" s="43">
        <f t="shared" si="3"/>
      </c>
      <c r="U506" s="60">
        <f t="shared" si="4"/>
      </c>
      <c r="V506" s="60">
        <f t="shared" si="5"/>
      </c>
      <c r="W506" s="60">
        <f t="shared" si="6"/>
      </c>
      <c r="X506" s="49">
        <f t="shared" si="7"/>
      </c>
      <c r="Y506" s="2">
        <f t="shared" si="8"/>
      </c>
      <c r="Z506" s="2">
        <f t="shared" si="9"/>
        <v>0</v>
      </c>
      <c r="AA506" s="2">
        <f t="shared" si="10"/>
        <v>0</v>
      </c>
      <c r="AB506" s="2">
        <f t="shared" si="11"/>
        <v>0</v>
      </c>
      <c r="AC506" s="2">
        <f t="shared" si="12"/>
        <v>0</v>
      </c>
      <c r="AD506" s="2">
        <f t="shared" si="13"/>
        <v>0</v>
      </c>
      <c r="AE506" s="2">
        <f t="shared" si="14"/>
        <v>0</v>
      </c>
      <c r="AF506" s="2">
        <f t="shared" si="15"/>
        <v>0</v>
      </c>
      <c r="AG506" s="2">
        <f t="shared" si="16"/>
        <v>0</v>
      </c>
      <c r="AH506" s="2">
        <f t="shared" si="17"/>
        <v>0</v>
      </c>
      <c r="AI506" s="2">
        <f t="shared" si="18"/>
      </c>
    </row>
    <row r="507">
      <c r="A507" s="43">
        <f t="shared" si="0"/>
      </c>
      <c r="B507" s="54" t="n"/>
      <c r="C507" s="45" t="n"/>
      <c r="D507" s="50" t="n"/>
      <c r="E507" s="55" t="n"/>
      <c r="F507" s="50" t="n"/>
      <c r="G507" s="55" t="n"/>
      <c r="H507" s="50" t="n"/>
      <c r="I507" s="55" t="n"/>
      <c r="J507" s="50" t="n"/>
      <c r="K507" s="55" t="n"/>
      <c r="L507" s="56" t="n"/>
      <c r="M507" s="57" t="n"/>
      <c r="N507" s="57" t="n"/>
      <c r="O507" s="57" t="n"/>
      <c r="P507" s="57" t="n"/>
      <c r="Q507" s="50" t="n"/>
      <c r="R507" s="58">
        <f t="shared" si="1"/>
      </c>
      <c r="S507" s="59">
        <f t="shared" si="2"/>
      </c>
      <c r="T507" s="43">
        <f t="shared" si="3"/>
      </c>
      <c r="U507" s="60">
        <f t="shared" si="4"/>
      </c>
      <c r="V507" s="60">
        <f t="shared" si="5"/>
      </c>
      <c r="W507" s="60">
        <f t="shared" si="6"/>
      </c>
      <c r="X507" s="49">
        <f t="shared" si="7"/>
      </c>
      <c r="Y507" s="2">
        <f t="shared" si="8"/>
      </c>
      <c r="Z507" s="2">
        <f t="shared" si="9"/>
        <v>0</v>
      </c>
      <c r="AA507" s="2">
        <f t="shared" si="10"/>
        <v>0</v>
      </c>
      <c r="AB507" s="2">
        <f t="shared" si="11"/>
        <v>0</v>
      </c>
      <c r="AC507" s="2">
        <f t="shared" si="12"/>
        <v>0</v>
      </c>
      <c r="AD507" s="2">
        <f t="shared" si="13"/>
        <v>0</v>
      </c>
      <c r="AE507" s="2">
        <f t="shared" si="14"/>
        <v>0</v>
      </c>
      <c r="AF507" s="2">
        <f t="shared" si="15"/>
        <v>0</v>
      </c>
      <c r="AG507" s="2">
        <f t="shared" si="16"/>
        <v>0</v>
      </c>
      <c r="AH507" s="2">
        <f t="shared" si="17"/>
        <v>0</v>
      </c>
      <c r="AI507" s="2">
        <f t="shared" si="18"/>
      </c>
    </row>
    <row r="508">
      <c r="A508" s="43">
        <f t="shared" si="0"/>
      </c>
      <c r="B508" s="54" t="n"/>
      <c r="C508" s="45" t="n"/>
      <c r="D508" s="50" t="n"/>
      <c r="E508" s="55" t="n"/>
      <c r="F508" s="50" t="n"/>
      <c r="G508" s="55" t="n"/>
      <c r="H508" s="50" t="n"/>
      <c r="I508" s="55" t="n"/>
      <c r="J508" s="50" t="n"/>
      <c r="K508" s="55" t="n"/>
      <c r="L508" s="56" t="n"/>
      <c r="M508" s="57" t="n"/>
      <c r="N508" s="57" t="n"/>
      <c r="O508" s="57" t="n"/>
      <c r="P508" s="57" t="n"/>
      <c r="Q508" s="50" t="n"/>
      <c r="R508" s="58">
        <f t="shared" si="1"/>
      </c>
      <c r="S508" s="59">
        <f t="shared" si="2"/>
      </c>
      <c r="T508" s="43">
        <f t="shared" si="3"/>
      </c>
      <c r="U508" s="60">
        <f t="shared" si="4"/>
      </c>
      <c r="V508" s="60">
        <f t="shared" si="5"/>
      </c>
      <c r="W508" s="60">
        <f t="shared" si="6"/>
      </c>
      <c r="X508" s="49">
        <f t="shared" si="7"/>
      </c>
      <c r="Y508" s="2">
        <f t="shared" si="8"/>
      </c>
      <c r="Z508" s="2">
        <f t="shared" si="9"/>
        <v>0</v>
      </c>
      <c r="AA508" s="2">
        <f t="shared" si="10"/>
        <v>0</v>
      </c>
      <c r="AB508" s="2">
        <f t="shared" si="11"/>
        <v>0</v>
      </c>
      <c r="AC508" s="2">
        <f t="shared" si="12"/>
        <v>0</v>
      </c>
      <c r="AD508" s="2">
        <f t="shared" si="13"/>
        <v>0</v>
      </c>
      <c r="AE508" s="2">
        <f t="shared" si="14"/>
        <v>0</v>
      </c>
      <c r="AF508" s="2">
        <f t="shared" si="15"/>
        <v>0</v>
      </c>
      <c r="AG508" s="2">
        <f t="shared" si="16"/>
        <v>0</v>
      </c>
      <c r="AH508" s="2">
        <f t="shared" si="17"/>
        <v>0</v>
      </c>
      <c r="AI508" s="2">
        <f t="shared" si="18"/>
      </c>
    </row>
    <row r="509">
      <c r="A509" s="43">
        <f t="shared" si="0"/>
      </c>
      <c r="B509" s="54" t="n"/>
      <c r="C509" s="45" t="n"/>
      <c r="D509" s="50" t="n"/>
      <c r="E509" s="55" t="n"/>
      <c r="F509" s="50" t="n"/>
      <c r="G509" s="55" t="n"/>
      <c r="H509" s="50" t="n"/>
      <c r="I509" s="55" t="n"/>
      <c r="J509" s="50" t="n"/>
      <c r="K509" s="55" t="n"/>
      <c r="L509" s="56" t="n"/>
      <c r="M509" s="57" t="n"/>
      <c r="N509" s="57" t="n"/>
      <c r="O509" s="57" t="n"/>
      <c r="P509" s="57" t="n"/>
      <c r="Q509" s="50" t="n"/>
      <c r="R509" s="58">
        <f t="shared" si="1"/>
      </c>
      <c r="S509" s="59">
        <f t="shared" si="2"/>
      </c>
      <c r="T509" s="43">
        <f t="shared" si="3"/>
      </c>
      <c r="U509" s="60">
        <f t="shared" si="4"/>
      </c>
      <c r="V509" s="60">
        <f t="shared" si="5"/>
      </c>
      <c r="W509" s="60">
        <f t="shared" si="6"/>
      </c>
      <c r="X509" s="49">
        <f t="shared" si="7"/>
      </c>
      <c r="Y509" s="2">
        <f t="shared" si="8"/>
      </c>
      <c r="Z509" s="2">
        <f t="shared" si="9"/>
        <v>0</v>
      </c>
      <c r="AA509" s="2">
        <f t="shared" si="10"/>
        <v>0</v>
      </c>
      <c r="AB509" s="2">
        <f t="shared" si="11"/>
        <v>0</v>
      </c>
      <c r="AC509" s="2">
        <f t="shared" si="12"/>
        <v>0</v>
      </c>
      <c r="AD509" s="2">
        <f t="shared" si="13"/>
        <v>0</v>
      </c>
      <c r="AE509" s="2">
        <f t="shared" si="14"/>
        <v>0</v>
      </c>
      <c r="AF509" s="2">
        <f t="shared" si="15"/>
        <v>0</v>
      </c>
      <c r="AG509" s="2">
        <f t="shared" si="16"/>
        <v>0</v>
      </c>
      <c r="AH509" s="2">
        <f t="shared" si="17"/>
        <v>0</v>
      </c>
      <c r="AI509" s="2">
        <f t="shared" si="18"/>
      </c>
    </row>
    <row r="510">
      <c r="A510" s="43">
        <f t="shared" si="0"/>
      </c>
      <c r="B510" s="54" t="n"/>
      <c r="C510" s="45" t="n"/>
      <c r="D510" s="50" t="n"/>
      <c r="E510" s="55" t="n"/>
      <c r="F510" s="50" t="n"/>
      <c r="G510" s="55" t="n"/>
      <c r="H510" s="50" t="n"/>
      <c r="I510" s="55" t="n"/>
      <c r="J510" s="50" t="n"/>
      <c r="K510" s="55" t="n"/>
      <c r="L510" s="56" t="n"/>
      <c r="M510" s="57" t="n"/>
      <c r="N510" s="57" t="n"/>
      <c r="O510" s="57" t="n"/>
      <c r="P510" s="57" t="n"/>
      <c r="Q510" s="50" t="n"/>
      <c r="R510" s="58">
        <f t="shared" si="1"/>
      </c>
      <c r="S510" s="59">
        <f t="shared" si="2"/>
      </c>
      <c r="T510" s="43">
        <f t="shared" si="3"/>
      </c>
      <c r="U510" s="60">
        <f t="shared" si="4"/>
      </c>
      <c r="V510" s="60">
        <f t="shared" si="5"/>
      </c>
      <c r="W510" s="60">
        <f t="shared" si="6"/>
      </c>
      <c r="X510" s="49">
        <f t="shared" si="7"/>
      </c>
      <c r="Y510" s="2">
        <f t="shared" si="8"/>
      </c>
      <c r="Z510" s="2">
        <f t="shared" si="9"/>
        <v>0</v>
      </c>
      <c r="AA510" s="2">
        <f t="shared" si="10"/>
        <v>0</v>
      </c>
      <c r="AB510" s="2">
        <f t="shared" si="11"/>
        <v>0</v>
      </c>
      <c r="AC510" s="2">
        <f t="shared" si="12"/>
        <v>0</v>
      </c>
      <c r="AD510" s="2">
        <f t="shared" si="13"/>
        <v>0</v>
      </c>
      <c r="AE510" s="2">
        <f t="shared" si="14"/>
        <v>0</v>
      </c>
      <c r="AF510" s="2">
        <f t="shared" si="15"/>
        <v>0</v>
      </c>
      <c r="AG510" s="2">
        <f t="shared" si="16"/>
        <v>0</v>
      </c>
      <c r="AH510" s="2">
        <f t="shared" si="17"/>
        <v>0</v>
      </c>
      <c r="AI510" s="2">
        <f t="shared" si="18"/>
      </c>
    </row>
    <row r="511">
      <c r="A511" s="43">
        <f t="shared" si="0"/>
      </c>
      <c r="B511" s="54" t="n"/>
      <c r="C511" s="45" t="n"/>
      <c r="D511" s="50" t="n"/>
      <c r="E511" s="55" t="n"/>
      <c r="F511" s="50" t="n"/>
      <c r="G511" s="55" t="n"/>
      <c r="H511" s="50" t="n"/>
      <c r="I511" s="55" t="n"/>
      <c r="J511" s="50" t="n"/>
      <c r="K511" s="55" t="n"/>
      <c r="L511" s="56" t="n"/>
      <c r="M511" s="57" t="n"/>
      <c r="N511" s="57" t="n"/>
      <c r="O511" s="57" t="n"/>
      <c r="P511" s="57" t="n"/>
      <c r="Q511" s="50" t="n"/>
      <c r="R511" s="58">
        <f t="shared" si="1"/>
      </c>
      <c r="S511" s="59">
        <f t="shared" si="2"/>
      </c>
      <c r="T511" s="43">
        <f t="shared" si="3"/>
      </c>
      <c r="U511" s="60">
        <f t="shared" si="4"/>
      </c>
      <c r="V511" s="60">
        <f t="shared" si="5"/>
      </c>
      <c r="W511" s="60">
        <f t="shared" si="6"/>
      </c>
      <c r="X511" s="49">
        <f t="shared" si="7"/>
      </c>
      <c r="Y511" s="2">
        <f t="shared" si="8"/>
      </c>
      <c r="Z511" s="2">
        <f t="shared" si="9"/>
        <v>0</v>
      </c>
      <c r="AA511" s="2">
        <f t="shared" si="10"/>
        <v>0</v>
      </c>
      <c r="AB511" s="2">
        <f t="shared" si="11"/>
        <v>0</v>
      </c>
      <c r="AC511" s="2">
        <f t="shared" si="12"/>
        <v>0</v>
      </c>
      <c r="AD511" s="2">
        <f t="shared" si="13"/>
        <v>0</v>
      </c>
      <c r="AE511" s="2">
        <f t="shared" si="14"/>
        <v>0</v>
      </c>
      <c r="AF511" s="2">
        <f t="shared" si="15"/>
        <v>0</v>
      </c>
      <c r="AG511" s="2">
        <f t="shared" si="16"/>
        <v>0</v>
      </c>
      <c r="AH511" s="2">
        <f t="shared" si="17"/>
        <v>0</v>
      </c>
      <c r="AI511" s="2">
        <f t="shared" si="18"/>
      </c>
    </row>
    <row r="512">
      <c r="A512" s="43">
        <f t="shared" si="0"/>
      </c>
      <c r="B512" s="54" t="n"/>
      <c r="C512" s="45" t="n"/>
      <c r="D512" s="50" t="n"/>
      <c r="E512" s="55" t="n"/>
      <c r="F512" s="50" t="n"/>
      <c r="G512" s="55" t="n"/>
      <c r="H512" s="50" t="n"/>
      <c r="I512" s="55" t="n"/>
      <c r="J512" s="50" t="n"/>
      <c r="K512" s="55" t="n"/>
      <c r="L512" s="56" t="n"/>
      <c r="M512" s="57" t="n"/>
      <c r="N512" s="57" t="n"/>
      <c r="O512" s="57" t="n"/>
      <c r="P512" s="57" t="n"/>
      <c r="Q512" s="50" t="n"/>
      <c r="R512" s="58">
        <f t="shared" si="1"/>
      </c>
      <c r="S512" s="59">
        <f t="shared" si="2"/>
      </c>
      <c r="T512" s="43">
        <f t="shared" si="3"/>
      </c>
      <c r="U512" s="60">
        <f t="shared" si="4"/>
      </c>
      <c r="V512" s="60">
        <f t="shared" si="5"/>
      </c>
      <c r="W512" s="60">
        <f t="shared" si="6"/>
      </c>
      <c r="X512" s="49">
        <f t="shared" si="7"/>
      </c>
      <c r="Y512" s="2">
        <f t="shared" si="8"/>
      </c>
      <c r="Z512" s="2">
        <f t="shared" si="9"/>
        <v>0</v>
      </c>
      <c r="AA512" s="2">
        <f t="shared" si="10"/>
        <v>0</v>
      </c>
      <c r="AB512" s="2">
        <f t="shared" si="11"/>
        <v>0</v>
      </c>
      <c r="AC512" s="2">
        <f t="shared" si="12"/>
        <v>0</v>
      </c>
      <c r="AD512" s="2">
        <f t="shared" si="13"/>
        <v>0</v>
      </c>
      <c r="AE512" s="2">
        <f t="shared" si="14"/>
        <v>0</v>
      </c>
      <c r="AF512" s="2">
        <f t="shared" si="15"/>
        <v>0</v>
      </c>
      <c r="AG512" s="2">
        <f t="shared" si="16"/>
        <v>0</v>
      </c>
      <c r="AH512" s="2">
        <f t="shared" si="17"/>
        <v>0</v>
      </c>
      <c r="AI512" s="2">
        <f t="shared" si="18"/>
      </c>
    </row>
    <row r="513">
      <c r="A513" s="43">
        <f t="shared" si="0"/>
      </c>
      <c r="B513" s="54" t="n"/>
      <c r="C513" s="45" t="n"/>
      <c r="D513" s="50" t="n"/>
      <c r="E513" s="55" t="n"/>
      <c r="F513" s="50" t="n"/>
      <c r="G513" s="55" t="n"/>
      <c r="H513" s="50" t="n"/>
      <c r="I513" s="55" t="n"/>
      <c r="J513" s="50" t="n"/>
      <c r="K513" s="55" t="n"/>
      <c r="L513" s="56" t="n"/>
      <c r="M513" s="57" t="n"/>
      <c r="N513" s="57" t="n"/>
      <c r="O513" s="57" t="n"/>
      <c r="P513" s="57" t="n"/>
      <c r="Q513" s="50" t="n"/>
      <c r="R513" s="58">
        <f t="shared" si="1"/>
      </c>
      <c r="S513" s="59">
        <f t="shared" si="2"/>
      </c>
      <c r="T513" s="43">
        <f t="shared" si="3"/>
      </c>
      <c r="U513" s="60">
        <f t="shared" si="4"/>
      </c>
      <c r="V513" s="60">
        <f t="shared" si="5"/>
      </c>
      <c r="W513" s="60">
        <f t="shared" si="6"/>
      </c>
      <c r="X513" s="49">
        <f t="shared" si="7"/>
      </c>
      <c r="Y513" s="2">
        <f t="shared" si="8"/>
      </c>
      <c r="Z513" s="2">
        <f t="shared" si="9"/>
        <v>0</v>
      </c>
      <c r="AA513" s="2">
        <f t="shared" si="10"/>
        <v>0</v>
      </c>
      <c r="AB513" s="2">
        <f t="shared" si="11"/>
        <v>0</v>
      </c>
      <c r="AC513" s="2">
        <f t="shared" si="12"/>
        <v>0</v>
      </c>
      <c r="AD513" s="2">
        <f t="shared" si="13"/>
        <v>0</v>
      </c>
      <c r="AE513" s="2">
        <f t="shared" si="14"/>
        <v>0</v>
      </c>
      <c r="AF513" s="2">
        <f t="shared" si="15"/>
        <v>0</v>
      </c>
      <c r="AG513" s="2">
        <f t="shared" si="16"/>
        <v>0</v>
      </c>
      <c r="AH513" s="2">
        <f t="shared" si="17"/>
        <v>0</v>
      </c>
      <c r="AI513" s="2">
        <f t="shared" si="18"/>
      </c>
    </row>
    <row r="514">
      <c r="A514" s="43">
        <f t="shared" si="0"/>
      </c>
      <c r="B514" s="54" t="n"/>
      <c r="C514" s="45" t="n"/>
      <c r="D514" s="50" t="n"/>
      <c r="E514" s="55" t="n"/>
      <c r="F514" s="50" t="n"/>
      <c r="G514" s="55" t="n"/>
      <c r="H514" s="50" t="n"/>
      <c r="I514" s="55" t="n"/>
      <c r="J514" s="50" t="n"/>
      <c r="K514" s="55" t="n"/>
      <c r="L514" s="56" t="n"/>
      <c r="M514" s="57" t="n"/>
      <c r="N514" s="57" t="n"/>
      <c r="O514" s="57" t="n"/>
      <c r="P514" s="57" t="n"/>
      <c r="Q514" s="50" t="n"/>
      <c r="R514" s="58">
        <f t="shared" si="1"/>
      </c>
      <c r="S514" s="59">
        <f t="shared" si="2"/>
      </c>
      <c r="T514" s="43">
        <f t="shared" si="3"/>
      </c>
      <c r="U514" s="60">
        <f t="shared" si="4"/>
      </c>
      <c r="V514" s="60">
        <f t="shared" si="5"/>
      </c>
      <c r="W514" s="60">
        <f t="shared" si="6"/>
      </c>
      <c r="X514" s="49">
        <f t="shared" si="7"/>
      </c>
      <c r="Y514" s="2">
        <f t="shared" si="8"/>
      </c>
      <c r="Z514" s="2">
        <f t="shared" si="9"/>
        <v>0</v>
      </c>
      <c r="AA514" s="2">
        <f t="shared" si="10"/>
        <v>0</v>
      </c>
      <c r="AB514" s="2">
        <f t="shared" si="11"/>
        <v>0</v>
      </c>
      <c r="AC514" s="2">
        <f t="shared" si="12"/>
        <v>0</v>
      </c>
      <c r="AD514" s="2">
        <f t="shared" si="13"/>
        <v>0</v>
      </c>
      <c r="AE514" s="2">
        <f t="shared" si="14"/>
        <v>0</v>
      </c>
      <c r="AF514" s="2">
        <f t="shared" si="15"/>
        <v>0</v>
      </c>
      <c r="AG514" s="2">
        <f t="shared" si="16"/>
        <v>0</v>
      </c>
      <c r="AH514" s="2">
        <f t="shared" si="17"/>
        <v>0</v>
      </c>
      <c r="AI514" s="2">
        <f t="shared" si="18"/>
      </c>
    </row>
    <row r="515">
      <c r="A515" s="43">
        <f t="shared" si="0"/>
      </c>
      <c r="B515" s="54" t="n"/>
      <c r="C515" s="45" t="n"/>
      <c r="D515" s="50" t="n"/>
      <c r="E515" s="55" t="n"/>
      <c r="F515" s="50" t="n"/>
      <c r="G515" s="55" t="n"/>
      <c r="H515" s="50" t="n"/>
      <c r="I515" s="55" t="n"/>
      <c r="J515" s="50" t="n"/>
      <c r="K515" s="55" t="n"/>
      <c r="L515" s="56" t="n"/>
      <c r="M515" s="57" t="n"/>
      <c r="N515" s="57" t="n"/>
      <c r="O515" s="57" t="n"/>
      <c r="P515" s="57" t="n"/>
      <c r="Q515" s="50" t="n"/>
      <c r="R515" s="58">
        <f t="shared" si="1"/>
      </c>
      <c r="S515" s="59">
        <f t="shared" si="2"/>
      </c>
      <c r="T515" s="43">
        <f t="shared" si="3"/>
      </c>
      <c r="U515" s="60">
        <f t="shared" si="4"/>
      </c>
      <c r="V515" s="60">
        <f t="shared" si="5"/>
      </c>
      <c r="W515" s="60">
        <f t="shared" si="6"/>
      </c>
      <c r="X515" s="49">
        <f t="shared" si="7"/>
      </c>
      <c r="Y515" s="2">
        <f t="shared" si="8"/>
      </c>
      <c r="Z515" s="2">
        <f t="shared" si="9"/>
        <v>0</v>
      </c>
      <c r="AA515" s="2">
        <f t="shared" si="10"/>
        <v>0</v>
      </c>
      <c r="AB515" s="2">
        <f t="shared" si="11"/>
        <v>0</v>
      </c>
      <c r="AC515" s="2">
        <f t="shared" si="12"/>
        <v>0</v>
      </c>
      <c r="AD515" s="2">
        <f t="shared" si="13"/>
        <v>0</v>
      </c>
      <c r="AE515" s="2">
        <f t="shared" si="14"/>
        <v>0</v>
      </c>
      <c r="AF515" s="2">
        <f t="shared" si="15"/>
        <v>0</v>
      </c>
      <c r="AG515" s="2">
        <f t="shared" si="16"/>
        <v>0</v>
      </c>
      <c r="AH515" s="2">
        <f t="shared" si="17"/>
        <v>0</v>
      </c>
      <c r="AI515" s="2">
        <f t="shared" si="18"/>
      </c>
    </row>
    <row r="516">
      <c r="A516" s="43">
        <f t="shared" si="0"/>
      </c>
      <c r="B516" s="54" t="n"/>
      <c r="C516" s="45" t="n"/>
      <c r="D516" s="50" t="n"/>
      <c r="E516" s="55" t="n"/>
      <c r="F516" s="50" t="n"/>
      <c r="G516" s="55" t="n"/>
      <c r="H516" s="50" t="n"/>
      <c r="I516" s="55" t="n"/>
      <c r="J516" s="50" t="n"/>
      <c r="K516" s="55" t="n"/>
      <c r="L516" s="56" t="n"/>
      <c r="M516" s="57" t="n"/>
      <c r="N516" s="57" t="n"/>
      <c r="O516" s="57" t="n"/>
      <c r="P516" s="57" t="n"/>
      <c r="Q516" s="50" t="n"/>
      <c r="R516" s="58">
        <f t="shared" si="1"/>
      </c>
      <c r="S516" s="59">
        <f t="shared" si="2"/>
      </c>
      <c r="T516" s="43">
        <f t="shared" si="3"/>
      </c>
      <c r="U516" s="60">
        <f t="shared" si="4"/>
      </c>
      <c r="V516" s="60">
        <f t="shared" si="5"/>
      </c>
      <c r="W516" s="60">
        <f t="shared" si="6"/>
      </c>
      <c r="X516" s="49">
        <f t="shared" si="7"/>
      </c>
      <c r="Y516" s="2">
        <f t="shared" si="8"/>
      </c>
      <c r="Z516" s="2">
        <f t="shared" si="9"/>
        <v>0</v>
      </c>
      <c r="AA516" s="2">
        <f t="shared" si="10"/>
        <v>0</v>
      </c>
      <c r="AB516" s="2">
        <f t="shared" si="11"/>
        <v>0</v>
      </c>
      <c r="AC516" s="2">
        <f t="shared" si="12"/>
        <v>0</v>
      </c>
      <c r="AD516" s="2">
        <f t="shared" si="13"/>
        <v>0</v>
      </c>
      <c r="AE516" s="2">
        <f t="shared" si="14"/>
        <v>0</v>
      </c>
      <c r="AF516" s="2">
        <f t="shared" si="15"/>
        <v>0</v>
      </c>
      <c r="AG516" s="2">
        <f t="shared" si="16"/>
        <v>0</v>
      </c>
      <c r="AH516" s="2">
        <f t="shared" si="17"/>
        <v>0</v>
      </c>
      <c r="AI516" s="2">
        <f t="shared" si="18"/>
      </c>
    </row>
    <row r="517">
      <c r="A517" s="43">
        <f t="shared" si="0"/>
      </c>
      <c r="B517" s="54" t="n"/>
      <c r="C517" s="45" t="n"/>
      <c r="D517" s="50" t="n"/>
      <c r="E517" s="55" t="n"/>
      <c r="F517" s="50" t="n"/>
      <c r="G517" s="55" t="n"/>
      <c r="H517" s="50" t="n"/>
      <c r="I517" s="55" t="n"/>
      <c r="J517" s="50" t="n"/>
      <c r="K517" s="55" t="n"/>
      <c r="L517" s="56" t="n"/>
      <c r="M517" s="57" t="n"/>
      <c r="N517" s="57" t="n"/>
      <c r="O517" s="57" t="n"/>
      <c r="P517" s="57" t="n"/>
      <c r="Q517" s="50" t="n"/>
      <c r="R517" s="58">
        <f t="shared" si="1"/>
      </c>
      <c r="S517" s="59">
        <f t="shared" si="2"/>
      </c>
      <c r="T517" s="43">
        <f t="shared" si="3"/>
      </c>
      <c r="U517" s="60">
        <f t="shared" si="4"/>
      </c>
      <c r="V517" s="60">
        <f t="shared" si="5"/>
      </c>
      <c r="W517" s="60">
        <f t="shared" si="6"/>
      </c>
      <c r="X517" s="49">
        <f t="shared" si="7"/>
      </c>
      <c r="Y517" s="2">
        <f t="shared" si="8"/>
      </c>
      <c r="Z517" s="2">
        <f t="shared" si="9"/>
        <v>0</v>
      </c>
      <c r="AA517" s="2">
        <f t="shared" si="10"/>
        <v>0</v>
      </c>
      <c r="AB517" s="2">
        <f t="shared" si="11"/>
        <v>0</v>
      </c>
      <c r="AC517" s="2">
        <f t="shared" si="12"/>
        <v>0</v>
      </c>
      <c r="AD517" s="2">
        <f t="shared" si="13"/>
        <v>0</v>
      </c>
      <c r="AE517" s="2">
        <f t="shared" si="14"/>
        <v>0</v>
      </c>
      <c r="AF517" s="2">
        <f t="shared" si="15"/>
        <v>0</v>
      </c>
      <c r="AG517" s="2">
        <f t="shared" si="16"/>
        <v>0</v>
      </c>
      <c r="AH517" s="2">
        <f t="shared" si="17"/>
        <v>0</v>
      </c>
      <c r="AI517" s="2">
        <f t="shared" si="18"/>
      </c>
    </row>
    <row r="518">
      <c r="A518" s="43">
        <f t="shared" si="0"/>
      </c>
      <c r="B518" s="54" t="n"/>
      <c r="C518" s="45" t="n"/>
      <c r="D518" s="50" t="n"/>
      <c r="E518" s="55" t="n"/>
      <c r="F518" s="50" t="n"/>
      <c r="G518" s="55" t="n"/>
      <c r="H518" s="50" t="n"/>
      <c r="I518" s="55" t="n"/>
      <c r="J518" s="50" t="n"/>
      <c r="K518" s="55" t="n"/>
      <c r="L518" s="56" t="n"/>
      <c r="M518" s="57" t="n"/>
      <c r="N518" s="57" t="n"/>
      <c r="O518" s="57" t="n"/>
      <c r="P518" s="57" t="n"/>
      <c r="Q518" s="50" t="n"/>
      <c r="R518" s="58">
        <f t="shared" si="1"/>
      </c>
      <c r="S518" s="59">
        <f t="shared" si="2"/>
      </c>
      <c r="T518" s="43">
        <f t="shared" si="3"/>
      </c>
      <c r="U518" s="60">
        <f t="shared" si="4"/>
      </c>
      <c r="V518" s="60">
        <f t="shared" si="5"/>
      </c>
      <c r="W518" s="60">
        <f t="shared" si="6"/>
      </c>
      <c r="X518" s="49">
        <f t="shared" si="7"/>
      </c>
      <c r="Y518" s="2">
        <f t="shared" si="8"/>
      </c>
      <c r="Z518" s="2">
        <f t="shared" si="9"/>
        <v>0</v>
      </c>
      <c r="AA518" s="2">
        <f t="shared" si="10"/>
        <v>0</v>
      </c>
      <c r="AB518" s="2">
        <f t="shared" si="11"/>
        <v>0</v>
      </c>
      <c r="AC518" s="2">
        <f t="shared" si="12"/>
        <v>0</v>
      </c>
      <c r="AD518" s="2">
        <f t="shared" si="13"/>
        <v>0</v>
      </c>
      <c r="AE518" s="2">
        <f t="shared" si="14"/>
        <v>0</v>
      </c>
      <c r="AF518" s="2">
        <f t="shared" si="15"/>
        <v>0</v>
      </c>
      <c r="AG518" s="2">
        <f t="shared" si="16"/>
        <v>0</v>
      </c>
      <c r="AH518" s="2">
        <f t="shared" si="17"/>
        <v>0</v>
      </c>
      <c r="AI518" s="2">
        <f t="shared" si="18"/>
      </c>
    </row>
    <row r="519">
      <c r="A519" s="43">
        <f t="shared" si="0"/>
      </c>
      <c r="B519" s="54" t="n"/>
      <c r="C519" s="45" t="n"/>
      <c r="D519" s="50" t="n"/>
      <c r="E519" s="55" t="n"/>
      <c r="F519" s="50" t="n"/>
      <c r="G519" s="55" t="n"/>
      <c r="H519" s="50" t="n"/>
      <c r="I519" s="55" t="n"/>
      <c r="J519" s="50" t="n"/>
      <c r="K519" s="55" t="n"/>
      <c r="L519" s="56" t="n"/>
      <c r="M519" s="57" t="n"/>
      <c r="N519" s="57" t="n"/>
      <c r="O519" s="57" t="n"/>
      <c r="P519" s="57" t="n"/>
      <c r="Q519" s="50" t="n"/>
      <c r="R519" s="58">
        <f t="shared" si="1"/>
      </c>
      <c r="S519" s="59">
        <f t="shared" si="2"/>
      </c>
      <c r="T519" s="43">
        <f t="shared" si="3"/>
      </c>
      <c r="U519" s="60">
        <f t="shared" si="4"/>
      </c>
      <c r="V519" s="60">
        <f t="shared" si="5"/>
      </c>
      <c r="W519" s="60">
        <f t="shared" si="6"/>
      </c>
      <c r="X519" s="49">
        <f t="shared" si="7"/>
      </c>
      <c r="Y519" s="2">
        <f t="shared" si="8"/>
      </c>
      <c r="Z519" s="2">
        <f t="shared" si="9"/>
        <v>0</v>
      </c>
      <c r="AA519" s="2">
        <f t="shared" si="10"/>
        <v>0</v>
      </c>
      <c r="AB519" s="2">
        <f t="shared" si="11"/>
        <v>0</v>
      </c>
      <c r="AC519" s="2">
        <f t="shared" si="12"/>
        <v>0</v>
      </c>
      <c r="AD519" s="2">
        <f t="shared" si="13"/>
        <v>0</v>
      </c>
      <c r="AE519" s="2">
        <f t="shared" si="14"/>
        <v>0</v>
      </c>
      <c r="AF519" s="2">
        <f t="shared" si="15"/>
        <v>0</v>
      </c>
      <c r="AG519" s="2">
        <f t="shared" si="16"/>
        <v>0</v>
      </c>
      <c r="AH519" s="2">
        <f t="shared" si="17"/>
        <v>0</v>
      </c>
      <c r="AI519" s="2">
        <f t="shared" si="18"/>
      </c>
    </row>
    <row r="520">
      <c r="A520" s="43">
        <f t="shared" si="0"/>
      </c>
      <c r="B520" s="54" t="n"/>
      <c r="C520" s="45" t="n"/>
      <c r="D520" s="50" t="n"/>
      <c r="E520" s="55" t="n"/>
      <c r="F520" s="50" t="n"/>
      <c r="G520" s="55" t="n"/>
      <c r="H520" s="50" t="n"/>
      <c r="I520" s="55" t="n"/>
      <c r="J520" s="50" t="n"/>
      <c r="K520" s="55" t="n"/>
      <c r="L520" s="56" t="n"/>
      <c r="M520" s="57" t="n"/>
      <c r="N520" s="57" t="n"/>
      <c r="O520" s="57" t="n"/>
      <c r="P520" s="57" t="n"/>
      <c r="Q520" s="50" t="n"/>
      <c r="R520" s="58">
        <f t="shared" si="1"/>
      </c>
      <c r="S520" s="59">
        <f t="shared" si="2"/>
      </c>
      <c r="T520" s="43">
        <f t="shared" si="3"/>
      </c>
      <c r="U520" s="60">
        <f t="shared" si="4"/>
      </c>
      <c r="V520" s="60">
        <f t="shared" si="5"/>
      </c>
      <c r="W520" s="60">
        <f t="shared" si="6"/>
      </c>
      <c r="X520" s="49">
        <f t="shared" si="7"/>
      </c>
      <c r="Y520" s="2">
        <f t="shared" si="8"/>
      </c>
      <c r="Z520" s="2">
        <f t="shared" si="9"/>
        <v>0</v>
      </c>
      <c r="AA520" s="2">
        <f t="shared" si="10"/>
        <v>0</v>
      </c>
      <c r="AB520" s="2">
        <f t="shared" si="11"/>
        <v>0</v>
      </c>
      <c r="AC520" s="2">
        <f t="shared" si="12"/>
        <v>0</v>
      </c>
      <c r="AD520" s="2">
        <f t="shared" si="13"/>
        <v>0</v>
      </c>
      <c r="AE520" s="2">
        <f t="shared" si="14"/>
        <v>0</v>
      </c>
      <c r="AF520" s="2">
        <f t="shared" si="15"/>
        <v>0</v>
      </c>
      <c r="AG520" s="2">
        <f t="shared" si="16"/>
        <v>0</v>
      </c>
      <c r="AH520" s="2">
        <f t="shared" si="17"/>
        <v>0</v>
      </c>
      <c r="AI520" s="2">
        <f t="shared" si="18"/>
      </c>
    </row>
    <row r="521">
      <c r="A521" s="43">
        <f t="shared" si="0"/>
      </c>
      <c r="B521" s="54" t="n"/>
      <c r="C521" s="45" t="n"/>
      <c r="D521" s="50" t="n"/>
      <c r="E521" s="55" t="n"/>
      <c r="F521" s="50" t="n"/>
      <c r="G521" s="55" t="n"/>
      <c r="H521" s="50" t="n"/>
      <c r="I521" s="55" t="n"/>
      <c r="J521" s="50" t="n"/>
      <c r="K521" s="55" t="n"/>
      <c r="L521" s="56" t="n"/>
      <c r="M521" s="57" t="n"/>
      <c r="N521" s="57" t="n"/>
      <c r="O521" s="57" t="n"/>
      <c r="P521" s="57" t="n"/>
      <c r="Q521" s="50" t="n"/>
      <c r="R521" s="58">
        <f t="shared" si="1"/>
      </c>
      <c r="S521" s="59">
        <f t="shared" si="2"/>
      </c>
      <c r="T521" s="43">
        <f t="shared" si="3"/>
      </c>
      <c r="U521" s="60">
        <f t="shared" si="4"/>
      </c>
      <c r="V521" s="60">
        <f t="shared" si="5"/>
      </c>
      <c r="W521" s="60">
        <f t="shared" si="6"/>
      </c>
      <c r="X521" s="49">
        <f t="shared" si="7"/>
      </c>
      <c r="Y521" s="2">
        <f t="shared" si="8"/>
      </c>
      <c r="Z521" s="2">
        <f t="shared" si="9"/>
        <v>0</v>
      </c>
      <c r="AA521" s="2">
        <f t="shared" si="10"/>
        <v>0</v>
      </c>
      <c r="AB521" s="2">
        <f t="shared" si="11"/>
        <v>0</v>
      </c>
      <c r="AC521" s="2">
        <f t="shared" si="12"/>
        <v>0</v>
      </c>
      <c r="AD521" s="2">
        <f t="shared" si="13"/>
        <v>0</v>
      </c>
      <c r="AE521" s="2">
        <f t="shared" si="14"/>
        <v>0</v>
      </c>
      <c r="AF521" s="2">
        <f t="shared" si="15"/>
        <v>0</v>
      </c>
      <c r="AG521" s="2">
        <f t="shared" si="16"/>
        <v>0</v>
      </c>
      <c r="AH521" s="2">
        <f t="shared" si="17"/>
        <v>0</v>
      </c>
      <c r="AI521" s="2">
        <f t="shared" si="18"/>
      </c>
    </row>
    <row r="522">
      <c r="A522" s="43">
        <f t="shared" si="0"/>
      </c>
      <c r="B522" s="54" t="n"/>
      <c r="C522" s="45" t="n"/>
      <c r="D522" s="50" t="n"/>
      <c r="E522" s="55" t="n"/>
      <c r="F522" s="50" t="n"/>
      <c r="G522" s="55" t="n"/>
      <c r="H522" s="50" t="n"/>
      <c r="I522" s="55" t="n"/>
      <c r="J522" s="50" t="n"/>
      <c r="K522" s="55" t="n"/>
      <c r="L522" s="56" t="n"/>
      <c r="M522" s="57" t="n"/>
      <c r="N522" s="57" t="n"/>
      <c r="O522" s="57" t="n"/>
      <c r="P522" s="57" t="n"/>
      <c r="Q522" s="50" t="n"/>
      <c r="R522" s="58">
        <f t="shared" si="1"/>
      </c>
      <c r="S522" s="59">
        <f t="shared" si="2"/>
      </c>
      <c r="T522" s="43">
        <f t="shared" si="3"/>
      </c>
      <c r="U522" s="60">
        <f t="shared" si="4"/>
      </c>
      <c r="V522" s="60">
        <f t="shared" si="5"/>
      </c>
      <c r="W522" s="60">
        <f t="shared" si="6"/>
      </c>
      <c r="X522" s="49">
        <f t="shared" si="7"/>
      </c>
      <c r="Y522" s="2">
        <f t="shared" si="8"/>
      </c>
      <c r="Z522" s="2">
        <f t="shared" si="9"/>
        <v>0</v>
      </c>
      <c r="AA522" s="2">
        <f t="shared" si="10"/>
        <v>0</v>
      </c>
      <c r="AB522" s="2">
        <f t="shared" si="11"/>
        <v>0</v>
      </c>
      <c r="AC522" s="2">
        <f t="shared" si="12"/>
        <v>0</v>
      </c>
      <c r="AD522" s="2">
        <f t="shared" si="13"/>
        <v>0</v>
      </c>
      <c r="AE522" s="2">
        <f t="shared" si="14"/>
        <v>0</v>
      </c>
      <c r="AF522" s="2">
        <f t="shared" si="15"/>
        <v>0</v>
      </c>
      <c r="AG522" s="2">
        <f t="shared" si="16"/>
        <v>0</v>
      </c>
      <c r="AH522" s="2">
        <f t="shared" si="17"/>
        <v>0</v>
      </c>
      <c r="AI522" s="2">
        <f t="shared" si="18"/>
      </c>
    </row>
    <row r="523">
      <c r="A523" s="43">
        <f t="shared" si="0"/>
      </c>
      <c r="B523" s="54" t="n"/>
      <c r="C523" s="45" t="n"/>
      <c r="D523" s="50" t="n"/>
      <c r="E523" s="55" t="n"/>
      <c r="F523" s="50" t="n"/>
      <c r="G523" s="55" t="n"/>
      <c r="H523" s="50" t="n"/>
      <c r="I523" s="55" t="n"/>
      <c r="J523" s="50" t="n"/>
      <c r="K523" s="55" t="n"/>
      <c r="L523" s="56" t="n"/>
      <c r="M523" s="57" t="n"/>
      <c r="N523" s="57" t="n"/>
      <c r="O523" s="57" t="n"/>
      <c r="P523" s="57" t="n"/>
      <c r="Q523" s="50" t="n"/>
      <c r="R523" s="58">
        <f t="shared" si="1"/>
      </c>
      <c r="S523" s="59">
        <f t="shared" si="2"/>
      </c>
      <c r="T523" s="43">
        <f t="shared" si="3"/>
      </c>
      <c r="U523" s="60">
        <f t="shared" si="4"/>
      </c>
      <c r="V523" s="60">
        <f t="shared" si="5"/>
      </c>
      <c r="W523" s="60">
        <f t="shared" si="6"/>
      </c>
      <c r="X523" s="49">
        <f t="shared" si="7"/>
      </c>
      <c r="Y523" s="2">
        <f t="shared" si="8"/>
      </c>
      <c r="Z523" s="2">
        <f t="shared" si="9"/>
        <v>0</v>
      </c>
      <c r="AA523" s="2">
        <f t="shared" si="10"/>
        <v>0</v>
      </c>
      <c r="AB523" s="2">
        <f t="shared" si="11"/>
        <v>0</v>
      </c>
      <c r="AC523" s="2">
        <f t="shared" si="12"/>
        <v>0</v>
      </c>
      <c r="AD523" s="2">
        <f t="shared" si="13"/>
        <v>0</v>
      </c>
      <c r="AE523" s="2">
        <f t="shared" si="14"/>
        <v>0</v>
      </c>
      <c r="AF523" s="2">
        <f t="shared" si="15"/>
        <v>0</v>
      </c>
      <c r="AG523" s="2">
        <f t="shared" si="16"/>
        <v>0</v>
      </c>
      <c r="AH523" s="2">
        <f t="shared" si="17"/>
        <v>0</v>
      </c>
      <c r="AI523" s="2">
        <f t="shared" si="18"/>
      </c>
    </row>
    <row r="524">
      <c r="A524" s="43">
        <f t="shared" si="0"/>
      </c>
      <c r="B524" s="54" t="n"/>
      <c r="C524" s="45" t="n"/>
      <c r="D524" s="50" t="n"/>
      <c r="E524" s="55" t="n"/>
      <c r="F524" s="50" t="n"/>
      <c r="G524" s="55" t="n"/>
      <c r="H524" s="50" t="n"/>
      <c r="I524" s="55" t="n"/>
      <c r="J524" s="50" t="n"/>
      <c r="K524" s="55" t="n"/>
      <c r="L524" s="56" t="n"/>
      <c r="M524" s="57" t="n"/>
      <c r="N524" s="57" t="n"/>
      <c r="O524" s="57" t="n"/>
      <c r="P524" s="57" t="n"/>
      <c r="Q524" s="50" t="n"/>
      <c r="R524" s="58">
        <f t="shared" si="1"/>
      </c>
      <c r="S524" s="59">
        <f t="shared" si="2"/>
      </c>
      <c r="T524" s="43">
        <f t="shared" si="3"/>
      </c>
      <c r="U524" s="60">
        <f t="shared" si="4"/>
      </c>
      <c r="V524" s="60">
        <f t="shared" si="5"/>
      </c>
      <c r="W524" s="60">
        <f t="shared" si="6"/>
      </c>
      <c r="X524" s="49">
        <f t="shared" si="7"/>
      </c>
      <c r="Y524" s="2">
        <f t="shared" si="8"/>
      </c>
      <c r="Z524" s="2">
        <f t="shared" si="9"/>
        <v>0</v>
      </c>
      <c r="AA524" s="2">
        <f t="shared" si="10"/>
        <v>0</v>
      </c>
      <c r="AB524" s="2">
        <f t="shared" si="11"/>
        <v>0</v>
      </c>
      <c r="AC524" s="2">
        <f t="shared" si="12"/>
        <v>0</v>
      </c>
      <c r="AD524" s="2">
        <f t="shared" si="13"/>
        <v>0</v>
      </c>
      <c r="AE524" s="2">
        <f t="shared" si="14"/>
        <v>0</v>
      </c>
      <c r="AF524" s="2">
        <f t="shared" si="15"/>
        <v>0</v>
      </c>
      <c r="AG524" s="2">
        <f t="shared" si="16"/>
        <v>0</v>
      </c>
      <c r="AH524" s="2">
        <f t="shared" si="17"/>
        <v>0</v>
      </c>
      <c r="AI524" s="2">
        <f t="shared" si="18"/>
      </c>
    </row>
    <row r="525">
      <c r="A525" s="43">
        <f t="shared" si="0"/>
      </c>
      <c r="B525" s="54" t="n"/>
      <c r="C525" s="45" t="n"/>
      <c r="D525" s="50" t="n"/>
      <c r="E525" s="55" t="n"/>
      <c r="F525" s="50" t="n"/>
      <c r="G525" s="55" t="n"/>
      <c r="H525" s="50" t="n"/>
      <c r="I525" s="55" t="n"/>
      <c r="J525" s="50" t="n"/>
      <c r="K525" s="55" t="n"/>
      <c r="L525" s="56" t="n"/>
      <c r="M525" s="57" t="n"/>
      <c r="N525" s="57" t="n"/>
      <c r="O525" s="57" t="n"/>
      <c r="P525" s="57" t="n"/>
      <c r="Q525" s="50" t="n"/>
      <c r="R525" s="58">
        <f t="shared" si="1"/>
      </c>
      <c r="S525" s="59">
        <f t="shared" si="2"/>
      </c>
      <c r="T525" s="43">
        <f t="shared" si="3"/>
      </c>
      <c r="U525" s="60">
        <f t="shared" si="4"/>
      </c>
      <c r="V525" s="60">
        <f t="shared" si="5"/>
      </c>
      <c r="W525" s="60">
        <f t="shared" si="6"/>
      </c>
      <c r="X525" s="49">
        <f t="shared" si="7"/>
      </c>
      <c r="Y525" s="2">
        <f t="shared" si="8"/>
      </c>
      <c r="Z525" s="2">
        <f t="shared" si="9"/>
        <v>0</v>
      </c>
      <c r="AA525" s="2">
        <f t="shared" si="10"/>
        <v>0</v>
      </c>
      <c r="AB525" s="2">
        <f t="shared" si="11"/>
        <v>0</v>
      </c>
      <c r="AC525" s="2">
        <f t="shared" si="12"/>
        <v>0</v>
      </c>
      <c r="AD525" s="2">
        <f t="shared" si="13"/>
        <v>0</v>
      </c>
      <c r="AE525" s="2">
        <f t="shared" si="14"/>
        <v>0</v>
      </c>
      <c r="AF525" s="2">
        <f t="shared" si="15"/>
        <v>0</v>
      </c>
      <c r="AG525" s="2">
        <f t="shared" si="16"/>
        <v>0</v>
      </c>
      <c r="AH525" s="2">
        <f t="shared" si="17"/>
        <v>0</v>
      </c>
      <c r="AI525" s="2">
        <f t="shared" si="18"/>
      </c>
    </row>
    <row r="526">
      <c r="A526" s="43">
        <f t="shared" si="0"/>
      </c>
      <c r="B526" s="54" t="n"/>
      <c r="C526" s="45" t="n"/>
      <c r="D526" s="50" t="n"/>
      <c r="E526" s="55" t="n"/>
      <c r="F526" s="50" t="n"/>
      <c r="G526" s="55" t="n"/>
      <c r="H526" s="50" t="n"/>
      <c r="I526" s="55" t="n"/>
      <c r="J526" s="50" t="n"/>
      <c r="K526" s="55" t="n"/>
      <c r="L526" s="56" t="n"/>
      <c r="M526" s="57" t="n"/>
      <c r="N526" s="57" t="n"/>
      <c r="O526" s="57" t="n"/>
      <c r="P526" s="57" t="n"/>
      <c r="Q526" s="50" t="n"/>
      <c r="R526" s="58">
        <f t="shared" si="1"/>
      </c>
      <c r="S526" s="59">
        <f t="shared" si="2"/>
      </c>
      <c r="T526" s="43">
        <f t="shared" si="3"/>
      </c>
      <c r="U526" s="60">
        <f t="shared" si="4"/>
      </c>
      <c r="V526" s="60">
        <f t="shared" si="5"/>
      </c>
      <c r="W526" s="60">
        <f t="shared" si="6"/>
      </c>
      <c r="X526" s="49">
        <f t="shared" si="7"/>
      </c>
      <c r="Y526" s="2">
        <f t="shared" si="8"/>
      </c>
      <c r="Z526" s="2">
        <f t="shared" si="9"/>
        <v>0</v>
      </c>
      <c r="AA526" s="2">
        <f t="shared" si="10"/>
        <v>0</v>
      </c>
      <c r="AB526" s="2">
        <f t="shared" si="11"/>
        <v>0</v>
      </c>
      <c r="AC526" s="2">
        <f t="shared" si="12"/>
        <v>0</v>
      </c>
      <c r="AD526" s="2">
        <f t="shared" si="13"/>
        <v>0</v>
      </c>
      <c r="AE526" s="2">
        <f t="shared" si="14"/>
        <v>0</v>
      </c>
      <c r="AF526" s="2">
        <f t="shared" si="15"/>
        <v>0</v>
      </c>
      <c r="AG526" s="2">
        <f t="shared" si="16"/>
        <v>0</v>
      </c>
      <c r="AH526" s="2">
        <f t="shared" si="17"/>
        <v>0</v>
      </c>
      <c r="AI526" s="2">
        <f t="shared" si="18"/>
      </c>
    </row>
    <row r="527">
      <c r="A527" s="43">
        <f t="shared" si="0"/>
      </c>
      <c r="B527" s="54" t="n"/>
      <c r="C527" s="45" t="n"/>
      <c r="D527" s="50" t="n"/>
      <c r="E527" s="55" t="n"/>
      <c r="F527" s="50" t="n"/>
      <c r="G527" s="55" t="n"/>
      <c r="H527" s="50" t="n"/>
      <c r="I527" s="55" t="n"/>
      <c r="J527" s="50" t="n"/>
      <c r="K527" s="55" t="n"/>
      <c r="L527" s="56" t="n"/>
      <c r="M527" s="57" t="n"/>
      <c r="N527" s="57" t="n"/>
      <c r="O527" s="57" t="n"/>
      <c r="P527" s="57" t="n"/>
      <c r="Q527" s="50" t="n"/>
      <c r="R527" s="58">
        <f t="shared" si="1"/>
      </c>
      <c r="S527" s="59">
        <f t="shared" si="2"/>
      </c>
      <c r="T527" s="43">
        <f t="shared" si="3"/>
      </c>
      <c r="U527" s="60">
        <f t="shared" si="4"/>
      </c>
      <c r="V527" s="60">
        <f t="shared" si="5"/>
      </c>
      <c r="W527" s="60">
        <f t="shared" si="6"/>
      </c>
      <c r="X527" s="49">
        <f t="shared" si="7"/>
      </c>
      <c r="Y527" s="2">
        <f t="shared" si="8"/>
      </c>
      <c r="Z527" s="2">
        <f t="shared" si="9"/>
        <v>0</v>
      </c>
      <c r="AA527" s="2">
        <f t="shared" si="10"/>
        <v>0</v>
      </c>
      <c r="AB527" s="2">
        <f t="shared" si="11"/>
        <v>0</v>
      </c>
      <c r="AC527" s="2">
        <f t="shared" si="12"/>
        <v>0</v>
      </c>
      <c r="AD527" s="2">
        <f t="shared" si="13"/>
        <v>0</v>
      </c>
      <c r="AE527" s="2">
        <f t="shared" si="14"/>
        <v>0</v>
      </c>
      <c r="AF527" s="2">
        <f t="shared" si="15"/>
        <v>0</v>
      </c>
      <c r="AG527" s="2">
        <f t="shared" si="16"/>
        <v>0</v>
      </c>
      <c r="AH527" s="2">
        <f t="shared" si="17"/>
        <v>0</v>
      </c>
      <c r="AI527" s="2">
        <f t="shared" si="18"/>
      </c>
    </row>
    <row r="528">
      <c r="A528" s="43">
        <f t="shared" si="0"/>
      </c>
      <c r="B528" s="54" t="n"/>
      <c r="C528" s="45" t="n"/>
      <c r="D528" s="50" t="n"/>
      <c r="E528" s="55" t="n"/>
      <c r="F528" s="50" t="n"/>
      <c r="G528" s="55" t="n"/>
      <c r="H528" s="50" t="n"/>
      <c r="I528" s="55" t="n"/>
      <c r="J528" s="50" t="n"/>
      <c r="K528" s="55" t="n"/>
      <c r="L528" s="56" t="n"/>
      <c r="M528" s="57" t="n"/>
      <c r="N528" s="57" t="n"/>
      <c r="O528" s="57" t="n"/>
      <c r="P528" s="57" t="n"/>
      <c r="Q528" s="50" t="n"/>
      <c r="R528" s="58">
        <f t="shared" si="1"/>
      </c>
      <c r="S528" s="59">
        <f t="shared" si="2"/>
      </c>
      <c r="T528" s="43">
        <f t="shared" si="3"/>
      </c>
      <c r="U528" s="60">
        <f t="shared" si="4"/>
      </c>
      <c r="V528" s="60">
        <f t="shared" si="5"/>
      </c>
      <c r="W528" s="60">
        <f t="shared" si="6"/>
      </c>
      <c r="X528" s="49">
        <f t="shared" si="7"/>
      </c>
      <c r="Y528" s="2">
        <f t="shared" si="8"/>
      </c>
      <c r="Z528" s="2">
        <f t="shared" si="9"/>
        <v>0</v>
      </c>
      <c r="AA528" s="2">
        <f t="shared" si="10"/>
        <v>0</v>
      </c>
      <c r="AB528" s="2">
        <f t="shared" si="11"/>
        <v>0</v>
      </c>
      <c r="AC528" s="2">
        <f t="shared" si="12"/>
        <v>0</v>
      </c>
      <c r="AD528" s="2">
        <f t="shared" si="13"/>
        <v>0</v>
      </c>
      <c r="AE528" s="2">
        <f t="shared" si="14"/>
        <v>0</v>
      </c>
      <c r="AF528" s="2">
        <f t="shared" si="15"/>
        <v>0</v>
      </c>
      <c r="AG528" s="2">
        <f t="shared" si="16"/>
        <v>0</v>
      </c>
      <c r="AH528" s="2">
        <f t="shared" si="17"/>
        <v>0</v>
      </c>
      <c r="AI528" s="2">
        <f t="shared" si="18"/>
      </c>
    </row>
    <row r="529">
      <c r="A529" s="43">
        <f t="shared" si="0"/>
      </c>
      <c r="B529" s="54" t="n"/>
      <c r="C529" s="45" t="n"/>
      <c r="D529" s="50" t="n"/>
      <c r="E529" s="55" t="n"/>
      <c r="F529" s="50" t="n"/>
      <c r="G529" s="55" t="n"/>
      <c r="H529" s="50" t="n"/>
      <c r="I529" s="55" t="n"/>
      <c r="J529" s="50" t="n"/>
      <c r="K529" s="55" t="n"/>
      <c r="L529" s="56" t="n"/>
      <c r="M529" s="57" t="n"/>
      <c r="N529" s="57" t="n"/>
      <c r="O529" s="57" t="n"/>
      <c r="P529" s="57" t="n"/>
      <c r="Q529" s="50" t="n"/>
      <c r="R529" s="58">
        <f t="shared" si="1"/>
      </c>
      <c r="S529" s="59">
        <f t="shared" si="2"/>
      </c>
      <c r="T529" s="43">
        <f t="shared" si="3"/>
      </c>
      <c r="U529" s="60">
        <f t="shared" si="4"/>
      </c>
      <c r="V529" s="60">
        <f t="shared" si="5"/>
      </c>
      <c r="W529" s="60">
        <f t="shared" si="6"/>
      </c>
      <c r="X529" s="49">
        <f t="shared" si="7"/>
      </c>
      <c r="Y529" s="2">
        <f t="shared" si="8"/>
      </c>
      <c r="Z529" s="2">
        <f t="shared" si="9"/>
        <v>0</v>
      </c>
      <c r="AA529" s="2">
        <f t="shared" si="10"/>
        <v>0</v>
      </c>
      <c r="AB529" s="2">
        <f t="shared" si="11"/>
        <v>0</v>
      </c>
      <c r="AC529" s="2">
        <f t="shared" si="12"/>
        <v>0</v>
      </c>
      <c r="AD529" s="2">
        <f t="shared" si="13"/>
        <v>0</v>
      </c>
      <c r="AE529" s="2">
        <f t="shared" si="14"/>
        <v>0</v>
      </c>
      <c r="AF529" s="2">
        <f t="shared" si="15"/>
        <v>0</v>
      </c>
      <c r="AG529" s="2">
        <f t="shared" si="16"/>
        <v>0</v>
      </c>
      <c r="AH529" s="2">
        <f t="shared" si="17"/>
        <v>0</v>
      </c>
      <c r="AI529" s="2">
        <f t="shared" si="18"/>
      </c>
    </row>
    <row r="530">
      <c r="A530" s="43">
        <f t="shared" si="0"/>
      </c>
      <c r="B530" s="54" t="n"/>
      <c r="C530" s="45" t="n"/>
      <c r="D530" s="50" t="n"/>
      <c r="E530" s="55" t="n"/>
      <c r="F530" s="50" t="n"/>
      <c r="G530" s="55" t="n"/>
      <c r="H530" s="50" t="n"/>
      <c r="I530" s="55" t="n"/>
      <c r="J530" s="50" t="n"/>
      <c r="K530" s="55" t="n"/>
      <c r="L530" s="56" t="n"/>
      <c r="M530" s="57" t="n"/>
      <c r="N530" s="57" t="n"/>
      <c r="O530" s="57" t="n"/>
      <c r="P530" s="57" t="n"/>
      <c r="Q530" s="50" t="n"/>
      <c r="R530" s="58">
        <f t="shared" si="1"/>
      </c>
      <c r="S530" s="59">
        <f t="shared" si="2"/>
      </c>
      <c r="T530" s="43">
        <f t="shared" si="3"/>
      </c>
      <c r="U530" s="60">
        <f t="shared" si="4"/>
      </c>
      <c r="V530" s="60">
        <f t="shared" si="5"/>
      </c>
      <c r="W530" s="60">
        <f t="shared" si="6"/>
      </c>
      <c r="X530" s="49">
        <f t="shared" si="7"/>
      </c>
      <c r="Y530" s="2">
        <f t="shared" si="8"/>
      </c>
      <c r="Z530" s="2">
        <f t="shared" si="9"/>
        <v>0</v>
      </c>
      <c r="AA530" s="2">
        <f t="shared" si="10"/>
        <v>0</v>
      </c>
      <c r="AB530" s="2">
        <f t="shared" si="11"/>
        <v>0</v>
      </c>
      <c r="AC530" s="2">
        <f t="shared" si="12"/>
        <v>0</v>
      </c>
      <c r="AD530" s="2">
        <f t="shared" si="13"/>
        <v>0</v>
      </c>
      <c r="AE530" s="2">
        <f t="shared" si="14"/>
        <v>0</v>
      </c>
      <c r="AF530" s="2">
        <f t="shared" si="15"/>
        <v>0</v>
      </c>
      <c r="AG530" s="2">
        <f t="shared" si="16"/>
        <v>0</v>
      </c>
      <c r="AH530" s="2">
        <f t="shared" si="17"/>
        <v>0</v>
      </c>
      <c r="AI530" s="2">
        <f t="shared" si="18"/>
      </c>
    </row>
    <row r="531">
      <c r="A531" s="43">
        <f t="shared" si="0"/>
      </c>
      <c r="B531" s="54" t="n"/>
      <c r="C531" s="45" t="n"/>
      <c r="D531" s="50" t="n"/>
      <c r="E531" s="55" t="n"/>
      <c r="F531" s="50" t="n"/>
      <c r="G531" s="55" t="n"/>
      <c r="H531" s="50" t="n"/>
      <c r="I531" s="55" t="n"/>
      <c r="J531" s="50" t="n"/>
      <c r="K531" s="55" t="n"/>
      <c r="L531" s="56" t="n"/>
      <c r="M531" s="57" t="n"/>
      <c r="N531" s="57" t="n"/>
      <c r="O531" s="57" t="n"/>
      <c r="P531" s="57" t="n"/>
      <c r="Q531" s="50" t="n"/>
      <c r="R531" s="58">
        <f t="shared" si="1"/>
      </c>
      <c r="S531" s="59">
        <f t="shared" si="2"/>
      </c>
      <c r="T531" s="43">
        <f t="shared" si="3"/>
      </c>
      <c r="U531" s="60">
        <f t="shared" si="4"/>
      </c>
      <c r="V531" s="60">
        <f t="shared" si="5"/>
      </c>
      <c r="W531" s="60">
        <f t="shared" si="6"/>
      </c>
      <c r="X531" s="49">
        <f t="shared" si="7"/>
      </c>
      <c r="Y531" s="2">
        <f t="shared" si="8"/>
      </c>
      <c r="Z531" s="2">
        <f t="shared" si="9"/>
        <v>0</v>
      </c>
      <c r="AA531" s="2">
        <f t="shared" si="10"/>
        <v>0</v>
      </c>
      <c r="AB531" s="2">
        <f t="shared" si="11"/>
        <v>0</v>
      </c>
      <c r="AC531" s="2">
        <f t="shared" si="12"/>
        <v>0</v>
      </c>
      <c r="AD531" s="2">
        <f t="shared" si="13"/>
        <v>0</v>
      </c>
      <c r="AE531" s="2">
        <f t="shared" si="14"/>
        <v>0</v>
      </c>
      <c r="AF531" s="2">
        <f t="shared" si="15"/>
        <v>0</v>
      </c>
      <c r="AG531" s="2">
        <f t="shared" si="16"/>
        <v>0</v>
      </c>
      <c r="AH531" s="2">
        <f t="shared" si="17"/>
        <v>0</v>
      </c>
      <c r="AI531" s="2">
        <f t="shared" si="18"/>
      </c>
    </row>
    <row r="532">
      <c r="A532" s="43">
        <f t="shared" si="0"/>
      </c>
      <c r="B532" s="54" t="n"/>
      <c r="C532" s="45" t="n"/>
      <c r="D532" s="50" t="n"/>
      <c r="E532" s="55" t="n"/>
      <c r="F532" s="50" t="n"/>
      <c r="G532" s="55" t="n"/>
      <c r="H532" s="50" t="n"/>
      <c r="I532" s="55" t="n"/>
      <c r="J532" s="50" t="n"/>
      <c r="K532" s="55" t="n"/>
      <c r="L532" s="56" t="n"/>
      <c r="M532" s="57" t="n"/>
      <c r="N532" s="57" t="n"/>
      <c r="O532" s="57" t="n"/>
      <c r="P532" s="57" t="n"/>
      <c r="Q532" s="50" t="n"/>
      <c r="R532" s="58">
        <f t="shared" si="1"/>
      </c>
      <c r="S532" s="59">
        <f t="shared" si="2"/>
      </c>
      <c r="T532" s="43">
        <f t="shared" si="3"/>
      </c>
      <c r="U532" s="60">
        <f t="shared" si="4"/>
      </c>
      <c r="V532" s="60">
        <f t="shared" si="5"/>
      </c>
      <c r="W532" s="60">
        <f t="shared" si="6"/>
      </c>
      <c r="X532" s="49">
        <f t="shared" si="7"/>
      </c>
      <c r="Y532" s="2">
        <f t="shared" si="8"/>
      </c>
      <c r="Z532" s="2">
        <f t="shared" si="9"/>
        <v>0</v>
      </c>
      <c r="AA532" s="2">
        <f t="shared" si="10"/>
        <v>0</v>
      </c>
      <c r="AB532" s="2">
        <f t="shared" si="11"/>
        <v>0</v>
      </c>
      <c r="AC532" s="2">
        <f t="shared" si="12"/>
        <v>0</v>
      </c>
      <c r="AD532" s="2">
        <f t="shared" si="13"/>
        <v>0</v>
      </c>
      <c r="AE532" s="2">
        <f t="shared" si="14"/>
        <v>0</v>
      </c>
      <c r="AF532" s="2">
        <f t="shared" si="15"/>
        <v>0</v>
      </c>
      <c r="AG532" s="2">
        <f t="shared" si="16"/>
        <v>0</v>
      </c>
      <c r="AH532" s="2">
        <f t="shared" si="17"/>
        <v>0</v>
      </c>
      <c r="AI532" s="2">
        <f t="shared" si="18"/>
      </c>
    </row>
    <row r="533">
      <c r="A533" s="43">
        <f t="shared" si="0"/>
      </c>
      <c r="B533" s="54" t="n"/>
      <c r="C533" s="45" t="n"/>
      <c r="D533" s="50" t="n"/>
      <c r="E533" s="55" t="n"/>
      <c r="F533" s="50" t="n"/>
      <c r="G533" s="55" t="n"/>
      <c r="H533" s="50" t="n"/>
      <c r="I533" s="55" t="n"/>
      <c r="J533" s="50" t="n"/>
      <c r="K533" s="55" t="n"/>
      <c r="L533" s="56" t="n"/>
      <c r="M533" s="57" t="n"/>
      <c r="N533" s="57" t="n"/>
      <c r="O533" s="57" t="n"/>
      <c r="P533" s="57" t="n"/>
      <c r="Q533" s="50" t="n"/>
      <c r="R533" s="58">
        <f t="shared" si="1"/>
      </c>
      <c r="S533" s="59">
        <f t="shared" si="2"/>
      </c>
      <c r="T533" s="43">
        <f t="shared" si="3"/>
      </c>
      <c r="U533" s="60">
        <f t="shared" si="4"/>
      </c>
      <c r="V533" s="60">
        <f t="shared" si="5"/>
      </c>
      <c r="W533" s="60">
        <f t="shared" si="6"/>
      </c>
      <c r="X533" s="49">
        <f t="shared" si="7"/>
      </c>
      <c r="Y533" s="2">
        <f t="shared" si="8"/>
      </c>
      <c r="Z533" s="2">
        <f t="shared" si="9"/>
        <v>0</v>
      </c>
      <c r="AA533" s="2">
        <f t="shared" si="10"/>
        <v>0</v>
      </c>
      <c r="AB533" s="2">
        <f t="shared" si="11"/>
        <v>0</v>
      </c>
      <c r="AC533" s="2">
        <f t="shared" si="12"/>
        <v>0</v>
      </c>
      <c r="AD533" s="2">
        <f t="shared" si="13"/>
        <v>0</v>
      </c>
      <c r="AE533" s="2">
        <f t="shared" si="14"/>
        <v>0</v>
      </c>
      <c r="AF533" s="2">
        <f t="shared" si="15"/>
        <v>0</v>
      </c>
      <c r="AG533" s="2">
        <f t="shared" si="16"/>
        <v>0</v>
      </c>
      <c r="AH533" s="2">
        <f t="shared" si="17"/>
        <v>0</v>
      </c>
      <c r="AI533" s="2">
        <f t="shared" si="18"/>
      </c>
    </row>
    <row r="534">
      <c r="A534" s="43">
        <f t="shared" si="0"/>
      </c>
      <c r="B534" s="54" t="n"/>
      <c r="C534" s="45" t="n"/>
      <c r="D534" s="50" t="n"/>
      <c r="E534" s="55" t="n"/>
      <c r="F534" s="50" t="n"/>
      <c r="G534" s="55" t="n"/>
      <c r="H534" s="50" t="n"/>
      <c r="I534" s="55" t="n"/>
      <c r="J534" s="50" t="n"/>
      <c r="K534" s="55" t="n"/>
      <c r="L534" s="56" t="n"/>
      <c r="M534" s="57" t="n"/>
      <c r="N534" s="57" t="n"/>
      <c r="O534" s="57" t="n"/>
      <c r="P534" s="57" t="n"/>
      <c r="Q534" s="50" t="n"/>
      <c r="R534" s="58">
        <f t="shared" si="1"/>
      </c>
      <c r="S534" s="59">
        <f t="shared" si="2"/>
      </c>
      <c r="T534" s="43">
        <f t="shared" si="3"/>
      </c>
      <c r="U534" s="60">
        <f t="shared" si="4"/>
      </c>
      <c r="V534" s="60">
        <f t="shared" si="5"/>
      </c>
      <c r="W534" s="60">
        <f t="shared" si="6"/>
      </c>
      <c r="X534" s="49">
        <f t="shared" si="7"/>
      </c>
      <c r="Y534" s="2">
        <f t="shared" si="8"/>
      </c>
      <c r="Z534" s="2">
        <f t="shared" si="9"/>
        <v>0</v>
      </c>
      <c r="AA534" s="2">
        <f t="shared" si="10"/>
        <v>0</v>
      </c>
      <c r="AB534" s="2">
        <f t="shared" si="11"/>
        <v>0</v>
      </c>
      <c r="AC534" s="2">
        <f t="shared" si="12"/>
        <v>0</v>
      </c>
      <c r="AD534" s="2">
        <f t="shared" si="13"/>
        <v>0</v>
      </c>
      <c r="AE534" s="2">
        <f t="shared" si="14"/>
        <v>0</v>
      </c>
      <c r="AF534" s="2">
        <f t="shared" si="15"/>
        <v>0</v>
      </c>
      <c r="AG534" s="2">
        <f t="shared" si="16"/>
        <v>0</v>
      </c>
      <c r="AH534" s="2">
        <f t="shared" si="17"/>
        <v>0</v>
      </c>
      <c r="AI534" s="2">
        <f t="shared" si="18"/>
      </c>
    </row>
    <row r="535">
      <c r="A535" s="43">
        <f t="shared" si="0"/>
      </c>
      <c r="B535" s="54" t="n"/>
      <c r="C535" s="45" t="n"/>
      <c r="D535" s="50" t="n"/>
      <c r="E535" s="55" t="n"/>
      <c r="F535" s="50" t="n"/>
      <c r="G535" s="55" t="n"/>
      <c r="H535" s="50" t="n"/>
      <c r="I535" s="55" t="n"/>
      <c r="J535" s="50" t="n"/>
      <c r="K535" s="55" t="n"/>
      <c r="L535" s="56" t="n"/>
      <c r="M535" s="57" t="n"/>
      <c r="N535" s="57" t="n"/>
      <c r="O535" s="57" t="n"/>
      <c r="P535" s="57" t="n"/>
      <c r="Q535" s="50" t="n"/>
      <c r="R535" s="58">
        <f t="shared" si="1"/>
      </c>
      <c r="S535" s="59">
        <f t="shared" si="2"/>
      </c>
      <c r="T535" s="43">
        <f t="shared" si="3"/>
      </c>
      <c r="U535" s="60">
        <f t="shared" si="4"/>
      </c>
      <c r="V535" s="60">
        <f t="shared" si="5"/>
      </c>
      <c r="W535" s="60">
        <f t="shared" si="6"/>
      </c>
      <c r="X535" s="49">
        <f t="shared" si="7"/>
      </c>
      <c r="Y535" s="2">
        <f t="shared" si="8"/>
      </c>
      <c r="Z535" s="2">
        <f t="shared" si="9"/>
        <v>0</v>
      </c>
      <c r="AA535" s="2">
        <f t="shared" si="10"/>
        <v>0</v>
      </c>
      <c r="AB535" s="2">
        <f t="shared" si="11"/>
        <v>0</v>
      </c>
      <c r="AC535" s="2">
        <f t="shared" si="12"/>
        <v>0</v>
      </c>
      <c r="AD535" s="2">
        <f t="shared" si="13"/>
        <v>0</v>
      </c>
      <c r="AE535" s="2">
        <f t="shared" si="14"/>
        <v>0</v>
      </c>
      <c r="AF535" s="2">
        <f t="shared" si="15"/>
        <v>0</v>
      </c>
      <c r="AG535" s="2">
        <f t="shared" si="16"/>
        <v>0</v>
      </c>
      <c r="AH535" s="2">
        <f t="shared" si="17"/>
        <v>0</v>
      </c>
      <c r="AI535" s="2">
        <f t="shared" si="18"/>
      </c>
    </row>
    <row r="536">
      <c r="A536" s="43">
        <f t="shared" si="0"/>
      </c>
      <c r="B536" s="54" t="n"/>
      <c r="C536" s="45" t="n"/>
      <c r="D536" s="50" t="n"/>
      <c r="E536" s="55" t="n"/>
      <c r="F536" s="50" t="n"/>
      <c r="G536" s="55" t="n"/>
      <c r="H536" s="50" t="n"/>
      <c r="I536" s="55" t="n"/>
      <c r="J536" s="50" t="n"/>
      <c r="K536" s="55" t="n"/>
      <c r="L536" s="56" t="n"/>
      <c r="M536" s="57" t="n"/>
      <c r="N536" s="57" t="n"/>
      <c r="O536" s="57" t="n"/>
      <c r="P536" s="57" t="n"/>
      <c r="Q536" s="50" t="n"/>
      <c r="R536" s="58">
        <f t="shared" si="1"/>
      </c>
      <c r="S536" s="59">
        <f t="shared" si="2"/>
      </c>
      <c r="T536" s="43">
        <f t="shared" si="3"/>
      </c>
      <c r="U536" s="60">
        <f t="shared" si="4"/>
      </c>
      <c r="V536" s="60">
        <f t="shared" si="5"/>
      </c>
      <c r="W536" s="60">
        <f t="shared" si="6"/>
      </c>
      <c r="X536" s="49">
        <f t="shared" si="7"/>
      </c>
      <c r="Y536" s="2">
        <f t="shared" si="8"/>
      </c>
      <c r="Z536" s="2">
        <f t="shared" si="9"/>
        <v>0</v>
      </c>
      <c r="AA536" s="2">
        <f t="shared" si="10"/>
        <v>0</v>
      </c>
      <c r="AB536" s="2">
        <f t="shared" si="11"/>
        <v>0</v>
      </c>
      <c r="AC536" s="2">
        <f t="shared" si="12"/>
        <v>0</v>
      </c>
      <c r="AD536" s="2">
        <f t="shared" si="13"/>
        <v>0</v>
      </c>
      <c r="AE536" s="2">
        <f t="shared" si="14"/>
        <v>0</v>
      </c>
      <c r="AF536" s="2">
        <f t="shared" si="15"/>
        <v>0</v>
      </c>
      <c r="AG536" s="2">
        <f t="shared" si="16"/>
        <v>0</v>
      </c>
      <c r="AH536" s="2">
        <f t="shared" si="17"/>
        <v>0</v>
      </c>
      <c r="AI536" s="2">
        <f t="shared" si="18"/>
      </c>
    </row>
    <row r="537">
      <c r="A537" s="43">
        <f t="shared" si="0"/>
      </c>
      <c r="B537" s="54" t="n"/>
      <c r="C537" s="45" t="n"/>
      <c r="D537" s="50" t="n"/>
      <c r="E537" s="55" t="n"/>
      <c r="F537" s="50" t="n"/>
      <c r="G537" s="55" t="n"/>
      <c r="H537" s="50" t="n"/>
      <c r="I537" s="55" t="n"/>
      <c r="J537" s="50" t="n"/>
      <c r="K537" s="55" t="n"/>
      <c r="L537" s="56" t="n"/>
      <c r="M537" s="57" t="n"/>
      <c r="N537" s="57" t="n"/>
      <c r="O537" s="57" t="n"/>
      <c r="P537" s="57" t="n"/>
      <c r="Q537" s="50" t="n"/>
      <c r="R537" s="58">
        <f t="shared" si="1"/>
      </c>
      <c r="S537" s="59">
        <f t="shared" si="2"/>
      </c>
      <c r="T537" s="43">
        <f t="shared" si="3"/>
      </c>
      <c r="U537" s="60">
        <f t="shared" si="4"/>
      </c>
      <c r="V537" s="60">
        <f t="shared" si="5"/>
      </c>
      <c r="W537" s="60">
        <f t="shared" si="6"/>
      </c>
      <c r="X537" s="49">
        <f t="shared" si="7"/>
      </c>
      <c r="Y537" s="2">
        <f t="shared" si="8"/>
      </c>
      <c r="Z537" s="2">
        <f t="shared" si="9"/>
        <v>0</v>
      </c>
      <c r="AA537" s="2">
        <f t="shared" si="10"/>
        <v>0</v>
      </c>
      <c r="AB537" s="2">
        <f t="shared" si="11"/>
        <v>0</v>
      </c>
      <c r="AC537" s="2">
        <f t="shared" si="12"/>
        <v>0</v>
      </c>
      <c r="AD537" s="2">
        <f t="shared" si="13"/>
        <v>0</v>
      </c>
      <c r="AE537" s="2">
        <f t="shared" si="14"/>
        <v>0</v>
      </c>
      <c r="AF537" s="2">
        <f t="shared" si="15"/>
        <v>0</v>
      </c>
      <c r="AG537" s="2">
        <f t="shared" si="16"/>
        <v>0</v>
      </c>
      <c r="AH537" s="2">
        <f t="shared" si="17"/>
        <v>0</v>
      </c>
      <c r="AI537" s="2">
        <f t="shared" si="18"/>
      </c>
    </row>
    <row r="538">
      <c r="A538" s="43">
        <f t="shared" si="0"/>
      </c>
      <c r="B538" s="54" t="n"/>
      <c r="C538" s="45" t="n"/>
      <c r="D538" s="50" t="n"/>
      <c r="E538" s="55" t="n"/>
      <c r="F538" s="50" t="n"/>
      <c r="G538" s="55" t="n"/>
      <c r="H538" s="50" t="n"/>
      <c r="I538" s="55" t="n"/>
      <c r="J538" s="50" t="n"/>
      <c r="K538" s="55" t="n"/>
      <c r="L538" s="56" t="n"/>
      <c r="M538" s="57" t="n"/>
      <c r="N538" s="57" t="n"/>
      <c r="O538" s="57" t="n"/>
      <c r="P538" s="57" t="n"/>
      <c r="Q538" s="50" t="n"/>
      <c r="R538" s="58">
        <f t="shared" si="1"/>
      </c>
      <c r="S538" s="59">
        <f t="shared" si="2"/>
      </c>
      <c r="T538" s="43">
        <f t="shared" si="3"/>
      </c>
      <c r="U538" s="60">
        <f t="shared" si="4"/>
      </c>
      <c r="V538" s="60">
        <f t="shared" si="5"/>
      </c>
      <c r="W538" s="60">
        <f t="shared" si="6"/>
      </c>
      <c r="X538" s="49">
        <f t="shared" si="7"/>
      </c>
      <c r="Y538" s="2">
        <f t="shared" si="8"/>
      </c>
      <c r="Z538" s="2">
        <f t="shared" si="9"/>
        <v>0</v>
      </c>
      <c r="AA538" s="2">
        <f t="shared" si="10"/>
        <v>0</v>
      </c>
      <c r="AB538" s="2">
        <f t="shared" si="11"/>
        <v>0</v>
      </c>
      <c r="AC538" s="2">
        <f t="shared" si="12"/>
        <v>0</v>
      </c>
      <c r="AD538" s="2">
        <f t="shared" si="13"/>
        <v>0</v>
      </c>
      <c r="AE538" s="2">
        <f t="shared" si="14"/>
        <v>0</v>
      </c>
      <c r="AF538" s="2">
        <f t="shared" si="15"/>
        <v>0</v>
      </c>
      <c r="AG538" s="2">
        <f t="shared" si="16"/>
        <v>0</v>
      </c>
      <c r="AH538" s="2">
        <f t="shared" si="17"/>
        <v>0</v>
      </c>
      <c r="AI538" s="2">
        <f t="shared" si="18"/>
      </c>
    </row>
    <row r="539">
      <c r="A539" s="43">
        <f t="shared" si="0"/>
      </c>
      <c r="B539" s="54" t="n"/>
      <c r="C539" s="45" t="n"/>
      <c r="D539" s="50" t="n"/>
      <c r="E539" s="55" t="n"/>
      <c r="F539" s="50" t="n"/>
      <c r="G539" s="55" t="n"/>
      <c r="H539" s="50" t="n"/>
      <c r="I539" s="55" t="n"/>
      <c r="J539" s="50" t="n"/>
      <c r="K539" s="55" t="n"/>
      <c r="L539" s="56" t="n"/>
      <c r="M539" s="57" t="n"/>
      <c r="N539" s="57" t="n"/>
      <c r="O539" s="57" t="n"/>
      <c r="P539" s="57" t="n"/>
      <c r="Q539" s="50" t="n"/>
      <c r="R539" s="58">
        <f t="shared" si="1"/>
      </c>
      <c r="S539" s="59">
        <f t="shared" si="2"/>
      </c>
      <c r="T539" s="43">
        <f t="shared" si="3"/>
      </c>
      <c r="U539" s="60">
        <f t="shared" si="4"/>
      </c>
      <c r="V539" s="60">
        <f t="shared" si="5"/>
      </c>
      <c r="W539" s="60">
        <f t="shared" si="6"/>
      </c>
      <c r="X539" s="49">
        <f t="shared" si="7"/>
      </c>
      <c r="Y539" s="2">
        <f t="shared" si="8"/>
      </c>
      <c r="Z539" s="2">
        <f t="shared" si="9"/>
        <v>0</v>
      </c>
      <c r="AA539" s="2">
        <f t="shared" si="10"/>
        <v>0</v>
      </c>
      <c r="AB539" s="2">
        <f t="shared" si="11"/>
        <v>0</v>
      </c>
      <c r="AC539" s="2">
        <f t="shared" si="12"/>
        <v>0</v>
      </c>
      <c r="AD539" s="2">
        <f t="shared" si="13"/>
        <v>0</v>
      </c>
      <c r="AE539" s="2">
        <f t="shared" si="14"/>
        <v>0</v>
      </c>
      <c r="AF539" s="2">
        <f t="shared" si="15"/>
        <v>0</v>
      </c>
      <c r="AG539" s="2">
        <f t="shared" si="16"/>
        <v>0</v>
      </c>
      <c r="AH539" s="2">
        <f t="shared" si="17"/>
        <v>0</v>
      </c>
      <c r="AI539" s="2">
        <f t="shared" si="18"/>
      </c>
    </row>
    <row r="540">
      <c r="A540" s="43">
        <f t="shared" si="0"/>
      </c>
      <c r="B540" s="54" t="n"/>
      <c r="C540" s="45" t="n"/>
      <c r="D540" s="50" t="n"/>
      <c r="E540" s="55" t="n"/>
      <c r="F540" s="50" t="n"/>
      <c r="G540" s="55" t="n"/>
      <c r="H540" s="50" t="n"/>
      <c r="I540" s="55" t="n"/>
      <c r="J540" s="50" t="n"/>
      <c r="K540" s="55" t="n"/>
      <c r="L540" s="56" t="n"/>
      <c r="M540" s="57" t="n"/>
      <c r="N540" s="57" t="n"/>
      <c r="O540" s="57" t="n"/>
      <c r="P540" s="57" t="n"/>
      <c r="Q540" s="50" t="n"/>
      <c r="R540" s="58">
        <f t="shared" si="1"/>
      </c>
      <c r="S540" s="59">
        <f t="shared" si="2"/>
      </c>
      <c r="T540" s="43">
        <f t="shared" si="3"/>
      </c>
      <c r="U540" s="60">
        <f t="shared" si="4"/>
      </c>
      <c r="V540" s="60">
        <f t="shared" si="5"/>
      </c>
      <c r="W540" s="60">
        <f t="shared" si="6"/>
      </c>
      <c r="X540" s="49">
        <f t="shared" si="7"/>
      </c>
      <c r="Y540" s="2">
        <f t="shared" si="8"/>
      </c>
      <c r="Z540" s="2">
        <f t="shared" si="9"/>
        <v>0</v>
      </c>
      <c r="AA540" s="2">
        <f t="shared" si="10"/>
        <v>0</v>
      </c>
      <c r="AB540" s="2">
        <f t="shared" si="11"/>
        <v>0</v>
      </c>
      <c r="AC540" s="2">
        <f t="shared" si="12"/>
        <v>0</v>
      </c>
      <c r="AD540" s="2">
        <f t="shared" si="13"/>
        <v>0</v>
      </c>
      <c r="AE540" s="2">
        <f t="shared" si="14"/>
        <v>0</v>
      </c>
      <c r="AF540" s="2">
        <f t="shared" si="15"/>
        <v>0</v>
      </c>
      <c r="AG540" s="2">
        <f t="shared" si="16"/>
        <v>0</v>
      </c>
      <c r="AH540" s="2">
        <f t="shared" si="17"/>
        <v>0</v>
      </c>
      <c r="AI540" s="2">
        <f t="shared" si="18"/>
      </c>
    </row>
    <row r="541">
      <c r="A541" s="43">
        <f t="shared" si="0"/>
      </c>
      <c r="B541" s="54" t="n"/>
      <c r="C541" s="45" t="n"/>
      <c r="D541" s="50" t="n"/>
      <c r="E541" s="55" t="n"/>
      <c r="F541" s="50" t="n"/>
      <c r="G541" s="55" t="n"/>
      <c r="H541" s="50" t="n"/>
      <c r="I541" s="55" t="n"/>
      <c r="J541" s="50" t="n"/>
      <c r="K541" s="55" t="n"/>
      <c r="L541" s="56" t="n"/>
      <c r="M541" s="57" t="n"/>
      <c r="N541" s="57" t="n"/>
      <c r="O541" s="57" t="n"/>
      <c r="P541" s="57" t="n"/>
      <c r="Q541" s="50" t="n"/>
      <c r="R541" s="58">
        <f t="shared" si="1"/>
      </c>
      <c r="S541" s="59">
        <f t="shared" si="2"/>
      </c>
      <c r="T541" s="43">
        <f t="shared" si="3"/>
      </c>
      <c r="U541" s="60">
        <f t="shared" si="4"/>
      </c>
      <c r="V541" s="60">
        <f t="shared" si="5"/>
      </c>
      <c r="W541" s="60">
        <f t="shared" si="6"/>
      </c>
      <c r="X541" s="49">
        <f t="shared" si="7"/>
      </c>
      <c r="Y541" s="2">
        <f t="shared" si="8"/>
      </c>
      <c r="Z541" s="2">
        <f t="shared" si="9"/>
        <v>0</v>
      </c>
      <c r="AA541" s="2">
        <f t="shared" si="10"/>
        <v>0</v>
      </c>
      <c r="AB541" s="2">
        <f t="shared" si="11"/>
        <v>0</v>
      </c>
      <c r="AC541" s="2">
        <f t="shared" si="12"/>
        <v>0</v>
      </c>
      <c r="AD541" s="2">
        <f t="shared" si="13"/>
        <v>0</v>
      </c>
      <c r="AE541" s="2">
        <f t="shared" si="14"/>
        <v>0</v>
      </c>
      <c r="AF541" s="2">
        <f t="shared" si="15"/>
        <v>0</v>
      </c>
      <c r="AG541" s="2">
        <f t="shared" si="16"/>
        <v>0</v>
      </c>
      <c r="AH541" s="2">
        <f t="shared" si="17"/>
        <v>0</v>
      </c>
      <c r="AI541" s="2">
        <f t="shared" si="18"/>
      </c>
    </row>
    <row r="542">
      <c r="A542" s="43">
        <f t="shared" si="0"/>
      </c>
      <c r="B542" s="54" t="n"/>
      <c r="C542" s="45" t="n"/>
      <c r="D542" s="50" t="n"/>
      <c r="E542" s="55" t="n"/>
      <c r="F542" s="50" t="n"/>
      <c r="G542" s="55" t="n"/>
      <c r="H542" s="50" t="n"/>
      <c r="I542" s="55" t="n"/>
      <c r="J542" s="50" t="n"/>
      <c r="K542" s="55" t="n"/>
      <c r="L542" s="56" t="n"/>
      <c r="M542" s="57" t="n"/>
      <c r="N542" s="57" t="n"/>
      <c r="O542" s="57" t="n"/>
      <c r="P542" s="57" t="n"/>
      <c r="Q542" s="50" t="n"/>
      <c r="R542" s="58">
        <f t="shared" si="1"/>
      </c>
      <c r="S542" s="59">
        <f t="shared" si="2"/>
      </c>
      <c r="T542" s="43">
        <f t="shared" si="3"/>
      </c>
      <c r="U542" s="60">
        <f t="shared" si="4"/>
      </c>
      <c r="V542" s="60">
        <f t="shared" si="5"/>
      </c>
      <c r="W542" s="60">
        <f t="shared" si="6"/>
      </c>
      <c r="X542" s="49">
        <f t="shared" si="7"/>
      </c>
      <c r="Y542" s="2">
        <f t="shared" si="8"/>
      </c>
      <c r="Z542" s="2">
        <f t="shared" si="9"/>
        <v>0</v>
      </c>
      <c r="AA542" s="2">
        <f t="shared" si="10"/>
        <v>0</v>
      </c>
      <c r="AB542" s="2">
        <f t="shared" si="11"/>
        <v>0</v>
      </c>
      <c r="AC542" s="2">
        <f t="shared" si="12"/>
        <v>0</v>
      </c>
      <c r="AD542" s="2">
        <f t="shared" si="13"/>
        <v>0</v>
      </c>
      <c r="AE542" s="2">
        <f t="shared" si="14"/>
        <v>0</v>
      </c>
      <c r="AF542" s="2">
        <f t="shared" si="15"/>
        <v>0</v>
      </c>
      <c r="AG542" s="2">
        <f t="shared" si="16"/>
        <v>0</v>
      </c>
      <c r="AH542" s="2">
        <f t="shared" si="17"/>
        <v>0</v>
      </c>
      <c r="AI542" s="2">
        <f t="shared" si="18"/>
      </c>
    </row>
    <row r="543">
      <c r="A543" s="43">
        <f t="shared" si="0"/>
      </c>
      <c r="B543" s="54" t="n"/>
      <c r="C543" s="45" t="n"/>
      <c r="D543" s="50" t="n"/>
      <c r="E543" s="55" t="n"/>
      <c r="F543" s="50" t="n"/>
      <c r="G543" s="55" t="n"/>
      <c r="H543" s="50" t="n"/>
      <c r="I543" s="55" t="n"/>
      <c r="J543" s="50" t="n"/>
      <c r="K543" s="55" t="n"/>
      <c r="L543" s="56" t="n"/>
      <c r="M543" s="57" t="n"/>
      <c r="N543" s="57" t="n"/>
      <c r="O543" s="57" t="n"/>
      <c r="P543" s="57" t="n"/>
      <c r="Q543" s="50" t="n"/>
      <c r="R543" s="58">
        <f t="shared" si="1"/>
      </c>
      <c r="S543" s="59">
        <f t="shared" si="2"/>
      </c>
      <c r="T543" s="43">
        <f t="shared" si="3"/>
      </c>
      <c r="U543" s="60">
        <f t="shared" si="4"/>
      </c>
      <c r="V543" s="60">
        <f t="shared" si="5"/>
      </c>
      <c r="W543" s="60">
        <f t="shared" si="6"/>
      </c>
      <c r="X543" s="49">
        <f t="shared" si="7"/>
      </c>
      <c r="Y543" s="2">
        <f t="shared" si="8"/>
      </c>
      <c r="Z543" s="2">
        <f t="shared" si="9"/>
        <v>0</v>
      </c>
      <c r="AA543" s="2">
        <f t="shared" si="10"/>
        <v>0</v>
      </c>
      <c r="AB543" s="2">
        <f t="shared" si="11"/>
        <v>0</v>
      </c>
      <c r="AC543" s="2">
        <f t="shared" si="12"/>
        <v>0</v>
      </c>
      <c r="AD543" s="2">
        <f t="shared" si="13"/>
        <v>0</v>
      </c>
      <c r="AE543" s="2">
        <f t="shared" si="14"/>
        <v>0</v>
      </c>
      <c r="AF543" s="2">
        <f t="shared" si="15"/>
        <v>0</v>
      </c>
      <c r="AG543" s="2">
        <f t="shared" si="16"/>
        <v>0</v>
      </c>
      <c r="AH543" s="2">
        <f t="shared" si="17"/>
        <v>0</v>
      </c>
      <c r="AI543" s="2">
        <f t="shared" si="18"/>
      </c>
    </row>
    <row r="544">
      <c r="A544" s="43">
        <f t="shared" si="0"/>
      </c>
      <c r="B544" s="54" t="n"/>
      <c r="C544" s="45" t="n"/>
      <c r="D544" s="50" t="n"/>
      <c r="E544" s="55" t="n"/>
      <c r="F544" s="50" t="n"/>
      <c r="G544" s="55" t="n"/>
      <c r="H544" s="50" t="n"/>
      <c r="I544" s="55" t="n"/>
      <c r="J544" s="50" t="n"/>
      <c r="K544" s="55" t="n"/>
      <c r="L544" s="56" t="n"/>
      <c r="M544" s="57" t="n"/>
      <c r="N544" s="57" t="n"/>
      <c r="O544" s="57" t="n"/>
      <c r="P544" s="57" t="n"/>
      <c r="Q544" s="50" t="n"/>
      <c r="R544" s="58">
        <f t="shared" si="1"/>
      </c>
      <c r="S544" s="59">
        <f t="shared" si="2"/>
      </c>
      <c r="T544" s="43">
        <f t="shared" si="3"/>
      </c>
      <c r="U544" s="60">
        <f t="shared" si="4"/>
      </c>
      <c r="V544" s="60">
        <f t="shared" si="5"/>
      </c>
      <c r="W544" s="60">
        <f t="shared" si="6"/>
      </c>
      <c r="X544" s="49">
        <f t="shared" si="7"/>
      </c>
      <c r="Y544" s="2">
        <f t="shared" si="8"/>
      </c>
      <c r="Z544" s="2">
        <f t="shared" si="9"/>
        <v>0</v>
      </c>
      <c r="AA544" s="2">
        <f t="shared" si="10"/>
        <v>0</v>
      </c>
      <c r="AB544" s="2">
        <f t="shared" si="11"/>
        <v>0</v>
      </c>
      <c r="AC544" s="2">
        <f t="shared" si="12"/>
        <v>0</v>
      </c>
      <c r="AD544" s="2">
        <f t="shared" si="13"/>
        <v>0</v>
      </c>
      <c r="AE544" s="2">
        <f t="shared" si="14"/>
        <v>0</v>
      </c>
      <c r="AF544" s="2">
        <f t="shared" si="15"/>
        <v>0</v>
      </c>
      <c r="AG544" s="2">
        <f t="shared" si="16"/>
        <v>0</v>
      </c>
      <c r="AH544" s="2">
        <f t="shared" si="17"/>
        <v>0</v>
      </c>
      <c r="AI544" s="2">
        <f t="shared" si="18"/>
      </c>
    </row>
    <row r="545">
      <c r="A545" s="43">
        <f t="shared" si="0"/>
      </c>
      <c r="B545" s="54" t="n"/>
      <c r="C545" s="45" t="n"/>
      <c r="D545" s="50" t="n"/>
      <c r="E545" s="55" t="n"/>
      <c r="F545" s="50" t="n"/>
      <c r="G545" s="55" t="n"/>
      <c r="H545" s="50" t="n"/>
      <c r="I545" s="55" t="n"/>
      <c r="J545" s="50" t="n"/>
      <c r="K545" s="55" t="n"/>
      <c r="L545" s="56" t="n"/>
      <c r="M545" s="57" t="n"/>
      <c r="N545" s="57" t="n"/>
      <c r="O545" s="57" t="n"/>
      <c r="P545" s="57" t="n"/>
      <c r="Q545" s="50" t="n"/>
      <c r="R545" s="58">
        <f t="shared" si="1"/>
      </c>
      <c r="S545" s="59">
        <f t="shared" si="2"/>
      </c>
      <c r="T545" s="43">
        <f t="shared" si="3"/>
      </c>
      <c r="U545" s="60">
        <f t="shared" si="4"/>
      </c>
      <c r="V545" s="60">
        <f t="shared" si="5"/>
      </c>
      <c r="W545" s="60">
        <f t="shared" si="6"/>
      </c>
      <c r="X545" s="49">
        <f t="shared" si="7"/>
      </c>
      <c r="Y545" s="2">
        <f t="shared" si="8"/>
      </c>
      <c r="Z545" s="2">
        <f t="shared" si="9"/>
        <v>0</v>
      </c>
      <c r="AA545" s="2">
        <f t="shared" si="10"/>
        <v>0</v>
      </c>
      <c r="AB545" s="2">
        <f t="shared" si="11"/>
        <v>0</v>
      </c>
      <c r="AC545" s="2">
        <f t="shared" si="12"/>
        <v>0</v>
      </c>
      <c r="AD545" s="2">
        <f t="shared" si="13"/>
        <v>0</v>
      </c>
      <c r="AE545" s="2">
        <f t="shared" si="14"/>
        <v>0</v>
      </c>
      <c r="AF545" s="2">
        <f t="shared" si="15"/>
        <v>0</v>
      </c>
      <c r="AG545" s="2">
        <f t="shared" si="16"/>
        <v>0</v>
      </c>
      <c r="AH545" s="2">
        <f t="shared" si="17"/>
        <v>0</v>
      </c>
      <c r="AI545" s="2">
        <f t="shared" si="18"/>
      </c>
    </row>
    <row r="546">
      <c r="A546" s="43">
        <f t="shared" si="0"/>
      </c>
      <c r="B546" s="54" t="n"/>
      <c r="C546" s="45" t="n"/>
      <c r="D546" s="50" t="n"/>
      <c r="E546" s="55" t="n"/>
      <c r="F546" s="50" t="n"/>
      <c r="G546" s="55" t="n"/>
      <c r="H546" s="50" t="n"/>
      <c r="I546" s="55" t="n"/>
      <c r="J546" s="50" t="n"/>
      <c r="K546" s="55" t="n"/>
      <c r="L546" s="56" t="n"/>
      <c r="M546" s="57" t="n"/>
      <c r="N546" s="57" t="n"/>
      <c r="O546" s="57" t="n"/>
      <c r="P546" s="57" t="n"/>
      <c r="Q546" s="50" t="n"/>
      <c r="R546" s="58">
        <f t="shared" si="1"/>
      </c>
      <c r="S546" s="59">
        <f t="shared" si="2"/>
      </c>
      <c r="T546" s="43">
        <f t="shared" si="3"/>
      </c>
      <c r="U546" s="60">
        <f t="shared" si="4"/>
      </c>
      <c r="V546" s="60">
        <f t="shared" si="5"/>
      </c>
      <c r="W546" s="60">
        <f t="shared" si="6"/>
      </c>
      <c r="X546" s="49">
        <f t="shared" si="7"/>
      </c>
      <c r="Y546" s="2">
        <f t="shared" si="8"/>
      </c>
      <c r="Z546" s="2">
        <f t="shared" si="9"/>
        <v>0</v>
      </c>
      <c r="AA546" s="2">
        <f t="shared" si="10"/>
        <v>0</v>
      </c>
      <c r="AB546" s="2">
        <f t="shared" si="11"/>
        <v>0</v>
      </c>
      <c r="AC546" s="2">
        <f t="shared" si="12"/>
        <v>0</v>
      </c>
      <c r="AD546" s="2">
        <f t="shared" si="13"/>
        <v>0</v>
      </c>
      <c r="AE546" s="2">
        <f t="shared" si="14"/>
        <v>0</v>
      </c>
      <c r="AF546" s="2">
        <f t="shared" si="15"/>
        <v>0</v>
      </c>
      <c r="AG546" s="2">
        <f t="shared" si="16"/>
        <v>0</v>
      </c>
      <c r="AH546" s="2">
        <f t="shared" si="17"/>
        <v>0</v>
      </c>
      <c r="AI546" s="2">
        <f t="shared" si="18"/>
      </c>
    </row>
    <row r="547">
      <c r="A547" s="43">
        <f t="shared" si="0"/>
      </c>
      <c r="B547" s="54" t="n"/>
      <c r="C547" s="45" t="n"/>
      <c r="D547" s="50" t="n"/>
      <c r="E547" s="55" t="n"/>
      <c r="F547" s="50" t="n"/>
      <c r="G547" s="55" t="n"/>
      <c r="H547" s="50" t="n"/>
      <c r="I547" s="55" t="n"/>
      <c r="J547" s="50" t="n"/>
      <c r="K547" s="55" t="n"/>
      <c r="L547" s="56" t="n"/>
      <c r="M547" s="57" t="n"/>
      <c r="N547" s="57" t="n"/>
      <c r="O547" s="57" t="n"/>
      <c r="P547" s="57" t="n"/>
      <c r="Q547" s="50" t="n"/>
      <c r="R547" s="58">
        <f t="shared" si="1"/>
      </c>
      <c r="S547" s="59">
        <f t="shared" si="2"/>
      </c>
      <c r="T547" s="43">
        <f t="shared" si="3"/>
      </c>
      <c r="U547" s="60">
        <f t="shared" si="4"/>
      </c>
      <c r="V547" s="60">
        <f t="shared" si="5"/>
      </c>
      <c r="W547" s="60">
        <f t="shared" si="6"/>
      </c>
      <c r="X547" s="49">
        <f t="shared" si="7"/>
      </c>
      <c r="Y547" s="2">
        <f t="shared" si="8"/>
      </c>
      <c r="Z547" s="2">
        <f t="shared" si="9"/>
        <v>0</v>
      </c>
      <c r="AA547" s="2">
        <f t="shared" si="10"/>
        <v>0</v>
      </c>
      <c r="AB547" s="2">
        <f t="shared" si="11"/>
        <v>0</v>
      </c>
      <c r="AC547" s="2">
        <f t="shared" si="12"/>
        <v>0</v>
      </c>
      <c r="AD547" s="2">
        <f t="shared" si="13"/>
        <v>0</v>
      </c>
      <c r="AE547" s="2">
        <f t="shared" si="14"/>
        <v>0</v>
      </c>
      <c r="AF547" s="2">
        <f t="shared" si="15"/>
        <v>0</v>
      </c>
      <c r="AG547" s="2">
        <f t="shared" si="16"/>
        <v>0</v>
      </c>
      <c r="AH547" s="2">
        <f t="shared" si="17"/>
        <v>0</v>
      </c>
      <c r="AI547" s="2">
        <f t="shared" si="18"/>
      </c>
    </row>
    <row r="548">
      <c r="A548" s="43">
        <f t="shared" si="0"/>
      </c>
      <c r="B548" s="54" t="n"/>
      <c r="C548" s="45" t="n"/>
      <c r="D548" s="50" t="n"/>
      <c r="E548" s="55" t="n"/>
      <c r="F548" s="50" t="n"/>
      <c r="G548" s="55" t="n"/>
      <c r="H548" s="50" t="n"/>
      <c r="I548" s="55" t="n"/>
      <c r="J548" s="50" t="n"/>
      <c r="K548" s="55" t="n"/>
      <c r="L548" s="56" t="n"/>
      <c r="M548" s="57" t="n"/>
      <c r="N548" s="57" t="n"/>
      <c r="O548" s="57" t="n"/>
      <c r="P548" s="57" t="n"/>
      <c r="Q548" s="50" t="n"/>
      <c r="R548" s="58">
        <f t="shared" si="1"/>
      </c>
      <c r="S548" s="59">
        <f t="shared" si="2"/>
      </c>
      <c r="T548" s="43">
        <f t="shared" si="3"/>
      </c>
      <c r="U548" s="60">
        <f t="shared" si="4"/>
      </c>
      <c r="V548" s="60">
        <f t="shared" si="5"/>
      </c>
      <c r="W548" s="60">
        <f t="shared" si="6"/>
      </c>
      <c r="X548" s="49">
        <f t="shared" si="7"/>
      </c>
      <c r="Y548" s="2">
        <f t="shared" si="8"/>
      </c>
      <c r="Z548" s="2">
        <f t="shared" si="9"/>
        <v>0</v>
      </c>
      <c r="AA548" s="2">
        <f t="shared" si="10"/>
        <v>0</v>
      </c>
      <c r="AB548" s="2">
        <f t="shared" si="11"/>
        <v>0</v>
      </c>
      <c r="AC548" s="2">
        <f t="shared" si="12"/>
        <v>0</v>
      </c>
      <c r="AD548" s="2">
        <f t="shared" si="13"/>
        <v>0</v>
      </c>
      <c r="AE548" s="2">
        <f t="shared" si="14"/>
        <v>0</v>
      </c>
      <c r="AF548" s="2">
        <f t="shared" si="15"/>
        <v>0</v>
      </c>
      <c r="AG548" s="2">
        <f t="shared" si="16"/>
        <v>0</v>
      </c>
      <c r="AH548" s="2">
        <f t="shared" si="17"/>
        <v>0</v>
      </c>
      <c r="AI548" s="2">
        <f t="shared" si="18"/>
      </c>
    </row>
    <row r="549">
      <c r="A549" s="43">
        <f t="shared" si="0"/>
      </c>
      <c r="B549" s="54" t="n"/>
      <c r="C549" s="45" t="n"/>
      <c r="D549" s="50" t="n"/>
      <c r="E549" s="55" t="n"/>
      <c r="F549" s="50" t="n"/>
      <c r="G549" s="55" t="n"/>
      <c r="H549" s="50" t="n"/>
      <c r="I549" s="55" t="n"/>
      <c r="J549" s="50" t="n"/>
      <c r="K549" s="55" t="n"/>
      <c r="L549" s="56" t="n"/>
      <c r="M549" s="57" t="n"/>
      <c r="N549" s="57" t="n"/>
      <c r="O549" s="57" t="n"/>
      <c r="P549" s="57" t="n"/>
      <c r="Q549" s="50" t="n"/>
      <c r="R549" s="58">
        <f t="shared" si="1"/>
      </c>
      <c r="S549" s="59">
        <f t="shared" si="2"/>
      </c>
      <c r="T549" s="43">
        <f t="shared" si="3"/>
      </c>
      <c r="U549" s="60">
        <f t="shared" si="4"/>
      </c>
      <c r="V549" s="60">
        <f t="shared" si="5"/>
      </c>
      <c r="W549" s="60">
        <f t="shared" si="6"/>
      </c>
      <c r="X549" s="49">
        <f t="shared" si="7"/>
      </c>
      <c r="Y549" s="2">
        <f t="shared" si="8"/>
      </c>
      <c r="Z549" s="2">
        <f t="shared" si="9"/>
        <v>0</v>
      </c>
      <c r="AA549" s="2">
        <f t="shared" si="10"/>
        <v>0</v>
      </c>
      <c r="AB549" s="2">
        <f t="shared" si="11"/>
        <v>0</v>
      </c>
      <c r="AC549" s="2">
        <f t="shared" si="12"/>
        <v>0</v>
      </c>
      <c r="AD549" s="2">
        <f t="shared" si="13"/>
        <v>0</v>
      </c>
      <c r="AE549" s="2">
        <f t="shared" si="14"/>
        <v>0</v>
      </c>
      <c r="AF549" s="2">
        <f t="shared" si="15"/>
        <v>0</v>
      </c>
      <c r="AG549" s="2">
        <f t="shared" si="16"/>
        <v>0</v>
      </c>
      <c r="AH549" s="2">
        <f t="shared" si="17"/>
        <v>0</v>
      </c>
      <c r="AI549" s="2">
        <f t="shared" si="18"/>
      </c>
    </row>
    <row r="550">
      <c r="A550" s="43">
        <f t="shared" si="0"/>
      </c>
      <c r="B550" s="54" t="n"/>
      <c r="C550" s="45" t="n"/>
      <c r="D550" s="50" t="n"/>
      <c r="E550" s="55" t="n"/>
      <c r="F550" s="50" t="n"/>
      <c r="G550" s="55" t="n"/>
      <c r="H550" s="50" t="n"/>
      <c r="I550" s="55" t="n"/>
      <c r="J550" s="50" t="n"/>
      <c r="K550" s="55" t="n"/>
      <c r="L550" s="56" t="n"/>
      <c r="M550" s="57" t="n"/>
      <c r="N550" s="57" t="n"/>
      <c r="O550" s="57" t="n"/>
      <c r="P550" s="57" t="n"/>
      <c r="Q550" s="50" t="n"/>
      <c r="R550" s="58">
        <f t="shared" si="1"/>
      </c>
      <c r="S550" s="59">
        <f t="shared" si="2"/>
      </c>
      <c r="T550" s="43">
        <f t="shared" si="3"/>
      </c>
      <c r="U550" s="60">
        <f t="shared" si="4"/>
      </c>
      <c r="V550" s="60">
        <f t="shared" si="5"/>
      </c>
      <c r="W550" s="60">
        <f t="shared" si="6"/>
      </c>
      <c r="X550" s="49">
        <f t="shared" si="7"/>
      </c>
      <c r="Y550" s="2">
        <f t="shared" si="8"/>
      </c>
      <c r="Z550" s="2">
        <f t="shared" si="9"/>
        <v>0</v>
      </c>
      <c r="AA550" s="2">
        <f t="shared" si="10"/>
        <v>0</v>
      </c>
      <c r="AB550" s="2">
        <f t="shared" si="11"/>
        <v>0</v>
      </c>
      <c r="AC550" s="2">
        <f t="shared" si="12"/>
        <v>0</v>
      </c>
      <c r="AD550" s="2">
        <f t="shared" si="13"/>
        <v>0</v>
      </c>
      <c r="AE550" s="2">
        <f t="shared" si="14"/>
        <v>0</v>
      </c>
      <c r="AF550" s="2">
        <f t="shared" si="15"/>
        <v>0</v>
      </c>
      <c r="AG550" s="2">
        <f t="shared" si="16"/>
        <v>0</v>
      </c>
      <c r="AH550" s="2">
        <f t="shared" si="17"/>
        <v>0</v>
      </c>
      <c r="AI550" s="2">
        <f t="shared" si="18"/>
      </c>
    </row>
    <row r="551">
      <c r="A551" s="43">
        <f t="shared" si="0"/>
      </c>
      <c r="B551" s="54" t="n"/>
      <c r="C551" s="45" t="n"/>
      <c r="D551" s="50" t="n"/>
      <c r="E551" s="55" t="n"/>
      <c r="F551" s="50" t="n"/>
      <c r="G551" s="55" t="n"/>
      <c r="H551" s="50" t="n"/>
      <c r="I551" s="55" t="n"/>
      <c r="J551" s="50" t="n"/>
      <c r="K551" s="55" t="n"/>
      <c r="L551" s="56" t="n"/>
      <c r="M551" s="57" t="n"/>
      <c r="N551" s="57" t="n"/>
      <c r="O551" s="57" t="n"/>
      <c r="P551" s="57" t="n"/>
      <c r="Q551" s="50" t="n"/>
      <c r="R551" s="58">
        <f t="shared" si="1"/>
      </c>
      <c r="S551" s="59">
        <f t="shared" si="2"/>
      </c>
      <c r="T551" s="43">
        <f t="shared" si="3"/>
      </c>
      <c r="U551" s="60">
        <f t="shared" si="4"/>
      </c>
      <c r="V551" s="60">
        <f t="shared" si="5"/>
      </c>
      <c r="W551" s="60">
        <f t="shared" si="6"/>
      </c>
      <c r="X551" s="49">
        <f t="shared" si="7"/>
      </c>
      <c r="Y551" s="2">
        <f t="shared" si="8"/>
      </c>
      <c r="Z551" s="2">
        <f t="shared" si="9"/>
        <v>0</v>
      </c>
      <c r="AA551" s="2">
        <f t="shared" si="10"/>
        <v>0</v>
      </c>
      <c r="AB551" s="2">
        <f t="shared" si="11"/>
        <v>0</v>
      </c>
      <c r="AC551" s="2">
        <f t="shared" si="12"/>
        <v>0</v>
      </c>
      <c r="AD551" s="2">
        <f t="shared" si="13"/>
        <v>0</v>
      </c>
      <c r="AE551" s="2">
        <f t="shared" si="14"/>
        <v>0</v>
      </c>
      <c r="AF551" s="2">
        <f t="shared" si="15"/>
        <v>0</v>
      </c>
      <c r="AG551" s="2">
        <f t="shared" si="16"/>
        <v>0</v>
      </c>
      <c r="AH551" s="2">
        <f t="shared" si="17"/>
        <v>0</v>
      </c>
      <c r="AI551" s="2">
        <f t="shared" si="18"/>
      </c>
    </row>
    <row r="552">
      <c r="A552" s="43">
        <f t="shared" si="0"/>
      </c>
      <c r="B552" s="54" t="n"/>
      <c r="C552" s="45" t="n"/>
      <c r="D552" s="50" t="n"/>
      <c r="E552" s="55" t="n"/>
      <c r="F552" s="50" t="n"/>
      <c r="G552" s="55" t="n"/>
      <c r="H552" s="50" t="n"/>
      <c r="I552" s="55" t="n"/>
      <c r="J552" s="50" t="n"/>
      <c r="K552" s="55" t="n"/>
      <c r="L552" s="56" t="n"/>
      <c r="M552" s="57" t="n"/>
      <c r="N552" s="57" t="n"/>
      <c r="O552" s="57" t="n"/>
      <c r="P552" s="57" t="n"/>
      <c r="Q552" s="50" t="n"/>
      <c r="R552" s="58">
        <f t="shared" si="1"/>
      </c>
      <c r="S552" s="59">
        <f t="shared" si="2"/>
      </c>
      <c r="T552" s="43">
        <f t="shared" si="3"/>
      </c>
      <c r="U552" s="60">
        <f t="shared" si="4"/>
      </c>
      <c r="V552" s="60">
        <f t="shared" si="5"/>
      </c>
      <c r="W552" s="60">
        <f t="shared" si="6"/>
      </c>
      <c r="X552" s="49">
        <f t="shared" si="7"/>
      </c>
      <c r="Y552" s="2">
        <f t="shared" si="8"/>
      </c>
      <c r="Z552" s="2">
        <f t="shared" si="9"/>
        <v>0</v>
      </c>
      <c r="AA552" s="2">
        <f t="shared" si="10"/>
        <v>0</v>
      </c>
      <c r="AB552" s="2">
        <f t="shared" si="11"/>
        <v>0</v>
      </c>
      <c r="AC552" s="2">
        <f t="shared" si="12"/>
        <v>0</v>
      </c>
      <c r="AD552" s="2">
        <f t="shared" si="13"/>
        <v>0</v>
      </c>
      <c r="AE552" s="2">
        <f t="shared" si="14"/>
        <v>0</v>
      </c>
      <c r="AF552" s="2">
        <f t="shared" si="15"/>
        <v>0</v>
      </c>
      <c r="AG552" s="2">
        <f t="shared" si="16"/>
        <v>0</v>
      </c>
      <c r="AH552" s="2">
        <f t="shared" si="17"/>
        <v>0</v>
      </c>
      <c r="AI552" s="2">
        <f t="shared" si="18"/>
      </c>
    </row>
    <row r="553">
      <c r="A553" s="43">
        <f t="shared" si="0"/>
      </c>
      <c r="B553" s="54" t="n"/>
      <c r="C553" s="45" t="n"/>
      <c r="D553" s="50" t="n"/>
      <c r="E553" s="55" t="n"/>
      <c r="F553" s="50" t="n"/>
      <c r="G553" s="55" t="n"/>
      <c r="H553" s="50" t="n"/>
      <c r="I553" s="55" t="n"/>
      <c r="J553" s="50" t="n"/>
      <c r="K553" s="55" t="n"/>
      <c r="L553" s="56" t="n"/>
      <c r="M553" s="57" t="n"/>
      <c r="N553" s="57" t="n"/>
      <c r="O553" s="57" t="n"/>
      <c r="P553" s="57" t="n"/>
      <c r="Q553" s="50" t="n"/>
      <c r="R553" s="58">
        <f t="shared" si="1"/>
      </c>
      <c r="S553" s="59">
        <f t="shared" si="2"/>
      </c>
      <c r="T553" s="43">
        <f t="shared" si="3"/>
      </c>
      <c r="U553" s="60">
        <f t="shared" si="4"/>
      </c>
      <c r="V553" s="60">
        <f t="shared" si="5"/>
      </c>
      <c r="W553" s="60">
        <f t="shared" si="6"/>
      </c>
      <c r="X553" s="49">
        <f t="shared" si="7"/>
      </c>
      <c r="Y553" s="2">
        <f t="shared" si="8"/>
      </c>
      <c r="Z553" s="2">
        <f t="shared" si="9"/>
        <v>0</v>
      </c>
      <c r="AA553" s="2">
        <f t="shared" si="10"/>
        <v>0</v>
      </c>
      <c r="AB553" s="2">
        <f t="shared" si="11"/>
        <v>0</v>
      </c>
      <c r="AC553" s="2">
        <f t="shared" si="12"/>
        <v>0</v>
      </c>
      <c r="AD553" s="2">
        <f t="shared" si="13"/>
        <v>0</v>
      </c>
      <c r="AE553" s="2">
        <f t="shared" si="14"/>
        <v>0</v>
      </c>
      <c r="AF553" s="2">
        <f t="shared" si="15"/>
        <v>0</v>
      </c>
      <c r="AG553" s="2">
        <f t="shared" si="16"/>
        <v>0</v>
      </c>
      <c r="AH553" s="2">
        <f t="shared" si="17"/>
        <v>0</v>
      </c>
      <c r="AI553" s="2">
        <f t="shared" si="18"/>
      </c>
    </row>
    <row r="554">
      <c r="A554" s="43">
        <f t="shared" si="0"/>
      </c>
      <c r="B554" s="54" t="n"/>
      <c r="C554" s="45" t="n"/>
      <c r="D554" s="50" t="n"/>
      <c r="E554" s="55" t="n"/>
      <c r="F554" s="50" t="n"/>
      <c r="G554" s="55" t="n"/>
      <c r="H554" s="50" t="n"/>
      <c r="I554" s="55" t="n"/>
      <c r="J554" s="50" t="n"/>
      <c r="K554" s="55" t="n"/>
      <c r="L554" s="56" t="n"/>
      <c r="M554" s="57" t="n"/>
      <c r="N554" s="57" t="n"/>
      <c r="O554" s="57" t="n"/>
      <c r="P554" s="57" t="n"/>
      <c r="Q554" s="50" t="n"/>
      <c r="R554" s="58">
        <f t="shared" si="1"/>
      </c>
      <c r="S554" s="59">
        <f t="shared" si="2"/>
      </c>
      <c r="T554" s="43">
        <f t="shared" si="3"/>
      </c>
      <c r="U554" s="60">
        <f t="shared" si="4"/>
      </c>
      <c r="V554" s="60">
        <f t="shared" si="5"/>
      </c>
      <c r="W554" s="60">
        <f t="shared" si="6"/>
      </c>
      <c r="X554" s="49">
        <f t="shared" si="7"/>
      </c>
      <c r="Y554" s="2">
        <f t="shared" si="8"/>
      </c>
      <c r="Z554" s="2">
        <f t="shared" si="9"/>
        <v>0</v>
      </c>
      <c r="AA554" s="2">
        <f t="shared" si="10"/>
        <v>0</v>
      </c>
      <c r="AB554" s="2">
        <f t="shared" si="11"/>
        <v>0</v>
      </c>
      <c r="AC554" s="2">
        <f t="shared" si="12"/>
        <v>0</v>
      </c>
      <c r="AD554" s="2">
        <f t="shared" si="13"/>
        <v>0</v>
      </c>
      <c r="AE554" s="2">
        <f t="shared" si="14"/>
        <v>0</v>
      </c>
      <c r="AF554" s="2">
        <f t="shared" si="15"/>
        <v>0</v>
      </c>
      <c r="AG554" s="2">
        <f t="shared" si="16"/>
        <v>0</v>
      </c>
      <c r="AH554" s="2">
        <f t="shared" si="17"/>
        <v>0</v>
      </c>
      <c r="AI554" s="2">
        <f t="shared" si="18"/>
      </c>
    </row>
    <row r="555">
      <c r="A555" s="43">
        <f t="shared" si="0"/>
      </c>
      <c r="B555" s="54" t="n"/>
      <c r="C555" s="45" t="n"/>
      <c r="D555" s="50" t="n"/>
      <c r="E555" s="55" t="n"/>
      <c r="F555" s="50" t="n"/>
      <c r="G555" s="55" t="n"/>
      <c r="H555" s="50" t="n"/>
      <c r="I555" s="55" t="n"/>
      <c r="J555" s="50" t="n"/>
      <c r="K555" s="55" t="n"/>
      <c r="L555" s="56" t="n"/>
      <c r="M555" s="57" t="n"/>
      <c r="N555" s="57" t="n"/>
      <c r="O555" s="57" t="n"/>
      <c r="P555" s="57" t="n"/>
      <c r="Q555" s="50" t="n"/>
      <c r="R555" s="58">
        <f t="shared" si="1"/>
      </c>
      <c r="S555" s="59">
        <f t="shared" si="2"/>
      </c>
      <c r="T555" s="43">
        <f t="shared" si="3"/>
      </c>
      <c r="U555" s="60">
        <f t="shared" si="4"/>
      </c>
      <c r="V555" s="60">
        <f t="shared" si="5"/>
      </c>
      <c r="W555" s="60">
        <f t="shared" si="6"/>
      </c>
      <c r="X555" s="49">
        <f t="shared" si="7"/>
      </c>
      <c r="Y555" s="2">
        <f t="shared" si="8"/>
      </c>
      <c r="Z555" s="2">
        <f t="shared" si="9"/>
        <v>0</v>
      </c>
      <c r="AA555" s="2">
        <f t="shared" si="10"/>
        <v>0</v>
      </c>
      <c r="AB555" s="2">
        <f t="shared" si="11"/>
        <v>0</v>
      </c>
      <c r="AC555" s="2">
        <f t="shared" si="12"/>
        <v>0</v>
      </c>
      <c r="AD555" s="2">
        <f t="shared" si="13"/>
        <v>0</v>
      </c>
      <c r="AE555" s="2">
        <f t="shared" si="14"/>
        <v>0</v>
      </c>
      <c r="AF555" s="2">
        <f t="shared" si="15"/>
        <v>0</v>
      </c>
      <c r="AG555" s="2">
        <f t="shared" si="16"/>
        <v>0</v>
      </c>
      <c r="AH555" s="2">
        <f t="shared" si="17"/>
        <v>0</v>
      </c>
      <c r="AI555" s="2">
        <f t="shared" si="18"/>
      </c>
    </row>
    <row r="556">
      <c r="A556" s="43">
        <f t="shared" si="0"/>
      </c>
      <c r="B556" s="54" t="n"/>
      <c r="C556" s="45" t="n"/>
      <c r="D556" s="50" t="n"/>
      <c r="E556" s="55" t="n"/>
      <c r="F556" s="50" t="n"/>
      <c r="G556" s="55" t="n"/>
      <c r="H556" s="50" t="n"/>
      <c r="I556" s="55" t="n"/>
      <c r="J556" s="50" t="n"/>
      <c r="K556" s="55" t="n"/>
      <c r="L556" s="56" t="n"/>
      <c r="M556" s="57" t="n"/>
      <c r="N556" s="57" t="n"/>
      <c r="O556" s="57" t="n"/>
      <c r="P556" s="57" t="n"/>
      <c r="Q556" s="50" t="n"/>
      <c r="R556" s="58">
        <f t="shared" si="1"/>
      </c>
      <c r="S556" s="59">
        <f t="shared" si="2"/>
      </c>
      <c r="T556" s="43">
        <f t="shared" si="3"/>
      </c>
      <c r="U556" s="60">
        <f t="shared" si="4"/>
      </c>
      <c r="V556" s="60">
        <f t="shared" si="5"/>
      </c>
      <c r="W556" s="60">
        <f t="shared" si="6"/>
      </c>
      <c r="X556" s="49">
        <f t="shared" si="7"/>
      </c>
      <c r="Y556" s="2">
        <f t="shared" si="8"/>
      </c>
      <c r="Z556" s="2">
        <f t="shared" si="9"/>
        <v>0</v>
      </c>
      <c r="AA556" s="2">
        <f t="shared" si="10"/>
        <v>0</v>
      </c>
      <c r="AB556" s="2">
        <f t="shared" si="11"/>
        <v>0</v>
      </c>
      <c r="AC556" s="2">
        <f t="shared" si="12"/>
        <v>0</v>
      </c>
      <c r="AD556" s="2">
        <f t="shared" si="13"/>
        <v>0</v>
      </c>
      <c r="AE556" s="2">
        <f t="shared" si="14"/>
        <v>0</v>
      </c>
      <c r="AF556" s="2">
        <f t="shared" si="15"/>
        <v>0</v>
      </c>
      <c r="AG556" s="2">
        <f t="shared" si="16"/>
        <v>0</v>
      </c>
      <c r="AH556" s="2">
        <f t="shared" si="17"/>
        <v>0</v>
      </c>
      <c r="AI556" s="2">
        <f t="shared" si="18"/>
      </c>
    </row>
    <row r="557">
      <c r="A557" s="43">
        <f t="shared" si="0"/>
      </c>
      <c r="B557" s="54" t="n"/>
      <c r="C557" s="45" t="n"/>
      <c r="D557" s="50" t="n"/>
      <c r="E557" s="55" t="n"/>
      <c r="F557" s="50" t="n"/>
      <c r="G557" s="55" t="n"/>
      <c r="H557" s="50" t="n"/>
      <c r="I557" s="55" t="n"/>
      <c r="J557" s="50" t="n"/>
      <c r="K557" s="55" t="n"/>
      <c r="L557" s="56" t="n"/>
      <c r="M557" s="57" t="n"/>
      <c r="N557" s="57" t="n"/>
      <c r="O557" s="57" t="n"/>
      <c r="P557" s="57" t="n"/>
      <c r="Q557" s="50" t="n"/>
      <c r="R557" s="58">
        <f t="shared" si="1"/>
      </c>
      <c r="S557" s="59">
        <f t="shared" si="2"/>
      </c>
      <c r="T557" s="43">
        <f t="shared" si="3"/>
      </c>
      <c r="U557" s="60">
        <f t="shared" si="4"/>
      </c>
      <c r="V557" s="60">
        <f t="shared" si="5"/>
      </c>
      <c r="W557" s="60">
        <f t="shared" si="6"/>
      </c>
      <c r="X557" s="49">
        <f t="shared" si="7"/>
      </c>
      <c r="Y557" s="2">
        <f t="shared" si="8"/>
      </c>
      <c r="Z557" s="2">
        <f t="shared" si="9"/>
        <v>0</v>
      </c>
      <c r="AA557" s="2">
        <f t="shared" si="10"/>
        <v>0</v>
      </c>
      <c r="AB557" s="2">
        <f t="shared" si="11"/>
        <v>0</v>
      </c>
      <c r="AC557" s="2">
        <f t="shared" si="12"/>
        <v>0</v>
      </c>
      <c r="AD557" s="2">
        <f t="shared" si="13"/>
        <v>0</v>
      </c>
      <c r="AE557" s="2">
        <f t="shared" si="14"/>
        <v>0</v>
      </c>
      <c r="AF557" s="2">
        <f t="shared" si="15"/>
        <v>0</v>
      </c>
      <c r="AG557" s="2">
        <f t="shared" si="16"/>
        <v>0</v>
      </c>
      <c r="AH557" s="2">
        <f t="shared" si="17"/>
        <v>0</v>
      </c>
      <c r="AI557" s="2">
        <f t="shared" si="18"/>
      </c>
    </row>
    <row r="558">
      <c r="A558" s="43">
        <f t="shared" si="0"/>
      </c>
      <c r="B558" s="54" t="n"/>
      <c r="C558" s="45" t="n"/>
      <c r="D558" s="50" t="n"/>
      <c r="E558" s="55" t="n"/>
      <c r="F558" s="50" t="n"/>
      <c r="G558" s="55" t="n"/>
      <c r="H558" s="50" t="n"/>
      <c r="I558" s="55" t="n"/>
      <c r="J558" s="50" t="n"/>
      <c r="K558" s="55" t="n"/>
      <c r="L558" s="56" t="n"/>
      <c r="M558" s="57" t="n"/>
      <c r="N558" s="57" t="n"/>
      <c r="O558" s="57" t="n"/>
      <c r="P558" s="57" t="n"/>
      <c r="Q558" s="50" t="n"/>
      <c r="R558" s="58">
        <f t="shared" si="1"/>
      </c>
      <c r="S558" s="59">
        <f t="shared" si="2"/>
      </c>
      <c r="T558" s="43">
        <f t="shared" si="3"/>
      </c>
      <c r="U558" s="60">
        <f t="shared" si="4"/>
      </c>
      <c r="V558" s="60">
        <f t="shared" si="5"/>
      </c>
      <c r="W558" s="60">
        <f t="shared" si="6"/>
      </c>
      <c r="X558" s="49">
        <f t="shared" si="7"/>
      </c>
      <c r="Y558" s="2">
        <f t="shared" si="8"/>
      </c>
      <c r="Z558" s="2">
        <f t="shared" si="9"/>
        <v>0</v>
      </c>
      <c r="AA558" s="2">
        <f t="shared" si="10"/>
        <v>0</v>
      </c>
      <c r="AB558" s="2">
        <f t="shared" si="11"/>
        <v>0</v>
      </c>
      <c r="AC558" s="2">
        <f t="shared" si="12"/>
        <v>0</v>
      </c>
      <c r="AD558" s="2">
        <f t="shared" si="13"/>
        <v>0</v>
      </c>
      <c r="AE558" s="2">
        <f t="shared" si="14"/>
        <v>0</v>
      </c>
      <c r="AF558" s="2">
        <f t="shared" si="15"/>
        <v>0</v>
      </c>
      <c r="AG558" s="2">
        <f t="shared" si="16"/>
        <v>0</v>
      </c>
      <c r="AH558" s="2">
        <f t="shared" si="17"/>
        <v>0</v>
      </c>
      <c r="AI558" s="2">
        <f t="shared" si="18"/>
      </c>
    </row>
    <row r="559">
      <c r="A559" s="43">
        <f t="shared" si="0"/>
      </c>
      <c r="B559" s="54" t="n"/>
      <c r="C559" s="45" t="n"/>
      <c r="D559" s="50" t="n"/>
      <c r="E559" s="55" t="n"/>
      <c r="F559" s="50" t="n"/>
      <c r="G559" s="55" t="n"/>
      <c r="H559" s="50" t="n"/>
      <c r="I559" s="55" t="n"/>
      <c r="J559" s="50" t="n"/>
      <c r="K559" s="55" t="n"/>
      <c r="L559" s="56" t="n"/>
      <c r="M559" s="57" t="n"/>
      <c r="N559" s="57" t="n"/>
      <c r="O559" s="57" t="n"/>
      <c r="P559" s="57" t="n"/>
      <c r="Q559" s="50" t="n"/>
      <c r="R559" s="58">
        <f t="shared" si="1"/>
      </c>
      <c r="S559" s="59">
        <f t="shared" si="2"/>
      </c>
      <c r="T559" s="43">
        <f t="shared" si="3"/>
      </c>
      <c r="U559" s="60">
        <f t="shared" si="4"/>
      </c>
      <c r="V559" s="60">
        <f t="shared" si="5"/>
      </c>
      <c r="W559" s="60">
        <f t="shared" si="6"/>
      </c>
      <c r="X559" s="49">
        <f t="shared" si="7"/>
      </c>
      <c r="Y559" s="2">
        <f t="shared" si="8"/>
      </c>
      <c r="Z559" s="2">
        <f t="shared" si="9"/>
        <v>0</v>
      </c>
      <c r="AA559" s="2">
        <f t="shared" si="10"/>
        <v>0</v>
      </c>
      <c r="AB559" s="2">
        <f t="shared" si="11"/>
        <v>0</v>
      </c>
      <c r="AC559" s="2">
        <f t="shared" si="12"/>
        <v>0</v>
      </c>
      <c r="AD559" s="2">
        <f t="shared" si="13"/>
        <v>0</v>
      </c>
      <c r="AE559" s="2">
        <f t="shared" si="14"/>
        <v>0</v>
      </c>
      <c r="AF559" s="2">
        <f t="shared" si="15"/>
        <v>0</v>
      </c>
      <c r="AG559" s="2">
        <f t="shared" si="16"/>
        <v>0</v>
      </c>
      <c r="AH559" s="2">
        <f t="shared" si="17"/>
        <v>0</v>
      </c>
      <c r="AI559" s="2">
        <f t="shared" si="18"/>
      </c>
    </row>
    <row r="560">
      <c r="A560" s="43">
        <f t="shared" si="0"/>
      </c>
      <c r="B560" s="54" t="n"/>
      <c r="C560" s="45" t="n"/>
      <c r="D560" s="50" t="n"/>
      <c r="E560" s="55" t="n"/>
      <c r="F560" s="50" t="n"/>
      <c r="G560" s="55" t="n"/>
      <c r="H560" s="50" t="n"/>
      <c r="I560" s="55" t="n"/>
      <c r="J560" s="50" t="n"/>
      <c r="K560" s="55" t="n"/>
      <c r="L560" s="56" t="n"/>
      <c r="M560" s="57" t="n"/>
      <c r="N560" s="57" t="n"/>
      <c r="O560" s="57" t="n"/>
      <c r="P560" s="57" t="n"/>
      <c r="Q560" s="50" t="n"/>
      <c r="R560" s="58">
        <f t="shared" si="1"/>
      </c>
      <c r="S560" s="59">
        <f t="shared" si="2"/>
      </c>
      <c r="T560" s="43">
        <f t="shared" si="3"/>
      </c>
      <c r="U560" s="60">
        <f t="shared" si="4"/>
      </c>
      <c r="V560" s="60">
        <f t="shared" si="5"/>
      </c>
      <c r="W560" s="60">
        <f t="shared" si="6"/>
      </c>
      <c r="X560" s="49">
        <f t="shared" si="7"/>
      </c>
      <c r="Y560" s="2">
        <f t="shared" si="8"/>
      </c>
      <c r="Z560" s="2">
        <f t="shared" si="9"/>
        <v>0</v>
      </c>
      <c r="AA560" s="2">
        <f t="shared" si="10"/>
        <v>0</v>
      </c>
      <c r="AB560" s="2">
        <f t="shared" si="11"/>
        <v>0</v>
      </c>
      <c r="AC560" s="2">
        <f t="shared" si="12"/>
        <v>0</v>
      </c>
      <c r="AD560" s="2">
        <f t="shared" si="13"/>
        <v>0</v>
      </c>
      <c r="AE560" s="2">
        <f t="shared" si="14"/>
        <v>0</v>
      </c>
      <c r="AF560" s="2">
        <f t="shared" si="15"/>
        <v>0</v>
      </c>
      <c r="AG560" s="2">
        <f t="shared" si="16"/>
        <v>0</v>
      </c>
      <c r="AH560" s="2">
        <f t="shared" si="17"/>
        <v>0</v>
      </c>
      <c r="AI560" s="2">
        <f t="shared" si="18"/>
      </c>
    </row>
    <row r="561">
      <c r="A561" s="43">
        <f t="shared" si="0"/>
      </c>
      <c r="B561" s="54" t="n"/>
      <c r="C561" s="45" t="n"/>
      <c r="D561" s="50" t="n"/>
      <c r="E561" s="55" t="n"/>
      <c r="F561" s="50" t="n"/>
      <c r="G561" s="55" t="n"/>
      <c r="H561" s="50" t="n"/>
      <c r="I561" s="55" t="n"/>
      <c r="J561" s="50" t="n"/>
      <c r="K561" s="55" t="n"/>
      <c r="L561" s="56" t="n"/>
      <c r="M561" s="57" t="n"/>
      <c r="N561" s="57" t="n"/>
      <c r="O561" s="57" t="n"/>
      <c r="P561" s="57" t="n"/>
      <c r="Q561" s="50" t="n"/>
      <c r="R561" s="58">
        <f t="shared" si="1"/>
      </c>
      <c r="S561" s="59">
        <f t="shared" si="2"/>
      </c>
      <c r="T561" s="43">
        <f t="shared" si="3"/>
      </c>
      <c r="U561" s="60">
        <f t="shared" si="4"/>
      </c>
      <c r="V561" s="60">
        <f t="shared" si="5"/>
      </c>
      <c r="W561" s="60">
        <f t="shared" si="6"/>
      </c>
      <c r="X561" s="49">
        <f t="shared" si="7"/>
      </c>
      <c r="Y561" s="2">
        <f t="shared" si="8"/>
      </c>
      <c r="Z561" s="2">
        <f t="shared" si="9"/>
        <v>0</v>
      </c>
      <c r="AA561" s="2">
        <f t="shared" si="10"/>
        <v>0</v>
      </c>
      <c r="AB561" s="2">
        <f t="shared" si="11"/>
        <v>0</v>
      </c>
      <c r="AC561" s="2">
        <f t="shared" si="12"/>
        <v>0</v>
      </c>
      <c r="AD561" s="2">
        <f t="shared" si="13"/>
        <v>0</v>
      </c>
      <c r="AE561" s="2">
        <f t="shared" si="14"/>
        <v>0</v>
      </c>
      <c r="AF561" s="2">
        <f t="shared" si="15"/>
        <v>0</v>
      </c>
      <c r="AG561" s="2">
        <f t="shared" si="16"/>
        <v>0</v>
      </c>
      <c r="AH561" s="2">
        <f t="shared" si="17"/>
        <v>0</v>
      </c>
      <c r="AI561" s="2">
        <f t="shared" si="18"/>
      </c>
    </row>
    <row r="562">
      <c r="A562" s="43">
        <f t="shared" si="0"/>
      </c>
      <c r="B562" s="54" t="n"/>
      <c r="C562" s="45" t="n"/>
      <c r="D562" s="50" t="n"/>
      <c r="E562" s="55" t="n"/>
      <c r="F562" s="50" t="n"/>
      <c r="G562" s="55" t="n"/>
      <c r="H562" s="50" t="n"/>
      <c r="I562" s="55" t="n"/>
      <c r="J562" s="50" t="n"/>
      <c r="K562" s="55" t="n"/>
      <c r="L562" s="56" t="n"/>
      <c r="M562" s="57" t="n"/>
      <c r="N562" s="57" t="n"/>
      <c r="O562" s="57" t="n"/>
      <c r="P562" s="57" t="n"/>
      <c r="Q562" s="50" t="n"/>
      <c r="R562" s="58">
        <f t="shared" si="1"/>
      </c>
      <c r="S562" s="59">
        <f t="shared" si="2"/>
      </c>
      <c r="T562" s="43">
        <f t="shared" si="3"/>
      </c>
      <c r="U562" s="60">
        <f t="shared" si="4"/>
      </c>
      <c r="V562" s="60">
        <f t="shared" si="5"/>
      </c>
      <c r="W562" s="60">
        <f t="shared" si="6"/>
      </c>
      <c r="X562" s="49">
        <f t="shared" si="7"/>
      </c>
      <c r="Y562" s="2">
        <f t="shared" si="8"/>
      </c>
      <c r="Z562" s="2">
        <f t="shared" si="9"/>
        <v>0</v>
      </c>
      <c r="AA562" s="2">
        <f t="shared" si="10"/>
        <v>0</v>
      </c>
      <c r="AB562" s="2">
        <f t="shared" si="11"/>
        <v>0</v>
      </c>
      <c r="AC562" s="2">
        <f t="shared" si="12"/>
        <v>0</v>
      </c>
      <c r="AD562" s="2">
        <f t="shared" si="13"/>
        <v>0</v>
      </c>
      <c r="AE562" s="2">
        <f t="shared" si="14"/>
        <v>0</v>
      </c>
      <c r="AF562" s="2">
        <f t="shared" si="15"/>
        <v>0</v>
      </c>
      <c r="AG562" s="2">
        <f t="shared" si="16"/>
        <v>0</v>
      </c>
      <c r="AH562" s="2">
        <f t="shared" si="17"/>
        <v>0</v>
      </c>
      <c r="AI562" s="2">
        <f t="shared" si="18"/>
      </c>
    </row>
    <row r="563">
      <c r="A563" s="43">
        <f t="shared" si="0"/>
      </c>
      <c r="B563" s="54" t="n"/>
      <c r="C563" s="45" t="n"/>
      <c r="D563" s="50" t="n"/>
      <c r="E563" s="55" t="n"/>
      <c r="F563" s="50" t="n"/>
      <c r="G563" s="55" t="n"/>
      <c r="H563" s="50" t="n"/>
      <c r="I563" s="55" t="n"/>
      <c r="J563" s="50" t="n"/>
      <c r="K563" s="55" t="n"/>
      <c r="L563" s="56" t="n"/>
      <c r="M563" s="57" t="n"/>
      <c r="N563" s="57" t="n"/>
      <c r="O563" s="57" t="n"/>
      <c r="P563" s="57" t="n"/>
      <c r="Q563" s="50" t="n"/>
      <c r="R563" s="58">
        <f t="shared" si="1"/>
      </c>
      <c r="S563" s="59">
        <f t="shared" si="2"/>
      </c>
      <c r="T563" s="43">
        <f t="shared" si="3"/>
      </c>
      <c r="U563" s="60">
        <f t="shared" si="4"/>
      </c>
      <c r="V563" s="60">
        <f t="shared" si="5"/>
      </c>
      <c r="W563" s="60">
        <f t="shared" si="6"/>
      </c>
      <c r="X563" s="49">
        <f t="shared" si="7"/>
      </c>
      <c r="Y563" s="2">
        <f t="shared" si="8"/>
      </c>
      <c r="Z563" s="2">
        <f t="shared" si="9"/>
        <v>0</v>
      </c>
      <c r="AA563" s="2">
        <f t="shared" si="10"/>
        <v>0</v>
      </c>
      <c r="AB563" s="2">
        <f t="shared" si="11"/>
        <v>0</v>
      </c>
      <c r="AC563" s="2">
        <f t="shared" si="12"/>
        <v>0</v>
      </c>
      <c r="AD563" s="2">
        <f t="shared" si="13"/>
        <v>0</v>
      </c>
      <c r="AE563" s="2">
        <f t="shared" si="14"/>
        <v>0</v>
      </c>
      <c r="AF563" s="2">
        <f t="shared" si="15"/>
        <v>0</v>
      </c>
      <c r="AG563" s="2">
        <f t="shared" si="16"/>
        <v>0</v>
      </c>
      <c r="AH563" s="2">
        <f t="shared" si="17"/>
        <v>0</v>
      </c>
      <c r="AI563" s="2">
        <f t="shared" si="18"/>
      </c>
    </row>
    <row r="564">
      <c r="A564" s="43">
        <f t="shared" si="0"/>
      </c>
      <c r="B564" s="54" t="n"/>
      <c r="C564" s="45" t="n"/>
      <c r="D564" s="50" t="n"/>
      <c r="E564" s="55" t="n"/>
      <c r="F564" s="50" t="n"/>
      <c r="G564" s="55" t="n"/>
      <c r="H564" s="50" t="n"/>
      <c r="I564" s="55" t="n"/>
      <c r="J564" s="50" t="n"/>
      <c r="K564" s="55" t="n"/>
      <c r="L564" s="56" t="n"/>
      <c r="M564" s="57" t="n"/>
      <c r="N564" s="57" t="n"/>
      <c r="O564" s="57" t="n"/>
      <c r="P564" s="57" t="n"/>
      <c r="Q564" s="50" t="n"/>
      <c r="R564" s="58">
        <f t="shared" si="1"/>
      </c>
      <c r="S564" s="59">
        <f t="shared" si="2"/>
      </c>
      <c r="T564" s="43">
        <f t="shared" si="3"/>
      </c>
      <c r="U564" s="60">
        <f t="shared" si="4"/>
      </c>
      <c r="V564" s="60">
        <f t="shared" si="5"/>
      </c>
      <c r="W564" s="60">
        <f t="shared" si="6"/>
      </c>
      <c r="X564" s="49">
        <f t="shared" si="7"/>
      </c>
      <c r="Y564" s="2">
        <f t="shared" si="8"/>
      </c>
      <c r="Z564" s="2">
        <f t="shared" si="9"/>
        <v>0</v>
      </c>
      <c r="AA564" s="2">
        <f t="shared" si="10"/>
        <v>0</v>
      </c>
      <c r="AB564" s="2">
        <f t="shared" si="11"/>
        <v>0</v>
      </c>
      <c r="AC564" s="2">
        <f t="shared" si="12"/>
        <v>0</v>
      </c>
      <c r="AD564" s="2">
        <f t="shared" si="13"/>
        <v>0</v>
      </c>
      <c r="AE564" s="2">
        <f t="shared" si="14"/>
        <v>0</v>
      </c>
      <c r="AF564" s="2">
        <f t="shared" si="15"/>
        <v>0</v>
      </c>
      <c r="AG564" s="2">
        <f t="shared" si="16"/>
        <v>0</v>
      </c>
      <c r="AH564" s="2">
        <f t="shared" si="17"/>
        <v>0</v>
      </c>
      <c r="AI564" s="2">
        <f t="shared" si="18"/>
      </c>
    </row>
    <row r="565">
      <c r="A565" s="43">
        <f t="shared" si="0"/>
      </c>
      <c r="B565" s="54" t="n"/>
      <c r="C565" s="45" t="n"/>
      <c r="D565" s="50" t="n"/>
      <c r="E565" s="55" t="n"/>
      <c r="F565" s="50" t="n"/>
      <c r="G565" s="55" t="n"/>
      <c r="H565" s="50" t="n"/>
      <c r="I565" s="55" t="n"/>
      <c r="J565" s="50" t="n"/>
      <c r="K565" s="55" t="n"/>
      <c r="L565" s="56" t="n"/>
      <c r="M565" s="57" t="n"/>
      <c r="N565" s="57" t="n"/>
      <c r="O565" s="57" t="n"/>
      <c r="P565" s="57" t="n"/>
      <c r="Q565" s="50" t="n"/>
      <c r="R565" s="58">
        <f t="shared" si="1"/>
      </c>
      <c r="S565" s="59">
        <f t="shared" si="2"/>
      </c>
      <c r="T565" s="43">
        <f t="shared" si="3"/>
      </c>
      <c r="U565" s="60">
        <f t="shared" si="4"/>
      </c>
      <c r="V565" s="60">
        <f t="shared" si="5"/>
      </c>
      <c r="W565" s="60">
        <f t="shared" si="6"/>
      </c>
      <c r="X565" s="49">
        <f t="shared" si="7"/>
      </c>
      <c r="Y565" s="2">
        <f t="shared" si="8"/>
      </c>
      <c r="Z565" s="2">
        <f t="shared" si="9"/>
        <v>0</v>
      </c>
      <c r="AA565" s="2">
        <f t="shared" si="10"/>
        <v>0</v>
      </c>
      <c r="AB565" s="2">
        <f t="shared" si="11"/>
        <v>0</v>
      </c>
      <c r="AC565" s="2">
        <f t="shared" si="12"/>
        <v>0</v>
      </c>
      <c r="AD565" s="2">
        <f t="shared" si="13"/>
        <v>0</v>
      </c>
      <c r="AE565" s="2">
        <f t="shared" si="14"/>
        <v>0</v>
      </c>
      <c r="AF565" s="2">
        <f t="shared" si="15"/>
        <v>0</v>
      </c>
      <c r="AG565" s="2">
        <f t="shared" si="16"/>
        <v>0</v>
      </c>
      <c r="AH565" s="2">
        <f t="shared" si="17"/>
        <v>0</v>
      </c>
      <c r="AI565" s="2">
        <f t="shared" si="18"/>
      </c>
    </row>
    <row r="566">
      <c r="A566" s="43">
        <f t="shared" si="0"/>
      </c>
      <c r="B566" s="54" t="n"/>
      <c r="C566" s="45" t="n"/>
      <c r="D566" s="50" t="n"/>
      <c r="E566" s="55" t="n"/>
      <c r="F566" s="50" t="n"/>
      <c r="G566" s="55" t="n"/>
      <c r="H566" s="50" t="n"/>
      <c r="I566" s="55" t="n"/>
      <c r="J566" s="50" t="n"/>
      <c r="K566" s="55" t="n"/>
      <c r="L566" s="56" t="n"/>
      <c r="M566" s="57" t="n"/>
      <c r="N566" s="57" t="n"/>
      <c r="O566" s="57" t="n"/>
      <c r="P566" s="57" t="n"/>
      <c r="Q566" s="50" t="n"/>
      <c r="R566" s="58">
        <f t="shared" si="1"/>
      </c>
      <c r="S566" s="59">
        <f t="shared" si="2"/>
      </c>
      <c r="T566" s="43">
        <f t="shared" si="3"/>
      </c>
      <c r="U566" s="60">
        <f t="shared" si="4"/>
      </c>
      <c r="V566" s="60">
        <f t="shared" si="5"/>
      </c>
      <c r="W566" s="60">
        <f t="shared" si="6"/>
      </c>
      <c r="X566" s="49">
        <f t="shared" si="7"/>
      </c>
      <c r="Y566" s="2">
        <f t="shared" si="8"/>
      </c>
      <c r="Z566" s="2">
        <f t="shared" si="9"/>
        <v>0</v>
      </c>
      <c r="AA566" s="2">
        <f t="shared" si="10"/>
        <v>0</v>
      </c>
      <c r="AB566" s="2">
        <f t="shared" si="11"/>
        <v>0</v>
      </c>
      <c r="AC566" s="2">
        <f t="shared" si="12"/>
        <v>0</v>
      </c>
      <c r="AD566" s="2">
        <f t="shared" si="13"/>
        <v>0</v>
      </c>
      <c r="AE566" s="2">
        <f t="shared" si="14"/>
        <v>0</v>
      </c>
      <c r="AF566" s="2">
        <f t="shared" si="15"/>
        <v>0</v>
      </c>
      <c r="AG566" s="2">
        <f t="shared" si="16"/>
        <v>0</v>
      </c>
      <c r="AH566" s="2">
        <f t="shared" si="17"/>
        <v>0</v>
      </c>
      <c r="AI566" s="2">
        <f t="shared" si="18"/>
      </c>
    </row>
    <row r="567">
      <c r="A567" s="43">
        <f t="shared" si="0"/>
      </c>
      <c r="B567" s="54" t="n"/>
      <c r="C567" s="45" t="n"/>
      <c r="D567" s="50" t="n"/>
      <c r="E567" s="55" t="n"/>
      <c r="F567" s="50" t="n"/>
      <c r="G567" s="55" t="n"/>
      <c r="H567" s="50" t="n"/>
      <c r="I567" s="55" t="n"/>
      <c r="J567" s="50" t="n"/>
      <c r="K567" s="55" t="n"/>
      <c r="L567" s="56" t="n"/>
      <c r="M567" s="57" t="n"/>
      <c r="N567" s="57" t="n"/>
      <c r="O567" s="57" t="n"/>
      <c r="P567" s="57" t="n"/>
      <c r="Q567" s="50" t="n"/>
      <c r="R567" s="58">
        <f t="shared" si="1"/>
      </c>
      <c r="S567" s="59">
        <f t="shared" si="2"/>
      </c>
      <c r="T567" s="43">
        <f t="shared" si="3"/>
      </c>
      <c r="U567" s="60">
        <f t="shared" si="4"/>
      </c>
      <c r="V567" s="60">
        <f t="shared" si="5"/>
      </c>
      <c r="W567" s="60">
        <f t="shared" si="6"/>
      </c>
      <c r="X567" s="49">
        <f t="shared" si="7"/>
      </c>
      <c r="Y567" s="2">
        <f t="shared" si="8"/>
      </c>
      <c r="Z567" s="2">
        <f t="shared" si="9"/>
        <v>0</v>
      </c>
      <c r="AA567" s="2">
        <f t="shared" si="10"/>
        <v>0</v>
      </c>
      <c r="AB567" s="2">
        <f t="shared" si="11"/>
        <v>0</v>
      </c>
      <c r="AC567" s="2">
        <f t="shared" si="12"/>
        <v>0</v>
      </c>
      <c r="AD567" s="2">
        <f t="shared" si="13"/>
        <v>0</v>
      </c>
      <c r="AE567" s="2">
        <f t="shared" si="14"/>
        <v>0</v>
      </c>
      <c r="AF567" s="2">
        <f t="shared" si="15"/>
        <v>0</v>
      </c>
      <c r="AG567" s="2">
        <f t="shared" si="16"/>
        <v>0</v>
      </c>
      <c r="AH567" s="2">
        <f t="shared" si="17"/>
        <v>0</v>
      </c>
      <c r="AI567" s="2">
        <f t="shared" si="18"/>
      </c>
    </row>
    <row r="568">
      <c r="A568" s="43">
        <f t="shared" si="0"/>
      </c>
      <c r="B568" s="54" t="n"/>
      <c r="C568" s="45" t="n"/>
      <c r="D568" s="50" t="n"/>
      <c r="E568" s="55" t="n"/>
      <c r="F568" s="50" t="n"/>
      <c r="G568" s="55" t="n"/>
      <c r="H568" s="50" t="n"/>
      <c r="I568" s="55" t="n"/>
      <c r="J568" s="50" t="n"/>
      <c r="K568" s="55" t="n"/>
      <c r="L568" s="56" t="n"/>
      <c r="M568" s="57" t="n"/>
      <c r="N568" s="57" t="n"/>
      <c r="O568" s="57" t="n"/>
      <c r="P568" s="57" t="n"/>
      <c r="Q568" s="50" t="n"/>
      <c r="R568" s="58">
        <f t="shared" si="1"/>
      </c>
      <c r="S568" s="59">
        <f t="shared" si="2"/>
      </c>
      <c r="T568" s="43">
        <f t="shared" si="3"/>
      </c>
      <c r="U568" s="60">
        <f t="shared" si="4"/>
      </c>
      <c r="V568" s="60">
        <f t="shared" si="5"/>
      </c>
      <c r="W568" s="60">
        <f t="shared" si="6"/>
      </c>
      <c r="X568" s="49">
        <f t="shared" si="7"/>
      </c>
      <c r="Y568" s="2">
        <f t="shared" si="8"/>
      </c>
      <c r="Z568" s="2">
        <f t="shared" si="9"/>
        <v>0</v>
      </c>
      <c r="AA568" s="2">
        <f t="shared" si="10"/>
        <v>0</v>
      </c>
      <c r="AB568" s="2">
        <f t="shared" si="11"/>
        <v>0</v>
      </c>
      <c r="AC568" s="2">
        <f t="shared" si="12"/>
        <v>0</v>
      </c>
      <c r="AD568" s="2">
        <f t="shared" si="13"/>
        <v>0</v>
      </c>
      <c r="AE568" s="2">
        <f t="shared" si="14"/>
        <v>0</v>
      </c>
      <c r="AF568" s="2">
        <f t="shared" si="15"/>
        <v>0</v>
      </c>
      <c r="AG568" s="2">
        <f t="shared" si="16"/>
        <v>0</v>
      </c>
      <c r="AH568" s="2">
        <f t="shared" si="17"/>
        <v>0</v>
      </c>
      <c r="AI568" s="2">
        <f t="shared" si="18"/>
      </c>
    </row>
    <row r="569">
      <c r="A569" s="43">
        <f t="shared" si="0"/>
      </c>
      <c r="B569" s="54" t="n"/>
      <c r="C569" s="45" t="n"/>
      <c r="D569" s="50" t="n"/>
      <c r="E569" s="55" t="n"/>
      <c r="F569" s="50" t="n"/>
      <c r="G569" s="55" t="n"/>
      <c r="H569" s="50" t="n"/>
      <c r="I569" s="55" t="n"/>
      <c r="J569" s="50" t="n"/>
      <c r="K569" s="55" t="n"/>
      <c r="L569" s="56" t="n"/>
      <c r="M569" s="57" t="n"/>
      <c r="N569" s="57" t="n"/>
      <c r="O569" s="57" t="n"/>
      <c r="P569" s="57" t="n"/>
      <c r="Q569" s="50" t="n"/>
      <c r="R569" s="58">
        <f t="shared" si="1"/>
      </c>
      <c r="S569" s="59">
        <f t="shared" si="2"/>
      </c>
      <c r="T569" s="43">
        <f t="shared" si="3"/>
      </c>
      <c r="U569" s="60">
        <f t="shared" si="4"/>
      </c>
      <c r="V569" s="60">
        <f t="shared" si="5"/>
      </c>
      <c r="W569" s="60">
        <f t="shared" si="6"/>
      </c>
      <c r="X569" s="49">
        <f t="shared" si="7"/>
      </c>
      <c r="Y569" s="2">
        <f t="shared" si="8"/>
      </c>
      <c r="Z569" s="2">
        <f t="shared" si="9"/>
        <v>0</v>
      </c>
      <c r="AA569" s="2">
        <f t="shared" si="10"/>
        <v>0</v>
      </c>
      <c r="AB569" s="2">
        <f t="shared" si="11"/>
        <v>0</v>
      </c>
      <c r="AC569" s="2">
        <f t="shared" si="12"/>
        <v>0</v>
      </c>
      <c r="AD569" s="2">
        <f t="shared" si="13"/>
        <v>0</v>
      </c>
      <c r="AE569" s="2">
        <f t="shared" si="14"/>
        <v>0</v>
      </c>
      <c r="AF569" s="2">
        <f t="shared" si="15"/>
        <v>0</v>
      </c>
      <c r="AG569" s="2">
        <f t="shared" si="16"/>
        <v>0</v>
      </c>
      <c r="AH569" s="2">
        <f t="shared" si="17"/>
        <v>0</v>
      </c>
      <c r="AI569" s="2">
        <f t="shared" si="18"/>
      </c>
    </row>
    <row r="570">
      <c r="A570" s="43">
        <f t="shared" si="0"/>
      </c>
      <c r="B570" s="54" t="n"/>
      <c r="C570" s="45" t="n"/>
      <c r="D570" s="50" t="n"/>
      <c r="E570" s="55" t="n"/>
      <c r="F570" s="50" t="n"/>
      <c r="G570" s="55" t="n"/>
      <c r="H570" s="50" t="n"/>
      <c r="I570" s="55" t="n"/>
      <c r="J570" s="50" t="n"/>
      <c r="K570" s="55" t="n"/>
      <c r="L570" s="56" t="n"/>
      <c r="M570" s="57" t="n"/>
      <c r="N570" s="57" t="n"/>
      <c r="O570" s="57" t="n"/>
      <c r="P570" s="57" t="n"/>
      <c r="Q570" s="50" t="n"/>
      <c r="R570" s="58">
        <f t="shared" si="1"/>
      </c>
      <c r="S570" s="59">
        <f t="shared" si="2"/>
      </c>
      <c r="T570" s="43">
        <f t="shared" si="3"/>
      </c>
      <c r="U570" s="60">
        <f t="shared" si="4"/>
      </c>
      <c r="V570" s="60">
        <f t="shared" si="5"/>
      </c>
      <c r="W570" s="60">
        <f t="shared" si="6"/>
      </c>
      <c r="X570" s="49">
        <f t="shared" si="7"/>
      </c>
      <c r="Y570" s="2">
        <f t="shared" si="8"/>
      </c>
      <c r="Z570" s="2">
        <f t="shared" si="9"/>
        <v>0</v>
      </c>
      <c r="AA570" s="2">
        <f t="shared" si="10"/>
        <v>0</v>
      </c>
      <c r="AB570" s="2">
        <f t="shared" si="11"/>
        <v>0</v>
      </c>
      <c r="AC570" s="2">
        <f t="shared" si="12"/>
        <v>0</v>
      </c>
      <c r="AD570" s="2">
        <f t="shared" si="13"/>
        <v>0</v>
      </c>
      <c r="AE570" s="2">
        <f t="shared" si="14"/>
        <v>0</v>
      </c>
      <c r="AF570" s="2">
        <f t="shared" si="15"/>
        <v>0</v>
      </c>
      <c r="AG570" s="2">
        <f t="shared" si="16"/>
        <v>0</v>
      </c>
      <c r="AH570" s="2">
        <f t="shared" si="17"/>
        <v>0</v>
      </c>
      <c r="AI570" s="2">
        <f t="shared" si="18"/>
      </c>
    </row>
    <row r="571">
      <c r="A571" s="43">
        <f t="shared" si="0"/>
      </c>
      <c r="B571" s="54" t="n"/>
      <c r="C571" s="45" t="n"/>
      <c r="D571" s="50" t="n"/>
      <c r="E571" s="55" t="n"/>
      <c r="F571" s="50" t="n"/>
      <c r="G571" s="55" t="n"/>
      <c r="H571" s="50" t="n"/>
      <c r="I571" s="55" t="n"/>
      <c r="J571" s="50" t="n"/>
      <c r="K571" s="55" t="n"/>
      <c r="L571" s="56" t="n"/>
      <c r="M571" s="57" t="n"/>
      <c r="N571" s="57" t="n"/>
      <c r="O571" s="57" t="n"/>
      <c r="P571" s="57" t="n"/>
      <c r="Q571" s="50" t="n"/>
      <c r="R571" s="58">
        <f t="shared" si="1"/>
      </c>
      <c r="S571" s="59">
        <f t="shared" si="2"/>
      </c>
      <c r="T571" s="43">
        <f t="shared" si="3"/>
      </c>
      <c r="U571" s="60">
        <f t="shared" si="4"/>
      </c>
      <c r="V571" s="60">
        <f t="shared" si="5"/>
      </c>
      <c r="W571" s="60">
        <f t="shared" si="6"/>
      </c>
      <c r="X571" s="49">
        <f t="shared" si="7"/>
      </c>
      <c r="Y571" s="2">
        <f t="shared" si="8"/>
      </c>
      <c r="Z571" s="2">
        <f t="shared" si="9"/>
        <v>0</v>
      </c>
      <c r="AA571" s="2">
        <f t="shared" si="10"/>
        <v>0</v>
      </c>
      <c r="AB571" s="2">
        <f t="shared" si="11"/>
        <v>0</v>
      </c>
      <c r="AC571" s="2">
        <f t="shared" si="12"/>
        <v>0</v>
      </c>
      <c r="AD571" s="2">
        <f t="shared" si="13"/>
        <v>0</v>
      </c>
      <c r="AE571" s="2">
        <f t="shared" si="14"/>
        <v>0</v>
      </c>
      <c r="AF571" s="2">
        <f t="shared" si="15"/>
        <v>0</v>
      </c>
      <c r="AG571" s="2">
        <f t="shared" si="16"/>
        <v>0</v>
      </c>
      <c r="AH571" s="2">
        <f t="shared" si="17"/>
        <v>0</v>
      </c>
      <c r="AI571" s="2">
        <f t="shared" si="18"/>
      </c>
    </row>
    <row r="572">
      <c r="A572" s="43">
        <f t="shared" si="0"/>
      </c>
      <c r="B572" s="54" t="n"/>
      <c r="C572" s="45" t="n"/>
      <c r="D572" s="50" t="n"/>
      <c r="E572" s="55" t="n"/>
      <c r="F572" s="50" t="n"/>
      <c r="G572" s="55" t="n"/>
      <c r="H572" s="50" t="n"/>
      <c r="I572" s="55" t="n"/>
      <c r="J572" s="50" t="n"/>
      <c r="K572" s="55" t="n"/>
      <c r="L572" s="56" t="n"/>
      <c r="M572" s="57" t="n"/>
      <c r="N572" s="57" t="n"/>
      <c r="O572" s="57" t="n"/>
      <c r="P572" s="57" t="n"/>
      <c r="Q572" s="50" t="n"/>
      <c r="R572" s="58">
        <f t="shared" si="1"/>
      </c>
      <c r="S572" s="59">
        <f t="shared" si="2"/>
      </c>
      <c r="T572" s="43">
        <f t="shared" si="3"/>
      </c>
      <c r="U572" s="60">
        <f t="shared" si="4"/>
      </c>
      <c r="V572" s="60">
        <f t="shared" si="5"/>
      </c>
      <c r="W572" s="60">
        <f t="shared" si="6"/>
      </c>
      <c r="X572" s="49">
        <f t="shared" si="7"/>
      </c>
      <c r="Y572" s="2">
        <f t="shared" si="8"/>
      </c>
      <c r="Z572" s="2">
        <f t="shared" si="9"/>
        <v>0</v>
      </c>
      <c r="AA572" s="2">
        <f t="shared" si="10"/>
        <v>0</v>
      </c>
      <c r="AB572" s="2">
        <f t="shared" si="11"/>
        <v>0</v>
      </c>
      <c r="AC572" s="2">
        <f t="shared" si="12"/>
        <v>0</v>
      </c>
      <c r="AD572" s="2">
        <f t="shared" si="13"/>
        <v>0</v>
      </c>
      <c r="AE572" s="2">
        <f t="shared" si="14"/>
        <v>0</v>
      </c>
      <c r="AF572" s="2">
        <f t="shared" si="15"/>
        <v>0</v>
      </c>
      <c r="AG572" s="2">
        <f t="shared" si="16"/>
        <v>0</v>
      </c>
      <c r="AH572" s="2">
        <f t="shared" si="17"/>
        <v>0</v>
      </c>
      <c r="AI572" s="2">
        <f t="shared" si="18"/>
      </c>
    </row>
    <row r="573">
      <c r="A573" s="43">
        <f t="shared" si="0"/>
      </c>
      <c r="B573" s="54" t="n"/>
      <c r="C573" s="45" t="n"/>
      <c r="D573" s="50" t="n"/>
      <c r="E573" s="55" t="n"/>
      <c r="F573" s="50" t="n"/>
      <c r="G573" s="55" t="n"/>
      <c r="H573" s="50" t="n"/>
      <c r="I573" s="55" t="n"/>
      <c r="J573" s="50" t="n"/>
      <c r="K573" s="55" t="n"/>
      <c r="L573" s="56" t="n"/>
      <c r="M573" s="57" t="n"/>
      <c r="N573" s="57" t="n"/>
      <c r="O573" s="57" t="n"/>
      <c r="P573" s="57" t="n"/>
      <c r="Q573" s="50" t="n"/>
      <c r="R573" s="58">
        <f t="shared" si="1"/>
      </c>
      <c r="S573" s="59">
        <f t="shared" si="2"/>
      </c>
      <c r="T573" s="43">
        <f t="shared" si="3"/>
      </c>
      <c r="U573" s="60">
        <f t="shared" si="4"/>
      </c>
      <c r="V573" s="60">
        <f t="shared" si="5"/>
      </c>
      <c r="W573" s="60">
        <f t="shared" si="6"/>
      </c>
      <c r="X573" s="49">
        <f t="shared" si="7"/>
      </c>
      <c r="Y573" s="2">
        <f t="shared" si="8"/>
      </c>
      <c r="Z573" s="2">
        <f t="shared" si="9"/>
        <v>0</v>
      </c>
      <c r="AA573" s="2">
        <f t="shared" si="10"/>
        <v>0</v>
      </c>
      <c r="AB573" s="2">
        <f t="shared" si="11"/>
        <v>0</v>
      </c>
      <c r="AC573" s="2">
        <f t="shared" si="12"/>
        <v>0</v>
      </c>
      <c r="AD573" s="2">
        <f t="shared" si="13"/>
        <v>0</v>
      </c>
      <c r="AE573" s="2">
        <f t="shared" si="14"/>
        <v>0</v>
      </c>
      <c r="AF573" s="2">
        <f t="shared" si="15"/>
        <v>0</v>
      </c>
      <c r="AG573" s="2">
        <f t="shared" si="16"/>
        <v>0</v>
      </c>
      <c r="AH573" s="2">
        <f t="shared" si="17"/>
        <v>0</v>
      </c>
      <c r="AI573" s="2">
        <f t="shared" si="18"/>
      </c>
    </row>
    <row r="574">
      <c r="A574" s="43">
        <f t="shared" si="0"/>
      </c>
      <c r="B574" s="54" t="n"/>
      <c r="C574" s="45" t="n"/>
      <c r="D574" s="50" t="n"/>
      <c r="E574" s="55" t="n"/>
      <c r="F574" s="50" t="n"/>
      <c r="G574" s="55" t="n"/>
      <c r="H574" s="50" t="n"/>
      <c r="I574" s="55" t="n"/>
      <c r="J574" s="50" t="n"/>
      <c r="K574" s="55" t="n"/>
      <c r="L574" s="56" t="n"/>
      <c r="M574" s="57" t="n"/>
      <c r="N574" s="57" t="n"/>
      <c r="O574" s="57" t="n"/>
      <c r="P574" s="57" t="n"/>
      <c r="Q574" s="50" t="n"/>
      <c r="R574" s="58">
        <f t="shared" si="1"/>
      </c>
      <c r="S574" s="59">
        <f t="shared" si="2"/>
      </c>
      <c r="T574" s="43">
        <f t="shared" si="3"/>
      </c>
      <c r="U574" s="60">
        <f t="shared" si="4"/>
      </c>
      <c r="V574" s="60">
        <f t="shared" si="5"/>
      </c>
      <c r="W574" s="60">
        <f t="shared" si="6"/>
      </c>
      <c r="X574" s="49">
        <f t="shared" si="7"/>
      </c>
      <c r="Y574" s="2">
        <f t="shared" si="8"/>
      </c>
      <c r="Z574" s="2">
        <f t="shared" si="9"/>
        <v>0</v>
      </c>
      <c r="AA574" s="2">
        <f t="shared" si="10"/>
        <v>0</v>
      </c>
      <c r="AB574" s="2">
        <f t="shared" si="11"/>
        <v>0</v>
      </c>
      <c r="AC574" s="2">
        <f t="shared" si="12"/>
        <v>0</v>
      </c>
      <c r="AD574" s="2">
        <f t="shared" si="13"/>
        <v>0</v>
      </c>
      <c r="AE574" s="2">
        <f t="shared" si="14"/>
        <v>0</v>
      </c>
      <c r="AF574" s="2">
        <f t="shared" si="15"/>
        <v>0</v>
      </c>
      <c r="AG574" s="2">
        <f t="shared" si="16"/>
        <v>0</v>
      </c>
      <c r="AH574" s="2">
        <f t="shared" si="17"/>
        <v>0</v>
      </c>
      <c r="AI574" s="2">
        <f t="shared" si="18"/>
      </c>
    </row>
    <row r="575">
      <c r="A575" s="43">
        <f t="shared" si="0"/>
      </c>
      <c r="B575" s="54" t="n"/>
      <c r="C575" s="45" t="n"/>
      <c r="D575" s="50" t="n"/>
      <c r="E575" s="55" t="n"/>
      <c r="F575" s="50" t="n"/>
      <c r="G575" s="55" t="n"/>
      <c r="H575" s="50" t="n"/>
      <c r="I575" s="55" t="n"/>
      <c r="J575" s="50" t="n"/>
      <c r="K575" s="55" t="n"/>
      <c r="L575" s="56" t="n"/>
      <c r="M575" s="57" t="n"/>
      <c r="N575" s="57" t="n"/>
      <c r="O575" s="57" t="n"/>
      <c r="P575" s="57" t="n"/>
      <c r="Q575" s="50" t="n"/>
      <c r="R575" s="58">
        <f t="shared" si="1"/>
      </c>
      <c r="S575" s="59">
        <f t="shared" si="2"/>
      </c>
      <c r="T575" s="43">
        <f t="shared" si="3"/>
      </c>
      <c r="U575" s="60">
        <f t="shared" si="4"/>
      </c>
      <c r="V575" s="60">
        <f t="shared" si="5"/>
      </c>
      <c r="W575" s="60">
        <f t="shared" si="6"/>
      </c>
      <c r="X575" s="49">
        <f t="shared" si="7"/>
      </c>
      <c r="Y575" s="2">
        <f t="shared" si="8"/>
      </c>
      <c r="Z575" s="2">
        <f t="shared" si="9"/>
        <v>0</v>
      </c>
      <c r="AA575" s="2">
        <f t="shared" si="10"/>
        <v>0</v>
      </c>
      <c r="AB575" s="2">
        <f t="shared" si="11"/>
        <v>0</v>
      </c>
      <c r="AC575" s="2">
        <f t="shared" si="12"/>
        <v>0</v>
      </c>
      <c r="AD575" s="2">
        <f t="shared" si="13"/>
        <v>0</v>
      </c>
      <c r="AE575" s="2">
        <f t="shared" si="14"/>
        <v>0</v>
      </c>
      <c r="AF575" s="2">
        <f t="shared" si="15"/>
        <v>0</v>
      </c>
      <c r="AG575" s="2">
        <f t="shared" si="16"/>
        <v>0</v>
      </c>
      <c r="AH575" s="2">
        <f t="shared" si="17"/>
        <v>0</v>
      </c>
      <c r="AI575" s="2">
        <f t="shared" si="18"/>
      </c>
    </row>
    <row r="576">
      <c r="A576" s="43">
        <f t="shared" si="0"/>
      </c>
      <c r="B576" s="54" t="n"/>
      <c r="C576" s="45" t="n"/>
      <c r="D576" s="50" t="n"/>
      <c r="E576" s="55" t="n"/>
      <c r="F576" s="50" t="n"/>
      <c r="G576" s="55" t="n"/>
      <c r="H576" s="50" t="n"/>
      <c r="I576" s="55" t="n"/>
      <c r="J576" s="50" t="n"/>
      <c r="K576" s="55" t="n"/>
      <c r="L576" s="56" t="n"/>
      <c r="M576" s="57" t="n"/>
      <c r="N576" s="57" t="n"/>
      <c r="O576" s="57" t="n"/>
      <c r="P576" s="57" t="n"/>
      <c r="Q576" s="50" t="n"/>
      <c r="R576" s="58">
        <f t="shared" si="1"/>
      </c>
      <c r="S576" s="59">
        <f t="shared" si="2"/>
      </c>
      <c r="T576" s="43">
        <f t="shared" si="3"/>
      </c>
      <c r="U576" s="60">
        <f t="shared" si="4"/>
      </c>
      <c r="V576" s="60">
        <f t="shared" si="5"/>
      </c>
      <c r="W576" s="60">
        <f t="shared" si="6"/>
      </c>
      <c r="X576" s="49">
        <f t="shared" si="7"/>
      </c>
      <c r="Y576" s="2">
        <f t="shared" si="8"/>
      </c>
      <c r="Z576" s="2">
        <f t="shared" si="9"/>
        <v>0</v>
      </c>
      <c r="AA576" s="2">
        <f t="shared" si="10"/>
        <v>0</v>
      </c>
      <c r="AB576" s="2">
        <f t="shared" si="11"/>
        <v>0</v>
      </c>
      <c r="AC576" s="2">
        <f t="shared" si="12"/>
        <v>0</v>
      </c>
      <c r="AD576" s="2">
        <f t="shared" si="13"/>
        <v>0</v>
      </c>
      <c r="AE576" s="2">
        <f t="shared" si="14"/>
        <v>0</v>
      </c>
      <c r="AF576" s="2">
        <f t="shared" si="15"/>
        <v>0</v>
      </c>
      <c r="AG576" s="2">
        <f t="shared" si="16"/>
        <v>0</v>
      </c>
      <c r="AH576" s="2">
        <f t="shared" si="17"/>
        <v>0</v>
      </c>
      <c r="AI576" s="2">
        <f t="shared" si="18"/>
      </c>
    </row>
    <row r="577">
      <c r="A577" s="43">
        <f t="shared" si="0"/>
      </c>
      <c r="B577" s="54" t="n"/>
      <c r="C577" s="45" t="n"/>
      <c r="D577" s="50" t="n"/>
      <c r="E577" s="55" t="n"/>
      <c r="F577" s="50" t="n"/>
      <c r="G577" s="55" t="n"/>
      <c r="H577" s="50" t="n"/>
      <c r="I577" s="55" t="n"/>
      <c r="J577" s="50" t="n"/>
      <c r="K577" s="55" t="n"/>
      <c r="L577" s="56" t="n"/>
      <c r="M577" s="57" t="n"/>
      <c r="N577" s="57" t="n"/>
      <c r="O577" s="57" t="n"/>
      <c r="P577" s="57" t="n"/>
      <c r="Q577" s="50" t="n"/>
      <c r="R577" s="58">
        <f t="shared" si="1"/>
      </c>
      <c r="S577" s="59">
        <f t="shared" si="2"/>
      </c>
      <c r="T577" s="43">
        <f t="shared" si="3"/>
      </c>
      <c r="U577" s="60">
        <f t="shared" si="4"/>
      </c>
      <c r="V577" s="60">
        <f t="shared" si="5"/>
      </c>
      <c r="W577" s="60">
        <f t="shared" si="6"/>
      </c>
      <c r="X577" s="49">
        <f t="shared" si="7"/>
      </c>
      <c r="Y577" s="2">
        <f t="shared" si="8"/>
      </c>
      <c r="Z577" s="2">
        <f t="shared" si="9"/>
        <v>0</v>
      </c>
      <c r="AA577" s="2">
        <f t="shared" si="10"/>
        <v>0</v>
      </c>
      <c r="AB577" s="2">
        <f t="shared" si="11"/>
        <v>0</v>
      </c>
      <c r="AC577" s="2">
        <f t="shared" si="12"/>
        <v>0</v>
      </c>
      <c r="AD577" s="2">
        <f t="shared" si="13"/>
        <v>0</v>
      </c>
      <c r="AE577" s="2">
        <f t="shared" si="14"/>
        <v>0</v>
      </c>
      <c r="AF577" s="2">
        <f t="shared" si="15"/>
        <v>0</v>
      </c>
      <c r="AG577" s="2">
        <f t="shared" si="16"/>
        <v>0</v>
      </c>
      <c r="AH577" s="2">
        <f t="shared" si="17"/>
        <v>0</v>
      </c>
      <c r="AI577" s="2">
        <f t="shared" si="18"/>
      </c>
    </row>
    <row r="578">
      <c r="A578" s="43">
        <f t="shared" si="0"/>
      </c>
      <c r="B578" s="54" t="n"/>
      <c r="C578" s="45" t="n"/>
      <c r="D578" s="50" t="n"/>
      <c r="E578" s="55" t="n"/>
      <c r="F578" s="50" t="n"/>
      <c r="G578" s="55" t="n"/>
      <c r="H578" s="50" t="n"/>
      <c r="I578" s="55" t="n"/>
      <c r="J578" s="50" t="n"/>
      <c r="K578" s="55" t="n"/>
      <c r="L578" s="56" t="n"/>
      <c r="M578" s="57" t="n"/>
      <c r="N578" s="57" t="n"/>
      <c r="O578" s="57" t="n"/>
      <c r="P578" s="57" t="n"/>
      <c r="Q578" s="50" t="n"/>
      <c r="R578" s="58">
        <f t="shared" si="1"/>
      </c>
      <c r="S578" s="59">
        <f t="shared" si="2"/>
      </c>
      <c r="T578" s="43">
        <f t="shared" si="3"/>
      </c>
      <c r="U578" s="60">
        <f t="shared" si="4"/>
      </c>
      <c r="V578" s="60">
        <f t="shared" si="5"/>
      </c>
      <c r="W578" s="60">
        <f t="shared" si="6"/>
      </c>
      <c r="X578" s="49">
        <f t="shared" si="7"/>
      </c>
      <c r="Y578" s="2">
        <f t="shared" si="8"/>
      </c>
      <c r="Z578" s="2">
        <f t="shared" si="9"/>
        <v>0</v>
      </c>
      <c r="AA578" s="2">
        <f t="shared" si="10"/>
        <v>0</v>
      </c>
      <c r="AB578" s="2">
        <f t="shared" si="11"/>
        <v>0</v>
      </c>
      <c r="AC578" s="2">
        <f t="shared" si="12"/>
        <v>0</v>
      </c>
      <c r="AD578" s="2">
        <f t="shared" si="13"/>
        <v>0</v>
      </c>
      <c r="AE578" s="2">
        <f t="shared" si="14"/>
        <v>0</v>
      </c>
      <c r="AF578" s="2">
        <f t="shared" si="15"/>
        <v>0</v>
      </c>
      <c r="AG578" s="2">
        <f t="shared" si="16"/>
        <v>0</v>
      </c>
      <c r="AH578" s="2">
        <f t="shared" si="17"/>
        <v>0</v>
      </c>
      <c r="AI578" s="2">
        <f t="shared" si="18"/>
      </c>
    </row>
    <row r="579">
      <c r="A579" s="43">
        <f t="shared" si="0"/>
      </c>
      <c r="B579" s="54" t="n"/>
      <c r="C579" s="45" t="n"/>
      <c r="D579" s="50" t="n"/>
      <c r="E579" s="55" t="n"/>
      <c r="F579" s="50" t="n"/>
      <c r="G579" s="55" t="n"/>
      <c r="H579" s="50" t="n"/>
      <c r="I579" s="55" t="n"/>
      <c r="J579" s="50" t="n"/>
      <c r="K579" s="55" t="n"/>
      <c r="L579" s="56" t="n"/>
      <c r="M579" s="57" t="n"/>
      <c r="N579" s="57" t="n"/>
      <c r="O579" s="57" t="n"/>
      <c r="P579" s="57" t="n"/>
      <c r="Q579" s="50" t="n"/>
      <c r="R579" s="58">
        <f t="shared" si="1"/>
      </c>
      <c r="S579" s="59">
        <f t="shared" si="2"/>
      </c>
      <c r="T579" s="43">
        <f t="shared" si="3"/>
      </c>
      <c r="U579" s="60">
        <f t="shared" si="4"/>
      </c>
      <c r="V579" s="60">
        <f t="shared" si="5"/>
      </c>
      <c r="W579" s="60">
        <f t="shared" si="6"/>
      </c>
      <c r="X579" s="49">
        <f t="shared" si="7"/>
      </c>
      <c r="Y579" s="2">
        <f t="shared" si="8"/>
      </c>
      <c r="Z579" s="2">
        <f t="shared" si="9"/>
        <v>0</v>
      </c>
      <c r="AA579" s="2">
        <f t="shared" si="10"/>
        <v>0</v>
      </c>
      <c r="AB579" s="2">
        <f t="shared" si="11"/>
        <v>0</v>
      </c>
      <c r="AC579" s="2">
        <f t="shared" si="12"/>
        <v>0</v>
      </c>
      <c r="AD579" s="2">
        <f t="shared" si="13"/>
        <v>0</v>
      </c>
      <c r="AE579" s="2">
        <f t="shared" si="14"/>
        <v>0</v>
      </c>
      <c r="AF579" s="2">
        <f t="shared" si="15"/>
        <v>0</v>
      </c>
      <c r="AG579" s="2">
        <f t="shared" si="16"/>
        <v>0</v>
      </c>
      <c r="AH579" s="2">
        <f t="shared" si="17"/>
        <v>0</v>
      </c>
      <c r="AI579" s="2">
        <f t="shared" si="18"/>
      </c>
    </row>
    <row r="580">
      <c r="A580" s="43">
        <f t="shared" si="0"/>
      </c>
      <c r="B580" s="54" t="n"/>
      <c r="C580" s="45" t="n"/>
      <c r="D580" s="50" t="n"/>
      <c r="E580" s="55" t="n"/>
      <c r="F580" s="50" t="n"/>
      <c r="G580" s="55" t="n"/>
      <c r="H580" s="50" t="n"/>
      <c r="I580" s="55" t="n"/>
      <c r="J580" s="50" t="n"/>
      <c r="K580" s="55" t="n"/>
      <c r="L580" s="56" t="n"/>
      <c r="M580" s="57" t="n"/>
      <c r="N580" s="57" t="n"/>
      <c r="O580" s="57" t="n"/>
      <c r="P580" s="57" t="n"/>
      <c r="Q580" s="50" t="n"/>
      <c r="R580" s="58">
        <f t="shared" si="1"/>
      </c>
      <c r="S580" s="59">
        <f t="shared" si="2"/>
      </c>
      <c r="T580" s="43">
        <f t="shared" si="3"/>
      </c>
      <c r="U580" s="60">
        <f t="shared" si="4"/>
      </c>
      <c r="V580" s="60">
        <f t="shared" si="5"/>
      </c>
      <c r="W580" s="60">
        <f t="shared" si="6"/>
      </c>
      <c r="X580" s="49">
        <f t="shared" si="7"/>
      </c>
      <c r="Y580" s="2">
        <f t="shared" si="8"/>
      </c>
      <c r="Z580" s="2">
        <f t="shared" si="9"/>
        <v>0</v>
      </c>
      <c r="AA580" s="2">
        <f t="shared" si="10"/>
        <v>0</v>
      </c>
      <c r="AB580" s="2">
        <f t="shared" si="11"/>
        <v>0</v>
      </c>
      <c r="AC580" s="2">
        <f t="shared" si="12"/>
        <v>0</v>
      </c>
      <c r="AD580" s="2">
        <f t="shared" si="13"/>
        <v>0</v>
      </c>
      <c r="AE580" s="2">
        <f t="shared" si="14"/>
        <v>0</v>
      </c>
      <c r="AF580" s="2">
        <f t="shared" si="15"/>
        <v>0</v>
      </c>
      <c r="AG580" s="2">
        <f t="shared" si="16"/>
        <v>0</v>
      </c>
      <c r="AH580" s="2">
        <f t="shared" si="17"/>
        <v>0</v>
      </c>
      <c r="AI580" s="2">
        <f t="shared" si="18"/>
      </c>
    </row>
    <row r="581">
      <c r="A581" s="43">
        <f t="shared" si="0"/>
      </c>
      <c r="B581" s="54" t="n"/>
      <c r="C581" s="45" t="n"/>
      <c r="D581" s="50" t="n"/>
      <c r="E581" s="55" t="n"/>
      <c r="F581" s="50" t="n"/>
      <c r="G581" s="55" t="n"/>
      <c r="H581" s="50" t="n"/>
      <c r="I581" s="55" t="n"/>
      <c r="J581" s="50" t="n"/>
      <c r="K581" s="55" t="n"/>
      <c r="L581" s="56" t="n"/>
      <c r="M581" s="57" t="n"/>
      <c r="N581" s="57" t="n"/>
      <c r="O581" s="57" t="n"/>
      <c r="P581" s="57" t="n"/>
      <c r="Q581" s="50" t="n"/>
      <c r="R581" s="58">
        <f t="shared" si="1"/>
      </c>
      <c r="S581" s="59">
        <f t="shared" si="2"/>
      </c>
      <c r="T581" s="43">
        <f t="shared" si="3"/>
      </c>
      <c r="U581" s="60">
        <f t="shared" si="4"/>
      </c>
      <c r="V581" s="60">
        <f t="shared" si="5"/>
      </c>
      <c r="W581" s="60">
        <f t="shared" si="6"/>
      </c>
      <c r="X581" s="49">
        <f t="shared" si="7"/>
      </c>
      <c r="Y581" s="2">
        <f t="shared" si="8"/>
      </c>
      <c r="Z581" s="2">
        <f t="shared" si="9"/>
        <v>0</v>
      </c>
      <c r="AA581" s="2">
        <f t="shared" si="10"/>
        <v>0</v>
      </c>
      <c r="AB581" s="2">
        <f t="shared" si="11"/>
        <v>0</v>
      </c>
      <c r="AC581" s="2">
        <f t="shared" si="12"/>
        <v>0</v>
      </c>
      <c r="AD581" s="2">
        <f t="shared" si="13"/>
        <v>0</v>
      </c>
      <c r="AE581" s="2">
        <f t="shared" si="14"/>
        <v>0</v>
      </c>
      <c r="AF581" s="2">
        <f t="shared" si="15"/>
        <v>0</v>
      </c>
      <c r="AG581" s="2">
        <f t="shared" si="16"/>
        <v>0</v>
      </c>
      <c r="AH581" s="2">
        <f t="shared" si="17"/>
        <v>0</v>
      </c>
      <c r="AI581" s="2">
        <f t="shared" si="18"/>
      </c>
    </row>
    <row r="582">
      <c r="A582" s="43">
        <f t="shared" si="0"/>
      </c>
      <c r="B582" s="54" t="n"/>
      <c r="C582" s="45" t="n"/>
      <c r="D582" s="50" t="n"/>
      <c r="E582" s="55" t="n"/>
      <c r="F582" s="50" t="n"/>
      <c r="G582" s="55" t="n"/>
      <c r="H582" s="50" t="n"/>
      <c r="I582" s="55" t="n"/>
      <c r="J582" s="50" t="n"/>
      <c r="K582" s="55" t="n"/>
      <c r="L582" s="56" t="n"/>
      <c r="M582" s="57" t="n"/>
      <c r="N582" s="57" t="n"/>
      <c r="O582" s="57" t="n"/>
      <c r="P582" s="57" t="n"/>
      <c r="Q582" s="50" t="n"/>
      <c r="R582" s="58">
        <f t="shared" si="1"/>
      </c>
      <c r="S582" s="59">
        <f t="shared" si="2"/>
      </c>
      <c r="T582" s="43">
        <f t="shared" si="3"/>
      </c>
      <c r="U582" s="60">
        <f t="shared" si="4"/>
      </c>
      <c r="V582" s="60">
        <f t="shared" si="5"/>
      </c>
      <c r="W582" s="60">
        <f t="shared" si="6"/>
      </c>
      <c r="X582" s="49">
        <f t="shared" si="7"/>
      </c>
      <c r="Y582" s="2">
        <f t="shared" si="8"/>
      </c>
      <c r="Z582" s="2">
        <f t="shared" si="9"/>
        <v>0</v>
      </c>
      <c r="AA582" s="2">
        <f t="shared" si="10"/>
        <v>0</v>
      </c>
      <c r="AB582" s="2">
        <f t="shared" si="11"/>
        <v>0</v>
      </c>
      <c r="AC582" s="2">
        <f t="shared" si="12"/>
        <v>0</v>
      </c>
      <c r="AD582" s="2">
        <f t="shared" si="13"/>
        <v>0</v>
      </c>
      <c r="AE582" s="2">
        <f t="shared" si="14"/>
        <v>0</v>
      </c>
      <c r="AF582" s="2">
        <f t="shared" si="15"/>
        <v>0</v>
      </c>
      <c r="AG582" s="2">
        <f t="shared" si="16"/>
        <v>0</v>
      </c>
      <c r="AH582" s="2">
        <f t="shared" si="17"/>
        <v>0</v>
      </c>
      <c r="AI582" s="2">
        <f t="shared" si="18"/>
      </c>
    </row>
    <row r="583">
      <c r="A583" s="43">
        <f t="shared" si="0"/>
      </c>
      <c r="B583" s="54" t="n"/>
      <c r="C583" s="45" t="n"/>
      <c r="D583" s="50" t="n"/>
      <c r="E583" s="55" t="n"/>
      <c r="F583" s="50" t="n"/>
      <c r="G583" s="55" t="n"/>
      <c r="H583" s="50" t="n"/>
      <c r="I583" s="55" t="n"/>
      <c r="J583" s="50" t="n"/>
      <c r="K583" s="55" t="n"/>
      <c r="L583" s="56" t="n"/>
      <c r="M583" s="57" t="n"/>
      <c r="N583" s="57" t="n"/>
      <c r="O583" s="57" t="n"/>
      <c r="P583" s="57" t="n"/>
      <c r="Q583" s="50" t="n"/>
      <c r="R583" s="58">
        <f t="shared" si="1"/>
      </c>
      <c r="S583" s="59">
        <f t="shared" si="2"/>
      </c>
      <c r="T583" s="43">
        <f t="shared" si="3"/>
      </c>
      <c r="U583" s="60">
        <f t="shared" si="4"/>
      </c>
      <c r="V583" s="60">
        <f t="shared" si="5"/>
      </c>
      <c r="W583" s="60">
        <f t="shared" si="6"/>
      </c>
      <c r="X583" s="49">
        <f t="shared" si="7"/>
      </c>
      <c r="Y583" s="2">
        <f t="shared" si="8"/>
      </c>
      <c r="Z583" s="2">
        <f t="shared" si="9"/>
        <v>0</v>
      </c>
      <c r="AA583" s="2">
        <f t="shared" si="10"/>
        <v>0</v>
      </c>
      <c r="AB583" s="2">
        <f t="shared" si="11"/>
        <v>0</v>
      </c>
      <c r="AC583" s="2">
        <f t="shared" si="12"/>
        <v>0</v>
      </c>
      <c r="AD583" s="2">
        <f t="shared" si="13"/>
        <v>0</v>
      </c>
      <c r="AE583" s="2">
        <f t="shared" si="14"/>
        <v>0</v>
      </c>
      <c r="AF583" s="2">
        <f t="shared" si="15"/>
        <v>0</v>
      </c>
      <c r="AG583" s="2">
        <f t="shared" si="16"/>
        <v>0</v>
      </c>
      <c r="AH583" s="2">
        <f t="shared" si="17"/>
        <v>0</v>
      </c>
      <c r="AI583" s="2">
        <f t="shared" si="18"/>
      </c>
    </row>
    <row r="584">
      <c r="A584" s="43">
        <f t="shared" si="0"/>
      </c>
      <c r="B584" s="54" t="n"/>
      <c r="C584" s="45" t="n"/>
      <c r="D584" s="50" t="n"/>
      <c r="E584" s="55" t="n"/>
      <c r="F584" s="50" t="n"/>
      <c r="G584" s="55" t="n"/>
      <c r="H584" s="50" t="n"/>
      <c r="I584" s="55" t="n"/>
      <c r="J584" s="50" t="n"/>
      <c r="K584" s="55" t="n"/>
      <c r="L584" s="56" t="n"/>
      <c r="M584" s="57" t="n"/>
      <c r="N584" s="57" t="n"/>
      <c r="O584" s="57" t="n"/>
      <c r="P584" s="57" t="n"/>
      <c r="Q584" s="50" t="n"/>
      <c r="R584" s="58">
        <f t="shared" si="1"/>
      </c>
      <c r="S584" s="59">
        <f t="shared" si="2"/>
      </c>
      <c r="T584" s="43">
        <f t="shared" si="3"/>
      </c>
      <c r="U584" s="60">
        <f t="shared" si="4"/>
      </c>
      <c r="V584" s="60">
        <f t="shared" si="5"/>
      </c>
      <c r="W584" s="60">
        <f t="shared" si="6"/>
      </c>
      <c r="X584" s="49">
        <f t="shared" si="7"/>
      </c>
      <c r="Y584" s="2">
        <f t="shared" si="8"/>
      </c>
      <c r="Z584" s="2">
        <f t="shared" si="9"/>
        <v>0</v>
      </c>
      <c r="AA584" s="2">
        <f t="shared" si="10"/>
        <v>0</v>
      </c>
      <c r="AB584" s="2">
        <f t="shared" si="11"/>
        <v>0</v>
      </c>
      <c r="AC584" s="2">
        <f t="shared" si="12"/>
        <v>0</v>
      </c>
      <c r="AD584" s="2">
        <f t="shared" si="13"/>
        <v>0</v>
      </c>
      <c r="AE584" s="2">
        <f t="shared" si="14"/>
        <v>0</v>
      </c>
      <c r="AF584" s="2">
        <f t="shared" si="15"/>
        <v>0</v>
      </c>
      <c r="AG584" s="2">
        <f t="shared" si="16"/>
        <v>0</v>
      </c>
      <c r="AH584" s="2">
        <f t="shared" si="17"/>
        <v>0</v>
      </c>
      <c r="AI584" s="2">
        <f t="shared" si="18"/>
      </c>
    </row>
    <row r="585">
      <c r="A585" s="43">
        <f t="shared" si="0"/>
      </c>
      <c r="B585" s="54" t="n"/>
      <c r="C585" s="45" t="n"/>
      <c r="D585" s="50" t="n"/>
      <c r="E585" s="55" t="n"/>
      <c r="F585" s="50" t="n"/>
      <c r="G585" s="55" t="n"/>
      <c r="H585" s="50" t="n"/>
      <c r="I585" s="55" t="n"/>
      <c r="J585" s="50" t="n"/>
      <c r="K585" s="55" t="n"/>
      <c r="L585" s="56" t="n"/>
      <c r="M585" s="57" t="n"/>
      <c r="N585" s="57" t="n"/>
      <c r="O585" s="57" t="n"/>
      <c r="P585" s="57" t="n"/>
      <c r="Q585" s="50" t="n"/>
      <c r="R585" s="58">
        <f t="shared" si="1"/>
      </c>
      <c r="S585" s="59">
        <f t="shared" si="2"/>
      </c>
      <c r="T585" s="43">
        <f t="shared" si="3"/>
      </c>
      <c r="U585" s="60">
        <f t="shared" si="4"/>
      </c>
      <c r="V585" s="60">
        <f t="shared" si="5"/>
      </c>
      <c r="W585" s="60">
        <f t="shared" si="6"/>
      </c>
      <c r="X585" s="49">
        <f t="shared" si="7"/>
      </c>
      <c r="Y585" s="2">
        <f t="shared" si="8"/>
      </c>
      <c r="Z585" s="2">
        <f t="shared" si="9"/>
        <v>0</v>
      </c>
      <c r="AA585" s="2">
        <f t="shared" si="10"/>
        <v>0</v>
      </c>
      <c r="AB585" s="2">
        <f t="shared" si="11"/>
        <v>0</v>
      </c>
      <c r="AC585" s="2">
        <f t="shared" si="12"/>
        <v>0</v>
      </c>
      <c r="AD585" s="2">
        <f t="shared" si="13"/>
        <v>0</v>
      </c>
      <c r="AE585" s="2">
        <f t="shared" si="14"/>
        <v>0</v>
      </c>
      <c r="AF585" s="2">
        <f t="shared" si="15"/>
        <v>0</v>
      </c>
      <c r="AG585" s="2">
        <f t="shared" si="16"/>
        <v>0</v>
      </c>
      <c r="AH585" s="2">
        <f t="shared" si="17"/>
        <v>0</v>
      </c>
      <c r="AI585" s="2">
        <f t="shared" si="18"/>
      </c>
    </row>
    <row r="586">
      <c r="A586" s="43">
        <f t="shared" si="0"/>
      </c>
      <c r="B586" s="54" t="n"/>
      <c r="C586" s="45" t="n"/>
      <c r="D586" s="50" t="n"/>
      <c r="E586" s="55" t="n"/>
      <c r="F586" s="50" t="n"/>
      <c r="G586" s="55" t="n"/>
      <c r="H586" s="50" t="n"/>
      <c r="I586" s="55" t="n"/>
      <c r="J586" s="50" t="n"/>
      <c r="K586" s="55" t="n"/>
      <c r="L586" s="56" t="n"/>
      <c r="M586" s="57" t="n"/>
      <c r="N586" s="57" t="n"/>
      <c r="O586" s="57" t="n"/>
      <c r="P586" s="57" t="n"/>
      <c r="Q586" s="50" t="n"/>
      <c r="R586" s="58">
        <f t="shared" si="1"/>
      </c>
      <c r="S586" s="59">
        <f t="shared" si="2"/>
      </c>
      <c r="T586" s="43">
        <f t="shared" si="3"/>
      </c>
      <c r="U586" s="60">
        <f t="shared" si="4"/>
      </c>
      <c r="V586" s="60">
        <f t="shared" si="5"/>
      </c>
      <c r="W586" s="60">
        <f t="shared" si="6"/>
      </c>
      <c r="X586" s="49">
        <f t="shared" si="7"/>
      </c>
      <c r="Y586" s="2">
        <f t="shared" si="8"/>
      </c>
      <c r="Z586" s="2">
        <f t="shared" si="9"/>
        <v>0</v>
      </c>
      <c r="AA586" s="2">
        <f t="shared" si="10"/>
        <v>0</v>
      </c>
      <c r="AB586" s="2">
        <f t="shared" si="11"/>
        <v>0</v>
      </c>
      <c r="AC586" s="2">
        <f t="shared" si="12"/>
        <v>0</v>
      </c>
      <c r="AD586" s="2">
        <f t="shared" si="13"/>
        <v>0</v>
      </c>
      <c r="AE586" s="2">
        <f t="shared" si="14"/>
        <v>0</v>
      </c>
      <c r="AF586" s="2">
        <f t="shared" si="15"/>
        <v>0</v>
      </c>
      <c r="AG586" s="2">
        <f t="shared" si="16"/>
        <v>0</v>
      </c>
      <c r="AH586" s="2">
        <f t="shared" si="17"/>
        <v>0</v>
      </c>
      <c r="AI586" s="2">
        <f t="shared" si="18"/>
      </c>
    </row>
    <row r="587">
      <c r="A587" s="43">
        <f t="shared" si="0"/>
      </c>
      <c r="B587" s="54" t="n"/>
      <c r="C587" s="45" t="n"/>
      <c r="D587" s="50" t="n"/>
      <c r="E587" s="55" t="n"/>
      <c r="F587" s="50" t="n"/>
      <c r="G587" s="55" t="n"/>
      <c r="H587" s="50" t="n"/>
      <c r="I587" s="55" t="n"/>
      <c r="J587" s="50" t="n"/>
      <c r="K587" s="55" t="n"/>
      <c r="L587" s="56" t="n"/>
      <c r="M587" s="57" t="n"/>
      <c r="N587" s="57" t="n"/>
      <c r="O587" s="57" t="n"/>
      <c r="P587" s="57" t="n"/>
      <c r="Q587" s="50" t="n"/>
      <c r="R587" s="58">
        <f t="shared" si="1"/>
      </c>
      <c r="S587" s="59">
        <f t="shared" si="2"/>
      </c>
      <c r="T587" s="43">
        <f t="shared" si="3"/>
      </c>
      <c r="U587" s="60">
        <f t="shared" si="4"/>
      </c>
      <c r="V587" s="60">
        <f t="shared" si="5"/>
      </c>
      <c r="W587" s="60">
        <f t="shared" si="6"/>
      </c>
      <c r="X587" s="49">
        <f t="shared" si="7"/>
      </c>
      <c r="Y587" s="2">
        <f t="shared" si="8"/>
      </c>
      <c r="Z587" s="2">
        <f t="shared" si="9"/>
        <v>0</v>
      </c>
      <c r="AA587" s="2">
        <f t="shared" si="10"/>
        <v>0</v>
      </c>
      <c r="AB587" s="2">
        <f t="shared" si="11"/>
        <v>0</v>
      </c>
      <c r="AC587" s="2">
        <f t="shared" si="12"/>
        <v>0</v>
      </c>
      <c r="AD587" s="2">
        <f t="shared" si="13"/>
        <v>0</v>
      </c>
      <c r="AE587" s="2">
        <f t="shared" si="14"/>
        <v>0</v>
      </c>
      <c r="AF587" s="2">
        <f t="shared" si="15"/>
        <v>0</v>
      </c>
      <c r="AG587" s="2">
        <f t="shared" si="16"/>
        <v>0</v>
      </c>
      <c r="AH587" s="2">
        <f t="shared" si="17"/>
        <v>0</v>
      </c>
      <c r="AI587" s="2">
        <f t="shared" si="18"/>
      </c>
    </row>
    <row r="588">
      <c r="A588" s="43">
        <f t="shared" si="0"/>
      </c>
      <c r="B588" s="54" t="n"/>
      <c r="C588" s="45" t="n"/>
      <c r="D588" s="50" t="n"/>
      <c r="E588" s="55" t="n"/>
      <c r="F588" s="50" t="n"/>
      <c r="G588" s="55" t="n"/>
      <c r="H588" s="50" t="n"/>
      <c r="I588" s="55" t="n"/>
      <c r="J588" s="50" t="n"/>
      <c r="K588" s="55" t="n"/>
      <c r="L588" s="56" t="n"/>
      <c r="M588" s="57" t="n"/>
      <c r="N588" s="57" t="n"/>
      <c r="O588" s="57" t="n"/>
      <c r="P588" s="57" t="n"/>
      <c r="Q588" s="50" t="n"/>
      <c r="R588" s="58">
        <f t="shared" si="1"/>
      </c>
      <c r="S588" s="59">
        <f t="shared" si="2"/>
      </c>
      <c r="T588" s="43">
        <f t="shared" si="3"/>
      </c>
      <c r="U588" s="60">
        <f t="shared" si="4"/>
      </c>
      <c r="V588" s="60">
        <f t="shared" si="5"/>
      </c>
      <c r="W588" s="60">
        <f t="shared" si="6"/>
      </c>
      <c r="X588" s="49">
        <f t="shared" si="7"/>
      </c>
      <c r="Y588" s="2">
        <f t="shared" si="8"/>
      </c>
      <c r="Z588" s="2">
        <f t="shared" si="9"/>
        <v>0</v>
      </c>
      <c r="AA588" s="2">
        <f t="shared" si="10"/>
        <v>0</v>
      </c>
      <c r="AB588" s="2">
        <f t="shared" si="11"/>
        <v>0</v>
      </c>
      <c r="AC588" s="2">
        <f t="shared" si="12"/>
        <v>0</v>
      </c>
      <c r="AD588" s="2">
        <f t="shared" si="13"/>
        <v>0</v>
      </c>
      <c r="AE588" s="2">
        <f t="shared" si="14"/>
        <v>0</v>
      </c>
      <c r="AF588" s="2">
        <f t="shared" si="15"/>
        <v>0</v>
      </c>
      <c r="AG588" s="2">
        <f t="shared" si="16"/>
        <v>0</v>
      </c>
      <c r="AH588" s="2">
        <f t="shared" si="17"/>
        <v>0</v>
      </c>
      <c r="AI588" s="2">
        <f t="shared" si="18"/>
      </c>
    </row>
    <row r="589">
      <c r="A589" s="43">
        <f t="shared" si="0"/>
      </c>
      <c r="B589" s="54" t="n"/>
      <c r="C589" s="45" t="n"/>
      <c r="D589" s="50" t="n"/>
      <c r="E589" s="55" t="n"/>
      <c r="F589" s="50" t="n"/>
      <c r="G589" s="55" t="n"/>
      <c r="H589" s="50" t="n"/>
      <c r="I589" s="55" t="n"/>
      <c r="J589" s="50" t="n"/>
      <c r="K589" s="55" t="n"/>
      <c r="L589" s="56" t="n"/>
      <c r="M589" s="57" t="n"/>
      <c r="N589" s="57" t="n"/>
      <c r="O589" s="57" t="n"/>
      <c r="P589" s="57" t="n"/>
      <c r="Q589" s="50" t="n"/>
      <c r="R589" s="58">
        <f t="shared" si="1"/>
      </c>
      <c r="S589" s="59">
        <f t="shared" si="2"/>
      </c>
      <c r="T589" s="43">
        <f t="shared" si="3"/>
      </c>
      <c r="U589" s="60">
        <f t="shared" si="4"/>
      </c>
      <c r="V589" s="60">
        <f t="shared" si="5"/>
      </c>
      <c r="W589" s="60">
        <f t="shared" si="6"/>
      </c>
      <c r="X589" s="49">
        <f t="shared" si="7"/>
      </c>
      <c r="Y589" s="2">
        <f t="shared" si="8"/>
      </c>
      <c r="Z589" s="2">
        <f t="shared" si="9"/>
        <v>0</v>
      </c>
      <c r="AA589" s="2">
        <f t="shared" si="10"/>
        <v>0</v>
      </c>
      <c r="AB589" s="2">
        <f t="shared" si="11"/>
        <v>0</v>
      </c>
      <c r="AC589" s="2">
        <f t="shared" si="12"/>
        <v>0</v>
      </c>
      <c r="AD589" s="2">
        <f t="shared" si="13"/>
        <v>0</v>
      </c>
      <c r="AE589" s="2">
        <f t="shared" si="14"/>
        <v>0</v>
      </c>
      <c r="AF589" s="2">
        <f t="shared" si="15"/>
        <v>0</v>
      </c>
      <c r="AG589" s="2">
        <f t="shared" si="16"/>
        <v>0</v>
      </c>
      <c r="AH589" s="2">
        <f t="shared" si="17"/>
        <v>0</v>
      </c>
      <c r="AI589" s="2">
        <f t="shared" si="18"/>
      </c>
    </row>
    <row r="590">
      <c r="A590" s="43">
        <f t="shared" si="0"/>
      </c>
      <c r="B590" s="54" t="n"/>
      <c r="C590" s="45" t="n"/>
      <c r="D590" s="50" t="n"/>
      <c r="E590" s="55" t="n"/>
      <c r="F590" s="50" t="n"/>
      <c r="G590" s="55" t="n"/>
      <c r="H590" s="50" t="n"/>
      <c r="I590" s="55" t="n"/>
      <c r="J590" s="50" t="n"/>
      <c r="K590" s="55" t="n"/>
      <c r="L590" s="56" t="n"/>
      <c r="M590" s="57" t="n"/>
      <c r="N590" s="57" t="n"/>
      <c r="O590" s="57" t="n"/>
      <c r="P590" s="57" t="n"/>
      <c r="Q590" s="50" t="n"/>
      <c r="R590" s="58">
        <f t="shared" si="1"/>
      </c>
      <c r="S590" s="59">
        <f t="shared" si="2"/>
      </c>
      <c r="T590" s="43">
        <f t="shared" si="3"/>
      </c>
      <c r="U590" s="60">
        <f t="shared" si="4"/>
      </c>
      <c r="V590" s="60">
        <f t="shared" si="5"/>
      </c>
      <c r="W590" s="60">
        <f t="shared" si="6"/>
      </c>
      <c r="X590" s="49">
        <f t="shared" si="7"/>
      </c>
      <c r="Y590" s="2">
        <f t="shared" si="8"/>
      </c>
      <c r="Z590" s="2">
        <f t="shared" si="9"/>
        <v>0</v>
      </c>
      <c r="AA590" s="2">
        <f t="shared" si="10"/>
        <v>0</v>
      </c>
      <c r="AB590" s="2">
        <f t="shared" si="11"/>
        <v>0</v>
      </c>
      <c r="AC590" s="2">
        <f t="shared" si="12"/>
        <v>0</v>
      </c>
      <c r="AD590" s="2">
        <f t="shared" si="13"/>
        <v>0</v>
      </c>
      <c r="AE590" s="2">
        <f t="shared" si="14"/>
        <v>0</v>
      </c>
      <c r="AF590" s="2">
        <f t="shared" si="15"/>
        <v>0</v>
      </c>
      <c r="AG590" s="2">
        <f t="shared" si="16"/>
        <v>0</v>
      </c>
      <c r="AH590" s="2">
        <f t="shared" si="17"/>
        <v>0</v>
      </c>
      <c r="AI590" s="2">
        <f t="shared" si="18"/>
      </c>
    </row>
    <row r="591">
      <c r="A591" s="43">
        <f t="shared" si="0"/>
      </c>
      <c r="B591" s="54" t="n"/>
      <c r="C591" s="45" t="n"/>
      <c r="D591" s="50" t="n"/>
      <c r="E591" s="55" t="n"/>
      <c r="F591" s="50" t="n"/>
      <c r="G591" s="55" t="n"/>
      <c r="H591" s="50" t="n"/>
      <c r="I591" s="55" t="n"/>
      <c r="J591" s="50" t="n"/>
      <c r="K591" s="55" t="n"/>
      <c r="L591" s="56" t="n"/>
      <c r="M591" s="57" t="n"/>
      <c r="N591" s="57" t="n"/>
      <c r="O591" s="57" t="n"/>
      <c r="P591" s="57" t="n"/>
      <c r="Q591" s="50" t="n"/>
      <c r="R591" s="58">
        <f t="shared" si="1"/>
      </c>
      <c r="S591" s="59">
        <f t="shared" si="2"/>
      </c>
      <c r="T591" s="43">
        <f t="shared" si="3"/>
      </c>
      <c r="U591" s="60">
        <f t="shared" si="4"/>
      </c>
      <c r="V591" s="60">
        <f t="shared" si="5"/>
      </c>
      <c r="W591" s="60">
        <f t="shared" si="6"/>
      </c>
      <c r="X591" s="49">
        <f t="shared" si="7"/>
      </c>
      <c r="Y591" s="2">
        <f t="shared" si="8"/>
      </c>
      <c r="Z591" s="2">
        <f t="shared" si="9"/>
        <v>0</v>
      </c>
      <c r="AA591" s="2">
        <f t="shared" si="10"/>
        <v>0</v>
      </c>
      <c r="AB591" s="2">
        <f t="shared" si="11"/>
        <v>0</v>
      </c>
      <c r="AC591" s="2">
        <f t="shared" si="12"/>
        <v>0</v>
      </c>
      <c r="AD591" s="2">
        <f t="shared" si="13"/>
        <v>0</v>
      </c>
      <c r="AE591" s="2">
        <f t="shared" si="14"/>
        <v>0</v>
      </c>
      <c r="AF591" s="2">
        <f t="shared" si="15"/>
        <v>0</v>
      </c>
      <c r="AG591" s="2">
        <f t="shared" si="16"/>
        <v>0</v>
      </c>
      <c r="AH591" s="2">
        <f t="shared" si="17"/>
        <v>0</v>
      </c>
      <c r="AI591" s="2">
        <f t="shared" si="18"/>
      </c>
    </row>
    <row r="592">
      <c r="A592" s="43">
        <f t="shared" si="0"/>
      </c>
      <c r="B592" s="54" t="n"/>
      <c r="C592" s="45" t="n"/>
      <c r="D592" s="50" t="n"/>
      <c r="E592" s="55" t="n"/>
      <c r="F592" s="50" t="n"/>
      <c r="G592" s="55" t="n"/>
      <c r="H592" s="50" t="n"/>
      <c r="I592" s="55" t="n"/>
      <c r="J592" s="50" t="n"/>
      <c r="K592" s="55" t="n"/>
      <c r="L592" s="56" t="n"/>
      <c r="M592" s="57" t="n"/>
      <c r="N592" s="57" t="n"/>
      <c r="O592" s="57" t="n"/>
      <c r="P592" s="57" t="n"/>
      <c r="Q592" s="50" t="n"/>
      <c r="R592" s="58">
        <f t="shared" si="1"/>
      </c>
      <c r="S592" s="59">
        <f t="shared" si="2"/>
      </c>
      <c r="T592" s="43">
        <f t="shared" si="3"/>
      </c>
      <c r="U592" s="60">
        <f t="shared" si="4"/>
      </c>
      <c r="V592" s="60">
        <f t="shared" si="5"/>
      </c>
      <c r="W592" s="60">
        <f t="shared" si="6"/>
      </c>
      <c r="X592" s="49">
        <f t="shared" si="7"/>
      </c>
      <c r="Y592" s="2">
        <f t="shared" si="8"/>
      </c>
      <c r="Z592" s="2">
        <f t="shared" si="9"/>
        <v>0</v>
      </c>
      <c r="AA592" s="2">
        <f t="shared" si="10"/>
        <v>0</v>
      </c>
      <c r="AB592" s="2">
        <f t="shared" si="11"/>
        <v>0</v>
      </c>
      <c r="AC592" s="2">
        <f t="shared" si="12"/>
        <v>0</v>
      </c>
      <c r="AD592" s="2">
        <f t="shared" si="13"/>
        <v>0</v>
      </c>
      <c r="AE592" s="2">
        <f t="shared" si="14"/>
        <v>0</v>
      </c>
      <c r="AF592" s="2">
        <f t="shared" si="15"/>
        <v>0</v>
      </c>
      <c r="AG592" s="2">
        <f t="shared" si="16"/>
        <v>0</v>
      </c>
      <c r="AH592" s="2">
        <f t="shared" si="17"/>
        <v>0</v>
      </c>
      <c r="AI592" s="2">
        <f t="shared" si="18"/>
      </c>
    </row>
    <row r="593">
      <c r="A593" s="43">
        <f t="shared" si="0"/>
      </c>
      <c r="B593" s="54" t="n"/>
      <c r="C593" s="45" t="n"/>
      <c r="D593" s="50" t="n"/>
      <c r="E593" s="55" t="n"/>
      <c r="F593" s="50" t="n"/>
      <c r="G593" s="55" t="n"/>
      <c r="H593" s="50" t="n"/>
      <c r="I593" s="55" t="n"/>
      <c r="J593" s="50" t="n"/>
      <c r="K593" s="55" t="n"/>
      <c r="L593" s="56" t="n"/>
      <c r="M593" s="57" t="n"/>
      <c r="N593" s="57" t="n"/>
      <c r="O593" s="57" t="n"/>
      <c r="P593" s="57" t="n"/>
      <c r="Q593" s="50" t="n"/>
      <c r="R593" s="58">
        <f t="shared" si="1"/>
      </c>
      <c r="S593" s="59">
        <f t="shared" si="2"/>
      </c>
      <c r="T593" s="43">
        <f t="shared" si="3"/>
      </c>
      <c r="U593" s="60">
        <f t="shared" si="4"/>
      </c>
      <c r="V593" s="60">
        <f t="shared" si="5"/>
      </c>
      <c r="W593" s="60">
        <f t="shared" si="6"/>
      </c>
      <c r="X593" s="49">
        <f t="shared" si="7"/>
      </c>
      <c r="Y593" s="2">
        <f t="shared" si="8"/>
      </c>
      <c r="Z593" s="2">
        <f t="shared" si="9"/>
        <v>0</v>
      </c>
      <c r="AA593" s="2">
        <f t="shared" si="10"/>
        <v>0</v>
      </c>
      <c r="AB593" s="2">
        <f t="shared" si="11"/>
        <v>0</v>
      </c>
      <c r="AC593" s="2">
        <f t="shared" si="12"/>
        <v>0</v>
      </c>
      <c r="AD593" s="2">
        <f t="shared" si="13"/>
        <v>0</v>
      </c>
      <c r="AE593" s="2">
        <f t="shared" si="14"/>
        <v>0</v>
      </c>
      <c r="AF593" s="2">
        <f t="shared" si="15"/>
        <v>0</v>
      </c>
      <c r="AG593" s="2">
        <f t="shared" si="16"/>
        <v>0</v>
      </c>
      <c r="AH593" s="2">
        <f t="shared" si="17"/>
        <v>0</v>
      </c>
      <c r="AI593" s="2">
        <f t="shared" si="18"/>
      </c>
    </row>
    <row r="594">
      <c r="A594" s="43">
        <f t="shared" si="0"/>
      </c>
      <c r="B594" s="54" t="n"/>
      <c r="C594" s="45" t="n"/>
      <c r="D594" s="50" t="n"/>
      <c r="E594" s="55" t="n"/>
      <c r="F594" s="50" t="n"/>
      <c r="G594" s="55" t="n"/>
      <c r="H594" s="50" t="n"/>
      <c r="I594" s="55" t="n"/>
      <c r="J594" s="50" t="n"/>
      <c r="K594" s="55" t="n"/>
      <c r="L594" s="56" t="n"/>
      <c r="M594" s="57" t="n"/>
      <c r="N594" s="57" t="n"/>
      <c r="O594" s="57" t="n"/>
      <c r="P594" s="57" t="n"/>
      <c r="Q594" s="50" t="n"/>
      <c r="R594" s="58">
        <f t="shared" si="1"/>
      </c>
      <c r="S594" s="59">
        <f t="shared" si="2"/>
      </c>
      <c r="T594" s="43">
        <f t="shared" si="3"/>
      </c>
      <c r="U594" s="60">
        <f t="shared" si="4"/>
      </c>
      <c r="V594" s="60">
        <f t="shared" si="5"/>
      </c>
      <c r="W594" s="60">
        <f t="shared" si="6"/>
      </c>
      <c r="X594" s="49">
        <f t="shared" si="7"/>
      </c>
      <c r="Y594" s="2">
        <f t="shared" si="8"/>
      </c>
      <c r="Z594" s="2">
        <f t="shared" si="9"/>
        <v>0</v>
      </c>
      <c r="AA594" s="2">
        <f t="shared" si="10"/>
        <v>0</v>
      </c>
      <c r="AB594" s="2">
        <f t="shared" si="11"/>
        <v>0</v>
      </c>
      <c r="AC594" s="2">
        <f t="shared" si="12"/>
        <v>0</v>
      </c>
      <c r="AD594" s="2">
        <f t="shared" si="13"/>
        <v>0</v>
      </c>
      <c r="AE594" s="2">
        <f t="shared" si="14"/>
        <v>0</v>
      </c>
      <c r="AF594" s="2">
        <f t="shared" si="15"/>
        <v>0</v>
      </c>
      <c r="AG594" s="2">
        <f t="shared" si="16"/>
        <v>0</v>
      </c>
      <c r="AH594" s="2">
        <f t="shared" si="17"/>
        <v>0</v>
      </c>
      <c r="AI594" s="2">
        <f t="shared" si="18"/>
      </c>
    </row>
    <row r="595">
      <c r="A595" s="43">
        <f t="shared" si="0"/>
      </c>
      <c r="B595" s="54" t="n"/>
      <c r="C595" s="45" t="n"/>
      <c r="D595" s="50" t="n"/>
      <c r="E595" s="55" t="n"/>
      <c r="F595" s="50" t="n"/>
      <c r="G595" s="55" t="n"/>
      <c r="H595" s="50" t="n"/>
      <c r="I595" s="55" t="n"/>
      <c r="J595" s="50" t="n"/>
      <c r="K595" s="55" t="n"/>
      <c r="L595" s="56" t="n"/>
      <c r="M595" s="57" t="n"/>
      <c r="N595" s="57" t="n"/>
      <c r="O595" s="57" t="n"/>
      <c r="P595" s="57" t="n"/>
      <c r="Q595" s="50" t="n"/>
      <c r="R595" s="58">
        <f t="shared" si="1"/>
      </c>
      <c r="S595" s="59">
        <f t="shared" si="2"/>
      </c>
      <c r="T595" s="43">
        <f t="shared" si="3"/>
      </c>
      <c r="U595" s="60">
        <f t="shared" si="4"/>
      </c>
      <c r="V595" s="60">
        <f t="shared" si="5"/>
      </c>
      <c r="W595" s="60">
        <f t="shared" si="6"/>
      </c>
      <c r="X595" s="49">
        <f t="shared" si="7"/>
      </c>
      <c r="Y595" s="2">
        <f t="shared" si="8"/>
      </c>
      <c r="Z595" s="2">
        <f t="shared" si="9"/>
        <v>0</v>
      </c>
      <c r="AA595" s="2">
        <f t="shared" si="10"/>
        <v>0</v>
      </c>
      <c r="AB595" s="2">
        <f t="shared" si="11"/>
        <v>0</v>
      </c>
      <c r="AC595" s="2">
        <f t="shared" si="12"/>
        <v>0</v>
      </c>
      <c r="AD595" s="2">
        <f t="shared" si="13"/>
        <v>0</v>
      </c>
      <c r="AE595" s="2">
        <f t="shared" si="14"/>
        <v>0</v>
      </c>
      <c r="AF595" s="2">
        <f t="shared" si="15"/>
        <v>0</v>
      </c>
      <c r="AG595" s="2">
        <f t="shared" si="16"/>
        <v>0</v>
      </c>
      <c r="AH595" s="2">
        <f t="shared" si="17"/>
        <v>0</v>
      </c>
      <c r="AI595" s="2">
        <f t="shared" si="18"/>
      </c>
    </row>
    <row r="596">
      <c r="A596" s="43">
        <f t="shared" si="0"/>
      </c>
      <c r="B596" s="54" t="n"/>
      <c r="C596" s="45" t="n"/>
      <c r="D596" s="50" t="n"/>
      <c r="E596" s="55" t="n"/>
      <c r="F596" s="50" t="n"/>
      <c r="G596" s="55" t="n"/>
      <c r="H596" s="50" t="n"/>
      <c r="I596" s="55" t="n"/>
      <c r="J596" s="50" t="n"/>
      <c r="K596" s="55" t="n"/>
      <c r="L596" s="56" t="n"/>
      <c r="M596" s="57" t="n"/>
      <c r="N596" s="57" t="n"/>
      <c r="O596" s="57" t="n"/>
      <c r="P596" s="57" t="n"/>
      <c r="Q596" s="50" t="n"/>
      <c r="R596" s="58">
        <f t="shared" si="1"/>
      </c>
      <c r="S596" s="59">
        <f t="shared" si="2"/>
      </c>
      <c r="T596" s="43">
        <f t="shared" si="3"/>
      </c>
      <c r="U596" s="60">
        <f t="shared" si="4"/>
      </c>
      <c r="V596" s="60">
        <f t="shared" si="5"/>
      </c>
      <c r="W596" s="60">
        <f t="shared" si="6"/>
      </c>
      <c r="X596" s="49">
        <f t="shared" si="7"/>
      </c>
      <c r="Y596" s="2">
        <f t="shared" si="8"/>
      </c>
      <c r="Z596" s="2">
        <f t="shared" si="9"/>
        <v>0</v>
      </c>
      <c r="AA596" s="2">
        <f t="shared" si="10"/>
        <v>0</v>
      </c>
      <c r="AB596" s="2">
        <f t="shared" si="11"/>
        <v>0</v>
      </c>
      <c r="AC596" s="2">
        <f t="shared" si="12"/>
        <v>0</v>
      </c>
      <c r="AD596" s="2">
        <f t="shared" si="13"/>
        <v>0</v>
      </c>
      <c r="AE596" s="2">
        <f t="shared" si="14"/>
        <v>0</v>
      </c>
      <c r="AF596" s="2">
        <f t="shared" si="15"/>
        <v>0</v>
      </c>
      <c r="AG596" s="2">
        <f t="shared" si="16"/>
        <v>0</v>
      </c>
      <c r="AH596" s="2">
        <f t="shared" si="17"/>
        <v>0</v>
      </c>
      <c r="AI596" s="2">
        <f t="shared" si="18"/>
      </c>
    </row>
    <row r="597">
      <c r="A597" s="43">
        <f t="shared" si="0"/>
      </c>
      <c r="B597" s="54" t="n"/>
      <c r="C597" s="45" t="n"/>
      <c r="D597" s="50" t="n"/>
      <c r="E597" s="55" t="n"/>
      <c r="F597" s="50" t="n"/>
      <c r="G597" s="55" t="n"/>
      <c r="H597" s="50" t="n"/>
      <c r="I597" s="55" t="n"/>
      <c r="J597" s="50" t="n"/>
      <c r="K597" s="55" t="n"/>
      <c r="L597" s="56" t="n"/>
      <c r="M597" s="57" t="n"/>
      <c r="N597" s="57" t="n"/>
      <c r="O597" s="57" t="n"/>
      <c r="P597" s="57" t="n"/>
      <c r="Q597" s="50" t="n"/>
      <c r="R597" s="58">
        <f t="shared" si="1"/>
      </c>
      <c r="S597" s="59">
        <f t="shared" si="2"/>
      </c>
      <c r="T597" s="43">
        <f t="shared" si="3"/>
      </c>
      <c r="U597" s="60">
        <f t="shared" si="4"/>
      </c>
      <c r="V597" s="60">
        <f t="shared" si="5"/>
      </c>
      <c r="W597" s="60">
        <f t="shared" si="6"/>
      </c>
      <c r="X597" s="49">
        <f t="shared" si="7"/>
      </c>
      <c r="Y597" s="2">
        <f t="shared" si="8"/>
      </c>
      <c r="Z597" s="2">
        <f t="shared" si="9"/>
        <v>0</v>
      </c>
      <c r="AA597" s="2">
        <f t="shared" si="10"/>
        <v>0</v>
      </c>
      <c r="AB597" s="2">
        <f t="shared" si="11"/>
        <v>0</v>
      </c>
      <c r="AC597" s="2">
        <f t="shared" si="12"/>
        <v>0</v>
      </c>
      <c r="AD597" s="2">
        <f t="shared" si="13"/>
        <v>0</v>
      </c>
      <c r="AE597" s="2">
        <f t="shared" si="14"/>
        <v>0</v>
      </c>
      <c r="AF597" s="2">
        <f t="shared" si="15"/>
        <v>0</v>
      </c>
      <c r="AG597" s="2">
        <f t="shared" si="16"/>
        <v>0</v>
      </c>
      <c r="AH597" s="2">
        <f t="shared" si="17"/>
        <v>0</v>
      </c>
      <c r="AI597" s="2">
        <f t="shared" si="18"/>
      </c>
    </row>
    <row r="598">
      <c r="A598" s="43">
        <f t="shared" si="0"/>
      </c>
      <c r="B598" s="54" t="n"/>
      <c r="C598" s="45" t="n"/>
      <c r="D598" s="50" t="n"/>
      <c r="E598" s="55" t="n"/>
      <c r="F598" s="50" t="n"/>
      <c r="G598" s="55" t="n"/>
      <c r="H598" s="50" t="n"/>
      <c r="I598" s="55" t="n"/>
      <c r="J598" s="50" t="n"/>
      <c r="K598" s="55" t="n"/>
      <c r="L598" s="56" t="n"/>
      <c r="M598" s="57" t="n"/>
      <c r="N598" s="57" t="n"/>
      <c r="O598" s="57" t="n"/>
      <c r="P598" s="57" t="n"/>
      <c r="Q598" s="50" t="n"/>
      <c r="R598" s="58">
        <f t="shared" si="1"/>
      </c>
      <c r="S598" s="59">
        <f t="shared" si="2"/>
      </c>
      <c r="T598" s="43">
        <f t="shared" si="3"/>
      </c>
      <c r="U598" s="60">
        <f t="shared" si="4"/>
      </c>
      <c r="V598" s="60">
        <f t="shared" si="5"/>
      </c>
      <c r="W598" s="60">
        <f t="shared" si="6"/>
      </c>
      <c r="X598" s="49">
        <f t="shared" si="7"/>
      </c>
      <c r="Y598" s="2">
        <f t="shared" si="8"/>
      </c>
      <c r="Z598" s="2">
        <f t="shared" si="9"/>
        <v>0</v>
      </c>
      <c r="AA598" s="2">
        <f t="shared" si="10"/>
        <v>0</v>
      </c>
      <c r="AB598" s="2">
        <f t="shared" si="11"/>
        <v>0</v>
      </c>
      <c r="AC598" s="2">
        <f t="shared" si="12"/>
        <v>0</v>
      </c>
      <c r="AD598" s="2">
        <f t="shared" si="13"/>
        <v>0</v>
      </c>
      <c r="AE598" s="2">
        <f t="shared" si="14"/>
        <v>0</v>
      </c>
      <c r="AF598" s="2">
        <f t="shared" si="15"/>
        <v>0</v>
      </c>
      <c r="AG598" s="2">
        <f t="shared" si="16"/>
        <v>0</v>
      </c>
      <c r="AH598" s="2">
        <f t="shared" si="17"/>
        <v>0</v>
      </c>
      <c r="AI598" s="2">
        <f t="shared" si="18"/>
      </c>
    </row>
    <row r="599">
      <c r="A599" s="43">
        <f t="shared" si="0"/>
      </c>
      <c r="B599" s="54" t="n"/>
      <c r="C599" s="45" t="n"/>
      <c r="D599" s="50" t="n"/>
      <c r="E599" s="55" t="n"/>
      <c r="F599" s="50" t="n"/>
      <c r="G599" s="55" t="n"/>
      <c r="H599" s="50" t="n"/>
      <c r="I599" s="55" t="n"/>
      <c r="J599" s="50" t="n"/>
      <c r="K599" s="55" t="n"/>
      <c r="L599" s="56" t="n"/>
      <c r="M599" s="57" t="n"/>
      <c r="N599" s="57" t="n"/>
      <c r="O599" s="57" t="n"/>
      <c r="P599" s="57" t="n"/>
      <c r="Q599" s="50" t="n"/>
      <c r="R599" s="58">
        <f t="shared" si="1"/>
      </c>
      <c r="S599" s="59">
        <f t="shared" si="2"/>
      </c>
      <c r="T599" s="43">
        <f t="shared" si="3"/>
      </c>
      <c r="U599" s="60">
        <f t="shared" si="4"/>
      </c>
      <c r="V599" s="60">
        <f t="shared" si="5"/>
      </c>
      <c r="W599" s="60">
        <f t="shared" si="6"/>
      </c>
      <c r="X599" s="49">
        <f t="shared" si="7"/>
      </c>
      <c r="Y599" s="2">
        <f t="shared" si="8"/>
      </c>
      <c r="Z599" s="2">
        <f t="shared" si="9"/>
        <v>0</v>
      </c>
      <c r="AA599" s="2">
        <f t="shared" si="10"/>
        <v>0</v>
      </c>
      <c r="AB599" s="2">
        <f t="shared" si="11"/>
        <v>0</v>
      </c>
      <c r="AC599" s="2">
        <f t="shared" si="12"/>
        <v>0</v>
      </c>
      <c r="AD599" s="2">
        <f t="shared" si="13"/>
        <v>0</v>
      </c>
      <c r="AE599" s="2">
        <f t="shared" si="14"/>
        <v>0</v>
      </c>
      <c r="AF599" s="2">
        <f t="shared" si="15"/>
        <v>0</v>
      </c>
      <c r="AG599" s="2">
        <f t="shared" si="16"/>
        <v>0</v>
      </c>
      <c r="AH599" s="2">
        <f t="shared" si="17"/>
        <v>0</v>
      </c>
      <c r="AI599" s="2">
        <f t="shared" si="18"/>
      </c>
    </row>
    <row r="600">
      <c r="A600" s="43">
        <f t="shared" si="0"/>
      </c>
      <c r="B600" s="54" t="n"/>
      <c r="C600" s="45" t="n"/>
      <c r="D600" s="50" t="n"/>
      <c r="E600" s="55" t="n"/>
      <c r="F600" s="50" t="n"/>
      <c r="G600" s="55" t="n"/>
      <c r="H600" s="50" t="n"/>
      <c r="I600" s="55" t="n"/>
      <c r="J600" s="50" t="n"/>
      <c r="K600" s="55" t="n"/>
      <c r="L600" s="56" t="n"/>
      <c r="M600" s="57" t="n"/>
      <c r="N600" s="57" t="n"/>
      <c r="O600" s="57" t="n"/>
      <c r="P600" s="57" t="n"/>
      <c r="Q600" s="50" t="n"/>
      <c r="R600" s="58">
        <f t="shared" si="1"/>
      </c>
      <c r="S600" s="59">
        <f t="shared" si="2"/>
      </c>
      <c r="T600" s="43">
        <f t="shared" si="3"/>
      </c>
      <c r="U600" s="60">
        <f t="shared" si="4"/>
      </c>
      <c r="V600" s="60">
        <f t="shared" si="5"/>
      </c>
      <c r="W600" s="60">
        <f t="shared" si="6"/>
      </c>
      <c r="X600" s="49">
        <f t="shared" si="7"/>
      </c>
      <c r="Y600" s="2">
        <f t="shared" si="8"/>
      </c>
      <c r="Z600" s="2">
        <f t="shared" si="9"/>
        <v>0</v>
      </c>
      <c r="AA600" s="2">
        <f t="shared" si="10"/>
        <v>0</v>
      </c>
      <c r="AB600" s="2">
        <f t="shared" si="11"/>
        <v>0</v>
      </c>
      <c r="AC600" s="2">
        <f t="shared" si="12"/>
        <v>0</v>
      </c>
      <c r="AD600" s="2">
        <f t="shared" si="13"/>
        <v>0</v>
      </c>
      <c r="AE600" s="2">
        <f t="shared" si="14"/>
        <v>0</v>
      </c>
      <c r="AF600" s="2">
        <f t="shared" si="15"/>
        <v>0</v>
      </c>
      <c r="AG600" s="2">
        <f t="shared" si="16"/>
        <v>0</v>
      </c>
      <c r="AH600" s="2">
        <f t="shared" si="17"/>
        <v>0</v>
      </c>
      <c r="AI600" s="2">
        <f t="shared" si="18"/>
      </c>
    </row>
    <row r="601">
      <c r="A601" s="43">
        <f t="shared" si="0"/>
      </c>
      <c r="B601" s="54" t="n"/>
      <c r="C601" s="45" t="n"/>
      <c r="D601" s="50" t="n"/>
      <c r="E601" s="55" t="n"/>
      <c r="F601" s="50" t="n"/>
      <c r="G601" s="55" t="n"/>
      <c r="H601" s="50" t="n"/>
      <c r="I601" s="55" t="n"/>
      <c r="J601" s="50" t="n"/>
      <c r="K601" s="55" t="n"/>
      <c r="L601" s="56" t="n"/>
      <c r="M601" s="57" t="n"/>
      <c r="N601" s="57" t="n"/>
      <c r="O601" s="57" t="n"/>
      <c r="P601" s="57" t="n"/>
      <c r="Q601" s="50" t="n"/>
      <c r="R601" s="58">
        <f t="shared" si="1"/>
      </c>
      <c r="S601" s="59">
        <f t="shared" si="2"/>
      </c>
      <c r="T601" s="43">
        <f t="shared" si="3"/>
      </c>
      <c r="U601" s="60">
        <f t="shared" si="4"/>
      </c>
      <c r="V601" s="60">
        <f t="shared" si="5"/>
      </c>
      <c r="W601" s="60">
        <f t="shared" si="6"/>
      </c>
      <c r="X601" s="49">
        <f t="shared" si="7"/>
      </c>
      <c r="Y601" s="2">
        <f t="shared" si="8"/>
      </c>
      <c r="Z601" s="2">
        <f t="shared" si="9"/>
        <v>0</v>
      </c>
      <c r="AA601" s="2">
        <f t="shared" si="10"/>
        <v>0</v>
      </c>
      <c r="AB601" s="2">
        <f t="shared" si="11"/>
        <v>0</v>
      </c>
      <c r="AC601" s="2">
        <f t="shared" si="12"/>
        <v>0</v>
      </c>
      <c r="AD601" s="2">
        <f t="shared" si="13"/>
        <v>0</v>
      </c>
      <c r="AE601" s="2">
        <f t="shared" si="14"/>
        <v>0</v>
      </c>
      <c r="AF601" s="2">
        <f t="shared" si="15"/>
        <v>0</v>
      </c>
      <c r="AG601" s="2">
        <f t="shared" si="16"/>
        <v>0</v>
      </c>
      <c r="AH601" s="2">
        <f t="shared" si="17"/>
        <v>0</v>
      </c>
      <c r="AI601" s="2">
        <f t="shared" si="18"/>
      </c>
    </row>
    <row r="602">
      <c r="A602" s="43">
        <f t="shared" si="0"/>
      </c>
      <c r="B602" s="54" t="n"/>
      <c r="C602" s="45" t="n"/>
      <c r="D602" s="50" t="n"/>
      <c r="E602" s="55" t="n"/>
      <c r="F602" s="50" t="n"/>
      <c r="G602" s="55" t="n"/>
      <c r="H602" s="50" t="n"/>
      <c r="I602" s="55" t="n"/>
      <c r="J602" s="50" t="n"/>
      <c r="K602" s="55" t="n"/>
      <c r="L602" s="56" t="n"/>
      <c r="M602" s="57" t="n"/>
      <c r="N602" s="57" t="n"/>
      <c r="O602" s="57" t="n"/>
      <c r="P602" s="57" t="n"/>
      <c r="Q602" s="50" t="n"/>
      <c r="R602" s="58">
        <f t="shared" si="1"/>
      </c>
      <c r="S602" s="59">
        <f t="shared" si="2"/>
      </c>
      <c r="T602" s="43">
        <f t="shared" si="3"/>
      </c>
      <c r="U602" s="60">
        <f t="shared" si="4"/>
      </c>
      <c r="V602" s="60">
        <f t="shared" si="5"/>
      </c>
      <c r="W602" s="60">
        <f t="shared" si="6"/>
      </c>
      <c r="X602" s="49">
        <f t="shared" si="7"/>
      </c>
      <c r="Y602" s="2">
        <f t="shared" si="8"/>
      </c>
      <c r="Z602" s="2">
        <f t="shared" si="9"/>
        <v>0</v>
      </c>
      <c r="AA602" s="2">
        <f t="shared" si="10"/>
        <v>0</v>
      </c>
      <c r="AB602" s="2">
        <f t="shared" si="11"/>
        <v>0</v>
      </c>
      <c r="AC602" s="2">
        <f t="shared" si="12"/>
        <v>0</v>
      </c>
      <c r="AD602" s="2">
        <f t="shared" si="13"/>
        <v>0</v>
      </c>
      <c r="AE602" s="2">
        <f t="shared" si="14"/>
        <v>0</v>
      </c>
      <c r="AF602" s="2">
        <f t="shared" si="15"/>
        <v>0</v>
      </c>
      <c r="AG602" s="2">
        <f t="shared" si="16"/>
        <v>0</v>
      </c>
      <c r="AH602" s="2">
        <f t="shared" si="17"/>
        <v>0</v>
      </c>
      <c r="AI602" s="2">
        <f t="shared" si="18"/>
      </c>
    </row>
    <row r="603">
      <c r="A603" s="43">
        <f t="shared" si="0"/>
      </c>
      <c r="B603" s="54" t="n"/>
      <c r="C603" s="45" t="n"/>
      <c r="D603" s="50" t="n"/>
      <c r="E603" s="55" t="n"/>
      <c r="F603" s="50" t="n"/>
      <c r="G603" s="55" t="n"/>
      <c r="H603" s="50" t="n"/>
      <c r="I603" s="55" t="n"/>
      <c r="J603" s="50" t="n"/>
      <c r="K603" s="55" t="n"/>
      <c r="L603" s="56" t="n"/>
      <c r="M603" s="57" t="n"/>
      <c r="N603" s="57" t="n"/>
      <c r="O603" s="57" t="n"/>
      <c r="P603" s="57" t="n"/>
      <c r="Q603" s="50" t="n"/>
      <c r="R603" s="58">
        <f t="shared" si="1"/>
      </c>
      <c r="S603" s="59">
        <f t="shared" si="2"/>
      </c>
      <c r="T603" s="43">
        <f t="shared" si="3"/>
      </c>
      <c r="U603" s="60">
        <f t="shared" si="4"/>
      </c>
      <c r="V603" s="60">
        <f t="shared" si="5"/>
      </c>
      <c r="W603" s="60">
        <f t="shared" si="6"/>
      </c>
      <c r="X603" s="49">
        <f t="shared" si="7"/>
      </c>
      <c r="Y603" s="2">
        <f t="shared" si="8"/>
      </c>
      <c r="Z603" s="2">
        <f t="shared" si="9"/>
        <v>0</v>
      </c>
      <c r="AA603" s="2">
        <f t="shared" si="10"/>
        <v>0</v>
      </c>
      <c r="AB603" s="2">
        <f t="shared" si="11"/>
        <v>0</v>
      </c>
      <c r="AC603" s="2">
        <f t="shared" si="12"/>
        <v>0</v>
      </c>
      <c r="AD603" s="2">
        <f t="shared" si="13"/>
        <v>0</v>
      </c>
      <c r="AE603" s="2">
        <f t="shared" si="14"/>
        <v>0</v>
      </c>
      <c r="AF603" s="2">
        <f t="shared" si="15"/>
        <v>0</v>
      </c>
      <c r="AG603" s="2">
        <f t="shared" si="16"/>
        <v>0</v>
      </c>
      <c r="AH603" s="2">
        <f t="shared" si="17"/>
        <v>0</v>
      </c>
      <c r="AI603" s="2">
        <f t="shared" si="18"/>
      </c>
    </row>
    <row r="604">
      <c r="A604" s="43">
        <f t="shared" si="0"/>
      </c>
      <c r="B604" s="54" t="n"/>
      <c r="C604" s="45" t="n"/>
      <c r="D604" s="50" t="n"/>
      <c r="E604" s="55" t="n"/>
      <c r="F604" s="50" t="n"/>
      <c r="G604" s="55" t="n"/>
      <c r="H604" s="50" t="n"/>
      <c r="I604" s="55" t="n"/>
      <c r="J604" s="50" t="n"/>
      <c r="K604" s="55" t="n"/>
      <c r="L604" s="56" t="n"/>
      <c r="M604" s="57" t="n"/>
      <c r="N604" s="57" t="n"/>
      <c r="O604" s="57" t="n"/>
      <c r="P604" s="57" t="n"/>
      <c r="Q604" s="50" t="n"/>
      <c r="R604" s="58">
        <f t="shared" si="1"/>
      </c>
      <c r="S604" s="59">
        <f t="shared" si="2"/>
      </c>
      <c r="T604" s="43">
        <f t="shared" si="3"/>
      </c>
      <c r="U604" s="60">
        <f t="shared" si="4"/>
      </c>
      <c r="V604" s="60">
        <f t="shared" si="5"/>
      </c>
      <c r="W604" s="60">
        <f t="shared" si="6"/>
      </c>
      <c r="X604" s="49">
        <f t="shared" si="7"/>
      </c>
      <c r="Y604" s="2">
        <f t="shared" si="8"/>
      </c>
      <c r="Z604" s="2">
        <f t="shared" si="9"/>
        <v>0</v>
      </c>
      <c r="AA604" s="2">
        <f t="shared" si="10"/>
        <v>0</v>
      </c>
      <c r="AB604" s="2">
        <f t="shared" si="11"/>
        <v>0</v>
      </c>
      <c r="AC604" s="2">
        <f t="shared" si="12"/>
        <v>0</v>
      </c>
      <c r="AD604" s="2">
        <f t="shared" si="13"/>
        <v>0</v>
      </c>
      <c r="AE604" s="2">
        <f t="shared" si="14"/>
        <v>0</v>
      </c>
      <c r="AF604" s="2">
        <f t="shared" si="15"/>
        <v>0</v>
      </c>
      <c r="AG604" s="2">
        <f t="shared" si="16"/>
        <v>0</v>
      </c>
      <c r="AH604" s="2">
        <f t="shared" si="17"/>
        <v>0</v>
      </c>
      <c r="AI604" s="2">
        <f t="shared" si="18"/>
      </c>
    </row>
    <row r="605">
      <c r="A605" s="43">
        <f t="shared" si="0"/>
      </c>
      <c r="B605" s="54" t="n"/>
      <c r="C605" s="45" t="n"/>
      <c r="D605" s="50" t="n"/>
      <c r="E605" s="55" t="n"/>
      <c r="F605" s="50" t="n"/>
      <c r="G605" s="55" t="n"/>
      <c r="H605" s="50" t="n"/>
      <c r="I605" s="55" t="n"/>
      <c r="J605" s="50" t="n"/>
      <c r="K605" s="55" t="n"/>
      <c r="L605" s="56" t="n"/>
      <c r="M605" s="57" t="n"/>
      <c r="N605" s="57" t="n"/>
      <c r="O605" s="57" t="n"/>
      <c r="P605" s="57" t="n"/>
      <c r="Q605" s="50" t="n"/>
      <c r="R605" s="58">
        <f t="shared" si="1"/>
      </c>
      <c r="S605" s="59">
        <f t="shared" si="2"/>
      </c>
      <c r="T605" s="43">
        <f t="shared" si="3"/>
      </c>
      <c r="U605" s="60">
        <f t="shared" si="4"/>
      </c>
      <c r="V605" s="60">
        <f t="shared" si="5"/>
      </c>
      <c r="W605" s="60">
        <f t="shared" si="6"/>
      </c>
      <c r="X605" s="49">
        <f t="shared" si="7"/>
      </c>
      <c r="Y605" s="2">
        <f t="shared" si="8"/>
      </c>
      <c r="Z605" s="2">
        <f t="shared" si="9"/>
        <v>0</v>
      </c>
      <c r="AA605" s="2">
        <f t="shared" si="10"/>
        <v>0</v>
      </c>
      <c r="AB605" s="2">
        <f t="shared" si="11"/>
        <v>0</v>
      </c>
      <c r="AC605" s="2">
        <f t="shared" si="12"/>
        <v>0</v>
      </c>
      <c r="AD605" s="2">
        <f t="shared" si="13"/>
        <v>0</v>
      </c>
      <c r="AE605" s="2">
        <f t="shared" si="14"/>
        <v>0</v>
      </c>
      <c r="AF605" s="2">
        <f t="shared" si="15"/>
        <v>0</v>
      </c>
      <c r="AG605" s="2">
        <f t="shared" si="16"/>
        <v>0</v>
      </c>
      <c r="AH605" s="2">
        <f t="shared" si="17"/>
        <v>0</v>
      </c>
      <c r="AI605" s="2">
        <f t="shared" si="18"/>
      </c>
    </row>
    <row r="606">
      <c r="A606" s="43">
        <f t="shared" si="0"/>
      </c>
      <c r="B606" s="54" t="n"/>
      <c r="C606" s="45" t="n"/>
      <c r="D606" s="50" t="n"/>
      <c r="E606" s="55" t="n"/>
      <c r="F606" s="50" t="n"/>
      <c r="G606" s="55" t="n"/>
      <c r="H606" s="50" t="n"/>
      <c r="I606" s="55" t="n"/>
      <c r="J606" s="50" t="n"/>
      <c r="K606" s="55" t="n"/>
      <c r="L606" s="56" t="n"/>
      <c r="M606" s="57" t="n"/>
      <c r="N606" s="57" t="n"/>
      <c r="O606" s="57" t="n"/>
      <c r="P606" s="57" t="n"/>
      <c r="Q606" s="50" t="n"/>
      <c r="R606" s="58">
        <f t="shared" si="1"/>
      </c>
      <c r="S606" s="59">
        <f t="shared" si="2"/>
      </c>
      <c r="T606" s="43">
        <f t="shared" si="3"/>
      </c>
      <c r="U606" s="60">
        <f t="shared" si="4"/>
      </c>
      <c r="V606" s="60">
        <f t="shared" si="5"/>
      </c>
      <c r="W606" s="60">
        <f t="shared" si="6"/>
      </c>
      <c r="X606" s="49">
        <f t="shared" si="7"/>
      </c>
      <c r="Y606" s="2">
        <f t="shared" si="8"/>
      </c>
      <c r="Z606" s="2">
        <f t="shared" si="9"/>
        <v>0</v>
      </c>
      <c r="AA606" s="2">
        <f t="shared" si="10"/>
        <v>0</v>
      </c>
      <c r="AB606" s="2">
        <f t="shared" si="11"/>
        <v>0</v>
      </c>
      <c r="AC606" s="2">
        <f t="shared" si="12"/>
        <v>0</v>
      </c>
      <c r="AD606" s="2">
        <f t="shared" si="13"/>
        <v>0</v>
      </c>
      <c r="AE606" s="2">
        <f t="shared" si="14"/>
        <v>0</v>
      </c>
      <c r="AF606" s="2">
        <f t="shared" si="15"/>
        <v>0</v>
      </c>
      <c r="AG606" s="2">
        <f t="shared" si="16"/>
        <v>0</v>
      </c>
      <c r="AH606" s="2">
        <f t="shared" si="17"/>
        <v>0</v>
      </c>
      <c r="AI606" s="2">
        <f t="shared" si="18"/>
      </c>
    </row>
    <row r="607">
      <c r="A607" s="43">
        <f t="shared" si="0"/>
      </c>
      <c r="B607" s="54" t="n"/>
      <c r="C607" s="45" t="n"/>
      <c r="D607" s="50" t="n"/>
      <c r="E607" s="55" t="n"/>
      <c r="F607" s="50" t="n"/>
      <c r="G607" s="55" t="n"/>
      <c r="H607" s="50" t="n"/>
      <c r="I607" s="55" t="n"/>
      <c r="J607" s="50" t="n"/>
      <c r="K607" s="55" t="n"/>
      <c r="L607" s="56" t="n"/>
      <c r="M607" s="57" t="n"/>
      <c r="N607" s="57" t="n"/>
      <c r="O607" s="57" t="n"/>
      <c r="P607" s="57" t="n"/>
      <c r="Q607" s="50" t="n"/>
      <c r="R607" s="58">
        <f t="shared" si="1"/>
      </c>
      <c r="S607" s="59">
        <f t="shared" si="2"/>
      </c>
      <c r="T607" s="43">
        <f t="shared" si="3"/>
      </c>
      <c r="U607" s="60">
        <f t="shared" si="4"/>
      </c>
      <c r="V607" s="60">
        <f t="shared" si="5"/>
      </c>
      <c r="W607" s="60">
        <f t="shared" si="6"/>
      </c>
      <c r="X607" s="49">
        <f t="shared" si="7"/>
      </c>
      <c r="Y607" s="2">
        <f t="shared" si="8"/>
      </c>
      <c r="Z607" s="2">
        <f t="shared" si="9"/>
        <v>0</v>
      </c>
      <c r="AA607" s="2">
        <f t="shared" si="10"/>
        <v>0</v>
      </c>
      <c r="AB607" s="2">
        <f t="shared" si="11"/>
        <v>0</v>
      </c>
      <c r="AC607" s="2">
        <f t="shared" si="12"/>
        <v>0</v>
      </c>
      <c r="AD607" s="2">
        <f t="shared" si="13"/>
        <v>0</v>
      </c>
      <c r="AE607" s="2">
        <f t="shared" si="14"/>
        <v>0</v>
      </c>
      <c r="AF607" s="2">
        <f t="shared" si="15"/>
        <v>0</v>
      </c>
      <c r="AG607" s="2">
        <f t="shared" si="16"/>
        <v>0</v>
      </c>
      <c r="AH607" s="2">
        <f t="shared" si="17"/>
        <v>0</v>
      </c>
      <c r="AI607" s="2">
        <f t="shared" si="18"/>
      </c>
    </row>
    <row r="608">
      <c r="A608" s="43">
        <f t="shared" si="0"/>
      </c>
      <c r="B608" s="54" t="n"/>
      <c r="C608" s="45" t="n"/>
      <c r="D608" s="50" t="n"/>
      <c r="E608" s="55" t="n"/>
      <c r="F608" s="50" t="n"/>
      <c r="G608" s="55" t="n"/>
      <c r="H608" s="50" t="n"/>
      <c r="I608" s="55" t="n"/>
      <c r="J608" s="50" t="n"/>
      <c r="K608" s="55" t="n"/>
      <c r="L608" s="56" t="n"/>
      <c r="M608" s="57" t="n"/>
      <c r="N608" s="57" t="n"/>
      <c r="O608" s="57" t="n"/>
      <c r="P608" s="57" t="n"/>
      <c r="Q608" s="50" t="n"/>
      <c r="R608" s="58">
        <f t="shared" si="1"/>
      </c>
      <c r="S608" s="59">
        <f t="shared" si="2"/>
      </c>
      <c r="T608" s="43">
        <f t="shared" si="3"/>
      </c>
      <c r="U608" s="60">
        <f t="shared" si="4"/>
      </c>
      <c r="V608" s="60">
        <f t="shared" si="5"/>
      </c>
      <c r="W608" s="60">
        <f t="shared" si="6"/>
      </c>
      <c r="X608" s="49">
        <f t="shared" si="7"/>
      </c>
      <c r="Y608" s="2">
        <f t="shared" si="8"/>
      </c>
      <c r="Z608" s="2">
        <f t="shared" si="9"/>
        <v>0</v>
      </c>
      <c r="AA608" s="2">
        <f t="shared" si="10"/>
        <v>0</v>
      </c>
      <c r="AB608" s="2">
        <f t="shared" si="11"/>
        <v>0</v>
      </c>
      <c r="AC608" s="2">
        <f t="shared" si="12"/>
        <v>0</v>
      </c>
      <c r="AD608" s="2">
        <f t="shared" si="13"/>
        <v>0</v>
      </c>
      <c r="AE608" s="2">
        <f t="shared" si="14"/>
        <v>0</v>
      </c>
      <c r="AF608" s="2">
        <f t="shared" si="15"/>
        <v>0</v>
      </c>
      <c r="AG608" s="2">
        <f t="shared" si="16"/>
        <v>0</v>
      </c>
      <c r="AH608" s="2">
        <f t="shared" si="17"/>
        <v>0</v>
      </c>
      <c r="AI608" s="2">
        <f t="shared" si="18"/>
      </c>
    </row>
    <row r="609">
      <c r="A609" s="43">
        <f t="shared" si="0"/>
      </c>
      <c r="B609" s="54" t="n"/>
      <c r="C609" s="45" t="n"/>
      <c r="D609" s="50" t="n"/>
      <c r="E609" s="55" t="n"/>
      <c r="F609" s="50" t="n"/>
      <c r="G609" s="55" t="n"/>
      <c r="H609" s="50" t="n"/>
      <c r="I609" s="55" t="n"/>
      <c r="J609" s="50" t="n"/>
      <c r="K609" s="55" t="n"/>
      <c r="L609" s="56" t="n"/>
      <c r="M609" s="57" t="n"/>
      <c r="N609" s="57" t="n"/>
      <c r="O609" s="57" t="n"/>
      <c r="P609" s="57" t="n"/>
      <c r="Q609" s="50" t="n"/>
      <c r="R609" s="58">
        <f t="shared" si="1"/>
      </c>
      <c r="S609" s="59">
        <f t="shared" si="2"/>
      </c>
      <c r="T609" s="43">
        <f t="shared" si="3"/>
      </c>
      <c r="U609" s="60">
        <f t="shared" si="4"/>
      </c>
      <c r="V609" s="60">
        <f t="shared" si="5"/>
      </c>
      <c r="W609" s="60">
        <f t="shared" si="6"/>
      </c>
      <c r="X609" s="49">
        <f t="shared" si="7"/>
      </c>
      <c r="Y609" s="2">
        <f t="shared" si="8"/>
      </c>
      <c r="Z609" s="2">
        <f t="shared" si="9"/>
        <v>0</v>
      </c>
      <c r="AA609" s="2">
        <f t="shared" si="10"/>
        <v>0</v>
      </c>
      <c r="AB609" s="2">
        <f t="shared" si="11"/>
        <v>0</v>
      </c>
      <c r="AC609" s="2">
        <f t="shared" si="12"/>
        <v>0</v>
      </c>
      <c r="AD609" s="2">
        <f t="shared" si="13"/>
        <v>0</v>
      </c>
      <c r="AE609" s="2">
        <f t="shared" si="14"/>
        <v>0</v>
      </c>
      <c r="AF609" s="2">
        <f t="shared" si="15"/>
        <v>0</v>
      </c>
      <c r="AG609" s="2">
        <f t="shared" si="16"/>
        <v>0</v>
      </c>
      <c r="AH609" s="2">
        <f t="shared" si="17"/>
        <v>0</v>
      </c>
      <c r="AI609" s="2">
        <f t="shared" si="18"/>
      </c>
    </row>
    <row r="610">
      <c r="A610" s="43">
        <f t="shared" si="0"/>
      </c>
      <c r="B610" s="54" t="n"/>
      <c r="C610" s="45" t="n"/>
      <c r="D610" s="50" t="n"/>
      <c r="E610" s="55" t="n"/>
      <c r="F610" s="50" t="n"/>
      <c r="G610" s="55" t="n"/>
      <c r="H610" s="50" t="n"/>
      <c r="I610" s="55" t="n"/>
      <c r="J610" s="50" t="n"/>
      <c r="K610" s="55" t="n"/>
      <c r="L610" s="56" t="n"/>
      <c r="M610" s="57" t="n"/>
      <c r="N610" s="57" t="n"/>
      <c r="O610" s="57" t="n"/>
      <c r="P610" s="57" t="n"/>
      <c r="Q610" s="50" t="n"/>
      <c r="R610" s="58">
        <f t="shared" si="1"/>
      </c>
      <c r="S610" s="59">
        <f t="shared" si="2"/>
      </c>
      <c r="T610" s="43">
        <f t="shared" si="3"/>
      </c>
      <c r="U610" s="60">
        <f t="shared" si="4"/>
      </c>
      <c r="V610" s="60">
        <f t="shared" si="5"/>
      </c>
      <c r="W610" s="60">
        <f t="shared" si="6"/>
      </c>
      <c r="X610" s="49">
        <f t="shared" si="7"/>
      </c>
      <c r="Y610" s="2">
        <f t="shared" si="8"/>
      </c>
      <c r="Z610" s="2">
        <f t="shared" si="9"/>
        <v>0</v>
      </c>
      <c r="AA610" s="2">
        <f t="shared" si="10"/>
        <v>0</v>
      </c>
      <c r="AB610" s="2">
        <f t="shared" si="11"/>
        <v>0</v>
      </c>
      <c r="AC610" s="2">
        <f t="shared" si="12"/>
        <v>0</v>
      </c>
      <c r="AD610" s="2">
        <f t="shared" si="13"/>
        <v>0</v>
      </c>
      <c r="AE610" s="2">
        <f t="shared" si="14"/>
        <v>0</v>
      </c>
      <c r="AF610" s="2">
        <f t="shared" si="15"/>
        <v>0</v>
      </c>
      <c r="AG610" s="2">
        <f t="shared" si="16"/>
        <v>0</v>
      </c>
      <c r="AH610" s="2">
        <f t="shared" si="17"/>
        <v>0</v>
      </c>
      <c r="AI610" s="2">
        <f t="shared" si="18"/>
      </c>
    </row>
    <row r="611">
      <c r="A611" s="43">
        <f t="shared" si="0"/>
      </c>
      <c r="B611" s="54" t="n"/>
      <c r="C611" s="45" t="n"/>
      <c r="D611" s="50" t="n"/>
      <c r="E611" s="55" t="n"/>
      <c r="F611" s="50" t="n"/>
      <c r="G611" s="55" t="n"/>
      <c r="H611" s="50" t="n"/>
      <c r="I611" s="55" t="n"/>
      <c r="J611" s="50" t="n"/>
      <c r="K611" s="55" t="n"/>
      <c r="L611" s="56" t="n"/>
      <c r="M611" s="57" t="n"/>
      <c r="N611" s="57" t="n"/>
      <c r="O611" s="57" t="n"/>
      <c r="P611" s="57" t="n"/>
      <c r="Q611" s="50" t="n"/>
      <c r="R611" s="58">
        <f t="shared" si="1"/>
      </c>
      <c r="S611" s="59">
        <f t="shared" si="2"/>
      </c>
      <c r="T611" s="43">
        <f t="shared" si="3"/>
      </c>
      <c r="U611" s="60">
        <f t="shared" si="4"/>
      </c>
      <c r="V611" s="60">
        <f t="shared" si="5"/>
      </c>
      <c r="W611" s="60">
        <f t="shared" si="6"/>
      </c>
      <c r="X611" s="49">
        <f t="shared" si="7"/>
      </c>
      <c r="Y611" s="2">
        <f t="shared" si="8"/>
      </c>
      <c r="Z611" s="2">
        <f t="shared" si="9"/>
        <v>0</v>
      </c>
      <c r="AA611" s="2">
        <f t="shared" si="10"/>
        <v>0</v>
      </c>
      <c r="AB611" s="2">
        <f t="shared" si="11"/>
        <v>0</v>
      </c>
      <c r="AC611" s="2">
        <f t="shared" si="12"/>
        <v>0</v>
      </c>
      <c r="AD611" s="2">
        <f t="shared" si="13"/>
        <v>0</v>
      </c>
      <c r="AE611" s="2">
        <f t="shared" si="14"/>
        <v>0</v>
      </c>
      <c r="AF611" s="2">
        <f t="shared" si="15"/>
        <v>0</v>
      </c>
      <c r="AG611" s="2">
        <f t="shared" si="16"/>
        <v>0</v>
      </c>
      <c r="AH611" s="2">
        <f t="shared" si="17"/>
        <v>0</v>
      </c>
      <c r="AI611" s="2">
        <f t="shared" si="18"/>
      </c>
    </row>
    <row r="612">
      <c r="A612" s="43">
        <f t="shared" si="0"/>
      </c>
      <c r="B612" s="54" t="n"/>
      <c r="C612" s="45" t="n"/>
      <c r="D612" s="50" t="n"/>
      <c r="E612" s="55" t="n"/>
      <c r="F612" s="50" t="n"/>
      <c r="G612" s="55" t="n"/>
      <c r="H612" s="50" t="n"/>
      <c r="I612" s="55" t="n"/>
      <c r="J612" s="50" t="n"/>
      <c r="K612" s="55" t="n"/>
      <c r="L612" s="56" t="n"/>
      <c r="M612" s="57" t="n"/>
      <c r="N612" s="57" t="n"/>
      <c r="O612" s="57" t="n"/>
      <c r="P612" s="57" t="n"/>
      <c r="Q612" s="50" t="n"/>
      <c r="R612" s="58">
        <f t="shared" si="1"/>
      </c>
      <c r="S612" s="59">
        <f t="shared" si="2"/>
      </c>
      <c r="T612" s="43">
        <f t="shared" si="3"/>
      </c>
      <c r="U612" s="60">
        <f t="shared" si="4"/>
      </c>
      <c r="V612" s="60">
        <f t="shared" si="5"/>
      </c>
      <c r="W612" s="60">
        <f t="shared" si="6"/>
      </c>
      <c r="X612" s="49">
        <f t="shared" si="7"/>
      </c>
      <c r="Y612" s="2">
        <f t="shared" si="8"/>
      </c>
      <c r="Z612" s="2">
        <f t="shared" si="9"/>
        <v>0</v>
      </c>
      <c r="AA612" s="2">
        <f t="shared" si="10"/>
        <v>0</v>
      </c>
      <c r="AB612" s="2">
        <f t="shared" si="11"/>
        <v>0</v>
      </c>
      <c r="AC612" s="2">
        <f t="shared" si="12"/>
        <v>0</v>
      </c>
      <c r="AD612" s="2">
        <f t="shared" si="13"/>
        <v>0</v>
      </c>
      <c r="AE612" s="2">
        <f t="shared" si="14"/>
        <v>0</v>
      </c>
      <c r="AF612" s="2">
        <f t="shared" si="15"/>
        <v>0</v>
      </c>
      <c r="AG612" s="2">
        <f t="shared" si="16"/>
        <v>0</v>
      </c>
      <c r="AH612" s="2">
        <f t="shared" si="17"/>
        <v>0</v>
      </c>
      <c r="AI612" s="2">
        <f t="shared" si="18"/>
      </c>
    </row>
    <row r="613">
      <c r="A613" s="43">
        <f t="shared" si="0"/>
      </c>
      <c r="B613" s="54" t="n"/>
      <c r="C613" s="45" t="n"/>
      <c r="D613" s="50" t="n"/>
      <c r="E613" s="55" t="n"/>
      <c r="F613" s="50" t="n"/>
      <c r="G613" s="55" t="n"/>
      <c r="H613" s="50" t="n"/>
      <c r="I613" s="55" t="n"/>
      <c r="J613" s="50" t="n"/>
      <c r="K613" s="55" t="n"/>
      <c r="L613" s="56" t="n"/>
      <c r="M613" s="57" t="n"/>
      <c r="N613" s="57" t="n"/>
      <c r="O613" s="57" t="n"/>
      <c r="P613" s="57" t="n"/>
      <c r="Q613" s="50" t="n"/>
      <c r="R613" s="58">
        <f t="shared" si="1"/>
      </c>
      <c r="S613" s="59">
        <f t="shared" si="2"/>
      </c>
      <c r="T613" s="43">
        <f t="shared" si="3"/>
      </c>
      <c r="U613" s="60">
        <f t="shared" si="4"/>
      </c>
      <c r="V613" s="60">
        <f t="shared" si="5"/>
      </c>
      <c r="W613" s="60">
        <f t="shared" si="6"/>
      </c>
      <c r="X613" s="49">
        <f t="shared" si="7"/>
      </c>
      <c r="Y613" s="2">
        <f t="shared" si="8"/>
      </c>
      <c r="Z613" s="2">
        <f t="shared" si="9"/>
        <v>0</v>
      </c>
      <c r="AA613" s="2">
        <f t="shared" si="10"/>
        <v>0</v>
      </c>
      <c r="AB613" s="2">
        <f t="shared" si="11"/>
        <v>0</v>
      </c>
      <c r="AC613" s="2">
        <f t="shared" si="12"/>
        <v>0</v>
      </c>
      <c r="AD613" s="2">
        <f t="shared" si="13"/>
        <v>0</v>
      </c>
      <c r="AE613" s="2">
        <f t="shared" si="14"/>
        <v>0</v>
      </c>
      <c r="AF613" s="2">
        <f t="shared" si="15"/>
        <v>0</v>
      </c>
      <c r="AG613" s="2">
        <f t="shared" si="16"/>
        <v>0</v>
      </c>
      <c r="AH613" s="2">
        <f t="shared" si="17"/>
        <v>0</v>
      </c>
      <c r="AI613" s="2">
        <f t="shared" si="18"/>
      </c>
    </row>
    <row r="614">
      <c r="A614" s="43">
        <f t="shared" si="0"/>
      </c>
      <c r="B614" s="54" t="n"/>
      <c r="C614" s="45" t="n"/>
      <c r="D614" s="50" t="n"/>
      <c r="E614" s="55" t="n"/>
      <c r="F614" s="50" t="n"/>
      <c r="G614" s="55" t="n"/>
      <c r="H614" s="50" t="n"/>
      <c r="I614" s="55" t="n"/>
      <c r="J614" s="50" t="n"/>
      <c r="K614" s="55" t="n"/>
      <c r="L614" s="56" t="n"/>
      <c r="M614" s="57" t="n"/>
      <c r="N614" s="57" t="n"/>
      <c r="O614" s="57" t="n"/>
      <c r="P614" s="57" t="n"/>
      <c r="Q614" s="50" t="n"/>
      <c r="R614" s="58">
        <f t="shared" si="1"/>
      </c>
      <c r="S614" s="59">
        <f t="shared" si="2"/>
      </c>
      <c r="T614" s="43">
        <f t="shared" si="3"/>
      </c>
      <c r="U614" s="60">
        <f t="shared" si="4"/>
      </c>
      <c r="V614" s="60">
        <f t="shared" si="5"/>
      </c>
      <c r="W614" s="60">
        <f t="shared" si="6"/>
      </c>
      <c r="X614" s="49">
        <f t="shared" si="7"/>
      </c>
      <c r="Y614" s="2">
        <f t="shared" si="8"/>
      </c>
      <c r="Z614" s="2">
        <f t="shared" si="9"/>
        <v>0</v>
      </c>
      <c r="AA614" s="2">
        <f t="shared" si="10"/>
        <v>0</v>
      </c>
      <c r="AB614" s="2">
        <f t="shared" si="11"/>
        <v>0</v>
      </c>
      <c r="AC614" s="2">
        <f t="shared" si="12"/>
        <v>0</v>
      </c>
      <c r="AD614" s="2">
        <f t="shared" si="13"/>
        <v>0</v>
      </c>
      <c r="AE614" s="2">
        <f t="shared" si="14"/>
        <v>0</v>
      </c>
      <c r="AF614" s="2">
        <f t="shared" si="15"/>
        <v>0</v>
      </c>
      <c r="AG614" s="2">
        <f t="shared" si="16"/>
        <v>0</v>
      </c>
      <c r="AH614" s="2">
        <f t="shared" si="17"/>
        <v>0</v>
      </c>
      <c r="AI614" s="2">
        <f t="shared" si="18"/>
      </c>
    </row>
    <row r="615">
      <c r="A615" s="43">
        <f t="shared" si="0"/>
      </c>
      <c r="B615" s="54" t="n"/>
      <c r="C615" s="45" t="n"/>
      <c r="D615" s="50" t="n"/>
      <c r="E615" s="55" t="n"/>
      <c r="F615" s="50" t="n"/>
      <c r="G615" s="55" t="n"/>
      <c r="H615" s="50" t="n"/>
      <c r="I615" s="55" t="n"/>
      <c r="J615" s="50" t="n"/>
      <c r="K615" s="55" t="n"/>
      <c r="L615" s="56" t="n"/>
      <c r="M615" s="57" t="n"/>
      <c r="N615" s="57" t="n"/>
      <c r="O615" s="57" t="n"/>
      <c r="P615" s="57" t="n"/>
      <c r="Q615" s="50" t="n"/>
      <c r="R615" s="58">
        <f t="shared" si="1"/>
      </c>
      <c r="S615" s="59">
        <f t="shared" si="2"/>
      </c>
      <c r="T615" s="43">
        <f t="shared" si="3"/>
      </c>
      <c r="U615" s="60">
        <f t="shared" si="4"/>
      </c>
      <c r="V615" s="60">
        <f t="shared" si="5"/>
      </c>
      <c r="W615" s="60">
        <f t="shared" si="6"/>
      </c>
      <c r="X615" s="49">
        <f t="shared" si="7"/>
      </c>
      <c r="Y615" s="2">
        <f t="shared" si="8"/>
      </c>
      <c r="Z615" s="2">
        <f t="shared" si="9"/>
        <v>0</v>
      </c>
      <c r="AA615" s="2">
        <f t="shared" si="10"/>
        <v>0</v>
      </c>
      <c r="AB615" s="2">
        <f t="shared" si="11"/>
        <v>0</v>
      </c>
      <c r="AC615" s="2">
        <f t="shared" si="12"/>
        <v>0</v>
      </c>
      <c r="AD615" s="2">
        <f t="shared" si="13"/>
        <v>0</v>
      </c>
      <c r="AE615" s="2">
        <f t="shared" si="14"/>
        <v>0</v>
      </c>
      <c r="AF615" s="2">
        <f t="shared" si="15"/>
        <v>0</v>
      </c>
      <c r="AG615" s="2">
        <f t="shared" si="16"/>
        <v>0</v>
      </c>
      <c r="AH615" s="2">
        <f t="shared" si="17"/>
        <v>0</v>
      </c>
      <c r="AI615" s="2">
        <f t="shared" si="18"/>
      </c>
    </row>
    <row r="616">
      <c r="A616" s="43">
        <f t="shared" si="0"/>
      </c>
      <c r="B616" s="54" t="n"/>
      <c r="C616" s="45" t="n"/>
      <c r="D616" s="50" t="n"/>
      <c r="E616" s="55" t="n"/>
      <c r="F616" s="50" t="n"/>
      <c r="G616" s="55" t="n"/>
      <c r="H616" s="50" t="n"/>
      <c r="I616" s="55" t="n"/>
      <c r="J616" s="50" t="n"/>
      <c r="K616" s="55" t="n"/>
      <c r="L616" s="56" t="n"/>
      <c r="M616" s="57" t="n"/>
      <c r="N616" s="57" t="n"/>
      <c r="O616" s="57" t="n"/>
      <c r="P616" s="57" t="n"/>
      <c r="Q616" s="50" t="n"/>
      <c r="R616" s="58">
        <f t="shared" si="1"/>
      </c>
      <c r="S616" s="59">
        <f t="shared" si="2"/>
      </c>
      <c r="T616" s="43">
        <f t="shared" si="3"/>
      </c>
      <c r="U616" s="60">
        <f t="shared" si="4"/>
      </c>
      <c r="V616" s="60">
        <f t="shared" si="5"/>
      </c>
      <c r="W616" s="60">
        <f t="shared" si="6"/>
      </c>
      <c r="X616" s="49">
        <f t="shared" si="7"/>
      </c>
      <c r="Y616" s="2">
        <f t="shared" si="8"/>
      </c>
      <c r="Z616" s="2">
        <f t="shared" si="9"/>
        <v>0</v>
      </c>
      <c r="AA616" s="2">
        <f t="shared" si="10"/>
        <v>0</v>
      </c>
      <c r="AB616" s="2">
        <f t="shared" si="11"/>
        <v>0</v>
      </c>
      <c r="AC616" s="2">
        <f t="shared" si="12"/>
        <v>0</v>
      </c>
      <c r="AD616" s="2">
        <f t="shared" si="13"/>
        <v>0</v>
      </c>
      <c r="AE616" s="2">
        <f t="shared" si="14"/>
        <v>0</v>
      </c>
      <c r="AF616" s="2">
        <f t="shared" si="15"/>
        <v>0</v>
      </c>
      <c r="AG616" s="2">
        <f t="shared" si="16"/>
        <v>0</v>
      </c>
      <c r="AH616" s="2">
        <f t="shared" si="17"/>
        <v>0</v>
      </c>
      <c r="AI616" s="2">
        <f t="shared" si="18"/>
      </c>
    </row>
    <row r="617">
      <c r="A617" s="43">
        <f t="shared" si="0"/>
      </c>
      <c r="B617" s="54" t="n"/>
      <c r="C617" s="45" t="n"/>
      <c r="D617" s="50" t="n"/>
      <c r="E617" s="55" t="n"/>
      <c r="F617" s="50" t="n"/>
      <c r="G617" s="55" t="n"/>
      <c r="H617" s="50" t="n"/>
      <c r="I617" s="55" t="n"/>
      <c r="J617" s="50" t="n"/>
      <c r="K617" s="55" t="n"/>
      <c r="L617" s="56" t="n"/>
      <c r="M617" s="57" t="n"/>
      <c r="N617" s="57" t="n"/>
      <c r="O617" s="57" t="n"/>
      <c r="P617" s="57" t="n"/>
      <c r="Q617" s="50" t="n"/>
      <c r="R617" s="58">
        <f t="shared" si="1"/>
      </c>
      <c r="S617" s="59">
        <f t="shared" si="2"/>
      </c>
      <c r="T617" s="43">
        <f t="shared" si="3"/>
      </c>
      <c r="U617" s="60">
        <f t="shared" si="4"/>
      </c>
      <c r="V617" s="60">
        <f t="shared" si="5"/>
      </c>
      <c r="W617" s="60">
        <f t="shared" si="6"/>
      </c>
      <c r="X617" s="49">
        <f t="shared" si="7"/>
      </c>
      <c r="Y617" s="2">
        <f t="shared" si="8"/>
      </c>
      <c r="Z617" s="2">
        <f t="shared" si="9"/>
        <v>0</v>
      </c>
      <c r="AA617" s="2">
        <f t="shared" si="10"/>
        <v>0</v>
      </c>
      <c r="AB617" s="2">
        <f t="shared" si="11"/>
        <v>0</v>
      </c>
      <c r="AC617" s="2">
        <f t="shared" si="12"/>
        <v>0</v>
      </c>
      <c r="AD617" s="2">
        <f t="shared" si="13"/>
        <v>0</v>
      </c>
      <c r="AE617" s="2">
        <f t="shared" si="14"/>
        <v>0</v>
      </c>
      <c r="AF617" s="2">
        <f t="shared" si="15"/>
        <v>0</v>
      </c>
      <c r="AG617" s="2">
        <f t="shared" si="16"/>
        <v>0</v>
      </c>
      <c r="AH617" s="2">
        <f t="shared" si="17"/>
        <v>0</v>
      </c>
      <c r="AI617" s="2">
        <f t="shared" si="18"/>
      </c>
    </row>
    <row r="618">
      <c r="A618" s="43">
        <f t="shared" si="0"/>
      </c>
      <c r="B618" s="54" t="n"/>
      <c r="C618" s="45" t="n"/>
      <c r="D618" s="50" t="n"/>
      <c r="E618" s="55" t="n"/>
      <c r="F618" s="50" t="n"/>
      <c r="G618" s="55" t="n"/>
      <c r="H618" s="50" t="n"/>
      <c r="I618" s="55" t="n"/>
      <c r="J618" s="50" t="n"/>
      <c r="K618" s="55" t="n"/>
      <c r="L618" s="56" t="n"/>
      <c r="M618" s="57" t="n"/>
      <c r="N618" s="57" t="n"/>
      <c r="O618" s="57" t="n"/>
      <c r="P618" s="57" t="n"/>
      <c r="Q618" s="50" t="n"/>
      <c r="R618" s="58">
        <f t="shared" si="1"/>
      </c>
      <c r="S618" s="59">
        <f t="shared" si="2"/>
      </c>
      <c r="T618" s="43">
        <f t="shared" si="3"/>
      </c>
      <c r="U618" s="60">
        <f t="shared" si="4"/>
      </c>
      <c r="V618" s="60">
        <f t="shared" si="5"/>
      </c>
      <c r="W618" s="60">
        <f t="shared" si="6"/>
      </c>
      <c r="X618" s="49">
        <f t="shared" si="7"/>
      </c>
      <c r="Y618" s="2">
        <f t="shared" si="8"/>
      </c>
      <c r="Z618" s="2">
        <f t="shared" si="9"/>
        <v>0</v>
      </c>
      <c r="AA618" s="2">
        <f t="shared" si="10"/>
        <v>0</v>
      </c>
      <c r="AB618" s="2">
        <f t="shared" si="11"/>
        <v>0</v>
      </c>
      <c r="AC618" s="2">
        <f t="shared" si="12"/>
        <v>0</v>
      </c>
      <c r="AD618" s="2">
        <f t="shared" si="13"/>
        <v>0</v>
      </c>
      <c r="AE618" s="2">
        <f t="shared" si="14"/>
        <v>0</v>
      </c>
      <c r="AF618" s="2">
        <f t="shared" si="15"/>
        <v>0</v>
      </c>
      <c r="AG618" s="2">
        <f t="shared" si="16"/>
        <v>0</v>
      </c>
      <c r="AH618" s="2">
        <f t="shared" si="17"/>
        <v>0</v>
      </c>
      <c r="AI618" s="2">
        <f t="shared" si="18"/>
      </c>
    </row>
    <row r="619">
      <c r="A619" s="43">
        <f t="shared" si="0"/>
      </c>
      <c r="B619" s="54" t="n"/>
      <c r="C619" s="45" t="n"/>
      <c r="D619" s="50" t="n"/>
      <c r="E619" s="55" t="n"/>
      <c r="F619" s="50" t="n"/>
      <c r="G619" s="55" t="n"/>
      <c r="H619" s="50" t="n"/>
      <c r="I619" s="55" t="n"/>
      <c r="J619" s="50" t="n"/>
      <c r="K619" s="55" t="n"/>
      <c r="L619" s="56" t="n"/>
      <c r="M619" s="57" t="n"/>
      <c r="N619" s="57" t="n"/>
      <c r="O619" s="57" t="n"/>
      <c r="P619" s="57" t="n"/>
      <c r="Q619" s="50" t="n"/>
      <c r="R619" s="58">
        <f t="shared" si="1"/>
      </c>
      <c r="S619" s="59">
        <f t="shared" si="2"/>
      </c>
      <c r="T619" s="43">
        <f t="shared" si="3"/>
      </c>
      <c r="U619" s="60">
        <f t="shared" si="4"/>
      </c>
      <c r="V619" s="60">
        <f t="shared" si="5"/>
      </c>
      <c r="W619" s="60">
        <f t="shared" si="6"/>
      </c>
      <c r="X619" s="49">
        <f t="shared" si="7"/>
      </c>
      <c r="Y619" s="2">
        <f t="shared" si="8"/>
      </c>
      <c r="Z619" s="2">
        <f t="shared" si="9"/>
        <v>0</v>
      </c>
      <c r="AA619" s="2">
        <f t="shared" si="10"/>
        <v>0</v>
      </c>
      <c r="AB619" s="2">
        <f t="shared" si="11"/>
        <v>0</v>
      </c>
      <c r="AC619" s="2">
        <f t="shared" si="12"/>
        <v>0</v>
      </c>
      <c r="AD619" s="2">
        <f t="shared" si="13"/>
        <v>0</v>
      </c>
      <c r="AE619" s="2">
        <f t="shared" si="14"/>
        <v>0</v>
      </c>
      <c r="AF619" s="2">
        <f t="shared" si="15"/>
        <v>0</v>
      </c>
      <c r="AG619" s="2">
        <f t="shared" si="16"/>
        <v>0</v>
      </c>
      <c r="AH619" s="2">
        <f t="shared" si="17"/>
        <v>0</v>
      </c>
      <c r="AI619" s="2">
        <f t="shared" si="18"/>
      </c>
    </row>
    <row r="620">
      <c r="A620" s="43">
        <f t="shared" si="0"/>
      </c>
      <c r="B620" s="54" t="n"/>
      <c r="C620" s="45" t="n"/>
      <c r="D620" s="50" t="n"/>
      <c r="E620" s="55" t="n"/>
      <c r="F620" s="50" t="n"/>
      <c r="G620" s="55" t="n"/>
      <c r="H620" s="50" t="n"/>
      <c r="I620" s="55" t="n"/>
      <c r="J620" s="50" t="n"/>
      <c r="K620" s="55" t="n"/>
      <c r="L620" s="56" t="n"/>
      <c r="M620" s="57" t="n"/>
      <c r="N620" s="57" t="n"/>
      <c r="O620" s="57" t="n"/>
      <c r="P620" s="57" t="n"/>
      <c r="Q620" s="50" t="n"/>
      <c r="R620" s="58">
        <f t="shared" si="1"/>
      </c>
      <c r="S620" s="59">
        <f t="shared" si="2"/>
      </c>
      <c r="T620" s="43">
        <f t="shared" si="3"/>
      </c>
      <c r="U620" s="60">
        <f t="shared" si="4"/>
      </c>
      <c r="V620" s="60">
        <f t="shared" si="5"/>
      </c>
      <c r="W620" s="60">
        <f t="shared" si="6"/>
      </c>
      <c r="X620" s="49">
        <f t="shared" si="7"/>
      </c>
      <c r="Y620" s="2">
        <f t="shared" si="8"/>
      </c>
      <c r="Z620" s="2">
        <f t="shared" si="9"/>
        <v>0</v>
      </c>
      <c r="AA620" s="2">
        <f t="shared" si="10"/>
        <v>0</v>
      </c>
      <c r="AB620" s="2">
        <f t="shared" si="11"/>
        <v>0</v>
      </c>
      <c r="AC620" s="2">
        <f t="shared" si="12"/>
        <v>0</v>
      </c>
      <c r="AD620" s="2">
        <f t="shared" si="13"/>
        <v>0</v>
      </c>
      <c r="AE620" s="2">
        <f t="shared" si="14"/>
        <v>0</v>
      </c>
      <c r="AF620" s="2">
        <f t="shared" si="15"/>
        <v>0</v>
      </c>
      <c r="AG620" s="2">
        <f t="shared" si="16"/>
        <v>0</v>
      </c>
      <c r="AH620" s="2">
        <f t="shared" si="17"/>
        <v>0</v>
      </c>
      <c r="AI620" s="2">
        <f t="shared" si="18"/>
      </c>
    </row>
    <row r="621">
      <c r="A621" s="43">
        <f t="shared" si="0"/>
      </c>
      <c r="B621" s="54" t="n"/>
      <c r="C621" s="45" t="n"/>
      <c r="D621" s="50" t="n"/>
      <c r="E621" s="55" t="n"/>
      <c r="F621" s="50" t="n"/>
      <c r="G621" s="55" t="n"/>
      <c r="H621" s="50" t="n"/>
      <c r="I621" s="55" t="n"/>
      <c r="J621" s="50" t="n"/>
      <c r="K621" s="55" t="n"/>
      <c r="L621" s="56" t="n"/>
      <c r="M621" s="57" t="n"/>
      <c r="N621" s="57" t="n"/>
      <c r="O621" s="57" t="n"/>
      <c r="P621" s="57" t="n"/>
      <c r="Q621" s="50" t="n"/>
      <c r="R621" s="58">
        <f t="shared" si="1"/>
      </c>
      <c r="S621" s="59">
        <f t="shared" si="2"/>
      </c>
      <c r="T621" s="43">
        <f t="shared" si="3"/>
      </c>
      <c r="U621" s="60">
        <f t="shared" si="4"/>
      </c>
      <c r="V621" s="60">
        <f t="shared" si="5"/>
      </c>
      <c r="W621" s="60">
        <f t="shared" si="6"/>
      </c>
      <c r="X621" s="49">
        <f t="shared" si="7"/>
      </c>
      <c r="Y621" s="2">
        <f t="shared" si="8"/>
      </c>
      <c r="Z621" s="2">
        <f t="shared" si="9"/>
        <v>0</v>
      </c>
      <c r="AA621" s="2">
        <f t="shared" si="10"/>
        <v>0</v>
      </c>
      <c r="AB621" s="2">
        <f t="shared" si="11"/>
        <v>0</v>
      </c>
      <c r="AC621" s="2">
        <f t="shared" si="12"/>
        <v>0</v>
      </c>
      <c r="AD621" s="2">
        <f t="shared" si="13"/>
        <v>0</v>
      </c>
      <c r="AE621" s="2">
        <f t="shared" si="14"/>
        <v>0</v>
      </c>
      <c r="AF621" s="2">
        <f t="shared" si="15"/>
        <v>0</v>
      </c>
      <c r="AG621" s="2">
        <f t="shared" si="16"/>
        <v>0</v>
      </c>
      <c r="AH621" s="2">
        <f t="shared" si="17"/>
        <v>0</v>
      </c>
      <c r="AI621" s="2">
        <f t="shared" si="18"/>
      </c>
    </row>
    <row r="622">
      <c r="A622" s="43">
        <f t="shared" si="0"/>
      </c>
      <c r="B622" s="54" t="n"/>
      <c r="C622" s="45" t="n"/>
      <c r="D622" s="50" t="n"/>
      <c r="E622" s="55" t="n"/>
      <c r="F622" s="50" t="n"/>
      <c r="G622" s="55" t="n"/>
      <c r="H622" s="50" t="n"/>
      <c r="I622" s="55" t="n"/>
      <c r="J622" s="50" t="n"/>
      <c r="K622" s="55" t="n"/>
      <c r="L622" s="56" t="n"/>
      <c r="M622" s="57" t="n"/>
      <c r="N622" s="57" t="n"/>
      <c r="O622" s="57" t="n"/>
      <c r="P622" s="57" t="n"/>
      <c r="Q622" s="50" t="n"/>
      <c r="R622" s="58">
        <f t="shared" si="1"/>
      </c>
      <c r="S622" s="59">
        <f t="shared" si="2"/>
      </c>
      <c r="T622" s="43">
        <f t="shared" si="3"/>
      </c>
      <c r="U622" s="60">
        <f t="shared" si="4"/>
      </c>
      <c r="V622" s="60">
        <f t="shared" si="5"/>
      </c>
      <c r="W622" s="60">
        <f t="shared" si="6"/>
      </c>
      <c r="X622" s="49">
        <f t="shared" si="7"/>
      </c>
      <c r="Y622" s="2">
        <f t="shared" si="8"/>
      </c>
      <c r="Z622" s="2">
        <f t="shared" si="9"/>
        <v>0</v>
      </c>
      <c r="AA622" s="2">
        <f t="shared" si="10"/>
        <v>0</v>
      </c>
      <c r="AB622" s="2">
        <f t="shared" si="11"/>
        <v>0</v>
      </c>
      <c r="AC622" s="2">
        <f t="shared" si="12"/>
        <v>0</v>
      </c>
      <c r="AD622" s="2">
        <f t="shared" si="13"/>
        <v>0</v>
      </c>
      <c r="AE622" s="2">
        <f t="shared" si="14"/>
        <v>0</v>
      </c>
      <c r="AF622" s="2">
        <f t="shared" si="15"/>
        <v>0</v>
      </c>
      <c r="AG622" s="2">
        <f t="shared" si="16"/>
        <v>0</v>
      </c>
      <c r="AH622" s="2">
        <f t="shared" si="17"/>
        <v>0</v>
      </c>
      <c r="AI622" s="2">
        <f t="shared" si="18"/>
      </c>
    </row>
    <row r="623">
      <c r="A623" s="43">
        <f t="shared" si="0"/>
      </c>
      <c r="B623" s="54" t="n"/>
      <c r="C623" s="45" t="n"/>
      <c r="D623" s="50" t="n"/>
      <c r="E623" s="55" t="n"/>
      <c r="F623" s="50" t="n"/>
      <c r="G623" s="55" t="n"/>
      <c r="H623" s="50" t="n"/>
      <c r="I623" s="55" t="n"/>
      <c r="J623" s="50" t="n"/>
      <c r="K623" s="55" t="n"/>
      <c r="L623" s="56" t="n"/>
      <c r="M623" s="57" t="n"/>
      <c r="N623" s="57" t="n"/>
      <c r="O623" s="57" t="n"/>
      <c r="P623" s="57" t="n"/>
      <c r="Q623" s="50" t="n"/>
      <c r="R623" s="58">
        <f t="shared" si="1"/>
      </c>
      <c r="S623" s="59">
        <f t="shared" si="2"/>
      </c>
      <c r="T623" s="43">
        <f t="shared" si="3"/>
      </c>
      <c r="U623" s="60">
        <f t="shared" si="4"/>
      </c>
      <c r="V623" s="60">
        <f t="shared" si="5"/>
      </c>
      <c r="W623" s="60">
        <f t="shared" si="6"/>
      </c>
      <c r="X623" s="49">
        <f t="shared" si="7"/>
      </c>
      <c r="Y623" s="2">
        <f t="shared" si="8"/>
      </c>
      <c r="Z623" s="2">
        <f t="shared" si="9"/>
        <v>0</v>
      </c>
      <c r="AA623" s="2">
        <f t="shared" si="10"/>
        <v>0</v>
      </c>
      <c r="AB623" s="2">
        <f t="shared" si="11"/>
        <v>0</v>
      </c>
      <c r="AC623" s="2">
        <f t="shared" si="12"/>
        <v>0</v>
      </c>
      <c r="AD623" s="2">
        <f t="shared" si="13"/>
        <v>0</v>
      </c>
      <c r="AE623" s="2">
        <f t="shared" si="14"/>
        <v>0</v>
      </c>
      <c r="AF623" s="2">
        <f t="shared" si="15"/>
        <v>0</v>
      </c>
      <c r="AG623" s="2">
        <f t="shared" si="16"/>
        <v>0</v>
      </c>
      <c r="AH623" s="2">
        <f t="shared" si="17"/>
        <v>0</v>
      </c>
      <c r="AI623" s="2">
        <f t="shared" si="18"/>
      </c>
    </row>
    <row r="624">
      <c r="A624" s="43">
        <f t="shared" si="0"/>
      </c>
      <c r="B624" s="54" t="n"/>
      <c r="C624" s="45" t="n"/>
      <c r="D624" s="50" t="n"/>
      <c r="E624" s="55" t="n"/>
      <c r="F624" s="50" t="n"/>
      <c r="G624" s="55" t="n"/>
      <c r="H624" s="50" t="n"/>
      <c r="I624" s="55" t="n"/>
      <c r="J624" s="50" t="n"/>
      <c r="K624" s="55" t="n"/>
      <c r="L624" s="56" t="n"/>
      <c r="M624" s="57" t="n"/>
      <c r="N624" s="57" t="n"/>
      <c r="O624" s="57" t="n"/>
      <c r="P624" s="57" t="n"/>
      <c r="Q624" s="50" t="n"/>
      <c r="R624" s="58">
        <f t="shared" si="1"/>
      </c>
      <c r="S624" s="59">
        <f t="shared" si="2"/>
      </c>
      <c r="T624" s="43">
        <f t="shared" si="3"/>
      </c>
      <c r="U624" s="60">
        <f t="shared" si="4"/>
      </c>
      <c r="V624" s="60">
        <f t="shared" si="5"/>
      </c>
      <c r="W624" s="60">
        <f t="shared" si="6"/>
      </c>
      <c r="X624" s="49">
        <f t="shared" si="7"/>
      </c>
      <c r="Y624" s="2">
        <f t="shared" si="8"/>
      </c>
      <c r="Z624" s="2">
        <f t="shared" si="9"/>
        <v>0</v>
      </c>
      <c r="AA624" s="2">
        <f t="shared" si="10"/>
        <v>0</v>
      </c>
      <c r="AB624" s="2">
        <f t="shared" si="11"/>
        <v>0</v>
      </c>
      <c r="AC624" s="2">
        <f t="shared" si="12"/>
        <v>0</v>
      </c>
      <c r="AD624" s="2">
        <f t="shared" si="13"/>
        <v>0</v>
      </c>
      <c r="AE624" s="2">
        <f t="shared" si="14"/>
        <v>0</v>
      </c>
      <c r="AF624" s="2">
        <f t="shared" si="15"/>
        <v>0</v>
      </c>
      <c r="AG624" s="2">
        <f t="shared" si="16"/>
        <v>0</v>
      </c>
      <c r="AH624" s="2">
        <f t="shared" si="17"/>
        <v>0</v>
      </c>
      <c r="AI624" s="2">
        <f t="shared" si="18"/>
      </c>
    </row>
    <row r="625">
      <c r="A625" s="43">
        <f t="shared" si="0"/>
      </c>
      <c r="B625" s="54" t="n"/>
      <c r="C625" s="45" t="n"/>
      <c r="D625" s="50" t="n"/>
      <c r="E625" s="55" t="n"/>
      <c r="F625" s="50" t="n"/>
      <c r="G625" s="55" t="n"/>
      <c r="H625" s="50" t="n"/>
      <c r="I625" s="55" t="n"/>
      <c r="J625" s="50" t="n"/>
      <c r="K625" s="55" t="n"/>
      <c r="L625" s="56" t="n"/>
      <c r="M625" s="57" t="n"/>
      <c r="N625" s="57" t="n"/>
      <c r="O625" s="57" t="n"/>
      <c r="P625" s="57" t="n"/>
      <c r="Q625" s="50" t="n"/>
      <c r="R625" s="58">
        <f t="shared" si="1"/>
      </c>
      <c r="S625" s="59">
        <f t="shared" si="2"/>
      </c>
      <c r="T625" s="43">
        <f t="shared" si="3"/>
      </c>
      <c r="U625" s="60">
        <f t="shared" si="4"/>
      </c>
      <c r="V625" s="60">
        <f t="shared" si="5"/>
      </c>
      <c r="W625" s="60">
        <f t="shared" si="6"/>
      </c>
      <c r="X625" s="49">
        <f t="shared" si="7"/>
      </c>
      <c r="Y625" s="2">
        <f t="shared" si="8"/>
      </c>
      <c r="Z625" s="2">
        <f t="shared" si="9"/>
        <v>0</v>
      </c>
      <c r="AA625" s="2">
        <f t="shared" si="10"/>
        <v>0</v>
      </c>
      <c r="AB625" s="2">
        <f t="shared" si="11"/>
        <v>0</v>
      </c>
      <c r="AC625" s="2">
        <f t="shared" si="12"/>
        <v>0</v>
      </c>
      <c r="AD625" s="2">
        <f t="shared" si="13"/>
        <v>0</v>
      </c>
      <c r="AE625" s="2">
        <f t="shared" si="14"/>
        <v>0</v>
      </c>
      <c r="AF625" s="2">
        <f t="shared" si="15"/>
        <v>0</v>
      </c>
      <c r="AG625" s="2">
        <f t="shared" si="16"/>
        <v>0</v>
      </c>
      <c r="AH625" s="2">
        <f t="shared" si="17"/>
        <v>0</v>
      </c>
      <c r="AI625" s="2">
        <f t="shared" si="18"/>
      </c>
    </row>
    <row r="626">
      <c r="A626" s="43">
        <f t="shared" si="0"/>
      </c>
      <c r="B626" s="54" t="n"/>
      <c r="C626" s="45" t="n"/>
      <c r="D626" s="50" t="n"/>
      <c r="E626" s="55" t="n"/>
      <c r="F626" s="50" t="n"/>
      <c r="G626" s="55" t="n"/>
      <c r="H626" s="50" t="n"/>
      <c r="I626" s="55" t="n"/>
      <c r="J626" s="50" t="n"/>
      <c r="K626" s="55" t="n"/>
      <c r="L626" s="56" t="n"/>
      <c r="M626" s="57" t="n"/>
      <c r="N626" s="57" t="n"/>
      <c r="O626" s="57" t="n"/>
      <c r="P626" s="57" t="n"/>
      <c r="Q626" s="50" t="n"/>
      <c r="R626" s="58">
        <f t="shared" si="1"/>
      </c>
      <c r="S626" s="59">
        <f t="shared" si="2"/>
      </c>
      <c r="T626" s="43">
        <f t="shared" si="3"/>
      </c>
      <c r="U626" s="60">
        <f t="shared" si="4"/>
      </c>
      <c r="V626" s="60">
        <f t="shared" si="5"/>
      </c>
      <c r="W626" s="60">
        <f t="shared" si="6"/>
      </c>
      <c r="X626" s="49">
        <f t="shared" si="7"/>
      </c>
      <c r="Y626" s="2">
        <f t="shared" si="8"/>
      </c>
      <c r="Z626" s="2">
        <f t="shared" si="9"/>
        <v>0</v>
      </c>
      <c r="AA626" s="2">
        <f t="shared" si="10"/>
        <v>0</v>
      </c>
      <c r="AB626" s="2">
        <f t="shared" si="11"/>
        <v>0</v>
      </c>
      <c r="AC626" s="2">
        <f t="shared" si="12"/>
        <v>0</v>
      </c>
      <c r="AD626" s="2">
        <f t="shared" si="13"/>
        <v>0</v>
      </c>
      <c r="AE626" s="2">
        <f t="shared" si="14"/>
        <v>0</v>
      </c>
      <c r="AF626" s="2">
        <f t="shared" si="15"/>
        <v>0</v>
      </c>
      <c r="AG626" s="2">
        <f t="shared" si="16"/>
        <v>0</v>
      </c>
      <c r="AH626" s="2">
        <f t="shared" si="17"/>
        <v>0</v>
      </c>
      <c r="AI626" s="2">
        <f t="shared" si="18"/>
      </c>
    </row>
    <row r="627">
      <c r="A627" s="43">
        <f t="shared" si="0"/>
      </c>
      <c r="B627" s="54" t="n"/>
      <c r="C627" s="45" t="n"/>
      <c r="D627" s="50" t="n"/>
      <c r="E627" s="55" t="n"/>
      <c r="F627" s="50" t="n"/>
      <c r="G627" s="55" t="n"/>
      <c r="H627" s="50" t="n"/>
      <c r="I627" s="55" t="n"/>
      <c r="J627" s="50" t="n"/>
      <c r="K627" s="55" t="n"/>
      <c r="L627" s="56" t="n"/>
      <c r="M627" s="57" t="n"/>
      <c r="N627" s="57" t="n"/>
      <c r="O627" s="57" t="n"/>
      <c r="P627" s="57" t="n"/>
      <c r="Q627" s="50" t="n"/>
      <c r="R627" s="58">
        <f t="shared" si="1"/>
      </c>
      <c r="S627" s="59">
        <f t="shared" si="2"/>
      </c>
      <c r="T627" s="43">
        <f t="shared" si="3"/>
      </c>
      <c r="U627" s="60">
        <f t="shared" si="4"/>
      </c>
      <c r="V627" s="60">
        <f t="shared" si="5"/>
      </c>
      <c r="W627" s="60">
        <f t="shared" si="6"/>
      </c>
      <c r="X627" s="49">
        <f t="shared" si="7"/>
      </c>
      <c r="Y627" s="2">
        <f t="shared" si="8"/>
      </c>
      <c r="Z627" s="2">
        <f t="shared" si="9"/>
        <v>0</v>
      </c>
      <c r="AA627" s="2">
        <f t="shared" si="10"/>
        <v>0</v>
      </c>
      <c r="AB627" s="2">
        <f t="shared" si="11"/>
        <v>0</v>
      </c>
      <c r="AC627" s="2">
        <f t="shared" si="12"/>
        <v>0</v>
      </c>
      <c r="AD627" s="2">
        <f t="shared" si="13"/>
        <v>0</v>
      </c>
      <c r="AE627" s="2">
        <f t="shared" si="14"/>
        <v>0</v>
      </c>
      <c r="AF627" s="2">
        <f t="shared" si="15"/>
        <v>0</v>
      </c>
      <c r="AG627" s="2">
        <f t="shared" si="16"/>
        <v>0</v>
      </c>
      <c r="AH627" s="2">
        <f t="shared" si="17"/>
        <v>0</v>
      </c>
      <c r="AI627" s="2">
        <f t="shared" si="18"/>
      </c>
    </row>
    <row r="628">
      <c r="A628" s="43">
        <f t="shared" si="0"/>
      </c>
      <c r="B628" s="54" t="n"/>
      <c r="C628" s="45" t="n"/>
      <c r="D628" s="50" t="n"/>
      <c r="E628" s="55" t="n"/>
      <c r="F628" s="50" t="n"/>
      <c r="G628" s="55" t="n"/>
      <c r="H628" s="50" t="n"/>
      <c r="I628" s="55" t="n"/>
      <c r="J628" s="50" t="n"/>
      <c r="K628" s="55" t="n"/>
      <c r="L628" s="56" t="n"/>
      <c r="M628" s="57" t="n"/>
      <c r="N628" s="57" t="n"/>
      <c r="O628" s="57" t="n"/>
      <c r="P628" s="57" t="n"/>
      <c r="Q628" s="50" t="n"/>
      <c r="R628" s="58">
        <f t="shared" si="1"/>
      </c>
      <c r="S628" s="59">
        <f t="shared" si="2"/>
      </c>
      <c r="T628" s="43">
        <f t="shared" si="3"/>
      </c>
      <c r="U628" s="60">
        <f t="shared" si="4"/>
      </c>
      <c r="V628" s="60">
        <f t="shared" si="5"/>
      </c>
      <c r="W628" s="60">
        <f t="shared" si="6"/>
      </c>
      <c r="X628" s="49">
        <f t="shared" si="7"/>
      </c>
      <c r="Y628" s="2">
        <f t="shared" si="8"/>
      </c>
      <c r="Z628" s="2">
        <f t="shared" si="9"/>
        <v>0</v>
      </c>
      <c r="AA628" s="2">
        <f t="shared" si="10"/>
        <v>0</v>
      </c>
      <c r="AB628" s="2">
        <f t="shared" si="11"/>
        <v>0</v>
      </c>
      <c r="AC628" s="2">
        <f t="shared" si="12"/>
        <v>0</v>
      </c>
      <c r="AD628" s="2">
        <f t="shared" si="13"/>
        <v>0</v>
      </c>
      <c r="AE628" s="2">
        <f t="shared" si="14"/>
        <v>0</v>
      </c>
      <c r="AF628" s="2">
        <f t="shared" si="15"/>
        <v>0</v>
      </c>
      <c r="AG628" s="2">
        <f t="shared" si="16"/>
        <v>0</v>
      </c>
      <c r="AH628" s="2">
        <f t="shared" si="17"/>
        <v>0</v>
      </c>
      <c r="AI628" s="2">
        <f t="shared" si="18"/>
      </c>
    </row>
    <row r="629">
      <c r="A629" s="43">
        <f t="shared" si="0"/>
      </c>
      <c r="B629" s="54" t="n"/>
      <c r="C629" s="45" t="n"/>
      <c r="D629" s="50" t="n"/>
      <c r="E629" s="55" t="n"/>
      <c r="F629" s="50" t="n"/>
      <c r="G629" s="55" t="n"/>
      <c r="H629" s="50" t="n"/>
      <c r="I629" s="55" t="n"/>
      <c r="J629" s="50" t="n"/>
      <c r="K629" s="55" t="n"/>
      <c r="L629" s="56" t="n"/>
      <c r="M629" s="57" t="n"/>
      <c r="N629" s="57" t="n"/>
      <c r="O629" s="57" t="n"/>
      <c r="P629" s="57" t="n"/>
      <c r="Q629" s="50" t="n"/>
      <c r="R629" s="58">
        <f t="shared" si="1"/>
      </c>
      <c r="S629" s="59">
        <f t="shared" si="2"/>
      </c>
      <c r="T629" s="43">
        <f t="shared" si="3"/>
      </c>
      <c r="U629" s="60">
        <f t="shared" si="4"/>
      </c>
      <c r="V629" s="60">
        <f t="shared" si="5"/>
      </c>
      <c r="W629" s="60">
        <f t="shared" si="6"/>
      </c>
      <c r="X629" s="49">
        <f t="shared" si="7"/>
      </c>
      <c r="Y629" s="2">
        <f t="shared" si="8"/>
      </c>
      <c r="Z629" s="2">
        <f t="shared" si="9"/>
        <v>0</v>
      </c>
      <c r="AA629" s="2">
        <f t="shared" si="10"/>
        <v>0</v>
      </c>
      <c r="AB629" s="2">
        <f t="shared" si="11"/>
        <v>0</v>
      </c>
      <c r="AC629" s="2">
        <f t="shared" si="12"/>
        <v>0</v>
      </c>
      <c r="AD629" s="2">
        <f t="shared" si="13"/>
        <v>0</v>
      </c>
      <c r="AE629" s="2">
        <f t="shared" si="14"/>
        <v>0</v>
      </c>
      <c r="AF629" s="2">
        <f t="shared" si="15"/>
        <v>0</v>
      </c>
      <c r="AG629" s="2">
        <f t="shared" si="16"/>
        <v>0</v>
      </c>
      <c r="AH629" s="2">
        <f t="shared" si="17"/>
        <v>0</v>
      </c>
      <c r="AI629" s="2">
        <f t="shared" si="18"/>
      </c>
    </row>
    <row r="630">
      <c r="A630" s="43">
        <f t="shared" si="0"/>
      </c>
      <c r="B630" s="54" t="n"/>
      <c r="C630" s="45" t="n"/>
      <c r="D630" s="50" t="n"/>
      <c r="E630" s="55" t="n"/>
      <c r="F630" s="50" t="n"/>
      <c r="G630" s="55" t="n"/>
      <c r="H630" s="50" t="n"/>
      <c r="I630" s="55" t="n"/>
      <c r="J630" s="50" t="n"/>
      <c r="K630" s="55" t="n"/>
      <c r="L630" s="56" t="n"/>
      <c r="M630" s="57" t="n"/>
      <c r="N630" s="57" t="n"/>
      <c r="O630" s="57" t="n"/>
      <c r="P630" s="57" t="n"/>
      <c r="Q630" s="50" t="n"/>
      <c r="R630" s="58">
        <f t="shared" si="1"/>
      </c>
      <c r="S630" s="59">
        <f t="shared" si="2"/>
      </c>
      <c r="T630" s="43">
        <f t="shared" si="3"/>
      </c>
      <c r="U630" s="60">
        <f t="shared" si="4"/>
      </c>
      <c r="V630" s="60">
        <f t="shared" si="5"/>
      </c>
      <c r="W630" s="60">
        <f t="shared" si="6"/>
      </c>
      <c r="X630" s="49">
        <f t="shared" si="7"/>
      </c>
      <c r="Y630" s="2">
        <f t="shared" si="8"/>
      </c>
      <c r="Z630" s="2">
        <f t="shared" si="9"/>
        <v>0</v>
      </c>
      <c r="AA630" s="2">
        <f t="shared" si="10"/>
        <v>0</v>
      </c>
      <c r="AB630" s="2">
        <f t="shared" si="11"/>
        <v>0</v>
      </c>
      <c r="AC630" s="2">
        <f t="shared" si="12"/>
        <v>0</v>
      </c>
      <c r="AD630" s="2">
        <f t="shared" si="13"/>
        <v>0</v>
      </c>
      <c r="AE630" s="2">
        <f t="shared" si="14"/>
        <v>0</v>
      </c>
      <c r="AF630" s="2">
        <f t="shared" si="15"/>
        <v>0</v>
      </c>
      <c r="AG630" s="2">
        <f t="shared" si="16"/>
        <v>0</v>
      </c>
      <c r="AH630" s="2">
        <f t="shared" si="17"/>
        <v>0</v>
      </c>
      <c r="AI630" s="2">
        <f t="shared" si="18"/>
      </c>
    </row>
    <row r="631">
      <c r="A631" s="43">
        <f t="shared" si="0"/>
      </c>
      <c r="B631" s="54" t="n"/>
      <c r="C631" s="45" t="n"/>
      <c r="D631" s="50" t="n"/>
      <c r="E631" s="55" t="n"/>
      <c r="F631" s="50" t="n"/>
      <c r="G631" s="55" t="n"/>
      <c r="H631" s="50" t="n"/>
      <c r="I631" s="55" t="n"/>
      <c r="J631" s="50" t="n"/>
      <c r="K631" s="55" t="n"/>
      <c r="L631" s="56" t="n"/>
      <c r="M631" s="57" t="n"/>
      <c r="N631" s="57" t="n"/>
      <c r="O631" s="57" t="n"/>
      <c r="P631" s="57" t="n"/>
      <c r="Q631" s="50" t="n"/>
      <c r="R631" s="58">
        <f t="shared" si="1"/>
      </c>
      <c r="S631" s="59">
        <f t="shared" si="2"/>
      </c>
      <c r="T631" s="43">
        <f t="shared" si="3"/>
      </c>
      <c r="U631" s="60">
        <f t="shared" si="4"/>
      </c>
      <c r="V631" s="60">
        <f t="shared" si="5"/>
      </c>
      <c r="W631" s="60">
        <f t="shared" si="6"/>
      </c>
      <c r="X631" s="49">
        <f t="shared" si="7"/>
      </c>
      <c r="Y631" s="2">
        <f t="shared" si="8"/>
      </c>
      <c r="Z631" s="2">
        <f t="shared" si="9"/>
        <v>0</v>
      </c>
      <c r="AA631" s="2">
        <f t="shared" si="10"/>
        <v>0</v>
      </c>
      <c r="AB631" s="2">
        <f t="shared" si="11"/>
        <v>0</v>
      </c>
      <c r="AC631" s="2">
        <f t="shared" si="12"/>
        <v>0</v>
      </c>
      <c r="AD631" s="2">
        <f t="shared" si="13"/>
        <v>0</v>
      </c>
      <c r="AE631" s="2">
        <f t="shared" si="14"/>
        <v>0</v>
      </c>
      <c r="AF631" s="2">
        <f t="shared" si="15"/>
        <v>0</v>
      </c>
      <c r="AG631" s="2">
        <f t="shared" si="16"/>
        <v>0</v>
      </c>
      <c r="AH631" s="2">
        <f t="shared" si="17"/>
        <v>0</v>
      </c>
      <c r="AI631" s="2">
        <f t="shared" si="18"/>
      </c>
    </row>
    <row r="632">
      <c r="A632" s="43">
        <f t="shared" si="0"/>
      </c>
      <c r="B632" s="54" t="n"/>
      <c r="C632" s="45" t="n"/>
      <c r="D632" s="50" t="n"/>
      <c r="E632" s="55" t="n"/>
      <c r="F632" s="50" t="n"/>
      <c r="G632" s="55" t="n"/>
      <c r="H632" s="50" t="n"/>
      <c r="I632" s="55" t="n"/>
      <c r="J632" s="50" t="n"/>
      <c r="K632" s="55" t="n"/>
      <c r="L632" s="56" t="n"/>
      <c r="M632" s="57" t="n"/>
      <c r="N632" s="57" t="n"/>
      <c r="O632" s="57" t="n"/>
      <c r="P632" s="57" t="n"/>
      <c r="Q632" s="50" t="n"/>
      <c r="R632" s="58">
        <f t="shared" si="1"/>
      </c>
      <c r="S632" s="59">
        <f t="shared" si="2"/>
      </c>
      <c r="T632" s="43">
        <f t="shared" si="3"/>
      </c>
      <c r="U632" s="60">
        <f t="shared" si="4"/>
      </c>
      <c r="V632" s="60">
        <f t="shared" si="5"/>
      </c>
      <c r="W632" s="60">
        <f t="shared" si="6"/>
      </c>
      <c r="X632" s="49">
        <f t="shared" si="7"/>
      </c>
      <c r="Y632" s="2">
        <f t="shared" si="8"/>
      </c>
      <c r="Z632" s="2">
        <f t="shared" si="9"/>
        <v>0</v>
      </c>
      <c r="AA632" s="2">
        <f t="shared" si="10"/>
        <v>0</v>
      </c>
      <c r="AB632" s="2">
        <f t="shared" si="11"/>
        <v>0</v>
      </c>
      <c r="AC632" s="2">
        <f t="shared" si="12"/>
        <v>0</v>
      </c>
      <c r="AD632" s="2">
        <f t="shared" si="13"/>
        <v>0</v>
      </c>
      <c r="AE632" s="2">
        <f t="shared" si="14"/>
        <v>0</v>
      </c>
      <c r="AF632" s="2">
        <f t="shared" si="15"/>
        <v>0</v>
      </c>
      <c r="AG632" s="2">
        <f t="shared" si="16"/>
        <v>0</v>
      </c>
      <c r="AH632" s="2">
        <f t="shared" si="17"/>
        <v>0</v>
      </c>
      <c r="AI632" s="2">
        <f t="shared" si="18"/>
      </c>
    </row>
    <row r="633">
      <c r="A633" s="43">
        <f t="shared" si="0"/>
      </c>
      <c r="B633" s="54" t="n"/>
      <c r="C633" s="45" t="n"/>
      <c r="D633" s="50" t="n"/>
      <c r="E633" s="55" t="n"/>
      <c r="F633" s="50" t="n"/>
      <c r="G633" s="55" t="n"/>
      <c r="H633" s="50" t="n"/>
      <c r="I633" s="55" t="n"/>
      <c r="J633" s="50" t="n"/>
      <c r="K633" s="55" t="n"/>
      <c r="L633" s="56" t="n"/>
      <c r="M633" s="57" t="n"/>
      <c r="N633" s="57" t="n"/>
      <c r="O633" s="57" t="n"/>
      <c r="P633" s="57" t="n"/>
      <c r="Q633" s="50" t="n"/>
      <c r="R633" s="58">
        <f t="shared" si="1"/>
      </c>
      <c r="S633" s="59">
        <f t="shared" si="2"/>
      </c>
      <c r="T633" s="43">
        <f t="shared" si="3"/>
      </c>
      <c r="U633" s="60">
        <f t="shared" si="4"/>
      </c>
      <c r="V633" s="60">
        <f t="shared" si="5"/>
      </c>
      <c r="W633" s="60">
        <f t="shared" si="6"/>
      </c>
      <c r="X633" s="49">
        <f t="shared" si="7"/>
      </c>
      <c r="Y633" s="2">
        <f t="shared" si="8"/>
      </c>
      <c r="Z633" s="2">
        <f t="shared" si="9"/>
        <v>0</v>
      </c>
      <c r="AA633" s="2">
        <f t="shared" si="10"/>
        <v>0</v>
      </c>
      <c r="AB633" s="2">
        <f t="shared" si="11"/>
        <v>0</v>
      </c>
      <c r="AC633" s="2">
        <f t="shared" si="12"/>
        <v>0</v>
      </c>
      <c r="AD633" s="2">
        <f t="shared" si="13"/>
        <v>0</v>
      </c>
      <c r="AE633" s="2">
        <f t="shared" si="14"/>
        <v>0</v>
      </c>
      <c r="AF633" s="2">
        <f t="shared" si="15"/>
        <v>0</v>
      </c>
      <c r="AG633" s="2">
        <f t="shared" si="16"/>
        <v>0</v>
      </c>
      <c r="AH633" s="2">
        <f t="shared" si="17"/>
        <v>0</v>
      </c>
      <c r="AI633" s="2">
        <f t="shared" si="18"/>
      </c>
    </row>
    <row r="634">
      <c r="A634" s="43">
        <f t="shared" si="0"/>
      </c>
      <c r="B634" s="54" t="n"/>
      <c r="C634" s="45" t="n"/>
      <c r="D634" s="50" t="n"/>
      <c r="E634" s="55" t="n"/>
      <c r="F634" s="50" t="n"/>
      <c r="G634" s="55" t="n"/>
      <c r="H634" s="50" t="n"/>
      <c r="I634" s="55" t="n"/>
      <c r="J634" s="50" t="n"/>
      <c r="K634" s="55" t="n"/>
      <c r="L634" s="56" t="n"/>
      <c r="M634" s="57" t="n"/>
      <c r="N634" s="57" t="n"/>
      <c r="O634" s="57" t="n"/>
      <c r="P634" s="57" t="n"/>
      <c r="Q634" s="50" t="n"/>
      <c r="R634" s="58">
        <f t="shared" si="1"/>
      </c>
      <c r="S634" s="59">
        <f t="shared" si="2"/>
      </c>
      <c r="T634" s="43">
        <f t="shared" si="3"/>
      </c>
      <c r="U634" s="60">
        <f t="shared" si="4"/>
      </c>
      <c r="V634" s="60">
        <f t="shared" si="5"/>
      </c>
      <c r="W634" s="60">
        <f t="shared" si="6"/>
      </c>
      <c r="X634" s="49">
        <f t="shared" si="7"/>
      </c>
      <c r="Y634" s="2">
        <f t="shared" si="8"/>
      </c>
      <c r="Z634" s="2">
        <f t="shared" si="9"/>
        <v>0</v>
      </c>
      <c r="AA634" s="2">
        <f t="shared" si="10"/>
        <v>0</v>
      </c>
      <c r="AB634" s="2">
        <f t="shared" si="11"/>
        <v>0</v>
      </c>
      <c r="AC634" s="2">
        <f t="shared" si="12"/>
        <v>0</v>
      </c>
      <c r="AD634" s="2">
        <f t="shared" si="13"/>
        <v>0</v>
      </c>
      <c r="AE634" s="2">
        <f t="shared" si="14"/>
        <v>0</v>
      </c>
      <c r="AF634" s="2">
        <f t="shared" si="15"/>
        <v>0</v>
      </c>
      <c r="AG634" s="2">
        <f t="shared" si="16"/>
        <v>0</v>
      </c>
      <c r="AH634" s="2">
        <f t="shared" si="17"/>
        <v>0</v>
      </c>
      <c r="AI634" s="2">
        <f t="shared" si="18"/>
      </c>
    </row>
    <row r="635">
      <c r="A635" s="43">
        <f t="shared" si="0"/>
      </c>
      <c r="B635" s="54" t="n"/>
      <c r="C635" s="45" t="n"/>
      <c r="D635" s="50" t="n"/>
      <c r="E635" s="55" t="n"/>
      <c r="F635" s="50" t="n"/>
      <c r="G635" s="55" t="n"/>
      <c r="H635" s="50" t="n"/>
      <c r="I635" s="55" t="n"/>
      <c r="J635" s="50" t="n"/>
      <c r="K635" s="55" t="n"/>
      <c r="L635" s="56" t="n"/>
      <c r="M635" s="57" t="n"/>
      <c r="N635" s="57" t="n"/>
      <c r="O635" s="57" t="n"/>
      <c r="P635" s="57" t="n"/>
      <c r="Q635" s="50" t="n"/>
      <c r="R635" s="58">
        <f t="shared" si="1"/>
      </c>
      <c r="S635" s="59">
        <f t="shared" si="2"/>
      </c>
      <c r="T635" s="43">
        <f t="shared" si="3"/>
      </c>
      <c r="U635" s="60">
        <f t="shared" si="4"/>
      </c>
      <c r="V635" s="60">
        <f t="shared" si="5"/>
      </c>
      <c r="W635" s="60">
        <f t="shared" si="6"/>
      </c>
      <c r="X635" s="49">
        <f t="shared" si="7"/>
      </c>
      <c r="Y635" s="2">
        <f t="shared" si="8"/>
      </c>
      <c r="Z635" s="2">
        <f t="shared" si="9"/>
        <v>0</v>
      </c>
      <c r="AA635" s="2">
        <f t="shared" si="10"/>
        <v>0</v>
      </c>
      <c r="AB635" s="2">
        <f t="shared" si="11"/>
        <v>0</v>
      </c>
      <c r="AC635" s="2">
        <f t="shared" si="12"/>
        <v>0</v>
      </c>
      <c r="AD635" s="2">
        <f t="shared" si="13"/>
        <v>0</v>
      </c>
      <c r="AE635" s="2">
        <f t="shared" si="14"/>
        <v>0</v>
      </c>
      <c r="AF635" s="2">
        <f t="shared" si="15"/>
        <v>0</v>
      </c>
      <c r="AG635" s="2">
        <f t="shared" si="16"/>
        <v>0</v>
      </c>
      <c r="AH635" s="2">
        <f t="shared" si="17"/>
        <v>0</v>
      </c>
      <c r="AI635" s="2">
        <f t="shared" si="18"/>
      </c>
    </row>
    <row r="636">
      <c r="A636" s="43">
        <f t="shared" si="0"/>
      </c>
      <c r="B636" s="54" t="n"/>
      <c r="C636" s="45" t="n"/>
      <c r="D636" s="50" t="n"/>
      <c r="E636" s="55" t="n"/>
      <c r="F636" s="50" t="n"/>
      <c r="G636" s="55" t="n"/>
      <c r="H636" s="50" t="n"/>
      <c r="I636" s="55" t="n"/>
      <c r="J636" s="50" t="n"/>
      <c r="K636" s="55" t="n"/>
      <c r="L636" s="56" t="n"/>
      <c r="M636" s="57" t="n"/>
      <c r="N636" s="57" t="n"/>
      <c r="O636" s="57" t="n"/>
      <c r="P636" s="57" t="n"/>
      <c r="Q636" s="50" t="n"/>
      <c r="R636" s="58">
        <f t="shared" si="1"/>
      </c>
      <c r="S636" s="59">
        <f t="shared" si="2"/>
      </c>
      <c r="T636" s="43">
        <f t="shared" si="3"/>
      </c>
      <c r="U636" s="60">
        <f t="shared" si="4"/>
      </c>
      <c r="V636" s="60">
        <f t="shared" si="5"/>
      </c>
      <c r="W636" s="60">
        <f t="shared" si="6"/>
      </c>
      <c r="X636" s="49">
        <f t="shared" si="7"/>
      </c>
      <c r="Y636" s="2">
        <f t="shared" si="8"/>
      </c>
      <c r="Z636" s="2">
        <f t="shared" si="9"/>
        <v>0</v>
      </c>
      <c r="AA636" s="2">
        <f t="shared" si="10"/>
        <v>0</v>
      </c>
      <c r="AB636" s="2">
        <f t="shared" si="11"/>
        <v>0</v>
      </c>
      <c r="AC636" s="2">
        <f t="shared" si="12"/>
        <v>0</v>
      </c>
      <c r="AD636" s="2">
        <f t="shared" si="13"/>
        <v>0</v>
      </c>
      <c r="AE636" s="2">
        <f t="shared" si="14"/>
        <v>0</v>
      </c>
      <c r="AF636" s="2">
        <f t="shared" si="15"/>
        <v>0</v>
      </c>
      <c r="AG636" s="2">
        <f t="shared" si="16"/>
        <v>0</v>
      </c>
      <c r="AH636" s="2">
        <f t="shared" si="17"/>
        <v>0</v>
      </c>
      <c r="AI636" s="2">
        <f t="shared" si="18"/>
      </c>
    </row>
    <row r="637">
      <c r="A637" s="43">
        <f t="shared" si="0"/>
      </c>
      <c r="B637" s="54" t="n"/>
      <c r="C637" s="45" t="n"/>
      <c r="D637" s="50" t="n"/>
      <c r="E637" s="55" t="n"/>
      <c r="F637" s="50" t="n"/>
      <c r="G637" s="55" t="n"/>
      <c r="H637" s="50" t="n"/>
      <c r="I637" s="55" t="n"/>
      <c r="J637" s="50" t="n"/>
      <c r="K637" s="55" t="n"/>
      <c r="L637" s="56" t="n"/>
      <c r="M637" s="57" t="n"/>
      <c r="N637" s="57" t="n"/>
      <c r="O637" s="57" t="n"/>
      <c r="P637" s="57" t="n"/>
      <c r="Q637" s="50" t="n"/>
      <c r="R637" s="58">
        <f t="shared" si="1"/>
      </c>
      <c r="S637" s="59">
        <f t="shared" si="2"/>
      </c>
      <c r="T637" s="43">
        <f t="shared" si="3"/>
      </c>
      <c r="U637" s="60">
        <f t="shared" si="4"/>
      </c>
      <c r="V637" s="60">
        <f t="shared" si="5"/>
      </c>
      <c r="W637" s="60">
        <f t="shared" si="6"/>
      </c>
      <c r="X637" s="49">
        <f t="shared" si="7"/>
      </c>
      <c r="Y637" s="2">
        <f t="shared" si="8"/>
      </c>
      <c r="Z637" s="2">
        <f t="shared" si="9"/>
        <v>0</v>
      </c>
      <c r="AA637" s="2">
        <f t="shared" si="10"/>
        <v>0</v>
      </c>
      <c r="AB637" s="2">
        <f t="shared" si="11"/>
        <v>0</v>
      </c>
      <c r="AC637" s="2">
        <f t="shared" si="12"/>
        <v>0</v>
      </c>
      <c r="AD637" s="2">
        <f t="shared" si="13"/>
        <v>0</v>
      </c>
      <c r="AE637" s="2">
        <f t="shared" si="14"/>
        <v>0</v>
      </c>
      <c r="AF637" s="2">
        <f t="shared" si="15"/>
        <v>0</v>
      </c>
      <c r="AG637" s="2">
        <f t="shared" si="16"/>
        <v>0</v>
      </c>
      <c r="AH637" s="2">
        <f t="shared" si="17"/>
        <v>0</v>
      </c>
      <c r="AI637" s="2">
        <f t="shared" si="18"/>
      </c>
    </row>
    <row r="638">
      <c r="A638" s="43">
        <f t="shared" si="0"/>
      </c>
      <c r="B638" s="54" t="n"/>
      <c r="C638" s="45" t="n"/>
      <c r="D638" s="50" t="n"/>
      <c r="E638" s="55" t="n"/>
      <c r="F638" s="50" t="n"/>
      <c r="G638" s="55" t="n"/>
      <c r="H638" s="50" t="n"/>
      <c r="I638" s="55" t="n"/>
      <c r="J638" s="50" t="n"/>
      <c r="K638" s="55" t="n"/>
      <c r="L638" s="56" t="n"/>
      <c r="M638" s="57" t="n"/>
      <c r="N638" s="57" t="n"/>
      <c r="O638" s="57" t="n"/>
      <c r="P638" s="57" t="n"/>
      <c r="Q638" s="50" t="n"/>
      <c r="R638" s="58">
        <f t="shared" si="1"/>
      </c>
      <c r="S638" s="59">
        <f t="shared" si="2"/>
      </c>
      <c r="T638" s="43">
        <f t="shared" si="3"/>
      </c>
      <c r="U638" s="60">
        <f t="shared" si="4"/>
      </c>
      <c r="V638" s="60">
        <f t="shared" si="5"/>
      </c>
      <c r="W638" s="60">
        <f t="shared" si="6"/>
      </c>
      <c r="X638" s="49">
        <f t="shared" si="7"/>
      </c>
      <c r="Y638" s="2">
        <f t="shared" si="8"/>
      </c>
      <c r="Z638" s="2">
        <f t="shared" si="9"/>
        <v>0</v>
      </c>
      <c r="AA638" s="2">
        <f t="shared" si="10"/>
        <v>0</v>
      </c>
      <c r="AB638" s="2">
        <f t="shared" si="11"/>
        <v>0</v>
      </c>
      <c r="AC638" s="2">
        <f t="shared" si="12"/>
        <v>0</v>
      </c>
      <c r="AD638" s="2">
        <f t="shared" si="13"/>
        <v>0</v>
      </c>
      <c r="AE638" s="2">
        <f t="shared" si="14"/>
        <v>0</v>
      </c>
      <c r="AF638" s="2">
        <f t="shared" si="15"/>
        <v>0</v>
      </c>
      <c r="AG638" s="2">
        <f t="shared" si="16"/>
        <v>0</v>
      </c>
      <c r="AH638" s="2">
        <f t="shared" si="17"/>
        <v>0</v>
      </c>
      <c r="AI638" s="2">
        <f t="shared" si="18"/>
      </c>
    </row>
    <row r="639">
      <c r="A639" s="43">
        <f t="shared" si="0"/>
      </c>
      <c r="B639" s="54" t="n"/>
      <c r="C639" s="45" t="n"/>
      <c r="D639" s="50" t="n"/>
      <c r="E639" s="55" t="n"/>
      <c r="F639" s="50" t="n"/>
      <c r="G639" s="55" t="n"/>
      <c r="H639" s="50" t="n"/>
      <c r="I639" s="55" t="n"/>
      <c r="J639" s="50" t="n"/>
      <c r="K639" s="55" t="n"/>
      <c r="L639" s="56" t="n"/>
      <c r="M639" s="57" t="n"/>
      <c r="N639" s="57" t="n"/>
      <c r="O639" s="57" t="n"/>
      <c r="P639" s="57" t="n"/>
      <c r="Q639" s="50" t="n"/>
      <c r="R639" s="58">
        <f t="shared" si="1"/>
      </c>
      <c r="S639" s="59">
        <f t="shared" si="2"/>
      </c>
      <c r="T639" s="43">
        <f t="shared" si="3"/>
      </c>
      <c r="U639" s="60">
        <f t="shared" si="4"/>
      </c>
      <c r="V639" s="60">
        <f t="shared" si="5"/>
      </c>
      <c r="W639" s="60">
        <f t="shared" si="6"/>
      </c>
      <c r="X639" s="49">
        <f t="shared" si="7"/>
      </c>
      <c r="Y639" s="2">
        <f t="shared" si="8"/>
      </c>
      <c r="Z639" s="2">
        <f t="shared" si="9"/>
        <v>0</v>
      </c>
      <c r="AA639" s="2">
        <f t="shared" si="10"/>
        <v>0</v>
      </c>
      <c r="AB639" s="2">
        <f t="shared" si="11"/>
        <v>0</v>
      </c>
      <c r="AC639" s="2">
        <f t="shared" si="12"/>
        <v>0</v>
      </c>
      <c r="AD639" s="2">
        <f t="shared" si="13"/>
        <v>0</v>
      </c>
      <c r="AE639" s="2">
        <f t="shared" si="14"/>
        <v>0</v>
      </c>
      <c r="AF639" s="2">
        <f t="shared" si="15"/>
        <v>0</v>
      </c>
      <c r="AG639" s="2">
        <f t="shared" si="16"/>
        <v>0</v>
      </c>
      <c r="AH639" s="2">
        <f t="shared" si="17"/>
        <v>0</v>
      </c>
      <c r="AI639" s="2">
        <f t="shared" si="18"/>
      </c>
    </row>
    <row r="640">
      <c r="A640" s="43">
        <f t="shared" si="0"/>
      </c>
      <c r="B640" s="54" t="n"/>
      <c r="C640" s="45" t="n"/>
      <c r="D640" s="50" t="n"/>
      <c r="E640" s="55" t="n"/>
      <c r="F640" s="50" t="n"/>
      <c r="G640" s="55" t="n"/>
      <c r="H640" s="50" t="n"/>
      <c r="I640" s="55" t="n"/>
      <c r="J640" s="50" t="n"/>
      <c r="K640" s="55" t="n"/>
      <c r="L640" s="56" t="n"/>
      <c r="M640" s="57" t="n"/>
      <c r="N640" s="57" t="n"/>
      <c r="O640" s="57" t="n"/>
      <c r="P640" s="57" t="n"/>
      <c r="Q640" s="50" t="n"/>
      <c r="R640" s="58">
        <f t="shared" si="1"/>
      </c>
      <c r="S640" s="59">
        <f t="shared" si="2"/>
      </c>
      <c r="T640" s="43">
        <f t="shared" si="3"/>
      </c>
      <c r="U640" s="60">
        <f t="shared" si="4"/>
      </c>
      <c r="V640" s="60">
        <f t="shared" si="5"/>
      </c>
      <c r="W640" s="60">
        <f t="shared" si="6"/>
      </c>
      <c r="X640" s="49">
        <f t="shared" si="7"/>
      </c>
      <c r="Y640" s="2">
        <f t="shared" si="8"/>
      </c>
      <c r="Z640" s="2">
        <f t="shared" si="9"/>
        <v>0</v>
      </c>
      <c r="AA640" s="2">
        <f t="shared" si="10"/>
        <v>0</v>
      </c>
      <c r="AB640" s="2">
        <f t="shared" si="11"/>
        <v>0</v>
      </c>
      <c r="AC640" s="2">
        <f t="shared" si="12"/>
        <v>0</v>
      </c>
      <c r="AD640" s="2">
        <f t="shared" si="13"/>
        <v>0</v>
      </c>
      <c r="AE640" s="2">
        <f t="shared" si="14"/>
        <v>0</v>
      </c>
      <c r="AF640" s="2">
        <f t="shared" si="15"/>
        <v>0</v>
      </c>
      <c r="AG640" s="2">
        <f t="shared" si="16"/>
        <v>0</v>
      </c>
      <c r="AH640" s="2">
        <f t="shared" si="17"/>
        <v>0</v>
      </c>
      <c r="AI640" s="2">
        <f t="shared" si="18"/>
      </c>
    </row>
    <row r="641">
      <c r="A641" s="43">
        <f t="shared" si="0"/>
      </c>
      <c r="B641" s="54" t="n"/>
      <c r="C641" s="45" t="n"/>
      <c r="D641" s="50" t="n"/>
      <c r="E641" s="55" t="n"/>
      <c r="F641" s="50" t="n"/>
      <c r="G641" s="55" t="n"/>
      <c r="H641" s="50" t="n"/>
      <c r="I641" s="55" t="n"/>
      <c r="J641" s="50" t="n"/>
      <c r="K641" s="55" t="n"/>
      <c r="L641" s="56" t="n"/>
      <c r="M641" s="57" t="n"/>
      <c r="N641" s="57" t="n"/>
      <c r="O641" s="57" t="n"/>
      <c r="P641" s="57" t="n"/>
      <c r="Q641" s="50" t="n"/>
      <c r="R641" s="58">
        <f t="shared" si="1"/>
      </c>
      <c r="S641" s="59">
        <f t="shared" si="2"/>
      </c>
      <c r="T641" s="43">
        <f t="shared" si="3"/>
      </c>
      <c r="U641" s="60">
        <f t="shared" si="4"/>
      </c>
      <c r="V641" s="60">
        <f t="shared" si="5"/>
      </c>
      <c r="W641" s="60">
        <f t="shared" si="6"/>
      </c>
      <c r="X641" s="49">
        <f t="shared" si="7"/>
      </c>
      <c r="Y641" s="2">
        <f t="shared" si="8"/>
      </c>
      <c r="Z641" s="2">
        <f t="shared" si="9"/>
        <v>0</v>
      </c>
      <c r="AA641" s="2">
        <f t="shared" si="10"/>
        <v>0</v>
      </c>
      <c r="AB641" s="2">
        <f t="shared" si="11"/>
        <v>0</v>
      </c>
      <c r="AC641" s="2">
        <f t="shared" si="12"/>
        <v>0</v>
      </c>
      <c r="AD641" s="2">
        <f t="shared" si="13"/>
        <v>0</v>
      </c>
      <c r="AE641" s="2">
        <f t="shared" si="14"/>
        <v>0</v>
      </c>
      <c r="AF641" s="2">
        <f t="shared" si="15"/>
        <v>0</v>
      </c>
      <c r="AG641" s="2">
        <f t="shared" si="16"/>
        <v>0</v>
      </c>
      <c r="AH641" s="2">
        <f t="shared" si="17"/>
        <v>0</v>
      </c>
      <c r="AI641" s="2">
        <f t="shared" si="18"/>
      </c>
    </row>
    <row r="642">
      <c r="A642" s="43">
        <f t="shared" si="0"/>
      </c>
      <c r="B642" s="54" t="n"/>
      <c r="C642" s="45" t="n"/>
      <c r="D642" s="50" t="n"/>
      <c r="E642" s="55" t="n"/>
      <c r="F642" s="50" t="n"/>
      <c r="G642" s="55" t="n"/>
      <c r="H642" s="50" t="n"/>
      <c r="I642" s="55" t="n"/>
      <c r="J642" s="50" t="n"/>
      <c r="K642" s="55" t="n"/>
      <c r="L642" s="56" t="n"/>
      <c r="M642" s="57" t="n"/>
      <c r="N642" s="57" t="n"/>
      <c r="O642" s="57" t="n"/>
      <c r="P642" s="57" t="n"/>
      <c r="Q642" s="50" t="n"/>
      <c r="R642" s="58">
        <f t="shared" si="1"/>
      </c>
      <c r="S642" s="59">
        <f t="shared" si="2"/>
      </c>
      <c r="T642" s="43">
        <f t="shared" si="3"/>
      </c>
      <c r="U642" s="60">
        <f t="shared" si="4"/>
      </c>
      <c r="V642" s="60">
        <f t="shared" si="5"/>
      </c>
      <c r="W642" s="60">
        <f t="shared" si="6"/>
      </c>
      <c r="X642" s="49">
        <f t="shared" si="7"/>
      </c>
      <c r="Y642" s="2">
        <f t="shared" si="8"/>
      </c>
      <c r="Z642" s="2">
        <f t="shared" si="9"/>
        <v>0</v>
      </c>
      <c r="AA642" s="2">
        <f t="shared" si="10"/>
        <v>0</v>
      </c>
      <c r="AB642" s="2">
        <f t="shared" si="11"/>
        <v>0</v>
      </c>
      <c r="AC642" s="2">
        <f t="shared" si="12"/>
        <v>0</v>
      </c>
      <c r="AD642" s="2">
        <f t="shared" si="13"/>
        <v>0</v>
      </c>
      <c r="AE642" s="2">
        <f t="shared" si="14"/>
        <v>0</v>
      </c>
      <c r="AF642" s="2">
        <f t="shared" si="15"/>
        <v>0</v>
      </c>
      <c r="AG642" s="2">
        <f t="shared" si="16"/>
        <v>0</v>
      </c>
      <c r="AH642" s="2">
        <f t="shared" si="17"/>
        <v>0</v>
      </c>
      <c r="AI642" s="2">
        <f t="shared" si="18"/>
      </c>
    </row>
    <row r="643">
      <c r="A643" s="43">
        <f t="shared" si="0"/>
      </c>
      <c r="B643" s="54" t="n"/>
      <c r="C643" s="45" t="n"/>
      <c r="D643" s="50" t="n"/>
      <c r="E643" s="55" t="n"/>
      <c r="F643" s="50" t="n"/>
      <c r="G643" s="55" t="n"/>
      <c r="H643" s="50" t="n"/>
      <c r="I643" s="55" t="n"/>
      <c r="J643" s="50" t="n"/>
      <c r="K643" s="55" t="n"/>
      <c r="L643" s="56" t="n"/>
      <c r="M643" s="57" t="n"/>
      <c r="N643" s="57" t="n"/>
      <c r="O643" s="57" t="n"/>
      <c r="P643" s="57" t="n"/>
      <c r="Q643" s="50" t="n"/>
      <c r="R643" s="58">
        <f t="shared" si="1"/>
      </c>
      <c r="S643" s="59">
        <f t="shared" si="2"/>
      </c>
      <c r="T643" s="43">
        <f t="shared" si="3"/>
      </c>
      <c r="U643" s="60">
        <f t="shared" si="4"/>
      </c>
      <c r="V643" s="60">
        <f t="shared" si="5"/>
      </c>
      <c r="W643" s="60">
        <f t="shared" si="6"/>
      </c>
      <c r="X643" s="49">
        <f t="shared" si="7"/>
      </c>
      <c r="Y643" s="2">
        <f t="shared" si="8"/>
      </c>
      <c r="Z643" s="2">
        <f t="shared" si="9"/>
        <v>0</v>
      </c>
      <c r="AA643" s="2">
        <f t="shared" si="10"/>
        <v>0</v>
      </c>
      <c r="AB643" s="2">
        <f t="shared" si="11"/>
        <v>0</v>
      </c>
      <c r="AC643" s="2">
        <f t="shared" si="12"/>
        <v>0</v>
      </c>
      <c r="AD643" s="2">
        <f t="shared" si="13"/>
        <v>0</v>
      </c>
      <c r="AE643" s="2">
        <f t="shared" si="14"/>
        <v>0</v>
      </c>
      <c r="AF643" s="2">
        <f t="shared" si="15"/>
        <v>0</v>
      </c>
      <c r="AG643" s="2">
        <f t="shared" si="16"/>
        <v>0</v>
      </c>
      <c r="AH643" s="2">
        <f t="shared" si="17"/>
        <v>0</v>
      </c>
      <c r="AI643" s="2">
        <f t="shared" si="18"/>
      </c>
    </row>
    <row r="644">
      <c r="A644" s="43">
        <f t="shared" si="0"/>
      </c>
      <c r="B644" s="54" t="n"/>
      <c r="C644" s="45" t="n"/>
      <c r="D644" s="50" t="n"/>
      <c r="E644" s="55" t="n"/>
      <c r="F644" s="50" t="n"/>
      <c r="G644" s="55" t="n"/>
      <c r="H644" s="50" t="n"/>
      <c r="I644" s="55" t="n"/>
      <c r="J644" s="50" t="n"/>
      <c r="K644" s="55" t="n"/>
      <c r="L644" s="56" t="n"/>
      <c r="M644" s="57" t="n"/>
      <c r="N644" s="57" t="n"/>
      <c r="O644" s="57" t="n"/>
      <c r="P644" s="57" t="n"/>
      <c r="Q644" s="50" t="n"/>
      <c r="R644" s="58">
        <f t="shared" si="1"/>
      </c>
      <c r="S644" s="59">
        <f t="shared" si="2"/>
      </c>
      <c r="T644" s="43">
        <f t="shared" si="3"/>
      </c>
      <c r="U644" s="60">
        <f t="shared" si="4"/>
      </c>
      <c r="V644" s="60">
        <f t="shared" si="5"/>
      </c>
      <c r="W644" s="60">
        <f t="shared" si="6"/>
      </c>
      <c r="X644" s="49">
        <f t="shared" si="7"/>
      </c>
      <c r="Y644" s="2">
        <f t="shared" si="8"/>
      </c>
      <c r="Z644" s="2">
        <f t="shared" si="9"/>
        <v>0</v>
      </c>
      <c r="AA644" s="2">
        <f t="shared" si="10"/>
        <v>0</v>
      </c>
      <c r="AB644" s="2">
        <f t="shared" si="11"/>
        <v>0</v>
      </c>
      <c r="AC644" s="2">
        <f t="shared" si="12"/>
        <v>0</v>
      </c>
      <c r="AD644" s="2">
        <f t="shared" si="13"/>
        <v>0</v>
      </c>
      <c r="AE644" s="2">
        <f t="shared" si="14"/>
        <v>0</v>
      </c>
      <c r="AF644" s="2">
        <f t="shared" si="15"/>
        <v>0</v>
      </c>
      <c r="AG644" s="2">
        <f t="shared" si="16"/>
        <v>0</v>
      </c>
      <c r="AH644" s="2">
        <f t="shared" si="17"/>
        <v>0</v>
      </c>
      <c r="AI644" s="2">
        <f t="shared" si="18"/>
      </c>
    </row>
    <row r="645">
      <c r="A645" s="43">
        <f t="shared" si="0"/>
      </c>
      <c r="B645" s="54" t="n"/>
      <c r="C645" s="45" t="n"/>
      <c r="D645" s="50" t="n"/>
      <c r="E645" s="55" t="n"/>
      <c r="F645" s="50" t="n"/>
      <c r="G645" s="55" t="n"/>
      <c r="H645" s="50" t="n"/>
      <c r="I645" s="55" t="n"/>
      <c r="J645" s="50" t="n"/>
      <c r="K645" s="55" t="n"/>
      <c r="L645" s="56" t="n"/>
      <c r="M645" s="57" t="n"/>
      <c r="N645" s="57" t="n"/>
      <c r="O645" s="57" t="n"/>
      <c r="P645" s="57" t="n"/>
      <c r="Q645" s="50" t="n"/>
      <c r="R645" s="58">
        <f t="shared" si="1"/>
      </c>
      <c r="S645" s="59">
        <f t="shared" si="2"/>
      </c>
      <c r="T645" s="43">
        <f t="shared" si="3"/>
      </c>
      <c r="U645" s="60">
        <f t="shared" si="4"/>
      </c>
      <c r="V645" s="60">
        <f t="shared" si="5"/>
      </c>
      <c r="W645" s="60">
        <f t="shared" si="6"/>
      </c>
      <c r="X645" s="49">
        <f t="shared" si="7"/>
      </c>
      <c r="Y645" s="2">
        <f t="shared" si="8"/>
      </c>
      <c r="Z645" s="2">
        <f t="shared" si="9"/>
        <v>0</v>
      </c>
      <c r="AA645" s="2">
        <f t="shared" si="10"/>
        <v>0</v>
      </c>
      <c r="AB645" s="2">
        <f t="shared" si="11"/>
        <v>0</v>
      </c>
      <c r="AC645" s="2">
        <f t="shared" si="12"/>
        <v>0</v>
      </c>
      <c r="AD645" s="2">
        <f t="shared" si="13"/>
        <v>0</v>
      </c>
      <c r="AE645" s="2">
        <f t="shared" si="14"/>
        <v>0</v>
      </c>
      <c r="AF645" s="2">
        <f t="shared" si="15"/>
        <v>0</v>
      </c>
      <c r="AG645" s="2">
        <f t="shared" si="16"/>
        <v>0</v>
      </c>
      <c r="AH645" s="2">
        <f t="shared" si="17"/>
        <v>0</v>
      </c>
      <c r="AI645" s="2">
        <f t="shared" si="18"/>
      </c>
    </row>
    <row r="646">
      <c r="A646" s="43">
        <f t="shared" si="0"/>
      </c>
      <c r="B646" s="54" t="n"/>
      <c r="C646" s="45" t="n"/>
      <c r="D646" s="50" t="n"/>
      <c r="E646" s="55" t="n"/>
      <c r="F646" s="50" t="n"/>
      <c r="G646" s="55" t="n"/>
      <c r="H646" s="50" t="n"/>
      <c r="I646" s="55" t="n"/>
      <c r="J646" s="50" t="n"/>
      <c r="K646" s="55" t="n"/>
      <c r="L646" s="56" t="n"/>
      <c r="M646" s="57" t="n"/>
      <c r="N646" s="57" t="n"/>
      <c r="O646" s="57" t="n"/>
      <c r="P646" s="57" t="n"/>
      <c r="Q646" s="50" t="n"/>
      <c r="R646" s="58">
        <f t="shared" si="1"/>
      </c>
      <c r="S646" s="59">
        <f t="shared" si="2"/>
      </c>
      <c r="T646" s="43">
        <f t="shared" si="3"/>
      </c>
      <c r="U646" s="60">
        <f t="shared" si="4"/>
      </c>
      <c r="V646" s="60">
        <f t="shared" si="5"/>
      </c>
      <c r="W646" s="60">
        <f t="shared" si="6"/>
      </c>
      <c r="X646" s="49">
        <f t="shared" si="7"/>
      </c>
      <c r="Y646" s="2">
        <f t="shared" si="8"/>
      </c>
      <c r="Z646" s="2">
        <f t="shared" si="9"/>
        <v>0</v>
      </c>
      <c r="AA646" s="2">
        <f t="shared" si="10"/>
        <v>0</v>
      </c>
      <c r="AB646" s="2">
        <f t="shared" si="11"/>
        <v>0</v>
      </c>
      <c r="AC646" s="2">
        <f t="shared" si="12"/>
        <v>0</v>
      </c>
      <c r="AD646" s="2">
        <f t="shared" si="13"/>
        <v>0</v>
      </c>
      <c r="AE646" s="2">
        <f t="shared" si="14"/>
        <v>0</v>
      </c>
      <c r="AF646" s="2">
        <f t="shared" si="15"/>
        <v>0</v>
      </c>
      <c r="AG646" s="2">
        <f t="shared" si="16"/>
        <v>0</v>
      </c>
      <c r="AH646" s="2">
        <f t="shared" si="17"/>
        <v>0</v>
      </c>
      <c r="AI646" s="2">
        <f t="shared" si="18"/>
      </c>
    </row>
    <row r="647">
      <c r="A647" s="43">
        <f t="shared" si="0"/>
      </c>
      <c r="B647" s="54" t="n"/>
      <c r="C647" s="45" t="n"/>
      <c r="D647" s="50" t="n"/>
      <c r="E647" s="55" t="n"/>
      <c r="F647" s="50" t="n"/>
      <c r="G647" s="55" t="n"/>
      <c r="H647" s="50" t="n"/>
      <c r="I647" s="55" t="n"/>
      <c r="J647" s="50" t="n"/>
      <c r="K647" s="55" t="n"/>
      <c r="L647" s="56" t="n"/>
      <c r="M647" s="57" t="n"/>
      <c r="N647" s="57" t="n"/>
      <c r="O647" s="57" t="n"/>
      <c r="P647" s="57" t="n"/>
      <c r="Q647" s="50" t="n"/>
      <c r="R647" s="58">
        <f t="shared" si="1"/>
      </c>
      <c r="S647" s="59">
        <f t="shared" si="2"/>
      </c>
      <c r="T647" s="43">
        <f t="shared" si="3"/>
      </c>
      <c r="U647" s="60">
        <f t="shared" si="4"/>
      </c>
      <c r="V647" s="60">
        <f t="shared" si="5"/>
      </c>
      <c r="W647" s="60">
        <f t="shared" si="6"/>
      </c>
      <c r="X647" s="49">
        <f t="shared" si="7"/>
      </c>
      <c r="Y647" s="2">
        <f t="shared" si="8"/>
      </c>
      <c r="Z647" s="2">
        <f t="shared" si="9"/>
        <v>0</v>
      </c>
      <c r="AA647" s="2">
        <f t="shared" si="10"/>
        <v>0</v>
      </c>
      <c r="AB647" s="2">
        <f t="shared" si="11"/>
        <v>0</v>
      </c>
      <c r="AC647" s="2">
        <f t="shared" si="12"/>
        <v>0</v>
      </c>
      <c r="AD647" s="2">
        <f t="shared" si="13"/>
        <v>0</v>
      </c>
      <c r="AE647" s="2">
        <f t="shared" si="14"/>
        <v>0</v>
      </c>
      <c r="AF647" s="2">
        <f t="shared" si="15"/>
        <v>0</v>
      </c>
      <c r="AG647" s="2">
        <f t="shared" si="16"/>
        <v>0</v>
      </c>
      <c r="AH647" s="2">
        <f t="shared" si="17"/>
        <v>0</v>
      </c>
      <c r="AI647" s="2">
        <f t="shared" si="18"/>
      </c>
    </row>
    <row r="648">
      <c r="A648" s="43">
        <f t="shared" si="0"/>
      </c>
      <c r="B648" s="54" t="n"/>
      <c r="C648" s="45" t="n"/>
      <c r="D648" s="50" t="n"/>
      <c r="E648" s="55" t="n"/>
      <c r="F648" s="50" t="n"/>
      <c r="G648" s="55" t="n"/>
      <c r="H648" s="50" t="n"/>
      <c r="I648" s="55" t="n"/>
      <c r="J648" s="50" t="n"/>
      <c r="K648" s="55" t="n"/>
      <c r="L648" s="56" t="n"/>
      <c r="M648" s="57" t="n"/>
      <c r="N648" s="57" t="n"/>
      <c r="O648" s="57" t="n"/>
      <c r="P648" s="57" t="n"/>
      <c r="Q648" s="50" t="n"/>
      <c r="R648" s="58">
        <f t="shared" si="1"/>
      </c>
      <c r="S648" s="59">
        <f t="shared" si="2"/>
      </c>
      <c r="T648" s="43">
        <f t="shared" si="3"/>
      </c>
      <c r="U648" s="60">
        <f t="shared" si="4"/>
      </c>
      <c r="V648" s="60">
        <f t="shared" si="5"/>
      </c>
      <c r="W648" s="60">
        <f t="shared" si="6"/>
      </c>
      <c r="X648" s="49">
        <f t="shared" si="7"/>
      </c>
      <c r="Y648" s="2">
        <f t="shared" si="8"/>
      </c>
      <c r="Z648" s="2">
        <f t="shared" si="9"/>
        <v>0</v>
      </c>
      <c r="AA648" s="2">
        <f t="shared" si="10"/>
        <v>0</v>
      </c>
      <c r="AB648" s="2">
        <f t="shared" si="11"/>
        <v>0</v>
      </c>
      <c r="AC648" s="2">
        <f t="shared" si="12"/>
        <v>0</v>
      </c>
      <c r="AD648" s="2">
        <f t="shared" si="13"/>
        <v>0</v>
      </c>
      <c r="AE648" s="2">
        <f t="shared" si="14"/>
        <v>0</v>
      </c>
      <c r="AF648" s="2">
        <f t="shared" si="15"/>
        <v>0</v>
      </c>
      <c r="AG648" s="2">
        <f t="shared" si="16"/>
        <v>0</v>
      </c>
      <c r="AH648" s="2">
        <f t="shared" si="17"/>
        <v>0</v>
      </c>
      <c r="AI648" s="2">
        <f t="shared" si="18"/>
      </c>
    </row>
    <row r="649">
      <c r="A649" s="43">
        <f t="shared" si="0"/>
      </c>
      <c r="B649" s="54" t="n"/>
      <c r="C649" s="45" t="n"/>
      <c r="D649" s="50" t="n"/>
      <c r="E649" s="55" t="n"/>
      <c r="F649" s="50" t="n"/>
      <c r="G649" s="55" t="n"/>
      <c r="H649" s="50" t="n"/>
      <c r="I649" s="55" t="n"/>
      <c r="J649" s="50" t="n"/>
      <c r="K649" s="55" t="n"/>
      <c r="L649" s="56" t="n"/>
      <c r="M649" s="57" t="n"/>
      <c r="N649" s="57" t="n"/>
      <c r="O649" s="57" t="n"/>
      <c r="P649" s="57" t="n"/>
      <c r="Q649" s="50" t="n"/>
      <c r="R649" s="58">
        <f t="shared" si="1"/>
      </c>
      <c r="S649" s="59">
        <f t="shared" si="2"/>
      </c>
      <c r="T649" s="43">
        <f t="shared" si="3"/>
      </c>
      <c r="U649" s="60">
        <f t="shared" si="4"/>
      </c>
      <c r="V649" s="60">
        <f t="shared" si="5"/>
      </c>
      <c r="W649" s="60">
        <f t="shared" si="6"/>
      </c>
      <c r="X649" s="49">
        <f t="shared" si="7"/>
      </c>
      <c r="Y649" s="2">
        <f t="shared" si="8"/>
      </c>
      <c r="Z649" s="2">
        <f t="shared" si="9"/>
        <v>0</v>
      </c>
      <c r="AA649" s="2">
        <f t="shared" si="10"/>
        <v>0</v>
      </c>
      <c r="AB649" s="2">
        <f t="shared" si="11"/>
        <v>0</v>
      </c>
      <c r="AC649" s="2">
        <f t="shared" si="12"/>
        <v>0</v>
      </c>
      <c r="AD649" s="2">
        <f t="shared" si="13"/>
        <v>0</v>
      </c>
      <c r="AE649" s="2">
        <f t="shared" si="14"/>
        <v>0</v>
      </c>
      <c r="AF649" s="2">
        <f t="shared" si="15"/>
        <v>0</v>
      </c>
      <c r="AG649" s="2">
        <f t="shared" si="16"/>
        <v>0</v>
      </c>
      <c r="AH649" s="2">
        <f t="shared" si="17"/>
        <v>0</v>
      </c>
      <c r="AI649" s="2">
        <f t="shared" si="18"/>
      </c>
    </row>
    <row r="650">
      <c r="A650" s="43">
        <f t="shared" si="0"/>
      </c>
      <c r="B650" s="54" t="n"/>
      <c r="C650" s="45" t="n"/>
      <c r="D650" s="50" t="n"/>
      <c r="E650" s="55" t="n"/>
      <c r="F650" s="50" t="n"/>
      <c r="G650" s="55" t="n"/>
      <c r="H650" s="50" t="n"/>
      <c r="I650" s="55" t="n"/>
      <c r="J650" s="50" t="n"/>
      <c r="K650" s="55" t="n"/>
      <c r="L650" s="56" t="n"/>
      <c r="M650" s="57" t="n"/>
      <c r="N650" s="57" t="n"/>
      <c r="O650" s="57" t="n"/>
      <c r="P650" s="57" t="n"/>
      <c r="Q650" s="50" t="n"/>
      <c r="R650" s="58">
        <f t="shared" si="1"/>
      </c>
      <c r="S650" s="59">
        <f t="shared" si="2"/>
      </c>
      <c r="T650" s="43">
        <f t="shared" si="3"/>
      </c>
      <c r="U650" s="60">
        <f t="shared" si="4"/>
      </c>
      <c r="V650" s="60">
        <f t="shared" si="5"/>
      </c>
      <c r="W650" s="60">
        <f t="shared" si="6"/>
      </c>
      <c r="X650" s="49">
        <f t="shared" si="7"/>
      </c>
      <c r="Y650" s="2">
        <f t="shared" si="8"/>
      </c>
      <c r="Z650" s="2">
        <f t="shared" si="9"/>
        <v>0</v>
      </c>
      <c r="AA650" s="2">
        <f t="shared" si="10"/>
        <v>0</v>
      </c>
      <c r="AB650" s="2">
        <f t="shared" si="11"/>
        <v>0</v>
      </c>
      <c r="AC650" s="2">
        <f t="shared" si="12"/>
        <v>0</v>
      </c>
      <c r="AD650" s="2">
        <f t="shared" si="13"/>
        <v>0</v>
      </c>
      <c r="AE650" s="2">
        <f t="shared" si="14"/>
        <v>0</v>
      </c>
      <c r="AF650" s="2">
        <f t="shared" si="15"/>
        <v>0</v>
      </c>
      <c r="AG650" s="2">
        <f t="shared" si="16"/>
        <v>0</v>
      </c>
      <c r="AH650" s="2">
        <f t="shared" si="17"/>
        <v>0</v>
      </c>
      <c r="AI650" s="2">
        <f t="shared" si="18"/>
      </c>
    </row>
    <row r="651">
      <c r="A651" s="43">
        <f t="shared" si="0"/>
      </c>
      <c r="B651" s="54" t="n"/>
      <c r="C651" s="45" t="n"/>
      <c r="D651" s="50" t="n"/>
      <c r="E651" s="55" t="n"/>
      <c r="F651" s="50" t="n"/>
      <c r="G651" s="55" t="n"/>
      <c r="H651" s="50" t="n"/>
      <c r="I651" s="55" t="n"/>
      <c r="J651" s="50" t="n"/>
      <c r="K651" s="55" t="n"/>
      <c r="L651" s="56" t="n"/>
      <c r="M651" s="57" t="n"/>
      <c r="N651" s="57" t="n"/>
      <c r="O651" s="57" t="n"/>
      <c r="P651" s="57" t="n"/>
      <c r="Q651" s="50" t="n"/>
      <c r="R651" s="58">
        <f t="shared" si="1"/>
      </c>
      <c r="S651" s="59">
        <f t="shared" si="2"/>
      </c>
      <c r="T651" s="43">
        <f t="shared" si="3"/>
      </c>
      <c r="U651" s="60">
        <f t="shared" si="4"/>
      </c>
      <c r="V651" s="60">
        <f t="shared" si="5"/>
      </c>
      <c r="W651" s="60">
        <f t="shared" si="6"/>
      </c>
      <c r="X651" s="49">
        <f t="shared" si="7"/>
      </c>
      <c r="Y651" s="2">
        <f t="shared" si="8"/>
      </c>
      <c r="Z651" s="2">
        <f t="shared" si="9"/>
        <v>0</v>
      </c>
      <c r="AA651" s="2">
        <f t="shared" si="10"/>
        <v>0</v>
      </c>
      <c r="AB651" s="2">
        <f t="shared" si="11"/>
        <v>0</v>
      </c>
      <c r="AC651" s="2">
        <f t="shared" si="12"/>
        <v>0</v>
      </c>
      <c r="AD651" s="2">
        <f t="shared" si="13"/>
        <v>0</v>
      </c>
      <c r="AE651" s="2">
        <f t="shared" si="14"/>
        <v>0</v>
      </c>
      <c r="AF651" s="2">
        <f t="shared" si="15"/>
        <v>0</v>
      </c>
      <c r="AG651" s="2">
        <f t="shared" si="16"/>
        <v>0</v>
      </c>
      <c r="AH651" s="2">
        <f t="shared" si="17"/>
        <v>0</v>
      </c>
      <c r="AI651" s="2">
        <f t="shared" si="18"/>
      </c>
    </row>
    <row r="652">
      <c r="A652" s="43">
        <f t="shared" si="0"/>
      </c>
      <c r="B652" s="54" t="n"/>
      <c r="C652" s="45" t="n"/>
      <c r="D652" s="50" t="n"/>
      <c r="E652" s="55" t="n"/>
      <c r="F652" s="50" t="n"/>
      <c r="G652" s="55" t="n"/>
      <c r="H652" s="50" t="n"/>
      <c r="I652" s="55" t="n"/>
      <c r="J652" s="50" t="n"/>
      <c r="K652" s="55" t="n"/>
      <c r="L652" s="56" t="n"/>
      <c r="M652" s="57" t="n"/>
      <c r="N652" s="57" t="n"/>
      <c r="O652" s="57" t="n"/>
      <c r="P652" s="57" t="n"/>
      <c r="Q652" s="50" t="n"/>
      <c r="R652" s="58">
        <f t="shared" si="1"/>
      </c>
      <c r="S652" s="59">
        <f t="shared" si="2"/>
      </c>
      <c r="T652" s="43">
        <f t="shared" si="3"/>
      </c>
      <c r="U652" s="60">
        <f t="shared" si="4"/>
      </c>
      <c r="V652" s="60">
        <f t="shared" si="5"/>
      </c>
      <c r="W652" s="60">
        <f t="shared" si="6"/>
      </c>
      <c r="X652" s="49">
        <f t="shared" si="7"/>
      </c>
      <c r="Y652" s="2">
        <f t="shared" si="8"/>
      </c>
      <c r="Z652" s="2">
        <f t="shared" si="9"/>
        <v>0</v>
      </c>
      <c r="AA652" s="2">
        <f t="shared" si="10"/>
        <v>0</v>
      </c>
      <c r="AB652" s="2">
        <f t="shared" si="11"/>
        <v>0</v>
      </c>
      <c r="AC652" s="2">
        <f t="shared" si="12"/>
        <v>0</v>
      </c>
      <c r="AD652" s="2">
        <f t="shared" si="13"/>
        <v>0</v>
      </c>
      <c r="AE652" s="2">
        <f t="shared" si="14"/>
        <v>0</v>
      </c>
      <c r="AF652" s="2">
        <f t="shared" si="15"/>
        <v>0</v>
      </c>
      <c r="AG652" s="2">
        <f t="shared" si="16"/>
        <v>0</v>
      </c>
      <c r="AH652" s="2">
        <f t="shared" si="17"/>
        <v>0</v>
      </c>
      <c r="AI652" s="2">
        <f t="shared" si="18"/>
      </c>
    </row>
    <row r="653">
      <c r="A653" s="43">
        <f t="shared" si="0"/>
      </c>
      <c r="B653" s="54" t="n"/>
      <c r="C653" s="45" t="n"/>
      <c r="D653" s="50" t="n"/>
      <c r="E653" s="55" t="n"/>
      <c r="F653" s="50" t="n"/>
      <c r="G653" s="55" t="n"/>
      <c r="H653" s="50" t="n"/>
      <c r="I653" s="55" t="n"/>
      <c r="J653" s="50" t="n"/>
      <c r="K653" s="55" t="n"/>
      <c r="L653" s="56" t="n"/>
      <c r="M653" s="57" t="n"/>
      <c r="N653" s="57" t="n"/>
      <c r="O653" s="57" t="n"/>
      <c r="P653" s="57" t="n"/>
      <c r="Q653" s="50" t="n"/>
      <c r="R653" s="58">
        <f t="shared" si="1"/>
      </c>
      <c r="S653" s="59">
        <f t="shared" si="2"/>
      </c>
      <c r="T653" s="43">
        <f t="shared" si="3"/>
      </c>
      <c r="U653" s="60">
        <f t="shared" si="4"/>
      </c>
      <c r="V653" s="60">
        <f t="shared" si="5"/>
      </c>
      <c r="W653" s="60">
        <f t="shared" si="6"/>
      </c>
      <c r="X653" s="49">
        <f t="shared" si="7"/>
      </c>
      <c r="Y653" s="2">
        <f t="shared" si="8"/>
      </c>
      <c r="Z653" s="2">
        <f t="shared" si="9"/>
        <v>0</v>
      </c>
      <c r="AA653" s="2">
        <f t="shared" si="10"/>
        <v>0</v>
      </c>
      <c r="AB653" s="2">
        <f t="shared" si="11"/>
        <v>0</v>
      </c>
      <c r="AC653" s="2">
        <f t="shared" si="12"/>
        <v>0</v>
      </c>
      <c r="AD653" s="2">
        <f t="shared" si="13"/>
        <v>0</v>
      </c>
      <c r="AE653" s="2">
        <f t="shared" si="14"/>
        <v>0</v>
      </c>
      <c r="AF653" s="2">
        <f t="shared" si="15"/>
        <v>0</v>
      </c>
      <c r="AG653" s="2">
        <f t="shared" si="16"/>
        <v>0</v>
      </c>
      <c r="AH653" s="2">
        <f t="shared" si="17"/>
        <v>0</v>
      </c>
      <c r="AI653" s="2">
        <f t="shared" si="18"/>
      </c>
    </row>
    <row r="654">
      <c r="A654" s="43">
        <f t="shared" si="0"/>
      </c>
      <c r="B654" s="54" t="n"/>
      <c r="C654" s="45" t="n"/>
      <c r="D654" s="50" t="n"/>
      <c r="E654" s="55" t="n"/>
      <c r="F654" s="50" t="n"/>
      <c r="G654" s="55" t="n"/>
      <c r="H654" s="50" t="n"/>
      <c r="I654" s="55" t="n"/>
      <c r="J654" s="50" t="n"/>
      <c r="K654" s="55" t="n"/>
      <c r="L654" s="56" t="n"/>
      <c r="M654" s="57" t="n"/>
      <c r="N654" s="57" t="n"/>
      <c r="O654" s="57" t="n"/>
      <c r="P654" s="57" t="n"/>
      <c r="Q654" s="50" t="n"/>
      <c r="R654" s="58">
        <f t="shared" si="1"/>
      </c>
      <c r="S654" s="59">
        <f t="shared" si="2"/>
      </c>
      <c r="T654" s="43">
        <f t="shared" si="3"/>
      </c>
      <c r="U654" s="60">
        <f t="shared" si="4"/>
      </c>
      <c r="V654" s="60">
        <f t="shared" si="5"/>
      </c>
      <c r="W654" s="60">
        <f t="shared" si="6"/>
      </c>
      <c r="X654" s="49">
        <f t="shared" si="7"/>
      </c>
      <c r="Y654" s="2">
        <f t="shared" si="8"/>
      </c>
      <c r="Z654" s="2">
        <f t="shared" si="9"/>
        <v>0</v>
      </c>
      <c r="AA654" s="2">
        <f t="shared" si="10"/>
        <v>0</v>
      </c>
      <c r="AB654" s="2">
        <f t="shared" si="11"/>
        <v>0</v>
      </c>
      <c r="AC654" s="2">
        <f t="shared" si="12"/>
        <v>0</v>
      </c>
      <c r="AD654" s="2">
        <f t="shared" si="13"/>
        <v>0</v>
      </c>
      <c r="AE654" s="2">
        <f t="shared" si="14"/>
        <v>0</v>
      </c>
      <c r="AF654" s="2">
        <f t="shared" si="15"/>
        <v>0</v>
      </c>
      <c r="AG654" s="2">
        <f t="shared" si="16"/>
        <v>0</v>
      </c>
      <c r="AH654" s="2">
        <f t="shared" si="17"/>
        <v>0</v>
      </c>
      <c r="AI654" s="2">
        <f t="shared" si="18"/>
      </c>
    </row>
    <row r="655">
      <c r="A655" s="43">
        <f t="shared" si="0"/>
      </c>
      <c r="B655" s="54" t="n"/>
      <c r="C655" s="45" t="n"/>
      <c r="D655" s="50" t="n"/>
      <c r="E655" s="55" t="n"/>
      <c r="F655" s="50" t="n"/>
      <c r="G655" s="55" t="n"/>
      <c r="H655" s="50" t="n"/>
      <c r="I655" s="55" t="n"/>
      <c r="J655" s="50" t="n"/>
      <c r="K655" s="55" t="n"/>
      <c r="L655" s="56" t="n"/>
      <c r="M655" s="57" t="n"/>
      <c r="N655" s="57" t="n"/>
      <c r="O655" s="57" t="n"/>
      <c r="P655" s="57" t="n"/>
      <c r="Q655" s="50" t="n"/>
      <c r="R655" s="58">
        <f t="shared" si="1"/>
      </c>
      <c r="S655" s="59">
        <f t="shared" si="2"/>
      </c>
      <c r="T655" s="43">
        <f t="shared" si="3"/>
      </c>
      <c r="U655" s="60">
        <f t="shared" si="4"/>
      </c>
      <c r="V655" s="60">
        <f t="shared" si="5"/>
      </c>
      <c r="W655" s="60">
        <f t="shared" si="6"/>
      </c>
      <c r="X655" s="49">
        <f t="shared" si="7"/>
      </c>
      <c r="Y655" s="2">
        <f t="shared" si="8"/>
      </c>
      <c r="Z655" s="2">
        <f t="shared" si="9"/>
        <v>0</v>
      </c>
      <c r="AA655" s="2">
        <f t="shared" si="10"/>
        <v>0</v>
      </c>
      <c r="AB655" s="2">
        <f t="shared" si="11"/>
        <v>0</v>
      </c>
      <c r="AC655" s="2">
        <f t="shared" si="12"/>
        <v>0</v>
      </c>
      <c r="AD655" s="2">
        <f t="shared" si="13"/>
        <v>0</v>
      </c>
      <c r="AE655" s="2">
        <f t="shared" si="14"/>
        <v>0</v>
      </c>
      <c r="AF655" s="2">
        <f t="shared" si="15"/>
        <v>0</v>
      </c>
      <c r="AG655" s="2">
        <f t="shared" si="16"/>
        <v>0</v>
      </c>
      <c r="AH655" s="2">
        <f t="shared" si="17"/>
        <v>0</v>
      </c>
      <c r="AI655" s="2">
        <f t="shared" si="18"/>
      </c>
    </row>
    <row r="656">
      <c r="A656" s="43">
        <f t="shared" si="0"/>
      </c>
      <c r="B656" s="54" t="n"/>
      <c r="C656" s="45" t="n"/>
      <c r="D656" s="50" t="n"/>
      <c r="E656" s="55" t="n"/>
      <c r="F656" s="50" t="n"/>
      <c r="G656" s="55" t="n"/>
      <c r="H656" s="50" t="n"/>
      <c r="I656" s="55" t="n"/>
      <c r="J656" s="50" t="n"/>
      <c r="K656" s="55" t="n"/>
      <c r="L656" s="56" t="n"/>
      <c r="M656" s="57" t="n"/>
      <c r="N656" s="57" t="n"/>
      <c r="O656" s="57" t="n"/>
      <c r="P656" s="57" t="n"/>
      <c r="Q656" s="50" t="n"/>
      <c r="R656" s="58">
        <f t="shared" si="1"/>
      </c>
      <c r="S656" s="59">
        <f t="shared" si="2"/>
      </c>
      <c r="T656" s="43">
        <f t="shared" si="3"/>
      </c>
      <c r="U656" s="60">
        <f t="shared" si="4"/>
      </c>
      <c r="V656" s="60">
        <f t="shared" si="5"/>
      </c>
      <c r="W656" s="60">
        <f t="shared" si="6"/>
      </c>
      <c r="X656" s="49">
        <f t="shared" si="7"/>
      </c>
      <c r="Y656" s="2">
        <f t="shared" si="8"/>
      </c>
      <c r="Z656" s="2">
        <f t="shared" si="9"/>
        <v>0</v>
      </c>
      <c r="AA656" s="2">
        <f t="shared" si="10"/>
        <v>0</v>
      </c>
      <c r="AB656" s="2">
        <f t="shared" si="11"/>
        <v>0</v>
      </c>
      <c r="AC656" s="2">
        <f t="shared" si="12"/>
        <v>0</v>
      </c>
      <c r="AD656" s="2">
        <f t="shared" si="13"/>
        <v>0</v>
      </c>
      <c r="AE656" s="2">
        <f t="shared" si="14"/>
        <v>0</v>
      </c>
      <c r="AF656" s="2">
        <f t="shared" si="15"/>
        <v>0</v>
      </c>
      <c r="AG656" s="2">
        <f t="shared" si="16"/>
        <v>0</v>
      </c>
      <c r="AH656" s="2">
        <f t="shared" si="17"/>
        <v>0</v>
      </c>
      <c r="AI656" s="2">
        <f t="shared" si="18"/>
      </c>
    </row>
    <row r="657">
      <c r="A657" s="43">
        <f t="shared" si="0"/>
      </c>
      <c r="B657" s="54" t="n"/>
      <c r="C657" s="45" t="n"/>
      <c r="D657" s="50" t="n"/>
      <c r="E657" s="55" t="n"/>
      <c r="F657" s="50" t="n"/>
      <c r="G657" s="55" t="n"/>
      <c r="H657" s="50" t="n"/>
      <c r="I657" s="55" t="n"/>
      <c r="J657" s="50" t="n"/>
      <c r="K657" s="55" t="n"/>
      <c r="L657" s="56" t="n"/>
      <c r="M657" s="57" t="n"/>
      <c r="N657" s="57" t="n"/>
      <c r="O657" s="57" t="n"/>
      <c r="P657" s="57" t="n"/>
      <c r="Q657" s="50" t="n"/>
      <c r="R657" s="58">
        <f t="shared" si="1"/>
      </c>
      <c r="S657" s="59">
        <f t="shared" si="2"/>
      </c>
      <c r="T657" s="43">
        <f t="shared" si="3"/>
      </c>
      <c r="U657" s="60">
        <f t="shared" si="4"/>
      </c>
      <c r="V657" s="60">
        <f t="shared" si="5"/>
      </c>
      <c r="W657" s="60">
        <f t="shared" si="6"/>
      </c>
      <c r="X657" s="49">
        <f t="shared" si="7"/>
      </c>
      <c r="Y657" s="2">
        <f t="shared" si="8"/>
      </c>
      <c r="Z657" s="2">
        <f t="shared" si="9"/>
        <v>0</v>
      </c>
      <c r="AA657" s="2">
        <f t="shared" si="10"/>
        <v>0</v>
      </c>
      <c r="AB657" s="2">
        <f t="shared" si="11"/>
        <v>0</v>
      </c>
      <c r="AC657" s="2">
        <f t="shared" si="12"/>
        <v>0</v>
      </c>
      <c r="AD657" s="2">
        <f t="shared" si="13"/>
        <v>0</v>
      </c>
      <c r="AE657" s="2">
        <f t="shared" si="14"/>
        <v>0</v>
      </c>
      <c r="AF657" s="2">
        <f t="shared" si="15"/>
        <v>0</v>
      </c>
      <c r="AG657" s="2">
        <f t="shared" si="16"/>
        <v>0</v>
      </c>
      <c r="AH657" s="2">
        <f t="shared" si="17"/>
        <v>0</v>
      </c>
      <c r="AI657" s="2">
        <f t="shared" si="18"/>
      </c>
    </row>
    <row r="658">
      <c r="A658" s="43">
        <f t="shared" si="0"/>
      </c>
      <c r="B658" s="54" t="n"/>
      <c r="C658" s="45" t="n"/>
      <c r="D658" s="50" t="n"/>
      <c r="E658" s="55" t="n"/>
      <c r="F658" s="50" t="n"/>
      <c r="G658" s="55" t="n"/>
      <c r="H658" s="50" t="n"/>
      <c r="I658" s="55" t="n"/>
      <c r="J658" s="50" t="n"/>
      <c r="K658" s="55" t="n"/>
      <c r="L658" s="56" t="n"/>
      <c r="M658" s="57" t="n"/>
      <c r="N658" s="57" t="n"/>
      <c r="O658" s="57" t="n"/>
      <c r="P658" s="57" t="n"/>
      <c r="Q658" s="50" t="n"/>
      <c r="R658" s="58">
        <f t="shared" si="1"/>
      </c>
      <c r="S658" s="59">
        <f t="shared" si="2"/>
      </c>
      <c r="T658" s="43">
        <f t="shared" si="3"/>
      </c>
      <c r="U658" s="60">
        <f t="shared" si="4"/>
      </c>
      <c r="V658" s="60">
        <f t="shared" si="5"/>
      </c>
      <c r="W658" s="60">
        <f t="shared" si="6"/>
      </c>
      <c r="X658" s="49">
        <f t="shared" si="7"/>
      </c>
      <c r="Y658" s="2">
        <f t="shared" si="8"/>
      </c>
      <c r="Z658" s="2">
        <f t="shared" si="9"/>
        <v>0</v>
      </c>
      <c r="AA658" s="2">
        <f t="shared" si="10"/>
        <v>0</v>
      </c>
      <c r="AB658" s="2">
        <f t="shared" si="11"/>
        <v>0</v>
      </c>
      <c r="AC658" s="2">
        <f t="shared" si="12"/>
        <v>0</v>
      </c>
      <c r="AD658" s="2">
        <f t="shared" si="13"/>
        <v>0</v>
      </c>
      <c r="AE658" s="2">
        <f t="shared" si="14"/>
        <v>0</v>
      </c>
      <c r="AF658" s="2">
        <f t="shared" si="15"/>
        <v>0</v>
      </c>
      <c r="AG658" s="2">
        <f t="shared" si="16"/>
        <v>0</v>
      </c>
      <c r="AH658" s="2">
        <f t="shared" si="17"/>
        <v>0</v>
      </c>
      <c r="AI658" s="2">
        <f t="shared" si="18"/>
      </c>
    </row>
    <row r="659">
      <c r="A659" s="43">
        <f t="shared" si="0"/>
      </c>
      <c r="B659" s="54" t="n"/>
      <c r="C659" s="45" t="n"/>
      <c r="D659" s="50" t="n"/>
      <c r="E659" s="55" t="n"/>
      <c r="F659" s="50" t="n"/>
      <c r="G659" s="55" t="n"/>
      <c r="H659" s="50" t="n"/>
      <c r="I659" s="55" t="n"/>
      <c r="J659" s="50" t="n"/>
      <c r="K659" s="55" t="n"/>
      <c r="L659" s="56" t="n"/>
      <c r="M659" s="57" t="n"/>
      <c r="N659" s="57" t="n"/>
      <c r="O659" s="57" t="n"/>
      <c r="P659" s="57" t="n"/>
      <c r="Q659" s="50" t="n"/>
      <c r="R659" s="58">
        <f t="shared" si="1"/>
      </c>
      <c r="S659" s="59">
        <f t="shared" si="2"/>
      </c>
      <c r="T659" s="43">
        <f t="shared" si="3"/>
      </c>
      <c r="U659" s="60">
        <f t="shared" si="4"/>
      </c>
      <c r="V659" s="60">
        <f t="shared" si="5"/>
      </c>
      <c r="W659" s="60">
        <f t="shared" si="6"/>
      </c>
      <c r="X659" s="49">
        <f t="shared" si="7"/>
      </c>
      <c r="Y659" s="2">
        <f t="shared" si="8"/>
      </c>
      <c r="Z659" s="2">
        <f t="shared" si="9"/>
        <v>0</v>
      </c>
      <c r="AA659" s="2">
        <f t="shared" si="10"/>
        <v>0</v>
      </c>
      <c r="AB659" s="2">
        <f t="shared" si="11"/>
        <v>0</v>
      </c>
      <c r="AC659" s="2">
        <f t="shared" si="12"/>
        <v>0</v>
      </c>
      <c r="AD659" s="2">
        <f t="shared" si="13"/>
        <v>0</v>
      </c>
      <c r="AE659" s="2">
        <f t="shared" si="14"/>
        <v>0</v>
      </c>
      <c r="AF659" s="2">
        <f t="shared" si="15"/>
        <v>0</v>
      </c>
      <c r="AG659" s="2">
        <f t="shared" si="16"/>
        <v>0</v>
      </c>
      <c r="AH659" s="2">
        <f t="shared" si="17"/>
        <v>0</v>
      </c>
      <c r="AI659" s="2">
        <f t="shared" si="18"/>
      </c>
    </row>
    <row r="660">
      <c r="A660" s="43">
        <f t="shared" si="0"/>
      </c>
      <c r="B660" s="54" t="n"/>
      <c r="C660" s="45" t="n"/>
      <c r="D660" s="50" t="n"/>
      <c r="E660" s="55" t="n"/>
      <c r="F660" s="50" t="n"/>
      <c r="G660" s="55" t="n"/>
      <c r="H660" s="50" t="n"/>
      <c r="I660" s="55" t="n"/>
      <c r="J660" s="50" t="n"/>
      <c r="K660" s="55" t="n"/>
      <c r="L660" s="56" t="n"/>
      <c r="M660" s="57" t="n"/>
      <c r="N660" s="57" t="n"/>
      <c r="O660" s="57" t="n"/>
      <c r="P660" s="57" t="n"/>
      <c r="Q660" s="50" t="n"/>
      <c r="R660" s="58">
        <f t="shared" si="1"/>
      </c>
      <c r="S660" s="59">
        <f t="shared" si="2"/>
      </c>
      <c r="T660" s="43">
        <f t="shared" si="3"/>
      </c>
      <c r="U660" s="60">
        <f t="shared" si="4"/>
      </c>
      <c r="V660" s="60">
        <f t="shared" si="5"/>
      </c>
      <c r="W660" s="60">
        <f t="shared" si="6"/>
      </c>
      <c r="X660" s="49">
        <f t="shared" si="7"/>
      </c>
      <c r="Y660" s="2">
        <f t="shared" si="8"/>
      </c>
      <c r="Z660" s="2">
        <f t="shared" si="9"/>
        <v>0</v>
      </c>
      <c r="AA660" s="2">
        <f t="shared" si="10"/>
        <v>0</v>
      </c>
      <c r="AB660" s="2">
        <f t="shared" si="11"/>
        <v>0</v>
      </c>
      <c r="AC660" s="2">
        <f t="shared" si="12"/>
        <v>0</v>
      </c>
      <c r="AD660" s="2">
        <f t="shared" si="13"/>
        <v>0</v>
      </c>
      <c r="AE660" s="2">
        <f t="shared" si="14"/>
        <v>0</v>
      </c>
      <c r="AF660" s="2">
        <f t="shared" si="15"/>
        <v>0</v>
      </c>
      <c r="AG660" s="2">
        <f t="shared" si="16"/>
        <v>0</v>
      </c>
      <c r="AH660" s="2">
        <f t="shared" si="17"/>
        <v>0</v>
      </c>
      <c r="AI660" s="2">
        <f t="shared" si="18"/>
      </c>
    </row>
    <row r="661">
      <c r="A661" s="43">
        <f t="shared" si="0"/>
      </c>
      <c r="B661" s="54" t="n"/>
      <c r="C661" s="45" t="n"/>
      <c r="D661" s="50" t="n"/>
      <c r="E661" s="55" t="n"/>
      <c r="F661" s="50" t="n"/>
      <c r="G661" s="55" t="n"/>
      <c r="H661" s="50" t="n"/>
      <c r="I661" s="55" t="n"/>
      <c r="J661" s="50" t="n"/>
      <c r="K661" s="55" t="n"/>
      <c r="L661" s="56" t="n"/>
      <c r="M661" s="57" t="n"/>
      <c r="N661" s="57" t="n"/>
      <c r="O661" s="57" t="n"/>
      <c r="P661" s="57" t="n"/>
      <c r="Q661" s="50" t="n"/>
      <c r="R661" s="58">
        <f t="shared" si="1"/>
      </c>
      <c r="S661" s="59">
        <f t="shared" si="2"/>
      </c>
      <c r="T661" s="43">
        <f t="shared" si="3"/>
      </c>
      <c r="U661" s="60">
        <f t="shared" si="4"/>
      </c>
      <c r="V661" s="60">
        <f t="shared" si="5"/>
      </c>
      <c r="W661" s="60">
        <f t="shared" si="6"/>
      </c>
      <c r="X661" s="49">
        <f t="shared" si="7"/>
      </c>
      <c r="Y661" s="2">
        <f t="shared" si="8"/>
      </c>
      <c r="Z661" s="2">
        <f t="shared" si="9"/>
        <v>0</v>
      </c>
      <c r="AA661" s="2">
        <f t="shared" si="10"/>
        <v>0</v>
      </c>
      <c r="AB661" s="2">
        <f t="shared" si="11"/>
        <v>0</v>
      </c>
      <c r="AC661" s="2">
        <f t="shared" si="12"/>
        <v>0</v>
      </c>
      <c r="AD661" s="2">
        <f t="shared" si="13"/>
        <v>0</v>
      </c>
      <c r="AE661" s="2">
        <f t="shared" si="14"/>
        <v>0</v>
      </c>
      <c r="AF661" s="2">
        <f t="shared" si="15"/>
        <v>0</v>
      </c>
      <c r="AG661" s="2">
        <f t="shared" si="16"/>
        <v>0</v>
      </c>
      <c r="AH661" s="2">
        <f t="shared" si="17"/>
        <v>0</v>
      </c>
      <c r="AI661" s="2">
        <f t="shared" si="18"/>
      </c>
    </row>
    <row r="662">
      <c r="A662" s="43">
        <f t="shared" si="0"/>
      </c>
      <c r="B662" s="54" t="n"/>
      <c r="C662" s="45" t="n"/>
      <c r="D662" s="50" t="n"/>
      <c r="E662" s="55" t="n"/>
      <c r="F662" s="50" t="n"/>
      <c r="G662" s="55" t="n"/>
      <c r="H662" s="50" t="n"/>
      <c r="I662" s="55" t="n"/>
      <c r="J662" s="50" t="n"/>
      <c r="K662" s="55" t="n"/>
      <c r="L662" s="56" t="n"/>
      <c r="M662" s="57" t="n"/>
      <c r="N662" s="57" t="n"/>
      <c r="O662" s="57" t="n"/>
      <c r="P662" s="57" t="n"/>
      <c r="Q662" s="50" t="n"/>
      <c r="R662" s="58">
        <f t="shared" si="1"/>
      </c>
      <c r="S662" s="59">
        <f t="shared" si="2"/>
      </c>
      <c r="T662" s="43">
        <f t="shared" si="3"/>
      </c>
      <c r="U662" s="60">
        <f t="shared" si="4"/>
      </c>
      <c r="V662" s="60">
        <f t="shared" si="5"/>
      </c>
      <c r="W662" s="60">
        <f t="shared" si="6"/>
      </c>
      <c r="X662" s="49">
        <f t="shared" si="7"/>
      </c>
      <c r="Y662" s="2">
        <f t="shared" si="8"/>
      </c>
      <c r="Z662" s="2">
        <f t="shared" si="9"/>
        <v>0</v>
      </c>
      <c r="AA662" s="2">
        <f t="shared" si="10"/>
        <v>0</v>
      </c>
      <c r="AB662" s="2">
        <f t="shared" si="11"/>
        <v>0</v>
      </c>
      <c r="AC662" s="2">
        <f t="shared" si="12"/>
        <v>0</v>
      </c>
      <c r="AD662" s="2">
        <f t="shared" si="13"/>
        <v>0</v>
      </c>
      <c r="AE662" s="2">
        <f t="shared" si="14"/>
        <v>0</v>
      </c>
      <c r="AF662" s="2">
        <f t="shared" si="15"/>
        <v>0</v>
      </c>
      <c r="AG662" s="2">
        <f t="shared" si="16"/>
        <v>0</v>
      </c>
      <c r="AH662" s="2">
        <f t="shared" si="17"/>
        <v>0</v>
      </c>
      <c r="AI662" s="2">
        <f t="shared" si="18"/>
      </c>
    </row>
    <row r="663">
      <c r="A663" s="43">
        <f t="shared" si="0"/>
      </c>
      <c r="B663" s="54" t="n"/>
      <c r="C663" s="45" t="n"/>
      <c r="D663" s="50" t="n"/>
      <c r="E663" s="55" t="n"/>
      <c r="F663" s="50" t="n"/>
      <c r="G663" s="55" t="n"/>
      <c r="H663" s="50" t="n"/>
      <c r="I663" s="55" t="n"/>
      <c r="J663" s="50" t="n"/>
      <c r="K663" s="55" t="n"/>
      <c r="L663" s="56" t="n"/>
      <c r="M663" s="57" t="n"/>
      <c r="N663" s="57" t="n"/>
      <c r="O663" s="57" t="n"/>
      <c r="P663" s="57" t="n"/>
      <c r="Q663" s="50" t="n"/>
      <c r="R663" s="58">
        <f t="shared" si="1"/>
      </c>
      <c r="S663" s="59">
        <f t="shared" si="2"/>
      </c>
      <c r="T663" s="43">
        <f t="shared" si="3"/>
      </c>
      <c r="U663" s="60">
        <f t="shared" si="4"/>
      </c>
      <c r="V663" s="60">
        <f t="shared" si="5"/>
      </c>
      <c r="W663" s="60">
        <f t="shared" si="6"/>
      </c>
      <c r="X663" s="49">
        <f t="shared" si="7"/>
      </c>
      <c r="Y663" s="2">
        <f t="shared" si="8"/>
      </c>
      <c r="Z663" s="2">
        <f t="shared" si="9"/>
        <v>0</v>
      </c>
      <c r="AA663" s="2">
        <f t="shared" si="10"/>
        <v>0</v>
      </c>
      <c r="AB663" s="2">
        <f t="shared" si="11"/>
        <v>0</v>
      </c>
      <c r="AC663" s="2">
        <f t="shared" si="12"/>
        <v>0</v>
      </c>
      <c r="AD663" s="2">
        <f t="shared" si="13"/>
        <v>0</v>
      </c>
      <c r="AE663" s="2">
        <f t="shared" si="14"/>
        <v>0</v>
      </c>
      <c r="AF663" s="2">
        <f t="shared" si="15"/>
        <v>0</v>
      </c>
      <c r="AG663" s="2">
        <f t="shared" si="16"/>
        <v>0</v>
      </c>
      <c r="AH663" s="2">
        <f t="shared" si="17"/>
        <v>0</v>
      </c>
      <c r="AI663" s="2">
        <f t="shared" si="18"/>
      </c>
    </row>
    <row r="664">
      <c r="A664" s="43">
        <f t="shared" si="0"/>
      </c>
      <c r="B664" s="54" t="n"/>
      <c r="C664" s="45" t="n"/>
      <c r="D664" s="50" t="n"/>
      <c r="E664" s="55" t="n"/>
      <c r="F664" s="50" t="n"/>
      <c r="G664" s="55" t="n"/>
      <c r="H664" s="50" t="n"/>
      <c r="I664" s="55" t="n"/>
      <c r="J664" s="50" t="n"/>
      <c r="K664" s="55" t="n"/>
      <c r="L664" s="56" t="n"/>
      <c r="M664" s="57" t="n"/>
      <c r="N664" s="57" t="n"/>
      <c r="O664" s="57" t="n"/>
      <c r="P664" s="57" t="n"/>
      <c r="Q664" s="50" t="n"/>
      <c r="R664" s="58">
        <f t="shared" si="1"/>
      </c>
      <c r="S664" s="59">
        <f t="shared" si="2"/>
      </c>
      <c r="T664" s="43">
        <f t="shared" si="3"/>
      </c>
      <c r="U664" s="60">
        <f t="shared" si="4"/>
      </c>
      <c r="V664" s="60">
        <f t="shared" si="5"/>
      </c>
      <c r="W664" s="60">
        <f t="shared" si="6"/>
      </c>
      <c r="X664" s="49">
        <f t="shared" si="7"/>
      </c>
      <c r="Y664" s="2">
        <f t="shared" si="8"/>
      </c>
      <c r="Z664" s="2">
        <f t="shared" si="9"/>
        <v>0</v>
      </c>
      <c r="AA664" s="2">
        <f t="shared" si="10"/>
        <v>0</v>
      </c>
      <c r="AB664" s="2">
        <f t="shared" si="11"/>
        <v>0</v>
      </c>
      <c r="AC664" s="2">
        <f t="shared" si="12"/>
        <v>0</v>
      </c>
      <c r="AD664" s="2">
        <f t="shared" si="13"/>
        <v>0</v>
      </c>
      <c r="AE664" s="2">
        <f t="shared" si="14"/>
        <v>0</v>
      </c>
      <c r="AF664" s="2">
        <f t="shared" si="15"/>
        <v>0</v>
      </c>
      <c r="AG664" s="2">
        <f t="shared" si="16"/>
        <v>0</v>
      </c>
      <c r="AH664" s="2">
        <f t="shared" si="17"/>
        <v>0</v>
      </c>
      <c r="AI664" s="2">
        <f t="shared" si="18"/>
      </c>
    </row>
    <row r="665">
      <c r="A665" s="43">
        <f t="shared" si="0"/>
      </c>
      <c r="B665" s="54" t="n"/>
      <c r="C665" s="45" t="n"/>
      <c r="D665" s="50" t="n"/>
      <c r="E665" s="55" t="n"/>
      <c r="F665" s="50" t="n"/>
      <c r="G665" s="55" t="n"/>
      <c r="H665" s="50" t="n"/>
      <c r="I665" s="55" t="n"/>
      <c r="J665" s="50" t="n"/>
      <c r="K665" s="55" t="n"/>
      <c r="L665" s="56" t="n"/>
      <c r="M665" s="57" t="n"/>
      <c r="N665" s="57" t="n"/>
      <c r="O665" s="57" t="n"/>
      <c r="P665" s="57" t="n"/>
      <c r="Q665" s="50" t="n"/>
      <c r="R665" s="58">
        <f t="shared" si="1"/>
      </c>
      <c r="S665" s="59">
        <f t="shared" si="2"/>
      </c>
      <c r="T665" s="43">
        <f t="shared" si="3"/>
      </c>
      <c r="U665" s="60">
        <f t="shared" si="4"/>
      </c>
      <c r="V665" s="60">
        <f t="shared" si="5"/>
      </c>
      <c r="W665" s="60">
        <f t="shared" si="6"/>
      </c>
      <c r="X665" s="49">
        <f t="shared" si="7"/>
      </c>
      <c r="Y665" s="2">
        <f t="shared" si="8"/>
      </c>
      <c r="Z665" s="2">
        <f t="shared" si="9"/>
        <v>0</v>
      </c>
      <c r="AA665" s="2">
        <f t="shared" si="10"/>
        <v>0</v>
      </c>
      <c r="AB665" s="2">
        <f t="shared" si="11"/>
        <v>0</v>
      </c>
      <c r="AC665" s="2">
        <f t="shared" si="12"/>
        <v>0</v>
      </c>
      <c r="AD665" s="2">
        <f t="shared" si="13"/>
        <v>0</v>
      </c>
      <c r="AE665" s="2">
        <f t="shared" si="14"/>
        <v>0</v>
      </c>
      <c r="AF665" s="2">
        <f t="shared" si="15"/>
        <v>0</v>
      </c>
      <c r="AG665" s="2">
        <f t="shared" si="16"/>
        <v>0</v>
      </c>
      <c r="AH665" s="2">
        <f t="shared" si="17"/>
        <v>0</v>
      </c>
      <c r="AI665" s="2">
        <f t="shared" si="18"/>
      </c>
    </row>
    <row r="666">
      <c r="A666" s="43">
        <f t="shared" si="0"/>
      </c>
      <c r="B666" s="54" t="n"/>
      <c r="C666" s="45" t="n"/>
      <c r="D666" s="50" t="n"/>
      <c r="E666" s="55" t="n"/>
      <c r="F666" s="50" t="n"/>
      <c r="G666" s="55" t="n"/>
      <c r="H666" s="50" t="n"/>
      <c r="I666" s="55" t="n"/>
      <c r="J666" s="50" t="n"/>
      <c r="K666" s="55" t="n"/>
      <c r="L666" s="56" t="n"/>
      <c r="M666" s="57" t="n"/>
      <c r="N666" s="57" t="n"/>
      <c r="O666" s="57" t="n"/>
      <c r="P666" s="57" t="n"/>
      <c r="Q666" s="50" t="n"/>
      <c r="R666" s="58">
        <f t="shared" si="1"/>
      </c>
      <c r="S666" s="59">
        <f t="shared" si="2"/>
      </c>
      <c r="T666" s="43">
        <f t="shared" si="3"/>
      </c>
      <c r="U666" s="60">
        <f t="shared" si="4"/>
      </c>
      <c r="V666" s="60">
        <f t="shared" si="5"/>
      </c>
      <c r="W666" s="60">
        <f t="shared" si="6"/>
      </c>
      <c r="X666" s="49">
        <f t="shared" si="7"/>
      </c>
      <c r="Y666" s="2">
        <f t="shared" si="8"/>
      </c>
      <c r="Z666" s="2">
        <f t="shared" si="9"/>
        <v>0</v>
      </c>
      <c r="AA666" s="2">
        <f t="shared" si="10"/>
        <v>0</v>
      </c>
      <c r="AB666" s="2">
        <f t="shared" si="11"/>
        <v>0</v>
      </c>
      <c r="AC666" s="2">
        <f t="shared" si="12"/>
        <v>0</v>
      </c>
      <c r="AD666" s="2">
        <f t="shared" si="13"/>
        <v>0</v>
      </c>
      <c r="AE666" s="2">
        <f t="shared" si="14"/>
        <v>0</v>
      </c>
      <c r="AF666" s="2">
        <f t="shared" si="15"/>
        <v>0</v>
      </c>
      <c r="AG666" s="2">
        <f t="shared" si="16"/>
        <v>0</v>
      </c>
      <c r="AH666" s="2">
        <f t="shared" si="17"/>
        <v>0</v>
      </c>
      <c r="AI666" s="2">
        <f t="shared" si="18"/>
      </c>
    </row>
    <row r="667">
      <c r="A667" s="43">
        <f t="shared" si="0"/>
      </c>
      <c r="B667" s="54" t="n"/>
      <c r="C667" s="45" t="n"/>
      <c r="D667" s="50" t="n"/>
      <c r="E667" s="55" t="n"/>
      <c r="F667" s="50" t="n"/>
      <c r="G667" s="55" t="n"/>
      <c r="H667" s="50" t="n"/>
      <c r="I667" s="55" t="n"/>
      <c r="J667" s="50" t="n"/>
      <c r="K667" s="55" t="n"/>
      <c r="L667" s="56" t="n"/>
      <c r="M667" s="57" t="n"/>
      <c r="N667" s="57" t="n"/>
      <c r="O667" s="57" t="n"/>
      <c r="P667" s="57" t="n"/>
      <c r="Q667" s="50" t="n"/>
      <c r="R667" s="58">
        <f t="shared" si="1"/>
      </c>
      <c r="S667" s="59">
        <f t="shared" si="2"/>
      </c>
      <c r="T667" s="43">
        <f t="shared" si="3"/>
      </c>
      <c r="U667" s="60">
        <f t="shared" si="4"/>
      </c>
      <c r="V667" s="60">
        <f t="shared" si="5"/>
      </c>
      <c r="W667" s="60">
        <f t="shared" si="6"/>
      </c>
      <c r="X667" s="49">
        <f t="shared" si="7"/>
      </c>
      <c r="Y667" s="2">
        <f t="shared" si="8"/>
      </c>
      <c r="Z667" s="2">
        <f t="shared" si="9"/>
        <v>0</v>
      </c>
      <c r="AA667" s="2">
        <f t="shared" si="10"/>
        <v>0</v>
      </c>
      <c r="AB667" s="2">
        <f t="shared" si="11"/>
        <v>0</v>
      </c>
      <c r="AC667" s="2">
        <f t="shared" si="12"/>
        <v>0</v>
      </c>
      <c r="AD667" s="2">
        <f t="shared" si="13"/>
        <v>0</v>
      </c>
      <c r="AE667" s="2">
        <f t="shared" si="14"/>
        <v>0</v>
      </c>
      <c r="AF667" s="2">
        <f t="shared" si="15"/>
        <v>0</v>
      </c>
      <c r="AG667" s="2">
        <f t="shared" si="16"/>
        <v>0</v>
      </c>
      <c r="AH667" s="2">
        <f t="shared" si="17"/>
        <v>0</v>
      </c>
      <c r="AI667" s="2">
        <f t="shared" si="18"/>
      </c>
    </row>
    <row r="668">
      <c r="A668" s="43">
        <f t="shared" si="0"/>
      </c>
      <c r="B668" s="54" t="n"/>
      <c r="C668" s="45" t="n"/>
      <c r="D668" s="50" t="n"/>
      <c r="E668" s="55" t="n"/>
      <c r="F668" s="50" t="n"/>
      <c r="G668" s="55" t="n"/>
      <c r="H668" s="50" t="n"/>
      <c r="I668" s="55" t="n"/>
      <c r="J668" s="50" t="n"/>
      <c r="K668" s="55" t="n"/>
      <c r="L668" s="56" t="n"/>
      <c r="M668" s="57" t="n"/>
      <c r="N668" s="57" t="n"/>
      <c r="O668" s="57" t="n"/>
      <c r="P668" s="57" t="n"/>
      <c r="Q668" s="50" t="n"/>
      <c r="R668" s="58">
        <f t="shared" si="1"/>
      </c>
      <c r="S668" s="59">
        <f t="shared" si="2"/>
      </c>
      <c r="T668" s="43">
        <f t="shared" si="3"/>
      </c>
      <c r="U668" s="60">
        <f t="shared" si="4"/>
      </c>
      <c r="V668" s="60">
        <f t="shared" si="5"/>
      </c>
      <c r="W668" s="60">
        <f t="shared" si="6"/>
      </c>
      <c r="X668" s="49">
        <f t="shared" si="7"/>
      </c>
      <c r="Y668" s="2">
        <f t="shared" si="8"/>
      </c>
      <c r="Z668" s="2">
        <f t="shared" si="9"/>
        <v>0</v>
      </c>
      <c r="AA668" s="2">
        <f t="shared" si="10"/>
        <v>0</v>
      </c>
      <c r="AB668" s="2">
        <f t="shared" si="11"/>
        <v>0</v>
      </c>
      <c r="AC668" s="2">
        <f t="shared" si="12"/>
        <v>0</v>
      </c>
      <c r="AD668" s="2">
        <f t="shared" si="13"/>
        <v>0</v>
      </c>
      <c r="AE668" s="2">
        <f t="shared" si="14"/>
        <v>0</v>
      </c>
      <c r="AF668" s="2">
        <f t="shared" si="15"/>
        <v>0</v>
      </c>
      <c r="AG668" s="2">
        <f t="shared" si="16"/>
        <v>0</v>
      </c>
      <c r="AH668" s="2">
        <f t="shared" si="17"/>
        <v>0</v>
      </c>
      <c r="AI668" s="2">
        <f t="shared" si="18"/>
      </c>
    </row>
    <row r="669">
      <c r="A669" s="43">
        <f t="shared" si="0"/>
      </c>
      <c r="B669" s="54" t="n"/>
      <c r="C669" s="45" t="n"/>
      <c r="D669" s="50" t="n"/>
      <c r="E669" s="55" t="n"/>
      <c r="F669" s="50" t="n"/>
      <c r="G669" s="55" t="n"/>
      <c r="H669" s="50" t="n"/>
      <c r="I669" s="55" t="n"/>
      <c r="J669" s="50" t="n"/>
      <c r="K669" s="55" t="n"/>
      <c r="L669" s="56" t="n"/>
      <c r="M669" s="57" t="n"/>
      <c r="N669" s="57" t="n"/>
      <c r="O669" s="57" t="n"/>
      <c r="P669" s="57" t="n"/>
      <c r="Q669" s="50" t="n"/>
      <c r="R669" s="58">
        <f t="shared" si="1"/>
      </c>
      <c r="S669" s="59">
        <f t="shared" si="2"/>
      </c>
      <c r="T669" s="43">
        <f t="shared" si="3"/>
      </c>
      <c r="U669" s="60">
        <f t="shared" si="4"/>
      </c>
      <c r="V669" s="60">
        <f t="shared" si="5"/>
      </c>
      <c r="W669" s="60">
        <f t="shared" si="6"/>
      </c>
      <c r="X669" s="49">
        <f t="shared" si="7"/>
      </c>
      <c r="Y669" s="2">
        <f t="shared" si="8"/>
      </c>
      <c r="Z669" s="2">
        <f t="shared" si="9"/>
        <v>0</v>
      </c>
      <c r="AA669" s="2">
        <f t="shared" si="10"/>
        <v>0</v>
      </c>
      <c r="AB669" s="2">
        <f t="shared" si="11"/>
        <v>0</v>
      </c>
      <c r="AC669" s="2">
        <f t="shared" si="12"/>
        <v>0</v>
      </c>
      <c r="AD669" s="2">
        <f t="shared" si="13"/>
        <v>0</v>
      </c>
      <c r="AE669" s="2">
        <f t="shared" si="14"/>
        <v>0</v>
      </c>
      <c r="AF669" s="2">
        <f t="shared" si="15"/>
        <v>0</v>
      </c>
      <c r="AG669" s="2">
        <f t="shared" si="16"/>
        <v>0</v>
      </c>
      <c r="AH669" s="2">
        <f t="shared" si="17"/>
        <v>0</v>
      </c>
      <c r="AI669" s="2">
        <f t="shared" si="18"/>
      </c>
    </row>
    <row r="670">
      <c r="A670" s="43">
        <f t="shared" si="0"/>
      </c>
      <c r="B670" s="54" t="n"/>
      <c r="C670" s="45" t="n"/>
      <c r="D670" s="50" t="n"/>
      <c r="E670" s="55" t="n"/>
      <c r="F670" s="50" t="n"/>
      <c r="G670" s="55" t="n"/>
      <c r="H670" s="50" t="n"/>
      <c r="I670" s="55" t="n"/>
      <c r="J670" s="50" t="n"/>
      <c r="K670" s="55" t="n"/>
      <c r="L670" s="56" t="n"/>
      <c r="M670" s="57" t="n"/>
      <c r="N670" s="57" t="n"/>
      <c r="O670" s="57" t="n"/>
      <c r="P670" s="57" t="n"/>
      <c r="Q670" s="50" t="n"/>
      <c r="R670" s="58">
        <f t="shared" si="1"/>
      </c>
      <c r="S670" s="59">
        <f t="shared" si="2"/>
      </c>
      <c r="T670" s="43">
        <f t="shared" si="3"/>
      </c>
      <c r="U670" s="60">
        <f t="shared" si="4"/>
      </c>
      <c r="V670" s="60">
        <f t="shared" si="5"/>
      </c>
      <c r="W670" s="60">
        <f t="shared" si="6"/>
      </c>
      <c r="X670" s="49">
        <f t="shared" si="7"/>
      </c>
      <c r="Y670" s="2">
        <f t="shared" si="8"/>
      </c>
      <c r="Z670" s="2">
        <f t="shared" si="9"/>
        <v>0</v>
      </c>
      <c r="AA670" s="2">
        <f t="shared" si="10"/>
        <v>0</v>
      </c>
      <c r="AB670" s="2">
        <f t="shared" si="11"/>
        <v>0</v>
      </c>
      <c r="AC670" s="2">
        <f t="shared" si="12"/>
        <v>0</v>
      </c>
      <c r="AD670" s="2">
        <f t="shared" si="13"/>
        <v>0</v>
      </c>
      <c r="AE670" s="2">
        <f t="shared" si="14"/>
        <v>0</v>
      </c>
      <c r="AF670" s="2">
        <f t="shared" si="15"/>
        <v>0</v>
      </c>
      <c r="AG670" s="2">
        <f t="shared" si="16"/>
        <v>0</v>
      </c>
      <c r="AH670" s="2">
        <f t="shared" si="17"/>
        <v>0</v>
      </c>
      <c r="AI670" s="2">
        <f t="shared" si="18"/>
      </c>
    </row>
    <row r="671">
      <c r="A671" s="43">
        <f t="shared" si="0"/>
      </c>
      <c r="B671" s="54" t="n"/>
      <c r="C671" s="45" t="n"/>
      <c r="D671" s="50" t="n"/>
      <c r="E671" s="55" t="n"/>
      <c r="F671" s="50" t="n"/>
      <c r="G671" s="55" t="n"/>
      <c r="H671" s="50" t="n"/>
      <c r="I671" s="55" t="n"/>
      <c r="J671" s="50" t="n"/>
      <c r="K671" s="55" t="n"/>
      <c r="L671" s="56" t="n"/>
      <c r="M671" s="57" t="n"/>
      <c r="N671" s="57" t="n"/>
      <c r="O671" s="57" t="n"/>
      <c r="P671" s="57" t="n"/>
      <c r="Q671" s="50" t="n"/>
      <c r="R671" s="58">
        <f t="shared" si="1"/>
      </c>
      <c r="S671" s="59">
        <f t="shared" si="2"/>
      </c>
      <c r="T671" s="43">
        <f t="shared" si="3"/>
      </c>
      <c r="U671" s="60">
        <f t="shared" si="4"/>
      </c>
      <c r="V671" s="60">
        <f t="shared" si="5"/>
      </c>
      <c r="W671" s="60">
        <f t="shared" si="6"/>
      </c>
      <c r="X671" s="49">
        <f t="shared" si="7"/>
      </c>
      <c r="Y671" s="2">
        <f t="shared" si="8"/>
      </c>
      <c r="Z671" s="2">
        <f t="shared" si="9"/>
        <v>0</v>
      </c>
      <c r="AA671" s="2">
        <f t="shared" si="10"/>
        <v>0</v>
      </c>
      <c r="AB671" s="2">
        <f t="shared" si="11"/>
        <v>0</v>
      </c>
      <c r="AC671" s="2">
        <f t="shared" si="12"/>
        <v>0</v>
      </c>
      <c r="AD671" s="2">
        <f t="shared" si="13"/>
        <v>0</v>
      </c>
      <c r="AE671" s="2">
        <f t="shared" si="14"/>
        <v>0</v>
      </c>
      <c r="AF671" s="2">
        <f t="shared" si="15"/>
        <v>0</v>
      </c>
      <c r="AG671" s="2">
        <f t="shared" si="16"/>
        <v>0</v>
      </c>
      <c r="AH671" s="2">
        <f t="shared" si="17"/>
        <v>0</v>
      </c>
      <c r="AI671" s="2">
        <f t="shared" si="18"/>
      </c>
    </row>
    <row r="672">
      <c r="A672" s="43">
        <f t="shared" si="0"/>
      </c>
      <c r="B672" s="54" t="n"/>
      <c r="C672" s="45" t="n"/>
      <c r="D672" s="50" t="n"/>
      <c r="E672" s="55" t="n"/>
      <c r="F672" s="50" t="n"/>
      <c r="G672" s="55" t="n"/>
      <c r="H672" s="50" t="n"/>
      <c r="I672" s="55" t="n"/>
      <c r="J672" s="50" t="n"/>
      <c r="K672" s="55" t="n"/>
      <c r="L672" s="56" t="n"/>
      <c r="M672" s="57" t="n"/>
      <c r="N672" s="57" t="n"/>
      <c r="O672" s="57" t="n"/>
      <c r="P672" s="57" t="n"/>
      <c r="Q672" s="50" t="n"/>
      <c r="R672" s="58">
        <f t="shared" si="1"/>
      </c>
      <c r="S672" s="59">
        <f t="shared" si="2"/>
      </c>
      <c r="T672" s="43">
        <f t="shared" si="3"/>
      </c>
      <c r="U672" s="60">
        <f t="shared" si="4"/>
      </c>
      <c r="V672" s="60">
        <f t="shared" si="5"/>
      </c>
      <c r="W672" s="60">
        <f t="shared" si="6"/>
      </c>
      <c r="X672" s="49">
        <f t="shared" si="7"/>
      </c>
      <c r="Y672" s="2">
        <f t="shared" si="8"/>
      </c>
      <c r="Z672" s="2">
        <f t="shared" si="9"/>
        <v>0</v>
      </c>
      <c r="AA672" s="2">
        <f t="shared" si="10"/>
        <v>0</v>
      </c>
      <c r="AB672" s="2">
        <f t="shared" si="11"/>
        <v>0</v>
      </c>
      <c r="AC672" s="2">
        <f t="shared" si="12"/>
        <v>0</v>
      </c>
      <c r="AD672" s="2">
        <f t="shared" si="13"/>
        <v>0</v>
      </c>
      <c r="AE672" s="2">
        <f t="shared" si="14"/>
        <v>0</v>
      </c>
      <c r="AF672" s="2">
        <f t="shared" si="15"/>
        <v>0</v>
      </c>
      <c r="AG672" s="2">
        <f t="shared" si="16"/>
        <v>0</v>
      </c>
      <c r="AH672" s="2">
        <f t="shared" si="17"/>
        <v>0</v>
      </c>
      <c r="AI672" s="2">
        <f t="shared" si="18"/>
      </c>
    </row>
    <row r="673">
      <c r="A673" s="43">
        <f t="shared" si="0"/>
      </c>
      <c r="B673" s="54" t="n"/>
      <c r="C673" s="45" t="n"/>
      <c r="D673" s="50" t="n"/>
      <c r="E673" s="55" t="n"/>
      <c r="F673" s="50" t="n"/>
      <c r="G673" s="55" t="n"/>
      <c r="H673" s="50" t="n"/>
      <c r="I673" s="55" t="n"/>
      <c r="J673" s="50" t="n"/>
      <c r="K673" s="55" t="n"/>
      <c r="L673" s="56" t="n"/>
      <c r="M673" s="57" t="n"/>
      <c r="N673" s="57" t="n"/>
      <c r="O673" s="57" t="n"/>
      <c r="P673" s="57" t="n"/>
      <c r="Q673" s="50" t="n"/>
      <c r="R673" s="58">
        <f t="shared" si="1"/>
      </c>
      <c r="S673" s="59">
        <f t="shared" si="2"/>
      </c>
      <c r="T673" s="43">
        <f t="shared" si="3"/>
      </c>
      <c r="U673" s="60">
        <f t="shared" si="4"/>
      </c>
      <c r="V673" s="60">
        <f t="shared" si="5"/>
      </c>
      <c r="W673" s="60">
        <f t="shared" si="6"/>
      </c>
      <c r="X673" s="49">
        <f t="shared" si="7"/>
      </c>
      <c r="Y673" s="2">
        <f t="shared" si="8"/>
      </c>
      <c r="Z673" s="2">
        <f t="shared" si="9"/>
        <v>0</v>
      </c>
      <c r="AA673" s="2">
        <f t="shared" si="10"/>
        <v>0</v>
      </c>
      <c r="AB673" s="2">
        <f t="shared" si="11"/>
        <v>0</v>
      </c>
      <c r="AC673" s="2">
        <f t="shared" si="12"/>
        <v>0</v>
      </c>
      <c r="AD673" s="2">
        <f t="shared" si="13"/>
        <v>0</v>
      </c>
      <c r="AE673" s="2">
        <f t="shared" si="14"/>
        <v>0</v>
      </c>
      <c r="AF673" s="2">
        <f t="shared" si="15"/>
        <v>0</v>
      </c>
      <c r="AG673" s="2">
        <f t="shared" si="16"/>
        <v>0</v>
      </c>
      <c r="AH673" s="2">
        <f t="shared" si="17"/>
        <v>0</v>
      </c>
      <c r="AI673" s="2">
        <f t="shared" si="18"/>
      </c>
    </row>
    <row r="674">
      <c r="A674" s="43">
        <f t="shared" si="0"/>
      </c>
      <c r="B674" s="54" t="n"/>
      <c r="C674" s="45" t="n"/>
      <c r="D674" s="50" t="n"/>
      <c r="E674" s="55" t="n"/>
      <c r="F674" s="50" t="n"/>
      <c r="G674" s="55" t="n"/>
      <c r="H674" s="50" t="n"/>
      <c r="I674" s="55" t="n"/>
      <c r="J674" s="50" t="n"/>
      <c r="K674" s="55" t="n"/>
      <c r="L674" s="56" t="n"/>
      <c r="M674" s="57" t="n"/>
      <c r="N674" s="57" t="n"/>
      <c r="O674" s="57" t="n"/>
      <c r="P674" s="57" t="n"/>
      <c r="Q674" s="50" t="n"/>
      <c r="R674" s="58">
        <f t="shared" si="1"/>
      </c>
      <c r="S674" s="59">
        <f t="shared" si="2"/>
      </c>
      <c r="T674" s="43">
        <f t="shared" si="3"/>
      </c>
      <c r="U674" s="60">
        <f t="shared" si="4"/>
      </c>
      <c r="V674" s="60">
        <f t="shared" si="5"/>
      </c>
      <c r="W674" s="60">
        <f t="shared" si="6"/>
      </c>
      <c r="X674" s="49">
        <f t="shared" si="7"/>
      </c>
      <c r="Y674" s="2">
        <f t="shared" si="8"/>
      </c>
      <c r="Z674" s="2">
        <f t="shared" si="9"/>
        <v>0</v>
      </c>
      <c r="AA674" s="2">
        <f t="shared" si="10"/>
        <v>0</v>
      </c>
      <c r="AB674" s="2">
        <f t="shared" si="11"/>
        <v>0</v>
      </c>
      <c r="AC674" s="2">
        <f t="shared" si="12"/>
        <v>0</v>
      </c>
      <c r="AD674" s="2">
        <f t="shared" si="13"/>
        <v>0</v>
      </c>
      <c r="AE674" s="2">
        <f t="shared" si="14"/>
        <v>0</v>
      </c>
      <c r="AF674" s="2">
        <f t="shared" si="15"/>
        <v>0</v>
      </c>
      <c r="AG674" s="2">
        <f t="shared" si="16"/>
        <v>0</v>
      </c>
      <c r="AH674" s="2">
        <f t="shared" si="17"/>
        <v>0</v>
      </c>
      <c r="AI674" s="2">
        <f t="shared" si="18"/>
      </c>
    </row>
    <row r="675">
      <c r="A675" s="43">
        <f t="shared" si="0"/>
      </c>
      <c r="B675" s="54" t="n"/>
      <c r="C675" s="45" t="n"/>
      <c r="D675" s="50" t="n"/>
      <c r="E675" s="55" t="n"/>
      <c r="F675" s="50" t="n"/>
      <c r="G675" s="55" t="n"/>
      <c r="H675" s="50" t="n"/>
      <c r="I675" s="55" t="n"/>
      <c r="J675" s="50" t="n"/>
      <c r="K675" s="55" t="n"/>
      <c r="L675" s="56" t="n"/>
      <c r="M675" s="57" t="n"/>
      <c r="N675" s="57" t="n"/>
      <c r="O675" s="57" t="n"/>
      <c r="P675" s="57" t="n"/>
      <c r="Q675" s="50" t="n"/>
      <c r="R675" s="58">
        <f t="shared" si="1"/>
      </c>
      <c r="S675" s="59">
        <f t="shared" si="2"/>
      </c>
      <c r="T675" s="43">
        <f t="shared" si="3"/>
      </c>
      <c r="U675" s="60">
        <f t="shared" si="4"/>
      </c>
      <c r="V675" s="60">
        <f t="shared" si="5"/>
      </c>
      <c r="W675" s="60">
        <f t="shared" si="6"/>
      </c>
      <c r="X675" s="49">
        <f t="shared" si="7"/>
      </c>
      <c r="Y675" s="2">
        <f t="shared" si="8"/>
      </c>
      <c r="Z675" s="2">
        <f t="shared" si="9"/>
        <v>0</v>
      </c>
      <c r="AA675" s="2">
        <f t="shared" si="10"/>
        <v>0</v>
      </c>
      <c r="AB675" s="2">
        <f t="shared" si="11"/>
        <v>0</v>
      </c>
      <c r="AC675" s="2">
        <f t="shared" si="12"/>
        <v>0</v>
      </c>
      <c r="AD675" s="2">
        <f t="shared" si="13"/>
        <v>0</v>
      </c>
      <c r="AE675" s="2">
        <f t="shared" si="14"/>
        <v>0</v>
      </c>
      <c r="AF675" s="2">
        <f t="shared" si="15"/>
        <v>0</v>
      </c>
      <c r="AG675" s="2">
        <f t="shared" si="16"/>
        <v>0</v>
      </c>
      <c r="AH675" s="2">
        <f t="shared" si="17"/>
        <v>0</v>
      </c>
      <c r="AI675" s="2">
        <f t="shared" si="18"/>
      </c>
    </row>
    <row r="676">
      <c r="A676" s="43">
        <f t="shared" si="0"/>
      </c>
      <c r="B676" s="54" t="n"/>
      <c r="C676" s="45" t="n"/>
      <c r="D676" s="50" t="n"/>
      <c r="E676" s="55" t="n"/>
      <c r="F676" s="50" t="n"/>
      <c r="G676" s="55" t="n"/>
      <c r="H676" s="50" t="n"/>
      <c r="I676" s="55" t="n"/>
      <c r="J676" s="50" t="n"/>
      <c r="K676" s="55" t="n"/>
      <c r="L676" s="56" t="n"/>
      <c r="M676" s="57" t="n"/>
      <c r="N676" s="57" t="n"/>
      <c r="O676" s="57" t="n"/>
      <c r="P676" s="57" t="n"/>
      <c r="Q676" s="50" t="n"/>
      <c r="R676" s="58">
        <f t="shared" si="1"/>
      </c>
      <c r="S676" s="59">
        <f t="shared" si="2"/>
      </c>
      <c r="T676" s="43">
        <f t="shared" si="3"/>
      </c>
      <c r="U676" s="60">
        <f t="shared" si="4"/>
      </c>
      <c r="V676" s="60">
        <f t="shared" si="5"/>
      </c>
      <c r="W676" s="60">
        <f t="shared" si="6"/>
      </c>
      <c r="X676" s="49">
        <f t="shared" si="7"/>
      </c>
      <c r="Y676" s="2">
        <f t="shared" si="8"/>
      </c>
      <c r="Z676" s="2">
        <f t="shared" si="9"/>
        <v>0</v>
      </c>
      <c r="AA676" s="2">
        <f t="shared" si="10"/>
        <v>0</v>
      </c>
      <c r="AB676" s="2">
        <f t="shared" si="11"/>
        <v>0</v>
      </c>
      <c r="AC676" s="2">
        <f t="shared" si="12"/>
        <v>0</v>
      </c>
      <c r="AD676" s="2">
        <f t="shared" si="13"/>
        <v>0</v>
      </c>
      <c r="AE676" s="2">
        <f t="shared" si="14"/>
        <v>0</v>
      </c>
      <c r="AF676" s="2">
        <f t="shared" si="15"/>
        <v>0</v>
      </c>
      <c r="AG676" s="2">
        <f t="shared" si="16"/>
        <v>0</v>
      </c>
      <c r="AH676" s="2">
        <f t="shared" si="17"/>
        <v>0</v>
      </c>
      <c r="AI676" s="2">
        <f t="shared" si="18"/>
      </c>
    </row>
    <row r="677">
      <c r="A677" s="43">
        <f t="shared" si="0"/>
      </c>
      <c r="B677" s="54" t="n"/>
      <c r="C677" s="45" t="n"/>
      <c r="D677" s="50" t="n"/>
      <c r="E677" s="55" t="n"/>
      <c r="F677" s="50" t="n"/>
      <c r="G677" s="55" t="n"/>
      <c r="H677" s="50" t="n"/>
      <c r="I677" s="55" t="n"/>
      <c r="J677" s="50" t="n"/>
      <c r="K677" s="55" t="n"/>
      <c r="L677" s="56" t="n"/>
      <c r="M677" s="57" t="n"/>
      <c r="N677" s="57" t="n"/>
      <c r="O677" s="57" t="n"/>
      <c r="P677" s="57" t="n"/>
      <c r="Q677" s="50" t="n"/>
      <c r="R677" s="58">
        <f t="shared" si="1"/>
      </c>
      <c r="S677" s="59">
        <f t="shared" si="2"/>
      </c>
      <c r="T677" s="43">
        <f t="shared" si="3"/>
      </c>
      <c r="U677" s="60">
        <f t="shared" si="4"/>
      </c>
      <c r="V677" s="60">
        <f t="shared" si="5"/>
      </c>
      <c r="W677" s="60">
        <f t="shared" si="6"/>
      </c>
      <c r="X677" s="49">
        <f t="shared" si="7"/>
      </c>
      <c r="Y677" s="2">
        <f t="shared" si="8"/>
      </c>
      <c r="Z677" s="2">
        <f t="shared" si="9"/>
        <v>0</v>
      </c>
      <c r="AA677" s="2">
        <f t="shared" si="10"/>
        <v>0</v>
      </c>
      <c r="AB677" s="2">
        <f t="shared" si="11"/>
        <v>0</v>
      </c>
      <c r="AC677" s="2">
        <f t="shared" si="12"/>
        <v>0</v>
      </c>
      <c r="AD677" s="2">
        <f t="shared" si="13"/>
        <v>0</v>
      </c>
      <c r="AE677" s="2">
        <f t="shared" si="14"/>
        <v>0</v>
      </c>
      <c r="AF677" s="2">
        <f t="shared" si="15"/>
        <v>0</v>
      </c>
      <c r="AG677" s="2">
        <f t="shared" si="16"/>
        <v>0</v>
      </c>
      <c r="AH677" s="2">
        <f t="shared" si="17"/>
        <v>0</v>
      </c>
      <c r="AI677" s="2">
        <f t="shared" si="18"/>
      </c>
    </row>
    <row r="678">
      <c r="A678" s="43">
        <f t="shared" si="0"/>
      </c>
      <c r="B678" s="54" t="n"/>
      <c r="C678" s="45" t="n"/>
      <c r="D678" s="50" t="n"/>
      <c r="E678" s="55" t="n"/>
      <c r="F678" s="50" t="n"/>
      <c r="G678" s="55" t="n"/>
      <c r="H678" s="50" t="n"/>
      <c r="I678" s="55" t="n"/>
      <c r="J678" s="50" t="n"/>
      <c r="K678" s="55" t="n"/>
      <c r="L678" s="56" t="n"/>
      <c r="M678" s="57" t="n"/>
      <c r="N678" s="57" t="n"/>
      <c r="O678" s="57" t="n"/>
      <c r="P678" s="57" t="n"/>
      <c r="Q678" s="50" t="n"/>
      <c r="R678" s="58">
        <f t="shared" si="1"/>
      </c>
      <c r="S678" s="59">
        <f t="shared" si="2"/>
      </c>
      <c r="T678" s="43">
        <f t="shared" si="3"/>
      </c>
      <c r="U678" s="60">
        <f t="shared" si="4"/>
      </c>
      <c r="V678" s="60">
        <f t="shared" si="5"/>
      </c>
      <c r="W678" s="60">
        <f t="shared" si="6"/>
      </c>
      <c r="X678" s="49">
        <f t="shared" si="7"/>
      </c>
      <c r="Y678" s="2">
        <f t="shared" si="8"/>
      </c>
      <c r="Z678" s="2">
        <f t="shared" si="9"/>
        <v>0</v>
      </c>
      <c r="AA678" s="2">
        <f t="shared" si="10"/>
        <v>0</v>
      </c>
      <c r="AB678" s="2">
        <f t="shared" si="11"/>
        <v>0</v>
      </c>
      <c r="AC678" s="2">
        <f t="shared" si="12"/>
        <v>0</v>
      </c>
      <c r="AD678" s="2">
        <f t="shared" si="13"/>
        <v>0</v>
      </c>
      <c r="AE678" s="2">
        <f t="shared" si="14"/>
        <v>0</v>
      </c>
      <c r="AF678" s="2">
        <f t="shared" si="15"/>
        <v>0</v>
      </c>
      <c r="AG678" s="2">
        <f t="shared" si="16"/>
        <v>0</v>
      </c>
      <c r="AH678" s="2">
        <f t="shared" si="17"/>
        <v>0</v>
      </c>
      <c r="AI678" s="2">
        <f t="shared" si="18"/>
      </c>
    </row>
    <row r="679">
      <c r="A679" s="43">
        <f t="shared" si="0"/>
      </c>
      <c r="B679" s="54" t="n"/>
      <c r="C679" s="45" t="n"/>
      <c r="D679" s="50" t="n"/>
      <c r="E679" s="55" t="n"/>
      <c r="F679" s="50" t="n"/>
      <c r="G679" s="55" t="n"/>
      <c r="H679" s="50" t="n"/>
      <c r="I679" s="55" t="n"/>
      <c r="J679" s="50" t="n"/>
      <c r="K679" s="55" t="n"/>
      <c r="L679" s="56" t="n"/>
      <c r="M679" s="57" t="n"/>
      <c r="N679" s="57" t="n"/>
      <c r="O679" s="57" t="n"/>
      <c r="P679" s="57" t="n"/>
      <c r="Q679" s="50" t="n"/>
      <c r="R679" s="58">
        <f t="shared" si="1"/>
      </c>
      <c r="S679" s="59">
        <f t="shared" si="2"/>
      </c>
      <c r="T679" s="43">
        <f t="shared" si="3"/>
      </c>
      <c r="U679" s="60">
        <f t="shared" si="4"/>
      </c>
      <c r="V679" s="60">
        <f t="shared" si="5"/>
      </c>
      <c r="W679" s="60">
        <f t="shared" si="6"/>
      </c>
      <c r="X679" s="49">
        <f t="shared" si="7"/>
      </c>
      <c r="Y679" s="2">
        <f t="shared" si="8"/>
      </c>
      <c r="Z679" s="2">
        <f t="shared" si="9"/>
        <v>0</v>
      </c>
      <c r="AA679" s="2">
        <f t="shared" si="10"/>
        <v>0</v>
      </c>
      <c r="AB679" s="2">
        <f t="shared" si="11"/>
        <v>0</v>
      </c>
      <c r="AC679" s="2">
        <f t="shared" si="12"/>
        <v>0</v>
      </c>
      <c r="AD679" s="2">
        <f t="shared" si="13"/>
        <v>0</v>
      </c>
      <c r="AE679" s="2">
        <f t="shared" si="14"/>
        <v>0</v>
      </c>
      <c r="AF679" s="2">
        <f t="shared" si="15"/>
        <v>0</v>
      </c>
      <c r="AG679" s="2">
        <f t="shared" si="16"/>
        <v>0</v>
      </c>
      <c r="AH679" s="2">
        <f t="shared" si="17"/>
        <v>0</v>
      </c>
      <c r="AI679" s="2">
        <f t="shared" si="18"/>
      </c>
    </row>
    <row r="680">
      <c r="A680" s="43">
        <f t="shared" si="0"/>
      </c>
      <c r="B680" s="54" t="n"/>
      <c r="C680" s="45" t="n"/>
      <c r="D680" s="50" t="n"/>
      <c r="E680" s="55" t="n"/>
      <c r="F680" s="50" t="n"/>
      <c r="G680" s="55" t="n"/>
      <c r="H680" s="50" t="n"/>
      <c r="I680" s="55" t="n"/>
      <c r="J680" s="50" t="n"/>
      <c r="K680" s="55" t="n"/>
      <c r="L680" s="56" t="n"/>
      <c r="M680" s="57" t="n"/>
      <c r="N680" s="57" t="n"/>
      <c r="O680" s="57" t="n"/>
      <c r="P680" s="57" t="n"/>
      <c r="Q680" s="50" t="n"/>
      <c r="R680" s="58">
        <f t="shared" si="1"/>
      </c>
      <c r="S680" s="59">
        <f t="shared" si="2"/>
      </c>
      <c r="T680" s="43">
        <f t="shared" si="3"/>
      </c>
      <c r="U680" s="60">
        <f t="shared" si="4"/>
      </c>
      <c r="V680" s="60">
        <f t="shared" si="5"/>
      </c>
      <c r="W680" s="60">
        <f t="shared" si="6"/>
      </c>
      <c r="X680" s="49">
        <f t="shared" si="7"/>
      </c>
      <c r="Y680" s="2">
        <f t="shared" si="8"/>
      </c>
      <c r="Z680" s="2">
        <f t="shared" si="9"/>
        <v>0</v>
      </c>
      <c r="AA680" s="2">
        <f t="shared" si="10"/>
        <v>0</v>
      </c>
      <c r="AB680" s="2">
        <f t="shared" si="11"/>
        <v>0</v>
      </c>
      <c r="AC680" s="2">
        <f t="shared" si="12"/>
        <v>0</v>
      </c>
      <c r="AD680" s="2">
        <f t="shared" si="13"/>
        <v>0</v>
      </c>
      <c r="AE680" s="2">
        <f t="shared" si="14"/>
        <v>0</v>
      </c>
      <c r="AF680" s="2">
        <f t="shared" si="15"/>
        <v>0</v>
      </c>
      <c r="AG680" s="2">
        <f t="shared" si="16"/>
        <v>0</v>
      </c>
      <c r="AH680" s="2">
        <f t="shared" si="17"/>
        <v>0</v>
      </c>
      <c r="AI680" s="2">
        <f t="shared" si="18"/>
      </c>
    </row>
    <row r="681">
      <c r="A681" s="43">
        <f t="shared" si="0"/>
      </c>
      <c r="B681" s="54" t="n"/>
      <c r="C681" s="45" t="n"/>
      <c r="D681" s="50" t="n"/>
      <c r="E681" s="55" t="n"/>
      <c r="F681" s="50" t="n"/>
      <c r="G681" s="55" t="n"/>
      <c r="H681" s="50" t="n"/>
      <c r="I681" s="55" t="n"/>
      <c r="J681" s="50" t="n"/>
      <c r="K681" s="55" t="n"/>
      <c r="L681" s="56" t="n"/>
      <c r="M681" s="57" t="n"/>
      <c r="N681" s="57" t="n"/>
      <c r="O681" s="57" t="n"/>
      <c r="P681" s="57" t="n"/>
      <c r="Q681" s="50" t="n"/>
      <c r="R681" s="58">
        <f t="shared" si="1"/>
      </c>
      <c r="S681" s="59">
        <f t="shared" si="2"/>
      </c>
      <c r="T681" s="43">
        <f t="shared" si="3"/>
      </c>
      <c r="U681" s="60">
        <f t="shared" si="4"/>
      </c>
      <c r="V681" s="60">
        <f t="shared" si="5"/>
      </c>
      <c r="W681" s="60">
        <f t="shared" si="6"/>
      </c>
      <c r="X681" s="49">
        <f t="shared" si="7"/>
      </c>
      <c r="Y681" s="2">
        <f t="shared" si="8"/>
      </c>
      <c r="Z681" s="2">
        <f t="shared" si="9"/>
        <v>0</v>
      </c>
      <c r="AA681" s="2">
        <f t="shared" si="10"/>
        <v>0</v>
      </c>
      <c r="AB681" s="2">
        <f t="shared" si="11"/>
        <v>0</v>
      </c>
      <c r="AC681" s="2">
        <f t="shared" si="12"/>
        <v>0</v>
      </c>
      <c r="AD681" s="2">
        <f t="shared" si="13"/>
        <v>0</v>
      </c>
      <c r="AE681" s="2">
        <f t="shared" si="14"/>
        <v>0</v>
      </c>
      <c r="AF681" s="2">
        <f t="shared" si="15"/>
        <v>0</v>
      </c>
      <c r="AG681" s="2">
        <f t="shared" si="16"/>
        <v>0</v>
      </c>
      <c r="AH681" s="2">
        <f t="shared" si="17"/>
        <v>0</v>
      </c>
      <c r="AI681" s="2">
        <f t="shared" si="18"/>
      </c>
    </row>
    <row r="682">
      <c r="A682" s="43">
        <f t="shared" si="0"/>
      </c>
      <c r="B682" s="54" t="n"/>
      <c r="C682" s="45" t="n"/>
      <c r="D682" s="50" t="n"/>
      <c r="E682" s="55" t="n"/>
      <c r="F682" s="50" t="n"/>
      <c r="G682" s="55" t="n"/>
      <c r="H682" s="50" t="n"/>
      <c r="I682" s="55" t="n"/>
      <c r="J682" s="50" t="n"/>
      <c r="K682" s="55" t="n"/>
      <c r="L682" s="56" t="n"/>
      <c r="M682" s="57" t="n"/>
      <c r="N682" s="57" t="n"/>
      <c r="O682" s="57" t="n"/>
      <c r="P682" s="57" t="n"/>
      <c r="Q682" s="50" t="n"/>
      <c r="R682" s="58">
        <f t="shared" si="1"/>
      </c>
      <c r="S682" s="59">
        <f t="shared" si="2"/>
      </c>
      <c r="T682" s="43">
        <f t="shared" si="3"/>
      </c>
      <c r="U682" s="60">
        <f t="shared" si="4"/>
      </c>
      <c r="V682" s="60">
        <f t="shared" si="5"/>
      </c>
      <c r="W682" s="60">
        <f t="shared" si="6"/>
      </c>
      <c r="X682" s="49">
        <f t="shared" si="7"/>
      </c>
      <c r="Y682" s="2">
        <f t="shared" si="8"/>
      </c>
      <c r="Z682" s="2">
        <f t="shared" si="9"/>
        <v>0</v>
      </c>
      <c r="AA682" s="2">
        <f t="shared" si="10"/>
        <v>0</v>
      </c>
      <c r="AB682" s="2">
        <f t="shared" si="11"/>
        <v>0</v>
      </c>
      <c r="AC682" s="2">
        <f t="shared" si="12"/>
        <v>0</v>
      </c>
      <c r="AD682" s="2">
        <f t="shared" si="13"/>
        <v>0</v>
      </c>
      <c r="AE682" s="2">
        <f t="shared" si="14"/>
        <v>0</v>
      </c>
      <c r="AF682" s="2">
        <f t="shared" si="15"/>
        <v>0</v>
      </c>
      <c r="AG682" s="2">
        <f t="shared" si="16"/>
        <v>0</v>
      </c>
      <c r="AH682" s="2">
        <f t="shared" si="17"/>
        <v>0</v>
      </c>
      <c r="AI682" s="2">
        <f t="shared" si="18"/>
      </c>
    </row>
    <row r="683">
      <c r="A683" s="43">
        <f t="shared" si="0"/>
      </c>
      <c r="B683" s="54" t="n"/>
      <c r="C683" s="45" t="n"/>
      <c r="D683" s="50" t="n"/>
      <c r="E683" s="55" t="n"/>
      <c r="F683" s="50" t="n"/>
      <c r="G683" s="55" t="n"/>
      <c r="H683" s="50" t="n"/>
      <c r="I683" s="55" t="n"/>
      <c r="J683" s="50" t="n"/>
      <c r="K683" s="55" t="n"/>
      <c r="L683" s="56" t="n"/>
      <c r="M683" s="57" t="n"/>
      <c r="N683" s="57" t="n"/>
      <c r="O683" s="57" t="n"/>
      <c r="P683" s="57" t="n"/>
      <c r="Q683" s="50" t="n"/>
      <c r="R683" s="58">
        <f t="shared" si="1"/>
      </c>
      <c r="S683" s="59">
        <f t="shared" si="2"/>
      </c>
      <c r="T683" s="43">
        <f t="shared" si="3"/>
      </c>
      <c r="U683" s="60">
        <f t="shared" si="4"/>
      </c>
      <c r="V683" s="60">
        <f t="shared" si="5"/>
      </c>
      <c r="W683" s="60">
        <f t="shared" si="6"/>
      </c>
      <c r="X683" s="49">
        <f t="shared" si="7"/>
      </c>
      <c r="Y683" s="2">
        <f t="shared" si="8"/>
      </c>
      <c r="Z683" s="2">
        <f t="shared" si="9"/>
        <v>0</v>
      </c>
      <c r="AA683" s="2">
        <f t="shared" si="10"/>
        <v>0</v>
      </c>
      <c r="AB683" s="2">
        <f t="shared" si="11"/>
        <v>0</v>
      </c>
      <c r="AC683" s="2">
        <f t="shared" si="12"/>
        <v>0</v>
      </c>
      <c r="AD683" s="2">
        <f t="shared" si="13"/>
        <v>0</v>
      </c>
      <c r="AE683" s="2">
        <f t="shared" si="14"/>
        <v>0</v>
      </c>
      <c r="AF683" s="2">
        <f t="shared" si="15"/>
        <v>0</v>
      </c>
      <c r="AG683" s="2">
        <f t="shared" si="16"/>
        <v>0</v>
      </c>
      <c r="AH683" s="2">
        <f t="shared" si="17"/>
        <v>0</v>
      </c>
      <c r="AI683" s="2">
        <f t="shared" si="18"/>
      </c>
    </row>
    <row r="684">
      <c r="A684" s="43">
        <f t="shared" si="0"/>
      </c>
      <c r="B684" s="54" t="n"/>
      <c r="C684" s="45" t="n"/>
      <c r="D684" s="50" t="n"/>
      <c r="E684" s="55" t="n"/>
      <c r="F684" s="50" t="n"/>
      <c r="G684" s="55" t="n"/>
      <c r="H684" s="50" t="n"/>
      <c r="I684" s="55" t="n"/>
      <c r="J684" s="50" t="n"/>
      <c r="K684" s="55" t="n"/>
      <c r="L684" s="56" t="n"/>
      <c r="M684" s="57" t="n"/>
      <c r="N684" s="57" t="n"/>
      <c r="O684" s="57" t="n"/>
      <c r="P684" s="57" t="n"/>
      <c r="Q684" s="50" t="n"/>
      <c r="R684" s="58">
        <f t="shared" si="1"/>
      </c>
      <c r="S684" s="59">
        <f t="shared" si="2"/>
      </c>
      <c r="T684" s="43">
        <f t="shared" si="3"/>
      </c>
      <c r="U684" s="60">
        <f t="shared" si="4"/>
      </c>
      <c r="V684" s="60">
        <f t="shared" si="5"/>
      </c>
      <c r="W684" s="60">
        <f t="shared" si="6"/>
      </c>
      <c r="X684" s="49">
        <f t="shared" si="7"/>
      </c>
      <c r="Y684" s="2">
        <f t="shared" si="8"/>
      </c>
      <c r="Z684" s="2">
        <f t="shared" si="9"/>
        <v>0</v>
      </c>
      <c r="AA684" s="2">
        <f t="shared" si="10"/>
        <v>0</v>
      </c>
      <c r="AB684" s="2">
        <f t="shared" si="11"/>
        <v>0</v>
      </c>
      <c r="AC684" s="2">
        <f t="shared" si="12"/>
        <v>0</v>
      </c>
      <c r="AD684" s="2">
        <f t="shared" si="13"/>
        <v>0</v>
      </c>
      <c r="AE684" s="2">
        <f t="shared" si="14"/>
        <v>0</v>
      </c>
      <c r="AF684" s="2">
        <f t="shared" si="15"/>
        <v>0</v>
      </c>
      <c r="AG684" s="2">
        <f t="shared" si="16"/>
        <v>0</v>
      </c>
      <c r="AH684" s="2">
        <f t="shared" si="17"/>
        <v>0</v>
      </c>
      <c r="AI684" s="2">
        <f t="shared" si="18"/>
      </c>
    </row>
    <row r="685">
      <c r="A685" s="43">
        <f t="shared" si="0"/>
      </c>
      <c r="B685" s="54" t="n"/>
      <c r="C685" s="45" t="n"/>
      <c r="D685" s="50" t="n"/>
      <c r="E685" s="55" t="n"/>
      <c r="F685" s="50" t="n"/>
      <c r="G685" s="55" t="n"/>
      <c r="H685" s="50" t="n"/>
      <c r="I685" s="55" t="n"/>
      <c r="J685" s="50" t="n"/>
      <c r="K685" s="55" t="n"/>
      <c r="L685" s="56" t="n"/>
      <c r="M685" s="57" t="n"/>
      <c r="N685" s="57" t="n"/>
      <c r="O685" s="57" t="n"/>
      <c r="P685" s="57" t="n"/>
      <c r="Q685" s="50" t="n"/>
      <c r="R685" s="58">
        <f t="shared" si="1"/>
      </c>
      <c r="S685" s="59">
        <f t="shared" si="2"/>
      </c>
      <c r="T685" s="43">
        <f t="shared" si="3"/>
      </c>
      <c r="U685" s="60">
        <f t="shared" si="4"/>
      </c>
      <c r="V685" s="60">
        <f t="shared" si="5"/>
      </c>
      <c r="W685" s="60">
        <f t="shared" si="6"/>
      </c>
      <c r="X685" s="49">
        <f t="shared" si="7"/>
      </c>
      <c r="Y685" s="2">
        <f t="shared" si="8"/>
      </c>
      <c r="Z685" s="2">
        <f t="shared" si="9"/>
        <v>0</v>
      </c>
      <c r="AA685" s="2">
        <f t="shared" si="10"/>
        <v>0</v>
      </c>
      <c r="AB685" s="2">
        <f t="shared" si="11"/>
        <v>0</v>
      </c>
      <c r="AC685" s="2">
        <f t="shared" si="12"/>
        <v>0</v>
      </c>
      <c r="AD685" s="2">
        <f t="shared" si="13"/>
        <v>0</v>
      </c>
      <c r="AE685" s="2">
        <f t="shared" si="14"/>
        <v>0</v>
      </c>
      <c r="AF685" s="2">
        <f t="shared" si="15"/>
        <v>0</v>
      </c>
      <c r="AG685" s="2">
        <f t="shared" si="16"/>
        <v>0</v>
      </c>
      <c r="AH685" s="2">
        <f t="shared" si="17"/>
        <v>0</v>
      </c>
      <c r="AI685" s="2">
        <f t="shared" si="18"/>
      </c>
    </row>
    <row r="686">
      <c r="A686" s="43">
        <f t="shared" si="0"/>
      </c>
      <c r="B686" s="54" t="n"/>
      <c r="C686" s="45" t="n"/>
      <c r="D686" s="50" t="n"/>
      <c r="E686" s="55" t="n"/>
      <c r="F686" s="50" t="n"/>
      <c r="G686" s="55" t="n"/>
      <c r="H686" s="50" t="n"/>
      <c r="I686" s="55" t="n"/>
      <c r="J686" s="50" t="n"/>
      <c r="K686" s="55" t="n"/>
      <c r="L686" s="56" t="n"/>
      <c r="M686" s="57" t="n"/>
      <c r="N686" s="57" t="n"/>
      <c r="O686" s="57" t="n"/>
      <c r="P686" s="57" t="n"/>
      <c r="Q686" s="50" t="n"/>
      <c r="R686" s="58">
        <f t="shared" si="1"/>
      </c>
      <c r="S686" s="59">
        <f t="shared" si="2"/>
      </c>
      <c r="T686" s="43">
        <f t="shared" si="3"/>
      </c>
      <c r="U686" s="60">
        <f t="shared" si="4"/>
      </c>
      <c r="V686" s="60">
        <f t="shared" si="5"/>
      </c>
      <c r="W686" s="60">
        <f t="shared" si="6"/>
      </c>
      <c r="X686" s="49">
        <f t="shared" si="7"/>
      </c>
      <c r="Y686" s="2">
        <f t="shared" si="8"/>
      </c>
      <c r="Z686" s="2">
        <f t="shared" si="9"/>
        <v>0</v>
      </c>
      <c r="AA686" s="2">
        <f t="shared" si="10"/>
        <v>0</v>
      </c>
      <c r="AB686" s="2">
        <f t="shared" si="11"/>
        <v>0</v>
      </c>
      <c r="AC686" s="2">
        <f t="shared" si="12"/>
        <v>0</v>
      </c>
      <c r="AD686" s="2">
        <f t="shared" si="13"/>
        <v>0</v>
      </c>
      <c r="AE686" s="2">
        <f t="shared" si="14"/>
        <v>0</v>
      </c>
      <c r="AF686" s="2">
        <f t="shared" si="15"/>
        <v>0</v>
      </c>
      <c r="AG686" s="2">
        <f t="shared" si="16"/>
        <v>0</v>
      </c>
      <c r="AH686" s="2">
        <f t="shared" si="17"/>
        <v>0</v>
      </c>
      <c r="AI686" s="2">
        <f t="shared" si="18"/>
      </c>
    </row>
    <row r="687">
      <c r="A687" s="43">
        <f t="shared" si="0"/>
      </c>
      <c r="B687" s="54" t="n"/>
      <c r="C687" s="45" t="n"/>
      <c r="D687" s="50" t="n"/>
      <c r="E687" s="55" t="n"/>
      <c r="F687" s="50" t="n"/>
      <c r="G687" s="55" t="n"/>
      <c r="H687" s="50" t="n"/>
      <c r="I687" s="55" t="n"/>
      <c r="J687" s="50" t="n"/>
      <c r="K687" s="55" t="n"/>
      <c r="L687" s="56" t="n"/>
      <c r="M687" s="57" t="n"/>
      <c r="N687" s="57" t="n"/>
      <c r="O687" s="57" t="n"/>
      <c r="P687" s="57" t="n"/>
      <c r="Q687" s="50" t="n"/>
      <c r="R687" s="58">
        <f t="shared" si="1"/>
      </c>
      <c r="S687" s="59">
        <f t="shared" si="2"/>
      </c>
      <c r="T687" s="43">
        <f t="shared" si="3"/>
      </c>
      <c r="U687" s="60">
        <f t="shared" si="4"/>
      </c>
      <c r="V687" s="60">
        <f t="shared" si="5"/>
      </c>
      <c r="W687" s="60">
        <f t="shared" si="6"/>
      </c>
      <c r="X687" s="49">
        <f t="shared" si="7"/>
      </c>
      <c r="Y687" s="2">
        <f t="shared" si="8"/>
      </c>
      <c r="Z687" s="2">
        <f t="shared" si="9"/>
        <v>0</v>
      </c>
      <c r="AA687" s="2">
        <f t="shared" si="10"/>
        <v>0</v>
      </c>
      <c r="AB687" s="2">
        <f t="shared" si="11"/>
        <v>0</v>
      </c>
      <c r="AC687" s="2">
        <f t="shared" si="12"/>
        <v>0</v>
      </c>
      <c r="AD687" s="2">
        <f t="shared" si="13"/>
        <v>0</v>
      </c>
      <c r="AE687" s="2">
        <f t="shared" si="14"/>
        <v>0</v>
      </c>
      <c r="AF687" s="2">
        <f t="shared" si="15"/>
        <v>0</v>
      </c>
      <c r="AG687" s="2">
        <f t="shared" si="16"/>
        <v>0</v>
      </c>
      <c r="AH687" s="2">
        <f t="shared" si="17"/>
        <v>0</v>
      </c>
      <c r="AI687" s="2">
        <f t="shared" si="18"/>
      </c>
    </row>
    <row r="688">
      <c r="A688" s="43">
        <f t="shared" si="0"/>
      </c>
      <c r="B688" s="54" t="n"/>
      <c r="C688" s="45" t="n"/>
      <c r="D688" s="50" t="n"/>
      <c r="E688" s="55" t="n"/>
      <c r="F688" s="50" t="n"/>
      <c r="G688" s="55" t="n"/>
      <c r="H688" s="50" t="n"/>
      <c r="I688" s="55" t="n"/>
      <c r="J688" s="50" t="n"/>
      <c r="K688" s="55" t="n"/>
      <c r="L688" s="56" t="n"/>
      <c r="M688" s="57" t="n"/>
      <c r="N688" s="57" t="n"/>
      <c r="O688" s="57" t="n"/>
      <c r="P688" s="57" t="n"/>
      <c r="Q688" s="50" t="n"/>
      <c r="R688" s="58">
        <f t="shared" si="1"/>
      </c>
      <c r="S688" s="59">
        <f t="shared" si="2"/>
      </c>
      <c r="T688" s="43">
        <f t="shared" si="3"/>
      </c>
      <c r="U688" s="60">
        <f t="shared" si="4"/>
      </c>
      <c r="V688" s="60">
        <f t="shared" si="5"/>
      </c>
      <c r="W688" s="60">
        <f t="shared" si="6"/>
      </c>
      <c r="X688" s="49">
        <f t="shared" si="7"/>
      </c>
      <c r="Y688" s="2">
        <f t="shared" si="8"/>
      </c>
      <c r="Z688" s="2">
        <f t="shared" si="9"/>
        <v>0</v>
      </c>
      <c r="AA688" s="2">
        <f t="shared" si="10"/>
        <v>0</v>
      </c>
      <c r="AB688" s="2">
        <f t="shared" si="11"/>
        <v>0</v>
      </c>
      <c r="AC688" s="2">
        <f t="shared" si="12"/>
        <v>0</v>
      </c>
      <c r="AD688" s="2">
        <f t="shared" si="13"/>
        <v>0</v>
      </c>
      <c r="AE688" s="2">
        <f t="shared" si="14"/>
        <v>0</v>
      </c>
      <c r="AF688" s="2">
        <f t="shared" si="15"/>
        <v>0</v>
      </c>
      <c r="AG688" s="2">
        <f t="shared" si="16"/>
        <v>0</v>
      </c>
      <c r="AH688" s="2">
        <f t="shared" si="17"/>
        <v>0</v>
      </c>
      <c r="AI688" s="2">
        <f t="shared" si="18"/>
      </c>
    </row>
    <row r="689">
      <c r="A689" s="43">
        <f t="shared" si="0"/>
      </c>
      <c r="B689" s="54" t="n"/>
      <c r="C689" s="45" t="n"/>
      <c r="D689" s="50" t="n"/>
      <c r="E689" s="55" t="n"/>
      <c r="F689" s="50" t="n"/>
      <c r="G689" s="55" t="n"/>
      <c r="H689" s="50" t="n"/>
      <c r="I689" s="55" t="n"/>
      <c r="J689" s="50" t="n"/>
      <c r="K689" s="55" t="n"/>
      <c r="L689" s="56" t="n"/>
      <c r="M689" s="57" t="n"/>
      <c r="N689" s="57" t="n"/>
      <c r="O689" s="57" t="n"/>
      <c r="P689" s="57" t="n"/>
      <c r="Q689" s="50" t="n"/>
      <c r="R689" s="58">
        <f t="shared" si="1"/>
      </c>
      <c r="S689" s="59">
        <f t="shared" si="2"/>
      </c>
      <c r="T689" s="43">
        <f t="shared" si="3"/>
      </c>
      <c r="U689" s="60">
        <f t="shared" si="4"/>
      </c>
      <c r="V689" s="60">
        <f t="shared" si="5"/>
      </c>
      <c r="W689" s="60">
        <f t="shared" si="6"/>
      </c>
      <c r="X689" s="49">
        <f t="shared" si="7"/>
      </c>
      <c r="Y689" s="2">
        <f t="shared" si="8"/>
      </c>
      <c r="Z689" s="2">
        <f t="shared" si="9"/>
        <v>0</v>
      </c>
      <c r="AA689" s="2">
        <f t="shared" si="10"/>
        <v>0</v>
      </c>
      <c r="AB689" s="2">
        <f t="shared" si="11"/>
        <v>0</v>
      </c>
      <c r="AC689" s="2">
        <f t="shared" si="12"/>
        <v>0</v>
      </c>
      <c r="AD689" s="2">
        <f t="shared" si="13"/>
        <v>0</v>
      </c>
      <c r="AE689" s="2">
        <f t="shared" si="14"/>
        <v>0</v>
      </c>
      <c r="AF689" s="2">
        <f t="shared" si="15"/>
        <v>0</v>
      </c>
      <c r="AG689" s="2">
        <f t="shared" si="16"/>
        <v>0</v>
      </c>
      <c r="AH689" s="2">
        <f t="shared" si="17"/>
        <v>0</v>
      </c>
      <c r="AI689" s="2">
        <f t="shared" si="18"/>
      </c>
    </row>
    <row r="690">
      <c r="A690" s="43">
        <f t="shared" si="0"/>
      </c>
      <c r="B690" s="54" t="n"/>
      <c r="C690" s="45" t="n"/>
      <c r="D690" s="50" t="n"/>
      <c r="E690" s="55" t="n"/>
      <c r="F690" s="50" t="n"/>
      <c r="G690" s="55" t="n"/>
      <c r="H690" s="50" t="n"/>
      <c r="I690" s="55" t="n"/>
      <c r="J690" s="50" t="n"/>
      <c r="K690" s="55" t="n"/>
      <c r="L690" s="56" t="n"/>
      <c r="M690" s="57" t="n"/>
      <c r="N690" s="57" t="n"/>
      <c r="O690" s="57" t="n"/>
      <c r="P690" s="57" t="n"/>
      <c r="Q690" s="50" t="n"/>
      <c r="R690" s="58">
        <f t="shared" si="1"/>
      </c>
      <c r="S690" s="59">
        <f t="shared" si="2"/>
      </c>
      <c r="T690" s="43">
        <f t="shared" si="3"/>
      </c>
      <c r="U690" s="60">
        <f t="shared" si="4"/>
      </c>
      <c r="V690" s="60">
        <f t="shared" si="5"/>
      </c>
      <c r="W690" s="60">
        <f t="shared" si="6"/>
      </c>
      <c r="X690" s="49">
        <f t="shared" si="7"/>
      </c>
      <c r="Y690" s="2">
        <f t="shared" si="8"/>
      </c>
      <c r="Z690" s="2">
        <f t="shared" si="9"/>
        <v>0</v>
      </c>
      <c r="AA690" s="2">
        <f t="shared" si="10"/>
        <v>0</v>
      </c>
      <c r="AB690" s="2">
        <f t="shared" si="11"/>
        <v>0</v>
      </c>
      <c r="AC690" s="2">
        <f t="shared" si="12"/>
        <v>0</v>
      </c>
      <c r="AD690" s="2">
        <f t="shared" si="13"/>
        <v>0</v>
      </c>
      <c r="AE690" s="2">
        <f t="shared" si="14"/>
        <v>0</v>
      </c>
      <c r="AF690" s="2">
        <f t="shared" si="15"/>
        <v>0</v>
      </c>
      <c r="AG690" s="2">
        <f t="shared" si="16"/>
        <v>0</v>
      </c>
      <c r="AH690" s="2">
        <f t="shared" si="17"/>
        <v>0</v>
      </c>
      <c r="AI690" s="2">
        <f t="shared" si="18"/>
      </c>
    </row>
    <row r="691">
      <c r="A691" s="43">
        <f t="shared" si="0"/>
      </c>
      <c r="B691" s="54" t="n"/>
      <c r="C691" s="45" t="n"/>
      <c r="D691" s="50" t="n"/>
      <c r="E691" s="55" t="n"/>
      <c r="F691" s="50" t="n"/>
      <c r="G691" s="55" t="n"/>
      <c r="H691" s="50" t="n"/>
      <c r="I691" s="55" t="n"/>
      <c r="J691" s="50" t="n"/>
      <c r="K691" s="55" t="n"/>
      <c r="L691" s="56" t="n"/>
      <c r="M691" s="57" t="n"/>
      <c r="N691" s="57" t="n"/>
      <c r="O691" s="57" t="n"/>
      <c r="P691" s="57" t="n"/>
      <c r="Q691" s="50" t="n"/>
      <c r="R691" s="58">
        <f t="shared" si="1"/>
      </c>
      <c r="S691" s="59">
        <f t="shared" si="2"/>
      </c>
      <c r="T691" s="43">
        <f t="shared" si="3"/>
      </c>
      <c r="U691" s="60">
        <f t="shared" si="4"/>
      </c>
      <c r="V691" s="60">
        <f t="shared" si="5"/>
      </c>
      <c r="W691" s="60">
        <f t="shared" si="6"/>
      </c>
      <c r="X691" s="49">
        <f t="shared" si="7"/>
      </c>
      <c r="Y691" s="2">
        <f t="shared" si="8"/>
      </c>
      <c r="Z691" s="2">
        <f t="shared" si="9"/>
        <v>0</v>
      </c>
      <c r="AA691" s="2">
        <f t="shared" si="10"/>
        <v>0</v>
      </c>
      <c r="AB691" s="2">
        <f t="shared" si="11"/>
        <v>0</v>
      </c>
      <c r="AC691" s="2">
        <f t="shared" si="12"/>
        <v>0</v>
      </c>
      <c r="AD691" s="2">
        <f t="shared" si="13"/>
        <v>0</v>
      </c>
      <c r="AE691" s="2">
        <f t="shared" si="14"/>
        <v>0</v>
      </c>
      <c r="AF691" s="2">
        <f t="shared" si="15"/>
        <v>0</v>
      </c>
      <c r="AG691" s="2">
        <f t="shared" si="16"/>
        <v>0</v>
      </c>
      <c r="AH691" s="2">
        <f t="shared" si="17"/>
        <v>0</v>
      </c>
      <c r="AI691" s="2">
        <f t="shared" si="18"/>
      </c>
    </row>
    <row r="692">
      <c r="A692" s="43">
        <f t="shared" si="0"/>
      </c>
      <c r="B692" s="54" t="n"/>
      <c r="C692" s="45" t="n"/>
      <c r="D692" s="50" t="n"/>
      <c r="E692" s="55" t="n"/>
      <c r="F692" s="50" t="n"/>
      <c r="G692" s="55" t="n"/>
      <c r="H692" s="50" t="n"/>
      <c r="I692" s="55" t="n"/>
      <c r="J692" s="50" t="n"/>
      <c r="K692" s="55" t="n"/>
      <c r="L692" s="56" t="n"/>
      <c r="M692" s="57" t="n"/>
      <c r="N692" s="57" t="n"/>
      <c r="O692" s="57" t="n"/>
      <c r="P692" s="57" t="n"/>
      <c r="Q692" s="50" t="n"/>
      <c r="R692" s="58">
        <f t="shared" si="1"/>
      </c>
      <c r="S692" s="59">
        <f t="shared" si="2"/>
      </c>
      <c r="T692" s="43">
        <f t="shared" si="3"/>
      </c>
      <c r="U692" s="60">
        <f t="shared" si="4"/>
      </c>
      <c r="V692" s="60">
        <f t="shared" si="5"/>
      </c>
      <c r="W692" s="60">
        <f t="shared" si="6"/>
      </c>
      <c r="X692" s="49">
        <f t="shared" si="7"/>
      </c>
      <c r="Y692" s="2">
        <f t="shared" si="8"/>
      </c>
      <c r="Z692" s="2">
        <f t="shared" si="9"/>
        <v>0</v>
      </c>
      <c r="AA692" s="2">
        <f t="shared" si="10"/>
        <v>0</v>
      </c>
      <c r="AB692" s="2">
        <f t="shared" si="11"/>
        <v>0</v>
      </c>
      <c r="AC692" s="2">
        <f t="shared" si="12"/>
        <v>0</v>
      </c>
      <c r="AD692" s="2">
        <f t="shared" si="13"/>
        <v>0</v>
      </c>
      <c r="AE692" s="2">
        <f t="shared" si="14"/>
        <v>0</v>
      </c>
      <c r="AF692" s="2">
        <f t="shared" si="15"/>
        <v>0</v>
      </c>
      <c r="AG692" s="2">
        <f t="shared" si="16"/>
        <v>0</v>
      </c>
      <c r="AH692" s="2">
        <f t="shared" si="17"/>
        <v>0</v>
      </c>
      <c r="AI692" s="2">
        <f t="shared" si="18"/>
      </c>
    </row>
    <row r="693">
      <c r="A693" s="43">
        <f t="shared" si="0"/>
      </c>
      <c r="B693" s="54" t="n"/>
      <c r="C693" s="45" t="n"/>
      <c r="D693" s="50" t="n"/>
      <c r="E693" s="55" t="n"/>
      <c r="F693" s="50" t="n"/>
      <c r="G693" s="55" t="n"/>
      <c r="H693" s="50" t="n"/>
      <c r="I693" s="55" t="n"/>
      <c r="J693" s="50" t="n"/>
      <c r="K693" s="55" t="n"/>
      <c r="L693" s="56" t="n"/>
      <c r="M693" s="57" t="n"/>
      <c r="N693" s="57" t="n"/>
      <c r="O693" s="57" t="n"/>
      <c r="P693" s="57" t="n"/>
      <c r="Q693" s="50" t="n"/>
      <c r="R693" s="58">
        <f t="shared" si="1"/>
      </c>
      <c r="S693" s="59">
        <f t="shared" si="2"/>
      </c>
      <c r="T693" s="43">
        <f t="shared" si="3"/>
      </c>
      <c r="U693" s="60">
        <f t="shared" si="4"/>
      </c>
      <c r="V693" s="60">
        <f t="shared" si="5"/>
      </c>
      <c r="W693" s="60">
        <f t="shared" si="6"/>
      </c>
      <c r="X693" s="49">
        <f t="shared" si="7"/>
      </c>
      <c r="Y693" s="2">
        <f t="shared" si="8"/>
      </c>
      <c r="Z693" s="2">
        <f t="shared" si="9"/>
        <v>0</v>
      </c>
      <c r="AA693" s="2">
        <f t="shared" si="10"/>
        <v>0</v>
      </c>
      <c r="AB693" s="2">
        <f t="shared" si="11"/>
        <v>0</v>
      </c>
      <c r="AC693" s="2">
        <f t="shared" si="12"/>
        <v>0</v>
      </c>
      <c r="AD693" s="2">
        <f t="shared" si="13"/>
        <v>0</v>
      </c>
      <c r="AE693" s="2">
        <f t="shared" si="14"/>
        <v>0</v>
      </c>
      <c r="AF693" s="2">
        <f t="shared" si="15"/>
        <v>0</v>
      </c>
      <c r="AG693" s="2">
        <f t="shared" si="16"/>
        <v>0</v>
      </c>
      <c r="AH693" s="2">
        <f t="shared" si="17"/>
        <v>0</v>
      </c>
      <c r="AI693" s="2">
        <f t="shared" si="18"/>
      </c>
    </row>
    <row r="694">
      <c r="A694" s="43">
        <f t="shared" si="0"/>
      </c>
      <c r="B694" s="54" t="n"/>
      <c r="C694" s="45" t="n"/>
      <c r="D694" s="50" t="n"/>
      <c r="E694" s="55" t="n"/>
      <c r="F694" s="50" t="n"/>
      <c r="G694" s="55" t="n"/>
      <c r="H694" s="50" t="n"/>
      <c r="I694" s="55" t="n"/>
      <c r="J694" s="50" t="n"/>
      <c r="K694" s="55" t="n"/>
      <c r="L694" s="56" t="n"/>
      <c r="M694" s="57" t="n"/>
      <c r="N694" s="57" t="n"/>
      <c r="O694" s="57" t="n"/>
      <c r="P694" s="57" t="n"/>
      <c r="Q694" s="50" t="n"/>
      <c r="R694" s="58">
        <f t="shared" si="1"/>
      </c>
      <c r="S694" s="59">
        <f t="shared" si="2"/>
      </c>
      <c r="T694" s="43">
        <f t="shared" si="3"/>
      </c>
      <c r="U694" s="60">
        <f t="shared" si="4"/>
      </c>
      <c r="V694" s="60">
        <f t="shared" si="5"/>
      </c>
      <c r="W694" s="60">
        <f t="shared" si="6"/>
      </c>
      <c r="X694" s="49">
        <f t="shared" si="7"/>
      </c>
      <c r="Y694" s="2">
        <f t="shared" si="8"/>
      </c>
      <c r="Z694" s="2">
        <f t="shared" si="9"/>
        <v>0</v>
      </c>
      <c r="AA694" s="2">
        <f t="shared" si="10"/>
        <v>0</v>
      </c>
      <c r="AB694" s="2">
        <f t="shared" si="11"/>
        <v>0</v>
      </c>
      <c r="AC694" s="2">
        <f t="shared" si="12"/>
        <v>0</v>
      </c>
      <c r="AD694" s="2">
        <f t="shared" si="13"/>
        <v>0</v>
      </c>
      <c r="AE694" s="2">
        <f t="shared" si="14"/>
        <v>0</v>
      </c>
      <c r="AF694" s="2">
        <f t="shared" si="15"/>
        <v>0</v>
      </c>
      <c r="AG694" s="2">
        <f t="shared" si="16"/>
        <v>0</v>
      </c>
      <c r="AH694" s="2">
        <f t="shared" si="17"/>
        <v>0</v>
      </c>
      <c r="AI694" s="2">
        <f t="shared" si="18"/>
      </c>
    </row>
    <row r="695">
      <c r="A695" s="43">
        <f t="shared" si="0"/>
      </c>
      <c r="B695" s="54" t="n"/>
      <c r="C695" s="45" t="n"/>
      <c r="D695" s="50" t="n"/>
      <c r="E695" s="55" t="n"/>
      <c r="F695" s="50" t="n"/>
      <c r="G695" s="55" t="n"/>
      <c r="H695" s="50" t="n"/>
      <c r="I695" s="55" t="n"/>
      <c r="J695" s="50" t="n"/>
      <c r="K695" s="55" t="n"/>
      <c r="L695" s="56" t="n"/>
      <c r="M695" s="57" t="n"/>
      <c r="N695" s="57" t="n"/>
      <c r="O695" s="57" t="n"/>
      <c r="P695" s="57" t="n"/>
      <c r="Q695" s="50" t="n"/>
      <c r="R695" s="58">
        <f t="shared" si="1"/>
      </c>
      <c r="S695" s="59">
        <f t="shared" si="2"/>
      </c>
      <c r="T695" s="43">
        <f t="shared" si="3"/>
      </c>
      <c r="U695" s="60">
        <f t="shared" si="4"/>
      </c>
      <c r="V695" s="60">
        <f t="shared" si="5"/>
      </c>
      <c r="W695" s="60">
        <f t="shared" si="6"/>
      </c>
      <c r="X695" s="49">
        <f t="shared" si="7"/>
      </c>
      <c r="Y695" s="2">
        <f t="shared" si="8"/>
      </c>
      <c r="Z695" s="2">
        <f t="shared" si="9"/>
        <v>0</v>
      </c>
      <c r="AA695" s="2">
        <f t="shared" si="10"/>
        <v>0</v>
      </c>
      <c r="AB695" s="2">
        <f t="shared" si="11"/>
        <v>0</v>
      </c>
      <c r="AC695" s="2">
        <f t="shared" si="12"/>
        <v>0</v>
      </c>
      <c r="AD695" s="2">
        <f t="shared" si="13"/>
        <v>0</v>
      </c>
      <c r="AE695" s="2">
        <f t="shared" si="14"/>
        <v>0</v>
      </c>
      <c r="AF695" s="2">
        <f t="shared" si="15"/>
        <v>0</v>
      </c>
      <c r="AG695" s="2">
        <f t="shared" si="16"/>
        <v>0</v>
      </c>
      <c r="AH695" s="2">
        <f t="shared" si="17"/>
        <v>0</v>
      </c>
      <c r="AI695" s="2">
        <f t="shared" si="18"/>
      </c>
    </row>
    <row r="696">
      <c r="A696" s="43">
        <f t="shared" si="0"/>
      </c>
      <c r="B696" s="54" t="n"/>
      <c r="C696" s="45" t="n"/>
      <c r="D696" s="50" t="n"/>
      <c r="E696" s="55" t="n"/>
      <c r="F696" s="50" t="n"/>
      <c r="G696" s="55" t="n"/>
      <c r="H696" s="50" t="n"/>
      <c r="I696" s="55" t="n"/>
      <c r="J696" s="50" t="n"/>
      <c r="K696" s="55" t="n"/>
      <c r="L696" s="56" t="n"/>
      <c r="M696" s="57" t="n"/>
      <c r="N696" s="57" t="n"/>
      <c r="O696" s="57" t="n"/>
      <c r="P696" s="57" t="n"/>
      <c r="Q696" s="50" t="n"/>
      <c r="R696" s="58">
        <f t="shared" si="1"/>
      </c>
      <c r="S696" s="59">
        <f t="shared" si="2"/>
      </c>
      <c r="T696" s="43">
        <f t="shared" si="3"/>
      </c>
      <c r="U696" s="60">
        <f t="shared" si="4"/>
      </c>
      <c r="V696" s="60">
        <f t="shared" si="5"/>
      </c>
      <c r="W696" s="60">
        <f t="shared" si="6"/>
      </c>
      <c r="X696" s="49">
        <f t="shared" si="7"/>
      </c>
      <c r="Y696" s="2">
        <f t="shared" si="8"/>
      </c>
      <c r="Z696" s="2">
        <f t="shared" si="9"/>
        <v>0</v>
      </c>
      <c r="AA696" s="2">
        <f t="shared" si="10"/>
        <v>0</v>
      </c>
      <c r="AB696" s="2">
        <f t="shared" si="11"/>
        <v>0</v>
      </c>
      <c r="AC696" s="2">
        <f t="shared" si="12"/>
        <v>0</v>
      </c>
      <c r="AD696" s="2">
        <f t="shared" si="13"/>
        <v>0</v>
      </c>
      <c r="AE696" s="2">
        <f t="shared" si="14"/>
        <v>0</v>
      </c>
      <c r="AF696" s="2">
        <f t="shared" si="15"/>
        <v>0</v>
      </c>
      <c r="AG696" s="2">
        <f t="shared" si="16"/>
        <v>0</v>
      </c>
      <c r="AH696" s="2">
        <f t="shared" si="17"/>
        <v>0</v>
      </c>
      <c r="AI696" s="2">
        <f t="shared" si="18"/>
      </c>
    </row>
    <row r="697">
      <c r="A697" s="43">
        <f t="shared" si="0"/>
      </c>
      <c r="B697" s="54" t="n"/>
      <c r="C697" s="45" t="n"/>
      <c r="D697" s="50" t="n"/>
      <c r="E697" s="55" t="n"/>
      <c r="F697" s="50" t="n"/>
      <c r="G697" s="55" t="n"/>
      <c r="H697" s="50" t="n"/>
      <c r="I697" s="55" t="n"/>
      <c r="J697" s="50" t="n"/>
      <c r="K697" s="55" t="n"/>
      <c r="L697" s="56" t="n"/>
      <c r="M697" s="57" t="n"/>
      <c r="N697" s="57" t="n"/>
      <c r="O697" s="57" t="n"/>
      <c r="P697" s="57" t="n"/>
      <c r="Q697" s="50" t="n"/>
      <c r="R697" s="58">
        <f t="shared" si="1"/>
      </c>
      <c r="S697" s="59">
        <f t="shared" si="2"/>
      </c>
      <c r="T697" s="43">
        <f t="shared" si="3"/>
      </c>
      <c r="U697" s="60">
        <f t="shared" si="4"/>
      </c>
      <c r="V697" s="60">
        <f t="shared" si="5"/>
      </c>
      <c r="W697" s="60">
        <f t="shared" si="6"/>
      </c>
      <c r="X697" s="49">
        <f t="shared" si="7"/>
      </c>
      <c r="Y697" s="2">
        <f t="shared" si="8"/>
      </c>
      <c r="Z697" s="2">
        <f t="shared" si="9"/>
        <v>0</v>
      </c>
      <c r="AA697" s="2">
        <f t="shared" si="10"/>
        <v>0</v>
      </c>
      <c r="AB697" s="2">
        <f t="shared" si="11"/>
        <v>0</v>
      </c>
      <c r="AC697" s="2">
        <f t="shared" si="12"/>
        <v>0</v>
      </c>
      <c r="AD697" s="2">
        <f t="shared" si="13"/>
        <v>0</v>
      </c>
      <c r="AE697" s="2">
        <f t="shared" si="14"/>
        <v>0</v>
      </c>
      <c r="AF697" s="2">
        <f t="shared" si="15"/>
        <v>0</v>
      </c>
      <c r="AG697" s="2">
        <f t="shared" si="16"/>
        <v>0</v>
      </c>
      <c r="AH697" s="2">
        <f t="shared" si="17"/>
        <v>0</v>
      </c>
      <c r="AI697" s="2">
        <f t="shared" si="18"/>
      </c>
    </row>
    <row r="698">
      <c r="A698" s="43">
        <f t="shared" si="0"/>
      </c>
      <c r="B698" s="54" t="n"/>
      <c r="C698" s="45" t="n"/>
      <c r="D698" s="50" t="n"/>
      <c r="E698" s="55" t="n"/>
      <c r="F698" s="50" t="n"/>
      <c r="G698" s="55" t="n"/>
      <c r="H698" s="50" t="n"/>
      <c r="I698" s="55" t="n"/>
      <c r="J698" s="50" t="n"/>
      <c r="K698" s="55" t="n"/>
      <c r="L698" s="56" t="n"/>
      <c r="M698" s="57" t="n"/>
      <c r="N698" s="57" t="n"/>
      <c r="O698" s="57" t="n"/>
      <c r="P698" s="57" t="n"/>
      <c r="Q698" s="50" t="n"/>
      <c r="R698" s="58">
        <f t="shared" si="1"/>
      </c>
      <c r="S698" s="59">
        <f t="shared" si="2"/>
      </c>
      <c r="T698" s="43">
        <f t="shared" si="3"/>
      </c>
      <c r="U698" s="60">
        <f t="shared" si="4"/>
      </c>
      <c r="V698" s="60">
        <f t="shared" si="5"/>
      </c>
      <c r="W698" s="60">
        <f t="shared" si="6"/>
      </c>
      <c r="X698" s="49">
        <f t="shared" si="7"/>
      </c>
      <c r="Y698" s="2">
        <f t="shared" si="8"/>
      </c>
      <c r="Z698" s="2">
        <f t="shared" si="9"/>
        <v>0</v>
      </c>
      <c r="AA698" s="2">
        <f t="shared" si="10"/>
        <v>0</v>
      </c>
      <c r="AB698" s="2">
        <f t="shared" si="11"/>
        <v>0</v>
      </c>
      <c r="AC698" s="2">
        <f t="shared" si="12"/>
        <v>0</v>
      </c>
      <c r="AD698" s="2">
        <f t="shared" si="13"/>
        <v>0</v>
      </c>
      <c r="AE698" s="2">
        <f t="shared" si="14"/>
        <v>0</v>
      </c>
      <c r="AF698" s="2">
        <f t="shared" si="15"/>
        <v>0</v>
      </c>
      <c r="AG698" s="2">
        <f t="shared" si="16"/>
        <v>0</v>
      </c>
      <c r="AH698" s="2">
        <f t="shared" si="17"/>
        <v>0</v>
      </c>
      <c r="AI698" s="2">
        <f t="shared" si="18"/>
      </c>
    </row>
    <row r="699">
      <c r="A699" s="43">
        <f t="shared" si="0"/>
      </c>
      <c r="B699" s="54" t="n"/>
      <c r="C699" s="45" t="n"/>
      <c r="D699" s="50" t="n"/>
      <c r="E699" s="55" t="n"/>
      <c r="F699" s="50" t="n"/>
      <c r="G699" s="55" t="n"/>
      <c r="H699" s="50" t="n"/>
      <c r="I699" s="55" t="n"/>
      <c r="J699" s="50" t="n"/>
      <c r="K699" s="55" t="n"/>
      <c r="L699" s="56" t="n"/>
      <c r="M699" s="57" t="n"/>
      <c r="N699" s="57" t="n"/>
      <c r="O699" s="57" t="n"/>
      <c r="P699" s="57" t="n"/>
      <c r="Q699" s="50" t="n"/>
      <c r="R699" s="58">
        <f t="shared" si="1"/>
      </c>
      <c r="S699" s="59">
        <f t="shared" si="2"/>
      </c>
      <c r="T699" s="43">
        <f t="shared" si="3"/>
      </c>
      <c r="U699" s="60">
        <f t="shared" si="4"/>
      </c>
      <c r="V699" s="60">
        <f t="shared" si="5"/>
      </c>
      <c r="W699" s="60">
        <f t="shared" si="6"/>
      </c>
      <c r="X699" s="49">
        <f t="shared" si="7"/>
      </c>
      <c r="Y699" s="2">
        <f t="shared" si="8"/>
      </c>
      <c r="Z699" s="2">
        <f t="shared" si="9"/>
        <v>0</v>
      </c>
      <c r="AA699" s="2">
        <f t="shared" si="10"/>
        <v>0</v>
      </c>
      <c r="AB699" s="2">
        <f t="shared" si="11"/>
        <v>0</v>
      </c>
      <c r="AC699" s="2">
        <f t="shared" si="12"/>
        <v>0</v>
      </c>
      <c r="AD699" s="2">
        <f t="shared" si="13"/>
        <v>0</v>
      </c>
      <c r="AE699" s="2">
        <f t="shared" si="14"/>
        <v>0</v>
      </c>
      <c r="AF699" s="2">
        <f t="shared" si="15"/>
        <v>0</v>
      </c>
      <c r="AG699" s="2">
        <f t="shared" si="16"/>
        <v>0</v>
      </c>
      <c r="AH699" s="2">
        <f t="shared" si="17"/>
        <v>0</v>
      </c>
      <c r="AI699" s="2">
        <f t="shared" si="18"/>
      </c>
    </row>
    <row r="700">
      <c r="A700" s="43">
        <f t="shared" si="0"/>
      </c>
      <c r="B700" s="54" t="n"/>
      <c r="C700" s="45" t="n"/>
      <c r="D700" s="50" t="n"/>
      <c r="E700" s="55" t="n"/>
      <c r="F700" s="50" t="n"/>
      <c r="G700" s="55" t="n"/>
      <c r="H700" s="50" t="n"/>
      <c r="I700" s="55" t="n"/>
      <c r="J700" s="50" t="n"/>
      <c r="K700" s="55" t="n"/>
      <c r="L700" s="56" t="n"/>
      <c r="M700" s="57" t="n"/>
      <c r="N700" s="57" t="n"/>
      <c r="O700" s="57" t="n"/>
      <c r="P700" s="57" t="n"/>
      <c r="Q700" s="50" t="n"/>
      <c r="R700" s="58">
        <f t="shared" si="1"/>
      </c>
      <c r="S700" s="59">
        <f t="shared" si="2"/>
      </c>
      <c r="T700" s="43">
        <f t="shared" si="3"/>
      </c>
      <c r="U700" s="60">
        <f t="shared" si="4"/>
      </c>
      <c r="V700" s="60">
        <f t="shared" si="5"/>
      </c>
      <c r="W700" s="60">
        <f t="shared" si="6"/>
      </c>
      <c r="X700" s="49">
        <f t="shared" si="7"/>
      </c>
      <c r="Y700" s="2">
        <f t="shared" si="8"/>
      </c>
      <c r="Z700" s="2">
        <f t="shared" si="9"/>
        <v>0</v>
      </c>
      <c r="AA700" s="2">
        <f t="shared" si="10"/>
        <v>0</v>
      </c>
      <c r="AB700" s="2">
        <f t="shared" si="11"/>
        <v>0</v>
      </c>
      <c r="AC700" s="2">
        <f t="shared" si="12"/>
        <v>0</v>
      </c>
      <c r="AD700" s="2">
        <f t="shared" si="13"/>
        <v>0</v>
      </c>
      <c r="AE700" s="2">
        <f t="shared" si="14"/>
        <v>0</v>
      </c>
      <c r="AF700" s="2">
        <f t="shared" si="15"/>
        <v>0</v>
      </c>
      <c r="AG700" s="2">
        <f t="shared" si="16"/>
        <v>0</v>
      </c>
      <c r="AH700" s="2">
        <f t="shared" si="17"/>
        <v>0</v>
      </c>
      <c r="AI700" s="2">
        <f t="shared" si="18"/>
      </c>
    </row>
    <row r="701">
      <c r="A701" s="43">
        <f t="shared" si="0"/>
      </c>
      <c r="B701" s="54" t="n"/>
      <c r="C701" s="45" t="n"/>
      <c r="D701" s="50" t="n"/>
      <c r="E701" s="55" t="n"/>
      <c r="F701" s="50" t="n"/>
      <c r="G701" s="55" t="n"/>
      <c r="H701" s="50" t="n"/>
      <c r="I701" s="55" t="n"/>
      <c r="J701" s="50" t="n"/>
      <c r="K701" s="55" t="n"/>
      <c r="L701" s="56" t="n"/>
      <c r="M701" s="57" t="n"/>
      <c r="N701" s="57" t="n"/>
      <c r="O701" s="57" t="n"/>
      <c r="P701" s="57" t="n"/>
      <c r="Q701" s="50" t="n"/>
      <c r="R701" s="58">
        <f t="shared" si="1"/>
      </c>
      <c r="S701" s="59">
        <f t="shared" si="2"/>
      </c>
      <c r="T701" s="43">
        <f t="shared" si="3"/>
      </c>
      <c r="U701" s="60">
        <f t="shared" si="4"/>
      </c>
      <c r="V701" s="60">
        <f t="shared" si="5"/>
      </c>
      <c r="W701" s="60">
        <f t="shared" si="6"/>
      </c>
      <c r="X701" s="49">
        <f t="shared" si="7"/>
      </c>
      <c r="Y701" s="2">
        <f t="shared" si="8"/>
      </c>
      <c r="Z701" s="2">
        <f t="shared" si="9"/>
        <v>0</v>
      </c>
      <c r="AA701" s="2">
        <f t="shared" si="10"/>
        <v>0</v>
      </c>
      <c r="AB701" s="2">
        <f t="shared" si="11"/>
        <v>0</v>
      </c>
      <c r="AC701" s="2">
        <f t="shared" si="12"/>
        <v>0</v>
      </c>
      <c r="AD701" s="2">
        <f t="shared" si="13"/>
        <v>0</v>
      </c>
      <c r="AE701" s="2">
        <f t="shared" si="14"/>
        <v>0</v>
      </c>
      <c r="AF701" s="2">
        <f t="shared" si="15"/>
        <v>0</v>
      </c>
      <c r="AG701" s="2">
        <f t="shared" si="16"/>
        <v>0</v>
      </c>
      <c r="AH701" s="2">
        <f t="shared" si="17"/>
        <v>0</v>
      </c>
      <c r="AI701" s="2">
        <f t="shared" si="18"/>
      </c>
    </row>
    <row r="702">
      <c r="A702" s="43">
        <f t="shared" si="0"/>
      </c>
      <c r="B702" s="54" t="n"/>
      <c r="C702" s="45" t="n"/>
      <c r="D702" s="50" t="n"/>
      <c r="E702" s="55" t="n"/>
      <c r="F702" s="50" t="n"/>
      <c r="G702" s="55" t="n"/>
      <c r="H702" s="50" t="n"/>
      <c r="I702" s="55" t="n"/>
      <c r="J702" s="50" t="n"/>
      <c r="K702" s="55" t="n"/>
      <c r="L702" s="56" t="n"/>
      <c r="M702" s="57" t="n"/>
      <c r="N702" s="57" t="n"/>
      <c r="O702" s="57" t="n"/>
      <c r="P702" s="57" t="n"/>
      <c r="Q702" s="50" t="n"/>
      <c r="R702" s="58">
        <f t="shared" si="1"/>
      </c>
      <c r="S702" s="59">
        <f t="shared" si="2"/>
      </c>
      <c r="T702" s="43">
        <f t="shared" si="3"/>
      </c>
      <c r="U702" s="60">
        <f t="shared" si="4"/>
      </c>
      <c r="V702" s="60">
        <f t="shared" si="5"/>
      </c>
      <c r="W702" s="60">
        <f t="shared" si="6"/>
      </c>
      <c r="X702" s="49">
        <f t="shared" si="7"/>
      </c>
      <c r="Y702" s="2">
        <f t="shared" si="8"/>
      </c>
      <c r="Z702" s="2">
        <f t="shared" si="9"/>
        <v>0</v>
      </c>
      <c r="AA702" s="2">
        <f t="shared" si="10"/>
        <v>0</v>
      </c>
      <c r="AB702" s="2">
        <f t="shared" si="11"/>
        <v>0</v>
      </c>
      <c r="AC702" s="2">
        <f t="shared" si="12"/>
        <v>0</v>
      </c>
      <c r="AD702" s="2">
        <f t="shared" si="13"/>
        <v>0</v>
      </c>
      <c r="AE702" s="2">
        <f t="shared" si="14"/>
        <v>0</v>
      </c>
      <c r="AF702" s="2">
        <f t="shared" si="15"/>
        <v>0</v>
      </c>
      <c r="AG702" s="2">
        <f t="shared" si="16"/>
        <v>0</v>
      </c>
      <c r="AH702" s="2">
        <f t="shared" si="17"/>
        <v>0</v>
      </c>
      <c r="AI702" s="2">
        <f t="shared" si="18"/>
      </c>
    </row>
    <row r="703">
      <c r="A703" s="43">
        <f t="shared" si="0"/>
      </c>
      <c r="B703" s="54" t="n"/>
      <c r="C703" s="45" t="n"/>
      <c r="D703" s="50" t="n"/>
      <c r="E703" s="55" t="n"/>
      <c r="F703" s="50" t="n"/>
      <c r="G703" s="55" t="n"/>
      <c r="H703" s="50" t="n"/>
      <c r="I703" s="55" t="n"/>
      <c r="J703" s="50" t="n"/>
      <c r="K703" s="55" t="n"/>
      <c r="L703" s="56" t="n"/>
      <c r="M703" s="57" t="n"/>
      <c r="N703" s="57" t="n"/>
      <c r="O703" s="57" t="n"/>
      <c r="P703" s="57" t="n"/>
      <c r="Q703" s="50" t="n"/>
      <c r="R703" s="58">
        <f t="shared" si="1"/>
      </c>
      <c r="S703" s="59">
        <f t="shared" si="2"/>
      </c>
      <c r="T703" s="43">
        <f t="shared" si="3"/>
      </c>
      <c r="U703" s="60">
        <f t="shared" si="4"/>
      </c>
      <c r="V703" s="60">
        <f t="shared" si="5"/>
      </c>
      <c r="W703" s="60">
        <f t="shared" si="6"/>
      </c>
      <c r="X703" s="49">
        <f t="shared" si="7"/>
      </c>
      <c r="Y703" s="2">
        <f t="shared" si="8"/>
      </c>
      <c r="Z703" s="2">
        <f t="shared" si="9"/>
        <v>0</v>
      </c>
      <c r="AA703" s="2">
        <f t="shared" si="10"/>
        <v>0</v>
      </c>
      <c r="AB703" s="2">
        <f t="shared" si="11"/>
        <v>0</v>
      </c>
      <c r="AC703" s="2">
        <f t="shared" si="12"/>
        <v>0</v>
      </c>
      <c r="AD703" s="2">
        <f t="shared" si="13"/>
        <v>0</v>
      </c>
      <c r="AE703" s="2">
        <f t="shared" si="14"/>
        <v>0</v>
      </c>
      <c r="AF703" s="2">
        <f t="shared" si="15"/>
        <v>0</v>
      </c>
      <c r="AG703" s="2">
        <f t="shared" si="16"/>
        <v>0</v>
      </c>
      <c r="AH703" s="2">
        <f t="shared" si="17"/>
        <v>0</v>
      </c>
      <c r="AI703" s="2">
        <f t="shared" si="18"/>
      </c>
    </row>
    <row r="704">
      <c r="A704" s="43">
        <f t="shared" si="0"/>
      </c>
      <c r="B704" s="54" t="n"/>
      <c r="C704" s="45" t="n"/>
      <c r="D704" s="50" t="n"/>
      <c r="E704" s="55" t="n"/>
      <c r="F704" s="50" t="n"/>
      <c r="G704" s="55" t="n"/>
      <c r="H704" s="50" t="n"/>
      <c r="I704" s="55" t="n"/>
      <c r="J704" s="50" t="n"/>
      <c r="K704" s="55" t="n"/>
      <c r="L704" s="56" t="n"/>
      <c r="M704" s="57" t="n"/>
      <c r="N704" s="57" t="n"/>
      <c r="O704" s="57" t="n"/>
      <c r="P704" s="57" t="n"/>
      <c r="Q704" s="50" t="n"/>
      <c r="R704" s="58">
        <f t="shared" si="1"/>
      </c>
      <c r="S704" s="59">
        <f t="shared" si="2"/>
      </c>
      <c r="T704" s="43">
        <f t="shared" si="3"/>
      </c>
      <c r="U704" s="60">
        <f t="shared" si="4"/>
      </c>
      <c r="V704" s="60">
        <f t="shared" si="5"/>
      </c>
      <c r="W704" s="60">
        <f t="shared" si="6"/>
      </c>
      <c r="X704" s="49">
        <f t="shared" si="7"/>
      </c>
      <c r="Y704" s="2">
        <f t="shared" si="8"/>
      </c>
      <c r="Z704" s="2">
        <f t="shared" si="9"/>
        <v>0</v>
      </c>
      <c r="AA704" s="2">
        <f t="shared" si="10"/>
        <v>0</v>
      </c>
      <c r="AB704" s="2">
        <f t="shared" si="11"/>
        <v>0</v>
      </c>
      <c r="AC704" s="2">
        <f t="shared" si="12"/>
        <v>0</v>
      </c>
      <c r="AD704" s="2">
        <f t="shared" si="13"/>
        <v>0</v>
      </c>
      <c r="AE704" s="2">
        <f t="shared" si="14"/>
        <v>0</v>
      </c>
      <c r="AF704" s="2">
        <f t="shared" si="15"/>
        <v>0</v>
      </c>
      <c r="AG704" s="2">
        <f t="shared" si="16"/>
        <v>0</v>
      </c>
      <c r="AH704" s="2">
        <f t="shared" si="17"/>
        <v>0</v>
      </c>
      <c r="AI704" s="2">
        <f t="shared" si="18"/>
      </c>
    </row>
    <row r="705">
      <c r="A705" s="43">
        <f t="shared" si="0"/>
      </c>
      <c r="B705" s="54" t="n"/>
      <c r="C705" s="45" t="n"/>
      <c r="D705" s="50" t="n"/>
      <c r="E705" s="55" t="n"/>
      <c r="F705" s="50" t="n"/>
      <c r="G705" s="55" t="n"/>
      <c r="H705" s="50" t="n"/>
      <c r="I705" s="55" t="n"/>
      <c r="J705" s="50" t="n"/>
      <c r="K705" s="55" t="n"/>
      <c r="L705" s="56" t="n"/>
      <c r="M705" s="57" t="n"/>
      <c r="N705" s="57" t="n"/>
      <c r="O705" s="57" t="n"/>
      <c r="P705" s="57" t="n"/>
      <c r="Q705" s="50" t="n"/>
      <c r="R705" s="58">
        <f t="shared" si="1"/>
      </c>
      <c r="S705" s="59">
        <f t="shared" si="2"/>
      </c>
      <c r="T705" s="43">
        <f t="shared" si="3"/>
      </c>
      <c r="U705" s="60">
        <f t="shared" si="4"/>
      </c>
      <c r="V705" s="60">
        <f t="shared" si="5"/>
      </c>
      <c r="W705" s="60">
        <f t="shared" si="6"/>
      </c>
      <c r="X705" s="49">
        <f t="shared" si="7"/>
      </c>
      <c r="Y705" s="2">
        <f t="shared" si="8"/>
      </c>
      <c r="Z705" s="2">
        <f t="shared" si="9"/>
        <v>0</v>
      </c>
      <c r="AA705" s="2">
        <f t="shared" si="10"/>
        <v>0</v>
      </c>
      <c r="AB705" s="2">
        <f t="shared" si="11"/>
        <v>0</v>
      </c>
      <c r="AC705" s="2">
        <f t="shared" si="12"/>
        <v>0</v>
      </c>
      <c r="AD705" s="2">
        <f t="shared" si="13"/>
        <v>0</v>
      </c>
      <c r="AE705" s="2">
        <f t="shared" si="14"/>
        <v>0</v>
      </c>
      <c r="AF705" s="2">
        <f t="shared" si="15"/>
        <v>0</v>
      </c>
      <c r="AG705" s="2">
        <f t="shared" si="16"/>
        <v>0</v>
      </c>
      <c r="AH705" s="2">
        <f t="shared" si="17"/>
        <v>0</v>
      </c>
      <c r="AI705" s="2">
        <f t="shared" si="18"/>
      </c>
    </row>
    <row r="706">
      <c r="A706" s="43">
        <f t="shared" si="0"/>
      </c>
      <c r="B706" s="54" t="n"/>
      <c r="C706" s="45" t="n"/>
      <c r="D706" s="50" t="n"/>
      <c r="E706" s="55" t="n"/>
      <c r="F706" s="50" t="n"/>
      <c r="G706" s="55" t="n"/>
      <c r="H706" s="50" t="n"/>
      <c r="I706" s="55" t="n"/>
      <c r="J706" s="50" t="n"/>
      <c r="K706" s="55" t="n"/>
      <c r="L706" s="56" t="n"/>
      <c r="M706" s="57" t="n"/>
      <c r="N706" s="57" t="n"/>
      <c r="O706" s="57" t="n"/>
      <c r="P706" s="57" t="n"/>
      <c r="Q706" s="50" t="n"/>
      <c r="R706" s="58">
        <f t="shared" si="1"/>
      </c>
      <c r="S706" s="59">
        <f t="shared" si="2"/>
      </c>
      <c r="T706" s="43">
        <f t="shared" si="3"/>
      </c>
      <c r="U706" s="60">
        <f t="shared" si="4"/>
      </c>
      <c r="V706" s="60">
        <f t="shared" si="5"/>
      </c>
      <c r="W706" s="60">
        <f t="shared" si="6"/>
      </c>
      <c r="X706" s="49">
        <f t="shared" si="7"/>
      </c>
      <c r="Y706" s="2">
        <f t="shared" si="8"/>
      </c>
      <c r="Z706" s="2">
        <f t="shared" si="9"/>
        <v>0</v>
      </c>
      <c r="AA706" s="2">
        <f t="shared" si="10"/>
        <v>0</v>
      </c>
      <c r="AB706" s="2">
        <f t="shared" si="11"/>
        <v>0</v>
      </c>
      <c r="AC706" s="2">
        <f t="shared" si="12"/>
        <v>0</v>
      </c>
      <c r="AD706" s="2">
        <f t="shared" si="13"/>
        <v>0</v>
      </c>
      <c r="AE706" s="2">
        <f t="shared" si="14"/>
        <v>0</v>
      </c>
      <c r="AF706" s="2">
        <f t="shared" si="15"/>
        <v>0</v>
      </c>
      <c r="AG706" s="2">
        <f t="shared" si="16"/>
        <v>0</v>
      </c>
      <c r="AH706" s="2">
        <f t="shared" si="17"/>
        <v>0</v>
      </c>
      <c r="AI706" s="2">
        <f t="shared" si="18"/>
      </c>
    </row>
    <row r="707">
      <c r="A707" s="43">
        <f t="shared" si="0"/>
      </c>
      <c r="B707" s="54" t="n"/>
      <c r="C707" s="45" t="n"/>
      <c r="D707" s="50" t="n"/>
      <c r="E707" s="55" t="n"/>
      <c r="F707" s="50" t="n"/>
      <c r="G707" s="55" t="n"/>
      <c r="H707" s="50" t="n"/>
      <c r="I707" s="55" t="n"/>
      <c r="J707" s="50" t="n"/>
      <c r="K707" s="55" t="n"/>
      <c r="L707" s="56" t="n"/>
      <c r="M707" s="57" t="n"/>
      <c r="N707" s="57" t="n"/>
      <c r="O707" s="57" t="n"/>
      <c r="P707" s="57" t="n"/>
      <c r="Q707" s="50" t="n"/>
      <c r="R707" s="58">
        <f t="shared" si="1"/>
      </c>
      <c r="S707" s="59">
        <f t="shared" si="2"/>
      </c>
      <c r="T707" s="43">
        <f t="shared" si="3"/>
      </c>
      <c r="U707" s="60">
        <f t="shared" si="4"/>
      </c>
      <c r="V707" s="60">
        <f t="shared" si="5"/>
      </c>
      <c r="W707" s="60">
        <f t="shared" si="6"/>
      </c>
      <c r="X707" s="49">
        <f t="shared" si="7"/>
      </c>
      <c r="Y707" s="2">
        <f t="shared" si="8"/>
      </c>
      <c r="Z707" s="2">
        <f t="shared" si="9"/>
        <v>0</v>
      </c>
      <c r="AA707" s="2">
        <f t="shared" si="10"/>
        <v>0</v>
      </c>
      <c r="AB707" s="2">
        <f t="shared" si="11"/>
        <v>0</v>
      </c>
      <c r="AC707" s="2">
        <f t="shared" si="12"/>
        <v>0</v>
      </c>
      <c r="AD707" s="2">
        <f t="shared" si="13"/>
        <v>0</v>
      </c>
      <c r="AE707" s="2">
        <f t="shared" si="14"/>
        <v>0</v>
      </c>
      <c r="AF707" s="2">
        <f t="shared" si="15"/>
        <v>0</v>
      </c>
      <c r="AG707" s="2">
        <f t="shared" si="16"/>
        <v>0</v>
      </c>
      <c r="AH707" s="2">
        <f t="shared" si="17"/>
        <v>0</v>
      </c>
      <c r="AI707" s="2">
        <f t="shared" si="18"/>
      </c>
    </row>
    <row r="708">
      <c r="A708" s="43">
        <f t="shared" si="0"/>
      </c>
      <c r="B708" s="54" t="n"/>
      <c r="C708" s="45" t="n"/>
      <c r="D708" s="50" t="n"/>
      <c r="E708" s="55" t="n"/>
      <c r="F708" s="50" t="n"/>
      <c r="G708" s="55" t="n"/>
      <c r="H708" s="50" t="n"/>
      <c r="I708" s="55" t="n"/>
      <c r="J708" s="50" t="n"/>
      <c r="K708" s="55" t="n"/>
      <c r="L708" s="56" t="n"/>
      <c r="M708" s="57" t="n"/>
      <c r="N708" s="57" t="n"/>
      <c r="O708" s="57" t="n"/>
      <c r="P708" s="57" t="n"/>
      <c r="Q708" s="50" t="n"/>
      <c r="R708" s="58">
        <f t="shared" si="1"/>
      </c>
      <c r="S708" s="59">
        <f t="shared" si="2"/>
      </c>
      <c r="T708" s="43">
        <f t="shared" si="3"/>
      </c>
      <c r="U708" s="60">
        <f t="shared" si="4"/>
      </c>
      <c r="V708" s="60">
        <f t="shared" si="5"/>
      </c>
      <c r="W708" s="60">
        <f t="shared" si="6"/>
      </c>
      <c r="X708" s="49">
        <f t="shared" si="7"/>
      </c>
      <c r="Y708" s="2">
        <f t="shared" si="8"/>
      </c>
      <c r="Z708" s="2">
        <f t="shared" si="9"/>
        <v>0</v>
      </c>
      <c r="AA708" s="2">
        <f t="shared" si="10"/>
        <v>0</v>
      </c>
      <c r="AB708" s="2">
        <f t="shared" si="11"/>
        <v>0</v>
      </c>
      <c r="AC708" s="2">
        <f t="shared" si="12"/>
        <v>0</v>
      </c>
      <c r="AD708" s="2">
        <f t="shared" si="13"/>
        <v>0</v>
      </c>
      <c r="AE708" s="2">
        <f t="shared" si="14"/>
        <v>0</v>
      </c>
      <c r="AF708" s="2">
        <f t="shared" si="15"/>
        <v>0</v>
      </c>
      <c r="AG708" s="2">
        <f t="shared" si="16"/>
        <v>0</v>
      </c>
      <c r="AH708" s="2">
        <f t="shared" si="17"/>
        <v>0</v>
      </c>
      <c r="AI708" s="2">
        <f t="shared" si="18"/>
      </c>
    </row>
    <row r="709">
      <c r="A709" s="43">
        <f t="shared" si="0"/>
      </c>
      <c r="B709" s="54" t="n"/>
      <c r="C709" s="45" t="n"/>
      <c r="D709" s="50" t="n"/>
      <c r="E709" s="55" t="n"/>
      <c r="F709" s="50" t="n"/>
      <c r="G709" s="55" t="n"/>
      <c r="H709" s="50" t="n"/>
      <c r="I709" s="55" t="n"/>
      <c r="J709" s="50" t="n"/>
      <c r="K709" s="55" t="n"/>
      <c r="L709" s="56" t="n"/>
      <c r="M709" s="57" t="n"/>
      <c r="N709" s="57" t="n"/>
      <c r="O709" s="57" t="n"/>
      <c r="P709" s="57" t="n"/>
      <c r="Q709" s="50" t="n"/>
      <c r="R709" s="58">
        <f t="shared" si="1"/>
      </c>
      <c r="S709" s="59">
        <f t="shared" si="2"/>
      </c>
      <c r="T709" s="43">
        <f t="shared" si="3"/>
      </c>
      <c r="U709" s="60">
        <f t="shared" si="4"/>
      </c>
      <c r="V709" s="60">
        <f t="shared" si="5"/>
      </c>
      <c r="W709" s="60">
        <f t="shared" si="6"/>
      </c>
      <c r="X709" s="49">
        <f t="shared" si="7"/>
      </c>
      <c r="Y709" s="2">
        <f t="shared" si="8"/>
      </c>
      <c r="Z709" s="2">
        <f t="shared" si="9"/>
        <v>0</v>
      </c>
      <c r="AA709" s="2">
        <f t="shared" si="10"/>
        <v>0</v>
      </c>
      <c r="AB709" s="2">
        <f t="shared" si="11"/>
        <v>0</v>
      </c>
      <c r="AC709" s="2">
        <f t="shared" si="12"/>
        <v>0</v>
      </c>
      <c r="AD709" s="2">
        <f t="shared" si="13"/>
        <v>0</v>
      </c>
      <c r="AE709" s="2">
        <f t="shared" si="14"/>
        <v>0</v>
      </c>
      <c r="AF709" s="2">
        <f t="shared" si="15"/>
        <v>0</v>
      </c>
      <c r="AG709" s="2">
        <f t="shared" si="16"/>
        <v>0</v>
      </c>
      <c r="AH709" s="2">
        <f t="shared" si="17"/>
        <v>0</v>
      </c>
      <c r="AI709" s="2">
        <f t="shared" si="18"/>
      </c>
    </row>
    <row r="710">
      <c r="A710" s="43">
        <f t="shared" si="0"/>
      </c>
      <c r="B710" s="54" t="n"/>
      <c r="C710" s="45" t="n"/>
      <c r="D710" s="50" t="n"/>
      <c r="E710" s="55" t="n"/>
      <c r="F710" s="50" t="n"/>
      <c r="G710" s="55" t="n"/>
      <c r="H710" s="50" t="n"/>
      <c r="I710" s="55" t="n"/>
      <c r="J710" s="50" t="n"/>
      <c r="K710" s="55" t="n"/>
      <c r="L710" s="56" t="n"/>
      <c r="M710" s="57" t="n"/>
      <c r="N710" s="57" t="n"/>
      <c r="O710" s="57" t="n"/>
      <c r="P710" s="57" t="n"/>
      <c r="Q710" s="50" t="n"/>
      <c r="R710" s="58">
        <f t="shared" si="1"/>
      </c>
      <c r="S710" s="59">
        <f t="shared" si="2"/>
      </c>
      <c r="T710" s="43">
        <f t="shared" si="3"/>
      </c>
      <c r="U710" s="60">
        <f t="shared" si="4"/>
      </c>
      <c r="V710" s="60">
        <f t="shared" si="5"/>
      </c>
      <c r="W710" s="60">
        <f t="shared" si="6"/>
      </c>
      <c r="X710" s="49">
        <f t="shared" si="7"/>
      </c>
      <c r="Y710" s="2">
        <f t="shared" si="8"/>
      </c>
      <c r="Z710" s="2">
        <f t="shared" si="9"/>
        <v>0</v>
      </c>
      <c r="AA710" s="2">
        <f t="shared" si="10"/>
        <v>0</v>
      </c>
      <c r="AB710" s="2">
        <f t="shared" si="11"/>
        <v>0</v>
      </c>
      <c r="AC710" s="2">
        <f t="shared" si="12"/>
        <v>0</v>
      </c>
      <c r="AD710" s="2">
        <f t="shared" si="13"/>
        <v>0</v>
      </c>
      <c r="AE710" s="2">
        <f t="shared" si="14"/>
        <v>0</v>
      </c>
      <c r="AF710" s="2">
        <f t="shared" si="15"/>
        <v>0</v>
      </c>
      <c r="AG710" s="2">
        <f t="shared" si="16"/>
        <v>0</v>
      </c>
      <c r="AH710" s="2">
        <f t="shared" si="17"/>
        <v>0</v>
      </c>
      <c r="AI710" s="2">
        <f t="shared" si="18"/>
      </c>
    </row>
    <row r="711">
      <c r="A711" s="43">
        <f t="shared" si="0"/>
      </c>
      <c r="B711" s="54" t="n"/>
      <c r="C711" s="45" t="n"/>
      <c r="D711" s="50" t="n"/>
      <c r="E711" s="55" t="n"/>
      <c r="F711" s="50" t="n"/>
      <c r="G711" s="55" t="n"/>
      <c r="H711" s="50" t="n"/>
      <c r="I711" s="55" t="n"/>
      <c r="J711" s="50" t="n"/>
      <c r="K711" s="55" t="n"/>
      <c r="L711" s="56" t="n"/>
      <c r="M711" s="57" t="n"/>
      <c r="N711" s="57" t="n"/>
      <c r="O711" s="57" t="n"/>
      <c r="P711" s="57" t="n"/>
      <c r="Q711" s="50" t="n"/>
      <c r="R711" s="58">
        <f t="shared" si="1"/>
      </c>
      <c r="S711" s="59">
        <f t="shared" si="2"/>
      </c>
      <c r="T711" s="43">
        <f t="shared" si="3"/>
      </c>
      <c r="U711" s="60">
        <f t="shared" si="4"/>
      </c>
      <c r="V711" s="60">
        <f t="shared" si="5"/>
      </c>
      <c r="W711" s="60">
        <f t="shared" si="6"/>
      </c>
      <c r="X711" s="49">
        <f t="shared" si="7"/>
      </c>
      <c r="Y711" s="2">
        <f t="shared" si="8"/>
      </c>
      <c r="Z711" s="2">
        <f t="shared" si="9"/>
        <v>0</v>
      </c>
      <c r="AA711" s="2">
        <f t="shared" si="10"/>
        <v>0</v>
      </c>
      <c r="AB711" s="2">
        <f t="shared" si="11"/>
        <v>0</v>
      </c>
      <c r="AC711" s="2">
        <f t="shared" si="12"/>
        <v>0</v>
      </c>
      <c r="AD711" s="2">
        <f t="shared" si="13"/>
        <v>0</v>
      </c>
      <c r="AE711" s="2">
        <f t="shared" si="14"/>
        <v>0</v>
      </c>
      <c r="AF711" s="2">
        <f t="shared" si="15"/>
        <v>0</v>
      </c>
      <c r="AG711" s="2">
        <f t="shared" si="16"/>
        <v>0</v>
      </c>
      <c r="AH711" s="2">
        <f t="shared" si="17"/>
        <v>0</v>
      </c>
      <c r="AI711" s="2">
        <f t="shared" si="18"/>
      </c>
    </row>
    <row r="712">
      <c r="A712" s="43">
        <f t="shared" si="0"/>
      </c>
      <c r="B712" s="54" t="n"/>
      <c r="C712" s="45" t="n"/>
      <c r="D712" s="50" t="n"/>
      <c r="E712" s="55" t="n"/>
      <c r="F712" s="50" t="n"/>
      <c r="G712" s="55" t="n"/>
      <c r="H712" s="50" t="n"/>
      <c r="I712" s="55" t="n"/>
      <c r="J712" s="50" t="n"/>
      <c r="K712" s="55" t="n"/>
      <c r="L712" s="56" t="n"/>
      <c r="M712" s="57" t="n"/>
      <c r="N712" s="57" t="n"/>
      <c r="O712" s="57" t="n"/>
      <c r="P712" s="57" t="n"/>
      <c r="Q712" s="50" t="n"/>
      <c r="R712" s="58">
        <f t="shared" si="1"/>
      </c>
      <c r="S712" s="59">
        <f t="shared" si="2"/>
      </c>
      <c r="T712" s="43">
        <f t="shared" si="3"/>
      </c>
      <c r="U712" s="60">
        <f t="shared" si="4"/>
      </c>
      <c r="V712" s="60">
        <f t="shared" si="5"/>
      </c>
      <c r="W712" s="60">
        <f t="shared" si="6"/>
      </c>
      <c r="X712" s="49">
        <f t="shared" si="7"/>
      </c>
      <c r="Y712" s="2">
        <f t="shared" si="8"/>
      </c>
      <c r="Z712" s="2">
        <f t="shared" si="9"/>
        <v>0</v>
      </c>
      <c r="AA712" s="2">
        <f t="shared" si="10"/>
        <v>0</v>
      </c>
      <c r="AB712" s="2">
        <f t="shared" si="11"/>
        <v>0</v>
      </c>
      <c r="AC712" s="2">
        <f t="shared" si="12"/>
        <v>0</v>
      </c>
      <c r="AD712" s="2">
        <f t="shared" si="13"/>
        <v>0</v>
      </c>
      <c r="AE712" s="2">
        <f t="shared" si="14"/>
        <v>0</v>
      </c>
      <c r="AF712" s="2">
        <f t="shared" si="15"/>
        <v>0</v>
      </c>
      <c r="AG712" s="2">
        <f t="shared" si="16"/>
        <v>0</v>
      </c>
      <c r="AH712" s="2">
        <f t="shared" si="17"/>
        <v>0</v>
      </c>
      <c r="AI712" s="2">
        <f t="shared" si="18"/>
      </c>
    </row>
    <row r="713">
      <c r="A713" s="43">
        <f t="shared" si="0"/>
      </c>
      <c r="B713" s="54" t="n"/>
      <c r="C713" s="45" t="n"/>
      <c r="D713" s="50" t="n"/>
      <c r="E713" s="55" t="n"/>
      <c r="F713" s="50" t="n"/>
      <c r="G713" s="55" t="n"/>
      <c r="H713" s="50" t="n"/>
      <c r="I713" s="55" t="n"/>
      <c r="J713" s="50" t="n"/>
      <c r="K713" s="55" t="n"/>
      <c r="L713" s="56" t="n"/>
      <c r="M713" s="57" t="n"/>
      <c r="N713" s="57" t="n"/>
      <c r="O713" s="57" t="n"/>
      <c r="P713" s="57" t="n"/>
      <c r="Q713" s="50" t="n"/>
      <c r="R713" s="58">
        <f t="shared" si="1"/>
      </c>
      <c r="S713" s="59">
        <f t="shared" si="2"/>
      </c>
      <c r="T713" s="43">
        <f t="shared" si="3"/>
      </c>
      <c r="U713" s="60">
        <f t="shared" si="4"/>
      </c>
      <c r="V713" s="60">
        <f t="shared" si="5"/>
      </c>
      <c r="W713" s="60">
        <f t="shared" si="6"/>
      </c>
      <c r="X713" s="49">
        <f t="shared" si="7"/>
      </c>
      <c r="Y713" s="2">
        <f t="shared" si="8"/>
      </c>
      <c r="Z713" s="2">
        <f t="shared" si="9"/>
        <v>0</v>
      </c>
      <c r="AA713" s="2">
        <f t="shared" si="10"/>
        <v>0</v>
      </c>
      <c r="AB713" s="2">
        <f t="shared" si="11"/>
        <v>0</v>
      </c>
      <c r="AC713" s="2">
        <f t="shared" si="12"/>
        <v>0</v>
      </c>
      <c r="AD713" s="2">
        <f t="shared" si="13"/>
        <v>0</v>
      </c>
      <c r="AE713" s="2">
        <f t="shared" si="14"/>
        <v>0</v>
      </c>
      <c r="AF713" s="2">
        <f t="shared" si="15"/>
        <v>0</v>
      </c>
      <c r="AG713" s="2">
        <f t="shared" si="16"/>
        <v>0</v>
      </c>
      <c r="AH713" s="2">
        <f t="shared" si="17"/>
        <v>0</v>
      </c>
      <c r="AI713" s="2">
        <f t="shared" si="18"/>
      </c>
    </row>
    <row r="714">
      <c r="A714" s="43">
        <f t="shared" si="0"/>
      </c>
      <c r="B714" s="54" t="n"/>
      <c r="C714" s="45" t="n"/>
      <c r="D714" s="50" t="n"/>
      <c r="E714" s="55" t="n"/>
      <c r="F714" s="50" t="n"/>
      <c r="G714" s="55" t="n"/>
      <c r="H714" s="50" t="n"/>
      <c r="I714" s="55" t="n"/>
      <c r="J714" s="50" t="n"/>
      <c r="K714" s="55" t="n"/>
      <c r="L714" s="56" t="n"/>
      <c r="M714" s="57" t="n"/>
      <c r="N714" s="57" t="n"/>
      <c r="O714" s="57" t="n"/>
      <c r="P714" s="57" t="n"/>
      <c r="Q714" s="50" t="n"/>
      <c r="R714" s="58">
        <f t="shared" si="1"/>
      </c>
      <c r="S714" s="59">
        <f t="shared" si="2"/>
      </c>
      <c r="T714" s="43">
        <f t="shared" si="3"/>
      </c>
      <c r="U714" s="60">
        <f t="shared" si="4"/>
      </c>
      <c r="V714" s="60">
        <f t="shared" si="5"/>
      </c>
      <c r="W714" s="60">
        <f t="shared" si="6"/>
      </c>
      <c r="X714" s="49">
        <f t="shared" si="7"/>
      </c>
      <c r="Y714" s="2">
        <f t="shared" si="8"/>
      </c>
      <c r="Z714" s="2">
        <f t="shared" si="9"/>
        <v>0</v>
      </c>
      <c r="AA714" s="2">
        <f t="shared" si="10"/>
        <v>0</v>
      </c>
      <c r="AB714" s="2">
        <f t="shared" si="11"/>
        <v>0</v>
      </c>
      <c r="AC714" s="2">
        <f t="shared" si="12"/>
        <v>0</v>
      </c>
      <c r="AD714" s="2">
        <f t="shared" si="13"/>
        <v>0</v>
      </c>
      <c r="AE714" s="2">
        <f t="shared" si="14"/>
        <v>0</v>
      </c>
      <c r="AF714" s="2">
        <f t="shared" si="15"/>
        <v>0</v>
      </c>
      <c r="AG714" s="2">
        <f t="shared" si="16"/>
        <v>0</v>
      </c>
      <c r="AH714" s="2">
        <f t="shared" si="17"/>
        <v>0</v>
      </c>
      <c r="AI714" s="2">
        <f t="shared" si="18"/>
      </c>
    </row>
    <row r="715">
      <c r="A715" s="43">
        <f t="shared" si="0"/>
      </c>
      <c r="B715" s="54" t="n"/>
      <c r="C715" s="45" t="n"/>
      <c r="D715" s="50" t="n"/>
      <c r="E715" s="55" t="n"/>
      <c r="F715" s="50" t="n"/>
      <c r="G715" s="55" t="n"/>
      <c r="H715" s="50" t="n"/>
      <c r="I715" s="55" t="n"/>
      <c r="J715" s="50" t="n"/>
      <c r="K715" s="55" t="n"/>
      <c r="L715" s="56" t="n"/>
      <c r="M715" s="57" t="n"/>
      <c r="N715" s="57" t="n"/>
      <c r="O715" s="57" t="n"/>
      <c r="P715" s="57" t="n"/>
      <c r="Q715" s="50" t="n"/>
      <c r="R715" s="58">
        <f t="shared" si="1"/>
      </c>
      <c r="S715" s="59">
        <f t="shared" si="2"/>
      </c>
      <c r="T715" s="43">
        <f t="shared" si="3"/>
      </c>
      <c r="U715" s="60">
        <f t="shared" si="4"/>
      </c>
      <c r="V715" s="60">
        <f t="shared" si="5"/>
      </c>
      <c r="W715" s="60">
        <f t="shared" si="6"/>
      </c>
      <c r="X715" s="49">
        <f t="shared" si="7"/>
      </c>
      <c r="Y715" s="2">
        <f t="shared" si="8"/>
      </c>
      <c r="Z715" s="2">
        <f t="shared" si="9"/>
        <v>0</v>
      </c>
      <c r="AA715" s="2">
        <f t="shared" si="10"/>
        <v>0</v>
      </c>
      <c r="AB715" s="2">
        <f t="shared" si="11"/>
        <v>0</v>
      </c>
      <c r="AC715" s="2">
        <f t="shared" si="12"/>
        <v>0</v>
      </c>
      <c r="AD715" s="2">
        <f t="shared" si="13"/>
        <v>0</v>
      </c>
      <c r="AE715" s="2">
        <f t="shared" si="14"/>
        <v>0</v>
      </c>
      <c r="AF715" s="2">
        <f t="shared" si="15"/>
        <v>0</v>
      </c>
      <c r="AG715" s="2">
        <f t="shared" si="16"/>
        <v>0</v>
      </c>
      <c r="AH715" s="2">
        <f t="shared" si="17"/>
        <v>0</v>
      </c>
      <c r="AI715" s="2">
        <f t="shared" si="18"/>
      </c>
    </row>
    <row r="716">
      <c r="A716" s="43">
        <f t="shared" si="0"/>
      </c>
      <c r="B716" s="54" t="n"/>
      <c r="C716" s="45" t="n"/>
      <c r="D716" s="50" t="n"/>
      <c r="E716" s="55" t="n"/>
      <c r="F716" s="50" t="n"/>
      <c r="G716" s="55" t="n"/>
      <c r="H716" s="50" t="n"/>
      <c r="I716" s="55" t="n"/>
      <c r="J716" s="50" t="n"/>
      <c r="K716" s="55" t="n"/>
      <c r="L716" s="56" t="n"/>
      <c r="M716" s="57" t="n"/>
      <c r="N716" s="57" t="n"/>
      <c r="O716" s="57" t="n"/>
      <c r="P716" s="57" t="n"/>
      <c r="Q716" s="50" t="n"/>
      <c r="R716" s="58">
        <f t="shared" si="1"/>
      </c>
      <c r="S716" s="59">
        <f t="shared" si="2"/>
      </c>
      <c r="T716" s="43">
        <f t="shared" si="3"/>
      </c>
      <c r="U716" s="60">
        <f t="shared" si="4"/>
      </c>
      <c r="V716" s="60">
        <f t="shared" si="5"/>
      </c>
      <c r="W716" s="60">
        <f t="shared" si="6"/>
      </c>
      <c r="X716" s="49">
        <f t="shared" si="7"/>
      </c>
      <c r="Y716" s="2">
        <f t="shared" si="8"/>
      </c>
      <c r="Z716" s="2">
        <f t="shared" si="9"/>
        <v>0</v>
      </c>
      <c r="AA716" s="2">
        <f t="shared" si="10"/>
        <v>0</v>
      </c>
      <c r="AB716" s="2">
        <f t="shared" si="11"/>
        <v>0</v>
      </c>
      <c r="AC716" s="2">
        <f t="shared" si="12"/>
        <v>0</v>
      </c>
      <c r="AD716" s="2">
        <f t="shared" si="13"/>
        <v>0</v>
      </c>
      <c r="AE716" s="2">
        <f t="shared" si="14"/>
        <v>0</v>
      </c>
      <c r="AF716" s="2">
        <f t="shared" si="15"/>
        <v>0</v>
      </c>
      <c r="AG716" s="2">
        <f t="shared" si="16"/>
        <v>0</v>
      </c>
      <c r="AH716" s="2">
        <f t="shared" si="17"/>
        <v>0</v>
      </c>
      <c r="AI716" s="2">
        <f t="shared" si="18"/>
      </c>
    </row>
    <row r="717">
      <c r="A717" s="43">
        <f t="shared" si="0"/>
      </c>
      <c r="B717" s="54" t="n"/>
      <c r="C717" s="45" t="n"/>
      <c r="D717" s="50" t="n"/>
      <c r="E717" s="55" t="n"/>
      <c r="F717" s="50" t="n"/>
      <c r="G717" s="55" t="n"/>
      <c r="H717" s="50" t="n"/>
      <c r="I717" s="55" t="n"/>
      <c r="J717" s="50" t="n"/>
      <c r="K717" s="55" t="n"/>
      <c r="L717" s="56" t="n"/>
      <c r="M717" s="57" t="n"/>
      <c r="N717" s="57" t="n"/>
      <c r="O717" s="57" t="n"/>
      <c r="P717" s="57" t="n"/>
      <c r="Q717" s="50" t="n"/>
      <c r="R717" s="58">
        <f t="shared" si="1"/>
      </c>
      <c r="S717" s="59">
        <f t="shared" si="2"/>
      </c>
      <c r="T717" s="43">
        <f t="shared" si="3"/>
      </c>
      <c r="U717" s="60">
        <f t="shared" si="4"/>
      </c>
      <c r="V717" s="60">
        <f t="shared" si="5"/>
      </c>
      <c r="W717" s="60">
        <f t="shared" si="6"/>
      </c>
      <c r="X717" s="49">
        <f t="shared" si="7"/>
      </c>
      <c r="Y717" s="2">
        <f t="shared" si="8"/>
      </c>
      <c r="Z717" s="2">
        <f t="shared" si="9"/>
        <v>0</v>
      </c>
      <c r="AA717" s="2">
        <f t="shared" si="10"/>
        <v>0</v>
      </c>
      <c r="AB717" s="2">
        <f t="shared" si="11"/>
        <v>0</v>
      </c>
      <c r="AC717" s="2">
        <f t="shared" si="12"/>
        <v>0</v>
      </c>
      <c r="AD717" s="2">
        <f t="shared" si="13"/>
        <v>0</v>
      </c>
      <c r="AE717" s="2">
        <f t="shared" si="14"/>
        <v>0</v>
      </c>
      <c r="AF717" s="2">
        <f t="shared" si="15"/>
        <v>0</v>
      </c>
      <c r="AG717" s="2">
        <f t="shared" si="16"/>
        <v>0</v>
      </c>
      <c r="AH717" s="2">
        <f t="shared" si="17"/>
        <v>0</v>
      </c>
      <c r="AI717" s="2">
        <f t="shared" si="18"/>
      </c>
    </row>
    <row r="718">
      <c r="A718" s="43">
        <f t="shared" si="0"/>
      </c>
      <c r="B718" s="54" t="n"/>
      <c r="C718" s="45" t="n"/>
      <c r="D718" s="50" t="n"/>
      <c r="E718" s="55" t="n"/>
      <c r="F718" s="50" t="n"/>
      <c r="G718" s="55" t="n"/>
      <c r="H718" s="50" t="n"/>
      <c r="I718" s="55" t="n"/>
      <c r="J718" s="50" t="n"/>
      <c r="K718" s="55" t="n"/>
      <c r="L718" s="56" t="n"/>
      <c r="M718" s="57" t="n"/>
      <c r="N718" s="57" t="n"/>
      <c r="O718" s="57" t="n"/>
      <c r="P718" s="57" t="n"/>
      <c r="Q718" s="50" t="n"/>
      <c r="R718" s="58">
        <f t="shared" si="1"/>
      </c>
      <c r="S718" s="59">
        <f t="shared" si="2"/>
      </c>
      <c r="T718" s="43">
        <f t="shared" si="3"/>
      </c>
      <c r="U718" s="60">
        <f t="shared" si="4"/>
      </c>
      <c r="V718" s="60">
        <f t="shared" si="5"/>
      </c>
      <c r="W718" s="60">
        <f t="shared" si="6"/>
      </c>
      <c r="X718" s="49">
        <f t="shared" si="7"/>
      </c>
      <c r="Y718" s="2">
        <f t="shared" si="8"/>
      </c>
      <c r="Z718" s="2">
        <f t="shared" si="9"/>
        <v>0</v>
      </c>
      <c r="AA718" s="2">
        <f t="shared" si="10"/>
        <v>0</v>
      </c>
      <c r="AB718" s="2">
        <f t="shared" si="11"/>
        <v>0</v>
      </c>
      <c r="AC718" s="2">
        <f t="shared" si="12"/>
        <v>0</v>
      </c>
      <c r="AD718" s="2">
        <f t="shared" si="13"/>
        <v>0</v>
      </c>
      <c r="AE718" s="2">
        <f t="shared" si="14"/>
        <v>0</v>
      </c>
      <c r="AF718" s="2">
        <f t="shared" si="15"/>
        <v>0</v>
      </c>
      <c r="AG718" s="2">
        <f t="shared" si="16"/>
        <v>0</v>
      </c>
      <c r="AH718" s="2">
        <f t="shared" si="17"/>
        <v>0</v>
      </c>
      <c r="AI718" s="2">
        <f t="shared" si="18"/>
      </c>
    </row>
    <row r="719">
      <c r="A719" s="43">
        <f t="shared" si="0"/>
      </c>
      <c r="B719" s="54" t="n"/>
      <c r="C719" s="45" t="n"/>
      <c r="D719" s="50" t="n"/>
      <c r="E719" s="55" t="n"/>
      <c r="F719" s="50" t="n"/>
      <c r="G719" s="55" t="n"/>
      <c r="H719" s="50" t="n"/>
      <c r="I719" s="55" t="n"/>
      <c r="J719" s="50" t="n"/>
      <c r="K719" s="55" t="n"/>
      <c r="L719" s="56" t="n"/>
      <c r="M719" s="57" t="n"/>
      <c r="N719" s="57" t="n"/>
      <c r="O719" s="57" t="n"/>
      <c r="P719" s="57" t="n"/>
      <c r="Q719" s="50" t="n"/>
      <c r="R719" s="58">
        <f t="shared" si="1"/>
      </c>
      <c r="S719" s="59">
        <f t="shared" si="2"/>
      </c>
      <c r="T719" s="43">
        <f t="shared" si="3"/>
      </c>
      <c r="U719" s="60">
        <f t="shared" si="4"/>
      </c>
      <c r="V719" s="60">
        <f t="shared" si="5"/>
      </c>
      <c r="W719" s="60">
        <f t="shared" si="6"/>
      </c>
      <c r="X719" s="49">
        <f t="shared" si="7"/>
      </c>
      <c r="Y719" s="2">
        <f t="shared" si="8"/>
      </c>
      <c r="Z719" s="2">
        <f t="shared" si="9"/>
        <v>0</v>
      </c>
      <c r="AA719" s="2">
        <f t="shared" si="10"/>
        <v>0</v>
      </c>
      <c r="AB719" s="2">
        <f t="shared" si="11"/>
        <v>0</v>
      </c>
      <c r="AC719" s="2">
        <f t="shared" si="12"/>
        <v>0</v>
      </c>
      <c r="AD719" s="2">
        <f t="shared" si="13"/>
        <v>0</v>
      </c>
      <c r="AE719" s="2">
        <f t="shared" si="14"/>
        <v>0</v>
      </c>
      <c r="AF719" s="2">
        <f t="shared" si="15"/>
        <v>0</v>
      </c>
      <c r="AG719" s="2">
        <f t="shared" si="16"/>
        <v>0</v>
      </c>
      <c r="AH719" s="2">
        <f t="shared" si="17"/>
        <v>0</v>
      </c>
      <c r="AI719" s="2">
        <f t="shared" si="18"/>
      </c>
    </row>
    <row r="720">
      <c r="A720" s="43">
        <f t="shared" si="0"/>
      </c>
      <c r="B720" s="54" t="n"/>
      <c r="C720" s="45" t="n"/>
      <c r="D720" s="50" t="n"/>
      <c r="E720" s="55" t="n"/>
      <c r="F720" s="50" t="n"/>
      <c r="G720" s="55" t="n"/>
      <c r="H720" s="50" t="n"/>
      <c r="I720" s="55" t="n"/>
      <c r="J720" s="50" t="n"/>
      <c r="K720" s="55" t="n"/>
      <c r="L720" s="56" t="n"/>
      <c r="M720" s="57" t="n"/>
      <c r="N720" s="57" t="n"/>
      <c r="O720" s="57" t="n"/>
      <c r="P720" s="57" t="n"/>
      <c r="Q720" s="50" t="n"/>
      <c r="R720" s="58">
        <f t="shared" si="1"/>
      </c>
      <c r="S720" s="59">
        <f t="shared" si="2"/>
      </c>
      <c r="T720" s="43">
        <f t="shared" si="3"/>
      </c>
      <c r="U720" s="60">
        <f t="shared" si="4"/>
      </c>
      <c r="V720" s="60">
        <f t="shared" si="5"/>
      </c>
      <c r="W720" s="60">
        <f t="shared" si="6"/>
      </c>
      <c r="X720" s="49">
        <f t="shared" si="7"/>
      </c>
      <c r="Y720" s="2">
        <f t="shared" si="8"/>
      </c>
      <c r="Z720" s="2">
        <f t="shared" si="9"/>
        <v>0</v>
      </c>
      <c r="AA720" s="2">
        <f t="shared" si="10"/>
        <v>0</v>
      </c>
      <c r="AB720" s="2">
        <f t="shared" si="11"/>
        <v>0</v>
      </c>
      <c r="AC720" s="2">
        <f t="shared" si="12"/>
        <v>0</v>
      </c>
      <c r="AD720" s="2">
        <f t="shared" si="13"/>
        <v>0</v>
      </c>
      <c r="AE720" s="2">
        <f t="shared" si="14"/>
        <v>0</v>
      </c>
      <c r="AF720" s="2">
        <f t="shared" si="15"/>
        <v>0</v>
      </c>
      <c r="AG720" s="2">
        <f t="shared" si="16"/>
        <v>0</v>
      </c>
      <c r="AH720" s="2">
        <f t="shared" si="17"/>
        <v>0</v>
      </c>
      <c r="AI720" s="2">
        <f t="shared" si="18"/>
      </c>
    </row>
    <row r="721">
      <c r="A721" s="43">
        <f t="shared" si="0"/>
      </c>
      <c r="B721" s="54" t="n"/>
      <c r="C721" s="45" t="n"/>
      <c r="D721" s="50" t="n"/>
      <c r="E721" s="55" t="n"/>
      <c r="F721" s="50" t="n"/>
      <c r="G721" s="55" t="n"/>
      <c r="H721" s="50" t="n"/>
      <c r="I721" s="55" t="n"/>
      <c r="J721" s="50" t="n"/>
      <c r="K721" s="55" t="n"/>
      <c r="L721" s="56" t="n"/>
      <c r="M721" s="57" t="n"/>
      <c r="N721" s="57" t="n"/>
      <c r="O721" s="57" t="n"/>
      <c r="P721" s="57" t="n"/>
      <c r="Q721" s="50" t="n"/>
      <c r="R721" s="58">
        <f t="shared" si="1"/>
      </c>
      <c r="S721" s="59">
        <f t="shared" si="2"/>
      </c>
      <c r="T721" s="43">
        <f t="shared" si="3"/>
      </c>
      <c r="U721" s="60">
        <f t="shared" si="4"/>
      </c>
      <c r="V721" s="60">
        <f t="shared" si="5"/>
      </c>
      <c r="W721" s="60">
        <f t="shared" si="6"/>
      </c>
      <c r="X721" s="49">
        <f t="shared" si="7"/>
      </c>
      <c r="Y721" s="2">
        <f t="shared" si="8"/>
      </c>
      <c r="Z721" s="2">
        <f t="shared" si="9"/>
        <v>0</v>
      </c>
      <c r="AA721" s="2">
        <f t="shared" si="10"/>
        <v>0</v>
      </c>
      <c r="AB721" s="2">
        <f t="shared" si="11"/>
        <v>0</v>
      </c>
      <c r="AC721" s="2">
        <f t="shared" si="12"/>
        <v>0</v>
      </c>
      <c r="AD721" s="2">
        <f t="shared" si="13"/>
        <v>0</v>
      </c>
      <c r="AE721" s="2">
        <f t="shared" si="14"/>
        <v>0</v>
      </c>
      <c r="AF721" s="2">
        <f t="shared" si="15"/>
        <v>0</v>
      </c>
      <c r="AG721" s="2">
        <f t="shared" si="16"/>
        <v>0</v>
      </c>
      <c r="AH721" s="2">
        <f t="shared" si="17"/>
        <v>0</v>
      </c>
      <c r="AI721" s="2">
        <f t="shared" si="18"/>
      </c>
    </row>
    <row r="722">
      <c r="A722" s="43">
        <f t="shared" si="0"/>
      </c>
      <c r="B722" s="54" t="n"/>
      <c r="C722" s="45" t="n"/>
      <c r="D722" s="50" t="n"/>
      <c r="E722" s="55" t="n"/>
      <c r="F722" s="50" t="n"/>
      <c r="G722" s="55" t="n"/>
      <c r="H722" s="50" t="n"/>
      <c r="I722" s="55" t="n"/>
      <c r="J722" s="50" t="n"/>
      <c r="K722" s="55" t="n"/>
      <c r="L722" s="56" t="n"/>
      <c r="M722" s="57" t="n"/>
      <c r="N722" s="57" t="n"/>
      <c r="O722" s="57" t="n"/>
      <c r="P722" s="57" t="n"/>
      <c r="Q722" s="50" t="n"/>
      <c r="R722" s="58">
        <f t="shared" si="1"/>
      </c>
      <c r="S722" s="59">
        <f t="shared" si="2"/>
      </c>
      <c r="T722" s="43">
        <f t="shared" si="3"/>
      </c>
      <c r="U722" s="60">
        <f t="shared" si="4"/>
      </c>
      <c r="V722" s="60">
        <f t="shared" si="5"/>
      </c>
      <c r="W722" s="60">
        <f t="shared" si="6"/>
      </c>
      <c r="X722" s="49">
        <f t="shared" si="7"/>
      </c>
      <c r="Y722" s="2">
        <f t="shared" si="8"/>
      </c>
      <c r="Z722" s="2">
        <f t="shared" si="9"/>
        <v>0</v>
      </c>
      <c r="AA722" s="2">
        <f t="shared" si="10"/>
        <v>0</v>
      </c>
      <c r="AB722" s="2">
        <f t="shared" si="11"/>
        <v>0</v>
      </c>
      <c r="AC722" s="2">
        <f t="shared" si="12"/>
        <v>0</v>
      </c>
      <c r="AD722" s="2">
        <f t="shared" si="13"/>
        <v>0</v>
      </c>
      <c r="AE722" s="2">
        <f t="shared" si="14"/>
        <v>0</v>
      </c>
      <c r="AF722" s="2">
        <f t="shared" si="15"/>
        <v>0</v>
      </c>
      <c r="AG722" s="2">
        <f t="shared" si="16"/>
        <v>0</v>
      </c>
      <c r="AH722" s="2">
        <f t="shared" si="17"/>
        <v>0</v>
      </c>
      <c r="AI722" s="2">
        <f t="shared" si="18"/>
      </c>
    </row>
    <row r="723">
      <c r="A723" s="43">
        <f t="shared" si="0"/>
      </c>
      <c r="B723" s="54" t="n"/>
      <c r="C723" s="45" t="n"/>
      <c r="D723" s="50" t="n"/>
      <c r="E723" s="55" t="n"/>
      <c r="F723" s="50" t="n"/>
      <c r="G723" s="55" t="n"/>
      <c r="H723" s="50" t="n"/>
      <c r="I723" s="55" t="n"/>
      <c r="J723" s="50" t="n"/>
      <c r="K723" s="55" t="n"/>
      <c r="L723" s="56" t="n"/>
      <c r="M723" s="57" t="n"/>
      <c r="N723" s="57" t="n"/>
      <c r="O723" s="57" t="n"/>
      <c r="P723" s="57" t="n"/>
      <c r="Q723" s="50" t="n"/>
      <c r="R723" s="58">
        <f t="shared" si="1"/>
      </c>
      <c r="S723" s="59">
        <f t="shared" si="2"/>
      </c>
      <c r="T723" s="43">
        <f t="shared" si="3"/>
      </c>
      <c r="U723" s="60">
        <f t="shared" si="4"/>
      </c>
      <c r="V723" s="60">
        <f t="shared" si="5"/>
      </c>
      <c r="W723" s="60">
        <f t="shared" si="6"/>
      </c>
      <c r="X723" s="49">
        <f t="shared" si="7"/>
      </c>
      <c r="Y723" s="2">
        <f t="shared" si="8"/>
      </c>
      <c r="Z723" s="2">
        <f t="shared" si="9"/>
        <v>0</v>
      </c>
      <c r="AA723" s="2">
        <f t="shared" si="10"/>
        <v>0</v>
      </c>
      <c r="AB723" s="2">
        <f t="shared" si="11"/>
        <v>0</v>
      </c>
      <c r="AC723" s="2">
        <f t="shared" si="12"/>
        <v>0</v>
      </c>
      <c r="AD723" s="2">
        <f t="shared" si="13"/>
        <v>0</v>
      </c>
      <c r="AE723" s="2">
        <f t="shared" si="14"/>
        <v>0</v>
      </c>
      <c r="AF723" s="2">
        <f t="shared" si="15"/>
        <v>0</v>
      </c>
      <c r="AG723" s="2">
        <f t="shared" si="16"/>
        <v>0</v>
      </c>
      <c r="AH723" s="2">
        <f t="shared" si="17"/>
        <v>0</v>
      </c>
      <c r="AI723" s="2">
        <f t="shared" si="18"/>
      </c>
    </row>
    <row r="724">
      <c r="A724" s="43">
        <f t="shared" si="0"/>
      </c>
      <c r="B724" s="54" t="n"/>
      <c r="C724" s="45" t="n"/>
      <c r="D724" s="50" t="n"/>
      <c r="E724" s="55" t="n"/>
      <c r="F724" s="50" t="n"/>
      <c r="G724" s="55" t="n"/>
      <c r="H724" s="50" t="n"/>
      <c r="I724" s="55" t="n"/>
      <c r="J724" s="50" t="n"/>
      <c r="K724" s="55" t="n"/>
      <c r="L724" s="56" t="n"/>
      <c r="M724" s="57" t="n"/>
      <c r="N724" s="57" t="n"/>
      <c r="O724" s="57" t="n"/>
      <c r="P724" s="57" t="n"/>
      <c r="Q724" s="50" t="n"/>
      <c r="R724" s="58">
        <f t="shared" si="1"/>
      </c>
      <c r="S724" s="59">
        <f t="shared" si="2"/>
      </c>
      <c r="T724" s="43">
        <f t="shared" si="3"/>
      </c>
      <c r="U724" s="60">
        <f t="shared" si="4"/>
      </c>
      <c r="V724" s="60">
        <f t="shared" si="5"/>
      </c>
      <c r="W724" s="60">
        <f t="shared" si="6"/>
      </c>
      <c r="X724" s="49">
        <f t="shared" si="7"/>
      </c>
      <c r="Y724" s="2">
        <f t="shared" si="8"/>
      </c>
      <c r="Z724" s="2">
        <f t="shared" si="9"/>
        <v>0</v>
      </c>
      <c r="AA724" s="2">
        <f t="shared" si="10"/>
        <v>0</v>
      </c>
      <c r="AB724" s="2">
        <f t="shared" si="11"/>
        <v>0</v>
      </c>
      <c r="AC724" s="2">
        <f t="shared" si="12"/>
        <v>0</v>
      </c>
      <c r="AD724" s="2">
        <f t="shared" si="13"/>
        <v>0</v>
      </c>
      <c r="AE724" s="2">
        <f t="shared" si="14"/>
        <v>0</v>
      </c>
      <c r="AF724" s="2">
        <f t="shared" si="15"/>
        <v>0</v>
      </c>
      <c r="AG724" s="2">
        <f t="shared" si="16"/>
        <v>0</v>
      </c>
      <c r="AH724" s="2">
        <f t="shared" si="17"/>
        <v>0</v>
      </c>
      <c r="AI724" s="2">
        <f t="shared" si="18"/>
      </c>
    </row>
    <row r="725">
      <c r="A725" s="43">
        <f t="shared" si="0"/>
      </c>
      <c r="B725" s="54" t="n"/>
      <c r="C725" s="45" t="n"/>
      <c r="D725" s="50" t="n"/>
      <c r="E725" s="55" t="n"/>
      <c r="F725" s="50" t="n"/>
      <c r="G725" s="55" t="n"/>
      <c r="H725" s="50" t="n"/>
      <c r="I725" s="55" t="n"/>
      <c r="J725" s="50" t="n"/>
      <c r="K725" s="55" t="n"/>
      <c r="L725" s="56" t="n"/>
      <c r="M725" s="57" t="n"/>
      <c r="N725" s="57" t="n"/>
      <c r="O725" s="57" t="n"/>
      <c r="P725" s="57" t="n"/>
      <c r="Q725" s="50" t="n"/>
      <c r="R725" s="58">
        <f t="shared" si="1"/>
      </c>
      <c r="S725" s="59">
        <f t="shared" si="2"/>
      </c>
      <c r="T725" s="43">
        <f t="shared" si="3"/>
      </c>
      <c r="U725" s="60">
        <f t="shared" si="4"/>
      </c>
      <c r="V725" s="60">
        <f t="shared" si="5"/>
      </c>
      <c r="W725" s="60">
        <f t="shared" si="6"/>
      </c>
      <c r="X725" s="49">
        <f t="shared" si="7"/>
      </c>
      <c r="Y725" s="2">
        <f t="shared" si="8"/>
      </c>
      <c r="Z725" s="2">
        <f t="shared" si="9"/>
        <v>0</v>
      </c>
      <c r="AA725" s="2">
        <f t="shared" si="10"/>
        <v>0</v>
      </c>
      <c r="AB725" s="2">
        <f t="shared" si="11"/>
        <v>0</v>
      </c>
      <c r="AC725" s="2">
        <f t="shared" si="12"/>
        <v>0</v>
      </c>
      <c r="AD725" s="2">
        <f t="shared" si="13"/>
        <v>0</v>
      </c>
      <c r="AE725" s="2">
        <f t="shared" si="14"/>
        <v>0</v>
      </c>
      <c r="AF725" s="2">
        <f t="shared" si="15"/>
        <v>0</v>
      </c>
      <c r="AG725" s="2">
        <f t="shared" si="16"/>
        <v>0</v>
      </c>
      <c r="AH725" s="2">
        <f t="shared" si="17"/>
        <v>0</v>
      </c>
      <c r="AI725" s="2">
        <f t="shared" si="18"/>
      </c>
    </row>
    <row r="726">
      <c r="A726" s="43">
        <f t="shared" si="0"/>
      </c>
      <c r="B726" s="54" t="n"/>
      <c r="C726" s="45" t="n"/>
      <c r="D726" s="50" t="n"/>
      <c r="E726" s="55" t="n"/>
      <c r="F726" s="50" t="n"/>
      <c r="G726" s="55" t="n"/>
      <c r="H726" s="50" t="n"/>
      <c r="I726" s="55" t="n"/>
      <c r="J726" s="50" t="n"/>
      <c r="K726" s="55" t="n"/>
      <c r="L726" s="56" t="n"/>
      <c r="M726" s="57" t="n"/>
      <c r="N726" s="57" t="n"/>
      <c r="O726" s="57" t="n"/>
      <c r="P726" s="57" t="n"/>
      <c r="Q726" s="50" t="n"/>
      <c r="R726" s="58">
        <f t="shared" si="1"/>
      </c>
      <c r="S726" s="59">
        <f t="shared" si="2"/>
      </c>
      <c r="T726" s="43">
        <f t="shared" si="3"/>
      </c>
      <c r="U726" s="60">
        <f t="shared" si="4"/>
      </c>
      <c r="V726" s="60">
        <f t="shared" si="5"/>
      </c>
      <c r="W726" s="60">
        <f t="shared" si="6"/>
      </c>
      <c r="X726" s="49">
        <f t="shared" si="7"/>
      </c>
      <c r="Y726" s="2">
        <f t="shared" si="8"/>
      </c>
      <c r="Z726" s="2">
        <f t="shared" si="9"/>
        <v>0</v>
      </c>
      <c r="AA726" s="2">
        <f t="shared" si="10"/>
        <v>0</v>
      </c>
      <c r="AB726" s="2">
        <f t="shared" si="11"/>
        <v>0</v>
      </c>
      <c r="AC726" s="2">
        <f t="shared" si="12"/>
        <v>0</v>
      </c>
      <c r="AD726" s="2">
        <f t="shared" si="13"/>
        <v>0</v>
      </c>
      <c r="AE726" s="2">
        <f t="shared" si="14"/>
        <v>0</v>
      </c>
      <c r="AF726" s="2">
        <f t="shared" si="15"/>
        <v>0</v>
      </c>
      <c r="AG726" s="2">
        <f t="shared" si="16"/>
        <v>0</v>
      </c>
      <c r="AH726" s="2">
        <f t="shared" si="17"/>
        <v>0</v>
      </c>
      <c r="AI726" s="2">
        <f t="shared" si="18"/>
      </c>
    </row>
    <row r="727">
      <c r="A727" s="43">
        <f t="shared" si="0"/>
      </c>
      <c r="B727" s="54" t="n"/>
      <c r="C727" s="45" t="n"/>
      <c r="D727" s="50" t="n"/>
      <c r="E727" s="55" t="n"/>
      <c r="F727" s="50" t="n"/>
      <c r="G727" s="55" t="n"/>
      <c r="H727" s="50" t="n"/>
      <c r="I727" s="55" t="n"/>
      <c r="J727" s="50" t="n"/>
      <c r="K727" s="55" t="n"/>
      <c r="L727" s="56" t="n"/>
      <c r="M727" s="57" t="n"/>
      <c r="N727" s="57" t="n"/>
      <c r="O727" s="57" t="n"/>
      <c r="P727" s="57" t="n"/>
      <c r="Q727" s="50" t="n"/>
      <c r="R727" s="58">
        <f t="shared" si="1"/>
      </c>
      <c r="S727" s="59">
        <f t="shared" si="2"/>
      </c>
      <c r="T727" s="43">
        <f t="shared" si="3"/>
      </c>
      <c r="U727" s="60">
        <f t="shared" si="4"/>
      </c>
      <c r="V727" s="60">
        <f t="shared" si="5"/>
      </c>
      <c r="W727" s="60">
        <f t="shared" si="6"/>
      </c>
      <c r="X727" s="49">
        <f t="shared" si="7"/>
      </c>
      <c r="Y727" s="2">
        <f t="shared" si="8"/>
      </c>
      <c r="Z727" s="2">
        <f t="shared" si="9"/>
        <v>0</v>
      </c>
      <c r="AA727" s="2">
        <f t="shared" si="10"/>
        <v>0</v>
      </c>
      <c r="AB727" s="2">
        <f t="shared" si="11"/>
        <v>0</v>
      </c>
      <c r="AC727" s="2">
        <f t="shared" si="12"/>
        <v>0</v>
      </c>
      <c r="AD727" s="2">
        <f t="shared" si="13"/>
        <v>0</v>
      </c>
      <c r="AE727" s="2">
        <f t="shared" si="14"/>
        <v>0</v>
      </c>
      <c r="AF727" s="2">
        <f t="shared" si="15"/>
        <v>0</v>
      </c>
      <c r="AG727" s="2">
        <f t="shared" si="16"/>
        <v>0</v>
      </c>
      <c r="AH727" s="2">
        <f t="shared" si="17"/>
        <v>0</v>
      </c>
      <c r="AI727" s="2">
        <f t="shared" si="18"/>
      </c>
    </row>
    <row r="728">
      <c r="A728" s="43">
        <f t="shared" si="0"/>
      </c>
      <c r="B728" s="54" t="n"/>
      <c r="C728" s="45" t="n"/>
      <c r="D728" s="50" t="n"/>
      <c r="E728" s="55" t="n"/>
      <c r="F728" s="50" t="n"/>
      <c r="G728" s="55" t="n"/>
      <c r="H728" s="50" t="n"/>
      <c r="I728" s="55" t="n"/>
      <c r="J728" s="50" t="n"/>
      <c r="K728" s="55" t="n"/>
      <c r="L728" s="56" t="n"/>
      <c r="M728" s="57" t="n"/>
      <c r="N728" s="57" t="n"/>
      <c r="O728" s="57" t="n"/>
      <c r="P728" s="57" t="n"/>
      <c r="Q728" s="50" t="n"/>
      <c r="R728" s="58">
        <f t="shared" si="1"/>
      </c>
      <c r="S728" s="59">
        <f t="shared" si="2"/>
      </c>
      <c r="T728" s="43">
        <f t="shared" si="3"/>
      </c>
      <c r="U728" s="60">
        <f t="shared" si="4"/>
      </c>
      <c r="V728" s="60">
        <f t="shared" si="5"/>
      </c>
      <c r="W728" s="60">
        <f t="shared" si="6"/>
      </c>
      <c r="X728" s="49">
        <f t="shared" si="7"/>
      </c>
      <c r="Y728" s="2">
        <f t="shared" si="8"/>
      </c>
      <c r="Z728" s="2">
        <f t="shared" si="9"/>
        <v>0</v>
      </c>
      <c r="AA728" s="2">
        <f t="shared" si="10"/>
        <v>0</v>
      </c>
      <c r="AB728" s="2">
        <f t="shared" si="11"/>
        <v>0</v>
      </c>
      <c r="AC728" s="2">
        <f t="shared" si="12"/>
        <v>0</v>
      </c>
      <c r="AD728" s="2">
        <f t="shared" si="13"/>
        <v>0</v>
      </c>
      <c r="AE728" s="2">
        <f t="shared" si="14"/>
        <v>0</v>
      </c>
      <c r="AF728" s="2">
        <f t="shared" si="15"/>
        <v>0</v>
      </c>
      <c r="AG728" s="2">
        <f t="shared" si="16"/>
        <v>0</v>
      </c>
      <c r="AH728" s="2">
        <f t="shared" si="17"/>
        <v>0</v>
      </c>
      <c r="AI728" s="2">
        <f t="shared" si="18"/>
      </c>
    </row>
    <row r="729">
      <c r="A729" s="43">
        <f t="shared" si="0"/>
      </c>
      <c r="B729" s="54" t="n"/>
      <c r="C729" s="45" t="n"/>
      <c r="D729" s="50" t="n"/>
      <c r="E729" s="55" t="n"/>
      <c r="F729" s="50" t="n"/>
      <c r="G729" s="55" t="n"/>
      <c r="H729" s="50" t="n"/>
      <c r="I729" s="55" t="n"/>
      <c r="J729" s="50" t="n"/>
      <c r="K729" s="55" t="n"/>
      <c r="L729" s="56" t="n"/>
      <c r="M729" s="57" t="n"/>
      <c r="N729" s="57" t="n"/>
      <c r="O729" s="57" t="n"/>
      <c r="P729" s="57" t="n"/>
      <c r="Q729" s="50" t="n"/>
      <c r="R729" s="58">
        <f t="shared" si="1"/>
      </c>
      <c r="S729" s="59">
        <f t="shared" si="2"/>
      </c>
      <c r="T729" s="43">
        <f t="shared" si="3"/>
      </c>
      <c r="U729" s="60">
        <f t="shared" si="4"/>
      </c>
      <c r="V729" s="60">
        <f t="shared" si="5"/>
      </c>
      <c r="W729" s="60">
        <f t="shared" si="6"/>
      </c>
      <c r="X729" s="49">
        <f t="shared" si="7"/>
      </c>
      <c r="Y729" s="2">
        <f t="shared" si="8"/>
      </c>
      <c r="Z729" s="2">
        <f t="shared" si="9"/>
        <v>0</v>
      </c>
      <c r="AA729" s="2">
        <f t="shared" si="10"/>
        <v>0</v>
      </c>
      <c r="AB729" s="2">
        <f t="shared" si="11"/>
        <v>0</v>
      </c>
      <c r="AC729" s="2">
        <f t="shared" si="12"/>
        <v>0</v>
      </c>
      <c r="AD729" s="2">
        <f t="shared" si="13"/>
        <v>0</v>
      </c>
      <c r="AE729" s="2">
        <f t="shared" si="14"/>
        <v>0</v>
      </c>
      <c r="AF729" s="2">
        <f t="shared" si="15"/>
        <v>0</v>
      </c>
      <c r="AG729" s="2">
        <f t="shared" si="16"/>
        <v>0</v>
      </c>
      <c r="AH729" s="2">
        <f t="shared" si="17"/>
        <v>0</v>
      </c>
      <c r="AI729" s="2">
        <f t="shared" si="18"/>
      </c>
    </row>
    <row r="730">
      <c r="A730" s="43">
        <f t="shared" si="0"/>
      </c>
      <c r="B730" s="54" t="n"/>
      <c r="C730" s="45" t="n"/>
      <c r="D730" s="50" t="n"/>
      <c r="E730" s="55" t="n"/>
      <c r="F730" s="50" t="n"/>
      <c r="G730" s="55" t="n"/>
      <c r="H730" s="50" t="n"/>
      <c r="I730" s="55" t="n"/>
      <c r="J730" s="50" t="n"/>
      <c r="K730" s="55" t="n"/>
      <c r="L730" s="56" t="n"/>
      <c r="M730" s="57" t="n"/>
      <c r="N730" s="57" t="n"/>
      <c r="O730" s="57" t="n"/>
      <c r="P730" s="57" t="n"/>
      <c r="Q730" s="50" t="n"/>
      <c r="R730" s="58">
        <f t="shared" si="1"/>
      </c>
      <c r="S730" s="59">
        <f t="shared" si="2"/>
      </c>
      <c r="T730" s="43">
        <f t="shared" si="3"/>
      </c>
      <c r="U730" s="60">
        <f t="shared" si="4"/>
      </c>
      <c r="V730" s="60">
        <f t="shared" si="5"/>
      </c>
      <c r="W730" s="60">
        <f t="shared" si="6"/>
      </c>
      <c r="X730" s="49">
        <f t="shared" si="7"/>
      </c>
      <c r="Y730" s="2">
        <f t="shared" si="8"/>
      </c>
      <c r="Z730" s="2">
        <f t="shared" si="9"/>
        <v>0</v>
      </c>
      <c r="AA730" s="2">
        <f t="shared" si="10"/>
        <v>0</v>
      </c>
      <c r="AB730" s="2">
        <f t="shared" si="11"/>
        <v>0</v>
      </c>
      <c r="AC730" s="2">
        <f t="shared" si="12"/>
        <v>0</v>
      </c>
      <c r="AD730" s="2">
        <f t="shared" si="13"/>
        <v>0</v>
      </c>
      <c r="AE730" s="2">
        <f t="shared" si="14"/>
        <v>0</v>
      </c>
      <c r="AF730" s="2">
        <f t="shared" si="15"/>
        <v>0</v>
      </c>
      <c r="AG730" s="2">
        <f t="shared" si="16"/>
        <v>0</v>
      </c>
      <c r="AH730" s="2">
        <f t="shared" si="17"/>
        <v>0</v>
      </c>
      <c r="AI730" s="2">
        <f t="shared" si="18"/>
      </c>
    </row>
    <row r="731">
      <c r="A731" s="43">
        <f t="shared" si="0"/>
      </c>
      <c r="B731" s="54" t="n"/>
      <c r="C731" s="45" t="n"/>
      <c r="D731" s="50" t="n"/>
      <c r="E731" s="55" t="n"/>
      <c r="F731" s="50" t="n"/>
      <c r="G731" s="55" t="n"/>
      <c r="H731" s="50" t="n"/>
      <c r="I731" s="55" t="n"/>
      <c r="J731" s="50" t="n"/>
      <c r="K731" s="55" t="n"/>
      <c r="L731" s="56" t="n"/>
      <c r="M731" s="57" t="n"/>
      <c r="N731" s="57" t="n"/>
      <c r="O731" s="57" t="n"/>
      <c r="P731" s="57" t="n"/>
      <c r="Q731" s="50" t="n"/>
      <c r="R731" s="58">
        <f t="shared" si="1"/>
      </c>
      <c r="S731" s="59">
        <f t="shared" si="2"/>
      </c>
      <c r="T731" s="43">
        <f t="shared" si="3"/>
      </c>
      <c r="U731" s="60">
        <f t="shared" si="4"/>
      </c>
      <c r="V731" s="60">
        <f t="shared" si="5"/>
      </c>
      <c r="W731" s="60">
        <f t="shared" si="6"/>
      </c>
      <c r="X731" s="49">
        <f t="shared" si="7"/>
      </c>
      <c r="Y731" s="2">
        <f t="shared" si="8"/>
      </c>
      <c r="Z731" s="2">
        <f t="shared" si="9"/>
        <v>0</v>
      </c>
      <c r="AA731" s="2">
        <f t="shared" si="10"/>
        <v>0</v>
      </c>
      <c r="AB731" s="2">
        <f t="shared" si="11"/>
        <v>0</v>
      </c>
      <c r="AC731" s="2">
        <f t="shared" si="12"/>
        <v>0</v>
      </c>
      <c r="AD731" s="2">
        <f t="shared" si="13"/>
        <v>0</v>
      </c>
      <c r="AE731" s="2">
        <f t="shared" si="14"/>
        <v>0</v>
      </c>
      <c r="AF731" s="2">
        <f t="shared" si="15"/>
        <v>0</v>
      </c>
      <c r="AG731" s="2">
        <f t="shared" si="16"/>
        <v>0</v>
      </c>
      <c r="AH731" s="2">
        <f t="shared" si="17"/>
        <v>0</v>
      </c>
      <c r="AI731" s="2">
        <f t="shared" si="18"/>
      </c>
    </row>
    <row r="732">
      <c r="A732" s="43">
        <f t="shared" si="0"/>
      </c>
      <c r="B732" s="54" t="n"/>
      <c r="C732" s="45" t="n"/>
      <c r="D732" s="50" t="n"/>
      <c r="E732" s="55" t="n"/>
      <c r="F732" s="50" t="n"/>
      <c r="G732" s="55" t="n"/>
      <c r="H732" s="50" t="n"/>
      <c r="I732" s="55" t="n"/>
      <c r="J732" s="50" t="n"/>
      <c r="K732" s="55" t="n"/>
      <c r="L732" s="56" t="n"/>
      <c r="M732" s="57" t="n"/>
      <c r="N732" s="57" t="n"/>
      <c r="O732" s="57" t="n"/>
      <c r="P732" s="57" t="n"/>
      <c r="Q732" s="50" t="n"/>
      <c r="R732" s="58">
        <f t="shared" si="1"/>
      </c>
      <c r="S732" s="59">
        <f t="shared" si="2"/>
      </c>
      <c r="T732" s="43">
        <f t="shared" si="3"/>
      </c>
      <c r="U732" s="60">
        <f t="shared" si="4"/>
      </c>
      <c r="V732" s="60">
        <f t="shared" si="5"/>
      </c>
      <c r="W732" s="60">
        <f t="shared" si="6"/>
      </c>
      <c r="X732" s="49">
        <f t="shared" si="7"/>
      </c>
      <c r="Y732" s="2">
        <f t="shared" si="8"/>
      </c>
      <c r="Z732" s="2">
        <f t="shared" si="9"/>
        <v>0</v>
      </c>
      <c r="AA732" s="2">
        <f t="shared" si="10"/>
        <v>0</v>
      </c>
      <c r="AB732" s="2">
        <f t="shared" si="11"/>
        <v>0</v>
      </c>
      <c r="AC732" s="2">
        <f t="shared" si="12"/>
        <v>0</v>
      </c>
      <c r="AD732" s="2">
        <f t="shared" si="13"/>
        <v>0</v>
      </c>
      <c r="AE732" s="2">
        <f t="shared" si="14"/>
        <v>0</v>
      </c>
      <c r="AF732" s="2">
        <f t="shared" si="15"/>
        <v>0</v>
      </c>
      <c r="AG732" s="2">
        <f t="shared" si="16"/>
        <v>0</v>
      </c>
      <c r="AH732" s="2">
        <f t="shared" si="17"/>
        <v>0</v>
      </c>
      <c r="AI732" s="2">
        <f t="shared" si="18"/>
      </c>
    </row>
    <row r="733">
      <c r="A733" s="43">
        <f t="shared" si="0"/>
      </c>
      <c r="B733" s="54" t="n"/>
      <c r="C733" s="45" t="n"/>
      <c r="D733" s="50" t="n"/>
      <c r="E733" s="55" t="n"/>
      <c r="F733" s="50" t="n"/>
      <c r="G733" s="55" t="n"/>
      <c r="H733" s="50" t="n"/>
      <c r="I733" s="55" t="n"/>
      <c r="J733" s="50" t="n"/>
      <c r="K733" s="55" t="n"/>
      <c r="L733" s="56" t="n"/>
      <c r="M733" s="57" t="n"/>
      <c r="N733" s="57" t="n"/>
      <c r="O733" s="57" t="n"/>
      <c r="P733" s="57" t="n"/>
      <c r="Q733" s="50" t="n"/>
      <c r="R733" s="58">
        <f t="shared" si="1"/>
      </c>
      <c r="S733" s="59">
        <f t="shared" si="2"/>
      </c>
      <c r="T733" s="43">
        <f t="shared" si="3"/>
      </c>
      <c r="U733" s="60">
        <f t="shared" si="4"/>
      </c>
      <c r="V733" s="60">
        <f t="shared" si="5"/>
      </c>
      <c r="W733" s="60">
        <f t="shared" si="6"/>
      </c>
      <c r="X733" s="49">
        <f t="shared" si="7"/>
      </c>
      <c r="Y733" s="2">
        <f t="shared" si="8"/>
      </c>
      <c r="Z733" s="2">
        <f t="shared" si="9"/>
        <v>0</v>
      </c>
      <c r="AA733" s="2">
        <f t="shared" si="10"/>
        <v>0</v>
      </c>
      <c r="AB733" s="2">
        <f t="shared" si="11"/>
        <v>0</v>
      </c>
      <c r="AC733" s="2">
        <f t="shared" si="12"/>
        <v>0</v>
      </c>
      <c r="AD733" s="2">
        <f t="shared" si="13"/>
        <v>0</v>
      </c>
      <c r="AE733" s="2">
        <f t="shared" si="14"/>
        <v>0</v>
      </c>
      <c r="AF733" s="2">
        <f t="shared" si="15"/>
        <v>0</v>
      </c>
      <c r="AG733" s="2">
        <f t="shared" si="16"/>
        <v>0</v>
      </c>
      <c r="AH733" s="2">
        <f t="shared" si="17"/>
        <v>0</v>
      </c>
      <c r="AI733" s="2">
        <f t="shared" si="18"/>
      </c>
    </row>
    <row r="734">
      <c r="A734" s="43">
        <f t="shared" si="0"/>
      </c>
      <c r="B734" s="54" t="n"/>
      <c r="C734" s="45" t="n"/>
      <c r="D734" s="50" t="n"/>
      <c r="E734" s="55" t="n"/>
      <c r="F734" s="50" t="n"/>
      <c r="G734" s="55" t="n"/>
      <c r="H734" s="50" t="n"/>
      <c r="I734" s="55" t="n"/>
      <c r="J734" s="50" t="n"/>
      <c r="K734" s="55" t="n"/>
      <c r="L734" s="56" t="n"/>
      <c r="M734" s="57" t="n"/>
      <c r="N734" s="57" t="n"/>
      <c r="O734" s="57" t="n"/>
      <c r="P734" s="57" t="n"/>
      <c r="Q734" s="50" t="n"/>
      <c r="R734" s="58">
        <f t="shared" si="1"/>
      </c>
      <c r="S734" s="59">
        <f t="shared" si="2"/>
      </c>
      <c r="T734" s="43">
        <f t="shared" si="3"/>
      </c>
      <c r="U734" s="60">
        <f t="shared" si="4"/>
      </c>
      <c r="V734" s="60">
        <f t="shared" si="5"/>
      </c>
      <c r="W734" s="60">
        <f t="shared" si="6"/>
      </c>
      <c r="X734" s="49">
        <f t="shared" si="7"/>
      </c>
      <c r="Y734" s="2">
        <f t="shared" si="8"/>
      </c>
      <c r="Z734" s="2">
        <f t="shared" si="9"/>
        <v>0</v>
      </c>
      <c r="AA734" s="2">
        <f t="shared" si="10"/>
        <v>0</v>
      </c>
      <c r="AB734" s="2">
        <f t="shared" si="11"/>
        <v>0</v>
      </c>
      <c r="AC734" s="2">
        <f t="shared" si="12"/>
        <v>0</v>
      </c>
      <c r="AD734" s="2">
        <f t="shared" si="13"/>
        <v>0</v>
      </c>
      <c r="AE734" s="2">
        <f t="shared" si="14"/>
        <v>0</v>
      </c>
      <c r="AF734" s="2">
        <f t="shared" si="15"/>
        <v>0</v>
      </c>
      <c r="AG734" s="2">
        <f t="shared" si="16"/>
        <v>0</v>
      </c>
      <c r="AH734" s="2">
        <f t="shared" si="17"/>
        <v>0</v>
      </c>
      <c r="AI734" s="2">
        <f t="shared" si="18"/>
      </c>
    </row>
    <row r="735">
      <c r="A735" s="43">
        <f t="shared" si="0"/>
      </c>
      <c r="B735" s="54" t="n"/>
      <c r="C735" s="45" t="n"/>
      <c r="D735" s="50" t="n"/>
      <c r="E735" s="55" t="n"/>
      <c r="F735" s="50" t="n"/>
      <c r="G735" s="55" t="n"/>
      <c r="H735" s="50" t="n"/>
      <c r="I735" s="55" t="n"/>
      <c r="J735" s="50" t="n"/>
      <c r="K735" s="55" t="n"/>
      <c r="L735" s="56" t="n"/>
      <c r="M735" s="57" t="n"/>
      <c r="N735" s="57" t="n"/>
      <c r="O735" s="57" t="n"/>
      <c r="P735" s="57" t="n"/>
      <c r="Q735" s="50" t="n"/>
      <c r="R735" s="58">
        <f t="shared" si="1"/>
      </c>
      <c r="S735" s="59">
        <f t="shared" si="2"/>
      </c>
      <c r="T735" s="43">
        <f t="shared" si="3"/>
      </c>
      <c r="U735" s="60">
        <f t="shared" si="4"/>
      </c>
      <c r="V735" s="60">
        <f t="shared" si="5"/>
      </c>
      <c r="W735" s="60">
        <f t="shared" si="6"/>
      </c>
      <c r="X735" s="49">
        <f t="shared" si="7"/>
      </c>
      <c r="Y735" s="2">
        <f t="shared" si="8"/>
      </c>
      <c r="Z735" s="2">
        <f t="shared" si="9"/>
        <v>0</v>
      </c>
      <c r="AA735" s="2">
        <f t="shared" si="10"/>
        <v>0</v>
      </c>
      <c r="AB735" s="2">
        <f t="shared" si="11"/>
        <v>0</v>
      </c>
      <c r="AC735" s="2">
        <f t="shared" si="12"/>
        <v>0</v>
      </c>
      <c r="AD735" s="2">
        <f t="shared" si="13"/>
        <v>0</v>
      </c>
      <c r="AE735" s="2">
        <f t="shared" si="14"/>
        <v>0</v>
      </c>
      <c r="AF735" s="2">
        <f t="shared" si="15"/>
        <v>0</v>
      </c>
      <c r="AG735" s="2">
        <f t="shared" si="16"/>
        <v>0</v>
      </c>
      <c r="AH735" s="2">
        <f t="shared" si="17"/>
        <v>0</v>
      </c>
      <c r="AI735" s="2">
        <f t="shared" si="18"/>
      </c>
    </row>
    <row r="736">
      <c r="A736" s="43">
        <f t="shared" si="0"/>
      </c>
      <c r="B736" s="54" t="n"/>
      <c r="C736" s="45" t="n"/>
      <c r="D736" s="50" t="n"/>
      <c r="E736" s="55" t="n"/>
      <c r="F736" s="50" t="n"/>
      <c r="G736" s="55" t="n"/>
      <c r="H736" s="50" t="n"/>
      <c r="I736" s="55" t="n"/>
      <c r="J736" s="50" t="n"/>
      <c r="K736" s="55" t="n"/>
      <c r="L736" s="56" t="n"/>
      <c r="M736" s="57" t="n"/>
      <c r="N736" s="57" t="n"/>
      <c r="O736" s="57" t="n"/>
      <c r="P736" s="57" t="n"/>
      <c r="Q736" s="50" t="n"/>
      <c r="R736" s="58">
        <f t="shared" si="1"/>
      </c>
      <c r="S736" s="59">
        <f t="shared" si="2"/>
      </c>
      <c r="T736" s="43">
        <f t="shared" si="3"/>
      </c>
      <c r="U736" s="60">
        <f t="shared" si="4"/>
      </c>
      <c r="V736" s="60">
        <f t="shared" si="5"/>
      </c>
      <c r="W736" s="60">
        <f t="shared" si="6"/>
      </c>
      <c r="X736" s="49">
        <f t="shared" si="7"/>
      </c>
      <c r="Y736" s="2">
        <f t="shared" si="8"/>
      </c>
      <c r="Z736" s="2">
        <f t="shared" si="9"/>
        <v>0</v>
      </c>
      <c r="AA736" s="2">
        <f t="shared" si="10"/>
        <v>0</v>
      </c>
      <c r="AB736" s="2">
        <f t="shared" si="11"/>
        <v>0</v>
      </c>
      <c r="AC736" s="2">
        <f t="shared" si="12"/>
        <v>0</v>
      </c>
      <c r="AD736" s="2">
        <f t="shared" si="13"/>
        <v>0</v>
      </c>
      <c r="AE736" s="2">
        <f t="shared" si="14"/>
        <v>0</v>
      </c>
      <c r="AF736" s="2">
        <f t="shared" si="15"/>
        <v>0</v>
      </c>
      <c r="AG736" s="2">
        <f t="shared" si="16"/>
        <v>0</v>
      </c>
      <c r="AH736" s="2">
        <f t="shared" si="17"/>
        <v>0</v>
      </c>
      <c r="AI736" s="2">
        <f t="shared" si="18"/>
      </c>
    </row>
    <row r="737">
      <c r="A737" s="43">
        <f t="shared" si="0"/>
      </c>
      <c r="B737" s="54" t="n"/>
      <c r="C737" s="45" t="n"/>
      <c r="D737" s="50" t="n"/>
      <c r="E737" s="55" t="n"/>
      <c r="F737" s="50" t="n"/>
      <c r="G737" s="55" t="n"/>
      <c r="H737" s="50" t="n"/>
      <c r="I737" s="55" t="n"/>
      <c r="J737" s="50" t="n"/>
      <c r="K737" s="55" t="n"/>
      <c r="L737" s="56" t="n"/>
      <c r="M737" s="57" t="n"/>
      <c r="N737" s="57" t="n"/>
      <c r="O737" s="57" t="n"/>
      <c r="P737" s="57" t="n"/>
      <c r="Q737" s="50" t="n"/>
      <c r="R737" s="58">
        <f t="shared" si="1"/>
      </c>
      <c r="S737" s="59">
        <f t="shared" si="2"/>
      </c>
      <c r="T737" s="43">
        <f t="shared" si="3"/>
      </c>
      <c r="U737" s="60">
        <f t="shared" si="4"/>
      </c>
      <c r="V737" s="60">
        <f t="shared" si="5"/>
      </c>
      <c r="W737" s="60">
        <f t="shared" si="6"/>
      </c>
      <c r="X737" s="49">
        <f t="shared" si="7"/>
      </c>
      <c r="Y737" s="2">
        <f t="shared" si="8"/>
      </c>
      <c r="Z737" s="2">
        <f t="shared" si="9"/>
        <v>0</v>
      </c>
      <c r="AA737" s="2">
        <f t="shared" si="10"/>
        <v>0</v>
      </c>
      <c r="AB737" s="2">
        <f t="shared" si="11"/>
        <v>0</v>
      </c>
      <c r="AC737" s="2">
        <f t="shared" si="12"/>
        <v>0</v>
      </c>
      <c r="AD737" s="2">
        <f t="shared" si="13"/>
        <v>0</v>
      </c>
      <c r="AE737" s="2">
        <f t="shared" si="14"/>
        <v>0</v>
      </c>
      <c r="AF737" s="2">
        <f t="shared" si="15"/>
        <v>0</v>
      </c>
      <c r="AG737" s="2">
        <f t="shared" si="16"/>
        <v>0</v>
      </c>
      <c r="AH737" s="2">
        <f t="shared" si="17"/>
        <v>0</v>
      </c>
      <c r="AI737" s="2">
        <f t="shared" si="18"/>
      </c>
    </row>
    <row r="738">
      <c r="A738" s="43">
        <f t="shared" si="0"/>
      </c>
      <c r="B738" s="54" t="n"/>
      <c r="C738" s="45" t="n"/>
      <c r="D738" s="50" t="n"/>
      <c r="E738" s="55" t="n"/>
      <c r="F738" s="50" t="n"/>
      <c r="G738" s="55" t="n"/>
      <c r="H738" s="50" t="n"/>
      <c r="I738" s="55" t="n"/>
      <c r="J738" s="50" t="n"/>
      <c r="K738" s="55" t="n"/>
      <c r="L738" s="56" t="n"/>
      <c r="M738" s="57" t="n"/>
      <c r="N738" s="57" t="n"/>
      <c r="O738" s="57" t="n"/>
      <c r="P738" s="57" t="n"/>
      <c r="Q738" s="50" t="n"/>
      <c r="R738" s="58">
        <f t="shared" si="1"/>
      </c>
      <c r="S738" s="59">
        <f t="shared" si="2"/>
      </c>
      <c r="T738" s="43">
        <f t="shared" si="3"/>
      </c>
      <c r="U738" s="60">
        <f t="shared" si="4"/>
      </c>
      <c r="V738" s="60">
        <f t="shared" si="5"/>
      </c>
      <c r="W738" s="60">
        <f t="shared" si="6"/>
      </c>
      <c r="X738" s="49">
        <f t="shared" si="7"/>
      </c>
      <c r="Y738" s="2">
        <f t="shared" si="8"/>
      </c>
      <c r="Z738" s="2">
        <f t="shared" si="9"/>
        <v>0</v>
      </c>
      <c r="AA738" s="2">
        <f t="shared" si="10"/>
        <v>0</v>
      </c>
      <c r="AB738" s="2">
        <f t="shared" si="11"/>
        <v>0</v>
      </c>
      <c r="AC738" s="2">
        <f t="shared" si="12"/>
        <v>0</v>
      </c>
      <c r="AD738" s="2">
        <f t="shared" si="13"/>
        <v>0</v>
      </c>
      <c r="AE738" s="2">
        <f t="shared" si="14"/>
        <v>0</v>
      </c>
      <c r="AF738" s="2">
        <f t="shared" si="15"/>
        <v>0</v>
      </c>
      <c r="AG738" s="2">
        <f t="shared" si="16"/>
        <v>0</v>
      </c>
      <c r="AH738" s="2">
        <f t="shared" si="17"/>
        <v>0</v>
      </c>
      <c r="AI738" s="2">
        <f t="shared" si="18"/>
      </c>
    </row>
    <row r="739">
      <c r="A739" s="43">
        <f t="shared" si="0"/>
      </c>
      <c r="B739" s="54" t="n"/>
      <c r="C739" s="45" t="n"/>
      <c r="D739" s="50" t="n"/>
      <c r="E739" s="55" t="n"/>
      <c r="F739" s="50" t="n"/>
      <c r="G739" s="55" t="n"/>
      <c r="H739" s="50" t="n"/>
      <c r="I739" s="55" t="n"/>
      <c r="J739" s="50" t="n"/>
      <c r="K739" s="55" t="n"/>
      <c r="L739" s="56" t="n"/>
      <c r="M739" s="57" t="n"/>
      <c r="N739" s="57" t="n"/>
      <c r="O739" s="57" t="n"/>
      <c r="P739" s="57" t="n"/>
      <c r="Q739" s="50" t="n"/>
      <c r="R739" s="58">
        <f t="shared" si="1"/>
      </c>
      <c r="S739" s="59">
        <f t="shared" si="2"/>
      </c>
      <c r="T739" s="43">
        <f t="shared" si="3"/>
      </c>
      <c r="U739" s="60">
        <f t="shared" si="4"/>
      </c>
      <c r="V739" s="60">
        <f t="shared" si="5"/>
      </c>
      <c r="W739" s="60">
        <f t="shared" si="6"/>
      </c>
      <c r="X739" s="49">
        <f t="shared" si="7"/>
      </c>
      <c r="Y739" s="2">
        <f t="shared" si="8"/>
      </c>
      <c r="Z739" s="2">
        <f t="shared" si="9"/>
        <v>0</v>
      </c>
      <c r="AA739" s="2">
        <f t="shared" si="10"/>
        <v>0</v>
      </c>
      <c r="AB739" s="2">
        <f t="shared" si="11"/>
        <v>0</v>
      </c>
      <c r="AC739" s="2">
        <f t="shared" si="12"/>
        <v>0</v>
      </c>
      <c r="AD739" s="2">
        <f t="shared" si="13"/>
        <v>0</v>
      </c>
      <c r="AE739" s="2">
        <f t="shared" si="14"/>
        <v>0</v>
      </c>
      <c r="AF739" s="2">
        <f t="shared" si="15"/>
        <v>0</v>
      </c>
      <c r="AG739" s="2">
        <f t="shared" si="16"/>
        <v>0</v>
      </c>
      <c r="AH739" s="2">
        <f t="shared" si="17"/>
        <v>0</v>
      </c>
      <c r="AI739" s="2">
        <f t="shared" si="18"/>
      </c>
    </row>
    <row r="740">
      <c r="A740" s="43">
        <f t="shared" si="0"/>
      </c>
      <c r="B740" s="54" t="n"/>
      <c r="C740" s="45" t="n"/>
      <c r="D740" s="50" t="n"/>
      <c r="E740" s="55" t="n"/>
      <c r="F740" s="50" t="n"/>
      <c r="G740" s="55" t="n"/>
      <c r="H740" s="50" t="n"/>
      <c r="I740" s="55" t="n"/>
      <c r="J740" s="50" t="n"/>
      <c r="K740" s="55" t="n"/>
      <c r="L740" s="56" t="n"/>
      <c r="M740" s="57" t="n"/>
      <c r="N740" s="57" t="n"/>
      <c r="O740" s="57" t="n"/>
      <c r="P740" s="57" t="n"/>
      <c r="Q740" s="50" t="n"/>
      <c r="R740" s="58">
        <f t="shared" si="1"/>
      </c>
      <c r="S740" s="59">
        <f t="shared" si="2"/>
      </c>
      <c r="T740" s="43">
        <f t="shared" si="3"/>
      </c>
      <c r="U740" s="60">
        <f t="shared" si="4"/>
      </c>
      <c r="V740" s="60">
        <f t="shared" si="5"/>
      </c>
      <c r="W740" s="60">
        <f t="shared" si="6"/>
      </c>
      <c r="X740" s="49">
        <f t="shared" si="7"/>
      </c>
      <c r="Y740" s="2">
        <f t="shared" si="8"/>
      </c>
      <c r="Z740" s="2">
        <f t="shared" si="9"/>
        <v>0</v>
      </c>
      <c r="AA740" s="2">
        <f t="shared" si="10"/>
        <v>0</v>
      </c>
      <c r="AB740" s="2">
        <f t="shared" si="11"/>
        <v>0</v>
      </c>
      <c r="AC740" s="2">
        <f t="shared" si="12"/>
        <v>0</v>
      </c>
      <c r="AD740" s="2">
        <f t="shared" si="13"/>
        <v>0</v>
      </c>
      <c r="AE740" s="2">
        <f t="shared" si="14"/>
        <v>0</v>
      </c>
      <c r="AF740" s="2">
        <f t="shared" si="15"/>
        <v>0</v>
      </c>
      <c r="AG740" s="2">
        <f t="shared" si="16"/>
        <v>0</v>
      </c>
      <c r="AH740" s="2">
        <f t="shared" si="17"/>
        <v>0</v>
      </c>
      <c r="AI740" s="2">
        <f t="shared" si="18"/>
      </c>
    </row>
    <row r="741">
      <c r="A741" s="43">
        <f t="shared" si="0"/>
      </c>
      <c r="B741" s="54" t="n"/>
      <c r="C741" s="45" t="n"/>
      <c r="D741" s="50" t="n"/>
      <c r="E741" s="55" t="n"/>
      <c r="F741" s="50" t="n"/>
      <c r="G741" s="55" t="n"/>
      <c r="H741" s="50" t="n"/>
      <c r="I741" s="55" t="n"/>
      <c r="J741" s="50" t="n"/>
      <c r="K741" s="55" t="n"/>
      <c r="L741" s="56" t="n"/>
      <c r="M741" s="57" t="n"/>
      <c r="N741" s="57" t="n"/>
      <c r="O741" s="57" t="n"/>
      <c r="P741" s="57" t="n"/>
      <c r="Q741" s="50" t="n"/>
      <c r="R741" s="58">
        <f t="shared" si="1"/>
      </c>
      <c r="S741" s="59">
        <f t="shared" si="2"/>
      </c>
      <c r="T741" s="43">
        <f t="shared" si="3"/>
      </c>
      <c r="U741" s="60">
        <f t="shared" si="4"/>
      </c>
      <c r="V741" s="60">
        <f t="shared" si="5"/>
      </c>
      <c r="W741" s="60">
        <f t="shared" si="6"/>
      </c>
      <c r="X741" s="49">
        <f t="shared" si="7"/>
      </c>
      <c r="Y741" s="2">
        <f t="shared" si="8"/>
      </c>
      <c r="Z741" s="2">
        <f t="shared" si="9"/>
        <v>0</v>
      </c>
      <c r="AA741" s="2">
        <f t="shared" si="10"/>
        <v>0</v>
      </c>
      <c r="AB741" s="2">
        <f t="shared" si="11"/>
        <v>0</v>
      </c>
      <c r="AC741" s="2">
        <f t="shared" si="12"/>
        <v>0</v>
      </c>
      <c r="AD741" s="2">
        <f t="shared" si="13"/>
        <v>0</v>
      </c>
      <c r="AE741" s="2">
        <f t="shared" si="14"/>
        <v>0</v>
      </c>
      <c r="AF741" s="2">
        <f t="shared" si="15"/>
        <v>0</v>
      </c>
      <c r="AG741" s="2">
        <f t="shared" si="16"/>
        <v>0</v>
      </c>
      <c r="AH741" s="2">
        <f t="shared" si="17"/>
        <v>0</v>
      </c>
      <c r="AI741" s="2">
        <f t="shared" si="18"/>
      </c>
    </row>
    <row r="742">
      <c r="A742" s="43">
        <f t="shared" si="0"/>
      </c>
      <c r="B742" s="54" t="n"/>
      <c r="C742" s="45" t="n"/>
      <c r="D742" s="50" t="n"/>
      <c r="E742" s="55" t="n"/>
      <c r="F742" s="50" t="n"/>
      <c r="G742" s="55" t="n"/>
      <c r="H742" s="50" t="n"/>
      <c r="I742" s="55" t="n"/>
      <c r="J742" s="50" t="n"/>
      <c r="K742" s="55" t="n"/>
      <c r="L742" s="56" t="n"/>
      <c r="M742" s="57" t="n"/>
      <c r="N742" s="57" t="n"/>
      <c r="O742" s="57" t="n"/>
      <c r="P742" s="57" t="n"/>
      <c r="Q742" s="50" t="n"/>
      <c r="R742" s="58">
        <f t="shared" si="1"/>
      </c>
      <c r="S742" s="59">
        <f t="shared" si="2"/>
      </c>
      <c r="T742" s="43">
        <f t="shared" si="3"/>
      </c>
      <c r="U742" s="60">
        <f t="shared" si="4"/>
      </c>
      <c r="V742" s="60">
        <f t="shared" si="5"/>
      </c>
      <c r="W742" s="60">
        <f t="shared" si="6"/>
      </c>
      <c r="X742" s="49">
        <f t="shared" si="7"/>
      </c>
      <c r="Y742" s="2">
        <f t="shared" si="8"/>
      </c>
      <c r="Z742" s="2">
        <f t="shared" si="9"/>
        <v>0</v>
      </c>
      <c r="AA742" s="2">
        <f t="shared" si="10"/>
        <v>0</v>
      </c>
      <c r="AB742" s="2">
        <f t="shared" si="11"/>
        <v>0</v>
      </c>
      <c r="AC742" s="2">
        <f t="shared" si="12"/>
        <v>0</v>
      </c>
      <c r="AD742" s="2">
        <f t="shared" si="13"/>
        <v>0</v>
      </c>
      <c r="AE742" s="2">
        <f t="shared" si="14"/>
        <v>0</v>
      </c>
      <c r="AF742" s="2">
        <f t="shared" si="15"/>
        <v>0</v>
      </c>
      <c r="AG742" s="2">
        <f t="shared" si="16"/>
        <v>0</v>
      </c>
      <c r="AH742" s="2">
        <f t="shared" si="17"/>
        <v>0</v>
      </c>
      <c r="AI742" s="2">
        <f t="shared" si="18"/>
      </c>
    </row>
    <row r="743">
      <c r="A743" s="43">
        <f t="shared" si="0"/>
      </c>
      <c r="B743" s="54" t="n"/>
      <c r="C743" s="45" t="n"/>
      <c r="D743" s="50" t="n"/>
      <c r="E743" s="55" t="n"/>
      <c r="F743" s="50" t="n"/>
      <c r="G743" s="55" t="n"/>
      <c r="H743" s="50" t="n"/>
      <c r="I743" s="55" t="n"/>
      <c r="J743" s="50" t="n"/>
      <c r="K743" s="55" t="n"/>
      <c r="L743" s="56" t="n"/>
      <c r="M743" s="57" t="n"/>
      <c r="N743" s="57" t="n"/>
      <c r="O743" s="57" t="n"/>
      <c r="P743" s="57" t="n"/>
      <c r="Q743" s="50" t="n"/>
      <c r="R743" s="58">
        <f t="shared" si="1"/>
      </c>
      <c r="S743" s="59">
        <f t="shared" si="2"/>
      </c>
      <c r="T743" s="43">
        <f t="shared" si="3"/>
      </c>
      <c r="U743" s="60">
        <f t="shared" si="4"/>
      </c>
      <c r="V743" s="60">
        <f t="shared" si="5"/>
      </c>
      <c r="W743" s="60">
        <f t="shared" si="6"/>
      </c>
      <c r="X743" s="49">
        <f t="shared" si="7"/>
      </c>
      <c r="Y743" s="2">
        <f t="shared" si="8"/>
      </c>
      <c r="Z743" s="2">
        <f t="shared" si="9"/>
        <v>0</v>
      </c>
      <c r="AA743" s="2">
        <f t="shared" si="10"/>
        <v>0</v>
      </c>
      <c r="AB743" s="2">
        <f t="shared" si="11"/>
        <v>0</v>
      </c>
      <c r="AC743" s="2">
        <f t="shared" si="12"/>
        <v>0</v>
      </c>
      <c r="AD743" s="2">
        <f t="shared" si="13"/>
        <v>0</v>
      </c>
      <c r="AE743" s="2">
        <f t="shared" si="14"/>
        <v>0</v>
      </c>
      <c r="AF743" s="2">
        <f t="shared" si="15"/>
        <v>0</v>
      </c>
      <c r="AG743" s="2">
        <f t="shared" si="16"/>
        <v>0</v>
      </c>
      <c r="AH743" s="2">
        <f t="shared" si="17"/>
        <v>0</v>
      </c>
      <c r="AI743" s="2">
        <f t="shared" si="18"/>
      </c>
    </row>
    <row r="744">
      <c r="A744" s="43">
        <f t="shared" si="0"/>
      </c>
      <c r="B744" s="54" t="n"/>
      <c r="C744" s="45" t="n"/>
      <c r="D744" s="50" t="n"/>
      <c r="E744" s="55" t="n"/>
      <c r="F744" s="50" t="n"/>
      <c r="G744" s="55" t="n"/>
      <c r="H744" s="50" t="n"/>
      <c r="I744" s="55" t="n"/>
      <c r="J744" s="50" t="n"/>
      <c r="K744" s="55" t="n"/>
      <c r="L744" s="56" t="n"/>
      <c r="M744" s="57" t="n"/>
      <c r="N744" s="57" t="n"/>
      <c r="O744" s="57" t="n"/>
      <c r="P744" s="57" t="n"/>
      <c r="Q744" s="50" t="n"/>
      <c r="R744" s="58">
        <f t="shared" si="1"/>
      </c>
      <c r="S744" s="59">
        <f t="shared" si="2"/>
      </c>
      <c r="T744" s="43">
        <f t="shared" si="3"/>
      </c>
      <c r="U744" s="60">
        <f t="shared" si="4"/>
      </c>
      <c r="V744" s="60">
        <f t="shared" si="5"/>
      </c>
      <c r="W744" s="60">
        <f t="shared" si="6"/>
      </c>
      <c r="X744" s="49">
        <f t="shared" si="7"/>
      </c>
      <c r="Y744" s="2">
        <f t="shared" si="8"/>
      </c>
      <c r="Z744" s="2">
        <f t="shared" si="9"/>
        <v>0</v>
      </c>
      <c r="AA744" s="2">
        <f t="shared" si="10"/>
        <v>0</v>
      </c>
      <c r="AB744" s="2">
        <f t="shared" si="11"/>
        <v>0</v>
      </c>
      <c r="AC744" s="2">
        <f t="shared" si="12"/>
        <v>0</v>
      </c>
      <c r="AD744" s="2">
        <f t="shared" si="13"/>
        <v>0</v>
      </c>
      <c r="AE744" s="2">
        <f t="shared" si="14"/>
        <v>0</v>
      </c>
      <c r="AF744" s="2">
        <f t="shared" si="15"/>
        <v>0</v>
      </c>
      <c r="AG744" s="2">
        <f t="shared" si="16"/>
        <v>0</v>
      </c>
      <c r="AH744" s="2">
        <f t="shared" si="17"/>
        <v>0</v>
      </c>
      <c r="AI744" s="2">
        <f t="shared" si="18"/>
      </c>
    </row>
    <row r="745">
      <c r="A745" s="43">
        <f t="shared" si="0"/>
      </c>
      <c r="B745" s="54" t="n"/>
      <c r="C745" s="45" t="n"/>
      <c r="D745" s="50" t="n"/>
      <c r="E745" s="55" t="n"/>
      <c r="F745" s="50" t="n"/>
      <c r="G745" s="55" t="n"/>
      <c r="H745" s="50" t="n"/>
      <c r="I745" s="55" t="n"/>
      <c r="J745" s="50" t="n"/>
      <c r="K745" s="55" t="n"/>
      <c r="L745" s="56" t="n"/>
      <c r="M745" s="57" t="n"/>
      <c r="N745" s="57" t="n"/>
      <c r="O745" s="57" t="n"/>
      <c r="P745" s="57" t="n"/>
      <c r="Q745" s="50" t="n"/>
      <c r="R745" s="58">
        <f t="shared" si="1"/>
      </c>
      <c r="S745" s="59">
        <f t="shared" si="2"/>
      </c>
      <c r="T745" s="43">
        <f t="shared" si="3"/>
      </c>
      <c r="U745" s="60">
        <f t="shared" si="4"/>
      </c>
      <c r="V745" s="60">
        <f t="shared" si="5"/>
      </c>
      <c r="W745" s="60">
        <f t="shared" si="6"/>
      </c>
      <c r="X745" s="49">
        <f t="shared" si="7"/>
      </c>
      <c r="Y745" s="2">
        <f t="shared" si="8"/>
      </c>
      <c r="Z745" s="2">
        <f t="shared" si="9"/>
        <v>0</v>
      </c>
      <c r="AA745" s="2">
        <f t="shared" si="10"/>
        <v>0</v>
      </c>
      <c r="AB745" s="2">
        <f t="shared" si="11"/>
        <v>0</v>
      </c>
      <c r="AC745" s="2">
        <f t="shared" si="12"/>
        <v>0</v>
      </c>
      <c r="AD745" s="2">
        <f t="shared" si="13"/>
        <v>0</v>
      </c>
      <c r="AE745" s="2">
        <f t="shared" si="14"/>
        <v>0</v>
      </c>
      <c r="AF745" s="2">
        <f t="shared" si="15"/>
        <v>0</v>
      </c>
      <c r="AG745" s="2">
        <f t="shared" si="16"/>
        <v>0</v>
      </c>
      <c r="AH745" s="2">
        <f t="shared" si="17"/>
        <v>0</v>
      </c>
      <c r="AI745" s="2">
        <f t="shared" si="18"/>
      </c>
    </row>
    <row r="746">
      <c r="A746" s="43">
        <f t="shared" si="0"/>
      </c>
      <c r="B746" s="54" t="n"/>
      <c r="C746" s="45" t="n"/>
      <c r="D746" s="50" t="n"/>
      <c r="E746" s="55" t="n"/>
      <c r="F746" s="50" t="n"/>
      <c r="G746" s="55" t="n"/>
      <c r="H746" s="50" t="n"/>
      <c r="I746" s="55" t="n"/>
      <c r="J746" s="50" t="n"/>
      <c r="K746" s="55" t="n"/>
      <c r="L746" s="56" t="n"/>
      <c r="M746" s="57" t="n"/>
      <c r="N746" s="57" t="n"/>
      <c r="O746" s="57" t="n"/>
      <c r="P746" s="57" t="n"/>
      <c r="Q746" s="50" t="n"/>
      <c r="R746" s="58">
        <f t="shared" si="1"/>
      </c>
      <c r="S746" s="59">
        <f t="shared" si="2"/>
      </c>
      <c r="T746" s="43">
        <f t="shared" si="3"/>
      </c>
      <c r="U746" s="60">
        <f t="shared" si="4"/>
      </c>
      <c r="V746" s="60">
        <f t="shared" si="5"/>
      </c>
      <c r="W746" s="60">
        <f t="shared" si="6"/>
      </c>
      <c r="X746" s="49">
        <f t="shared" si="7"/>
      </c>
      <c r="Y746" s="2">
        <f t="shared" si="8"/>
      </c>
      <c r="Z746" s="2">
        <f t="shared" si="9"/>
        <v>0</v>
      </c>
      <c r="AA746" s="2">
        <f t="shared" si="10"/>
        <v>0</v>
      </c>
      <c r="AB746" s="2">
        <f t="shared" si="11"/>
        <v>0</v>
      </c>
      <c r="AC746" s="2">
        <f t="shared" si="12"/>
        <v>0</v>
      </c>
      <c r="AD746" s="2">
        <f t="shared" si="13"/>
        <v>0</v>
      </c>
      <c r="AE746" s="2">
        <f t="shared" si="14"/>
        <v>0</v>
      </c>
      <c r="AF746" s="2">
        <f t="shared" si="15"/>
        <v>0</v>
      </c>
      <c r="AG746" s="2">
        <f t="shared" si="16"/>
        <v>0</v>
      </c>
      <c r="AH746" s="2">
        <f t="shared" si="17"/>
        <v>0</v>
      </c>
      <c r="AI746" s="2">
        <f t="shared" si="18"/>
      </c>
    </row>
    <row r="747">
      <c r="A747" s="43">
        <f t="shared" si="0"/>
      </c>
      <c r="B747" s="54" t="n"/>
      <c r="C747" s="45" t="n"/>
      <c r="D747" s="50" t="n"/>
      <c r="E747" s="55" t="n"/>
      <c r="F747" s="50" t="n"/>
      <c r="G747" s="55" t="n"/>
      <c r="H747" s="50" t="n"/>
      <c r="I747" s="55" t="n"/>
      <c r="J747" s="50" t="n"/>
      <c r="K747" s="55" t="n"/>
      <c r="L747" s="56" t="n"/>
      <c r="M747" s="57" t="n"/>
      <c r="N747" s="57" t="n"/>
      <c r="O747" s="57" t="n"/>
      <c r="P747" s="57" t="n"/>
      <c r="Q747" s="50" t="n"/>
      <c r="R747" s="58">
        <f t="shared" si="1"/>
      </c>
      <c r="S747" s="59">
        <f t="shared" si="2"/>
      </c>
      <c r="T747" s="43">
        <f t="shared" si="3"/>
      </c>
      <c r="U747" s="60">
        <f t="shared" si="4"/>
      </c>
      <c r="V747" s="60">
        <f t="shared" si="5"/>
      </c>
      <c r="W747" s="60">
        <f t="shared" si="6"/>
      </c>
      <c r="X747" s="49">
        <f t="shared" si="7"/>
      </c>
      <c r="Y747" s="2">
        <f t="shared" si="8"/>
      </c>
      <c r="Z747" s="2">
        <f t="shared" si="9"/>
        <v>0</v>
      </c>
      <c r="AA747" s="2">
        <f t="shared" si="10"/>
        <v>0</v>
      </c>
      <c r="AB747" s="2">
        <f t="shared" si="11"/>
        <v>0</v>
      </c>
      <c r="AC747" s="2">
        <f t="shared" si="12"/>
        <v>0</v>
      </c>
      <c r="AD747" s="2">
        <f t="shared" si="13"/>
        <v>0</v>
      </c>
      <c r="AE747" s="2">
        <f t="shared" si="14"/>
        <v>0</v>
      </c>
      <c r="AF747" s="2">
        <f t="shared" si="15"/>
        <v>0</v>
      </c>
      <c r="AG747" s="2">
        <f t="shared" si="16"/>
        <v>0</v>
      </c>
      <c r="AH747" s="2">
        <f t="shared" si="17"/>
        <v>0</v>
      </c>
      <c r="AI747" s="2">
        <f t="shared" si="18"/>
      </c>
    </row>
    <row r="748">
      <c r="A748" s="43">
        <f t="shared" si="0"/>
      </c>
      <c r="B748" s="54" t="n"/>
      <c r="C748" s="45" t="n"/>
      <c r="D748" s="50" t="n"/>
      <c r="E748" s="55" t="n"/>
      <c r="F748" s="50" t="n"/>
      <c r="G748" s="55" t="n"/>
      <c r="H748" s="50" t="n"/>
      <c r="I748" s="55" t="n"/>
      <c r="J748" s="50" t="n"/>
      <c r="K748" s="55" t="n"/>
      <c r="L748" s="56" t="n"/>
      <c r="M748" s="57" t="n"/>
      <c r="N748" s="57" t="n"/>
      <c r="O748" s="57" t="n"/>
      <c r="P748" s="57" t="n"/>
      <c r="Q748" s="50" t="n"/>
      <c r="R748" s="58">
        <f t="shared" si="1"/>
      </c>
      <c r="S748" s="59">
        <f t="shared" si="2"/>
      </c>
      <c r="T748" s="43">
        <f t="shared" si="3"/>
      </c>
      <c r="U748" s="60">
        <f t="shared" si="4"/>
      </c>
      <c r="V748" s="60">
        <f t="shared" si="5"/>
      </c>
      <c r="W748" s="60">
        <f t="shared" si="6"/>
      </c>
      <c r="X748" s="49">
        <f t="shared" si="7"/>
      </c>
      <c r="Y748" s="2">
        <f t="shared" si="8"/>
      </c>
      <c r="Z748" s="2">
        <f t="shared" si="9"/>
        <v>0</v>
      </c>
      <c r="AA748" s="2">
        <f t="shared" si="10"/>
        <v>0</v>
      </c>
      <c r="AB748" s="2">
        <f t="shared" si="11"/>
        <v>0</v>
      </c>
      <c r="AC748" s="2">
        <f t="shared" si="12"/>
        <v>0</v>
      </c>
      <c r="AD748" s="2">
        <f t="shared" si="13"/>
        <v>0</v>
      </c>
      <c r="AE748" s="2">
        <f t="shared" si="14"/>
        <v>0</v>
      </c>
      <c r="AF748" s="2">
        <f t="shared" si="15"/>
        <v>0</v>
      </c>
      <c r="AG748" s="2">
        <f t="shared" si="16"/>
        <v>0</v>
      </c>
      <c r="AH748" s="2">
        <f t="shared" si="17"/>
        <v>0</v>
      </c>
      <c r="AI748" s="2">
        <f t="shared" si="18"/>
      </c>
    </row>
    <row r="749">
      <c r="A749" s="43">
        <f t="shared" si="0"/>
      </c>
      <c r="B749" s="54" t="n"/>
      <c r="C749" s="45" t="n"/>
      <c r="D749" s="50" t="n"/>
      <c r="E749" s="55" t="n"/>
      <c r="F749" s="50" t="n"/>
      <c r="G749" s="55" t="n"/>
      <c r="H749" s="50" t="n"/>
      <c r="I749" s="55" t="n"/>
      <c r="J749" s="50" t="n"/>
      <c r="K749" s="55" t="n"/>
      <c r="L749" s="56" t="n"/>
      <c r="M749" s="57" t="n"/>
      <c r="N749" s="57" t="n"/>
      <c r="O749" s="57" t="n"/>
      <c r="P749" s="57" t="n"/>
      <c r="Q749" s="50" t="n"/>
      <c r="R749" s="58">
        <f t="shared" si="1"/>
      </c>
      <c r="S749" s="59">
        <f t="shared" si="2"/>
      </c>
      <c r="T749" s="43">
        <f t="shared" si="3"/>
      </c>
      <c r="U749" s="60">
        <f t="shared" si="4"/>
      </c>
      <c r="V749" s="60">
        <f t="shared" si="5"/>
      </c>
      <c r="W749" s="60">
        <f t="shared" si="6"/>
      </c>
      <c r="X749" s="49">
        <f t="shared" si="7"/>
      </c>
      <c r="Y749" s="2">
        <f t="shared" si="8"/>
      </c>
      <c r="Z749" s="2">
        <f t="shared" si="9"/>
        <v>0</v>
      </c>
      <c r="AA749" s="2">
        <f t="shared" si="10"/>
        <v>0</v>
      </c>
      <c r="AB749" s="2">
        <f t="shared" si="11"/>
        <v>0</v>
      </c>
      <c r="AC749" s="2">
        <f t="shared" si="12"/>
        <v>0</v>
      </c>
      <c r="AD749" s="2">
        <f t="shared" si="13"/>
        <v>0</v>
      </c>
      <c r="AE749" s="2">
        <f t="shared" si="14"/>
        <v>0</v>
      </c>
      <c r="AF749" s="2">
        <f t="shared" si="15"/>
        <v>0</v>
      </c>
      <c r="AG749" s="2">
        <f t="shared" si="16"/>
        <v>0</v>
      </c>
      <c r="AH749" s="2">
        <f t="shared" si="17"/>
        <v>0</v>
      </c>
      <c r="AI749" s="2">
        <f t="shared" si="18"/>
      </c>
    </row>
    <row r="750">
      <c r="A750" s="43">
        <f t="shared" si="0"/>
      </c>
      <c r="B750" s="54" t="n"/>
      <c r="C750" s="45" t="n"/>
      <c r="D750" s="50" t="n"/>
      <c r="E750" s="55" t="n"/>
      <c r="F750" s="50" t="n"/>
      <c r="G750" s="55" t="n"/>
      <c r="H750" s="50" t="n"/>
      <c r="I750" s="55" t="n"/>
      <c r="J750" s="50" t="n"/>
      <c r="K750" s="55" t="n"/>
      <c r="L750" s="56" t="n"/>
      <c r="M750" s="57" t="n"/>
      <c r="N750" s="57" t="n"/>
      <c r="O750" s="57" t="n"/>
      <c r="P750" s="57" t="n"/>
      <c r="Q750" s="50" t="n"/>
      <c r="R750" s="58">
        <f t="shared" si="1"/>
      </c>
      <c r="S750" s="59">
        <f t="shared" si="2"/>
      </c>
      <c r="T750" s="43">
        <f t="shared" si="3"/>
      </c>
      <c r="U750" s="60">
        <f t="shared" si="4"/>
      </c>
      <c r="V750" s="60">
        <f t="shared" si="5"/>
      </c>
      <c r="W750" s="60">
        <f t="shared" si="6"/>
      </c>
      <c r="X750" s="49">
        <f t="shared" si="7"/>
      </c>
      <c r="Y750" s="2">
        <f t="shared" si="8"/>
      </c>
      <c r="Z750" s="2">
        <f t="shared" si="9"/>
        <v>0</v>
      </c>
      <c r="AA750" s="2">
        <f t="shared" si="10"/>
        <v>0</v>
      </c>
      <c r="AB750" s="2">
        <f t="shared" si="11"/>
        <v>0</v>
      </c>
      <c r="AC750" s="2">
        <f t="shared" si="12"/>
        <v>0</v>
      </c>
      <c r="AD750" s="2">
        <f t="shared" si="13"/>
        <v>0</v>
      </c>
      <c r="AE750" s="2">
        <f t="shared" si="14"/>
        <v>0</v>
      </c>
      <c r="AF750" s="2">
        <f t="shared" si="15"/>
        <v>0</v>
      </c>
      <c r="AG750" s="2">
        <f t="shared" si="16"/>
        <v>0</v>
      </c>
      <c r="AH750" s="2">
        <f t="shared" si="17"/>
        <v>0</v>
      </c>
      <c r="AI750" s="2">
        <f t="shared" si="18"/>
      </c>
    </row>
    <row r="751">
      <c r="A751" s="43">
        <f t="shared" si="0"/>
      </c>
      <c r="B751" s="54" t="n"/>
      <c r="C751" s="45" t="n"/>
      <c r="D751" s="50" t="n"/>
      <c r="E751" s="55" t="n"/>
      <c r="F751" s="50" t="n"/>
      <c r="G751" s="55" t="n"/>
      <c r="H751" s="50" t="n"/>
      <c r="I751" s="55" t="n"/>
      <c r="J751" s="50" t="n"/>
      <c r="K751" s="55" t="n"/>
      <c r="L751" s="56" t="n"/>
      <c r="M751" s="57" t="n"/>
      <c r="N751" s="57" t="n"/>
      <c r="O751" s="57" t="n"/>
      <c r="P751" s="57" t="n"/>
      <c r="Q751" s="50" t="n"/>
      <c r="R751" s="58">
        <f t="shared" si="1"/>
      </c>
      <c r="S751" s="59">
        <f t="shared" si="2"/>
      </c>
      <c r="T751" s="43">
        <f t="shared" si="3"/>
      </c>
      <c r="U751" s="60">
        <f t="shared" si="4"/>
      </c>
      <c r="V751" s="60">
        <f t="shared" si="5"/>
      </c>
      <c r="W751" s="60">
        <f t="shared" si="6"/>
      </c>
      <c r="X751" s="49">
        <f t="shared" si="7"/>
      </c>
      <c r="Y751" s="2">
        <f t="shared" si="8"/>
      </c>
      <c r="Z751" s="2">
        <f t="shared" si="9"/>
        <v>0</v>
      </c>
      <c r="AA751" s="2">
        <f t="shared" si="10"/>
        <v>0</v>
      </c>
      <c r="AB751" s="2">
        <f t="shared" si="11"/>
        <v>0</v>
      </c>
      <c r="AC751" s="2">
        <f t="shared" si="12"/>
        <v>0</v>
      </c>
      <c r="AD751" s="2">
        <f t="shared" si="13"/>
        <v>0</v>
      </c>
      <c r="AE751" s="2">
        <f t="shared" si="14"/>
        <v>0</v>
      </c>
      <c r="AF751" s="2">
        <f t="shared" si="15"/>
        <v>0</v>
      </c>
      <c r="AG751" s="2">
        <f t="shared" si="16"/>
        <v>0</v>
      </c>
      <c r="AH751" s="2">
        <f t="shared" si="17"/>
        <v>0</v>
      </c>
      <c r="AI751" s="2">
        <f t="shared" si="18"/>
      </c>
    </row>
    <row r="752">
      <c r="A752" s="43">
        <f t="shared" si="0"/>
      </c>
      <c r="B752" s="54" t="n"/>
      <c r="C752" s="45" t="n"/>
      <c r="D752" s="50" t="n"/>
      <c r="E752" s="55" t="n"/>
      <c r="F752" s="50" t="n"/>
      <c r="G752" s="55" t="n"/>
      <c r="H752" s="50" t="n"/>
      <c r="I752" s="55" t="n"/>
      <c r="J752" s="50" t="n"/>
      <c r="K752" s="55" t="n"/>
      <c r="L752" s="56" t="n"/>
      <c r="M752" s="57" t="n"/>
      <c r="N752" s="57" t="n"/>
      <c r="O752" s="57" t="n"/>
      <c r="P752" s="57" t="n"/>
      <c r="Q752" s="50" t="n"/>
      <c r="R752" s="58">
        <f t="shared" si="1"/>
      </c>
      <c r="S752" s="59">
        <f t="shared" si="2"/>
      </c>
      <c r="T752" s="43">
        <f t="shared" si="3"/>
      </c>
      <c r="U752" s="60">
        <f t="shared" si="4"/>
      </c>
      <c r="V752" s="60">
        <f t="shared" si="5"/>
      </c>
      <c r="W752" s="60">
        <f t="shared" si="6"/>
      </c>
      <c r="X752" s="49">
        <f t="shared" si="7"/>
      </c>
      <c r="Y752" s="2">
        <f t="shared" si="8"/>
      </c>
      <c r="Z752" s="2">
        <f t="shared" si="9"/>
        <v>0</v>
      </c>
      <c r="AA752" s="2">
        <f t="shared" si="10"/>
        <v>0</v>
      </c>
      <c r="AB752" s="2">
        <f t="shared" si="11"/>
        <v>0</v>
      </c>
      <c r="AC752" s="2">
        <f t="shared" si="12"/>
        <v>0</v>
      </c>
      <c r="AD752" s="2">
        <f t="shared" si="13"/>
        <v>0</v>
      </c>
      <c r="AE752" s="2">
        <f t="shared" si="14"/>
        <v>0</v>
      </c>
      <c r="AF752" s="2">
        <f t="shared" si="15"/>
        <v>0</v>
      </c>
      <c r="AG752" s="2">
        <f t="shared" si="16"/>
        <v>0</v>
      </c>
      <c r="AH752" s="2">
        <f t="shared" si="17"/>
        <v>0</v>
      </c>
      <c r="AI752" s="2">
        <f t="shared" si="18"/>
      </c>
    </row>
    <row r="753">
      <c r="A753" s="43">
        <f t="shared" si="0"/>
      </c>
      <c r="B753" s="54" t="n"/>
      <c r="C753" s="45" t="n"/>
      <c r="D753" s="50" t="n"/>
      <c r="E753" s="55" t="n"/>
      <c r="F753" s="50" t="n"/>
      <c r="G753" s="55" t="n"/>
      <c r="H753" s="50" t="n"/>
      <c r="I753" s="55" t="n"/>
      <c r="J753" s="50" t="n"/>
      <c r="K753" s="55" t="n"/>
      <c r="L753" s="56" t="n"/>
      <c r="M753" s="57" t="n"/>
      <c r="N753" s="57" t="n"/>
      <c r="O753" s="57" t="n"/>
      <c r="P753" s="57" t="n"/>
      <c r="Q753" s="50" t="n"/>
      <c r="R753" s="58">
        <f t="shared" si="1"/>
      </c>
      <c r="S753" s="59">
        <f t="shared" si="2"/>
      </c>
      <c r="T753" s="43">
        <f t="shared" si="3"/>
      </c>
      <c r="U753" s="60">
        <f t="shared" si="4"/>
      </c>
      <c r="V753" s="60">
        <f t="shared" si="5"/>
      </c>
      <c r="W753" s="60">
        <f t="shared" si="6"/>
      </c>
      <c r="X753" s="49">
        <f t="shared" si="7"/>
      </c>
      <c r="Y753" s="2">
        <f t="shared" si="8"/>
      </c>
      <c r="Z753" s="2">
        <f t="shared" si="9"/>
        <v>0</v>
      </c>
      <c r="AA753" s="2">
        <f t="shared" si="10"/>
        <v>0</v>
      </c>
      <c r="AB753" s="2">
        <f t="shared" si="11"/>
        <v>0</v>
      </c>
      <c r="AC753" s="2">
        <f t="shared" si="12"/>
        <v>0</v>
      </c>
      <c r="AD753" s="2">
        <f t="shared" si="13"/>
        <v>0</v>
      </c>
      <c r="AE753" s="2">
        <f t="shared" si="14"/>
        <v>0</v>
      </c>
      <c r="AF753" s="2">
        <f t="shared" si="15"/>
        <v>0</v>
      </c>
      <c r="AG753" s="2">
        <f t="shared" si="16"/>
        <v>0</v>
      </c>
      <c r="AH753" s="2">
        <f t="shared" si="17"/>
        <v>0</v>
      </c>
      <c r="AI753" s="2">
        <f t="shared" si="18"/>
      </c>
    </row>
    <row r="754">
      <c r="A754" s="43">
        <f t="shared" si="0"/>
      </c>
      <c r="B754" s="54" t="n"/>
      <c r="C754" s="45" t="n"/>
      <c r="D754" s="50" t="n"/>
      <c r="E754" s="55" t="n"/>
      <c r="F754" s="50" t="n"/>
      <c r="G754" s="55" t="n"/>
      <c r="H754" s="50" t="n"/>
      <c r="I754" s="55" t="n"/>
      <c r="J754" s="50" t="n"/>
      <c r="K754" s="55" t="n"/>
      <c r="L754" s="56" t="n"/>
      <c r="M754" s="57" t="n"/>
      <c r="N754" s="57" t="n"/>
      <c r="O754" s="57" t="n"/>
      <c r="P754" s="57" t="n"/>
      <c r="Q754" s="50" t="n"/>
      <c r="R754" s="58">
        <f t="shared" si="1"/>
      </c>
      <c r="S754" s="59">
        <f t="shared" si="2"/>
      </c>
      <c r="T754" s="43">
        <f t="shared" si="3"/>
      </c>
      <c r="U754" s="60">
        <f t="shared" si="4"/>
      </c>
      <c r="V754" s="60">
        <f t="shared" si="5"/>
      </c>
      <c r="W754" s="60">
        <f t="shared" si="6"/>
      </c>
      <c r="X754" s="49">
        <f t="shared" si="7"/>
      </c>
      <c r="Y754" s="2">
        <f t="shared" si="8"/>
      </c>
      <c r="Z754" s="2">
        <f t="shared" si="9"/>
        <v>0</v>
      </c>
      <c r="AA754" s="2">
        <f t="shared" si="10"/>
        <v>0</v>
      </c>
      <c r="AB754" s="2">
        <f t="shared" si="11"/>
        <v>0</v>
      </c>
      <c r="AC754" s="2">
        <f t="shared" si="12"/>
        <v>0</v>
      </c>
      <c r="AD754" s="2">
        <f t="shared" si="13"/>
        <v>0</v>
      </c>
      <c r="AE754" s="2">
        <f t="shared" si="14"/>
        <v>0</v>
      </c>
      <c r="AF754" s="2">
        <f t="shared" si="15"/>
        <v>0</v>
      </c>
      <c r="AG754" s="2">
        <f t="shared" si="16"/>
        <v>0</v>
      </c>
      <c r="AH754" s="2">
        <f t="shared" si="17"/>
        <v>0</v>
      </c>
      <c r="AI754" s="2">
        <f t="shared" si="18"/>
      </c>
    </row>
    <row r="755">
      <c r="A755" s="43">
        <f t="shared" si="0"/>
      </c>
      <c r="B755" s="54" t="n"/>
      <c r="C755" s="45" t="n"/>
      <c r="D755" s="50" t="n"/>
      <c r="E755" s="55" t="n"/>
      <c r="F755" s="50" t="n"/>
      <c r="G755" s="55" t="n"/>
      <c r="H755" s="50" t="n"/>
      <c r="I755" s="55" t="n"/>
      <c r="J755" s="50" t="n"/>
      <c r="K755" s="55" t="n"/>
      <c r="L755" s="56" t="n"/>
      <c r="M755" s="57" t="n"/>
      <c r="N755" s="57" t="n"/>
      <c r="O755" s="57" t="n"/>
      <c r="P755" s="57" t="n"/>
      <c r="Q755" s="50" t="n"/>
      <c r="R755" s="58">
        <f t="shared" si="1"/>
      </c>
      <c r="S755" s="59">
        <f t="shared" si="2"/>
      </c>
      <c r="T755" s="43">
        <f t="shared" si="3"/>
      </c>
      <c r="U755" s="60">
        <f t="shared" si="4"/>
      </c>
      <c r="V755" s="60">
        <f t="shared" si="5"/>
      </c>
      <c r="W755" s="60">
        <f t="shared" si="6"/>
      </c>
      <c r="X755" s="49">
        <f t="shared" si="7"/>
      </c>
      <c r="Y755" s="2">
        <f t="shared" si="8"/>
      </c>
      <c r="Z755" s="2">
        <f t="shared" si="9"/>
        <v>0</v>
      </c>
      <c r="AA755" s="2">
        <f t="shared" si="10"/>
        <v>0</v>
      </c>
      <c r="AB755" s="2">
        <f t="shared" si="11"/>
        <v>0</v>
      </c>
      <c r="AC755" s="2">
        <f t="shared" si="12"/>
        <v>0</v>
      </c>
      <c r="AD755" s="2">
        <f t="shared" si="13"/>
        <v>0</v>
      </c>
      <c r="AE755" s="2">
        <f t="shared" si="14"/>
        <v>0</v>
      </c>
      <c r="AF755" s="2">
        <f t="shared" si="15"/>
        <v>0</v>
      </c>
      <c r="AG755" s="2">
        <f t="shared" si="16"/>
        <v>0</v>
      </c>
      <c r="AH755" s="2">
        <f t="shared" si="17"/>
        <v>0</v>
      </c>
      <c r="AI755" s="2">
        <f t="shared" si="18"/>
      </c>
    </row>
    <row r="756">
      <c r="A756" s="43">
        <f t="shared" si="0"/>
      </c>
      <c r="B756" s="54" t="n"/>
      <c r="C756" s="45" t="n"/>
      <c r="D756" s="50" t="n"/>
      <c r="E756" s="55" t="n"/>
      <c r="F756" s="50" t="n"/>
      <c r="G756" s="55" t="n"/>
      <c r="H756" s="50" t="n"/>
      <c r="I756" s="55" t="n"/>
      <c r="J756" s="50" t="n"/>
      <c r="K756" s="55" t="n"/>
      <c r="L756" s="56" t="n"/>
      <c r="M756" s="57" t="n"/>
      <c r="N756" s="57" t="n"/>
      <c r="O756" s="57" t="n"/>
      <c r="P756" s="57" t="n"/>
      <c r="Q756" s="50" t="n"/>
      <c r="R756" s="58">
        <f t="shared" si="1"/>
      </c>
      <c r="S756" s="59">
        <f t="shared" si="2"/>
      </c>
      <c r="T756" s="43">
        <f t="shared" si="3"/>
      </c>
      <c r="U756" s="60">
        <f t="shared" si="4"/>
      </c>
      <c r="V756" s="60">
        <f t="shared" si="5"/>
      </c>
      <c r="W756" s="60">
        <f t="shared" si="6"/>
      </c>
      <c r="X756" s="49">
        <f t="shared" si="7"/>
      </c>
      <c r="Y756" s="2">
        <f t="shared" si="8"/>
      </c>
      <c r="Z756" s="2">
        <f t="shared" si="9"/>
        <v>0</v>
      </c>
      <c r="AA756" s="2">
        <f t="shared" si="10"/>
        <v>0</v>
      </c>
      <c r="AB756" s="2">
        <f t="shared" si="11"/>
        <v>0</v>
      </c>
      <c r="AC756" s="2">
        <f t="shared" si="12"/>
        <v>0</v>
      </c>
      <c r="AD756" s="2">
        <f t="shared" si="13"/>
        <v>0</v>
      </c>
      <c r="AE756" s="2">
        <f t="shared" si="14"/>
        <v>0</v>
      </c>
      <c r="AF756" s="2">
        <f t="shared" si="15"/>
        <v>0</v>
      </c>
      <c r="AG756" s="2">
        <f t="shared" si="16"/>
        <v>0</v>
      </c>
      <c r="AH756" s="2">
        <f t="shared" si="17"/>
        <v>0</v>
      </c>
      <c r="AI756" s="2">
        <f t="shared" si="18"/>
      </c>
    </row>
    <row r="757">
      <c r="A757" s="43">
        <f t="shared" si="0"/>
      </c>
      <c r="B757" s="54" t="n"/>
      <c r="C757" s="45" t="n"/>
      <c r="D757" s="50" t="n"/>
      <c r="E757" s="55" t="n"/>
      <c r="F757" s="50" t="n"/>
      <c r="G757" s="55" t="n"/>
      <c r="H757" s="50" t="n"/>
      <c r="I757" s="55" t="n"/>
      <c r="J757" s="50" t="n"/>
      <c r="K757" s="55" t="n"/>
      <c r="L757" s="56" t="n"/>
      <c r="M757" s="57" t="n"/>
      <c r="N757" s="57" t="n"/>
      <c r="O757" s="57" t="n"/>
      <c r="P757" s="57" t="n"/>
      <c r="Q757" s="50" t="n"/>
      <c r="R757" s="58">
        <f t="shared" si="1"/>
      </c>
      <c r="S757" s="59">
        <f t="shared" si="2"/>
      </c>
      <c r="T757" s="43">
        <f t="shared" si="3"/>
      </c>
      <c r="U757" s="60">
        <f t="shared" si="4"/>
      </c>
      <c r="V757" s="60">
        <f t="shared" si="5"/>
      </c>
      <c r="W757" s="60">
        <f t="shared" si="6"/>
      </c>
      <c r="X757" s="49">
        <f t="shared" si="7"/>
      </c>
      <c r="Y757" s="2">
        <f t="shared" si="8"/>
      </c>
      <c r="Z757" s="2">
        <f t="shared" si="9"/>
        <v>0</v>
      </c>
      <c r="AA757" s="2">
        <f t="shared" si="10"/>
        <v>0</v>
      </c>
      <c r="AB757" s="2">
        <f t="shared" si="11"/>
        <v>0</v>
      </c>
      <c r="AC757" s="2">
        <f t="shared" si="12"/>
        <v>0</v>
      </c>
      <c r="AD757" s="2">
        <f t="shared" si="13"/>
        <v>0</v>
      </c>
      <c r="AE757" s="2">
        <f t="shared" si="14"/>
        <v>0</v>
      </c>
      <c r="AF757" s="2">
        <f t="shared" si="15"/>
        <v>0</v>
      </c>
      <c r="AG757" s="2">
        <f t="shared" si="16"/>
        <v>0</v>
      </c>
      <c r="AH757" s="2">
        <f t="shared" si="17"/>
        <v>0</v>
      </c>
      <c r="AI757" s="2">
        <f t="shared" si="18"/>
      </c>
    </row>
    <row r="758">
      <c r="A758" s="43">
        <f t="shared" si="0"/>
      </c>
      <c r="B758" s="54" t="n"/>
      <c r="C758" s="45" t="n"/>
      <c r="D758" s="50" t="n"/>
      <c r="E758" s="55" t="n"/>
      <c r="F758" s="50" t="n"/>
      <c r="G758" s="55" t="n"/>
      <c r="H758" s="50" t="n"/>
      <c r="I758" s="55" t="n"/>
      <c r="J758" s="50" t="n"/>
      <c r="K758" s="55" t="n"/>
      <c r="L758" s="56" t="n"/>
      <c r="M758" s="57" t="n"/>
      <c r="N758" s="57" t="n"/>
      <c r="O758" s="57" t="n"/>
      <c r="P758" s="57" t="n"/>
      <c r="Q758" s="50" t="n"/>
      <c r="R758" s="58">
        <f t="shared" si="1"/>
      </c>
      <c r="S758" s="59">
        <f t="shared" si="2"/>
      </c>
      <c r="T758" s="43">
        <f t="shared" si="3"/>
      </c>
      <c r="U758" s="60">
        <f t="shared" si="4"/>
      </c>
      <c r="V758" s="60">
        <f t="shared" si="5"/>
      </c>
      <c r="W758" s="60">
        <f t="shared" si="6"/>
      </c>
      <c r="X758" s="49">
        <f t="shared" si="7"/>
      </c>
      <c r="Y758" s="2">
        <f t="shared" si="8"/>
      </c>
      <c r="Z758" s="2">
        <f t="shared" si="9"/>
        <v>0</v>
      </c>
      <c r="AA758" s="2">
        <f t="shared" si="10"/>
        <v>0</v>
      </c>
      <c r="AB758" s="2">
        <f t="shared" si="11"/>
        <v>0</v>
      </c>
      <c r="AC758" s="2">
        <f t="shared" si="12"/>
        <v>0</v>
      </c>
      <c r="AD758" s="2">
        <f t="shared" si="13"/>
        <v>0</v>
      </c>
      <c r="AE758" s="2">
        <f t="shared" si="14"/>
        <v>0</v>
      </c>
      <c r="AF758" s="2">
        <f t="shared" si="15"/>
        <v>0</v>
      </c>
      <c r="AG758" s="2">
        <f t="shared" si="16"/>
        <v>0</v>
      </c>
      <c r="AH758" s="2">
        <f t="shared" si="17"/>
        <v>0</v>
      </c>
      <c r="AI758" s="2">
        <f t="shared" si="18"/>
      </c>
    </row>
    <row r="759">
      <c r="A759" s="43">
        <f t="shared" si="0"/>
      </c>
      <c r="B759" s="54" t="n"/>
      <c r="C759" s="45" t="n"/>
      <c r="D759" s="50" t="n"/>
      <c r="E759" s="55" t="n"/>
      <c r="F759" s="50" t="n"/>
      <c r="G759" s="55" t="n"/>
      <c r="H759" s="50" t="n"/>
      <c r="I759" s="55" t="n"/>
      <c r="J759" s="50" t="n"/>
      <c r="K759" s="55" t="n"/>
      <c r="L759" s="56" t="n"/>
      <c r="M759" s="57" t="n"/>
      <c r="N759" s="57" t="n"/>
      <c r="O759" s="57" t="n"/>
      <c r="P759" s="57" t="n"/>
      <c r="Q759" s="50" t="n"/>
      <c r="R759" s="58">
        <f t="shared" si="1"/>
      </c>
      <c r="S759" s="59">
        <f t="shared" si="2"/>
      </c>
      <c r="T759" s="43">
        <f t="shared" si="3"/>
      </c>
      <c r="U759" s="60">
        <f t="shared" si="4"/>
      </c>
      <c r="V759" s="60">
        <f t="shared" si="5"/>
      </c>
      <c r="W759" s="60">
        <f t="shared" si="6"/>
      </c>
      <c r="X759" s="49">
        <f t="shared" si="7"/>
      </c>
      <c r="Y759" s="2">
        <f t="shared" si="8"/>
      </c>
      <c r="Z759" s="2">
        <f t="shared" si="9"/>
        <v>0</v>
      </c>
      <c r="AA759" s="2">
        <f t="shared" si="10"/>
        <v>0</v>
      </c>
      <c r="AB759" s="2">
        <f t="shared" si="11"/>
        <v>0</v>
      </c>
      <c r="AC759" s="2">
        <f t="shared" si="12"/>
        <v>0</v>
      </c>
      <c r="AD759" s="2">
        <f t="shared" si="13"/>
        <v>0</v>
      </c>
      <c r="AE759" s="2">
        <f t="shared" si="14"/>
        <v>0</v>
      </c>
      <c r="AF759" s="2">
        <f t="shared" si="15"/>
        <v>0</v>
      </c>
      <c r="AG759" s="2">
        <f t="shared" si="16"/>
        <v>0</v>
      </c>
      <c r="AH759" s="2">
        <f t="shared" si="17"/>
        <v>0</v>
      </c>
      <c r="AI759" s="2">
        <f t="shared" si="18"/>
      </c>
    </row>
    <row r="760">
      <c r="A760" s="43">
        <f t="shared" si="0"/>
      </c>
      <c r="B760" s="54" t="n"/>
      <c r="C760" s="45" t="n"/>
      <c r="D760" s="50" t="n"/>
      <c r="E760" s="55" t="n"/>
      <c r="F760" s="50" t="n"/>
      <c r="G760" s="55" t="n"/>
      <c r="H760" s="50" t="n"/>
      <c r="I760" s="55" t="n"/>
      <c r="J760" s="50" t="n"/>
      <c r="K760" s="55" t="n"/>
      <c r="L760" s="56" t="n"/>
      <c r="M760" s="57" t="n"/>
      <c r="N760" s="57" t="n"/>
      <c r="O760" s="57" t="n"/>
      <c r="P760" s="57" t="n"/>
      <c r="Q760" s="50" t="n"/>
      <c r="R760" s="58">
        <f t="shared" si="1"/>
      </c>
      <c r="S760" s="59">
        <f t="shared" si="2"/>
      </c>
      <c r="T760" s="43">
        <f t="shared" si="3"/>
      </c>
      <c r="U760" s="60">
        <f t="shared" si="4"/>
      </c>
      <c r="V760" s="60">
        <f t="shared" si="5"/>
      </c>
      <c r="W760" s="60">
        <f t="shared" si="6"/>
      </c>
      <c r="X760" s="49">
        <f t="shared" si="7"/>
      </c>
      <c r="Y760" s="2">
        <f t="shared" si="8"/>
      </c>
      <c r="Z760" s="2">
        <f t="shared" si="9"/>
        <v>0</v>
      </c>
      <c r="AA760" s="2">
        <f t="shared" si="10"/>
        <v>0</v>
      </c>
      <c r="AB760" s="2">
        <f t="shared" si="11"/>
        <v>0</v>
      </c>
      <c r="AC760" s="2">
        <f t="shared" si="12"/>
        <v>0</v>
      </c>
      <c r="AD760" s="2">
        <f t="shared" si="13"/>
        <v>0</v>
      </c>
      <c r="AE760" s="2">
        <f t="shared" si="14"/>
        <v>0</v>
      </c>
      <c r="AF760" s="2">
        <f t="shared" si="15"/>
        <v>0</v>
      </c>
      <c r="AG760" s="2">
        <f t="shared" si="16"/>
        <v>0</v>
      </c>
      <c r="AH760" s="2">
        <f t="shared" si="17"/>
        <v>0</v>
      </c>
      <c r="AI760" s="2">
        <f t="shared" si="18"/>
      </c>
    </row>
    <row r="761">
      <c r="A761" s="43">
        <f t="shared" si="0"/>
      </c>
      <c r="B761" s="54" t="n"/>
      <c r="C761" s="45" t="n"/>
      <c r="D761" s="50" t="n"/>
      <c r="E761" s="55" t="n"/>
      <c r="F761" s="50" t="n"/>
      <c r="G761" s="55" t="n"/>
      <c r="H761" s="50" t="n"/>
      <c r="I761" s="55" t="n"/>
      <c r="J761" s="50" t="n"/>
      <c r="K761" s="55" t="n"/>
      <c r="L761" s="56" t="n"/>
      <c r="M761" s="57" t="n"/>
      <c r="N761" s="57" t="n"/>
      <c r="O761" s="57" t="n"/>
      <c r="P761" s="57" t="n"/>
      <c r="Q761" s="50" t="n"/>
      <c r="R761" s="58">
        <f t="shared" si="1"/>
      </c>
      <c r="S761" s="59">
        <f t="shared" si="2"/>
      </c>
      <c r="T761" s="43">
        <f t="shared" si="3"/>
      </c>
      <c r="U761" s="60">
        <f t="shared" si="4"/>
      </c>
      <c r="V761" s="60">
        <f t="shared" si="5"/>
      </c>
      <c r="W761" s="60">
        <f t="shared" si="6"/>
      </c>
      <c r="X761" s="49">
        <f t="shared" si="7"/>
      </c>
      <c r="Y761" s="2">
        <f t="shared" si="8"/>
      </c>
      <c r="Z761" s="2">
        <f t="shared" si="9"/>
        <v>0</v>
      </c>
      <c r="AA761" s="2">
        <f t="shared" si="10"/>
        <v>0</v>
      </c>
      <c r="AB761" s="2">
        <f t="shared" si="11"/>
        <v>0</v>
      </c>
      <c r="AC761" s="2">
        <f t="shared" si="12"/>
        <v>0</v>
      </c>
      <c r="AD761" s="2">
        <f t="shared" si="13"/>
        <v>0</v>
      </c>
      <c r="AE761" s="2">
        <f t="shared" si="14"/>
        <v>0</v>
      </c>
      <c r="AF761" s="2">
        <f t="shared" si="15"/>
        <v>0</v>
      </c>
      <c r="AG761" s="2">
        <f t="shared" si="16"/>
        <v>0</v>
      </c>
      <c r="AH761" s="2">
        <f t="shared" si="17"/>
        <v>0</v>
      </c>
      <c r="AI761" s="2">
        <f t="shared" si="18"/>
      </c>
    </row>
    <row r="762">
      <c r="A762" s="43">
        <f t="shared" si="0"/>
      </c>
      <c r="B762" s="54" t="n"/>
      <c r="C762" s="45" t="n"/>
      <c r="D762" s="50" t="n"/>
      <c r="E762" s="55" t="n"/>
      <c r="F762" s="50" t="n"/>
      <c r="G762" s="55" t="n"/>
      <c r="H762" s="50" t="n"/>
      <c r="I762" s="55" t="n"/>
      <c r="J762" s="50" t="n"/>
      <c r="K762" s="55" t="n"/>
      <c r="L762" s="56" t="n"/>
      <c r="M762" s="57" t="n"/>
      <c r="N762" s="57" t="n"/>
      <c r="O762" s="57" t="n"/>
      <c r="P762" s="57" t="n"/>
      <c r="Q762" s="50" t="n"/>
      <c r="R762" s="58">
        <f t="shared" si="1"/>
      </c>
      <c r="S762" s="59">
        <f t="shared" si="2"/>
      </c>
      <c r="T762" s="43">
        <f t="shared" si="3"/>
      </c>
      <c r="U762" s="60">
        <f t="shared" si="4"/>
      </c>
      <c r="V762" s="60">
        <f t="shared" si="5"/>
      </c>
      <c r="W762" s="60">
        <f t="shared" si="6"/>
      </c>
      <c r="X762" s="49">
        <f t="shared" si="7"/>
      </c>
      <c r="Y762" s="2">
        <f t="shared" si="8"/>
      </c>
      <c r="Z762" s="2">
        <f t="shared" si="9"/>
        <v>0</v>
      </c>
      <c r="AA762" s="2">
        <f t="shared" si="10"/>
        <v>0</v>
      </c>
      <c r="AB762" s="2">
        <f t="shared" si="11"/>
        <v>0</v>
      </c>
      <c r="AC762" s="2">
        <f t="shared" si="12"/>
        <v>0</v>
      </c>
      <c r="AD762" s="2">
        <f t="shared" si="13"/>
        <v>0</v>
      </c>
      <c r="AE762" s="2">
        <f t="shared" si="14"/>
        <v>0</v>
      </c>
      <c r="AF762" s="2">
        <f t="shared" si="15"/>
        <v>0</v>
      </c>
      <c r="AG762" s="2">
        <f t="shared" si="16"/>
        <v>0</v>
      </c>
      <c r="AH762" s="2">
        <f t="shared" si="17"/>
        <v>0</v>
      </c>
      <c r="AI762" s="2">
        <f t="shared" si="18"/>
      </c>
    </row>
    <row r="763">
      <c r="A763" s="43">
        <f t="shared" si="0"/>
      </c>
      <c r="B763" s="54" t="n"/>
      <c r="C763" s="45" t="n"/>
      <c r="D763" s="50" t="n"/>
      <c r="E763" s="55" t="n"/>
      <c r="F763" s="50" t="n"/>
      <c r="G763" s="55" t="n"/>
      <c r="H763" s="50" t="n"/>
      <c r="I763" s="55" t="n"/>
      <c r="J763" s="50" t="n"/>
      <c r="K763" s="55" t="n"/>
      <c r="L763" s="56" t="n"/>
      <c r="M763" s="57" t="n"/>
      <c r="N763" s="57" t="n"/>
      <c r="O763" s="57" t="n"/>
      <c r="P763" s="57" t="n"/>
      <c r="Q763" s="50" t="n"/>
      <c r="R763" s="58">
        <f t="shared" si="1"/>
      </c>
      <c r="S763" s="59">
        <f t="shared" si="2"/>
      </c>
      <c r="T763" s="43">
        <f t="shared" si="3"/>
      </c>
      <c r="U763" s="60">
        <f t="shared" si="4"/>
      </c>
      <c r="V763" s="60">
        <f t="shared" si="5"/>
      </c>
      <c r="W763" s="60">
        <f t="shared" si="6"/>
      </c>
      <c r="X763" s="49">
        <f t="shared" si="7"/>
      </c>
      <c r="Y763" s="2">
        <f t="shared" si="8"/>
      </c>
      <c r="Z763" s="2">
        <f t="shared" si="9"/>
        <v>0</v>
      </c>
      <c r="AA763" s="2">
        <f t="shared" si="10"/>
        <v>0</v>
      </c>
      <c r="AB763" s="2">
        <f t="shared" si="11"/>
        <v>0</v>
      </c>
      <c r="AC763" s="2">
        <f t="shared" si="12"/>
        <v>0</v>
      </c>
      <c r="AD763" s="2">
        <f t="shared" si="13"/>
        <v>0</v>
      </c>
      <c r="AE763" s="2">
        <f t="shared" si="14"/>
        <v>0</v>
      </c>
      <c r="AF763" s="2">
        <f t="shared" si="15"/>
        <v>0</v>
      </c>
      <c r="AG763" s="2">
        <f t="shared" si="16"/>
        <v>0</v>
      </c>
      <c r="AH763" s="2">
        <f t="shared" si="17"/>
        <v>0</v>
      </c>
      <c r="AI763" s="2">
        <f t="shared" si="18"/>
      </c>
    </row>
    <row r="764">
      <c r="A764" s="43">
        <f t="shared" si="0"/>
      </c>
      <c r="B764" s="54" t="n"/>
      <c r="C764" s="45" t="n"/>
      <c r="D764" s="50" t="n"/>
      <c r="E764" s="55" t="n"/>
      <c r="F764" s="50" t="n"/>
      <c r="G764" s="55" t="n"/>
      <c r="H764" s="50" t="n"/>
      <c r="I764" s="55" t="n"/>
      <c r="J764" s="50" t="n"/>
      <c r="K764" s="55" t="n"/>
      <c r="L764" s="56" t="n"/>
      <c r="M764" s="57" t="n"/>
      <c r="N764" s="57" t="n"/>
      <c r="O764" s="57" t="n"/>
      <c r="P764" s="57" t="n"/>
      <c r="Q764" s="50" t="n"/>
      <c r="R764" s="58">
        <f t="shared" si="1"/>
      </c>
      <c r="S764" s="59">
        <f t="shared" si="2"/>
      </c>
      <c r="T764" s="43">
        <f t="shared" si="3"/>
      </c>
      <c r="U764" s="60">
        <f t="shared" si="4"/>
      </c>
      <c r="V764" s="60">
        <f t="shared" si="5"/>
      </c>
      <c r="W764" s="60">
        <f t="shared" si="6"/>
      </c>
      <c r="X764" s="49">
        <f t="shared" si="7"/>
      </c>
      <c r="Y764" s="2">
        <f t="shared" si="8"/>
      </c>
      <c r="Z764" s="2">
        <f t="shared" si="9"/>
        <v>0</v>
      </c>
      <c r="AA764" s="2">
        <f t="shared" si="10"/>
        <v>0</v>
      </c>
      <c r="AB764" s="2">
        <f t="shared" si="11"/>
        <v>0</v>
      </c>
      <c r="AC764" s="2">
        <f t="shared" si="12"/>
        <v>0</v>
      </c>
      <c r="AD764" s="2">
        <f t="shared" si="13"/>
        <v>0</v>
      </c>
      <c r="AE764" s="2">
        <f t="shared" si="14"/>
        <v>0</v>
      </c>
      <c r="AF764" s="2">
        <f t="shared" si="15"/>
        <v>0</v>
      </c>
      <c r="AG764" s="2">
        <f t="shared" si="16"/>
        <v>0</v>
      </c>
      <c r="AH764" s="2">
        <f t="shared" si="17"/>
        <v>0</v>
      </c>
      <c r="AI764" s="2">
        <f t="shared" si="18"/>
      </c>
    </row>
    <row r="765">
      <c r="A765" s="43">
        <f t="shared" si="0"/>
      </c>
      <c r="B765" s="54" t="n"/>
      <c r="C765" s="45" t="n"/>
      <c r="D765" s="50" t="n"/>
      <c r="E765" s="55" t="n"/>
      <c r="F765" s="50" t="n"/>
      <c r="G765" s="55" t="n"/>
      <c r="H765" s="50" t="n"/>
      <c r="I765" s="55" t="n"/>
      <c r="J765" s="50" t="n"/>
      <c r="K765" s="55" t="n"/>
      <c r="L765" s="56" t="n"/>
      <c r="M765" s="57" t="n"/>
      <c r="N765" s="57" t="n"/>
      <c r="O765" s="57" t="n"/>
      <c r="P765" s="57" t="n"/>
      <c r="Q765" s="50" t="n"/>
      <c r="R765" s="58">
        <f t="shared" si="1"/>
      </c>
      <c r="S765" s="59">
        <f t="shared" si="2"/>
      </c>
      <c r="T765" s="43">
        <f t="shared" si="3"/>
      </c>
      <c r="U765" s="60">
        <f t="shared" si="4"/>
      </c>
      <c r="V765" s="60">
        <f t="shared" si="5"/>
      </c>
      <c r="W765" s="60">
        <f t="shared" si="6"/>
      </c>
      <c r="X765" s="49">
        <f t="shared" si="7"/>
      </c>
      <c r="Y765" s="2">
        <f t="shared" si="8"/>
      </c>
      <c r="Z765" s="2">
        <f t="shared" si="9"/>
        <v>0</v>
      </c>
      <c r="AA765" s="2">
        <f t="shared" si="10"/>
        <v>0</v>
      </c>
      <c r="AB765" s="2">
        <f t="shared" si="11"/>
        <v>0</v>
      </c>
      <c r="AC765" s="2">
        <f t="shared" si="12"/>
        <v>0</v>
      </c>
      <c r="AD765" s="2">
        <f t="shared" si="13"/>
        <v>0</v>
      </c>
      <c r="AE765" s="2">
        <f t="shared" si="14"/>
        <v>0</v>
      </c>
      <c r="AF765" s="2">
        <f t="shared" si="15"/>
        <v>0</v>
      </c>
      <c r="AG765" s="2">
        <f t="shared" si="16"/>
        <v>0</v>
      </c>
      <c r="AH765" s="2">
        <f t="shared" si="17"/>
        <v>0</v>
      </c>
      <c r="AI765" s="2">
        <f t="shared" si="18"/>
      </c>
    </row>
    <row r="766">
      <c r="A766" s="43">
        <f t="shared" si="0"/>
      </c>
      <c r="B766" s="54" t="n"/>
      <c r="C766" s="45" t="n"/>
      <c r="D766" s="50" t="n"/>
      <c r="E766" s="55" t="n"/>
      <c r="F766" s="50" t="n"/>
      <c r="G766" s="55" t="n"/>
      <c r="H766" s="50" t="n"/>
      <c r="I766" s="55" t="n"/>
      <c r="J766" s="50" t="n"/>
      <c r="K766" s="55" t="n"/>
      <c r="L766" s="56" t="n"/>
      <c r="M766" s="57" t="n"/>
      <c r="N766" s="57" t="n"/>
      <c r="O766" s="57" t="n"/>
      <c r="P766" s="57" t="n"/>
      <c r="Q766" s="50" t="n"/>
      <c r="R766" s="58">
        <f t="shared" si="1"/>
      </c>
      <c r="S766" s="59">
        <f t="shared" si="2"/>
      </c>
      <c r="T766" s="43">
        <f t="shared" si="3"/>
      </c>
      <c r="U766" s="60">
        <f t="shared" si="4"/>
      </c>
      <c r="V766" s="60">
        <f t="shared" si="5"/>
      </c>
      <c r="W766" s="60">
        <f t="shared" si="6"/>
      </c>
      <c r="X766" s="49">
        <f t="shared" si="7"/>
      </c>
      <c r="Y766" s="2">
        <f t="shared" si="8"/>
      </c>
      <c r="Z766" s="2">
        <f t="shared" si="9"/>
        <v>0</v>
      </c>
      <c r="AA766" s="2">
        <f t="shared" si="10"/>
        <v>0</v>
      </c>
      <c r="AB766" s="2">
        <f t="shared" si="11"/>
        <v>0</v>
      </c>
      <c r="AC766" s="2">
        <f t="shared" si="12"/>
        <v>0</v>
      </c>
      <c r="AD766" s="2">
        <f t="shared" si="13"/>
        <v>0</v>
      </c>
      <c r="AE766" s="2">
        <f t="shared" si="14"/>
        <v>0</v>
      </c>
      <c r="AF766" s="2">
        <f t="shared" si="15"/>
        <v>0</v>
      </c>
      <c r="AG766" s="2">
        <f t="shared" si="16"/>
        <v>0</v>
      </c>
      <c r="AH766" s="2">
        <f t="shared" si="17"/>
        <v>0</v>
      </c>
      <c r="AI766" s="2">
        <f t="shared" si="18"/>
      </c>
    </row>
    <row r="767">
      <c r="A767" s="43">
        <f t="shared" si="0"/>
      </c>
      <c r="B767" s="54" t="n"/>
      <c r="C767" s="45" t="n"/>
      <c r="D767" s="50" t="n"/>
      <c r="E767" s="55" t="n"/>
      <c r="F767" s="50" t="n"/>
      <c r="G767" s="55" t="n"/>
      <c r="H767" s="50" t="n"/>
      <c r="I767" s="55" t="n"/>
      <c r="J767" s="50" t="n"/>
      <c r="K767" s="55" t="n"/>
      <c r="L767" s="56" t="n"/>
      <c r="M767" s="57" t="n"/>
      <c r="N767" s="57" t="n"/>
      <c r="O767" s="57" t="n"/>
      <c r="P767" s="57" t="n"/>
      <c r="Q767" s="50" t="n"/>
      <c r="R767" s="58">
        <f t="shared" si="1"/>
      </c>
      <c r="S767" s="59">
        <f t="shared" si="2"/>
      </c>
      <c r="T767" s="43">
        <f t="shared" si="3"/>
      </c>
      <c r="U767" s="60">
        <f t="shared" si="4"/>
      </c>
      <c r="V767" s="60">
        <f t="shared" si="5"/>
      </c>
      <c r="W767" s="60">
        <f t="shared" si="6"/>
      </c>
      <c r="X767" s="49">
        <f t="shared" si="7"/>
      </c>
      <c r="Y767" s="2">
        <f t="shared" si="8"/>
      </c>
      <c r="Z767" s="2">
        <f t="shared" si="9"/>
        <v>0</v>
      </c>
      <c r="AA767" s="2">
        <f t="shared" si="10"/>
        <v>0</v>
      </c>
      <c r="AB767" s="2">
        <f t="shared" si="11"/>
        <v>0</v>
      </c>
      <c r="AC767" s="2">
        <f t="shared" si="12"/>
        <v>0</v>
      </c>
      <c r="AD767" s="2">
        <f t="shared" si="13"/>
        <v>0</v>
      </c>
      <c r="AE767" s="2">
        <f t="shared" si="14"/>
        <v>0</v>
      </c>
      <c r="AF767" s="2">
        <f t="shared" si="15"/>
        <v>0</v>
      </c>
      <c r="AG767" s="2">
        <f t="shared" si="16"/>
        <v>0</v>
      </c>
      <c r="AH767" s="2">
        <f t="shared" si="17"/>
        <v>0</v>
      </c>
      <c r="AI767" s="2">
        <f t="shared" si="18"/>
      </c>
    </row>
    <row r="768">
      <c r="A768" s="43">
        <f t="shared" si="0"/>
      </c>
      <c r="B768" s="54" t="n"/>
      <c r="C768" s="45" t="n"/>
      <c r="D768" s="50" t="n"/>
      <c r="E768" s="55" t="n"/>
      <c r="F768" s="50" t="n"/>
      <c r="G768" s="55" t="n"/>
      <c r="H768" s="50" t="n"/>
      <c r="I768" s="55" t="n"/>
      <c r="J768" s="50" t="n"/>
      <c r="K768" s="55" t="n"/>
      <c r="L768" s="56" t="n"/>
      <c r="M768" s="57" t="n"/>
      <c r="N768" s="57" t="n"/>
      <c r="O768" s="57" t="n"/>
      <c r="P768" s="57" t="n"/>
      <c r="Q768" s="50" t="n"/>
      <c r="R768" s="58">
        <f t="shared" si="1"/>
      </c>
      <c r="S768" s="59">
        <f t="shared" si="2"/>
      </c>
      <c r="T768" s="43">
        <f t="shared" si="3"/>
      </c>
      <c r="U768" s="60">
        <f t="shared" si="4"/>
      </c>
      <c r="V768" s="60">
        <f t="shared" si="5"/>
      </c>
      <c r="W768" s="60">
        <f t="shared" si="6"/>
      </c>
      <c r="X768" s="49">
        <f t="shared" si="7"/>
      </c>
      <c r="Y768" s="2">
        <f t="shared" si="8"/>
      </c>
      <c r="Z768" s="2">
        <f t="shared" si="9"/>
        <v>0</v>
      </c>
      <c r="AA768" s="2">
        <f t="shared" si="10"/>
        <v>0</v>
      </c>
      <c r="AB768" s="2">
        <f t="shared" si="11"/>
        <v>0</v>
      </c>
      <c r="AC768" s="2">
        <f t="shared" si="12"/>
        <v>0</v>
      </c>
      <c r="AD768" s="2">
        <f t="shared" si="13"/>
        <v>0</v>
      </c>
      <c r="AE768" s="2">
        <f t="shared" si="14"/>
        <v>0</v>
      </c>
      <c r="AF768" s="2">
        <f t="shared" si="15"/>
        <v>0</v>
      </c>
      <c r="AG768" s="2">
        <f t="shared" si="16"/>
        <v>0</v>
      </c>
      <c r="AH768" s="2">
        <f t="shared" si="17"/>
        <v>0</v>
      </c>
      <c r="AI768" s="2">
        <f t="shared" si="18"/>
      </c>
    </row>
    <row r="769">
      <c r="A769" s="43">
        <f t="shared" si="0"/>
      </c>
      <c r="B769" s="54" t="n"/>
      <c r="C769" s="45" t="n"/>
      <c r="D769" s="50" t="n"/>
      <c r="E769" s="55" t="n"/>
      <c r="F769" s="50" t="n"/>
      <c r="G769" s="55" t="n"/>
      <c r="H769" s="50" t="n"/>
      <c r="I769" s="55" t="n"/>
      <c r="J769" s="50" t="n"/>
      <c r="K769" s="55" t="n"/>
      <c r="L769" s="56" t="n"/>
      <c r="M769" s="57" t="n"/>
      <c r="N769" s="57" t="n"/>
      <c r="O769" s="57" t="n"/>
      <c r="P769" s="57" t="n"/>
      <c r="Q769" s="50" t="n"/>
      <c r="R769" s="58">
        <f t="shared" si="1"/>
      </c>
      <c r="S769" s="59">
        <f t="shared" si="2"/>
      </c>
      <c r="T769" s="43">
        <f t="shared" si="3"/>
      </c>
      <c r="U769" s="60">
        <f t="shared" si="4"/>
      </c>
      <c r="V769" s="60">
        <f t="shared" si="5"/>
      </c>
      <c r="W769" s="60">
        <f t="shared" si="6"/>
      </c>
      <c r="X769" s="49">
        <f t="shared" si="7"/>
      </c>
      <c r="Y769" s="2">
        <f t="shared" si="8"/>
      </c>
      <c r="Z769" s="2">
        <f t="shared" si="9"/>
        <v>0</v>
      </c>
      <c r="AA769" s="2">
        <f t="shared" si="10"/>
        <v>0</v>
      </c>
      <c r="AB769" s="2">
        <f t="shared" si="11"/>
        <v>0</v>
      </c>
      <c r="AC769" s="2">
        <f t="shared" si="12"/>
        <v>0</v>
      </c>
      <c r="AD769" s="2">
        <f t="shared" si="13"/>
        <v>0</v>
      </c>
      <c r="AE769" s="2">
        <f t="shared" si="14"/>
        <v>0</v>
      </c>
      <c r="AF769" s="2">
        <f t="shared" si="15"/>
        <v>0</v>
      </c>
      <c r="AG769" s="2">
        <f t="shared" si="16"/>
        <v>0</v>
      </c>
      <c r="AH769" s="2">
        <f t="shared" si="17"/>
        <v>0</v>
      </c>
      <c r="AI769" s="2">
        <f t="shared" si="18"/>
      </c>
    </row>
    <row r="770">
      <c r="A770" s="43">
        <f t="shared" si="0"/>
      </c>
      <c r="B770" s="54" t="n"/>
      <c r="C770" s="45" t="n"/>
      <c r="D770" s="50" t="n"/>
      <c r="E770" s="55" t="n"/>
      <c r="F770" s="50" t="n"/>
      <c r="G770" s="55" t="n"/>
      <c r="H770" s="50" t="n"/>
      <c r="I770" s="55" t="n"/>
      <c r="J770" s="50" t="n"/>
      <c r="K770" s="55" t="n"/>
      <c r="L770" s="56" t="n"/>
      <c r="M770" s="57" t="n"/>
      <c r="N770" s="57" t="n"/>
      <c r="O770" s="57" t="n"/>
      <c r="P770" s="57" t="n"/>
      <c r="Q770" s="50" t="n"/>
      <c r="R770" s="58">
        <f t="shared" si="1"/>
      </c>
      <c r="S770" s="59">
        <f t="shared" si="2"/>
      </c>
      <c r="T770" s="43">
        <f t="shared" si="3"/>
      </c>
      <c r="U770" s="60">
        <f t="shared" si="4"/>
      </c>
      <c r="V770" s="60">
        <f t="shared" si="5"/>
      </c>
      <c r="W770" s="60">
        <f t="shared" si="6"/>
      </c>
      <c r="X770" s="49">
        <f t="shared" si="7"/>
      </c>
      <c r="Y770" s="2">
        <f t="shared" si="8"/>
      </c>
      <c r="Z770" s="2">
        <f t="shared" si="9"/>
        <v>0</v>
      </c>
      <c r="AA770" s="2">
        <f t="shared" si="10"/>
        <v>0</v>
      </c>
      <c r="AB770" s="2">
        <f t="shared" si="11"/>
        <v>0</v>
      </c>
      <c r="AC770" s="2">
        <f t="shared" si="12"/>
        <v>0</v>
      </c>
      <c r="AD770" s="2">
        <f t="shared" si="13"/>
        <v>0</v>
      </c>
      <c r="AE770" s="2">
        <f t="shared" si="14"/>
        <v>0</v>
      </c>
      <c r="AF770" s="2">
        <f t="shared" si="15"/>
        <v>0</v>
      </c>
      <c r="AG770" s="2">
        <f t="shared" si="16"/>
        <v>0</v>
      </c>
      <c r="AH770" s="2">
        <f t="shared" si="17"/>
        <v>0</v>
      </c>
      <c r="AI770" s="2">
        <f t="shared" si="18"/>
      </c>
    </row>
    <row r="771">
      <c r="A771" s="43">
        <f t="shared" si="0"/>
      </c>
      <c r="B771" s="54" t="n"/>
      <c r="C771" s="45" t="n"/>
      <c r="D771" s="50" t="n"/>
      <c r="E771" s="55" t="n"/>
      <c r="F771" s="50" t="n"/>
      <c r="G771" s="55" t="n"/>
      <c r="H771" s="50" t="n"/>
      <c r="I771" s="55" t="n"/>
      <c r="J771" s="50" t="n"/>
      <c r="K771" s="55" t="n"/>
      <c r="L771" s="56" t="n"/>
      <c r="M771" s="57" t="n"/>
      <c r="N771" s="57" t="n"/>
      <c r="O771" s="57" t="n"/>
      <c r="P771" s="57" t="n"/>
      <c r="Q771" s="50" t="n"/>
      <c r="R771" s="58">
        <f t="shared" si="1"/>
      </c>
      <c r="S771" s="59">
        <f t="shared" si="2"/>
      </c>
      <c r="T771" s="43">
        <f t="shared" si="3"/>
      </c>
      <c r="U771" s="60">
        <f t="shared" si="4"/>
      </c>
      <c r="V771" s="60">
        <f t="shared" si="5"/>
      </c>
      <c r="W771" s="60">
        <f t="shared" si="6"/>
      </c>
      <c r="X771" s="49">
        <f t="shared" si="7"/>
      </c>
      <c r="Y771" s="2">
        <f t="shared" si="8"/>
      </c>
      <c r="Z771" s="2">
        <f t="shared" si="9"/>
        <v>0</v>
      </c>
      <c r="AA771" s="2">
        <f t="shared" si="10"/>
        <v>0</v>
      </c>
      <c r="AB771" s="2">
        <f t="shared" si="11"/>
        <v>0</v>
      </c>
      <c r="AC771" s="2">
        <f t="shared" si="12"/>
        <v>0</v>
      </c>
      <c r="AD771" s="2">
        <f t="shared" si="13"/>
        <v>0</v>
      </c>
      <c r="AE771" s="2">
        <f t="shared" si="14"/>
        <v>0</v>
      </c>
      <c r="AF771" s="2">
        <f t="shared" si="15"/>
        <v>0</v>
      </c>
      <c r="AG771" s="2">
        <f t="shared" si="16"/>
        <v>0</v>
      </c>
      <c r="AH771" s="2">
        <f t="shared" si="17"/>
        <v>0</v>
      </c>
      <c r="AI771" s="2">
        <f t="shared" si="18"/>
      </c>
    </row>
    <row r="772">
      <c r="A772" s="43">
        <f t="shared" si="0"/>
      </c>
      <c r="B772" s="54" t="n"/>
      <c r="C772" s="45" t="n"/>
      <c r="D772" s="50" t="n"/>
      <c r="E772" s="55" t="n"/>
      <c r="F772" s="50" t="n"/>
      <c r="G772" s="55" t="n"/>
      <c r="H772" s="50" t="n"/>
      <c r="I772" s="55" t="n"/>
      <c r="J772" s="50" t="n"/>
      <c r="K772" s="55" t="n"/>
      <c r="L772" s="56" t="n"/>
      <c r="M772" s="57" t="n"/>
      <c r="N772" s="57" t="n"/>
      <c r="O772" s="57" t="n"/>
      <c r="P772" s="57" t="n"/>
      <c r="Q772" s="50" t="n"/>
      <c r="R772" s="58">
        <f t="shared" si="1"/>
      </c>
      <c r="S772" s="59">
        <f t="shared" si="2"/>
      </c>
      <c r="T772" s="43">
        <f t="shared" si="3"/>
      </c>
      <c r="U772" s="60">
        <f t="shared" si="4"/>
      </c>
      <c r="V772" s="60">
        <f t="shared" si="5"/>
      </c>
      <c r="W772" s="60">
        <f t="shared" si="6"/>
      </c>
      <c r="X772" s="49">
        <f t="shared" si="7"/>
      </c>
      <c r="Y772" s="2">
        <f t="shared" si="8"/>
      </c>
      <c r="Z772" s="2">
        <f t="shared" si="9"/>
        <v>0</v>
      </c>
      <c r="AA772" s="2">
        <f t="shared" si="10"/>
        <v>0</v>
      </c>
      <c r="AB772" s="2">
        <f t="shared" si="11"/>
        <v>0</v>
      </c>
      <c r="AC772" s="2">
        <f t="shared" si="12"/>
        <v>0</v>
      </c>
      <c r="AD772" s="2">
        <f t="shared" si="13"/>
        <v>0</v>
      </c>
      <c r="AE772" s="2">
        <f t="shared" si="14"/>
        <v>0</v>
      </c>
      <c r="AF772" s="2">
        <f t="shared" si="15"/>
        <v>0</v>
      </c>
      <c r="AG772" s="2">
        <f t="shared" si="16"/>
        <v>0</v>
      </c>
      <c r="AH772" s="2">
        <f t="shared" si="17"/>
        <v>0</v>
      </c>
      <c r="AI772" s="2">
        <f t="shared" si="18"/>
      </c>
    </row>
    <row r="773">
      <c r="A773" s="43">
        <f t="shared" si="0"/>
      </c>
      <c r="B773" s="54" t="n"/>
      <c r="C773" s="45" t="n"/>
      <c r="D773" s="50" t="n"/>
      <c r="E773" s="55" t="n"/>
      <c r="F773" s="50" t="n"/>
      <c r="G773" s="55" t="n"/>
      <c r="H773" s="50" t="n"/>
      <c r="I773" s="55" t="n"/>
      <c r="J773" s="50" t="n"/>
      <c r="K773" s="55" t="n"/>
      <c r="L773" s="56" t="n"/>
      <c r="M773" s="57" t="n"/>
      <c r="N773" s="57" t="n"/>
      <c r="O773" s="57" t="n"/>
      <c r="P773" s="57" t="n"/>
      <c r="Q773" s="50" t="n"/>
      <c r="R773" s="58">
        <f t="shared" si="1"/>
      </c>
      <c r="S773" s="59">
        <f t="shared" si="2"/>
      </c>
      <c r="T773" s="43">
        <f t="shared" si="3"/>
      </c>
      <c r="U773" s="60">
        <f t="shared" si="4"/>
      </c>
      <c r="V773" s="60">
        <f t="shared" si="5"/>
      </c>
      <c r="W773" s="60">
        <f t="shared" si="6"/>
      </c>
      <c r="X773" s="49">
        <f t="shared" si="7"/>
      </c>
      <c r="Y773" s="2">
        <f t="shared" si="8"/>
      </c>
      <c r="Z773" s="2">
        <f t="shared" si="9"/>
        <v>0</v>
      </c>
      <c r="AA773" s="2">
        <f t="shared" si="10"/>
        <v>0</v>
      </c>
      <c r="AB773" s="2">
        <f t="shared" si="11"/>
        <v>0</v>
      </c>
      <c r="AC773" s="2">
        <f t="shared" si="12"/>
        <v>0</v>
      </c>
      <c r="AD773" s="2">
        <f t="shared" si="13"/>
        <v>0</v>
      </c>
      <c r="AE773" s="2">
        <f t="shared" si="14"/>
        <v>0</v>
      </c>
      <c r="AF773" s="2">
        <f t="shared" si="15"/>
        <v>0</v>
      </c>
      <c r="AG773" s="2">
        <f t="shared" si="16"/>
        <v>0</v>
      </c>
      <c r="AH773" s="2">
        <f t="shared" si="17"/>
        <v>0</v>
      </c>
      <c r="AI773" s="2">
        <f t="shared" si="18"/>
      </c>
    </row>
    <row r="774">
      <c r="A774" s="43">
        <f t="shared" si="0"/>
      </c>
      <c r="B774" s="54" t="n"/>
      <c r="C774" s="45" t="n"/>
      <c r="D774" s="50" t="n"/>
      <c r="E774" s="55" t="n"/>
      <c r="F774" s="50" t="n"/>
      <c r="G774" s="55" t="n"/>
      <c r="H774" s="50" t="n"/>
      <c r="I774" s="55" t="n"/>
      <c r="J774" s="50" t="n"/>
      <c r="K774" s="55" t="n"/>
      <c r="L774" s="56" t="n"/>
      <c r="M774" s="57" t="n"/>
      <c r="N774" s="57" t="n"/>
      <c r="O774" s="57" t="n"/>
      <c r="P774" s="57" t="n"/>
      <c r="Q774" s="50" t="n"/>
      <c r="R774" s="58">
        <f t="shared" si="1"/>
      </c>
      <c r="S774" s="59">
        <f t="shared" si="2"/>
      </c>
      <c r="T774" s="43">
        <f t="shared" si="3"/>
      </c>
      <c r="U774" s="60">
        <f t="shared" si="4"/>
      </c>
      <c r="V774" s="60">
        <f t="shared" si="5"/>
      </c>
      <c r="W774" s="60">
        <f t="shared" si="6"/>
      </c>
      <c r="X774" s="49">
        <f t="shared" si="7"/>
      </c>
      <c r="Y774" s="2">
        <f t="shared" si="8"/>
      </c>
      <c r="Z774" s="2">
        <f t="shared" si="9"/>
        <v>0</v>
      </c>
      <c r="AA774" s="2">
        <f t="shared" si="10"/>
        <v>0</v>
      </c>
      <c r="AB774" s="2">
        <f t="shared" si="11"/>
        <v>0</v>
      </c>
      <c r="AC774" s="2">
        <f t="shared" si="12"/>
        <v>0</v>
      </c>
      <c r="AD774" s="2">
        <f t="shared" si="13"/>
        <v>0</v>
      </c>
      <c r="AE774" s="2">
        <f t="shared" si="14"/>
        <v>0</v>
      </c>
      <c r="AF774" s="2">
        <f t="shared" si="15"/>
        <v>0</v>
      </c>
      <c r="AG774" s="2">
        <f t="shared" si="16"/>
        <v>0</v>
      </c>
      <c r="AH774" s="2">
        <f t="shared" si="17"/>
        <v>0</v>
      </c>
      <c r="AI774" s="2">
        <f t="shared" si="18"/>
      </c>
    </row>
    <row r="775">
      <c r="A775" s="43">
        <f t="shared" si="0"/>
      </c>
      <c r="B775" s="54" t="n"/>
      <c r="C775" s="45" t="n"/>
      <c r="D775" s="50" t="n"/>
      <c r="E775" s="55" t="n"/>
      <c r="F775" s="50" t="n"/>
      <c r="G775" s="55" t="n"/>
      <c r="H775" s="50" t="n"/>
      <c r="I775" s="55" t="n"/>
      <c r="J775" s="50" t="n"/>
      <c r="K775" s="55" t="n"/>
      <c r="L775" s="56" t="n"/>
      <c r="M775" s="57" t="n"/>
      <c r="N775" s="57" t="n"/>
      <c r="O775" s="57" t="n"/>
      <c r="P775" s="57" t="n"/>
      <c r="Q775" s="50" t="n"/>
      <c r="R775" s="58">
        <f t="shared" si="1"/>
      </c>
      <c r="S775" s="59">
        <f t="shared" si="2"/>
      </c>
      <c r="T775" s="43">
        <f t="shared" si="3"/>
      </c>
      <c r="U775" s="60">
        <f t="shared" si="4"/>
      </c>
      <c r="V775" s="60">
        <f t="shared" si="5"/>
      </c>
      <c r="W775" s="60">
        <f t="shared" si="6"/>
      </c>
      <c r="X775" s="49">
        <f t="shared" si="7"/>
      </c>
      <c r="Y775" s="2">
        <f t="shared" si="8"/>
      </c>
      <c r="Z775" s="2">
        <f t="shared" si="9"/>
        <v>0</v>
      </c>
      <c r="AA775" s="2">
        <f t="shared" si="10"/>
        <v>0</v>
      </c>
      <c r="AB775" s="2">
        <f t="shared" si="11"/>
        <v>0</v>
      </c>
      <c r="AC775" s="2">
        <f t="shared" si="12"/>
        <v>0</v>
      </c>
      <c r="AD775" s="2">
        <f t="shared" si="13"/>
        <v>0</v>
      </c>
      <c r="AE775" s="2">
        <f t="shared" si="14"/>
        <v>0</v>
      </c>
      <c r="AF775" s="2">
        <f t="shared" si="15"/>
        <v>0</v>
      </c>
      <c r="AG775" s="2">
        <f t="shared" si="16"/>
        <v>0</v>
      </c>
      <c r="AH775" s="2">
        <f t="shared" si="17"/>
        <v>0</v>
      </c>
      <c r="AI775" s="2">
        <f t="shared" si="18"/>
      </c>
    </row>
    <row r="776">
      <c r="A776" s="43">
        <f t="shared" si="0"/>
      </c>
      <c r="B776" s="54" t="n"/>
      <c r="C776" s="45" t="n"/>
      <c r="D776" s="50" t="n"/>
      <c r="E776" s="55" t="n"/>
      <c r="F776" s="50" t="n"/>
      <c r="G776" s="55" t="n"/>
      <c r="H776" s="50" t="n"/>
      <c r="I776" s="55" t="n"/>
      <c r="J776" s="50" t="n"/>
      <c r="K776" s="55" t="n"/>
      <c r="L776" s="56" t="n"/>
      <c r="M776" s="57" t="n"/>
      <c r="N776" s="57" t="n"/>
      <c r="O776" s="57" t="n"/>
      <c r="P776" s="57" t="n"/>
      <c r="Q776" s="50" t="n"/>
      <c r="R776" s="58">
        <f t="shared" si="1"/>
      </c>
      <c r="S776" s="59">
        <f t="shared" si="2"/>
      </c>
      <c r="T776" s="43">
        <f t="shared" si="3"/>
      </c>
      <c r="U776" s="60">
        <f t="shared" si="4"/>
      </c>
      <c r="V776" s="60">
        <f t="shared" si="5"/>
      </c>
      <c r="W776" s="60">
        <f t="shared" si="6"/>
      </c>
      <c r="X776" s="49">
        <f t="shared" si="7"/>
      </c>
      <c r="Y776" s="2">
        <f t="shared" si="8"/>
      </c>
      <c r="Z776" s="2">
        <f t="shared" si="9"/>
        <v>0</v>
      </c>
      <c r="AA776" s="2">
        <f t="shared" si="10"/>
        <v>0</v>
      </c>
      <c r="AB776" s="2">
        <f t="shared" si="11"/>
        <v>0</v>
      </c>
      <c r="AC776" s="2">
        <f t="shared" si="12"/>
        <v>0</v>
      </c>
      <c r="AD776" s="2">
        <f t="shared" si="13"/>
        <v>0</v>
      </c>
      <c r="AE776" s="2">
        <f t="shared" si="14"/>
        <v>0</v>
      </c>
      <c r="AF776" s="2">
        <f t="shared" si="15"/>
        <v>0</v>
      </c>
      <c r="AG776" s="2">
        <f t="shared" si="16"/>
        <v>0</v>
      </c>
      <c r="AH776" s="2">
        <f t="shared" si="17"/>
        <v>0</v>
      </c>
      <c r="AI776" s="2">
        <f t="shared" si="18"/>
      </c>
    </row>
    <row r="777">
      <c r="A777" s="43">
        <f t="shared" si="0"/>
      </c>
      <c r="B777" s="54" t="n"/>
      <c r="C777" s="45" t="n"/>
      <c r="D777" s="50" t="n"/>
      <c r="E777" s="55" t="n"/>
      <c r="F777" s="50" t="n"/>
      <c r="G777" s="55" t="n"/>
      <c r="H777" s="50" t="n"/>
      <c r="I777" s="55" t="n"/>
      <c r="J777" s="50" t="n"/>
      <c r="K777" s="55" t="n"/>
      <c r="L777" s="56" t="n"/>
      <c r="M777" s="57" t="n"/>
      <c r="N777" s="57" t="n"/>
      <c r="O777" s="57" t="n"/>
      <c r="P777" s="57" t="n"/>
      <c r="Q777" s="50" t="n"/>
      <c r="R777" s="58">
        <f t="shared" si="1"/>
      </c>
      <c r="S777" s="59">
        <f t="shared" si="2"/>
      </c>
      <c r="T777" s="43">
        <f t="shared" si="3"/>
      </c>
      <c r="U777" s="60">
        <f t="shared" si="4"/>
      </c>
      <c r="V777" s="60">
        <f t="shared" si="5"/>
      </c>
      <c r="W777" s="60">
        <f t="shared" si="6"/>
      </c>
      <c r="X777" s="49">
        <f t="shared" si="7"/>
      </c>
      <c r="Y777" s="2">
        <f t="shared" si="8"/>
      </c>
      <c r="Z777" s="2">
        <f t="shared" si="9"/>
        <v>0</v>
      </c>
      <c r="AA777" s="2">
        <f t="shared" si="10"/>
        <v>0</v>
      </c>
      <c r="AB777" s="2">
        <f t="shared" si="11"/>
        <v>0</v>
      </c>
      <c r="AC777" s="2">
        <f t="shared" si="12"/>
        <v>0</v>
      </c>
      <c r="AD777" s="2">
        <f t="shared" si="13"/>
        <v>0</v>
      </c>
      <c r="AE777" s="2">
        <f t="shared" si="14"/>
        <v>0</v>
      </c>
      <c r="AF777" s="2">
        <f t="shared" si="15"/>
        <v>0</v>
      </c>
      <c r="AG777" s="2">
        <f t="shared" si="16"/>
        <v>0</v>
      </c>
      <c r="AH777" s="2">
        <f t="shared" si="17"/>
        <v>0</v>
      </c>
      <c r="AI777" s="2">
        <f t="shared" si="18"/>
      </c>
    </row>
    <row r="778">
      <c r="A778" s="43">
        <f t="shared" si="0"/>
      </c>
      <c r="B778" s="54" t="n"/>
      <c r="C778" s="45" t="n"/>
      <c r="D778" s="50" t="n"/>
      <c r="E778" s="55" t="n"/>
      <c r="F778" s="50" t="n"/>
      <c r="G778" s="55" t="n"/>
      <c r="H778" s="50" t="n"/>
      <c r="I778" s="55" t="n"/>
      <c r="J778" s="50" t="n"/>
      <c r="K778" s="55" t="n"/>
      <c r="L778" s="56" t="n"/>
      <c r="M778" s="57" t="n"/>
      <c r="N778" s="57" t="n"/>
      <c r="O778" s="57" t="n"/>
      <c r="P778" s="57" t="n"/>
      <c r="Q778" s="50" t="n"/>
      <c r="R778" s="58">
        <f t="shared" si="1"/>
      </c>
      <c r="S778" s="59">
        <f t="shared" si="2"/>
      </c>
      <c r="T778" s="43">
        <f t="shared" si="3"/>
      </c>
      <c r="U778" s="60">
        <f t="shared" si="4"/>
      </c>
      <c r="V778" s="60">
        <f t="shared" si="5"/>
      </c>
      <c r="W778" s="60">
        <f t="shared" si="6"/>
      </c>
      <c r="X778" s="49">
        <f t="shared" si="7"/>
      </c>
      <c r="Y778" s="2">
        <f t="shared" si="8"/>
      </c>
      <c r="Z778" s="2">
        <f t="shared" si="9"/>
        <v>0</v>
      </c>
      <c r="AA778" s="2">
        <f t="shared" si="10"/>
        <v>0</v>
      </c>
      <c r="AB778" s="2">
        <f t="shared" si="11"/>
        <v>0</v>
      </c>
      <c r="AC778" s="2">
        <f t="shared" si="12"/>
        <v>0</v>
      </c>
      <c r="AD778" s="2">
        <f t="shared" si="13"/>
        <v>0</v>
      </c>
      <c r="AE778" s="2">
        <f t="shared" si="14"/>
        <v>0</v>
      </c>
      <c r="AF778" s="2">
        <f t="shared" si="15"/>
        <v>0</v>
      </c>
      <c r="AG778" s="2">
        <f t="shared" si="16"/>
        <v>0</v>
      </c>
      <c r="AH778" s="2">
        <f t="shared" si="17"/>
        <v>0</v>
      </c>
      <c r="AI778" s="2">
        <f t="shared" si="18"/>
      </c>
    </row>
    <row r="779">
      <c r="A779" s="43">
        <f t="shared" si="0"/>
      </c>
      <c r="B779" s="54" t="n"/>
      <c r="C779" s="45" t="n"/>
      <c r="D779" s="50" t="n"/>
      <c r="E779" s="55" t="n"/>
      <c r="F779" s="50" t="n"/>
      <c r="G779" s="55" t="n"/>
      <c r="H779" s="50" t="n"/>
      <c r="I779" s="55" t="n"/>
      <c r="J779" s="50" t="n"/>
      <c r="K779" s="55" t="n"/>
      <c r="L779" s="56" t="n"/>
      <c r="M779" s="57" t="n"/>
      <c r="N779" s="57" t="n"/>
      <c r="O779" s="57" t="n"/>
      <c r="P779" s="57" t="n"/>
      <c r="Q779" s="50" t="n"/>
      <c r="R779" s="58">
        <f t="shared" si="1"/>
      </c>
      <c r="S779" s="59">
        <f t="shared" si="2"/>
      </c>
      <c r="T779" s="43">
        <f t="shared" si="3"/>
      </c>
      <c r="U779" s="60">
        <f t="shared" si="4"/>
      </c>
      <c r="V779" s="60">
        <f t="shared" si="5"/>
      </c>
      <c r="W779" s="60">
        <f t="shared" si="6"/>
      </c>
      <c r="X779" s="49">
        <f t="shared" si="7"/>
      </c>
      <c r="Y779" s="2">
        <f t="shared" si="8"/>
      </c>
      <c r="Z779" s="2">
        <f t="shared" si="9"/>
        <v>0</v>
      </c>
      <c r="AA779" s="2">
        <f t="shared" si="10"/>
        <v>0</v>
      </c>
      <c r="AB779" s="2">
        <f t="shared" si="11"/>
        <v>0</v>
      </c>
      <c r="AC779" s="2">
        <f t="shared" si="12"/>
        <v>0</v>
      </c>
      <c r="AD779" s="2">
        <f t="shared" si="13"/>
        <v>0</v>
      </c>
      <c r="AE779" s="2">
        <f t="shared" si="14"/>
        <v>0</v>
      </c>
      <c r="AF779" s="2">
        <f t="shared" si="15"/>
        <v>0</v>
      </c>
      <c r="AG779" s="2">
        <f t="shared" si="16"/>
        <v>0</v>
      </c>
      <c r="AH779" s="2">
        <f t="shared" si="17"/>
        <v>0</v>
      </c>
      <c r="AI779" s="2">
        <f t="shared" si="18"/>
      </c>
    </row>
    <row r="780">
      <c r="A780" s="43">
        <f t="shared" si="0"/>
      </c>
      <c r="B780" s="54" t="n"/>
      <c r="C780" s="45" t="n"/>
      <c r="D780" s="50" t="n"/>
      <c r="E780" s="55" t="n"/>
      <c r="F780" s="50" t="n"/>
      <c r="G780" s="55" t="n"/>
      <c r="H780" s="50" t="n"/>
      <c r="I780" s="55" t="n"/>
      <c r="J780" s="50" t="n"/>
      <c r="K780" s="55" t="n"/>
      <c r="L780" s="56" t="n"/>
      <c r="M780" s="57" t="n"/>
      <c r="N780" s="57" t="n"/>
      <c r="O780" s="57" t="n"/>
      <c r="P780" s="57" t="n"/>
      <c r="Q780" s="50" t="n"/>
      <c r="R780" s="58">
        <f t="shared" si="1"/>
      </c>
      <c r="S780" s="59">
        <f t="shared" si="2"/>
      </c>
      <c r="T780" s="43">
        <f t="shared" si="3"/>
      </c>
      <c r="U780" s="60">
        <f t="shared" si="4"/>
      </c>
      <c r="V780" s="60">
        <f t="shared" si="5"/>
      </c>
      <c r="W780" s="60">
        <f t="shared" si="6"/>
      </c>
      <c r="X780" s="49">
        <f t="shared" si="7"/>
      </c>
      <c r="Y780" s="2">
        <f t="shared" si="8"/>
      </c>
      <c r="Z780" s="2">
        <f t="shared" si="9"/>
        <v>0</v>
      </c>
      <c r="AA780" s="2">
        <f t="shared" si="10"/>
        <v>0</v>
      </c>
      <c r="AB780" s="2">
        <f t="shared" si="11"/>
        <v>0</v>
      </c>
      <c r="AC780" s="2">
        <f t="shared" si="12"/>
        <v>0</v>
      </c>
      <c r="AD780" s="2">
        <f t="shared" si="13"/>
        <v>0</v>
      </c>
      <c r="AE780" s="2">
        <f t="shared" si="14"/>
        <v>0</v>
      </c>
      <c r="AF780" s="2">
        <f t="shared" si="15"/>
        <v>0</v>
      </c>
      <c r="AG780" s="2">
        <f t="shared" si="16"/>
        <v>0</v>
      </c>
      <c r="AH780" s="2">
        <f t="shared" si="17"/>
        <v>0</v>
      </c>
      <c r="AI780" s="2">
        <f t="shared" si="18"/>
      </c>
    </row>
    <row r="781">
      <c r="A781" s="43">
        <f t="shared" si="0"/>
      </c>
      <c r="B781" s="54" t="n"/>
      <c r="C781" s="45" t="n"/>
      <c r="D781" s="50" t="n"/>
      <c r="E781" s="55" t="n"/>
      <c r="F781" s="50" t="n"/>
      <c r="G781" s="55" t="n"/>
      <c r="H781" s="50" t="n"/>
      <c r="I781" s="55" t="n"/>
      <c r="J781" s="50" t="n"/>
      <c r="K781" s="55" t="n"/>
      <c r="L781" s="56" t="n"/>
      <c r="M781" s="57" t="n"/>
      <c r="N781" s="57" t="n"/>
      <c r="O781" s="57" t="n"/>
      <c r="P781" s="57" t="n"/>
      <c r="Q781" s="50" t="n"/>
      <c r="R781" s="58">
        <f t="shared" si="1"/>
      </c>
      <c r="S781" s="59">
        <f t="shared" si="2"/>
      </c>
      <c r="T781" s="43">
        <f t="shared" si="3"/>
      </c>
      <c r="U781" s="60">
        <f t="shared" si="4"/>
      </c>
      <c r="V781" s="60">
        <f t="shared" si="5"/>
      </c>
      <c r="W781" s="60">
        <f t="shared" si="6"/>
      </c>
      <c r="X781" s="49">
        <f t="shared" si="7"/>
      </c>
      <c r="Y781" s="2">
        <f t="shared" si="8"/>
      </c>
      <c r="Z781" s="2">
        <f t="shared" si="9"/>
        <v>0</v>
      </c>
      <c r="AA781" s="2">
        <f t="shared" si="10"/>
        <v>0</v>
      </c>
      <c r="AB781" s="2">
        <f t="shared" si="11"/>
        <v>0</v>
      </c>
      <c r="AC781" s="2">
        <f t="shared" si="12"/>
        <v>0</v>
      </c>
      <c r="AD781" s="2">
        <f t="shared" si="13"/>
        <v>0</v>
      </c>
      <c r="AE781" s="2">
        <f t="shared" si="14"/>
        <v>0</v>
      </c>
      <c r="AF781" s="2">
        <f t="shared" si="15"/>
        <v>0</v>
      </c>
      <c r="AG781" s="2">
        <f t="shared" si="16"/>
        <v>0</v>
      </c>
      <c r="AH781" s="2">
        <f t="shared" si="17"/>
        <v>0</v>
      </c>
      <c r="AI781" s="2">
        <f t="shared" si="18"/>
      </c>
    </row>
    <row r="782">
      <c r="A782" s="43">
        <f t="shared" si="0"/>
      </c>
      <c r="B782" s="54" t="n"/>
      <c r="C782" s="45" t="n"/>
      <c r="D782" s="50" t="n"/>
      <c r="E782" s="55" t="n"/>
      <c r="F782" s="50" t="n"/>
      <c r="G782" s="55" t="n"/>
      <c r="H782" s="50" t="n"/>
      <c r="I782" s="55" t="n"/>
      <c r="J782" s="50" t="n"/>
      <c r="K782" s="55" t="n"/>
      <c r="L782" s="56" t="n"/>
      <c r="M782" s="57" t="n"/>
      <c r="N782" s="57" t="n"/>
      <c r="O782" s="57" t="n"/>
      <c r="P782" s="57" t="n"/>
      <c r="Q782" s="50" t="n"/>
      <c r="R782" s="58">
        <f t="shared" si="1"/>
      </c>
      <c r="S782" s="59">
        <f t="shared" si="2"/>
      </c>
      <c r="T782" s="43">
        <f t="shared" si="3"/>
      </c>
      <c r="U782" s="60">
        <f t="shared" si="4"/>
      </c>
      <c r="V782" s="60">
        <f t="shared" si="5"/>
      </c>
      <c r="W782" s="60">
        <f t="shared" si="6"/>
      </c>
      <c r="X782" s="49">
        <f t="shared" si="7"/>
      </c>
      <c r="Y782" s="2">
        <f t="shared" si="8"/>
      </c>
      <c r="Z782" s="2">
        <f t="shared" si="9"/>
        <v>0</v>
      </c>
      <c r="AA782" s="2">
        <f t="shared" si="10"/>
        <v>0</v>
      </c>
      <c r="AB782" s="2">
        <f t="shared" si="11"/>
        <v>0</v>
      </c>
      <c r="AC782" s="2">
        <f t="shared" si="12"/>
        <v>0</v>
      </c>
      <c r="AD782" s="2">
        <f t="shared" si="13"/>
        <v>0</v>
      </c>
      <c r="AE782" s="2">
        <f t="shared" si="14"/>
        <v>0</v>
      </c>
      <c r="AF782" s="2">
        <f t="shared" si="15"/>
        <v>0</v>
      </c>
      <c r="AG782" s="2">
        <f t="shared" si="16"/>
        <v>0</v>
      </c>
      <c r="AH782" s="2">
        <f t="shared" si="17"/>
        <v>0</v>
      </c>
      <c r="AI782" s="2">
        <f t="shared" si="18"/>
      </c>
    </row>
    <row r="783">
      <c r="A783" s="43">
        <f t="shared" si="0"/>
      </c>
      <c r="B783" s="54" t="n"/>
      <c r="C783" s="45" t="n"/>
      <c r="D783" s="50" t="n"/>
      <c r="E783" s="55" t="n"/>
      <c r="F783" s="50" t="n"/>
      <c r="G783" s="55" t="n"/>
      <c r="H783" s="50" t="n"/>
      <c r="I783" s="55" t="n"/>
      <c r="J783" s="50" t="n"/>
      <c r="K783" s="55" t="n"/>
      <c r="L783" s="56" t="n"/>
      <c r="M783" s="57" t="n"/>
      <c r="N783" s="57" t="n"/>
      <c r="O783" s="57" t="n"/>
      <c r="P783" s="57" t="n"/>
      <c r="Q783" s="50" t="n"/>
      <c r="R783" s="58">
        <f t="shared" si="1"/>
      </c>
      <c r="S783" s="59">
        <f t="shared" si="2"/>
      </c>
      <c r="T783" s="43">
        <f t="shared" si="3"/>
      </c>
      <c r="U783" s="60">
        <f t="shared" si="4"/>
      </c>
      <c r="V783" s="60">
        <f t="shared" si="5"/>
      </c>
      <c r="W783" s="60">
        <f t="shared" si="6"/>
      </c>
      <c r="X783" s="49">
        <f t="shared" si="7"/>
      </c>
      <c r="Y783" s="2">
        <f t="shared" si="8"/>
      </c>
      <c r="Z783" s="2">
        <f t="shared" si="9"/>
        <v>0</v>
      </c>
      <c r="AA783" s="2">
        <f t="shared" si="10"/>
        <v>0</v>
      </c>
      <c r="AB783" s="2">
        <f t="shared" si="11"/>
        <v>0</v>
      </c>
      <c r="AC783" s="2">
        <f t="shared" si="12"/>
        <v>0</v>
      </c>
      <c r="AD783" s="2">
        <f t="shared" si="13"/>
        <v>0</v>
      </c>
      <c r="AE783" s="2">
        <f t="shared" si="14"/>
        <v>0</v>
      </c>
      <c r="AF783" s="2">
        <f t="shared" si="15"/>
        <v>0</v>
      </c>
      <c r="AG783" s="2">
        <f t="shared" si="16"/>
        <v>0</v>
      </c>
      <c r="AH783" s="2">
        <f t="shared" si="17"/>
        <v>0</v>
      </c>
      <c r="AI783" s="2">
        <f t="shared" si="18"/>
      </c>
    </row>
    <row r="784">
      <c r="A784" s="43">
        <f t="shared" si="0"/>
      </c>
      <c r="B784" s="54" t="n"/>
      <c r="C784" s="45" t="n"/>
      <c r="D784" s="50" t="n"/>
      <c r="E784" s="55" t="n"/>
      <c r="F784" s="50" t="n"/>
      <c r="G784" s="55" t="n"/>
      <c r="H784" s="50" t="n"/>
      <c r="I784" s="55" t="n"/>
      <c r="J784" s="50" t="n"/>
      <c r="K784" s="55" t="n"/>
      <c r="L784" s="56" t="n"/>
      <c r="M784" s="57" t="n"/>
      <c r="N784" s="57" t="n"/>
      <c r="O784" s="57" t="n"/>
      <c r="P784" s="57" t="n"/>
      <c r="Q784" s="50" t="n"/>
      <c r="R784" s="58">
        <f t="shared" si="1"/>
      </c>
      <c r="S784" s="59">
        <f t="shared" si="2"/>
      </c>
      <c r="T784" s="43">
        <f t="shared" si="3"/>
      </c>
      <c r="U784" s="60">
        <f t="shared" si="4"/>
      </c>
      <c r="V784" s="60">
        <f t="shared" si="5"/>
      </c>
      <c r="W784" s="60">
        <f t="shared" si="6"/>
      </c>
      <c r="X784" s="49">
        <f t="shared" si="7"/>
      </c>
      <c r="Y784" s="2">
        <f t="shared" si="8"/>
      </c>
      <c r="Z784" s="2">
        <f t="shared" si="9"/>
        <v>0</v>
      </c>
      <c r="AA784" s="2">
        <f t="shared" si="10"/>
        <v>0</v>
      </c>
      <c r="AB784" s="2">
        <f t="shared" si="11"/>
        <v>0</v>
      </c>
      <c r="AC784" s="2">
        <f t="shared" si="12"/>
        <v>0</v>
      </c>
      <c r="AD784" s="2">
        <f t="shared" si="13"/>
        <v>0</v>
      </c>
      <c r="AE784" s="2">
        <f t="shared" si="14"/>
        <v>0</v>
      </c>
      <c r="AF784" s="2">
        <f t="shared" si="15"/>
        <v>0</v>
      </c>
      <c r="AG784" s="2">
        <f t="shared" si="16"/>
        <v>0</v>
      </c>
      <c r="AH784" s="2">
        <f t="shared" si="17"/>
        <v>0</v>
      </c>
      <c r="AI784" s="2">
        <f t="shared" si="18"/>
      </c>
    </row>
    <row r="785">
      <c r="A785" s="43">
        <f t="shared" si="0"/>
      </c>
      <c r="B785" s="54" t="n"/>
      <c r="C785" s="45" t="n"/>
      <c r="D785" s="50" t="n"/>
      <c r="E785" s="55" t="n"/>
      <c r="F785" s="50" t="n"/>
      <c r="G785" s="55" t="n"/>
      <c r="H785" s="50" t="n"/>
      <c r="I785" s="55" t="n"/>
      <c r="J785" s="50" t="n"/>
      <c r="K785" s="55" t="n"/>
      <c r="L785" s="56" t="n"/>
      <c r="M785" s="57" t="n"/>
      <c r="N785" s="57" t="n"/>
      <c r="O785" s="57" t="n"/>
      <c r="P785" s="57" t="n"/>
      <c r="Q785" s="50" t="n"/>
      <c r="R785" s="58">
        <f t="shared" si="1"/>
      </c>
      <c r="S785" s="59">
        <f t="shared" si="2"/>
      </c>
      <c r="T785" s="43">
        <f t="shared" si="3"/>
      </c>
      <c r="U785" s="60">
        <f t="shared" si="4"/>
      </c>
      <c r="V785" s="60">
        <f t="shared" si="5"/>
      </c>
      <c r="W785" s="60">
        <f t="shared" si="6"/>
      </c>
      <c r="X785" s="49">
        <f t="shared" si="7"/>
      </c>
      <c r="Y785" s="2">
        <f t="shared" si="8"/>
      </c>
      <c r="Z785" s="2">
        <f t="shared" si="9"/>
        <v>0</v>
      </c>
      <c r="AA785" s="2">
        <f t="shared" si="10"/>
        <v>0</v>
      </c>
      <c r="AB785" s="2">
        <f t="shared" si="11"/>
        <v>0</v>
      </c>
      <c r="AC785" s="2">
        <f t="shared" si="12"/>
        <v>0</v>
      </c>
      <c r="AD785" s="2">
        <f t="shared" si="13"/>
        <v>0</v>
      </c>
      <c r="AE785" s="2">
        <f t="shared" si="14"/>
        <v>0</v>
      </c>
      <c r="AF785" s="2">
        <f t="shared" si="15"/>
        <v>0</v>
      </c>
      <c r="AG785" s="2">
        <f t="shared" si="16"/>
        <v>0</v>
      </c>
      <c r="AH785" s="2">
        <f t="shared" si="17"/>
        <v>0</v>
      </c>
      <c r="AI785" s="2">
        <f t="shared" si="18"/>
      </c>
    </row>
    <row r="786">
      <c r="A786" s="43">
        <f t="shared" si="0"/>
      </c>
      <c r="B786" s="54" t="n"/>
      <c r="C786" s="45" t="n"/>
      <c r="D786" s="50" t="n"/>
      <c r="E786" s="55" t="n"/>
      <c r="F786" s="50" t="n"/>
      <c r="G786" s="55" t="n"/>
      <c r="H786" s="50" t="n"/>
      <c r="I786" s="55" t="n"/>
      <c r="J786" s="50" t="n"/>
      <c r="K786" s="55" t="n"/>
      <c r="L786" s="56" t="n"/>
      <c r="M786" s="57" t="n"/>
      <c r="N786" s="57" t="n"/>
      <c r="O786" s="57" t="n"/>
      <c r="P786" s="57" t="n"/>
      <c r="Q786" s="50" t="n"/>
      <c r="R786" s="58">
        <f t="shared" si="1"/>
      </c>
      <c r="S786" s="59">
        <f t="shared" si="2"/>
      </c>
      <c r="T786" s="43">
        <f t="shared" si="3"/>
      </c>
      <c r="U786" s="60">
        <f t="shared" si="4"/>
      </c>
      <c r="V786" s="60">
        <f t="shared" si="5"/>
      </c>
      <c r="W786" s="60">
        <f t="shared" si="6"/>
      </c>
      <c r="X786" s="49">
        <f t="shared" si="7"/>
      </c>
      <c r="Y786" s="2">
        <f t="shared" si="8"/>
      </c>
      <c r="Z786" s="2">
        <f t="shared" si="9"/>
        <v>0</v>
      </c>
      <c r="AA786" s="2">
        <f t="shared" si="10"/>
        <v>0</v>
      </c>
      <c r="AB786" s="2">
        <f t="shared" si="11"/>
        <v>0</v>
      </c>
      <c r="AC786" s="2">
        <f t="shared" si="12"/>
        <v>0</v>
      </c>
      <c r="AD786" s="2">
        <f t="shared" si="13"/>
        <v>0</v>
      </c>
      <c r="AE786" s="2">
        <f t="shared" si="14"/>
        <v>0</v>
      </c>
      <c r="AF786" s="2">
        <f t="shared" si="15"/>
        <v>0</v>
      </c>
      <c r="AG786" s="2">
        <f t="shared" si="16"/>
        <v>0</v>
      </c>
      <c r="AH786" s="2">
        <f t="shared" si="17"/>
        <v>0</v>
      </c>
      <c r="AI786" s="2">
        <f t="shared" si="18"/>
      </c>
    </row>
    <row r="787">
      <c r="A787" s="43">
        <f t="shared" si="0"/>
      </c>
      <c r="B787" s="54" t="n"/>
      <c r="C787" s="45" t="n"/>
      <c r="D787" s="50" t="n"/>
      <c r="E787" s="55" t="n"/>
      <c r="F787" s="50" t="n"/>
      <c r="G787" s="55" t="n"/>
      <c r="H787" s="50" t="n"/>
      <c r="I787" s="55" t="n"/>
      <c r="J787" s="50" t="n"/>
      <c r="K787" s="55" t="n"/>
      <c r="L787" s="56" t="n"/>
      <c r="M787" s="57" t="n"/>
      <c r="N787" s="57" t="n"/>
      <c r="O787" s="57" t="n"/>
      <c r="P787" s="57" t="n"/>
      <c r="Q787" s="50" t="n"/>
      <c r="R787" s="58">
        <f t="shared" si="1"/>
      </c>
      <c r="S787" s="59">
        <f t="shared" si="2"/>
      </c>
      <c r="T787" s="43">
        <f t="shared" si="3"/>
      </c>
      <c r="U787" s="60">
        <f t="shared" si="4"/>
      </c>
      <c r="V787" s="60">
        <f t="shared" si="5"/>
      </c>
      <c r="W787" s="60">
        <f t="shared" si="6"/>
      </c>
      <c r="X787" s="49">
        <f t="shared" si="7"/>
      </c>
      <c r="Y787" s="2">
        <f t="shared" si="8"/>
      </c>
      <c r="Z787" s="2">
        <f t="shared" si="9"/>
        <v>0</v>
      </c>
      <c r="AA787" s="2">
        <f t="shared" si="10"/>
        <v>0</v>
      </c>
      <c r="AB787" s="2">
        <f t="shared" si="11"/>
        <v>0</v>
      </c>
      <c r="AC787" s="2">
        <f t="shared" si="12"/>
        <v>0</v>
      </c>
      <c r="AD787" s="2">
        <f t="shared" si="13"/>
        <v>0</v>
      </c>
      <c r="AE787" s="2">
        <f t="shared" si="14"/>
        <v>0</v>
      </c>
      <c r="AF787" s="2">
        <f t="shared" si="15"/>
        <v>0</v>
      </c>
      <c r="AG787" s="2">
        <f t="shared" si="16"/>
        <v>0</v>
      </c>
      <c r="AH787" s="2">
        <f t="shared" si="17"/>
        <v>0</v>
      </c>
      <c r="AI787" s="2">
        <f t="shared" si="18"/>
      </c>
    </row>
    <row r="788">
      <c r="A788" s="43">
        <f t="shared" si="0"/>
      </c>
      <c r="B788" s="54" t="n"/>
      <c r="C788" s="45" t="n"/>
      <c r="D788" s="50" t="n"/>
      <c r="E788" s="55" t="n"/>
      <c r="F788" s="50" t="n"/>
      <c r="G788" s="55" t="n"/>
      <c r="H788" s="50" t="n"/>
      <c r="I788" s="55" t="n"/>
      <c r="J788" s="50" t="n"/>
      <c r="K788" s="55" t="n"/>
      <c r="L788" s="56" t="n"/>
      <c r="M788" s="57" t="n"/>
      <c r="N788" s="57" t="n"/>
      <c r="O788" s="57" t="n"/>
      <c r="P788" s="57" t="n"/>
      <c r="Q788" s="50" t="n"/>
      <c r="R788" s="58">
        <f t="shared" si="1"/>
      </c>
      <c r="S788" s="59">
        <f t="shared" si="2"/>
      </c>
      <c r="T788" s="43">
        <f t="shared" si="3"/>
      </c>
      <c r="U788" s="60">
        <f t="shared" si="4"/>
      </c>
      <c r="V788" s="60">
        <f t="shared" si="5"/>
      </c>
      <c r="W788" s="60">
        <f t="shared" si="6"/>
      </c>
      <c r="X788" s="49">
        <f t="shared" si="7"/>
      </c>
      <c r="Y788" s="2">
        <f t="shared" si="8"/>
      </c>
      <c r="Z788" s="2">
        <f t="shared" si="9"/>
        <v>0</v>
      </c>
      <c r="AA788" s="2">
        <f t="shared" si="10"/>
        <v>0</v>
      </c>
      <c r="AB788" s="2">
        <f t="shared" si="11"/>
        <v>0</v>
      </c>
      <c r="AC788" s="2">
        <f t="shared" si="12"/>
        <v>0</v>
      </c>
      <c r="AD788" s="2">
        <f t="shared" si="13"/>
        <v>0</v>
      </c>
      <c r="AE788" s="2">
        <f t="shared" si="14"/>
        <v>0</v>
      </c>
      <c r="AF788" s="2">
        <f t="shared" si="15"/>
        <v>0</v>
      </c>
      <c r="AG788" s="2">
        <f t="shared" si="16"/>
        <v>0</v>
      </c>
      <c r="AH788" s="2">
        <f t="shared" si="17"/>
        <v>0</v>
      </c>
      <c r="AI788" s="2">
        <f t="shared" si="18"/>
      </c>
    </row>
    <row r="789">
      <c r="A789" s="43">
        <f t="shared" si="0"/>
      </c>
      <c r="B789" s="54" t="n"/>
      <c r="C789" s="45" t="n"/>
      <c r="D789" s="50" t="n"/>
      <c r="E789" s="55" t="n"/>
      <c r="F789" s="50" t="n"/>
      <c r="G789" s="55" t="n"/>
      <c r="H789" s="50" t="n"/>
      <c r="I789" s="55" t="n"/>
      <c r="J789" s="50" t="n"/>
      <c r="K789" s="55" t="n"/>
      <c r="L789" s="56" t="n"/>
      <c r="M789" s="57" t="n"/>
      <c r="N789" s="57" t="n"/>
      <c r="O789" s="57" t="n"/>
      <c r="P789" s="57" t="n"/>
      <c r="Q789" s="50" t="n"/>
      <c r="R789" s="58">
        <f t="shared" si="1"/>
      </c>
      <c r="S789" s="59">
        <f t="shared" si="2"/>
      </c>
      <c r="T789" s="43">
        <f t="shared" si="3"/>
      </c>
      <c r="U789" s="60">
        <f t="shared" si="4"/>
      </c>
      <c r="V789" s="60">
        <f t="shared" si="5"/>
      </c>
      <c r="W789" s="60">
        <f t="shared" si="6"/>
      </c>
      <c r="X789" s="49">
        <f t="shared" si="7"/>
      </c>
      <c r="Y789" s="2">
        <f t="shared" si="8"/>
      </c>
      <c r="Z789" s="2">
        <f t="shared" si="9"/>
        <v>0</v>
      </c>
      <c r="AA789" s="2">
        <f t="shared" si="10"/>
        <v>0</v>
      </c>
      <c r="AB789" s="2">
        <f t="shared" si="11"/>
        <v>0</v>
      </c>
      <c r="AC789" s="2">
        <f t="shared" si="12"/>
        <v>0</v>
      </c>
      <c r="AD789" s="2">
        <f t="shared" si="13"/>
        <v>0</v>
      </c>
      <c r="AE789" s="2">
        <f t="shared" si="14"/>
        <v>0</v>
      </c>
      <c r="AF789" s="2">
        <f t="shared" si="15"/>
        <v>0</v>
      </c>
      <c r="AG789" s="2">
        <f t="shared" si="16"/>
        <v>0</v>
      </c>
      <c r="AH789" s="2">
        <f t="shared" si="17"/>
        <v>0</v>
      </c>
      <c r="AI789" s="2">
        <f t="shared" si="18"/>
      </c>
    </row>
    <row r="790">
      <c r="A790" s="43">
        <f t="shared" si="0"/>
      </c>
      <c r="B790" s="54" t="n"/>
      <c r="C790" s="45" t="n"/>
      <c r="D790" s="50" t="n"/>
      <c r="E790" s="55" t="n"/>
      <c r="F790" s="50" t="n"/>
      <c r="G790" s="55" t="n"/>
      <c r="H790" s="50" t="n"/>
      <c r="I790" s="55" t="n"/>
      <c r="J790" s="50" t="n"/>
      <c r="K790" s="55" t="n"/>
      <c r="L790" s="56" t="n"/>
      <c r="M790" s="57" t="n"/>
      <c r="N790" s="57" t="n"/>
      <c r="O790" s="57" t="n"/>
      <c r="P790" s="57" t="n"/>
      <c r="Q790" s="50" t="n"/>
      <c r="R790" s="58">
        <f t="shared" si="1"/>
      </c>
      <c r="S790" s="59">
        <f t="shared" si="2"/>
      </c>
      <c r="T790" s="43">
        <f t="shared" si="3"/>
      </c>
      <c r="U790" s="60">
        <f t="shared" si="4"/>
      </c>
      <c r="V790" s="60">
        <f t="shared" si="5"/>
      </c>
      <c r="W790" s="60">
        <f t="shared" si="6"/>
      </c>
      <c r="X790" s="49">
        <f t="shared" si="7"/>
      </c>
      <c r="Y790" s="2">
        <f t="shared" si="8"/>
      </c>
      <c r="Z790" s="2">
        <f t="shared" si="9"/>
        <v>0</v>
      </c>
      <c r="AA790" s="2">
        <f t="shared" si="10"/>
        <v>0</v>
      </c>
      <c r="AB790" s="2">
        <f t="shared" si="11"/>
        <v>0</v>
      </c>
      <c r="AC790" s="2">
        <f t="shared" si="12"/>
        <v>0</v>
      </c>
      <c r="AD790" s="2">
        <f t="shared" si="13"/>
        <v>0</v>
      </c>
      <c r="AE790" s="2">
        <f t="shared" si="14"/>
        <v>0</v>
      </c>
      <c r="AF790" s="2">
        <f t="shared" si="15"/>
        <v>0</v>
      </c>
      <c r="AG790" s="2">
        <f t="shared" si="16"/>
        <v>0</v>
      </c>
      <c r="AH790" s="2">
        <f t="shared" si="17"/>
        <v>0</v>
      </c>
      <c r="AI790" s="2">
        <f t="shared" si="18"/>
      </c>
    </row>
    <row r="791">
      <c r="A791" s="43">
        <f t="shared" si="0"/>
      </c>
      <c r="B791" s="54" t="n"/>
      <c r="C791" s="45" t="n"/>
      <c r="D791" s="50" t="n"/>
      <c r="E791" s="55" t="n"/>
      <c r="F791" s="50" t="n"/>
      <c r="G791" s="55" t="n"/>
      <c r="H791" s="50" t="n"/>
      <c r="I791" s="55" t="n"/>
      <c r="J791" s="50" t="n"/>
      <c r="K791" s="55" t="n"/>
      <c r="L791" s="56" t="n"/>
      <c r="M791" s="57" t="n"/>
      <c r="N791" s="57" t="n"/>
      <c r="O791" s="57" t="n"/>
      <c r="P791" s="57" t="n"/>
      <c r="Q791" s="50" t="n"/>
      <c r="R791" s="58">
        <f t="shared" si="1"/>
      </c>
      <c r="S791" s="59">
        <f t="shared" si="2"/>
      </c>
      <c r="T791" s="43">
        <f t="shared" si="3"/>
      </c>
      <c r="U791" s="60">
        <f t="shared" si="4"/>
      </c>
      <c r="V791" s="60">
        <f t="shared" si="5"/>
      </c>
      <c r="W791" s="60">
        <f t="shared" si="6"/>
      </c>
      <c r="X791" s="49">
        <f t="shared" si="7"/>
      </c>
      <c r="Y791" s="2">
        <f t="shared" si="8"/>
      </c>
      <c r="Z791" s="2">
        <f t="shared" si="9"/>
        <v>0</v>
      </c>
      <c r="AA791" s="2">
        <f t="shared" si="10"/>
        <v>0</v>
      </c>
      <c r="AB791" s="2">
        <f t="shared" si="11"/>
        <v>0</v>
      </c>
      <c r="AC791" s="2">
        <f t="shared" si="12"/>
        <v>0</v>
      </c>
      <c r="AD791" s="2">
        <f t="shared" si="13"/>
        <v>0</v>
      </c>
      <c r="AE791" s="2">
        <f t="shared" si="14"/>
        <v>0</v>
      </c>
      <c r="AF791" s="2">
        <f t="shared" si="15"/>
        <v>0</v>
      </c>
      <c r="AG791" s="2">
        <f t="shared" si="16"/>
        <v>0</v>
      </c>
      <c r="AH791" s="2">
        <f t="shared" si="17"/>
        <v>0</v>
      </c>
      <c r="AI791" s="2">
        <f t="shared" si="18"/>
      </c>
    </row>
    <row r="792">
      <c r="A792" s="43">
        <f t="shared" si="0"/>
      </c>
      <c r="B792" s="54" t="n"/>
      <c r="C792" s="45" t="n"/>
      <c r="D792" s="50" t="n"/>
      <c r="E792" s="55" t="n"/>
      <c r="F792" s="50" t="n"/>
      <c r="G792" s="55" t="n"/>
      <c r="H792" s="50" t="n"/>
      <c r="I792" s="55" t="n"/>
      <c r="J792" s="50" t="n"/>
      <c r="K792" s="55" t="n"/>
      <c r="L792" s="56" t="n"/>
      <c r="M792" s="57" t="n"/>
      <c r="N792" s="57" t="n"/>
      <c r="O792" s="57" t="n"/>
      <c r="P792" s="57" t="n"/>
      <c r="Q792" s="50" t="n"/>
      <c r="R792" s="58">
        <f t="shared" si="1"/>
      </c>
      <c r="S792" s="59">
        <f t="shared" si="2"/>
      </c>
      <c r="T792" s="43">
        <f t="shared" si="3"/>
      </c>
      <c r="U792" s="60">
        <f t="shared" si="4"/>
      </c>
      <c r="V792" s="60">
        <f t="shared" si="5"/>
      </c>
      <c r="W792" s="60">
        <f t="shared" si="6"/>
      </c>
      <c r="X792" s="49">
        <f t="shared" si="7"/>
      </c>
      <c r="Y792" s="2">
        <f t="shared" si="8"/>
      </c>
      <c r="Z792" s="2">
        <f t="shared" si="9"/>
        <v>0</v>
      </c>
      <c r="AA792" s="2">
        <f t="shared" si="10"/>
        <v>0</v>
      </c>
      <c r="AB792" s="2">
        <f t="shared" si="11"/>
        <v>0</v>
      </c>
      <c r="AC792" s="2">
        <f t="shared" si="12"/>
        <v>0</v>
      </c>
      <c r="AD792" s="2">
        <f t="shared" si="13"/>
        <v>0</v>
      </c>
      <c r="AE792" s="2">
        <f t="shared" si="14"/>
        <v>0</v>
      </c>
      <c r="AF792" s="2">
        <f t="shared" si="15"/>
        <v>0</v>
      </c>
      <c r="AG792" s="2">
        <f t="shared" si="16"/>
        <v>0</v>
      </c>
      <c r="AH792" s="2">
        <f t="shared" si="17"/>
        <v>0</v>
      </c>
      <c r="AI792" s="2">
        <f t="shared" si="18"/>
      </c>
    </row>
    <row r="793">
      <c r="A793" s="43">
        <f t="shared" si="0"/>
      </c>
      <c r="B793" s="54" t="n"/>
      <c r="C793" s="45" t="n"/>
      <c r="D793" s="50" t="n"/>
      <c r="E793" s="55" t="n"/>
      <c r="F793" s="50" t="n"/>
      <c r="G793" s="55" t="n"/>
      <c r="H793" s="50" t="n"/>
      <c r="I793" s="55" t="n"/>
      <c r="J793" s="50" t="n"/>
      <c r="K793" s="55" t="n"/>
      <c r="L793" s="56" t="n"/>
      <c r="M793" s="57" t="n"/>
      <c r="N793" s="57" t="n"/>
      <c r="O793" s="57" t="n"/>
      <c r="P793" s="57" t="n"/>
      <c r="Q793" s="50" t="n"/>
      <c r="R793" s="58">
        <f t="shared" si="1"/>
      </c>
      <c r="S793" s="59">
        <f t="shared" si="2"/>
      </c>
      <c r="T793" s="43">
        <f t="shared" si="3"/>
      </c>
      <c r="U793" s="60">
        <f t="shared" si="4"/>
      </c>
      <c r="V793" s="60">
        <f t="shared" si="5"/>
      </c>
      <c r="W793" s="60">
        <f t="shared" si="6"/>
      </c>
      <c r="X793" s="49">
        <f t="shared" si="7"/>
      </c>
      <c r="Y793" s="2">
        <f t="shared" si="8"/>
      </c>
      <c r="Z793" s="2">
        <f t="shared" si="9"/>
        <v>0</v>
      </c>
      <c r="AA793" s="2">
        <f t="shared" si="10"/>
        <v>0</v>
      </c>
      <c r="AB793" s="2">
        <f t="shared" si="11"/>
        <v>0</v>
      </c>
      <c r="AC793" s="2">
        <f t="shared" si="12"/>
        <v>0</v>
      </c>
      <c r="AD793" s="2">
        <f t="shared" si="13"/>
        <v>0</v>
      </c>
      <c r="AE793" s="2">
        <f t="shared" si="14"/>
        <v>0</v>
      </c>
      <c r="AF793" s="2">
        <f t="shared" si="15"/>
        <v>0</v>
      </c>
      <c r="AG793" s="2">
        <f t="shared" si="16"/>
        <v>0</v>
      </c>
      <c r="AH793" s="2">
        <f t="shared" si="17"/>
        <v>0</v>
      </c>
      <c r="AI793" s="2">
        <f t="shared" si="18"/>
      </c>
    </row>
    <row r="794">
      <c r="A794" s="43">
        <f t="shared" si="0"/>
      </c>
      <c r="B794" s="54" t="n"/>
      <c r="C794" s="45" t="n"/>
      <c r="D794" s="50" t="n"/>
      <c r="E794" s="55" t="n"/>
      <c r="F794" s="50" t="n"/>
      <c r="G794" s="55" t="n"/>
      <c r="H794" s="50" t="n"/>
      <c r="I794" s="55" t="n"/>
      <c r="J794" s="50" t="n"/>
      <c r="K794" s="55" t="n"/>
      <c r="L794" s="56" t="n"/>
      <c r="M794" s="57" t="n"/>
      <c r="N794" s="57" t="n"/>
      <c r="O794" s="57" t="n"/>
      <c r="P794" s="57" t="n"/>
      <c r="Q794" s="50" t="n"/>
      <c r="R794" s="58">
        <f t="shared" si="1"/>
      </c>
      <c r="S794" s="59">
        <f t="shared" si="2"/>
      </c>
      <c r="T794" s="43">
        <f t="shared" si="3"/>
      </c>
      <c r="U794" s="60">
        <f t="shared" si="4"/>
      </c>
      <c r="V794" s="60">
        <f t="shared" si="5"/>
      </c>
      <c r="W794" s="60">
        <f t="shared" si="6"/>
      </c>
      <c r="X794" s="49">
        <f t="shared" si="7"/>
      </c>
      <c r="Y794" s="2">
        <f t="shared" si="8"/>
      </c>
      <c r="Z794" s="2">
        <f t="shared" si="9"/>
        <v>0</v>
      </c>
      <c r="AA794" s="2">
        <f t="shared" si="10"/>
        <v>0</v>
      </c>
      <c r="AB794" s="2">
        <f t="shared" si="11"/>
        <v>0</v>
      </c>
      <c r="AC794" s="2">
        <f t="shared" si="12"/>
        <v>0</v>
      </c>
      <c r="AD794" s="2">
        <f t="shared" si="13"/>
        <v>0</v>
      </c>
      <c r="AE794" s="2">
        <f t="shared" si="14"/>
        <v>0</v>
      </c>
      <c r="AF794" s="2">
        <f t="shared" si="15"/>
        <v>0</v>
      </c>
      <c r="AG794" s="2">
        <f t="shared" si="16"/>
        <v>0</v>
      </c>
      <c r="AH794" s="2">
        <f t="shared" si="17"/>
        <v>0</v>
      </c>
      <c r="AI794" s="2">
        <f t="shared" si="18"/>
      </c>
    </row>
    <row r="795">
      <c r="A795" s="43">
        <f t="shared" si="0"/>
      </c>
      <c r="B795" s="54" t="n"/>
      <c r="C795" s="45" t="n"/>
      <c r="D795" s="50" t="n"/>
      <c r="E795" s="55" t="n"/>
      <c r="F795" s="50" t="n"/>
      <c r="G795" s="55" t="n"/>
      <c r="H795" s="50" t="n"/>
      <c r="I795" s="55" t="n"/>
      <c r="J795" s="50" t="n"/>
      <c r="K795" s="55" t="n"/>
      <c r="L795" s="56" t="n"/>
      <c r="M795" s="57" t="n"/>
      <c r="N795" s="57" t="n"/>
      <c r="O795" s="57" t="n"/>
      <c r="P795" s="57" t="n"/>
      <c r="Q795" s="50" t="n"/>
      <c r="R795" s="58">
        <f t="shared" si="1"/>
      </c>
      <c r="S795" s="59">
        <f t="shared" si="2"/>
      </c>
      <c r="T795" s="43">
        <f t="shared" si="3"/>
      </c>
      <c r="U795" s="60">
        <f t="shared" si="4"/>
      </c>
      <c r="V795" s="60">
        <f t="shared" si="5"/>
      </c>
      <c r="W795" s="60">
        <f t="shared" si="6"/>
      </c>
      <c r="X795" s="49">
        <f t="shared" si="7"/>
      </c>
      <c r="Y795" s="2">
        <f t="shared" si="8"/>
      </c>
      <c r="Z795" s="2">
        <f t="shared" si="9"/>
        <v>0</v>
      </c>
      <c r="AA795" s="2">
        <f t="shared" si="10"/>
        <v>0</v>
      </c>
      <c r="AB795" s="2">
        <f t="shared" si="11"/>
        <v>0</v>
      </c>
      <c r="AC795" s="2">
        <f t="shared" si="12"/>
        <v>0</v>
      </c>
      <c r="AD795" s="2">
        <f t="shared" si="13"/>
        <v>0</v>
      </c>
      <c r="AE795" s="2">
        <f t="shared" si="14"/>
        <v>0</v>
      </c>
      <c r="AF795" s="2">
        <f t="shared" si="15"/>
        <v>0</v>
      </c>
      <c r="AG795" s="2">
        <f t="shared" si="16"/>
        <v>0</v>
      </c>
      <c r="AH795" s="2">
        <f t="shared" si="17"/>
        <v>0</v>
      </c>
      <c r="AI795" s="2">
        <f t="shared" si="18"/>
      </c>
    </row>
    <row r="796">
      <c r="A796" s="43">
        <f t="shared" si="0"/>
      </c>
      <c r="B796" s="54" t="n"/>
      <c r="C796" s="45" t="n"/>
      <c r="D796" s="50" t="n"/>
      <c r="E796" s="55" t="n"/>
      <c r="F796" s="50" t="n"/>
      <c r="G796" s="55" t="n"/>
      <c r="H796" s="50" t="n"/>
      <c r="I796" s="55" t="n"/>
      <c r="J796" s="50" t="n"/>
      <c r="K796" s="55" t="n"/>
      <c r="L796" s="56" t="n"/>
      <c r="M796" s="57" t="n"/>
      <c r="N796" s="57" t="n"/>
      <c r="O796" s="57" t="n"/>
      <c r="P796" s="57" t="n"/>
      <c r="Q796" s="50" t="n"/>
      <c r="R796" s="58">
        <f t="shared" si="1"/>
      </c>
      <c r="S796" s="59">
        <f t="shared" si="2"/>
      </c>
      <c r="T796" s="43">
        <f t="shared" si="3"/>
      </c>
      <c r="U796" s="60">
        <f t="shared" si="4"/>
      </c>
      <c r="V796" s="60">
        <f t="shared" si="5"/>
      </c>
      <c r="W796" s="60">
        <f t="shared" si="6"/>
      </c>
      <c r="X796" s="49">
        <f t="shared" si="7"/>
      </c>
      <c r="Y796" s="2">
        <f t="shared" si="8"/>
      </c>
      <c r="Z796" s="2">
        <f t="shared" si="9"/>
        <v>0</v>
      </c>
      <c r="AA796" s="2">
        <f t="shared" si="10"/>
        <v>0</v>
      </c>
      <c r="AB796" s="2">
        <f t="shared" si="11"/>
        <v>0</v>
      </c>
      <c r="AC796" s="2">
        <f t="shared" si="12"/>
        <v>0</v>
      </c>
      <c r="AD796" s="2">
        <f t="shared" si="13"/>
        <v>0</v>
      </c>
      <c r="AE796" s="2">
        <f t="shared" si="14"/>
        <v>0</v>
      </c>
      <c r="AF796" s="2">
        <f t="shared" si="15"/>
        <v>0</v>
      </c>
      <c r="AG796" s="2">
        <f t="shared" si="16"/>
        <v>0</v>
      </c>
      <c r="AH796" s="2">
        <f t="shared" si="17"/>
        <v>0</v>
      </c>
      <c r="AI796" s="2">
        <f t="shared" si="18"/>
      </c>
    </row>
    <row r="797">
      <c r="A797" s="43">
        <f t="shared" si="0"/>
      </c>
      <c r="B797" s="54" t="n"/>
      <c r="C797" s="45" t="n"/>
      <c r="D797" s="50" t="n"/>
      <c r="E797" s="55" t="n"/>
      <c r="F797" s="50" t="n"/>
      <c r="G797" s="55" t="n"/>
      <c r="H797" s="50" t="n"/>
      <c r="I797" s="55" t="n"/>
      <c r="J797" s="50" t="n"/>
      <c r="K797" s="55" t="n"/>
      <c r="L797" s="56" t="n"/>
      <c r="M797" s="57" t="n"/>
      <c r="N797" s="57" t="n"/>
      <c r="O797" s="57" t="n"/>
      <c r="P797" s="57" t="n"/>
      <c r="Q797" s="50" t="n"/>
      <c r="R797" s="58">
        <f t="shared" si="1"/>
      </c>
      <c r="S797" s="59">
        <f t="shared" si="2"/>
      </c>
      <c r="T797" s="43">
        <f t="shared" si="3"/>
      </c>
      <c r="U797" s="60">
        <f t="shared" si="4"/>
      </c>
      <c r="V797" s="60">
        <f t="shared" si="5"/>
      </c>
      <c r="W797" s="60">
        <f t="shared" si="6"/>
      </c>
      <c r="X797" s="49">
        <f t="shared" si="7"/>
      </c>
      <c r="Y797" s="2">
        <f t="shared" si="8"/>
      </c>
      <c r="Z797" s="2">
        <f t="shared" si="9"/>
        <v>0</v>
      </c>
      <c r="AA797" s="2">
        <f t="shared" si="10"/>
        <v>0</v>
      </c>
      <c r="AB797" s="2">
        <f t="shared" si="11"/>
        <v>0</v>
      </c>
      <c r="AC797" s="2">
        <f t="shared" si="12"/>
        <v>0</v>
      </c>
      <c r="AD797" s="2">
        <f t="shared" si="13"/>
        <v>0</v>
      </c>
      <c r="AE797" s="2">
        <f t="shared" si="14"/>
        <v>0</v>
      </c>
      <c r="AF797" s="2">
        <f t="shared" si="15"/>
        <v>0</v>
      </c>
      <c r="AG797" s="2">
        <f t="shared" si="16"/>
        <v>0</v>
      </c>
      <c r="AH797" s="2">
        <f t="shared" si="17"/>
        <v>0</v>
      </c>
      <c r="AI797" s="2">
        <f t="shared" si="18"/>
      </c>
    </row>
    <row r="798">
      <c r="A798" s="43">
        <f t="shared" si="0"/>
      </c>
      <c r="B798" s="54" t="n"/>
      <c r="C798" s="45" t="n"/>
      <c r="D798" s="50" t="n"/>
      <c r="E798" s="55" t="n"/>
      <c r="F798" s="50" t="n"/>
      <c r="G798" s="55" t="n"/>
      <c r="H798" s="50" t="n"/>
      <c r="I798" s="55" t="n"/>
      <c r="J798" s="50" t="n"/>
      <c r="K798" s="55" t="n"/>
      <c r="L798" s="56" t="n"/>
      <c r="M798" s="57" t="n"/>
      <c r="N798" s="57" t="n"/>
      <c r="O798" s="57" t="n"/>
      <c r="P798" s="57" t="n"/>
      <c r="Q798" s="50" t="n"/>
      <c r="R798" s="58">
        <f t="shared" si="1"/>
      </c>
      <c r="S798" s="59">
        <f t="shared" si="2"/>
      </c>
      <c r="T798" s="43">
        <f t="shared" si="3"/>
      </c>
      <c r="U798" s="60">
        <f t="shared" si="4"/>
      </c>
      <c r="V798" s="60">
        <f t="shared" si="5"/>
      </c>
      <c r="W798" s="60">
        <f t="shared" si="6"/>
      </c>
      <c r="X798" s="49">
        <f t="shared" si="7"/>
      </c>
      <c r="Y798" s="2">
        <f t="shared" si="8"/>
      </c>
      <c r="Z798" s="2">
        <f t="shared" si="9"/>
        <v>0</v>
      </c>
      <c r="AA798" s="2">
        <f t="shared" si="10"/>
        <v>0</v>
      </c>
      <c r="AB798" s="2">
        <f t="shared" si="11"/>
        <v>0</v>
      </c>
      <c r="AC798" s="2">
        <f t="shared" si="12"/>
        <v>0</v>
      </c>
      <c r="AD798" s="2">
        <f t="shared" si="13"/>
        <v>0</v>
      </c>
      <c r="AE798" s="2">
        <f t="shared" si="14"/>
        <v>0</v>
      </c>
      <c r="AF798" s="2">
        <f t="shared" si="15"/>
        <v>0</v>
      </c>
      <c r="AG798" s="2">
        <f t="shared" si="16"/>
        <v>0</v>
      </c>
      <c r="AH798" s="2">
        <f t="shared" si="17"/>
        <v>0</v>
      </c>
      <c r="AI798" s="2">
        <f t="shared" si="18"/>
      </c>
    </row>
    <row r="799">
      <c r="A799" s="43">
        <f t="shared" si="0"/>
      </c>
      <c r="B799" s="54" t="n"/>
      <c r="C799" s="45" t="n"/>
      <c r="D799" s="50" t="n"/>
      <c r="E799" s="55" t="n"/>
      <c r="F799" s="50" t="n"/>
      <c r="G799" s="55" t="n"/>
      <c r="H799" s="50" t="n"/>
      <c r="I799" s="55" t="n"/>
      <c r="J799" s="50" t="n"/>
      <c r="K799" s="55" t="n"/>
      <c r="L799" s="56" t="n"/>
      <c r="M799" s="57" t="n"/>
      <c r="N799" s="57" t="n"/>
      <c r="O799" s="57" t="n"/>
      <c r="P799" s="57" t="n"/>
      <c r="Q799" s="50" t="n"/>
      <c r="R799" s="58">
        <f t="shared" si="1"/>
      </c>
      <c r="S799" s="59">
        <f t="shared" si="2"/>
      </c>
      <c r="T799" s="43">
        <f t="shared" si="3"/>
      </c>
      <c r="U799" s="60">
        <f t="shared" si="4"/>
      </c>
      <c r="V799" s="60">
        <f t="shared" si="5"/>
      </c>
      <c r="W799" s="60">
        <f t="shared" si="6"/>
      </c>
      <c r="X799" s="49">
        <f t="shared" si="7"/>
      </c>
      <c r="Y799" s="2">
        <f t="shared" si="8"/>
      </c>
      <c r="Z799" s="2">
        <f t="shared" si="9"/>
        <v>0</v>
      </c>
      <c r="AA799" s="2">
        <f t="shared" si="10"/>
        <v>0</v>
      </c>
      <c r="AB799" s="2">
        <f t="shared" si="11"/>
        <v>0</v>
      </c>
      <c r="AC799" s="2">
        <f t="shared" si="12"/>
        <v>0</v>
      </c>
      <c r="AD799" s="2">
        <f t="shared" si="13"/>
        <v>0</v>
      </c>
      <c r="AE799" s="2">
        <f t="shared" si="14"/>
        <v>0</v>
      </c>
      <c r="AF799" s="2">
        <f t="shared" si="15"/>
        <v>0</v>
      </c>
      <c r="AG799" s="2">
        <f t="shared" si="16"/>
        <v>0</v>
      </c>
      <c r="AH799" s="2">
        <f t="shared" si="17"/>
        <v>0</v>
      </c>
      <c r="AI799" s="2">
        <f t="shared" si="18"/>
      </c>
    </row>
    <row r="800">
      <c r="A800" s="43">
        <f t="shared" si="0"/>
      </c>
      <c r="B800" s="54" t="n"/>
      <c r="C800" s="45" t="n"/>
      <c r="D800" s="50" t="n"/>
      <c r="E800" s="55" t="n"/>
      <c r="F800" s="50" t="n"/>
      <c r="G800" s="55" t="n"/>
      <c r="H800" s="50" t="n"/>
      <c r="I800" s="55" t="n"/>
      <c r="J800" s="50" t="n"/>
      <c r="K800" s="55" t="n"/>
      <c r="L800" s="56" t="n"/>
      <c r="M800" s="57" t="n"/>
      <c r="N800" s="57" t="n"/>
      <c r="O800" s="57" t="n"/>
      <c r="P800" s="57" t="n"/>
      <c r="Q800" s="50" t="n"/>
      <c r="R800" s="58">
        <f t="shared" si="1"/>
      </c>
      <c r="S800" s="59">
        <f t="shared" si="2"/>
      </c>
      <c r="T800" s="43">
        <f t="shared" si="3"/>
      </c>
      <c r="U800" s="60">
        <f t="shared" si="4"/>
      </c>
      <c r="V800" s="60">
        <f t="shared" si="5"/>
      </c>
      <c r="W800" s="60">
        <f t="shared" si="6"/>
      </c>
      <c r="X800" s="49">
        <f t="shared" si="7"/>
      </c>
      <c r="Y800" s="2">
        <f t="shared" si="8"/>
      </c>
      <c r="Z800" s="2">
        <f t="shared" si="9"/>
        <v>0</v>
      </c>
      <c r="AA800" s="2">
        <f t="shared" si="10"/>
        <v>0</v>
      </c>
      <c r="AB800" s="2">
        <f t="shared" si="11"/>
        <v>0</v>
      </c>
      <c r="AC800" s="2">
        <f t="shared" si="12"/>
        <v>0</v>
      </c>
      <c r="AD800" s="2">
        <f t="shared" si="13"/>
        <v>0</v>
      </c>
      <c r="AE800" s="2">
        <f t="shared" si="14"/>
        <v>0</v>
      </c>
      <c r="AF800" s="2">
        <f t="shared" si="15"/>
        <v>0</v>
      </c>
      <c r="AG800" s="2">
        <f t="shared" si="16"/>
        <v>0</v>
      </c>
      <c r="AH800" s="2">
        <f t="shared" si="17"/>
        <v>0</v>
      </c>
      <c r="AI800" s="2">
        <f t="shared" si="18"/>
      </c>
    </row>
    <row r="801">
      <c r="A801" s="43">
        <f t="shared" si="0"/>
      </c>
      <c r="B801" s="54" t="n"/>
      <c r="C801" s="45" t="n"/>
      <c r="D801" s="50" t="n"/>
      <c r="E801" s="55" t="n"/>
      <c r="F801" s="50" t="n"/>
      <c r="G801" s="55" t="n"/>
      <c r="H801" s="50" t="n"/>
      <c r="I801" s="55" t="n"/>
      <c r="J801" s="50" t="n"/>
      <c r="K801" s="55" t="n"/>
      <c r="L801" s="56" t="n"/>
      <c r="M801" s="57" t="n"/>
      <c r="N801" s="57" t="n"/>
      <c r="O801" s="57" t="n"/>
      <c r="P801" s="57" t="n"/>
      <c r="Q801" s="50" t="n"/>
      <c r="R801" s="58">
        <f t="shared" si="1"/>
      </c>
      <c r="S801" s="59">
        <f t="shared" si="2"/>
      </c>
      <c r="T801" s="43">
        <f t="shared" si="3"/>
      </c>
      <c r="U801" s="60">
        <f t="shared" si="4"/>
      </c>
      <c r="V801" s="60">
        <f t="shared" si="5"/>
      </c>
      <c r="W801" s="60">
        <f t="shared" si="6"/>
      </c>
      <c r="X801" s="49">
        <f t="shared" si="7"/>
      </c>
      <c r="Y801" s="2">
        <f t="shared" si="8"/>
      </c>
      <c r="Z801" s="2">
        <f t="shared" si="9"/>
        <v>0</v>
      </c>
      <c r="AA801" s="2">
        <f t="shared" si="10"/>
        <v>0</v>
      </c>
      <c r="AB801" s="2">
        <f t="shared" si="11"/>
        <v>0</v>
      </c>
      <c r="AC801" s="2">
        <f t="shared" si="12"/>
        <v>0</v>
      </c>
      <c r="AD801" s="2">
        <f t="shared" si="13"/>
        <v>0</v>
      </c>
      <c r="AE801" s="2">
        <f t="shared" si="14"/>
        <v>0</v>
      </c>
      <c r="AF801" s="2">
        <f t="shared" si="15"/>
        <v>0</v>
      </c>
      <c r="AG801" s="2">
        <f t="shared" si="16"/>
        <v>0</v>
      </c>
      <c r="AH801" s="2">
        <f t="shared" si="17"/>
        <v>0</v>
      </c>
      <c r="AI801" s="2">
        <f t="shared" si="18"/>
      </c>
    </row>
    <row r="802">
      <c r="A802" s="43">
        <f t="shared" si="0"/>
      </c>
      <c r="B802" s="54" t="n"/>
      <c r="C802" s="45" t="n"/>
      <c r="D802" s="50" t="n"/>
      <c r="E802" s="55" t="n"/>
      <c r="F802" s="50" t="n"/>
      <c r="G802" s="55" t="n"/>
      <c r="H802" s="50" t="n"/>
      <c r="I802" s="55" t="n"/>
      <c r="J802" s="50" t="n"/>
      <c r="K802" s="55" t="n"/>
      <c r="L802" s="56" t="n"/>
      <c r="M802" s="57" t="n"/>
      <c r="N802" s="57" t="n"/>
      <c r="O802" s="57" t="n"/>
      <c r="P802" s="57" t="n"/>
      <c r="Q802" s="50" t="n"/>
      <c r="R802" s="58">
        <f t="shared" si="1"/>
      </c>
      <c r="S802" s="59">
        <f t="shared" si="2"/>
      </c>
      <c r="T802" s="43">
        <f t="shared" si="3"/>
      </c>
      <c r="U802" s="60">
        <f t="shared" si="4"/>
      </c>
      <c r="V802" s="60">
        <f t="shared" si="5"/>
      </c>
      <c r="W802" s="60">
        <f t="shared" si="6"/>
      </c>
      <c r="X802" s="49">
        <f t="shared" si="7"/>
      </c>
      <c r="Y802" s="2">
        <f t="shared" si="8"/>
      </c>
      <c r="Z802" s="2">
        <f t="shared" si="9"/>
        <v>0</v>
      </c>
      <c r="AA802" s="2">
        <f t="shared" si="10"/>
        <v>0</v>
      </c>
      <c r="AB802" s="2">
        <f t="shared" si="11"/>
        <v>0</v>
      </c>
      <c r="AC802" s="2">
        <f t="shared" si="12"/>
        <v>0</v>
      </c>
      <c r="AD802" s="2">
        <f t="shared" si="13"/>
        <v>0</v>
      </c>
      <c r="AE802" s="2">
        <f t="shared" si="14"/>
        <v>0</v>
      </c>
      <c r="AF802" s="2">
        <f t="shared" si="15"/>
        <v>0</v>
      </c>
      <c r="AG802" s="2">
        <f t="shared" si="16"/>
        <v>0</v>
      </c>
      <c r="AH802" s="2">
        <f t="shared" si="17"/>
        <v>0</v>
      </c>
      <c r="AI802" s="2">
        <f t="shared" si="18"/>
      </c>
    </row>
    <row r="803">
      <c r="A803" s="43">
        <f t="shared" si="0"/>
      </c>
      <c r="B803" s="54" t="n"/>
      <c r="C803" s="45" t="n"/>
      <c r="D803" s="50" t="n"/>
      <c r="E803" s="55" t="n"/>
      <c r="F803" s="50" t="n"/>
      <c r="G803" s="55" t="n"/>
      <c r="H803" s="50" t="n"/>
      <c r="I803" s="55" t="n"/>
      <c r="J803" s="50" t="n"/>
      <c r="K803" s="55" t="n"/>
      <c r="L803" s="56" t="n"/>
      <c r="M803" s="57" t="n"/>
      <c r="N803" s="57" t="n"/>
      <c r="O803" s="57" t="n"/>
      <c r="P803" s="57" t="n"/>
      <c r="Q803" s="50" t="n"/>
      <c r="R803" s="58">
        <f t="shared" si="1"/>
      </c>
      <c r="S803" s="59">
        <f t="shared" si="2"/>
      </c>
      <c r="T803" s="43">
        <f t="shared" si="3"/>
      </c>
      <c r="U803" s="60">
        <f t="shared" si="4"/>
      </c>
      <c r="V803" s="60">
        <f t="shared" si="5"/>
      </c>
      <c r="W803" s="60">
        <f t="shared" si="6"/>
      </c>
      <c r="X803" s="49">
        <f t="shared" si="7"/>
      </c>
      <c r="Y803" s="2">
        <f t="shared" si="8"/>
      </c>
      <c r="Z803" s="2">
        <f t="shared" si="9"/>
        <v>0</v>
      </c>
      <c r="AA803" s="2">
        <f t="shared" si="10"/>
        <v>0</v>
      </c>
      <c r="AB803" s="2">
        <f t="shared" si="11"/>
        <v>0</v>
      </c>
      <c r="AC803" s="2">
        <f t="shared" si="12"/>
        <v>0</v>
      </c>
      <c r="AD803" s="2">
        <f t="shared" si="13"/>
        <v>0</v>
      </c>
      <c r="AE803" s="2">
        <f t="shared" si="14"/>
        <v>0</v>
      </c>
      <c r="AF803" s="2">
        <f t="shared" si="15"/>
        <v>0</v>
      </c>
      <c r="AG803" s="2">
        <f t="shared" si="16"/>
        <v>0</v>
      </c>
      <c r="AH803" s="2">
        <f t="shared" si="17"/>
        <v>0</v>
      </c>
      <c r="AI803" s="2">
        <f t="shared" si="18"/>
      </c>
    </row>
    <row r="804">
      <c r="A804" s="43">
        <f t="shared" si="0"/>
      </c>
      <c r="B804" s="54" t="n"/>
      <c r="C804" s="45" t="n"/>
      <c r="D804" s="50" t="n"/>
      <c r="E804" s="55" t="n"/>
      <c r="F804" s="50" t="n"/>
      <c r="G804" s="55" t="n"/>
      <c r="H804" s="50" t="n"/>
      <c r="I804" s="55" t="n"/>
      <c r="J804" s="50" t="n"/>
      <c r="K804" s="55" t="n"/>
      <c r="L804" s="56" t="n"/>
      <c r="M804" s="57" t="n"/>
      <c r="N804" s="57" t="n"/>
      <c r="O804" s="57" t="n"/>
      <c r="P804" s="57" t="n"/>
      <c r="Q804" s="50" t="n"/>
      <c r="R804" s="58">
        <f t="shared" si="1"/>
      </c>
      <c r="S804" s="59">
        <f t="shared" si="2"/>
      </c>
      <c r="T804" s="43">
        <f t="shared" si="3"/>
      </c>
      <c r="U804" s="60">
        <f t="shared" si="4"/>
      </c>
      <c r="V804" s="60">
        <f t="shared" si="5"/>
      </c>
      <c r="W804" s="60">
        <f t="shared" si="6"/>
      </c>
      <c r="X804" s="49">
        <f t="shared" si="7"/>
      </c>
      <c r="Y804" s="2">
        <f t="shared" si="8"/>
      </c>
      <c r="Z804" s="2">
        <f t="shared" si="9"/>
        <v>0</v>
      </c>
      <c r="AA804" s="2">
        <f t="shared" si="10"/>
        <v>0</v>
      </c>
      <c r="AB804" s="2">
        <f t="shared" si="11"/>
        <v>0</v>
      </c>
      <c r="AC804" s="2">
        <f t="shared" si="12"/>
        <v>0</v>
      </c>
      <c r="AD804" s="2">
        <f t="shared" si="13"/>
        <v>0</v>
      </c>
      <c r="AE804" s="2">
        <f t="shared" si="14"/>
        <v>0</v>
      </c>
      <c r="AF804" s="2">
        <f t="shared" si="15"/>
        <v>0</v>
      </c>
      <c r="AG804" s="2">
        <f t="shared" si="16"/>
        <v>0</v>
      </c>
      <c r="AH804" s="2">
        <f t="shared" si="17"/>
        <v>0</v>
      </c>
      <c r="AI804" s="2">
        <f t="shared" si="18"/>
      </c>
    </row>
    <row r="805">
      <c r="A805" s="43">
        <f t="shared" si="0"/>
      </c>
      <c r="B805" s="54" t="n"/>
      <c r="C805" s="45" t="n"/>
      <c r="D805" s="50" t="n"/>
      <c r="E805" s="55" t="n"/>
      <c r="F805" s="50" t="n"/>
      <c r="G805" s="55" t="n"/>
      <c r="H805" s="50" t="n"/>
      <c r="I805" s="55" t="n"/>
      <c r="J805" s="50" t="n"/>
      <c r="K805" s="55" t="n"/>
      <c r="L805" s="56" t="n"/>
      <c r="M805" s="57" t="n"/>
      <c r="N805" s="57" t="n"/>
      <c r="O805" s="57" t="n"/>
      <c r="P805" s="57" t="n"/>
      <c r="Q805" s="50" t="n"/>
      <c r="R805" s="58">
        <f t="shared" si="1"/>
      </c>
      <c r="S805" s="59">
        <f t="shared" si="2"/>
      </c>
      <c r="T805" s="43">
        <f t="shared" si="3"/>
      </c>
      <c r="U805" s="60">
        <f t="shared" si="4"/>
      </c>
      <c r="V805" s="60">
        <f t="shared" si="5"/>
      </c>
      <c r="W805" s="60">
        <f t="shared" si="6"/>
      </c>
      <c r="X805" s="49">
        <f t="shared" si="7"/>
      </c>
      <c r="Y805" s="2">
        <f t="shared" si="8"/>
      </c>
      <c r="Z805" s="2">
        <f t="shared" si="9"/>
        <v>0</v>
      </c>
      <c r="AA805" s="2">
        <f t="shared" si="10"/>
        <v>0</v>
      </c>
      <c r="AB805" s="2">
        <f t="shared" si="11"/>
        <v>0</v>
      </c>
      <c r="AC805" s="2">
        <f t="shared" si="12"/>
        <v>0</v>
      </c>
      <c r="AD805" s="2">
        <f t="shared" si="13"/>
        <v>0</v>
      </c>
      <c r="AE805" s="2">
        <f t="shared" si="14"/>
        <v>0</v>
      </c>
      <c r="AF805" s="2">
        <f t="shared" si="15"/>
        <v>0</v>
      </c>
      <c r="AG805" s="2">
        <f t="shared" si="16"/>
        <v>0</v>
      </c>
      <c r="AH805" s="2">
        <f t="shared" si="17"/>
        <v>0</v>
      </c>
      <c r="AI805" s="2">
        <f t="shared" si="18"/>
      </c>
    </row>
    <row r="806">
      <c r="A806" s="43">
        <f t="shared" si="0"/>
      </c>
      <c r="B806" s="54" t="n"/>
      <c r="C806" s="45" t="n"/>
      <c r="D806" s="50" t="n"/>
      <c r="E806" s="55" t="n"/>
      <c r="F806" s="50" t="n"/>
      <c r="G806" s="55" t="n"/>
      <c r="H806" s="50" t="n"/>
      <c r="I806" s="55" t="n"/>
      <c r="J806" s="50" t="n"/>
      <c r="K806" s="55" t="n"/>
      <c r="L806" s="56" t="n"/>
      <c r="M806" s="57" t="n"/>
      <c r="N806" s="57" t="n"/>
      <c r="O806" s="57" t="n"/>
      <c r="P806" s="57" t="n"/>
      <c r="Q806" s="50" t="n"/>
      <c r="R806" s="58">
        <f t="shared" si="1"/>
      </c>
      <c r="S806" s="59">
        <f t="shared" si="2"/>
      </c>
      <c r="T806" s="43">
        <f t="shared" si="3"/>
      </c>
      <c r="U806" s="60">
        <f t="shared" si="4"/>
      </c>
      <c r="V806" s="60">
        <f t="shared" si="5"/>
      </c>
      <c r="W806" s="60">
        <f t="shared" si="6"/>
      </c>
      <c r="X806" s="49">
        <f t="shared" si="7"/>
      </c>
      <c r="Y806" s="2">
        <f t="shared" si="8"/>
      </c>
      <c r="Z806" s="2">
        <f t="shared" si="9"/>
        <v>0</v>
      </c>
      <c r="AA806" s="2">
        <f t="shared" si="10"/>
        <v>0</v>
      </c>
      <c r="AB806" s="2">
        <f t="shared" si="11"/>
        <v>0</v>
      </c>
      <c r="AC806" s="2">
        <f t="shared" si="12"/>
        <v>0</v>
      </c>
      <c r="AD806" s="2">
        <f t="shared" si="13"/>
        <v>0</v>
      </c>
      <c r="AE806" s="2">
        <f t="shared" si="14"/>
        <v>0</v>
      </c>
      <c r="AF806" s="2">
        <f t="shared" si="15"/>
        <v>0</v>
      </c>
      <c r="AG806" s="2">
        <f t="shared" si="16"/>
        <v>0</v>
      </c>
      <c r="AH806" s="2">
        <f t="shared" si="17"/>
        <v>0</v>
      </c>
      <c r="AI806" s="2">
        <f t="shared" si="18"/>
      </c>
    </row>
    <row r="807">
      <c r="A807" s="43">
        <f t="shared" si="0"/>
      </c>
      <c r="B807" s="54" t="n"/>
      <c r="C807" s="45" t="n"/>
      <c r="D807" s="50" t="n"/>
      <c r="E807" s="55" t="n"/>
      <c r="F807" s="50" t="n"/>
      <c r="G807" s="55" t="n"/>
      <c r="H807" s="50" t="n"/>
      <c r="I807" s="55" t="n"/>
      <c r="J807" s="50" t="n"/>
      <c r="K807" s="55" t="n"/>
      <c r="L807" s="56" t="n"/>
      <c r="M807" s="57" t="n"/>
      <c r="N807" s="57" t="n"/>
      <c r="O807" s="57" t="n"/>
      <c r="P807" s="57" t="n"/>
      <c r="Q807" s="50" t="n"/>
      <c r="R807" s="58">
        <f t="shared" si="1"/>
      </c>
      <c r="S807" s="59">
        <f t="shared" si="2"/>
      </c>
      <c r="T807" s="43">
        <f t="shared" si="3"/>
      </c>
      <c r="U807" s="60">
        <f t="shared" si="4"/>
      </c>
      <c r="V807" s="60">
        <f t="shared" si="5"/>
      </c>
      <c r="W807" s="60">
        <f t="shared" si="6"/>
      </c>
      <c r="X807" s="49">
        <f t="shared" si="7"/>
      </c>
      <c r="Y807" s="2">
        <f t="shared" si="8"/>
      </c>
      <c r="Z807" s="2">
        <f t="shared" si="9"/>
        <v>0</v>
      </c>
      <c r="AA807" s="2">
        <f t="shared" si="10"/>
        <v>0</v>
      </c>
      <c r="AB807" s="2">
        <f t="shared" si="11"/>
        <v>0</v>
      </c>
      <c r="AC807" s="2">
        <f t="shared" si="12"/>
        <v>0</v>
      </c>
      <c r="AD807" s="2">
        <f t="shared" si="13"/>
        <v>0</v>
      </c>
      <c r="AE807" s="2">
        <f t="shared" si="14"/>
        <v>0</v>
      </c>
      <c r="AF807" s="2">
        <f t="shared" si="15"/>
        <v>0</v>
      </c>
      <c r="AG807" s="2">
        <f t="shared" si="16"/>
        <v>0</v>
      </c>
      <c r="AH807" s="2">
        <f t="shared" si="17"/>
        <v>0</v>
      </c>
      <c r="AI807" s="2">
        <f t="shared" si="18"/>
      </c>
    </row>
    <row r="808">
      <c r="A808" s="43">
        <f t="shared" si="0"/>
      </c>
      <c r="B808" s="54" t="n"/>
      <c r="C808" s="45" t="n"/>
      <c r="D808" s="50" t="n"/>
      <c r="E808" s="55" t="n"/>
      <c r="F808" s="50" t="n"/>
      <c r="G808" s="55" t="n"/>
      <c r="H808" s="50" t="n"/>
      <c r="I808" s="55" t="n"/>
      <c r="J808" s="50" t="n"/>
      <c r="K808" s="55" t="n"/>
      <c r="L808" s="56" t="n"/>
      <c r="M808" s="57" t="n"/>
      <c r="N808" s="57" t="n"/>
      <c r="O808" s="57" t="n"/>
      <c r="P808" s="57" t="n"/>
      <c r="Q808" s="50" t="n"/>
      <c r="R808" s="58">
        <f t="shared" si="1"/>
      </c>
      <c r="S808" s="59">
        <f t="shared" si="2"/>
      </c>
      <c r="T808" s="43">
        <f t="shared" si="3"/>
      </c>
      <c r="U808" s="60">
        <f t="shared" si="4"/>
      </c>
      <c r="V808" s="60">
        <f t="shared" si="5"/>
      </c>
      <c r="W808" s="60">
        <f t="shared" si="6"/>
      </c>
      <c r="X808" s="49">
        <f t="shared" si="7"/>
      </c>
      <c r="Y808" s="2">
        <f t="shared" si="8"/>
      </c>
      <c r="Z808" s="2">
        <f t="shared" si="9"/>
        <v>0</v>
      </c>
      <c r="AA808" s="2">
        <f t="shared" si="10"/>
        <v>0</v>
      </c>
      <c r="AB808" s="2">
        <f t="shared" si="11"/>
        <v>0</v>
      </c>
      <c r="AC808" s="2">
        <f t="shared" si="12"/>
        <v>0</v>
      </c>
      <c r="AD808" s="2">
        <f t="shared" si="13"/>
        <v>0</v>
      </c>
      <c r="AE808" s="2">
        <f t="shared" si="14"/>
        <v>0</v>
      </c>
      <c r="AF808" s="2">
        <f t="shared" si="15"/>
        <v>0</v>
      </c>
      <c r="AG808" s="2">
        <f t="shared" si="16"/>
        <v>0</v>
      </c>
      <c r="AH808" s="2">
        <f t="shared" si="17"/>
        <v>0</v>
      </c>
      <c r="AI808" s="2">
        <f t="shared" si="18"/>
      </c>
    </row>
    <row r="809">
      <c r="A809" s="43">
        <f t="shared" si="0"/>
      </c>
      <c r="B809" s="54" t="n"/>
      <c r="C809" s="45" t="n"/>
      <c r="D809" s="50" t="n"/>
      <c r="E809" s="55" t="n"/>
      <c r="F809" s="50" t="n"/>
      <c r="G809" s="55" t="n"/>
      <c r="H809" s="50" t="n"/>
      <c r="I809" s="55" t="n"/>
      <c r="J809" s="50" t="n"/>
      <c r="K809" s="55" t="n"/>
      <c r="L809" s="56" t="n"/>
      <c r="M809" s="57" t="n"/>
      <c r="N809" s="57" t="n"/>
      <c r="O809" s="57" t="n"/>
      <c r="P809" s="57" t="n"/>
      <c r="Q809" s="50" t="n"/>
      <c r="R809" s="58">
        <f t="shared" si="1"/>
      </c>
      <c r="S809" s="59">
        <f t="shared" si="2"/>
      </c>
      <c r="T809" s="43">
        <f t="shared" si="3"/>
      </c>
      <c r="U809" s="60">
        <f t="shared" si="4"/>
      </c>
      <c r="V809" s="60">
        <f t="shared" si="5"/>
      </c>
      <c r="W809" s="60">
        <f t="shared" si="6"/>
      </c>
      <c r="X809" s="49">
        <f t="shared" si="7"/>
      </c>
      <c r="Y809" s="2">
        <f t="shared" si="8"/>
      </c>
      <c r="Z809" s="2">
        <f t="shared" si="9"/>
        <v>0</v>
      </c>
      <c r="AA809" s="2">
        <f t="shared" si="10"/>
        <v>0</v>
      </c>
      <c r="AB809" s="2">
        <f t="shared" si="11"/>
        <v>0</v>
      </c>
      <c r="AC809" s="2">
        <f t="shared" si="12"/>
        <v>0</v>
      </c>
      <c r="AD809" s="2">
        <f t="shared" si="13"/>
        <v>0</v>
      </c>
      <c r="AE809" s="2">
        <f t="shared" si="14"/>
        <v>0</v>
      </c>
      <c r="AF809" s="2">
        <f t="shared" si="15"/>
        <v>0</v>
      </c>
      <c r="AG809" s="2">
        <f t="shared" si="16"/>
        <v>0</v>
      </c>
      <c r="AH809" s="2">
        <f t="shared" si="17"/>
        <v>0</v>
      </c>
      <c r="AI809" s="2">
        <f t="shared" si="18"/>
      </c>
    </row>
    <row r="810">
      <c r="A810" s="43">
        <f t="shared" si="0"/>
      </c>
      <c r="B810" s="54" t="n"/>
      <c r="C810" s="45" t="n"/>
      <c r="D810" s="50" t="n"/>
      <c r="E810" s="55" t="n"/>
      <c r="F810" s="50" t="n"/>
      <c r="G810" s="55" t="n"/>
      <c r="H810" s="50" t="n"/>
      <c r="I810" s="55" t="n"/>
      <c r="J810" s="50" t="n"/>
      <c r="K810" s="55" t="n"/>
      <c r="L810" s="56" t="n"/>
      <c r="M810" s="57" t="n"/>
      <c r="N810" s="57" t="n"/>
      <c r="O810" s="57" t="n"/>
      <c r="P810" s="57" t="n"/>
      <c r="Q810" s="50" t="n"/>
      <c r="R810" s="58">
        <f t="shared" si="1"/>
      </c>
      <c r="S810" s="59">
        <f t="shared" si="2"/>
      </c>
      <c r="T810" s="43">
        <f t="shared" si="3"/>
      </c>
      <c r="U810" s="60">
        <f t="shared" si="4"/>
      </c>
      <c r="V810" s="60">
        <f t="shared" si="5"/>
      </c>
      <c r="W810" s="60">
        <f t="shared" si="6"/>
      </c>
      <c r="X810" s="49">
        <f t="shared" si="7"/>
      </c>
      <c r="Y810" s="2">
        <f t="shared" si="8"/>
      </c>
      <c r="Z810" s="2">
        <f t="shared" si="9"/>
        <v>0</v>
      </c>
      <c r="AA810" s="2">
        <f t="shared" si="10"/>
        <v>0</v>
      </c>
      <c r="AB810" s="2">
        <f t="shared" si="11"/>
        <v>0</v>
      </c>
      <c r="AC810" s="2">
        <f t="shared" si="12"/>
        <v>0</v>
      </c>
      <c r="AD810" s="2">
        <f t="shared" si="13"/>
        <v>0</v>
      </c>
      <c r="AE810" s="2">
        <f t="shared" si="14"/>
        <v>0</v>
      </c>
      <c r="AF810" s="2">
        <f t="shared" si="15"/>
        <v>0</v>
      </c>
      <c r="AG810" s="2">
        <f t="shared" si="16"/>
        <v>0</v>
      </c>
      <c r="AH810" s="2">
        <f t="shared" si="17"/>
        <v>0</v>
      </c>
      <c r="AI810" s="2">
        <f t="shared" si="18"/>
      </c>
    </row>
    <row r="811">
      <c r="A811" s="43">
        <f t="shared" si="0"/>
      </c>
      <c r="B811" s="54" t="n"/>
      <c r="C811" s="45" t="n"/>
      <c r="D811" s="50" t="n"/>
      <c r="E811" s="55" t="n"/>
      <c r="F811" s="50" t="n"/>
      <c r="G811" s="55" t="n"/>
      <c r="H811" s="50" t="n"/>
      <c r="I811" s="55" t="n"/>
      <c r="J811" s="50" t="n"/>
      <c r="K811" s="55" t="n"/>
      <c r="L811" s="56" t="n"/>
      <c r="M811" s="57" t="n"/>
      <c r="N811" s="57" t="n"/>
      <c r="O811" s="57" t="n"/>
      <c r="P811" s="57" t="n"/>
      <c r="Q811" s="50" t="n"/>
      <c r="R811" s="58">
        <f t="shared" si="1"/>
      </c>
      <c r="S811" s="59">
        <f t="shared" si="2"/>
      </c>
      <c r="T811" s="43">
        <f t="shared" si="3"/>
      </c>
      <c r="U811" s="60">
        <f t="shared" si="4"/>
      </c>
      <c r="V811" s="60">
        <f t="shared" si="5"/>
      </c>
      <c r="W811" s="60">
        <f t="shared" si="6"/>
      </c>
      <c r="X811" s="49">
        <f t="shared" si="7"/>
      </c>
      <c r="Y811" s="2">
        <f t="shared" si="8"/>
      </c>
      <c r="Z811" s="2">
        <f t="shared" si="9"/>
        <v>0</v>
      </c>
      <c r="AA811" s="2">
        <f t="shared" si="10"/>
        <v>0</v>
      </c>
      <c r="AB811" s="2">
        <f t="shared" si="11"/>
        <v>0</v>
      </c>
      <c r="AC811" s="2">
        <f t="shared" si="12"/>
        <v>0</v>
      </c>
      <c r="AD811" s="2">
        <f t="shared" si="13"/>
        <v>0</v>
      </c>
      <c r="AE811" s="2">
        <f t="shared" si="14"/>
        <v>0</v>
      </c>
      <c r="AF811" s="2">
        <f t="shared" si="15"/>
        <v>0</v>
      </c>
      <c r="AG811" s="2">
        <f t="shared" si="16"/>
        <v>0</v>
      </c>
      <c r="AH811" s="2">
        <f t="shared" si="17"/>
        <v>0</v>
      </c>
      <c r="AI811" s="2">
        <f t="shared" si="18"/>
      </c>
    </row>
    <row r="812">
      <c r="A812" s="43">
        <f t="shared" si="0"/>
      </c>
      <c r="B812" s="54" t="n"/>
      <c r="C812" s="45" t="n"/>
      <c r="D812" s="50" t="n"/>
      <c r="E812" s="55" t="n"/>
      <c r="F812" s="50" t="n"/>
      <c r="G812" s="55" t="n"/>
      <c r="H812" s="50" t="n"/>
      <c r="I812" s="55" t="n"/>
      <c r="J812" s="50" t="n"/>
      <c r="K812" s="55" t="n"/>
      <c r="L812" s="56" t="n"/>
      <c r="M812" s="57" t="n"/>
      <c r="N812" s="57" t="n"/>
      <c r="O812" s="57" t="n"/>
      <c r="P812" s="57" t="n"/>
      <c r="Q812" s="50" t="n"/>
      <c r="R812" s="58">
        <f t="shared" si="1"/>
      </c>
      <c r="S812" s="59">
        <f t="shared" si="2"/>
      </c>
      <c r="T812" s="43">
        <f t="shared" si="3"/>
      </c>
      <c r="U812" s="60">
        <f t="shared" si="4"/>
      </c>
      <c r="V812" s="60">
        <f t="shared" si="5"/>
      </c>
      <c r="W812" s="60">
        <f t="shared" si="6"/>
      </c>
      <c r="X812" s="49">
        <f t="shared" si="7"/>
      </c>
      <c r="Y812" s="2">
        <f t="shared" si="8"/>
      </c>
      <c r="Z812" s="2">
        <f t="shared" si="9"/>
        <v>0</v>
      </c>
      <c r="AA812" s="2">
        <f t="shared" si="10"/>
        <v>0</v>
      </c>
      <c r="AB812" s="2">
        <f t="shared" si="11"/>
        <v>0</v>
      </c>
      <c r="AC812" s="2">
        <f t="shared" si="12"/>
        <v>0</v>
      </c>
      <c r="AD812" s="2">
        <f t="shared" si="13"/>
        <v>0</v>
      </c>
      <c r="AE812" s="2">
        <f t="shared" si="14"/>
        <v>0</v>
      </c>
      <c r="AF812" s="2">
        <f t="shared" si="15"/>
        <v>0</v>
      </c>
      <c r="AG812" s="2">
        <f t="shared" si="16"/>
        <v>0</v>
      </c>
      <c r="AH812" s="2">
        <f t="shared" si="17"/>
        <v>0</v>
      </c>
      <c r="AI812" s="2">
        <f t="shared" si="18"/>
      </c>
    </row>
    <row r="813">
      <c r="A813" s="43">
        <f t="shared" si="0"/>
      </c>
      <c r="B813" s="54" t="n"/>
      <c r="C813" s="45" t="n"/>
      <c r="D813" s="50" t="n"/>
      <c r="E813" s="55" t="n"/>
      <c r="F813" s="50" t="n"/>
      <c r="G813" s="55" t="n"/>
      <c r="H813" s="50" t="n"/>
      <c r="I813" s="55" t="n"/>
      <c r="J813" s="50" t="n"/>
      <c r="K813" s="55" t="n"/>
      <c r="L813" s="56" t="n"/>
      <c r="M813" s="57" t="n"/>
      <c r="N813" s="57" t="n"/>
      <c r="O813" s="57" t="n"/>
      <c r="P813" s="57" t="n"/>
      <c r="Q813" s="50" t="n"/>
      <c r="R813" s="58">
        <f t="shared" si="1"/>
      </c>
      <c r="S813" s="59">
        <f t="shared" si="2"/>
      </c>
      <c r="T813" s="43">
        <f t="shared" si="3"/>
      </c>
      <c r="U813" s="60">
        <f t="shared" si="4"/>
      </c>
      <c r="V813" s="60">
        <f t="shared" si="5"/>
      </c>
      <c r="W813" s="60">
        <f t="shared" si="6"/>
      </c>
      <c r="X813" s="49">
        <f t="shared" si="7"/>
      </c>
      <c r="Y813" s="2">
        <f t="shared" si="8"/>
      </c>
      <c r="Z813" s="2">
        <f t="shared" si="9"/>
        <v>0</v>
      </c>
      <c r="AA813" s="2">
        <f t="shared" si="10"/>
        <v>0</v>
      </c>
      <c r="AB813" s="2">
        <f t="shared" si="11"/>
        <v>0</v>
      </c>
      <c r="AC813" s="2">
        <f t="shared" si="12"/>
        <v>0</v>
      </c>
      <c r="AD813" s="2">
        <f t="shared" si="13"/>
        <v>0</v>
      </c>
      <c r="AE813" s="2">
        <f t="shared" si="14"/>
        <v>0</v>
      </c>
      <c r="AF813" s="2">
        <f t="shared" si="15"/>
        <v>0</v>
      </c>
      <c r="AG813" s="2">
        <f t="shared" si="16"/>
        <v>0</v>
      </c>
      <c r="AH813" s="2">
        <f t="shared" si="17"/>
        <v>0</v>
      </c>
      <c r="AI813" s="2">
        <f t="shared" si="18"/>
      </c>
    </row>
    <row r="814">
      <c r="A814" s="43">
        <f t="shared" si="0"/>
      </c>
      <c r="B814" s="54" t="n"/>
      <c r="C814" s="45" t="n"/>
      <c r="D814" s="50" t="n"/>
      <c r="E814" s="55" t="n"/>
      <c r="F814" s="50" t="n"/>
      <c r="G814" s="55" t="n"/>
      <c r="H814" s="50" t="n"/>
      <c r="I814" s="55" t="n"/>
      <c r="J814" s="50" t="n"/>
      <c r="K814" s="55" t="n"/>
      <c r="L814" s="56" t="n"/>
      <c r="M814" s="57" t="n"/>
      <c r="N814" s="57" t="n"/>
      <c r="O814" s="57" t="n"/>
      <c r="P814" s="57" t="n"/>
      <c r="Q814" s="50" t="n"/>
      <c r="R814" s="58">
        <f t="shared" si="1"/>
      </c>
      <c r="S814" s="59">
        <f t="shared" si="2"/>
      </c>
      <c r="T814" s="43">
        <f t="shared" si="3"/>
      </c>
      <c r="U814" s="60">
        <f t="shared" si="4"/>
      </c>
      <c r="V814" s="60">
        <f t="shared" si="5"/>
      </c>
      <c r="W814" s="60">
        <f t="shared" si="6"/>
      </c>
      <c r="X814" s="49">
        <f t="shared" si="7"/>
      </c>
      <c r="Y814" s="2">
        <f t="shared" si="8"/>
      </c>
      <c r="Z814" s="2">
        <f t="shared" si="9"/>
        <v>0</v>
      </c>
      <c r="AA814" s="2">
        <f t="shared" si="10"/>
        <v>0</v>
      </c>
      <c r="AB814" s="2">
        <f t="shared" si="11"/>
        <v>0</v>
      </c>
      <c r="AC814" s="2">
        <f t="shared" si="12"/>
        <v>0</v>
      </c>
      <c r="AD814" s="2">
        <f t="shared" si="13"/>
        <v>0</v>
      </c>
      <c r="AE814" s="2">
        <f t="shared" si="14"/>
        <v>0</v>
      </c>
      <c r="AF814" s="2">
        <f t="shared" si="15"/>
        <v>0</v>
      </c>
      <c r="AG814" s="2">
        <f t="shared" si="16"/>
        <v>0</v>
      </c>
      <c r="AH814" s="2">
        <f t="shared" si="17"/>
        <v>0</v>
      </c>
      <c r="AI814" s="2">
        <f t="shared" si="18"/>
      </c>
    </row>
    <row r="815">
      <c r="A815" s="43">
        <f t="shared" si="0"/>
      </c>
      <c r="B815" s="54" t="n"/>
      <c r="C815" s="45" t="n"/>
      <c r="D815" s="50" t="n"/>
      <c r="E815" s="55" t="n"/>
      <c r="F815" s="50" t="n"/>
      <c r="G815" s="55" t="n"/>
      <c r="H815" s="50" t="n"/>
      <c r="I815" s="55" t="n"/>
      <c r="J815" s="50" t="n"/>
      <c r="K815" s="55" t="n"/>
      <c r="L815" s="56" t="n"/>
      <c r="M815" s="57" t="n"/>
      <c r="N815" s="57" t="n"/>
      <c r="O815" s="57" t="n"/>
      <c r="P815" s="57" t="n"/>
      <c r="Q815" s="50" t="n"/>
      <c r="R815" s="58">
        <f t="shared" si="1"/>
      </c>
      <c r="S815" s="59">
        <f t="shared" si="2"/>
      </c>
      <c r="T815" s="43">
        <f t="shared" si="3"/>
      </c>
      <c r="U815" s="60">
        <f t="shared" si="4"/>
      </c>
      <c r="V815" s="60">
        <f t="shared" si="5"/>
      </c>
      <c r="W815" s="60">
        <f t="shared" si="6"/>
      </c>
      <c r="X815" s="49">
        <f t="shared" si="7"/>
      </c>
      <c r="Y815" s="2">
        <f t="shared" si="8"/>
      </c>
      <c r="Z815" s="2">
        <f t="shared" si="9"/>
        <v>0</v>
      </c>
      <c r="AA815" s="2">
        <f t="shared" si="10"/>
        <v>0</v>
      </c>
      <c r="AB815" s="2">
        <f t="shared" si="11"/>
        <v>0</v>
      </c>
      <c r="AC815" s="2">
        <f t="shared" si="12"/>
        <v>0</v>
      </c>
      <c r="AD815" s="2">
        <f t="shared" si="13"/>
        <v>0</v>
      </c>
      <c r="AE815" s="2">
        <f t="shared" si="14"/>
        <v>0</v>
      </c>
      <c r="AF815" s="2">
        <f t="shared" si="15"/>
        <v>0</v>
      </c>
      <c r="AG815" s="2">
        <f t="shared" si="16"/>
        <v>0</v>
      </c>
      <c r="AH815" s="2">
        <f t="shared" si="17"/>
        <v>0</v>
      </c>
      <c r="AI815" s="2">
        <f t="shared" si="18"/>
      </c>
    </row>
    <row r="816">
      <c r="A816" s="43">
        <f t="shared" si="0"/>
      </c>
      <c r="B816" s="54" t="n"/>
      <c r="C816" s="45" t="n"/>
      <c r="D816" s="50" t="n"/>
      <c r="E816" s="55" t="n"/>
      <c r="F816" s="50" t="n"/>
      <c r="G816" s="55" t="n"/>
      <c r="H816" s="50" t="n"/>
      <c r="I816" s="55" t="n"/>
      <c r="J816" s="50" t="n"/>
      <c r="K816" s="55" t="n"/>
      <c r="L816" s="56" t="n"/>
      <c r="M816" s="57" t="n"/>
      <c r="N816" s="57" t="n"/>
      <c r="O816" s="57" t="n"/>
      <c r="P816" s="57" t="n"/>
      <c r="Q816" s="50" t="n"/>
      <c r="R816" s="58">
        <f t="shared" si="1"/>
      </c>
      <c r="S816" s="59">
        <f t="shared" si="2"/>
      </c>
      <c r="T816" s="43">
        <f t="shared" si="3"/>
      </c>
      <c r="U816" s="60">
        <f t="shared" si="4"/>
      </c>
      <c r="V816" s="60">
        <f t="shared" si="5"/>
      </c>
      <c r="W816" s="60">
        <f t="shared" si="6"/>
      </c>
      <c r="X816" s="49">
        <f t="shared" si="7"/>
      </c>
      <c r="Y816" s="2">
        <f t="shared" si="8"/>
      </c>
      <c r="Z816" s="2">
        <f t="shared" si="9"/>
        <v>0</v>
      </c>
      <c r="AA816" s="2">
        <f t="shared" si="10"/>
        <v>0</v>
      </c>
      <c r="AB816" s="2">
        <f t="shared" si="11"/>
        <v>0</v>
      </c>
      <c r="AC816" s="2">
        <f t="shared" si="12"/>
        <v>0</v>
      </c>
      <c r="AD816" s="2">
        <f t="shared" si="13"/>
        <v>0</v>
      </c>
      <c r="AE816" s="2">
        <f t="shared" si="14"/>
        <v>0</v>
      </c>
      <c r="AF816" s="2">
        <f t="shared" si="15"/>
        <v>0</v>
      </c>
      <c r="AG816" s="2">
        <f t="shared" si="16"/>
        <v>0</v>
      </c>
      <c r="AH816" s="2">
        <f t="shared" si="17"/>
        <v>0</v>
      </c>
      <c r="AI816" s="2">
        <f t="shared" si="18"/>
      </c>
    </row>
    <row r="817">
      <c r="A817" s="43">
        <f t="shared" si="0"/>
      </c>
      <c r="B817" s="54" t="n"/>
      <c r="C817" s="45" t="n"/>
      <c r="D817" s="50" t="n"/>
      <c r="E817" s="55" t="n"/>
      <c r="F817" s="50" t="n"/>
      <c r="G817" s="55" t="n"/>
      <c r="H817" s="50" t="n"/>
      <c r="I817" s="55" t="n"/>
      <c r="J817" s="50" t="n"/>
      <c r="K817" s="55" t="n"/>
      <c r="L817" s="56" t="n"/>
      <c r="M817" s="57" t="n"/>
      <c r="N817" s="57" t="n"/>
      <c r="O817" s="57" t="n"/>
      <c r="P817" s="57" t="n"/>
      <c r="Q817" s="50" t="n"/>
      <c r="R817" s="58">
        <f t="shared" si="1"/>
      </c>
      <c r="S817" s="59">
        <f t="shared" si="2"/>
      </c>
      <c r="T817" s="43">
        <f t="shared" si="3"/>
      </c>
      <c r="U817" s="60">
        <f t="shared" si="4"/>
      </c>
      <c r="V817" s="60">
        <f t="shared" si="5"/>
      </c>
      <c r="W817" s="60">
        <f t="shared" si="6"/>
      </c>
      <c r="X817" s="49">
        <f t="shared" si="7"/>
      </c>
      <c r="Y817" s="2">
        <f t="shared" si="8"/>
      </c>
      <c r="Z817" s="2">
        <f t="shared" si="9"/>
        <v>0</v>
      </c>
      <c r="AA817" s="2">
        <f t="shared" si="10"/>
        <v>0</v>
      </c>
      <c r="AB817" s="2">
        <f t="shared" si="11"/>
        <v>0</v>
      </c>
      <c r="AC817" s="2">
        <f t="shared" si="12"/>
        <v>0</v>
      </c>
      <c r="AD817" s="2">
        <f t="shared" si="13"/>
        <v>0</v>
      </c>
      <c r="AE817" s="2">
        <f t="shared" si="14"/>
        <v>0</v>
      </c>
      <c r="AF817" s="2">
        <f t="shared" si="15"/>
        <v>0</v>
      </c>
      <c r="AG817" s="2">
        <f t="shared" si="16"/>
        <v>0</v>
      </c>
      <c r="AH817" s="2">
        <f t="shared" si="17"/>
        <v>0</v>
      </c>
      <c r="AI817" s="2">
        <f t="shared" si="18"/>
      </c>
    </row>
    <row r="818">
      <c r="A818" s="43">
        <f t="shared" si="0"/>
      </c>
      <c r="B818" s="54" t="n"/>
      <c r="C818" s="45" t="n"/>
      <c r="D818" s="50" t="n"/>
      <c r="E818" s="55" t="n"/>
      <c r="F818" s="50" t="n"/>
      <c r="G818" s="55" t="n"/>
      <c r="H818" s="50" t="n"/>
      <c r="I818" s="55" t="n"/>
      <c r="J818" s="50" t="n"/>
      <c r="K818" s="55" t="n"/>
      <c r="L818" s="56" t="n"/>
      <c r="M818" s="57" t="n"/>
      <c r="N818" s="57" t="n"/>
      <c r="O818" s="57" t="n"/>
      <c r="P818" s="57" t="n"/>
      <c r="Q818" s="50" t="n"/>
      <c r="R818" s="58">
        <f t="shared" si="1"/>
      </c>
      <c r="S818" s="59">
        <f t="shared" si="2"/>
      </c>
      <c r="T818" s="43">
        <f t="shared" si="3"/>
      </c>
      <c r="U818" s="60">
        <f t="shared" si="4"/>
      </c>
      <c r="V818" s="60">
        <f t="shared" si="5"/>
      </c>
      <c r="W818" s="60">
        <f t="shared" si="6"/>
      </c>
      <c r="X818" s="49">
        <f t="shared" si="7"/>
      </c>
      <c r="Y818" s="2">
        <f t="shared" si="8"/>
      </c>
      <c r="Z818" s="2">
        <f t="shared" si="9"/>
        <v>0</v>
      </c>
      <c r="AA818" s="2">
        <f t="shared" si="10"/>
        <v>0</v>
      </c>
      <c r="AB818" s="2">
        <f t="shared" si="11"/>
        <v>0</v>
      </c>
      <c r="AC818" s="2">
        <f t="shared" si="12"/>
        <v>0</v>
      </c>
      <c r="AD818" s="2">
        <f t="shared" si="13"/>
        <v>0</v>
      </c>
      <c r="AE818" s="2">
        <f t="shared" si="14"/>
        <v>0</v>
      </c>
      <c r="AF818" s="2">
        <f t="shared" si="15"/>
        <v>0</v>
      </c>
      <c r="AG818" s="2">
        <f t="shared" si="16"/>
        <v>0</v>
      </c>
      <c r="AH818" s="2">
        <f t="shared" si="17"/>
        <v>0</v>
      </c>
      <c r="AI818" s="2">
        <f t="shared" si="18"/>
      </c>
    </row>
    <row r="819">
      <c r="A819" s="43">
        <f t="shared" si="0"/>
      </c>
      <c r="B819" s="54" t="n"/>
      <c r="C819" s="45" t="n"/>
      <c r="D819" s="50" t="n"/>
      <c r="E819" s="55" t="n"/>
      <c r="F819" s="50" t="n"/>
      <c r="G819" s="55" t="n"/>
      <c r="H819" s="50" t="n"/>
      <c r="I819" s="55" t="n"/>
      <c r="J819" s="50" t="n"/>
      <c r="K819" s="55" t="n"/>
      <c r="L819" s="56" t="n"/>
      <c r="M819" s="57" t="n"/>
      <c r="N819" s="57" t="n"/>
      <c r="O819" s="57" t="n"/>
      <c r="P819" s="57" t="n"/>
      <c r="Q819" s="50" t="n"/>
      <c r="R819" s="58">
        <f t="shared" si="1"/>
      </c>
      <c r="S819" s="59">
        <f t="shared" si="2"/>
      </c>
      <c r="T819" s="43">
        <f t="shared" si="3"/>
      </c>
      <c r="U819" s="60">
        <f t="shared" si="4"/>
      </c>
      <c r="V819" s="60">
        <f t="shared" si="5"/>
      </c>
      <c r="W819" s="60">
        <f t="shared" si="6"/>
      </c>
      <c r="X819" s="49">
        <f t="shared" si="7"/>
      </c>
      <c r="Y819" s="2">
        <f t="shared" si="8"/>
      </c>
      <c r="Z819" s="2">
        <f t="shared" si="9"/>
        <v>0</v>
      </c>
      <c r="AA819" s="2">
        <f t="shared" si="10"/>
        <v>0</v>
      </c>
      <c r="AB819" s="2">
        <f t="shared" si="11"/>
        <v>0</v>
      </c>
      <c r="AC819" s="2">
        <f t="shared" si="12"/>
        <v>0</v>
      </c>
      <c r="AD819" s="2">
        <f t="shared" si="13"/>
        <v>0</v>
      </c>
      <c r="AE819" s="2">
        <f t="shared" si="14"/>
        <v>0</v>
      </c>
      <c r="AF819" s="2">
        <f t="shared" si="15"/>
        <v>0</v>
      </c>
      <c r="AG819" s="2">
        <f t="shared" si="16"/>
        <v>0</v>
      </c>
      <c r="AH819" s="2">
        <f t="shared" si="17"/>
        <v>0</v>
      </c>
      <c r="AI819" s="2">
        <f t="shared" si="18"/>
      </c>
    </row>
    <row r="820">
      <c r="A820" s="43">
        <f t="shared" si="0"/>
      </c>
      <c r="B820" s="54" t="n"/>
      <c r="C820" s="45" t="n"/>
      <c r="D820" s="50" t="n"/>
      <c r="E820" s="55" t="n"/>
      <c r="F820" s="50" t="n"/>
      <c r="G820" s="55" t="n"/>
      <c r="H820" s="50" t="n"/>
      <c r="I820" s="55" t="n"/>
      <c r="J820" s="50" t="n"/>
      <c r="K820" s="55" t="n"/>
      <c r="L820" s="56" t="n"/>
      <c r="M820" s="57" t="n"/>
      <c r="N820" s="57" t="n"/>
      <c r="O820" s="57" t="n"/>
      <c r="P820" s="57" t="n"/>
      <c r="Q820" s="50" t="n"/>
      <c r="R820" s="58">
        <f t="shared" si="1"/>
      </c>
      <c r="S820" s="59">
        <f t="shared" si="2"/>
      </c>
      <c r="T820" s="43">
        <f t="shared" si="3"/>
      </c>
      <c r="U820" s="60">
        <f t="shared" si="4"/>
      </c>
      <c r="V820" s="60">
        <f t="shared" si="5"/>
      </c>
      <c r="W820" s="60">
        <f t="shared" si="6"/>
      </c>
      <c r="X820" s="49">
        <f t="shared" si="7"/>
      </c>
      <c r="Y820" s="2">
        <f t="shared" si="8"/>
      </c>
      <c r="Z820" s="2">
        <f t="shared" si="9"/>
        <v>0</v>
      </c>
      <c r="AA820" s="2">
        <f t="shared" si="10"/>
        <v>0</v>
      </c>
      <c r="AB820" s="2">
        <f t="shared" si="11"/>
        <v>0</v>
      </c>
      <c r="AC820" s="2">
        <f t="shared" si="12"/>
        <v>0</v>
      </c>
      <c r="AD820" s="2">
        <f t="shared" si="13"/>
        <v>0</v>
      </c>
      <c r="AE820" s="2">
        <f t="shared" si="14"/>
        <v>0</v>
      </c>
      <c r="AF820" s="2">
        <f t="shared" si="15"/>
        <v>0</v>
      </c>
      <c r="AG820" s="2">
        <f t="shared" si="16"/>
        <v>0</v>
      </c>
      <c r="AH820" s="2">
        <f t="shared" si="17"/>
        <v>0</v>
      </c>
      <c r="AI820" s="2">
        <f t="shared" si="18"/>
      </c>
    </row>
    <row r="821">
      <c r="A821" s="43">
        <f t="shared" si="0"/>
      </c>
      <c r="B821" s="54" t="n"/>
      <c r="C821" s="45" t="n"/>
      <c r="D821" s="50" t="n"/>
      <c r="E821" s="55" t="n"/>
      <c r="F821" s="50" t="n"/>
      <c r="G821" s="55" t="n"/>
      <c r="H821" s="50" t="n"/>
      <c r="I821" s="55" t="n"/>
      <c r="J821" s="50" t="n"/>
      <c r="K821" s="55" t="n"/>
      <c r="L821" s="56" t="n"/>
      <c r="M821" s="57" t="n"/>
      <c r="N821" s="57" t="n"/>
      <c r="O821" s="57" t="n"/>
      <c r="P821" s="57" t="n"/>
      <c r="Q821" s="50" t="n"/>
      <c r="R821" s="58">
        <f t="shared" si="1"/>
      </c>
      <c r="S821" s="59">
        <f t="shared" si="2"/>
      </c>
      <c r="T821" s="43">
        <f t="shared" si="3"/>
      </c>
      <c r="U821" s="60">
        <f t="shared" si="4"/>
      </c>
      <c r="V821" s="60">
        <f t="shared" si="5"/>
      </c>
      <c r="W821" s="60">
        <f t="shared" si="6"/>
      </c>
      <c r="X821" s="49">
        <f t="shared" si="7"/>
      </c>
      <c r="Y821" s="2">
        <f t="shared" si="8"/>
      </c>
      <c r="Z821" s="2">
        <f t="shared" si="9"/>
        <v>0</v>
      </c>
      <c r="AA821" s="2">
        <f t="shared" si="10"/>
        <v>0</v>
      </c>
      <c r="AB821" s="2">
        <f t="shared" si="11"/>
        <v>0</v>
      </c>
      <c r="AC821" s="2">
        <f t="shared" si="12"/>
        <v>0</v>
      </c>
      <c r="AD821" s="2">
        <f t="shared" si="13"/>
        <v>0</v>
      </c>
      <c r="AE821" s="2">
        <f t="shared" si="14"/>
        <v>0</v>
      </c>
      <c r="AF821" s="2">
        <f t="shared" si="15"/>
        <v>0</v>
      </c>
      <c r="AG821" s="2">
        <f t="shared" si="16"/>
        <v>0</v>
      </c>
      <c r="AH821" s="2">
        <f t="shared" si="17"/>
        <v>0</v>
      </c>
      <c r="AI821" s="2">
        <f t="shared" si="18"/>
      </c>
    </row>
    <row r="822">
      <c r="A822" s="43">
        <f t="shared" si="0"/>
      </c>
      <c r="B822" s="54" t="n"/>
      <c r="C822" s="45" t="n"/>
      <c r="D822" s="50" t="n"/>
      <c r="E822" s="55" t="n"/>
      <c r="F822" s="50" t="n"/>
      <c r="G822" s="55" t="n"/>
      <c r="H822" s="50" t="n"/>
      <c r="I822" s="55" t="n"/>
      <c r="J822" s="50" t="n"/>
      <c r="K822" s="55" t="n"/>
      <c r="L822" s="56" t="n"/>
      <c r="M822" s="57" t="n"/>
      <c r="N822" s="57" t="n"/>
      <c r="O822" s="57" t="n"/>
      <c r="P822" s="57" t="n"/>
      <c r="Q822" s="50" t="n"/>
      <c r="R822" s="58">
        <f t="shared" si="1"/>
      </c>
      <c r="S822" s="59">
        <f t="shared" si="2"/>
      </c>
      <c r="T822" s="43">
        <f t="shared" si="3"/>
      </c>
      <c r="U822" s="60">
        <f t="shared" si="4"/>
      </c>
      <c r="V822" s="60">
        <f t="shared" si="5"/>
      </c>
      <c r="W822" s="60">
        <f t="shared" si="6"/>
      </c>
      <c r="X822" s="49">
        <f t="shared" si="7"/>
      </c>
      <c r="Y822" s="2">
        <f t="shared" si="8"/>
      </c>
      <c r="Z822" s="2">
        <f t="shared" si="9"/>
        <v>0</v>
      </c>
      <c r="AA822" s="2">
        <f t="shared" si="10"/>
        <v>0</v>
      </c>
      <c r="AB822" s="2">
        <f t="shared" si="11"/>
        <v>0</v>
      </c>
      <c r="AC822" s="2">
        <f t="shared" si="12"/>
        <v>0</v>
      </c>
      <c r="AD822" s="2">
        <f t="shared" si="13"/>
        <v>0</v>
      </c>
      <c r="AE822" s="2">
        <f t="shared" si="14"/>
        <v>0</v>
      </c>
      <c r="AF822" s="2">
        <f t="shared" si="15"/>
        <v>0</v>
      </c>
      <c r="AG822" s="2">
        <f t="shared" si="16"/>
        <v>0</v>
      </c>
      <c r="AH822" s="2">
        <f t="shared" si="17"/>
        <v>0</v>
      </c>
      <c r="AI822" s="2">
        <f t="shared" si="18"/>
      </c>
    </row>
    <row r="823">
      <c r="A823" s="43">
        <f t="shared" si="0"/>
      </c>
      <c r="B823" s="54" t="n"/>
      <c r="C823" s="45" t="n"/>
      <c r="D823" s="50" t="n"/>
      <c r="E823" s="55" t="n"/>
      <c r="F823" s="50" t="n"/>
      <c r="G823" s="55" t="n"/>
      <c r="H823" s="50" t="n"/>
      <c r="I823" s="55" t="n"/>
      <c r="J823" s="50" t="n"/>
      <c r="K823" s="55" t="n"/>
      <c r="L823" s="56" t="n"/>
      <c r="M823" s="57" t="n"/>
      <c r="N823" s="57" t="n"/>
      <c r="O823" s="57" t="n"/>
      <c r="P823" s="57" t="n"/>
      <c r="Q823" s="50" t="n"/>
      <c r="R823" s="58">
        <f t="shared" si="1"/>
      </c>
      <c r="S823" s="59">
        <f t="shared" si="2"/>
      </c>
      <c r="T823" s="43">
        <f t="shared" si="3"/>
      </c>
      <c r="U823" s="60">
        <f t="shared" si="4"/>
      </c>
      <c r="V823" s="60">
        <f t="shared" si="5"/>
      </c>
      <c r="W823" s="60">
        <f t="shared" si="6"/>
      </c>
      <c r="X823" s="49">
        <f t="shared" si="7"/>
      </c>
      <c r="Y823" s="2">
        <f t="shared" si="8"/>
      </c>
      <c r="Z823" s="2">
        <f t="shared" si="9"/>
        <v>0</v>
      </c>
      <c r="AA823" s="2">
        <f t="shared" si="10"/>
        <v>0</v>
      </c>
      <c r="AB823" s="2">
        <f t="shared" si="11"/>
        <v>0</v>
      </c>
      <c r="AC823" s="2">
        <f t="shared" si="12"/>
        <v>0</v>
      </c>
      <c r="AD823" s="2">
        <f t="shared" si="13"/>
        <v>0</v>
      </c>
      <c r="AE823" s="2">
        <f t="shared" si="14"/>
        <v>0</v>
      </c>
      <c r="AF823" s="2">
        <f t="shared" si="15"/>
        <v>0</v>
      </c>
      <c r="AG823" s="2">
        <f t="shared" si="16"/>
        <v>0</v>
      </c>
      <c r="AH823" s="2">
        <f t="shared" si="17"/>
        <v>0</v>
      </c>
      <c r="AI823" s="2">
        <f t="shared" si="18"/>
      </c>
    </row>
    <row r="824">
      <c r="A824" s="43">
        <f t="shared" si="0"/>
      </c>
      <c r="B824" s="54" t="n"/>
      <c r="C824" s="45" t="n"/>
      <c r="D824" s="50" t="n"/>
      <c r="E824" s="55" t="n"/>
      <c r="F824" s="50" t="n"/>
      <c r="G824" s="55" t="n"/>
      <c r="H824" s="50" t="n"/>
      <c r="I824" s="55" t="n"/>
      <c r="J824" s="50" t="n"/>
      <c r="K824" s="55" t="n"/>
      <c r="L824" s="56" t="n"/>
      <c r="M824" s="57" t="n"/>
      <c r="N824" s="57" t="n"/>
      <c r="O824" s="57" t="n"/>
      <c r="P824" s="57" t="n"/>
      <c r="Q824" s="50" t="n"/>
      <c r="R824" s="58">
        <f t="shared" si="1"/>
      </c>
      <c r="S824" s="59">
        <f t="shared" si="2"/>
      </c>
      <c r="T824" s="43">
        <f t="shared" si="3"/>
      </c>
      <c r="U824" s="60">
        <f t="shared" si="4"/>
      </c>
      <c r="V824" s="60">
        <f t="shared" si="5"/>
      </c>
      <c r="W824" s="60">
        <f t="shared" si="6"/>
      </c>
      <c r="X824" s="49">
        <f t="shared" si="7"/>
      </c>
      <c r="Y824" s="2">
        <f t="shared" si="8"/>
      </c>
      <c r="Z824" s="2">
        <f t="shared" si="9"/>
        <v>0</v>
      </c>
      <c r="AA824" s="2">
        <f t="shared" si="10"/>
        <v>0</v>
      </c>
      <c r="AB824" s="2">
        <f t="shared" si="11"/>
        <v>0</v>
      </c>
      <c r="AC824" s="2">
        <f t="shared" si="12"/>
        <v>0</v>
      </c>
      <c r="AD824" s="2">
        <f t="shared" si="13"/>
        <v>0</v>
      </c>
      <c r="AE824" s="2">
        <f t="shared" si="14"/>
        <v>0</v>
      </c>
      <c r="AF824" s="2">
        <f t="shared" si="15"/>
        <v>0</v>
      </c>
      <c r="AG824" s="2">
        <f t="shared" si="16"/>
        <v>0</v>
      </c>
      <c r="AH824" s="2">
        <f t="shared" si="17"/>
        <v>0</v>
      </c>
      <c r="AI824" s="2">
        <f t="shared" si="18"/>
      </c>
    </row>
    <row r="825">
      <c r="A825" s="43">
        <f t="shared" si="0"/>
      </c>
      <c r="B825" s="54" t="n"/>
      <c r="C825" s="45" t="n"/>
      <c r="D825" s="50" t="n"/>
      <c r="E825" s="55" t="n"/>
      <c r="F825" s="50" t="n"/>
      <c r="G825" s="55" t="n"/>
      <c r="H825" s="50" t="n"/>
      <c r="I825" s="55" t="n"/>
      <c r="J825" s="50" t="n"/>
      <c r="K825" s="55" t="n"/>
      <c r="L825" s="56" t="n"/>
      <c r="M825" s="57" t="n"/>
      <c r="N825" s="57" t="n"/>
      <c r="O825" s="57" t="n"/>
      <c r="P825" s="57" t="n"/>
      <c r="Q825" s="50" t="n"/>
      <c r="R825" s="58">
        <f t="shared" si="1"/>
      </c>
      <c r="S825" s="59">
        <f t="shared" si="2"/>
      </c>
      <c r="T825" s="43">
        <f t="shared" si="3"/>
      </c>
      <c r="U825" s="60">
        <f t="shared" si="4"/>
      </c>
      <c r="V825" s="60">
        <f t="shared" si="5"/>
      </c>
      <c r="W825" s="60">
        <f t="shared" si="6"/>
      </c>
      <c r="X825" s="49">
        <f t="shared" si="7"/>
      </c>
      <c r="Y825" s="2">
        <f t="shared" si="8"/>
      </c>
      <c r="Z825" s="2">
        <f t="shared" si="9"/>
        <v>0</v>
      </c>
      <c r="AA825" s="2">
        <f t="shared" si="10"/>
        <v>0</v>
      </c>
      <c r="AB825" s="2">
        <f t="shared" si="11"/>
        <v>0</v>
      </c>
      <c r="AC825" s="2">
        <f t="shared" si="12"/>
        <v>0</v>
      </c>
      <c r="AD825" s="2">
        <f t="shared" si="13"/>
        <v>0</v>
      </c>
      <c r="AE825" s="2">
        <f t="shared" si="14"/>
        <v>0</v>
      </c>
      <c r="AF825" s="2">
        <f t="shared" si="15"/>
        <v>0</v>
      </c>
      <c r="AG825" s="2">
        <f t="shared" si="16"/>
        <v>0</v>
      </c>
      <c r="AH825" s="2">
        <f t="shared" si="17"/>
        <v>0</v>
      </c>
      <c r="AI825" s="2">
        <f t="shared" si="18"/>
      </c>
    </row>
    <row r="826">
      <c r="A826" s="43">
        <f t="shared" si="0"/>
      </c>
      <c r="B826" s="54" t="n"/>
      <c r="C826" s="45" t="n"/>
      <c r="D826" s="50" t="n"/>
      <c r="E826" s="55" t="n"/>
      <c r="F826" s="50" t="n"/>
      <c r="G826" s="55" t="n"/>
      <c r="H826" s="50" t="n"/>
      <c r="I826" s="55" t="n"/>
      <c r="J826" s="50" t="n"/>
      <c r="K826" s="55" t="n"/>
      <c r="L826" s="56" t="n"/>
      <c r="M826" s="57" t="n"/>
      <c r="N826" s="57" t="n"/>
      <c r="O826" s="57" t="n"/>
      <c r="P826" s="57" t="n"/>
      <c r="Q826" s="50" t="n"/>
      <c r="R826" s="58">
        <f t="shared" si="1"/>
      </c>
      <c r="S826" s="59">
        <f t="shared" si="2"/>
      </c>
      <c r="T826" s="43">
        <f t="shared" si="3"/>
      </c>
      <c r="U826" s="60">
        <f t="shared" si="4"/>
      </c>
      <c r="V826" s="60">
        <f t="shared" si="5"/>
      </c>
      <c r="W826" s="60">
        <f t="shared" si="6"/>
      </c>
      <c r="X826" s="49">
        <f t="shared" si="7"/>
      </c>
      <c r="Y826" s="2">
        <f t="shared" si="8"/>
      </c>
      <c r="Z826" s="2">
        <f t="shared" si="9"/>
        <v>0</v>
      </c>
      <c r="AA826" s="2">
        <f t="shared" si="10"/>
        <v>0</v>
      </c>
      <c r="AB826" s="2">
        <f t="shared" si="11"/>
        <v>0</v>
      </c>
      <c r="AC826" s="2">
        <f t="shared" si="12"/>
        <v>0</v>
      </c>
      <c r="AD826" s="2">
        <f t="shared" si="13"/>
        <v>0</v>
      </c>
      <c r="AE826" s="2">
        <f t="shared" si="14"/>
        <v>0</v>
      </c>
      <c r="AF826" s="2">
        <f t="shared" si="15"/>
        <v>0</v>
      </c>
      <c r="AG826" s="2">
        <f t="shared" si="16"/>
        <v>0</v>
      </c>
      <c r="AH826" s="2">
        <f t="shared" si="17"/>
        <v>0</v>
      </c>
      <c r="AI826" s="2">
        <f t="shared" si="18"/>
      </c>
    </row>
    <row r="827">
      <c r="A827" s="43">
        <f t="shared" si="0"/>
      </c>
      <c r="B827" s="54" t="n"/>
      <c r="C827" s="45" t="n"/>
      <c r="D827" s="50" t="n"/>
      <c r="E827" s="55" t="n"/>
      <c r="F827" s="50" t="n"/>
      <c r="G827" s="55" t="n"/>
      <c r="H827" s="50" t="n"/>
      <c r="I827" s="55" t="n"/>
      <c r="J827" s="50" t="n"/>
      <c r="K827" s="55" t="n"/>
      <c r="L827" s="56" t="n"/>
      <c r="M827" s="57" t="n"/>
      <c r="N827" s="57" t="n"/>
      <c r="O827" s="57" t="n"/>
      <c r="P827" s="57" t="n"/>
      <c r="Q827" s="50" t="n"/>
      <c r="R827" s="58">
        <f t="shared" si="1"/>
      </c>
      <c r="S827" s="59">
        <f t="shared" si="2"/>
      </c>
      <c r="T827" s="43">
        <f t="shared" si="3"/>
      </c>
      <c r="U827" s="60">
        <f t="shared" si="4"/>
      </c>
      <c r="V827" s="60">
        <f t="shared" si="5"/>
      </c>
      <c r="W827" s="60">
        <f t="shared" si="6"/>
      </c>
      <c r="X827" s="49">
        <f t="shared" si="7"/>
      </c>
      <c r="Y827" s="2">
        <f t="shared" si="8"/>
      </c>
      <c r="Z827" s="2">
        <f t="shared" si="9"/>
        <v>0</v>
      </c>
      <c r="AA827" s="2">
        <f t="shared" si="10"/>
        <v>0</v>
      </c>
      <c r="AB827" s="2">
        <f t="shared" si="11"/>
        <v>0</v>
      </c>
      <c r="AC827" s="2">
        <f t="shared" si="12"/>
        <v>0</v>
      </c>
      <c r="AD827" s="2">
        <f t="shared" si="13"/>
        <v>0</v>
      </c>
      <c r="AE827" s="2">
        <f t="shared" si="14"/>
        <v>0</v>
      </c>
      <c r="AF827" s="2">
        <f t="shared" si="15"/>
        <v>0</v>
      </c>
      <c r="AG827" s="2">
        <f t="shared" si="16"/>
        <v>0</v>
      </c>
      <c r="AH827" s="2">
        <f t="shared" si="17"/>
        <v>0</v>
      </c>
      <c r="AI827" s="2">
        <f t="shared" si="18"/>
      </c>
    </row>
    <row r="828">
      <c r="A828" s="43">
        <f t="shared" si="0"/>
      </c>
      <c r="B828" s="54" t="n"/>
      <c r="C828" s="45" t="n"/>
      <c r="D828" s="50" t="n"/>
      <c r="E828" s="55" t="n"/>
      <c r="F828" s="50" t="n"/>
      <c r="G828" s="55" t="n"/>
      <c r="H828" s="50" t="n"/>
      <c r="I828" s="55" t="n"/>
      <c r="J828" s="50" t="n"/>
      <c r="K828" s="55" t="n"/>
      <c r="L828" s="56" t="n"/>
      <c r="M828" s="57" t="n"/>
      <c r="N828" s="57" t="n"/>
      <c r="O828" s="57" t="n"/>
      <c r="P828" s="57" t="n"/>
      <c r="Q828" s="50" t="n"/>
      <c r="R828" s="58">
        <f t="shared" si="1"/>
      </c>
      <c r="S828" s="59">
        <f t="shared" si="2"/>
      </c>
      <c r="T828" s="43">
        <f t="shared" si="3"/>
      </c>
      <c r="U828" s="60">
        <f t="shared" si="4"/>
      </c>
      <c r="V828" s="60">
        <f t="shared" si="5"/>
      </c>
      <c r="W828" s="60">
        <f t="shared" si="6"/>
      </c>
      <c r="X828" s="49">
        <f t="shared" si="7"/>
      </c>
      <c r="Y828" s="2">
        <f t="shared" si="8"/>
      </c>
      <c r="Z828" s="2">
        <f t="shared" si="9"/>
        <v>0</v>
      </c>
      <c r="AA828" s="2">
        <f t="shared" si="10"/>
        <v>0</v>
      </c>
      <c r="AB828" s="2">
        <f t="shared" si="11"/>
        <v>0</v>
      </c>
      <c r="AC828" s="2">
        <f t="shared" si="12"/>
        <v>0</v>
      </c>
      <c r="AD828" s="2">
        <f t="shared" si="13"/>
        <v>0</v>
      </c>
      <c r="AE828" s="2">
        <f t="shared" si="14"/>
        <v>0</v>
      </c>
      <c r="AF828" s="2">
        <f t="shared" si="15"/>
        <v>0</v>
      </c>
      <c r="AG828" s="2">
        <f t="shared" si="16"/>
        <v>0</v>
      </c>
      <c r="AH828" s="2">
        <f t="shared" si="17"/>
        <v>0</v>
      </c>
      <c r="AI828" s="2">
        <f t="shared" si="18"/>
      </c>
    </row>
    <row r="829">
      <c r="A829" s="43">
        <f t="shared" si="0"/>
      </c>
      <c r="B829" s="54" t="n"/>
      <c r="C829" s="45" t="n"/>
      <c r="D829" s="50" t="n"/>
      <c r="E829" s="55" t="n"/>
      <c r="F829" s="50" t="n"/>
      <c r="G829" s="55" t="n"/>
      <c r="H829" s="50" t="n"/>
      <c r="I829" s="55" t="n"/>
      <c r="J829" s="50" t="n"/>
      <c r="K829" s="55" t="n"/>
      <c r="L829" s="56" t="n"/>
      <c r="M829" s="57" t="n"/>
      <c r="N829" s="57" t="n"/>
      <c r="O829" s="57" t="n"/>
      <c r="P829" s="57" t="n"/>
      <c r="Q829" s="50" t="n"/>
      <c r="R829" s="58">
        <f t="shared" si="1"/>
      </c>
      <c r="S829" s="59">
        <f t="shared" si="2"/>
      </c>
      <c r="T829" s="43">
        <f t="shared" si="3"/>
      </c>
      <c r="U829" s="60">
        <f t="shared" si="4"/>
      </c>
      <c r="V829" s="60">
        <f t="shared" si="5"/>
      </c>
      <c r="W829" s="60">
        <f t="shared" si="6"/>
      </c>
      <c r="X829" s="49">
        <f t="shared" si="7"/>
      </c>
      <c r="Y829" s="2">
        <f t="shared" si="8"/>
      </c>
      <c r="Z829" s="2">
        <f t="shared" si="9"/>
        <v>0</v>
      </c>
      <c r="AA829" s="2">
        <f t="shared" si="10"/>
        <v>0</v>
      </c>
      <c r="AB829" s="2">
        <f t="shared" si="11"/>
        <v>0</v>
      </c>
      <c r="AC829" s="2">
        <f t="shared" si="12"/>
        <v>0</v>
      </c>
      <c r="AD829" s="2">
        <f t="shared" si="13"/>
        <v>0</v>
      </c>
      <c r="AE829" s="2">
        <f t="shared" si="14"/>
        <v>0</v>
      </c>
      <c r="AF829" s="2">
        <f t="shared" si="15"/>
        <v>0</v>
      </c>
      <c r="AG829" s="2">
        <f t="shared" si="16"/>
        <v>0</v>
      </c>
      <c r="AH829" s="2">
        <f t="shared" si="17"/>
        <v>0</v>
      </c>
      <c r="AI829" s="2">
        <f t="shared" si="18"/>
      </c>
    </row>
    <row r="830">
      <c r="A830" s="43">
        <f t="shared" si="0"/>
      </c>
      <c r="B830" s="54" t="n"/>
      <c r="C830" s="45" t="n"/>
      <c r="D830" s="50" t="n"/>
      <c r="E830" s="55" t="n"/>
      <c r="F830" s="50" t="n"/>
      <c r="G830" s="55" t="n"/>
      <c r="H830" s="50" t="n"/>
      <c r="I830" s="55" t="n"/>
      <c r="J830" s="50" t="n"/>
      <c r="K830" s="55" t="n"/>
      <c r="L830" s="56" t="n"/>
      <c r="M830" s="57" t="n"/>
      <c r="N830" s="57" t="n"/>
      <c r="O830" s="57" t="n"/>
      <c r="P830" s="57" t="n"/>
      <c r="Q830" s="50" t="n"/>
      <c r="R830" s="58">
        <f t="shared" si="1"/>
      </c>
      <c r="S830" s="59">
        <f t="shared" si="2"/>
      </c>
      <c r="T830" s="43">
        <f t="shared" si="3"/>
      </c>
      <c r="U830" s="60">
        <f t="shared" si="4"/>
      </c>
      <c r="V830" s="60">
        <f t="shared" si="5"/>
      </c>
      <c r="W830" s="60">
        <f t="shared" si="6"/>
      </c>
      <c r="X830" s="49">
        <f t="shared" si="7"/>
      </c>
      <c r="Y830" s="2">
        <f t="shared" si="8"/>
      </c>
      <c r="Z830" s="2">
        <f t="shared" si="9"/>
        <v>0</v>
      </c>
      <c r="AA830" s="2">
        <f t="shared" si="10"/>
        <v>0</v>
      </c>
      <c r="AB830" s="2">
        <f t="shared" si="11"/>
        <v>0</v>
      </c>
      <c r="AC830" s="2">
        <f t="shared" si="12"/>
        <v>0</v>
      </c>
      <c r="AD830" s="2">
        <f t="shared" si="13"/>
        <v>0</v>
      </c>
      <c r="AE830" s="2">
        <f t="shared" si="14"/>
        <v>0</v>
      </c>
      <c r="AF830" s="2">
        <f t="shared" si="15"/>
        <v>0</v>
      </c>
      <c r="AG830" s="2">
        <f t="shared" si="16"/>
        <v>0</v>
      </c>
      <c r="AH830" s="2">
        <f t="shared" si="17"/>
        <v>0</v>
      </c>
      <c r="AI830" s="2">
        <f t="shared" si="18"/>
      </c>
    </row>
    <row r="831">
      <c r="A831" s="43">
        <f t="shared" si="0"/>
      </c>
      <c r="B831" s="54" t="n"/>
      <c r="C831" s="45" t="n"/>
      <c r="D831" s="50" t="n"/>
      <c r="E831" s="55" t="n"/>
      <c r="F831" s="50" t="n"/>
      <c r="G831" s="55" t="n"/>
      <c r="H831" s="50" t="n"/>
      <c r="I831" s="55" t="n"/>
      <c r="J831" s="50" t="n"/>
      <c r="K831" s="55" t="n"/>
      <c r="L831" s="56" t="n"/>
      <c r="M831" s="57" t="n"/>
      <c r="N831" s="57" t="n"/>
      <c r="O831" s="57" t="n"/>
      <c r="P831" s="57" t="n"/>
      <c r="Q831" s="50" t="n"/>
      <c r="R831" s="58">
        <f t="shared" si="1"/>
      </c>
      <c r="S831" s="59">
        <f t="shared" si="2"/>
      </c>
      <c r="T831" s="43">
        <f t="shared" si="3"/>
      </c>
      <c r="U831" s="60">
        <f t="shared" si="4"/>
      </c>
      <c r="V831" s="60">
        <f t="shared" si="5"/>
      </c>
      <c r="W831" s="60">
        <f t="shared" si="6"/>
      </c>
      <c r="X831" s="49">
        <f t="shared" si="7"/>
      </c>
      <c r="Y831" s="2">
        <f t="shared" si="8"/>
      </c>
      <c r="Z831" s="2">
        <f t="shared" si="9"/>
        <v>0</v>
      </c>
      <c r="AA831" s="2">
        <f t="shared" si="10"/>
        <v>0</v>
      </c>
      <c r="AB831" s="2">
        <f t="shared" si="11"/>
        <v>0</v>
      </c>
      <c r="AC831" s="2">
        <f t="shared" si="12"/>
        <v>0</v>
      </c>
      <c r="AD831" s="2">
        <f t="shared" si="13"/>
        <v>0</v>
      </c>
      <c r="AE831" s="2">
        <f t="shared" si="14"/>
        <v>0</v>
      </c>
      <c r="AF831" s="2">
        <f t="shared" si="15"/>
        <v>0</v>
      </c>
      <c r="AG831" s="2">
        <f t="shared" si="16"/>
        <v>0</v>
      </c>
      <c r="AH831" s="2">
        <f t="shared" si="17"/>
        <v>0</v>
      </c>
      <c r="AI831" s="2">
        <f t="shared" si="18"/>
      </c>
    </row>
    <row r="832">
      <c r="A832" s="43">
        <f t="shared" si="0"/>
      </c>
      <c r="B832" s="54" t="n"/>
      <c r="C832" s="45" t="n"/>
      <c r="D832" s="50" t="n"/>
      <c r="E832" s="55" t="n"/>
      <c r="F832" s="50" t="n"/>
      <c r="G832" s="55" t="n"/>
      <c r="H832" s="50" t="n"/>
      <c r="I832" s="55" t="n"/>
      <c r="J832" s="50" t="n"/>
      <c r="K832" s="55" t="n"/>
      <c r="L832" s="56" t="n"/>
      <c r="M832" s="57" t="n"/>
      <c r="N832" s="57" t="n"/>
      <c r="O832" s="57" t="n"/>
      <c r="P832" s="57" t="n"/>
      <c r="Q832" s="50" t="n"/>
      <c r="R832" s="58">
        <f t="shared" si="1"/>
      </c>
      <c r="S832" s="59">
        <f t="shared" si="2"/>
      </c>
      <c r="T832" s="43">
        <f t="shared" si="3"/>
      </c>
      <c r="U832" s="60">
        <f t="shared" si="4"/>
      </c>
      <c r="V832" s="60">
        <f t="shared" si="5"/>
      </c>
      <c r="W832" s="60">
        <f t="shared" si="6"/>
      </c>
      <c r="X832" s="49">
        <f t="shared" si="7"/>
      </c>
      <c r="Y832" s="2">
        <f t="shared" si="8"/>
      </c>
      <c r="Z832" s="2">
        <f t="shared" si="9"/>
        <v>0</v>
      </c>
      <c r="AA832" s="2">
        <f t="shared" si="10"/>
        <v>0</v>
      </c>
      <c r="AB832" s="2">
        <f t="shared" si="11"/>
        <v>0</v>
      </c>
      <c r="AC832" s="2">
        <f t="shared" si="12"/>
        <v>0</v>
      </c>
      <c r="AD832" s="2">
        <f t="shared" si="13"/>
        <v>0</v>
      </c>
      <c r="AE832" s="2">
        <f t="shared" si="14"/>
        <v>0</v>
      </c>
      <c r="AF832" s="2">
        <f t="shared" si="15"/>
        <v>0</v>
      </c>
      <c r="AG832" s="2">
        <f t="shared" si="16"/>
        <v>0</v>
      </c>
      <c r="AH832" s="2">
        <f t="shared" si="17"/>
        <v>0</v>
      </c>
      <c r="AI832" s="2">
        <f t="shared" si="18"/>
      </c>
    </row>
    <row r="833">
      <c r="A833" s="43">
        <f t="shared" si="0"/>
      </c>
      <c r="B833" s="54" t="n"/>
      <c r="C833" s="45" t="n"/>
      <c r="D833" s="50" t="n"/>
      <c r="E833" s="55" t="n"/>
      <c r="F833" s="50" t="n"/>
      <c r="G833" s="55" t="n"/>
      <c r="H833" s="50" t="n"/>
      <c r="I833" s="55" t="n"/>
      <c r="J833" s="50" t="n"/>
      <c r="K833" s="55" t="n"/>
      <c r="L833" s="56" t="n"/>
      <c r="M833" s="57" t="n"/>
      <c r="N833" s="57" t="n"/>
      <c r="O833" s="57" t="n"/>
      <c r="P833" s="57" t="n"/>
      <c r="Q833" s="50" t="n"/>
      <c r="R833" s="58">
        <f t="shared" si="1"/>
      </c>
      <c r="S833" s="59">
        <f t="shared" si="2"/>
      </c>
      <c r="T833" s="43">
        <f t="shared" si="3"/>
      </c>
      <c r="U833" s="60">
        <f t="shared" si="4"/>
      </c>
      <c r="V833" s="60">
        <f t="shared" si="5"/>
      </c>
      <c r="W833" s="60">
        <f t="shared" si="6"/>
      </c>
      <c r="X833" s="49">
        <f t="shared" si="7"/>
      </c>
      <c r="Y833" s="2">
        <f t="shared" si="8"/>
      </c>
      <c r="Z833" s="2">
        <f t="shared" si="9"/>
        <v>0</v>
      </c>
      <c r="AA833" s="2">
        <f t="shared" si="10"/>
        <v>0</v>
      </c>
      <c r="AB833" s="2">
        <f t="shared" si="11"/>
        <v>0</v>
      </c>
      <c r="AC833" s="2">
        <f t="shared" si="12"/>
        <v>0</v>
      </c>
      <c r="AD833" s="2">
        <f t="shared" si="13"/>
        <v>0</v>
      </c>
      <c r="AE833" s="2">
        <f t="shared" si="14"/>
        <v>0</v>
      </c>
      <c r="AF833" s="2">
        <f t="shared" si="15"/>
        <v>0</v>
      </c>
      <c r="AG833" s="2">
        <f t="shared" si="16"/>
        <v>0</v>
      </c>
      <c r="AH833" s="2">
        <f t="shared" si="17"/>
        <v>0</v>
      </c>
      <c r="AI833" s="2">
        <f t="shared" si="18"/>
      </c>
    </row>
    <row r="834">
      <c r="A834" s="43">
        <f t="shared" si="0"/>
      </c>
      <c r="B834" s="54" t="n"/>
      <c r="C834" s="45" t="n"/>
      <c r="D834" s="50" t="n"/>
      <c r="E834" s="55" t="n"/>
      <c r="F834" s="50" t="n"/>
      <c r="G834" s="55" t="n"/>
      <c r="H834" s="50" t="n"/>
      <c r="I834" s="55" t="n"/>
      <c r="J834" s="50" t="n"/>
      <c r="K834" s="55" t="n"/>
      <c r="L834" s="56" t="n"/>
      <c r="M834" s="57" t="n"/>
      <c r="N834" s="57" t="n"/>
      <c r="O834" s="57" t="n"/>
      <c r="P834" s="57" t="n"/>
      <c r="Q834" s="50" t="n"/>
      <c r="R834" s="58">
        <f t="shared" si="1"/>
      </c>
      <c r="S834" s="59">
        <f t="shared" si="2"/>
      </c>
      <c r="T834" s="43">
        <f t="shared" si="3"/>
      </c>
      <c r="U834" s="60">
        <f t="shared" si="4"/>
      </c>
      <c r="V834" s="60">
        <f t="shared" si="5"/>
      </c>
      <c r="W834" s="60">
        <f t="shared" si="6"/>
      </c>
      <c r="X834" s="49">
        <f t="shared" si="7"/>
      </c>
      <c r="Y834" s="2">
        <f t="shared" si="8"/>
      </c>
      <c r="Z834" s="2">
        <f t="shared" si="9"/>
        <v>0</v>
      </c>
      <c r="AA834" s="2">
        <f t="shared" si="10"/>
        <v>0</v>
      </c>
      <c r="AB834" s="2">
        <f t="shared" si="11"/>
        <v>0</v>
      </c>
      <c r="AC834" s="2">
        <f t="shared" si="12"/>
        <v>0</v>
      </c>
      <c r="AD834" s="2">
        <f t="shared" si="13"/>
        <v>0</v>
      </c>
      <c r="AE834" s="2">
        <f t="shared" si="14"/>
        <v>0</v>
      </c>
      <c r="AF834" s="2">
        <f t="shared" si="15"/>
        <v>0</v>
      </c>
      <c r="AG834" s="2">
        <f t="shared" si="16"/>
        <v>0</v>
      </c>
      <c r="AH834" s="2">
        <f t="shared" si="17"/>
        <v>0</v>
      </c>
      <c r="AI834" s="2">
        <f t="shared" si="18"/>
      </c>
    </row>
    <row r="835">
      <c r="A835" s="43">
        <f t="shared" si="0"/>
      </c>
      <c r="B835" s="54" t="n"/>
      <c r="C835" s="45" t="n"/>
      <c r="D835" s="50" t="n"/>
      <c r="E835" s="55" t="n"/>
      <c r="F835" s="50" t="n"/>
      <c r="G835" s="55" t="n"/>
      <c r="H835" s="50" t="n"/>
      <c r="I835" s="55" t="n"/>
      <c r="J835" s="50" t="n"/>
      <c r="K835" s="55" t="n"/>
      <c r="L835" s="56" t="n"/>
      <c r="M835" s="57" t="n"/>
      <c r="N835" s="57" t="n"/>
      <c r="O835" s="57" t="n"/>
      <c r="P835" s="57" t="n"/>
      <c r="Q835" s="50" t="n"/>
      <c r="R835" s="58">
        <f t="shared" si="1"/>
      </c>
      <c r="S835" s="59">
        <f t="shared" si="2"/>
      </c>
      <c r="T835" s="43">
        <f t="shared" si="3"/>
      </c>
      <c r="U835" s="60">
        <f t="shared" si="4"/>
      </c>
      <c r="V835" s="60">
        <f t="shared" si="5"/>
      </c>
      <c r="W835" s="60">
        <f t="shared" si="6"/>
      </c>
      <c r="X835" s="49">
        <f t="shared" si="7"/>
      </c>
      <c r="Y835" s="2">
        <f t="shared" si="8"/>
      </c>
      <c r="Z835" s="2">
        <f t="shared" si="9"/>
        <v>0</v>
      </c>
      <c r="AA835" s="2">
        <f t="shared" si="10"/>
        <v>0</v>
      </c>
      <c r="AB835" s="2">
        <f t="shared" si="11"/>
        <v>0</v>
      </c>
      <c r="AC835" s="2">
        <f t="shared" si="12"/>
        <v>0</v>
      </c>
      <c r="AD835" s="2">
        <f t="shared" si="13"/>
        <v>0</v>
      </c>
      <c r="AE835" s="2">
        <f t="shared" si="14"/>
        <v>0</v>
      </c>
      <c r="AF835" s="2">
        <f t="shared" si="15"/>
        <v>0</v>
      </c>
      <c r="AG835" s="2">
        <f t="shared" si="16"/>
        <v>0</v>
      </c>
      <c r="AH835" s="2">
        <f t="shared" si="17"/>
        <v>0</v>
      </c>
      <c r="AI835" s="2">
        <f t="shared" si="18"/>
      </c>
    </row>
    <row r="836">
      <c r="A836" s="43">
        <f t="shared" si="0"/>
      </c>
      <c r="B836" s="54" t="n"/>
      <c r="C836" s="45" t="n"/>
      <c r="D836" s="50" t="n"/>
      <c r="E836" s="55" t="n"/>
      <c r="F836" s="50" t="n"/>
      <c r="G836" s="55" t="n"/>
      <c r="H836" s="50" t="n"/>
      <c r="I836" s="55" t="n"/>
      <c r="J836" s="50" t="n"/>
      <c r="K836" s="55" t="n"/>
      <c r="L836" s="56" t="n"/>
      <c r="M836" s="57" t="n"/>
      <c r="N836" s="57" t="n"/>
      <c r="O836" s="57" t="n"/>
      <c r="P836" s="57" t="n"/>
      <c r="Q836" s="50" t="n"/>
      <c r="R836" s="58">
        <f t="shared" si="1"/>
      </c>
      <c r="S836" s="59">
        <f t="shared" si="2"/>
      </c>
      <c r="T836" s="43">
        <f t="shared" si="3"/>
      </c>
      <c r="U836" s="60">
        <f t="shared" si="4"/>
      </c>
      <c r="V836" s="60">
        <f t="shared" si="5"/>
      </c>
      <c r="W836" s="60">
        <f t="shared" si="6"/>
      </c>
      <c r="X836" s="49">
        <f t="shared" si="7"/>
      </c>
      <c r="Y836" s="2">
        <f t="shared" si="8"/>
      </c>
      <c r="Z836" s="2">
        <f t="shared" si="9"/>
        <v>0</v>
      </c>
      <c r="AA836" s="2">
        <f t="shared" si="10"/>
        <v>0</v>
      </c>
      <c r="AB836" s="2">
        <f t="shared" si="11"/>
        <v>0</v>
      </c>
      <c r="AC836" s="2">
        <f t="shared" si="12"/>
        <v>0</v>
      </c>
      <c r="AD836" s="2">
        <f t="shared" si="13"/>
        <v>0</v>
      </c>
      <c r="AE836" s="2">
        <f t="shared" si="14"/>
        <v>0</v>
      </c>
      <c r="AF836" s="2">
        <f t="shared" si="15"/>
        <v>0</v>
      </c>
      <c r="AG836" s="2">
        <f t="shared" si="16"/>
        <v>0</v>
      </c>
      <c r="AH836" s="2">
        <f t="shared" si="17"/>
        <v>0</v>
      </c>
      <c r="AI836" s="2">
        <f t="shared" si="18"/>
      </c>
    </row>
    <row r="837">
      <c r="A837" s="43">
        <f t="shared" si="0"/>
      </c>
      <c r="B837" s="54" t="n"/>
      <c r="C837" s="45" t="n"/>
      <c r="D837" s="50" t="n"/>
      <c r="E837" s="55" t="n"/>
      <c r="F837" s="50" t="n"/>
      <c r="G837" s="55" t="n"/>
      <c r="H837" s="50" t="n"/>
      <c r="I837" s="55" t="n"/>
      <c r="J837" s="50" t="n"/>
      <c r="K837" s="55" t="n"/>
      <c r="L837" s="56" t="n"/>
      <c r="M837" s="57" t="n"/>
      <c r="N837" s="57" t="n"/>
      <c r="O837" s="57" t="n"/>
      <c r="P837" s="57" t="n"/>
      <c r="Q837" s="50" t="n"/>
      <c r="R837" s="58">
        <f t="shared" si="1"/>
      </c>
      <c r="S837" s="59">
        <f t="shared" si="2"/>
      </c>
      <c r="T837" s="43">
        <f t="shared" si="3"/>
      </c>
      <c r="U837" s="60">
        <f t="shared" si="4"/>
      </c>
      <c r="V837" s="60">
        <f t="shared" si="5"/>
      </c>
      <c r="W837" s="60">
        <f t="shared" si="6"/>
      </c>
      <c r="X837" s="49">
        <f t="shared" si="7"/>
      </c>
      <c r="Y837" s="2">
        <f t="shared" si="8"/>
      </c>
      <c r="Z837" s="2">
        <f t="shared" si="9"/>
        <v>0</v>
      </c>
      <c r="AA837" s="2">
        <f t="shared" si="10"/>
        <v>0</v>
      </c>
      <c r="AB837" s="2">
        <f t="shared" si="11"/>
        <v>0</v>
      </c>
      <c r="AC837" s="2">
        <f t="shared" si="12"/>
        <v>0</v>
      </c>
      <c r="AD837" s="2">
        <f t="shared" si="13"/>
        <v>0</v>
      </c>
      <c r="AE837" s="2">
        <f t="shared" si="14"/>
        <v>0</v>
      </c>
      <c r="AF837" s="2">
        <f t="shared" si="15"/>
        <v>0</v>
      </c>
      <c r="AG837" s="2">
        <f t="shared" si="16"/>
        <v>0</v>
      </c>
      <c r="AH837" s="2">
        <f t="shared" si="17"/>
        <v>0</v>
      </c>
      <c r="AI837" s="2">
        <f t="shared" si="18"/>
      </c>
    </row>
    <row r="838">
      <c r="A838" s="43">
        <f t="shared" si="0"/>
      </c>
      <c r="B838" s="54" t="n"/>
      <c r="C838" s="45" t="n"/>
      <c r="D838" s="50" t="n"/>
      <c r="E838" s="55" t="n"/>
      <c r="F838" s="50" t="n"/>
      <c r="G838" s="55" t="n"/>
      <c r="H838" s="50" t="n"/>
      <c r="I838" s="55" t="n"/>
      <c r="J838" s="50" t="n"/>
      <c r="K838" s="55" t="n"/>
      <c r="L838" s="56" t="n"/>
      <c r="M838" s="57" t="n"/>
      <c r="N838" s="57" t="n"/>
      <c r="O838" s="57" t="n"/>
      <c r="P838" s="57" t="n"/>
      <c r="Q838" s="50" t="n"/>
      <c r="R838" s="58">
        <f t="shared" si="1"/>
      </c>
      <c r="S838" s="59">
        <f t="shared" si="2"/>
      </c>
      <c r="T838" s="43">
        <f t="shared" si="3"/>
      </c>
      <c r="U838" s="60">
        <f t="shared" si="4"/>
      </c>
      <c r="V838" s="60">
        <f t="shared" si="5"/>
      </c>
      <c r="W838" s="60">
        <f t="shared" si="6"/>
      </c>
      <c r="X838" s="49">
        <f t="shared" si="7"/>
      </c>
      <c r="Y838" s="2">
        <f t="shared" si="8"/>
      </c>
      <c r="Z838" s="2">
        <f t="shared" si="9"/>
        <v>0</v>
      </c>
      <c r="AA838" s="2">
        <f t="shared" si="10"/>
        <v>0</v>
      </c>
      <c r="AB838" s="2">
        <f t="shared" si="11"/>
        <v>0</v>
      </c>
      <c r="AC838" s="2">
        <f t="shared" si="12"/>
        <v>0</v>
      </c>
      <c r="AD838" s="2">
        <f t="shared" si="13"/>
        <v>0</v>
      </c>
      <c r="AE838" s="2">
        <f t="shared" si="14"/>
        <v>0</v>
      </c>
      <c r="AF838" s="2">
        <f t="shared" si="15"/>
        <v>0</v>
      </c>
      <c r="AG838" s="2">
        <f t="shared" si="16"/>
        <v>0</v>
      </c>
      <c r="AH838" s="2">
        <f t="shared" si="17"/>
        <v>0</v>
      </c>
      <c r="AI838" s="2">
        <f t="shared" si="18"/>
      </c>
    </row>
    <row r="839">
      <c r="A839" s="43">
        <f t="shared" si="0"/>
      </c>
      <c r="B839" s="54" t="n"/>
      <c r="C839" s="45" t="n"/>
      <c r="D839" s="50" t="n"/>
      <c r="E839" s="55" t="n"/>
      <c r="F839" s="50" t="n"/>
      <c r="G839" s="55" t="n"/>
      <c r="H839" s="50" t="n"/>
      <c r="I839" s="55" t="n"/>
      <c r="J839" s="50" t="n"/>
      <c r="K839" s="55" t="n"/>
      <c r="L839" s="56" t="n"/>
      <c r="M839" s="57" t="n"/>
      <c r="N839" s="57" t="n"/>
      <c r="O839" s="57" t="n"/>
      <c r="P839" s="57" t="n"/>
      <c r="Q839" s="50" t="n"/>
      <c r="R839" s="58">
        <f t="shared" si="1"/>
      </c>
      <c r="S839" s="59">
        <f t="shared" si="2"/>
      </c>
      <c r="T839" s="43">
        <f t="shared" si="3"/>
      </c>
      <c r="U839" s="60">
        <f t="shared" si="4"/>
      </c>
      <c r="V839" s="60">
        <f t="shared" si="5"/>
      </c>
      <c r="W839" s="60">
        <f t="shared" si="6"/>
      </c>
      <c r="X839" s="49">
        <f t="shared" si="7"/>
      </c>
      <c r="Y839" s="2">
        <f t="shared" si="8"/>
      </c>
      <c r="Z839" s="2">
        <f t="shared" si="9"/>
        <v>0</v>
      </c>
      <c r="AA839" s="2">
        <f t="shared" si="10"/>
        <v>0</v>
      </c>
      <c r="AB839" s="2">
        <f t="shared" si="11"/>
        <v>0</v>
      </c>
      <c r="AC839" s="2">
        <f t="shared" si="12"/>
        <v>0</v>
      </c>
      <c r="AD839" s="2">
        <f t="shared" si="13"/>
        <v>0</v>
      </c>
      <c r="AE839" s="2">
        <f t="shared" si="14"/>
        <v>0</v>
      </c>
      <c r="AF839" s="2">
        <f t="shared" si="15"/>
        <v>0</v>
      </c>
      <c r="AG839" s="2">
        <f t="shared" si="16"/>
        <v>0</v>
      </c>
      <c r="AH839" s="2">
        <f t="shared" si="17"/>
        <v>0</v>
      </c>
      <c r="AI839" s="2">
        <f t="shared" si="18"/>
      </c>
    </row>
    <row r="840">
      <c r="A840" s="43">
        <f t="shared" si="0"/>
      </c>
      <c r="B840" s="54" t="n"/>
      <c r="C840" s="45" t="n"/>
      <c r="D840" s="50" t="n"/>
      <c r="E840" s="55" t="n"/>
      <c r="F840" s="50" t="n"/>
      <c r="G840" s="55" t="n"/>
      <c r="H840" s="50" t="n"/>
      <c r="I840" s="55" t="n"/>
      <c r="J840" s="50" t="n"/>
      <c r="K840" s="55" t="n"/>
      <c r="L840" s="56" t="n"/>
      <c r="M840" s="57" t="n"/>
      <c r="N840" s="57" t="n"/>
      <c r="O840" s="57" t="n"/>
      <c r="P840" s="57" t="n"/>
      <c r="Q840" s="50" t="n"/>
      <c r="R840" s="58">
        <f t="shared" si="1"/>
      </c>
      <c r="S840" s="59">
        <f t="shared" si="2"/>
      </c>
      <c r="T840" s="43">
        <f t="shared" si="3"/>
      </c>
      <c r="U840" s="60">
        <f t="shared" si="4"/>
      </c>
      <c r="V840" s="60">
        <f t="shared" si="5"/>
      </c>
      <c r="W840" s="60">
        <f t="shared" si="6"/>
      </c>
      <c r="X840" s="49">
        <f t="shared" si="7"/>
      </c>
      <c r="Y840" s="2">
        <f t="shared" si="8"/>
      </c>
      <c r="Z840" s="2">
        <f t="shared" si="9"/>
        <v>0</v>
      </c>
      <c r="AA840" s="2">
        <f t="shared" si="10"/>
        <v>0</v>
      </c>
      <c r="AB840" s="2">
        <f t="shared" si="11"/>
        <v>0</v>
      </c>
      <c r="AC840" s="2">
        <f t="shared" si="12"/>
        <v>0</v>
      </c>
      <c r="AD840" s="2">
        <f t="shared" si="13"/>
        <v>0</v>
      </c>
      <c r="AE840" s="2">
        <f t="shared" si="14"/>
        <v>0</v>
      </c>
      <c r="AF840" s="2">
        <f t="shared" si="15"/>
        <v>0</v>
      </c>
      <c r="AG840" s="2">
        <f t="shared" si="16"/>
        <v>0</v>
      </c>
      <c r="AH840" s="2">
        <f t="shared" si="17"/>
        <v>0</v>
      </c>
      <c r="AI840" s="2">
        <f t="shared" si="18"/>
      </c>
    </row>
    <row r="841">
      <c r="A841" s="43">
        <f t="shared" si="0"/>
      </c>
      <c r="B841" s="54" t="n"/>
      <c r="C841" s="45" t="n"/>
      <c r="D841" s="50" t="n"/>
      <c r="E841" s="55" t="n"/>
      <c r="F841" s="50" t="n"/>
      <c r="G841" s="55" t="n"/>
      <c r="H841" s="50" t="n"/>
      <c r="I841" s="55" t="n"/>
      <c r="J841" s="50" t="n"/>
      <c r="K841" s="55" t="n"/>
      <c r="L841" s="56" t="n"/>
      <c r="M841" s="57" t="n"/>
      <c r="N841" s="57" t="n"/>
      <c r="O841" s="57" t="n"/>
      <c r="P841" s="57" t="n"/>
      <c r="Q841" s="50" t="n"/>
      <c r="R841" s="58">
        <f t="shared" si="1"/>
      </c>
      <c r="S841" s="59">
        <f t="shared" si="2"/>
      </c>
      <c r="T841" s="43">
        <f t="shared" si="3"/>
      </c>
      <c r="U841" s="60">
        <f t="shared" si="4"/>
      </c>
      <c r="V841" s="60">
        <f t="shared" si="5"/>
      </c>
      <c r="W841" s="60">
        <f t="shared" si="6"/>
      </c>
      <c r="X841" s="49">
        <f t="shared" si="7"/>
      </c>
      <c r="Y841" s="2">
        <f t="shared" si="8"/>
      </c>
      <c r="Z841" s="2">
        <f t="shared" si="9"/>
        <v>0</v>
      </c>
      <c r="AA841" s="2">
        <f t="shared" si="10"/>
        <v>0</v>
      </c>
      <c r="AB841" s="2">
        <f t="shared" si="11"/>
        <v>0</v>
      </c>
      <c r="AC841" s="2">
        <f t="shared" si="12"/>
        <v>0</v>
      </c>
      <c r="AD841" s="2">
        <f t="shared" si="13"/>
        <v>0</v>
      </c>
      <c r="AE841" s="2">
        <f t="shared" si="14"/>
        <v>0</v>
      </c>
      <c r="AF841" s="2">
        <f t="shared" si="15"/>
        <v>0</v>
      </c>
      <c r="AG841" s="2">
        <f t="shared" si="16"/>
        <v>0</v>
      </c>
      <c r="AH841" s="2">
        <f t="shared" si="17"/>
        <v>0</v>
      </c>
      <c r="AI841" s="2">
        <f t="shared" si="18"/>
      </c>
    </row>
    <row r="842">
      <c r="A842" s="43">
        <f t="shared" si="0"/>
      </c>
      <c r="B842" s="54" t="n"/>
      <c r="C842" s="45" t="n"/>
      <c r="D842" s="50" t="n"/>
      <c r="E842" s="55" t="n"/>
      <c r="F842" s="50" t="n"/>
      <c r="G842" s="55" t="n"/>
      <c r="H842" s="50" t="n"/>
      <c r="I842" s="55" t="n"/>
      <c r="J842" s="50" t="n"/>
      <c r="K842" s="55" t="n"/>
      <c r="L842" s="56" t="n"/>
      <c r="M842" s="57" t="n"/>
      <c r="N842" s="57" t="n"/>
      <c r="O842" s="57" t="n"/>
      <c r="P842" s="57" t="n"/>
      <c r="Q842" s="50" t="n"/>
      <c r="R842" s="58">
        <f t="shared" si="1"/>
      </c>
      <c r="S842" s="59">
        <f t="shared" si="2"/>
      </c>
      <c r="T842" s="43">
        <f t="shared" si="3"/>
      </c>
      <c r="U842" s="60">
        <f t="shared" si="4"/>
      </c>
      <c r="V842" s="60">
        <f t="shared" si="5"/>
      </c>
      <c r="W842" s="60">
        <f t="shared" si="6"/>
      </c>
      <c r="X842" s="49">
        <f t="shared" si="7"/>
      </c>
      <c r="Y842" s="2">
        <f t="shared" si="8"/>
      </c>
      <c r="Z842" s="2">
        <f t="shared" si="9"/>
        <v>0</v>
      </c>
      <c r="AA842" s="2">
        <f t="shared" si="10"/>
        <v>0</v>
      </c>
      <c r="AB842" s="2">
        <f t="shared" si="11"/>
        <v>0</v>
      </c>
      <c r="AC842" s="2">
        <f t="shared" si="12"/>
        <v>0</v>
      </c>
      <c r="AD842" s="2">
        <f t="shared" si="13"/>
        <v>0</v>
      </c>
      <c r="AE842" s="2">
        <f t="shared" si="14"/>
        <v>0</v>
      </c>
      <c r="AF842" s="2">
        <f t="shared" si="15"/>
        <v>0</v>
      </c>
      <c r="AG842" s="2">
        <f t="shared" si="16"/>
        <v>0</v>
      </c>
      <c r="AH842" s="2">
        <f t="shared" si="17"/>
        <v>0</v>
      </c>
      <c r="AI842" s="2">
        <f t="shared" si="18"/>
      </c>
    </row>
    <row r="843">
      <c r="A843" s="43">
        <f t="shared" si="0"/>
      </c>
      <c r="B843" s="54" t="n"/>
      <c r="C843" s="45" t="n"/>
      <c r="D843" s="50" t="n"/>
      <c r="E843" s="55" t="n"/>
      <c r="F843" s="50" t="n"/>
      <c r="G843" s="55" t="n"/>
      <c r="H843" s="50" t="n"/>
      <c r="I843" s="55" t="n"/>
      <c r="J843" s="50" t="n"/>
      <c r="K843" s="55" t="n"/>
      <c r="L843" s="56" t="n"/>
      <c r="M843" s="57" t="n"/>
      <c r="N843" s="57" t="n"/>
      <c r="O843" s="57" t="n"/>
      <c r="P843" s="57" t="n"/>
      <c r="Q843" s="50" t="n"/>
      <c r="R843" s="58">
        <f t="shared" si="1"/>
      </c>
      <c r="S843" s="59">
        <f t="shared" si="2"/>
      </c>
      <c r="T843" s="43">
        <f t="shared" si="3"/>
      </c>
      <c r="U843" s="60">
        <f t="shared" si="4"/>
      </c>
      <c r="V843" s="60">
        <f t="shared" si="5"/>
      </c>
      <c r="W843" s="60">
        <f t="shared" si="6"/>
      </c>
      <c r="X843" s="49">
        <f t="shared" si="7"/>
      </c>
      <c r="Y843" s="2">
        <f t="shared" si="8"/>
      </c>
      <c r="Z843" s="2">
        <f t="shared" si="9"/>
        <v>0</v>
      </c>
      <c r="AA843" s="2">
        <f t="shared" si="10"/>
        <v>0</v>
      </c>
      <c r="AB843" s="2">
        <f t="shared" si="11"/>
        <v>0</v>
      </c>
      <c r="AC843" s="2">
        <f t="shared" si="12"/>
        <v>0</v>
      </c>
      <c r="AD843" s="2">
        <f t="shared" si="13"/>
        <v>0</v>
      </c>
      <c r="AE843" s="2">
        <f t="shared" si="14"/>
        <v>0</v>
      </c>
      <c r="AF843" s="2">
        <f t="shared" si="15"/>
        <v>0</v>
      </c>
      <c r="AG843" s="2">
        <f t="shared" si="16"/>
        <v>0</v>
      </c>
      <c r="AH843" s="2">
        <f t="shared" si="17"/>
        <v>0</v>
      </c>
      <c r="AI843" s="2">
        <f t="shared" si="18"/>
      </c>
    </row>
    <row r="844">
      <c r="A844" s="43">
        <f t="shared" si="0"/>
      </c>
      <c r="B844" s="54" t="n"/>
      <c r="C844" s="45" t="n"/>
      <c r="D844" s="50" t="n"/>
      <c r="E844" s="55" t="n"/>
      <c r="F844" s="50" t="n"/>
      <c r="G844" s="55" t="n"/>
      <c r="H844" s="50" t="n"/>
      <c r="I844" s="55" t="n"/>
      <c r="J844" s="50" t="n"/>
      <c r="K844" s="55" t="n"/>
      <c r="L844" s="56" t="n"/>
      <c r="M844" s="57" t="n"/>
      <c r="N844" s="57" t="n"/>
      <c r="O844" s="57" t="n"/>
      <c r="P844" s="57" t="n"/>
      <c r="Q844" s="50" t="n"/>
      <c r="R844" s="58">
        <f t="shared" si="1"/>
      </c>
      <c r="S844" s="59">
        <f t="shared" si="2"/>
      </c>
      <c r="T844" s="43">
        <f t="shared" si="3"/>
      </c>
      <c r="U844" s="60">
        <f t="shared" si="4"/>
      </c>
      <c r="V844" s="60">
        <f t="shared" si="5"/>
      </c>
      <c r="W844" s="60">
        <f t="shared" si="6"/>
      </c>
      <c r="X844" s="49">
        <f t="shared" si="7"/>
      </c>
      <c r="Y844" s="2">
        <f t="shared" si="8"/>
      </c>
      <c r="Z844" s="2">
        <f t="shared" si="9"/>
        <v>0</v>
      </c>
      <c r="AA844" s="2">
        <f t="shared" si="10"/>
        <v>0</v>
      </c>
      <c r="AB844" s="2">
        <f t="shared" si="11"/>
        <v>0</v>
      </c>
      <c r="AC844" s="2">
        <f t="shared" si="12"/>
        <v>0</v>
      </c>
      <c r="AD844" s="2">
        <f t="shared" si="13"/>
        <v>0</v>
      </c>
      <c r="AE844" s="2">
        <f t="shared" si="14"/>
        <v>0</v>
      </c>
      <c r="AF844" s="2">
        <f t="shared" si="15"/>
        <v>0</v>
      </c>
      <c r="AG844" s="2">
        <f t="shared" si="16"/>
        <v>0</v>
      </c>
      <c r="AH844" s="2">
        <f t="shared" si="17"/>
        <v>0</v>
      </c>
      <c r="AI844" s="2">
        <f t="shared" si="18"/>
      </c>
    </row>
    <row r="845">
      <c r="A845" s="43">
        <f t="shared" si="0"/>
      </c>
      <c r="B845" s="54" t="n"/>
      <c r="C845" s="45" t="n"/>
      <c r="D845" s="50" t="n"/>
      <c r="E845" s="55" t="n"/>
      <c r="F845" s="50" t="n"/>
      <c r="G845" s="55" t="n"/>
      <c r="H845" s="50" t="n"/>
      <c r="I845" s="55" t="n"/>
      <c r="J845" s="50" t="n"/>
      <c r="K845" s="55" t="n"/>
      <c r="L845" s="56" t="n"/>
      <c r="M845" s="57" t="n"/>
      <c r="N845" s="57" t="n"/>
      <c r="O845" s="57" t="n"/>
      <c r="P845" s="57" t="n"/>
      <c r="Q845" s="50" t="n"/>
      <c r="R845" s="58">
        <f t="shared" si="1"/>
      </c>
      <c r="S845" s="59">
        <f t="shared" si="2"/>
      </c>
      <c r="T845" s="43">
        <f t="shared" si="3"/>
      </c>
      <c r="U845" s="60">
        <f t="shared" si="4"/>
      </c>
      <c r="V845" s="60">
        <f t="shared" si="5"/>
      </c>
      <c r="W845" s="60">
        <f t="shared" si="6"/>
      </c>
      <c r="X845" s="49">
        <f t="shared" si="7"/>
      </c>
      <c r="Y845" s="2">
        <f t="shared" si="8"/>
      </c>
      <c r="Z845" s="2">
        <f t="shared" si="9"/>
        <v>0</v>
      </c>
      <c r="AA845" s="2">
        <f t="shared" si="10"/>
        <v>0</v>
      </c>
      <c r="AB845" s="2">
        <f t="shared" si="11"/>
        <v>0</v>
      </c>
      <c r="AC845" s="2">
        <f t="shared" si="12"/>
        <v>0</v>
      </c>
      <c r="AD845" s="2">
        <f t="shared" si="13"/>
        <v>0</v>
      </c>
      <c r="AE845" s="2">
        <f t="shared" si="14"/>
        <v>0</v>
      </c>
      <c r="AF845" s="2">
        <f t="shared" si="15"/>
        <v>0</v>
      </c>
      <c r="AG845" s="2">
        <f t="shared" si="16"/>
        <v>0</v>
      </c>
      <c r="AH845" s="2">
        <f t="shared" si="17"/>
        <v>0</v>
      </c>
      <c r="AI845" s="2">
        <f t="shared" si="18"/>
      </c>
    </row>
    <row r="846">
      <c r="A846" s="43">
        <f t="shared" si="0"/>
      </c>
      <c r="B846" s="54" t="n"/>
      <c r="C846" s="45" t="n"/>
      <c r="D846" s="50" t="n"/>
      <c r="E846" s="55" t="n"/>
      <c r="F846" s="50" t="n"/>
      <c r="G846" s="55" t="n"/>
      <c r="H846" s="50" t="n"/>
      <c r="I846" s="55" t="n"/>
      <c r="J846" s="50" t="n"/>
      <c r="K846" s="55" t="n"/>
      <c r="L846" s="56" t="n"/>
      <c r="M846" s="57" t="n"/>
      <c r="N846" s="57" t="n"/>
      <c r="O846" s="57" t="n"/>
      <c r="P846" s="57" t="n"/>
      <c r="Q846" s="50" t="n"/>
      <c r="R846" s="58">
        <f t="shared" si="1"/>
      </c>
      <c r="S846" s="59">
        <f t="shared" si="2"/>
      </c>
      <c r="T846" s="43">
        <f t="shared" si="3"/>
      </c>
      <c r="U846" s="60">
        <f t="shared" si="4"/>
      </c>
      <c r="V846" s="60">
        <f t="shared" si="5"/>
      </c>
      <c r="W846" s="60">
        <f t="shared" si="6"/>
      </c>
      <c r="X846" s="49">
        <f t="shared" si="7"/>
      </c>
      <c r="Y846" s="2">
        <f t="shared" si="8"/>
      </c>
      <c r="Z846" s="2">
        <f t="shared" si="9"/>
        <v>0</v>
      </c>
      <c r="AA846" s="2">
        <f t="shared" si="10"/>
        <v>0</v>
      </c>
      <c r="AB846" s="2">
        <f t="shared" si="11"/>
        <v>0</v>
      </c>
      <c r="AC846" s="2">
        <f t="shared" si="12"/>
        <v>0</v>
      </c>
      <c r="AD846" s="2">
        <f t="shared" si="13"/>
        <v>0</v>
      </c>
      <c r="AE846" s="2">
        <f t="shared" si="14"/>
        <v>0</v>
      </c>
      <c r="AF846" s="2">
        <f t="shared" si="15"/>
        <v>0</v>
      </c>
      <c r="AG846" s="2">
        <f t="shared" si="16"/>
        <v>0</v>
      </c>
      <c r="AH846" s="2">
        <f t="shared" si="17"/>
        <v>0</v>
      </c>
      <c r="AI846" s="2">
        <f t="shared" si="18"/>
      </c>
    </row>
    <row r="847">
      <c r="A847" s="43">
        <f t="shared" si="0"/>
      </c>
      <c r="B847" s="54" t="n"/>
      <c r="C847" s="45" t="n"/>
      <c r="D847" s="50" t="n"/>
      <c r="E847" s="55" t="n"/>
      <c r="F847" s="50" t="n"/>
      <c r="G847" s="55" t="n"/>
      <c r="H847" s="50" t="n"/>
      <c r="I847" s="55" t="n"/>
      <c r="J847" s="50" t="n"/>
      <c r="K847" s="55" t="n"/>
      <c r="L847" s="56" t="n"/>
      <c r="M847" s="57" t="n"/>
      <c r="N847" s="57" t="n"/>
      <c r="O847" s="57" t="n"/>
      <c r="P847" s="57" t="n"/>
      <c r="Q847" s="50" t="n"/>
      <c r="R847" s="58">
        <f t="shared" si="1"/>
      </c>
      <c r="S847" s="59">
        <f t="shared" si="2"/>
      </c>
      <c r="T847" s="43">
        <f t="shared" si="3"/>
      </c>
      <c r="U847" s="60">
        <f t="shared" si="4"/>
      </c>
      <c r="V847" s="60">
        <f t="shared" si="5"/>
      </c>
      <c r="W847" s="60">
        <f t="shared" si="6"/>
      </c>
      <c r="X847" s="49">
        <f t="shared" si="7"/>
      </c>
      <c r="Y847" s="2">
        <f t="shared" si="8"/>
      </c>
      <c r="Z847" s="2">
        <f t="shared" si="9"/>
        <v>0</v>
      </c>
      <c r="AA847" s="2">
        <f t="shared" si="10"/>
        <v>0</v>
      </c>
      <c r="AB847" s="2">
        <f t="shared" si="11"/>
        <v>0</v>
      </c>
      <c r="AC847" s="2">
        <f t="shared" si="12"/>
        <v>0</v>
      </c>
      <c r="AD847" s="2">
        <f t="shared" si="13"/>
        <v>0</v>
      </c>
      <c r="AE847" s="2">
        <f t="shared" si="14"/>
        <v>0</v>
      </c>
      <c r="AF847" s="2">
        <f t="shared" si="15"/>
        <v>0</v>
      </c>
      <c r="AG847" s="2">
        <f t="shared" si="16"/>
        <v>0</v>
      </c>
      <c r="AH847" s="2">
        <f t="shared" si="17"/>
        <v>0</v>
      </c>
      <c r="AI847" s="2">
        <f t="shared" si="18"/>
      </c>
    </row>
    <row r="848">
      <c r="A848" s="43">
        <f t="shared" si="0"/>
      </c>
      <c r="B848" s="54" t="n"/>
      <c r="C848" s="45" t="n"/>
      <c r="D848" s="50" t="n"/>
      <c r="E848" s="55" t="n"/>
      <c r="F848" s="50" t="n"/>
      <c r="G848" s="55" t="n"/>
      <c r="H848" s="50" t="n"/>
      <c r="I848" s="55" t="n"/>
      <c r="J848" s="50" t="n"/>
      <c r="K848" s="55" t="n"/>
      <c r="L848" s="56" t="n"/>
      <c r="M848" s="57" t="n"/>
      <c r="N848" s="57" t="n"/>
      <c r="O848" s="57" t="n"/>
      <c r="P848" s="57" t="n"/>
      <c r="Q848" s="50" t="n"/>
      <c r="R848" s="58">
        <f t="shared" si="1"/>
      </c>
      <c r="S848" s="59">
        <f t="shared" si="2"/>
      </c>
      <c r="T848" s="43">
        <f t="shared" si="3"/>
      </c>
      <c r="U848" s="60">
        <f t="shared" si="4"/>
      </c>
      <c r="V848" s="60">
        <f t="shared" si="5"/>
      </c>
      <c r="W848" s="60">
        <f t="shared" si="6"/>
      </c>
      <c r="X848" s="49">
        <f t="shared" si="7"/>
      </c>
      <c r="Y848" s="2">
        <f t="shared" si="8"/>
      </c>
      <c r="Z848" s="2">
        <f t="shared" si="9"/>
        <v>0</v>
      </c>
      <c r="AA848" s="2">
        <f t="shared" si="10"/>
        <v>0</v>
      </c>
      <c r="AB848" s="2">
        <f t="shared" si="11"/>
        <v>0</v>
      </c>
      <c r="AC848" s="2">
        <f t="shared" si="12"/>
        <v>0</v>
      </c>
      <c r="AD848" s="2">
        <f t="shared" si="13"/>
        <v>0</v>
      </c>
      <c r="AE848" s="2">
        <f t="shared" si="14"/>
        <v>0</v>
      </c>
      <c r="AF848" s="2">
        <f t="shared" si="15"/>
        <v>0</v>
      </c>
      <c r="AG848" s="2">
        <f t="shared" si="16"/>
        <v>0</v>
      </c>
      <c r="AH848" s="2">
        <f t="shared" si="17"/>
        <v>0</v>
      </c>
      <c r="AI848" s="2">
        <f t="shared" si="18"/>
      </c>
    </row>
    <row r="849">
      <c r="A849" s="43">
        <f t="shared" si="0"/>
      </c>
      <c r="B849" s="54" t="n"/>
      <c r="C849" s="45" t="n"/>
      <c r="D849" s="50" t="n"/>
      <c r="E849" s="55" t="n"/>
      <c r="F849" s="50" t="n"/>
      <c r="G849" s="55" t="n"/>
      <c r="H849" s="50" t="n"/>
      <c r="I849" s="55" t="n"/>
      <c r="J849" s="50" t="n"/>
      <c r="K849" s="55" t="n"/>
      <c r="L849" s="56" t="n"/>
      <c r="M849" s="57" t="n"/>
      <c r="N849" s="57" t="n"/>
      <c r="O849" s="57" t="n"/>
      <c r="P849" s="57" t="n"/>
      <c r="Q849" s="50" t="n"/>
      <c r="R849" s="58">
        <f t="shared" si="1"/>
      </c>
      <c r="S849" s="59">
        <f t="shared" si="2"/>
      </c>
      <c r="T849" s="43">
        <f t="shared" si="3"/>
      </c>
      <c r="U849" s="60">
        <f t="shared" si="4"/>
      </c>
      <c r="V849" s="60">
        <f t="shared" si="5"/>
      </c>
      <c r="W849" s="60">
        <f t="shared" si="6"/>
      </c>
      <c r="X849" s="49">
        <f t="shared" si="7"/>
      </c>
      <c r="Y849" s="2">
        <f t="shared" si="8"/>
      </c>
      <c r="Z849" s="2">
        <f t="shared" si="9"/>
        <v>0</v>
      </c>
      <c r="AA849" s="2">
        <f t="shared" si="10"/>
        <v>0</v>
      </c>
      <c r="AB849" s="2">
        <f t="shared" si="11"/>
        <v>0</v>
      </c>
      <c r="AC849" s="2">
        <f t="shared" si="12"/>
        <v>0</v>
      </c>
      <c r="AD849" s="2">
        <f t="shared" si="13"/>
        <v>0</v>
      </c>
      <c r="AE849" s="2">
        <f t="shared" si="14"/>
        <v>0</v>
      </c>
      <c r="AF849" s="2">
        <f t="shared" si="15"/>
        <v>0</v>
      </c>
      <c r="AG849" s="2">
        <f t="shared" si="16"/>
        <v>0</v>
      </c>
      <c r="AH849" s="2">
        <f t="shared" si="17"/>
        <v>0</v>
      </c>
      <c r="AI849" s="2">
        <f t="shared" si="18"/>
      </c>
    </row>
    <row r="850">
      <c r="A850" s="43">
        <f t="shared" si="0"/>
      </c>
      <c r="B850" s="54" t="n"/>
      <c r="C850" s="45" t="n"/>
      <c r="D850" s="50" t="n"/>
      <c r="E850" s="55" t="n"/>
      <c r="F850" s="50" t="n"/>
      <c r="G850" s="55" t="n"/>
      <c r="H850" s="50" t="n"/>
      <c r="I850" s="55" t="n"/>
      <c r="J850" s="50" t="n"/>
      <c r="K850" s="55" t="n"/>
      <c r="L850" s="56" t="n"/>
      <c r="M850" s="57" t="n"/>
      <c r="N850" s="57" t="n"/>
      <c r="O850" s="57" t="n"/>
      <c r="P850" s="57" t="n"/>
      <c r="Q850" s="50" t="n"/>
      <c r="R850" s="58">
        <f t="shared" si="1"/>
      </c>
      <c r="S850" s="59">
        <f t="shared" si="2"/>
      </c>
      <c r="T850" s="43">
        <f t="shared" si="3"/>
      </c>
      <c r="U850" s="60">
        <f t="shared" si="4"/>
      </c>
      <c r="V850" s="60">
        <f t="shared" si="5"/>
      </c>
      <c r="W850" s="60">
        <f t="shared" si="6"/>
      </c>
      <c r="X850" s="49">
        <f t="shared" si="7"/>
      </c>
      <c r="Y850" s="2">
        <f t="shared" si="8"/>
      </c>
      <c r="Z850" s="2">
        <f t="shared" si="9"/>
        <v>0</v>
      </c>
      <c r="AA850" s="2">
        <f t="shared" si="10"/>
        <v>0</v>
      </c>
      <c r="AB850" s="2">
        <f t="shared" si="11"/>
        <v>0</v>
      </c>
      <c r="AC850" s="2">
        <f t="shared" si="12"/>
        <v>0</v>
      </c>
      <c r="AD850" s="2">
        <f t="shared" si="13"/>
        <v>0</v>
      </c>
      <c r="AE850" s="2">
        <f t="shared" si="14"/>
        <v>0</v>
      </c>
      <c r="AF850" s="2">
        <f t="shared" si="15"/>
        <v>0</v>
      </c>
      <c r="AG850" s="2">
        <f t="shared" si="16"/>
        <v>0</v>
      </c>
      <c r="AH850" s="2">
        <f t="shared" si="17"/>
        <v>0</v>
      </c>
      <c r="AI850" s="2">
        <f t="shared" si="18"/>
      </c>
    </row>
    <row r="851">
      <c r="A851" s="43">
        <f t="shared" si="0"/>
      </c>
      <c r="B851" s="54" t="n"/>
      <c r="C851" s="45" t="n"/>
      <c r="D851" s="50" t="n"/>
      <c r="E851" s="55" t="n"/>
      <c r="F851" s="50" t="n"/>
      <c r="G851" s="55" t="n"/>
      <c r="H851" s="50" t="n"/>
      <c r="I851" s="55" t="n"/>
      <c r="J851" s="50" t="n"/>
      <c r="K851" s="55" t="n"/>
      <c r="L851" s="56" t="n"/>
      <c r="M851" s="57" t="n"/>
      <c r="N851" s="57" t="n"/>
      <c r="O851" s="57" t="n"/>
      <c r="P851" s="57" t="n"/>
      <c r="Q851" s="50" t="n"/>
      <c r="R851" s="58">
        <f t="shared" si="1"/>
      </c>
      <c r="S851" s="59">
        <f t="shared" si="2"/>
      </c>
      <c r="T851" s="43">
        <f t="shared" si="3"/>
      </c>
      <c r="U851" s="60">
        <f t="shared" si="4"/>
      </c>
      <c r="V851" s="60">
        <f t="shared" si="5"/>
      </c>
      <c r="W851" s="60">
        <f t="shared" si="6"/>
      </c>
      <c r="X851" s="49">
        <f t="shared" si="7"/>
      </c>
      <c r="Y851" s="2">
        <f t="shared" si="8"/>
      </c>
      <c r="Z851" s="2">
        <f t="shared" si="9"/>
        <v>0</v>
      </c>
      <c r="AA851" s="2">
        <f t="shared" si="10"/>
        <v>0</v>
      </c>
      <c r="AB851" s="2">
        <f t="shared" si="11"/>
        <v>0</v>
      </c>
      <c r="AC851" s="2">
        <f t="shared" si="12"/>
        <v>0</v>
      </c>
      <c r="AD851" s="2">
        <f t="shared" si="13"/>
        <v>0</v>
      </c>
      <c r="AE851" s="2">
        <f t="shared" si="14"/>
        <v>0</v>
      </c>
      <c r="AF851" s="2">
        <f t="shared" si="15"/>
        <v>0</v>
      </c>
      <c r="AG851" s="2">
        <f t="shared" si="16"/>
        <v>0</v>
      </c>
      <c r="AH851" s="2">
        <f t="shared" si="17"/>
        <v>0</v>
      </c>
      <c r="AI851" s="2">
        <f t="shared" si="18"/>
      </c>
    </row>
    <row r="852">
      <c r="A852" s="43">
        <f t="shared" si="0"/>
      </c>
      <c r="B852" s="54" t="n"/>
      <c r="C852" s="45" t="n"/>
      <c r="D852" s="50" t="n"/>
      <c r="E852" s="55" t="n"/>
      <c r="F852" s="50" t="n"/>
      <c r="G852" s="55" t="n"/>
      <c r="H852" s="50" t="n"/>
      <c r="I852" s="55" t="n"/>
      <c r="J852" s="50" t="n"/>
      <c r="K852" s="55" t="n"/>
      <c r="L852" s="56" t="n"/>
      <c r="M852" s="57" t="n"/>
      <c r="N852" s="57" t="n"/>
      <c r="O852" s="57" t="n"/>
      <c r="P852" s="57" t="n"/>
      <c r="Q852" s="50" t="n"/>
      <c r="R852" s="58">
        <f t="shared" si="1"/>
      </c>
      <c r="S852" s="59">
        <f t="shared" si="2"/>
      </c>
      <c r="T852" s="43">
        <f t="shared" si="3"/>
      </c>
      <c r="U852" s="60">
        <f t="shared" si="4"/>
      </c>
      <c r="V852" s="60">
        <f t="shared" si="5"/>
      </c>
      <c r="W852" s="60">
        <f t="shared" si="6"/>
      </c>
      <c r="X852" s="49">
        <f t="shared" si="7"/>
      </c>
      <c r="Y852" s="2">
        <f t="shared" si="8"/>
      </c>
      <c r="Z852" s="2">
        <f t="shared" si="9"/>
        <v>0</v>
      </c>
      <c r="AA852" s="2">
        <f t="shared" si="10"/>
        <v>0</v>
      </c>
      <c r="AB852" s="2">
        <f t="shared" si="11"/>
        <v>0</v>
      </c>
      <c r="AC852" s="2">
        <f t="shared" si="12"/>
        <v>0</v>
      </c>
      <c r="AD852" s="2">
        <f t="shared" si="13"/>
        <v>0</v>
      </c>
      <c r="AE852" s="2">
        <f t="shared" si="14"/>
        <v>0</v>
      </c>
      <c r="AF852" s="2">
        <f t="shared" si="15"/>
        <v>0</v>
      </c>
      <c r="AG852" s="2">
        <f t="shared" si="16"/>
        <v>0</v>
      </c>
      <c r="AH852" s="2">
        <f t="shared" si="17"/>
        <v>0</v>
      </c>
      <c r="AI852" s="2">
        <f t="shared" si="18"/>
      </c>
    </row>
    <row r="853">
      <c r="A853" s="43">
        <f t="shared" si="0"/>
      </c>
      <c r="B853" s="54" t="n"/>
      <c r="C853" s="45" t="n"/>
      <c r="D853" s="50" t="n"/>
      <c r="E853" s="55" t="n"/>
      <c r="F853" s="50" t="n"/>
      <c r="G853" s="55" t="n"/>
      <c r="H853" s="50" t="n"/>
      <c r="I853" s="55" t="n"/>
      <c r="J853" s="50" t="n"/>
      <c r="K853" s="55" t="n"/>
      <c r="L853" s="56" t="n"/>
      <c r="M853" s="57" t="n"/>
      <c r="N853" s="57" t="n"/>
      <c r="O853" s="57" t="n"/>
      <c r="P853" s="57" t="n"/>
      <c r="Q853" s="50" t="n"/>
      <c r="R853" s="58">
        <f t="shared" si="1"/>
      </c>
      <c r="S853" s="59">
        <f t="shared" si="2"/>
      </c>
      <c r="T853" s="43">
        <f t="shared" si="3"/>
      </c>
      <c r="U853" s="60">
        <f t="shared" si="4"/>
      </c>
      <c r="V853" s="60">
        <f t="shared" si="5"/>
      </c>
      <c r="W853" s="60">
        <f t="shared" si="6"/>
      </c>
      <c r="X853" s="49">
        <f t="shared" si="7"/>
      </c>
      <c r="Y853" s="2">
        <f t="shared" si="8"/>
      </c>
      <c r="Z853" s="2">
        <f t="shared" si="9"/>
        <v>0</v>
      </c>
      <c r="AA853" s="2">
        <f t="shared" si="10"/>
        <v>0</v>
      </c>
      <c r="AB853" s="2">
        <f t="shared" si="11"/>
        <v>0</v>
      </c>
      <c r="AC853" s="2">
        <f t="shared" si="12"/>
        <v>0</v>
      </c>
      <c r="AD853" s="2">
        <f t="shared" si="13"/>
        <v>0</v>
      </c>
      <c r="AE853" s="2">
        <f t="shared" si="14"/>
        <v>0</v>
      </c>
      <c r="AF853" s="2">
        <f t="shared" si="15"/>
        <v>0</v>
      </c>
      <c r="AG853" s="2">
        <f t="shared" si="16"/>
        <v>0</v>
      </c>
      <c r="AH853" s="2">
        <f t="shared" si="17"/>
        <v>0</v>
      </c>
      <c r="AI853" s="2">
        <f t="shared" si="18"/>
      </c>
    </row>
    <row r="854">
      <c r="A854" s="43">
        <f t="shared" si="0"/>
      </c>
      <c r="B854" s="54" t="n"/>
      <c r="C854" s="45" t="n"/>
      <c r="D854" s="50" t="n"/>
      <c r="E854" s="55" t="n"/>
      <c r="F854" s="50" t="n"/>
      <c r="G854" s="55" t="n"/>
      <c r="H854" s="50" t="n"/>
      <c r="I854" s="55" t="n"/>
      <c r="J854" s="50" t="n"/>
      <c r="K854" s="55" t="n"/>
      <c r="L854" s="56" t="n"/>
      <c r="M854" s="57" t="n"/>
      <c r="N854" s="57" t="n"/>
      <c r="O854" s="57" t="n"/>
      <c r="P854" s="57" t="n"/>
      <c r="Q854" s="50" t="n"/>
      <c r="R854" s="58">
        <f t="shared" si="1"/>
      </c>
      <c r="S854" s="59">
        <f t="shared" si="2"/>
      </c>
      <c r="T854" s="43">
        <f t="shared" si="3"/>
      </c>
      <c r="U854" s="60">
        <f t="shared" si="4"/>
      </c>
      <c r="V854" s="60">
        <f t="shared" si="5"/>
      </c>
      <c r="W854" s="60">
        <f t="shared" si="6"/>
      </c>
      <c r="X854" s="49">
        <f t="shared" si="7"/>
      </c>
      <c r="Y854" s="2">
        <f t="shared" si="8"/>
      </c>
      <c r="Z854" s="2">
        <f t="shared" si="9"/>
        <v>0</v>
      </c>
      <c r="AA854" s="2">
        <f t="shared" si="10"/>
        <v>0</v>
      </c>
      <c r="AB854" s="2">
        <f t="shared" si="11"/>
        <v>0</v>
      </c>
      <c r="AC854" s="2">
        <f t="shared" si="12"/>
        <v>0</v>
      </c>
      <c r="AD854" s="2">
        <f t="shared" si="13"/>
        <v>0</v>
      </c>
      <c r="AE854" s="2">
        <f t="shared" si="14"/>
        <v>0</v>
      </c>
      <c r="AF854" s="2">
        <f t="shared" si="15"/>
        <v>0</v>
      </c>
      <c r="AG854" s="2">
        <f t="shared" si="16"/>
        <v>0</v>
      </c>
      <c r="AH854" s="2">
        <f t="shared" si="17"/>
        <v>0</v>
      </c>
      <c r="AI854" s="2">
        <f t="shared" si="18"/>
      </c>
    </row>
    <row r="855">
      <c r="A855" s="43">
        <f t="shared" si="0"/>
      </c>
      <c r="B855" s="54" t="n"/>
      <c r="C855" s="45" t="n"/>
      <c r="D855" s="50" t="n"/>
      <c r="E855" s="55" t="n"/>
      <c r="F855" s="50" t="n"/>
      <c r="G855" s="55" t="n"/>
      <c r="H855" s="50" t="n"/>
      <c r="I855" s="55" t="n"/>
      <c r="J855" s="50" t="n"/>
      <c r="K855" s="55" t="n"/>
      <c r="L855" s="56" t="n"/>
      <c r="M855" s="57" t="n"/>
      <c r="N855" s="57" t="n"/>
      <c r="O855" s="57" t="n"/>
      <c r="P855" s="57" t="n"/>
      <c r="Q855" s="50" t="n"/>
      <c r="R855" s="58">
        <f t="shared" si="1"/>
      </c>
      <c r="S855" s="59">
        <f t="shared" si="2"/>
      </c>
      <c r="T855" s="43">
        <f t="shared" si="3"/>
      </c>
      <c r="U855" s="60">
        <f t="shared" si="4"/>
      </c>
      <c r="V855" s="60">
        <f t="shared" si="5"/>
      </c>
      <c r="W855" s="60">
        <f t="shared" si="6"/>
      </c>
      <c r="X855" s="49">
        <f t="shared" si="7"/>
      </c>
      <c r="Y855" s="2">
        <f t="shared" si="8"/>
      </c>
      <c r="Z855" s="2">
        <f t="shared" si="9"/>
        <v>0</v>
      </c>
      <c r="AA855" s="2">
        <f t="shared" si="10"/>
        <v>0</v>
      </c>
      <c r="AB855" s="2">
        <f t="shared" si="11"/>
        <v>0</v>
      </c>
      <c r="AC855" s="2">
        <f t="shared" si="12"/>
        <v>0</v>
      </c>
      <c r="AD855" s="2">
        <f t="shared" si="13"/>
        <v>0</v>
      </c>
      <c r="AE855" s="2">
        <f t="shared" si="14"/>
        <v>0</v>
      </c>
      <c r="AF855" s="2">
        <f t="shared" si="15"/>
        <v>0</v>
      </c>
      <c r="AG855" s="2">
        <f t="shared" si="16"/>
        <v>0</v>
      </c>
      <c r="AH855" s="2">
        <f t="shared" si="17"/>
        <v>0</v>
      </c>
      <c r="AI855" s="2">
        <f t="shared" si="18"/>
      </c>
    </row>
    <row r="856">
      <c r="A856" s="43">
        <f t="shared" si="0"/>
      </c>
      <c r="B856" s="54" t="n"/>
      <c r="C856" s="45" t="n"/>
      <c r="D856" s="50" t="n"/>
      <c r="E856" s="55" t="n"/>
      <c r="F856" s="50" t="n"/>
      <c r="G856" s="55" t="n"/>
      <c r="H856" s="50" t="n"/>
      <c r="I856" s="55" t="n"/>
      <c r="J856" s="50" t="n"/>
      <c r="K856" s="55" t="n"/>
      <c r="L856" s="56" t="n"/>
      <c r="M856" s="57" t="n"/>
      <c r="N856" s="57" t="n"/>
      <c r="O856" s="57" t="n"/>
      <c r="P856" s="57" t="n"/>
      <c r="Q856" s="50" t="n"/>
      <c r="R856" s="58">
        <f t="shared" si="1"/>
      </c>
      <c r="S856" s="59">
        <f t="shared" si="2"/>
      </c>
      <c r="T856" s="43">
        <f t="shared" si="3"/>
      </c>
      <c r="U856" s="60">
        <f t="shared" si="4"/>
      </c>
      <c r="V856" s="60">
        <f t="shared" si="5"/>
      </c>
      <c r="W856" s="60">
        <f t="shared" si="6"/>
      </c>
      <c r="X856" s="49">
        <f t="shared" si="7"/>
      </c>
      <c r="Y856" s="2">
        <f t="shared" si="8"/>
      </c>
      <c r="Z856" s="2">
        <f t="shared" si="9"/>
        <v>0</v>
      </c>
      <c r="AA856" s="2">
        <f t="shared" si="10"/>
        <v>0</v>
      </c>
      <c r="AB856" s="2">
        <f t="shared" si="11"/>
        <v>0</v>
      </c>
      <c r="AC856" s="2">
        <f t="shared" si="12"/>
        <v>0</v>
      </c>
      <c r="AD856" s="2">
        <f t="shared" si="13"/>
        <v>0</v>
      </c>
      <c r="AE856" s="2">
        <f t="shared" si="14"/>
        <v>0</v>
      </c>
      <c r="AF856" s="2">
        <f t="shared" si="15"/>
        <v>0</v>
      </c>
      <c r="AG856" s="2">
        <f t="shared" si="16"/>
        <v>0</v>
      </c>
      <c r="AH856" s="2">
        <f t="shared" si="17"/>
        <v>0</v>
      </c>
      <c r="AI856" s="2">
        <f t="shared" si="18"/>
      </c>
    </row>
    <row r="857">
      <c r="A857" s="43">
        <f t="shared" si="0"/>
      </c>
      <c r="B857" s="54" t="n"/>
      <c r="C857" s="45" t="n"/>
      <c r="D857" s="50" t="n"/>
      <c r="E857" s="55" t="n"/>
      <c r="F857" s="50" t="n"/>
      <c r="G857" s="55" t="n"/>
      <c r="H857" s="50" t="n"/>
      <c r="I857" s="55" t="n"/>
      <c r="J857" s="50" t="n"/>
      <c r="K857" s="55" t="n"/>
      <c r="L857" s="56" t="n"/>
      <c r="M857" s="57" t="n"/>
      <c r="N857" s="57" t="n"/>
      <c r="O857" s="57" t="n"/>
      <c r="P857" s="57" t="n"/>
      <c r="Q857" s="50" t="n"/>
      <c r="R857" s="58">
        <f t="shared" si="1"/>
      </c>
      <c r="S857" s="59">
        <f t="shared" si="2"/>
      </c>
      <c r="T857" s="43">
        <f t="shared" si="3"/>
      </c>
      <c r="U857" s="60">
        <f t="shared" si="4"/>
      </c>
      <c r="V857" s="60">
        <f t="shared" si="5"/>
      </c>
      <c r="W857" s="60">
        <f t="shared" si="6"/>
      </c>
      <c r="X857" s="49">
        <f t="shared" si="7"/>
      </c>
      <c r="Y857" s="2">
        <f t="shared" si="8"/>
      </c>
      <c r="Z857" s="2">
        <f t="shared" si="9"/>
        <v>0</v>
      </c>
      <c r="AA857" s="2">
        <f t="shared" si="10"/>
        <v>0</v>
      </c>
      <c r="AB857" s="2">
        <f t="shared" si="11"/>
        <v>0</v>
      </c>
      <c r="AC857" s="2">
        <f t="shared" si="12"/>
        <v>0</v>
      </c>
      <c r="AD857" s="2">
        <f t="shared" si="13"/>
        <v>0</v>
      </c>
      <c r="AE857" s="2">
        <f t="shared" si="14"/>
        <v>0</v>
      </c>
      <c r="AF857" s="2">
        <f t="shared" si="15"/>
        <v>0</v>
      </c>
      <c r="AG857" s="2">
        <f t="shared" si="16"/>
        <v>0</v>
      </c>
      <c r="AH857" s="2">
        <f t="shared" si="17"/>
        <v>0</v>
      </c>
      <c r="AI857" s="2">
        <f t="shared" si="18"/>
      </c>
    </row>
    <row r="858">
      <c r="A858" s="43">
        <f t="shared" si="0"/>
      </c>
      <c r="B858" s="54" t="n"/>
      <c r="C858" s="45" t="n"/>
      <c r="D858" s="50" t="n"/>
      <c r="E858" s="55" t="n"/>
      <c r="F858" s="50" t="n"/>
      <c r="G858" s="55" t="n"/>
      <c r="H858" s="50" t="n"/>
      <c r="I858" s="55" t="n"/>
      <c r="J858" s="50" t="n"/>
      <c r="K858" s="55" t="n"/>
      <c r="L858" s="56" t="n"/>
      <c r="M858" s="57" t="n"/>
      <c r="N858" s="57" t="n"/>
      <c r="O858" s="57" t="n"/>
      <c r="P858" s="57" t="n"/>
      <c r="Q858" s="50" t="n"/>
      <c r="R858" s="58">
        <f t="shared" si="1"/>
      </c>
      <c r="S858" s="59">
        <f t="shared" si="2"/>
      </c>
      <c r="T858" s="43">
        <f t="shared" si="3"/>
      </c>
      <c r="U858" s="60">
        <f t="shared" si="4"/>
      </c>
      <c r="V858" s="60">
        <f t="shared" si="5"/>
      </c>
      <c r="W858" s="60">
        <f t="shared" si="6"/>
      </c>
      <c r="X858" s="49">
        <f t="shared" si="7"/>
      </c>
      <c r="Y858" s="2">
        <f t="shared" si="8"/>
      </c>
      <c r="Z858" s="2">
        <f t="shared" si="9"/>
        <v>0</v>
      </c>
      <c r="AA858" s="2">
        <f t="shared" si="10"/>
        <v>0</v>
      </c>
      <c r="AB858" s="2">
        <f t="shared" si="11"/>
        <v>0</v>
      </c>
      <c r="AC858" s="2">
        <f t="shared" si="12"/>
        <v>0</v>
      </c>
      <c r="AD858" s="2">
        <f t="shared" si="13"/>
        <v>0</v>
      </c>
      <c r="AE858" s="2">
        <f t="shared" si="14"/>
        <v>0</v>
      </c>
      <c r="AF858" s="2">
        <f t="shared" si="15"/>
        <v>0</v>
      </c>
      <c r="AG858" s="2">
        <f t="shared" si="16"/>
        <v>0</v>
      </c>
      <c r="AH858" s="2">
        <f t="shared" si="17"/>
        <v>0</v>
      </c>
      <c r="AI858" s="2">
        <f t="shared" si="18"/>
      </c>
    </row>
    <row r="859">
      <c r="A859" s="43">
        <f t="shared" si="0"/>
      </c>
      <c r="B859" s="54" t="n"/>
      <c r="C859" s="45" t="n"/>
      <c r="D859" s="50" t="n"/>
      <c r="E859" s="55" t="n"/>
      <c r="F859" s="50" t="n"/>
      <c r="G859" s="55" t="n"/>
      <c r="H859" s="50" t="n"/>
      <c r="I859" s="55" t="n"/>
      <c r="J859" s="50" t="n"/>
      <c r="K859" s="55" t="n"/>
      <c r="L859" s="56" t="n"/>
      <c r="M859" s="57" t="n"/>
      <c r="N859" s="57" t="n"/>
      <c r="O859" s="57" t="n"/>
      <c r="P859" s="57" t="n"/>
      <c r="Q859" s="50" t="n"/>
      <c r="R859" s="58">
        <f t="shared" si="1"/>
      </c>
      <c r="S859" s="59">
        <f t="shared" si="2"/>
      </c>
      <c r="T859" s="43">
        <f t="shared" si="3"/>
      </c>
      <c r="U859" s="60">
        <f t="shared" si="4"/>
      </c>
      <c r="V859" s="60">
        <f t="shared" si="5"/>
      </c>
      <c r="W859" s="60">
        <f t="shared" si="6"/>
      </c>
      <c r="X859" s="49">
        <f t="shared" si="7"/>
      </c>
      <c r="Y859" s="2">
        <f t="shared" si="8"/>
      </c>
      <c r="Z859" s="2">
        <f t="shared" si="9"/>
        <v>0</v>
      </c>
      <c r="AA859" s="2">
        <f t="shared" si="10"/>
        <v>0</v>
      </c>
      <c r="AB859" s="2">
        <f t="shared" si="11"/>
        <v>0</v>
      </c>
      <c r="AC859" s="2">
        <f t="shared" si="12"/>
        <v>0</v>
      </c>
      <c r="AD859" s="2">
        <f t="shared" si="13"/>
        <v>0</v>
      </c>
      <c r="AE859" s="2">
        <f t="shared" si="14"/>
        <v>0</v>
      </c>
      <c r="AF859" s="2">
        <f t="shared" si="15"/>
        <v>0</v>
      </c>
      <c r="AG859" s="2">
        <f t="shared" si="16"/>
        <v>0</v>
      </c>
      <c r="AH859" s="2">
        <f t="shared" si="17"/>
        <v>0</v>
      </c>
      <c r="AI859" s="2">
        <f t="shared" si="18"/>
      </c>
    </row>
    <row r="860">
      <c r="A860" s="43">
        <f t="shared" si="0"/>
      </c>
      <c r="B860" s="54" t="n"/>
      <c r="C860" s="45" t="n"/>
      <c r="D860" s="50" t="n"/>
      <c r="E860" s="55" t="n"/>
      <c r="F860" s="50" t="n"/>
      <c r="G860" s="55" t="n"/>
      <c r="H860" s="50" t="n"/>
      <c r="I860" s="55" t="n"/>
      <c r="J860" s="50" t="n"/>
      <c r="K860" s="55" t="n"/>
      <c r="L860" s="56" t="n"/>
      <c r="M860" s="57" t="n"/>
      <c r="N860" s="57" t="n"/>
      <c r="O860" s="57" t="n"/>
      <c r="P860" s="57" t="n"/>
      <c r="Q860" s="50" t="n"/>
      <c r="R860" s="58">
        <f t="shared" si="1"/>
      </c>
      <c r="S860" s="59">
        <f t="shared" si="2"/>
      </c>
      <c r="T860" s="43">
        <f t="shared" si="3"/>
      </c>
      <c r="U860" s="60">
        <f t="shared" si="4"/>
      </c>
      <c r="V860" s="60">
        <f t="shared" si="5"/>
      </c>
      <c r="W860" s="60">
        <f t="shared" si="6"/>
      </c>
      <c r="X860" s="49">
        <f t="shared" si="7"/>
      </c>
      <c r="Y860" s="2">
        <f t="shared" si="8"/>
      </c>
      <c r="Z860" s="2">
        <f t="shared" si="9"/>
        <v>0</v>
      </c>
      <c r="AA860" s="2">
        <f t="shared" si="10"/>
        <v>0</v>
      </c>
      <c r="AB860" s="2">
        <f t="shared" si="11"/>
        <v>0</v>
      </c>
      <c r="AC860" s="2">
        <f t="shared" si="12"/>
        <v>0</v>
      </c>
      <c r="AD860" s="2">
        <f t="shared" si="13"/>
        <v>0</v>
      </c>
      <c r="AE860" s="2">
        <f t="shared" si="14"/>
        <v>0</v>
      </c>
      <c r="AF860" s="2">
        <f t="shared" si="15"/>
        <v>0</v>
      </c>
      <c r="AG860" s="2">
        <f t="shared" si="16"/>
        <v>0</v>
      </c>
      <c r="AH860" s="2">
        <f t="shared" si="17"/>
        <v>0</v>
      </c>
      <c r="AI860" s="2">
        <f t="shared" si="18"/>
      </c>
    </row>
    <row r="861">
      <c r="A861" s="43">
        <f t="shared" si="0"/>
      </c>
      <c r="B861" s="54" t="n"/>
      <c r="C861" s="45" t="n"/>
      <c r="D861" s="50" t="n"/>
      <c r="E861" s="55" t="n"/>
      <c r="F861" s="50" t="n"/>
      <c r="G861" s="55" t="n"/>
      <c r="H861" s="50" t="n"/>
      <c r="I861" s="55" t="n"/>
      <c r="J861" s="50" t="n"/>
      <c r="K861" s="55" t="n"/>
      <c r="L861" s="56" t="n"/>
      <c r="M861" s="57" t="n"/>
      <c r="N861" s="57" t="n"/>
      <c r="O861" s="57" t="n"/>
      <c r="P861" s="57" t="n"/>
      <c r="Q861" s="50" t="n"/>
      <c r="R861" s="58">
        <f t="shared" si="1"/>
      </c>
      <c r="S861" s="59">
        <f t="shared" si="2"/>
      </c>
      <c r="T861" s="43">
        <f t="shared" si="3"/>
      </c>
      <c r="U861" s="60">
        <f t="shared" si="4"/>
      </c>
      <c r="V861" s="60">
        <f t="shared" si="5"/>
      </c>
      <c r="W861" s="60">
        <f t="shared" si="6"/>
      </c>
      <c r="X861" s="49">
        <f t="shared" si="7"/>
      </c>
      <c r="Y861" s="2">
        <f t="shared" si="8"/>
      </c>
      <c r="Z861" s="2">
        <f t="shared" si="9"/>
        <v>0</v>
      </c>
      <c r="AA861" s="2">
        <f t="shared" si="10"/>
        <v>0</v>
      </c>
      <c r="AB861" s="2">
        <f t="shared" si="11"/>
        <v>0</v>
      </c>
      <c r="AC861" s="2">
        <f t="shared" si="12"/>
        <v>0</v>
      </c>
      <c r="AD861" s="2">
        <f t="shared" si="13"/>
        <v>0</v>
      </c>
      <c r="AE861" s="2">
        <f t="shared" si="14"/>
        <v>0</v>
      </c>
      <c r="AF861" s="2">
        <f t="shared" si="15"/>
        <v>0</v>
      </c>
      <c r="AG861" s="2">
        <f t="shared" si="16"/>
        <v>0</v>
      </c>
      <c r="AH861" s="2">
        <f t="shared" si="17"/>
        <v>0</v>
      </c>
      <c r="AI861" s="2">
        <f t="shared" si="18"/>
      </c>
    </row>
    <row r="862">
      <c r="A862" s="43">
        <f t="shared" si="0"/>
      </c>
      <c r="B862" s="54" t="n"/>
      <c r="C862" s="45" t="n"/>
      <c r="D862" s="50" t="n"/>
      <c r="E862" s="55" t="n"/>
      <c r="F862" s="50" t="n"/>
      <c r="G862" s="55" t="n"/>
      <c r="H862" s="50" t="n"/>
      <c r="I862" s="55" t="n"/>
      <c r="J862" s="50" t="n"/>
      <c r="K862" s="55" t="n"/>
      <c r="L862" s="56" t="n"/>
      <c r="M862" s="57" t="n"/>
      <c r="N862" s="57" t="n"/>
      <c r="O862" s="57" t="n"/>
      <c r="P862" s="57" t="n"/>
      <c r="Q862" s="50" t="n"/>
      <c r="R862" s="58">
        <f t="shared" si="1"/>
      </c>
      <c r="S862" s="59">
        <f t="shared" si="2"/>
      </c>
      <c r="T862" s="43">
        <f t="shared" si="3"/>
      </c>
      <c r="U862" s="60">
        <f t="shared" si="4"/>
      </c>
      <c r="V862" s="60">
        <f t="shared" si="5"/>
      </c>
      <c r="W862" s="60">
        <f t="shared" si="6"/>
      </c>
      <c r="X862" s="49">
        <f t="shared" si="7"/>
      </c>
      <c r="Y862" s="2">
        <f t="shared" si="8"/>
      </c>
      <c r="Z862" s="2">
        <f t="shared" si="9"/>
        <v>0</v>
      </c>
      <c r="AA862" s="2">
        <f t="shared" si="10"/>
        <v>0</v>
      </c>
      <c r="AB862" s="2">
        <f t="shared" si="11"/>
        <v>0</v>
      </c>
      <c r="AC862" s="2">
        <f t="shared" si="12"/>
        <v>0</v>
      </c>
      <c r="AD862" s="2">
        <f t="shared" si="13"/>
        <v>0</v>
      </c>
      <c r="AE862" s="2">
        <f t="shared" si="14"/>
        <v>0</v>
      </c>
      <c r="AF862" s="2">
        <f t="shared" si="15"/>
        <v>0</v>
      </c>
      <c r="AG862" s="2">
        <f t="shared" si="16"/>
        <v>0</v>
      </c>
      <c r="AH862" s="2">
        <f t="shared" si="17"/>
        <v>0</v>
      </c>
      <c r="AI862" s="2">
        <f t="shared" si="18"/>
      </c>
    </row>
    <row r="863">
      <c r="A863" s="43">
        <f t="shared" si="0"/>
      </c>
      <c r="B863" s="54" t="n"/>
      <c r="C863" s="45" t="n"/>
      <c r="D863" s="50" t="n"/>
      <c r="E863" s="55" t="n"/>
      <c r="F863" s="50" t="n"/>
      <c r="G863" s="55" t="n"/>
      <c r="H863" s="50" t="n"/>
      <c r="I863" s="55" t="n"/>
      <c r="J863" s="50" t="n"/>
      <c r="K863" s="55" t="n"/>
      <c r="L863" s="56" t="n"/>
      <c r="M863" s="57" t="n"/>
      <c r="N863" s="57" t="n"/>
      <c r="O863" s="57" t="n"/>
      <c r="P863" s="57" t="n"/>
      <c r="Q863" s="50" t="n"/>
      <c r="R863" s="58">
        <f t="shared" si="1"/>
      </c>
      <c r="S863" s="59">
        <f t="shared" si="2"/>
      </c>
      <c r="T863" s="43">
        <f t="shared" si="3"/>
      </c>
      <c r="U863" s="60">
        <f t="shared" si="4"/>
      </c>
      <c r="V863" s="60">
        <f t="shared" si="5"/>
      </c>
      <c r="W863" s="60">
        <f t="shared" si="6"/>
      </c>
      <c r="X863" s="49">
        <f t="shared" si="7"/>
      </c>
      <c r="Y863" s="2">
        <f t="shared" si="8"/>
      </c>
      <c r="Z863" s="2">
        <f t="shared" si="9"/>
        <v>0</v>
      </c>
      <c r="AA863" s="2">
        <f t="shared" si="10"/>
        <v>0</v>
      </c>
      <c r="AB863" s="2">
        <f t="shared" si="11"/>
        <v>0</v>
      </c>
      <c r="AC863" s="2">
        <f t="shared" si="12"/>
        <v>0</v>
      </c>
      <c r="AD863" s="2">
        <f t="shared" si="13"/>
        <v>0</v>
      </c>
      <c r="AE863" s="2">
        <f t="shared" si="14"/>
        <v>0</v>
      </c>
      <c r="AF863" s="2">
        <f t="shared" si="15"/>
        <v>0</v>
      </c>
      <c r="AG863" s="2">
        <f t="shared" si="16"/>
        <v>0</v>
      </c>
      <c r="AH863" s="2">
        <f t="shared" si="17"/>
        <v>0</v>
      </c>
      <c r="AI863" s="2">
        <f t="shared" si="18"/>
      </c>
    </row>
    <row r="864">
      <c r="A864" s="43">
        <f t="shared" si="0"/>
      </c>
      <c r="B864" s="54" t="n"/>
      <c r="C864" s="45" t="n"/>
      <c r="D864" s="50" t="n"/>
      <c r="E864" s="55" t="n"/>
      <c r="F864" s="50" t="n"/>
      <c r="G864" s="55" t="n"/>
      <c r="H864" s="50" t="n"/>
      <c r="I864" s="55" t="n"/>
      <c r="J864" s="50" t="n"/>
      <c r="K864" s="55" t="n"/>
      <c r="L864" s="56" t="n"/>
      <c r="M864" s="57" t="n"/>
      <c r="N864" s="57" t="n"/>
      <c r="O864" s="57" t="n"/>
      <c r="P864" s="57" t="n"/>
      <c r="Q864" s="50" t="n"/>
      <c r="R864" s="58">
        <f t="shared" si="1"/>
      </c>
      <c r="S864" s="59">
        <f t="shared" si="2"/>
      </c>
      <c r="T864" s="43">
        <f t="shared" si="3"/>
      </c>
      <c r="U864" s="60">
        <f t="shared" si="4"/>
      </c>
      <c r="V864" s="60">
        <f t="shared" si="5"/>
      </c>
      <c r="W864" s="60">
        <f t="shared" si="6"/>
      </c>
      <c r="X864" s="49">
        <f t="shared" si="7"/>
      </c>
      <c r="Y864" s="2">
        <f t="shared" si="8"/>
      </c>
      <c r="Z864" s="2">
        <f t="shared" si="9"/>
        <v>0</v>
      </c>
      <c r="AA864" s="2">
        <f t="shared" si="10"/>
        <v>0</v>
      </c>
      <c r="AB864" s="2">
        <f t="shared" si="11"/>
        <v>0</v>
      </c>
      <c r="AC864" s="2">
        <f t="shared" si="12"/>
        <v>0</v>
      </c>
      <c r="AD864" s="2">
        <f t="shared" si="13"/>
        <v>0</v>
      </c>
      <c r="AE864" s="2">
        <f t="shared" si="14"/>
        <v>0</v>
      </c>
      <c r="AF864" s="2">
        <f t="shared" si="15"/>
        <v>0</v>
      </c>
      <c r="AG864" s="2">
        <f t="shared" si="16"/>
        <v>0</v>
      </c>
      <c r="AH864" s="2">
        <f t="shared" si="17"/>
        <v>0</v>
      </c>
      <c r="AI864" s="2">
        <f t="shared" si="18"/>
      </c>
    </row>
    <row r="865">
      <c r="A865" s="43">
        <f t="shared" si="0"/>
      </c>
      <c r="B865" s="54" t="n"/>
      <c r="C865" s="45" t="n"/>
      <c r="D865" s="50" t="n"/>
      <c r="E865" s="55" t="n"/>
      <c r="F865" s="50" t="n"/>
      <c r="G865" s="55" t="n"/>
      <c r="H865" s="50" t="n"/>
      <c r="I865" s="55" t="n"/>
      <c r="J865" s="50" t="n"/>
      <c r="K865" s="55" t="n"/>
      <c r="L865" s="56" t="n"/>
      <c r="M865" s="57" t="n"/>
      <c r="N865" s="57" t="n"/>
      <c r="O865" s="57" t="n"/>
      <c r="P865" s="57" t="n"/>
      <c r="Q865" s="50" t="n"/>
      <c r="R865" s="58">
        <f t="shared" si="1"/>
      </c>
      <c r="S865" s="59">
        <f t="shared" si="2"/>
      </c>
      <c r="T865" s="43">
        <f t="shared" si="3"/>
      </c>
      <c r="U865" s="60">
        <f t="shared" si="4"/>
      </c>
      <c r="V865" s="60">
        <f t="shared" si="5"/>
      </c>
      <c r="W865" s="60">
        <f t="shared" si="6"/>
      </c>
      <c r="X865" s="49">
        <f t="shared" si="7"/>
      </c>
      <c r="Y865" s="2">
        <f t="shared" si="8"/>
      </c>
      <c r="Z865" s="2">
        <f t="shared" si="9"/>
        <v>0</v>
      </c>
      <c r="AA865" s="2">
        <f t="shared" si="10"/>
        <v>0</v>
      </c>
      <c r="AB865" s="2">
        <f t="shared" si="11"/>
        <v>0</v>
      </c>
      <c r="AC865" s="2">
        <f t="shared" si="12"/>
        <v>0</v>
      </c>
      <c r="AD865" s="2">
        <f t="shared" si="13"/>
        <v>0</v>
      </c>
      <c r="AE865" s="2">
        <f t="shared" si="14"/>
        <v>0</v>
      </c>
      <c r="AF865" s="2">
        <f t="shared" si="15"/>
        <v>0</v>
      </c>
      <c r="AG865" s="2">
        <f t="shared" si="16"/>
        <v>0</v>
      </c>
      <c r="AH865" s="2">
        <f t="shared" si="17"/>
        <v>0</v>
      </c>
      <c r="AI865" s="2">
        <f t="shared" si="18"/>
      </c>
    </row>
    <row r="866">
      <c r="A866" s="43">
        <f t="shared" si="0"/>
      </c>
      <c r="B866" s="54" t="n"/>
      <c r="C866" s="45" t="n"/>
      <c r="D866" s="50" t="n"/>
      <c r="E866" s="55" t="n"/>
      <c r="F866" s="50" t="n"/>
      <c r="G866" s="55" t="n"/>
      <c r="H866" s="50" t="n"/>
      <c r="I866" s="55" t="n"/>
      <c r="J866" s="50" t="n"/>
      <c r="K866" s="55" t="n"/>
      <c r="L866" s="56" t="n"/>
      <c r="M866" s="57" t="n"/>
      <c r="N866" s="57" t="n"/>
      <c r="O866" s="57" t="n"/>
      <c r="P866" s="57" t="n"/>
      <c r="Q866" s="50" t="n"/>
      <c r="R866" s="58">
        <f t="shared" si="1"/>
      </c>
      <c r="S866" s="59">
        <f t="shared" si="2"/>
      </c>
      <c r="T866" s="43">
        <f t="shared" si="3"/>
      </c>
      <c r="U866" s="60">
        <f t="shared" si="4"/>
      </c>
      <c r="V866" s="60">
        <f t="shared" si="5"/>
      </c>
      <c r="W866" s="60">
        <f t="shared" si="6"/>
      </c>
      <c r="X866" s="49">
        <f t="shared" si="7"/>
      </c>
      <c r="Y866" s="2">
        <f t="shared" si="8"/>
      </c>
      <c r="Z866" s="2">
        <f t="shared" si="9"/>
        <v>0</v>
      </c>
      <c r="AA866" s="2">
        <f t="shared" si="10"/>
        <v>0</v>
      </c>
      <c r="AB866" s="2">
        <f t="shared" si="11"/>
        <v>0</v>
      </c>
      <c r="AC866" s="2">
        <f t="shared" si="12"/>
        <v>0</v>
      </c>
      <c r="AD866" s="2">
        <f t="shared" si="13"/>
        <v>0</v>
      </c>
      <c r="AE866" s="2">
        <f t="shared" si="14"/>
        <v>0</v>
      </c>
      <c r="AF866" s="2">
        <f t="shared" si="15"/>
        <v>0</v>
      </c>
      <c r="AG866" s="2">
        <f t="shared" si="16"/>
        <v>0</v>
      </c>
      <c r="AH866" s="2">
        <f t="shared" si="17"/>
        <v>0</v>
      </c>
      <c r="AI866" s="2">
        <f t="shared" si="18"/>
      </c>
    </row>
    <row r="867">
      <c r="A867" s="43">
        <f t="shared" si="0"/>
      </c>
      <c r="B867" s="54" t="n"/>
      <c r="C867" s="45" t="n"/>
      <c r="D867" s="50" t="n"/>
      <c r="E867" s="55" t="n"/>
      <c r="F867" s="50" t="n"/>
      <c r="G867" s="55" t="n"/>
      <c r="H867" s="50" t="n"/>
      <c r="I867" s="55" t="n"/>
      <c r="J867" s="50" t="n"/>
      <c r="K867" s="55" t="n"/>
      <c r="L867" s="56" t="n"/>
      <c r="M867" s="57" t="n"/>
      <c r="N867" s="57" t="n"/>
      <c r="O867" s="57" t="n"/>
      <c r="P867" s="57" t="n"/>
      <c r="Q867" s="50" t="n"/>
      <c r="R867" s="58">
        <f t="shared" si="1"/>
      </c>
      <c r="S867" s="59">
        <f t="shared" si="2"/>
      </c>
      <c r="T867" s="43">
        <f t="shared" si="3"/>
      </c>
      <c r="U867" s="60">
        <f t="shared" si="4"/>
      </c>
      <c r="V867" s="60">
        <f t="shared" si="5"/>
      </c>
      <c r="W867" s="60">
        <f t="shared" si="6"/>
      </c>
      <c r="X867" s="49">
        <f t="shared" si="7"/>
      </c>
      <c r="Y867" s="2">
        <f t="shared" si="8"/>
      </c>
      <c r="Z867" s="2">
        <f t="shared" si="9"/>
        <v>0</v>
      </c>
      <c r="AA867" s="2">
        <f t="shared" si="10"/>
        <v>0</v>
      </c>
      <c r="AB867" s="2">
        <f t="shared" si="11"/>
        <v>0</v>
      </c>
      <c r="AC867" s="2">
        <f t="shared" si="12"/>
        <v>0</v>
      </c>
      <c r="AD867" s="2">
        <f t="shared" si="13"/>
        <v>0</v>
      </c>
      <c r="AE867" s="2">
        <f t="shared" si="14"/>
        <v>0</v>
      </c>
      <c r="AF867" s="2">
        <f t="shared" si="15"/>
        <v>0</v>
      </c>
      <c r="AG867" s="2">
        <f t="shared" si="16"/>
        <v>0</v>
      </c>
      <c r="AH867" s="2">
        <f t="shared" si="17"/>
        <v>0</v>
      </c>
      <c r="AI867" s="2">
        <f t="shared" si="18"/>
      </c>
    </row>
    <row r="868">
      <c r="A868" s="43">
        <f t="shared" si="0"/>
      </c>
      <c r="B868" s="54" t="n"/>
      <c r="C868" s="45" t="n"/>
      <c r="D868" s="50" t="n"/>
      <c r="E868" s="55" t="n"/>
      <c r="F868" s="50" t="n"/>
      <c r="G868" s="55" t="n"/>
      <c r="H868" s="50" t="n"/>
      <c r="I868" s="55" t="n"/>
      <c r="J868" s="50" t="n"/>
      <c r="K868" s="55" t="n"/>
      <c r="L868" s="56" t="n"/>
      <c r="M868" s="57" t="n"/>
      <c r="N868" s="57" t="n"/>
      <c r="O868" s="57" t="n"/>
      <c r="P868" s="57" t="n"/>
      <c r="Q868" s="50" t="n"/>
      <c r="R868" s="58">
        <f t="shared" si="1"/>
      </c>
      <c r="S868" s="59">
        <f t="shared" si="2"/>
      </c>
      <c r="T868" s="43">
        <f t="shared" si="3"/>
      </c>
      <c r="U868" s="60">
        <f t="shared" si="4"/>
      </c>
      <c r="V868" s="60">
        <f t="shared" si="5"/>
      </c>
      <c r="W868" s="60">
        <f t="shared" si="6"/>
      </c>
      <c r="X868" s="49">
        <f t="shared" si="7"/>
      </c>
      <c r="Y868" s="2">
        <f t="shared" si="8"/>
      </c>
      <c r="Z868" s="2">
        <f t="shared" si="9"/>
        <v>0</v>
      </c>
      <c r="AA868" s="2">
        <f t="shared" si="10"/>
        <v>0</v>
      </c>
      <c r="AB868" s="2">
        <f t="shared" si="11"/>
        <v>0</v>
      </c>
      <c r="AC868" s="2">
        <f t="shared" si="12"/>
        <v>0</v>
      </c>
      <c r="AD868" s="2">
        <f t="shared" si="13"/>
        <v>0</v>
      </c>
      <c r="AE868" s="2">
        <f t="shared" si="14"/>
        <v>0</v>
      </c>
      <c r="AF868" s="2">
        <f t="shared" si="15"/>
        <v>0</v>
      </c>
      <c r="AG868" s="2">
        <f t="shared" si="16"/>
        <v>0</v>
      </c>
      <c r="AH868" s="2">
        <f t="shared" si="17"/>
        <v>0</v>
      </c>
      <c r="AI868" s="2">
        <f t="shared" si="18"/>
      </c>
    </row>
    <row r="869">
      <c r="A869" s="43">
        <f t="shared" si="0"/>
      </c>
      <c r="B869" s="54" t="n"/>
      <c r="C869" s="45" t="n"/>
      <c r="D869" s="50" t="n"/>
      <c r="E869" s="55" t="n"/>
      <c r="F869" s="50" t="n"/>
      <c r="G869" s="55" t="n"/>
      <c r="H869" s="50" t="n"/>
      <c r="I869" s="55" t="n"/>
      <c r="J869" s="50" t="n"/>
      <c r="K869" s="55" t="n"/>
      <c r="L869" s="56" t="n"/>
      <c r="M869" s="57" t="n"/>
      <c r="N869" s="57" t="n"/>
      <c r="O869" s="57" t="n"/>
      <c r="P869" s="57" t="n"/>
      <c r="Q869" s="50" t="n"/>
      <c r="R869" s="58">
        <f t="shared" si="1"/>
      </c>
      <c r="S869" s="59">
        <f t="shared" si="2"/>
      </c>
      <c r="T869" s="43">
        <f t="shared" si="3"/>
      </c>
      <c r="U869" s="60">
        <f t="shared" si="4"/>
      </c>
      <c r="V869" s="60">
        <f t="shared" si="5"/>
      </c>
      <c r="W869" s="60">
        <f t="shared" si="6"/>
      </c>
      <c r="X869" s="49">
        <f t="shared" si="7"/>
      </c>
      <c r="Y869" s="2">
        <f t="shared" si="8"/>
      </c>
      <c r="Z869" s="2">
        <f t="shared" si="9"/>
        <v>0</v>
      </c>
      <c r="AA869" s="2">
        <f t="shared" si="10"/>
        <v>0</v>
      </c>
      <c r="AB869" s="2">
        <f t="shared" si="11"/>
        <v>0</v>
      </c>
      <c r="AC869" s="2">
        <f t="shared" si="12"/>
        <v>0</v>
      </c>
      <c r="AD869" s="2">
        <f t="shared" si="13"/>
        <v>0</v>
      </c>
      <c r="AE869" s="2">
        <f t="shared" si="14"/>
        <v>0</v>
      </c>
      <c r="AF869" s="2">
        <f t="shared" si="15"/>
        <v>0</v>
      </c>
      <c r="AG869" s="2">
        <f t="shared" si="16"/>
        <v>0</v>
      </c>
      <c r="AH869" s="2">
        <f t="shared" si="17"/>
        <v>0</v>
      </c>
      <c r="AI869" s="2">
        <f t="shared" si="18"/>
      </c>
    </row>
    <row r="870">
      <c r="A870" s="43">
        <f t="shared" si="0"/>
      </c>
      <c r="B870" s="54" t="n"/>
      <c r="C870" s="45" t="n"/>
      <c r="D870" s="50" t="n"/>
      <c r="E870" s="55" t="n"/>
      <c r="F870" s="50" t="n"/>
      <c r="G870" s="55" t="n"/>
      <c r="H870" s="50" t="n"/>
      <c r="I870" s="55" t="n"/>
      <c r="J870" s="50" t="n"/>
      <c r="K870" s="55" t="n"/>
      <c r="L870" s="56" t="n"/>
      <c r="M870" s="57" t="n"/>
      <c r="N870" s="57" t="n"/>
      <c r="O870" s="57" t="n"/>
      <c r="P870" s="57" t="n"/>
      <c r="Q870" s="50" t="n"/>
      <c r="R870" s="58">
        <f t="shared" si="1"/>
      </c>
      <c r="S870" s="59">
        <f t="shared" si="2"/>
      </c>
      <c r="T870" s="43">
        <f t="shared" si="3"/>
      </c>
      <c r="U870" s="60">
        <f t="shared" si="4"/>
      </c>
      <c r="V870" s="60">
        <f t="shared" si="5"/>
      </c>
      <c r="W870" s="60">
        <f t="shared" si="6"/>
      </c>
      <c r="X870" s="49">
        <f t="shared" si="7"/>
      </c>
      <c r="Y870" s="2">
        <f t="shared" si="8"/>
      </c>
      <c r="Z870" s="2">
        <f t="shared" si="9"/>
        <v>0</v>
      </c>
      <c r="AA870" s="2">
        <f t="shared" si="10"/>
        <v>0</v>
      </c>
      <c r="AB870" s="2">
        <f t="shared" si="11"/>
        <v>0</v>
      </c>
      <c r="AC870" s="2">
        <f t="shared" si="12"/>
        <v>0</v>
      </c>
      <c r="AD870" s="2">
        <f t="shared" si="13"/>
        <v>0</v>
      </c>
      <c r="AE870" s="2">
        <f t="shared" si="14"/>
        <v>0</v>
      </c>
      <c r="AF870" s="2">
        <f t="shared" si="15"/>
        <v>0</v>
      </c>
      <c r="AG870" s="2">
        <f t="shared" si="16"/>
        <v>0</v>
      </c>
      <c r="AH870" s="2">
        <f t="shared" si="17"/>
        <v>0</v>
      </c>
      <c r="AI870" s="2">
        <f t="shared" si="18"/>
      </c>
    </row>
    <row r="871">
      <c r="A871" s="43">
        <f t="shared" si="0"/>
      </c>
      <c r="B871" s="54" t="n"/>
      <c r="C871" s="45" t="n"/>
      <c r="D871" s="50" t="n"/>
      <c r="E871" s="55" t="n"/>
      <c r="F871" s="50" t="n"/>
      <c r="G871" s="55" t="n"/>
      <c r="H871" s="50" t="n"/>
      <c r="I871" s="55" t="n"/>
      <c r="J871" s="50" t="n"/>
      <c r="K871" s="55" t="n"/>
      <c r="L871" s="56" t="n"/>
      <c r="M871" s="57" t="n"/>
      <c r="N871" s="57" t="n"/>
      <c r="O871" s="57" t="n"/>
      <c r="P871" s="57" t="n"/>
      <c r="Q871" s="50" t="n"/>
      <c r="R871" s="58">
        <f t="shared" si="1"/>
      </c>
      <c r="S871" s="59">
        <f t="shared" si="2"/>
      </c>
      <c r="T871" s="43">
        <f t="shared" si="3"/>
      </c>
      <c r="U871" s="60">
        <f t="shared" si="4"/>
      </c>
      <c r="V871" s="60">
        <f t="shared" si="5"/>
      </c>
      <c r="W871" s="60">
        <f t="shared" si="6"/>
      </c>
      <c r="X871" s="49">
        <f t="shared" si="7"/>
      </c>
      <c r="Y871" s="2">
        <f t="shared" si="8"/>
      </c>
      <c r="Z871" s="2">
        <f t="shared" si="9"/>
        <v>0</v>
      </c>
      <c r="AA871" s="2">
        <f t="shared" si="10"/>
        <v>0</v>
      </c>
      <c r="AB871" s="2">
        <f t="shared" si="11"/>
        <v>0</v>
      </c>
      <c r="AC871" s="2">
        <f t="shared" si="12"/>
        <v>0</v>
      </c>
      <c r="AD871" s="2">
        <f t="shared" si="13"/>
        <v>0</v>
      </c>
      <c r="AE871" s="2">
        <f t="shared" si="14"/>
        <v>0</v>
      </c>
      <c r="AF871" s="2">
        <f t="shared" si="15"/>
        <v>0</v>
      </c>
      <c r="AG871" s="2">
        <f t="shared" si="16"/>
        <v>0</v>
      </c>
      <c r="AH871" s="2">
        <f t="shared" si="17"/>
        <v>0</v>
      </c>
      <c r="AI871" s="2">
        <f t="shared" si="18"/>
      </c>
    </row>
    <row r="872">
      <c r="A872" s="43">
        <f t="shared" si="0"/>
      </c>
      <c r="B872" s="54" t="n"/>
      <c r="C872" s="45" t="n"/>
      <c r="D872" s="50" t="n"/>
      <c r="E872" s="55" t="n"/>
      <c r="F872" s="50" t="n"/>
      <c r="G872" s="55" t="n"/>
      <c r="H872" s="50" t="n"/>
      <c r="I872" s="55" t="n"/>
      <c r="J872" s="50" t="n"/>
      <c r="K872" s="55" t="n"/>
      <c r="L872" s="56" t="n"/>
      <c r="M872" s="57" t="n"/>
      <c r="N872" s="57" t="n"/>
      <c r="O872" s="57" t="n"/>
      <c r="P872" s="57" t="n"/>
      <c r="Q872" s="50" t="n"/>
      <c r="R872" s="58">
        <f t="shared" si="1"/>
      </c>
      <c r="S872" s="59">
        <f t="shared" si="2"/>
      </c>
      <c r="T872" s="43">
        <f t="shared" si="3"/>
      </c>
      <c r="U872" s="60">
        <f t="shared" si="4"/>
      </c>
      <c r="V872" s="60">
        <f t="shared" si="5"/>
      </c>
      <c r="W872" s="60">
        <f t="shared" si="6"/>
      </c>
      <c r="X872" s="49">
        <f t="shared" si="7"/>
      </c>
      <c r="Y872" s="2">
        <f t="shared" si="8"/>
      </c>
      <c r="Z872" s="2">
        <f t="shared" si="9"/>
        <v>0</v>
      </c>
      <c r="AA872" s="2">
        <f t="shared" si="10"/>
        <v>0</v>
      </c>
      <c r="AB872" s="2">
        <f t="shared" si="11"/>
        <v>0</v>
      </c>
      <c r="AC872" s="2">
        <f t="shared" si="12"/>
        <v>0</v>
      </c>
      <c r="AD872" s="2">
        <f t="shared" si="13"/>
        <v>0</v>
      </c>
      <c r="AE872" s="2">
        <f t="shared" si="14"/>
        <v>0</v>
      </c>
      <c r="AF872" s="2">
        <f t="shared" si="15"/>
        <v>0</v>
      </c>
      <c r="AG872" s="2">
        <f t="shared" si="16"/>
        <v>0</v>
      </c>
      <c r="AH872" s="2">
        <f t="shared" si="17"/>
        <v>0</v>
      </c>
      <c r="AI872" s="2">
        <f t="shared" si="18"/>
      </c>
    </row>
    <row r="873">
      <c r="A873" s="43">
        <f t="shared" si="0"/>
      </c>
      <c r="B873" s="54" t="n"/>
      <c r="C873" s="45" t="n"/>
      <c r="D873" s="50" t="n"/>
      <c r="E873" s="55" t="n"/>
      <c r="F873" s="50" t="n"/>
      <c r="G873" s="55" t="n"/>
      <c r="H873" s="50" t="n"/>
      <c r="I873" s="55" t="n"/>
      <c r="J873" s="50" t="n"/>
      <c r="K873" s="55" t="n"/>
      <c r="L873" s="56" t="n"/>
      <c r="M873" s="57" t="n"/>
      <c r="N873" s="57" t="n"/>
      <c r="O873" s="57" t="n"/>
      <c r="P873" s="57" t="n"/>
      <c r="Q873" s="50" t="n"/>
      <c r="R873" s="58">
        <f t="shared" si="1"/>
      </c>
      <c r="S873" s="59">
        <f t="shared" si="2"/>
      </c>
      <c r="T873" s="43">
        <f t="shared" si="3"/>
      </c>
      <c r="U873" s="60">
        <f t="shared" si="4"/>
      </c>
      <c r="V873" s="60">
        <f t="shared" si="5"/>
      </c>
      <c r="W873" s="60">
        <f t="shared" si="6"/>
      </c>
      <c r="X873" s="49">
        <f t="shared" si="7"/>
      </c>
      <c r="Y873" s="2">
        <f t="shared" si="8"/>
      </c>
      <c r="Z873" s="2">
        <f t="shared" si="9"/>
        <v>0</v>
      </c>
      <c r="AA873" s="2">
        <f t="shared" si="10"/>
        <v>0</v>
      </c>
      <c r="AB873" s="2">
        <f t="shared" si="11"/>
        <v>0</v>
      </c>
      <c r="AC873" s="2">
        <f t="shared" si="12"/>
        <v>0</v>
      </c>
      <c r="AD873" s="2">
        <f t="shared" si="13"/>
        <v>0</v>
      </c>
      <c r="AE873" s="2">
        <f t="shared" si="14"/>
        <v>0</v>
      </c>
      <c r="AF873" s="2">
        <f t="shared" si="15"/>
        <v>0</v>
      </c>
      <c r="AG873" s="2">
        <f t="shared" si="16"/>
        <v>0</v>
      </c>
      <c r="AH873" s="2">
        <f t="shared" si="17"/>
        <v>0</v>
      </c>
      <c r="AI873" s="2">
        <f t="shared" si="18"/>
      </c>
    </row>
    <row r="874">
      <c r="A874" s="43">
        <f t="shared" si="0"/>
      </c>
      <c r="B874" s="54" t="n"/>
      <c r="C874" s="45" t="n"/>
      <c r="D874" s="50" t="n"/>
      <c r="E874" s="55" t="n"/>
      <c r="F874" s="50" t="n"/>
      <c r="G874" s="55" t="n"/>
      <c r="H874" s="50" t="n"/>
      <c r="I874" s="55" t="n"/>
      <c r="J874" s="50" t="n"/>
      <c r="K874" s="55" t="n"/>
      <c r="L874" s="56" t="n"/>
      <c r="M874" s="57" t="n"/>
      <c r="N874" s="57" t="n"/>
      <c r="O874" s="57" t="n"/>
      <c r="P874" s="57" t="n"/>
      <c r="Q874" s="50" t="n"/>
      <c r="R874" s="58">
        <f t="shared" si="1"/>
      </c>
      <c r="S874" s="59">
        <f t="shared" si="2"/>
      </c>
      <c r="T874" s="43">
        <f t="shared" si="3"/>
      </c>
      <c r="U874" s="60">
        <f t="shared" si="4"/>
      </c>
      <c r="V874" s="60">
        <f t="shared" si="5"/>
      </c>
      <c r="W874" s="60">
        <f t="shared" si="6"/>
      </c>
      <c r="X874" s="49">
        <f t="shared" si="7"/>
      </c>
      <c r="Y874" s="2">
        <f t="shared" si="8"/>
      </c>
      <c r="Z874" s="2">
        <f t="shared" si="9"/>
        <v>0</v>
      </c>
      <c r="AA874" s="2">
        <f t="shared" si="10"/>
        <v>0</v>
      </c>
      <c r="AB874" s="2">
        <f t="shared" si="11"/>
        <v>0</v>
      </c>
      <c r="AC874" s="2">
        <f t="shared" si="12"/>
        <v>0</v>
      </c>
      <c r="AD874" s="2">
        <f t="shared" si="13"/>
        <v>0</v>
      </c>
      <c r="AE874" s="2">
        <f t="shared" si="14"/>
        <v>0</v>
      </c>
      <c r="AF874" s="2">
        <f t="shared" si="15"/>
        <v>0</v>
      </c>
      <c r="AG874" s="2">
        <f t="shared" si="16"/>
        <v>0</v>
      </c>
      <c r="AH874" s="2">
        <f t="shared" si="17"/>
        <v>0</v>
      </c>
      <c r="AI874" s="2">
        <f t="shared" si="18"/>
      </c>
    </row>
    <row r="875">
      <c r="A875" s="43">
        <f t="shared" si="0"/>
      </c>
      <c r="B875" s="54" t="n"/>
      <c r="C875" s="45" t="n"/>
      <c r="D875" s="50" t="n"/>
      <c r="E875" s="55" t="n"/>
      <c r="F875" s="50" t="n"/>
      <c r="G875" s="55" t="n"/>
      <c r="H875" s="50" t="n"/>
      <c r="I875" s="55" t="n"/>
      <c r="J875" s="50" t="n"/>
      <c r="K875" s="55" t="n"/>
      <c r="L875" s="56" t="n"/>
      <c r="M875" s="57" t="n"/>
      <c r="N875" s="57" t="n"/>
      <c r="O875" s="57" t="n"/>
      <c r="P875" s="57" t="n"/>
      <c r="Q875" s="50" t="n"/>
      <c r="R875" s="58">
        <f t="shared" si="1"/>
      </c>
      <c r="S875" s="59">
        <f t="shared" si="2"/>
      </c>
      <c r="T875" s="43">
        <f t="shared" si="3"/>
      </c>
      <c r="U875" s="60">
        <f t="shared" si="4"/>
      </c>
      <c r="V875" s="60">
        <f t="shared" si="5"/>
      </c>
      <c r="W875" s="60">
        <f t="shared" si="6"/>
      </c>
      <c r="X875" s="49">
        <f t="shared" si="7"/>
      </c>
      <c r="Y875" s="2">
        <f t="shared" si="8"/>
      </c>
      <c r="Z875" s="2">
        <f t="shared" si="9"/>
        <v>0</v>
      </c>
      <c r="AA875" s="2">
        <f t="shared" si="10"/>
        <v>0</v>
      </c>
      <c r="AB875" s="2">
        <f t="shared" si="11"/>
        <v>0</v>
      </c>
      <c r="AC875" s="2">
        <f t="shared" si="12"/>
        <v>0</v>
      </c>
      <c r="AD875" s="2">
        <f t="shared" si="13"/>
        <v>0</v>
      </c>
      <c r="AE875" s="2">
        <f t="shared" si="14"/>
        <v>0</v>
      </c>
      <c r="AF875" s="2">
        <f t="shared" si="15"/>
        <v>0</v>
      </c>
      <c r="AG875" s="2">
        <f t="shared" si="16"/>
        <v>0</v>
      </c>
      <c r="AH875" s="2">
        <f t="shared" si="17"/>
        <v>0</v>
      </c>
      <c r="AI875" s="2">
        <f t="shared" si="18"/>
      </c>
    </row>
    <row r="876">
      <c r="A876" s="43">
        <f t="shared" si="0"/>
      </c>
      <c r="B876" s="54" t="n"/>
      <c r="C876" s="45" t="n"/>
      <c r="D876" s="50" t="n"/>
      <c r="E876" s="55" t="n"/>
      <c r="F876" s="50" t="n"/>
      <c r="G876" s="55" t="n"/>
      <c r="H876" s="50" t="n"/>
      <c r="I876" s="55" t="n"/>
      <c r="J876" s="50" t="n"/>
      <c r="K876" s="55" t="n"/>
      <c r="L876" s="56" t="n"/>
      <c r="M876" s="57" t="n"/>
      <c r="N876" s="57" t="n"/>
      <c r="O876" s="57" t="n"/>
      <c r="P876" s="57" t="n"/>
      <c r="Q876" s="50" t="n"/>
      <c r="R876" s="58">
        <f t="shared" si="1"/>
      </c>
      <c r="S876" s="59">
        <f t="shared" si="2"/>
      </c>
      <c r="T876" s="43">
        <f t="shared" si="3"/>
      </c>
      <c r="U876" s="60">
        <f t="shared" si="4"/>
      </c>
      <c r="V876" s="60">
        <f t="shared" si="5"/>
      </c>
      <c r="W876" s="60">
        <f t="shared" si="6"/>
      </c>
      <c r="X876" s="49">
        <f t="shared" si="7"/>
      </c>
      <c r="Y876" s="2">
        <f t="shared" si="8"/>
      </c>
      <c r="Z876" s="2">
        <f t="shared" si="9"/>
        <v>0</v>
      </c>
      <c r="AA876" s="2">
        <f t="shared" si="10"/>
        <v>0</v>
      </c>
      <c r="AB876" s="2">
        <f t="shared" si="11"/>
        <v>0</v>
      </c>
      <c r="AC876" s="2">
        <f t="shared" si="12"/>
        <v>0</v>
      </c>
      <c r="AD876" s="2">
        <f t="shared" si="13"/>
        <v>0</v>
      </c>
      <c r="AE876" s="2">
        <f t="shared" si="14"/>
        <v>0</v>
      </c>
      <c r="AF876" s="2">
        <f t="shared" si="15"/>
        <v>0</v>
      </c>
      <c r="AG876" s="2">
        <f t="shared" si="16"/>
        <v>0</v>
      </c>
      <c r="AH876" s="2">
        <f t="shared" si="17"/>
        <v>0</v>
      </c>
      <c r="AI876" s="2">
        <f t="shared" si="18"/>
      </c>
    </row>
    <row r="877">
      <c r="A877" s="43">
        <f t="shared" si="0"/>
      </c>
      <c r="B877" s="54" t="n"/>
      <c r="C877" s="45" t="n"/>
      <c r="D877" s="50" t="n"/>
      <c r="E877" s="55" t="n"/>
      <c r="F877" s="50" t="n"/>
      <c r="G877" s="55" t="n"/>
      <c r="H877" s="50" t="n"/>
      <c r="I877" s="55" t="n"/>
      <c r="J877" s="50" t="n"/>
      <c r="K877" s="55" t="n"/>
      <c r="L877" s="56" t="n"/>
      <c r="M877" s="57" t="n"/>
      <c r="N877" s="57" t="n"/>
      <c r="O877" s="57" t="n"/>
      <c r="P877" s="57" t="n"/>
      <c r="Q877" s="50" t="n"/>
      <c r="R877" s="58">
        <f t="shared" si="1"/>
      </c>
      <c r="S877" s="59">
        <f t="shared" si="2"/>
      </c>
      <c r="T877" s="43">
        <f t="shared" si="3"/>
      </c>
      <c r="U877" s="60">
        <f t="shared" si="4"/>
      </c>
      <c r="V877" s="60">
        <f t="shared" si="5"/>
      </c>
      <c r="W877" s="60">
        <f t="shared" si="6"/>
      </c>
      <c r="X877" s="49">
        <f t="shared" si="7"/>
      </c>
      <c r="Y877" s="2">
        <f t="shared" si="8"/>
      </c>
      <c r="Z877" s="2">
        <f t="shared" si="9"/>
        <v>0</v>
      </c>
      <c r="AA877" s="2">
        <f t="shared" si="10"/>
        <v>0</v>
      </c>
      <c r="AB877" s="2">
        <f t="shared" si="11"/>
        <v>0</v>
      </c>
      <c r="AC877" s="2">
        <f t="shared" si="12"/>
        <v>0</v>
      </c>
      <c r="AD877" s="2">
        <f t="shared" si="13"/>
        <v>0</v>
      </c>
      <c r="AE877" s="2">
        <f t="shared" si="14"/>
        <v>0</v>
      </c>
      <c r="AF877" s="2">
        <f t="shared" si="15"/>
        <v>0</v>
      </c>
      <c r="AG877" s="2">
        <f t="shared" si="16"/>
        <v>0</v>
      </c>
      <c r="AH877" s="2">
        <f t="shared" si="17"/>
        <v>0</v>
      </c>
      <c r="AI877" s="2">
        <f t="shared" si="18"/>
      </c>
    </row>
    <row r="878">
      <c r="A878" s="43">
        <f t="shared" si="0"/>
      </c>
      <c r="B878" s="54" t="n"/>
      <c r="C878" s="45" t="n"/>
      <c r="D878" s="50" t="n"/>
      <c r="E878" s="55" t="n"/>
      <c r="F878" s="50" t="n"/>
      <c r="G878" s="55" t="n"/>
      <c r="H878" s="50" t="n"/>
      <c r="I878" s="55" t="n"/>
      <c r="J878" s="50" t="n"/>
      <c r="K878" s="55" t="n"/>
      <c r="L878" s="56" t="n"/>
      <c r="M878" s="57" t="n"/>
      <c r="N878" s="57" t="n"/>
      <c r="O878" s="57" t="n"/>
      <c r="P878" s="57" t="n"/>
      <c r="Q878" s="50" t="n"/>
      <c r="R878" s="58">
        <f t="shared" si="1"/>
      </c>
      <c r="S878" s="59">
        <f t="shared" si="2"/>
      </c>
      <c r="T878" s="43">
        <f t="shared" si="3"/>
      </c>
      <c r="U878" s="60">
        <f t="shared" si="4"/>
      </c>
      <c r="V878" s="60">
        <f t="shared" si="5"/>
      </c>
      <c r="W878" s="60">
        <f t="shared" si="6"/>
      </c>
      <c r="X878" s="49">
        <f t="shared" si="7"/>
      </c>
      <c r="Y878" s="2">
        <f t="shared" si="8"/>
      </c>
      <c r="Z878" s="2">
        <f t="shared" si="9"/>
        <v>0</v>
      </c>
      <c r="AA878" s="2">
        <f t="shared" si="10"/>
        <v>0</v>
      </c>
      <c r="AB878" s="2">
        <f t="shared" si="11"/>
        <v>0</v>
      </c>
      <c r="AC878" s="2">
        <f t="shared" si="12"/>
        <v>0</v>
      </c>
      <c r="AD878" s="2">
        <f t="shared" si="13"/>
        <v>0</v>
      </c>
      <c r="AE878" s="2">
        <f t="shared" si="14"/>
        <v>0</v>
      </c>
      <c r="AF878" s="2">
        <f t="shared" si="15"/>
        <v>0</v>
      </c>
      <c r="AG878" s="2">
        <f t="shared" si="16"/>
        <v>0</v>
      </c>
      <c r="AH878" s="2">
        <f t="shared" si="17"/>
        <v>0</v>
      </c>
      <c r="AI878" s="2">
        <f t="shared" si="18"/>
      </c>
    </row>
    <row r="879">
      <c r="A879" s="43">
        <f t="shared" si="0"/>
      </c>
      <c r="B879" s="54" t="n"/>
      <c r="C879" s="45" t="n"/>
      <c r="D879" s="50" t="n"/>
      <c r="E879" s="55" t="n"/>
      <c r="F879" s="50" t="n"/>
      <c r="G879" s="55" t="n"/>
      <c r="H879" s="50" t="n"/>
      <c r="I879" s="55" t="n"/>
      <c r="J879" s="50" t="n"/>
      <c r="K879" s="55" t="n"/>
      <c r="L879" s="56" t="n"/>
      <c r="M879" s="57" t="n"/>
      <c r="N879" s="57" t="n"/>
      <c r="O879" s="57" t="n"/>
      <c r="P879" s="57" t="n"/>
      <c r="Q879" s="50" t="n"/>
      <c r="R879" s="58">
        <f t="shared" si="1"/>
      </c>
      <c r="S879" s="59">
        <f t="shared" si="2"/>
      </c>
      <c r="T879" s="43">
        <f t="shared" si="3"/>
      </c>
      <c r="U879" s="60">
        <f t="shared" si="4"/>
      </c>
      <c r="V879" s="60">
        <f t="shared" si="5"/>
      </c>
      <c r="W879" s="60">
        <f t="shared" si="6"/>
      </c>
      <c r="X879" s="49">
        <f t="shared" si="7"/>
      </c>
      <c r="Y879" s="2">
        <f t="shared" si="8"/>
      </c>
      <c r="Z879" s="2">
        <f t="shared" si="9"/>
        <v>0</v>
      </c>
      <c r="AA879" s="2">
        <f t="shared" si="10"/>
        <v>0</v>
      </c>
      <c r="AB879" s="2">
        <f t="shared" si="11"/>
        <v>0</v>
      </c>
      <c r="AC879" s="2">
        <f t="shared" si="12"/>
        <v>0</v>
      </c>
      <c r="AD879" s="2">
        <f t="shared" si="13"/>
        <v>0</v>
      </c>
      <c r="AE879" s="2">
        <f t="shared" si="14"/>
        <v>0</v>
      </c>
      <c r="AF879" s="2">
        <f t="shared" si="15"/>
        <v>0</v>
      </c>
      <c r="AG879" s="2">
        <f t="shared" si="16"/>
        <v>0</v>
      </c>
      <c r="AH879" s="2">
        <f t="shared" si="17"/>
        <v>0</v>
      </c>
      <c r="AI879" s="2">
        <f t="shared" si="18"/>
      </c>
    </row>
    <row r="880">
      <c r="A880" s="43">
        <f t="shared" si="0"/>
      </c>
      <c r="B880" s="54" t="n"/>
      <c r="C880" s="45" t="n"/>
      <c r="D880" s="50" t="n"/>
      <c r="E880" s="55" t="n"/>
      <c r="F880" s="50" t="n"/>
      <c r="G880" s="55" t="n"/>
      <c r="H880" s="50" t="n"/>
      <c r="I880" s="55" t="n"/>
      <c r="J880" s="50" t="n"/>
      <c r="K880" s="55" t="n"/>
      <c r="L880" s="56" t="n"/>
      <c r="M880" s="57" t="n"/>
      <c r="N880" s="57" t="n"/>
      <c r="O880" s="57" t="n"/>
      <c r="P880" s="57" t="n"/>
      <c r="Q880" s="50" t="n"/>
      <c r="R880" s="58">
        <f t="shared" si="1"/>
      </c>
      <c r="S880" s="59">
        <f t="shared" si="2"/>
      </c>
      <c r="T880" s="43">
        <f t="shared" si="3"/>
      </c>
      <c r="U880" s="60">
        <f t="shared" si="4"/>
      </c>
      <c r="V880" s="60">
        <f t="shared" si="5"/>
      </c>
      <c r="W880" s="60">
        <f t="shared" si="6"/>
      </c>
      <c r="X880" s="49">
        <f t="shared" si="7"/>
      </c>
      <c r="Y880" s="2">
        <f t="shared" si="8"/>
      </c>
      <c r="Z880" s="2">
        <f t="shared" si="9"/>
        <v>0</v>
      </c>
      <c r="AA880" s="2">
        <f t="shared" si="10"/>
        <v>0</v>
      </c>
      <c r="AB880" s="2">
        <f t="shared" si="11"/>
        <v>0</v>
      </c>
      <c r="AC880" s="2">
        <f t="shared" si="12"/>
        <v>0</v>
      </c>
      <c r="AD880" s="2">
        <f t="shared" si="13"/>
        <v>0</v>
      </c>
      <c r="AE880" s="2">
        <f t="shared" si="14"/>
        <v>0</v>
      </c>
      <c r="AF880" s="2">
        <f t="shared" si="15"/>
        <v>0</v>
      </c>
      <c r="AG880" s="2">
        <f t="shared" si="16"/>
        <v>0</v>
      </c>
      <c r="AH880" s="2">
        <f t="shared" si="17"/>
        <v>0</v>
      </c>
      <c r="AI880" s="2">
        <f t="shared" si="18"/>
      </c>
    </row>
    <row r="881">
      <c r="A881" s="43">
        <f t="shared" si="0"/>
      </c>
      <c r="B881" s="54" t="n"/>
      <c r="C881" s="45" t="n"/>
      <c r="D881" s="50" t="n"/>
      <c r="E881" s="55" t="n"/>
      <c r="F881" s="50" t="n"/>
      <c r="G881" s="55" t="n"/>
      <c r="H881" s="50" t="n"/>
      <c r="I881" s="55" t="n"/>
      <c r="J881" s="50" t="n"/>
      <c r="K881" s="55" t="n"/>
      <c r="L881" s="56" t="n"/>
      <c r="M881" s="57" t="n"/>
      <c r="N881" s="57" t="n"/>
      <c r="O881" s="57" t="n"/>
      <c r="P881" s="57" t="n"/>
      <c r="Q881" s="50" t="n"/>
      <c r="R881" s="58">
        <f t="shared" si="1"/>
      </c>
      <c r="S881" s="59">
        <f t="shared" si="2"/>
      </c>
      <c r="T881" s="43">
        <f t="shared" si="3"/>
      </c>
      <c r="U881" s="60">
        <f t="shared" si="4"/>
      </c>
      <c r="V881" s="60">
        <f t="shared" si="5"/>
      </c>
      <c r="W881" s="60">
        <f t="shared" si="6"/>
      </c>
      <c r="X881" s="49">
        <f t="shared" si="7"/>
      </c>
      <c r="Y881" s="2">
        <f t="shared" si="8"/>
      </c>
      <c r="Z881" s="2">
        <f t="shared" si="9"/>
        <v>0</v>
      </c>
      <c r="AA881" s="2">
        <f t="shared" si="10"/>
        <v>0</v>
      </c>
      <c r="AB881" s="2">
        <f t="shared" si="11"/>
        <v>0</v>
      </c>
      <c r="AC881" s="2">
        <f t="shared" si="12"/>
        <v>0</v>
      </c>
      <c r="AD881" s="2">
        <f t="shared" si="13"/>
        <v>0</v>
      </c>
      <c r="AE881" s="2">
        <f t="shared" si="14"/>
        <v>0</v>
      </c>
      <c r="AF881" s="2">
        <f t="shared" si="15"/>
        <v>0</v>
      </c>
      <c r="AG881" s="2">
        <f t="shared" si="16"/>
        <v>0</v>
      </c>
      <c r="AH881" s="2">
        <f t="shared" si="17"/>
        <v>0</v>
      </c>
      <c r="AI881" s="2">
        <f t="shared" si="18"/>
      </c>
    </row>
    <row r="882">
      <c r="A882" s="43">
        <f t="shared" si="0"/>
      </c>
      <c r="B882" s="54" t="n"/>
      <c r="C882" s="45" t="n"/>
      <c r="D882" s="50" t="n"/>
      <c r="E882" s="55" t="n"/>
      <c r="F882" s="50" t="n"/>
      <c r="G882" s="55" t="n"/>
      <c r="H882" s="50" t="n"/>
      <c r="I882" s="55" t="n"/>
      <c r="J882" s="50" t="n"/>
      <c r="K882" s="55" t="n"/>
      <c r="L882" s="56" t="n"/>
      <c r="M882" s="57" t="n"/>
      <c r="N882" s="57" t="n"/>
      <c r="O882" s="57" t="n"/>
      <c r="P882" s="57" t="n"/>
      <c r="Q882" s="50" t="n"/>
      <c r="R882" s="58">
        <f t="shared" si="1"/>
      </c>
      <c r="S882" s="59">
        <f t="shared" si="2"/>
      </c>
      <c r="T882" s="43">
        <f t="shared" si="3"/>
      </c>
      <c r="U882" s="60">
        <f t="shared" si="4"/>
      </c>
      <c r="V882" s="60">
        <f t="shared" si="5"/>
      </c>
      <c r="W882" s="60">
        <f t="shared" si="6"/>
      </c>
      <c r="X882" s="49">
        <f t="shared" si="7"/>
      </c>
      <c r="Y882" s="2">
        <f t="shared" si="8"/>
      </c>
      <c r="Z882" s="2">
        <f t="shared" si="9"/>
        <v>0</v>
      </c>
      <c r="AA882" s="2">
        <f t="shared" si="10"/>
        <v>0</v>
      </c>
      <c r="AB882" s="2">
        <f t="shared" si="11"/>
        <v>0</v>
      </c>
      <c r="AC882" s="2">
        <f t="shared" si="12"/>
        <v>0</v>
      </c>
      <c r="AD882" s="2">
        <f t="shared" si="13"/>
        <v>0</v>
      </c>
      <c r="AE882" s="2">
        <f t="shared" si="14"/>
        <v>0</v>
      </c>
      <c r="AF882" s="2">
        <f t="shared" si="15"/>
        <v>0</v>
      </c>
      <c r="AG882" s="2">
        <f t="shared" si="16"/>
        <v>0</v>
      </c>
      <c r="AH882" s="2">
        <f t="shared" si="17"/>
        <v>0</v>
      </c>
      <c r="AI882" s="2">
        <f t="shared" si="18"/>
      </c>
    </row>
    <row r="883">
      <c r="A883" s="43">
        <f t="shared" si="0"/>
      </c>
      <c r="B883" s="54" t="n"/>
      <c r="C883" s="45" t="n"/>
      <c r="D883" s="50" t="n"/>
      <c r="E883" s="55" t="n"/>
      <c r="F883" s="50" t="n"/>
      <c r="G883" s="55" t="n"/>
      <c r="H883" s="50" t="n"/>
      <c r="I883" s="55" t="n"/>
      <c r="J883" s="50" t="n"/>
      <c r="K883" s="55" t="n"/>
      <c r="L883" s="56" t="n"/>
      <c r="M883" s="57" t="n"/>
      <c r="N883" s="57" t="n"/>
      <c r="O883" s="57" t="n"/>
      <c r="P883" s="57" t="n"/>
      <c r="Q883" s="50" t="n"/>
      <c r="R883" s="58">
        <f t="shared" si="1"/>
      </c>
      <c r="S883" s="59">
        <f t="shared" si="2"/>
      </c>
      <c r="T883" s="43">
        <f t="shared" si="3"/>
      </c>
      <c r="U883" s="60">
        <f t="shared" si="4"/>
      </c>
      <c r="V883" s="60">
        <f t="shared" si="5"/>
      </c>
      <c r="W883" s="60">
        <f t="shared" si="6"/>
      </c>
      <c r="X883" s="49">
        <f t="shared" si="7"/>
      </c>
      <c r="Y883" s="2">
        <f t="shared" si="8"/>
      </c>
      <c r="Z883" s="2">
        <f t="shared" si="9"/>
        <v>0</v>
      </c>
      <c r="AA883" s="2">
        <f t="shared" si="10"/>
        <v>0</v>
      </c>
      <c r="AB883" s="2">
        <f t="shared" si="11"/>
        <v>0</v>
      </c>
      <c r="AC883" s="2">
        <f t="shared" si="12"/>
        <v>0</v>
      </c>
      <c r="AD883" s="2">
        <f t="shared" si="13"/>
        <v>0</v>
      </c>
      <c r="AE883" s="2">
        <f t="shared" si="14"/>
        <v>0</v>
      </c>
      <c r="AF883" s="2">
        <f t="shared" si="15"/>
        <v>0</v>
      </c>
      <c r="AG883" s="2">
        <f t="shared" si="16"/>
        <v>0</v>
      </c>
      <c r="AH883" s="2">
        <f t="shared" si="17"/>
        <v>0</v>
      </c>
      <c r="AI883" s="2">
        <f t="shared" si="18"/>
      </c>
    </row>
    <row r="884">
      <c r="A884" s="43">
        <f t="shared" si="0"/>
      </c>
      <c r="B884" s="54" t="n"/>
      <c r="C884" s="45" t="n"/>
      <c r="D884" s="50" t="n"/>
      <c r="E884" s="55" t="n"/>
      <c r="F884" s="50" t="n"/>
      <c r="G884" s="55" t="n"/>
      <c r="H884" s="50" t="n"/>
      <c r="I884" s="55" t="n"/>
      <c r="J884" s="50" t="n"/>
      <c r="K884" s="55" t="n"/>
      <c r="L884" s="56" t="n"/>
      <c r="M884" s="57" t="n"/>
      <c r="N884" s="57" t="n"/>
      <c r="O884" s="57" t="n"/>
      <c r="P884" s="57" t="n"/>
      <c r="Q884" s="50" t="n"/>
      <c r="R884" s="58">
        <f t="shared" si="1"/>
      </c>
      <c r="S884" s="59">
        <f t="shared" si="2"/>
      </c>
      <c r="T884" s="43">
        <f t="shared" si="3"/>
      </c>
      <c r="U884" s="60">
        <f t="shared" si="4"/>
      </c>
      <c r="V884" s="60">
        <f t="shared" si="5"/>
      </c>
      <c r="W884" s="60">
        <f t="shared" si="6"/>
      </c>
      <c r="X884" s="49">
        <f t="shared" si="7"/>
      </c>
      <c r="Y884" s="2">
        <f t="shared" si="8"/>
      </c>
      <c r="Z884" s="2">
        <f t="shared" si="9"/>
        <v>0</v>
      </c>
      <c r="AA884" s="2">
        <f t="shared" si="10"/>
        <v>0</v>
      </c>
      <c r="AB884" s="2">
        <f t="shared" si="11"/>
        <v>0</v>
      </c>
      <c r="AC884" s="2">
        <f t="shared" si="12"/>
        <v>0</v>
      </c>
      <c r="AD884" s="2">
        <f t="shared" si="13"/>
        <v>0</v>
      </c>
      <c r="AE884" s="2">
        <f t="shared" si="14"/>
        <v>0</v>
      </c>
      <c r="AF884" s="2">
        <f t="shared" si="15"/>
        <v>0</v>
      </c>
      <c r="AG884" s="2">
        <f t="shared" si="16"/>
        <v>0</v>
      </c>
      <c r="AH884" s="2">
        <f t="shared" si="17"/>
        <v>0</v>
      </c>
      <c r="AI884" s="2">
        <f t="shared" si="18"/>
      </c>
    </row>
    <row r="885">
      <c r="A885" s="43">
        <f t="shared" si="0"/>
      </c>
      <c r="B885" s="54" t="n"/>
      <c r="C885" s="45" t="n"/>
      <c r="D885" s="50" t="n"/>
      <c r="E885" s="55" t="n"/>
      <c r="F885" s="50" t="n"/>
      <c r="G885" s="55" t="n"/>
      <c r="H885" s="50" t="n"/>
      <c r="I885" s="55" t="n"/>
      <c r="J885" s="50" t="n"/>
      <c r="K885" s="55" t="n"/>
      <c r="L885" s="56" t="n"/>
      <c r="M885" s="57" t="n"/>
      <c r="N885" s="57" t="n"/>
      <c r="O885" s="57" t="n"/>
      <c r="P885" s="57" t="n"/>
      <c r="Q885" s="50" t="n"/>
      <c r="R885" s="58">
        <f t="shared" si="1"/>
      </c>
      <c r="S885" s="59">
        <f t="shared" si="2"/>
      </c>
      <c r="T885" s="43">
        <f t="shared" si="3"/>
      </c>
      <c r="U885" s="60">
        <f t="shared" si="4"/>
      </c>
      <c r="V885" s="60">
        <f t="shared" si="5"/>
      </c>
      <c r="W885" s="60">
        <f t="shared" si="6"/>
      </c>
      <c r="X885" s="49">
        <f t="shared" si="7"/>
      </c>
      <c r="Y885" s="2">
        <f t="shared" si="8"/>
      </c>
      <c r="Z885" s="2">
        <f t="shared" si="9"/>
        <v>0</v>
      </c>
      <c r="AA885" s="2">
        <f t="shared" si="10"/>
        <v>0</v>
      </c>
      <c r="AB885" s="2">
        <f t="shared" si="11"/>
        <v>0</v>
      </c>
      <c r="AC885" s="2">
        <f t="shared" si="12"/>
        <v>0</v>
      </c>
      <c r="AD885" s="2">
        <f t="shared" si="13"/>
        <v>0</v>
      </c>
      <c r="AE885" s="2">
        <f t="shared" si="14"/>
        <v>0</v>
      </c>
      <c r="AF885" s="2">
        <f t="shared" si="15"/>
        <v>0</v>
      </c>
      <c r="AG885" s="2">
        <f t="shared" si="16"/>
        <v>0</v>
      </c>
      <c r="AH885" s="2">
        <f t="shared" si="17"/>
        <v>0</v>
      </c>
      <c r="AI885" s="2">
        <f t="shared" si="18"/>
      </c>
    </row>
    <row r="886">
      <c r="A886" s="43">
        <f t="shared" si="0"/>
      </c>
      <c r="B886" s="54" t="n"/>
      <c r="C886" s="45" t="n"/>
      <c r="D886" s="50" t="n"/>
      <c r="E886" s="55" t="n"/>
      <c r="F886" s="50" t="n"/>
      <c r="G886" s="55" t="n"/>
      <c r="H886" s="50" t="n"/>
      <c r="I886" s="55" t="n"/>
      <c r="J886" s="50" t="n"/>
      <c r="K886" s="55" t="n"/>
      <c r="L886" s="56" t="n"/>
      <c r="M886" s="57" t="n"/>
      <c r="N886" s="57" t="n"/>
      <c r="O886" s="57" t="n"/>
      <c r="P886" s="57" t="n"/>
      <c r="Q886" s="50" t="n"/>
      <c r="R886" s="58">
        <f t="shared" si="1"/>
      </c>
      <c r="S886" s="59">
        <f t="shared" si="2"/>
      </c>
      <c r="T886" s="43">
        <f t="shared" si="3"/>
      </c>
      <c r="U886" s="60">
        <f t="shared" si="4"/>
      </c>
      <c r="V886" s="60">
        <f t="shared" si="5"/>
      </c>
      <c r="W886" s="60">
        <f t="shared" si="6"/>
      </c>
      <c r="X886" s="49">
        <f t="shared" si="7"/>
      </c>
      <c r="Y886" s="2">
        <f t="shared" si="8"/>
      </c>
      <c r="Z886" s="2">
        <f t="shared" si="9"/>
        <v>0</v>
      </c>
      <c r="AA886" s="2">
        <f t="shared" si="10"/>
        <v>0</v>
      </c>
      <c r="AB886" s="2">
        <f t="shared" si="11"/>
        <v>0</v>
      </c>
      <c r="AC886" s="2">
        <f t="shared" si="12"/>
        <v>0</v>
      </c>
      <c r="AD886" s="2">
        <f t="shared" si="13"/>
        <v>0</v>
      </c>
      <c r="AE886" s="2">
        <f t="shared" si="14"/>
        <v>0</v>
      </c>
      <c r="AF886" s="2">
        <f t="shared" si="15"/>
        <v>0</v>
      </c>
      <c r="AG886" s="2">
        <f t="shared" si="16"/>
        <v>0</v>
      </c>
      <c r="AH886" s="2">
        <f t="shared" si="17"/>
        <v>0</v>
      </c>
      <c r="AI886" s="2">
        <f t="shared" si="18"/>
      </c>
    </row>
    <row r="887">
      <c r="A887" s="43">
        <f t="shared" si="0"/>
      </c>
      <c r="B887" s="54" t="n"/>
      <c r="C887" s="45" t="n"/>
      <c r="D887" s="50" t="n"/>
      <c r="E887" s="55" t="n"/>
      <c r="F887" s="50" t="n"/>
      <c r="G887" s="55" t="n"/>
      <c r="H887" s="50" t="n"/>
      <c r="I887" s="55" t="n"/>
      <c r="J887" s="50" t="n"/>
      <c r="K887" s="55" t="n"/>
      <c r="L887" s="56" t="n"/>
      <c r="M887" s="57" t="n"/>
      <c r="N887" s="57" t="n"/>
      <c r="O887" s="57" t="n"/>
      <c r="P887" s="57" t="n"/>
      <c r="Q887" s="50" t="n"/>
      <c r="R887" s="58">
        <f t="shared" si="1"/>
      </c>
      <c r="S887" s="59">
        <f t="shared" si="2"/>
      </c>
      <c r="T887" s="43">
        <f t="shared" si="3"/>
      </c>
      <c r="U887" s="60">
        <f t="shared" si="4"/>
      </c>
      <c r="V887" s="60">
        <f t="shared" si="5"/>
      </c>
      <c r="W887" s="60">
        <f t="shared" si="6"/>
      </c>
      <c r="X887" s="49">
        <f t="shared" si="7"/>
      </c>
      <c r="Y887" s="2">
        <f t="shared" si="8"/>
      </c>
      <c r="Z887" s="2">
        <f t="shared" si="9"/>
        <v>0</v>
      </c>
      <c r="AA887" s="2">
        <f t="shared" si="10"/>
        <v>0</v>
      </c>
      <c r="AB887" s="2">
        <f t="shared" si="11"/>
        <v>0</v>
      </c>
      <c r="AC887" s="2">
        <f t="shared" si="12"/>
        <v>0</v>
      </c>
      <c r="AD887" s="2">
        <f t="shared" si="13"/>
        <v>0</v>
      </c>
      <c r="AE887" s="2">
        <f t="shared" si="14"/>
        <v>0</v>
      </c>
      <c r="AF887" s="2">
        <f t="shared" si="15"/>
        <v>0</v>
      </c>
      <c r="AG887" s="2">
        <f t="shared" si="16"/>
        <v>0</v>
      </c>
      <c r="AH887" s="2">
        <f t="shared" si="17"/>
        <v>0</v>
      </c>
      <c r="AI887" s="2">
        <f t="shared" si="18"/>
      </c>
    </row>
    <row r="888">
      <c r="A888" s="43">
        <f t="shared" si="0"/>
      </c>
      <c r="B888" s="54" t="n"/>
      <c r="C888" s="45" t="n"/>
      <c r="D888" s="50" t="n"/>
      <c r="E888" s="55" t="n"/>
      <c r="F888" s="50" t="n"/>
      <c r="G888" s="55" t="n"/>
      <c r="H888" s="50" t="n"/>
      <c r="I888" s="55" t="n"/>
      <c r="J888" s="50" t="n"/>
      <c r="K888" s="55" t="n"/>
      <c r="L888" s="56" t="n"/>
      <c r="M888" s="57" t="n"/>
      <c r="N888" s="57" t="n"/>
      <c r="O888" s="57" t="n"/>
      <c r="P888" s="57" t="n"/>
      <c r="Q888" s="50" t="n"/>
      <c r="R888" s="58">
        <f t="shared" si="1"/>
      </c>
      <c r="S888" s="59">
        <f t="shared" si="2"/>
      </c>
      <c r="T888" s="43">
        <f t="shared" si="3"/>
      </c>
      <c r="U888" s="60">
        <f t="shared" si="4"/>
      </c>
      <c r="V888" s="60">
        <f t="shared" si="5"/>
      </c>
      <c r="W888" s="60">
        <f t="shared" si="6"/>
      </c>
      <c r="X888" s="49">
        <f t="shared" si="7"/>
      </c>
      <c r="Y888" s="2">
        <f t="shared" si="8"/>
      </c>
      <c r="Z888" s="2">
        <f t="shared" si="9"/>
        <v>0</v>
      </c>
      <c r="AA888" s="2">
        <f t="shared" si="10"/>
        <v>0</v>
      </c>
      <c r="AB888" s="2">
        <f t="shared" si="11"/>
        <v>0</v>
      </c>
      <c r="AC888" s="2">
        <f t="shared" si="12"/>
        <v>0</v>
      </c>
      <c r="AD888" s="2">
        <f t="shared" si="13"/>
        <v>0</v>
      </c>
      <c r="AE888" s="2">
        <f t="shared" si="14"/>
        <v>0</v>
      </c>
      <c r="AF888" s="2">
        <f t="shared" si="15"/>
        <v>0</v>
      </c>
      <c r="AG888" s="2">
        <f t="shared" si="16"/>
        <v>0</v>
      </c>
      <c r="AH888" s="2">
        <f t="shared" si="17"/>
        <v>0</v>
      </c>
      <c r="AI888" s="2">
        <f t="shared" si="18"/>
      </c>
    </row>
    <row r="889">
      <c r="A889" s="43">
        <f t="shared" si="0"/>
      </c>
      <c r="B889" s="54" t="n"/>
      <c r="C889" s="45" t="n"/>
      <c r="D889" s="50" t="n"/>
      <c r="E889" s="55" t="n"/>
      <c r="F889" s="50" t="n"/>
      <c r="G889" s="55" t="n"/>
      <c r="H889" s="50" t="n"/>
      <c r="I889" s="55" t="n"/>
      <c r="J889" s="50" t="n"/>
      <c r="K889" s="55" t="n"/>
      <c r="L889" s="56" t="n"/>
      <c r="M889" s="57" t="n"/>
      <c r="N889" s="57" t="n"/>
      <c r="O889" s="57" t="n"/>
      <c r="P889" s="57" t="n"/>
      <c r="Q889" s="50" t="n"/>
      <c r="R889" s="58">
        <f t="shared" si="1"/>
      </c>
      <c r="S889" s="59">
        <f t="shared" si="2"/>
      </c>
      <c r="T889" s="43">
        <f t="shared" si="3"/>
      </c>
      <c r="U889" s="60">
        <f t="shared" si="4"/>
      </c>
      <c r="V889" s="60">
        <f t="shared" si="5"/>
      </c>
      <c r="W889" s="60">
        <f t="shared" si="6"/>
      </c>
      <c r="X889" s="49">
        <f t="shared" si="7"/>
      </c>
      <c r="Y889" s="2">
        <f t="shared" si="8"/>
      </c>
      <c r="Z889" s="2">
        <f t="shared" si="9"/>
        <v>0</v>
      </c>
      <c r="AA889" s="2">
        <f t="shared" si="10"/>
        <v>0</v>
      </c>
      <c r="AB889" s="2">
        <f t="shared" si="11"/>
        <v>0</v>
      </c>
      <c r="AC889" s="2">
        <f t="shared" si="12"/>
        <v>0</v>
      </c>
      <c r="AD889" s="2">
        <f t="shared" si="13"/>
        <v>0</v>
      </c>
      <c r="AE889" s="2">
        <f t="shared" si="14"/>
        <v>0</v>
      </c>
      <c r="AF889" s="2">
        <f t="shared" si="15"/>
        <v>0</v>
      </c>
      <c r="AG889" s="2">
        <f t="shared" si="16"/>
        <v>0</v>
      </c>
      <c r="AH889" s="2">
        <f t="shared" si="17"/>
        <v>0</v>
      </c>
      <c r="AI889" s="2">
        <f t="shared" si="18"/>
      </c>
    </row>
    <row r="890">
      <c r="A890" s="43">
        <f t="shared" si="0"/>
      </c>
      <c r="B890" s="54" t="n"/>
      <c r="C890" s="45" t="n"/>
      <c r="D890" s="50" t="n"/>
      <c r="E890" s="55" t="n"/>
      <c r="F890" s="50" t="n"/>
      <c r="G890" s="55" t="n"/>
      <c r="H890" s="50" t="n"/>
      <c r="I890" s="55" t="n"/>
      <c r="J890" s="50" t="n"/>
      <c r="K890" s="55" t="n"/>
      <c r="L890" s="56" t="n"/>
      <c r="M890" s="57" t="n"/>
      <c r="N890" s="57" t="n"/>
      <c r="O890" s="57" t="n"/>
      <c r="P890" s="57" t="n"/>
      <c r="Q890" s="50" t="n"/>
      <c r="R890" s="58">
        <f t="shared" si="1"/>
      </c>
      <c r="S890" s="59">
        <f t="shared" si="2"/>
      </c>
      <c r="T890" s="43">
        <f t="shared" si="3"/>
      </c>
      <c r="U890" s="60">
        <f t="shared" si="4"/>
      </c>
      <c r="V890" s="60">
        <f t="shared" si="5"/>
      </c>
      <c r="W890" s="60">
        <f t="shared" si="6"/>
      </c>
      <c r="X890" s="49">
        <f t="shared" si="7"/>
      </c>
      <c r="Y890" s="2">
        <f t="shared" si="8"/>
      </c>
      <c r="Z890" s="2">
        <f t="shared" si="9"/>
        <v>0</v>
      </c>
      <c r="AA890" s="2">
        <f t="shared" si="10"/>
        <v>0</v>
      </c>
      <c r="AB890" s="2">
        <f t="shared" si="11"/>
        <v>0</v>
      </c>
      <c r="AC890" s="2">
        <f t="shared" si="12"/>
        <v>0</v>
      </c>
      <c r="AD890" s="2">
        <f t="shared" si="13"/>
        <v>0</v>
      </c>
      <c r="AE890" s="2">
        <f t="shared" si="14"/>
        <v>0</v>
      </c>
      <c r="AF890" s="2">
        <f t="shared" si="15"/>
        <v>0</v>
      </c>
      <c r="AG890" s="2">
        <f t="shared" si="16"/>
        <v>0</v>
      </c>
      <c r="AH890" s="2">
        <f t="shared" si="17"/>
        <v>0</v>
      </c>
      <c r="AI890" s="2">
        <f t="shared" si="18"/>
      </c>
    </row>
    <row r="891">
      <c r="A891" s="43">
        <f t="shared" si="0"/>
      </c>
      <c r="B891" s="54" t="n"/>
      <c r="C891" s="45" t="n"/>
      <c r="D891" s="50" t="n"/>
      <c r="E891" s="55" t="n"/>
      <c r="F891" s="50" t="n"/>
      <c r="G891" s="55" t="n"/>
      <c r="H891" s="50" t="n"/>
      <c r="I891" s="55" t="n"/>
      <c r="J891" s="50" t="n"/>
      <c r="K891" s="55" t="n"/>
      <c r="L891" s="56" t="n"/>
      <c r="M891" s="57" t="n"/>
      <c r="N891" s="57" t="n"/>
      <c r="O891" s="57" t="n"/>
      <c r="P891" s="57" t="n"/>
      <c r="Q891" s="50" t="n"/>
      <c r="R891" s="58">
        <f t="shared" si="1"/>
      </c>
      <c r="S891" s="59">
        <f t="shared" si="2"/>
      </c>
      <c r="T891" s="43">
        <f t="shared" si="3"/>
      </c>
      <c r="U891" s="60">
        <f t="shared" si="4"/>
      </c>
      <c r="V891" s="60">
        <f t="shared" si="5"/>
      </c>
      <c r="W891" s="60">
        <f t="shared" si="6"/>
      </c>
      <c r="X891" s="49">
        <f t="shared" si="7"/>
      </c>
      <c r="Y891" s="2">
        <f t="shared" si="8"/>
      </c>
      <c r="Z891" s="2">
        <f t="shared" si="9"/>
        <v>0</v>
      </c>
      <c r="AA891" s="2">
        <f t="shared" si="10"/>
        <v>0</v>
      </c>
      <c r="AB891" s="2">
        <f t="shared" si="11"/>
        <v>0</v>
      </c>
      <c r="AC891" s="2">
        <f t="shared" si="12"/>
        <v>0</v>
      </c>
      <c r="AD891" s="2">
        <f t="shared" si="13"/>
        <v>0</v>
      </c>
      <c r="AE891" s="2">
        <f t="shared" si="14"/>
        <v>0</v>
      </c>
      <c r="AF891" s="2">
        <f t="shared" si="15"/>
        <v>0</v>
      </c>
      <c r="AG891" s="2">
        <f t="shared" si="16"/>
        <v>0</v>
      </c>
      <c r="AH891" s="2">
        <f t="shared" si="17"/>
        <v>0</v>
      </c>
      <c r="AI891" s="2">
        <f t="shared" si="18"/>
      </c>
    </row>
    <row r="892">
      <c r="A892" s="43">
        <f t="shared" si="0"/>
      </c>
      <c r="B892" s="54" t="n"/>
      <c r="C892" s="45" t="n"/>
      <c r="D892" s="50" t="n"/>
      <c r="E892" s="55" t="n"/>
      <c r="F892" s="50" t="n"/>
      <c r="G892" s="55" t="n"/>
      <c r="H892" s="50" t="n"/>
      <c r="I892" s="55" t="n"/>
      <c r="J892" s="50" t="n"/>
      <c r="K892" s="55" t="n"/>
      <c r="L892" s="56" t="n"/>
      <c r="M892" s="57" t="n"/>
      <c r="N892" s="57" t="n"/>
      <c r="O892" s="57" t="n"/>
      <c r="P892" s="57" t="n"/>
      <c r="Q892" s="50" t="n"/>
      <c r="R892" s="58">
        <f t="shared" si="1"/>
      </c>
      <c r="S892" s="59">
        <f t="shared" si="2"/>
      </c>
      <c r="T892" s="43">
        <f t="shared" si="3"/>
      </c>
      <c r="U892" s="60">
        <f t="shared" si="4"/>
      </c>
      <c r="V892" s="60">
        <f t="shared" si="5"/>
      </c>
      <c r="W892" s="60">
        <f t="shared" si="6"/>
      </c>
      <c r="X892" s="49">
        <f t="shared" si="7"/>
      </c>
      <c r="Y892" s="2">
        <f t="shared" si="8"/>
      </c>
      <c r="Z892" s="2">
        <f t="shared" si="9"/>
        <v>0</v>
      </c>
      <c r="AA892" s="2">
        <f t="shared" si="10"/>
        <v>0</v>
      </c>
      <c r="AB892" s="2">
        <f t="shared" si="11"/>
        <v>0</v>
      </c>
      <c r="AC892" s="2">
        <f t="shared" si="12"/>
        <v>0</v>
      </c>
      <c r="AD892" s="2">
        <f t="shared" si="13"/>
        <v>0</v>
      </c>
      <c r="AE892" s="2">
        <f t="shared" si="14"/>
        <v>0</v>
      </c>
      <c r="AF892" s="2">
        <f t="shared" si="15"/>
        <v>0</v>
      </c>
      <c r="AG892" s="2">
        <f t="shared" si="16"/>
        <v>0</v>
      </c>
      <c r="AH892" s="2">
        <f t="shared" si="17"/>
        <v>0</v>
      </c>
      <c r="AI892" s="2">
        <f t="shared" si="18"/>
      </c>
    </row>
    <row r="893">
      <c r="A893" s="43">
        <f t="shared" si="0"/>
      </c>
      <c r="B893" s="54" t="n"/>
      <c r="C893" s="45" t="n"/>
      <c r="D893" s="50" t="n"/>
      <c r="E893" s="55" t="n"/>
      <c r="F893" s="50" t="n"/>
      <c r="G893" s="55" t="n"/>
      <c r="H893" s="50" t="n"/>
      <c r="I893" s="55" t="n"/>
      <c r="J893" s="50" t="n"/>
      <c r="K893" s="55" t="n"/>
      <c r="L893" s="56" t="n"/>
      <c r="M893" s="57" t="n"/>
      <c r="N893" s="57" t="n"/>
      <c r="O893" s="57" t="n"/>
      <c r="P893" s="57" t="n"/>
      <c r="Q893" s="50" t="n"/>
      <c r="R893" s="58">
        <f t="shared" si="1"/>
      </c>
      <c r="S893" s="59">
        <f t="shared" si="2"/>
      </c>
      <c r="T893" s="43">
        <f t="shared" si="3"/>
      </c>
      <c r="U893" s="60">
        <f t="shared" si="4"/>
      </c>
      <c r="V893" s="60">
        <f t="shared" si="5"/>
      </c>
      <c r="W893" s="60">
        <f t="shared" si="6"/>
      </c>
      <c r="X893" s="49">
        <f t="shared" si="7"/>
      </c>
      <c r="Y893" s="2">
        <f t="shared" si="8"/>
      </c>
      <c r="Z893" s="2">
        <f t="shared" si="9"/>
        <v>0</v>
      </c>
      <c r="AA893" s="2">
        <f t="shared" si="10"/>
        <v>0</v>
      </c>
      <c r="AB893" s="2">
        <f t="shared" si="11"/>
        <v>0</v>
      </c>
      <c r="AC893" s="2">
        <f t="shared" si="12"/>
        <v>0</v>
      </c>
      <c r="AD893" s="2">
        <f t="shared" si="13"/>
        <v>0</v>
      </c>
      <c r="AE893" s="2">
        <f t="shared" si="14"/>
        <v>0</v>
      </c>
      <c r="AF893" s="2">
        <f t="shared" si="15"/>
        <v>0</v>
      </c>
      <c r="AG893" s="2">
        <f t="shared" si="16"/>
        <v>0</v>
      </c>
      <c r="AH893" s="2">
        <f t="shared" si="17"/>
        <v>0</v>
      </c>
      <c r="AI893" s="2">
        <f t="shared" si="18"/>
      </c>
    </row>
    <row r="894">
      <c r="A894" s="43">
        <f t="shared" si="0"/>
      </c>
      <c r="B894" s="54" t="n"/>
      <c r="C894" s="45" t="n"/>
      <c r="D894" s="50" t="n"/>
      <c r="E894" s="55" t="n"/>
      <c r="F894" s="50" t="n"/>
      <c r="G894" s="55" t="n"/>
      <c r="H894" s="50" t="n"/>
      <c r="I894" s="55" t="n"/>
      <c r="J894" s="50" t="n"/>
      <c r="K894" s="55" t="n"/>
      <c r="L894" s="56" t="n"/>
      <c r="M894" s="57" t="n"/>
      <c r="N894" s="57" t="n"/>
      <c r="O894" s="57" t="n"/>
      <c r="P894" s="57" t="n"/>
      <c r="Q894" s="50" t="n"/>
      <c r="R894" s="58">
        <f t="shared" si="1"/>
      </c>
      <c r="S894" s="59">
        <f t="shared" si="2"/>
      </c>
      <c r="T894" s="43">
        <f t="shared" si="3"/>
      </c>
      <c r="U894" s="60">
        <f t="shared" si="4"/>
      </c>
      <c r="V894" s="60">
        <f t="shared" si="5"/>
      </c>
      <c r="W894" s="60">
        <f t="shared" si="6"/>
      </c>
      <c r="X894" s="49">
        <f t="shared" si="7"/>
      </c>
      <c r="Y894" s="2">
        <f t="shared" si="8"/>
      </c>
      <c r="Z894" s="2">
        <f t="shared" si="9"/>
        <v>0</v>
      </c>
      <c r="AA894" s="2">
        <f t="shared" si="10"/>
        <v>0</v>
      </c>
      <c r="AB894" s="2">
        <f t="shared" si="11"/>
        <v>0</v>
      </c>
      <c r="AC894" s="2">
        <f t="shared" si="12"/>
        <v>0</v>
      </c>
      <c r="AD894" s="2">
        <f t="shared" si="13"/>
        <v>0</v>
      </c>
      <c r="AE894" s="2">
        <f t="shared" si="14"/>
        <v>0</v>
      </c>
      <c r="AF894" s="2">
        <f t="shared" si="15"/>
        <v>0</v>
      </c>
      <c r="AG894" s="2">
        <f t="shared" si="16"/>
        <v>0</v>
      </c>
      <c r="AH894" s="2">
        <f t="shared" si="17"/>
        <v>0</v>
      </c>
      <c r="AI894" s="2">
        <f t="shared" si="18"/>
      </c>
    </row>
    <row r="895">
      <c r="A895" s="43">
        <f t="shared" si="0"/>
      </c>
      <c r="B895" s="54" t="n"/>
      <c r="C895" s="45" t="n"/>
      <c r="D895" s="50" t="n"/>
      <c r="E895" s="55" t="n"/>
      <c r="F895" s="50" t="n"/>
      <c r="G895" s="55" t="n"/>
      <c r="H895" s="50" t="n"/>
      <c r="I895" s="55" t="n"/>
      <c r="J895" s="50" t="n"/>
      <c r="K895" s="55" t="n"/>
      <c r="L895" s="56" t="n"/>
      <c r="M895" s="57" t="n"/>
      <c r="N895" s="57" t="n"/>
      <c r="O895" s="57" t="n"/>
      <c r="P895" s="57" t="n"/>
      <c r="Q895" s="50" t="n"/>
      <c r="R895" s="58">
        <f t="shared" si="1"/>
      </c>
      <c r="S895" s="59">
        <f t="shared" si="2"/>
      </c>
      <c r="T895" s="43">
        <f t="shared" si="3"/>
      </c>
      <c r="U895" s="60">
        <f t="shared" si="4"/>
      </c>
      <c r="V895" s="60">
        <f t="shared" si="5"/>
      </c>
      <c r="W895" s="60">
        <f t="shared" si="6"/>
      </c>
      <c r="X895" s="49">
        <f t="shared" si="7"/>
      </c>
      <c r="Y895" s="2">
        <f t="shared" si="8"/>
      </c>
      <c r="Z895" s="2">
        <f t="shared" si="9"/>
        <v>0</v>
      </c>
      <c r="AA895" s="2">
        <f t="shared" si="10"/>
        <v>0</v>
      </c>
      <c r="AB895" s="2">
        <f t="shared" si="11"/>
        <v>0</v>
      </c>
      <c r="AC895" s="2">
        <f t="shared" si="12"/>
        <v>0</v>
      </c>
      <c r="AD895" s="2">
        <f t="shared" si="13"/>
        <v>0</v>
      </c>
      <c r="AE895" s="2">
        <f t="shared" si="14"/>
        <v>0</v>
      </c>
      <c r="AF895" s="2">
        <f t="shared" si="15"/>
        <v>0</v>
      </c>
      <c r="AG895" s="2">
        <f t="shared" si="16"/>
        <v>0</v>
      </c>
      <c r="AH895" s="2">
        <f t="shared" si="17"/>
        <v>0</v>
      </c>
      <c r="AI895" s="2">
        <f t="shared" si="18"/>
      </c>
    </row>
    <row r="896">
      <c r="A896" s="43">
        <f t="shared" si="0"/>
      </c>
      <c r="B896" s="54" t="n"/>
      <c r="C896" s="45" t="n"/>
      <c r="D896" s="50" t="n"/>
      <c r="E896" s="55" t="n"/>
      <c r="F896" s="50" t="n"/>
      <c r="G896" s="55" t="n"/>
      <c r="H896" s="50" t="n"/>
      <c r="I896" s="55" t="n"/>
      <c r="J896" s="50" t="n"/>
      <c r="K896" s="55" t="n"/>
      <c r="L896" s="56" t="n"/>
      <c r="M896" s="57" t="n"/>
      <c r="N896" s="57" t="n"/>
      <c r="O896" s="57" t="n"/>
      <c r="P896" s="57" t="n"/>
      <c r="Q896" s="50" t="n"/>
      <c r="R896" s="58">
        <f t="shared" si="1"/>
      </c>
      <c r="S896" s="59">
        <f t="shared" si="2"/>
      </c>
      <c r="T896" s="43">
        <f t="shared" si="3"/>
      </c>
      <c r="U896" s="60">
        <f t="shared" si="4"/>
      </c>
      <c r="V896" s="60">
        <f t="shared" si="5"/>
      </c>
      <c r="W896" s="60">
        <f t="shared" si="6"/>
      </c>
      <c r="X896" s="49">
        <f t="shared" si="7"/>
      </c>
      <c r="Y896" s="2">
        <f t="shared" si="8"/>
      </c>
      <c r="Z896" s="2">
        <f t="shared" si="9"/>
        <v>0</v>
      </c>
      <c r="AA896" s="2">
        <f t="shared" si="10"/>
        <v>0</v>
      </c>
      <c r="AB896" s="2">
        <f t="shared" si="11"/>
        <v>0</v>
      </c>
      <c r="AC896" s="2">
        <f t="shared" si="12"/>
        <v>0</v>
      </c>
      <c r="AD896" s="2">
        <f t="shared" si="13"/>
        <v>0</v>
      </c>
      <c r="AE896" s="2">
        <f t="shared" si="14"/>
        <v>0</v>
      </c>
      <c r="AF896" s="2">
        <f t="shared" si="15"/>
        <v>0</v>
      </c>
      <c r="AG896" s="2">
        <f t="shared" si="16"/>
        <v>0</v>
      </c>
      <c r="AH896" s="2">
        <f t="shared" si="17"/>
        <v>0</v>
      </c>
      <c r="AI896" s="2">
        <f t="shared" si="18"/>
      </c>
    </row>
    <row r="897">
      <c r="A897" s="43">
        <f t="shared" si="0"/>
      </c>
      <c r="B897" s="54" t="n"/>
      <c r="C897" s="45" t="n"/>
      <c r="D897" s="50" t="n"/>
      <c r="E897" s="55" t="n"/>
      <c r="F897" s="50" t="n"/>
      <c r="G897" s="55" t="n"/>
      <c r="H897" s="50" t="n"/>
      <c r="I897" s="55" t="n"/>
      <c r="J897" s="50" t="n"/>
      <c r="K897" s="55" t="n"/>
      <c r="L897" s="56" t="n"/>
      <c r="M897" s="57" t="n"/>
      <c r="N897" s="57" t="n"/>
      <c r="O897" s="57" t="n"/>
      <c r="P897" s="57" t="n"/>
      <c r="Q897" s="50" t="n"/>
      <c r="R897" s="58">
        <f t="shared" si="1"/>
      </c>
      <c r="S897" s="59">
        <f t="shared" si="2"/>
      </c>
      <c r="T897" s="43">
        <f t="shared" si="3"/>
      </c>
      <c r="U897" s="60">
        <f t="shared" si="4"/>
      </c>
      <c r="V897" s="60">
        <f t="shared" si="5"/>
      </c>
      <c r="W897" s="60">
        <f t="shared" si="6"/>
      </c>
      <c r="X897" s="49">
        <f t="shared" si="7"/>
      </c>
      <c r="Y897" s="2">
        <f t="shared" si="8"/>
      </c>
      <c r="Z897" s="2">
        <f t="shared" si="9"/>
        <v>0</v>
      </c>
      <c r="AA897" s="2">
        <f t="shared" si="10"/>
        <v>0</v>
      </c>
      <c r="AB897" s="2">
        <f t="shared" si="11"/>
        <v>0</v>
      </c>
      <c r="AC897" s="2">
        <f t="shared" si="12"/>
        <v>0</v>
      </c>
      <c r="AD897" s="2">
        <f t="shared" si="13"/>
        <v>0</v>
      </c>
      <c r="AE897" s="2">
        <f t="shared" si="14"/>
        <v>0</v>
      </c>
      <c r="AF897" s="2">
        <f t="shared" si="15"/>
        <v>0</v>
      </c>
      <c r="AG897" s="2">
        <f t="shared" si="16"/>
        <v>0</v>
      </c>
      <c r="AH897" s="2">
        <f t="shared" si="17"/>
        <v>0</v>
      </c>
      <c r="AI897" s="2">
        <f t="shared" si="18"/>
      </c>
    </row>
    <row r="898">
      <c r="A898" s="43">
        <f t="shared" si="0"/>
      </c>
      <c r="B898" s="54" t="n"/>
      <c r="C898" s="45" t="n"/>
      <c r="D898" s="50" t="n"/>
      <c r="E898" s="55" t="n"/>
      <c r="F898" s="50" t="n"/>
      <c r="G898" s="55" t="n"/>
      <c r="H898" s="50" t="n"/>
      <c r="I898" s="55" t="n"/>
      <c r="J898" s="50" t="n"/>
      <c r="K898" s="55" t="n"/>
      <c r="L898" s="56" t="n"/>
      <c r="M898" s="57" t="n"/>
      <c r="N898" s="57" t="n"/>
      <c r="O898" s="57" t="n"/>
      <c r="P898" s="57" t="n"/>
      <c r="Q898" s="50" t="n"/>
      <c r="R898" s="58">
        <f t="shared" si="1"/>
      </c>
      <c r="S898" s="59">
        <f t="shared" si="2"/>
      </c>
      <c r="T898" s="43">
        <f t="shared" si="3"/>
      </c>
      <c r="U898" s="60">
        <f t="shared" si="4"/>
      </c>
      <c r="V898" s="60">
        <f t="shared" si="5"/>
      </c>
      <c r="W898" s="60">
        <f t="shared" si="6"/>
      </c>
      <c r="X898" s="49">
        <f t="shared" si="7"/>
      </c>
      <c r="Y898" s="2">
        <f t="shared" si="8"/>
      </c>
      <c r="Z898" s="2">
        <f t="shared" si="9"/>
        <v>0</v>
      </c>
      <c r="AA898" s="2">
        <f t="shared" si="10"/>
        <v>0</v>
      </c>
      <c r="AB898" s="2">
        <f t="shared" si="11"/>
        <v>0</v>
      </c>
      <c r="AC898" s="2">
        <f t="shared" si="12"/>
        <v>0</v>
      </c>
      <c r="AD898" s="2">
        <f t="shared" si="13"/>
        <v>0</v>
      </c>
      <c r="AE898" s="2">
        <f t="shared" si="14"/>
        <v>0</v>
      </c>
      <c r="AF898" s="2">
        <f t="shared" si="15"/>
        <v>0</v>
      </c>
      <c r="AG898" s="2">
        <f t="shared" si="16"/>
        <v>0</v>
      </c>
      <c r="AH898" s="2">
        <f t="shared" si="17"/>
        <v>0</v>
      </c>
      <c r="AI898" s="2">
        <f t="shared" si="18"/>
      </c>
    </row>
    <row r="899">
      <c r="A899" s="43">
        <f t="shared" si="0"/>
      </c>
      <c r="B899" s="54" t="n"/>
      <c r="C899" s="45" t="n"/>
      <c r="D899" s="50" t="n"/>
      <c r="E899" s="55" t="n"/>
      <c r="F899" s="50" t="n"/>
      <c r="G899" s="55" t="n"/>
      <c r="H899" s="50" t="n"/>
      <c r="I899" s="55" t="n"/>
      <c r="J899" s="50" t="n"/>
      <c r="K899" s="55" t="n"/>
      <c r="L899" s="56" t="n"/>
      <c r="M899" s="57" t="n"/>
      <c r="N899" s="57" t="n"/>
      <c r="O899" s="57" t="n"/>
      <c r="P899" s="57" t="n"/>
      <c r="Q899" s="50" t="n"/>
      <c r="R899" s="58">
        <f t="shared" si="1"/>
      </c>
      <c r="S899" s="59">
        <f t="shared" si="2"/>
      </c>
      <c r="T899" s="43">
        <f t="shared" si="3"/>
      </c>
      <c r="U899" s="60">
        <f t="shared" si="4"/>
      </c>
      <c r="V899" s="60">
        <f t="shared" si="5"/>
      </c>
      <c r="W899" s="60">
        <f t="shared" si="6"/>
      </c>
      <c r="X899" s="49">
        <f t="shared" si="7"/>
      </c>
      <c r="Y899" s="2">
        <f t="shared" si="8"/>
      </c>
      <c r="Z899" s="2">
        <f t="shared" si="9"/>
        <v>0</v>
      </c>
      <c r="AA899" s="2">
        <f t="shared" si="10"/>
        <v>0</v>
      </c>
      <c r="AB899" s="2">
        <f t="shared" si="11"/>
        <v>0</v>
      </c>
      <c r="AC899" s="2">
        <f t="shared" si="12"/>
        <v>0</v>
      </c>
      <c r="AD899" s="2">
        <f t="shared" si="13"/>
        <v>0</v>
      </c>
      <c r="AE899" s="2">
        <f t="shared" si="14"/>
        <v>0</v>
      </c>
      <c r="AF899" s="2">
        <f t="shared" si="15"/>
        <v>0</v>
      </c>
      <c r="AG899" s="2">
        <f t="shared" si="16"/>
        <v>0</v>
      </c>
      <c r="AH899" s="2">
        <f t="shared" si="17"/>
        <v>0</v>
      </c>
      <c r="AI899" s="2">
        <f t="shared" si="18"/>
      </c>
    </row>
    <row r="900">
      <c r="A900" s="43">
        <f t="shared" si="0"/>
      </c>
      <c r="B900" s="54" t="n"/>
      <c r="C900" s="45" t="n"/>
      <c r="D900" s="50" t="n"/>
      <c r="E900" s="55" t="n"/>
      <c r="F900" s="50" t="n"/>
      <c r="G900" s="55" t="n"/>
      <c r="H900" s="50" t="n"/>
      <c r="I900" s="55" t="n"/>
      <c r="J900" s="50" t="n"/>
      <c r="K900" s="55" t="n"/>
      <c r="L900" s="56" t="n"/>
      <c r="M900" s="57" t="n"/>
      <c r="N900" s="57" t="n"/>
      <c r="O900" s="57" t="n"/>
      <c r="P900" s="57" t="n"/>
      <c r="Q900" s="50" t="n"/>
      <c r="R900" s="58">
        <f t="shared" si="1"/>
      </c>
      <c r="S900" s="59">
        <f t="shared" si="2"/>
      </c>
      <c r="T900" s="43">
        <f t="shared" si="3"/>
      </c>
      <c r="U900" s="60">
        <f t="shared" si="4"/>
      </c>
      <c r="V900" s="60">
        <f t="shared" si="5"/>
      </c>
      <c r="W900" s="60">
        <f t="shared" si="6"/>
      </c>
      <c r="X900" s="49">
        <f t="shared" si="7"/>
      </c>
      <c r="Y900" s="2">
        <f t="shared" si="8"/>
      </c>
      <c r="Z900" s="2">
        <f t="shared" si="9"/>
        <v>0</v>
      </c>
      <c r="AA900" s="2">
        <f t="shared" si="10"/>
        <v>0</v>
      </c>
      <c r="AB900" s="2">
        <f t="shared" si="11"/>
        <v>0</v>
      </c>
      <c r="AC900" s="2">
        <f t="shared" si="12"/>
        <v>0</v>
      </c>
      <c r="AD900" s="2">
        <f t="shared" si="13"/>
        <v>0</v>
      </c>
      <c r="AE900" s="2">
        <f t="shared" si="14"/>
        <v>0</v>
      </c>
      <c r="AF900" s="2">
        <f t="shared" si="15"/>
        <v>0</v>
      </c>
      <c r="AG900" s="2">
        <f t="shared" si="16"/>
        <v>0</v>
      </c>
      <c r="AH900" s="2">
        <f t="shared" si="17"/>
        <v>0</v>
      </c>
      <c r="AI900" s="2">
        <f t="shared" si="18"/>
      </c>
    </row>
    <row r="901">
      <c r="A901" s="43">
        <f t="shared" si="0"/>
      </c>
      <c r="B901" s="54" t="n"/>
      <c r="C901" s="45" t="n"/>
      <c r="D901" s="50" t="n"/>
      <c r="E901" s="55" t="n"/>
      <c r="F901" s="50" t="n"/>
      <c r="G901" s="55" t="n"/>
      <c r="H901" s="50" t="n"/>
      <c r="I901" s="55" t="n"/>
      <c r="J901" s="50" t="n"/>
      <c r="K901" s="55" t="n"/>
      <c r="L901" s="56" t="n"/>
      <c r="M901" s="57" t="n"/>
      <c r="N901" s="57" t="n"/>
      <c r="O901" s="57" t="n"/>
      <c r="P901" s="57" t="n"/>
      <c r="Q901" s="50" t="n"/>
      <c r="R901" s="58">
        <f t="shared" si="1"/>
      </c>
      <c r="S901" s="59">
        <f t="shared" si="2"/>
      </c>
      <c r="T901" s="43">
        <f t="shared" si="3"/>
      </c>
      <c r="U901" s="60">
        <f t="shared" si="4"/>
      </c>
      <c r="V901" s="60">
        <f t="shared" si="5"/>
      </c>
      <c r="W901" s="60">
        <f t="shared" si="6"/>
      </c>
      <c r="X901" s="49">
        <f t="shared" si="7"/>
      </c>
      <c r="Y901" s="2">
        <f t="shared" si="8"/>
      </c>
      <c r="Z901" s="2">
        <f t="shared" si="9"/>
        <v>0</v>
      </c>
      <c r="AA901" s="2">
        <f t="shared" si="10"/>
        <v>0</v>
      </c>
      <c r="AB901" s="2">
        <f t="shared" si="11"/>
        <v>0</v>
      </c>
      <c r="AC901" s="2">
        <f t="shared" si="12"/>
        <v>0</v>
      </c>
      <c r="AD901" s="2">
        <f t="shared" si="13"/>
        <v>0</v>
      </c>
      <c r="AE901" s="2">
        <f t="shared" si="14"/>
        <v>0</v>
      </c>
      <c r="AF901" s="2">
        <f t="shared" si="15"/>
        <v>0</v>
      </c>
      <c r="AG901" s="2">
        <f t="shared" si="16"/>
        <v>0</v>
      </c>
      <c r="AH901" s="2">
        <f t="shared" si="17"/>
        <v>0</v>
      </c>
      <c r="AI901" s="2">
        <f t="shared" si="18"/>
      </c>
    </row>
    <row r="902">
      <c r="A902" s="43">
        <f t="shared" si="0"/>
      </c>
      <c r="B902" s="54" t="n"/>
      <c r="C902" s="45" t="n"/>
      <c r="D902" s="50" t="n"/>
      <c r="E902" s="55" t="n"/>
      <c r="F902" s="50" t="n"/>
      <c r="G902" s="55" t="n"/>
      <c r="H902" s="50" t="n"/>
      <c r="I902" s="55" t="n"/>
      <c r="J902" s="50" t="n"/>
      <c r="K902" s="55" t="n"/>
      <c r="L902" s="56" t="n"/>
      <c r="M902" s="57" t="n"/>
      <c r="N902" s="57" t="n"/>
      <c r="O902" s="57" t="n"/>
      <c r="P902" s="57" t="n"/>
      <c r="Q902" s="50" t="n"/>
      <c r="R902" s="58">
        <f t="shared" si="1"/>
      </c>
      <c r="S902" s="59">
        <f t="shared" si="2"/>
      </c>
      <c r="T902" s="43">
        <f t="shared" si="3"/>
      </c>
      <c r="U902" s="60">
        <f t="shared" si="4"/>
      </c>
      <c r="V902" s="60">
        <f t="shared" si="5"/>
      </c>
      <c r="W902" s="60">
        <f t="shared" si="6"/>
      </c>
      <c r="X902" s="49">
        <f t="shared" si="7"/>
      </c>
      <c r="Y902" s="2">
        <f t="shared" si="8"/>
      </c>
      <c r="Z902" s="2">
        <f t="shared" si="9"/>
        <v>0</v>
      </c>
      <c r="AA902" s="2">
        <f t="shared" si="10"/>
        <v>0</v>
      </c>
      <c r="AB902" s="2">
        <f t="shared" si="11"/>
        <v>0</v>
      </c>
      <c r="AC902" s="2">
        <f t="shared" si="12"/>
        <v>0</v>
      </c>
      <c r="AD902" s="2">
        <f t="shared" si="13"/>
        <v>0</v>
      </c>
      <c r="AE902" s="2">
        <f t="shared" si="14"/>
        <v>0</v>
      </c>
      <c r="AF902" s="2">
        <f t="shared" si="15"/>
        <v>0</v>
      </c>
      <c r="AG902" s="2">
        <f t="shared" si="16"/>
        <v>0</v>
      </c>
      <c r="AH902" s="2">
        <f t="shared" si="17"/>
        <v>0</v>
      </c>
      <c r="AI902" s="2">
        <f t="shared" si="18"/>
      </c>
    </row>
    <row r="903">
      <c r="A903" s="43">
        <f t="shared" si="0"/>
      </c>
      <c r="B903" s="54" t="n"/>
      <c r="C903" s="45" t="n"/>
      <c r="D903" s="50" t="n"/>
      <c r="E903" s="55" t="n"/>
      <c r="F903" s="50" t="n"/>
      <c r="G903" s="55" t="n"/>
      <c r="H903" s="50" t="n"/>
      <c r="I903" s="55" t="n"/>
      <c r="J903" s="50" t="n"/>
      <c r="K903" s="55" t="n"/>
      <c r="L903" s="56" t="n"/>
      <c r="M903" s="57" t="n"/>
      <c r="N903" s="57" t="n"/>
      <c r="O903" s="57" t="n"/>
      <c r="P903" s="57" t="n"/>
      <c r="Q903" s="50" t="n"/>
      <c r="R903" s="58">
        <f t="shared" si="1"/>
      </c>
      <c r="S903" s="59">
        <f t="shared" si="2"/>
      </c>
      <c r="T903" s="43">
        <f t="shared" si="3"/>
      </c>
      <c r="U903" s="60">
        <f t="shared" si="4"/>
      </c>
      <c r="V903" s="60">
        <f t="shared" si="5"/>
      </c>
      <c r="W903" s="60">
        <f t="shared" si="6"/>
      </c>
      <c r="X903" s="49">
        <f t="shared" si="7"/>
      </c>
      <c r="Y903" s="2">
        <f t="shared" si="8"/>
      </c>
      <c r="Z903" s="2">
        <f t="shared" si="9"/>
        <v>0</v>
      </c>
      <c r="AA903" s="2">
        <f t="shared" si="10"/>
        <v>0</v>
      </c>
      <c r="AB903" s="2">
        <f t="shared" si="11"/>
        <v>0</v>
      </c>
      <c r="AC903" s="2">
        <f t="shared" si="12"/>
        <v>0</v>
      </c>
      <c r="AD903" s="2">
        <f t="shared" si="13"/>
        <v>0</v>
      </c>
      <c r="AE903" s="2">
        <f t="shared" si="14"/>
        <v>0</v>
      </c>
      <c r="AF903" s="2">
        <f t="shared" si="15"/>
        <v>0</v>
      </c>
      <c r="AG903" s="2">
        <f t="shared" si="16"/>
        <v>0</v>
      </c>
      <c r="AH903" s="2">
        <f t="shared" si="17"/>
        <v>0</v>
      </c>
      <c r="AI903" s="2">
        <f t="shared" si="18"/>
      </c>
    </row>
    <row r="904">
      <c r="A904" s="43">
        <f t="shared" si="0"/>
      </c>
      <c r="B904" s="54" t="n"/>
      <c r="C904" s="45" t="n"/>
      <c r="D904" s="50" t="n"/>
      <c r="E904" s="55" t="n"/>
      <c r="F904" s="50" t="n"/>
      <c r="G904" s="55" t="n"/>
      <c r="H904" s="50" t="n"/>
      <c r="I904" s="55" t="n"/>
      <c r="J904" s="50" t="n"/>
      <c r="K904" s="55" t="n"/>
      <c r="L904" s="56" t="n"/>
      <c r="M904" s="57" t="n"/>
      <c r="N904" s="57" t="n"/>
      <c r="O904" s="57" t="n"/>
      <c r="P904" s="57" t="n"/>
      <c r="Q904" s="50" t="n"/>
      <c r="R904" s="58">
        <f t="shared" si="1"/>
      </c>
      <c r="S904" s="59">
        <f t="shared" si="2"/>
      </c>
      <c r="T904" s="43">
        <f t="shared" si="3"/>
      </c>
      <c r="U904" s="60">
        <f t="shared" si="4"/>
      </c>
      <c r="V904" s="60">
        <f t="shared" si="5"/>
      </c>
      <c r="W904" s="60">
        <f t="shared" si="6"/>
      </c>
      <c r="X904" s="49">
        <f t="shared" si="7"/>
      </c>
      <c r="Y904" s="2">
        <f t="shared" si="8"/>
      </c>
      <c r="Z904" s="2">
        <f t="shared" si="9"/>
        <v>0</v>
      </c>
      <c r="AA904" s="2">
        <f t="shared" si="10"/>
        <v>0</v>
      </c>
      <c r="AB904" s="2">
        <f t="shared" si="11"/>
        <v>0</v>
      </c>
      <c r="AC904" s="2">
        <f t="shared" si="12"/>
        <v>0</v>
      </c>
      <c r="AD904" s="2">
        <f t="shared" si="13"/>
        <v>0</v>
      </c>
      <c r="AE904" s="2">
        <f t="shared" si="14"/>
        <v>0</v>
      </c>
      <c r="AF904" s="2">
        <f t="shared" si="15"/>
        <v>0</v>
      </c>
      <c r="AG904" s="2">
        <f t="shared" si="16"/>
        <v>0</v>
      </c>
      <c r="AH904" s="2">
        <f t="shared" si="17"/>
        <v>0</v>
      </c>
      <c r="AI904" s="2">
        <f t="shared" si="18"/>
      </c>
    </row>
    <row r="905">
      <c r="A905" s="43">
        <f t="shared" si="0"/>
      </c>
      <c r="B905" s="54" t="n"/>
      <c r="C905" s="45" t="n"/>
      <c r="D905" s="50" t="n"/>
      <c r="E905" s="55" t="n"/>
      <c r="F905" s="50" t="n"/>
      <c r="G905" s="55" t="n"/>
      <c r="H905" s="50" t="n"/>
      <c r="I905" s="55" t="n"/>
      <c r="J905" s="50" t="n"/>
      <c r="K905" s="55" t="n"/>
      <c r="L905" s="56" t="n"/>
      <c r="M905" s="57" t="n"/>
      <c r="N905" s="57" t="n"/>
      <c r="O905" s="57" t="n"/>
      <c r="P905" s="57" t="n"/>
      <c r="Q905" s="50" t="n"/>
      <c r="R905" s="58">
        <f t="shared" si="1"/>
      </c>
      <c r="S905" s="59">
        <f t="shared" si="2"/>
      </c>
      <c r="T905" s="43">
        <f t="shared" si="3"/>
      </c>
      <c r="U905" s="60">
        <f t="shared" si="4"/>
      </c>
      <c r="V905" s="60">
        <f t="shared" si="5"/>
      </c>
      <c r="W905" s="60">
        <f t="shared" si="6"/>
      </c>
      <c r="X905" s="49">
        <f t="shared" si="7"/>
      </c>
      <c r="Y905" s="2">
        <f t="shared" si="8"/>
      </c>
      <c r="Z905" s="2">
        <f t="shared" si="9"/>
        <v>0</v>
      </c>
      <c r="AA905" s="2">
        <f t="shared" si="10"/>
        <v>0</v>
      </c>
      <c r="AB905" s="2">
        <f t="shared" si="11"/>
        <v>0</v>
      </c>
      <c r="AC905" s="2">
        <f t="shared" si="12"/>
        <v>0</v>
      </c>
      <c r="AD905" s="2">
        <f t="shared" si="13"/>
        <v>0</v>
      </c>
      <c r="AE905" s="2">
        <f t="shared" si="14"/>
        <v>0</v>
      </c>
      <c r="AF905" s="2">
        <f t="shared" si="15"/>
        <v>0</v>
      </c>
      <c r="AG905" s="2">
        <f t="shared" si="16"/>
        <v>0</v>
      </c>
      <c r="AH905" s="2">
        <f t="shared" si="17"/>
        <v>0</v>
      </c>
      <c r="AI905" s="2">
        <f t="shared" si="18"/>
      </c>
    </row>
    <row r="906">
      <c r="A906" s="43">
        <f t="shared" si="0"/>
      </c>
      <c r="B906" s="54" t="n"/>
      <c r="C906" s="45" t="n"/>
      <c r="D906" s="50" t="n"/>
      <c r="E906" s="55" t="n"/>
      <c r="F906" s="50" t="n"/>
      <c r="G906" s="55" t="n"/>
      <c r="H906" s="50" t="n"/>
      <c r="I906" s="55" t="n"/>
      <c r="J906" s="50" t="n"/>
      <c r="K906" s="55" t="n"/>
      <c r="L906" s="56" t="n"/>
      <c r="M906" s="57" t="n"/>
      <c r="N906" s="57" t="n"/>
      <c r="O906" s="57" t="n"/>
      <c r="P906" s="57" t="n"/>
      <c r="Q906" s="50" t="n"/>
      <c r="R906" s="58">
        <f t="shared" si="1"/>
      </c>
      <c r="S906" s="59">
        <f t="shared" si="2"/>
      </c>
      <c r="T906" s="43">
        <f t="shared" si="3"/>
      </c>
      <c r="U906" s="60">
        <f t="shared" si="4"/>
      </c>
      <c r="V906" s="60">
        <f t="shared" si="5"/>
      </c>
      <c r="W906" s="60">
        <f t="shared" si="6"/>
      </c>
      <c r="X906" s="49">
        <f t="shared" si="7"/>
      </c>
      <c r="Y906" s="2">
        <f t="shared" si="8"/>
      </c>
      <c r="Z906" s="2">
        <f t="shared" si="9"/>
        <v>0</v>
      </c>
      <c r="AA906" s="2">
        <f t="shared" si="10"/>
        <v>0</v>
      </c>
      <c r="AB906" s="2">
        <f t="shared" si="11"/>
        <v>0</v>
      </c>
      <c r="AC906" s="2">
        <f t="shared" si="12"/>
        <v>0</v>
      </c>
      <c r="AD906" s="2">
        <f t="shared" si="13"/>
        <v>0</v>
      </c>
      <c r="AE906" s="2">
        <f t="shared" si="14"/>
        <v>0</v>
      </c>
      <c r="AF906" s="2">
        <f t="shared" si="15"/>
        <v>0</v>
      </c>
      <c r="AG906" s="2">
        <f t="shared" si="16"/>
        <v>0</v>
      </c>
      <c r="AH906" s="2">
        <f t="shared" si="17"/>
        <v>0</v>
      </c>
      <c r="AI906" s="2">
        <f t="shared" si="18"/>
      </c>
    </row>
    <row r="907">
      <c r="A907" s="43">
        <f t="shared" si="0"/>
      </c>
      <c r="B907" s="54" t="n"/>
      <c r="C907" s="45" t="n"/>
      <c r="D907" s="50" t="n"/>
      <c r="E907" s="55" t="n"/>
      <c r="F907" s="50" t="n"/>
      <c r="G907" s="55" t="n"/>
      <c r="H907" s="50" t="n"/>
      <c r="I907" s="55" t="n"/>
      <c r="J907" s="50" t="n"/>
      <c r="K907" s="55" t="n"/>
      <c r="L907" s="56" t="n"/>
      <c r="M907" s="57" t="n"/>
      <c r="N907" s="57" t="n"/>
      <c r="O907" s="57" t="n"/>
      <c r="P907" s="57" t="n"/>
      <c r="Q907" s="50" t="n"/>
      <c r="R907" s="58">
        <f t="shared" si="1"/>
      </c>
      <c r="S907" s="59">
        <f t="shared" si="2"/>
      </c>
      <c r="T907" s="43">
        <f t="shared" si="3"/>
      </c>
      <c r="U907" s="60">
        <f t="shared" si="4"/>
      </c>
      <c r="V907" s="60">
        <f t="shared" si="5"/>
      </c>
      <c r="W907" s="60">
        <f t="shared" si="6"/>
      </c>
      <c r="X907" s="49">
        <f t="shared" si="7"/>
      </c>
      <c r="Y907" s="2">
        <f t="shared" si="8"/>
      </c>
      <c r="Z907" s="2">
        <f t="shared" si="9"/>
        <v>0</v>
      </c>
      <c r="AA907" s="2">
        <f t="shared" si="10"/>
        <v>0</v>
      </c>
      <c r="AB907" s="2">
        <f t="shared" si="11"/>
        <v>0</v>
      </c>
      <c r="AC907" s="2">
        <f t="shared" si="12"/>
        <v>0</v>
      </c>
      <c r="AD907" s="2">
        <f t="shared" si="13"/>
        <v>0</v>
      </c>
      <c r="AE907" s="2">
        <f t="shared" si="14"/>
        <v>0</v>
      </c>
      <c r="AF907" s="2">
        <f t="shared" si="15"/>
        <v>0</v>
      </c>
      <c r="AG907" s="2">
        <f t="shared" si="16"/>
        <v>0</v>
      </c>
      <c r="AH907" s="2">
        <f t="shared" si="17"/>
        <v>0</v>
      </c>
      <c r="AI907" s="2">
        <f t="shared" si="18"/>
      </c>
    </row>
    <row r="908">
      <c r="A908" s="43">
        <f t="shared" si="0"/>
      </c>
      <c r="B908" s="54" t="n"/>
      <c r="C908" s="45" t="n"/>
      <c r="D908" s="50" t="n"/>
      <c r="E908" s="55" t="n"/>
      <c r="F908" s="50" t="n"/>
      <c r="G908" s="55" t="n"/>
      <c r="H908" s="50" t="n"/>
      <c r="I908" s="55" t="n"/>
      <c r="J908" s="50" t="n"/>
      <c r="K908" s="55" t="n"/>
      <c r="L908" s="56" t="n"/>
      <c r="M908" s="57" t="n"/>
      <c r="N908" s="57" t="n"/>
      <c r="O908" s="57" t="n"/>
      <c r="P908" s="57" t="n"/>
      <c r="Q908" s="50" t="n"/>
      <c r="R908" s="58">
        <f t="shared" si="1"/>
      </c>
      <c r="S908" s="59">
        <f t="shared" si="2"/>
      </c>
      <c r="T908" s="43">
        <f t="shared" si="3"/>
      </c>
      <c r="U908" s="60">
        <f t="shared" si="4"/>
      </c>
      <c r="V908" s="60">
        <f t="shared" si="5"/>
      </c>
      <c r="W908" s="60">
        <f t="shared" si="6"/>
      </c>
      <c r="X908" s="49">
        <f t="shared" si="7"/>
      </c>
      <c r="Y908" s="2">
        <f t="shared" si="8"/>
      </c>
      <c r="Z908" s="2">
        <f t="shared" si="9"/>
        <v>0</v>
      </c>
      <c r="AA908" s="2">
        <f t="shared" si="10"/>
        <v>0</v>
      </c>
      <c r="AB908" s="2">
        <f t="shared" si="11"/>
        <v>0</v>
      </c>
      <c r="AC908" s="2">
        <f t="shared" si="12"/>
        <v>0</v>
      </c>
      <c r="AD908" s="2">
        <f t="shared" si="13"/>
        <v>0</v>
      </c>
      <c r="AE908" s="2">
        <f t="shared" si="14"/>
        <v>0</v>
      </c>
      <c r="AF908" s="2">
        <f t="shared" si="15"/>
        <v>0</v>
      </c>
      <c r="AG908" s="2">
        <f t="shared" si="16"/>
        <v>0</v>
      </c>
      <c r="AH908" s="2">
        <f t="shared" si="17"/>
        <v>0</v>
      </c>
      <c r="AI908" s="2">
        <f t="shared" si="18"/>
      </c>
    </row>
    <row r="909">
      <c r="A909" s="43">
        <f t="shared" si="0"/>
      </c>
      <c r="B909" s="54" t="n"/>
      <c r="C909" s="45" t="n"/>
      <c r="D909" s="50" t="n"/>
      <c r="E909" s="55" t="n"/>
      <c r="F909" s="50" t="n"/>
      <c r="G909" s="55" t="n"/>
      <c r="H909" s="50" t="n"/>
      <c r="I909" s="55" t="n"/>
      <c r="J909" s="50" t="n"/>
      <c r="K909" s="55" t="n"/>
      <c r="L909" s="56" t="n"/>
      <c r="M909" s="57" t="n"/>
      <c r="N909" s="57" t="n"/>
      <c r="O909" s="57" t="n"/>
      <c r="P909" s="57" t="n"/>
      <c r="Q909" s="50" t="n"/>
      <c r="R909" s="58">
        <f t="shared" si="1"/>
      </c>
      <c r="S909" s="59">
        <f t="shared" si="2"/>
      </c>
      <c r="T909" s="43">
        <f t="shared" si="3"/>
      </c>
      <c r="U909" s="60">
        <f t="shared" si="4"/>
      </c>
      <c r="V909" s="60">
        <f t="shared" si="5"/>
      </c>
      <c r="W909" s="60">
        <f t="shared" si="6"/>
      </c>
      <c r="X909" s="49">
        <f t="shared" si="7"/>
      </c>
      <c r="Y909" s="2">
        <f t="shared" si="8"/>
      </c>
      <c r="Z909" s="2">
        <f t="shared" si="9"/>
        <v>0</v>
      </c>
      <c r="AA909" s="2">
        <f t="shared" si="10"/>
        <v>0</v>
      </c>
      <c r="AB909" s="2">
        <f t="shared" si="11"/>
        <v>0</v>
      </c>
      <c r="AC909" s="2">
        <f t="shared" si="12"/>
        <v>0</v>
      </c>
      <c r="AD909" s="2">
        <f t="shared" si="13"/>
        <v>0</v>
      </c>
      <c r="AE909" s="2">
        <f t="shared" si="14"/>
        <v>0</v>
      </c>
      <c r="AF909" s="2">
        <f t="shared" si="15"/>
        <v>0</v>
      </c>
      <c r="AG909" s="2">
        <f t="shared" si="16"/>
        <v>0</v>
      </c>
      <c r="AH909" s="2">
        <f t="shared" si="17"/>
        <v>0</v>
      </c>
      <c r="AI909" s="2">
        <f t="shared" si="18"/>
      </c>
    </row>
    <row r="910">
      <c r="A910" s="43">
        <f t="shared" si="0"/>
      </c>
      <c r="B910" s="54" t="n"/>
      <c r="C910" s="45" t="n"/>
      <c r="D910" s="50" t="n"/>
      <c r="E910" s="55" t="n"/>
      <c r="F910" s="50" t="n"/>
      <c r="G910" s="55" t="n"/>
      <c r="H910" s="50" t="n"/>
      <c r="I910" s="55" t="n"/>
      <c r="J910" s="50" t="n"/>
      <c r="K910" s="55" t="n"/>
      <c r="L910" s="56" t="n"/>
      <c r="M910" s="57" t="n"/>
      <c r="N910" s="57" t="n"/>
      <c r="O910" s="57" t="n"/>
      <c r="P910" s="57" t="n"/>
      <c r="Q910" s="50" t="n"/>
      <c r="R910" s="58">
        <f t="shared" si="1"/>
      </c>
      <c r="S910" s="59">
        <f t="shared" si="2"/>
      </c>
      <c r="T910" s="43">
        <f t="shared" si="3"/>
      </c>
      <c r="U910" s="60">
        <f t="shared" si="4"/>
      </c>
      <c r="V910" s="60">
        <f t="shared" si="5"/>
      </c>
      <c r="W910" s="60">
        <f t="shared" si="6"/>
      </c>
      <c r="X910" s="49">
        <f t="shared" si="7"/>
      </c>
      <c r="Y910" s="2">
        <f t="shared" si="8"/>
      </c>
      <c r="Z910" s="2">
        <f t="shared" si="9"/>
        <v>0</v>
      </c>
      <c r="AA910" s="2">
        <f t="shared" si="10"/>
        <v>0</v>
      </c>
      <c r="AB910" s="2">
        <f t="shared" si="11"/>
        <v>0</v>
      </c>
      <c r="AC910" s="2">
        <f t="shared" si="12"/>
        <v>0</v>
      </c>
      <c r="AD910" s="2">
        <f t="shared" si="13"/>
        <v>0</v>
      </c>
      <c r="AE910" s="2">
        <f t="shared" si="14"/>
        <v>0</v>
      </c>
      <c r="AF910" s="2">
        <f t="shared" si="15"/>
        <v>0</v>
      </c>
      <c r="AG910" s="2">
        <f t="shared" si="16"/>
        <v>0</v>
      </c>
      <c r="AH910" s="2">
        <f t="shared" si="17"/>
        <v>0</v>
      </c>
      <c r="AI910" s="2">
        <f t="shared" si="18"/>
      </c>
    </row>
    <row r="911">
      <c r="A911" s="43">
        <f t="shared" si="0"/>
      </c>
      <c r="B911" s="54" t="n"/>
      <c r="C911" s="45" t="n"/>
      <c r="D911" s="50" t="n"/>
      <c r="E911" s="55" t="n"/>
      <c r="F911" s="50" t="n"/>
      <c r="G911" s="55" t="n"/>
      <c r="H911" s="50" t="n"/>
      <c r="I911" s="55" t="n"/>
      <c r="J911" s="50" t="n"/>
      <c r="K911" s="55" t="n"/>
      <c r="L911" s="56" t="n"/>
      <c r="M911" s="57" t="n"/>
      <c r="N911" s="57" t="n"/>
      <c r="O911" s="57" t="n"/>
      <c r="P911" s="57" t="n"/>
      <c r="Q911" s="50" t="n"/>
      <c r="R911" s="58">
        <f t="shared" si="1"/>
      </c>
      <c r="S911" s="59">
        <f t="shared" si="2"/>
      </c>
      <c r="T911" s="43">
        <f t="shared" si="3"/>
      </c>
      <c r="U911" s="60">
        <f t="shared" si="4"/>
      </c>
      <c r="V911" s="60">
        <f t="shared" si="5"/>
      </c>
      <c r="W911" s="60">
        <f t="shared" si="6"/>
      </c>
      <c r="X911" s="49">
        <f t="shared" si="7"/>
      </c>
      <c r="Y911" s="2">
        <f t="shared" si="8"/>
      </c>
      <c r="Z911" s="2">
        <f t="shared" si="9"/>
        <v>0</v>
      </c>
      <c r="AA911" s="2">
        <f t="shared" si="10"/>
        <v>0</v>
      </c>
      <c r="AB911" s="2">
        <f t="shared" si="11"/>
        <v>0</v>
      </c>
      <c r="AC911" s="2">
        <f t="shared" si="12"/>
        <v>0</v>
      </c>
      <c r="AD911" s="2">
        <f t="shared" si="13"/>
        <v>0</v>
      </c>
      <c r="AE911" s="2">
        <f t="shared" si="14"/>
        <v>0</v>
      </c>
      <c r="AF911" s="2">
        <f t="shared" si="15"/>
        <v>0</v>
      </c>
      <c r="AG911" s="2">
        <f t="shared" si="16"/>
        <v>0</v>
      </c>
      <c r="AH911" s="2">
        <f t="shared" si="17"/>
        <v>0</v>
      </c>
      <c r="AI911" s="2">
        <f t="shared" si="18"/>
      </c>
    </row>
    <row r="912">
      <c r="A912" s="43">
        <f t="shared" si="0"/>
      </c>
      <c r="B912" s="54" t="n"/>
      <c r="C912" s="45" t="n"/>
      <c r="D912" s="50" t="n"/>
      <c r="E912" s="55" t="n"/>
      <c r="F912" s="50" t="n"/>
      <c r="G912" s="55" t="n"/>
      <c r="H912" s="50" t="n"/>
      <c r="I912" s="55" t="n"/>
      <c r="J912" s="50" t="n"/>
      <c r="K912" s="55" t="n"/>
      <c r="L912" s="56" t="n"/>
      <c r="M912" s="57" t="n"/>
      <c r="N912" s="57" t="n"/>
      <c r="O912" s="57" t="n"/>
      <c r="P912" s="57" t="n"/>
      <c r="Q912" s="50" t="n"/>
      <c r="R912" s="58">
        <f t="shared" si="1"/>
      </c>
      <c r="S912" s="59">
        <f t="shared" si="2"/>
      </c>
      <c r="T912" s="43">
        <f t="shared" si="3"/>
      </c>
      <c r="U912" s="60">
        <f t="shared" si="4"/>
      </c>
      <c r="V912" s="60">
        <f t="shared" si="5"/>
      </c>
      <c r="W912" s="60">
        <f t="shared" si="6"/>
      </c>
      <c r="X912" s="49">
        <f t="shared" si="7"/>
      </c>
      <c r="Y912" s="2">
        <f t="shared" si="8"/>
      </c>
      <c r="Z912" s="2">
        <f t="shared" si="9"/>
        <v>0</v>
      </c>
      <c r="AA912" s="2">
        <f t="shared" si="10"/>
        <v>0</v>
      </c>
      <c r="AB912" s="2">
        <f t="shared" si="11"/>
        <v>0</v>
      </c>
      <c r="AC912" s="2">
        <f t="shared" si="12"/>
        <v>0</v>
      </c>
      <c r="AD912" s="2">
        <f t="shared" si="13"/>
        <v>0</v>
      </c>
      <c r="AE912" s="2">
        <f t="shared" si="14"/>
        <v>0</v>
      </c>
      <c r="AF912" s="2">
        <f t="shared" si="15"/>
        <v>0</v>
      </c>
      <c r="AG912" s="2">
        <f t="shared" si="16"/>
        <v>0</v>
      </c>
      <c r="AH912" s="2">
        <f t="shared" si="17"/>
        <v>0</v>
      </c>
      <c r="AI912" s="2">
        <f t="shared" si="18"/>
      </c>
    </row>
    <row r="913">
      <c r="A913" s="43">
        <f t="shared" si="0"/>
      </c>
      <c r="B913" s="54" t="n"/>
      <c r="C913" s="45" t="n"/>
      <c r="D913" s="50" t="n"/>
      <c r="E913" s="55" t="n"/>
      <c r="F913" s="50" t="n"/>
      <c r="G913" s="55" t="n"/>
      <c r="H913" s="50" t="n"/>
      <c r="I913" s="55" t="n"/>
      <c r="J913" s="50" t="n"/>
      <c r="K913" s="55" t="n"/>
      <c r="L913" s="56" t="n"/>
      <c r="M913" s="57" t="n"/>
      <c r="N913" s="57" t="n"/>
      <c r="O913" s="57" t="n"/>
      <c r="P913" s="57" t="n"/>
      <c r="Q913" s="50" t="n"/>
      <c r="R913" s="58">
        <f t="shared" si="1"/>
      </c>
      <c r="S913" s="59">
        <f t="shared" si="2"/>
      </c>
      <c r="T913" s="43">
        <f t="shared" si="3"/>
      </c>
      <c r="U913" s="60">
        <f t="shared" si="4"/>
      </c>
      <c r="V913" s="60">
        <f t="shared" si="5"/>
      </c>
      <c r="W913" s="60">
        <f t="shared" si="6"/>
      </c>
      <c r="X913" s="49">
        <f t="shared" si="7"/>
      </c>
      <c r="Y913" s="2">
        <f t="shared" si="8"/>
      </c>
      <c r="Z913" s="2">
        <f t="shared" si="9"/>
        <v>0</v>
      </c>
      <c r="AA913" s="2">
        <f t="shared" si="10"/>
        <v>0</v>
      </c>
      <c r="AB913" s="2">
        <f t="shared" si="11"/>
        <v>0</v>
      </c>
      <c r="AC913" s="2">
        <f t="shared" si="12"/>
        <v>0</v>
      </c>
      <c r="AD913" s="2">
        <f t="shared" si="13"/>
        <v>0</v>
      </c>
      <c r="AE913" s="2">
        <f t="shared" si="14"/>
        <v>0</v>
      </c>
      <c r="AF913" s="2">
        <f t="shared" si="15"/>
        <v>0</v>
      </c>
      <c r="AG913" s="2">
        <f t="shared" si="16"/>
        <v>0</v>
      </c>
      <c r="AH913" s="2">
        <f t="shared" si="17"/>
        <v>0</v>
      </c>
      <c r="AI913" s="2">
        <f t="shared" si="18"/>
      </c>
    </row>
    <row r="914">
      <c r="A914" s="43">
        <f t="shared" si="0"/>
      </c>
      <c r="B914" s="54" t="n"/>
      <c r="C914" s="45" t="n"/>
      <c r="D914" s="50" t="n"/>
      <c r="E914" s="55" t="n"/>
      <c r="F914" s="50" t="n"/>
      <c r="G914" s="55" t="n"/>
      <c r="H914" s="50" t="n"/>
      <c r="I914" s="55" t="n"/>
      <c r="J914" s="50" t="n"/>
      <c r="K914" s="55" t="n"/>
      <c r="L914" s="56" t="n"/>
      <c r="M914" s="57" t="n"/>
      <c r="N914" s="57" t="n"/>
      <c r="O914" s="57" t="n"/>
      <c r="P914" s="57" t="n"/>
      <c r="Q914" s="50" t="n"/>
      <c r="R914" s="58">
        <f t="shared" si="1"/>
      </c>
      <c r="S914" s="59">
        <f t="shared" si="2"/>
      </c>
      <c r="T914" s="43">
        <f t="shared" si="3"/>
      </c>
      <c r="U914" s="60">
        <f t="shared" si="4"/>
      </c>
      <c r="V914" s="60">
        <f t="shared" si="5"/>
      </c>
      <c r="W914" s="60">
        <f t="shared" si="6"/>
      </c>
      <c r="X914" s="49">
        <f t="shared" si="7"/>
      </c>
      <c r="Y914" s="2">
        <f t="shared" si="8"/>
      </c>
      <c r="Z914" s="2">
        <f t="shared" si="9"/>
        <v>0</v>
      </c>
      <c r="AA914" s="2">
        <f t="shared" si="10"/>
        <v>0</v>
      </c>
      <c r="AB914" s="2">
        <f t="shared" si="11"/>
        <v>0</v>
      </c>
      <c r="AC914" s="2">
        <f t="shared" si="12"/>
        <v>0</v>
      </c>
      <c r="AD914" s="2">
        <f t="shared" si="13"/>
        <v>0</v>
      </c>
      <c r="AE914" s="2">
        <f t="shared" si="14"/>
        <v>0</v>
      </c>
      <c r="AF914" s="2">
        <f t="shared" si="15"/>
        <v>0</v>
      </c>
      <c r="AG914" s="2">
        <f t="shared" si="16"/>
        <v>0</v>
      </c>
      <c r="AH914" s="2">
        <f t="shared" si="17"/>
        <v>0</v>
      </c>
      <c r="AI914" s="2">
        <f t="shared" si="18"/>
      </c>
    </row>
    <row r="915">
      <c r="A915" s="43">
        <f t="shared" si="0"/>
      </c>
      <c r="B915" s="54" t="n"/>
      <c r="C915" s="45" t="n"/>
      <c r="D915" s="50" t="n"/>
      <c r="E915" s="55" t="n"/>
      <c r="F915" s="50" t="n"/>
      <c r="G915" s="55" t="n"/>
      <c r="H915" s="50" t="n"/>
      <c r="I915" s="55" t="n"/>
      <c r="J915" s="50" t="n"/>
      <c r="K915" s="55" t="n"/>
      <c r="L915" s="56" t="n"/>
      <c r="M915" s="57" t="n"/>
      <c r="N915" s="57" t="n"/>
      <c r="O915" s="57" t="n"/>
      <c r="P915" s="57" t="n"/>
      <c r="Q915" s="50" t="n"/>
      <c r="R915" s="58">
        <f t="shared" si="1"/>
      </c>
      <c r="S915" s="59">
        <f t="shared" si="2"/>
      </c>
      <c r="T915" s="43">
        <f t="shared" si="3"/>
      </c>
      <c r="U915" s="60">
        <f t="shared" si="4"/>
      </c>
      <c r="V915" s="60">
        <f t="shared" si="5"/>
      </c>
      <c r="W915" s="60">
        <f t="shared" si="6"/>
      </c>
      <c r="X915" s="49">
        <f t="shared" si="7"/>
      </c>
      <c r="Y915" s="2">
        <f t="shared" si="8"/>
      </c>
      <c r="Z915" s="2">
        <f t="shared" si="9"/>
        <v>0</v>
      </c>
      <c r="AA915" s="2">
        <f t="shared" si="10"/>
        <v>0</v>
      </c>
      <c r="AB915" s="2">
        <f t="shared" si="11"/>
        <v>0</v>
      </c>
      <c r="AC915" s="2">
        <f t="shared" si="12"/>
        <v>0</v>
      </c>
      <c r="AD915" s="2">
        <f t="shared" si="13"/>
        <v>0</v>
      </c>
      <c r="AE915" s="2">
        <f t="shared" si="14"/>
        <v>0</v>
      </c>
      <c r="AF915" s="2">
        <f t="shared" si="15"/>
        <v>0</v>
      </c>
      <c r="AG915" s="2">
        <f t="shared" si="16"/>
        <v>0</v>
      </c>
      <c r="AH915" s="2">
        <f t="shared" si="17"/>
        <v>0</v>
      </c>
      <c r="AI915" s="2">
        <f t="shared" si="18"/>
      </c>
    </row>
    <row r="916">
      <c r="A916" s="43">
        <f t="shared" si="0"/>
      </c>
      <c r="B916" s="54" t="n"/>
      <c r="C916" s="45" t="n"/>
      <c r="D916" s="50" t="n"/>
      <c r="E916" s="55" t="n"/>
      <c r="F916" s="50" t="n"/>
      <c r="G916" s="55" t="n"/>
      <c r="H916" s="50" t="n"/>
      <c r="I916" s="55" t="n"/>
      <c r="J916" s="50" t="n"/>
      <c r="K916" s="55" t="n"/>
      <c r="L916" s="56" t="n"/>
      <c r="M916" s="57" t="n"/>
      <c r="N916" s="57" t="n"/>
      <c r="O916" s="57" t="n"/>
      <c r="P916" s="57" t="n"/>
      <c r="Q916" s="50" t="n"/>
      <c r="R916" s="58">
        <f t="shared" si="1"/>
      </c>
      <c r="S916" s="59">
        <f t="shared" si="2"/>
      </c>
      <c r="T916" s="43">
        <f t="shared" si="3"/>
      </c>
      <c r="U916" s="60">
        <f t="shared" si="4"/>
      </c>
      <c r="V916" s="60">
        <f t="shared" si="5"/>
      </c>
      <c r="W916" s="60">
        <f t="shared" si="6"/>
      </c>
      <c r="X916" s="49">
        <f t="shared" si="7"/>
      </c>
      <c r="Y916" s="2">
        <f t="shared" si="8"/>
      </c>
      <c r="Z916" s="2">
        <f t="shared" si="9"/>
        <v>0</v>
      </c>
      <c r="AA916" s="2">
        <f t="shared" si="10"/>
        <v>0</v>
      </c>
      <c r="AB916" s="2">
        <f t="shared" si="11"/>
        <v>0</v>
      </c>
      <c r="AC916" s="2">
        <f t="shared" si="12"/>
        <v>0</v>
      </c>
      <c r="AD916" s="2">
        <f t="shared" si="13"/>
        <v>0</v>
      </c>
      <c r="AE916" s="2">
        <f t="shared" si="14"/>
        <v>0</v>
      </c>
      <c r="AF916" s="2">
        <f t="shared" si="15"/>
        <v>0</v>
      </c>
      <c r="AG916" s="2">
        <f t="shared" si="16"/>
        <v>0</v>
      </c>
      <c r="AH916" s="2">
        <f t="shared" si="17"/>
        <v>0</v>
      </c>
      <c r="AI916" s="2">
        <f t="shared" si="18"/>
      </c>
    </row>
    <row r="917">
      <c r="A917" s="43">
        <f t="shared" si="0"/>
      </c>
      <c r="B917" s="54" t="n"/>
      <c r="C917" s="45" t="n"/>
      <c r="D917" s="50" t="n"/>
      <c r="E917" s="55" t="n"/>
      <c r="F917" s="50" t="n"/>
      <c r="G917" s="55" t="n"/>
      <c r="H917" s="50" t="n"/>
      <c r="I917" s="55" t="n"/>
      <c r="J917" s="50" t="n"/>
      <c r="K917" s="55" t="n"/>
      <c r="L917" s="56" t="n"/>
      <c r="M917" s="57" t="n"/>
      <c r="N917" s="57" t="n"/>
      <c r="O917" s="57" t="n"/>
      <c r="P917" s="57" t="n"/>
      <c r="Q917" s="50" t="n"/>
      <c r="R917" s="58">
        <f t="shared" si="1"/>
      </c>
      <c r="S917" s="59">
        <f t="shared" si="2"/>
      </c>
      <c r="T917" s="43">
        <f t="shared" si="3"/>
      </c>
      <c r="U917" s="60">
        <f t="shared" si="4"/>
      </c>
      <c r="V917" s="60">
        <f t="shared" si="5"/>
      </c>
      <c r="W917" s="60">
        <f t="shared" si="6"/>
      </c>
      <c r="X917" s="49">
        <f t="shared" si="7"/>
      </c>
      <c r="Y917" s="2">
        <f t="shared" si="8"/>
      </c>
      <c r="Z917" s="2">
        <f t="shared" si="9"/>
        <v>0</v>
      </c>
      <c r="AA917" s="2">
        <f t="shared" si="10"/>
        <v>0</v>
      </c>
      <c r="AB917" s="2">
        <f t="shared" si="11"/>
        <v>0</v>
      </c>
      <c r="AC917" s="2">
        <f t="shared" si="12"/>
        <v>0</v>
      </c>
      <c r="AD917" s="2">
        <f t="shared" si="13"/>
        <v>0</v>
      </c>
      <c r="AE917" s="2">
        <f t="shared" si="14"/>
        <v>0</v>
      </c>
      <c r="AF917" s="2">
        <f t="shared" si="15"/>
        <v>0</v>
      </c>
      <c r="AG917" s="2">
        <f t="shared" si="16"/>
        <v>0</v>
      </c>
      <c r="AH917" s="2">
        <f t="shared" si="17"/>
        <v>0</v>
      </c>
      <c r="AI917" s="2">
        <f t="shared" si="18"/>
      </c>
    </row>
    <row r="918">
      <c r="A918" s="43">
        <f t="shared" si="0"/>
      </c>
      <c r="B918" s="54" t="n"/>
      <c r="C918" s="45" t="n"/>
      <c r="D918" s="50" t="n"/>
      <c r="E918" s="55" t="n"/>
      <c r="F918" s="50" t="n"/>
      <c r="G918" s="55" t="n"/>
      <c r="H918" s="50" t="n"/>
      <c r="I918" s="55" t="n"/>
      <c r="J918" s="50" t="n"/>
      <c r="K918" s="55" t="n"/>
      <c r="L918" s="56" t="n"/>
      <c r="M918" s="57" t="n"/>
      <c r="N918" s="57" t="n"/>
      <c r="O918" s="57" t="n"/>
      <c r="P918" s="57" t="n"/>
      <c r="Q918" s="50" t="n"/>
      <c r="R918" s="58">
        <f t="shared" si="1"/>
      </c>
      <c r="S918" s="59">
        <f t="shared" si="2"/>
      </c>
      <c r="T918" s="43">
        <f t="shared" si="3"/>
      </c>
      <c r="U918" s="60">
        <f t="shared" si="4"/>
      </c>
      <c r="V918" s="60">
        <f t="shared" si="5"/>
      </c>
      <c r="W918" s="60">
        <f t="shared" si="6"/>
      </c>
      <c r="X918" s="49">
        <f t="shared" si="7"/>
      </c>
      <c r="Y918" s="2">
        <f t="shared" si="8"/>
      </c>
      <c r="Z918" s="2">
        <f t="shared" si="9"/>
        <v>0</v>
      </c>
      <c r="AA918" s="2">
        <f t="shared" si="10"/>
        <v>0</v>
      </c>
      <c r="AB918" s="2">
        <f t="shared" si="11"/>
        <v>0</v>
      </c>
      <c r="AC918" s="2">
        <f t="shared" si="12"/>
        <v>0</v>
      </c>
      <c r="AD918" s="2">
        <f t="shared" si="13"/>
        <v>0</v>
      </c>
      <c r="AE918" s="2">
        <f t="shared" si="14"/>
        <v>0</v>
      </c>
      <c r="AF918" s="2">
        <f t="shared" si="15"/>
        <v>0</v>
      </c>
      <c r="AG918" s="2">
        <f t="shared" si="16"/>
        <v>0</v>
      </c>
      <c r="AH918" s="2">
        <f t="shared" si="17"/>
        <v>0</v>
      </c>
      <c r="AI918" s="2">
        <f t="shared" si="18"/>
      </c>
    </row>
    <row r="919">
      <c r="A919" s="43">
        <f t="shared" si="0"/>
      </c>
      <c r="B919" s="54" t="n"/>
      <c r="C919" s="45" t="n"/>
      <c r="D919" s="50" t="n"/>
      <c r="E919" s="55" t="n"/>
      <c r="F919" s="50" t="n"/>
      <c r="G919" s="55" t="n"/>
      <c r="H919" s="50" t="n"/>
      <c r="I919" s="55" t="n"/>
      <c r="J919" s="50" t="n"/>
      <c r="K919" s="55" t="n"/>
      <c r="L919" s="56" t="n"/>
      <c r="M919" s="57" t="n"/>
      <c r="N919" s="57" t="n"/>
      <c r="O919" s="57" t="n"/>
      <c r="P919" s="57" t="n"/>
      <c r="Q919" s="50" t="n"/>
      <c r="R919" s="58">
        <f t="shared" si="1"/>
      </c>
      <c r="S919" s="59">
        <f t="shared" si="2"/>
      </c>
      <c r="T919" s="43">
        <f t="shared" si="3"/>
      </c>
      <c r="U919" s="60">
        <f t="shared" si="4"/>
      </c>
      <c r="V919" s="60">
        <f t="shared" si="5"/>
      </c>
      <c r="W919" s="60">
        <f t="shared" si="6"/>
      </c>
      <c r="X919" s="49">
        <f t="shared" si="7"/>
      </c>
      <c r="Y919" s="2">
        <f t="shared" si="8"/>
      </c>
      <c r="Z919" s="2">
        <f t="shared" si="9"/>
        <v>0</v>
      </c>
      <c r="AA919" s="2">
        <f t="shared" si="10"/>
        <v>0</v>
      </c>
      <c r="AB919" s="2">
        <f t="shared" si="11"/>
        <v>0</v>
      </c>
      <c r="AC919" s="2">
        <f t="shared" si="12"/>
        <v>0</v>
      </c>
      <c r="AD919" s="2">
        <f t="shared" si="13"/>
        <v>0</v>
      </c>
      <c r="AE919" s="2">
        <f t="shared" si="14"/>
        <v>0</v>
      </c>
      <c r="AF919" s="2">
        <f t="shared" si="15"/>
        <v>0</v>
      </c>
      <c r="AG919" s="2">
        <f t="shared" si="16"/>
        <v>0</v>
      </c>
      <c r="AH919" s="2">
        <f t="shared" si="17"/>
        <v>0</v>
      </c>
      <c r="AI919" s="2">
        <f t="shared" si="18"/>
      </c>
    </row>
    <row r="920">
      <c r="A920" s="43">
        <f t="shared" si="0"/>
      </c>
      <c r="B920" s="54" t="n"/>
      <c r="C920" s="45" t="n"/>
      <c r="D920" s="50" t="n"/>
      <c r="E920" s="55" t="n"/>
      <c r="F920" s="50" t="n"/>
      <c r="G920" s="55" t="n"/>
      <c r="H920" s="50" t="n"/>
      <c r="I920" s="55" t="n"/>
      <c r="J920" s="50" t="n"/>
      <c r="K920" s="55" t="n"/>
      <c r="L920" s="56" t="n"/>
      <c r="M920" s="57" t="n"/>
      <c r="N920" s="57" t="n"/>
      <c r="O920" s="57" t="n"/>
      <c r="P920" s="57" t="n"/>
      <c r="Q920" s="50" t="n"/>
      <c r="R920" s="58">
        <f t="shared" si="1"/>
      </c>
      <c r="S920" s="59">
        <f t="shared" si="2"/>
      </c>
      <c r="T920" s="43">
        <f t="shared" si="3"/>
      </c>
      <c r="U920" s="60">
        <f t="shared" si="4"/>
      </c>
      <c r="V920" s="60">
        <f t="shared" si="5"/>
      </c>
      <c r="W920" s="60">
        <f t="shared" si="6"/>
      </c>
      <c r="X920" s="49">
        <f t="shared" si="7"/>
      </c>
      <c r="Y920" s="2">
        <f t="shared" si="8"/>
      </c>
      <c r="Z920" s="2">
        <f t="shared" si="9"/>
        <v>0</v>
      </c>
      <c r="AA920" s="2">
        <f t="shared" si="10"/>
        <v>0</v>
      </c>
      <c r="AB920" s="2">
        <f t="shared" si="11"/>
        <v>0</v>
      </c>
      <c r="AC920" s="2">
        <f t="shared" si="12"/>
        <v>0</v>
      </c>
      <c r="AD920" s="2">
        <f t="shared" si="13"/>
        <v>0</v>
      </c>
      <c r="AE920" s="2">
        <f t="shared" si="14"/>
        <v>0</v>
      </c>
      <c r="AF920" s="2">
        <f t="shared" si="15"/>
        <v>0</v>
      </c>
      <c r="AG920" s="2">
        <f t="shared" si="16"/>
        <v>0</v>
      </c>
      <c r="AH920" s="2">
        <f t="shared" si="17"/>
        <v>0</v>
      </c>
      <c r="AI920" s="2">
        <f t="shared" si="18"/>
      </c>
    </row>
    <row r="921">
      <c r="A921" s="43">
        <f t="shared" si="0"/>
      </c>
      <c r="B921" s="54" t="n"/>
      <c r="C921" s="45" t="n"/>
      <c r="D921" s="50" t="n"/>
      <c r="E921" s="55" t="n"/>
      <c r="F921" s="50" t="n"/>
      <c r="G921" s="55" t="n"/>
      <c r="H921" s="50" t="n"/>
      <c r="I921" s="55" t="n"/>
      <c r="J921" s="50" t="n"/>
      <c r="K921" s="55" t="n"/>
      <c r="L921" s="56" t="n"/>
      <c r="M921" s="57" t="n"/>
      <c r="N921" s="57" t="n"/>
      <c r="O921" s="57" t="n"/>
      <c r="P921" s="57" t="n"/>
      <c r="Q921" s="50" t="n"/>
      <c r="R921" s="58">
        <f t="shared" si="1"/>
      </c>
      <c r="S921" s="59">
        <f t="shared" si="2"/>
      </c>
      <c r="T921" s="43">
        <f t="shared" si="3"/>
      </c>
      <c r="U921" s="60">
        <f t="shared" si="4"/>
      </c>
      <c r="V921" s="60">
        <f t="shared" si="5"/>
      </c>
      <c r="W921" s="60">
        <f t="shared" si="6"/>
      </c>
      <c r="X921" s="49">
        <f t="shared" si="7"/>
      </c>
      <c r="Y921" s="2">
        <f t="shared" si="8"/>
      </c>
      <c r="Z921" s="2">
        <f t="shared" si="9"/>
        <v>0</v>
      </c>
      <c r="AA921" s="2">
        <f t="shared" si="10"/>
        <v>0</v>
      </c>
      <c r="AB921" s="2">
        <f t="shared" si="11"/>
        <v>0</v>
      </c>
      <c r="AC921" s="2">
        <f t="shared" si="12"/>
        <v>0</v>
      </c>
      <c r="AD921" s="2">
        <f t="shared" si="13"/>
        <v>0</v>
      </c>
      <c r="AE921" s="2">
        <f t="shared" si="14"/>
        <v>0</v>
      </c>
      <c r="AF921" s="2">
        <f t="shared" si="15"/>
        <v>0</v>
      </c>
      <c r="AG921" s="2">
        <f t="shared" si="16"/>
        <v>0</v>
      </c>
      <c r="AH921" s="2">
        <f t="shared" si="17"/>
        <v>0</v>
      </c>
      <c r="AI921" s="2">
        <f t="shared" si="18"/>
      </c>
    </row>
    <row r="922">
      <c r="A922" s="43">
        <f t="shared" si="0"/>
      </c>
      <c r="B922" s="54" t="n"/>
      <c r="C922" s="45" t="n"/>
      <c r="D922" s="50" t="n"/>
      <c r="E922" s="55" t="n"/>
      <c r="F922" s="50" t="n"/>
      <c r="G922" s="55" t="n"/>
      <c r="H922" s="50" t="n"/>
      <c r="I922" s="55" t="n"/>
      <c r="J922" s="50" t="n"/>
      <c r="K922" s="55" t="n"/>
      <c r="L922" s="56" t="n"/>
      <c r="M922" s="57" t="n"/>
      <c r="N922" s="57" t="n"/>
      <c r="O922" s="57" t="n"/>
      <c r="P922" s="57" t="n"/>
      <c r="Q922" s="50" t="n"/>
      <c r="R922" s="58">
        <f t="shared" si="1"/>
      </c>
      <c r="S922" s="59">
        <f t="shared" si="2"/>
      </c>
      <c r="T922" s="43">
        <f t="shared" si="3"/>
      </c>
      <c r="U922" s="60">
        <f t="shared" si="4"/>
      </c>
      <c r="V922" s="60">
        <f t="shared" si="5"/>
      </c>
      <c r="W922" s="60">
        <f t="shared" si="6"/>
      </c>
      <c r="X922" s="49">
        <f t="shared" si="7"/>
      </c>
      <c r="Y922" s="2">
        <f t="shared" si="8"/>
      </c>
      <c r="Z922" s="2">
        <f t="shared" si="9"/>
        <v>0</v>
      </c>
      <c r="AA922" s="2">
        <f t="shared" si="10"/>
        <v>0</v>
      </c>
      <c r="AB922" s="2">
        <f t="shared" si="11"/>
        <v>0</v>
      </c>
      <c r="AC922" s="2">
        <f t="shared" si="12"/>
        <v>0</v>
      </c>
      <c r="AD922" s="2">
        <f t="shared" si="13"/>
        <v>0</v>
      </c>
      <c r="AE922" s="2">
        <f t="shared" si="14"/>
        <v>0</v>
      </c>
      <c r="AF922" s="2">
        <f t="shared" si="15"/>
        <v>0</v>
      </c>
      <c r="AG922" s="2">
        <f t="shared" si="16"/>
        <v>0</v>
      </c>
      <c r="AH922" s="2">
        <f t="shared" si="17"/>
        <v>0</v>
      </c>
      <c r="AI922" s="2">
        <f t="shared" si="18"/>
      </c>
    </row>
    <row r="923">
      <c r="A923" s="43">
        <f t="shared" si="0"/>
      </c>
      <c r="B923" s="54" t="n"/>
      <c r="C923" s="45" t="n"/>
      <c r="D923" s="50" t="n"/>
      <c r="E923" s="55" t="n"/>
      <c r="F923" s="50" t="n"/>
      <c r="G923" s="55" t="n"/>
      <c r="H923" s="50" t="n"/>
      <c r="I923" s="55" t="n"/>
      <c r="J923" s="50" t="n"/>
      <c r="K923" s="55" t="n"/>
      <c r="L923" s="56" t="n"/>
      <c r="M923" s="57" t="n"/>
      <c r="N923" s="57" t="n"/>
      <c r="O923" s="57" t="n"/>
      <c r="P923" s="57" t="n"/>
      <c r="Q923" s="50" t="n"/>
      <c r="R923" s="58">
        <f t="shared" si="1"/>
      </c>
      <c r="S923" s="59">
        <f t="shared" si="2"/>
      </c>
      <c r="T923" s="43">
        <f t="shared" si="3"/>
      </c>
      <c r="U923" s="60">
        <f t="shared" si="4"/>
      </c>
      <c r="V923" s="60">
        <f t="shared" si="5"/>
      </c>
      <c r="W923" s="60">
        <f t="shared" si="6"/>
      </c>
      <c r="X923" s="49">
        <f t="shared" si="7"/>
      </c>
      <c r="Y923" s="2">
        <f t="shared" si="8"/>
      </c>
      <c r="Z923" s="2">
        <f t="shared" si="9"/>
        <v>0</v>
      </c>
      <c r="AA923" s="2">
        <f t="shared" si="10"/>
        <v>0</v>
      </c>
      <c r="AB923" s="2">
        <f t="shared" si="11"/>
        <v>0</v>
      </c>
      <c r="AC923" s="2">
        <f t="shared" si="12"/>
        <v>0</v>
      </c>
      <c r="AD923" s="2">
        <f t="shared" si="13"/>
        <v>0</v>
      </c>
      <c r="AE923" s="2">
        <f t="shared" si="14"/>
        <v>0</v>
      </c>
      <c r="AF923" s="2">
        <f t="shared" si="15"/>
        <v>0</v>
      </c>
      <c r="AG923" s="2">
        <f t="shared" si="16"/>
        <v>0</v>
      </c>
      <c r="AH923" s="2">
        <f t="shared" si="17"/>
        <v>0</v>
      </c>
      <c r="AI923" s="2">
        <f t="shared" si="18"/>
      </c>
    </row>
    <row r="924">
      <c r="A924" s="43">
        <f t="shared" si="0"/>
      </c>
      <c r="B924" s="54" t="n"/>
      <c r="C924" s="45" t="n"/>
      <c r="D924" s="50" t="n"/>
      <c r="E924" s="55" t="n"/>
      <c r="F924" s="50" t="n"/>
      <c r="G924" s="55" t="n"/>
      <c r="H924" s="50" t="n"/>
      <c r="I924" s="55" t="n"/>
      <c r="J924" s="50" t="n"/>
      <c r="K924" s="55" t="n"/>
      <c r="L924" s="56" t="n"/>
      <c r="M924" s="57" t="n"/>
      <c r="N924" s="57" t="n"/>
      <c r="O924" s="57" t="n"/>
      <c r="P924" s="57" t="n"/>
      <c r="Q924" s="50" t="n"/>
      <c r="R924" s="58">
        <f t="shared" si="1"/>
      </c>
      <c r="S924" s="59">
        <f t="shared" si="2"/>
      </c>
      <c r="T924" s="43">
        <f t="shared" si="3"/>
      </c>
      <c r="U924" s="60">
        <f t="shared" si="4"/>
      </c>
      <c r="V924" s="60">
        <f t="shared" si="5"/>
      </c>
      <c r="W924" s="60">
        <f t="shared" si="6"/>
      </c>
      <c r="X924" s="49">
        <f t="shared" si="7"/>
      </c>
      <c r="Y924" s="2">
        <f t="shared" si="8"/>
      </c>
      <c r="Z924" s="2">
        <f t="shared" si="9"/>
        <v>0</v>
      </c>
      <c r="AA924" s="2">
        <f t="shared" si="10"/>
        <v>0</v>
      </c>
      <c r="AB924" s="2">
        <f t="shared" si="11"/>
        <v>0</v>
      </c>
      <c r="AC924" s="2">
        <f t="shared" si="12"/>
        <v>0</v>
      </c>
      <c r="AD924" s="2">
        <f t="shared" si="13"/>
        <v>0</v>
      </c>
      <c r="AE924" s="2">
        <f t="shared" si="14"/>
        <v>0</v>
      </c>
      <c r="AF924" s="2">
        <f t="shared" si="15"/>
        <v>0</v>
      </c>
      <c r="AG924" s="2">
        <f t="shared" si="16"/>
        <v>0</v>
      </c>
      <c r="AH924" s="2">
        <f t="shared" si="17"/>
        <v>0</v>
      </c>
      <c r="AI924" s="2">
        <f t="shared" si="18"/>
      </c>
    </row>
    <row r="925">
      <c r="A925" s="43">
        <f t="shared" si="0"/>
      </c>
      <c r="B925" s="54" t="n"/>
      <c r="C925" s="45" t="n"/>
      <c r="D925" s="50" t="n"/>
      <c r="E925" s="55" t="n"/>
      <c r="F925" s="50" t="n"/>
      <c r="G925" s="55" t="n"/>
      <c r="H925" s="50" t="n"/>
      <c r="I925" s="55" t="n"/>
      <c r="J925" s="50" t="n"/>
      <c r="K925" s="55" t="n"/>
      <c r="L925" s="56" t="n"/>
      <c r="M925" s="57" t="n"/>
      <c r="N925" s="57" t="n"/>
      <c r="O925" s="57" t="n"/>
      <c r="P925" s="57" t="n"/>
      <c r="Q925" s="50" t="n"/>
      <c r="R925" s="58">
        <f t="shared" si="1"/>
      </c>
      <c r="S925" s="59">
        <f t="shared" si="2"/>
      </c>
      <c r="T925" s="43">
        <f t="shared" si="3"/>
      </c>
      <c r="U925" s="60">
        <f t="shared" si="4"/>
      </c>
      <c r="V925" s="60">
        <f t="shared" si="5"/>
      </c>
      <c r="W925" s="60">
        <f t="shared" si="6"/>
      </c>
      <c r="X925" s="49">
        <f t="shared" si="7"/>
      </c>
      <c r="Y925" s="2">
        <f t="shared" si="8"/>
      </c>
      <c r="Z925" s="2">
        <f t="shared" si="9"/>
        <v>0</v>
      </c>
      <c r="AA925" s="2">
        <f t="shared" si="10"/>
        <v>0</v>
      </c>
      <c r="AB925" s="2">
        <f t="shared" si="11"/>
        <v>0</v>
      </c>
      <c r="AC925" s="2">
        <f t="shared" si="12"/>
        <v>0</v>
      </c>
      <c r="AD925" s="2">
        <f t="shared" si="13"/>
        <v>0</v>
      </c>
      <c r="AE925" s="2">
        <f t="shared" si="14"/>
        <v>0</v>
      </c>
      <c r="AF925" s="2">
        <f t="shared" si="15"/>
        <v>0</v>
      </c>
      <c r="AG925" s="2">
        <f t="shared" si="16"/>
        <v>0</v>
      </c>
      <c r="AH925" s="2">
        <f t="shared" si="17"/>
        <v>0</v>
      </c>
      <c r="AI925" s="2">
        <f t="shared" si="18"/>
      </c>
    </row>
    <row r="926">
      <c r="A926" s="43">
        <f t="shared" si="0"/>
      </c>
      <c r="B926" s="54" t="n"/>
      <c r="C926" s="45" t="n"/>
      <c r="D926" s="50" t="n"/>
      <c r="E926" s="55" t="n"/>
      <c r="F926" s="50" t="n"/>
      <c r="G926" s="55" t="n"/>
      <c r="H926" s="50" t="n"/>
      <c r="I926" s="55" t="n"/>
      <c r="J926" s="50" t="n"/>
      <c r="K926" s="55" t="n"/>
      <c r="L926" s="56" t="n"/>
      <c r="M926" s="57" t="n"/>
      <c r="N926" s="57" t="n"/>
      <c r="O926" s="57" t="n"/>
      <c r="P926" s="57" t="n"/>
      <c r="Q926" s="50" t="n"/>
      <c r="R926" s="58">
        <f t="shared" si="1"/>
      </c>
      <c r="S926" s="59">
        <f t="shared" si="2"/>
      </c>
      <c r="T926" s="43">
        <f t="shared" si="3"/>
      </c>
      <c r="U926" s="60">
        <f t="shared" si="4"/>
      </c>
      <c r="V926" s="60">
        <f t="shared" si="5"/>
      </c>
      <c r="W926" s="60">
        <f t="shared" si="6"/>
      </c>
      <c r="X926" s="49">
        <f t="shared" si="7"/>
      </c>
      <c r="Y926" s="2">
        <f t="shared" si="8"/>
      </c>
      <c r="Z926" s="2">
        <f t="shared" si="9"/>
        <v>0</v>
      </c>
      <c r="AA926" s="2">
        <f t="shared" si="10"/>
        <v>0</v>
      </c>
      <c r="AB926" s="2">
        <f t="shared" si="11"/>
        <v>0</v>
      </c>
      <c r="AC926" s="2">
        <f t="shared" si="12"/>
        <v>0</v>
      </c>
      <c r="AD926" s="2">
        <f t="shared" si="13"/>
        <v>0</v>
      </c>
      <c r="AE926" s="2">
        <f t="shared" si="14"/>
        <v>0</v>
      </c>
      <c r="AF926" s="2">
        <f t="shared" si="15"/>
        <v>0</v>
      </c>
      <c r="AG926" s="2">
        <f t="shared" si="16"/>
        <v>0</v>
      </c>
      <c r="AH926" s="2">
        <f t="shared" si="17"/>
        <v>0</v>
      </c>
      <c r="AI926" s="2">
        <f t="shared" si="18"/>
      </c>
    </row>
    <row r="927">
      <c r="A927" s="43">
        <f t="shared" si="0"/>
      </c>
      <c r="B927" s="54" t="n"/>
      <c r="C927" s="45" t="n"/>
      <c r="D927" s="50" t="n"/>
      <c r="E927" s="55" t="n"/>
      <c r="F927" s="50" t="n"/>
      <c r="G927" s="55" t="n"/>
      <c r="H927" s="50" t="n"/>
      <c r="I927" s="55" t="n"/>
      <c r="J927" s="50" t="n"/>
      <c r="K927" s="55" t="n"/>
      <c r="L927" s="56" t="n"/>
      <c r="M927" s="57" t="n"/>
      <c r="N927" s="57" t="n"/>
      <c r="O927" s="57" t="n"/>
      <c r="P927" s="57" t="n"/>
      <c r="Q927" s="50" t="n"/>
      <c r="R927" s="58">
        <f t="shared" si="1"/>
      </c>
      <c r="S927" s="59">
        <f t="shared" si="2"/>
      </c>
      <c r="T927" s="43">
        <f t="shared" si="3"/>
      </c>
      <c r="U927" s="60">
        <f t="shared" si="4"/>
      </c>
      <c r="V927" s="60">
        <f t="shared" si="5"/>
      </c>
      <c r="W927" s="60">
        <f t="shared" si="6"/>
      </c>
      <c r="X927" s="49">
        <f t="shared" si="7"/>
      </c>
      <c r="Y927" s="2">
        <f t="shared" si="8"/>
      </c>
      <c r="Z927" s="2">
        <f t="shared" si="9"/>
        <v>0</v>
      </c>
      <c r="AA927" s="2">
        <f t="shared" si="10"/>
        <v>0</v>
      </c>
      <c r="AB927" s="2">
        <f t="shared" si="11"/>
        <v>0</v>
      </c>
      <c r="AC927" s="2">
        <f t="shared" si="12"/>
        <v>0</v>
      </c>
      <c r="AD927" s="2">
        <f t="shared" si="13"/>
        <v>0</v>
      </c>
      <c r="AE927" s="2">
        <f t="shared" si="14"/>
        <v>0</v>
      </c>
      <c r="AF927" s="2">
        <f t="shared" si="15"/>
        <v>0</v>
      </c>
      <c r="AG927" s="2">
        <f t="shared" si="16"/>
        <v>0</v>
      </c>
      <c r="AH927" s="2">
        <f t="shared" si="17"/>
        <v>0</v>
      </c>
      <c r="AI927" s="2">
        <f t="shared" si="18"/>
      </c>
    </row>
    <row r="928">
      <c r="A928" s="43">
        <f t="shared" si="0"/>
      </c>
      <c r="B928" s="54" t="n"/>
      <c r="C928" s="45" t="n"/>
      <c r="D928" s="50" t="n"/>
      <c r="E928" s="55" t="n"/>
      <c r="F928" s="50" t="n"/>
      <c r="G928" s="55" t="n"/>
      <c r="H928" s="50" t="n"/>
      <c r="I928" s="55" t="n"/>
      <c r="J928" s="50" t="n"/>
      <c r="K928" s="55" t="n"/>
      <c r="L928" s="56" t="n"/>
      <c r="M928" s="57" t="n"/>
      <c r="N928" s="57" t="n"/>
      <c r="O928" s="57" t="n"/>
      <c r="P928" s="57" t="n"/>
      <c r="Q928" s="50" t="n"/>
      <c r="R928" s="58">
        <f t="shared" si="1"/>
      </c>
      <c r="S928" s="59">
        <f t="shared" si="2"/>
      </c>
      <c r="T928" s="43">
        <f t="shared" si="3"/>
      </c>
      <c r="U928" s="60">
        <f t="shared" si="4"/>
      </c>
      <c r="V928" s="60">
        <f t="shared" si="5"/>
      </c>
      <c r="W928" s="60">
        <f t="shared" si="6"/>
      </c>
      <c r="X928" s="49">
        <f t="shared" si="7"/>
      </c>
      <c r="Y928" s="2">
        <f t="shared" si="8"/>
      </c>
      <c r="Z928" s="2">
        <f t="shared" si="9"/>
        <v>0</v>
      </c>
      <c r="AA928" s="2">
        <f t="shared" si="10"/>
        <v>0</v>
      </c>
      <c r="AB928" s="2">
        <f t="shared" si="11"/>
        <v>0</v>
      </c>
      <c r="AC928" s="2">
        <f t="shared" si="12"/>
        <v>0</v>
      </c>
      <c r="AD928" s="2">
        <f t="shared" si="13"/>
        <v>0</v>
      </c>
      <c r="AE928" s="2">
        <f t="shared" si="14"/>
        <v>0</v>
      </c>
      <c r="AF928" s="2">
        <f t="shared" si="15"/>
        <v>0</v>
      </c>
      <c r="AG928" s="2">
        <f t="shared" si="16"/>
        <v>0</v>
      </c>
      <c r="AH928" s="2">
        <f t="shared" si="17"/>
        <v>0</v>
      </c>
      <c r="AI928" s="2">
        <f t="shared" si="18"/>
      </c>
    </row>
    <row r="929">
      <c r="A929" s="43">
        <f t="shared" si="0"/>
      </c>
      <c r="B929" s="54" t="n"/>
      <c r="C929" s="45" t="n"/>
      <c r="D929" s="50" t="n"/>
      <c r="E929" s="55" t="n"/>
      <c r="F929" s="50" t="n"/>
      <c r="G929" s="55" t="n"/>
      <c r="H929" s="50" t="n"/>
      <c r="I929" s="55" t="n"/>
      <c r="J929" s="50" t="n"/>
      <c r="K929" s="55" t="n"/>
      <c r="L929" s="56" t="n"/>
      <c r="M929" s="57" t="n"/>
      <c r="N929" s="57" t="n"/>
      <c r="O929" s="57" t="n"/>
      <c r="P929" s="57" t="n"/>
      <c r="Q929" s="50" t="n"/>
      <c r="R929" s="58">
        <f t="shared" si="1"/>
      </c>
      <c r="S929" s="59">
        <f t="shared" si="2"/>
      </c>
      <c r="T929" s="43">
        <f t="shared" si="3"/>
      </c>
      <c r="U929" s="60">
        <f t="shared" si="4"/>
      </c>
      <c r="V929" s="60">
        <f t="shared" si="5"/>
      </c>
      <c r="W929" s="60">
        <f t="shared" si="6"/>
      </c>
      <c r="X929" s="49">
        <f t="shared" si="7"/>
      </c>
      <c r="Y929" s="2">
        <f t="shared" si="8"/>
      </c>
      <c r="Z929" s="2">
        <f t="shared" si="9"/>
        <v>0</v>
      </c>
      <c r="AA929" s="2">
        <f t="shared" si="10"/>
        <v>0</v>
      </c>
      <c r="AB929" s="2">
        <f t="shared" si="11"/>
        <v>0</v>
      </c>
      <c r="AC929" s="2">
        <f t="shared" si="12"/>
        <v>0</v>
      </c>
      <c r="AD929" s="2">
        <f t="shared" si="13"/>
        <v>0</v>
      </c>
      <c r="AE929" s="2">
        <f t="shared" si="14"/>
        <v>0</v>
      </c>
      <c r="AF929" s="2">
        <f t="shared" si="15"/>
        <v>0</v>
      </c>
      <c r="AG929" s="2">
        <f t="shared" si="16"/>
        <v>0</v>
      </c>
      <c r="AH929" s="2">
        <f t="shared" si="17"/>
        <v>0</v>
      </c>
      <c r="AI929" s="2">
        <f t="shared" si="18"/>
      </c>
    </row>
    <row r="930">
      <c r="A930" s="43">
        <f t="shared" si="0"/>
      </c>
      <c r="B930" s="54" t="n"/>
      <c r="C930" s="45" t="n"/>
      <c r="D930" s="50" t="n"/>
      <c r="E930" s="55" t="n"/>
      <c r="F930" s="50" t="n"/>
      <c r="G930" s="55" t="n"/>
      <c r="H930" s="50" t="n"/>
      <c r="I930" s="55" t="n"/>
      <c r="J930" s="50" t="n"/>
      <c r="K930" s="55" t="n"/>
      <c r="L930" s="56" t="n"/>
      <c r="M930" s="57" t="n"/>
      <c r="N930" s="57" t="n"/>
      <c r="O930" s="57" t="n"/>
      <c r="P930" s="57" t="n"/>
      <c r="Q930" s="50" t="n"/>
      <c r="R930" s="58">
        <f t="shared" si="1"/>
      </c>
      <c r="S930" s="59">
        <f t="shared" si="2"/>
      </c>
      <c r="T930" s="43">
        <f t="shared" si="3"/>
      </c>
      <c r="U930" s="60">
        <f t="shared" si="4"/>
      </c>
      <c r="V930" s="60">
        <f t="shared" si="5"/>
      </c>
      <c r="W930" s="60">
        <f t="shared" si="6"/>
      </c>
      <c r="X930" s="49">
        <f t="shared" si="7"/>
      </c>
      <c r="Y930" s="2">
        <f t="shared" si="8"/>
      </c>
      <c r="Z930" s="2">
        <f t="shared" si="9"/>
        <v>0</v>
      </c>
      <c r="AA930" s="2">
        <f t="shared" si="10"/>
        <v>0</v>
      </c>
      <c r="AB930" s="2">
        <f t="shared" si="11"/>
        <v>0</v>
      </c>
      <c r="AC930" s="2">
        <f t="shared" si="12"/>
        <v>0</v>
      </c>
      <c r="AD930" s="2">
        <f t="shared" si="13"/>
        <v>0</v>
      </c>
      <c r="AE930" s="2">
        <f t="shared" si="14"/>
        <v>0</v>
      </c>
      <c r="AF930" s="2">
        <f t="shared" si="15"/>
        <v>0</v>
      </c>
      <c r="AG930" s="2">
        <f t="shared" si="16"/>
        <v>0</v>
      </c>
      <c r="AH930" s="2">
        <f t="shared" si="17"/>
        <v>0</v>
      </c>
      <c r="AI930" s="2">
        <f t="shared" si="18"/>
      </c>
    </row>
    <row r="931">
      <c r="A931" s="43">
        <f t="shared" si="0"/>
      </c>
      <c r="B931" s="54" t="n"/>
      <c r="C931" s="45" t="n"/>
      <c r="D931" s="50" t="n"/>
      <c r="E931" s="55" t="n"/>
      <c r="F931" s="50" t="n"/>
      <c r="G931" s="55" t="n"/>
      <c r="H931" s="50" t="n"/>
      <c r="I931" s="55" t="n"/>
      <c r="J931" s="50" t="n"/>
      <c r="K931" s="55" t="n"/>
      <c r="L931" s="56" t="n"/>
      <c r="M931" s="57" t="n"/>
      <c r="N931" s="57" t="n"/>
      <c r="O931" s="57" t="n"/>
      <c r="P931" s="57" t="n"/>
      <c r="Q931" s="50" t="n"/>
      <c r="R931" s="58">
        <f t="shared" si="1"/>
      </c>
      <c r="S931" s="59">
        <f t="shared" si="2"/>
      </c>
      <c r="T931" s="43">
        <f t="shared" si="3"/>
      </c>
      <c r="U931" s="60">
        <f t="shared" si="4"/>
      </c>
      <c r="V931" s="60">
        <f t="shared" si="5"/>
      </c>
      <c r="W931" s="60">
        <f t="shared" si="6"/>
      </c>
      <c r="X931" s="49">
        <f t="shared" si="7"/>
      </c>
      <c r="Y931" s="2">
        <f t="shared" si="8"/>
      </c>
      <c r="Z931" s="2">
        <f t="shared" si="9"/>
        <v>0</v>
      </c>
      <c r="AA931" s="2">
        <f t="shared" si="10"/>
        <v>0</v>
      </c>
      <c r="AB931" s="2">
        <f t="shared" si="11"/>
        <v>0</v>
      </c>
      <c r="AC931" s="2">
        <f t="shared" si="12"/>
        <v>0</v>
      </c>
      <c r="AD931" s="2">
        <f t="shared" si="13"/>
        <v>0</v>
      </c>
      <c r="AE931" s="2">
        <f t="shared" si="14"/>
        <v>0</v>
      </c>
      <c r="AF931" s="2">
        <f t="shared" si="15"/>
        <v>0</v>
      </c>
      <c r="AG931" s="2">
        <f t="shared" si="16"/>
        <v>0</v>
      </c>
      <c r="AH931" s="2">
        <f t="shared" si="17"/>
        <v>0</v>
      </c>
      <c r="AI931" s="2">
        <f t="shared" si="18"/>
      </c>
    </row>
    <row r="932">
      <c r="A932" s="43">
        <f t="shared" si="0"/>
      </c>
      <c r="B932" s="54" t="n"/>
      <c r="C932" s="45" t="n"/>
      <c r="D932" s="50" t="n"/>
      <c r="E932" s="55" t="n"/>
      <c r="F932" s="50" t="n"/>
      <c r="G932" s="55" t="n"/>
      <c r="H932" s="50" t="n"/>
      <c r="I932" s="55" t="n"/>
      <c r="J932" s="50" t="n"/>
      <c r="K932" s="55" t="n"/>
      <c r="L932" s="56" t="n"/>
      <c r="M932" s="57" t="n"/>
      <c r="N932" s="57" t="n"/>
      <c r="O932" s="57" t="n"/>
      <c r="P932" s="57" t="n"/>
      <c r="Q932" s="50" t="n"/>
      <c r="R932" s="58">
        <f t="shared" si="1"/>
      </c>
      <c r="S932" s="59">
        <f t="shared" si="2"/>
      </c>
      <c r="T932" s="43">
        <f t="shared" si="3"/>
      </c>
      <c r="U932" s="60">
        <f t="shared" si="4"/>
      </c>
      <c r="V932" s="60">
        <f t="shared" si="5"/>
      </c>
      <c r="W932" s="60">
        <f t="shared" si="6"/>
      </c>
      <c r="X932" s="49">
        <f t="shared" si="7"/>
      </c>
      <c r="Y932" s="2">
        <f t="shared" si="8"/>
      </c>
      <c r="Z932" s="2">
        <f t="shared" si="9"/>
        <v>0</v>
      </c>
      <c r="AA932" s="2">
        <f t="shared" si="10"/>
        <v>0</v>
      </c>
      <c r="AB932" s="2">
        <f t="shared" si="11"/>
        <v>0</v>
      </c>
      <c r="AC932" s="2">
        <f t="shared" si="12"/>
        <v>0</v>
      </c>
      <c r="AD932" s="2">
        <f t="shared" si="13"/>
        <v>0</v>
      </c>
      <c r="AE932" s="2">
        <f t="shared" si="14"/>
        <v>0</v>
      </c>
      <c r="AF932" s="2">
        <f t="shared" si="15"/>
        <v>0</v>
      </c>
      <c r="AG932" s="2">
        <f t="shared" si="16"/>
        <v>0</v>
      </c>
      <c r="AH932" s="2">
        <f t="shared" si="17"/>
        <v>0</v>
      </c>
      <c r="AI932" s="2">
        <f t="shared" si="18"/>
      </c>
    </row>
    <row r="933">
      <c r="A933" s="43">
        <f t="shared" si="0"/>
      </c>
      <c r="B933" s="54" t="n"/>
      <c r="C933" s="45" t="n"/>
      <c r="D933" s="50" t="n"/>
      <c r="E933" s="55" t="n"/>
      <c r="F933" s="50" t="n"/>
      <c r="G933" s="55" t="n"/>
      <c r="H933" s="50" t="n"/>
      <c r="I933" s="55" t="n"/>
      <c r="J933" s="50" t="n"/>
      <c r="K933" s="55" t="n"/>
      <c r="L933" s="56" t="n"/>
      <c r="M933" s="57" t="n"/>
      <c r="N933" s="57" t="n"/>
      <c r="O933" s="57" t="n"/>
      <c r="P933" s="57" t="n"/>
      <c r="Q933" s="50" t="n"/>
      <c r="R933" s="58">
        <f t="shared" si="1"/>
      </c>
      <c r="S933" s="59">
        <f t="shared" si="2"/>
      </c>
      <c r="T933" s="43">
        <f t="shared" si="3"/>
      </c>
      <c r="U933" s="60">
        <f t="shared" si="4"/>
      </c>
      <c r="V933" s="60">
        <f t="shared" si="5"/>
      </c>
      <c r="W933" s="60">
        <f t="shared" si="6"/>
      </c>
      <c r="X933" s="49">
        <f t="shared" si="7"/>
      </c>
      <c r="Y933" s="2">
        <f t="shared" si="8"/>
      </c>
      <c r="Z933" s="2">
        <f t="shared" si="9"/>
        <v>0</v>
      </c>
      <c r="AA933" s="2">
        <f t="shared" si="10"/>
        <v>0</v>
      </c>
      <c r="AB933" s="2">
        <f t="shared" si="11"/>
        <v>0</v>
      </c>
      <c r="AC933" s="2">
        <f t="shared" si="12"/>
        <v>0</v>
      </c>
      <c r="AD933" s="2">
        <f t="shared" si="13"/>
        <v>0</v>
      </c>
      <c r="AE933" s="2">
        <f t="shared" si="14"/>
        <v>0</v>
      </c>
      <c r="AF933" s="2">
        <f t="shared" si="15"/>
        <v>0</v>
      </c>
      <c r="AG933" s="2">
        <f t="shared" si="16"/>
        <v>0</v>
      </c>
      <c r="AH933" s="2">
        <f t="shared" si="17"/>
        <v>0</v>
      </c>
      <c r="AI933" s="2">
        <f t="shared" si="18"/>
      </c>
    </row>
    <row r="934">
      <c r="A934" s="43">
        <f t="shared" si="0"/>
      </c>
      <c r="B934" s="54" t="n"/>
      <c r="C934" s="45" t="n"/>
      <c r="D934" s="50" t="n"/>
      <c r="E934" s="55" t="n"/>
      <c r="F934" s="50" t="n"/>
      <c r="G934" s="55" t="n"/>
      <c r="H934" s="50" t="n"/>
      <c r="I934" s="55" t="n"/>
      <c r="J934" s="50" t="n"/>
      <c r="K934" s="55" t="n"/>
      <c r="L934" s="56" t="n"/>
      <c r="M934" s="57" t="n"/>
      <c r="N934" s="57" t="n"/>
      <c r="O934" s="57" t="n"/>
      <c r="P934" s="57" t="n"/>
      <c r="Q934" s="50" t="n"/>
      <c r="R934" s="58">
        <f t="shared" si="1"/>
      </c>
      <c r="S934" s="59">
        <f t="shared" si="2"/>
      </c>
      <c r="T934" s="43">
        <f t="shared" si="3"/>
      </c>
      <c r="U934" s="60">
        <f t="shared" si="4"/>
      </c>
      <c r="V934" s="60">
        <f t="shared" si="5"/>
      </c>
      <c r="W934" s="60">
        <f t="shared" si="6"/>
      </c>
      <c r="X934" s="49">
        <f t="shared" si="7"/>
      </c>
      <c r="Y934" s="2">
        <f t="shared" si="8"/>
      </c>
      <c r="Z934" s="2">
        <f t="shared" si="9"/>
        <v>0</v>
      </c>
      <c r="AA934" s="2">
        <f t="shared" si="10"/>
        <v>0</v>
      </c>
      <c r="AB934" s="2">
        <f t="shared" si="11"/>
        <v>0</v>
      </c>
      <c r="AC934" s="2">
        <f t="shared" si="12"/>
        <v>0</v>
      </c>
      <c r="AD934" s="2">
        <f t="shared" si="13"/>
        <v>0</v>
      </c>
      <c r="AE934" s="2">
        <f t="shared" si="14"/>
        <v>0</v>
      </c>
      <c r="AF934" s="2">
        <f t="shared" si="15"/>
        <v>0</v>
      </c>
      <c r="AG934" s="2">
        <f t="shared" si="16"/>
        <v>0</v>
      </c>
      <c r="AH934" s="2">
        <f t="shared" si="17"/>
        <v>0</v>
      </c>
      <c r="AI934" s="2">
        <f t="shared" si="18"/>
      </c>
    </row>
    <row r="935">
      <c r="A935" s="43">
        <f t="shared" si="0"/>
      </c>
      <c r="B935" s="54" t="n"/>
      <c r="C935" s="45" t="n"/>
      <c r="D935" s="50" t="n"/>
      <c r="E935" s="55" t="n"/>
      <c r="F935" s="50" t="n"/>
      <c r="G935" s="55" t="n"/>
      <c r="H935" s="50" t="n"/>
      <c r="I935" s="55" t="n"/>
      <c r="J935" s="50" t="n"/>
      <c r="K935" s="55" t="n"/>
      <c r="L935" s="56" t="n"/>
      <c r="M935" s="57" t="n"/>
      <c r="N935" s="57" t="n"/>
      <c r="O935" s="57" t="n"/>
      <c r="P935" s="57" t="n"/>
      <c r="Q935" s="50" t="n"/>
      <c r="R935" s="58">
        <f t="shared" si="1"/>
      </c>
      <c r="S935" s="59">
        <f t="shared" si="2"/>
      </c>
      <c r="T935" s="43">
        <f t="shared" si="3"/>
      </c>
      <c r="U935" s="60">
        <f t="shared" si="4"/>
      </c>
      <c r="V935" s="60">
        <f t="shared" si="5"/>
      </c>
      <c r="W935" s="60">
        <f t="shared" si="6"/>
      </c>
      <c r="X935" s="49">
        <f t="shared" si="7"/>
      </c>
      <c r="Y935" s="2">
        <f t="shared" si="8"/>
      </c>
      <c r="Z935" s="2">
        <f t="shared" si="9"/>
        <v>0</v>
      </c>
      <c r="AA935" s="2">
        <f t="shared" si="10"/>
        <v>0</v>
      </c>
      <c r="AB935" s="2">
        <f t="shared" si="11"/>
        <v>0</v>
      </c>
      <c r="AC935" s="2">
        <f t="shared" si="12"/>
        <v>0</v>
      </c>
      <c r="AD935" s="2">
        <f t="shared" si="13"/>
        <v>0</v>
      </c>
      <c r="AE935" s="2">
        <f t="shared" si="14"/>
        <v>0</v>
      </c>
      <c r="AF935" s="2">
        <f t="shared" si="15"/>
        <v>0</v>
      </c>
      <c r="AG935" s="2">
        <f t="shared" si="16"/>
        <v>0</v>
      </c>
      <c r="AH935" s="2">
        <f t="shared" si="17"/>
        <v>0</v>
      </c>
      <c r="AI935" s="2">
        <f t="shared" si="18"/>
      </c>
    </row>
    <row r="936">
      <c r="A936" s="43">
        <f t="shared" si="0"/>
      </c>
      <c r="B936" s="54" t="n"/>
      <c r="C936" s="45" t="n"/>
      <c r="D936" s="50" t="n"/>
      <c r="E936" s="55" t="n"/>
      <c r="F936" s="50" t="n"/>
      <c r="G936" s="55" t="n"/>
      <c r="H936" s="50" t="n"/>
      <c r="I936" s="55" t="n"/>
      <c r="J936" s="50" t="n"/>
      <c r="K936" s="55" t="n"/>
      <c r="L936" s="56" t="n"/>
      <c r="M936" s="57" t="n"/>
      <c r="N936" s="57" t="n"/>
      <c r="O936" s="57" t="n"/>
      <c r="P936" s="57" t="n"/>
      <c r="Q936" s="50" t="n"/>
      <c r="R936" s="58">
        <f t="shared" si="1"/>
      </c>
      <c r="S936" s="59">
        <f t="shared" si="2"/>
      </c>
      <c r="T936" s="43">
        <f t="shared" si="3"/>
      </c>
      <c r="U936" s="60">
        <f t="shared" si="4"/>
      </c>
      <c r="V936" s="60">
        <f t="shared" si="5"/>
      </c>
      <c r="W936" s="60">
        <f t="shared" si="6"/>
      </c>
      <c r="X936" s="49">
        <f t="shared" si="7"/>
      </c>
      <c r="Y936" s="2">
        <f t="shared" si="8"/>
      </c>
      <c r="Z936" s="2">
        <f t="shared" si="9"/>
        <v>0</v>
      </c>
      <c r="AA936" s="2">
        <f t="shared" si="10"/>
        <v>0</v>
      </c>
      <c r="AB936" s="2">
        <f t="shared" si="11"/>
        <v>0</v>
      </c>
      <c r="AC936" s="2">
        <f t="shared" si="12"/>
        <v>0</v>
      </c>
      <c r="AD936" s="2">
        <f t="shared" si="13"/>
        <v>0</v>
      </c>
      <c r="AE936" s="2">
        <f t="shared" si="14"/>
        <v>0</v>
      </c>
      <c r="AF936" s="2">
        <f t="shared" si="15"/>
        <v>0</v>
      </c>
      <c r="AG936" s="2">
        <f t="shared" si="16"/>
        <v>0</v>
      </c>
      <c r="AH936" s="2">
        <f t="shared" si="17"/>
        <v>0</v>
      </c>
      <c r="AI936" s="2">
        <f t="shared" si="18"/>
      </c>
    </row>
    <row r="937">
      <c r="A937" s="43">
        <f t="shared" si="0"/>
      </c>
      <c r="B937" s="54" t="n"/>
      <c r="C937" s="45" t="n"/>
      <c r="D937" s="50" t="n"/>
      <c r="E937" s="55" t="n"/>
      <c r="F937" s="50" t="n"/>
      <c r="G937" s="55" t="n"/>
      <c r="H937" s="50" t="n"/>
      <c r="I937" s="55" t="n"/>
      <c r="J937" s="50" t="n"/>
      <c r="K937" s="55" t="n"/>
      <c r="L937" s="56" t="n"/>
      <c r="M937" s="57" t="n"/>
      <c r="N937" s="57" t="n"/>
      <c r="O937" s="57" t="n"/>
      <c r="P937" s="57" t="n"/>
      <c r="Q937" s="50" t="n"/>
      <c r="R937" s="58">
        <f t="shared" si="1"/>
      </c>
      <c r="S937" s="59">
        <f t="shared" si="2"/>
      </c>
      <c r="T937" s="43">
        <f t="shared" si="3"/>
      </c>
      <c r="U937" s="60">
        <f t="shared" si="4"/>
      </c>
      <c r="V937" s="60">
        <f t="shared" si="5"/>
      </c>
      <c r="W937" s="60">
        <f t="shared" si="6"/>
      </c>
      <c r="X937" s="49">
        <f t="shared" si="7"/>
      </c>
      <c r="Y937" s="2">
        <f t="shared" si="8"/>
      </c>
      <c r="Z937" s="2">
        <f t="shared" si="9"/>
        <v>0</v>
      </c>
      <c r="AA937" s="2">
        <f t="shared" si="10"/>
        <v>0</v>
      </c>
      <c r="AB937" s="2">
        <f t="shared" si="11"/>
        <v>0</v>
      </c>
      <c r="AC937" s="2">
        <f t="shared" si="12"/>
        <v>0</v>
      </c>
      <c r="AD937" s="2">
        <f t="shared" si="13"/>
        <v>0</v>
      </c>
      <c r="AE937" s="2">
        <f t="shared" si="14"/>
        <v>0</v>
      </c>
      <c r="AF937" s="2">
        <f t="shared" si="15"/>
        <v>0</v>
      </c>
      <c r="AG937" s="2">
        <f t="shared" si="16"/>
        <v>0</v>
      </c>
      <c r="AH937" s="2">
        <f t="shared" si="17"/>
        <v>0</v>
      </c>
      <c r="AI937" s="2">
        <f t="shared" si="18"/>
      </c>
    </row>
    <row r="938">
      <c r="A938" s="43">
        <f t="shared" si="0"/>
      </c>
      <c r="B938" s="54" t="n"/>
      <c r="C938" s="45" t="n"/>
      <c r="D938" s="50" t="n"/>
      <c r="E938" s="55" t="n"/>
      <c r="F938" s="50" t="n"/>
      <c r="G938" s="55" t="n"/>
      <c r="H938" s="50" t="n"/>
      <c r="I938" s="55" t="n"/>
      <c r="J938" s="50" t="n"/>
      <c r="K938" s="55" t="n"/>
      <c r="L938" s="56" t="n"/>
      <c r="M938" s="57" t="n"/>
      <c r="N938" s="57" t="n"/>
      <c r="O938" s="57" t="n"/>
      <c r="P938" s="57" t="n"/>
      <c r="Q938" s="50" t="n"/>
      <c r="R938" s="58">
        <f t="shared" si="1"/>
      </c>
      <c r="S938" s="59">
        <f t="shared" si="2"/>
      </c>
      <c r="T938" s="43">
        <f t="shared" si="3"/>
      </c>
      <c r="U938" s="60">
        <f t="shared" si="4"/>
      </c>
      <c r="V938" s="60">
        <f t="shared" si="5"/>
      </c>
      <c r="W938" s="60">
        <f t="shared" si="6"/>
      </c>
      <c r="X938" s="49">
        <f t="shared" si="7"/>
      </c>
      <c r="Y938" s="2">
        <f t="shared" si="8"/>
      </c>
      <c r="Z938" s="2">
        <f t="shared" si="9"/>
        <v>0</v>
      </c>
      <c r="AA938" s="2">
        <f t="shared" si="10"/>
        <v>0</v>
      </c>
      <c r="AB938" s="2">
        <f t="shared" si="11"/>
        <v>0</v>
      </c>
      <c r="AC938" s="2">
        <f t="shared" si="12"/>
        <v>0</v>
      </c>
      <c r="AD938" s="2">
        <f t="shared" si="13"/>
        <v>0</v>
      </c>
      <c r="AE938" s="2">
        <f t="shared" si="14"/>
        <v>0</v>
      </c>
      <c r="AF938" s="2">
        <f t="shared" si="15"/>
        <v>0</v>
      </c>
      <c r="AG938" s="2">
        <f t="shared" si="16"/>
        <v>0</v>
      </c>
      <c r="AH938" s="2">
        <f t="shared" si="17"/>
        <v>0</v>
      </c>
      <c r="AI938" s="2">
        <f t="shared" si="18"/>
      </c>
    </row>
    <row r="939">
      <c r="A939" s="43">
        <f t="shared" si="0"/>
      </c>
      <c r="B939" s="54" t="n"/>
      <c r="C939" s="45" t="n"/>
      <c r="D939" s="50" t="n"/>
      <c r="E939" s="55" t="n"/>
      <c r="F939" s="50" t="n"/>
      <c r="G939" s="55" t="n"/>
      <c r="H939" s="50" t="n"/>
      <c r="I939" s="55" t="n"/>
      <c r="J939" s="50" t="n"/>
      <c r="K939" s="55" t="n"/>
      <c r="L939" s="56" t="n"/>
      <c r="M939" s="57" t="n"/>
      <c r="N939" s="57" t="n"/>
      <c r="O939" s="57" t="n"/>
      <c r="P939" s="57" t="n"/>
      <c r="Q939" s="50" t="n"/>
      <c r="R939" s="58">
        <f t="shared" si="1"/>
      </c>
      <c r="S939" s="59">
        <f t="shared" si="2"/>
      </c>
      <c r="T939" s="43">
        <f t="shared" si="3"/>
      </c>
      <c r="U939" s="60">
        <f t="shared" si="4"/>
      </c>
      <c r="V939" s="60">
        <f t="shared" si="5"/>
      </c>
      <c r="W939" s="60">
        <f t="shared" si="6"/>
      </c>
      <c r="X939" s="49">
        <f t="shared" si="7"/>
      </c>
      <c r="Y939" s="2">
        <f t="shared" si="8"/>
      </c>
      <c r="Z939" s="2">
        <f t="shared" si="9"/>
        <v>0</v>
      </c>
      <c r="AA939" s="2">
        <f t="shared" si="10"/>
        <v>0</v>
      </c>
      <c r="AB939" s="2">
        <f t="shared" si="11"/>
        <v>0</v>
      </c>
      <c r="AC939" s="2">
        <f t="shared" si="12"/>
        <v>0</v>
      </c>
      <c r="AD939" s="2">
        <f t="shared" si="13"/>
        <v>0</v>
      </c>
      <c r="AE939" s="2">
        <f t="shared" si="14"/>
        <v>0</v>
      </c>
      <c r="AF939" s="2">
        <f t="shared" si="15"/>
        <v>0</v>
      </c>
      <c r="AG939" s="2">
        <f t="shared" si="16"/>
        <v>0</v>
      </c>
      <c r="AH939" s="2">
        <f t="shared" si="17"/>
        <v>0</v>
      </c>
      <c r="AI939" s="2">
        <f t="shared" si="18"/>
      </c>
    </row>
    <row r="940">
      <c r="A940" s="43">
        <f t="shared" si="0"/>
      </c>
      <c r="B940" s="54" t="n"/>
      <c r="C940" s="45" t="n"/>
      <c r="D940" s="50" t="n"/>
      <c r="E940" s="55" t="n"/>
      <c r="F940" s="50" t="n"/>
      <c r="G940" s="55" t="n"/>
      <c r="H940" s="50" t="n"/>
      <c r="I940" s="55" t="n"/>
      <c r="J940" s="50" t="n"/>
      <c r="K940" s="55" t="n"/>
      <c r="L940" s="56" t="n"/>
      <c r="M940" s="57" t="n"/>
      <c r="N940" s="57" t="n"/>
      <c r="O940" s="57" t="n"/>
      <c r="P940" s="57" t="n"/>
      <c r="Q940" s="50" t="n"/>
      <c r="R940" s="58">
        <f t="shared" si="1"/>
      </c>
      <c r="S940" s="59">
        <f t="shared" si="2"/>
      </c>
      <c r="T940" s="43">
        <f t="shared" si="3"/>
      </c>
      <c r="U940" s="60">
        <f t="shared" si="4"/>
      </c>
      <c r="V940" s="60">
        <f t="shared" si="5"/>
      </c>
      <c r="W940" s="60">
        <f t="shared" si="6"/>
      </c>
      <c r="X940" s="49">
        <f t="shared" si="7"/>
      </c>
      <c r="Y940" s="2">
        <f t="shared" si="8"/>
      </c>
      <c r="Z940" s="2">
        <f t="shared" si="9"/>
        <v>0</v>
      </c>
      <c r="AA940" s="2">
        <f t="shared" si="10"/>
        <v>0</v>
      </c>
      <c r="AB940" s="2">
        <f t="shared" si="11"/>
        <v>0</v>
      </c>
      <c r="AC940" s="2">
        <f t="shared" si="12"/>
        <v>0</v>
      </c>
      <c r="AD940" s="2">
        <f t="shared" si="13"/>
        <v>0</v>
      </c>
      <c r="AE940" s="2">
        <f t="shared" si="14"/>
        <v>0</v>
      </c>
      <c r="AF940" s="2">
        <f t="shared" si="15"/>
        <v>0</v>
      </c>
      <c r="AG940" s="2">
        <f t="shared" si="16"/>
        <v>0</v>
      </c>
      <c r="AH940" s="2">
        <f t="shared" si="17"/>
        <v>0</v>
      </c>
      <c r="AI940" s="2">
        <f t="shared" si="18"/>
      </c>
    </row>
    <row r="941">
      <c r="A941" s="43">
        <f t="shared" si="0"/>
      </c>
      <c r="B941" s="54" t="n"/>
      <c r="C941" s="45" t="n"/>
      <c r="D941" s="50" t="n"/>
      <c r="E941" s="55" t="n"/>
      <c r="F941" s="50" t="n"/>
      <c r="G941" s="55" t="n"/>
      <c r="H941" s="50" t="n"/>
      <c r="I941" s="55" t="n"/>
      <c r="J941" s="50" t="n"/>
      <c r="K941" s="55" t="n"/>
      <c r="L941" s="56" t="n"/>
      <c r="M941" s="57" t="n"/>
      <c r="N941" s="57" t="n"/>
      <c r="O941" s="57" t="n"/>
      <c r="P941" s="57" t="n"/>
      <c r="Q941" s="50" t="n"/>
      <c r="R941" s="58">
        <f t="shared" si="1"/>
      </c>
      <c r="S941" s="59">
        <f t="shared" si="2"/>
      </c>
      <c r="T941" s="43">
        <f t="shared" si="3"/>
      </c>
      <c r="U941" s="60">
        <f t="shared" si="4"/>
      </c>
      <c r="V941" s="60">
        <f t="shared" si="5"/>
      </c>
      <c r="W941" s="60">
        <f t="shared" si="6"/>
      </c>
      <c r="X941" s="49">
        <f t="shared" si="7"/>
      </c>
      <c r="Y941" s="2">
        <f t="shared" si="8"/>
      </c>
      <c r="Z941" s="2">
        <f t="shared" si="9"/>
        <v>0</v>
      </c>
      <c r="AA941" s="2">
        <f t="shared" si="10"/>
        <v>0</v>
      </c>
      <c r="AB941" s="2">
        <f t="shared" si="11"/>
        <v>0</v>
      </c>
      <c r="AC941" s="2">
        <f t="shared" si="12"/>
        <v>0</v>
      </c>
      <c r="AD941" s="2">
        <f t="shared" si="13"/>
        <v>0</v>
      </c>
      <c r="AE941" s="2">
        <f t="shared" si="14"/>
        <v>0</v>
      </c>
      <c r="AF941" s="2">
        <f t="shared" si="15"/>
        <v>0</v>
      </c>
      <c r="AG941" s="2">
        <f t="shared" si="16"/>
        <v>0</v>
      </c>
      <c r="AH941" s="2">
        <f t="shared" si="17"/>
        <v>0</v>
      </c>
      <c r="AI941" s="2">
        <f t="shared" si="18"/>
      </c>
    </row>
    <row r="942">
      <c r="A942" s="43">
        <f t="shared" si="0"/>
      </c>
      <c r="B942" s="54" t="n"/>
      <c r="C942" s="45" t="n"/>
      <c r="D942" s="50" t="n"/>
      <c r="E942" s="55" t="n"/>
      <c r="F942" s="50" t="n"/>
      <c r="G942" s="55" t="n"/>
      <c r="H942" s="50" t="n"/>
      <c r="I942" s="55" t="n"/>
      <c r="J942" s="50" t="n"/>
      <c r="K942" s="55" t="n"/>
      <c r="L942" s="56" t="n"/>
      <c r="M942" s="57" t="n"/>
      <c r="N942" s="57" t="n"/>
      <c r="O942" s="57" t="n"/>
      <c r="P942" s="57" t="n"/>
      <c r="Q942" s="50" t="n"/>
      <c r="R942" s="58">
        <f t="shared" si="1"/>
      </c>
      <c r="S942" s="59">
        <f t="shared" si="2"/>
      </c>
      <c r="T942" s="43">
        <f t="shared" si="3"/>
      </c>
      <c r="U942" s="60">
        <f t="shared" si="4"/>
      </c>
      <c r="V942" s="60">
        <f t="shared" si="5"/>
      </c>
      <c r="W942" s="60">
        <f t="shared" si="6"/>
      </c>
      <c r="X942" s="49">
        <f t="shared" si="7"/>
      </c>
      <c r="Y942" s="2">
        <f t="shared" si="8"/>
      </c>
      <c r="Z942" s="2">
        <f t="shared" si="9"/>
        <v>0</v>
      </c>
      <c r="AA942" s="2">
        <f t="shared" si="10"/>
        <v>0</v>
      </c>
      <c r="AB942" s="2">
        <f t="shared" si="11"/>
        <v>0</v>
      </c>
      <c r="AC942" s="2">
        <f t="shared" si="12"/>
        <v>0</v>
      </c>
      <c r="AD942" s="2">
        <f t="shared" si="13"/>
        <v>0</v>
      </c>
      <c r="AE942" s="2">
        <f t="shared" si="14"/>
        <v>0</v>
      </c>
      <c r="AF942" s="2">
        <f t="shared" si="15"/>
        <v>0</v>
      </c>
      <c r="AG942" s="2">
        <f t="shared" si="16"/>
        <v>0</v>
      </c>
      <c r="AH942" s="2">
        <f t="shared" si="17"/>
        <v>0</v>
      </c>
      <c r="AI942" s="2">
        <f t="shared" si="18"/>
      </c>
    </row>
    <row r="943">
      <c r="A943" s="43">
        <f t="shared" si="0"/>
      </c>
      <c r="B943" s="54" t="n"/>
      <c r="C943" s="45" t="n"/>
      <c r="D943" s="50" t="n"/>
      <c r="E943" s="55" t="n"/>
      <c r="F943" s="50" t="n"/>
      <c r="G943" s="55" t="n"/>
      <c r="H943" s="50" t="n"/>
      <c r="I943" s="55" t="n"/>
      <c r="J943" s="50" t="n"/>
      <c r="K943" s="55" t="n"/>
      <c r="L943" s="56" t="n"/>
      <c r="M943" s="57" t="n"/>
      <c r="N943" s="57" t="n"/>
      <c r="O943" s="57" t="n"/>
      <c r="P943" s="57" t="n"/>
      <c r="Q943" s="50" t="n"/>
      <c r="R943" s="58">
        <f t="shared" si="1"/>
      </c>
      <c r="S943" s="59">
        <f t="shared" si="2"/>
      </c>
      <c r="T943" s="43">
        <f t="shared" si="3"/>
      </c>
      <c r="U943" s="60">
        <f t="shared" si="4"/>
      </c>
      <c r="V943" s="60">
        <f t="shared" si="5"/>
      </c>
      <c r="W943" s="60">
        <f t="shared" si="6"/>
      </c>
      <c r="X943" s="49">
        <f t="shared" si="7"/>
      </c>
      <c r="Y943" s="2">
        <f t="shared" si="8"/>
      </c>
      <c r="Z943" s="2">
        <f t="shared" si="9"/>
        <v>0</v>
      </c>
      <c r="AA943" s="2">
        <f t="shared" si="10"/>
        <v>0</v>
      </c>
      <c r="AB943" s="2">
        <f t="shared" si="11"/>
        <v>0</v>
      </c>
      <c r="AC943" s="2">
        <f t="shared" si="12"/>
        <v>0</v>
      </c>
      <c r="AD943" s="2">
        <f t="shared" si="13"/>
        <v>0</v>
      </c>
      <c r="AE943" s="2">
        <f t="shared" si="14"/>
        <v>0</v>
      </c>
      <c r="AF943" s="2">
        <f t="shared" si="15"/>
        <v>0</v>
      </c>
      <c r="AG943" s="2">
        <f t="shared" si="16"/>
        <v>0</v>
      </c>
      <c r="AH943" s="2">
        <f t="shared" si="17"/>
        <v>0</v>
      </c>
      <c r="AI943" s="2">
        <f t="shared" si="18"/>
      </c>
    </row>
    <row r="944">
      <c r="A944" s="43">
        <f t="shared" si="0"/>
      </c>
      <c r="B944" s="54" t="n"/>
      <c r="C944" s="45" t="n"/>
      <c r="D944" s="50" t="n"/>
      <c r="E944" s="55" t="n"/>
      <c r="F944" s="50" t="n"/>
      <c r="G944" s="55" t="n"/>
      <c r="H944" s="50" t="n"/>
      <c r="I944" s="55" t="n"/>
      <c r="J944" s="50" t="n"/>
      <c r="K944" s="55" t="n"/>
      <c r="L944" s="56" t="n"/>
      <c r="M944" s="57" t="n"/>
      <c r="N944" s="57" t="n"/>
      <c r="O944" s="57" t="n"/>
      <c r="P944" s="57" t="n"/>
      <c r="Q944" s="50" t="n"/>
      <c r="R944" s="58">
        <f t="shared" si="1"/>
      </c>
      <c r="S944" s="59">
        <f t="shared" si="2"/>
      </c>
      <c r="T944" s="43">
        <f t="shared" si="3"/>
      </c>
      <c r="U944" s="60">
        <f t="shared" si="4"/>
      </c>
      <c r="V944" s="60">
        <f t="shared" si="5"/>
      </c>
      <c r="W944" s="60">
        <f t="shared" si="6"/>
      </c>
      <c r="X944" s="49">
        <f t="shared" si="7"/>
      </c>
      <c r="Y944" s="2">
        <f t="shared" si="8"/>
      </c>
      <c r="Z944" s="2">
        <f t="shared" si="9"/>
        <v>0</v>
      </c>
      <c r="AA944" s="2">
        <f t="shared" si="10"/>
        <v>0</v>
      </c>
      <c r="AB944" s="2">
        <f t="shared" si="11"/>
        <v>0</v>
      </c>
      <c r="AC944" s="2">
        <f t="shared" si="12"/>
        <v>0</v>
      </c>
      <c r="AD944" s="2">
        <f t="shared" si="13"/>
        <v>0</v>
      </c>
      <c r="AE944" s="2">
        <f t="shared" si="14"/>
        <v>0</v>
      </c>
      <c r="AF944" s="2">
        <f t="shared" si="15"/>
        <v>0</v>
      </c>
      <c r="AG944" s="2">
        <f t="shared" si="16"/>
        <v>0</v>
      </c>
      <c r="AH944" s="2">
        <f t="shared" si="17"/>
        <v>0</v>
      </c>
      <c r="AI944" s="2">
        <f t="shared" si="18"/>
      </c>
    </row>
    <row r="945">
      <c r="A945" s="43">
        <f t="shared" si="0"/>
      </c>
      <c r="B945" s="54" t="n"/>
      <c r="C945" s="45" t="n"/>
      <c r="D945" s="50" t="n"/>
      <c r="E945" s="55" t="n"/>
      <c r="F945" s="50" t="n"/>
      <c r="G945" s="55" t="n"/>
      <c r="H945" s="50" t="n"/>
      <c r="I945" s="55" t="n"/>
      <c r="J945" s="50" t="n"/>
      <c r="K945" s="55" t="n"/>
      <c r="L945" s="56" t="n"/>
      <c r="M945" s="57" t="n"/>
      <c r="N945" s="57" t="n"/>
      <c r="O945" s="57" t="n"/>
      <c r="P945" s="57" t="n"/>
      <c r="Q945" s="50" t="n"/>
      <c r="R945" s="58">
        <f t="shared" si="1"/>
      </c>
      <c r="S945" s="59">
        <f t="shared" si="2"/>
      </c>
      <c r="T945" s="43">
        <f t="shared" si="3"/>
      </c>
      <c r="U945" s="60">
        <f t="shared" si="4"/>
      </c>
      <c r="V945" s="60">
        <f t="shared" si="5"/>
      </c>
      <c r="W945" s="60">
        <f t="shared" si="6"/>
      </c>
      <c r="X945" s="49">
        <f t="shared" si="7"/>
      </c>
      <c r="Y945" s="2">
        <f t="shared" si="8"/>
      </c>
      <c r="Z945" s="2">
        <f t="shared" si="9"/>
        <v>0</v>
      </c>
      <c r="AA945" s="2">
        <f t="shared" si="10"/>
        <v>0</v>
      </c>
      <c r="AB945" s="2">
        <f t="shared" si="11"/>
        <v>0</v>
      </c>
      <c r="AC945" s="2">
        <f t="shared" si="12"/>
        <v>0</v>
      </c>
      <c r="AD945" s="2">
        <f t="shared" si="13"/>
        <v>0</v>
      </c>
      <c r="AE945" s="2">
        <f t="shared" si="14"/>
        <v>0</v>
      </c>
      <c r="AF945" s="2">
        <f t="shared" si="15"/>
        <v>0</v>
      </c>
      <c r="AG945" s="2">
        <f t="shared" si="16"/>
        <v>0</v>
      </c>
      <c r="AH945" s="2">
        <f t="shared" si="17"/>
        <v>0</v>
      </c>
      <c r="AI945" s="2">
        <f t="shared" si="18"/>
      </c>
    </row>
    <row r="946">
      <c r="A946" s="43">
        <f t="shared" si="0"/>
      </c>
      <c r="B946" s="54" t="n"/>
      <c r="C946" s="45" t="n"/>
      <c r="D946" s="50" t="n"/>
      <c r="E946" s="55" t="n"/>
      <c r="F946" s="50" t="n"/>
      <c r="G946" s="55" t="n"/>
      <c r="H946" s="50" t="n"/>
      <c r="I946" s="55" t="n"/>
      <c r="J946" s="50" t="n"/>
      <c r="K946" s="55" t="n"/>
      <c r="L946" s="56" t="n"/>
      <c r="M946" s="57" t="n"/>
      <c r="N946" s="57" t="n"/>
      <c r="O946" s="57" t="n"/>
      <c r="P946" s="57" t="n"/>
      <c r="Q946" s="50" t="n"/>
      <c r="R946" s="58">
        <f t="shared" si="1"/>
      </c>
      <c r="S946" s="59">
        <f t="shared" si="2"/>
      </c>
      <c r="T946" s="43">
        <f t="shared" si="3"/>
      </c>
      <c r="U946" s="60">
        <f t="shared" si="4"/>
      </c>
      <c r="V946" s="60">
        <f t="shared" si="5"/>
      </c>
      <c r="W946" s="60">
        <f t="shared" si="6"/>
      </c>
      <c r="X946" s="49">
        <f t="shared" si="7"/>
      </c>
      <c r="Y946" s="2">
        <f t="shared" si="8"/>
      </c>
      <c r="Z946" s="2">
        <f t="shared" si="9"/>
        <v>0</v>
      </c>
      <c r="AA946" s="2">
        <f t="shared" si="10"/>
        <v>0</v>
      </c>
      <c r="AB946" s="2">
        <f t="shared" si="11"/>
        <v>0</v>
      </c>
      <c r="AC946" s="2">
        <f t="shared" si="12"/>
        <v>0</v>
      </c>
      <c r="AD946" s="2">
        <f t="shared" si="13"/>
        <v>0</v>
      </c>
      <c r="AE946" s="2">
        <f t="shared" si="14"/>
        <v>0</v>
      </c>
      <c r="AF946" s="2">
        <f t="shared" si="15"/>
        <v>0</v>
      </c>
      <c r="AG946" s="2">
        <f t="shared" si="16"/>
        <v>0</v>
      </c>
      <c r="AH946" s="2">
        <f t="shared" si="17"/>
        <v>0</v>
      </c>
      <c r="AI946" s="2">
        <f t="shared" si="18"/>
      </c>
    </row>
    <row r="947">
      <c r="A947" s="43">
        <f t="shared" si="0"/>
      </c>
      <c r="B947" s="54" t="n"/>
      <c r="C947" s="45" t="n"/>
      <c r="D947" s="50" t="n"/>
      <c r="E947" s="55" t="n"/>
      <c r="F947" s="50" t="n"/>
      <c r="G947" s="55" t="n"/>
      <c r="H947" s="50" t="n"/>
      <c r="I947" s="55" t="n"/>
      <c r="J947" s="50" t="n"/>
      <c r="K947" s="55" t="n"/>
      <c r="L947" s="56" t="n"/>
      <c r="M947" s="57" t="n"/>
      <c r="N947" s="57" t="n"/>
      <c r="O947" s="57" t="n"/>
      <c r="P947" s="57" t="n"/>
      <c r="Q947" s="50" t="n"/>
      <c r="R947" s="58">
        <f t="shared" si="1"/>
      </c>
      <c r="S947" s="59">
        <f t="shared" si="2"/>
      </c>
      <c r="T947" s="43">
        <f t="shared" si="3"/>
      </c>
      <c r="U947" s="60">
        <f t="shared" si="4"/>
      </c>
      <c r="V947" s="60">
        <f t="shared" si="5"/>
      </c>
      <c r="W947" s="60">
        <f t="shared" si="6"/>
      </c>
      <c r="X947" s="49">
        <f t="shared" si="7"/>
      </c>
      <c r="Y947" s="2">
        <f t="shared" si="8"/>
      </c>
      <c r="Z947" s="2">
        <f t="shared" si="9"/>
        <v>0</v>
      </c>
      <c r="AA947" s="2">
        <f t="shared" si="10"/>
        <v>0</v>
      </c>
      <c r="AB947" s="2">
        <f t="shared" si="11"/>
        <v>0</v>
      </c>
      <c r="AC947" s="2">
        <f t="shared" si="12"/>
        <v>0</v>
      </c>
      <c r="AD947" s="2">
        <f t="shared" si="13"/>
        <v>0</v>
      </c>
      <c r="AE947" s="2">
        <f t="shared" si="14"/>
        <v>0</v>
      </c>
      <c r="AF947" s="2">
        <f t="shared" si="15"/>
        <v>0</v>
      </c>
      <c r="AG947" s="2">
        <f t="shared" si="16"/>
        <v>0</v>
      </c>
      <c r="AH947" s="2">
        <f t="shared" si="17"/>
        <v>0</v>
      </c>
      <c r="AI947" s="2">
        <f t="shared" si="18"/>
      </c>
    </row>
    <row r="948">
      <c r="A948" s="43">
        <f t="shared" si="0"/>
      </c>
      <c r="B948" s="54" t="n"/>
      <c r="C948" s="45" t="n"/>
      <c r="D948" s="50" t="n"/>
      <c r="E948" s="55" t="n"/>
      <c r="F948" s="50" t="n"/>
      <c r="G948" s="55" t="n"/>
      <c r="H948" s="50" t="n"/>
      <c r="I948" s="55" t="n"/>
      <c r="J948" s="50" t="n"/>
      <c r="K948" s="55" t="n"/>
      <c r="L948" s="56" t="n"/>
      <c r="M948" s="57" t="n"/>
      <c r="N948" s="57" t="n"/>
      <c r="O948" s="57" t="n"/>
      <c r="P948" s="57" t="n"/>
      <c r="Q948" s="50" t="n"/>
      <c r="R948" s="58">
        <f t="shared" si="1"/>
      </c>
      <c r="S948" s="59">
        <f t="shared" si="2"/>
      </c>
      <c r="T948" s="43">
        <f t="shared" si="3"/>
      </c>
      <c r="U948" s="60">
        <f t="shared" si="4"/>
      </c>
      <c r="V948" s="60">
        <f t="shared" si="5"/>
      </c>
      <c r="W948" s="60">
        <f t="shared" si="6"/>
      </c>
      <c r="X948" s="49">
        <f t="shared" si="7"/>
      </c>
      <c r="Y948" s="2">
        <f t="shared" si="8"/>
      </c>
      <c r="Z948" s="2">
        <f t="shared" si="9"/>
        <v>0</v>
      </c>
      <c r="AA948" s="2">
        <f t="shared" si="10"/>
        <v>0</v>
      </c>
      <c r="AB948" s="2">
        <f t="shared" si="11"/>
        <v>0</v>
      </c>
      <c r="AC948" s="2">
        <f t="shared" si="12"/>
        <v>0</v>
      </c>
      <c r="AD948" s="2">
        <f t="shared" si="13"/>
        <v>0</v>
      </c>
      <c r="AE948" s="2">
        <f t="shared" si="14"/>
        <v>0</v>
      </c>
      <c r="AF948" s="2">
        <f t="shared" si="15"/>
        <v>0</v>
      </c>
      <c r="AG948" s="2">
        <f t="shared" si="16"/>
        <v>0</v>
      </c>
      <c r="AH948" s="2">
        <f t="shared" si="17"/>
        <v>0</v>
      </c>
      <c r="AI948" s="2">
        <f t="shared" si="18"/>
      </c>
    </row>
    <row r="949">
      <c r="A949" s="43">
        <f t="shared" si="0"/>
      </c>
      <c r="B949" s="54" t="n"/>
      <c r="C949" s="45" t="n"/>
      <c r="D949" s="50" t="n"/>
      <c r="E949" s="55" t="n"/>
      <c r="F949" s="50" t="n"/>
      <c r="G949" s="55" t="n"/>
      <c r="H949" s="50" t="n"/>
      <c r="I949" s="55" t="n"/>
      <c r="J949" s="50" t="n"/>
      <c r="K949" s="55" t="n"/>
      <c r="L949" s="56" t="n"/>
      <c r="M949" s="57" t="n"/>
      <c r="N949" s="57" t="n"/>
      <c r="O949" s="57" t="n"/>
      <c r="P949" s="57" t="n"/>
      <c r="Q949" s="50" t="n"/>
      <c r="R949" s="58">
        <f t="shared" si="1"/>
      </c>
      <c r="S949" s="59">
        <f t="shared" si="2"/>
      </c>
      <c r="T949" s="43">
        <f t="shared" si="3"/>
      </c>
      <c r="U949" s="60">
        <f t="shared" si="4"/>
      </c>
      <c r="V949" s="60">
        <f t="shared" si="5"/>
      </c>
      <c r="W949" s="60">
        <f t="shared" si="6"/>
      </c>
      <c r="X949" s="49">
        <f t="shared" si="7"/>
      </c>
      <c r="Y949" s="2">
        <f t="shared" si="8"/>
      </c>
      <c r="Z949" s="2">
        <f t="shared" si="9"/>
        <v>0</v>
      </c>
      <c r="AA949" s="2">
        <f t="shared" si="10"/>
        <v>0</v>
      </c>
      <c r="AB949" s="2">
        <f t="shared" si="11"/>
        <v>0</v>
      </c>
      <c r="AC949" s="2">
        <f t="shared" si="12"/>
        <v>0</v>
      </c>
      <c r="AD949" s="2">
        <f t="shared" si="13"/>
        <v>0</v>
      </c>
      <c r="AE949" s="2">
        <f t="shared" si="14"/>
        <v>0</v>
      </c>
      <c r="AF949" s="2">
        <f t="shared" si="15"/>
        <v>0</v>
      </c>
      <c r="AG949" s="2">
        <f t="shared" si="16"/>
        <v>0</v>
      </c>
      <c r="AH949" s="2">
        <f t="shared" si="17"/>
        <v>0</v>
      </c>
      <c r="AI949" s="2">
        <f t="shared" si="18"/>
      </c>
    </row>
    <row r="950">
      <c r="A950" s="43">
        <f t="shared" si="0"/>
      </c>
      <c r="B950" s="54" t="n"/>
      <c r="C950" s="45" t="n"/>
      <c r="D950" s="50" t="n"/>
      <c r="E950" s="55" t="n"/>
      <c r="F950" s="50" t="n"/>
      <c r="G950" s="55" t="n"/>
      <c r="H950" s="50" t="n"/>
      <c r="I950" s="55" t="n"/>
      <c r="J950" s="50" t="n"/>
      <c r="K950" s="55" t="n"/>
      <c r="L950" s="56" t="n"/>
      <c r="M950" s="57" t="n"/>
      <c r="N950" s="57" t="n"/>
      <c r="O950" s="57" t="n"/>
      <c r="P950" s="57" t="n"/>
      <c r="Q950" s="50" t="n"/>
      <c r="R950" s="58">
        <f t="shared" si="1"/>
      </c>
      <c r="S950" s="59">
        <f t="shared" si="2"/>
      </c>
      <c r="T950" s="43">
        <f t="shared" si="3"/>
      </c>
      <c r="U950" s="60">
        <f t="shared" si="4"/>
      </c>
      <c r="V950" s="60">
        <f t="shared" si="5"/>
      </c>
      <c r="W950" s="60">
        <f t="shared" si="6"/>
      </c>
      <c r="X950" s="49">
        <f t="shared" si="7"/>
      </c>
      <c r="Y950" s="2">
        <f t="shared" si="8"/>
      </c>
      <c r="Z950" s="2">
        <f t="shared" si="9"/>
        <v>0</v>
      </c>
      <c r="AA950" s="2">
        <f t="shared" si="10"/>
        <v>0</v>
      </c>
      <c r="AB950" s="2">
        <f t="shared" si="11"/>
        <v>0</v>
      </c>
      <c r="AC950" s="2">
        <f t="shared" si="12"/>
        <v>0</v>
      </c>
      <c r="AD950" s="2">
        <f t="shared" si="13"/>
        <v>0</v>
      </c>
      <c r="AE950" s="2">
        <f t="shared" si="14"/>
        <v>0</v>
      </c>
      <c r="AF950" s="2">
        <f t="shared" si="15"/>
        <v>0</v>
      </c>
      <c r="AG950" s="2">
        <f t="shared" si="16"/>
        <v>0</v>
      </c>
      <c r="AH950" s="2">
        <f t="shared" si="17"/>
        <v>0</v>
      </c>
      <c r="AI950" s="2">
        <f t="shared" si="18"/>
      </c>
    </row>
    <row r="951">
      <c r="A951" s="43">
        <f t="shared" si="0"/>
      </c>
      <c r="B951" s="54" t="n"/>
      <c r="C951" s="45" t="n"/>
      <c r="D951" s="50" t="n"/>
      <c r="E951" s="55" t="n"/>
      <c r="F951" s="50" t="n"/>
      <c r="G951" s="55" t="n"/>
      <c r="H951" s="50" t="n"/>
      <c r="I951" s="55" t="n"/>
      <c r="J951" s="50" t="n"/>
      <c r="K951" s="55" t="n"/>
      <c r="L951" s="56" t="n"/>
      <c r="M951" s="57" t="n"/>
      <c r="N951" s="57" t="n"/>
      <c r="O951" s="57" t="n"/>
      <c r="P951" s="57" t="n"/>
      <c r="Q951" s="50" t="n"/>
      <c r="R951" s="58">
        <f t="shared" si="1"/>
      </c>
      <c r="S951" s="59">
        <f t="shared" si="2"/>
      </c>
      <c r="T951" s="43">
        <f t="shared" si="3"/>
      </c>
      <c r="U951" s="60">
        <f t="shared" si="4"/>
      </c>
      <c r="V951" s="60">
        <f t="shared" si="5"/>
      </c>
      <c r="W951" s="60">
        <f t="shared" si="6"/>
      </c>
      <c r="X951" s="49">
        <f t="shared" si="7"/>
      </c>
      <c r="Y951" s="2">
        <f t="shared" si="8"/>
      </c>
      <c r="Z951" s="2">
        <f t="shared" si="9"/>
        <v>0</v>
      </c>
      <c r="AA951" s="2">
        <f t="shared" si="10"/>
        <v>0</v>
      </c>
      <c r="AB951" s="2">
        <f t="shared" si="11"/>
        <v>0</v>
      </c>
      <c r="AC951" s="2">
        <f t="shared" si="12"/>
        <v>0</v>
      </c>
      <c r="AD951" s="2">
        <f t="shared" si="13"/>
        <v>0</v>
      </c>
      <c r="AE951" s="2">
        <f t="shared" si="14"/>
        <v>0</v>
      </c>
      <c r="AF951" s="2">
        <f t="shared" si="15"/>
        <v>0</v>
      </c>
      <c r="AG951" s="2">
        <f t="shared" si="16"/>
        <v>0</v>
      </c>
      <c r="AH951" s="2">
        <f t="shared" si="17"/>
        <v>0</v>
      </c>
      <c r="AI951" s="2">
        <f t="shared" si="18"/>
      </c>
    </row>
    <row r="952">
      <c r="A952" s="43">
        <f t="shared" si="0"/>
      </c>
      <c r="B952" s="54" t="n"/>
      <c r="C952" s="45" t="n"/>
      <c r="D952" s="50" t="n"/>
      <c r="E952" s="55" t="n"/>
      <c r="F952" s="50" t="n"/>
      <c r="G952" s="55" t="n"/>
      <c r="H952" s="50" t="n"/>
      <c r="I952" s="55" t="n"/>
      <c r="J952" s="50" t="n"/>
      <c r="K952" s="55" t="n"/>
      <c r="L952" s="56" t="n"/>
      <c r="M952" s="57" t="n"/>
      <c r="N952" s="57" t="n"/>
      <c r="O952" s="57" t="n"/>
      <c r="P952" s="57" t="n"/>
      <c r="Q952" s="50" t="n"/>
      <c r="R952" s="58">
        <f t="shared" si="1"/>
      </c>
      <c r="S952" s="59">
        <f t="shared" si="2"/>
      </c>
      <c r="T952" s="43">
        <f t="shared" si="3"/>
      </c>
      <c r="U952" s="60">
        <f t="shared" si="4"/>
      </c>
      <c r="V952" s="60">
        <f t="shared" si="5"/>
      </c>
      <c r="W952" s="60">
        <f t="shared" si="6"/>
      </c>
      <c r="X952" s="49">
        <f t="shared" si="7"/>
      </c>
      <c r="Y952" s="2">
        <f t="shared" si="8"/>
      </c>
      <c r="Z952" s="2">
        <f t="shared" si="9"/>
        <v>0</v>
      </c>
      <c r="AA952" s="2">
        <f t="shared" si="10"/>
        <v>0</v>
      </c>
      <c r="AB952" s="2">
        <f t="shared" si="11"/>
        <v>0</v>
      </c>
      <c r="AC952" s="2">
        <f t="shared" si="12"/>
        <v>0</v>
      </c>
      <c r="AD952" s="2">
        <f t="shared" si="13"/>
        <v>0</v>
      </c>
      <c r="AE952" s="2">
        <f t="shared" si="14"/>
        <v>0</v>
      </c>
      <c r="AF952" s="2">
        <f t="shared" si="15"/>
        <v>0</v>
      </c>
      <c r="AG952" s="2">
        <f t="shared" si="16"/>
        <v>0</v>
      </c>
      <c r="AH952" s="2">
        <f t="shared" si="17"/>
        <v>0</v>
      </c>
      <c r="AI952" s="2">
        <f t="shared" si="18"/>
      </c>
    </row>
    <row r="953">
      <c r="A953" s="43">
        <f t="shared" si="0"/>
      </c>
      <c r="B953" s="54" t="n"/>
      <c r="C953" s="45" t="n"/>
      <c r="D953" s="50" t="n"/>
      <c r="E953" s="55" t="n"/>
      <c r="F953" s="50" t="n"/>
      <c r="G953" s="55" t="n"/>
      <c r="H953" s="50" t="n"/>
      <c r="I953" s="55" t="n"/>
      <c r="J953" s="50" t="n"/>
      <c r="K953" s="55" t="n"/>
      <c r="L953" s="56" t="n"/>
      <c r="M953" s="57" t="n"/>
      <c r="N953" s="57" t="n"/>
      <c r="O953" s="57" t="n"/>
      <c r="P953" s="57" t="n"/>
      <c r="Q953" s="50" t="n"/>
      <c r="R953" s="58">
        <f t="shared" si="1"/>
      </c>
      <c r="S953" s="59">
        <f t="shared" si="2"/>
      </c>
      <c r="T953" s="43">
        <f t="shared" si="3"/>
      </c>
      <c r="U953" s="60">
        <f t="shared" si="4"/>
      </c>
      <c r="V953" s="60">
        <f t="shared" si="5"/>
      </c>
      <c r="W953" s="60">
        <f t="shared" si="6"/>
      </c>
      <c r="X953" s="49">
        <f t="shared" si="7"/>
      </c>
      <c r="Y953" s="2">
        <f t="shared" si="8"/>
      </c>
      <c r="Z953" s="2">
        <f t="shared" si="9"/>
        <v>0</v>
      </c>
      <c r="AA953" s="2">
        <f t="shared" si="10"/>
        <v>0</v>
      </c>
      <c r="AB953" s="2">
        <f t="shared" si="11"/>
        <v>0</v>
      </c>
      <c r="AC953" s="2">
        <f t="shared" si="12"/>
        <v>0</v>
      </c>
      <c r="AD953" s="2">
        <f t="shared" si="13"/>
        <v>0</v>
      </c>
      <c r="AE953" s="2">
        <f t="shared" si="14"/>
        <v>0</v>
      </c>
      <c r="AF953" s="2">
        <f t="shared" si="15"/>
        <v>0</v>
      </c>
      <c r="AG953" s="2">
        <f t="shared" si="16"/>
        <v>0</v>
      </c>
      <c r="AH953" s="2">
        <f t="shared" si="17"/>
        <v>0</v>
      </c>
      <c r="AI953" s="2">
        <f t="shared" si="18"/>
      </c>
    </row>
    <row r="954">
      <c r="A954" s="43">
        <f t="shared" si="0"/>
      </c>
      <c r="B954" s="54" t="n"/>
      <c r="C954" s="45" t="n"/>
      <c r="D954" s="50" t="n"/>
      <c r="E954" s="55" t="n"/>
      <c r="F954" s="50" t="n"/>
      <c r="G954" s="55" t="n"/>
      <c r="H954" s="50" t="n"/>
      <c r="I954" s="55" t="n"/>
      <c r="J954" s="50" t="n"/>
      <c r="K954" s="55" t="n"/>
      <c r="L954" s="56" t="n"/>
      <c r="M954" s="57" t="n"/>
      <c r="N954" s="57" t="n"/>
      <c r="O954" s="57" t="n"/>
      <c r="P954" s="57" t="n"/>
      <c r="Q954" s="50" t="n"/>
      <c r="R954" s="58">
        <f t="shared" si="1"/>
      </c>
      <c r="S954" s="59">
        <f t="shared" si="2"/>
      </c>
      <c r="T954" s="43">
        <f t="shared" si="3"/>
      </c>
      <c r="U954" s="60">
        <f t="shared" si="4"/>
      </c>
      <c r="V954" s="60">
        <f t="shared" si="5"/>
      </c>
      <c r="W954" s="60">
        <f t="shared" si="6"/>
      </c>
      <c r="X954" s="49">
        <f t="shared" si="7"/>
      </c>
      <c r="Y954" s="2">
        <f t="shared" si="8"/>
      </c>
      <c r="Z954" s="2">
        <f t="shared" si="9"/>
        <v>0</v>
      </c>
      <c r="AA954" s="2">
        <f t="shared" si="10"/>
        <v>0</v>
      </c>
      <c r="AB954" s="2">
        <f t="shared" si="11"/>
        <v>0</v>
      </c>
      <c r="AC954" s="2">
        <f t="shared" si="12"/>
        <v>0</v>
      </c>
      <c r="AD954" s="2">
        <f t="shared" si="13"/>
        <v>0</v>
      </c>
      <c r="AE954" s="2">
        <f t="shared" si="14"/>
        <v>0</v>
      </c>
      <c r="AF954" s="2">
        <f t="shared" si="15"/>
        <v>0</v>
      </c>
      <c r="AG954" s="2">
        <f t="shared" si="16"/>
        <v>0</v>
      </c>
      <c r="AH954" s="2">
        <f t="shared" si="17"/>
        <v>0</v>
      </c>
      <c r="AI954" s="2">
        <f t="shared" si="18"/>
      </c>
    </row>
    <row r="955">
      <c r="A955" s="43">
        <f t="shared" si="0"/>
      </c>
      <c r="B955" s="54" t="n"/>
      <c r="C955" s="45" t="n"/>
      <c r="D955" s="50" t="n"/>
      <c r="E955" s="55" t="n"/>
      <c r="F955" s="50" t="n"/>
      <c r="G955" s="55" t="n"/>
      <c r="H955" s="50" t="n"/>
      <c r="I955" s="55" t="n"/>
      <c r="J955" s="50" t="n"/>
      <c r="K955" s="55" t="n"/>
      <c r="L955" s="56" t="n"/>
      <c r="M955" s="57" t="n"/>
      <c r="N955" s="57" t="n"/>
      <c r="O955" s="57" t="n"/>
      <c r="P955" s="57" t="n"/>
      <c r="Q955" s="50" t="n"/>
      <c r="R955" s="58">
        <f t="shared" si="1"/>
      </c>
      <c r="S955" s="59">
        <f t="shared" si="2"/>
      </c>
      <c r="T955" s="43">
        <f t="shared" si="3"/>
      </c>
      <c r="U955" s="60">
        <f t="shared" si="4"/>
      </c>
      <c r="V955" s="60">
        <f t="shared" si="5"/>
      </c>
      <c r="W955" s="60">
        <f t="shared" si="6"/>
      </c>
      <c r="X955" s="49">
        <f t="shared" si="7"/>
      </c>
      <c r="Y955" s="2">
        <f t="shared" si="8"/>
      </c>
      <c r="Z955" s="2">
        <f t="shared" si="9"/>
        <v>0</v>
      </c>
      <c r="AA955" s="2">
        <f t="shared" si="10"/>
        <v>0</v>
      </c>
      <c r="AB955" s="2">
        <f t="shared" si="11"/>
        <v>0</v>
      </c>
      <c r="AC955" s="2">
        <f t="shared" si="12"/>
        <v>0</v>
      </c>
      <c r="AD955" s="2">
        <f t="shared" si="13"/>
        <v>0</v>
      </c>
      <c r="AE955" s="2">
        <f t="shared" si="14"/>
        <v>0</v>
      </c>
      <c r="AF955" s="2">
        <f t="shared" si="15"/>
        <v>0</v>
      </c>
      <c r="AG955" s="2">
        <f t="shared" si="16"/>
        <v>0</v>
      </c>
      <c r="AH955" s="2">
        <f t="shared" si="17"/>
        <v>0</v>
      </c>
      <c r="AI955" s="2">
        <f t="shared" si="18"/>
      </c>
    </row>
    <row r="956">
      <c r="A956" s="43">
        <f t="shared" si="0"/>
      </c>
      <c r="B956" s="54" t="n"/>
      <c r="C956" s="45" t="n"/>
      <c r="D956" s="50" t="n"/>
      <c r="E956" s="55" t="n"/>
      <c r="F956" s="50" t="n"/>
      <c r="G956" s="55" t="n"/>
      <c r="H956" s="50" t="n"/>
      <c r="I956" s="55" t="n"/>
      <c r="J956" s="50" t="n"/>
      <c r="K956" s="55" t="n"/>
      <c r="L956" s="56" t="n"/>
      <c r="M956" s="57" t="n"/>
      <c r="N956" s="57" t="n"/>
      <c r="O956" s="57" t="n"/>
      <c r="P956" s="57" t="n"/>
      <c r="Q956" s="50" t="n"/>
      <c r="R956" s="58">
        <f t="shared" si="1"/>
      </c>
      <c r="S956" s="59">
        <f t="shared" si="2"/>
      </c>
      <c r="T956" s="43">
        <f t="shared" si="3"/>
      </c>
      <c r="U956" s="60">
        <f t="shared" si="4"/>
      </c>
      <c r="V956" s="60">
        <f t="shared" si="5"/>
      </c>
      <c r="W956" s="60">
        <f t="shared" si="6"/>
      </c>
      <c r="X956" s="49">
        <f t="shared" si="7"/>
      </c>
      <c r="Y956" s="2">
        <f t="shared" si="8"/>
      </c>
      <c r="Z956" s="2">
        <f t="shared" si="9"/>
        <v>0</v>
      </c>
      <c r="AA956" s="2">
        <f t="shared" si="10"/>
        <v>0</v>
      </c>
      <c r="AB956" s="2">
        <f t="shared" si="11"/>
        <v>0</v>
      </c>
      <c r="AC956" s="2">
        <f t="shared" si="12"/>
        <v>0</v>
      </c>
      <c r="AD956" s="2">
        <f t="shared" si="13"/>
        <v>0</v>
      </c>
      <c r="AE956" s="2">
        <f t="shared" si="14"/>
        <v>0</v>
      </c>
      <c r="AF956" s="2">
        <f t="shared" si="15"/>
        <v>0</v>
      </c>
      <c r="AG956" s="2">
        <f t="shared" si="16"/>
        <v>0</v>
      </c>
      <c r="AH956" s="2">
        <f t="shared" si="17"/>
        <v>0</v>
      </c>
      <c r="AI956" s="2">
        <f t="shared" si="18"/>
      </c>
    </row>
    <row r="957">
      <c r="A957" s="43">
        <f t="shared" si="0"/>
      </c>
      <c r="B957" s="54" t="n"/>
      <c r="C957" s="45" t="n"/>
      <c r="D957" s="50" t="n"/>
      <c r="E957" s="55" t="n"/>
      <c r="F957" s="50" t="n"/>
      <c r="G957" s="55" t="n"/>
      <c r="H957" s="50" t="n"/>
      <c r="I957" s="55" t="n"/>
      <c r="J957" s="50" t="n"/>
      <c r="K957" s="55" t="n"/>
      <c r="L957" s="56" t="n"/>
      <c r="M957" s="57" t="n"/>
      <c r="N957" s="57" t="n"/>
      <c r="O957" s="57" t="n"/>
      <c r="P957" s="57" t="n"/>
      <c r="Q957" s="50" t="n"/>
      <c r="R957" s="58">
        <f t="shared" si="1"/>
      </c>
      <c r="S957" s="59">
        <f t="shared" si="2"/>
      </c>
      <c r="T957" s="43">
        <f t="shared" si="3"/>
      </c>
      <c r="U957" s="60">
        <f t="shared" si="4"/>
      </c>
      <c r="V957" s="60">
        <f t="shared" si="5"/>
      </c>
      <c r="W957" s="60">
        <f t="shared" si="6"/>
      </c>
      <c r="X957" s="49">
        <f t="shared" si="7"/>
      </c>
      <c r="Y957" s="2">
        <f t="shared" si="8"/>
      </c>
      <c r="Z957" s="2">
        <f t="shared" si="9"/>
        <v>0</v>
      </c>
      <c r="AA957" s="2">
        <f t="shared" si="10"/>
        <v>0</v>
      </c>
      <c r="AB957" s="2">
        <f t="shared" si="11"/>
        <v>0</v>
      </c>
      <c r="AC957" s="2">
        <f t="shared" si="12"/>
        <v>0</v>
      </c>
      <c r="AD957" s="2">
        <f t="shared" si="13"/>
        <v>0</v>
      </c>
      <c r="AE957" s="2">
        <f t="shared" si="14"/>
        <v>0</v>
      </c>
      <c r="AF957" s="2">
        <f t="shared" si="15"/>
        <v>0</v>
      </c>
      <c r="AG957" s="2">
        <f t="shared" si="16"/>
        <v>0</v>
      </c>
      <c r="AH957" s="2">
        <f t="shared" si="17"/>
        <v>0</v>
      </c>
      <c r="AI957" s="2">
        <f t="shared" si="18"/>
      </c>
    </row>
    <row r="958">
      <c r="A958" s="43">
        <f t="shared" si="0"/>
      </c>
      <c r="B958" s="54" t="n"/>
      <c r="C958" s="45" t="n"/>
      <c r="D958" s="50" t="n"/>
      <c r="E958" s="55" t="n"/>
      <c r="F958" s="50" t="n"/>
      <c r="G958" s="55" t="n"/>
      <c r="H958" s="50" t="n"/>
      <c r="I958" s="55" t="n"/>
      <c r="J958" s="50" t="n"/>
      <c r="K958" s="55" t="n"/>
      <c r="L958" s="56" t="n"/>
      <c r="M958" s="57" t="n"/>
      <c r="N958" s="57" t="n"/>
      <c r="O958" s="57" t="n"/>
      <c r="P958" s="57" t="n"/>
      <c r="Q958" s="50" t="n"/>
      <c r="R958" s="58">
        <f t="shared" si="1"/>
      </c>
      <c r="S958" s="59">
        <f t="shared" si="2"/>
      </c>
      <c r="T958" s="43">
        <f t="shared" si="3"/>
      </c>
      <c r="U958" s="60">
        <f t="shared" si="4"/>
      </c>
      <c r="V958" s="60">
        <f t="shared" si="5"/>
      </c>
      <c r="W958" s="60">
        <f t="shared" si="6"/>
      </c>
      <c r="X958" s="49">
        <f t="shared" si="7"/>
      </c>
      <c r="Y958" s="2">
        <f t="shared" si="8"/>
      </c>
      <c r="Z958" s="2">
        <f t="shared" si="9"/>
        <v>0</v>
      </c>
      <c r="AA958" s="2">
        <f t="shared" si="10"/>
        <v>0</v>
      </c>
      <c r="AB958" s="2">
        <f t="shared" si="11"/>
        <v>0</v>
      </c>
      <c r="AC958" s="2">
        <f t="shared" si="12"/>
        <v>0</v>
      </c>
      <c r="AD958" s="2">
        <f t="shared" si="13"/>
        <v>0</v>
      </c>
      <c r="AE958" s="2">
        <f t="shared" si="14"/>
        <v>0</v>
      </c>
      <c r="AF958" s="2">
        <f t="shared" si="15"/>
        <v>0</v>
      </c>
      <c r="AG958" s="2">
        <f t="shared" si="16"/>
        <v>0</v>
      </c>
      <c r="AH958" s="2">
        <f t="shared" si="17"/>
        <v>0</v>
      </c>
      <c r="AI958" s="2">
        <f t="shared" si="18"/>
      </c>
    </row>
    <row r="959">
      <c r="A959" s="43">
        <f t="shared" si="0"/>
      </c>
      <c r="B959" s="54" t="n"/>
      <c r="C959" s="45" t="n"/>
      <c r="D959" s="50" t="n"/>
      <c r="E959" s="55" t="n"/>
      <c r="F959" s="50" t="n"/>
      <c r="G959" s="55" t="n"/>
      <c r="H959" s="50" t="n"/>
      <c r="I959" s="55" t="n"/>
      <c r="J959" s="50" t="n"/>
      <c r="K959" s="55" t="n"/>
      <c r="L959" s="56" t="n"/>
      <c r="M959" s="57" t="n"/>
      <c r="N959" s="57" t="n"/>
      <c r="O959" s="57" t="n"/>
      <c r="P959" s="57" t="n"/>
      <c r="Q959" s="50" t="n"/>
      <c r="R959" s="58">
        <f t="shared" si="1"/>
      </c>
      <c r="S959" s="59">
        <f t="shared" si="2"/>
      </c>
      <c r="T959" s="43">
        <f t="shared" si="3"/>
      </c>
      <c r="U959" s="60">
        <f t="shared" si="4"/>
      </c>
      <c r="V959" s="60">
        <f t="shared" si="5"/>
      </c>
      <c r="W959" s="60">
        <f t="shared" si="6"/>
      </c>
      <c r="X959" s="49">
        <f t="shared" si="7"/>
      </c>
      <c r="Y959" s="2">
        <f t="shared" si="8"/>
      </c>
      <c r="Z959" s="2">
        <f t="shared" si="9"/>
        <v>0</v>
      </c>
      <c r="AA959" s="2">
        <f t="shared" si="10"/>
        <v>0</v>
      </c>
      <c r="AB959" s="2">
        <f t="shared" si="11"/>
        <v>0</v>
      </c>
      <c r="AC959" s="2">
        <f t="shared" si="12"/>
        <v>0</v>
      </c>
      <c r="AD959" s="2">
        <f t="shared" si="13"/>
        <v>0</v>
      </c>
      <c r="AE959" s="2">
        <f t="shared" si="14"/>
        <v>0</v>
      </c>
      <c r="AF959" s="2">
        <f t="shared" si="15"/>
        <v>0</v>
      </c>
      <c r="AG959" s="2">
        <f t="shared" si="16"/>
        <v>0</v>
      </c>
      <c r="AH959" s="2">
        <f t="shared" si="17"/>
        <v>0</v>
      </c>
      <c r="AI959" s="2">
        <f t="shared" si="18"/>
      </c>
    </row>
    <row r="960">
      <c r="A960" s="43">
        <f t="shared" si="0"/>
      </c>
      <c r="B960" s="54" t="n"/>
      <c r="C960" s="45" t="n"/>
      <c r="D960" s="50" t="n"/>
      <c r="E960" s="55" t="n"/>
      <c r="F960" s="50" t="n"/>
      <c r="G960" s="55" t="n"/>
      <c r="H960" s="50" t="n"/>
      <c r="I960" s="55" t="n"/>
      <c r="J960" s="50" t="n"/>
      <c r="K960" s="55" t="n"/>
      <c r="L960" s="56" t="n"/>
      <c r="M960" s="57" t="n"/>
      <c r="N960" s="57" t="n"/>
      <c r="O960" s="57" t="n"/>
      <c r="P960" s="57" t="n"/>
      <c r="Q960" s="50" t="n"/>
      <c r="R960" s="58">
        <f t="shared" si="1"/>
      </c>
      <c r="S960" s="59">
        <f t="shared" si="2"/>
      </c>
      <c r="T960" s="43">
        <f t="shared" si="3"/>
      </c>
      <c r="U960" s="60">
        <f t="shared" si="4"/>
      </c>
      <c r="V960" s="60">
        <f t="shared" si="5"/>
      </c>
      <c r="W960" s="60">
        <f t="shared" si="6"/>
      </c>
      <c r="X960" s="49">
        <f t="shared" si="7"/>
      </c>
      <c r="Y960" s="2">
        <f t="shared" si="8"/>
      </c>
      <c r="Z960" s="2">
        <f t="shared" si="9"/>
        <v>0</v>
      </c>
      <c r="AA960" s="2">
        <f t="shared" si="10"/>
        <v>0</v>
      </c>
      <c r="AB960" s="2">
        <f t="shared" si="11"/>
        <v>0</v>
      </c>
      <c r="AC960" s="2">
        <f t="shared" si="12"/>
        <v>0</v>
      </c>
      <c r="AD960" s="2">
        <f t="shared" si="13"/>
        <v>0</v>
      </c>
      <c r="AE960" s="2">
        <f t="shared" si="14"/>
        <v>0</v>
      </c>
      <c r="AF960" s="2">
        <f t="shared" si="15"/>
        <v>0</v>
      </c>
      <c r="AG960" s="2">
        <f t="shared" si="16"/>
        <v>0</v>
      </c>
      <c r="AH960" s="2">
        <f t="shared" si="17"/>
        <v>0</v>
      </c>
      <c r="AI960" s="2">
        <f t="shared" si="18"/>
      </c>
    </row>
    <row r="961">
      <c r="A961" s="43">
        <f t="shared" si="0"/>
      </c>
      <c r="B961" s="54" t="n"/>
      <c r="C961" s="45" t="n"/>
      <c r="D961" s="50" t="n"/>
      <c r="E961" s="55" t="n"/>
      <c r="F961" s="50" t="n"/>
      <c r="G961" s="55" t="n"/>
      <c r="H961" s="50" t="n"/>
      <c r="I961" s="55" t="n"/>
      <c r="J961" s="50" t="n"/>
      <c r="K961" s="55" t="n"/>
      <c r="L961" s="56" t="n"/>
      <c r="M961" s="57" t="n"/>
      <c r="N961" s="57" t="n"/>
      <c r="O961" s="57" t="n"/>
      <c r="P961" s="57" t="n"/>
      <c r="Q961" s="50" t="n"/>
      <c r="R961" s="58">
        <f t="shared" si="1"/>
      </c>
      <c r="S961" s="59">
        <f t="shared" si="2"/>
      </c>
      <c r="T961" s="43">
        <f t="shared" si="3"/>
      </c>
      <c r="U961" s="60">
        <f t="shared" si="4"/>
      </c>
      <c r="V961" s="60">
        <f t="shared" si="5"/>
      </c>
      <c r="W961" s="60">
        <f t="shared" si="6"/>
      </c>
      <c r="X961" s="49">
        <f t="shared" si="7"/>
      </c>
      <c r="Y961" s="2">
        <f t="shared" si="8"/>
      </c>
      <c r="Z961" s="2">
        <f t="shared" si="9"/>
        <v>0</v>
      </c>
      <c r="AA961" s="2">
        <f t="shared" si="10"/>
        <v>0</v>
      </c>
      <c r="AB961" s="2">
        <f t="shared" si="11"/>
        <v>0</v>
      </c>
      <c r="AC961" s="2">
        <f t="shared" si="12"/>
        <v>0</v>
      </c>
      <c r="AD961" s="2">
        <f t="shared" si="13"/>
        <v>0</v>
      </c>
      <c r="AE961" s="2">
        <f t="shared" si="14"/>
        <v>0</v>
      </c>
      <c r="AF961" s="2">
        <f t="shared" si="15"/>
        <v>0</v>
      </c>
      <c r="AG961" s="2">
        <f t="shared" si="16"/>
        <v>0</v>
      </c>
      <c r="AH961" s="2">
        <f t="shared" si="17"/>
        <v>0</v>
      </c>
      <c r="AI961" s="2">
        <f t="shared" si="18"/>
      </c>
    </row>
    <row r="962">
      <c r="A962" s="43">
        <f t="shared" si="0"/>
      </c>
      <c r="B962" s="54" t="n"/>
      <c r="C962" s="45" t="n"/>
      <c r="D962" s="50" t="n"/>
      <c r="E962" s="55" t="n"/>
      <c r="F962" s="50" t="n"/>
      <c r="G962" s="55" t="n"/>
      <c r="H962" s="50" t="n"/>
      <c r="I962" s="55" t="n"/>
      <c r="J962" s="50" t="n"/>
      <c r="K962" s="55" t="n"/>
      <c r="L962" s="56" t="n"/>
      <c r="M962" s="57" t="n"/>
      <c r="N962" s="57" t="n"/>
      <c r="O962" s="57" t="n"/>
      <c r="P962" s="57" t="n"/>
      <c r="Q962" s="50" t="n"/>
      <c r="R962" s="58">
        <f t="shared" si="1"/>
      </c>
      <c r="S962" s="59">
        <f t="shared" si="2"/>
      </c>
      <c r="T962" s="43">
        <f t="shared" si="3"/>
      </c>
      <c r="U962" s="60">
        <f t="shared" si="4"/>
      </c>
      <c r="V962" s="60">
        <f t="shared" si="5"/>
      </c>
      <c r="W962" s="60">
        <f t="shared" si="6"/>
      </c>
      <c r="X962" s="49">
        <f t="shared" si="7"/>
      </c>
      <c r="Y962" s="2">
        <f t="shared" si="8"/>
      </c>
      <c r="Z962" s="2">
        <f t="shared" si="9"/>
        <v>0</v>
      </c>
      <c r="AA962" s="2">
        <f t="shared" si="10"/>
        <v>0</v>
      </c>
      <c r="AB962" s="2">
        <f t="shared" si="11"/>
        <v>0</v>
      </c>
      <c r="AC962" s="2">
        <f t="shared" si="12"/>
        <v>0</v>
      </c>
      <c r="AD962" s="2">
        <f t="shared" si="13"/>
        <v>0</v>
      </c>
      <c r="AE962" s="2">
        <f t="shared" si="14"/>
        <v>0</v>
      </c>
      <c r="AF962" s="2">
        <f t="shared" si="15"/>
        <v>0</v>
      </c>
      <c r="AG962" s="2">
        <f t="shared" si="16"/>
        <v>0</v>
      </c>
      <c r="AH962" s="2">
        <f t="shared" si="17"/>
        <v>0</v>
      </c>
      <c r="AI962" s="2">
        <f t="shared" si="18"/>
      </c>
    </row>
    <row r="963">
      <c r="A963" s="43">
        <f t="shared" si="0"/>
      </c>
      <c r="B963" s="54" t="n"/>
      <c r="C963" s="45" t="n"/>
      <c r="D963" s="50" t="n"/>
      <c r="E963" s="55" t="n"/>
      <c r="F963" s="50" t="n"/>
      <c r="G963" s="55" t="n"/>
      <c r="H963" s="50" t="n"/>
      <c r="I963" s="55" t="n"/>
      <c r="J963" s="50" t="n"/>
      <c r="K963" s="55" t="n"/>
      <c r="L963" s="56" t="n"/>
      <c r="M963" s="57" t="n"/>
      <c r="N963" s="57" t="n"/>
      <c r="O963" s="57" t="n"/>
      <c r="P963" s="57" t="n"/>
      <c r="Q963" s="50" t="n"/>
      <c r="R963" s="58">
        <f t="shared" si="1"/>
      </c>
      <c r="S963" s="59">
        <f t="shared" si="2"/>
      </c>
      <c r="T963" s="43">
        <f t="shared" si="3"/>
      </c>
      <c r="U963" s="60">
        <f t="shared" si="4"/>
      </c>
      <c r="V963" s="60">
        <f t="shared" si="5"/>
      </c>
      <c r="W963" s="60">
        <f t="shared" si="6"/>
      </c>
      <c r="X963" s="49">
        <f t="shared" si="7"/>
      </c>
      <c r="Y963" s="2">
        <f t="shared" si="8"/>
      </c>
      <c r="Z963" s="2">
        <f t="shared" si="9"/>
        <v>0</v>
      </c>
      <c r="AA963" s="2">
        <f t="shared" si="10"/>
        <v>0</v>
      </c>
      <c r="AB963" s="2">
        <f t="shared" si="11"/>
        <v>0</v>
      </c>
      <c r="AC963" s="2">
        <f t="shared" si="12"/>
        <v>0</v>
      </c>
      <c r="AD963" s="2">
        <f t="shared" si="13"/>
        <v>0</v>
      </c>
      <c r="AE963" s="2">
        <f t="shared" si="14"/>
        <v>0</v>
      </c>
      <c r="AF963" s="2">
        <f t="shared" si="15"/>
        <v>0</v>
      </c>
      <c r="AG963" s="2">
        <f t="shared" si="16"/>
        <v>0</v>
      </c>
      <c r="AH963" s="2">
        <f t="shared" si="17"/>
        <v>0</v>
      </c>
      <c r="AI963" s="2">
        <f t="shared" si="18"/>
      </c>
    </row>
    <row r="964">
      <c r="A964" s="43">
        <f t="shared" si="0"/>
      </c>
      <c r="B964" s="54" t="n"/>
      <c r="C964" s="45" t="n"/>
      <c r="D964" s="50" t="n"/>
      <c r="E964" s="55" t="n"/>
      <c r="F964" s="50" t="n"/>
      <c r="G964" s="55" t="n"/>
      <c r="H964" s="50" t="n"/>
      <c r="I964" s="55" t="n"/>
      <c r="J964" s="50" t="n"/>
      <c r="K964" s="55" t="n"/>
      <c r="L964" s="56" t="n"/>
      <c r="M964" s="57" t="n"/>
      <c r="N964" s="57" t="n"/>
      <c r="O964" s="57" t="n"/>
      <c r="P964" s="57" t="n"/>
      <c r="Q964" s="50" t="n"/>
      <c r="R964" s="58">
        <f t="shared" si="1"/>
      </c>
      <c r="S964" s="59">
        <f t="shared" si="2"/>
      </c>
      <c r="T964" s="43">
        <f t="shared" si="3"/>
      </c>
      <c r="U964" s="60">
        <f t="shared" si="4"/>
      </c>
      <c r="V964" s="60">
        <f t="shared" si="5"/>
      </c>
      <c r="W964" s="60">
        <f t="shared" si="6"/>
      </c>
      <c r="X964" s="49">
        <f t="shared" si="7"/>
      </c>
      <c r="Y964" s="2">
        <f t="shared" si="8"/>
      </c>
      <c r="Z964" s="2">
        <f t="shared" si="9"/>
        <v>0</v>
      </c>
      <c r="AA964" s="2">
        <f t="shared" si="10"/>
        <v>0</v>
      </c>
      <c r="AB964" s="2">
        <f t="shared" si="11"/>
        <v>0</v>
      </c>
      <c r="AC964" s="2">
        <f t="shared" si="12"/>
        <v>0</v>
      </c>
      <c r="AD964" s="2">
        <f t="shared" si="13"/>
        <v>0</v>
      </c>
      <c r="AE964" s="2">
        <f t="shared" si="14"/>
        <v>0</v>
      </c>
      <c r="AF964" s="2">
        <f t="shared" si="15"/>
        <v>0</v>
      </c>
      <c r="AG964" s="2">
        <f t="shared" si="16"/>
        <v>0</v>
      </c>
      <c r="AH964" s="2">
        <f t="shared" si="17"/>
        <v>0</v>
      </c>
      <c r="AI964" s="2">
        <f t="shared" si="18"/>
      </c>
    </row>
    <row r="965">
      <c r="A965" s="43">
        <f t="shared" si="0"/>
      </c>
      <c r="B965" s="54" t="n"/>
      <c r="C965" s="45" t="n"/>
      <c r="D965" s="50" t="n"/>
      <c r="E965" s="55" t="n"/>
      <c r="F965" s="50" t="n"/>
      <c r="G965" s="55" t="n"/>
      <c r="H965" s="50" t="n"/>
      <c r="I965" s="55" t="n"/>
      <c r="J965" s="50" t="n"/>
      <c r="K965" s="55" t="n"/>
      <c r="L965" s="56" t="n"/>
      <c r="M965" s="57" t="n"/>
      <c r="N965" s="57" t="n"/>
      <c r="O965" s="57" t="n"/>
      <c r="P965" s="57" t="n"/>
      <c r="Q965" s="50" t="n"/>
      <c r="R965" s="58">
        <f t="shared" si="1"/>
      </c>
      <c r="S965" s="59">
        <f t="shared" si="2"/>
      </c>
      <c r="T965" s="43">
        <f t="shared" si="3"/>
      </c>
      <c r="U965" s="60">
        <f t="shared" si="4"/>
      </c>
      <c r="V965" s="60">
        <f t="shared" si="5"/>
      </c>
      <c r="W965" s="60">
        <f t="shared" si="6"/>
      </c>
      <c r="X965" s="49">
        <f t="shared" si="7"/>
      </c>
      <c r="Y965" s="2">
        <f t="shared" si="8"/>
      </c>
      <c r="Z965" s="2">
        <f t="shared" si="9"/>
        <v>0</v>
      </c>
      <c r="AA965" s="2">
        <f t="shared" si="10"/>
        <v>0</v>
      </c>
      <c r="AB965" s="2">
        <f t="shared" si="11"/>
        <v>0</v>
      </c>
      <c r="AC965" s="2">
        <f t="shared" si="12"/>
        <v>0</v>
      </c>
      <c r="AD965" s="2">
        <f t="shared" si="13"/>
        <v>0</v>
      </c>
      <c r="AE965" s="2">
        <f t="shared" si="14"/>
        <v>0</v>
      </c>
      <c r="AF965" s="2">
        <f t="shared" si="15"/>
        <v>0</v>
      </c>
      <c r="AG965" s="2">
        <f t="shared" si="16"/>
        <v>0</v>
      </c>
      <c r="AH965" s="2">
        <f t="shared" si="17"/>
        <v>0</v>
      </c>
      <c r="AI965" s="2">
        <f t="shared" si="18"/>
      </c>
    </row>
    <row r="966">
      <c r="A966" s="43">
        <f t="shared" si="0"/>
      </c>
      <c r="B966" s="54" t="n"/>
      <c r="C966" s="45" t="n"/>
      <c r="D966" s="50" t="n"/>
      <c r="E966" s="55" t="n"/>
      <c r="F966" s="50" t="n"/>
      <c r="G966" s="55" t="n"/>
      <c r="H966" s="50" t="n"/>
      <c r="I966" s="55" t="n"/>
      <c r="J966" s="50" t="n"/>
      <c r="K966" s="55" t="n"/>
      <c r="L966" s="56" t="n"/>
      <c r="M966" s="57" t="n"/>
      <c r="N966" s="57" t="n"/>
      <c r="O966" s="57" t="n"/>
      <c r="P966" s="57" t="n"/>
      <c r="Q966" s="50" t="n"/>
      <c r="R966" s="58">
        <f t="shared" si="1"/>
      </c>
      <c r="S966" s="59">
        <f t="shared" si="2"/>
      </c>
      <c r="T966" s="43">
        <f t="shared" si="3"/>
      </c>
      <c r="U966" s="60">
        <f t="shared" si="4"/>
      </c>
      <c r="V966" s="60">
        <f t="shared" si="5"/>
      </c>
      <c r="W966" s="60">
        <f t="shared" si="6"/>
      </c>
      <c r="X966" s="49">
        <f t="shared" si="7"/>
      </c>
      <c r="Y966" s="2">
        <f t="shared" si="8"/>
      </c>
      <c r="Z966" s="2">
        <f t="shared" si="9"/>
        <v>0</v>
      </c>
      <c r="AA966" s="2">
        <f t="shared" si="10"/>
        <v>0</v>
      </c>
      <c r="AB966" s="2">
        <f t="shared" si="11"/>
        <v>0</v>
      </c>
      <c r="AC966" s="2">
        <f t="shared" si="12"/>
        <v>0</v>
      </c>
      <c r="AD966" s="2">
        <f t="shared" si="13"/>
        <v>0</v>
      </c>
      <c r="AE966" s="2">
        <f t="shared" si="14"/>
        <v>0</v>
      </c>
      <c r="AF966" s="2">
        <f t="shared" si="15"/>
        <v>0</v>
      </c>
      <c r="AG966" s="2">
        <f t="shared" si="16"/>
        <v>0</v>
      </c>
      <c r="AH966" s="2">
        <f t="shared" si="17"/>
        <v>0</v>
      </c>
      <c r="AI966" s="2">
        <f t="shared" si="18"/>
      </c>
    </row>
    <row r="967">
      <c r="A967" s="43">
        <f t="shared" si="0"/>
      </c>
      <c r="B967" s="54" t="n"/>
      <c r="C967" s="45" t="n"/>
      <c r="D967" s="50" t="n"/>
      <c r="E967" s="55" t="n"/>
      <c r="F967" s="50" t="n"/>
      <c r="G967" s="55" t="n"/>
      <c r="H967" s="50" t="n"/>
      <c r="I967" s="55" t="n"/>
      <c r="J967" s="50" t="n"/>
      <c r="K967" s="55" t="n"/>
      <c r="L967" s="56" t="n"/>
      <c r="M967" s="57" t="n"/>
      <c r="N967" s="57" t="n"/>
      <c r="O967" s="57" t="n"/>
      <c r="P967" s="57" t="n"/>
      <c r="Q967" s="50" t="n"/>
      <c r="R967" s="58">
        <f t="shared" si="1"/>
      </c>
      <c r="S967" s="59">
        <f t="shared" si="2"/>
      </c>
      <c r="T967" s="43">
        <f t="shared" si="3"/>
      </c>
      <c r="U967" s="60">
        <f t="shared" si="4"/>
      </c>
      <c r="V967" s="60">
        <f t="shared" si="5"/>
      </c>
      <c r="W967" s="60">
        <f t="shared" si="6"/>
      </c>
      <c r="X967" s="49">
        <f t="shared" si="7"/>
      </c>
      <c r="Y967" s="2">
        <f t="shared" si="8"/>
      </c>
      <c r="Z967" s="2">
        <f t="shared" si="9"/>
        <v>0</v>
      </c>
      <c r="AA967" s="2">
        <f t="shared" si="10"/>
        <v>0</v>
      </c>
      <c r="AB967" s="2">
        <f t="shared" si="11"/>
        <v>0</v>
      </c>
      <c r="AC967" s="2">
        <f t="shared" si="12"/>
        <v>0</v>
      </c>
      <c r="AD967" s="2">
        <f t="shared" si="13"/>
        <v>0</v>
      </c>
      <c r="AE967" s="2">
        <f t="shared" si="14"/>
        <v>0</v>
      </c>
      <c r="AF967" s="2">
        <f t="shared" si="15"/>
        <v>0</v>
      </c>
      <c r="AG967" s="2">
        <f t="shared" si="16"/>
        <v>0</v>
      </c>
      <c r="AH967" s="2">
        <f t="shared" si="17"/>
        <v>0</v>
      </c>
      <c r="AI967" s="2">
        <f t="shared" si="18"/>
      </c>
    </row>
    <row r="968">
      <c r="A968" s="43">
        <f t="shared" si="0"/>
      </c>
      <c r="B968" s="54" t="n"/>
      <c r="C968" s="45" t="n"/>
      <c r="D968" s="50" t="n"/>
      <c r="E968" s="55" t="n"/>
      <c r="F968" s="50" t="n"/>
      <c r="G968" s="55" t="n"/>
      <c r="H968" s="50" t="n"/>
      <c r="I968" s="55" t="n"/>
      <c r="J968" s="50" t="n"/>
      <c r="K968" s="55" t="n"/>
      <c r="L968" s="56" t="n"/>
      <c r="M968" s="57" t="n"/>
      <c r="N968" s="57" t="n"/>
      <c r="O968" s="57" t="n"/>
      <c r="P968" s="57" t="n"/>
      <c r="Q968" s="50" t="n"/>
      <c r="R968" s="58">
        <f t="shared" si="1"/>
      </c>
      <c r="S968" s="59">
        <f t="shared" si="2"/>
      </c>
      <c r="T968" s="43">
        <f t="shared" si="3"/>
      </c>
      <c r="U968" s="60">
        <f t="shared" si="4"/>
      </c>
      <c r="V968" s="60">
        <f t="shared" si="5"/>
      </c>
      <c r="W968" s="60">
        <f t="shared" si="6"/>
      </c>
      <c r="X968" s="49">
        <f t="shared" si="7"/>
      </c>
      <c r="Y968" s="2">
        <f t="shared" si="8"/>
      </c>
      <c r="Z968" s="2">
        <f t="shared" si="9"/>
        <v>0</v>
      </c>
      <c r="AA968" s="2">
        <f t="shared" si="10"/>
        <v>0</v>
      </c>
      <c r="AB968" s="2">
        <f t="shared" si="11"/>
        <v>0</v>
      </c>
      <c r="AC968" s="2">
        <f t="shared" si="12"/>
        <v>0</v>
      </c>
      <c r="AD968" s="2">
        <f t="shared" si="13"/>
        <v>0</v>
      </c>
      <c r="AE968" s="2">
        <f t="shared" si="14"/>
        <v>0</v>
      </c>
      <c r="AF968" s="2">
        <f t="shared" si="15"/>
        <v>0</v>
      </c>
      <c r="AG968" s="2">
        <f t="shared" si="16"/>
        <v>0</v>
      </c>
      <c r="AH968" s="2">
        <f t="shared" si="17"/>
        <v>0</v>
      </c>
      <c r="AI968" s="2">
        <f t="shared" si="18"/>
      </c>
    </row>
    <row r="969">
      <c r="A969" s="43">
        <f t="shared" si="0"/>
      </c>
      <c r="B969" s="54" t="n"/>
      <c r="C969" s="45" t="n"/>
      <c r="D969" s="50" t="n"/>
      <c r="E969" s="55" t="n"/>
      <c r="F969" s="50" t="n"/>
      <c r="G969" s="55" t="n"/>
      <c r="H969" s="50" t="n"/>
      <c r="I969" s="55" t="n"/>
      <c r="J969" s="50" t="n"/>
      <c r="K969" s="55" t="n"/>
      <c r="L969" s="56" t="n"/>
      <c r="M969" s="57" t="n"/>
      <c r="N969" s="57" t="n"/>
      <c r="O969" s="57" t="n"/>
      <c r="P969" s="57" t="n"/>
      <c r="Q969" s="50" t="n"/>
      <c r="R969" s="58">
        <f t="shared" si="1"/>
      </c>
      <c r="S969" s="59">
        <f t="shared" si="2"/>
      </c>
      <c r="T969" s="43">
        <f t="shared" si="3"/>
      </c>
      <c r="U969" s="60">
        <f t="shared" si="4"/>
      </c>
      <c r="V969" s="60">
        <f t="shared" si="5"/>
      </c>
      <c r="W969" s="60">
        <f t="shared" si="6"/>
      </c>
      <c r="X969" s="49">
        <f t="shared" si="7"/>
      </c>
      <c r="Y969" s="2">
        <f t="shared" si="8"/>
      </c>
      <c r="Z969" s="2">
        <f t="shared" si="9"/>
        <v>0</v>
      </c>
      <c r="AA969" s="2">
        <f t="shared" si="10"/>
        <v>0</v>
      </c>
      <c r="AB969" s="2">
        <f t="shared" si="11"/>
        <v>0</v>
      </c>
      <c r="AC969" s="2">
        <f t="shared" si="12"/>
        <v>0</v>
      </c>
      <c r="AD969" s="2">
        <f t="shared" si="13"/>
        <v>0</v>
      </c>
      <c r="AE969" s="2">
        <f t="shared" si="14"/>
        <v>0</v>
      </c>
      <c r="AF969" s="2">
        <f t="shared" si="15"/>
        <v>0</v>
      </c>
      <c r="AG969" s="2">
        <f t="shared" si="16"/>
        <v>0</v>
      </c>
      <c r="AH969" s="2">
        <f t="shared" si="17"/>
        <v>0</v>
      </c>
      <c r="AI969" s="2">
        <f t="shared" si="18"/>
      </c>
    </row>
    <row r="970">
      <c r="A970" s="43">
        <f t="shared" si="0"/>
      </c>
      <c r="B970" s="54" t="n"/>
      <c r="C970" s="45" t="n"/>
      <c r="D970" s="50" t="n"/>
      <c r="E970" s="55" t="n"/>
      <c r="F970" s="50" t="n"/>
      <c r="G970" s="55" t="n"/>
      <c r="H970" s="50" t="n"/>
      <c r="I970" s="55" t="n"/>
      <c r="J970" s="50" t="n"/>
      <c r="K970" s="55" t="n"/>
      <c r="L970" s="56" t="n"/>
      <c r="M970" s="57" t="n"/>
      <c r="N970" s="57" t="n"/>
      <c r="O970" s="57" t="n"/>
      <c r="P970" s="57" t="n"/>
      <c r="Q970" s="50" t="n"/>
      <c r="R970" s="58">
        <f t="shared" si="1"/>
      </c>
      <c r="S970" s="59">
        <f t="shared" si="2"/>
      </c>
      <c r="T970" s="43">
        <f t="shared" si="3"/>
      </c>
      <c r="U970" s="60">
        <f t="shared" si="4"/>
      </c>
      <c r="V970" s="60">
        <f t="shared" si="5"/>
      </c>
      <c r="W970" s="60">
        <f t="shared" si="6"/>
      </c>
      <c r="X970" s="49">
        <f t="shared" si="7"/>
      </c>
      <c r="Y970" s="2">
        <f t="shared" si="8"/>
      </c>
      <c r="Z970" s="2">
        <f t="shared" si="9"/>
        <v>0</v>
      </c>
      <c r="AA970" s="2">
        <f t="shared" si="10"/>
        <v>0</v>
      </c>
      <c r="AB970" s="2">
        <f t="shared" si="11"/>
        <v>0</v>
      </c>
      <c r="AC970" s="2">
        <f t="shared" si="12"/>
        <v>0</v>
      </c>
      <c r="AD970" s="2">
        <f t="shared" si="13"/>
        <v>0</v>
      </c>
      <c r="AE970" s="2">
        <f t="shared" si="14"/>
        <v>0</v>
      </c>
      <c r="AF970" s="2">
        <f t="shared" si="15"/>
        <v>0</v>
      </c>
      <c r="AG970" s="2">
        <f t="shared" si="16"/>
        <v>0</v>
      </c>
      <c r="AH970" s="2">
        <f t="shared" si="17"/>
        <v>0</v>
      </c>
      <c r="AI970" s="2">
        <f t="shared" si="18"/>
      </c>
    </row>
    <row r="971">
      <c r="A971" s="43">
        <f t="shared" si="0"/>
      </c>
      <c r="B971" s="54" t="n"/>
      <c r="C971" s="45" t="n"/>
      <c r="D971" s="50" t="n"/>
      <c r="E971" s="55" t="n"/>
      <c r="F971" s="50" t="n"/>
      <c r="G971" s="55" t="n"/>
      <c r="H971" s="50" t="n"/>
      <c r="I971" s="55" t="n"/>
      <c r="J971" s="50" t="n"/>
      <c r="K971" s="55" t="n"/>
      <c r="L971" s="56" t="n"/>
      <c r="M971" s="57" t="n"/>
      <c r="N971" s="57" t="n"/>
      <c r="O971" s="57" t="n"/>
      <c r="P971" s="57" t="n"/>
      <c r="Q971" s="50" t="n"/>
      <c r="R971" s="58">
        <f t="shared" si="1"/>
      </c>
      <c r="S971" s="59">
        <f t="shared" si="2"/>
      </c>
      <c r="T971" s="43">
        <f t="shared" si="3"/>
      </c>
      <c r="U971" s="60">
        <f t="shared" si="4"/>
      </c>
      <c r="V971" s="60">
        <f t="shared" si="5"/>
      </c>
      <c r="W971" s="60">
        <f t="shared" si="6"/>
      </c>
      <c r="X971" s="49">
        <f t="shared" si="7"/>
      </c>
      <c r="Y971" s="2">
        <f t="shared" si="8"/>
      </c>
      <c r="Z971" s="2">
        <f t="shared" si="9"/>
        <v>0</v>
      </c>
      <c r="AA971" s="2">
        <f t="shared" si="10"/>
        <v>0</v>
      </c>
      <c r="AB971" s="2">
        <f t="shared" si="11"/>
        <v>0</v>
      </c>
      <c r="AC971" s="2">
        <f t="shared" si="12"/>
        <v>0</v>
      </c>
      <c r="AD971" s="2">
        <f t="shared" si="13"/>
        <v>0</v>
      </c>
      <c r="AE971" s="2">
        <f t="shared" si="14"/>
        <v>0</v>
      </c>
      <c r="AF971" s="2">
        <f t="shared" si="15"/>
        <v>0</v>
      </c>
      <c r="AG971" s="2">
        <f t="shared" si="16"/>
        <v>0</v>
      </c>
      <c r="AH971" s="2">
        <f t="shared" si="17"/>
        <v>0</v>
      </c>
      <c r="AI971" s="2">
        <f t="shared" si="18"/>
      </c>
    </row>
    <row r="972">
      <c r="A972" s="43">
        <f t="shared" si="0"/>
      </c>
      <c r="B972" s="54" t="n"/>
      <c r="C972" s="45" t="n"/>
      <c r="D972" s="50" t="n"/>
      <c r="E972" s="55" t="n"/>
      <c r="F972" s="50" t="n"/>
      <c r="G972" s="55" t="n"/>
      <c r="H972" s="50" t="n"/>
      <c r="I972" s="55" t="n"/>
      <c r="J972" s="50" t="n"/>
      <c r="K972" s="55" t="n"/>
      <c r="L972" s="56" t="n"/>
      <c r="M972" s="57" t="n"/>
      <c r="N972" s="57" t="n"/>
      <c r="O972" s="57" t="n"/>
      <c r="P972" s="57" t="n"/>
      <c r="Q972" s="50" t="n"/>
      <c r="R972" s="58">
        <f t="shared" si="1"/>
      </c>
      <c r="S972" s="59">
        <f t="shared" si="2"/>
      </c>
      <c r="T972" s="43">
        <f t="shared" si="3"/>
      </c>
      <c r="U972" s="60">
        <f t="shared" si="4"/>
      </c>
      <c r="V972" s="60">
        <f t="shared" si="5"/>
      </c>
      <c r="W972" s="60">
        <f t="shared" si="6"/>
      </c>
      <c r="X972" s="49">
        <f t="shared" si="7"/>
      </c>
      <c r="Y972" s="2">
        <f t="shared" si="8"/>
      </c>
      <c r="Z972" s="2">
        <f t="shared" si="9"/>
        <v>0</v>
      </c>
      <c r="AA972" s="2">
        <f t="shared" si="10"/>
        <v>0</v>
      </c>
      <c r="AB972" s="2">
        <f t="shared" si="11"/>
        <v>0</v>
      </c>
      <c r="AC972" s="2">
        <f t="shared" si="12"/>
        <v>0</v>
      </c>
      <c r="AD972" s="2">
        <f t="shared" si="13"/>
        <v>0</v>
      </c>
      <c r="AE972" s="2">
        <f t="shared" si="14"/>
        <v>0</v>
      </c>
      <c r="AF972" s="2">
        <f t="shared" si="15"/>
        <v>0</v>
      </c>
      <c r="AG972" s="2">
        <f t="shared" si="16"/>
        <v>0</v>
      </c>
      <c r="AH972" s="2">
        <f t="shared" si="17"/>
        <v>0</v>
      </c>
      <c r="AI972" s="2">
        <f t="shared" si="18"/>
      </c>
    </row>
    <row r="973">
      <c r="A973" s="43">
        <f t="shared" si="0"/>
      </c>
      <c r="B973" s="54" t="n"/>
      <c r="C973" s="45" t="n"/>
      <c r="D973" s="50" t="n"/>
      <c r="E973" s="55" t="n"/>
      <c r="F973" s="50" t="n"/>
      <c r="G973" s="55" t="n"/>
      <c r="H973" s="50" t="n"/>
      <c r="I973" s="55" t="n"/>
      <c r="J973" s="50" t="n"/>
      <c r="K973" s="55" t="n"/>
      <c r="L973" s="56" t="n"/>
      <c r="M973" s="57" t="n"/>
      <c r="N973" s="57" t="n"/>
      <c r="O973" s="57" t="n"/>
      <c r="P973" s="57" t="n"/>
      <c r="Q973" s="50" t="n"/>
      <c r="R973" s="58">
        <f t="shared" si="1"/>
      </c>
      <c r="S973" s="59">
        <f t="shared" si="2"/>
      </c>
      <c r="T973" s="43">
        <f t="shared" si="3"/>
      </c>
      <c r="U973" s="60">
        <f t="shared" si="4"/>
      </c>
      <c r="V973" s="60">
        <f t="shared" si="5"/>
      </c>
      <c r="W973" s="60">
        <f t="shared" si="6"/>
      </c>
      <c r="X973" s="49">
        <f t="shared" si="7"/>
      </c>
      <c r="Y973" s="2">
        <f t="shared" si="8"/>
      </c>
      <c r="Z973" s="2">
        <f t="shared" si="9"/>
        <v>0</v>
      </c>
      <c r="AA973" s="2">
        <f t="shared" si="10"/>
        <v>0</v>
      </c>
      <c r="AB973" s="2">
        <f t="shared" si="11"/>
        <v>0</v>
      </c>
      <c r="AC973" s="2">
        <f t="shared" si="12"/>
        <v>0</v>
      </c>
      <c r="AD973" s="2">
        <f t="shared" si="13"/>
        <v>0</v>
      </c>
      <c r="AE973" s="2">
        <f t="shared" si="14"/>
        <v>0</v>
      </c>
      <c r="AF973" s="2">
        <f t="shared" si="15"/>
        <v>0</v>
      </c>
      <c r="AG973" s="2">
        <f t="shared" si="16"/>
        <v>0</v>
      </c>
      <c r="AH973" s="2">
        <f t="shared" si="17"/>
        <v>0</v>
      </c>
      <c r="AI973" s="2">
        <f t="shared" si="18"/>
      </c>
    </row>
    <row r="974">
      <c r="A974" s="43">
        <f t="shared" si="0"/>
      </c>
      <c r="B974" s="54" t="n"/>
      <c r="C974" s="45" t="n"/>
      <c r="D974" s="50" t="n"/>
      <c r="E974" s="55" t="n"/>
      <c r="F974" s="50" t="n"/>
      <c r="G974" s="55" t="n"/>
      <c r="H974" s="50" t="n"/>
      <c r="I974" s="55" t="n"/>
      <c r="J974" s="50" t="n"/>
      <c r="K974" s="55" t="n"/>
      <c r="L974" s="56" t="n"/>
      <c r="M974" s="57" t="n"/>
      <c r="N974" s="57" t="n"/>
      <c r="O974" s="57" t="n"/>
      <c r="P974" s="57" t="n"/>
      <c r="Q974" s="50" t="n"/>
      <c r="R974" s="58">
        <f t="shared" si="1"/>
      </c>
      <c r="S974" s="59">
        <f t="shared" si="2"/>
      </c>
      <c r="T974" s="43">
        <f t="shared" si="3"/>
      </c>
      <c r="U974" s="60">
        <f t="shared" si="4"/>
      </c>
      <c r="V974" s="60">
        <f t="shared" si="5"/>
      </c>
      <c r="W974" s="60">
        <f t="shared" si="6"/>
      </c>
      <c r="X974" s="49">
        <f t="shared" si="7"/>
      </c>
      <c r="Y974" s="2">
        <f t="shared" si="8"/>
      </c>
      <c r="Z974" s="2">
        <f t="shared" si="9"/>
        <v>0</v>
      </c>
      <c r="AA974" s="2">
        <f t="shared" si="10"/>
        <v>0</v>
      </c>
      <c r="AB974" s="2">
        <f t="shared" si="11"/>
        <v>0</v>
      </c>
      <c r="AC974" s="2">
        <f t="shared" si="12"/>
        <v>0</v>
      </c>
      <c r="AD974" s="2">
        <f t="shared" si="13"/>
        <v>0</v>
      </c>
      <c r="AE974" s="2">
        <f t="shared" si="14"/>
        <v>0</v>
      </c>
      <c r="AF974" s="2">
        <f t="shared" si="15"/>
        <v>0</v>
      </c>
      <c r="AG974" s="2">
        <f t="shared" si="16"/>
        <v>0</v>
      </c>
      <c r="AH974" s="2">
        <f t="shared" si="17"/>
        <v>0</v>
      </c>
      <c r="AI974" s="2">
        <f t="shared" si="18"/>
      </c>
    </row>
    <row r="975">
      <c r="A975" s="43">
        <f t="shared" si="0"/>
      </c>
      <c r="B975" s="54" t="n"/>
      <c r="C975" s="45" t="n"/>
      <c r="D975" s="50" t="n"/>
      <c r="E975" s="55" t="n"/>
      <c r="F975" s="50" t="n"/>
      <c r="G975" s="55" t="n"/>
      <c r="H975" s="50" t="n"/>
      <c r="I975" s="55" t="n"/>
      <c r="J975" s="50" t="n"/>
      <c r="K975" s="55" t="n"/>
      <c r="L975" s="56" t="n"/>
      <c r="M975" s="57" t="n"/>
      <c r="N975" s="57" t="n"/>
      <c r="O975" s="57" t="n"/>
      <c r="P975" s="57" t="n"/>
      <c r="Q975" s="50" t="n"/>
      <c r="R975" s="58">
        <f t="shared" si="1"/>
      </c>
      <c r="S975" s="59">
        <f t="shared" si="2"/>
      </c>
      <c r="T975" s="43">
        <f t="shared" si="3"/>
      </c>
      <c r="U975" s="60">
        <f t="shared" si="4"/>
      </c>
      <c r="V975" s="60">
        <f t="shared" si="5"/>
      </c>
      <c r="W975" s="60">
        <f t="shared" si="6"/>
      </c>
      <c r="X975" s="49">
        <f t="shared" si="7"/>
      </c>
      <c r="Y975" s="2">
        <f t="shared" si="8"/>
      </c>
      <c r="Z975" s="2">
        <f t="shared" si="9"/>
        <v>0</v>
      </c>
      <c r="AA975" s="2">
        <f t="shared" si="10"/>
        <v>0</v>
      </c>
      <c r="AB975" s="2">
        <f t="shared" si="11"/>
        <v>0</v>
      </c>
      <c r="AC975" s="2">
        <f t="shared" si="12"/>
        <v>0</v>
      </c>
      <c r="AD975" s="2">
        <f t="shared" si="13"/>
        <v>0</v>
      </c>
      <c r="AE975" s="2">
        <f t="shared" si="14"/>
        <v>0</v>
      </c>
      <c r="AF975" s="2">
        <f t="shared" si="15"/>
        <v>0</v>
      </c>
      <c r="AG975" s="2">
        <f t="shared" si="16"/>
        <v>0</v>
      </c>
      <c r="AH975" s="2">
        <f t="shared" si="17"/>
        <v>0</v>
      </c>
      <c r="AI975" s="2">
        <f t="shared" si="18"/>
      </c>
    </row>
    <row r="976">
      <c r="A976" s="43">
        <f t="shared" si="0"/>
      </c>
      <c r="B976" s="54" t="n"/>
      <c r="C976" s="45" t="n"/>
      <c r="D976" s="50" t="n"/>
      <c r="E976" s="55" t="n"/>
      <c r="F976" s="50" t="n"/>
      <c r="G976" s="55" t="n"/>
      <c r="H976" s="50" t="n"/>
      <c r="I976" s="55" t="n"/>
      <c r="J976" s="50" t="n"/>
      <c r="K976" s="55" t="n"/>
      <c r="L976" s="56" t="n"/>
      <c r="M976" s="57" t="n"/>
      <c r="N976" s="57" t="n"/>
      <c r="O976" s="57" t="n"/>
      <c r="P976" s="57" t="n"/>
      <c r="Q976" s="50" t="n"/>
      <c r="R976" s="58">
        <f t="shared" si="1"/>
      </c>
      <c r="S976" s="59">
        <f t="shared" si="2"/>
      </c>
      <c r="T976" s="43">
        <f t="shared" si="3"/>
      </c>
      <c r="U976" s="60">
        <f t="shared" si="4"/>
      </c>
      <c r="V976" s="60">
        <f t="shared" si="5"/>
      </c>
      <c r="W976" s="60">
        <f t="shared" si="6"/>
      </c>
      <c r="X976" s="49">
        <f t="shared" si="7"/>
      </c>
      <c r="Y976" s="2">
        <f t="shared" si="8"/>
      </c>
      <c r="Z976" s="2">
        <f t="shared" si="9"/>
        <v>0</v>
      </c>
      <c r="AA976" s="2">
        <f t="shared" si="10"/>
        <v>0</v>
      </c>
      <c r="AB976" s="2">
        <f t="shared" si="11"/>
        <v>0</v>
      </c>
      <c r="AC976" s="2">
        <f t="shared" si="12"/>
        <v>0</v>
      </c>
      <c r="AD976" s="2">
        <f t="shared" si="13"/>
        <v>0</v>
      </c>
      <c r="AE976" s="2">
        <f t="shared" si="14"/>
        <v>0</v>
      </c>
      <c r="AF976" s="2">
        <f t="shared" si="15"/>
        <v>0</v>
      </c>
      <c r="AG976" s="2">
        <f t="shared" si="16"/>
        <v>0</v>
      </c>
      <c r="AH976" s="2">
        <f t="shared" si="17"/>
        <v>0</v>
      </c>
      <c r="AI976" s="2">
        <f t="shared" si="18"/>
      </c>
    </row>
    <row r="977">
      <c r="A977" s="43">
        <f t="shared" si="0"/>
      </c>
      <c r="B977" s="54" t="n"/>
      <c r="C977" s="45" t="n"/>
      <c r="D977" s="50" t="n"/>
      <c r="E977" s="55" t="n"/>
      <c r="F977" s="50" t="n"/>
      <c r="G977" s="55" t="n"/>
      <c r="H977" s="50" t="n"/>
      <c r="I977" s="55" t="n"/>
      <c r="J977" s="50" t="n"/>
      <c r="K977" s="55" t="n"/>
      <c r="L977" s="56" t="n"/>
      <c r="M977" s="57" t="n"/>
      <c r="N977" s="57" t="n"/>
      <c r="O977" s="57" t="n"/>
      <c r="P977" s="57" t="n"/>
      <c r="Q977" s="50" t="n"/>
      <c r="R977" s="58">
        <f t="shared" si="1"/>
      </c>
      <c r="S977" s="59">
        <f t="shared" si="2"/>
      </c>
      <c r="T977" s="43">
        <f t="shared" si="3"/>
      </c>
      <c r="U977" s="60">
        <f t="shared" si="4"/>
      </c>
      <c r="V977" s="60">
        <f t="shared" si="5"/>
      </c>
      <c r="W977" s="60">
        <f t="shared" si="6"/>
      </c>
      <c r="X977" s="49">
        <f t="shared" si="7"/>
      </c>
      <c r="Y977" s="2">
        <f t="shared" si="8"/>
      </c>
      <c r="Z977" s="2">
        <f t="shared" si="9"/>
        <v>0</v>
      </c>
      <c r="AA977" s="2">
        <f t="shared" si="10"/>
        <v>0</v>
      </c>
      <c r="AB977" s="2">
        <f t="shared" si="11"/>
        <v>0</v>
      </c>
      <c r="AC977" s="2">
        <f t="shared" si="12"/>
        <v>0</v>
      </c>
      <c r="AD977" s="2">
        <f t="shared" si="13"/>
        <v>0</v>
      </c>
      <c r="AE977" s="2">
        <f t="shared" si="14"/>
        <v>0</v>
      </c>
      <c r="AF977" s="2">
        <f t="shared" si="15"/>
        <v>0</v>
      </c>
      <c r="AG977" s="2">
        <f t="shared" si="16"/>
        <v>0</v>
      </c>
      <c r="AH977" s="2">
        <f t="shared" si="17"/>
        <v>0</v>
      </c>
      <c r="AI977" s="2">
        <f t="shared" si="18"/>
      </c>
    </row>
    <row r="978">
      <c r="A978" s="43">
        <f t="shared" si="0"/>
      </c>
      <c r="B978" s="54" t="n"/>
      <c r="C978" s="45" t="n"/>
      <c r="D978" s="50" t="n"/>
      <c r="E978" s="55" t="n"/>
      <c r="F978" s="50" t="n"/>
      <c r="G978" s="55" t="n"/>
      <c r="H978" s="50" t="n"/>
      <c r="I978" s="55" t="n"/>
      <c r="J978" s="50" t="n"/>
      <c r="K978" s="55" t="n"/>
      <c r="L978" s="56" t="n"/>
      <c r="M978" s="57" t="n"/>
      <c r="N978" s="57" t="n"/>
      <c r="O978" s="57" t="n"/>
      <c r="P978" s="57" t="n"/>
      <c r="Q978" s="50" t="n"/>
      <c r="R978" s="58">
        <f t="shared" si="1"/>
      </c>
      <c r="S978" s="59">
        <f t="shared" si="2"/>
      </c>
      <c r="T978" s="43">
        <f t="shared" si="3"/>
      </c>
      <c r="U978" s="60">
        <f t="shared" si="4"/>
      </c>
      <c r="V978" s="60">
        <f t="shared" si="5"/>
      </c>
      <c r="W978" s="60">
        <f t="shared" si="6"/>
      </c>
      <c r="X978" s="49">
        <f t="shared" si="7"/>
      </c>
      <c r="Y978" s="2">
        <f t="shared" si="8"/>
      </c>
      <c r="Z978" s="2">
        <f t="shared" si="9"/>
        <v>0</v>
      </c>
      <c r="AA978" s="2">
        <f t="shared" si="10"/>
        <v>0</v>
      </c>
      <c r="AB978" s="2">
        <f t="shared" si="11"/>
        <v>0</v>
      </c>
      <c r="AC978" s="2">
        <f t="shared" si="12"/>
        <v>0</v>
      </c>
      <c r="AD978" s="2">
        <f t="shared" si="13"/>
        <v>0</v>
      </c>
      <c r="AE978" s="2">
        <f t="shared" si="14"/>
        <v>0</v>
      </c>
      <c r="AF978" s="2">
        <f t="shared" si="15"/>
        <v>0</v>
      </c>
      <c r="AG978" s="2">
        <f t="shared" si="16"/>
        <v>0</v>
      </c>
      <c r="AH978" s="2">
        <f t="shared" si="17"/>
        <v>0</v>
      </c>
      <c r="AI978" s="2">
        <f t="shared" si="18"/>
      </c>
    </row>
    <row r="979">
      <c r="A979" s="43">
        <f t="shared" si="0"/>
      </c>
      <c r="B979" s="54" t="n"/>
      <c r="C979" s="45" t="n"/>
      <c r="D979" s="50" t="n"/>
      <c r="E979" s="55" t="n"/>
      <c r="F979" s="50" t="n"/>
      <c r="G979" s="55" t="n"/>
      <c r="H979" s="50" t="n"/>
      <c r="I979" s="55" t="n"/>
      <c r="J979" s="50" t="n"/>
      <c r="K979" s="55" t="n"/>
      <c r="L979" s="56" t="n"/>
      <c r="M979" s="57" t="n"/>
      <c r="N979" s="57" t="n"/>
      <c r="O979" s="57" t="n"/>
      <c r="P979" s="57" t="n"/>
      <c r="Q979" s="50" t="n"/>
      <c r="R979" s="58">
        <f t="shared" si="1"/>
      </c>
      <c r="S979" s="59">
        <f t="shared" si="2"/>
      </c>
      <c r="T979" s="43">
        <f t="shared" si="3"/>
      </c>
      <c r="U979" s="60">
        <f t="shared" si="4"/>
      </c>
      <c r="V979" s="60">
        <f t="shared" si="5"/>
      </c>
      <c r="W979" s="60">
        <f t="shared" si="6"/>
      </c>
      <c r="X979" s="49">
        <f t="shared" si="7"/>
      </c>
      <c r="Y979" s="2">
        <f t="shared" si="8"/>
      </c>
      <c r="Z979" s="2">
        <f t="shared" si="9"/>
        <v>0</v>
      </c>
      <c r="AA979" s="2">
        <f t="shared" si="10"/>
        <v>0</v>
      </c>
      <c r="AB979" s="2">
        <f t="shared" si="11"/>
        <v>0</v>
      </c>
      <c r="AC979" s="2">
        <f t="shared" si="12"/>
        <v>0</v>
      </c>
      <c r="AD979" s="2">
        <f t="shared" si="13"/>
        <v>0</v>
      </c>
      <c r="AE979" s="2">
        <f t="shared" si="14"/>
        <v>0</v>
      </c>
      <c r="AF979" s="2">
        <f t="shared" si="15"/>
        <v>0</v>
      </c>
      <c r="AG979" s="2">
        <f t="shared" si="16"/>
        <v>0</v>
      </c>
      <c r="AH979" s="2">
        <f t="shared" si="17"/>
        <v>0</v>
      </c>
      <c r="AI979" s="2">
        <f t="shared" si="18"/>
      </c>
    </row>
    <row r="980">
      <c r="A980" s="43">
        <f t="shared" si="0"/>
      </c>
      <c r="B980" s="54" t="n"/>
      <c r="C980" s="45" t="n"/>
      <c r="D980" s="50" t="n"/>
      <c r="E980" s="55" t="n"/>
      <c r="F980" s="50" t="n"/>
      <c r="G980" s="55" t="n"/>
      <c r="H980" s="50" t="n"/>
      <c r="I980" s="55" t="n"/>
      <c r="J980" s="50" t="n"/>
      <c r="K980" s="55" t="n"/>
      <c r="L980" s="56" t="n"/>
      <c r="M980" s="57" t="n"/>
      <c r="N980" s="57" t="n"/>
      <c r="O980" s="57" t="n"/>
      <c r="P980" s="57" t="n"/>
      <c r="Q980" s="50" t="n"/>
      <c r="R980" s="58">
        <f t="shared" si="1"/>
      </c>
      <c r="S980" s="59">
        <f t="shared" si="2"/>
      </c>
      <c r="T980" s="43">
        <f t="shared" si="3"/>
      </c>
      <c r="U980" s="60">
        <f t="shared" si="4"/>
      </c>
      <c r="V980" s="60">
        <f t="shared" si="5"/>
      </c>
      <c r="W980" s="60">
        <f t="shared" si="6"/>
      </c>
      <c r="X980" s="49">
        <f t="shared" si="7"/>
      </c>
      <c r="Y980" s="2">
        <f t="shared" si="8"/>
      </c>
      <c r="Z980" s="2">
        <f t="shared" si="9"/>
        <v>0</v>
      </c>
      <c r="AA980" s="2">
        <f t="shared" si="10"/>
        <v>0</v>
      </c>
      <c r="AB980" s="2">
        <f t="shared" si="11"/>
        <v>0</v>
      </c>
      <c r="AC980" s="2">
        <f t="shared" si="12"/>
        <v>0</v>
      </c>
      <c r="AD980" s="2">
        <f t="shared" si="13"/>
        <v>0</v>
      </c>
      <c r="AE980" s="2">
        <f t="shared" si="14"/>
        <v>0</v>
      </c>
      <c r="AF980" s="2">
        <f t="shared" si="15"/>
        <v>0</v>
      </c>
      <c r="AG980" s="2">
        <f t="shared" si="16"/>
        <v>0</v>
      </c>
      <c r="AH980" s="2">
        <f t="shared" si="17"/>
        <v>0</v>
      </c>
      <c r="AI980" s="2">
        <f t="shared" si="18"/>
      </c>
    </row>
    <row r="981">
      <c r="A981" s="43">
        <f t="shared" si="0"/>
      </c>
      <c r="B981" s="54" t="n"/>
      <c r="C981" s="45" t="n"/>
      <c r="D981" s="50" t="n"/>
      <c r="E981" s="55" t="n"/>
      <c r="F981" s="50" t="n"/>
      <c r="G981" s="55" t="n"/>
      <c r="H981" s="50" t="n"/>
      <c r="I981" s="55" t="n"/>
      <c r="J981" s="50" t="n"/>
      <c r="K981" s="55" t="n"/>
      <c r="L981" s="56" t="n"/>
      <c r="M981" s="57" t="n"/>
      <c r="N981" s="57" t="n"/>
      <c r="O981" s="57" t="n"/>
      <c r="P981" s="57" t="n"/>
      <c r="Q981" s="50" t="n"/>
      <c r="R981" s="58">
        <f t="shared" si="1"/>
      </c>
      <c r="S981" s="59">
        <f t="shared" si="2"/>
      </c>
      <c r="T981" s="43">
        <f t="shared" si="3"/>
      </c>
      <c r="U981" s="60">
        <f t="shared" si="4"/>
      </c>
      <c r="V981" s="60">
        <f t="shared" si="5"/>
      </c>
      <c r="W981" s="60">
        <f t="shared" si="6"/>
      </c>
      <c r="X981" s="49">
        <f t="shared" si="7"/>
      </c>
      <c r="Y981" s="2">
        <f t="shared" si="8"/>
      </c>
      <c r="Z981" s="2">
        <f t="shared" si="9"/>
        <v>0</v>
      </c>
      <c r="AA981" s="2">
        <f t="shared" si="10"/>
        <v>0</v>
      </c>
      <c r="AB981" s="2">
        <f t="shared" si="11"/>
        <v>0</v>
      </c>
      <c r="AC981" s="2">
        <f t="shared" si="12"/>
        <v>0</v>
      </c>
      <c r="AD981" s="2">
        <f t="shared" si="13"/>
        <v>0</v>
      </c>
      <c r="AE981" s="2">
        <f t="shared" si="14"/>
        <v>0</v>
      </c>
      <c r="AF981" s="2">
        <f t="shared" si="15"/>
        <v>0</v>
      </c>
      <c r="AG981" s="2">
        <f t="shared" si="16"/>
        <v>0</v>
      </c>
      <c r="AH981" s="2">
        <f t="shared" si="17"/>
        <v>0</v>
      </c>
      <c r="AI981" s="2">
        <f t="shared" si="18"/>
      </c>
    </row>
    <row r="982">
      <c r="A982" s="43">
        <f t="shared" si="0"/>
      </c>
      <c r="B982" s="54" t="n"/>
      <c r="C982" s="45" t="n"/>
      <c r="D982" s="50" t="n"/>
      <c r="E982" s="55" t="n"/>
      <c r="F982" s="50" t="n"/>
      <c r="G982" s="55" t="n"/>
      <c r="H982" s="50" t="n"/>
      <c r="I982" s="55" t="n"/>
      <c r="J982" s="50" t="n"/>
      <c r="K982" s="55" t="n"/>
      <c r="L982" s="56" t="n"/>
      <c r="M982" s="57" t="n"/>
      <c r="N982" s="57" t="n"/>
      <c r="O982" s="57" t="n"/>
      <c r="P982" s="57" t="n"/>
      <c r="Q982" s="50" t="n"/>
      <c r="R982" s="58">
        <f t="shared" si="1"/>
      </c>
      <c r="S982" s="59">
        <f t="shared" si="2"/>
      </c>
      <c r="T982" s="43">
        <f t="shared" si="3"/>
      </c>
      <c r="U982" s="60">
        <f t="shared" si="4"/>
      </c>
      <c r="V982" s="60">
        <f t="shared" si="5"/>
      </c>
      <c r="W982" s="60">
        <f t="shared" si="6"/>
      </c>
      <c r="X982" s="49">
        <f t="shared" si="7"/>
      </c>
      <c r="Y982" s="2">
        <f t="shared" si="8"/>
      </c>
      <c r="Z982" s="2">
        <f t="shared" si="9"/>
        <v>0</v>
      </c>
      <c r="AA982" s="2">
        <f t="shared" si="10"/>
        <v>0</v>
      </c>
      <c r="AB982" s="2">
        <f t="shared" si="11"/>
        <v>0</v>
      </c>
      <c r="AC982" s="2">
        <f t="shared" si="12"/>
        <v>0</v>
      </c>
      <c r="AD982" s="2">
        <f t="shared" si="13"/>
        <v>0</v>
      </c>
      <c r="AE982" s="2">
        <f t="shared" si="14"/>
        <v>0</v>
      </c>
      <c r="AF982" s="2">
        <f t="shared" si="15"/>
        <v>0</v>
      </c>
      <c r="AG982" s="2">
        <f t="shared" si="16"/>
        <v>0</v>
      </c>
      <c r="AH982" s="2">
        <f t="shared" si="17"/>
        <v>0</v>
      </c>
      <c r="AI982" s="2">
        <f t="shared" si="18"/>
      </c>
    </row>
    <row r="983">
      <c r="A983" s="43">
        <f t="shared" si="0"/>
      </c>
      <c r="B983" s="54" t="n"/>
      <c r="C983" s="45" t="n"/>
      <c r="D983" s="50" t="n"/>
      <c r="E983" s="55" t="n"/>
      <c r="F983" s="50" t="n"/>
      <c r="G983" s="55" t="n"/>
      <c r="H983" s="50" t="n"/>
      <c r="I983" s="55" t="n"/>
      <c r="J983" s="50" t="n"/>
      <c r="K983" s="55" t="n"/>
      <c r="L983" s="56" t="n"/>
      <c r="M983" s="57" t="n"/>
      <c r="N983" s="57" t="n"/>
      <c r="O983" s="57" t="n"/>
      <c r="P983" s="57" t="n"/>
      <c r="Q983" s="50" t="n"/>
      <c r="R983" s="58">
        <f t="shared" si="1"/>
      </c>
      <c r="S983" s="59">
        <f t="shared" si="2"/>
      </c>
      <c r="T983" s="43">
        <f t="shared" si="3"/>
      </c>
      <c r="U983" s="60">
        <f t="shared" si="4"/>
      </c>
      <c r="V983" s="60">
        <f t="shared" si="5"/>
      </c>
      <c r="W983" s="60">
        <f t="shared" si="6"/>
      </c>
      <c r="X983" s="49">
        <f t="shared" si="7"/>
      </c>
      <c r="Y983" s="2">
        <f t="shared" si="8"/>
      </c>
      <c r="Z983" s="2">
        <f t="shared" si="9"/>
        <v>0</v>
      </c>
      <c r="AA983" s="2">
        <f t="shared" si="10"/>
        <v>0</v>
      </c>
      <c r="AB983" s="2">
        <f t="shared" si="11"/>
        <v>0</v>
      </c>
      <c r="AC983" s="2">
        <f t="shared" si="12"/>
        <v>0</v>
      </c>
      <c r="AD983" s="2">
        <f t="shared" si="13"/>
        <v>0</v>
      </c>
      <c r="AE983" s="2">
        <f t="shared" si="14"/>
        <v>0</v>
      </c>
      <c r="AF983" s="2">
        <f t="shared" si="15"/>
        <v>0</v>
      </c>
      <c r="AG983" s="2">
        <f t="shared" si="16"/>
        <v>0</v>
      </c>
      <c r="AH983" s="2">
        <f t="shared" si="17"/>
        <v>0</v>
      </c>
      <c r="AI983" s="2">
        <f t="shared" si="18"/>
      </c>
    </row>
    <row r="984">
      <c r="A984" s="43">
        <f t="shared" si="0"/>
      </c>
      <c r="B984" s="54" t="n"/>
      <c r="C984" s="45" t="n"/>
      <c r="D984" s="50" t="n"/>
      <c r="E984" s="55" t="n"/>
      <c r="F984" s="50" t="n"/>
      <c r="G984" s="55" t="n"/>
      <c r="H984" s="50" t="n"/>
      <c r="I984" s="55" t="n"/>
      <c r="J984" s="50" t="n"/>
      <c r="K984" s="55" t="n"/>
      <c r="L984" s="56" t="n"/>
      <c r="M984" s="57" t="n"/>
      <c r="N984" s="57" t="n"/>
      <c r="O984" s="57" t="n"/>
      <c r="P984" s="57" t="n"/>
      <c r="Q984" s="50" t="n"/>
      <c r="R984" s="58">
        <f t="shared" si="1"/>
      </c>
      <c r="S984" s="59">
        <f t="shared" si="2"/>
      </c>
      <c r="T984" s="43">
        <f t="shared" si="3"/>
      </c>
      <c r="U984" s="60">
        <f t="shared" si="4"/>
      </c>
      <c r="V984" s="60">
        <f t="shared" si="5"/>
      </c>
      <c r="W984" s="60">
        <f t="shared" si="6"/>
      </c>
      <c r="X984" s="49">
        <f t="shared" si="7"/>
      </c>
      <c r="Y984" s="2">
        <f t="shared" si="8"/>
      </c>
      <c r="Z984" s="2">
        <f t="shared" si="9"/>
        <v>0</v>
      </c>
      <c r="AA984" s="2">
        <f t="shared" si="10"/>
        <v>0</v>
      </c>
      <c r="AB984" s="2">
        <f t="shared" si="11"/>
        <v>0</v>
      </c>
      <c r="AC984" s="2">
        <f t="shared" si="12"/>
        <v>0</v>
      </c>
      <c r="AD984" s="2">
        <f t="shared" si="13"/>
        <v>0</v>
      </c>
      <c r="AE984" s="2">
        <f t="shared" si="14"/>
        <v>0</v>
      </c>
      <c r="AF984" s="2">
        <f t="shared" si="15"/>
        <v>0</v>
      </c>
      <c r="AG984" s="2">
        <f t="shared" si="16"/>
        <v>0</v>
      </c>
      <c r="AH984" s="2">
        <f t="shared" si="17"/>
        <v>0</v>
      </c>
      <c r="AI984" s="2">
        <f t="shared" si="18"/>
      </c>
    </row>
    <row r="985">
      <c r="A985" s="43">
        <f t="shared" si="0"/>
      </c>
      <c r="B985" s="54" t="n"/>
      <c r="C985" s="45" t="n"/>
      <c r="D985" s="50" t="n"/>
      <c r="E985" s="55" t="n"/>
      <c r="F985" s="50" t="n"/>
      <c r="G985" s="55" t="n"/>
      <c r="H985" s="50" t="n"/>
      <c r="I985" s="55" t="n"/>
      <c r="J985" s="50" t="n"/>
      <c r="K985" s="55" t="n"/>
      <c r="L985" s="56" t="n"/>
      <c r="M985" s="57" t="n"/>
      <c r="N985" s="57" t="n"/>
      <c r="O985" s="57" t="n"/>
      <c r="P985" s="57" t="n"/>
      <c r="Q985" s="50" t="n"/>
      <c r="R985" s="58">
        <f t="shared" si="1"/>
      </c>
      <c r="S985" s="59">
        <f t="shared" si="2"/>
      </c>
      <c r="T985" s="43">
        <f t="shared" si="3"/>
      </c>
      <c r="U985" s="60">
        <f t="shared" si="4"/>
      </c>
      <c r="V985" s="60">
        <f t="shared" si="5"/>
      </c>
      <c r="W985" s="60">
        <f t="shared" si="6"/>
      </c>
      <c r="X985" s="49">
        <f t="shared" si="7"/>
      </c>
      <c r="Y985" s="2">
        <f t="shared" si="8"/>
      </c>
      <c r="Z985" s="2">
        <f t="shared" si="9"/>
        <v>0</v>
      </c>
      <c r="AA985" s="2">
        <f t="shared" si="10"/>
        <v>0</v>
      </c>
      <c r="AB985" s="2">
        <f t="shared" si="11"/>
        <v>0</v>
      </c>
      <c r="AC985" s="2">
        <f t="shared" si="12"/>
        <v>0</v>
      </c>
      <c r="AD985" s="2">
        <f t="shared" si="13"/>
        <v>0</v>
      </c>
      <c r="AE985" s="2">
        <f t="shared" si="14"/>
        <v>0</v>
      </c>
      <c r="AF985" s="2">
        <f t="shared" si="15"/>
        <v>0</v>
      </c>
      <c r="AG985" s="2">
        <f t="shared" si="16"/>
        <v>0</v>
      </c>
      <c r="AH985" s="2">
        <f t="shared" si="17"/>
        <v>0</v>
      </c>
      <c r="AI985" s="2">
        <f t="shared" si="18"/>
      </c>
    </row>
    <row r="986">
      <c r="A986" s="43">
        <f t="shared" si="0"/>
      </c>
      <c r="B986" s="54" t="n"/>
      <c r="C986" s="45" t="n"/>
      <c r="D986" s="50" t="n"/>
      <c r="E986" s="55" t="n"/>
      <c r="F986" s="50" t="n"/>
      <c r="G986" s="55" t="n"/>
      <c r="H986" s="50" t="n"/>
      <c r="I986" s="55" t="n"/>
      <c r="J986" s="50" t="n"/>
      <c r="K986" s="55" t="n"/>
      <c r="L986" s="56" t="n"/>
      <c r="M986" s="57" t="n"/>
      <c r="N986" s="57" t="n"/>
      <c r="O986" s="57" t="n"/>
      <c r="P986" s="57" t="n"/>
      <c r="Q986" s="50" t="n"/>
      <c r="R986" s="58">
        <f t="shared" si="1"/>
      </c>
      <c r="S986" s="59">
        <f t="shared" si="2"/>
      </c>
      <c r="T986" s="43">
        <f t="shared" si="3"/>
      </c>
      <c r="U986" s="60">
        <f t="shared" si="4"/>
      </c>
      <c r="V986" s="60">
        <f t="shared" si="5"/>
      </c>
      <c r="W986" s="60">
        <f t="shared" si="6"/>
      </c>
      <c r="X986" s="49">
        <f t="shared" si="7"/>
      </c>
      <c r="Y986" s="2">
        <f t="shared" si="8"/>
      </c>
      <c r="Z986" s="2">
        <f t="shared" si="9"/>
        <v>0</v>
      </c>
      <c r="AA986" s="2">
        <f t="shared" si="10"/>
        <v>0</v>
      </c>
      <c r="AB986" s="2">
        <f t="shared" si="11"/>
        <v>0</v>
      </c>
      <c r="AC986" s="2">
        <f t="shared" si="12"/>
        <v>0</v>
      </c>
      <c r="AD986" s="2">
        <f t="shared" si="13"/>
        <v>0</v>
      </c>
      <c r="AE986" s="2">
        <f t="shared" si="14"/>
        <v>0</v>
      </c>
      <c r="AF986" s="2">
        <f t="shared" si="15"/>
        <v>0</v>
      </c>
      <c r="AG986" s="2">
        <f t="shared" si="16"/>
        <v>0</v>
      </c>
      <c r="AH986" s="2">
        <f t="shared" si="17"/>
        <v>0</v>
      </c>
      <c r="AI986" s="2">
        <f t="shared" si="18"/>
      </c>
    </row>
    <row r="987">
      <c r="A987" s="43">
        <f t="shared" si="0"/>
      </c>
      <c r="B987" s="54" t="n"/>
      <c r="C987" s="45" t="n"/>
      <c r="D987" s="50" t="n"/>
      <c r="E987" s="55" t="n"/>
      <c r="F987" s="50" t="n"/>
      <c r="G987" s="55" t="n"/>
      <c r="H987" s="50" t="n"/>
      <c r="I987" s="55" t="n"/>
      <c r="J987" s="50" t="n"/>
      <c r="K987" s="55" t="n"/>
      <c r="L987" s="56" t="n"/>
      <c r="M987" s="57" t="n"/>
      <c r="N987" s="57" t="n"/>
      <c r="O987" s="57" t="n"/>
      <c r="P987" s="57" t="n"/>
      <c r="Q987" s="50" t="n"/>
      <c r="R987" s="58">
        <f t="shared" si="1"/>
      </c>
      <c r="S987" s="59">
        <f t="shared" si="2"/>
      </c>
      <c r="T987" s="43">
        <f t="shared" si="3"/>
      </c>
      <c r="U987" s="60">
        <f t="shared" si="4"/>
      </c>
      <c r="V987" s="60">
        <f t="shared" si="5"/>
      </c>
      <c r="W987" s="60">
        <f t="shared" si="6"/>
      </c>
      <c r="X987" s="49">
        <f t="shared" si="7"/>
      </c>
      <c r="Y987" s="2">
        <f t="shared" si="8"/>
      </c>
      <c r="Z987" s="2">
        <f t="shared" si="9"/>
        <v>0</v>
      </c>
      <c r="AA987" s="2">
        <f t="shared" si="10"/>
        <v>0</v>
      </c>
      <c r="AB987" s="2">
        <f t="shared" si="11"/>
        <v>0</v>
      </c>
      <c r="AC987" s="2">
        <f t="shared" si="12"/>
        <v>0</v>
      </c>
      <c r="AD987" s="2">
        <f t="shared" si="13"/>
        <v>0</v>
      </c>
      <c r="AE987" s="2">
        <f t="shared" si="14"/>
        <v>0</v>
      </c>
      <c r="AF987" s="2">
        <f t="shared" si="15"/>
        <v>0</v>
      </c>
      <c r="AG987" s="2">
        <f t="shared" si="16"/>
        <v>0</v>
      </c>
      <c r="AH987" s="2">
        <f t="shared" si="17"/>
        <v>0</v>
      </c>
      <c r="AI987" s="2">
        <f t="shared" si="18"/>
      </c>
    </row>
    <row r="988">
      <c r="A988" s="43">
        <f t="shared" si="0"/>
      </c>
      <c r="B988" s="54" t="n"/>
      <c r="C988" s="45" t="n"/>
      <c r="D988" s="50" t="n"/>
      <c r="E988" s="55" t="n"/>
      <c r="F988" s="50" t="n"/>
      <c r="G988" s="55" t="n"/>
      <c r="H988" s="50" t="n"/>
      <c r="I988" s="55" t="n"/>
      <c r="J988" s="50" t="n"/>
      <c r="K988" s="55" t="n"/>
      <c r="L988" s="56" t="n"/>
      <c r="M988" s="57" t="n"/>
      <c r="N988" s="57" t="n"/>
      <c r="O988" s="57" t="n"/>
      <c r="P988" s="57" t="n"/>
      <c r="Q988" s="50" t="n"/>
      <c r="R988" s="58">
        <f t="shared" si="1"/>
      </c>
      <c r="S988" s="59">
        <f t="shared" si="2"/>
      </c>
      <c r="T988" s="43">
        <f t="shared" si="3"/>
      </c>
      <c r="U988" s="60">
        <f t="shared" si="4"/>
      </c>
      <c r="V988" s="60">
        <f t="shared" si="5"/>
      </c>
      <c r="W988" s="60">
        <f t="shared" si="6"/>
      </c>
      <c r="X988" s="49">
        <f t="shared" si="7"/>
      </c>
      <c r="Y988" s="2">
        <f t="shared" si="8"/>
      </c>
      <c r="Z988" s="2">
        <f t="shared" si="9"/>
        <v>0</v>
      </c>
      <c r="AA988" s="2">
        <f t="shared" si="10"/>
        <v>0</v>
      </c>
      <c r="AB988" s="2">
        <f t="shared" si="11"/>
        <v>0</v>
      </c>
      <c r="AC988" s="2">
        <f t="shared" si="12"/>
        <v>0</v>
      </c>
      <c r="AD988" s="2">
        <f t="shared" si="13"/>
        <v>0</v>
      </c>
      <c r="AE988" s="2">
        <f t="shared" si="14"/>
        <v>0</v>
      </c>
      <c r="AF988" s="2">
        <f t="shared" si="15"/>
        <v>0</v>
      </c>
      <c r="AG988" s="2">
        <f t="shared" si="16"/>
        <v>0</v>
      </c>
      <c r="AH988" s="2">
        <f t="shared" si="17"/>
        <v>0</v>
      </c>
      <c r="AI988" s="2">
        <f t="shared" si="18"/>
      </c>
    </row>
    <row r="989">
      <c r="A989" s="43">
        <f t="shared" si="0"/>
      </c>
      <c r="B989" s="54" t="n"/>
      <c r="C989" s="45" t="n"/>
      <c r="D989" s="50" t="n"/>
      <c r="E989" s="55" t="n"/>
      <c r="F989" s="50" t="n"/>
      <c r="G989" s="55" t="n"/>
      <c r="H989" s="50" t="n"/>
      <c r="I989" s="55" t="n"/>
      <c r="J989" s="50" t="n"/>
      <c r="K989" s="55" t="n"/>
      <c r="L989" s="56" t="n"/>
      <c r="M989" s="57" t="n"/>
      <c r="N989" s="57" t="n"/>
      <c r="O989" s="57" t="n"/>
      <c r="P989" s="57" t="n"/>
      <c r="Q989" s="50" t="n"/>
      <c r="R989" s="58">
        <f t="shared" si="1"/>
      </c>
      <c r="S989" s="59">
        <f t="shared" si="2"/>
      </c>
      <c r="T989" s="43">
        <f t="shared" si="3"/>
      </c>
      <c r="U989" s="60">
        <f t="shared" si="4"/>
      </c>
      <c r="V989" s="60">
        <f t="shared" si="5"/>
      </c>
      <c r="W989" s="60">
        <f t="shared" si="6"/>
      </c>
      <c r="X989" s="49">
        <f t="shared" si="7"/>
      </c>
      <c r="Y989" s="2">
        <f t="shared" si="8"/>
      </c>
      <c r="Z989" s="2">
        <f t="shared" si="9"/>
        <v>0</v>
      </c>
      <c r="AA989" s="2">
        <f t="shared" si="10"/>
        <v>0</v>
      </c>
      <c r="AB989" s="2">
        <f t="shared" si="11"/>
        <v>0</v>
      </c>
      <c r="AC989" s="2">
        <f t="shared" si="12"/>
        <v>0</v>
      </c>
      <c r="AD989" s="2">
        <f t="shared" si="13"/>
        <v>0</v>
      </c>
      <c r="AE989" s="2">
        <f t="shared" si="14"/>
        <v>0</v>
      </c>
      <c r="AF989" s="2">
        <f t="shared" si="15"/>
        <v>0</v>
      </c>
      <c r="AG989" s="2">
        <f t="shared" si="16"/>
        <v>0</v>
      </c>
      <c r="AH989" s="2">
        <f t="shared" si="17"/>
        <v>0</v>
      </c>
      <c r="AI989" s="2">
        <f t="shared" si="18"/>
      </c>
    </row>
    <row r="990">
      <c r="A990" s="43">
        <f t="shared" si="0"/>
      </c>
      <c r="B990" s="54" t="n"/>
      <c r="C990" s="45" t="n"/>
      <c r="D990" s="50" t="n"/>
      <c r="E990" s="55" t="n"/>
      <c r="F990" s="50" t="n"/>
      <c r="G990" s="55" t="n"/>
      <c r="H990" s="50" t="n"/>
      <c r="I990" s="55" t="n"/>
      <c r="J990" s="50" t="n"/>
      <c r="K990" s="55" t="n"/>
      <c r="L990" s="56" t="n"/>
      <c r="M990" s="57" t="n"/>
      <c r="N990" s="57" t="n"/>
      <c r="O990" s="57" t="n"/>
      <c r="P990" s="57" t="n"/>
      <c r="Q990" s="50" t="n"/>
      <c r="R990" s="58">
        <f t="shared" si="1"/>
      </c>
      <c r="S990" s="59">
        <f t="shared" si="2"/>
      </c>
      <c r="T990" s="43">
        <f t="shared" si="3"/>
      </c>
      <c r="U990" s="60">
        <f t="shared" si="4"/>
      </c>
      <c r="V990" s="60">
        <f t="shared" si="5"/>
      </c>
      <c r="W990" s="60">
        <f t="shared" si="6"/>
      </c>
      <c r="X990" s="49">
        <f t="shared" si="7"/>
      </c>
      <c r="Y990" s="2">
        <f t="shared" si="8"/>
      </c>
      <c r="Z990" s="2">
        <f t="shared" si="9"/>
        <v>0</v>
      </c>
      <c r="AA990" s="2">
        <f t="shared" si="10"/>
        <v>0</v>
      </c>
      <c r="AB990" s="2">
        <f t="shared" si="11"/>
        <v>0</v>
      </c>
      <c r="AC990" s="2">
        <f t="shared" si="12"/>
        <v>0</v>
      </c>
      <c r="AD990" s="2">
        <f t="shared" si="13"/>
        <v>0</v>
      </c>
      <c r="AE990" s="2">
        <f t="shared" si="14"/>
        <v>0</v>
      </c>
      <c r="AF990" s="2">
        <f t="shared" si="15"/>
        <v>0</v>
      </c>
      <c r="AG990" s="2">
        <f t="shared" si="16"/>
        <v>0</v>
      </c>
      <c r="AH990" s="2">
        <f t="shared" si="17"/>
        <v>0</v>
      </c>
      <c r="AI990" s="2">
        <f t="shared" si="18"/>
      </c>
    </row>
    <row r="991">
      <c r="A991" s="43">
        <f t="shared" si="0"/>
      </c>
      <c r="B991" s="54" t="n"/>
      <c r="C991" s="45" t="n"/>
      <c r="D991" s="50" t="n"/>
      <c r="E991" s="55" t="n"/>
      <c r="F991" s="50" t="n"/>
      <c r="G991" s="55" t="n"/>
      <c r="H991" s="50" t="n"/>
      <c r="I991" s="55" t="n"/>
      <c r="J991" s="50" t="n"/>
      <c r="K991" s="55" t="n"/>
      <c r="L991" s="56" t="n"/>
      <c r="M991" s="57" t="n"/>
      <c r="N991" s="57" t="n"/>
      <c r="O991" s="57" t="n"/>
      <c r="P991" s="57" t="n"/>
      <c r="Q991" s="50" t="n"/>
      <c r="R991" s="58">
        <f t="shared" si="1"/>
      </c>
      <c r="S991" s="59">
        <f t="shared" si="2"/>
      </c>
      <c r="T991" s="43">
        <f t="shared" si="3"/>
      </c>
      <c r="U991" s="60">
        <f t="shared" si="4"/>
      </c>
      <c r="V991" s="60">
        <f t="shared" si="5"/>
      </c>
      <c r="W991" s="60">
        <f t="shared" si="6"/>
      </c>
      <c r="X991" s="49">
        <f t="shared" si="7"/>
      </c>
      <c r="Y991" s="2">
        <f t="shared" si="8"/>
      </c>
      <c r="Z991" s="2">
        <f t="shared" si="9"/>
        <v>0</v>
      </c>
      <c r="AA991" s="2">
        <f t="shared" si="10"/>
        <v>0</v>
      </c>
      <c r="AB991" s="2">
        <f t="shared" si="11"/>
        <v>0</v>
      </c>
      <c r="AC991" s="2">
        <f t="shared" si="12"/>
        <v>0</v>
      </c>
      <c r="AD991" s="2">
        <f t="shared" si="13"/>
        <v>0</v>
      </c>
      <c r="AE991" s="2">
        <f t="shared" si="14"/>
        <v>0</v>
      </c>
      <c r="AF991" s="2">
        <f t="shared" si="15"/>
        <v>0</v>
      </c>
      <c r="AG991" s="2">
        <f t="shared" si="16"/>
        <v>0</v>
      </c>
      <c r="AH991" s="2">
        <f t="shared" si="17"/>
        <v>0</v>
      </c>
      <c r="AI991" s="2">
        <f t="shared" si="18"/>
      </c>
    </row>
    <row r="992">
      <c r="A992" s="43">
        <f t="shared" si="0"/>
      </c>
      <c r="B992" s="54" t="n"/>
      <c r="C992" s="45" t="n"/>
      <c r="D992" s="50" t="n"/>
      <c r="E992" s="55" t="n"/>
      <c r="F992" s="50" t="n"/>
      <c r="G992" s="55" t="n"/>
      <c r="H992" s="50" t="n"/>
      <c r="I992" s="55" t="n"/>
      <c r="J992" s="50" t="n"/>
      <c r="K992" s="55" t="n"/>
      <c r="L992" s="56" t="n"/>
      <c r="M992" s="57" t="n"/>
      <c r="N992" s="57" t="n"/>
      <c r="O992" s="57" t="n"/>
      <c r="P992" s="57" t="n"/>
      <c r="Q992" s="50" t="n"/>
      <c r="R992" s="58">
        <f t="shared" si="1"/>
      </c>
      <c r="S992" s="59">
        <f t="shared" si="2"/>
      </c>
      <c r="T992" s="43">
        <f t="shared" si="3"/>
      </c>
      <c r="U992" s="60">
        <f t="shared" si="4"/>
      </c>
      <c r="V992" s="60">
        <f t="shared" si="5"/>
      </c>
      <c r="W992" s="60">
        <f t="shared" si="6"/>
      </c>
      <c r="X992" s="49">
        <f t="shared" si="7"/>
      </c>
      <c r="Y992" s="2">
        <f t="shared" si="8"/>
      </c>
      <c r="Z992" s="2">
        <f t="shared" si="9"/>
        <v>0</v>
      </c>
      <c r="AA992" s="2">
        <f t="shared" si="10"/>
        <v>0</v>
      </c>
      <c r="AB992" s="2">
        <f t="shared" si="11"/>
        <v>0</v>
      </c>
      <c r="AC992" s="2">
        <f t="shared" si="12"/>
        <v>0</v>
      </c>
      <c r="AD992" s="2">
        <f t="shared" si="13"/>
        <v>0</v>
      </c>
      <c r="AE992" s="2">
        <f t="shared" si="14"/>
        <v>0</v>
      </c>
      <c r="AF992" s="2">
        <f t="shared" si="15"/>
        <v>0</v>
      </c>
      <c r="AG992" s="2">
        <f t="shared" si="16"/>
        <v>0</v>
      </c>
      <c r="AH992" s="2">
        <f t="shared" si="17"/>
        <v>0</v>
      </c>
      <c r="AI992" s="2">
        <f t="shared" si="18"/>
      </c>
    </row>
    <row r="993">
      <c r="A993" s="43">
        <f t="shared" si="0"/>
      </c>
      <c r="B993" s="54" t="n"/>
      <c r="C993" s="45" t="n"/>
      <c r="D993" s="50" t="n"/>
      <c r="E993" s="55" t="n"/>
      <c r="F993" s="50" t="n"/>
      <c r="G993" s="55" t="n"/>
      <c r="H993" s="50" t="n"/>
      <c r="I993" s="55" t="n"/>
      <c r="J993" s="50" t="n"/>
      <c r="K993" s="55" t="n"/>
      <c r="L993" s="56" t="n"/>
      <c r="M993" s="57" t="n"/>
      <c r="N993" s="57" t="n"/>
      <c r="O993" s="57" t="n"/>
      <c r="P993" s="57" t="n"/>
      <c r="Q993" s="50" t="n"/>
      <c r="R993" s="58">
        <f t="shared" si="1"/>
      </c>
      <c r="S993" s="59">
        <f t="shared" si="2"/>
      </c>
      <c r="T993" s="43">
        <f t="shared" si="3"/>
      </c>
      <c r="U993" s="60">
        <f t="shared" si="4"/>
      </c>
      <c r="V993" s="60">
        <f t="shared" si="5"/>
      </c>
      <c r="W993" s="60">
        <f t="shared" si="6"/>
      </c>
      <c r="X993" s="49">
        <f t="shared" si="7"/>
      </c>
      <c r="Y993" s="2">
        <f t="shared" si="8"/>
      </c>
      <c r="Z993" s="2">
        <f t="shared" si="9"/>
        <v>0</v>
      </c>
      <c r="AA993" s="2">
        <f t="shared" si="10"/>
        <v>0</v>
      </c>
      <c r="AB993" s="2">
        <f t="shared" si="11"/>
        <v>0</v>
      </c>
      <c r="AC993" s="2">
        <f t="shared" si="12"/>
        <v>0</v>
      </c>
      <c r="AD993" s="2">
        <f t="shared" si="13"/>
        <v>0</v>
      </c>
      <c r="AE993" s="2">
        <f t="shared" si="14"/>
        <v>0</v>
      </c>
      <c r="AF993" s="2">
        <f t="shared" si="15"/>
        <v>0</v>
      </c>
      <c r="AG993" s="2">
        <f t="shared" si="16"/>
        <v>0</v>
      </c>
      <c r="AH993" s="2">
        <f t="shared" si="17"/>
        <v>0</v>
      </c>
      <c r="AI993" s="2">
        <f t="shared" si="18"/>
      </c>
    </row>
    <row r="994">
      <c r="A994" s="43">
        <f t="shared" si="0"/>
      </c>
      <c r="B994" s="54" t="n"/>
      <c r="C994" s="45" t="n"/>
      <c r="D994" s="50" t="n"/>
      <c r="E994" s="55" t="n"/>
      <c r="F994" s="50" t="n"/>
      <c r="G994" s="55" t="n"/>
      <c r="H994" s="50" t="n"/>
      <c r="I994" s="55" t="n"/>
      <c r="J994" s="50" t="n"/>
      <c r="K994" s="55" t="n"/>
      <c r="L994" s="56" t="n"/>
      <c r="M994" s="57" t="n"/>
      <c r="N994" s="57" t="n"/>
      <c r="O994" s="57" t="n"/>
      <c r="P994" s="57" t="n"/>
      <c r="Q994" s="50" t="n"/>
      <c r="R994" s="58">
        <f t="shared" si="1"/>
      </c>
      <c r="S994" s="59">
        <f t="shared" si="2"/>
      </c>
      <c r="T994" s="43">
        <f t="shared" si="3"/>
      </c>
      <c r="U994" s="60">
        <f t="shared" si="4"/>
      </c>
      <c r="V994" s="60">
        <f t="shared" si="5"/>
      </c>
      <c r="W994" s="60">
        <f t="shared" si="6"/>
      </c>
      <c r="X994" s="49">
        <f t="shared" si="7"/>
      </c>
      <c r="Y994" s="2">
        <f t="shared" si="8"/>
      </c>
      <c r="Z994" s="2">
        <f t="shared" si="9"/>
        <v>0</v>
      </c>
      <c r="AA994" s="2">
        <f t="shared" si="10"/>
        <v>0</v>
      </c>
      <c r="AB994" s="2">
        <f t="shared" si="11"/>
        <v>0</v>
      </c>
      <c r="AC994" s="2">
        <f t="shared" si="12"/>
        <v>0</v>
      </c>
      <c r="AD994" s="2">
        <f t="shared" si="13"/>
        <v>0</v>
      </c>
      <c r="AE994" s="2">
        <f t="shared" si="14"/>
        <v>0</v>
      </c>
      <c r="AF994" s="2">
        <f t="shared" si="15"/>
        <v>0</v>
      </c>
      <c r="AG994" s="2">
        <f t="shared" si="16"/>
        <v>0</v>
      </c>
      <c r="AH994" s="2">
        <f t="shared" si="17"/>
        <v>0</v>
      </c>
      <c r="AI994" s="2">
        <f t="shared" si="18"/>
      </c>
    </row>
    <row r="995">
      <c r="A995" s="43">
        <f t="shared" si="0"/>
      </c>
      <c r="B995" s="54" t="n"/>
      <c r="C995" s="45" t="n"/>
      <c r="D995" s="50" t="n"/>
      <c r="E995" s="55" t="n"/>
      <c r="F995" s="50" t="n"/>
      <c r="G995" s="55" t="n"/>
      <c r="H995" s="50" t="n"/>
      <c r="I995" s="55" t="n"/>
      <c r="J995" s="50" t="n"/>
      <c r="K995" s="55" t="n"/>
      <c r="L995" s="56" t="n"/>
      <c r="M995" s="57" t="n"/>
      <c r="N995" s="57" t="n"/>
      <c r="O995" s="57" t="n"/>
      <c r="P995" s="57" t="n"/>
      <c r="Q995" s="50" t="n"/>
      <c r="R995" s="58">
        <f t="shared" si="1"/>
      </c>
      <c r="S995" s="59">
        <f t="shared" si="2"/>
      </c>
      <c r="T995" s="43">
        <f t="shared" si="3"/>
      </c>
      <c r="U995" s="60">
        <f t="shared" si="4"/>
      </c>
      <c r="V995" s="60">
        <f t="shared" si="5"/>
      </c>
      <c r="W995" s="60">
        <f t="shared" si="6"/>
      </c>
      <c r="X995" s="49">
        <f t="shared" si="7"/>
      </c>
      <c r="Y995" s="2">
        <f t="shared" si="8"/>
      </c>
      <c r="Z995" s="2">
        <f t="shared" si="9"/>
        <v>0</v>
      </c>
      <c r="AA995" s="2">
        <f t="shared" si="10"/>
        <v>0</v>
      </c>
      <c r="AB995" s="2">
        <f t="shared" si="11"/>
        <v>0</v>
      </c>
      <c r="AC995" s="2">
        <f t="shared" si="12"/>
        <v>0</v>
      </c>
      <c r="AD995" s="2">
        <f t="shared" si="13"/>
        <v>0</v>
      </c>
      <c r="AE995" s="2">
        <f t="shared" si="14"/>
        <v>0</v>
      </c>
      <c r="AF995" s="2">
        <f t="shared" si="15"/>
        <v>0</v>
      </c>
      <c r="AG995" s="2">
        <f t="shared" si="16"/>
        <v>0</v>
      </c>
      <c r="AH995" s="2">
        <f t="shared" si="17"/>
        <v>0</v>
      </c>
      <c r="AI995" s="2">
        <f t="shared" si="18"/>
      </c>
    </row>
    <row r="996">
      <c r="A996" s="43">
        <f t="shared" si="0"/>
      </c>
      <c r="B996" s="54" t="n"/>
      <c r="C996" s="45" t="n"/>
      <c r="D996" s="50" t="n"/>
      <c r="E996" s="55" t="n"/>
      <c r="F996" s="50" t="n"/>
      <c r="G996" s="55" t="n"/>
      <c r="H996" s="50" t="n"/>
      <c r="I996" s="55" t="n"/>
      <c r="J996" s="50" t="n"/>
      <c r="K996" s="55" t="n"/>
      <c r="L996" s="56" t="n"/>
      <c r="M996" s="57" t="n"/>
      <c r="N996" s="57" t="n"/>
      <c r="O996" s="57" t="n"/>
      <c r="P996" s="57" t="n"/>
      <c r="Q996" s="50" t="n"/>
      <c r="R996" s="58">
        <f t="shared" si="1"/>
      </c>
      <c r="S996" s="59">
        <f t="shared" si="2"/>
      </c>
      <c r="T996" s="43">
        <f t="shared" si="3"/>
      </c>
      <c r="U996" s="60">
        <f t="shared" si="4"/>
      </c>
      <c r="V996" s="60">
        <f t="shared" si="5"/>
      </c>
      <c r="W996" s="60">
        <f t="shared" si="6"/>
      </c>
      <c r="X996" s="49">
        <f t="shared" si="7"/>
      </c>
      <c r="Y996" s="2">
        <f t="shared" si="8"/>
      </c>
      <c r="Z996" s="2">
        <f t="shared" si="9"/>
        <v>0</v>
      </c>
      <c r="AA996" s="2">
        <f t="shared" si="10"/>
        <v>0</v>
      </c>
      <c r="AB996" s="2">
        <f t="shared" si="11"/>
        <v>0</v>
      </c>
      <c r="AC996" s="2">
        <f t="shared" si="12"/>
        <v>0</v>
      </c>
      <c r="AD996" s="2">
        <f t="shared" si="13"/>
        <v>0</v>
      </c>
      <c r="AE996" s="2">
        <f t="shared" si="14"/>
        <v>0</v>
      </c>
      <c r="AF996" s="2">
        <f t="shared" si="15"/>
        <v>0</v>
      </c>
      <c r="AG996" s="2">
        <f t="shared" si="16"/>
        <v>0</v>
      </c>
      <c r="AH996" s="2">
        <f t="shared" si="17"/>
        <v>0</v>
      </c>
      <c r="AI996" s="2">
        <f t="shared" si="18"/>
      </c>
    </row>
    <row r="997">
      <c r="A997" s="43">
        <f t="shared" si="0"/>
      </c>
      <c r="B997" s="54" t="n"/>
      <c r="C997" s="45" t="n"/>
      <c r="D997" s="50" t="n"/>
      <c r="E997" s="55" t="n"/>
      <c r="F997" s="50" t="n"/>
      <c r="G997" s="55" t="n"/>
      <c r="H997" s="50" t="n"/>
      <c r="I997" s="55" t="n"/>
      <c r="J997" s="50" t="n"/>
      <c r="K997" s="55" t="n"/>
      <c r="L997" s="56" t="n"/>
      <c r="M997" s="57" t="n"/>
      <c r="N997" s="57" t="n"/>
      <c r="O997" s="57" t="n"/>
      <c r="P997" s="57" t="n"/>
      <c r="Q997" s="50" t="n"/>
      <c r="R997" s="58">
        <f t="shared" si="1"/>
      </c>
      <c r="S997" s="59">
        <f t="shared" si="2"/>
      </c>
      <c r="T997" s="43">
        <f t="shared" si="3"/>
      </c>
      <c r="U997" s="60">
        <f t="shared" si="4"/>
      </c>
      <c r="V997" s="60">
        <f t="shared" si="5"/>
      </c>
      <c r="W997" s="60">
        <f t="shared" si="6"/>
      </c>
      <c r="X997" s="49">
        <f t="shared" si="7"/>
      </c>
      <c r="Y997" s="2">
        <f t="shared" si="8"/>
      </c>
      <c r="Z997" s="2">
        <f t="shared" si="9"/>
        <v>0</v>
      </c>
      <c r="AA997" s="2">
        <f t="shared" si="10"/>
        <v>0</v>
      </c>
      <c r="AB997" s="2">
        <f t="shared" si="11"/>
        <v>0</v>
      </c>
      <c r="AC997" s="2">
        <f t="shared" si="12"/>
        <v>0</v>
      </c>
      <c r="AD997" s="2">
        <f t="shared" si="13"/>
        <v>0</v>
      </c>
      <c r="AE997" s="2">
        <f t="shared" si="14"/>
        <v>0</v>
      </c>
      <c r="AF997" s="2">
        <f t="shared" si="15"/>
        <v>0</v>
      </c>
      <c r="AG997" s="2">
        <f t="shared" si="16"/>
        <v>0</v>
      </c>
      <c r="AH997" s="2">
        <f t="shared" si="17"/>
        <v>0</v>
      </c>
      <c r="AI997" s="2">
        <f t="shared" si="18"/>
      </c>
    </row>
    <row r="998">
      <c r="A998" s="43">
        <f t="shared" si="0"/>
      </c>
      <c r="B998" s="54" t="n"/>
      <c r="C998" s="45" t="n"/>
      <c r="D998" s="50" t="n"/>
      <c r="E998" s="55" t="n"/>
      <c r="F998" s="50" t="n"/>
      <c r="G998" s="55" t="n"/>
      <c r="H998" s="50" t="n"/>
      <c r="I998" s="55" t="n"/>
      <c r="J998" s="50" t="n"/>
      <c r="K998" s="55" t="n"/>
      <c r="L998" s="56" t="n"/>
      <c r="M998" s="57" t="n"/>
      <c r="N998" s="57" t="n"/>
      <c r="O998" s="57" t="n"/>
      <c r="P998" s="57" t="n"/>
      <c r="Q998" s="50" t="n"/>
      <c r="R998" s="58">
        <f t="shared" si="1"/>
      </c>
      <c r="S998" s="59">
        <f t="shared" si="2"/>
      </c>
      <c r="T998" s="43">
        <f t="shared" si="3"/>
      </c>
      <c r="U998" s="60">
        <f t="shared" si="4"/>
      </c>
      <c r="V998" s="60">
        <f t="shared" si="5"/>
      </c>
      <c r="W998" s="60">
        <f t="shared" si="6"/>
      </c>
      <c r="X998" s="49">
        <f t="shared" si="7"/>
      </c>
      <c r="Y998" s="2">
        <f t="shared" si="8"/>
      </c>
      <c r="Z998" s="2">
        <f t="shared" si="9"/>
        <v>0</v>
      </c>
      <c r="AA998" s="2">
        <f t="shared" si="10"/>
        <v>0</v>
      </c>
      <c r="AB998" s="2">
        <f t="shared" si="11"/>
        <v>0</v>
      </c>
      <c r="AC998" s="2">
        <f t="shared" si="12"/>
        <v>0</v>
      </c>
      <c r="AD998" s="2">
        <f t="shared" si="13"/>
        <v>0</v>
      </c>
      <c r="AE998" s="2">
        <f t="shared" si="14"/>
        <v>0</v>
      </c>
      <c r="AF998" s="2">
        <f t="shared" si="15"/>
        <v>0</v>
      </c>
      <c r="AG998" s="2">
        <f t="shared" si="16"/>
        <v>0</v>
      </c>
      <c r="AH998" s="2">
        <f t="shared" si="17"/>
        <v>0</v>
      </c>
      <c r="AI998" s="2">
        <f t="shared" si="18"/>
      </c>
    </row>
    <row r="999">
      <c r="A999" s="43">
        <f t="shared" si="0"/>
      </c>
      <c r="B999" s="54" t="n"/>
      <c r="C999" s="45" t="n"/>
      <c r="D999" s="50" t="n"/>
      <c r="E999" s="55" t="n"/>
      <c r="F999" s="50" t="n"/>
      <c r="G999" s="55" t="n"/>
      <c r="H999" s="50" t="n"/>
      <c r="I999" s="55" t="n"/>
      <c r="J999" s="50" t="n"/>
      <c r="K999" s="55" t="n"/>
      <c r="L999" s="56" t="n"/>
      <c r="M999" s="57" t="n"/>
      <c r="N999" s="57" t="n"/>
      <c r="O999" s="57" t="n"/>
      <c r="P999" s="57" t="n"/>
      <c r="Q999" s="50" t="n"/>
      <c r="R999" s="58">
        <f t="shared" si="1"/>
      </c>
      <c r="S999" s="59">
        <f t="shared" si="2"/>
      </c>
      <c r="T999" s="43">
        <f t="shared" si="3"/>
      </c>
      <c r="U999" s="60">
        <f t="shared" si="4"/>
      </c>
      <c r="V999" s="60">
        <f t="shared" si="5"/>
      </c>
      <c r="W999" s="60">
        <f t="shared" si="6"/>
      </c>
      <c r="X999" s="49">
        <f t="shared" si="7"/>
      </c>
      <c r="Y999" s="2">
        <f t="shared" si="8"/>
      </c>
      <c r="Z999" s="2">
        <f t="shared" si="9"/>
        <v>0</v>
      </c>
      <c r="AA999" s="2">
        <f t="shared" si="10"/>
        <v>0</v>
      </c>
      <c r="AB999" s="2">
        <f t="shared" si="11"/>
        <v>0</v>
      </c>
      <c r="AC999" s="2">
        <f t="shared" si="12"/>
        <v>0</v>
      </c>
      <c r="AD999" s="2">
        <f t="shared" si="13"/>
        <v>0</v>
      </c>
      <c r="AE999" s="2">
        <f t="shared" si="14"/>
        <v>0</v>
      </c>
      <c r="AF999" s="2">
        <f t="shared" si="15"/>
        <v>0</v>
      </c>
      <c r="AG999" s="2">
        <f t="shared" si="16"/>
        <v>0</v>
      </c>
      <c r="AH999" s="2">
        <f t="shared" si="17"/>
        <v>0</v>
      </c>
      <c r="AI999" s="2">
        <f t="shared" si="18"/>
      </c>
    </row>
    <row r="1000">
      <c r="A1000" s="43">
        <f t="shared" si="0"/>
      </c>
      <c r="B1000" s="54" t="n"/>
      <c r="C1000" s="45" t="n"/>
      <c r="D1000" s="50" t="n"/>
      <c r="E1000" s="55" t="n"/>
      <c r="F1000" s="50" t="n"/>
      <c r="G1000" s="55" t="n"/>
      <c r="H1000" s="50" t="n"/>
      <c r="I1000" s="55" t="n"/>
      <c r="J1000" s="50" t="n"/>
      <c r="K1000" s="55" t="n"/>
      <c r="L1000" s="56" t="n"/>
      <c r="M1000" s="57" t="n"/>
      <c r="N1000" s="57" t="n"/>
      <c r="O1000" s="57" t="n"/>
      <c r="P1000" s="57" t="n"/>
      <c r="Q1000" s="50" t="n"/>
      <c r="R1000" s="58">
        <f t="shared" si="1"/>
      </c>
      <c r="S1000" s="59">
        <f t="shared" si="2"/>
      </c>
      <c r="T1000" s="43">
        <f t="shared" si="3"/>
      </c>
      <c r="U1000" s="60">
        <f t="shared" si="4"/>
      </c>
      <c r="V1000" s="60">
        <f t="shared" si="5"/>
      </c>
      <c r="W1000" s="60">
        <f t="shared" si="6"/>
      </c>
      <c r="X1000" s="49">
        <f t="shared" si="7"/>
      </c>
      <c r="Y1000" s="2">
        <f t="shared" si="8"/>
      </c>
      <c r="Z1000" s="2">
        <f t="shared" si="9"/>
        <v>0</v>
      </c>
      <c r="AA1000" s="2">
        <f t="shared" si="10"/>
        <v>0</v>
      </c>
      <c r="AB1000" s="2">
        <f t="shared" si="11"/>
        <v>0</v>
      </c>
      <c r="AC1000" s="2">
        <f t="shared" si="12"/>
        <v>0</v>
      </c>
      <c r="AD1000" s="2">
        <f t="shared" si="13"/>
        <v>0</v>
      </c>
      <c r="AE1000" s="2">
        <f t="shared" si="14"/>
        <v>0</v>
      </c>
      <c r="AF1000" s="2">
        <f t="shared" si="15"/>
        <v>0</v>
      </c>
      <c r="AG1000" s="2">
        <f t="shared" si="16"/>
        <v>0</v>
      </c>
      <c r="AH1000" s="2">
        <f t="shared" si="17"/>
        <v>0</v>
      </c>
      <c r="AI1000" s="2">
        <f t="shared" si="18"/>
      </c>
    </row>
    <row r="1001">
      <c r="A1001" s="43">
        <f t="shared" si="0"/>
      </c>
      <c r="B1001" s="54" t="n"/>
      <c r="C1001" s="45" t="n"/>
      <c r="D1001" s="50" t="n"/>
      <c r="E1001" s="55" t="n"/>
      <c r="F1001" s="50" t="n"/>
      <c r="G1001" s="55" t="n"/>
      <c r="H1001" s="50" t="n"/>
      <c r="I1001" s="55" t="n"/>
      <c r="J1001" s="50" t="n"/>
      <c r="K1001" s="55" t="n"/>
      <c r="L1001" s="56" t="n"/>
      <c r="M1001" s="57" t="n"/>
      <c r="N1001" s="57" t="n"/>
      <c r="O1001" s="57" t="n"/>
      <c r="P1001" s="57" t="n"/>
      <c r="Q1001" s="50" t="n"/>
      <c r="R1001" s="58">
        <f t="shared" si="1"/>
      </c>
      <c r="S1001" s="59">
        <f t="shared" si="2"/>
      </c>
      <c r="T1001" s="43">
        <f t="shared" si="3"/>
      </c>
      <c r="U1001" s="60">
        <f t="shared" si="4"/>
      </c>
      <c r="V1001" s="60">
        <f t="shared" si="5"/>
      </c>
      <c r="W1001" s="60">
        <f t="shared" si="6"/>
      </c>
      <c r="X1001" s="49">
        <f t="shared" si="7"/>
      </c>
      <c r="Y1001" s="2">
        <f t="shared" si="8"/>
      </c>
      <c r="Z1001" s="2">
        <f t="shared" si="9"/>
        <v>0</v>
      </c>
      <c r="AA1001" s="2">
        <f t="shared" si="10"/>
        <v>0</v>
      </c>
      <c r="AB1001" s="2">
        <f t="shared" si="11"/>
        <v>0</v>
      </c>
      <c r="AC1001" s="2">
        <f t="shared" si="12"/>
        <v>0</v>
      </c>
      <c r="AD1001" s="2">
        <f t="shared" si="13"/>
        <v>0</v>
      </c>
      <c r="AE1001" s="2">
        <f t="shared" si="14"/>
        <v>0</v>
      </c>
      <c r="AF1001" s="2">
        <f t="shared" si="15"/>
        <v>0</v>
      </c>
      <c r="AG1001" s="2">
        <f t="shared" si="16"/>
        <v>0</v>
      </c>
      <c r="AH1001" s="2">
        <f t="shared" si="17"/>
        <v>0</v>
      </c>
      <c r="AI1001" s="2">
        <f t="shared" si="18"/>
      </c>
    </row>
    <row r="1002">
      <c r="A1002" s="43">
        <f t="shared" si="0"/>
      </c>
      <c r="B1002" s="54" t="n"/>
      <c r="C1002" s="45" t="n"/>
      <c r="D1002" s="50" t="n"/>
      <c r="E1002" s="55" t="n"/>
      <c r="F1002" s="50" t="n"/>
      <c r="G1002" s="55" t="n"/>
      <c r="H1002" s="50" t="n"/>
      <c r="I1002" s="55" t="n"/>
      <c r="J1002" s="50" t="n"/>
      <c r="K1002" s="55" t="n"/>
      <c r="L1002" s="56" t="n"/>
      <c r="M1002" s="57" t="n"/>
      <c r="N1002" s="57" t="n"/>
      <c r="O1002" s="57" t="n"/>
      <c r="P1002" s="57" t="n"/>
      <c r="Q1002" s="50" t="n"/>
      <c r="R1002" s="58">
        <f t="shared" si="1"/>
      </c>
      <c r="S1002" s="59">
        <f t="shared" si="2"/>
      </c>
      <c r="T1002" s="43">
        <f t="shared" si="3"/>
      </c>
      <c r="U1002" s="60">
        <f t="shared" si="4"/>
      </c>
      <c r="V1002" s="60">
        <f t="shared" si="5"/>
      </c>
      <c r="W1002" s="60">
        <f t="shared" si="6"/>
      </c>
      <c r="X1002" s="49">
        <f t="shared" si="7"/>
      </c>
      <c r="Y1002" s="2">
        <f t="shared" si="8"/>
      </c>
      <c r="Z1002" s="2">
        <f t="shared" si="9"/>
        <v>0</v>
      </c>
      <c r="AA1002" s="2">
        <f t="shared" si="10"/>
        <v>0</v>
      </c>
      <c r="AB1002" s="2">
        <f t="shared" si="11"/>
        <v>0</v>
      </c>
      <c r="AC1002" s="2">
        <f t="shared" si="12"/>
        <v>0</v>
      </c>
      <c r="AD1002" s="2">
        <f t="shared" si="13"/>
        <v>0</v>
      </c>
      <c r="AE1002" s="2">
        <f t="shared" si="14"/>
        <v>0</v>
      </c>
      <c r="AF1002" s="2">
        <f t="shared" si="15"/>
        <v>0</v>
      </c>
      <c r="AG1002" s="2">
        <f t="shared" si="16"/>
        <v>0</v>
      </c>
      <c r="AH1002" s="2">
        <f t="shared" si="17"/>
        <v>0</v>
      </c>
      <c r="AI1002" s="2">
        <f t="shared" si="18"/>
      </c>
    </row>
    <row r="1003">
      <c r="A1003" s="43">
        <f t="shared" si="0"/>
      </c>
      <c r="B1003" s="54" t="n"/>
      <c r="C1003" s="45" t="n"/>
      <c r="D1003" s="50" t="n"/>
      <c r="E1003" s="55" t="n"/>
      <c r="F1003" s="50" t="n"/>
      <c r="G1003" s="55" t="n"/>
      <c r="H1003" s="50" t="n"/>
      <c r="I1003" s="55" t="n"/>
      <c r="J1003" s="50" t="n"/>
      <c r="K1003" s="55" t="n"/>
      <c r="L1003" s="56" t="n"/>
      <c r="M1003" s="57" t="n"/>
      <c r="N1003" s="57" t="n"/>
      <c r="O1003" s="57" t="n"/>
      <c r="P1003" s="57" t="n"/>
      <c r="Q1003" s="50" t="n"/>
      <c r="R1003" s="58">
        <f t="shared" si="1"/>
      </c>
      <c r="S1003" s="59">
        <f t="shared" si="2"/>
      </c>
      <c r="T1003" s="43">
        <f t="shared" si="3"/>
      </c>
      <c r="U1003" s="60">
        <f t="shared" si="4"/>
      </c>
      <c r="V1003" s="60">
        <f t="shared" si="5"/>
      </c>
      <c r="W1003" s="60">
        <f t="shared" si="6"/>
      </c>
      <c r="X1003" s="49">
        <f t="shared" si="7"/>
      </c>
      <c r="Y1003" s="2">
        <f t="shared" si="8"/>
      </c>
      <c r="Z1003" s="2">
        <f t="shared" si="9"/>
        <v>0</v>
      </c>
      <c r="AA1003" s="2">
        <f t="shared" si="10"/>
        <v>0</v>
      </c>
      <c r="AB1003" s="2">
        <f t="shared" si="11"/>
        <v>0</v>
      </c>
      <c r="AC1003" s="2">
        <f t="shared" si="12"/>
        <v>0</v>
      </c>
      <c r="AD1003" s="2">
        <f t="shared" si="13"/>
        <v>0</v>
      </c>
      <c r="AE1003" s="2">
        <f t="shared" si="14"/>
        <v>0</v>
      </c>
      <c r="AF1003" s="2">
        <f t="shared" si="15"/>
        <v>0</v>
      </c>
      <c r="AG1003" s="2">
        <f t="shared" si="16"/>
        <v>0</v>
      </c>
      <c r="AH1003" s="2">
        <f t="shared" si="17"/>
        <v>0</v>
      </c>
      <c r="AI1003" s="2">
        <f t="shared" si="18"/>
      </c>
    </row>
    <row r="1004">
      <c r="A1004" s="43">
        <f t="shared" si="0"/>
      </c>
      <c r="B1004" s="54" t="n"/>
      <c r="C1004" s="45" t="n"/>
      <c r="D1004" s="50" t="n"/>
      <c r="E1004" s="55" t="n"/>
      <c r="F1004" s="50" t="n"/>
      <c r="G1004" s="55" t="n"/>
      <c r="H1004" s="50" t="n"/>
      <c r="I1004" s="55" t="n"/>
      <c r="J1004" s="50" t="n"/>
      <c r="K1004" s="55" t="n"/>
      <c r="L1004" s="56" t="n"/>
      <c r="M1004" s="57" t="n"/>
      <c r="N1004" s="57" t="n"/>
      <c r="O1004" s="57" t="n"/>
      <c r="P1004" s="57" t="n"/>
      <c r="Q1004" s="50" t="n"/>
      <c r="R1004" s="58">
        <f t="shared" si="1"/>
      </c>
      <c r="S1004" s="59">
        <f t="shared" si="2"/>
      </c>
      <c r="T1004" s="43">
        <f t="shared" si="3"/>
      </c>
      <c r="U1004" s="60">
        <f t="shared" si="4"/>
      </c>
      <c r="V1004" s="60">
        <f t="shared" si="5"/>
      </c>
      <c r="W1004" s="60">
        <f t="shared" si="6"/>
      </c>
      <c r="X1004" s="49">
        <f t="shared" si="7"/>
      </c>
      <c r="Y1004" s="2">
        <f t="shared" si="8"/>
      </c>
      <c r="Z1004" s="2">
        <f t="shared" si="9"/>
        <v>0</v>
      </c>
      <c r="AA1004" s="2">
        <f t="shared" si="10"/>
        <v>0</v>
      </c>
      <c r="AB1004" s="2">
        <f t="shared" si="11"/>
        <v>0</v>
      </c>
      <c r="AC1004" s="2">
        <f t="shared" si="12"/>
        <v>0</v>
      </c>
      <c r="AD1004" s="2">
        <f t="shared" si="13"/>
        <v>0</v>
      </c>
      <c r="AE1004" s="2">
        <f t="shared" si="14"/>
        <v>0</v>
      </c>
      <c r="AF1004" s="2">
        <f t="shared" si="15"/>
        <v>0</v>
      </c>
      <c r="AG1004" s="2">
        <f t="shared" si="16"/>
        <v>0</v>
      </c>
      <c r="AH1004" s="2">
        <f t="shared" si="17"/>
        <v>0</v>
      </c>
      <c r="AI1004" s="2">
        <f t="shared" si="18"/>
      </c>
    </row>
  </sheetData>
  <autoFilter ref="A4:X1004"/>
  <mergeCells count="2">
    <mergeCell ref="A2:X2"/>
    <mergeCell ref="A1:X1"/>
  </mergeCells>
  <conditionalFormatting sqref="X5:X1004">
    <cfRule type="expression" priority="1" dxfId="2">
      <formula>LEFT($X5,1)="✗"</formula>
    </cfRule>
    <cfRule type="expression" priority="2" dxfId="3">
      <formula>LEFT($X5,1)="⚠"</formula>
    </cfRule>
    <cfRule type="expression" priority="3" dxfId="4">
      <formula>$X5="√"</formula>
    </cfRule>
  </conditionalFormatting>
  <dataValidations count="7">
    <dataValidation sqref="B5:B1004" showDropDown="0" showInputMessage="0" showErrorMessage="1" allowBlank="1" errorTitle="日期" error="要像 2026/9/1 这样填日期" type="date" errorStyle="warning" operator="between">
      <formula1>36526</formula1>
      <formula2>73050</formula2>
    </dataValidation>
    <dataValidation sqref="C5:C1004" showDropDown="0" showInputMessage="1" showErrorMessage="1" allowBlank="1" errorTitle="不在清单里" error="请从下拉里选；清单里没有的，先到【基础资料】/【往来单位】里登记" promptTitle="提示" prompt="【往来单位】登记过的人" type="list" errorStyle="stop">
      <formula1>=往来单位!$B$4:$B$303</formula1>
    </dataValidation>
    <dataValidation sqref="D5:D1004" showDropDown="0" showInputMessage="1" showErrorMessage="1" allowBlank="1" errorTitle="不在清单里" error="请从下拉里选；清单里没有的，先到【基础资料】/【往来单位】里登记" promptTitle="提示" prompt="项目，或者「公司管理」（在公司/办公室干的）" type="list" errorStyle="stop">
      <formula1>=_辅助!$E$1:$E$61</formula1>
    </dataValidation>
    <dataValidation sqref="F5:F1004" showDropDown="0" showInputMessage="1" showErrorMessage="1" allowBlank="1" errorTitle="不在清单里" error="请从下拉里选；清单里没有的，先到【基础资料】/【往来单位】里登记" promptTitle="提示" prompt="项目，或者「公司管理」（在公司/办公室干的）" type="list" errorStyle="stop">
      <formula1>=_辅助!$E$1:$E$61</formula1>
    </dataValidation>
    <dataValidation sqref="H5:H1004" showDropDown="0" showInputMessage="1" showErrorMessage="1" allowBlank="1" errorTitle="不在清单里" error="请从下拉里选；清单里没有的，先到【基础资料】/【往来单位】里登记" promptTitle="提示" prompt="项目，或者「公司管理」（在公司/办公室干的）" type="list" errorStyle="stop">
      <formula1>=_辅助!$E$1:$E$61</formula1>
    </dataValidation>
    <dataValidation sqref="J5:J1004" showDropDown="0" showInputMessage="1" showErrorMessage="1" allowBlank="1" errorTitle="不在清单里" error="请从下拉里选；清单里没有的，先到【基础资料】/【往来单位】里登记" promptTitle="提示" prompt="项目，或者「公司管理」（在公司/办公室干的）" type="list" errorStyle="stop">
      <formula1>=_辅助!$E$1:$E$61</formula1>
    </dataValidation>
    <dataValidation sqref="E5:E1004 G5:G1004 I5:I1004 K5:K1004" showDropDown="0" showInputMessage="0" showErrorMessage="1" allowBlank="1" errorTitle="天数" error="填 0～31 的数（半天填 0.5）" type="decimal" operator="between">
      <formula1>0</formula1>
      <formula2>31</formula2>
    </dataValidation>
  </dataValidations>
  <hyperlinks>
    <hyperlink ref="Y1" location="'首页'!A1" display="← 回首页"/>
  </hyperlinks>
  <pageMargins left="0.3" right="0.3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AC1004"/>
  <sheetViews>
    <sheetView showGridLines="0" tabSelected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1" customWidth="1" min="3" max="3"/>
    <col width="22" customWidth="1" min="4" max="4"/>
    <col width="20" customWidth="1" min="5" max="5"/>
    <col width="26" customWidth="1" min="6" max="6"/>
    <col width="20" customWidth="1" min="7" max="7"/>
    <col width="26" customWidth="1" min="8" max="8"/>
    <col width="18" customWidth="1" min="9" max="9"/>
    <col width="13.5" customWidth="1" min="10" max="10"/>
    <col width="13.5" customWidth="1" min="11" max="11"/>
    <col width="13.5" customWidth="1" min="12" max="12"/>
    <col width="10" customWidth="1" min="13" max="13"/>
    <col width="16" customWidth="1" min="14" max="14"/>
    <col width="8" customWidth="1" min="15" max="15"/>
    <col width="8" customWidth="1" min="16" max="16"/>
    <col width="8" customWidth="1" min="17" max="17"/>
    <col width="8" customWidth="1" min="18" max="18"/>
    <col width="20" customWidth="1" min="19" max="19"/>
    <col width="14" customWidth="1" min="20" max="20"/>
    <col width="7" customWidth="1" min="21" max="21"/>
    <col width="16" customWidth="1" min="22" max="22"/>
    <col width="34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</cols>
  <sheetData>
    <row r="1" ht="33" customHeight="1">
      <c r="A1" s="61" t="inlineStr">
        <is>
          <t>发 票 登 记（开出去的销项 · 收到的进项 · A～S 跟电子税务局导出的一模一样）</t>
        </is>
      </c>
      <c r="X1" s="33" t="inlineStr">
        <is>
          <t>← 回首页</t>
        </is>
      </c>
    </row>
    <row r="2" ht="38" customHeight="1">
      <c r="A2" s="3" t="inlineStr">
        <is>
          <t>💡 电子税务局「我要办税 → 税务数字账户 → 发票查询统计 → 全量发票查询」，开票、收票各查一次，点「导出」；打开导出的表里「发票基础信息」那一页，从第一张票（序号 1）那一行的序号格起，选到最后一张票（不要表头、不要合计行），复制，粘到本表 A 列第一个空行（第一次是 A5），列就对上了（A～S）。不小心带上了表头行、合计行也没关系，自动不算。T 列选项目（建筑服务发票备注里有项目名；收到的材料、分包、机械的票也要选项目，不然项目税负、欠票算不准）。销方是自家公司（税号或名称对上【基础资料】①）＝销项，购方是自家公司＝进项；作废的不算；票种带「专用」的才能抵扣进项税（小规模纳税人、简易计税 3% 的项目不抵扣）。手工录也照这几列填，至少要有开票日期、销方、购方、价税合计。</t>
        </is>
      </c>
    </row>
    <row r="3"/>
    <row r="4" ht="36" customHeight="1">
      <c r="A4" s="62" t="inlineStr">
        <is>
          <t>序号</t>
        </is>
      </c>
      <c r="B4" s="62" t="inlineStr">
        <is>
          <t>发票代码</t>
        </is>
      </c>
      <c r="C4" s="62" t="inlineStr">
        <is>
          <t>发票号码</t>
        </is>
      </c>
      <c r="D4" s="62" t="inlineStr">
        <is>
          <t>数电发票号码</t>
        </is>
      </c>
      <c r="E4" s="62" t="inlineStr">
        <is>
          <t>销方识别号</t>
        </is>
      </c>
      <c r="F4" s="62" t="inlineStr">
        <is>
          <t>销方名称</t>
        </is>
      </c>
      <c r="G4" s="62" t="inlineStr">
        <is>
          <t>购方识别号</t>
        </is>
      </c>
      <c r="H4" s="62" t="inlineStr">
        <is>
          <t>购买方名称</t>
        </is>
      </c>
      <c r="I4" s="62" t="inlineStr">
        <is>
          <t>开票日期</t>
        </is>
      </c>
      <c r="J4" s="62" t="inlineStr">
        <is>
          <t>金额</t>
        </is>
      </c>
      <c r="K4" s="62" t="inlineStr">
        <is>
          <t>税额</t>
        </is>
      </c>
      <c r="L4" s="62" t="inlineStr">
        <is>
          <t>价税合计</t>
        </is>
      </c>
      <c r="M4" s="62" t="inlineStr">
        <is>
          <t>发票来源</t>
        </is>
      </c>
      <c r="N4" s="62" t="inlineStr">
        <is>
          <t>发票票种</t>
        </is>
      </c>
      <c r="O4" s="62" t="inlineStr">
        <is>
          <t>发票状态</t>
        </is>
      </c>
      <c r="P4" s="62" t="inlineStr">
        <is>
          <t>是否正数发票</t>
        </is>
      </c>
      <c r="Q4" s="62" t="inlineStr">
        <is>
          <t>发票风险等级</t>
        </is>
      </c>
      <c r="R4" s="62" t="inlineStr">
        <is>
          <t>开票人</t>
        </is>
      </c>
      <c r="S4" s="62" t="inlineStr">
        <is>
          <t>备注</t>
        </is>
      </c>
      <c r="T4" s="42" t="inlineStr">
        <is>
          <t>项目
（选）</t>
        </is>
      </c>
      <c r="U4" s="62" t="inlineStr">
        <is>
          <t>方向</t>
        </is>
      </c>
      <c r="V4" s="62" t="inlineStr">
        <is>
          <t>对方单位</t>
        </is>
      </c>
      <c r="W4" s="62" t="inlineStr">
        <is>
          <t>校验</t>
        </is>
      </c>
      <c r="X4" s="63" t="inlineStr">
        <is>
          <t>开票日</t>
        </is>
      </c>
      <c r="Y4" s="63" t="inlineStr">
        <is>
          <t>年月</t>
        </is>
      </c>
      <c r="Z4" s="63" t="inlineStr">
        <is>
          <t>可抵扣</t>
        </is>
      </c>
      <c r="AA4" s="63" t="inlineStr">
        <is>
          <t>税额用</t>
        </is>
      </c>
      <c r="AB4" s="63" t="inlineStr">
        <is>
          <t>合计用</t>
        </is>
      </c>
      <c r="AC4" s="63" t="inlineStr">
        <is>
          <t>税率</t>
        </is>
      </c>
    </row>
    <row r="5">
      <c r="A5" s="64" t="n">
        <v>1</v>
      </c>
      <c r="B5" s="65" t="n"/>
      <c r="C5" s="65" t="n"/>
      <c r="D5" s="65" t="n"/>
      <c r="E5" s="65" t="n"/>
      <c r="F5" s="66" t="inlineStr">
        <is>
          <t>竣辉</t>
        </is>
      </c>
      <c r="G5" s="65" t="n"/>
      <c r="H5" s="66" t="inlineStr">
        <is>
          <t>农村商业银行股份有限公司德安县总部</t>
        </is>
      </c>
      <c r="I5" s="67" t="n">
        <v>46234</v>
      </c>
      <c r="J5" s="68" t="n">
        <v>8249.540000000001</v>
      </c>
      <c r="K5" s="68" t="n">
        <v>742.46</v>
      </c>
      <c r="L5" s="68" t="n">
        <v>8992</v>
      </c>
      <c r="M5" s="64" t="n"/>
      <c r="N5" s="64" t="inlineStr">
        <is>
          <t>数电票（增值税专用发票）</t>
        </is>
      </c>
      <c r="O5" s="64" t="inlineStr">
        <is>
          <t>正常</t>
        </is>
      </c>
      <c r="P5" s="64" t="n"/>
      <c r="Q5" s="64" t="n"/>
      <c r="R5" s="64" t="n"/>
      <c r="S5" s="66" t="inlineStr">
        <is>
          <t>演示：原表 已开票 8,992（开票日期按估）</t>
        </is>
      </c>
      <c r="T5" s="45" t="inlineStr">
        <is>
          <t>德安农商行总部</t>
        </is>
      </c>
      <c r="U5" s="43" t="str">
        <f t="shared" ref="U5:U1004" si="0">IF(OR(AND(F5="",H5="",L5="",J5=""),A5&amp;""="序号",ISNUMBER(SEARCH("合计",A5&amp;"")),I5&amp;""="开票日期"),"",IF(OR(AND(E5&lt;&gt;"",TRIM(E5&amp;"")=TRIM(基础资料!$C$7&amp;"")),SUBSTITUTE(SUBSTITUTE(SUBSTITUTE(TRIM(F5)," ",""),"(","（"),")","）")=SUBSTITUTE(SUBSTITUTE(SUBSTITUTE(TRIM(基础资料!$C$6)," ",""),"(","（"),")","）"),TRIM(F5)=基础资料!$C$5),"销项",IF(OR(AND(G5&lt;&gt;"",TRIM(G5&amp;"")=TRIM(基础资料!$C$7&amp;"")),SUBSTITUTE(SUBSTITUTE(SUBSTITUTE(TRIM(H5)," ",""),"(","（"),")","）")=SUBSTITUTE(SUBSTITUTE(SUBSTITUTE(TRIM(基础资料!$C$6)," ",""),"(","（"),")","）"),TRIM(H5)=基础资料!$C$5),"进项","？")))</f>
        <v>销项</v>
      </c>
      <c r="V5" s="49" t="str">
        <f t="shared" ref="V5:V1004" si="1">IF(OR(OR(AND(F5="",H5="",L5="",J5=""),A5&amp;""="序号",ISNUMBER(SEARCH("合计",A5&amp;"")),I5&amp;""="开票日期"),U5="？"),"",IFERROR(INDEX(往来单位!$B$4:$B$303,MATCH(IF(U5="销项",H5,F5),往来单位!$F$4:$F$303,0)),IFERROR(INDEX(往来单位!$B$4:$B$303,MATCH(IF(U5="销项",G5,E5)&amp;"",往来单位!$G$4:$G$303,0)),IFERROR(INDEX(往来单位!$B$4:$B$303,MATCH(IF(U5="销项",H5,F5),往来单位!$B$4:$B$303,0)),IF(U5="销项",H5,F5)&amp;""))))</f>
        <v>德安农商银行</v>
      </c>
      <c r="W5" s="49" t="str">
        <f t="shared" ref="W5:W1004" si="2">IF(OR(AND(F5="",H5="",L5="",J5=""),A5&amp;""="序号",ISNUMBER(SEARCH("合计",A5&amp;"")),I5&amp;""="开票日期"),"",IF(NOT(ISNUMBER(X5)),"✗ 开票日期认不出",IF(X5&lt;基础资料!$C$9,"⚠ 早于建账日期，不参与统计（建账前的开票、收票在【期初余额】填累计数）",IF(U5="？","✗ 销方、购方都不是自家公司（【基础资料】① 税号或全称对不上）",IF(ISNUMBER(SEARCH("作废",O5&amp;"")),"作废（不算）",IF(AB5=0,"✗ 没有金额",IF(T5="","⚠ 没选项目（按项目统计不到）",IF(COUNTIF(项目档案!$B$4:$B$63,T5)=0,"✗ 项目不在【项目档案】里",IF(IF(D5&lt;&gt;"",COUNTIF(发票登记!$D$5:$D$1004,"*"&amp;D5)&gt;1,AND(C5&lt;&gt;"",COUNTIFS(发票登记!$B$5:$B$1004,B5&amp;"",发票登记!$C$5:$C$1004,"*"&amp;C5)&gt;1)),"⚠ 发票号码重复了（粘重了？）",IF(AND(U5="进项",COUNTIF(往来单位!$B$4:$B$303,V5)=0),"⚠ 开票单位没在【往来单位】登记（全称或税号填在往来单位就能认出）","√"))))))))))</f>
        <v>√</v>
      </c>
      <c r="X5" s="2">
        <f t="shared" ref="X5:X1004" si="3">IF(I5="","",IF(ISNUMBER(I5),IF(I5&gt;19000000,DATE(INT(I5/10000),MOD(INT(I5/100),100),MOD(I5,100)),IF(I5&lt;36526,"",INT(I5))),IFERROR(IF(ISERROR(FIND("-",LEFT(SUBSTITUTE(SUBSTITUTE(SUBSTITUTE(SUBSTITUTE(SUBSTITUTE(TRIM(I5),"/","-"),".","-"),"年","-"),"月","-"),"日"," "),FIND(" ",SUBSTITUTE(SUBSTITUTE(SUBSTITUTE(SUBSTITUTE(SUBSTITUTE(TRIM(I5),"/","-"),".","-"),"年","-"),"月","-"),"日"," ")&amp;" ")-1))),DATE(LEFT(LEFT(SUBSTITUTE(SUBSTITUTE(SUBSTITUTE(SUBSTITUTE(SUBSTITUTE(TRIM(I5),"/","-"),".","-"),"年","-"),"月","-"),"日"," "),FIND(" ",SUBSTITUTE(SUBSTITUTE(SUBSTITUTE(SUBSTITUTE(SUBSTITUTE(TRIM(I5),"/","-"),".","-"),"年","-"),"月","-"),"日"," ")&amp;" ")-1),4),MID(LEFT(SUBSTITUTE(SUBSTITUTE(SUBSTITUTE(SUBSTITUTE(SUBSTITUTE(TRIM(I5),"/","-"),".","-"),"年","-"),"月","-"),"日"," "),FIND(" ",SUBSTITUTE(SUBSTITUTE(SUBSTITUTE(SUBSTITUTE(SUBSTITUTE(TRIM(I5),"/","-"),".","-"),"年","-"),"月","-"),"日"," ")&amp;" ")-1),5,2),RIGHT(LEFT(SUBSTITUTE(SUBSTITUTE(SUBSTITUTE(SUBSTITUTE(SUBSTITUTE(TRIM(I5),"/","-"),".","-"),"年","-"),"月","-"),"日"," "),FIND(" ",SUBSTITUTE(SUBSTITUTE(SUBSTITUTE(SUBSTITUTE(SUBSTITUTE(TRIM(I5),"/","-"),".","-"),"年","-"),"月","-"),"日"," ")&amp;" ")-1),2)),DATE(LEFT(LEFT(SUBSTITUTE(SUBSTITUTE(SUBSTITUTE(SUBSTITUTE(SUBSTITUTE(TRIM(I5),"/","-"),".","-"),"年","-"),"月","-"),"日"," "),FIND(" ",SUBSTITUTE(SUBSTITUTE(SUBSTITUTE(SUBSTITUTE(SUBSTITUTE(TRIM(I5),"/","-"),".","-"),"年","-"),"月","-"),"日"," ")&amp;" ")-1),4),MID(LEFT(SUBSTITUTE(SUBSTITUTE(SUBSTITUTE(SUBSTITUTE(SUBSTITUTE(TRIM(I5),"/","-"),".","-"),"年","-"),"月","-"),"日"," "),FIND(" ",SUBSTITUTE(SUBSTITUTE(SUBSTITUTE(SUBSTITUTE(SUBSTITUTE(TRIM(I5),"/","-"),".","-"),"年","-"),"月","-"),"日"," ")&amp;" ")-1),6,FIND("-",LEFT(SUBSTITUTE(SUBSTITUTE(SUBSTITUTE(SUBSTITUTE(SUBSTITUTE(TRIM(I5),"/","-"),".","-"),"年","-"),"月","-"),"日"," "),FIND(" ",SUBSTITUTE(SUBSTITUTE(SUBSTITUTE(SUBSTITUTE(SUBSTITUTE(TRIM(I5),"/","-"),".","-"),"年","-"),"月","-"),"日"," ")&amp;" ")-1),6)-6),MID(LEFT(SUBSTITUTE(SUBSTITUTE(SUBSTITUTE(SUBSTITUTE(SUBSTITUTE(TRIM(I5),"/","-"),".","-"),"年","-"),"月","-"),"日"," "),FIND(" ",SUBSTITUTE(SUBSTITUTE(SUBSTITUTE(SUBSTITUTE(SUBSTITUTE(TRIM(I5),"/","-"),".","-"),"年","-"),"月","-"),"日"," ")&amp;" ")-1),FIND("-",LEFT(SUBSTITUTE(SUBSTITUTE(SUBSTITUTE(SUBSTITUTE(SUBSTITUTE(TRIM(I5),"/","-"),".","-"),"年","-"),"月","-"),"日"," "),FIND(" ",SUBSTITUTE(SUBSTITUTE(SUBSTITUTE(SUBSTITUTE(SUBSTITUTE(TRIM(I5),"/","-"),".","-"),"年","-"),"月","-"),"日"," ")&amp;" ")-1),6)+1,2))),"")))</f>
        <v>46234</v>
      </c>
      <c r="Y5" s="2">
        <f t="shared" ref="Y5:Y1004" si="4">IF(ISNUMBER(X5),YEAR(X5)*100+MONTH(X5),"")</f>
        <v>202607</v>
      </c>
      <c r="Z5" s="2">
        <f t="shared" ref="Z5:Z1004" si="5">IF(AND(U5="进项",ISNUMBER(SEARCH("专用",N5&amp;"")),基础资料!$C$8&lt;&gt;"小规模纳税人",NOT(AND(ISNUMBER(IFERROR(INDEX(项目档案!$J$4:$J$63,MATCH(T5,项目档案!$B$4:$B$63,0)),"")),N(IFERROR(INDEX(项目档案!$J$4:$J$63,MATCH(T5,项目档案!$B$4:$B$63,0)),""))&lt;0.05))),1,0)</f>
        <v>0</v>
      </c>
      <c r="AA5" s="2">
        <f t="shared" ref="AA5:AA1004" si="6">IF(OR(OR(AND(F5="",H5="",L5="",J5=""),A5&amp;""="序号",ISNUMBER(SEARCH("合计",A5&amp;"")),I5&amp;""="开票日期"),ISNUMBER(SEARCH("作废",O5&amp;""))),0,IF(K5="",0,IFERROR(--SUBSTITUTE(SUBSTITUTE(SUBSTITUTE(K5,"¥",""),"￥",""),",",""),0)))</f>
        <v>742.46</v>
      </c>
      <c r="AB5" s="2">
        <f t="shared" ref="AB5:AB1004" si="7">IF(OR(OR(AND(F5="",H5="",L5="",J5=""),A5&amp;""="序号",ISNUMBER(SEARCH("合计",A5&amp;"")),I5&amp;""="开票日期"),ISNUMBER(SEARCH("作废",O5&amp;""))),0,IF(IF(L5="",0,IFERROR(--SUBSTITUTE(SUBSTITUTE(SUBSTITUTE(L5,"¥",""),"￥",""),",",""),0))&lt;&gt;0,IF(L5="",0,IFERROR(--SUBSTITUTE(SUBSTITUTE(SUBSTITUTE(L5,"¥",""),"￥",""),",",""),0)),IF(J5="",0,IFERROR(--SUBSTITUTE(SUBSTITUTE(SUBSTITUTE(J5,"¥",""),"￥",""),",",""),0))+IF(K5="",0,IFERROR(--SUBSTITUTE(SUBSTITUTE(SUBSTITUTE(K5,"¥",""),"￥",""),",",""),0))))</f>
        <v>8992</v>
      </c>
      <c r="AC5" s="2">
        <f t="shared" ref="AC5:AC1004" si="8">IF(IF(J5="",0,IFERROR(--SUBSTITUTE(SUBSTITUTE(SUBSTITUTE(J5,"¥",""),"￥",""),",",""),0))=0,"",ROUND(IF(K5="",0,IFERROR(--SUBSTITUTE(SUBSTITUTE(SUBSTITUTE(K5,"¥",""),"￥",""),",",""),0))/IF(J5="",0,IFERROR(--SUBSTITUTE(SUBSTITUTE(SUBSTITUTE(J5,"¥",""),"￥",""),",",""),0)),2))</f>
        <v>0.09</v>
      </c>
    </row>
    <row r="6">
      <c r="A6" s="64" t="n">
        <v>2</v>
      </c>
      <c r="B6" s="65" t="n"/>
      <c r="C6" s="65" t="n"/>
      <c r="D6" s="65" t="n"/>
      <c r="E6" s="65" t="n"/>
      <c r="F6" s="66" t="inlineStr">
        <is>
          <t>德安县恒建工程部</t>
        </is>
      </c>
      <c r="G6" s="65" t="n"/>
      <c r="H6" s="66" t="inlineStr">
        <is>
          <t>竣辉</t>
        </is>
      </c>
      <c r="I6" s="67" t="n">
        <v>46205</v>
      </c>
      <c r="J6" s="68" t="n">
        <v>792.08</v>
      </c>
      <c r="K6" s="68" t="n">
        <v>7.92</v>
      </c>
      <c r="L6" s="68" t="n">
        <v>800</v>
      </c>
      <c r="M6" s="64" t="n"/>
      <c r="N6" s="64" t="inlineStr">
        <is>
          <t>数电票（普通发票）</t>
        </is>
      </c>
      <c r="O6" s="64" t="inlineStr">
        <is>
          <t>正常</t>
        </is>
      </c>
      <c r="P6" s="64" t="n"/>
      <c r="Q6" s="64" t="n"/>
      <c r="R6" s="64" t="n"/>
      <c r="S6" s="66" t="inlineStr">
        <is>
          <t>机械费表：已开票 800（日期按付款日）</t>
        </is>
      </c>
      <c r="T6" s="45" t="inlineStr">
        <is>
          <t>德安农商行总部</t>
        </is>
      </c>
      <c r="U6" s="43" t="str">
        <f t="shared" si="0"/>
        <v>进项</v>
      </c>
      <c r="V6" s="49" t="str">
        <f t="shared" si="1"/>
        <v>德安县恒建工程部</v>
      </c>
      <c r="W6" s="49" t="str">
        <f t="shared" si="2"/>
        <v>√</v>
      </c>
      <c r="X6" s="2">
        <f t="shared" si="3"/>
        <v>46205</v>
      </c>
      <c r="Y6" s="2">
        <f t="shared" si="4"/>
        <v>202607</v>
      </c>
      <c r="Z6" s="2">
        <f t="shared" si="5"/>
        <v>0</v>
      </c>
      <c r="AA6" s="2">
        <f t="shared" si="6"/>
        <v>7.92</v>
      </c>
      <c r="AB6" s="2">
        <f t="shared" si="7"/>
        <v>800</v>
      </c>
      <c r="AC6" s="2">
        <f t="shared" si="8"/>
        <v>0.01</v>
      </c>
    </row>
    <row r="7">
      <c r="A7" s="64" t="n">
        <v>3</v>
      </c>
      <c r="B7" s="65" t="n"/>
      <c r="C7" s="65" t="n"/>
      <c r="D7" s="65" t="n"/>
      <c r="E7" s="65" t="n"/>
      <c r="F7" s="66" t="inlineStr">
        <is>
          <t>江西筑强建材有限公司</t>
        </is>
      </c>
      <c r="G7" s="65" t="n"/>
      <c r="H7" s="66" t="inlineStr">
        <is>
          <t>竣辉</t>
        </is>
      </c>
      <c r="I7" s="67" t="n">
        <v>46203</v>
      </c>
      <c r="J7" s="68" t="n">
        <v>484.02</v>
      </c>
      <c r="K7" s="68" t="n">
        <v>62.92</v>
      </c>
      <c r="L7" s="68" t="n">
        <v>546.9400000000001</v>
      </c>
      <c r="M7" s="64" t="n"/>
      <c r="N7" s="64" t="inlineStr">
        <is>
          <t>数电票（增值税专用发票）</t>
        </is>
      </c>
      <c r="O7" s="64" t="inlineStr">
        <is>
          <t>正常</t>
        </is>
      </c>
      <c r="P7" s="64" t="n"/>
      <c r="Q7" s="64" t="n"/>
      <c r="R7" s="64" t="n"/>
      <c r="S7" s="66" t="inlineStr">
        <is>
          <t>原表2 应付汇总：消防器材（日期没给，演示按 6/30）</t>
        </is>
      </c>
      <c r="T7" s="45" t="inlineStr">
        <is>
          <t>德安农商行总部</t>
        </is>
      </c>
      <c r="U7" s="43" t="str">
        <f t="shared" si="0"/>
        <v>进项</v>
      </c>
      <c r="V7" s="49" t="str">
        <f t="shared" si="1"/>
        <v>筑强</v>
      </c>
      <c r="W7" s="49" t="str">
        <f t="shared" si="2"/>
        <v>√</v>
      </c>
      <c r="X7" s="2">
        <f t="shared" si="3"/>
        <v>46203</v>
      </c>
      <c r="Y7" s="2">
        <f t="shared" si="4"/>
        <v>202606</v>
      </c>
      <c r="Z7" s="2">
        <f t="shared" si="5"/>
        <v>1</v>
      </c>
      <c r="AA7" s="2">
        <f t="shared" si="6"/>
        <v>62.92</v>
      </c>
      <c r="AB7" s="2">
        <f t="shared" si="7"/>
        <v>546.94</v>
      </c>
      <c r="AC7" s="2">
        <f t="shared" si="8"/>
        <v>0.13</v>
      </c>
    </row>
    <row r="8">
      <c r="A8" s="64" t="n"/>
      <c r="B8" s="65" t="n"/>
      <c r="C8" s="65" t="n"/>
      <c r="D8" s="65" t="n"/>
      <c r="E8" s="65" t="n"/>
      <c r="F8" s="66" t="n"/>
      <c r="G8" s="65" t="n"/>
      <c r="H8" s="66" t="n"/>
      <c r="I8" s="64" t="n"/>
      <c r="J8" s="68" t="n"/>
      <c r="K8" s="68" t="n"/>
      <c r="L8" s="68" t="n"/>
      <c r="M8" s="64" t="n"/>
      <c r="N8" s="64" t="n"/>
      <c r="O8" s="64" t="n"/>
      <c r="P8" s="64" t="n"/>
      <c r="Q8" s="64" t="n"/>
      <c r="R8" s="64" t="n"/>
      <c r="S8" s="66" t="n"/>
      <c r="T8" s="45" t="n"/>
      <c r="U8" s="43">
        <f t="shared" si="0"/>
      </c>
      <c r="V8" s="49">
        <f t="shared" si="1"/>
      </c>
      <c r="W8" s="49">
        <f t="shared" si="2"/>
      </c>
      <c r="X8" s="2">
        <f t="shared" si="3"/>
      </c>
      <c r="Y8" s="2">
        <f t="shared" si="4"/>
      </c>
      <c r="Z8" s="2">
        <f t="shared" si="5"/>
        <v>0</v>
      </c>
      <c r="AA8" s="2">
        <f t="shared" si="6"/>
        <v>0</v>
      </c>
      <c r="AB8" s="2">
        <f t="shared" si="7"/>
        <v>0</v>
      </c>
      <c r="AC8" s="2">
        <f t="shared" si="8"/>
      </c>
    </row>
    <row r="9">
      <c r="A9" s="64" t="n"/>
      <c r="B9" s="65" t="n"/>
      <c r="C9" s="65" t="n"/>
      <c r="D9" s="65" t="n"/>
      <c r="E9" s="65" t="n"/>
      <c r="F9" s="66" t="n"/>
      <c r="G9" s="65" t="n"/>
      <c r="H9" s="66" t="n"/>
      <c r="I9" s="64" t="n"/>
      <c r="J9" s="68" t="n"/>
      <c r="K9" s="68" t="n"/>
      <c r="L9" s="68" t="n"/>
      <c r="M9" s="64" t="n"/>
      <c r="N9" s="64" t="n"/>
      <c r="O9" s="64" t="n"/>
      <c r="P9" s="64" t="n"/>
      <c r="Q9" s="64" t="n"/>
      <c r="R9" s="64" t="n"/>
      <c r="S9" s="66" t="n"/>
      <c r="T9" s="45" t="n"/>
      <c r="U9" s="43">
        <f t="shared" si="0"/>
      </c>
      <c r="V9" s="49">
        <f t="shared" si="1"/>
      </c>
      <c r="W9" s="49">
        <f t="shared" si="2"/>
      </c>
      <c r="X9" s="2">
        <f t="shared" si="3"/>
      </c>
      <c r="Y9" s="2">
        <f t="shared" si="4"/>
      </c>
      <c r="Z9" s="2">
        <f t="shared" si="5"/>
        <v>0</v>
      </c>
      <c r="AA9" s="2">
        <f t="shared" si="6"/>
        <v>0</v>
      </c>
      <c r="AB9" s="2">
        <f t="shared" si="7"/>
        <v>0</v>
      </c>
      <c r="AC9" s="2">
        <f t="shared" si="8"/>
      </c>
    </row>
    <row r="10">
      <c r="A10" s="64" t="n"/>
      <c r="B10" s="65" t="n"/>
      <c r="C10" s="65" t="n"/>
      <c r="D10" s="65" t="n"/>
      <c r="E10" s="65" t="n"/>
      <c r="F10" s="66" t="n"/>
      <c r="G10" s="65" t="n"/>
      <c r="H10" s="66" t="n"/>
      <c r="I10" s="64" t="n"/>
      <c r="J10" s="68" t="n"/>
      <c r="K10" s="68" t="n"/>
      <c r="L10" s="68" t="n"/>
      <c r="M10" s="64" t="n"/>
      <c r="N10" s="64" t="n"/>
      <c r="O10" s="64" t="n"/>
      <c r="P10" s="64" t="n"/>
      <c r="Q10" s="64" t="n"/>
      <c r="R10" s="64" t="n"/>
      <c r="S10" s="66" t="n"/>
      <c r="T10" s="45" t="n"/>
      <c r="U10" s="43">
        <f t="shared" si="0"/>
      </c>
      <c r="V10" s="49">
        <f t="shared" si="1"/>
      </c>
      <c r="W10" s="49">
        <f t="shared" si="2"/>
      </c>
      <c r="X10" s="2">
        <f t="shared" si="3"/>
      </c>
      <c r="Y10" s="2">
        <f t="shared" si="4"/>
      </c>
      <c r="Z10" s="2">
        <f t="shared" si="5"/>
        <v>0</v>
      </c>
      <c r="AA10" s="2">
        <f t="shared" si="6"/>
        <v>0</v>
      </c>
      <c r="AB10" s="2">
        <f t="shared" si="7"/>
        <v>0</v>
      </c>
      <c r="AC10" s="2">
        <f t="shared" si="8"/>
      </c>
    </row>
    <row r="11">
      <c r="A11" s="64" t="n"/>
      <c r="B11" s="65" t="n"/>
      <c r="C11" s="65" t="n"/>
      <c r="D11" s="65" t="n"/>
      <c r="E11" s="65" t="n"/>
      <c r="F11" s="66" t="n"/>
      <c r="G11" s="65" t="n"/>
      <c r="H11" s="66" t="n"/>
      <c r="I11" s="64" t="n"/>
      <c r="J11" s="68" t="n"/>
      <c r="K11" s="68" t="n"/>
      <c r="L11" s="68" t="n"/>
      <c r="M11" s="64" t="n"/>
      <c r="N11" s="64" t="n"/>
      <c r="O11" s="64" t="n"/>
      <c r="P11" s="64" t="n"/>
      <c r="Q11" s="64" t="n"/>
      <c r="R11" s="64" t="n"/>
      <c r="S11" s="66" t="n"/>
      <c r="T11" s="45" t="n"/>
      <c r="U11" s="43">
        <f t="shared" si="0"/>
      </c>
      <c r="V11" s="49">
        <f t="shared" si="1"/>
      </c>
      <c r="W11" s="49">
        <f t="shared" si="2"/>
      </c>
      <c r="X11" s="2">
        <f t="shared" si="3"/>
      </c>
      <c r="Y11" s="2">
        <f t="shared" si="4"/>
      </c>
      <c r="Z11" s="2">
        <f t="shared" si="5"/>
        <v>0</v>
      </c>
      <c r="AA11" s="2">
        <f t="shared" si="6"/>
        <v>0</v>
      </c>
      <c r="AB11" s="2">
        <f t="shared" si="7"/>
        <v>0</v>
      </c>
      <c r="AC11" s="2">
        <f t="shared" si="8"/>
      </c>
    </row>
    <row r="12">
      <c r="A12" s="64" t="n"/>
      <c r="B12" s="65" t="n"/>
      <c r="C12" s="65" t="n"/>
      <c r="D12" s="65" t="n"/>
      <c r="E12" s="65" t="n"/>
      <c r="F12" s="66" t="n"/>
      <c r="G12" s="65" t="n"/>
      <c r="H12" s="66" t="n"/>
      <c r="I12" s="64" t="n"/>
      <c r="J12" s="68" t="n"/>
      <c r="K12" s="68" t="n"/>
      <c r="L12" s="68" t="n"/>
      <c r="M12" s="64" t="n"/>
      <c r="N12" s="64" t="n"/>
      <c r="O12" s="64" t="n"/>
      <c r="P12" s="64" t="n"/>
      <c r="Q12" s="64" t="n"/>
      <c r="R12" s="64" t="n"/>
      <c r="S12" s="66" t="n"/>
      <c r="T12" s="45" t="n"/>
      <c r="U12" s="43">
        <f t="shared" si="0"/>
      </c>
      <c r="V12" s="49">
        <f t="shared" si="1"/>
      </c>
      <c r="W12" s="49">
        <f t="shared" si="2"/>
      </c>
      <c r="X12" s="2">
        <f t="shared" si="3"/>
      </c>
      <c r="Y12" s="2">
        <f t="shared" si="4"/>
      </c>
      <c r="Z12" s="2">
        <f t="shared" si="5"/>
        <v>0</v>
      </c>
      <c r="AA12" s="2">
        <f t="shared" si="6"/>
        <v>0</v>
      </c>
      <c r="AB12" s="2">
        <f t="shared" si="7"/>
        <v>0</v>
      </c>
      <c r="AC12" s="2">
        <f t="shared" si="8"/>
      </c>
    </row>
    <row r="13">
      <c r="A13" s="64" t="n"/>
      <c r="B13" s="65" t="n"/>
      <c r="C13" s="65" t="n"/>
      <c r="D13" s="65" t="n"/>
      <c r="E13" s="65" t="n"/>
      <c r="F13" s="66" t="n"/>
      <c r="G13" s="65" t="n"/>
      <c r="H13" s="66" t="n"/>
      <c r="I13" s="64" t="n"/>
      <c r="J13" s="68" t="n"/>
      <c r="K13" s="68" t="n"/>
      <c r="L13" s="68" t="n"/>
      <c r="M13" s="64" t="n"/>
      <c r="N13" s="64" t="n"/>
      <c r="O13" s="64" t="n"/>
      <c r="P13" s="64" t="n"/>
      <c r="Q13" s="64" t="n"/>
      <c r="R13" s="64" t="n"/>
      <c r="S13" s="66" t="n"/>
      <c r="T13" s="45" t="n"/>
      <c r="U13" s="43">
        <f t="shared" si="0"/>
      </c>
      <c r="V13" s="49">
        <f t="shared" si="1"/>
      </c>
      <c r="W13" s="49">
        <f t="shared" si="2"/>
      </c>
      <c r="X13" s="2">
        <f t="shared" si="3"/>
      </c>
      <c r="Y13" s="2">
        <f t="shared" si="4"/>
      </c>
      <c r="Z13" s="2">
        <f t="shared" si="5"/>
        <v>0</v>
      </c>
      <c r="AA13" s="2">
        <f t="shared" si="6"/>
        <v>0</v>
      </c>
      <c r="AB13" s="2">
        <f t="shared" si="7"/>
        <v>0</v>
      </c>
      <c r="AC13" s="2">
        <f t="shared" si="8"/>
      </c>
    </row>
    <row r="14">
      <c r="A14" s="64" t="n"/>
      <c r="B14" s="65" t="n"/>
      <c r="C14" s="65" t="n"/>
      <c r="D14" s="65" t="n"/>
      <c r="E14" s="65" t="n"/>
      <c r="F14" s="66" t="n"/>
      <c r="G14" s="65" t="n"/>
      <c r="H14" s="66" t="n"/>
      <c r="I14" s="64" t="n"/>
      <c r="J14" s="68" t="n"/>
      <c r="K14" s="68" t="n"/>
      <c r="L14" s="68" t="n"/>
      <c r="M14" s="64" t="n"/>
      <c r="N14" s="64" t="n"/>
      <c r="O14" s="64" t="n"/>
      <c r="P14" s="64" t="n"/>
      <c r="Q14" s="64" t="n"/>
      <c r="R14" s="64" t="n"/>
      <c r="S14" s="66" t="n"/>
      <c r="T14" s="45" t="n"/>
      <c r="U14" s="43">
        <f t="shared" si="0"/>
      </c>
      <c r="V14" s="49">
        <f t="shared" si="1"/>
      </c>
      <c r="W14" s="49">
        <f t="shared" si="2"/>
      </c>
      <c r="X14" s="2">
        <f t="shared" si="3"/>
      </c>
      <c r="Y14" s="2">
        <f t="shared" si="4"/>
      </c>
      <c r="Z14" s="2">
        <f t="shared" si="5"/>
        <v>0</v>
      </c>
      <c r="AA14" s="2">
        <f t="shared" si="6"/>
        <v>0</v>
      </c>
      <c r="AB14" s="2">
        <f t="shared" si="7"/>
        <v>0</v>
      </c>
      <c r="AC14" s="2">
        <f t="shared" si="8"/>
      </c>
    </row>
    <row r="15">
      <c r="A15" s="64" t="n"/>
      <c r="B15" s="65" t="n"/>
      <c r="C15" s="65" t="n"/>
      <c r="D15" s="65" t="n"/>
      <c r="E15" s="65" t="n"/>
      <c r="F15" s="66" t="n"/>
      <c r="G15" s="65" t="n"/>
      <c r="H15" s="66" t="n"/>
      <c r="I15" s="64" t="n"/>
      <c r="J15" s="68" t="n"/>
      <c r="K15" s="68" t="n"/>
      <c r="L15" s="68" t="n"/>
      <c r="M15" s="64" t="n"/>
      <c r="N15" s="64" t="n"/>
      <c r="O15" s="64" t="n"/>
      <c r="P15" s="64" t="n"/>
      <c r="Q15" s="64" t="n"/>
      <c r="R15" s="64" t="n"/>
      <c r="S15" s="66" t="n"/>
      <c r="T15" s="45" t="n"/>
      <c r="U15" s="43">
        <f t="shared" si="0"/>
      </c>
      <c r="V15" s="49">
        <f t="shared" si="1"/>
      </c>
      <c r="W15" s="49">
        <f t="shared" si="2"/>
      </c>
      <c r="X15" s="2">
        <f t="shared" si="3"/>
      </c>
      <c r="Y15" s="2">
        <f t="shared" si="4"/>
      </c>
      <c r="Z15" s="2">
        <f t="shared" si="5"/>
        <v>0</v>
      </c>
      <c r="AA15" s="2">
        <f t="shared" si="6"/>
        <v>0</v>
      </c>
      <c r="AB15" s="2">
        <f t="shared" si="7"/>
        <v>0</v>
      </c>
      <c r="AC15" s="2">
        <f t="shared" si="8"/>
      </c>
    </row>
    <row r="16">
      <c r="A16" s="64" t="n"/>
      <c r="B16" s="65" t="n"/>
      <c r="C16" s="65" t="n"/>
      <c r="D16" s="65" t="n"/>
      <c r="E16" s="65" t="n"/>
      <c r="F16" s="66" t="n"/>
      <c r="G16" s="65" t="n"/>
      <c r="H16" s="66" t="n"/>
      <c r="I16" s="64" t="n"/>
      <c r="J16" s="68" t="n"/>
      <c r="K16" s="68" t="n"/>
      <c r="L16" s="68" t="n"/>
      <c r="M16" s="64" t="n"/>
      <c r="N16" s="64" t="n"/>
      <c r="O16" s="64" t="n"/>
      <c r="P16" s="64" t="n"/>
      <c r="Q16" s="64" t="n"/>
      <c r="R16" s="64" t="n"/>
      <c r="S16" s="66" t="n"/>
      <c r="T16" s="45" t="n"/>
      <c r="U16" s="43">
        <f t="shared" si="0"/>
      </c>
      <c r="V16" s="49">
        <f t="shared" si="1"/>
      </c>
      <c r="W16" s="49">
        <f t="shared" si="2"/>
      </c>
      <c r="X16" s="2">
        <f t="shared" si="3"/>
      </c>
      <c r="Y16" s="2">
        <f t="shared" si="4"/>
      </c>
      <c r="Z16" s="2">
        <f t="shared" si="5"/>
        <v>0</v>
      </c>
      <c r="AA16" s="2">
        <f t="shared" si="6"/>
        <v>0</v>
      </c>
      <c r="AB16" s="2">
        <f t="shared" si="7"/>
        <v>0</v>
      </c>
      <c r="AC16" s="2">
        <f t="shared" si="8"/>
      </c>
    </row>
    <row r="17">
      <c r="A17" s="64" t="n"/>
      <c r="B17" s="65" t="n"/>
      <c r="C17" s="65" t="n"/>
      <c r="D17" s="65" t="n"/>
      <c r="E17" s="65" t="n"/>
      <c r="F17" s="66" t="n"/>
      <c r="G17" s="65" t="n"/>
      <c r="H17" s="66" t="n"/>
      <c r="I17" s="64" t="n"/>
      <c r="J17" s="68" t="n"/>
      <c r="K17" s="68" t="n"/>
      <c r="L17" s="68" t="n"/>
      <c r="M17" s="64" t="n"/>
      <c r="N17" s="64" t="n"/>
      <c r="O17" s="64" t="n"/>
      <c r="P17" s="64" t="n"/>
      <c r="Q17" s="64" t="n"/>
      <c r="R17" s="64" t="n"/>
      <c r="S17" s="66" t="n"/>
      <c r="T17" s="45" t="n"/>
      <c r="U17" s="43">
        <f t="shared" si="0"/>
      </c>
      <c r="V17" s="49">
        <f t="shared" si="1"/>
      </c>
      <c r="W17" s="49">
        <f t="shared" si="2"/>
      </c>
      <c r="X17" s="2">
        <f t="shared" si="3"/>
      </c>
      <c r="Y17" s="2">
        <f t="shared" si="4"/>
      </c>
      <c r="Z17" s="2">
        <f t="shared" si="5"/>
        <v>0</v>
      </c>
      <c r="AA17" s="2">
        <f t="shared" si="6"/>
        <v>0</v>
      </c>
      <c r="AB17" s="2">
        <f t="shared" si="7"/>
        <v>0</v>
      </c>
      <c r="AC17" s="2">
        <f t="shared" si="8"/>
      </c>
    </row>
    <row r="18">
      <c r="A18" s="64" t="n"/>
      <c r="B18" s="65" t="n"/>
      <c r="C18" s="65" t="n"/>
      <c r="D18" s="65" t="n"/>
      <c r="E18" s="65" t="n"/>
      <c r="F18" s="66" t="n"/>
      <c r="G18" s="65" t="n"/>
      <c r="H18" s="66" t="n"/>
      <c r="I18" s="64" t="n"/>
      <c r="J18" s="68" t="n"/>
      <c r="K18" s="68" t="n"/>
      <c r="L18" s="68" t="n"/>
      <c r="M18" s="64" t="n"/>
      <c r="N18" s="64" t="n"/>
      <c r="O18" s="64" t="n"/>
      <c r="P18" s="64" t="n"/>
      <c r="Q18" s="64" t="n"/>
      <c r="R18" s="64" t="n"/>
      <c r="S18" s="66" t="n"/>
      <c r="T18" s="45" t="n"/>
      <c r="U18" s="43">
        <f t="shared" si="0"/>
      </c>
      <c r="V18" s="49">
        <f t="shared" si="1"/>
      </c>
      <c r="W18" s="49">
        <f t="shared" si="2"/>
      </c>
      <c r="X18" s="2">
        <f t="shared" si="3"/>
      </c>
      <c r="Y18" s="2">
        <f t="shared" si="4"/>
      </c>
      <c r="Z18" s="2">
        <f t="shared" si="5"/>
        <v>0</v>
      </c>
      <c r="AA18" s="2">
        <f t="shared" si="6"/>
        <v>0</v>
      </c>
      <c r="AB18" s="2">
        <f t="shared" si="7"/>
        <v>0</v>
      </c>
      <c r="AC18" s="2">
        <f t="shared" si="8"/>
      </c>
    </row>
    <row r="19">
      <c r="A19" s="64" t="n"/>
      <c r="B19" s="65" t="n"/>
      <c r="C19" s="65" t="n"/>
      <c r="D19" s="65" t="n"/>
      <c r="E19" s="65" t="n"/>
      <c r="F19" s="66" t="n"/>
      <c r="G19" s="65" t="n"/>
      <c r="H19" s="66" t="n"/>
      <c r="I19" s="64" t="n"/>
      <c r="J19" s="68" t="n"/>
      <c r="K19" s="68" t="n"/>
      <c r="L19" s="68" t="n"/>
      <c r="M19" s="64" t="n"/>
      <c r="N19" s="64" t="n"/>
      <c r="O19" s="64" t="n"/>
      <c r="P19" s="64" t="n"/>
      <c r="Q19" s="64" t="n"/>
      <c r="R19" s="64" t="n"/>
      <c r="S19" s="66" t="n"/>
      <c r="T19" s="45" t="n"/>
      <c r="U19" s="43">
        <f t="shared" si="0"/>
      </c>
      <c r="V19" s="49">
        <f t="shared" si="1"/>
      </c>
      <c r="W19" s="49">
        <f t="shared" si="2"/>
      </c>
      <c r="X19" s="2">
        <f t="shared" si="3"/>
      </c>
      <c r="Y19" s="2">
        <f t="shared" si="4"/>
      </c>
      <c r="Z19" s="2">
        <f t="shared" si="5"/>
        <v>0</v>
      </c>
      <c r="AA19" s="2">
        <f t="shared" si="6"/>
        <v>0</v>
      </c>
      <c r="AB19" s="2">
        <f t="shared" si="7"/>
        <v>0</v>
      </c>
      <c r="AC19" s="2">
        <f t="shared" si="8"/>
      </c>
    </row>
    <row r="20">
      <c r="A20" s="64" t="n"/>
      <c r="B20" s="65" t="n"/>
      <c r="C20" s="65" t="n"/>
      <c r="D20" s="65" t="n"/>
      <c r="E20" s="65" t="n"/>
      <c r="F20" s="66" t="n"/>
      <c r="G20" s="65" t="n"/>
      <c r="H20" s="66" t="n"/>
      <c r="I20" s="64" t="n"/>
      <c r="J20" s="68" t="n"/>
      <c r="K20" s="68" t="n"/>
      <c r="L20" s="68" t="n"/>
      <c r="M20" s="64" t="n"/>
      <c r="N20" s="64" t="n"/>
      <c r="O20" s="64" t="n"/>
      <c r="P20" s="64" t="n"/>
      <c r="Q20" s="64" t="n"/>
      <c r="R20" s="64" t="n"/>
      <c r="S20" s="66" t="n"/>
      <c r="T20" s="45" t="n"/>
      <c r="U20" s="43">
        <f t="shared" si="0"/>
      </c>
      <c r="V20" s="49">
        <f t="shared" si="1"/>
      </c>
      <c r="W20" s="49">
        <f t="shared" si="2"/>
      </c>
      <c r="X20" s="2">
        <f t="shared" si="3"/>
      </c>
      <c r="Y20" s="2">
        <f t="shared" si="4"/>
      </c>
      <c r="Z20" s="2">
        <f t="shared" si="5"/>
        <v>0</v>
      </c>
      <c r="AA20" s="2">
        <f t="shared" si="6"/>
        <v>0</v>
      </c>
      <c r="AB20" s="2">
        <f t="shared" si="7"/>
        <v>0</v>
      </c>
      <c r="AC20" s="2">
        <f t="shared" si="8"/>
      </c>
    </row>
    <row r="21">
      <c r="A21" s="64" t="n"/>
      <c r="B21" s="65" t="n"/>
      <c r="C21" s="65" t="n"/>
      <c r="D21" s="65" t="n"/>
      <c r="E21" s="65" t="n"/>
      <c r="F21" s="66" t="n"/>
      <c r="G21" s="65" t="n"/>
      <c r="H21" s="66" t="n"/>
      <c r="I21" s="64" t="n"/>
      <c r="J21" s="68" t="n"/>
      <c r="K21" s="68" t="n"/>
      <c r="L21" s="68" t="n"/>
      <c r="M21" s="64" t="n"/>
      <c r="N21" s="64" t="n"/>
      <c r="O21" s="64" t="n"/>
      <c r="P21" s="64" t="n"/>
      <c r="Q21" s="64" t="n"/>
      <c r="R21" s="64" t="n"/>
      <c r="S21" s="66" t="n"/>
      <c r="T21" s="45" t="n"/>
      <c r="U21" s="43">
        <f t="shared" si="0"/>
      </c>
      <c r="V21" s="49">
        <f t="shared" si="1"/>
      </c>
      <c r="W21" s="49">
        <f t="shared" si="2"/>
      </c>
      <c r="X21" s="2">
        <f t="shared" si="3"/>
      </c>
      <c r="Y21" s="2">
        <f t="shared" si="4"/>
      </c>
      <c r="Z21" s="2">
        <f t="shared" si="5"/>
        <v>0</v>
      </c>
      <c r="AA21" s="2">
        <f t="shared" si="6"/>
        <v>0</v>
      </c>
      <c r="AB21" s="2">
        <f t="shared" si="7"/>
        <v>0</v>
      </c>
      <c r="AC21" s="2">
        <f t="shared" si="8"/>
      </c>
    </row>
    <row r="22">
      <c r="A22" s="64" t="n"/>
      <c r="B22" s="65" t="n"/>
      <c r="C22" s="65" t="n"/>
      <c r="D22" s="65" t="n"/>
      <c r="E22" s="65" t="n"/>
      <c r="F22" s="66" t="n"/>
      <c r="G22" s="65" t="n"/>
      <c r="H22" s="66" t="n"/>
      <c r="I22" s="64" t="n"/>
      <c r="J22" s="68" t="n"/>
      <c r="K22" s="68" t="n"/>
      <c r="L22" s="68" t="n"/>
      <c r="M22" s="64" t="n"/>
      <c r="N22" s="64" t="n"/>
      <c r="O22" s="64" t="n"/>
      <c r="P22" s="64" t="n"/>
      <c r="Q22" s="64" t="n"/>
      <c r="R22" s="64" t="n"/>
      <c r="S22" s="66" t="n"/>
      <c r="T22" s="45" t="n"/>
      <c r="U22" s="43">
        <f t="shared" si="0"/>
      </c>
      <c r="V22" s="49">
        <f t="shared" si="1"/>
      </c>
      <c r="W22" s="49">
        <f t="shared" si="2"/>
      </c>
      <c r="X22" s="2">
        <f t="shared" si="3"/>
      </c>
      <c r="Y22" s="2">
        <f t="shared" si="4"/>
      </c>
      <c r="Z22" s="2">
        <f t="shared" si="5"/>
        <v>0</v>
      </c>
      <c r="AA22" s="2">
        <f t="shared" si="6"/>
        <v>0</v>
      </c>
      <c r="AB22" s="2">
        <f t="shared" si="7"/>
        <v>0</v>
      </c>
      <c r="AC22" s="2">
        <f t="shared" si="8"/>
      </c>
    </row>
    <row r="23">
      <c r="A23" s="64" t="n"/>
      <c r="B23" s="65" t="n"/>
      <c r="C23" s="65" t="n"/>
      <c r="D23" s="65" t="n"/>
      <c r="E23" s="65" t="n"/>
      <c r="F23" s="66" t="n"/>
      <c r="G23" s="65" t="n"/>
      <c r="H23" s="66" t="n"/>
      <c r="I23" s="64" t="n"/>
      <c r="J23" s="68" t="n"/>
      <c r="K23" s="68" t="n"/>
      <c r="L23" s="68" t="n"/>
      <c r="M23" s="64" t="n"/>
      <c r="N23" s="64" t="n"/>
      <c r="O23" s="64" t="n"/>
      <c r="P23" s="64" t="n"/>
      <c r="Q23" s="64" t="n"/>
      <c r="R23" s="64" t="n"/>
      <c r="S23" s="66" t="n"/>
      <c r="T23" s="45" t="n"/>
      <c r="U23" s="43">
        <f t="shared" si="0"/>
      </c>
      <c r="V23" s="49">
        <f t="shared" si="1"/>
      </c>
      <c r="W23" s="49">
        <f t="shared" si="2"/>
      </c>
      <c r="X23" s="2">
        <f t="shared" si="3"/>
      </c>
      <c r="Y23" s="2">
        <f t="shared" si="4"/>
      </c>
      <c r="Z23" s="2">
        <f t="shared" si="5"/>
        <v>0</v>
      </c>
      <c r="AA23" s="2">
        <f t="shared" si="6"/>
        <v>0</v>
      </c>
      <c r="AB23" s="2">
        <f t="shared" si="7"/>
        <v>0</v>
      </c>
      <c r="AC23" s="2">
        <f t="shared" si="8"/>
      </c>
    </row>
    <row r="24">
      <c r="A24" s="64" t="n"/>
      <c r="B24" s="65" t="n"/>
      <c r="C24" s="65" t="n"/>
      <c r="D24" s="65" t="n"/>
      <c r="E24" s="65" t="n"/>
      <c r="F24" s="66" t="n"/>
      <c r="G24" s="65" t="n"/>
      <c r="H24" s="66" t="n"/>
      <c r="I24" s="64" t="n"/>
      <c r="J24" s="68" t="n"/>
      <c r="K24" s="68" t="n"/>
      <c r="L24" s="68" t="n"/>
      <c r="M24" s="64" t="n"/>
      <c r="N24" s="64" t="n"/>
      <c r="O24" s="64" t="n"/>
      <c r="P24" s="64" t="n"/>
      <c r="Q24" s="64" t="n"/>
      <c r="R24" s="64" t="n"/>
      <c r="S24" s="66" t="n"/>
      <c r="T24" s="45" t="n"/>
      <c r="U24" s="43">
        <f t="shared" si="0"/>
      </c>
      <c r="V24" s="49">
        <f t="shared" si="1"/>
      </c>
      <c r="W24" s="49">
        <f t="shared" si="2"/>
      </c>
      <c r="X24" s="2">
        <f t="shared" si="3"/>
      </c>
      <c r="Y24" s="2">
        <f t="shared" si="4"/>
      </c>
      <c r="Z24" s="2">
        <f t="shared" si="5"/>
        <v>0</v>
      </c>
      <c r="AA24" s="2">
        <f t="shared" si="6"/>
        <v>0</v>
      </c>
      <c r="AB24" s="2">
        <f t="shared" si="7"/>
        <v>0</v>
      </c>
      <c r="AC24" s="2">
        <f t="shared" si="8"/>
      </c>
    </row>
    <row r="25">
      <c r="A25" s="64" t="n"/>
      <c r="B25" s="65" t="n"/>
      <c r="C25" s="65" t="n"/>
      <c r="D25" s="65" t="n"/>
      <c r="E25" s="65" t="n"/>
      <c r="F25" s="66" t="n"/>
      <c r="G25" s="65" t="n"/>
      <c r="H25" s="66" t="n"/>
      <c r="I25" s="64" t="n"/>
      <c r="J25" s="68" t="n"/>
      <c r="K25" s="68" t="n"/>
      <c r="L25" s="68" t="n"/>
      <c r="M25" s="64" t="n"/>
      <c r="N25" s="64" t="n"/>
      <c r="O25" s="64" t="n"/>
      <c r="P25" s="64" t="n"/>
      <c r="Q25" s="64" t="n"/>
      <c r="R25" s="64" t="n"/>
      <c r="S25" s="66" t="n"/>
      <c r="T25" s="45" t="n"/>
      <c r="U25" s="43">
        <f t="shared" si="0"/>
      </c>
      <c r="V25" s="49">
        <f t="shared" si="1"/>
      </c>
      <c r="W25" s="49">
        <f t="shared" si="2"/>
      </c>
      <c r="X25" s="2">
        <f t="shared" si="3"/>
      </c>
      <c r="Y25" s="2">
        <f t="shared" si="4"/>
      </c>
      <c r="Z25" s="2">
        <f t="shared" si="5"/>
        <v>0</v>
      </c>
      <c r="AA25" s="2">
        <f t="shared" si="6"/>
        <v>0</v>
      </c>
      <c r="AB25" s="2">
        <f t="shared" si="7"/>
        <v>0</v>
      </c>
      <c r="AC25" s="2">
        <f t="shared" si="8"/>
      </c>
    </row>
    <row r="26">
      <c r="A26" s="64" t="n"/>
      <c r="B26" s="65" t="n"/>
      <c r="C26" s="65" t="n"/>
      <c r="D26" s="65" t="n"/>
      <c r="E26" s="65" t="n"/>
      <c r="F26" s="66" t="n"/>
      <c r="G26" s="65" t="n"/>
      <c r="H26" s="66" t="n"/>
      <c r="I26" s="64" t="n"/>
      <c r="J26" s="68" t="n"/>
      <c r="K26" s="68" t="n"/>
      <c r="L26" s="68" t="n"/>
      <c r="M26" s="64" t="n"/>
      <c r="N26" s="64" t="n"/>
      <c r="O26" s="64" t="n"/>
      <c r="P26" s="64" t="n"/>
      <c r="Q26" s="64" t="n"/>
      <c r="R26" s="64" t="n"/>
      <c r="S26" s="66" t="n"/>
      <c r="T26" s="45" t="n"/>
      <c r="U26" s="43">
        <f t="shared" si="0"/>
      </c>
      <c r="V26" s="49">
        <f t="shared" si="1"/>
      </c>
      <c r="W26" s="49">
        <f t="shared" si="2"/>
      </c>
      <c r="X26" s="2">
        <f t="shared" si="3"/>
      </c>
      <c r="Y26" s="2">
        <f t="shared" si="4"/>
      </c>
      <c r="Z26" s="2">
        <f t="shared" si="5"/>
        <v>0</v>
      </c>
      <c r="AA26" s="2">
        <f t="shared" si="6"/>
        <v>0</v>
      </c>
      <c r="AB26" s="2">
        <f t="shared" si="7"/>
        <v>0</v>
      </c>
      <c r="AC26" s="2">
        <f t="shared" si="8"/>
      </c>
    </row>
    <row r="27">
      <c r="A27" s="64" t="n"/>
      <c r="B27" s="65" t="n"/>
      <c r="C27" s="65" t="n"/>
      <c r="D27" s="65" t="n"/>
      <c r="E27" s="65" t="n"/>
      <c r="F27" s="66" t="n"/>
      <c r="G27" s="65" t="n"/>
      <c r="H27" s="66" t="n"/>
      <c r="I27" s="64" t="n"/>
      <c r="J27" s="68" t="n"/>
      <c r="K27" s="68" t="n"/>
      <c r="L27" s="68" t="n"/>
      <c r="M27" s="64" t="n"/>
      <c r="N27" s="64" t="n"/>
      <c r="O27" s="64" t="n"/>
      <c r="P27" s="64" t="n"/>
      <c r="Q27" s="64" t="n"/>
      <c r="R27" s="64" t="n"/>
      <c r="S27" s="66" t="n"/>
      <c r="T27" s="45" t="n"/>
      <c r="U27" s="43">
        <f t="shared" si="0"/>
      </c>
      <c r="V27" s="49">
        <f t="shared" si="1"/>
      </c>
      <c r="W27" s="49">
        <f t="shared" si="2"/>
      </c>
      <c r="X27" s="2">
        <f t="shared" si="3"/>
      </c>
      <c r="Y27" s="2">
        <f t="shared" si="4"/>
      </c>
      <c r="Z27" s="2">
        <f t="shared" si="5"/>
        <v>0</v>
      </c>
      <c r="AA27" s="2">
        <f t="shared" si="6"/>
        <v>0</v>
      </c>
      <c r="AB27" s="2">
        <f t="shared" si="7"/>
        <v>0</v>
      </c>
      <c r="AC27" s="2">
        <f t="shared" si="8"/>
      </c>
    </row>
    <row r="28">
      <c r="A28" s="64" t="n"/>
      <c r="B28" s="65" t="n"/>
      <c r="C28" s="65" t="n"/>
      <c r="D28" s="65" t="n"/>
      <c r="E28" s="65" t="n"/>
      <c r="F28" s="66" t="n"/>
      <c r="G28" s="65" t="n"/>
      <c r="H28" s="66" t="n"/>
      <c r="I28" s="64" t="n"/>
      <c r="J28" s="68" t="n"/>
      <c r="K28" s="68" t="n"/>
      <c r="L28" s="68" t="n"/>
      <c r="M28" s="64" t="n"/>
      <c r="N28" s="64" t="n"/>
      <c r="O28" s="64" t="n"/>
      <c r="P28" s="64" t="n"/>
      <c r="Q28" s="64" t="n"/>
      <c r="R28" s="64" t="n"/>
      <c r="S28" s="66" t="n"/>
      <c r="T28" s="45" t="n"/>
      <c r="U28" s="43">
        <f t="shared" si="0"/>
      </c>
      <c r="V28" s="49">
        <f t="shared" si="1"/>
      </c>
      <c r="W28" s="49">
        <f t="shared" si="2"/>
      </c>
      <c r="X28" s="2">
        <f t="shared" si="3"/>
      </c>
      <c r="Y28" s="2">
        <f t="shared" si="4"/>
      </c>
      <c r="Z28" s="2">
        <f t="shared" si="5"/>
        <v>0</v>
      </c>
      <c r="AA28" s="2">
        <f t="shared" si="6"/>
        <v>0</v>
      </c>
      <c r="AB28" s="2">
        <f t="shared" si="7"/>
        <v>0</v>
      </c>
      <c r="AC28" s="2">
        <f t="shared" si="8"/>
      </c>
    </row>
    <row r="29">
      <c r="A29" s="64" t="n"/>
      <c r="B29" s="65" t="n"/>
      <c r="C29" s="65" t="n"/>
      <c r="D29" s="65" t="n"/>
      <c r="E29" s="65" t="n"/>
      <c r="F29" s="66" t="n"/>
      <c r="G29" s="65" t="n"/>
      <c r="H29" s="66" t="n"/>
      <c r="I29" s="64" t="n"/>
      <c r="J29" s="68" t="n"/>
      <c r="K29" s="68" t="n"/>
      <c r="L29" s="68" t="n"/>
      <c r="M29" s="64" t="n"/>
      <c r="N29" s="64" t="n"/>
      <c r="O29" s="64" t="n"/>
      <c r="P29" s="64" t="n"/>
      <c r="Q29" s="64" t="n"/>
      <c r="R29" s="64" t="n"/>
      <c r="S29" s="66" t="n"/>
      <c r="T29" s="45" t="n"/>
      <c r="U29" s="43">
        <f t="shared" si="0"/>
      </c>
      <c r="V29" s="49">
        <f t="shared" si="1"/>
      </c>
      <c r="W29" s="49">
        <f t="shared" si="2"/>
      </c>
      <c r="X29" s="2">
        <f t="shared" si="3"/>
      </c>
      <c r="Y29" s="2">
        <f t="shared" si="4"/>
      </c>
      <c r="Z29" s="2">
        <f t="shared" si="5"/>
        <v>0</v>
      </c>
      <c r="AA29" s="2">
        <f t="shared" si="6"/>
        <v>0</v>
      </c>
      <c r="AB29" s="2">
        <f t="shared" si="7"/>
        <v>0</v>
      </c>
      <c r="AC29" s="2">
        <f t="shared" si="8"/>
      </c>
    </row>
    <row r="30">
      <c r="A30" s="64" t="n"/>
      <c r="B30" s="65" t="n"/>
      <c r="C30" s="65" t="n"/>
      <c r="D30" s="65" t="n"/>
      <c r="E30" s="65" t="n"/>
      <c r="F30" s="66" t="n"/>
      <c r="G30" s="65" t="n"/>
      <c r="H30" s="66" t="n"/>
      <c r="I30" s="64" t="n"/>
      <c r="J30" s="68" t="n"/>
      <c r="K30" s="68" t="n"/>
      <c r="L30" s="68" t="n"/>
      <c r="M30" s="64" t="n"/>
      <c r="N30" s="64" t="n"/>
      <c r="O30" s="64" t="n"/>
      <c r="P30" s="64" t="n"/>
      <c r="Q30" s="64" t="n"/>
      <c r="R30" s="64" t="n"/>
      <c r="S30" s="66" t="n"/>
      <c r="T30" s="45" t="n"/>
      <c r="U30" s="43">
        <f t="shared" si="0"/>
      </c>
      <c r="V30" s="49">
        <f t="shared" si="1"/>
      </c>
      <c r="W30" s="49">
        <f t="shared" si="2"/>
      </c>
      <c r="X30" s="2">
        <f t="shared" si="3"/>
      </c>
      <c r="Y30" s="2">
        <f t="shared" si="4"/>
      </c>
      <c r="Z30" s="2">
        <f t="shared" si="5"/>
        <v>0</v>
      </c>
      <c r="AA30" s="2">
        <f t="shared" si="6"/>
        <v>0</v>
      </c>
      <c r="AB30" s="2">
        <f t="shared" si="7"/>
        <v>0</v>
      </c>
      <c r="AC30" s="2">
        <f t="shared" si="8"/>
      </c>
    </row>
    <row r="31">
      <c r="A31" s="64" t="n"/>
      <c r="B31" s="65" t="n"/>
      <c r="C31" s="65" t="n"/>
      <c r="D31" s="65" t="n"/>
      <c r="E31" s="65" t="n"/>
      <c r="F31" s="66" t="n"/>
      <c r="G31" s="65" t="n"/>
      <c r="H31" s="66" t="n"/>
      <c r="I31" s="64" t="n"/>
      <c r="J31" s="68" t="n"/>
      <c r="K31" s="68" t="n"/>
      <c r="L31" s="68" t="n"/>
      <c r="M31" s="64" t="n"/>
      <c r="N31" s="64" t="n"/>
      <c r="O31" s="64" t="n"/>
      <c r="P31" s="64" t="n"/>
      <c r="Q31" s="64" t="n"/>
      <c r="R31" s="64" t="n"/>
      <c r="S31" s="66" t="n"/>
      <c r="T31" s="45" t="n"/>
      <c r="U31" s="43">
        <f t="shared" si="0"/>
      </c>
      <c r="V31" s="49">
        <f t="shared" si="1"/>
      </c>
      <c r="W31" s="49">
        <f t="shared" si="2"/>
      </c>
      <c r="X31" s="2">
        <f t="shared" si="3"/>
      </c>
      <c r="Y31" s="2">
        <f t="shared" si="4"/>
      </c>
      <c r="Z31" s="2">
        <f t="shared" si="5"/>
        <v>0</v>
      </c>
      <c r="AA31" s="2">
        <f t="shared" si="6"/>
        <v>0</v>
      </c>
      <c r="AB31" s="2">
        <f t="shared" si="7"/>
        <v>0</v>
      </c>
      <c r="AC31" s="2">
        <f t="shared" si="8"/>
      </c>
    </row>
    <row r="32">
      <c r="A32" s="64" t="n"/>
      <c r="B32" s="65" t="n"/>
      <c r="C32" s="65" t="n"/>
      <c r="D32" s="65" t="n"/>
      <c r="E32" s="65" t="n"/>
      <c r="F32" s="66" t="n"/>
      <c r="G32" s="65" t="n"/>
      <c r="H32" s="66" t="n"/>
      <c r="I32" s="64" t="n"/>
      <c r="J32" s="68" t="n"/>
      <c r="K32" s="68" t="n"/>
      <c r="L32" s="68" t="n"/>
      <c r="M32" s="64" t="n"/>
      <c r="N32" s="64" t="n"/>
      <c r="O32" s="64" t="n"/>
      <c r="P32" s="64" t="n"/>
      <c r="Q32" s="64" t="n"/>
      <c r="R32" s="64" t="n"/>
      <c r="S32" s="66" t="n"/>
      <c r="T32" s="45" t="n"/>
      <c r="U32" s="43">
        <f t="shared" si="0"/>
      </c>
      <c r="V32" s="49">
        <f t="shared" si="1"/>
      </c>
      <c r="W32" s="49">
        <f t="shared" si="2"/>
      </c>
      <c r="X32" s="2">
        <f t="shared" si="3"/>
      </c>
      <c r="Y32" s="2">
        <f t="shared" si="4"/>
      </c>
      <c r="Z32" s="2">
        <f t="shared" si="5"/>
        <v>0</v>
      </c>
      <c r="AA32" s="2">
        <f t="shared" si="6"/>
        <v>0</v>
      </c>
      <c r="AB32" s="2">
        <f t="shared" si="7"/>
        <v>0</v>
      </c>
      <c r="AC32" s="2">
        <f t="shared" si="8"/>
      </c>
    </row>
    <row r="33">
      <c r="A33" s="64" t="n"/>
      <c r="B33" s="65" t="n"/>
      <c r="C33" s="65" t="n"/>
      <c r="D33" s="65" t="n"/>
      <c r="E33" s="65" t="n"/>
      <c r="F33" s="66" t="n"/>
      <c r="G33" s="65" t="n"/>
      <c r="H33" s="66" t="n"/>
      <c r="I33" s="64" t="n"/>
      <c r="J33" s="68" t="n"/>
      <c r="K33" s="68" t="n"/>
      <c r="L33" s="68" t="n"/>
      <c r="M33" s="64" t="n"/>
      <c r="N33" s="64" t="n"/>
      <c r="O33" s="64" t="n"/>
      <c r="P33" s="64" t="n"/>
      <c r="Q33" s="64" t="n"/>
      <c r="R33" s="64" t="n"/>
      <c r="S33" s="66" t="n"/>
      <c r="T33" s="45" t="n"/>
      <c r="U33" s="43">
        <f t="shared" si="0"/>
      </c>
      <c r="V33" s="49">
        <f t="shared" si="1"/>
      </c>
      <c r="W33" s="49">
        <f t="shared" si="2"/>
      </c>
      <c r="X33" s="2">
        <f t="shared" si="3"/>
      </c>
      <c r="Y33" s="2">
        <f t="shared" si="4"/>
      </c>
      <c r="Z33" s="2">
        <f t="shared" si="5"/>
        <v>0</v>
      </c>
      <c r="AA33" s="2">
        <f t="shared" si="6"/>
        <v>0</v>
      </c>
      <c r="AB33" s="2">
        <f t="shared" si="7"/>
        <v>0</v>
      </c>
      <c r="AC33" s="2">
        <f t="shared" si="8"/>
      </c>
    </row>
    <row r="34">
      <c r="A34" s="64" t="n"/>
      <c r="B34" s="65" t="n"/>
      <c r="C34" s="65" t="n"/>
      <c r="D34" s="65" t="n"/>
      <c r="E34" s="65" t="n"/>
      <c r="F34" s="66" t="n"/>
      <c r="G34" s="65" t="n"/>
      <c r="H34" s="66" t="n"/>
      <c r="I34" s="64" t="n"/>
      <c r="J34" s="68" t="n"/>
      <c r="K34" s="68" t="n"/>
      <c r="L34" s="68" t="n"/>
      <c r="M34" s="64" t="n"/>
      <c r="N34" s="64" t="n"/>
      <c r="O34" s="64" t="n"/>
      <c r="P34" s="64" t="n"/>
      <c r="Q34" s="64" t="n"/>
      <c r="R34" s="64" t="n"/>
      <c r="S34" s="66" t="n"/>
      <c r="T34" s="45" t="n"/>
      <c r="U34" s="43">
        <f t="shared" si="0"/>
      </c>
      <c r="V34" s="49">
        <f t="shared" si="1"/>
      </c>
      <c r="W34" s="49">
        <f t="shared" si="2"/>
      </c>
      <c r="X34" s="2">
        <f t="shared" si="3"/>
      </c>
      <c r="Y34" s="2">
        <f t="shared" si="4"/>
      </c>
      <c r="Z34" s="2">
        <f t="shared" si="5"/>
        <v>0</v>
      </c>
      <c r="AA34" s="2">
        <f t="shared" si="6"/>
        <v>0</v>
      </c>
      <c r="AB34" s="2">
        <f t="shared" si="7"/>
        <v>0</v>
      </c>
      <c r="AC34" s="2">
        <f t="shared" si="8"/>
      </c>
    </row>
    <row r="35">
      <c r="A35" s="64" t="n"/>
      <c r="B35" s="65" t="n"/>
      <c r="C35" s="65" t="n"/>
      <c r="D35" s="65" t="n"/>
      <c r="E35" s="65" t="n"/>
      <c r="F35" s="66" t="n"/>
      <c r="G35" s="65" t="n"/>
      <c r="H35" s="66" t="n"/>
      <c r="I35" s="64" t="n"/>
      <c r="J35" s="68" t="n"/>
      <c r="K35" s="68" t="n"/>
      <c r="L35" s="68" t="n"/>
      <c r="M35" s="64" t="n"/>
      <c r="N35" s="64" t="n"/>
      <c r="O35" s="64" t="n"/>
      <c r="P35" s="64" t="n"/>
      <c r="Q35" s="64" t="n"/>
      <c r="R35" s="64" t="n"/>
      <c r="S35" s="66" t="n"/>
      <c r="T35" s="45" t="n"/>
      <c r="U35" s="43">
        <f t="shared" si="0"/>
      </c>
      <c r="V35" s="49">
        <f t="shared" si="1"/>
      </c>
      <c r="W35" s="49">
        <f t="shared" si="2"/>
      </c>
      <c r="X35" s="2">
        <f t="shared" si="3"/>
      </c>
      <c r="Y35" s="2">
        <f t="shared" si="4"/>
      </c>
      <c r="Z35" s="2">
        <f t="shared" si="5"/>
        <v>0</v>
      </c>
      <c r="AA35" s="2">
        <f t="shared" si="6"/>
        <v>0</v>
      </c>
      <c r="AB35" s="2">
        <f t="shared" si="7"/>
        <v>0</v>
      </c>
      <c r="AC35" s="2">
        <f t="shared" si="8"/>
      </c>
    </row>
    <row r="36">
      <c r="A36" s="64" t="n"/>
      <c r="B36" s="65" t="n"/>
      <c r="C36" s="65" t="n"/>
      <c r="D36" s="65" t="n"/>
      <c r="E36" s="65" t="n"/>
      <c r="F36" s="66" t="n"/>
      <c r="G36" s="65" t="n"/>
      <c r="H36" s="66" t="n"/>
      <c r="I36" s="64" t="n"/>
      <c r="J36" s="68" t="n"/>
      <c r="K36" s="68" t="n"/>
      <c r="L36" s="68" t="n"/>
      <c r="M36" s="64" t="n"/>
      <c r="N36" s="64" t="n"/>
      <c r="O36" s="64" t="n"/>
      <c r="P36" s="64" t="n"/>
      <c r="Q36" s="64" t="n"/>
      <c r="R36" s="64" t="n"/>
      <c r="S36" s="66" t="n"/>
      <c r="T36" s="45" t="n"/>
      <c r="U36" s="43">
        <f t="shared" si="0"/>
      </c>
      <c r="V36" s="49">
        <f t="shared" si="1"/>
      </c>
      <c r="W36" s="49">
        <f t="shared" si="2"/>
      </c>
      <c r="X36" s="2">
        <f t="shared" si="3"/>
      </c>
      <c r="Y36" s="2">
        <f t="shared" si="4"/>
      </c>
      <c r="Z36" s="2">
        <f t="shared" si="5"/>
        <v>0</v>
      </c>
      <c r="AA36" s="2">
        <f t="shared" si="6"/>
        <v>0</v>
      </c>
      <c r="AB36" s="2">
        <f t="shared" si="7"/>
        <v>0</v>
      </c>
      <c r="AC36" s="2">
        <f t="shared" si="8"/>
      </c>
    </row>
    <row r="37">
      <c r="A37" s="64" t="n"/>
      <c r="B37" s="65" t="n"/>
      <c r="C37" s="65" t="n"/>
      <c r="D37" s="65" t="n"/>
      <c r="E37" s="65" t="n"/>
      <c r="F37" s="66" t="n"/>
      <c r="G37" s="65" t="n"/>
      <c r="H37" s="66" t="n"/>
      <c r="I37" s="64" t="n"/>
      <c r="J37" s="68" t="n"/>
      <c r="K37" s="68" t="n"/>
      <c r="L37" s="68" t="n"/>
      <c r="M37" s="64" t="n"/>
      <c r="N37" s="64" t="n"/>
      <c r="O37" s="64" t="n"/>
      <c r="P37" s="64" t="n"/>
      <c r="Q37" s="64" t="n"/>
      <c r="R37" s="64" t="n"/>
      <c r="S37" s="66" t="n"/>
      <c r="T37" s="45" t="n"/>
      <c r="U37" s="43">
        <f t="shared" si="0"/>
      </c>
      <c r="V37" s="49">
        <f t="shared" si="1"/>
      </c>
      <c r="W37" s="49">
        <f t="shared" si="2"/>
      </c>
      <c r="X37" s="2">
        <f t="shared" si="3"/>
      </c>
      <c r="Y37" s="2">
        <f t="shared" si="4"/>
      </c>
      <c r="Z37" s="2">
        <f t="shared" si="5"/>
        <v>0</v>
      </c>
      <c r="AA37" s="2">
        <f t="shared" si="6"/>
        <v>0</v>
      </c>
      <c r="AB37" s="2">
        <f t="shared" si="7"/>
        <v>0</v>
      </c>
      <c r="AC37" s="2">
        <f t="shared" si="8"/>
      </c>
    </row>
    <row r="38">
      <c r="A38" s="64" t="n"/>
      <c r="B38" s="65" t="n"/>
      <c r="C38" s="65" t="n"/>
      <c r="D38" s="65" t="n"/>
      <c r="E38" s="65" t="n"/>
      <c r="F38" s="66" t="n"/>
      <c r="G38" s="65" t="n"/>
      <c r="H38" s="66" t="n"/>
      <c r="I38" s="64" t="n"/>
      <c r="J38" s="68" t="n"/>
      <c r="K38" s="68" t="n"/>
      <c r="L38" s="68" t="n"/>
      <c r="M38" s="64" t="n"/>
      <c r="N38" s="64" t="n"/>
      <c r="O38" s="64" t="n"/>
      <c r="P38" s="64" t="n"/>
      <c r="Q38" s="64" t="n"/>
      <c r="R38" s="64" t="n"/>
      <c r="S38" s="66" t="n"/>
      <c r="T38" s="45" t="n"/>
      <c r="U38" s="43">
        <f t="shared" si="0"/>
      </c>
      <c r="V38" s="49">
        <f t="shared" si="1"/>
      </c>
      <c r="W38" s="49">
        <f t="shared" si="2"/>
      </c>
      <c r="X38" s="2">
        <f t="shared" si="3"/>
      </c>
      <c r="Y38" s="2">
        <f t="shared" si="4"/>
      </c>
      <c r="Z38" s="2">
        <f t="shared" si="5"/>
        <v>0</v>
      </c>
      <c r="AA38" s="2">
        <f t="shared" si="6"/>
        <v>0</v>
      </c>
      <c r="AB38" s="2">
        <f t="shared" si="7"/>
        <v>0</v>
      </c>
      <c r="AC38" s="2">
        <f t="shared" si="8"/>
      </c>
    </row>
    <row r="39">
      <c r="A39" s="64" t="n"/>
      <c r="B39" s="65" t="n"/>
      <c r="C39" s="65" t="n"/>
      <c r="D39" s="65" t="n"/>
      <c r="E39" s="65" t="n"/>
      <c r="F39" s="66" t="n"/>
      <c r="G39" s="65" t="n"/>
      <c r="H39" s="66" t="n"/>
      <c r="I39" s="64" t="n"/>
      <c r="J39" s="68" t="n"/>
      <c r="K39" s="68" t="n"/>
      <c r="L39" s="68" t="n"/>
      <c r="M39" s="64" t="n"/>
      <c r="N39" s="64" t="n"/>
      <c r="O39" s="64" t="n"/>
      <c r="P39" s="64" t="n"/>
      <c r="Q39" s="64" t="n"/>
      <c r="R39" s="64" t="n"/>
      <c r="S39" s="66" t="n"/>
      <c r="T39" s="45" t="n"/>
      <c r="U39" s="43">
        <f t="shared" si="0"/>
      </c>
      <c r="V39" s="49">
        <f t="shared" si="1"/>
      </c>
      <c r="W39" s="49">
        <f t="shared" si="2"/>
      </c>
      <c r="X39" s="2">
        <f t="shared" si="3"/>
      </c>
      <c r="Y39" s="2">
        <f t="shared" si="4"/>
      </c>
      <c r="Z39" s="2">
        <f t="shared" si="5"/>
        <v>0</v>
      </c>
      <c r="AA39" s="2">
        <f t="shared" si="6"/>
        <v>0</v>
      </c>
      <c r="AB39" s="2">
        <f t="shared" si="7"/>
        <v>0</v>
      </c>
      <c r="AC39" s="2">
        <f t="shared" si="8"/>
      </c>
    </row>
    <row r="40">
      <c r="A40" s="64" t="n"/>
      <c r="B40" s="65" t="n"/>
      <c r="C40" s="65" t="n"/>
      <c r="D40" s="65" t="n"/>
      <c r="E40" s="65" t="n"/>
      <c r="F40" s="66" t="n"/>
      <c r="G40" s="65" t="n"/>
      <c r="H40" s="66" t="n"/>
      <c r="I40" s="64" t="n"/>
      <c r="J40" s="68" t="n"/>
      <c r="K40" s="68" t="n"/>
      <c r="L40" s="68" t="n"/>
      <c r="M40" s="64" t="n"/>
      <c r="N40" s="64" t="n"/>
      <c r="O40" s="64" t="n"/>
      <c r="P40" s="64" t="n"/>
      <c r="Q40" s="64" t="n"/>
      <c r="R40" s="64" t="n"/>
      <c r="S40" s="66" t="n"/>
      <c r="T40" s="45" t="n"/>
      <c r="U40" s="43">
        <f t="shared" si="0"/>
      </c>
      <c r="V40" s="49">
        <f t="shared" si="1"/>
      </c>
      <c r="W40" s="49">
        <f t="shared" si="2"/>
      </c>
      <c r="X40" s="2">
        <f t="shared" si="3"/>
      </c>
      <c r="Y40" s="2">
        <f t="shared" si="4"/>
      </c>
      <c r="Z40" s="2">
        <f t="shared" si="5"/>
        <v>0</v>
      </c>
      <c r="AA40" s="2">
        <f t="shared" si="6"/>
        <v>0</v>
      </c>
      <c r="AB40" s="2">
        <f t="shared" si="7"/>
        <v>0</v>
      </c>
      <c r="AC40" s="2">
        <f t="shared" si="8"/>
      </c>
    </row>
    <row r="41">
      <c r="A41" s="64" t="n"/>
      <c r="B41" s="65" t="n"/>
      <c r="C41" s="65" t="n"/>
      <c r="D41" s="65" t="n"/>
      <c r="E41" s="65" t="n"/>
      <c r="F41" s="66" t="n"/>
      <c r="G41" s="65" t="n"/>
      <c r="H41" s="66" t="n"/>
      <c r="I41" s="64" t="n"/>
      <c r="J41" s="68" t="n"/>
      <c r="K41" s="68" t="n"/>
      <c r="L41" s="68" t="n"/>
      <c r="M41" s="64" t="n"/>
      <c r="N41" s="64" t="n"/>
      <c r="O41" s="64" t="n"/>
      <c r="P41" s="64" t="n"/>
      <c r="Q41" s="64" t="n"/>
      <c r="R41" s="64" t="n"/>
      <c r="S41" s="66" t="n"/>
      <c r="T41" s="45" t="n"/>
      <c r="U41" s="43">
        <f t="shared" si="0"/>
      </c>
      <c r="V41" s="49">
        <f t="shared" si="1"/>
      </c>
      <c r="W41" s="49">
        <f t="shared" si="2"/>
      </c>
      <c r="X41" s="2">
        <f t="shared" si="3"/>
      </c>
      <c r="Y41" s="2">
        <f t="shared" si="4"/>
      </c>
      <c r="Z41" s="2">
        <f t="shared" si="5"/>
        <v>0</v>
      </c>
      <c r="AA41" s="2">
        <f t="shared" si="6"/>
        <v>0</v>
      </c>
      <c r="AB41" s="2">
        <f t="shared" si="7"/>
        <v>0</v>
      </c>
      <c r="AC41" s="2">
        <f t="shared" si="8"/>
      </c>
    </row>
    <row r="42">
      <c r="A42" s="64" t="n"/>
      <c r="B42" s="65" t="n"/>
      <c r="C42" s="65" t="n"/>
      <c r="D42" s="65" t="n"/>
      <c r="E42" s="65" t="n"/>
      <c r="F42" s="66" t="n"/>
      <c r="G42" s="65" t="n"/>
      <c r="H42" s="66" t="n"/>
      <c r="I42" s="64" t="n"/>
      <c r="J42" s="68" t="n"/>
      <c r="K42" s="68" t="n"/>
      <c r="L42" s="68" t="n"/>
      <c r="M42" s="64" t="n"/>
      <c r="N42" s="64" t="n"/>
      <c r="O42" s="64" t="n"/>
      <c r="P42" s="64" t="n"/>
      <c r="Q42" s="64" t="n"/>
      <c r="R42" s="64" t="n"/>
      <c r="S42" s="66" t="n"/>
      <c r="T42" s="45" t="n"/>
      <c r="U42" s="43">
        <f t="shared" si="0"/>
      </c>
      <c r="V42" s="49">
        <f t="shared" si="1"/>
      </c>
      <c r="W42" s="49">
        <f t="shared" si="2"/>
      </c>
      <c r="X42" s="2">
        <f t="shared" si="3"/>
      </c>
      <c r="Y42" s="2">
        <f t="shared" si="4"/>
      </c>
      <c r="Z42" s="2">
        <f t="shared" si="5"/>
        <v>0</v>
      </c>
      <c r="AA42" s="2">
        <f t="shared" si="6"/>
        <v>0</v>
      </c>
      <c r="AB42" s="2">
        <f t="shared" si="7"/>
        <v>0</v>
      </c>
      <c r="AC42" s="2">
        <f t="shared" si="8"/>
      </c>
    </row>
    <row r="43">
      <c r="A43" s="64" t="n"/>
      <c r="B43" s="65" t="n"/>
      <c r="C43" s="65" t="n"/>
      <c r="D43" s="65" t="n"/>
      <c r="E43" s="65" t="n"/>
      <c r="F43" s="66" t="n"/>
      <c r="G43" s="65" t="n"/>
      <c r="H43" s="66" t="n"/>
      <c r="I43" s="64" t="n"/>
      <c r="J43" s="68" t="n"/>
      <c r="K43" s="68" t="n"/>
      <c r="L43" s="68" t="n"/>
      <c r="M43" s="64" t="n"/>
      <c r="N43" s="64" t="n"/>
      <c r="O43" s="64" t="n"/>
      <c r="P43" s="64" t="n"/>
      <c r="Q43" s="64" t="n"/>
      <c r="R43" s="64" t="n"/>
      <c r="S43" s="66" t="n"/>
      <c r="T43" s="45" t="n"/>
      <c r="U43" s="43">
        <f t="shared" si="0"/>
      </c>
      <c r="V43" s="49">
        <f t="shared" si="1"/>
      </c>
      <c r="W43" s="49">
        <f t="shared" si="2"/>
      </c>
      <c r="X43" s="2">
        <f t="shared" si="3"/>
      </c>
      <c r="Y43" s="2">
        <f t="shared" si="4"/>
      </c>
      <c r="Z43" s="2">
        <f t="shared" si="5"/>
        <v>0</v>
      </c>
      <c r="AA43" s="2">
        <f t="shared" si="6"/>
        <v>0</v>
      </c>
      <c r="AB43" s="2">
        <f t="shared" si="7"/>
        <v>0</v>
      </c>
      <c r="AC43" s="2">
        <f t="shared" si="8"/>
      </c>
    </row>
    <row r="44">
      <c r="A44" s="64" t="n"/>
      <c r="B44" s="65" t="n"/>
      <c r="C44" s="65" t="n"/>
      <c r="D44" s="65" t="n"/>
      <c r="E44" s="65" t="n"/>
      <c r="F44" s="66" t="n"/>
      <c r="G44" s="65" t="n"/>
      <c r="H44" s="66" t="n"/>
      <c r="I44" s="64" t="n"/>
      <c r="J44" s="68" t="n"/>
      <c r="K44" s="68" t="n"/>
      <c r="L44" s="68" t="n"/>
      <c r="M44" s="64" t="n"/>
      <c r="N44" s="64" t="n"/>
      <c r="O44" s="64" t="n"/>
      <c r="P44" s="64" t="n"/>
      <c r="Q44" s="64" t="n"/>
      <c r="R44" s="64" t="n"/>
      <c r="S44" s="66" t="n"/>
      <c r="T44" s="45" t="n"/>
      <c r="U44" s="43">
        <f t="shared" si="0"/>
      </c>
      <c r="V44" s="49">
        <f t="shared" si="1"/>
      </c>
      <c r="W44" s="49">
        <f t="shared" si="2"/>
      </c>
      <c r="X44" s="2">
        <f t="shared" si="3"/>
      </c>
      <c r="Y44" s="2">
        <f t="shared" si="4"/>
      </c>
      <c r="Z44" s="2">
        <f t="shared" si="5"/>
        <v>0</v>
      </c>
      <c r="AA44" s="2">
        <f t="shared" si="6"/>
        <v>0</v>
      </c>
      <c r="AB44" s="2">
        <f t="shared" si="7"/>
        <v>0</v>
      </c>
      <c r="AC44" s="2">
        <f t="shared" si="8"/>
      </c>
    </row>
    <row r="45">
      <c r="A45" s="64" t="n"/>
      <c r="B45" s="65" t="n"/>
      <c r="C45" s="65" t="n"/>
      <c r="D45" s="65" t="n"/>
      <c r="E45" s="65" t="n"/>
      <c r="F45" s="66" t="n"/>
      <c r="G45" s="65" t="n"/>
      <c r="H45" s="66" t="n"/>
      <c r="I45" s="64" t="n"/>
      <c r="J45" s="68" t="n"/>
      <c r="K45" s="68" t="n"/>
      <c r="L45" s="68" t="n"/>
      <c r="M45" s="64" t="n"/>
      <c r="N45" s="64" t="n"/>
      <c r="O45" s="64" t="n"/>
      <c r="P45" s="64" t="n"/>
      <c r="Q45" s="64" t="n"/>
      <c r="R45" s="64" t="n"/>
      <c r="S45" s="66" t="n"/>
      <c r="T45" s="45" t="n"/>
      <c r="U45" s="43">
        <f t="shared" si="0"/>
      </c>
      <c r="V45" s="49">
        <f t="shared" si="1"/>
      </c>
      <c r="W45" s="49">
        <f t="shared" si="2"/>
      </c>
      <c r="X45" s="2">
        <f t="shared" si="3"/>
      </c>
      <c r="Y45" s="2">
        <f t="shared" si="4"/>
      </c>
      <c r="Z45" s="2">
        <f t="shared" si="5"/>
        <v>0</v>
      </c>
      <c r="AA45" s="2">
        <f t="shared" si="6"/>
        <v>0</v>
      </c>
      <c r="AB45" s="2">
        <f t="shared" si="7"/>
        <v>0</v>
      </c>
      <c r="AC45" s="2">
        <f t="shared" si="8"/>
      </c>
    </row>
    <row r="46">
      <c r="A46" s="64" t="n"/>
      <c r="B46" s="65" t="n"/>
      <c r="C46" s="65" t="n"/>
      <c r="D46" s="65" t="n"/>
      <c r="E46" s="65" t="n"/>
      <c r="F46" s="66" t="n"/>
      <c r="G46" s="65" t="n"/>
      <c r="H46" s="66" t="n"/>
      <c r="I46" s="64" t="n"/>
      <c r="J46" s="68" t="n"/>
      <c r="K46" s="68" t="n"/>
      <c r="L46" s="68" t="n"/>
      <c r="M46" s="64" t="n"/>
      <c r="N46" s="64" t="n"/>
      <c r="O46" s="64" t="n"/>
      <c r="P46" s="64" t="n"/>
      <c r="Q46" s="64" t="n"/>
      <c r="R46" s="64" t="n"/>
      <c r="S46" s="66" t="n"/>
      <c r="T46" s="45" t="n"/>
      <c r="U46" s="43">
        <f t="shared" si="0"/>
      </c>
      <c r="V46" s="49">
        <f t="shared" si="1"/>
      </c>
      <c r="W46" s="49">
        <f t="shared" si="2"/>
      </c>
      <c r="X46" s="2">
        <f t="shared" si="3"/>
      </c>
      <c r="Y46" s="2">
        <f t="shared" si="4"/>
      </c>
      <c r="Z46" s="2">
        <f t="shared" si="5"/>
        <v>0</v>
      </c>
      <c r="AA46" s="2">
        <f t="shared" si="6"/>
        <v>0</v>
      </c>
      <c r="AB46" s="2">
        <f t="shared" si="7"/>
        <v>0</v>
      </c>
      <c r="AC46" s="2">
        <f t="shared" si="8"/>
      </c>
    </row>
    <row r="47">
      <c r="A47" s="64" t="n"/>
      <c r="B47" s="65" t="n"/>
      <c r="C47" s="65" t="n"/>
      <c r="D47" s="65" t="n"/>
      <c r="E47" s="65" t="n"/>
      <c r="F47" s="66" t="n"/>
      <c r="G47" s="65" t="n"/>
      <c r="H47" s="66" t="n"/>
      <c r="I47" s="64" t="n"/>
      <c r="J47" s="68" t="n"/>
      <c r="K47" s="68" t="n"/>
      <c r="L47" s="68" t="n"/>
      <c r="M47" s="64" t="n"/>
      <c r="N47" s="64" t="n"/>
      <c r="O47" s="64" t="n"/>
      <c r="P47" s="64" t="n"/>
      <c r="Q47" s="64" t="n"/>
      <c r="R47" s="64" t="n"/>
      <c r="S47" s="66" t="n"/>
      <c r="T47" s="45" t="n"/>
      <c r="U47" s="43">
        <f t="shared" si="0"/>
      </c>
      <c r="V47" s="49">
        <f t="shared" si="1"/>
      </c>
      <c r="W47" s="49">
        <f t="shared" si="2"/>
      </c>
      <c r="X47" s="2">
        <f t="shared" si="3"/>
      </c>
      <c r="Y47" s="2">
        <f t="shared" si="4"/>
      </c>
      <c r="Z47" s="2">
        <f t="shared" si="5"/>
        <v>0</v>
      </c>
      <c r="AA47" s="2">
        <f t="shared" si="6"/>
        <v>0</v>
      </c>
      <c r="AB47" s="2">
        <f t="shared" si="7"/>
        <v>0</v>
      </c>
      <c r="AC47" s="2">
        <f t="shared" si="8"/>
      </c>
    </row>
    <row r="48">
      <c r="A48" s="64" t="n"/>
      <c r="B48" s="65" t="n"/>
      <c r="C48" s="65" t="n"/>
      <c r="D48" s="65" t="n"/>
      <c r="E48" s="65" t="n"/>
      <c r="F48" s="66" t="n"/>
      <c r="G48" s="65" t="n"/>
      <c r="H48" s="66" t="n"/>
      <c r="I48" s="64" t="n"/>
      <c r="J48" s="68" t="n"/>
      <c r="K48" s="68" t="n"/>
      <c r="L48" s="68" t="n"/>
      <c r="M48" s="64" t="n"/>
      <c r="N48" s="64" t="n"/>
      <c r="O48" s="64" t="n"/>
      <c r="P48" s="64" t="n"/>
      <c r="Q48" s="64" t="n"/>
      <c r="R48" s="64" t="n"/>
      <c r="S48" s="66" t="n"/>
      <c r="T48" s="45" t="n"/>
      <c r="U48" s="43">
        <f t="shared" si="0"/>
      </c>
      <c r="V48" s="49">
        <f t="shared" si="1"/>
      </c>
      <c r="W48" s="49">
        <f t="shared" si="2"/>
      </c>
      <c r="X48" s="2">
        <f t="shared" si="3"/>
      </c>
      <c r="Y48" s="2">
        <f t="shared" si="4"/>
      </c>
      <c r="Z48" s="2">
        <f t="shared" si="5"/>
        <v>0</v>
      </c>
      <c r="AA48" s="2">
        <f t="shared" si="6"/>
        <v>0</v>
      </c>
      <c r="AB48" s="2">
        <f t="shared" si="7"/>
        <v>0</v>
      </c>
      <c r="AC48" s="2">
        <f t="shared" si="8"/>
      </c>
    </row>
    <row r="49">
      <c r="A49" s="64" t="n"/>
      <c r="B49" s="65" t="n"/>
      <c r="C49" s="65" t="n"/>
      <c r="D49" s="65" t="n"/>
      <c r="E49" s="65" t="n"/>
      <c r="F49" s="66" t="n"/>
      <c r="G49" s="65" t="n"/>
      <c r="H49" s="66" t="n"/>
      <c r="I49" s="64" t="n"/>
      <c r="J49" s="68" t="n"/>
      <c r="K49" s="68" t="n"/>
      <c r="L49" s="68" t="n"/>
      <c r="M49" s="64" t="n"/>
      <c r="N49" s="64" t="n"/>
      <c r="O49" s="64" t="n"/>
      <c r="P49" s="64" t="n"/>
      <c r="Q49" s="64" t="n"/>
      <c r="R49" s="64" t="n"/>
      <c r="S49" s="66" t="n"/>
      <c r="T49" s="45" t="n"/>
      <c r="U49" s="43">
        <f t="shared" si="0"/>
      </c>
      <c r="V49" s="49">
        <f t="shared" si="1"/>
      </c>
      <c r="W49" s="49">
        <f t="shared" si="2"/>
      </c>
      <c r="X49" s="2">
        <f t="shared" si="3"/>
      </c>
      <c r="Y49" s="2">
        <f t="shared" si="4"/>
      </c>
      <c r="Z49" s="2">
        <f t="shared" si="5"/>
        <v>0</v>
      </c>
      <c r="AA49" s="2">
        <f t="shared" si="6"/>
        <v>0</v>
      </c>
      <c r="AB49" s="2">
        <f t="shared" si="7"/>
        <v>0</v>
      </c>
      <c r="AC49" s="2">
        <f t="shared" si="8"/>
      </c>
    </row>
    <row r="50">
      <c r="A50" s="64" t="n"/>
      <c r="B50" s="65" t="n"/>
      <c r="C50" s="65" t="n"/>
      <c r="D50" s="65" t="n"/>
      <c r="E50" s="65" t="n"/>
      <c r="F50" s="66" t="n"/>
      <c r="G50" s="65" t="n"/>
      <c r="H50" s="66" t="n"/>
      <c r="I50" s="64" t="n"/>
      <c r="J50" s="68" t="n"/>
      <c r="K50" s="68" t="n"/>
      <c r="L50" s="68" t="n"/>
      <c r="M50" s="64" t="n"/>
      <c r="N50" s="64" t="n"/>
      <c r="O50" s="64" t="n"/>
      <c r="P50" s="64" t="n"/>
      <c r="Q50" s="64" t="n"/>
      <c r="R50" s="64" t="n"/>
      <c r="S50" s="66" t="n"/>
      <c r="T50" s="45" t="n"/>
      <c r="U50" s="43">
        <f t="shared" si="0"/>
      </c>
      <c r="V50" s="49">
        <f t="shared" si="1"/>
      </c>
      <c r="W50" s="49">
        <f t="shared" si="2"/>
      </c>
      <c r="X50" s="2">
        <f t="shared" si="3"/>
      </c>
      <c r="Y50" s="2">
        <f t="shared" si="4"/>
      </c>
      <c r="Z50" s="2">
        <f t="shared" si="5"/>
        <v>0</v>
      </c>
      <c r="AA50" s="2">
        <f t="shared" si="6"/>
        <v>0</v>
      </c>
      <c r="AB50" s="2">
        <f t="shared" si="7"/>
        <v>0</v>
      </c>
      <c r="AC50" s="2">
        <f t="shared" si="8"/>
      </c>
    </row>
    <row r="51">
      <c r="A51" s="64" t="n"/>
      <c r="B51" s="65" t="n"/>
      <c r="C51" s="65" t="n"/>
      <c r="D51" s="65" t="n"/>
      <c r="E51" s="65" t="n"/>
      <c r="F51" s="66" t="n"/>
      <c r="G51" s="65" t="n"/>
      <c r="H51" s="66" t="n"/>
      <c r="I51" s="64" t="n"/>
      <c r="J51" s="68" t="n"/>
      <c r="K51" s="68" t="n"/>
      <c r="L51" s="68" t="n"/>
      <c r="M51" s="64" t="n"/>
      <c r="N51" s="64" t="n"/>
      <c r="O51" s="64" t="n"/>
      <c r="P51" s="64" t="n"/>
      <c r="Q51" s="64" t="n"/>
      <c r="R51" s="64" t="n"/>
      <c r="S51" s="66" t="n"/>
      <c r="T51" s="45" t="n"/>
      <c r="U51" s="43">
        <f t="shared" si="0"/>
      </c>
      <c r="V51" s="49">
        <f t="shared" si="1"/>
      </c>
      <c r="W51" s="49">
        <f t="shared" si="2"/>
      </c>
      <c r="X51" s="2">
        <f t="shared" si="3"/>
      </c>
      <c r="Y51" s="2">
        <f t="shared" si="4"/>
      </c>
      <c r="Z51" s="2">
        <f t="shared" si="5"/>
        <v>0</v>
      </c>
      <c r="AA51" s="2">
        <f t="shared" si="6"/>
        <v>0</v>
      </c>
      <c r="AB51" s="2">
        <f t="shared" si="7"/>
        <v>0</v>
      </c>
      <c r="AC51" s="2">
        <f t="shared" si="8"/>
      </c>
    </row>
    <row r="52">
      <c r="A52" s="64" t="n"/>
      <c r="B52" s="65" t="n"/>
      <c r="C52" s="65" t="n"/>
      <c r="D52" s="65" t="n"/>
      <c r="E52" s="65" t="n"/>
      <c r="F52" s="66" t="n"/>
      <c r="G52" s="65" t="n"/>
      <c r="H52" s="66" t="n"/>
      <c r="I52" s="64" t="n"/>
      <c r="J52" s="68" t="n"/>
      <c r="K52" s="68" t="n"/>
      <c r="L52" s="68" t="n"/>
      <c r="M52" s="64" t="n"/>
      <c r="N52" s="64" t="n"/>
      <c r="O52" s="64" t="n"/>
      <c r="P52" s="64" t="n"/>
      <c r="Q52" s="64" t="n"/>
      <c r="R52" s="64" t="n"/>
      <c r="S52" s="66" t="n"/>
      <c r="T52" s="45" t="n"/>
      <c r="U52" s="43">
        <f t="shared" si="0"/>
      </c>
      <c r="V52" s="49">
        <f t="shared" si="1"/>
      </c>
      <c r="W52" s="49">
        <f t="shared" si="2"/>
      </c>
      <c r="X52" s="2">
        <f t="shared" si="3"/>
      </c>
      <c r="Y52" s="2">
        <f t="shared" si="4"/>
      </c>
      <c r="Z52" s="2">
        <f t="shared" si="5"/>
        <v>0</v>
      </c>
      <c r="AA52" s="2">
        <f t="shared" si="6"/>
        <v>0</v>
      </c>
      <c r="AB52" s="2">
        <f t="shared" si="7"/>
        <v>0</v>
      </c>
      <c r="AC52" s="2">
        <f t="shared" si="8"/>
      </c>
    </row>
    <row r="53">
      <c r="A53" s="64" t="n"/>
      <c r="B53" s="65" t="n"/>
      <c r="C53" s="65" t="n"/>
      <c r="D53" s="65" t="n"/>
      <c r="E53" s="65" t="n"/>
      <c r="F53" s="66" t="n"/>
      <c r="G53" s="65" t="n"/>
      <c r="H53" s="66" t="n"/>
      <c r="I53" s="64" t="n"/>
      <c r="J53" s="68" t="n"/>
      <c r="K53" s="68" t="n"/>
      <c r="L53" s="68" t="n"/>
      <c r="M53" s="64" t="n"/>
      <c r="N53" s="64" t="n"/>
      <c r="O53" s="64" t="n"/>
      <c r="P53" s="64" t="n"/>
      <c r="Q53" s="64" t="n"/>
      <c r="R53" s="64" t="n"/>
      <c r="S53" s="66" t="n"/>
      <c r="T53" s="45" t="n"/>
      <c r="U53" s="43">
        <f t="shared" si="0"/>
      </c>
      <c r="V53" s="49">
        <f t="shared" si="1"/>
      </c>
      <c r="W53" s="49">
        <f t="shared" si="2"/>
      </c>
      <c r="X53" s="2">
        <f t="shared" si="3"/>
      </c>
      <c r="Y53" s="2">
        <f t="shared" si="4"/>
      </c>
      <c r="Z53" s="2">
        <f t="shared" si="5"/>
        <v>0</v>
      </c>
      <c r="AA53" s="2">
        <f t="shared" si="6"/>
        <v>0</v>
      </c>
      <c r="AB53" s="2">
        <f t="shared" si="7"/>
        <v>0</v>
      </c>
      <c r="AC53" s="2">
        <f t="shared" si="8"/>
      </c>
    </row>
    <row r="54">
      <c r="A54" s="64" t="n"/>
      <c r="B54" s="65" t="n"/>
      <c r="C54" s="65" t="n"/>
      <c r="D54" s="65" t="n"/>
      <c r="E54" s="65" t="n"/>
      <c r="F54" s="66" t="n"/>
      <c r="G54" s="65" t="n"/>
      <c r="H54" s="66" t="n"/>
      <c r="I54" s="64" t="n"/>
      <c r="J54" s="68" t="n"/>
      <c r="K54" s="68" t="n"/>
      <c r="L54" s="68" t="n"/>
      <c r="M54" s="64" t="n"/>
      <c r="N54" s="64" t="n"/>
      <c r="O54" s="64" t="n"/>
      <c r="P54" s="64" t="n"/>
      <c r="Q54" s="64" t="n"/>
      <c r="R54" s="64" t="n"/>
      <c r="S54" s="66" t="n"/>
      <c r="T54" s="45" t="n"/>
      <c r="U54" s="43">
        <f t="shared" si="0"/>
      </c>
      <c r="V54" s="49">
        <f t="shared" si="1"/>
      </c>
      <c r="W54" s="49">
        <f t="shared" si="2"/>
      </c>
      <c r="X54" s="2">
        <f t="shared" si="3"/>
      </c>
      <c r="Y54" s="2">
        <f t="shared" si="4"/>
      </c>
      <c r="Z54" s="2">
        <f t="shared" si="5"/>
        <v>0</v>
      </c>
      <c r="AA54" s="2">
        <f t="shared" si="6"/>
        <v>0</v>
      </c>
      <c r="AB54" s="2">
        <f t="shared" si="7"/>
        <v>0</v>
      </c>
      <c r="AC54" s="2">
        <f t="shared" si="8"/>
      </c>
    </row>
    <row r="55">
      <c r="A55" s="64" t="n"/>
      <c r="B55" s="65" t="n"/>
      <c r="C55" s="65" t="n"/>
      <c r="D55" s="65" t="n"/>
      <c r="E55" s="65" t="n"/>
      <c r="F55" s="66" t="n"/>
      <c r="G55" s="65" t="n"/>
      <c r="H55" s="66" t="n"/>
      <c r="I55" s="64" t="n"/>
      <c r="J55" s="68" t="n"/>
      <c r="K55" s="68" t="n"/>
      <c r="L55" s="68" t="n"/>
      <c r="M55" s="64" t="n"/>
      <c r="N55" s="64" t="n"/>
      <c r="O55" s="64" t="n"/>
      <c r="P55" s="64" t="n"/>
      <c r="Q55" s="64" t="n"/>
      <c r="R55" s="64" t="n"/>
      <c r="S55" s="66" t="n"/>
      <c r="T55" s="45" t="n"/>
      <c r="U55" s="43">
        <f t="shared" si="0"/>
      </c>
      <c r="V55" s="49">
        <f t="shared" si="1"/>
      </c>
      <c r="W55" s="49">
        <f t="shared" si="2"/>
      </c>
      <c r="X55" s="2">
        <f t="shared" si="3"/>
      </c>
      <c r="Y55" s="2">
        <f t="shared" si="4"/>
      </c>
      <c r="Z55" s="2">
        <f t="shared" si="5"/>
        <v>0</v>
      </c>
      <c r="AA55" s="2">
        <f t="shared" si="6"/>
        <v>0</v>
      </c>
      <c r="AB55" s="2">
        <f t="shared" si="7"/>
        <v>0</v>
      </c>
      <c r="AC55" s="2">
        <f t="shared" si="8"/>
      </c>
    </row>
    <row r="56">
      <c r="A56" s="64" t="n"/>
      <c r="B56" s="65" t="n"/>
      <c r="C56" s="65" t="n"/>
      <c r="D56" s="65" t="n"/>
      <c r="E56" s="65" t="n"/>
      <c r="F56" s="66" t="n"/>
      <c r="G56" s="65" t="n"/>
      <c r="H56" s="66" t="n"/>
      <c r="I56" s="64" t="n"/>
      <c r="J56" s="68" t="n"/>
      <c r="K56" s="68" t="n"/>
      <c r="L56" s="68" t="n"/>
      <c r="M56" s="64" t="n"/>
      <c r="N56" s="64" t="n"/>
      <c r="O56" s="64" t="n"/>
      <c r="P56" s="64" t="n"/>
      <c r="Q56" s="64" t="n"/>
      <c r="R56" s="64" t="n"/>
      <c r="S56" s="66" t="n"/>
      <c r="T56" s="45" t="n"/>
      <c r="U56" s="43">
        <f t="shared" si="0"/>
      </c>
      <c r="V56" s="49">
        <f t="shared" si="1"/>
      </c>
      <c r="W56" s="49">
        <f t="shared" si="2"/>
      </c>
      <c r="X56" s="2">
        <f t="shared" si="3"/>
      </c>
      <c r="Y56" s="2">
        <f t="shared" si="4"/>
      </c>
      <c r="Z56" s="2">
        <f t="shared" si="5"/>
        <v>0</v>
      </c>
      <c r="AA56" s="2">
        <f t="shared" si="6"/>
        <v>0</v>
      </c>
      <c r="AB56" s="2">
        <f t="shared" si="7"/>
        <v>0</v>
      </c>
      <c r="AC56" s="2">
        <f t="shared" si="8"/>
      </c>
    </row>
    <row r="57">
      <c r="A57" s="64" t="n"/>
      <c r="B57" s="65" t="n"/>
      <c r="C57" s="65" t="n"/>
      <c r="D57" s="65" t="n"/>
      <c r="E57" s="65" t="n"/>
      <c r="F57" s="66" t="n"/>
      <c r="G57" s="65" t="n"/>
      <c r="H57" s="66" t="n"/>
      <c r="I57" s="64" t="n"/>
      <c r="J57" s="68" t="n"/>
      <c r="K57" s="68" t="n"/>
      <c r="L57" s="68" t="n"/>
      <c r="M57" s="64" t="n"/>
      <c r="N57" s="64" t="n"/>
      <c r="O57" s="64" t="n"/>
      <c r="P57" s="64" t="n"/>
      <c r="Q57" s="64" t="n"/>
      <c r="R57" s="64" t="n"/>
      <c r="S57" s="66" t="n"/>
      <c r="T57" s="45" t="n"/>
      <c r="U57" s="43">
        <f t="shared" si="0"/>
      </c>
      <c r="V57" s="49">
        <f t="shared" si="1"/>
      </c>
      <c r="W57" s="49">
        <f t="shared" si="2"/>
      </c>
      <c r="X57" s="2">
        <f t="shared" si="3"/>
      </c>
      <c r="Y57" s="2">
        <f t="shared" si="4"/>
      </c>
      <c r="Z57" s="2">
        <f t="shared" si="5"/>
        <v>0</v>
      </c>
      <c r="AA57" s="2">
        <f t="shared" si="6"/>
        <v>0</v>
      </c>
      <c r="AB57" s="2">
        <f t="shared" si="7"/>
        <v>0</v>
      </c>
      <c r="AC57" s="2">
        <f t="shared" si="8"/>
      </c>
    </row>
    <row r="58">
      <c r="A58" s="64" t="n"/>
      <c r="B58" s="65" t="n"/>
      <c r="C58" s="65" t="n"/>
      <c r="D58" s="65" t="n"/>
      <c r="E58" s="65" t="n"/>
      <c r="F58" s="66" t="n"/>
      <c r="G58" s="65" t="n"/>
      <c r="H58" s="66" t="n"/>
      <c r="I58" s="64" t="n"/>
      <c r="J58" s="68" t="n"/>
      <c r="K58" s="68" t="n"/>
      <c r="L58" s="68" t="n"/>
      <c r="M58" s="64" t="n"/>
      <c r="N58" s="64" t="n"/>
      <c r="O58" s="64" t="n"/>
      <c r="P58" s="64" t="n"/>
      <c r="Q58" s="64" t="n"/>
      <c r="R58" s="64" t="n"/>
      <c r="S58" s="66" t="n"/>
      <c r="T58" s="45" t="n"/>
      <c r="U58" s="43">
        <f t="shared" si="0"/>
      </c>
      <c r="V58" s="49">
        <f t="shared" si="1"/>
      </c>
      <c r="W58" s="49">
        <f t="shared" si="2"/>
      </c>
      <c r="X58" s="2">
        <f t="shared" si="3"/>
      </c>
      <c r="Y58" s="2">
        <f t="shared" si="4"/>
      </c>
      <c r="Z58" s="2">
        <f t="shared" si="5"/>
        <v>0</v>
      </c>
      <c r="AA58" s="2">
        <f t="shared" si="6"/>
        <v>0</v>
      </c>
      <c r="AB58" s="2">
        <f t="shared" si="7"/>
        <v>0</v>
      </c>
      <c r="AC58" s="2">
        <f t="shared" si="8"/>
      </c>
    </row>
    <row r="59">
      <c r="A59" s="64" t="n"/>
      <c r="B59" s="65" t="n"/>
      <c r="C59" s="65" t="n"/>
      <c r="D59" s="65" t="n"/>
      <c r="E59" s="65" t="n"/>
      <c r="F59" s="66" t="n"/>
      <c r="G59" s="65" t="n"/>
      <c r="H59" s="66" t="n"/>
      <c r="I59" s="64" t="n"/>
      <c r="J59" s="68" t="n"/>
      <c r="K59" s="68" t="n"/>
      <c r="L59" s="68" t="n"/>
      <c r="M59" s="64" t="n"/>
      <c r="N59" s="64" t="n"/>
      <c r="O59" s="64" t="n"/>
      <c r="P59" s="64" t="n"/>
      <c r="Q59" s="64" t="n"/>
      <c r="R59" s="64" t="n"/>
      <c r="S59" s="66" t="n"/>
      <c r="T59" s="45" t="n"/>
      <c r="U59" s="43">
        <f t="shared" si="0"/>
      </c>
      <c r="V59" s="49">
        <f t="shared" si="1"/>
      </c>
      <c r="W59" s="49">
        <f t="shared" si="2"/>
      </c>
      <c r="X59" s="2">
        <f t="shared" si="3"/>
      </c>
      <c r="Y59" s="2">
        <f t="shared" si="4"/>
      </c>
      <c r="Z59" s="2">
        <f t="shared" si="5"/>
        <v>0</v>
      </c>
      <c r="AA59" s="2">
        <f t="shared" si="6"/>
        <v>0</v>
      </c>
      <c r="AB59" s="2">
        <f t="shared" si="7"/>
        <v>0</v>
      </c>
      <c r="AC59" s="2">
        <f t="shared" si="8"/>
      </c>
    </row>
    <row r="60">
      <c r="A60" s="64" t="n"/>
      <c r="B60" s="65" t="n"/>
      <c r="C60" s="65" t="n"/>
      <c r="D60" s="65" t="n"/>
      <c r="E60" s="65" t="n"/>
      <c r="F60" s="66" t="n"/>
      <c r="G60" s="65" t="n"/>
      <c r="H60" s="66" t="n"/>
      <c r="I60" s="64" t="n"/>
      <c r="J60" s="68" t="n"/>
      <c r="K60" s="68" t="n"/>
      <c r="L60" s="68" t="n"/>
      <c r="M60" s="64" t="n"/>
      <c r="N60" s="64" t="n"/>
      <c r="O60" s="64" t="n"/>
      <c r="P60" s="64" t="n"/>
      <c r="Q60" s="64" t="n"/>
      <c r="R60" s="64" t="n"/>
      <c r="S60" s="66" t="n"/>
      <c r="T60" s="45" t="n"/>
      <c r="U60" s="43">
        <f t="shared" si="0"/>
      </c>
      <c r="V60" s="49">
        <f t="shared" si="1"/>
      </c>
      <c r="W60" s="49">
        <f t="shared" si="2"/>
      </c>
      <c r="X60" s="2">
        <f t="shared" si="3"/>
      </c>
      <c r="Y60" s="2">
        <f t="shared" si="4"/>
      </c>
      <c r="Z60" s="2">
        <f t="shared" si="5"/>
        <v>0</v>
      </c>
      <c r="AA60" s="2">
        <f t="shared" si="6"/>
        <v>0</v>
      </c>
      <c r="AB60" s="2">
        <f t="shared" si="7"/>
        <v>0</v>
      </c>
      <c r="AC60" s="2">
        <f t="shared" si="8"/>
      </c>
    </row>
    <row r="61">
      <c r="A61" s="64" t="n"/>
      <c r="B61" s="65" t="n"/>
      <c r="C61" s="65" t="n"/>
      <c r="D61" s="65" t="n"/>
      <c r="E61" s="65" t="n"/>
      <c r="F61" s="66" t="n"/>
      <c r="G61" s="65" t="n"/>
      <c r="H61" s="66" t="n"/>
      <c r="I61" s="64" t="n"/>
      <c r="J61" s="68" t="n"/>
      <c r="K61" s="68" t="n"/>
      <c r="L61" s="68" t="n"/>
      <c r="M61" s="64" t="n"/>
      <c r="N61" s="64" t="n"/>
      <c r="O61" s="64" t="n"/>
      <c r="P61" s="64" t="n"/>
      <c r="Q61" s="64" t="n"/>
      <c r="R61" s="64" t="n"/>
      <c r="S61" s="66" t="n"/>
      <c r="T61" s="45" t="n"/>
      <c r="U61" s="43">
        <f t="shared" si="0"/>
      </c>
      <c r="V61" s="49">
        <f t="shared" si="1"/>
      </c>
      <c r="W61" s="49">
        <f t="shared" si="2"/>
      </c>
      <c r="X61" s="2">
        <f t="shared" si="3"/>
      </c>
      <c r="Y61" s="2">
        <f t="shared" si="4"/>
      </c>
      <c r="Z61" s="2">
        <f t="shared" si="5"/>
        <v>0</v>
      </c>
      <c r="AA61" s="2">
        <f t="shared" si="6"/>
        <v>0</v>
      </c>
      <c r="AB61" s="2">
        <f t="shared" si="7"/>
        <v>0</v>
      </c>
      <c r="AC61" s="2">
        <f t="shared" si="8"/>
      </c>
    </row>
    <row r="62">
      <c r="A62" s="64" t="n"/>
      <c r="B62" s="65" t="n"/>
      <c r="C62" s="65" t="n"/>
      <c r="D62" s="65" t="n"/>
      <c r="E62" s="65" t="n"/>
      <c r="F62" s="66" t="n"/>
      <c r="G62" s="65" t="n"/>
      <c r="H62" s="66" t="n"/>
      <c r="I62" s="64" t="n"/>
      <c r="J62" s="68" t="n"/>
      <c r="K62" s="68" t="n"/>
      <c r="L62" s="68" t="n"/>
      <c r="M62" s="64" t="n"/>
      <c r="N62" s="64" t="n"/>
      <c r="O62" s="64" t="n"/>
      <c r="P62" s="64" t="n"/>
      <c r="Q62" s="64" t="n"/>
      <c r="R62" s="64" t="n"/>
      <c r="S62" s="66" t="n"/>
      <c r="T62" s="45" t="n"/>
      <c r="U62" s="43">
        <f t="shared" si="0"/>
      </c>
      <c r="V62" s="49">
        <f t="shared" si="1"/>
      </c>
      <c r="W62" s="49">
        <f t="shared" si="2"/>
      </c>
      <c r="X62" s="2">
        <f t="shared" si="3"/>
      </c>
      <c r="Y62" s="2">
        <f t="shared" si="4"/>
      </c>
      <c r="Z62" s="2">
        <f t="shared" si="5"/>
        <v>0</v>
      </c>
      <c r="AA62" s="2">
        <f t="shared" si="6"/>
        <v>0</v>
      </c>
      <c r="AB62" s="2">
        <f t="shared" si="7"/>
        <v>0</v>
      </c>
      <c r="AC62" s="2">
        <f t="shared" si="8"/>
      </c>
    </row>
    <row r="63">
      <c r="A63" s="64" t="n"/>
      <c r="B63" s="65" t="n"/>
      <c r="C63" s="65" t="n"/>
      <c r="D63" s="65" t="n"/>
      <c r="E63" s="65" t="n"/>
      <c r="F63" s="66" t="n"/>
      <c r="G63" s="65" t="n"/>
      <c r="H63" s="66" t="n"/>
      <c r="I63" s="64" t="n"/>
      <c r="J63" s="68" t="n"/>
      <c r="K63" s="68" t="n"/>
      <c r="L63" s="68" t="n"/>
      <c r="M63" s="64" t="n"/>
      <c r="N63" s="64" t="n"/>
      <c r="O63" s="64" t="n"/>
      <c r="P63" s="64" t="n"/>
      <c r="Q63" s="64" t="n"/>
      <c r="R63" s="64" t="n"/>
      <c r="S63" s="66" t="n"/>
      <c r="T63" s="45" t="n"/>
      <c r="U63" s="43">
        <f t="shared" si="0"/>
      </c>
      <c r="V63" s="49">
        <f t="shared" si="1"/>
      </c>
      <c r="W63" s="49">
        <f t="shared" si="2"/>
      </c>
      <c r="X63" s="2">
        <f t="shared" si="3"/>
      </c>
      <c r="Y63" s="2">
        <f t="shared" si="4"/>
      </c>
      <c r="Z63" s="2">
        <f t="shared" si="5"/>
        <v>0</v>
      </c>
      <c r="AA63" s="2">
        <f t="shared" si="6"/>
        <v>0</v>
      </c>
      <c r="AB63" s="2">
        <f t="shared" si="7"/>
        <v>0</v>
      </c>
      <c r="AC63" s="2">
        <f t="shared" si="8"/>
      </c>
    </row>
    <row r="64">
      <c r="A64" s="64" t="n"/>
      <c r="B64" s="65" t="n"/>
      <c r="C64" s="65" t="n"/>
      <c r="D64" s="65" t="n"/>
      <c r="E64" s="65" t="n"/>
      <c r="F64" s="66" t="n"/>
      <c r="G64" s="65" t="n"/>
      <c r="H64" s="66" t="n"/>
      <c r="I64" s="64" t="n"/>
      <c r="J64" s="68" t="n"/>
      <c r="K64" s="68" t="n"/>
      <c r="L64" s="68" t="n"/>
      <c r="M64" s="64" t="n"/>
      <c r="N64" s="64" t="n"/>
      <c r="O64" s="64" t="n"/>
      <c r="P64" s="64" t="n"/>
      <c r="Q64" s="64" t="n"/>
      <c r="R64" s="64" t="n"/>
      <c r="S64" s="66" t="n"/>
      <c r="T64" s="45" t="n"/>
      <c r="U64" s="43">
        <f t="shared" si="0"/>
      </c>
      <c r="V64" s="49">
        <f t="shared" si="1"/>
      </c>
      <c r="W64" s="49">
        <f t="shared" si="2"/>
      </c>
      <c r="X64" s="2">
        <f t="shared" si="3"/>
      </c>
      <c r="Y64" s="2">
        <f t="shared" si="4"/>
      </c>
      <c r="Z64" s="2">
        <f t="shared" si="5"/>
        <v>0</v>
      </c>
      <c r="AA64" s="2">
        <f t="shared" si="6"/>
        <v>0</v>
      </c>
      <c r="AB64" s="2">
        <f t="shared" si="7"/>
        <v>0</v>
      </c>
      <c r="AC64" s="2">
        <f t="shared" si="8"/>
      </c>
    </row>
    <row r="65">
      <c r="A65" s="64" t="n"/>
      <c r="B65" s="65" t="n"/>
      <c r="C65" s="65" t="n"/>
      <c r="D65" s="65" t="n"/>
      <c r="E65" s="65" t="n"/>
      <c r="F65" s="66" t="n"/>
      <c r="G65" s="65" t="n"/>
      <c r="H65" s="66" t="n"/>
      <c r="I65" s="64" t="n"/>
      <c r="J65" s="68" t="n"/>
      <c r="K65" s="68" t="n"/>
      <c r="L65" s="68" t="n"/>
      <c r="M65" s="64" t="n"/>
      <c r="N65" s="64" t="n"/>
      <c r="O65" s="64" t="n"/>
      <c r="P65" s="64" t="n"/>
      <c r="Q65" s="64" t="n"/>
      <c r="R65" s="64" t="n"/>
      <c r="S65" s="66" t="n"/>
      <c r="T65" s="45" t="n"/>
      <c r="U65" s="43">
        <f t="shared" si="0"/>
      </c>
      <c r="V65" s="49">
        <f t="shared" si="1"/>
      </c>
      <c r="W65" s="49">
        <f t="shared" si="2"/>
      </c>
      <c r="X65" s="2">
        <f t="shared" si="3"/>
      </c>
      <c r="Y65" s="2">
        <f t="shared" si="4"/>
      </c>
      <c r="Z65" s="2">
        <f t="shared" si="5"/>
        <v>0</v>
      </c>
      <c r="AA65" s="2">
        <f t="shared" si="6"/>
        <v>0</v>
      </c>
      <c r="AB65" s="2">
        <f t="shared" si="7"/>
        <v>0</v>
      </c>
      <c r="AC65" s="2">
        <f t="shared" si="8"/>
      </c>
    </row>
    <row r="66">
      <c r="A66" s="64" t="n"/>
      <c r="B66" s="65" t="n"/>
      <c r="C66" s="65" t="n"/>
      <c r="D66" s="65" t="n"/>
      <c r="E66" s="65" t="n"/>
      <c r="F66" s="66" t="n"/>
      <c r="G66" s="65" t="n"/>
      <c r="H66" s="66" t="n"/>
      <c r="I66" s="64" t="n"/>
      <c r="J66" s="68" t="n"/>
      <c r="K66" s="68" t="n"/>
      <c r="L66" s="68" t="n"/>
      <c r="M66" s="64" t="n"/>
      <c r="N66" s="64" t="n"/>
      <c r="O66" s="64" t="n"/>
      <c r="P66" s="64" t="n"/>
      <c r="Q66" s="64" t="n"/>
      <c r="R66" s="64" t="n"/>
      <c r="S66" s="66" t="n"/>
      <c r="T66" s="45" t="n"/>
      <c r="U66" s="43">
        <f t="shared" si="0"/>
      </c>
      <c r="V66" s="49">
        <f t="shared" si="1"/>
      </c>
      <c r="W66" s="49">
        <f t="shared" si="2"/>
      </c>
      <c r="X66" s="2">
        <f t="shared" si="3"/>
      </c>
      <c r="Y66" s="2">
        <f t="shared" si="4"/>
      </c>
      <c r="Z66" s="2">
        <f t="shared" si="5"/>
        <v>0</v>
      </c>
      <c r="AA66" s="2">
        <f t="shared" si="6"/>
        <v>0</v>
      </c>
      <c r="AB66" s="2">
        <f t="shared" si="7"/>
        <v>0</v>
      </c>
      <c r="AC66" s="2">
        <f t="shared" si="8"/>
      </c>
    </row>
    <row r="67">
      <c r="A67" s="64" t="n"/>
      <c r="B67" s="65" t="n"/>
      <c r="C67" s="65" t="n"/>
      <c r="D67" s="65" t="n"/>
      <c r="E67" s="65" t="n"/>
      <c r="F67" s="66" t="n"/>
      <c r="G67" s="65" t="n"/>
      <c r="H67" s="66" t="n"/>
      <c r="I67" s="64" t="n"/>
      <c r="J67" s="68" t="n"/>
      <c r="K67" s="68" t="n"/>
      <c r="L67" s="68" t="n"/>
      <c r="M67" s="64" t="n"/>
      <c r="N67" s="64" t="n"/>
      <c r="O67" s="64" t="n"/>
      <c r="P67" s="64" t="n"/>
      <c r="Q67" s="64" t="n"/>
      <c r="R67" s="64" t="n"/>
      <c r="S67" s="66" t="n"/>
      <c r="T67" s="45" t="n"/>
      <c r="U67" s="43">
        <f t="shared" si="0"/>
      </c>
      <c r="V67" s="49">
        <f t="shared" si="1"/>
      </c>
      <c r="W67" s="49">
        <f t="shared" si="2"/>
      </c>
      <c r="X67" s="2">
        <f t="shared" si="3"/>
      </c>
      <c r="Y67" s="2">
        <f t="shared" si="4"/>
      </c>
      <c r="Z67" s="2">
        <f t="shared" si="5"/>
        <v>0</v>
      </c>
      <c r="AA67" s="2">
        <f t="shared" si="6"/>
        <v>0</v>
      </c>
      <c r="AB67" s="2">
        <f t="shared" si="7"/>
        <v>0</v>
      </c>
      <c r="AC67" s="2">
        <f t="shared" si="8"/>
      </c>
    </row>
    <row r="68">
      <c r="A68" s="64" t="n"/>
      <c r="B68" s="65" t="n"/>
      <c r="C68" s="65" t="n"/>
      <c r="D68" s="65" t="n"/>
      <c r="E68" s="65" t="n"/>
      <c r="F68" s="66" t="n"/>
      <c r="G68" s="65" t="n"/>
      <c r="H68" s="66" t="n"/>
      <c r="I68" s="64" t="n"/>
      <c r="J68" s="68" t="n"/>
      <c r="K68" s="68" t="n"/>
      <c r="L68" s="68" t="n"/>
      <c r="M68" s="64" t="n"/>
      <c r="N68" s="64" t="n"/>
      <c r="O68" s="64" t="n"/>
      <c r="P68" s="64" t="n"/>
      <c r="Q68" s="64" t="n"/>
      <c r="R68" s="64" t="n"/>
      <c r="S68" s="66" t="n"/>
      <c r="T68" s="45" t="n"/>
      <c r="U68" s="43">
        <f t="shared" si="0"/>
      </c>
      <c r="V68" s="49">
        <f t="shared" si="1"/>
      </c>
      <c r="W68" s="49">
        <f t="shared" si="2"/>
      </c>
      <c r="X68" s="2">
        <f t="shared" si="3"/>
      </c>
      <c r="Y68" s="2">
        <f t="shared" si="4"/>
      </c>
      <c r="Z68" s="2">
        <f t="shared" si="5"/>
        <v>0</v>
      </c>
      <c r="AA68" s="2">
        <f t="shared" si="6"/>
        <v>0</v>
      </c>
      <c r="AB68" s="2">
        <f t="shared" si="7"/>
        <v>0</v>
      </c>
      <c r="AC68" s="2">
        <f t="shared" si="8"/>
      </c>
    </row>
    <row r="69">
      <c r="A69" s="64" t="n"/>
      <c r="B69" s="65" t="n"/>
      <c r="C69" s="65" t="n"/>
      <c r="D69" s="65" t="n"/>
      <c r="E69" s="65" t="n"/>
      <c r="F69" s="66" t="n"/>
      <c r="G69" s="65" t="n"/>
      <c r="H69" s="66" t="n"/>
      <c r="I69" s="64" t="n"/>
      <c r="J69" s="68" t="n"/>
      <c r="K69" s="68" t="n"/>
      <c r="L69" s="68" t="n"/>
      <c r="M69" s="64" t="n"/>
      <c r="N69" s="64" t="n"/>
      <c r="O69" s="64" t="n"/>
      <c r="P69" s="64" t="n"/>
      <c r="Q69" s="64" t="n"/>
      <c r="R69" s="64" t="n"/>
      <c r="S69" s="66" t="n"/>
      <c r="T69" s="45" t="n"/>
      <c r="U69" s="43">
        <f t="shared" si="0"/>
      </c>
      <c r="V69" s="49">
        <f t="shared" si="1"/>
      </c>
      <c r="W69" s="49">
        <f t="shared" si="2"/>
      </c>
      <c r="X69" s="2">
        <f t="shared" si="3"/>
      </c>
      <c r="Y69" s="2">
        <f t="shared" si="4"/>
      </c>
      <c r="Z69" s="2">
        <f t="shared" si="5"/>
        <v>0</v>
      </c>
      <c r="AA69" s="2">
        <f t="shared" si="6"/>
        <v>0</v>
      </c>
      <c r="AB69" s="2">
        <f t="shared" si="7"/>
        <v>0</v>
      </c>
      <c r="AC69" s="2">
        <f t="shared" si="8"/>
      </c>
    </row>
    <row r="70">
      <c r="A70" s="64" t="n"/>
      <c r="B70" s="65" t="n"/>
      <c r="C70" s="65" t="n"/>
      <c r="D70" s="65" t="n"/>
      <c r="E70" s="65" t="n"/>
      <c r="F70" s="66" t="n"/>
      <c r="G70" s="65" t="n"/>
      <c r="H70" s="66" t="n"/>
      <c r="I70" s="64" t="n"/>
      <c r="J70" s="68" t="n"/>
      <c r="K70" s="68" t="n"/>
      <c r="L70" s="68" t="n"/>
      <c r="M70" s="64" t="n"/>
      <c r="N70" s="64" t="n"/>
      <c r="O70" s="64" t="n"/>
      <c r="P70" s="64" t="n"/>
      <c r="Q70" s="64" t="n"/>
      <c r="R70" s="64" t="n"/>
      <c r="S70" s="66" t="n"/>
      <c r="T70" s="45" t="n"/>
      <c r="U70" s="43">
        <f t="shared" si="0"/>
      </c>
      <c r="V70" s="49">
        <f t="shared" si="1"/>
      </c>
      <c r="W70" s="49">
        <f t="shared" si="2"/>
      </c>
      <c r="X70" s="2">
        <f t="shared" si="3"/>
      </c>
      <c r="Y70" s="2">
        <f t="shared" si="4"/>
      </c>
      <c r="Z70" s="2">
        <f t="shared" si="5"/>
        <v>0</v>
      </c>
      <c r="AA70" s="2">
        <f t="shared" si="6"/>
        <v>0</v>
      </c>
      <c r="AB70" s="2">
        <f t="shared" si="7"/>
        <v>0</v>
      </c>
      <c r="AC70" s="2">
        <f t="shared" si="8"/>
      </c>
    </row>
    <row r="71">
      <c r="A71" s="64" t="n"/>
      <c r="B71" s="65" t="n"/>
      <c r="C71" s="65" t="n"/>
      <c r="D71" s="65" t="n"/>
      <c r="E71" s="65" t="n"/>
      <c r="F71" s="66" t="n"/>
      <c r="G71" s="65" t="n"/>
      <c r="H71" s="66" t="n"/>
      <c r="I71" s="64" t="n"/>
      <c r="J71" s="68" t="n"/>
      <c r="K71" s="68" t="n"/>
      <c r="L71" s="68" t="n"/>
      <c r="M71" s="64" t="n"/>
      <c r="N71" s="64" t="n"/>
      <c r="O71" s="64" t="n"/>
      <c r="P71" s="64" t="n"/>
      <c r="Q71" s="64" t="n"/>
      <c r="R71" s="64" t="n"/>
      <c r="S71" s="66" t="n"/>
      <c r="T71" s="45" t="n"/>
      <c r="U71" s="43">
        <f t="shared" si="0"/>
      </c>
      <c r="V71" s="49">
        <f t="shared" si="1"/>
      </c>
      <c r="W71" s="49">
        <f t="shared" si="2"/>
      </c>
      <c r="X71" s="2">
        <f t="shared" si="3"/>
      </c>
      <c r="Y71" s="2">
        <f t="shared" si="4"/>
      </c>
      <c r="Z71" s="2">
        <f t="shared" si="5"/>
        <v>0</v>
      </c>
      <c r="AA71" s="2">
        <f t="shared" si="6"/>
        <v>0</v>
      </c>
      <c r="AB71" s="2">
        <f t="shared" si="7"/>
        <v>0</v>
      </c>
      <c r="AC71" s="2">
        <f t="shared" si="8"/>
      </c>
    </row>
    <row r="72">
      <c r="A72" s="64" t="n"/>
      <c r="B72" s="65" t="n"/>
      <c r="C72" s="65" t="n"/>
      <c r="D72" s="65" t="n"/>
      <c r="E72" s="65" t="n"/>
      <c r="F72" s="66" t="n"/>
      <c r="G72" s="65" t="n"/>
      <c r="H72" s="66" t="n"/>
      <c r="I72" s="64" t="n"/>
      <c r="J72" s="68" t="n"/>
      <c r="K72" s="68" t="n"/>
      <c r="L72" s="68" t="n"/>
      <c r="M72" s="64" t="n"/>
      <c r="N72" s="64" t="n"/>
      <c r="O72" s="64" t="n"/>
      <c r="P72" s="64" t="n"/>
      <c r="Q72" s="64" t="n"/>
      <c r="R72" s="64" t="n"/>
      <c r="S72" s="66" t="n"/>
      <c r="T72" s="45" t="n"/>
      <c r="U72" s="43">
        <f t="shared" si="0"/>
      </c>
      <c r="V72" s="49">
        <f t="shared" si="1"/>
      </c>
      <c r="W72" s="49">
        <f t="shared" si="2"/>
      </c>
      <c r="X72" s="2">
        <f t="shared" si="3"/>
      </c>
      <c r="Y72" s="2">
        <f t="shared" si="4"/>
      </c>
      <c r="Z72" s="2">
        <f t="shared" si="5"/>
        <v>0</v>
      </c>
      <c r="AA72" s="2">
        <f t="shared" si="6"/>
        <v>0</v>
      </c>
      <c r="AB72" s="2">
        <f t="shared" si="7"/>
        <v>0</v>
      </c>
      <c r="AC72" s="2">
        <f t="shared" si="8"/>
      </c>
    </row>
    <row r="73">
      <c r="A73" s="64" t="n"/>
      <c r="B73" s="65" t="n"/>
      <c r="C73" s="65" t="n"/>
      <c r="D73" s="65" t="n"/>
      <c r="E73" s="65" t="n"/>
      <c r="F73" s="66" t="n"/>
      <c r="G73" s="65" t="n"/>
      <c r="H73" s="66" t="n"/>
      <c r="I73" s="64" t="n"/>
      <c r="J73" s="68" t="n"/>
      <c r="K73" s="68" t="n"/>
      <c r="L73" s="68" t="n"/>
      <c r="M73" s="64" t="n"/>
      <c r="N73" s="64" t="n"/>
      <c r="O73" s="64" t="n"/>
      <c r="P73" s="64" t="n"/>
      <c r="Q73" s="64" t="n"/>
      <c r="R73" s="64" t="n"/>
      <c r="S73" s="66" t="n"/>
      <c r="T73" s="45" t="n"/>
      <c r="U73" s="43">
        <f t="shared" si="0"/>
      </c>
      <c r="V73" s="49">
        <f t="shared" si="1"/>
      </c>
      <c r="W73" s="49">
        <f t="shared" si="2"/>
      </c>
      <c r="X73" s="2">
        <f t="shared" si="3"/>
      </c>
      <c r="Y73" s="2">
        <f t="shared" si="4"/>
      </c>
      <c r="Z73" s="2">
        <f t="shared" si="5"/>
        <v>0</v>
      </c>
      <c r="AA73" s="2">
        <f t="shared" si="6"/>
        <v>0</v>
      </c>
      <c r="AB73" s="2">
        <f t="shared" si="7"/>
        <v>0</v>
      </c>
      <c r="AC73" s="2">
        <f t="shared" si="8"/>
      </c>
    </row>
    <row r="74">
      <c r="A74" s="64" t="n"/>
      <c r="B74" s="65" t="n"/>
      <c r="C74" s="65" t="n"/>
      <c r="D74" s="65" t="n"/>
      <c r="E74" s="65" t="n"/>
      <c r="F74" s="66" t="n"/>
      <c r="G74" s="65" t="n"/>
      <c r="H74" s="66" t="n"/>
      <c r="I74" s="64" t="n"/>
      <c r="J74" s="68" t="n"/>
      <c r="K74" s="68" t="n"/>
      <c r="L74" s="68" t="n"/>
      <c r="M74" s="64" t="n"/>
      <c r="N74" s="64" t="n"/>
      <c r="O74" s="64" t="n"/>
      <c r="P74" s="64" t="n"/>
      <c r="Q74" s="64" t="n"/>
      <c r="R74" s="64" t="n"/>
      <c r="S74" s="66" t="n"/>
      <c r="T74" s="45" t="n"/>
      <c r="U74" s="43">
        <f t="shared" si="0"/>
      </c>
      <c r="V74" s="49">
        <f t="shared" si="1"/>
      </c>
      <c r="W74" s="49">
        <f t="shared" si="2"/>
      </c>
      <c r="X74" s="2">
        <f t="shared" si="3"/>
      </c>
      <c r="Y74" s="2">
        <f t="shared" si="4"/>
      </c>
      <c r="Z74" s="2">
        <f t="shared" si="5"/>
        <v>0</v>
      </c>
      <c r="AA74" s="2">
        <f t="shared" si="6"/>
        <v>0</v>
      </c>
      <c r="AB74" s="2">
        <f t="shared" si="7"/>
        <v>0</v>
      </c>
      <c r="AC74" s="2">
        <f t="shared" si="8"/>
      </c>
    </row>
    <row r="75">
      <c r="A75" s="64" t="n"/>
      <c r="B75" s="65" t="n"/>
      <c r="C75" s="65" t="n"/>
      <c r="D75" s="65" t="n"/>
      <c r="E75" s="65" t="n"/>
      <c r="F75" s="66" t="n"/>
      <c r="G75" s="65" t="n"/>
      <c r="H75" s="66" t="n"/>
      <c r="I75" s="64" t="n"/>
      <c r="J75" s="68" t="n"/>
      <c r="K75" s="68" t="n"/>
      <c r="L75" s="68" t="n"/>
      <c r="M75" s="64" t="n"/>
      <c r="N75" s="64" t="n"/>
      <c r="O75" s="64" t="n"/>
      <c r="P75" s="64" t="n"/>
      <c r="Q75" s="64" t="n"/>
      <c r="R75" s="64" t="n"/>
      <c r="S75" s="66" t="n"/>
      <c r="T75" s="45" t="n"/>
      <c r="U75" s="43">
        <f t="shared" si="0"/>
      </c>
      <c r="V75" s="49">
        <f t="shared" si="1"/>
      </c>
      <c r="W75" s="49">
        <f t="shared" si="2"/>
      </c>
      <c r="X75" s="2">
        <f t="shared" si="3"/>
      </c>
      <c r="Y75" s="2">
        <f t="shared" si="4"/>
      </c>
      <c r="Z75" s="2">
        <f t="shared" si="5"/>
        <v>0</v>
      </c>
      <c r="AA75" s="2">
        <f t="shared" si="6"/>
        <v>0</v>
      </c>
      <c r="AB75" s="2">
        <f t="shared" si="7"/>
        <v>0</v>
      </c>
      <c r="AC75" s="2">
        <f t="shared" si="8"/>
      </c>
    </row>
    <row r="76">
      <c r="A76" s="64" t="n"/>
      <c r="B76" s="65" t="n"/>
      <c r="C76" s="65" t="n"/>
      <c r="D76" s="65" t="n"/>
      <c r="E76" s="65" t="n"/>
      <c r="F76" s="66" t="n"/>
      <c r="G76" s="65" t="n"/>
      <c r="H76" s="66" t="n"/>
      <c r="I76" s="64" t="n"/>
      <c r="J76" s="68" t="n"/>
      <c r="K76" s="68" t="n"/>
      <c r="L76" s="68" t="n"/>
      <c r="M76" s="64" t="n"/>
      <c r="N76" s="64" t="n"/>
      <c r="O76" s="64" t="n"/>
      <c r="P76" s="64" t="n"/>
      <c r="Q76" s="64" t="n"/>
      <c r="R76" s="64" t="n"/>
      <c r="S76" s="66" t="n"/>
      <c r="T76" s="45" t="n"/>
      <c r="U76" s="43">
        <f t="shared" si="0"/>
      </c>
      <c r="V76" s="49">
        <f t="shared" si="1"/>
      </c>
      <c r="W76" s="49">
        <f t="shared" si="2"/>
      </c>
      <c r="X76" s="2">
        <f t="shared" si="3"/>
      </c>
      <c r="Y76" s="2">
        <f t="shared" si="4"/>
      </c>
      <c r="Z76" s="2">
        <f t="shared" si="5"/>
        <v>0</v>
      </c>
      <c r="AA76" s="2">
        <f t="shared" si="6"/>
        <v>0</v>
      </c>
      <c r="AB76" s="2">
        <f t="shared" si="7"/>
        <v>0</v>
      </c>
      <c r="AC76" s="2">
        <f t="shared" si="8"/>
      </c>
    </row>
    <row r="77">
      <c r="A77" s="64" t="n"/>
      <c r="B77" s="65" t="n"/>
      <c r="C77" s="65" t="n"/>
      <c r="D77" s="65" t="n"/>
      <c r="E77" s="65" t="n"/>
      <c r="F77" s="66" t="n"/>
      <c r="G77" s="65" t="n"/>
      <c r="H77" s="66" t="n"/>
      <c r="I77" s="64" t="n"/>
      <c r="J77" s="68" t="n"/>
      <c r="K77" s="68" t="n"/>
      <c r="L77" s="68" t="n"/>
      <c r="M77" s="64" t="n"/>
      <c r="N77" s="64" t="n"/>
      <c r="O77" s="64" t="n"/>
      <c r="P77" s="64" t="n"/>
      <c r="Q77" s="64" t="n"/>
      <c r="R77" s="64" t="n"/>
      <c r="S77" s="66" t="n"/>
      <c r="T77" s="45" t="n"/>
      <c r="U77" s="43">
        <f t="shared" si="0"/>
      </c>
      <c r="V77" s="49">
        <f t="shared" si="1"/>
      </c>
      <c r="W77" s="49">
        <f t="shared" si="2"/>
      </c>
      <c r="X77" s="2">
        <f t="shared" si="3"/>
      </c>
      <c r="Y77" s="2">
        <f t="shared" si="4"/>
      </c>
      <c r="Z77" s="2">
        <f t="shared" si="5"/>
        <v>0</v>
      </c>
      <c r="AA77" s="2">
        <f t="shared" si="6"/>
        <v>0</v>
      </c>
      <c r="AB77" s="2">
        <f t="shared" si="7"/>
        <v>0</v>
      </c>
      <c r="AC77" s="2">
        <f t="shared" si="8"/>
      </c>
    </row>
    <row r="78">
      <c r="A78" s="64" t="n"/>
      <c r="B78" s="65" t="n"/>
      <c r="C78" s="65" t="n"/>
      <c r="D78" s="65" t="n"/>
      <c r="E78" s="65" t="n"/>
      <c r="F78" s="66" t="n"/>
      <c r="G78" s="65" t="n"/>
      <c r="H78" s="66" t="n"/>
      <c r="I78" s="64" t="n"/>
      <c r="J78" s="68" t="n"/>
      <c r="K78" s="68" t="n"/>
      <c r="L78" s="68" t="n"/>
      <c r="M78" s="64" t="n"/>
      <c r="N78" s="64" t="n"/>
      <c r="O78" s="64" t="n"/>
      <c r="P78" s="64" t="n"/>
      <c r="Q78" s="64" t="n"/>
      <c r="R78" s="64" t="n"/>
      <c r="S78" s="66" t="n"/>
      <c r="T78" s="45" t="n"/>
      <c r="U78" s="43">
        <f t="shared" si="0"/>
      </c>
      <c r="V78" s="49">
        <f t="shared" si="1"/>
      </c>
      <c r="W78" s="49">
        <f t="shared" si="2"/>
      </c>
      <c r="X78" s="2">
        <f t="shared" si="3"/>
      </c>
      <c r="Y78" s="2">
        <f t="shared" si="4"/>
      </c>
      <c r="Z78" s="2">
        <f t="shared" si="5"/>
        <v>0</v>
      </c>
      <c r="AA78" s="2">
        <f t="shared" si="6"/>
        <v>0</v>
      </c>
      <c r="AB78" s="2">
        <f t="shared" si="7"/>
        <v>0</v>
      </c>
      <c r="AC78" s="2">
        <f t="shared" si="8"/>
      </c>
    </row>
    <row r="79">
      <c r="A79" s="64" t="n"/>
      <c r="B79" s="65" t="n"/>
      <c r="C79" s="65" t="n"/>
      <c r="D79" s="65" t="n"/>
      <c r="E79" s="65" t="n"/>
      <c r="F79" s="66" t="n"/>
      <c r="G79" s="65" t="n"/>
      <c r="H79" s="66" t="n"/>
      <c r="I79" s="64" t="n"/>
      <c r="J79" s="68" t="n"/>
      <c r="K79" s="68" t="n"/>
      <c r="L79" s="68" t="n"/>
      <c r="M79" s="64" t="n"/>
      <c r="N79" s="64" t="n"/>
      <c r="O79" s="64" t="n"/>
      <c r="P79" s="64" t="n"/>
      <c r="Q79" s="64" t="n"/>
      <c r="R79" s="64" t="n"/>
      <c r="S79" s="66" t="n"/>
      <c r="T79" s="45" t="n"/>
      <c r="U79" s="43">
        <f t="shared" si="0"/>
      </c>
      <c r="V79" s="49">
        <f t="shared" si="1"/>
      </c>
      <c r="W79" s="49">
        <f t="shared" si="2"/>
      </c>
      <c r="X79" s="2">
        <f t="shared" si="3"/>
      </c>
      <c r="Y79" s="2">
        <f t="shared" si="4"/>
      </c>
      <c r="Z79" s="2">
        <f t="shared" si="5"/>
        <v>0</v>
      </c>
      <c r="AA79" s="2">
        <f t="shared" si="6"/>
        <v>0</v>
      </c>
      <c r="AB79" s="2">
        <f t="shared" si="7"/>
        <v>0</v>
      </c>
      <c r="AC79" s="2">
        <f t="shared" si="8"/>
      </c>
    </row>
    <row r="80">
      <c r="A80" s="64" t="n"/>
      <c r="B80" s="65" t="n"/>
      <c r="C80" s="65" t="n"/>
      <c r="D80" s="65" t="n"/>
      <c r="E80" s="65" t="n"/>
      <c r="F80" s="66" t="n"/>
      <c r="G80" s="65" t="n"/>
      <c r="H80" s="66" t="n"/>
      <c r="I80" s="64" t="n"/>
      <c r="J80" s="68" t="n"/>
      <c r="K80" s="68" t="n"/>
      <c r="L80" s="68" t="n"/>
      <c r="M80" s="64" t="n"/>
      <c r="N80" s="64" t="n"/>
      <c r="O80" s="64" t="n"/>
      <c r="P80" s="64" t="n"/>
      <c r="Q80" s="64" t="n"/>
      <c r="R80" s="64" t="n"/>
      <c r="S80" s="66" t="n"/>
      <c r="T80" s="45" t="n"/>
      <c r="U80" s="43">
        <f t="shared" si="0"/>
      </c>
      <c r="V80" s="49">
        <f t="shared" si="1"/>
      </c>
      <c r="W80" s="49">
        <f t="shared" si="2"/>
      </c>
      <c r="X80" s="2">
        <f t="shared" si="3"/>
      </c>
      <c r="Y80" s="2">
        <f t="shared" si="4"/>
      </c>
      <c r="Z80" s="2">
        <f t="shared" si="5"/>
        <v>0</v>
      </c>
      <c r="AA80" s="2">
        <f t="shared" si="6"/>
        <v>0</v>
      </c>
      <c r="AB80" s="2">
        <f t="shared" si="7"/>
        <v>0</v>
      </c>
      <c r="AC80" s="2">
        <f t="shared" si="8"/>
      </c>
    </row>
    <row r="81">
      <c r="A81" s="64" t="n"/>
      <c r="B81" s="65" t="n"/>
      <c r="C81" s="65" t="n"/>
      <c r="D81" s="65" t="n"/>
      <c r="E81" s="65" t="n"/>
      <c r="F81" s="66" t="n"/>
      <c r="G81" s="65" t="n"/>
      <c r="H81" s="66" t="n"/>
      <c r="I81" s="64" t="n"/>
      <c r="J81" s="68" t="n"/>
      <c r="K81" s="68" t="n"/>
      <c r="L81" s="68" t="n"/>
      <c r="M81" s="64" t="n"/>
      <c r="N81" s="64" t="n"/>
      <c r="O81" s="64" t="n"/>
      <c r="P81" s="64" t="n"/>
      <c r="Q81" s="64" t="n"/>
      <c r="R81" s="64" t="n"/>
      <c r="S81" s="66" t="n"/>
      <c r="T81" s="45" t="n"/>
      <c r="U81" s="43">
        <f t="shared" si="0"/>
      </c>
      <c r="V81" s="49">
        <f t="shared" si="1"/>
      </c>
      <c r="W81" s="49">
        <f t="shared" si="2"/>
      </c>
      <c r="X81" s="2">
        <f t="shared" si="3"/>
      </c>
      <c r="Y81" s="2">
        <f t="shared" si="4"/>
      </c>
      <c r="Z81" s="2">
        <f t="shared" si="5"/>
        <v>0</v>
      </c>
      <c r="AA81" s="2">
        <f t="shared" si="6"/>
        <v>0</v>
      </c>
      <c r="AB81" s="2">
        <f t="shared" si="7"/>
        <v>0</v>
      </c>
      <c r="AC81" s="2">
        <f t="shared" si="8"/>
      </c>
    </row>
    <row r="82">
      <c r="A82" s="64" t="n"/>
      <c r="B82" s="65" t="n"/>
      <c r="C82" s="65" t="n"/>
      <c r="D82" s="65" t="n"/>
      <c r="E82" s="65" t="n"/>
      <c r="F82" s="66" t="n"/>
      <c r="G82" s="65" t="n"/>
      <c r="H82" s="66" t="n"/>
      <c r="I82" s="64" t="n"/>
      <c r="J82" s="68" t="n"/>
      <c r="K82" s="68" t="n"/>
      <c r="L82" s="68" t="n"/>
      <c r="M82" s="64" t="n"/>
      <c r="N82" s="64" t="n"/>
      <c r="O82" s="64" t="n"/>
      <c r="P82" s="64" t="n"/>
      <c r="Q82" s="64" t="n"/>
      <c r="R82" s="64" t="n"/>
      <c r="S82" s="66" t="n"/>
      <c r="T82" s="45" t="n"/>
      <c r="U82" s="43">
        <f t="shared" si="0"/>
      </c>
      <c r="V82" s="49">
        <f t="shared" si="1"/>
      </c>
      <c r="W82" s="49">
        <f t="shared" si="2"/>
      </c>
      <c r="X82" s="2">
        <f t="shared" si="3"/>
      </c>
      <c r="Y82" s="2">
        <f t="shared" si="4"/>
      </c>
      <c r="Z82" s="2">
        <f t="shared" si="5"/>
        <v>0</v>
      </c>
      <c r="AA82" s="2">
        <f t="shared" si="6"/>
        <v>0</v>
      </c>
      <c r="AB82" s="2">
        <f t="shared" si="7"/>
        <v>0</v>
      </c>
      <c r="AC82" s="2">
        <f t="shared" si="8"/>
      </c>
    </row>
    <row r="83">
      <c r="A83" s="64" t="n"/>
      <c r="B83" s="65" t="n"/>
      <c r="C83" s="65" t="n"/>
      <c r="D83" s="65" t="n"/>
      <c r="E83" s="65" t="n"/>
      <c r="F83" s="66" t="n"/>
      <c r="G83" s="65" t="n"/>
      <c r="H83" s="66" t="n"/>
      <c r="I83" s="64" t="n"/>
      <c r="J83" s="68" t="n"/>
      <c r="K83" s="68" t="n"/>
      <c r="L83" s="68" t="n"/>
      <c r="M83" s="64" t="n"/>
      <c r="N83" s="64" t="n"/>
      <c r="O83" s="64" t="n"/>
      <c r="P83" s="64" t="n"/>
      <c r="Q83" s="64" t="n"/>
      <c r="R83" s="64" t="n"/>
      <c r="S83" s="66" t="n"/>
      <c r="T83" s="45" t="n"/>
      <c r="U83" s="43">
        <f t="shared" si="0"/>
      </c>
      <c r="V83" s="49">
        <f t="shared" si="1"/>
      </c>
      <c r="W83" s="49">
        <f t="shared" si="2"/>
      </c>
      <c r="X83" s="2">
        <f t="shared" si="3"/>
      </c>
      <c r="Y83" s="2">
        <f t="shared" si="4"/>
      </c>
      <c r="Z83" s="2">
        <f t="shared" si="5"/>
        <v>0</v>
      </c>
      <c r="AA83" s="2">
        <f t="shared" si="6"/>
        <v>0</v>
      </c>
      <c r="AB83" s="2">
        <f t="shared" si="7"/>
        <v>0</v>
      </c>
      <c r="AC83" s="2">
        <f t="shared" si="8"/>
      </c>
    </row>
    <row r="84">
      <c r="A84" s="64" t="n"/>
      <c r="B84" s="65" t="n"/>
      <c r="C84" s="65" t="n"/>
      <c r="D84" s="65" t="n"/>
      <c r="E84" s="65" t="n"/>
      <c r="F84" s="66" t="n"/>
      <c r="G84" s="65" t="n"/>
      <c r="H84" s="66" t="n"/>
      <c r="I84" s="64" t="n"/>
      <c r="J84" s="68" t="n"/>
      <c r="K84" s="68" t="n"/>
      <c r="L84" s="68" t="n"/>
      <c r="M84" s="64" t="n"/>
      <c r="N84" s="64" t="n"/>
      <c r="O84" s="64" t="n"/>
      <c r="P84" s="64" t="n"/>
      <c r="Q84" s="64" t="n"/>
      <c r="R84" s="64" t="n"/>
      <c r="S84" s="66" t="n"/>
      <c r="T84" s="45" t="n"/>
      <c r="U84" s="43">
        <f t="shared" si="0"/>
      </c>
      <c r="V84" s="49">
        <f t="shared" si="1"/>
      </c>
      <c r="W84" s="49">
        <f t="shared" si="2"/>
      </c>
      <c r="X84" s="2">
        <f t="shared" si="3"/>
      </c>
      <c r="Y84" s="2">
        <f t="shared" si="4"/>
      </c>
      <c r="Z84" s="2">
        <f t="shared" si="5"/>
        <v>0</v>
      </c>
      <c r="AA84" s="2">
        <f t="shared" si="6"/>
        <v>0</v>
      </c>
      <c r="AB84" s="2">
        <f t="shared" si="7"/>
        <v>0</v>
      </c>
      <c r="AC84" s="2">
        <f t="shared" si="8"/>
      </c>
    </row>
    <row r="85">
      <c r="A85" s="64" t="n"/>
      <c r="B85" s="65" t="n"/>
      <c r="C85" s="65" t="n"/>
      <c r="D85" s="65" t="n"/>
      <c r="E85" s="65" t="n"/>
      <c r="F85" s="66" t="n"/>
      <c r="G85" s="65" t="n"/>
      <c r="H85" s="66" t="n"/>
      <c r="I85" s="64" t="n"/>
      <c r="J85" s="68" t="n"/>
      <c r="K85" s="68" t="n"/>
      <c r="L85" s="68" t="n"/>
      <c r="M85" s="64" t="n"/>
      <c r="N85" s="64" t="n"/>
      <c r="O85" s="64" t="n"/>
      <c r="P85" s="64" t="n"/>
      <c r="Q85" s="64" t="n"/>
      <c r="R85" s="64" t="n"/>
      <c r="S85" s="66" t="n"/>
      <c r="T85" s="45" t="n"/>
      <c r="U85" s="43">
        <f t="shared" si="0"/>
      </c>
      <c r="V85" s="49">
        <f t="shared" si="1"/>
      </c>
      <c r="W85" s="49">
        <f t="shared" si="2"/>
      </c>
      <c r="X85" s="2">
        <f t="shared" si="3"/>
      </c>
      <c r="Y85" s="2">
        <f t="shared" si="4"/>
      </c>
      <c r="Z85" s="2">
        <f t="shared" si="5"/>
        <v>0</v>
      </c>
      <c r="AA85" s="2">
        <f t="shared" si="6"/>
        <v>0</v>
      </c>
      <c r="AB85" s="2">
        <f t="shared" si="7"/>
        <v>0</v>
      </c>
      <c r="AC85" s="2">
        <f t="shared" si="8"/>
      </c>
    </row>
    <row r="86">
      <c r="A86" s="64" t="n"/>
      <c r="B86" s="65" t="n"/>
      <c r="C86" s="65" t="n"/>
      <c r="D86" s="65" t="n"/>
      <c r="E86" s="65" t="n"/>
      <c r="F86" s="66" t="n"/>
      <c r="G86" s="65" t="n"/>
      <c r="H86" s="66" t="n"/>
      <c r="I86" s="64" t="n"/>
      <c r="J86" s="68" t="n"/>
      <c r="K86" s="68" t="n"/>
      <c r="L86" s="68" t="n"/>
      <c r="M86" s="64" t="n"/>
      <c r="N86" s="64" t="n"/>
      <c r="O86" s="64" t="n"/>
      <c r="P86" s="64" t="n"/>
      <c r="Q86" s="64" t="n"/>
      <c r="R86" s="64" t="n"/>
      <c r="S86" s="66" t="n"/>
      <c r="T86" s="45" t="n"/>
      <c r="U86" s="43">
        <f t="shared" si="0"/>
      </c>
      <c r="V86" s="49">
        <f t="shared" si="1"/>
      </c>
      <c r="W86" s="49">
        <f t="shared" si="2"/>
      </c>
      <c r="X86" s="2">
        <f t="shared" si="3"/>
      </c>
      <c r="Y86" s="2">
        <f t="shared" si="4"/>
      </c>
      <c r="Z86" s="2">
        <f t="shared" si="5"/>
        <v>0</v>
      </c>
      <c r="AA86" s="2">
        <f t="shared" si="6"/>
        <v>0</v>
      </c>
      <c r="AB86" s="2">
        <f t="shared" si="7"/>
        <v>0</v>
      </c>
      <c r="AC86" s="2">
        <f t="shared" si="8"/>
      </c>
    </row>
    <row r="87">
      <c r="A87" s="64" t="n"/>
      <c r="B87" s="65" t="n"/>
      <c r="C87" s="65" t="n"/>
      <c r="D87" s="65" t="n"/>
      <c r="E87" s="65" t="n"/>
      <c r="F87" s="66" t="n"/>
      <c r="G87" s="65" t="n"/>
      <c r="H87" s="66" t="n"/>
      <c r="I87" s="64" t="n"/>
      <c r="J87" s="68" t="n"/>
      <c r="K87" s="68" t="n"/>
      <c r="L87" s="68" t="n"/>
      <c r="M87" s="64" t="n"/>
      <c r="N87" s="64" t="n"/>
      <c r="O87" s="64" t="n"/>
      <c r="P87" s="64" t="n"/>
      <c r="Q87" s="64" t="n"/>
      <c r="R87" s="64" t="n"/>
      <c r="S87" s="66" t="n"/>
      <c r="T87" s="45" t="n"/>
      <c r="U87" s="43">
        <f t="shared" si="0"/>
      </c>
      <c r="V87" s="49">
        <f t="shared" si="1"/>
      </c>
      <c r="W87" s="49">
        <f t="shared" si="2"/>
      </c>
      <c r="X87" s="2">
        <f t="shared" si="3"/>
      </c>
      <c r="Y87" s="2">
        <f t="shared" si="4"/>
      </c>
      <c r="Z87" s="2">
        <f t="shared" si="5"/>
        <v>0</v>
      </c>
      <c r="AA87" s="2">
        <f t="shared" si="6"/>
        <v>0</v>
      </c>
      <c r="AB87" s="2">
        <f t="shared" si="7"/>
        <v>0</v>
      </c>
      <c r="AC87" s="2">
        <f t="shared" si="8"/>
      </c>
    </row>
    <row r="88">
      <c r="A88" s="64" t="n"/>
      <c r="B88" s="65" t="n"/>
      <c r="C88" s="65" t="n"/>
      <c r="D88" s="65" t="n"/>
      <c r="E88" s="65" t="n"/>
      <c r="F88" s="66" t="n"/>
      <c r="G88" s="65" t="n"/>
      <c r="H88" s="66" t="n"/>
      <c r="I88" s="64" t="n"/>
      <c r="J88" s="68" t="n"/>
      <c r="K88" s="68" t="n"/>
      <c r="L88" s="68" t="n"/>
      <c r="M88" s="64" t="n"/>
      <c r="N88" s="64" t="n"/>
      <c r="O88" s="64" t="n"/>
      <c r="P88" s="64" t="n"/>
      <c r="Q88" s="64" t="n"/>
      <c r="R88" s="64" t="n"/>
      <c r="S88" s="66" t="n"/>
      <c r="T88" s="45" t="n"/>
      <c r="U88" s="43">
        <f t="shared" si="0"/>
      </c>
      <c r="V88" s="49">
        <f t="shared" si="1"/>
      </c>
      <c r="W88" s="49">
        <f t="shared" si="2"/>
      </c>
      <c r="X88" s="2">
        <f t="shared" si="3"/>
      </c>
      <c r="Y88" s="2">
        <f t="shared" si="4"/>
      </c>
      <c r="Z88" s="2">
        <f t="shared" si="5"/>
        <v>0</v>
      </c>
      <c r="AA88" s="2">
        <f t="shared" si="6"/>
        <v>0</v>
      </c>
      <c r="AB88" s="2">
        <f t="shared" si="7"/>
        <v>0</v>
      </c>
      <c r="AC88" s="2">
        <f t="shared" si="8"/>
      </c>
    </row>
    <row r="89">
      <c r="A89" s="64" t="n"/>
      <c r="B89" s="65" t="n"/>
      <c r="C89" s="65" t="n"/>
      <c r="D89" s="65" t="n"/>
      <c r="E89" s="65" t="n"/>
      <c r="F89" s="66" t="n"/>
      <c r="G89" s="65" t="n"/>
      <c r="H89" s="66" t="n"/>
      <c r="I89" s="64" t="n"/>
      <c r="J89" s="68" t="n"/>
      <c r="K89" s="68" t="n"/>
      <c r="L89" s="68" t="n"/>
      <c r="M89" s="64" t="n"/>
      <c r="N89" s="64" t="n"/>
      <c r="O89" s="64" t="n"/>
      <c r="P89" s="64" t="n"/>
      <c r="Q89" s="64" t="n"/>
      <c r="R89" s="64" t="n"/>
      <c r="S89" s="66" t="n"/>
      <c r="T89" s="45" t="n"/>
      <c r="U89" s="43">
        <f t="shared" si="0"/>
      </c>
      <c r="V89" s="49">
        <f t="shared" si="1"/>
      </c>
      <c r="W89" s="49">
        <f t="shared" si="2"/>
      </c>
      <c r="X89" s="2">
        <f t="shared" si="3"/>
      </c>
      <c r="Y89" s="2">
        <f t="shared" si="4"/>
      </c>
      <c r="Z89" s="2">
        <f t="shared" si="5"/>
        <v>0</v>
      </c>
      <c r="AA89" s="2">
        <f t="shared" si="6"/>
        <v>0</v>
      </c>
      <c r="AB89" s="2">
        <f t="shared" si="7"/>
        <v>0</v>
      </c>
      <c r="AC89" s="2">
        <f t="shared" si="8"/>
      </c>
    </row>
    <row r="90">
      <c r="A90" s="64" t="n"/>
      <c r="B90" s="65" t="n"/>
      <c r="C90" s="65" t="n"/>
      <c r="D90" s="65" t="n"/>
      <c r="E90" s="65" t="n"/>
      <c r="F90" s="66" t="n"/>
      <c r="G90" s="65" t="n"/>
      <c r="H90" s="66" t="n"/>
      <c r="I90" s="64" t="n"/>
      <c r="J90" s="68" t="n"/>
      <c r="K90" s="68" t="n"/>
      <c r="L90" s="68" t="n"/>
      <c r="M90" s="64" t="n"/>
      <c r="N90" s="64" t="n"/>
      <c r="O90" s="64" t="n"/>
      <c r="P90" s="64" t="n"/>
      <c r="Q90" s="64" t="n"/>
      <c r="R90" s="64" t="n"/>
      <c r="S90" s="66" t="n"/>
      <c r="T90" s="45" t="n"/>
      <c r="U90" s="43">
        <f t="shared" si="0"/>
      </c>
      <c r="V90" s="49">
        <f t="shared" si="1"/>
      </c>
      <c r="W90" s="49">
        <f t="shared" si="2"/>
      </c>
      <c r="X90" s="2">
        <f t="shared" si="3"/>
      </c>
      <c r="Y90" s="2">
        <f t="shared" si="4"/>
      </c>
      <c r="Z90" s="2">
        <f t="shared" si="5"/>
        <v>0</v>
      </c>
      <c r="AA90" s="2">
        <f t="shared" si="6"/>
        <v>0</v>
      </c>
      <c r="AB90" s="2">
        <f t="shared" si="7"/>
        <v>0</v>
      </c>
      <c r="AC90" s="2">
        <f t="shared" si="8"/>
      </c>
    </row>
    <row r="91">
      <c r="A91" s="64" t="n"/>
      <c r="B91" s="65" t="n"/>
      <c r="C91" s="65" t="n"/>
      <c r="D91" s="65" t="n"/>
      <c r="E91" s="65" t="n"/>
      <c r="F91" s="66" t="n"/>
      <c r="G91" s="65" t="n"/>
      <c r="H91" s="66" t="n"/>
      <c r="I91" s="64" t="n"/>
      <c r="J91" s="68" t="n"/>
      <c r="K91" s="68" t="n"/>
      <c r="L91" s="68" t="n"/>
      <c r="M91" s="64" t="n"/>
      <c r="N91" s="64" t="n"/>
      <c r="O91" s="64" t="n"/>
      <c r="P91" s="64" t="n"/>
      <c r="Q91" s="64" t="n"/>
      <c r="R91" s="64" t="n"/>
      <c r="S91" s="66" t="n"/>
      <c r="T91" s="45" t="n"/>
      <c r="U91" s="43">
        <f t="shared" si="0"/>
      </c>
      <c r="V91" s="49">
        <f t="shared" si="1"/>
      </c>
      <c r="W91" s="49">
        <f t="shared" si="2"/>
      </c>
      <c r="X91" s="2">
        <f t="shared" si="3"/>
      </c>
      <c r="Y91" s="2">
        <f t="shared" si="4"/>
      </c>
      <c r="Z91" s="2">
        <f t="shared" si="5"/>
        <v>0</v>
      </c>
      <c r="AA91" s="2">
        <f t="shared" si="6"/>
        <v>0</v>
      </c>
      <c r="AB91" s="2">
        <f t="shared" si="7"/>
        <v>0</v>
      </c>
      <c r="AC91" s="2">
        <f t="shared" si="8"/>
      </c>
    </row>
    <row r="92">
      <c r="A92" s="64" t="n"/>
      <c r="B92" s="65" t="n"/>
      <c r="C92" s="65" t="n"/>
      <c r="D92" s="65" t="n"/>
      <c r="E92" s="65" t="n"/>
      <c r="F92" s="66" t="n"/>
      <c r="G92" s="65" t="n"/>
      <c r="H92" s="66" t="n"/>
      <c r="I92" s="64" t="n"/>
      <c r="J92" s="68" t="n"/>
      <c r="K92" s="68" t="n"/>
      <c r="L92" s="68" t="n"/>
      <c r="M92" s="64" t="n"/>
      <c r="N92" s="64" t="n"/>
      <c r="O92" s="64" t="n"/>
      <c r="P92" s="64" t="n"/>
      <c r="Q92" s="64" t="n"/>
      <c r="R92" s="64" t="n"/>
      <c r="S92" s="66" t="n"/>
      <c r="T92" s="45" t="n"/>
      <c r="U92" s="43">
        <f t="shared" si="0"/>
      </c>
      <c r="V92" s="49">
        <f t="shared" si="1"/>
      </c>
      <c r="W92" s="49">
        <f t="shared" si="2"/>
      </c>
      <c r="X92" s="2">
        <f t="shared" si="3"/>
      </c>
      <c r="Y92" s="2">
        <f t="shared" si="4"/>
      </c>
      <c r="Z92" s="2">
        <f t="shared" si="5"/>
        <v>0</v>
      </c>
      <c r="AA92" s="2">
        <f t="shared" si="6"/>
        <v>0</v>
      </c>
      <c r="AB92" s="2">
        <f t="shared" si="7"/>
        <v>0</v>
      </c>
      <c r="AC92" s="2">
        <f t="shared" si="8"/>
      </c>
    </row>
    <row r="93">
      <c r="A93" s="64" t="n"/>
      <c r="B93" s="65" t="n"/>
      <c r="C93" s="65" t="n"/>
      <c r="D93" s="65" t="n"/>
      <c r="E93" s="65" t="n"/>
      <c r="F93" s="66" t="n"/>
      <c r="G93" s="65" t="n"/>
      <c r="H93" s="66" t="n"/>
      <c r="I93" s="64" t="n"/>
      <c r="J93" s="68" t="n"/>
      <c r="K93" s="68" t="n"/>
      <c r="L93" s="68" t="n"/>
      <c r="M93" s="64" t="n"/>
      <c r="N93" s="64" t="n"/>
      <c r="O93" s="64" t="n"/>
      <c r="P93" s="64" t="n"/>
      <c r="Q93" s="64" t="n"/>
      <c r="R93" s="64" t="n"/>
      <c r="S93" s="66" t="n"/>
      <c r="T93" s="45" t="n"/>
      <c r="U93" s="43">
        <f t="shared" si="0"/>
      </c>
      <c r="V93" s="49">
        <f t="shared" si="1"/>
      </c>
      <c r="W93" s="49">
        <f t="shared" si="2"/>
      </c>
      <c r="X93" s="2">
        <f t="shared" si="3"/>
      </c>
      <c r="Y93" s="2">
        <f t="shared" si="4"/>
      </c>
      <c r="Z93" s="2">
        <f t="shared" si="5"/>
        <v>0</v>
      </c>
      <c r="AA93" s="2">
        <f t="shared" si="6"/>
        <v>0</v>
      </c>
      <c r="AB93" s="2">
        <f t="shared" si="7"/>
        <v>0</v>
      </c>
      <c r="AC93" s="2">
        <f t="shared" si="8"/>
      </c>
    </row>
    <row r="94">
      <c r="A94" s="64" t="n"/>
      <c r="B94" s="65" t="n"/>
      <c r="C94" s="65" t="n"/>
      <c r="D94" s="65" t="n"/>
      <c r="E94" s="65" t="n"/>
      <c r="F94" s="66" t="n"/>
      <c r="G94" s="65" t="n"/>
      <c r="H94" s="66" t="n"/>
      <c r="I94" s="64" t="n"/>
      <c r="J94" s="68" t="n"/>
      <c r="K94" s="68" t="n"/>
      <c r="L94" s="68" t="n"/>
      <c r="M94" s="64" t="n"/>
      <c r="N94" s="64" t="n"/>
      <c r="O94" s="64" t="n"/>
      <c r="P94" s="64" t="n"/>
      <c r="Q94" s="64" t="n"/>
      <c r="R94" s="64" t="n"/>
      <c r="S94" s="66" t="n"/>
      <c r="T94" s="45" t="n"/>
      <c r="U94" s="43">
        <f t="shared" si="0"/>
      </c>
      <c r="V94" s="49">
        <f t="shared" si="1"/>
      </c>
      <c r="W94" s="49">
        <f t="shared" si="2"/>
      </c>
      <c r="X94" s="2">
        <f t="shared" si="3"/>
      </c>
      <c r="Y94" s="2">
        <f t="shared" si="4"/>
      </c>
      <c r="Z94" s="2">
        <f t="shared" si="5"/>
        <v>0</v>
      </c>
      <c r="AA94" s="2">
        <f t="shared" si="6"/>
        <v>0</v>
      </c>
      <c r="AB94" s="2">
        <f t="shared" si="7"/>
        <v>0</v>
      </c>
      <c r="AC94" s="2">
        <f t="shared" si="8"/>
      </c>
    </row>
    <row r="95">
      <c r="A95" s="64" t="n"/>
      <c r="B95" s="65" t="n"/>
      <c r="C95" s="65" t="n"/>
      <c r="D95" s="65" t="n"/>
      <c r="E95" s="65" t="n"/>
      <c r="F95" s="66" t="n"/>
      <c r="G95" s="65" t="n"/>
      <c r="H95" s="66" t="n"/>
      <c r="I95" s="64" t="n"/>
      <c r="J95" s="68" t="n"/>
      <c r="K95" s="68" t="n"/>
      <c r="L95" s="68" t="n"/>
      <c r="M95" s="64" t="n"/>
      <c r="N95" s="64" t="n"/>
      <c r="O95" s="64" t="n"/>
      <c r="P95" s="64" t="n"/>
      <c r="Q95" s="64" t="n"/>
      <c r="R95" s="64" t="n"/>
      <c r="S95" s="66" t="n"/>
      <c r="T95" s="45" t="n"/>
      <c r="U95" s="43">
        <f t="shared" si="0"/>
      </c>
      <c r="V95" s="49">
        <f t="shared" si="1"/>
      </c>
      <c r="W95" s="49">
        <f t="shared" si="2"/>
      </c>
      <c r="X95" s="2">
        <f t="shared" si="3"/>
      </c>
      <c r="Y95" s="2">
        <f t="shared" si="4"/>
      </c>
      <c r="Z95" s="2">
        <f t="shared" si="5"/>
        <v>0</v>
      </c>
      <c r="AA95" s="2">
        <f t="shared" si="6"/>
        <v>0</v>
      </c>
      <c r="AB95" s="2">
        <f t="shared" si="7"/>
        <v>0</v>
      </c>
      <c r="AC95" s="2">
        <f t="shared" si="8"/>
      </c>
    </row>
    <row r="96">
      <c r="A96" s="64" t="n"/>
      <c r="B96" s="65" t="n"/>
      <c r="C96" s="65" t="n"/>
      <c r="D96" s="65" t="n"/>
      <c r="E96" s="65" t="n"/>
      <c r="F96" s="66" t="n"/>
      <c r="G96" s="65" t="n"/>
      <c r="H96" s="66" t="n"/>
      <c r="I96" s="64" t="n"/>
      <c r="J96" s="68" t="n"/>
      <c r="K96" s="68" t="n"/>
      <c r="L96" s="68" t="n"/>
      <c r="M96" s="64" t="n"/>
      <c r="N96" s="64" t="n"/>
      <c r="O96" s="64" t="n"/>
      <c r="P96" s="64" t="n"/>
      <c r="Q96" s="64" t="n"/>
      <c r="R96" s="64" t="n"/>
      <c r="S96" s="66" t="n"/>
      <c r="T96" s="45" t="n"/>
      <c r="U96" s="43">
        <f t="shared" si="0"/>
      </c>
      <c r="V96" s="49">
        <f t="shared" si="1"/>
      </c>
      <c r="W96" s="49">
        <f t="shared" si="2"/>
      </c>
      <c r="X96" s="2">
        <f t="shared" si="3"/>
      </c>
      <c r="Y96" s="2">
        <f t="shared" si="4"/>
      </c>
      <c r="Z96" s="2">
        <f t="shared" si="5"/>
        <v>0</v>
      </c>
      <c r="AA96" s="2">
        <f t="shared" si="6"/>
        <v>0</v>
      </c>
      <c r="AB96" s="2">
        <f t="shared" si="7"/>
        <v>0</v>
      </c>
      <c r="AC96" s="2">
        <f t="shared" si="8"/>
      </c>
    </row>
    <row r="97">
      <c r="A97" s="64" t="n"/>
      <c r="B97" s="65" t="n"/>
      <c r="C97" s="65" t="n"/>
      <c r="D97" s="65" t="n"/>
      <c r="E97" s="65" t="n"/>
      <c r="F97" s="66" t="n"/>
      <c r="G97" s="65" t="n"/>
      <c r="H97" s="66" t="n"/>
      <c r="I97" s="64" t="n"/>
      <c r="J97" s="68" t="n"/>
      <c r="K97" s="68" t="n"/>
      <c r="L97" s="68" t="n"/>
      <c r="M97" s="64" t="n"/>
      <c r="N97" s="64" t="n"/>
      <c r="O97" s="64" t="n"/>
      <c r="P97" s="64" t="n"/>
      <c r="Q97" s="64" t="n"/>
      <c r="R97" s="64" t="n"/>
      <c r="S97" s="66" t="n"/>
      <c r="T97" s="45" t="n"/>
      <c r="U97" s="43">
        <f t="shared" si="0"/>
      </c>
      <c r="V97" s="49">
        <f t="shared" si="1"/>
      </c>
      <c r="W97" s="49">
        <f t="shared" si="2"/>
      </c>
      <c r="X97" s="2">
        <f t="shared" si="3"/>
      </c>
      <c r="Y97" s="2">
        <f t="shared" si="4"/>
      </c>
      <c r="Z97" s="2">
        <f t="shared" si="5"/>
        <v>0</v>
      </c>
      <c r="AA97" s="2">
        <f t="shared" si="6"/>
        <v>0</v>
      </c>
      <c r="AB97" s="2">
        <f t="shared" si="7"/>
        <v>0</v>
      </c>
      <c r="AC97" s="2">
        <f t="shared" si="8"/>
      </c>
    </row>
    <row r="98">
      <c r="A98" s="64" t="n"/>
      <c r="B98" s="65" t="n"/>
      <c r="C98" s="65" t="n"/>
      <c r="D98" s="65" t="n"/>
      <c r="E98" s="65" t="n"/>
      <c r="F98" s="66" t="n"/>
      <c r="G98" s="65" t="n"/>
      <c r="H98" s="66" t="n"/>
      <c r="I98" s="64" t="n"/>
      <c r="J98" s="68" t="n"/>
      <c r="K98" s="68" t="n"/>
      <c r="L98" s="68" t="n"/>
      <c r="M98" s="64" t="n"/>
      <c r="N98" s="64" t="n"/>
      <c r="O98" s="64" t="n"/>
      <c r="P98" s="64" t="n"/>
      <c r="Q98" s="64" t="n"/>
      <c r="R98" s="64" t="n"/>
      <c r="S98" s="66" t="n"/>
      <c r="T98" s="45" t="n"/>
      <c r="U98" s="43">
        <f t="shared" si="0"/>
      </c>
      <c r="V98" s="49">
        <f t="shared" si="1"/>
      </c>
      <c r="W98" s="49">
        <f t="shared" si="2"/>
      </c>
      <c r="X98" s="2">
        <f t="shared" si="3"/>
      </c>
      <c r="Y98" s="2">
        <f t="shared" si="4"/>
      </c>
      <c r="Z98" s="2">
        <f t="shared" si="5"/>
        <v>0</v>
      </c>
      <c r="AA98" s="2">
        <f t="shared" si="6"/>
        <v>0</v>
      </c>
      <c r="AB98" s="2">
        <f t="shared" si="7"/>
        <v>0</v>
      </c>
      <c r="AC98" s="2">
        <f t="shared" si="8"/>
      </c>
    </row>
    <row r="99">
      <c r="A99" s="64" t="n"/>
      <c r="B99" s="65" t="n"/>
      <c r="C99" s="65" t="n"/>
      <c r="D99" s="65" t="n"/>
      <c r="E99" s="65" t="n"/>
      <c r="F99" s="66" t="n"/>
      <c r="G99" s="65" t="n"/>
      <c r="H99" s="66" t="n"/>
      <c r="I99" s="64" t="n"/>
      <c r="J99" s="68" t="n"/>
      <c r="K99" s="68" t="n"/>
      <c r="L99" s="68" t="n"/>
      <c r="M99" s="64" t="n"/>
      <c r="N99" s="64" t="n"/>
      <c r="O99" s="64" t="n"/>
      <c r="P99" s="64" t="n"/>
      <c r="Q99" s="64" t="n"/>
      <c r="R99" s="64" t="n"/>
      <c r="S99" s="66" t="n"/>
      <c r="T99" s="45" t="n"/>
      <c r="U99" s="43">
        <f t="shared" si="0"/>
      </c>
      <c r="V99" s="49">
        <f t="shared" si="1"/>
      </c>
      <c r="W99" s="49">
        <f t="shared" si="2"/>
      </c>
      <c r="X99" s="2">
        <f t="shared" si="3"/>
      </c>
      <c r="Y99" s="2">
        <f t="shared" si="4"/>
      </c>
      <c r="Z99" s="2">
        <f t="shared" si="5"/>
        <v>0</v>
      </c>
      <c r="AA99" s="2">
        <f t="shared" si="6"/>
        <v>0</v>
      </c>
      <c r="AB99" s="2">
        <f t="shared" si="7"/>
        <v>0</v>
      </c>
      <c r="AC99" s="2">
        <f t="shared" si="8"/>
      </c>
    </row>
    <row r="100">
      <c r="A100" s="64" t="n"/>
      <c r="B100" s="65" t="n"/>
      <c r="C100" s="65" t="n"/>
      <c r="D100" s="65" t="n"/>
      <c r="E100" s="65" t="n"/>
      <c r="F100" s="66" t="n"/>
      <c r="G100" s="65" t="n"/>
      <c r="H100" s="66" t="n"/>
      <c r="I100" s="64" t="n"/>
      <c r="J100" s="68" t="n"/>
      <c r="K100" s="68" t="n"/>
      <c r="L100" s="68" t="n"/>
      <c r="M100" s="64" t="n"/>
      <c r="N100" s="64" t="n"/>
      <c r="O100" s="64" t="n"/>
      <c r="P100" s="64" t="n"/>
      <c r="Q100" s="64" t="n"/>
      <c r="R100" s="64" t="n"/>
      <c r="S100" s="66" t="n"/>
      <c r="T100" s="45" t="n"/>
      <c r="U100" s="43">
        <f t="shared" si="0"/>
      </c>
      <c r="V100" s="49">
        <f t="shared" si="1"/>
      </c>
      <c r="W100" s="49">
        <f t="shared" si="2"/>
      </c>
      <c r="X100" s="2">
        <f t="shared" si="3"/>
      </c>
      <c r="Y100" s="2">
        <f t="shared" si="4"/>
      </c>
      <c r="Z100" s="2">
        <f t="shared" si="5"/>
        <v>0</v>
      </c>
      <c r="AA100" s="2">
        <f t="shared" si="6"/>
        <v>0</v>
      </c>
      <c r="AB100" s="2">
        <f t="shared" si="7"/>
        <v>0</v>
      </c>
      <c r="AC100" s="2">
        <f t="shared" si="8"/>
      </c>
    </row>
    <row r="101">
      <c r="A101" s="64" t="n"/>
      <c r="B101" s="65" t="n"/>
      <c r="C101" s="65" t="n"/>
      <c r="D101" s="65" t="n"/>
      <c r="E101" s="65" t="n"/>
      <c r="F101" s="66" t="n"/>
      <c r="G101" s="65" t="n"/>
      <c r="H101" s="66" t="n"/>
      <c r="I101" s="64" t="n"/>
      <c r="J101" s="68" t="n"/>
      <c r="K101" s="68" t="n"/>
      <c r="L101" s="68" t="n"/>
      <c r="M101" s="64" t="n"/>
      <c r="N101" s="64" t="n"/>
      <c r="O101" s="64" t="n"/>
      <c r="P101" s="64" t="n"/>
      <c r="Q101" s="64" t="n"/>
      <c r="R101" s="64" t="n"/>
      <c r="S101" s="66" t="n"/>
      <c r="T101" s="45" t="n"/>
      <c r="U101" s="43">
        <f t="shared" si="0"/>
      </c>
      <c r="V101" s="49">
        <f t="shared" si="1"/>
      </c>
      <c r="W101" s="49">
        <f t="shared" si="2"/>
      </c>
      <c r="X101" s="2">
        <f t="shared" si="3"/>
      </c>
      <c r="Y101" s="2">
        <f t="shared" si="4"/>
      </c>
      <c r="Z101" s="2">
        <f t="shared" si="5"/>
        <v>0</v>
      </c>
      <c r="AA101" s="2">
        <f t="shared" si="6"/>
        <v>0</v>
      </c>
      <c r="AB101" s="2">
        <f t="shared" si="7"/>
        <v>0</v>
      </c>
      <c r="AC101" s="2">
        <f t="shared" si="8"/>
      </c>
    </row>
    <row r="102">
      <c r="A102" s="64" t="n"/>
      <c r="B102" s="65" t="n"/>
      <c r="C102" s="65" t="n"/>
      <c r="D102" s="65" t="n"/>
      <c r="E102" s="65" t="n"/>
      <c r="F102" s="66" t="n"/>
      <c r="G102" s="65" t="n"/>
      <c r="H102" s="66" t="n"/>
      <c r="I102" s="64" t="n"/>
      <c r="J102" s="68" t="n"/>
      <c r="K102" s="68" t="n"/>
      <c r="L102" s="68" t="n"/>
      <c r="M102" s="64" t="n"/>
      <c r="N102" s="64" t="n"/>
      <c r="O102" s="64" t="n"/>
      <c r="P102" s="64" t="n"/>
      <c r="Q102" s="64" t="n"/>
      <c r="R102" s="64" t="n"/>
      <c r="S102" s="66" t="n"/>
      <c r="T102" s="45" t="n"/>
      <c r="U102" s="43">
        <f t="shared" si="0"/>
      </c>
      <c r="V102" s="49">
        <f t="shared" si="1"/>
      </c>
      <c r="W102" s="49">
        <f t="shared" si="2"/>
      </c>
      <c r="X102" s="2">
        <f t="shared" si="3"/>
      </c>
      <c r="Y102" s="2">
        <f t="shared" si="4"/>
      </c>
      <c r="Z102" s="2">
        <f t="shared" si="5"/>
        <v>0</v>
      </c>
      <c r="AA102" s="2">
        <f t="shared" si="6"/>
        <v>0</v>
      </c>
      <c r="AB102" s="2">
        <f t="shared" si="7"/>
        <v>0</v>
      </c>
      <c r="AC102" s="2">
        <f t="shared" si="8"/>
      </c>
    </row>
    <row r="103">
      <c r="A103" s="64" t="n"/>
      <c r="B103" s="65" t="n"/>
      <c r="C103" s="65" t="n"/>
      <c r="D103" s="65" t="n"/>
      <c r="E103" s="65" t="n"/>
      <c r="F103" s="66" t="n"/>
      <c r="G103" s="65" t="n"/>
      <c r="H103" s="66" t="n"/>
      <c r="I103" s="64" t="n"/>
      <c r="J103" s="68" t="n"/>
      <c r="K103" s="68" t="n"/>
      <c r="L103" s="68" t="n"/>
      <c r="M103" s="64" t="n"/>
      <c r="N103" s="64" t="n"/>
      <c r="O103" s="64" t="n"/>
      <c r="P103" s="64" t="n"/>
      <c r="Q103" s="64" t="n"/>
      <c r="R103" s="64" t="n"/>
      <c r="S103" s="66" t="n"/>
      <c r="T103" s="45" t="n"/>
      <c r="U103" s="43">
        <f t="shared" si="0"/>
      </c>
      <c r="V103" s="49">
        <f t="shared" si="1"/>
      </c>
      <c r="W103" s="49">
        <f t="shared" si="2"/>
      </c>
      <c r="X103" s="2">
        <f t="shared" si="3"/>
      </c>
      <c r="Y103" s="2">
        <f t="shared" si="4"/>
      </c>
      <c r="Z103" s="2">
        <f t="shared" si="5"/>
        <v>0</v>
      </c>
      <c r="AA103" s="2">
        <f t="shared" si="6"/>
        <v>0</v>
      </c>
      <c r="AB103" s="2">
        <f t="shared" si="7"/>
        <v>0</v>
      </c>
      <c r="AC103" s="2">
        <f t="shared" si="8"/>
      </c>
    </row>
    <row r="104">
      <c r="A104" s="64" t="n"/>
      <c r="B104" s="65" t="n"/>
      <c r="C104" s="65" t="n"/>
      <c r="D104" s="65" t="n"/>
      <c r="E104" s="65" t="n"/>
      <c r="F104" s="66" t="n"/>
      <c r="G104" s="65" t="n"/>
      <c r="H104" s="66" t="n"/>
      <c r="I104" s="64" t="n"/>
      <c r="J104" s="68" t="n"/>
      <c r="K104" s="68" t="n"/>
      <c r="L104" s="68" t="n"/>
      <c r="M104" s="64" t="n"/>
      <c r="N104" s="64" t="n"/>
      <c r="O104" s="64" t="n"/>
      <c r="P104" s="64" t="n"/>
      <c r="Q104" s="64" t="n"/>
      <c r="R104" s="64" t="n"/>
      <c r="S104" s="66" t="n"/>
      <c r="T104" s="45" t="n"/>
      <c r="U104" s="43">
        <f t="shared" si="0"/>
      </c>
      <c r="V104" s="49">
        <f t="shared" si="1"/>
      </c>
      <c r="W104" s="49">
        <f t="shared" si="2"/>
      </c>
      <c r="X104" s="2">
        <f t="shared" si="3"/>
      </c>
      <c r="Y104" s="2">
        <f t="shared" si="4"/>
      </c>
      <c r="Z104" s="2">
        <f t="shared" si="5"/>
        <v>0</v>
      </c>
      <c r="AA104" s="2">
        <f t="shared" si="6"/>
        <v>0</v>
      </c>
      <c r="AB104" s="2">
        <f t="shared" si="7"/>
        <v>0</v>
      </c>
      <c r="AC104" s="2">
        <f t="shared" si="8"/>
      </c>
    </row>
    <row r="105">
      <c r="A105" s="64" t="n"/>
      <c r="B105" s="65" t="n"/>
      <c r="C105" s="65" t="n"/>
      <c r="D105" s="65" t="n"/>
      <c r="E105" s="65" t="n"/>
      <c r="F105" s="66" t="n"/>
      <c r="G105" s="65" t="n"/>
      <c r="H105" s="66" t="n"/>
      <c r="I105" s="64" t="n"/>
      <c r="J105" s="68" t="n"/>
      <c r="K105" s="68" t="n"/>
      <c r="L105" s="68" t="n"/>
      <c r="M105" s="64" t="n"/>
      <c r="N105" s="64" t="n"/>
      <c r="O105" s="64" t="n"/>
      <c r="P105" s="64" t="n"/>
      <c r="Q105" s="64" t="n"/>
      <c r="R105" s="64" t="n"/>
      <c r="S105" s="66" t="n"/>
      <c r="T105" s="45" t="n"/>
      <c r="U105" s="43">
        <f t="shared" si="0"/>
      </c>
      <c r="V105" s="49">
        <f t="shared" si="1"/>
      </c>
      <c r="W105" s="49">
        <f t="shared" si="2"/>
      </c>
      <c r="X105" s="2">
        <f t="shared" si="3"/>
      </c>
      <c r="Y105" s="2">
        <f t="shared" si="4"/>
      </c>
      <c r="Z105" s="2">
        <f t="shared" si="5"/>
        <v>0</v>
      </c>
      <c r="AA105" s="2">
        <f t="shared" si="6"/>
        <v>0</v>
      </c>
      <c r="AB105" s="2">
        <f t="shared" si="7"/>
        <v>0</v>
      </c>
      <c r="AC105" s="2">
        <f t="shared" si="8"/>
      </c>
    </row>
    <row r="106">
      <c r="A106" s="64" t="n"/>
      <c r="B106" s="65" t="n"/>
      <c r="C106" s="65" t="n"/>
      <c r="D106" s="65" t="n"/>
      <c r="E106" s="65" t="n"/>
      <c r="F106" s="66" t="n"/>
      <c r="G106" s="65" t="n"/>
      <c r="H106" s="66" t="n"/>
      <c r="I106" s="64" t="n"/>
      <c r="J106" s="68" t="n"/>
      <c r="K106" s="68" t="n"/>
      <c r="L106" s="68" t="n"/>
      <c r="M106" s="64" t="n"/>
      <c r="N106" s="64" t="n"/>
      <c r="O106" s="64" t="n"/>
      <c r="P106" s="64" t="n"/>
      <c r="Q106" s="64" t="n"/>
      <c r="R106" s="64" t="n"/>
      <c r="S106" s="66" t="n"/>
      <c r="T106" s="45" t="n"/>
      <c r="U106" s="43">
        <f t="shared" si="0"/>
      </c>
      <c r="V106" s="49">
        <f t="shared" si="1"/>
      </c>
      <c r="W106" s="49">
        <f t="shared" si="2"/>
      </c>
      <c r="X106" s="2">
        <f t="shared" si="3"/>
      </c>
      <c r="Y106" s="2">
        <f t="shared" si="4"/>
      </c>
      <c r="Z106" s="2">
        <f t="shared" si="5"/>
        <v>0</v>
      </c>
      <c r="AA106" s="2">
        <f t="shared" si="6"/>
        <v>0</v>
      </c>
      <c r="AB106" s="2">
        <f t="shared" si="7"/>
        <v>0</v>
      </c>
      <c r="AC106" s="2">
        <f t="shared" si="8"/>
      </c>
    </row>
    <row r="107">
      <c r="A107" s="64" t="n"/>
      <c r="B107" s="65" t="n"/>
      <c r="C107" s="65" t="n"/>
      <c r="D107" s="65" t="n"/>
      <c r="E107" s="65" t="n"/>
      <c r="F107" s="66" t="n"/>
      <c r="G107" s="65" t="n"/>
      <c r="H107" s="66" t="n"/>
      <c r="I107" s="64" t="n"/>
      <c r="J107" s="68" t="n"/>
      <c r="K107" s="68" t="n"/>
      <c r="L107" s="68" t="n"/>
      <c r="M107" s="64" t="n"/>
      <c r="N107" s="64" t="n"/>
      <c r="O107" s="64" t="n"/>
      <c r="P107" s="64" t="n"/>
      <c r="Q107" s="64" t="n"/>
      <c r="R107" s="64" t="n"/>
      <c r="S107" s="66" t="n"/>
      <c r="T107" s="45" t="n"/>
      <c r="U107" s="43">
        <f t="shared" si="0"/>
      </c>
      <c r="V107" s="49">
        <f t="shared" si="1"/>
      </c>
      <c r="W107" s="49">
        <f t="shared" si="2"/>
      </c>
      <c r="X107" s="2">
        <f t="shared" si="3"/>
      </c>
      <c r="Y107" s="2">
        <f t="shared" si="4"/>
      </c>
      <c r="Z107" s="2">
        <f t="shared" si="5"/>
        <v>0</v>
      </c>
      <c r="AA107" s="2">
        <f t="shared" si="6"/>
        <v>0</v>
      </c>
      <c r="AB107" s="2">
        <f t="shared" si="7"/>
        <v>0</v>
      </c>
      <c r="AC107" s="2">
        <f t="shared" si="8"/>
      </c>
    </row>
    <row r="108">
      <c r="A108" s="64" t="n"/>
      <c r="B108" s="65" t="n"/>
      <c r="C108" s="65" t="n"/>
      <c r="D108" s="65" t="n"/>
      <c r="E108" s="65" t="n"/>
      <c r="F108" s="66" t="n"/>
      <c r="G108" s="65" t="n"/>
      <c r="H108" s="66" t="n"/>
      <c r="I108" s="64" t="n"/>
      <c r="J108" s="68" t="n"/>
      <c r="K108" s="68" t="n"/>
      <c r="L108" s="68" t="n"/>
      <c r="M108" s="64" t="n"/>
      <c r="N108" s="64" t="n"/>
      <c r="O108" s="64" t="n"/>
      <c r="P108" s="64" t="n"/>
      <c r="Q108" s="64" t="n"/>
      <c r="R108" s="64" t="n"/>
      <c r="S108" s="66" t="n"/>
      <c r="T108" s="45" t="n"/>
      <c r="U108" s="43">
        <f t="shared" si="0"/>
      </c>
      <c r="V108" s="49">
        <f t="shared" si="1"/>
      </c>
      <c r="W108" s="49">
        <f t="shared" si="2"/>
      </c>
      <c r="X108" s="2">
        <f t="shared" si="3"/>
      </c>
      <c r="Y108" s="2">
        <f t="shared" si="4"/>
      </c>
      <c r="Z108" s="2">
        <f t="shared" si="5"/>
        <v>0</v>
      </c>
      <c r="AA108" s="2">
        <f t="shared" si="6"/>
        <v>0</v>
      </c>
      <c r="AB108" s="2">
        <f t="shared" si="7"/>
        <v>0</v>
      </c>
      <c r="AC108" s="2">
        <f t="shared" si="8"/>
      </c>
    </row>
    <row r="109">
      <c r="A109" s="64" t="n"/>
      <c r="B109" s="65" t="n"/>
      <c r="C109" s="65" t="n"/>
      <c r="D109" s="65" t="n"/>
      <c r="E109" s="65" t="n"/>
      <c r="F109" s="66" t="n"/>
      <c r="G109" s="65" t="n"/>
      <c r="H109" s="66" t="n"/>
      <c r="I109" s="64" t="n"/>
      <c r="J109" s="68" t="n"/>
      <c r="K109" s="68" t="n"/>
      <c r="L109" s="68" t="n"/>
      <c r="M109" s="64" t="n"/>
      <c r="N109" s="64" t="n"/>
      <c r="O109" s="64" t="n"/>
      <c r="P109" s="64" t="n"/>
      <c r="Q109" s="64" t="n"/>
      <c r="R109" s="64" t="n"/>
      <c r="S109" s="66" t="n"/>
      <c r="T109" s="45" t="n"/>
      <c r="U109" s="43">
        <f t="shared" si="0"/>
      </c>
      <c r="V109" s="49">
        <f t="shared" si="1"/>
      </c>
      <c r="W109" s="49">
        <f t="shared" si="2"/>
      </c>
      <c r="X109" s="2">
        <f t="shared" si="3"/>
      </c>
      <c r="Y109" s="2">
        <f t="shared" si="4"/>
      </c>
      <c r="Z109" s="2">
        <f t="shared" si="5"/>
        <v>0</v>
      </c>
      <c r="AA109" s="2">
        <f t="shared" si="6"/>
        <v>0</v>
      </c>
      <c r="AB109" s="2">
        <f t="shared" si="7"/>
        <v>0</v>
      </c>
      <c r="AC109" s="2">
        <f t="shared" si="8"/>
      </c>
    </row>
    <row r="110">
      <c r="A110" s="64" t="n"/>
      <c r="B110" s="65" t="n"/>
      <c r="C110" s="65" t="n"/>
      <c r="D110" s="65" t="n"/>
      <c r="E110" s="65" t="n"/>
      <c r="F110" s="66" t="n"/>
      <c r="G110" s="65" t="n"/>
      <c r="H110" s="66" t="n"/>
      <c r="I110" s="64" t="n"/>
      <c r="J110" s="68" t="n"/>
      <c r="K110" s="68" t="n"/>
      <c r="L110" s="68" t="n"/>
      <c r="M110" s="64" t="n"/>
      <c r="N110" s="64" t="n"/>
      <c r="O110" s="64" t="n"/>
      <c r="P110" s="64" t="n"/>
      <c r="Q110" s="64" t="n"/>
      <c r="R110" s="64" t="n"/>
      <c r="S110" s="66" t="n"/>
      <c r="T110" s="45" t="n"/>
      <c r="U110" s="43">
        <f t="shared" si="0"/>
      </c>
      <c r="V110" s="49">
        <f t="shared" si="1"/>
      </c>
      <c r="W110" s="49">
        <f t="shared" si="2"/>
      </c>
      <c r="X110" s="2">
        <f t="shared" si="3"/>
      </c>
      <c r="Y110" s="2">
        <f t="shared" si="4"/>
      </c>
      <c r="Z110" s="2">
        <f t="shared" si="5"/>
        <v>0</v>
      </c>
      <c r="AA110" s="2">
        <f t="shared" si="6"/>
        <v>0</v>
      </c>
      <c r="AB110" s="2">
        <f t="shared" si="7"/>
        <v>0</v>
      </c>
      <c r="AC110" s="2">
        <f t="shared" si="8"/>
      </c>
    </row>
    <row r="111">
      <c r="A111" s="64" t="n"/>
      <c r="B111" s="65" t="n"/>
      <c r="C111" s="65" t="n"/>
      <c r="D111" s="65" t="n"/>
      <c r="E111" s="65" t="n"/>
      <c r="F111" s="66" t="n"/>
      <c r="G111" s="65" t="n"/>
      <c r="H111" s="66" t="n"/>
      <c r="I111" s="64" t="n"/>
      <c r="J111" s="68" t="n"/>
      <c r="K111" s="68" t="n"/>
      <c r="L111" s="68" t="n"/>
      <c r="M111" s="64" t="n"/>
      <c r="N111" s="64" t="n"/>
      <c r="O111" s="64" t="n"/>
      <c r="P111" s="64" t="n"/>
      <c r="Q111" s="64" t="n"/>
      <c r="R111" s="64" t="n"/>
      <c r="S111" s="66" t="n"/>
      <c r="T111" s="45" t="n"/>
      <c r="U111" s="43">
        <f t="shared" si="0"/>
      </c>
      <c r="V111" s="49">
        <f t="shared" si="1"/>
      </c>
      <c r="W111" s="49">
        <f t="shared" si="2"/>
      </c>
      <c r="X111" s="2">
        <f t="shared" si="3"/>
      </c>
      <c r="Y111" s="2">
        <f t="shared" si="4"/>
      </c>
      <c r="Z111" s="2">
        <f t="shared" si="5"/>
        <v>0</v>
      </c>
      <c r="AA111" s="2">
        <f t="shared" si="6"/>
        <v>0</v>
      </c>
      <c r="AB111" s="2">
        <f t="shared" si="7"/>
        <v>0</v>
      </c>
      <c r="AC111" s="2">
        <f t="shared" si="8"/>
      </c>
    </row>
    <row r="112">
      <c r="A112" s="64" t="n"/>
      <c r="B112" s="65" t="n"/>
      <c r="C112" s="65" t="n"/>
      <c r="D112" s="65" t="n"/>
      <c r="E112" s="65" t="n"/>
      <c r="F112" s="66" t="n"/>
      <c r="G112" s="65" t="n"/>
      <c r="H112" s="66" t="n"/>
      <c r="I112" s="64" t="n"/>
      <c r="J112" s="68" t="n"/>
      <c r="K112" s="68" t="n"/>
      <c r="L112" s="68" t="n"/>
      <c r="M112" s="64" t="n"/>
      <c r="N112" s="64" t="n"/>
      <c r="O112" s="64" t="n"/>
      <c r="P112" s="64" t="n"/>
      <c r="Q112" s="64" t="n"/>
      <c r="R112" s="64" t="n"/>
      <c r="S112" s="66" t="n"/>
      <c r="T112" s="45" t="n"/>
      <c r="U112" s="43">
        <f t="shared" si="0"/>
      </c>
      <c r="V112" s="49">
        <f t="shared" si="1"/>
      </c>
      <c r="W112" s="49">
        <f t="shared" si="2"/>
      </c>
      <c r="X112" s="2">
        <f t="shared" si="3"/>
      </c>
      <c r="Y112" s="2">
        <f t="shared" si="4"/>
      </c>
      <c r="Z112" s="2">
        <f t="shared" si="5"/>
        <v>0</v>
      </c>
      <c r="AA112" s="2">
        <f t="shared" si="6"/>
        <v>0</v>
      </c>
      <c r="AB112" s="2">
        <f t="shared" si="7"/>
        <v>0</v>
      </c>
      <c r="AC112" s="2">
        <f t="shared" si="8"/>
      </c>
    </row>
    <row r="113">
      <c r="A113" s="64" t="n"/>
      <c r="B113" s="65" t="n"/>
      <c r="C113" s="65" t="n"/>
      <c r="D113" s="65" t="n"/>
      <c r="E113" s="65" t="n"/>
      <c r="F113" s="66" t="n"/>
      <c r="G113" s="65" t="n"/>
      <c r="H113" s="66" t="n"/>
      <c r="I113" s="64" t="n"/>
      <c r="J113" s="68" t="n"/>
      <c r="K113" s="68" t="n"/>
      <c r="L113" s="68" t="n"/>
      <c r="M113" s="64" t="n"/>
      <c r="N113" s="64" t="n"/>
      <c r="O113" s="64" t="n"/>
      <c r="P113" s="64" t="n"/>
      <c r="Q113" s="64" t="n"/>
      <c r="R113" s="64" t="n"/>
      <c r="S113" s="66" t="n"/>
      <c r="T113" s="45" t="n"/>
      <c r="U113" s="43">
        <f t="shared" si="0"/>
      </c>
      <c r="V113" s="49">
        <f t="shared" si="1"/>
      </c>
      <c r="W113" s="49">
        <f t="shared" si="2"/>
      </c>
      <c r="X113" s="2">
        <f t="shared" si="3"/>
      </c>
      <c r="Y113" s="2">
        <f t="shared" si="4"/>
      </c>
      <c r="Z113" s="2">
        <f t="shared" si="5"/>
        <v>0</v>
      </c>
      <c r="AA113" s="2">
        <f t="shared" si="6"/>
        <v>0</v>
      </c>
      <c r="AB113" s="2">
        <f t="shared" si="7"/>
        <v>0</v>
      </c>
      <c r="AC113" s="2">
        <f t="shared" si="8"/>
      </c>
    </row>
    <row r="114">
      <c r="A114" s="64" t="n"/>
      <c r="B114" s="65" t="n"/>
      <c r="C114" s="65" t="n"/>
      <c r="D114" s="65" t="n"/>
      <c r="E114" s="65" t="n"/>
      <c r="F114" s="66" t="n"/>
      <c r="G114" s="65" t="n"/>
      <c r="H114" s="66" t="n"/>
      <c r="I114" s="64" t="n"/>
      <c r="J114" s="68" t="n"/>
      <c r="K114" s="68" t="n"/>
      <c r="L114" s="68" t="n"/>
      <c r="M114" s="64" t="n"/>
      <c r="N114" s="64" t="n"/>
      <c r="O114" s="64" t="n"/>
      <c r="P114" s="64" t="n"/>
      <c r="Q114" s="64" t="n"/>
      <c r="R114" s="64" t="n"/>
      <c r="S114" s="66" t="n"/>
      <c r="T114" s="45" t="n"/>
      <c r="U114" s="43">
        <f t="shared" si="0"/>
      </c>
      <c r="V114" s="49">
        <f t="shared" si="1"/>
      </c>
      <c r="W114" s="49">
        <f t="shared" si="2"/>
      </c>
      <c r="X114" s="2">
        <f t="shared" si="3"/>
      </c>
      <c r="Y114" s="2">
        <f t="shared" si="4"/>
      </c>
      <c r="Z114" s="2">
        <f t="shared" si="5"/>
        <v>0</v>
      </c>
      <c r="AA114" s="2">
        <f t="shared" si="6"/>
        <v>0</v>
      </c>
      <c r="AB114" s="2">
        <f t="shared" si="7"/>
        <v>0</v>
      </c>
      <c r="AC114" s="2">
        <f t="shared" si="8"/>
      </c>
    </row>
    <row r="115">
      <c r="A115" s="64" t="n"/>
      <c r="B115" s="65" t="n"/>
      <c r="C115" s="65" t="n"/>
      <c r="D115" s="65" t="n"/>
      <c r="E115" s="65" t="n"/>
      <c r="F115" s="66" t="n"/>
      <c r="G115" s="65" t="n"/>
      <c r="H115" s="66" t="n"/>
      <c r="I115" s="64" t="n"/>
      <c r="J115" s="68" t="n"/>
      <c r="K115" s="68" t="n"/>
      <c r="L115" s="68" t="n"/>
      <c r="M115" s="64" t="n"/>
      <c r="N115" s="64" t="n"/>
      <c r="O115" s="64" t="n"/>
      <c r="P115" s="64" t="n"/>
      <c r="Q115" s="64" t="n"/>
      <c r="R115" s="64" t="n"/>
      <c r="S115" s="66" t="n"/>
      <c r="T115" s="45" t="n"/>
      <c r="U115" s="43">
        <f t="shared" si="0"/>
      </c>
      <c r="V115" s="49">
        <f t="shared" si="1"/>
      </c>
      <c r="W115" s="49">
        <f t="shared" si="2"/>
      </c>
      <c r="X115" s="2">
        <f t="shared" si="3"/>
      </c>
      <c r="Y115" s="2">
        <f t="shared" si="4"/>
      </c>
      <c r="Z115" s="2">
        <f t="shared" si="5"/>
        <v>0</v>
      </c>
      <c r="AA115" s="2">
        <f t="shared" si="6"/>
        <v>0</v>
      </c>
      <c r="AB115" s="2">
        <f t="shared" si="7"/>
        <v>0</v>
      </c>
      <c r="AC115" s="2">
        <f t="shared" si="8"/>
      </c>
    </row>
    <row r="116">
      <c r="A116" s="64" t="n"/>
      <c r="B116" s="65" t="n"/>
      <c r="C116" s="65" t="n"/>
      <c r="D116" s="65" t="n"/>
      <c r="E116" s="65" t="n"/>
      <c r="F116" s="66" t="n"/>
      <c r="G116" s="65" t="n"/>
      <c r="H116" s="66" t="n"/>
      <c r="I116" s="64" t="n"/>
      <c r="J116" s="68" t="n"/>
      <c r="K116" s="68" t="n"/>
      <c r="L116" s="68" t="n"/>
      <c r="M116" s="64" t="n"/>
      <c r="N116" s="64" t="n"/>
      <c r="O116" s="64" t="n"/>
      <c r="P116" s="64" t="n"/>
      <c r="Q116" s="64" t="n"/>
      <c r="R116" s="64" t="n"/>
      <c r="S116" s="66" t="n"/>
      <c r="T116" s="45" t="n"/>
      <c r="U116" s="43">
        <f t="shared" si="0"/>
      </c>
      <c r="V116" s="49">
        <f t="shared" si="1"/>
      </c>
      <c r="W116" s="49">
        <f t="shared" si="2"/>
      </c>
      <c r="X116" s="2">
        <f t="shared" si="3"/>
      </c>
      <c r="Y116" s="2">
        <f t="shared" si="4"/>
      </c>
      <c r="Z116" s="2">
        <f t="shared" si="5"/>
        <v>0</v>
      </c>
      <c r="AA116" s="2">
        <f t="shared" si="6"/>
        <v>0</v>
      </c>
      <c r="AB116" s="2">
        <f t="shared" si="7"/>
        <v>0</v>
      </c>
      <c r="AC116" s="2">
        <f t="shared" si="8"/>
      </c>
    </row>
    <row r="117">
      <c r="A117" s="64" t="n"/>
      <c r="B117" s="65" t="n"/>
      <c r="C117" s="65" t="n"/>
      <c r="D117" s="65" t="n"/>
      <c r="E117" s="65" t="n"/>
      <c r="F117" s="66" t="n"/>
      <c r="G117" s="65" t="n"/>
      <c r="H117" s="66" t="n"/>
      <c r="I117" s="64" t="n"/>
      <c r="J117" s="68" t="n"/>
      <c r="K117" s="68" t="n"/>
      <c r="L117" s="68" t="n"/>
      <c r="M117" s="64" t="n"/>
      <c r="N117" s="64" t="n"/>
      <c r="O117" s="64" t="n"/>
      <c r="P117" s="64" t="n"/>
      <c r="Q117" s="64" t="n"/>
      <c r="R117" s="64" t="n"/>
      <c r="S117" s="66" t="n"/>
      <c r="T117" s="45" t="n"/>
      <c r="U117" s="43">
        <f t="shared" si="0"/>
      </c>
      <c r="V117" s="49">
        <f t="shared" si="1"/>
      </c>
      <c r="W117" s="49">
        <f t="shared" si="2"/>
      </c>
      <c r="X117" s="2">
        <f t="shared" si="3"/>
      </c>
      <c r="Y117" s="2">
        <f t="shared" si="4"/>
      </c>
      <c r="Z117" s="2">
        <f t="shared" si="5"/>
        <v>0</v>
      </c>
      <c r="AA117" s="2">
        <f t="shared" si="6"/>
        <v>0</v>
      </c>
      <c r="AB117" s="2">
        <f t="shared" si="7"/>
        <v>0</v>
      </c>
      <c r="AC117" s="2">
        <f t="shared" si="8"/>
      </c>
    </row>
    <row r="118">
      <c r="A118" s="64" t="n"/>
      <c r="B118" s="65" t="n"/>
      <c r="C118" s="65" t="n"/>
      <c r="D118" s="65" t="n"/>
      <c r="E118" s="65" t="n"/>
      <c r="F118" s="66" t="n"/>
      <c r="G118" s="65" t="n"/>
      <c r="H118" s="66" t="n"/>
      <c r="I118" s="64" t="n"/>
      <c r="J118" s="68" t="n"/>
      <c r="K118" s="68" t="n"/>
      <c r="L118" s="68" t="n"/>
      <c r="M118" s="64" t="n"/>
      <c r="N118" s="64" t="n"/>
      <c r="O118" s="64" t="n"/>
      <c r="P118" s="64" t="n"/>
      <c r="Q118" s="64" t="n"/>
      <c r="R118" s="64" t="n"/>
      <c r="S118" s="66" t="n"/>
      <c r="T118" s="45" t="n"/>
      <c r="U118" s="43">
        <f t="shared" si="0"/>
      </c>
      <c r="V118" s="49">
        <f t="shared" si="1"/>
      </c>
      <c r="W118" s="49">
        <f t="shared" si="2"/>
      </c>
      <c r="X118" s="2">
        <f t="shared" si="3"/>
      </c>
      <c r="Y118" s="2">
        <f t="shared" si="4"/>
      </c>
      <c r="Z118" s="2">
        <f t="shared" si="5"/>
        <v>0</v>
      </c>
      <c r="AA118" s="2">
        <f t="shared" si="6"/>
        <v>0</v>
      </c>
      <c r="AB118" s="2">
        <f t="shared" si="7"/>
        <v>0</v>
      </c>
      <c r="AC118" s="2">
        <f t="shared" si="8"/>
      </c>
    </row>
    <row r="119">
      <c r="A119" s="64" t="n"/>
      <c r="B119" s="65" t="n"/>
      <c r="C119" s="65" t="n"/>
      <c r="D119" s="65" t="n"/>
      <c r="E119" s="65" t="n"/>
      <c r="F119" s="66" t="n"/>
      <c r="G119" s="65" t="n"/>
      <c r="H119" s="66" t="n"/>
      <c r="I119" s="64" t="n"/>
      <c r="J119" s="68" t="n"/>
      <c r="K119" s="68" t="n"/>
      <c r="L119" s="68" t="n"/>
      <c r="M119" s="64" t="n"/>
      <c r="N119" s="64" t="n"/>
      <c r="O119" s="64" t="n"/>
      <c r="P119" s="64" t="n"/>
      <c r="Q119" s="64" t="n"/>
      <c r="R119" s="64" t="n"/>
      <c r="S119" s="66" t="n"/>
      <c r="T119" s="45" t="n"/>
      <c r="U119" s="43">
        <f t="shared" si="0"/>
      </c>
      <c r="V119" s="49">
        <f t="shared" si="1"/>
      </c>
      <c r="W119" s="49">
        <f t="shared" si="2"/>
      </c>
      <c r="X119" s="2">
        <f t="shared" si="3"/>
      </c>
      <c r="Y119" s="2">
        <f t="shared" si="4"/>
      </c>
      <c r="Z119" s="2">
        <f t="shared" si="5"/>
        <v>0</v>
      </c>
      <c r="AA119" s="2">
        <f t="shared" si="6"/>
        <v>0</v>
      </c>
      <c r="AB119" s="2">
        <f t="shared" si="7"/>
        <v>0</v>
      </c>
      <c r="AC119" s="2">
        <f t="shared" si="8"/>
      </c>
    </row>
    <row r="120">
      <c r="A120" s="64" t="n"/>
      <c r="B120" s="65" t="n"/>
      <c r="C120" s="65" t="n"/>
      <c r="D120" s="65" t="n"/>
      <c r="E120" s="65" t="n"/>
      <c r="F120" s="66" t="n"/>
      <c r="G120" s="65" t="n"/>
      <c r="H120" s="66" t="n"/>
      <c r="I120" s="64" t="n"/>
      <c r="J120" s="68" t="n"/>
      <c r="K120" s="68" t="n"/>
      <c r="L120" s="68" t="n"/>
      <c r="M120" s="64" t="n"/>
      <c r="N120" s="64" t="n"/>
      <c r="O120" s="64" t="n"/>
      <c r="P120" s="64" t="n"/>
      <c r="Q120" s="64" t="n"/>
      <c r="R120" s="64" t="n"/>
      <c r="S120" s="66" t="n"/>
      <c r="T120" s="45" t="n"/>
      <c r="U120" s="43">
        <f t="shared" si="0"/>
      </c>
      <c r="V120" s="49">
        <f t="shared" si="1"/>
      </c>
      <c r="W120" s="49">
        <f t="shared" si="2"/>
      </c>
      <c r="X120" s="2">
        <f t="shared" si="3"/>
      </c>
      <c r="Y120" s="2">
        <f t="shared" si="4"/>
      </c>
      <c r="Z120" s="2">
        <f t="shared" si="5"/>
        <v>0</v>
      </c>
      <c r="AA120" s="2">
        <f t="shared" si="6"/>
        <v>0</v>
      </c>
      <c r="AB120" s="2">
        <f t="shared" si="7"/>
        <v>0</v>
      </c>
      <c r="AC120" s="2">
        <f t="shared" si="8"/>
      </c>
    </row>
    <row r="121">
      <c r="A121" s="64" t="n"/>
      <c r="B121" s="65" t="n"/>
      <c r="C121" s="65" t="n"/>
      <c r="D121" s="65" t="n"/>
      <c r="E121" s="65" t="n"/>
      <c r="F121" s="66" t="n"/>
      <c r="G121" s="65" t="n"/>
      <c r="H121" s="66" t="n"/>
      <c r="I121" s="64" t="n"/>
      <c r="J121" s="68" t="n"/>
      <c r="K121" s="68" t="n"/>
      <c r="L121" s="68" t="n"/>
      <c r="M121" s="64" t="n"/>
      <c r="N121" s="64" t="n"/>
      <c r="O121" s="64" t="n"/>
      <c r="P121" s="64" t="n"/>
      <c r="Q121" s="64" t="n"/>
      <c r="R121" s="64" t="n"/>
      <c r="S121" s="66" t="n"/>
      <c r="T121" s="45" t="n"/>
      <c r="U121" s="43">
        <f t="shared" si="0"/>
      </c>
      <c r="V121" s="49">
        <f t="shared" si="1"/>
      </c>
      <c r="W121" s="49">
        <f t="shared" si="2"/>
      </c>
      <c r="X121" s="2">
        <f t="shared" si="3"/>
      </c>
      <c r="Y121" s="2">
        <f t="shared" si="4"/>
      </c>
      <c r="Z121" s="2">
        <f t="shared" si="5"/>
        <v>0</v>
      </c>
      <c r="AA121" s="2">
        <f t="shared" si="6"/>
        <v>0</v>
      </c>
      <c r="AB121" s="2">
        <f t="shared" si="7"/>
        <v>0</v>
      </c>
      <c r="AC121" s="2">
        <f t="shared" si="8"/>
      </c>
    </row>
    <row r="122">
      <c r="A122" s="64" t="n"/>
      <c r="B122" s="65" t="n"/>
      <c r="C122" s="65" t="n"/>
      <c r="D122" s="65" t="n"/>
      <c r="E122" s="65" t="n"/>
      <c r="F122" s="66" t="n"/>
      <c r="G122" s="65" t="n"/>
      <c r="H122" s="66" t="n"/>
      <c r="I122" s="64" t="n"/>
      <c r="J122" s="68" t="n"/>
      <c r="K122" s="68" t="n"/>
      <c r="L122" s="68" t="n"/>
      <c r="M122" s="64" t="n"/>
      <c r="N122" s="64" t="n"/>
      <c r="O122" s="64" t="n"/>
      <c r="P122" s="64" t="n"/>
      <c r="Q122" s="64" t="n"/>
      <c r="R122" s="64" t="n"/>
      <c r="S122" s="66" t="n"/>
      <c r="T122" s="45" t="n"/>
      <c r="U122" s="43">
        <f t="shared" si="0"/>
      </c>
      <c r="V122" s="49">
        <f t="shared" si="1"/>
      </c>
      <c r="W122" s="49">
        <f t="shared" si="2"/>
      </c>
      <c r="X122" s="2">
        <f t="shared" si="3"/>
      </c>
      <c r="Y122" s="2">
        <f t="shared" si="4"/>
      </c>
      <c r="Z122" s="2">
        <f t="shared" si="5"/>
        <v>0</v>
      </c>
      <c r="AA122" s="2">
        <f t="shared" si="6"/>
        <v>0</v>
      </c>
      <c r="AB122" s="2">
        <f t="shared" si="7"/>
        <v>0</v>
      </c>
      <c r="AC122" s="2">
        <f t="shared" si="8"/>
      </c>
    </row>
    <row r="123">
      <c r="A123" s="64" t="n"/>
      <c r="B123" s="65" t="n"/>
      <c r="C123" s="65" t="n"/>
      <c r="D123" s="65" t="n"/>
      <c r="E123" s="65" t="n"/>
      <c r="F123" s="66" t="n"/>
      <c r="G123" s="65" t="n"/>
      <c r="H123" s="66" t="n"/>
      <c r="I123" s="64" t="n"/>
      <c r="J123" s="68" t="n"/>
      <c r="K123" s="68" t="n"/>
      <c r="L123" s="68" t="n"/>
      <c r="M123" s="64" t="n"/>
      <c r="N123" s="64" t="n"/>
      <c r="O123" s="64" t="n"/>
      <c r="P123" s="64" t="n"/>
      <c r="Q123" s="64" t="n"/>
      <c r="R123" s="64" t="n"/>
      <c r="S123" s="66" t="n"/>
      <c r="T123" s="45" t="n"/>
      <c r="U123" s="43">
        <f t="shared" si="0"/>
      </c>
      <c r="V123" s="49">
        <f t="shared" si="1"/>
      </c>
      <c r="W123" s="49">
        <f t="shared" si="2"/>
      </c>
      <c r="X123" s="2">
        <f t="shared" si="3"/>
      </c>
      <c r="Y123" s="2">
        <f t="shared" si="4"/>
      </c>
      <c r="Z123" s="2">
        <f t="shared" si="5"/>
        <v>0</v>
      </c>
      <c r="AA123" s="2">
        <f t="shared" si="6"/>
        <v>0</v>
      </c>
      <c r="AB123" s="2">
        <f t="shared" si="7"/>
        <v>0</v>
      </c>
      <c r="AC123" s="2">
        <f t="shared" si="8"/>
      </c>
    </row>
    <row r="124">
      <c r="A124" s="64" t="n"/>
      <c r="B124" s="65" t="n"/>
      <c r="C124" s="65" t="n"/>
      <c r="D124" s="65" t="n"/>
      <c r="E124" s="65" t="n"/>
      <c r="F124" s="66" t="n"/>
      <c r="G124" s="65" t="n"/>
      <c r="H124" s="66" t="n"/>
      <c r="I124" s="64" t="n"/>
      <c r="J124" s="68" t="n"/>
      <c r="K124" s="68" t="n"/>
      <c r="L124" s="68" t="n"/>
      <c r="M124" s="64" t="n"/>
      <c r="N124" s="64" t="n"/>
      <c r="O124" s="64" t="n"/>
      <c r="P124" s="64" t="n"/>
      <c r="Q124" s="64" t="n"/>
      <c r="R124" s="64" t="n"/>
      <c r="S124" s="66" t="n"/>
      <c r="T124" s="45" t="n"/>
      <c r="U124" s="43">
        <f t="shared" si="0"/>
      </c>
      <c r="V124" s="49">
        <f t="shared" si="1"/>
      </c>
      <c r="W124" s="49">
        <f t="shared" si="2"/>
      </c>
      <c r="X124" s="2">
        <f t="shared" si="3"/>
      </c>
      <c r="Y124" s="2">
        <f t="shared" si="4"/>
      </c>
      <c r="Z124" s="2">
        <f t="shared" si="5"/>
        <v>0</v>
      </c>
      <c r="AA124" s="2">
        <f t="shared" si="6"/>
        <v>0</v>
      </c>
      <c r="AB124" s="2">
        <f t="shared" si="7"/>
        <v>0</v>
      </c>
      <c r="AC124" s="2">
        <f t="shared" si="8"/>
      </c>
    </row>
    <row r="125">
      <c r="A125" s="64" t="n"/>
      <c r="B125" s="65" t="n"/>
      <c r="C125" s="65" t="n"/>
      <c r="D125" s="65" t="n"/>
      <c r="E125" s="65" t="n"/>
      <c r="F125" s="66" t="n"/>
      <c r="G125" s="65" t="n"/>
      <c r="H125" s="66" t="n"/>
      <c r="I125" s="64" t="n"/>
      <c r="J125" s="68" t="n"/>
      <c r="K125" s="68" t="n"/>
      <c r="L125" s="68" t="n"/>
      <c r="M125" s="64" t="n"/>
      <c r="N125" s="64" t="n"/>
      <c r="O125" s="64" t="n"/>
      <c r="P125" s="64" t="n"/>
      <c r="Q125" s="64" t="n"/>
      <c r="R125" s="64" t="n"/>
      <c r="S125" s="66" t="n"/>
      <c r="T125" s="45" t="n"/>
      <c r="U125" s="43">
        <f t="shared" si="0"/>
      </c>
      <c r="V125" s="49">
        <f t="shared" si="1"/>
      </c>
      <c r="W125" s="49">
        <f t="shared" si="2"/>
      </c>
      <c r="X125" s="2">
        <f t="shared" si="3"/>
      </c>
      <c r="Y125" s="2">
        <f t="shared" si="4"/>
      </c>
      <c r="Z125" s="2">
        <f t="shared" si="5"/>
        <v>0</v>
      </c>
      <c r="AA125" s="2">
        <f t="shared" si="6"/>
        <v>0</v>
      </c>
      <c r="AB125" s="2">
        <f t="shared" si="7"/>
        <v>0</v>
      </c>
      <c r="AC125" s="2">
        <f t="shared" si="8"/>
      </c>
    </row>
    <row r="126">
      <c r="A126" s="64" t="n"/>
      <c r="B126" s="65" t="n"/>
      <c r="C126" s="65" t="n"/>
      <c r="D126" s="65" t="n"/>
      <c r="E126" s="65" t="n"/>
      <c r="F126" s="66" t="n"/>
      <c r="G126" s="65" t="n"/>
      <c r="H126" s="66" t="n"/>
      <c r="I126" s="64" t="n"/>
      <c r="J126" s="68" t="n"/>
      <c r="K126" s="68" t="n"/>
      <c r="L126" s="68" t="n"/>
      <c r="M126" s="64" t="n"/>
      <c r="N126" s="64" t="n"/>
      <c r="O126" s="64" t="n"/>
      <c r="P126" s="64" t="n"/>
      <c r="Q126" s="64" t="n"/>
      <c r="R126" s="64" t="n"/>
      <c r="S126" s="66" t="n"/>
      <c r="T126" s="45" t="n"/>
      <c r="U126" s="43">
        <f t="shared" si="0"/>
      </c>
      <c r="V126" s="49">
        <f t="shared" si="1"/>
      </c>
      <c r="W126" s="49">
        <f t="shared" si="2"/>
      </c>
      <c r="X126" s="2">
        <f t="shared" si="3"/>
      </c>
      <c r="Y126" s="2">
        <f t="shared" si="4"/>
      </c>
      <c r="Z126" s="2">
        <f t="shared" si="5"/>
        <v>0</v>
      </c>
      <c r="AA126" s="2">
        <f t="shared" si="6"/>
        <v>0</v>
      </c>
      <c r="AB126" s="2">
        <f t="shared" si="7"/>
        <v>0</v>
      </c>
      <c r="AC126" s="2">
        <f t="shared" si="8"/>
      </c>
    </row>
    <row r="127">
      <c r="A127" s="64" t="n"/>
      <c r="B127" s="65" t="n"/>
      <c r="C127" s="65" t="n"/>
      <c r="D127" s="65" t="n"/>
      <c r="E127" s="65" t="n"/>
      <c r="F127" s="66" t="n"/>
      <c r="G127" s="65" t="n"/>
      <c r="H127" s="66" t="n"/>
      <c r="I127" s="64" t="n"/>
      <c r="J127" s="68" t="n"/>
      <c r="K127" s="68" t="n"/>
      <c r="L127" s="68" t="n"/>
      <c r="M127" s="64" t="n"/>
      <c r="N127" s="64" t="n"/>
      <c r="O127" s="64" t="n"/>
      <c r="P127" s="64" t="n"/>
      <c r="Q127" s="64" t="n"/>
      <c r="R127" s="64" t="n"/>
      <c r="S127" s="66" t="n"/>
      <c r="T127" s="45" t="n"/>
      <c r="U127" s="43">
        <f t="shared" si="0"/>
      </c>
      <c r="V127" s="49">
        <f t="shared" si="1"/>
      </c>
      <c r="W127" s="49">
        <f t="shared" si="2"/>
      </c>
      <c r="X127" s="2">
        <f t="shared" si="3"/>
      </c>
      <c r="Y127" s="2">
        <f t="shared" si="4"/>
      </c>
      <c r="Z127" s="2">
        <f t="shared" si="5"/>
        <v>0</v>
      </c>
      <c r="AA127" s="2">
        <f t="shared" si="6"/>
        <v>0</v>
      </c>
      <c r="AB127" s="2">
        <f t="shared" si="7"/>
        <v>0</v>
      </c>
      <c r="AC127" s="2">
        <f t="shared" si="8"/>
      </c>
    </row>
    <row r="128">
      <c r="A128" s="64" t="n"/>
      <c r="B128" s="65" t="n"/>
      <c r="C128" s="65" t="n"/>
      <c r="D128" s="65" t="n"/>
      <c r="E128" s="65" t="n"/>
      <c r="F128" s="66" t="n"/>
      <c r="G128" s="65" t="n"/>
      <c r="H128" s="66" t="n"/>
      <c r="I128" s="64" t="n"/>
      <c r="J128" s="68" t="n"/>
      <c r="K128" s="68" t="n"/>
      <c r="L128" s="68" t="n"/>
      <c r="M128" s="64" t="n"/>
      <c r="N128" s="64" t="n"/>
      <c r="O128" s="64" t="n"/>
      <c r="P128" s="64" t="n"/>
      <c r="Q128" s="64" t="n"/>
      <c r="R128" s="64" t="n"/>
      <c r="S128" s="66" t="n"/>
      <c r="T128" s="45" t="n"/>
      <c r="U128" s="43">
        <f t="shared" si="0"/>
      </c>
      <c r="V128" s="49">
        <f t="shared" si="1"/>
      </c>
      <c r="W128" s="49">
        <f t="shared" si="2"/>
      </c>
      <c r="X128" s="2">
        <f t="shared" si="3"/>
      </c>
      <c r="Y128" s="2">
        <f t="shared" si="4"/>
      </c>
      <c r="Z128" s="2">
        <f t="shared" si="5"/>
        <v>0</v>
      </c>
      <c r="AA128" s="2">
        <f t="shared" si="6"/>
        <v>0</v>
      </c>
      <c r="AB128" s="2">
        <f t="shared" si="7"/>
        <v>0</v>
      </c>
      <c r="AC128" s="2">
        <f t="shared" si="8"/>
      </c>
    </row>
    <row r="129">
      <c r="A129" s="64" t="n"/>
      <c r="B129" s="65" t="n"/>
      <c r="C129" s="65" t="n"/>
      <c r="D129" s="65" t="n"/>
      <c r="E129" s="65" t="n"/>
      <c r="F129" s="66" t="n"/>
      <c r="G129" s="65" t="n"/>
      <c r="H129" s="66" t="n"/>
      <c r="I129" s="64" t="n"/>
      <c r="J129" s="68" t="n"/>
      <c r="K129" s="68" t="n"/>
      <c r="L129" s="68" t="n"/>
      <c r="M129" s="64" t="n"/>
      <c r="N129" s="64" t="n"/>
      <c r="O129" s="64" t="n"/>
      <c r="P129" s="64" t="n"/>
      <c r="Q129" s="64" t="n"/>
      <c r="R129" s="64" t="n"/>
      <c r="S129" s="66" t="n"/>
      <c r="T129" s="45" t="n"/>
      <c r="U129" s="43">
        <f t="shared" si="0"/>
      </c>
      <c r="V129" s="49">
        <f t="shared" si="1"/>
      </c>
      <c r="W129" s="49">
        <f t="shared" si="2"/>
      </c>
      <c r="X129" s="2">
        <f t="shared" si="3"/>
      </c>
      <c r="Y129" s="2">
        <f t="shared" si="4"/>
      </c>
      <c r="Z129" s="2">
        <f t="shared" si="5"/>
        <v>0</v>
      </c>
      <c r="AA129" s="2">
        <f t="shared" si="6"/>
        <v>0</v>
      </c>
      <c r="AB129" s="2">
        <f t="shared" si="7"/>
        <v>0</v>
      </c>
      <c r="AC129" s="2">
        <f t="shared" si="8"/>
      </c>
    </row>
    <row r="130">
      <c r="A130" s="64" t="n"/>
      <c r="B130" s="65" t="n"/>
      <c r="C130" s="65" t="n"/>
      <c r="D130" s="65" t="n"/>
      <c r="E130" s="65" t="n"/>
      <c r="F130" s="66" t="n"/>
      <c r="G130" s="65" t="n"/>
      <c r="H130" s="66" t="n"/>
      <c r="I130" s="64" t="n"/>
      <c r="J130" s="68" t="n"/>
      <c r="K130" s="68" t="n"/>
      <c r="L130" s="68" t="n"/>
      <c r="M130" s="64" t="n"/>
      <c r="N130" s="64" t="n"/>
      <c r="O130" s="64" t="n"/>
      <c r="P130" s="64" t="n"/>
      <c r="Q130" s="64" t="n"/>
      <c r="R130" s="64" t="n"/>
      <c r="S130" s="66" t="n"/>
      <c r="T130" s="45" t="n"/>
      <c r="U130" s="43">
        <f t="shared" si="0"/>
      </c>
      <c r="V130" s="49">
        <f t="shared" si="1"/>
      </c>
      <c r="W130" s="49">
        <f t="shared" si="2"/>
      </c>
      <c r="X130" s="2">
        <f t="shared" si="3"/>
      </c>
      <c r="Y130" s="2">
        <f t="shared" si="4"/>
      </c>
      <c r="Z130" s="2">
        <f t="shared" si="5"/>
        <v>0</v>
      </c>
      <c r="AA130" s="2">
        <f t="shared" si="6"/>
        <v>0</v>
      </c>
      <c r="AB130" s="2">
        <f t="shared" si="7"/>
        <v>0</v>
      </c>
      <c r="AC130" s="2">
        <f t="shared" si="8"/>
      </c>
    </row>
    <row r="131">
      <c r="A131" s="64" t="n"/>
      <c r="B131" s="65" t="n"/>
      <c r="C131" s="65" t="n"/>
      <c r="D131" s="65" t="n"/>
      <c r="E131" s="65" t="n"/>
      <c r="F131" s="66" t="n"/>
      <c r="G131" s="65" t="n"/>
      <c r="H131" s="66" t="n"/>
      <c r="I131" s="64" t="n"/>
      <c r="J131" s="68" t="n"/>
      <c r="K131" s="68" t="n"/>
      <c r="L131" s="68" t="n"/>
      <c r="M131" s="64" t="n"/>
      <c r="N131" s="64" t="n"/>
      <c r="O131" s="64" t="n"/>
      <c r="P131" s="64" t="n"/>
      <c r="Q131" s="64" t="n"/>
      <c r="R131" s="64" t="n"/>
      <c r="S131" s="66" t="n"/>
      <c r="T131" s="45" t="n"/>
      <c r="U131" s="43">
        <f t="shared" si="0"/>
      </c>
      <c r="V131" s="49">
        <f t="shared" si="1"/>
      </c>
      <c r="W131" s="49">
        <f t="shared" si="2"/>
      </c>
      <c r="X131" s="2">
        <f t="shared" si="3"/>
      </c>
      <c r="Y131" s="2">
        <f t="shared" si="4"/>
      </c>
      <c r="Z131" s="2">
        <f t="shared" si="5"/>
        <v>0</v>
      </c>
      <c r="AA131" s="2">
        <f t="shared" si="6"/>
        <v>0</v>
      </c>
      <c r="AB131" s="2">
        <f t="shared" si="7"/>
        <v>0</v>
      </c>
      <c r="AC131" s="2">
        <f t="shared" si="8"/>
      </c>
    </row>
    <row r="132">
      <c r="A132" s="64" t="n"/>
      <c r="B132" s="65" t="n"/>
      <c r="C132" s="65" t="n"/>
      <c r="D132" s="65" t="n"/>
      <c r="E132" s="65" t="n"/>
      <c r="F132" s="66" t="n"/>
      <c r="G132" s="65" t="n"/>
      <c r="H132" s="66" t="n"/>
      <c r="I132" s="64" t="n"/>
      <c r="J132" s="68" t="n"/>
      <c r="K132" s="68" t="n"/>
      <c r="L132" s="68" t="n"/>
      <c r="M132" s="64" t="n"/>
      <c r="N132" s="64" t="n"/>
      <c r="O132" s="64" t="n"/>
      <c r="P132" s="64" t="n"/>
      <c r="Q132" s="64" t="n"/>
      <c r="R132" s="64" t="n"/>
      <c r="S132" s="66" t="n"/>
      <c r="T132" s="45" t="n"/>
      <c r="U132" s="43">
        <f t="shared" si="0"/>
      </c>
      <c r="V132" s="49">
        <f t="shared" si="1"/>
      </c>
      <c r="W132" s="49">
        <f t="shared" si="2"/>
      </c>
      <c r="X132" s="2">
        <f t="shared" si="3"/>
      </c>
      <c r="Y132" s="2">
        <f t="shared" si="4"/>
      </c>
      <c r="Z132" s="2">
        <f t="shared" si="5"/>
        <v>0</v>
      </c>
      <c r="AA132" s="2">
        <f t="shared" si="6"/>
        <v>0</v>
      </c>
      <c r="AB132" s="2">
        <f t="shared" si="7"/>
        <v>0</v>
      </c>
      <c r="AC132" s="2">
        <f t="shared" si="8"/>
      </c>
    </row>
    <row r="133">
      <c r="A133" s="64" t="n"/>
      <c r="B133" s="65" t="n"/>
      <c r="C133" s="65" t="n"/>
      <c r="D133" s="65" t="n"/>
      <c r="E133" s="65" t="n"/>
      <c r="F133" s="66" t="n"/>
      <c r="G133" s="65" t="n"/>
      <c r="H133" s="66" t="n"/>
      <c r="I133" s="64" t="n"/>
      <c r="J133" s="68" t="n"/>
      <c r="K133" s="68" t="n"/>
      <c r="L133" s="68" t="n"/>
      <c r="M133" s="64" t="n"/>
      <c r="N133" s="64" t="n"/>
      <c r="O133" s="64" t="n"/>
      <c r="P133" s="64" t="n"/>
      <c r="Q133" s="64" t="n"/>
      <c r="R133" s="64" t="n"/>
      <c r="S133" s="66" t="n"/>
      <c r="T133" s="45" t="n"/>
      <c r="U133" s="43">
        <f t="shared" si="0"/>
      </c>
      <c r="V133" s="49">
        <f t="shared" si="1"/>
      </c>
      <c r="W133" s="49">
        <f t="shared" si="2"/>
      </c>
      <c r="X133" s="2">
        <f t="shared" si="3"/>
      </c>
      <c r="Y133" s="2">
        <f t="shared" si="4"/>
      </c>
      <c r="Z133" s="2">
        <f t="shared" si="5"/>
        <v>0</v>
      </c>
      <c r="AA133" s="2">
        <f t="shared" si="6"/>
        <v>0</v>
      </c>
      <c r="AB133" s="2">
        <f t="shared" si="7"/>
        <v>0</v>
      </c>
      <c r="AC133" s="2">
        <f t="shared" si="8"/>
      </c>
    </row>
    <row r="134">
      <c r="A134" s="64" t="n"/>
      <c r="B134" s="65" t="n"/>
      <c r="C134" s="65" t="n"/>
      <c r="D134" s="65" t="n"/>
      <c r="E134" s="65" t="n"/>
      <c r="F134" s="66" t="n"/>
      <c r="G134" s="65" t="n"/>
      <c r="H134" s="66" t="n"/>
      <c r="I134" s="64" t="n"/>
      <c r="J134" s="68" t="n"/>
      <c r="K134" s="68" t="n"/>
      <c r="L134" s="68" t="n"/>
      <c r="M134" s="64" t="n"/>
      <c r="N134" s="64" t="n"/>
      <c r="O134" s="64" t="n"/>
      <c r="P134" s="64" t="n"/>
      <c r="Q134" s="64" t="n"/>
      <c r="R134" s="64" t="n"/>
      <c r="S134" s="66" t="n"/>
      <c r="T134" s="45" t="n"/>
      <c r="U134" s="43">
        <f t="shared" si="0"/>
      </c>
      <c r="V134" s="49">
        <f t="shared" si="1"/>
      </c>
      <c r="W134" s="49">
        <f t="shared" si="2"/>
      </c>
      <c r="X134" s="2">
        <f t="shared" si="3"/>
      </c>
      <c r="Y134" s="2">
        <f t="shared" si="4"/>
      </c>
      <c r="Z134" s="2">
        <f t="shared" si="5"/>
        <v>0</v>
      </c>
      <c r="AA134" s="2">
        <f t="shared" si="6"/>
        <v>0</v>
      </c>
      <c r="AB134" s="2">
        <f t="shared" si="7"/>
        <v>0</v>
      </c>
      <c r="AC134" s="2">
        <f t="shared" si="8"/>
      </c>
    </row>
    <row r="135">
      <c r="A135" s="64" t="n"/>
      <c r="B135" s="65" t="n"/>
      <c r="C135" s="65" t="n"/>
      <c r="D135" s="65" t="n"/>
      <c r="E135" s="65" t="n"/>
      <c r="F135" s="66" t="n"/>
      <c r="G135" s="65" t="n"/>
      <c r="H135" s="66" t="n"/>
      <c r="I135" s="64" t="n"/>
      <c r="J135" s="68" t="n"/>
      <c r="K135" s="68" t="n"/>
      <c r="L135" s="68" t="n"/>
      <c r="M135" s="64" t="n"/>
      <c r="N135" s="64" t="n"/>
      <c r="O135" s="64" t="n"/>
      <c r="P135" s="64" t="n"/>
      <c r="Q135" s="64" t="n"/>
      <c r="R135" s="64" t="n"/>
      <c r="S135" s="66" t="n"/>
      <c r="T135" s="45" t="n"/>
      <c r="U135" s="43">
        <f t="shared" si="0"/>
      </c>
      <c r="V135" s="49">
        <f t="shared" si="1"/>
      </c>
      <c r="W135" s="49">
        <f t="shared" si="2"/>
      </c>
      <c r="X135" s="2">
        <f t="shared" si="3"/>
      </c>
      <c r="Y135" s="2">
        <f t="shared" si="4"/>
      </c>
      <c r="Z135" s="2">
        <f t="shared" si="5"/>
        <v>0</v>
      </c>
      <c r="AA135" s="2">
        <f t="shared" si="6"/>
        <v>0</v>
      </c>
      <c r="AB135" s="2">
        <f t="shared" si="7"/>
        <v>0</v>
      </c>
      <c r="AC135" s="2">
        <f t="shared" si="8"/>
      </c>
    </row>
    <row r="136">
      <c r="A136" s="64" t="n"/>
      <c r="B136" s="65" t="n"/>
      <c r="C136" s="65" t="n"/>
      <c r="D136" s="65" t="n"/>
      <c r="E136" s="65" t="n"/>
      <c r="F136" s="66" t="n"/>
      <c r="G136" s="65" t="n"/>
      <c r="H136" s="66" t="n"/>
      <c r="I136" s="64" t="n"/>
      <c r="J136" s="68" t="n"/>
      <c r="K136" s="68" t="n"/>
      <c r="L136" s="68" t="n"/>
      <c r="M136" s="64" t="n"/>
      <c r="N136" s="64" t="n"/>
      <c r="O136" s="64" t="n"/>
      <c r="P136" s="64" t="n"/>
      <c r="Q136" s="64" t="n"/>
      <c r="R136" s="64" t="n"/>
      <c r="S136" s="66" t="n"/>
      <c r="T136" s="45" t="n"/>
      <c r="U136" s="43">
        <f t="shared" si="0"/>
      </c>
      <c r="V136" s="49">
        <f t="shared" si="1"/>
      </c>
      <c r="W136" s="49">
        <f t="shared" si="2"/>
      </c>
      <c r="X136" s="2">
        <f t="shared" si="3"/>
      </c>
      <c r="Y136" s="2">
        <f t="shared" si="4"/>
      </c>
      <c r="Z136" s="2">
        <f t="shared" si="5"/>
        <v>0</v>
      </c>
      <c r="AA136" s="2">
        <f t="shared" si="6"/>
        <v>0</v>
      </c>
      <c r="AB136" s="2">
        <f t="shared" si="7"/>
        <v>0</v>
      </c>
      <c r="AC136" s="2">
        <f t="shared" si="8"/>
      </c>
    </row>
    <row r="137">
      <c r="A137" s="64" t="n"/>
      <c r="B137" s="65" t="n"/>
      <c r="C137" s="65" t="n"/>
      <c r="D137" s="65" t="n"/>
      <c r="E137" s="65" t="n"/>
      <c r="F137" s="66" t="n"/>
      <c r="G137" s="65" t="n"/>
      <c r="H137" s="66" t="n"/>
      <c r="I137" s="64" t="n"/>
      <c r="J137" s="68" t="n"/>
      <c r="K137" s="68" t="n"/>
      <c r="L137" s="68" t="n"/>
      <c r="M137" s="64" t="n"/>
      <c r="N137" s="64" t="n"/>
      <c r="O137" s="64" t="n"/>
      <c r="P137" s="64" t="n"/>
      <c r="Q137" s="64" t="n"/>
      <c r="R137" s="64" t="n"/>
      <c r="S137" s="66" t="n"/>
      <c r="T137" s="45" t="n"/>
      <c r="U137" s="43">
        <f t="shared" si="0"/>
      </c>
      <c r="V137" s="49">
        <f t="shared" si="1"/>
      </c>
      <c r="W137" s="49">
        <f t="shared" si="2"/>
      </c>
      <c r="X137" s="2">
        <f t="shared" si="3"/>
      </c>
      <c r="Y137" s="2">
        <f t="shared" si="4"/>
      </c>
      <c r="Z137" s="2">
        <f t="shared" si="5"/>
        <v>0</v>
      </c>
      <c r="AA137" s="2">
        <f t="shared" si="6"/>
        <v>0</v>
      </c>
      <c r="AB137" s="2">
        <f t="shared" si="7"/>
        <v>0</v>
      </c>
      <c r="AC137" s="2">
        <f t="shared" si="8"/>
      </c>
    </row>
    <row r="138">
      <c r="A138" s="64" t="n"/>
      <c r="B138" s="65" t="n"/>
      <c r="C138" s="65" t="n"/>
      <c r="D138" s="65" t="n"/>
      <c r="E138" s="65" t="n"/>
      <c r="F138" s="66" t="n"/>
      <c r="G138" s="65" t="n"/>
      <c r="H138" s="66" t="n"/>
      <c r="I138" s="64" t="n"/>
      <c r="J138" s="68" t="n"/>
      <c r="K138" s="68" t="n"/>
      <c r="L138" s="68" t="n"/>
      <c r="M138" s="64" t="n"/>
      <c r="N138" s="64" t="n"/>
      <c r="O138" s="64" t="n"/>
      <c r="P138" s="64" t="n"/>
      <c r="Q138" s="64" t="n"/>
      <c r="R138" s="64" t="n"/>
      <c r="S138" s="66" t="n"/>
      <c r="T138" s="45" t="n"/>
      <c r="U138" s="43">
        <f t="shared" si="0"/>
      </c>
      <c r="V138" s="49">
        <f t="shared" si="1"/>
      </c>
      <c r="W138" s="49">
        <f t="shared" si="2"/>
      </c>
      <c r="X138" s="2">
        <f t="shared" si="3"/>
      </c>
      <c r="Y138" s="2">
        <f t="shared" si="4"/>
      </c>
      <c r="Z138" s="2">
        <f t="shared" si="5"/>
        <v>0</v>
      </c>
      <c r="AA138" s="2">
        <f t="shared" si="6"/>
        <v>0</v>
      </c>
      <c r="AB138" s="2">
        <f t="shared" si="7"/>
        <v>0</v>
      </c>
      <c r="AC138" s="2">
        <f t="shared" si="8"/>
      </c>
    </row>
    <row r="139">
      <c r="A139" s="64" t="n"/>
      <c r="B139" s="65" t="n"/>
      <c r="C139" s="65" t="n"/>
      <c r="D139" s="65" t="n"/>
      <c r="E139" s="65" t="n"/>
      <c r="F139" s="66" t="n"/>
      <c r="G139" s="65" t="n"/>
      <c r="H139" s="66" t="n"/>
      <c r="I139" s="64" t="n"/>
      <c r="J139" s="68" t="n"/>
      <c r="K139" s="68" t="n"/>
      <c r="L139" s="68" t="n"/>
      <c r="M139" s="64" t="n"/>
      <c r="N139" s="64" t="n"/>
      <c r="O139" s="64" t="n"/>
      <c r="P139" s="64" t="n"/>
      <c r="Q139" s="64" t="n"/>
      <c r="R139" s="64" t="n"/>
      <c r="S139" s="66" t="n"/>
      <c r="T139" s="45" t="n"/>
      <c r="U139" s="43">
        <f t="shared" si="0"/>
      </c>
      <c r="V139" s="49">
        <f t="shared" si="1"/>
      </c>
      <c r="W139" s="49">
        <f t="shared" si="2"/>
      </c>
      <c r="X139" s="2">
        <f t="shared" si="3"/>
      </c>
      <c r="Y139" s="2">
        <f t="shared" si="4"/>
      </c>
      <c r="Z139" s="2">
        <f t="shared" si="5"/>
        <v>0</v>
      </c>
      <c r="AA139" s="2">
        <f t="shared" si="6"/>
        <v>0</v>
      </c>
      <c r="AB139" s="2">
        <f t="shared" si="7"/>
        <v>0</v>
      </c>
      <c r="AC139" s="2">
        <f t="shared" si="8"/>
      </c>
    </row>
    <row r="140">
      <c r="A140" s="64" t="n"/>
      <c r="B140" s="65" t="n"/>
      <c r="C140" s="65" t="n"/>
      <c r="D140" s="65" t="n"/>
      <c r="E140" s="65" t="n"/>
      <c r="F140" s="66" t="n"/>
      <c r="G140" s="65" t="n"/>
      <c r="H140" s="66" t="n"/>
      <c r="I140" s="64" t="n"/>
      <c r="J140" s="68" t="n"/>
      <c r="K140" s="68" t="n"/>
      <c r="L140" s="68" t="n"/>
      <c r="M140" s="64" t="n"/>
      <c r="N140" s="64" t="n"/>
      <c r="O140" s="64" t="n"/>
      <c r="P140" s="64" t="n"/>
      <c r="Q140" s="64" t="n"/>
      <c r="R140" s="64" t="n"/>
      <c r="S140" s="66" t="n"/>
      <c r="T140" s="45" t="n"/>
      <c r="U140" s="43">
        <f t="shared" si="0"/>
      </c>
      <c r="V140" s="49">
        <f t="shared" si="1"/>
      </c>
      <c r="W140" s="49">
        <f t="shared" si="2"/>
      </c>
      <c r="X140" s="2">
        <f t="shared" si="3"/>
      </c>
      <c r="Y140" s="2">
        <f t="shared" si="4"/>
      </c>
      <c r="Z140" s="2">
        <f t="shared" si="5"/>
        <v>0</v>
      </c>
      <c r="AA140" s="2">
        <f t="shared" si="6"/>
        <v>0</v>
      </c>
      <c r="AB140" s="2">
        <f t="shared" si="7"/>
        <v>0</v>
      </c>
      <c r="AC140" s="2">
        <f t="shared" si="8"/>
      </c>
    </row>
    <row r="141">
      <c r="A141" s="64" t="n"/>
      <c r="B141" s="65" t="n"/>
      <c r="C141" s="65" t="n"/>
      <c r="D141" s="65" t="n"/>
      <c r="E141" s="65" t="n"/>
      <c r="F141" s="66" t="n"/>
      <c r="G141" s="65" t="n"/>
      <c r="H141" s="66" t="n"/>
      <c r="I141" s="64" t="n"/>
      <c r="J141" s="68" t="n"/>
      <c r="K141" s="68" t="n"/>
      <c r="L141" s="68" t="n"/>
      <c r="M141" s="64" t="n"/>
      <c r="N141" s="64" t="n"/>
      <c r="O141" s="64" t="n"/>
      <c r="P141" s="64" t="n"/>
      <c r="Q141" s="64" t="n"/>
      <c r="R141" s="64" t="n"/>
      <c r="S141" s="66" t="n"/>
      <c r="T141" s="45" t="n"/>
      <c r="U141" s="43">
        <f t="shared" si="0"/>
      </c>
      <c r="V141" s="49">
        <f t="shared" si="1"/>
      </c>
      <c r="W141" s="49">
        <f t="shared" si="2"/>
      </c>
      <c r="X141" s="2">
        <f t="shared" si="3"/>
      </c>
      <c r="Y141" s="2">
        <f t="shared" si="4"/>
      </c>
      <c r="Z141" s="2">
        <f t="shared" si="5"/>
        <v>0</v>
      </c>
      <c r="AA141" s="2">
        <f t="shared" si="6"/>
        <v>0</v>
      </c>
      <c r="AB141" s="2">
        <f t="shared" si="7"/>
        <v>0</v>
      </c>
      <c r="AC141" s="2">
        <f t="shared" si="8"/>
      </c>
    </row>
    <row r="142">
      <c r="A142" s="64" t="n"/>
      <c r="B142" s="65" t="n"/>
      <c r="C142" s="65" t="n"/>
      <c r="D142" s="65" t="n"/>
      <c r="E142" s="65" t="n"/>
      <c r="F142" s="66" t="n"/>
      <c r="G142" s="65" t="n"/>
      <c r="H142" s="66" t="n"/>
      <c r="I142" s="64" t="n"/>
      <c r="J142" s="68" t="n"/>
      <c r="K142" s="68" t="n"/>
      <c r="L142" s="68" t="n"/>
      <c r="M142" s="64" t="n"/>
      <c r="N142" s="64" t="n"/>
      <c r="O142" s="64" t="n"/>
      <c r="P142" s="64" t="n"/>
      <c r="Q142" s="64" t="n"/>
      <c r="R142" s="64" t="n"/>
      <c r="S142" s="66" t="n"/>
      <c r="T142" s="45" t="n"/>
      <c r="U142" s="43">
        <f t="shared" si="0"/>
      </c>
      <c r="V142" s="49">
        <f t="shared" si="1"/>
      </c>
      <c r="W142" s="49">
        <f t="shared" si="2"/>
      </c>
      <c r="X142" s="2">
        <f t="shared" si="3"/>
      </c>
      <c r="Y142" s="2">
        <f t="shared" si="4"/>
      </c>
      <c r="Z142" s="2">
        <f t="shared" si="5"/>
        <v>0</v>
      </c>
      <c r="AA142" s="2">
        <f t="shared" si="6"/>
        <v>0</v>
      </c>
      <c r="AB142" s="2">
        <f t="shared" si="7"/>
        <v>0</v>
      </c>
      <c r="AC142" s="2">
        <f t="shared" si="8"/>
      </c>
    </row>
    <row r="143">
      <c r="A143" s="64" t="n"/>
      <c r="B143" s="65" t="n"/>
      <c r="C143" s="65" t="n"/>
      <c r="D143" s="65" t="n"/>
      <c r="E143" s="65" t="n"/>
      <c r="F143" s="66" t="n"/>
      <c r="G143" s="65" t="n"/>
      <c r="H143" s="66" t="n"/>
      <c r="I143" s="64" t="n"/>
      <c r="J143" s="68" t="n"/>
      <c r="K143" s="68" t="n"/>
      <c r="L143" s="68" t="n"/>
      <c r="M143" s="64" t="n"/>
      <c r="N143" s="64" t="n"/>
      <c r="O143" s="64" t="n"/>
      <c r="P143" s="64" t="n"/>
      <c r="Q143" s="64" t="n"/>
      <c r="R143" s="64" t="n"/>
      <c r="S143" s="66" t="n"/>
      <c r="T143" s="45" t="n"/>
      <c r="U143" s="43">
        <f t="shared" si="0"/>
      </c>
      <c r="V143" s="49">
        <f t="shared" si="1"/>
      </c>
      <c r="W143" s="49">
        <f t="shared" si="2"/>
      </c>
      <c r="X143" s="2">
        <f t="shared" si="3"/>
      </c>
      <c r="Y143" s="2">
        <f t="shared" si="4"/>
      </c>
      <c r="Z143" s="2">
        <f t="shared" si="5"/>
        <v>0</v>
      </c>
      <c r="AA143" s="2">
        <f t="shared" si="6"/>
        <v>0</v>
      </c>
      <c r="AB143" s="2">
        <f t="shared" si="7"/>
        <v>0</v>
      </c>
      <c r="AC143" s="2">
        <f t="shared" si="8"/>
      </c>
    </row>
    <row r="144">
      <c r="A144" s="64" t="n"/>
      <c r="B144" s="65" t="n"/>
      <c r="C144" s="65" t="n"/>
      <c r="D144" s="65" t="n"/>
      <c r="E144" s="65" t="n"/>
      <c r="F144" s="66" t="n"/>
      <c r="G144" s="65" t="n"/>
      <c r="H144" s="66" t="n"/>
      <c r="I144" s="64" t="n"/>
      <c r="J144" s="68" t="n"/>
      <c r="K144" s="68" t="n"/>
      <c r="L144" s="68" t="n"/>
      <c r="M144" s="64" t="n"/>
      <c r="N144" s="64" t="n"/>
      <c r="O144" s="64" t="n"/>
      <c r="P144" s="64" t="n"/>
      <c r="Q144" s="64" t="n"/>
      <c r="R144" s="64" t="n"/>
      <c r="S144" s="66" t="n"/>
      <c r="T144" s="45" t="n"/>
      <c r="U144" s="43">
        <f t="shared" si="0"/>
      </c>
      <c r="V144" s="49">
        <f t="shared" si="1"/>
      </c>
      <c r="W144" s="49">
        <f t="shared" si="2"/>
      </c>
      <c r="X144" s="2">
        <f t="shared" si="3"/>
      </c>
      <c r="Y144" s="2">
        <f t="shared" si="4"/>
      </c>
      <c r="Z144" s="2">
        <f t="shared" si="5"/>
        <v>0</v>
      </c>
      <c r="AA144" s="2">
        <f t="shared" si="6"/>
        <v>0</v>
      </c>
      <c r="AB144" s="2">
        <f t="shared" si="7"/>
        <v>0</v>
      </c>
      <c r="AC144" s="2">
        <f t="shared" si="8"/>
      </c>
    </row>
    <row r="145">
      <c r="A145" s="64" t="n"/>
      <c r="B145" s="65" t="n"/>
      <c r="C145" s="65" t="n"/>
      <c r="D145" s="65" t="n"/>
      <c r="E145" s="65" t="n"/>
      <c r="F145" s="66" t="n"/>
      <c r="G145" s="65" t="n"/>
      <c r="H145" s="66" t="n"/>
      <c r="I145" s="64" t="n"/>
      <c r="J145" s="68" t="n"/>
      <c r="K145" s="68" t="n"/>
      <c r="L145" s="68" t="n"/>
      <c r="M145" s="64" t="n"/>
      <c r="N145" s="64" t="n"/>
      <c r="O145" s="64" t="n"/>
      <c r="P145" s="64" t="n"/>
      <c r="Q145" s="64" t="n"/>
      <c r="R145" s="64" t="n"/>
      <c r="S145" s="66" t="n"/>
      <c r="T145" s="45" t="n"/>
      <c r="U145" s="43">
        <f t="shared" si="0"/>
      </c>
      <c r="V145" s="49">
        <f t="shared" si="1"/>
      </c>
      <c r="W145" s="49">
        <f t="shared" si="2"/>
      </c>
      <c r="X145" s="2">
        <f t="shared" si="3"/>
      </c>
      <c r="Y145" s="2">
        <f t="shared" si="4"/>
      </c>
      <c r="Z145" s="2">
        <f t="shared" si="5"/>
        <v>0</v>
      </c>
      <c r="AA145" s="2">
        <f t="shared" si="6"/>
        <v>0</v>
      </c>
      <c r="AB145" s="2">
        <f t="shared" si="7"/>
        <v>0</v>
      </c>
      <c r="AC145" s="2">
        <f t="shared" si="8"/>
      </c>
    </row>
    <row r="146">
      <c r="A146" s="64" t="n"/>
      <c r="B146" s="65" t="n"/>
      <c r="C146" s="65" t="n"/>
      <c r="D146" s="65" t="n"/>
      <c r="E146" s="65" t="n"/>
      <c r="F146" s="66" t="n"/>
      <c r="G146" s="65" t="n"/>
      <c r="H146" s="66" t="n"/>
      <c r="I146" s="64" t="n"/>
      <c r="J146" s="68" t="n"/>
      <c r="K146" s="68" t="n"/>
      <c r="L146" s="68" t="n"/>
      <c r="M146" s="64" t="n"/>
      <c r="N146" s="64" t="n"/>
      <c r="O146" s="64" t="n"/>
      <c r="P146" s="64" t="n"/>
      <c r="Q146" s="64" t="n"/>
      <c r="R146" s="64" t="n"/>
      <c r="S146" s="66" t="n"/>
      <c r="T146" s="45" t="n"/>
      <c r="U146" s="43">
        <f t="shared" si="0"/>
      </c>
      <c r="V146" s="49">
        <f t="shared" si="1"/>
      </c>
      <c r="W146" s="49">
        <f t="shared" si="2"/>
      </c>
      <c r="X146" s="2">
        <f t="shared" si="3"/>
      </c>
      <c r="Y146" s="2">
        <f t="shared" si="4"/>
      </c>
      <c r="Z146" s="2">
        <f t="shared" si="5"/>
        <v>0</v>
      </c>
      <c r="AA146" s="2">
        <f t="shared" si="6"/>
        <v>0</v>
      </c>
      <c r="AB146" s="2">
        <f t="shared" si="7"/>
        <v>0</v>
      </c>
      <c r="AC146" s="2">
        <f t="shared" si="8"/>
      </c>
    </row>
    <row r="147">
      <c r="A147" s="64" t="n"/>
      <c r="B147" s="65" t="n"/>
      <c r="C147" s="65" t="n"/>
      <c r="D147" s="65" t="n"/>
      <c r="E147" s="65" t="n"/>
      <c r="F147" s="66" t="n"/>
      <c r="G147" s="65" t="n"/>
      <c r="H147" s="66" t="n"/>
      <c r="I147" s="64" t="n"/>
      <c r="J147" s="68" t="n"/>
      <c r="K147" s="68" t="n"/>
      <c r="L147" s="68" t="n"/>
      <c r="M147" s="64" t="n"/>
      <c r="N147" s="64" t="n"/>
      <c r="O147" s="64" t="n"/>
      <c r="P147" s="64" t="n"/>
      <c r="Q147" s="64" t="n"/>
      <c r="R147" s="64" t="n"/>
      <c r="S147" s="66" t="n"/>
      <c r="T147" s="45" t="n"/>
      <c r="U147" s="43">
        <f t="shared" si="0"/>
      </c>
      <c r="V147" s="49">
        <f t="shared" si="1"/>
      </c>
      <c r="W147" s="49">
        <f t="shared" si="2"/>
      </c>
      <c r="X147" s="2">
        <f t="shared" si="3"/>
      </c>
      <c r="Y147" s="2">
        <f t="shared" si="4"/>
      </c>
      <c r="Z147" s="2">
        <f t="shared" si="5"/>
        <v>0</v>
      </c>
      <c r="AA147" s="2">
        <f t="shared" si="6"/>
        <v>0</v>
      </c>
      <c r="AB147" s="2">
        <f t="shared" si="7"/>
        <v>0</v>
      </c>
      <c r="AC147" s="2">
        <f t="shared" si="8"/>
      </c>
    </row>
    <row r="148">
      <c r="A148" s="64" t="n"/>
      <c r="B148" s="65" t="n"/>
      <c r="C148" s="65" t="n"/>
      <c r="D148" s="65" t="n"/>
      <c r="E148" s="65" t="n"/>
      <c r="F148" s="66" t="n"/>
      <c r="G148" s="65" t="n"/>
      <c r="H148" s="66" t="n"/>
      <c r="I148" s="64" t="n"/>
      <c r="J148" s="68" t="n"/>
      <c r="K148" s="68" t="n"/>
      <c r="L148" s="68" t="n"/>
      <c r="M148" s="64" t="n"/>
      <c r="N148" s="64" t="n"/>
      <c r="O148" s="64" t="n"/>
      <c r="P148" s="64" t="n"/>
      <c r="Q148" s="64" t="n"/>
      <c r="R148" s="64" t="n"/>
      <c r="S148" s="66" t="n"/>
      <c r="T148" s="45" t="n"/>
      <c r="U148" s="43">
        <f t="shared" si="0"/>
      </c>
      <c r="V148" s="49">
        <f t="shared" si="1"/>
      </c>
      <c r="W148" s="49">
        <f t="shared" si="2"/>
      </c>
      <c r="X148" s="2">
        <f t="shared" si="3"/>
      </c>
      <c r="Y148" s="2">
        <f t="shared" si="4"/>
      </c>
      <c r="Z148" s="2">
        <f t="shared" si="5"/>
        <v>0</v>
      </c>
      <c r="AA148" s="2">
        <f t="shared" si="6"/>
        <v>0</v>
      </c>
      <c r="AB148" s="2">
        <f t="shared" si="7"/>
        <v>0</v>
      </c>
      <c r="AC148" s="2">
        <f t="shared" si="8"/>
      </c>
    </row>
    <row r="149">
      <c r="A149" s="64" t="n"/>
      <c r="B149" s="65" t="n"/>
      <c r="C149" s="65" t="n"/>
      <c r="D149" s="65" t="n"/>
      <c r="E149" s="65" t="n"/>
      <c r="F149" s="66" t="n"/>
      <c r="G149" s="65" t="n"/>
      <c r="H149" s="66" t="n"/>
      <c r="I149" s="64" t="n"/>
      <c r="J149" s="68" t="n"/>
      <c r="K149" s="68" t="n"/>
      <c r="L149" s="68" t="n"/>
      <c r="M149" s="64" t="n"/>
      <c r="N149" s="64" t="n"/>
      <c r="O149" s="64" t="n"/>
      <c r="P149" s="64" t="n"/>
      <c r="Q149" s="64" t="n"/>
      <c r="R149" s="64" t="n"/>
      <c r="S149" s="66" t="n"/>
      <c r="T149" s="45" t="n"/>
      <c r="U149" s="43">
        <f t="shared" si="0"/>
      </c>
      <c r="V149" s="49">
        <f t="shared" si="1"/>
      </c>
      <c r="W149" s="49">
        <f t="shared" si="2"/>
      </c>
      <c r="X149" s="2">
        <f t="shared" si="3"/>
      </c>
      <c r="Y149" s="2">
        <f t="shared" si="4"/>
      </c>
      <c r="Z149" s="2">
        <f t="shared" si="5"/>
        <v>0</v>
      </c>
      <c r="AA149" s="2">
        <f t="shared" si="6"/>
        <v>0</v>
      </c>
      <c r="AB149" s="2">
        <f t="shared" si="7"/>
        <v>0</v>
      </c>
      <c r="AC149" s="2">
        <f t="shared" si="8"/>
      </c>
    </row>
    <row r="150">
      <c r="A150" s="64" t="n"/>
      <c r="B150" s="65" t="n"/>
      <c r="C150" s="65" t="n"/>
      <c r="D150" s="65" t="n"/>
      <c r="E150" s="65" t="n"/>
      <c r="F150" s="66" t="n"/>
      <c r="G150" s="65" t="n"/>
      <c r="H150" s="66" t="n"/>
      <c r="I150" s="64" t="n"/>
      <c r="J150" s="68" t="n"/>
      <c r="K150" s="68" t="n"/>
      <c r="L150" s="68" t="n"/>
      <c r="M150" s="64" t="n"/>
      <c r="N150" s="64" t="n"/>
      <c r="O150" s="64" t="n"/>
      <c r="P150" s="64" t="n"/>
      <c r="Q150" s="64" t="n"/>
      <c r="R150" s="64" t="n"/>
      <c r="S150" s="66" t="n"/>
      <c r="T150" s="45" t="n"/>
      <c r="U150" s="43">
        <f t="shared" si="0"/>
      </c>
      <c r="V150" s="49">
        <f t="shared" si="1"/>
      </c>
      <c r="W150" s="49">
        <f t="shared" si="2"/>
      </c>
      <c r="X150" s="2">
        <f t="shared" si="3"/>
      </c>
      <c r="Y150" s="2">
        <f t="shared" si="4"/>
      </c>
      <c r="Z150" s="2">
        <f t="shared" si="5"/>
        <v>0</v>
      </c>
      <c r="AA150" s="2">
        <f t="shared" si="6"/>
        <v>0</v>
      </c>
      <c r="AB150" s="2">
        <f t="shared" si="7"/>
        <v>0</v>
      </c>
      <c r="AC150" s="2">
        <f t="shared" si="8"/>
      </c>
    </row>
    <row r="151">
      <c r="A151" s="64" t="n"/>
      <c r="B151" s="65" t="n"/>
      <c r="C151" s="65" t="n"/>
      <c r="D151" s="65" t="n"/>
      <c r="E151" s="65" t="n"/>
      <c r="F151" s="66" t="n"/>
      <c r="G151" s="65" t="n"/>
      <c r="H151" s="66" t="n"/>
      <c r="I151" s="64" t="n"/>
      <c r="J151" s="68" t="n"/>
      <c r="K151" s="68" t="n"/>
      <c r="L151" s="68" t="n"/>
      <c r="M151" s="64" t="n"/>
      <c r="N151" s="64" t="n"/>
      <c r="O151" s="64" t="n"/>
      <c r="P151" s="64" t="n"/>
      <c r="Q151" s="64" t="n"/>
      <c r="R151" s="64" t="n"/>
      <c r="S151" s="66" t="n"/>
      <c r="T151" s="45" t="n"/>
      <c r="U151" s="43">
        <f t="shared" si="0"/>
      </c>
      <c r="V151" s="49">
        <f t="shared" si="1"/>
      </c>
      <c r="W151" s="49">
        <f t="shared" si="2"/>
      </c>
      <c r="X151" s="2">
        <f t="shared" si="3"/>
      </c>
      <c r="Y151" s="2">
        <f t="shared" si="4"/>
      </c>
      <c r="Z151" s="2">
        <f t="shared" si="5"/>
        <v>0</v>
      </c>
      <c r="AA151" s="2">
        <f t="shared" si="6"/>
        <v>0</v>
      </c>
      <c r="AB151" s="2">
        <f t="shared" si="7"/>
        <v>0</v>
      </c>
      <c r="AC151" s="2">
        <f t="shared" si="8"/>
      </c>
    </row>
    <row r="152">
      <c r="A152" s="64" t="n"/>
      <c r="B152" s="65" t="n"/>
      <c r="C152" s="65" t="n"/>
      <c r="D152" s="65" t="n"/>
      <c r="E152" s="65" t="n"/>
      <c r="F152" s="66" t="n"/>
      <c r="G152" s="65" t="n"/>
      <c r="H152" s="66" t="n"/>
      <c r="I152" s="64" t="n"/>
      <c r="J152" s="68" t="n"/>
      <c r="K152" s="68" t="n"/>
      <c r="L152" s="68" t="n"/>
      <c r="M152" s="64" t="n"/>
      <c r="N152" s="64" t="n"/>
      <c r="O152" s="64" t="n"/>
      <c r="P152" s="64" t="n"/>
      <c r="Q152" s="64" t="n"/>
      <c r="R152" s="64" t="n"/>
      <c r="S152" s="66" t="n"/>
      <c r="T152" s="45" t="n"/>
      <c r="U152" s="43">
        <f t="shared" si="0"/>
      </c>
      <c r="V152" s="49">
        <f t="shared" si="1"/>
      </c>
      <c r="W152" s="49">
        <f t="shared" si="2"/>
      </c>
      <c r="X152" s="2">
        <f t="shared" si="3"/>
      </c>
      <c r="Y152" s="2">
        <f t="shared" si="4"/>
      </c>
      <c r="Z152" s="2">
        <f t="shared" si="5"/>
        <v>0</v>
      </c>
      <c r="AA152" s="2">
        <f t="shared" si="6"/>
        <v>0</v>
      </c>
      <c r="AB152" s="2">
        <f t="shared" si="7"/>
        <v>0</v>
      </c>
      <c r="AC152" s="2">
        <f t="shared" si="8"/>
      </c>
    </row>
    <row r="153">
      <c r="A153" s="64" t="n"/>
      <c r="B153" s="65" t="n"/>
      <c r="C153" s="65" t="n"/>
      <c r="D153" s="65" t="n"/>
      <c r="E153" s="65" t="n"/>
      <c r="F153" s="66" t="n"/>
      <c r="G153" s="65" t="n"/>
      <c r="H153" s="66" t="n"/>
      <c r="I153" s="64" t="n"/>
      <c r="J153" s="68" t="n"/>
      <c r="K153" s="68" t="n"/>
      <c r="L153" s="68" t="n"/>
      <c r="M153" s="64" t="n"/>
      <c r="N153" s="64" t="n"/>
      <c r="O153" s="64" t="n"/>
      <c r="P153" s="64" t="n"/>
      <c r="Q153" s="64" t="n"/>
      <c r="R153" s="64" t="n"/>
      <c r="S153" s="66" t="n"/>
      <c r="T153" s="45" t="n"/>
      <c r="U153" s="43">
        <f t="shared" si="0"/>
      </c>
      <c r="V153" s="49">
        <f t="shared" si="1"/>
      </c>
      <c r="W153" s="49">
        <f t="shared" si="2"/>
      </c>
      <c r="X153" s="2">
        <f t="shared" si="3"/>
      </c>
      <c r="Y153" s="2">
        <f t="shared" si="4"/>
      </c>
      <c r="Z153" s="2">
        <f t="shared" si="5"/>
        <v>0</v>
      </c>
      <c r="AA153" s="2">
        <f t="shared" si="6"/>
        <v>0</v>
      </c>
      <c r="AB153" s="2">
        <f t="shared" si="7"/>
        <v>0</v>
      </c>
      <c r="AC153" s="2">
        <f t="shared" si="8"/>
      </c>
    </row>
    <row r="154">
      <c r="A154" s="64" t="n"/>
      <c r="B154" s="65" t="n"/>
      <c r="C154" s="65" t="n"/>
      <c r="D154" s="65" t="n"/>
      <c r="E154" s="65" t="n"/>
      <c r="F154" s="66" t="n"/>
      <c r="G154" s="65" t="n"/>
      <c r="H154" s="66" t="n"/>
      <c r="I154" s="64" t="n"/>
      <c r="J154" s="68" t="n"/>
      <c r="K154" s="68" t="n"/>
      <c r="L154" s="68" t="n"/>
      <c r="M154" s="64" t="n"/>
      <c r="N154" s="64" t="n"/>
      <c r="O154" s="64" t="n"/>
      <c r="P154" s="64" t="n"/>
      <c r="Q154" s="64" t="n"/>
      <c r="R154" s="64" t="n"/>
      <c r="S154" s="66" t="n"/>
      <c r="T154" s="45" t="n"/>
      <c r="U154" s="43">
        <f t="shared" si="0"/>
      </c>
      <c r="V154" s="49">
        <f t="shared" si="1"/>
      </c>
      <c r="W154" s="49">
        <f t="shared" si="2"/>
      </c>
      <c r="X154" s="2">
        <f t="shared" si="3"/>
      </c>
      <c r="Y154" s="2">
        <f t="shared" si="4"/>
      </c>
      <c r="Z154" s="2">
        <f t="shared" si="5"/>
        <v>0</v>
      </c>
      <c r="AA154" s="2">
        <f t="shared" si="6"/>
        <v>0</v>
      </c>
      <c r="AB154" s="2">
        <f t="shared" si="7"/>
        <v>0</v>
      </c>
      <c r="AC154" s="2">
        <f t="shared" si="8"/>
      </c>
    </row>
    <row r="155">
      <c r="A155" s="64" t="n"/>
      <c r="B155" s="65" t="n"/>
      <c r="C155" s="65" t="n"/>
      <c r="D155" s="65" t="n"/>
      <c r="E155" s="65" t="n"/>
      <c r="F155" s="66" t="n"/>
      <c r="G155" s="65" t="n"/>
      <c r="H155" s="66" t="n"/>
      <c r="I155" s="64" t="n"/>
      <c r="J155" s="68" t="n"/>
      <c r="K155" s="68" t="n"/>
      <c r="L155" s="68" t="n"/>
      <c r="M155" s="64" t="n"/>
      <c r="N155" s="64" t="n"/>
      <c r="O155" s="64" t="n"/>
      <c r="P155" s="64" t="n"/>
      <c r="Q155" s="64" t="n"/>
      <c r="R155" s="64" t="n"/>
      <c r="S155" s="66" t="n"/>
      <c r="T155" s="45" t="n"/>
      <c r="U155" s="43">
        <f t="shared" si="0"/>
      </c>
      <c r="V155" s="49">
        <f t="shared" si="1"/>
      </c>
      <c r="W155" s="49">
        <f t="shared" si="2"/>
      </c>
      <c r="X155" s="2">
        <f t="shared" si="3"/>
      </c>
      <c r="Y155" s="2">
        <f t="shared" si="4"/>
      </c>
      <c r="Z155" s="2">
        <f t="shared" si="5"/>
        <v>0</v>
      </c>
      <c r="AA155" s="2">
        <f t="shared" si="6"/>
        <v>0</v>
      </c>
      <c r="AB155" s="2">
        <f t="shared" si="7"/>
        <v>0</v>
      </c>
      <c r="AC155" s="2">
        <f t="shared" si="8"/>
      </c>
    </row>
    <row r="156">
      <c r="A156" s="64" t="n"/>
      <c r="B156" s="65" t="n"/>
      <c r="C156" s="65" t="n"/>
      <c r="D156" s="65" t="n"/>
      <c r="E156" s="65" t="n"/>
      <c r="F156" s="66" t="n"/>
      <c r="G156" s="65" t="n"/>
      <c r="H156" s="66" t="n"/>
      <c r="I156" s="64" t="n"/>
      <c r="J156" s="68" t="n"/>
      <c r="K156" s="68" t="n"/>
      <c r="L156" s="68" t="n"/>
      <c r="M156" s="64" t="n"/>
      <c r="N156" s="64" t="n"/>
      <c r="O156" s="64" t="n"/>
      <c r="P156" s="64" t="n"/>
      <c r="Q156" s="64" t="n"/>
      <c r="R156" s="64" t="n"/>
      <c r="S156" s="66" t="n"/>
      <c r="T156" s="45" t="n"/>
      <c r="U156" s="43">
        <f t="shared" si="0"/>
      </c>
      <c r="V156" s="49">
        <f t="shared" si="1"/>
      </c>
      <c r="W156" s="49">
        <f t="shared" si="2"/>
      </c>
      <c r="X156" s="2">
        <f t="shared" si="3"/>
      </c>
      <c r="Y156" s="2">
        <f t="shared" si="4"/>
      </c>
      <c r="Z156" s="2">
        <f t="shared" si="5"/>
        <v>0</v>
      </c>
      <c r="AA156" s="2">
        <f t="shared" si="6"/>
        <v>0</v>
      </c>
      <c r="AB156" s="2">
        <f t="shared" si="7"/>
        <v>0</v>
      </c>
      <c r="AC156" s="2">
        <f t="shared" si="8"/>
      </c>
    </row>
    <row r="157">
      <c r="A157" s="64" t="n"/>
      <c r="B157" s="65" t="n"/>
      <c r="C157" s="65" t="n"/>
      <c r="D157" s="65" t="n"/>
      <c r="E157" s="65" t="n"/>
      <c r="F157" s="66" t="n"/>
      <c r="G157" s="65" t="n"/>
      <c r="H157" s="66" t="n"/>
      <c r="I157" s="64" t="n"/>
      <c r="J157" s="68" t="n"/>
      <c r="K157" s="68" t="n"/>
      <c r="L157" s="68" t="n"/>
      <c r="M157" s="64" t="n"/>
      <c r="N157" s="64" t="n"/>
      <c r="O157" s="64" t="n"/>
      <c r="P157" s="64" t="n"/>
      <c r="Q157" s="64" t="n"/>
      <c r="R157" s="64" t="n"/>
      <c r="S157" s="66" t="n"/>
      <c r="T157" s="45" t="n"/>
      <c r="U157" s="43">
        <f t="shared" si="0"/>
      </c>
      <c r="V157" s="49">
        <f t="shared" si="1"/>
      </c>
      <c r="W157" s="49">
        <f t="shared" si="2"/>
      </c>
      <c r="X157" s="2">
        <f t="shared" si="3"/>
      </c>
      <c r="Y157" s="2">
        <f t="shared" si="4"/>
      </c>
      <c r="Z157" s="2">
        <f t="shared" si="5"/>
        <v>0</v>
      </c>
      <c r="AA157" s="2">
        <f t="shared" si="6"/>
        <v>0</v>
      </c>
      <c r="AB157" s="2">
        <f t="shared" si="7"/>
        <v>0</v>
      </c>
      <c r="AC157" s="2">
        <f t="shared" si="8"/>
      </c>
    </row>
    <row r="158">
      <c r="A158" s="64" t="n"/>
      <c r="B158" s="65" t="n"/>
      <c r="C158" s="65" t="n"/>
      <c r="D158" s="65" t="n"/>
      <c r="E158" s="65" t="n"/>
      <c r="F158" s="66" t="n"/>
      <c r="G158" s="65" t="n"/>
      <c r="H158" s="66" t="n"/>
      <c r="I158" s="64" t="n"/>
      <c r="J158" s="68" t="n"/>
      <c r="K158" s="68" t="n"/>
      <c r="L158" s="68" t="n"/>
      <c r="M158" s="64" t="n"/>
      <c r="N158" s="64" t="n"/>
      <c r="O158" s="64" t="n"/>
      <c r="P158" s="64" t="n"/>
      <c r="Q158" s="64" t="n"/>
      <c r="R158" s="64" t="n"/>
      <c r="S158" s="66" t="n"/>
      <c r="T158" s="45" t="n"/>
      <c r="U158" s="43">
        <f t="shared" si="0"/>
      </c>
      <c r="V158" s="49">
        <f t="shared" si="1"/>
      </c>
      <c r="W158" s="49">
        <f t="shared" si="2"/>
      </c>
      <c r="X158" s="2">
        <f t="shared" si="3"/>
      </c>
      <c r="Y158" s="2">
        <f t="shared" si="4"/>
      </c>
      <c r="Z158" s="2">
        <f t="shared" si="5"/>
        <v>0</v>
      </c>
      <c r="AA158" s="2">
        <f t="shared" si="6"/>
        <v>0</v>
      </c>
      <c r="AB158" s="2">
        <f t="shared" si="7"/>
        <v>0</v>
      </c>
      <c r="AC158" s="2">
        <f t="shared" si="8"/>
      </c>
    </row>
    <row r="159">
      <c r="A159" s="64" t="n"/>
      <c r="B159" s="65" t="n"/>
      <c r="C159" s="65" t="n"/>
      <c r="D159" s="65" t="n"/>
      <c r="E159" s="65" t="n"/>
      <c r="F159" s="66" t="n"/>
      <c r="G159" s="65" t="n"/>
      <c r="H159" s="66" t="n"/>
      <c r="I159" s="64" t="n"/>
      <c r="J159" s="68" t="n"/>
      <c r="K159" s="68" t="n"/>
      <c r="L159" s="68" t="n"/>
      <c r="M159" s="64" t="n"/>
      <c r="N159" s="64" t="n"/>
      <c r="O159" s="64" t="n"/>
      <c r="P159" s="64" t="n"/>
      <c r="Q159" s="64" t="n"/>
      <c r="R159" s="64" t="n"/>
      <c r="S159" s="66" t="n"/>
      <c r="T159" s="45" t="n"/>
      <c r="U159" s="43">
        <f t="shared" si="0"/>
      </c>
      <c r="V159" s="49">
        <f t="shared" si="1"/>
      </c>
      <c r="W159" s="49">
        <f t="shared" si="2"/>
      </c>
      <c r="X159" s="2">
        <f t="shared" si="3"/>
      </c>
      <c r="Y159" s="2">
        <f t="shared" si="4"/>
      </c>
      <c r="Z159" s="2">
        <f t="shared" si="5"/>
        <v>0</v>
      </c>
      <c r="AA159" s="2">
        <f t="shared" si="6"/>
        <v>0</v>
      </c>
      <c r="AB159" s="2">
        <f t="shared" si="7"/>
        <v>0</v>
      </c>
      <c r="AC159" s="2">
        <f t="shared" si="8"/>
      </c>
    </row>
    <row r="160">
      <c r="A160" s="64" t="n"/>
      <c r="B160" s="65" t="n"/>
      <c r="C160" s="65" t="n"/>
      <c r="D160" s="65" t="n"/>
      <c r="E160" s="65" t="n"/>
      <c r="F160" s="66" t="n"/>
      <c r="G160" s="65" t="n"/>
      <c r="H160" s="66" t="n"/>
      <c r="I160" s="64" t="n"/>
      <c r="J160" s="68" t="n"/>
      <c r="K160" s="68" t="n"/>
      <c r="L160" s="68" t="n"/>
      <c r="M160" s="64" t="n"/>
      <c r="N160" s="64" t="n"/>
      <c r="O160" s="64" t="n"/>
      <c r="P160" s="64" t="n"/>
      <c r="Q160" s="64" t="n"/>
      <c r="R160" s="64" t="n"/>
      <c r="S160" s="66" t="n"/>
      <c r="T160" s="45" t="n"/>
      <c r="U160" s="43">
        <f t="shared" si="0"/>
      </c>
      <c r="V160" s="49">
        <f t="shared" si="1"/>
      </c>
      <c r="W160" s="49">
        <f t="shared" si="2"/>
      </c>
      <c r="X160" s="2">
        <f t="shared" si="3"/>
      </c>
      <c r="Y160" s="2">
        <f t="shared" si="4"/>
      </c>
      <c r="Z160" s="2">
        <f t="shared" si="5"/>
        <v>0</v>
      </c>
      <c r="AA160" s="2">
        <f t="shared" si="6"/>
        <v>0</v>
      </c>
      <c r="AB160" s="2">
        <f t="shared" si="7"/>
        <v>0</v>
      </c>
      <c r="AC160" s="2">
        <f t="shared" si="8"/>
      </c>
    </row>
    <row r="161">
      <c r="A161" s="64" t="n"/>
      <c r="B161" s="65" t="n"/>
      <c r="C161" s="65" t="n"/>
      <c r="D161" s="65" t="n"/>
      <c r="E161" s="65" t="n"/>
      <c r="F161" s="66" t="n"/>
      <c r="G161" s="65" t="n"/>
      <c r="H161" s="66" t="n"/>
      <c r="I161" s="64" t="n"/>
      <c r="J161" s="68" t="n"/>
      <c r="K161" s="68" t="n"/>
      <c r="L161" s="68" t="n"/>
      <c r="M161" s="64" t="n"/>
      <c r="N161" s="64" t="n"/>
      <c r="O161" s="64" t="n"/>
      <c r="P161" s="64" t="n"/>
      <c r="Q161" s="64" t="n"/>
      <c r="R161" s="64" t="n"/>
      <c r="S161" s="66" t="n"/>
      <c r="T161" s="45" t="n"/>
      <c r="U161" s="43">
        <f t="shared" si="0"/>
      </c>
      <c r="V161" s="49">
        <f t="shared" si="1"/>
      </c>
      <c r="W161" s="49">
        <f t="shared" si="2"/>
      </c>
      <c r="X161" s="2">
        <f t="shared" si="3"/>
      </c>
      <c r="Y161" s="2">
        <f t="shared" si="4"/>
      </c>
      <c r="Z161" s="2">
        <f t="shared" si="5"/>
        <v>0</v>
      </c>
      <c r="AA161" s="2">
        <f t="shared" si="6"/>
        <v>0</v>
      </c>
      <c r="AB161" s="2">
        <f t="shared" si="7"/>
        <v>0</v>
      </c>
      <c r="AC161" s="2">
        <f t="shared" si="8"/>
      </c>
    </row>
    <row r="162">
      <c r="A162" s="64" t="n"/>
      <c r="B162" s="65" t="n"/>
      <c r="C162" s="65" t="n"/>
      <c r="D162" s="65" t="n"/>
      <c r="E162" s="65" t="n"/>
      <c r="F162" s="66" t="n"/>
      <c r="G162" s="65" t="n"/>
      <c r="H162" s="66" t="n"/>
      <c r="I162" s="64" t="n"/>
      <c r="J162" s="68" t="n"/>
      <c r="K162" s="68" t="n"/>
      <c r="L162" s="68" t="n"/>
      <c r="M162" s="64" t="n"/>
      <c r="N162" s="64" t="n"/>
      <c r="O162" s="64" t="n"/>
      <c r="P162" s="64" t="n"/>
      <c r="Q162" s="64" t="n"/>
      <c r="R162" s="64" t="n"/>
      <c r="S162" s="66" t="n"/>
      <c r="T162" s="45" t="n"/>
      <c r="U162" s="43">
        <f t="shared" si="0"/>
      </c>
      <c r="V162" s="49">
        <f t="shared" si="1"/>
      </c>
      <c r="W162" s="49">
        <f t="shared" si="2"/>
      </c>
      <c r="X162" s="2">
        <f t="shared" si="3"/>
      </c>
      <c r="Y162" s="2">
        <f t="shared" si="4"/>
      </c>
      <c r="Z162" s="2">
        <f t="shared" si="5"/>
        <v>0</v>
      </c>
      <c r="AA162" s="2">
        <f t="shared" si="6"/>
        <v>0</v>
      </c>
      <c r="AB162" s="2">
        <f t="shared" si="7"/>
        <v>0</v>
      </c>
      <c r="AC162" s="2">
        <f t="shared" si="8"/>
      </c>
    </row>
    <row r="163">
      <c r="A163" s="64" t="n"/>
      <c r="B163" s="65" t="n"/>
      <c r="C163" s="65" t="n"/>
      <c r="D163" s="65" t="n"/>
      <c r="E163" s="65" t="n"/>
      <c r="F163" s="66" t="n"/>
      <c r="G163" s="65" t="n"/>
      <c r="H163" s="66" t="n"/>
      <c r="I163" s="64" t="n"/>
      <c r="J163" s="68" t="n"/>
      <c r="K163" s="68" t="n"/>
      <c r="L163" s="68" t="n"/>
      <c r="M163" s="64" t="n"/>
      <c r="N163" s="64" t="n"/>
      <c r="O163" s="64" t="n"/>
      <c r="P163" s="64" t="n"/>
      <c r="Q163" s="64" t="n"/>
      <c r="R163" s="64" t="n"/>
      <c r="S163" s="66" t="n"/>
      <c r="T163" s="45" t="n"/>
      <c r="U163" s="43">
        <f t="shared" si="0"/>
      </c>
      <c r="V163" s="49">
        <f t="shared" si="1"/>
      </c>
      <c r="W163" s="49">
        <f t="shared" si="2"/>
      </c>
      <c r="X163" s="2">
        <f t="shared" si="3"/>
      </c>
      <c r="Y163" s="2">
        <f t="shared" si="4"/>
      </c>
      <c r="Z163" s="2">
        <f t="shared" si="5"/>
        <v>0</v>
      </c>
      <c r="AA163" s="2">
        <f t="shared" si="6"/>
        <v>0</v>
      </c>
      <c r="AB163" s="2">
        <f t="shared" si="7"/>
        <v>0</v>
      </c>
      <c r="AC163" s="2">
        <f t="shared" si="8"/>
      </c>
    </row>
    <row r="164">
      <c r="A164" s="64" t="n"/>
      <c r="B164" s="65" t="n"/>
      <c r="C164" s="65" t="n"/>
      <c r="D164" s="65" t="n"/>
      <c r="E164" s="65" t="n"/>
      <c r="F164" s="66" t="n"/>
      <c r="G164" s="65" t="n"/>
      <c r="H164" s="66" t="n"/>
      <c r="I164" s="64" t="n"/>
      <c r="J164" s="68" t="n"/>
      <c r="K164" s="68" t="n"/>
      <c r="L164" s="68" t="n"/>
      <c r="M164" s="64" t="n"/>
      <c r="N164" s="64" t="n"/>
      <c r="O164" s="64" t="n"/>
      <c r="P164" s="64" t="n"/>
      <c r="Q164" s="64" t="n"/>
      <c r="R164" s="64" t="n"/>
      <c r="S164" s="66" t="n"/>
      <c r="T164" s="45" t="n"/>
      <c r="U164" s="43">
        <f t="shared" si="0"/>
      </c>
      <c r="V164" s="49">
        <f t="shared" si="1"/>
      </c>
      <c r="W164" s="49">
        <f t="shared" si="2"/>
      </c>
      <c r="X164" s="2">
        <f t="shared" si="3"/>
      </c>
      <c r="Y164" s="2">
        <f t="shared" si="4"/>
      </c>
      <c r="Z164" s="2">
        <f t="shared" si="5"/>
        <v>0</v>
      </c>
      <c r="AA164" s="2">
        <f t="shared" si="6"/>
        <v>0</v>
      </c>
      <c r="AB164" s="2">
        <f t="shared" si="7"/>
        <v>0</v>
      </c>
      <c r="AC164" s="2">
        <f t="shared" si="8"/>
      </c>
    </row>
    <row r="165">
      <c r="A165" s="64" t="n"/>
      <c r="B165" s="65" t="n"/>
      <c r="C165" s="65" t="n"/>
      <c r="D165" s="65" t="n"/>
      <c r="E165" s="65" t="n"/>
      <c r="F165" s="66" t="n"/>
      <c r="G165" s="65" t="n"/>
      <c r="H165" s="66" t="n"/>
      <c r="I165" s="64" t="n"/>
      <c r="J165" s="68" t="n"/>
      <c r="K165" s="68" t="n"/>
      <c r="L165" s="68" t="n"/>
      <c r="M165" s="64" t="n"/>
      <c r="N165" s="64" t="n"/>
      <c r="O165" s="64" t="n"/>
      <c r="P165" s="64" t="n"/>
      <c r="Q165" s="64" t="n"/>
      <c r="R165" s="64" t="n"/>
      <c r="S165" s="66" t="n"/>
      <c r="T165" s="45" t="n"/>
      <c r="U165" s="43">
        <f t="shared" si="0"/>
      </c>
      <c r="V165" s="49">
        <f t="shared" si="1"/>
      </c>
      <c r="W165" s="49">
        <f t="shared" si="2"/>
      </c>
      <c r="X165" s="2">
        <f t="shared" si="3"/>
      </c>
      <c r="Y165" s="2">
        <f t="shared" si="4"/>
      </c>
      <c r="Z165" s="2">
        <f t="shared" si="5"/>
        <v>0</v>
      </c>
      <c r="AA165" s="2">
        <f t="shared" si="6"/>
        <v>0</v>
      </c>
      <c r="AB165" s="2">
        <f t="shared" si="7"/>
        <v>0</v>
      </c>
      <c r="AC165" s="2">
        <f t="shared" si="8"/>
      </c>
    </row>
    <row r="166">
      <c r="A166" s="64" t="n"/>
      <c r="B166" s="65" t="n"/>
      <c r="C166" s="65" t="n"/>
      <c r="D166" s="65" t="n"/>
      <c r="E166" s="65" t="n"/>
      <c r="F166" s="66" t="n"/>
      <c r="G166" s="65" t="n"/>
      <c r="H166" s="66" t="n"/>
      <c r="I166" s="64" t="n"/>
      <c r="J166" s="68" t="n"/>
      <c r="K166" s="68" t="n"/>
      <c r="L166" s="68" t="n"/>
      <c r="M166" s="64" t="n"/>
      <c r="N166" s="64" t="n"/>
      <c r="O166" s="64" t="n"/>
      <c r="P166" s="64" t="n"/>
      <c r="Q166" s="64" t="n"/>
      <c r="R166" s="64" t="n"/>
      <c r="S166" s="66" t="n"/>
      <c r="T166" s="45" t="n"/>
      <c r="U166" s="43">
        <f t="shared" si="0"/>
      </c>
      <c r="V166" s="49">
        <f t="shared" si="1"/>
      </c>
      <c r="W166" s="49">
        <f t="shared" si="2"/>
      </c>
      <c r="X166" s="2">
        <f t="shared" si="3"/>
      </c>
      <c r="Y166" s="2">
        <f t="shared" si="4"/>
      </c>
      <c r="Z166" s="2">
        <f t="shared" si="5"/>
        <v>0</v>
      </c>
      <c r="AA166" s="2">
        <f t="shared" si="6"/>
        <v>0</v>
      </c>
      <c r="AB166" s="2">
        <f t="shared" si="7"/>
        <v>0</v>
      </c>
      <c r="AC166" s="2">
        <f t="shared" si="8"/>
      </c>
    </row>
    <row r="167">
      <c r="A167" s="64" t="n"/>
      <c r="B167" s="65" t="n"/>
      <c r="C167" s="65" t="n"/>
      <c r="D167" s="65" t="n"/>
      <c r="E167" s="65" t="n"/>
      <c r="F167" s="66" t="n"/>
      <c r="G167" s="65" t="n"/>
      <c r="H167" s="66" t="n"/>
      <c r="I167" s="64" t="n"/>
      <c r="J167" s="68" t="n"/>
      <c r="K167" s="68" t="n"/>
      <c r="L167" s="68" t="n"/>
      <c r="M167" s="64" t="n"/>
      <c r="N167" s="64" t="n"/>
      <c r="O167" s="64" t="n"/>
      <c r="P167" s="64" t="n"/>
      <c r="Q167" s="64" t="n"/>
      <c r="R167" s="64" t="n"/>
      <c r="S167" s="66" t="n"/>
      <c r="T167" s="45" t="n"/>
      <c r="U167" s="43">
        <f t="shared" si="0"/>
      </c>
      <c r="V167" s="49">
        <f t="shared" si="1"/>
      </c>
      <c r="W167" s="49">
        <f t="shared" si="2"/>
      </c>
      <c r="X167" s="2">
        <f t="shared" si="3"/>
      </c>
      <c r="Y167" s="2">
        <f t="shared" si="4"/>
      </c>
      <c r="Z167" s="2">
        <f t="shared" si="5"/>
        <v>0</v>
      </c>
      <c r="AA167" s="2">
        <f t="shared" si="6"/>
        <v>0</v>
      </c>
      <c r="AB167" s="2">
        <f t="shared" si="7"/>
        <v>0</v>
      </c>
      <c r="AC167" s="2">
        <f t="shared" si="8"/>
      </c>
    </row>
    <row r="168">
      <c r="A168" s="64" t="n"/>
      <c r="B168" s="65" t="n"/>
      <c r="C168" s="65" t="n"/>
      <c r="D168" s="65" t="n"/>
      <c r="E168" s="65" t="n"/>
      <c r="F168" s="66" t="n"/>
      <c r="G168" s="65" t="n"/>
      <c r="H168" s="66" t="n"/>
      <c r="I168" s="64" t="n"/>
      <c r="J168" s="68" t="n"/>
      <c r="K168" s="68" t="n"/>
      <c r="L168" s="68" t="n"/>
      <c r="M168" s="64" t="n"/>
      <c r="N168" s="64" t="n"/>
      <c r="O168" s="64" t="n"/>
      <c r="P168" s="64" t="n"/>
      <c r="Q168" s="64" t="n"/>
      <c r="R168" s="64" t="n"/>
      <c r="S168" s="66" t="n"/>
      <c r="T168" s="45" t="n"/>
      <c r="U168" s="43">
        <f t="shared" si="0"/>
      </c>
      <c r="V168" s="49">
        <f t="shared" si="1"/>
      </c>
      <c r="W168" s="49">
        <f t="shared" si="2"/>
      </c>
      <c r="X168" s="2">
        <f t="shared" si="3"/>
      </c>
      <c r="Y168" s="2">
        <f t="shared" si="4"/>
      </c>
      <c r="Z168" s="2">
        <f t="shared" si="5"/>
        <v>0</v>
      </c>
      <c r="AA168" s="2">
        <f t="shared" si="6"/>
        <v>0</v>
      </c>
      <c r="AB168" s="2">
        <f t="shared" si="7"/>
        <v>0</v>
      </c>
      <c r="AC168" s="2">
        <f t="shared" si="8"/>
      </c>
    </row>
    <row r="169">
      <c r="A169" s="64" t="n"/>
      <c r="B169" s="65" t="n"/>
      <c r="C169" s="65" t="n"/>
      <c r="D169" s="65" t="n"/>
      <c r="E169" s="65" t="n"/>
      <c r="F169" s="66" t="n"/>
      <c r="G169" s="65" t="n"/>
      <c r="H169" s="66" t="n"/>
      <c r="I169" s="64" t="n"/>
      <c r="J169" s="68" t="n"/>
      <c r="K169" s="68" t="n"/>
      <c r="L169" s="68" t="n"/>
      <c r="M169" s="64" t="n"/>
      <c r="N169" s="64" t="n"/>
      <c r="O169" s="64" t="n"/>
      <c r="P169" s="64" t="n"/>
      <c r="Q169" s="64" t="n"/>
      <c r="R169" s="64" t="n"/>
      <c r="S169" s="66" t="n"/>
      <c r="T169" s="45" t="n"/>
      <c r="U169" s="43">
        <f t="shared" si="0"/>
      </c>
      <c r="V169" s="49">
        <f t="shared" si="1"/>
      </c>
      <c r="W169" s="49">
        <f t="shared" si="2"/>
      </c>
      <c r="X169" s="2">
        <f t="shared" si="3"/>
      </c>
      <c r="Y169" s="2">
        <f t="shared" si="4"/>
      </c>
      <c r="Z169" s="2">
        <f t="shared" si="5"/>
        <v>0</v>
      </c>
      <c r="AA169" s="2">
        <f t="shared" si="6"/>
        <v>0</v>
      </c>
      <c r="AB169" s="2">
        <f t="shared" si="7"/>
        <v>0</v>
      </c>
      <c r="AC169" s="2">
        <f t="shared" si="8"/>
      </c>
    </row>
    <row r="170">
      <c r="A170" s="64" t="n"/>
      <c r="B170" s="65" t="n"/>
      <c r="C170" s="65" t="n"/>
      <c r="D170" s="65" t="n"/>
      <c r="E170" s="65" t="n"/>
      <c r="F170" s="66" t="n"/>
      <c r="G170" s="65" t="n"/>
      <c r="H170" s="66" t="n"/>
      <c r="I170" s="64" t="n"/>
      <c r="J170" s="68" t="n"/>
      <c r="K170" s="68" t="n"/>
      <c r="L170" s="68" t="n"/>
      <c r="M170" s="64" t="n"/>
      <c r="N170" s="64" t="n"/>
      <c r="O170" s="64" t="n"/>
      <c r="P170" s="64" t="n"/>
      <c r="Q170" s="64" t="n"/>
      <c r="R170" s="64" t="n"/>
      <c r="S170" s="66" t="n"/>
      <c r="T170" s="45" t="n"/>
      <c r="U170" s="43">
        <f t="shared" si="0"/>
      </c>
      <c r="V170" s="49">
        <f t="shared" si="1"/>
      </c>
      <c r="W170" s="49">
        <f t="shared" si="2"/>
      </c>
      <c r="X170" s="2">
        <f t="shared" si="3"/>
      </c>
      <c r="Y170" s="2">
        <f t="shared" si="4"/>
      </c>
      <c r="Z170" s="2">
        <f t="shared" si="5"/>
        <v>0</v>
      </c>
      <c r="AA170" s="2">
        <f t="shared" si="6"/>
        <v>0</v>
      </c>
      <c r="AB170" s="2">
        <f t="shared" si="7"/>
        <v>0</v>
      </c>
      <c r="AC170" s="2">
        <f t="shared" si="8"/>
      </c>
    </row>
    <row r="171">
      <c r="A171" s="64" t="n"/>
      <c r="B171" s="65" t="n"/>
      <c r="C171" s="65" t="n"/>
      <c r="D171" s="65" t="n"/>
      <c r="E171" s="65" t="n"/>
      <c r="F171" s="66" t="n"/>
      <c r="G171" s="65" t="n"/>
      <c r="H171" s="66" t="n"/>
      <c r="I171" s="64" t="n"/>
      <c r="J171" s="68" t="n"/>
      <c r="K171" s="68" t="n"/>
      <c r="L171" s="68" t="n"/>
      <c r="M171" s="64" t="n"/>
      <c r="N171" s="64" t="n"/>
      <c r="O171" s="64" t="n"/>
      <c r="P171" s="64" t="n"/>
      <c r="Q171" s="64" t="n"/>
      <c r="R171" s="64" t="n"/>
      <c r="S171" s="66" t="n"/>
      <c r="T171" s="45" t="n"/>
      <c r="U171" s="43">
        <f t="shared" si="0"/>
      </c>
      <c r="V171" s="49">
        <f t="shared" si="1"/>
      </c>
      <c r="W171" s="49">
        <f t="shared" si="2"/>
      </c>
      <c r="X171" s="2">
        <f t="shared" si="3"/>
      </c>
      <c r="Y171" s="2">
        <f t="shared" si="4"/>
      </c>
      <c r="Z171" s="2">
        <f t="shared" si="5"/>
        <v>0</v>
      </c>
      <c r="AA171" s="2">
        <f t="shared" si="6"/>
        <v>0</v>
      </c>
      <c r="AB171" s="2">
        <f t="shared" si="7"/>
        <v>0</v>
      </c>
      <c r="AC171" s="2">
        <f t="shared" si="8"/>
      </c>
    </row>
    <row r="172">
      <c r="A172" s="64" t="n"/>
      <c r="B172" s="65" t="n"/>
      <c r="C172" s="65" t="n"/>
      <c r="D172" s="65" t="n"/>
      <c r="E172" s="65" t="n"/>
      <c r="F172" s="66" t="n"/>
      <c r="G172" s="65" t="n"/>
      <c r="H172" s="66" t="n"/>
      <c r="I172" s="64" t="n"/>
      <c r="J172" s="68" t="n"/>
      <c r="K172" s="68" t="n"/>
      <c r="L172" s="68" t="n"/>
      <c r="M172" s="64" t="n"/>
      <c r="N172" s="64" t="n"/>
      <c r="O172" s="64" t="n"/>
      <c r="P172" s="64" t="n"/>
      <c r="Q172" s="64" t="n"/>
      <c r="R172" s="64" t="n"/>
      <c r="S172" s="66" t="n"/>
      <c r="T172" s="45" t="n"/>
      <c r="U172" s="43">
        <f t="shared" si="0"/>
      </c>
      <c r="V172" s="49">
        <f t="shared" si="1"/>
      </c>
      <c r="W172" s="49">
        <f t="shared" si="2"/>
      </c>
      <c r="X172" s="2">
        <f t="shared" si="3"/>
      </c>
      <c r="Y172" s="2">
        <f t="shared" si="4"/>
      </c>
      <c r="Z172" s="2">
        <f t="shared" si="5"/>
        <v>0</v>
      </c>
      <c r="AA172" s="2">
        <f t="shared" si="6"/>
        <v>0</v>
      </c>
      <c r="AB172" s="2">
        <f t="shared" si="7"/>
        <v>0</v>
      </c>
      <c r="AC172" s="2">
        <f t="shared" si="8"/>
      </c>
    </row>
    <row r="173">
      <c r="A173" s="64" t="n"/>
      <c r="B173" s="65" t="n"/>
      <c r="C173" s="65" t="n"/>
      <c r="D173" s="65" t="n"/>
      <c r="E173" s="65" t="n"/>
      <c r="F173" s="66" t="n"/>
      <c r="G173" s="65" t="n"/>
      <c r="H173" s="66" t="n"/>
      <c r="I173" s="64" t="n"/>
      <c r="J173" s="68" t="n"/>
      <c r="K173" s="68" t="n"/>
      <c r="L173" s="68" t="n"/>
      <c r="M173" s="64" t="n"/>
      <c r="N173" s="64" t="n"/>
      <c r="O173" s="64" t="n"/>
      <c r="P173" s="64" t="n"/>
      <c r="Q173" s="64" t="n"/>
      <c r="R173" s="64" t="n"/>
      <c r="S173" s="66" t="n"/>
      <c r="T173" s="45" t="n"/>
      <c r="U173" s="43">
        <f t="shared" si="0"/>
      </c>
      <c r="V173" s="49">
        <f t="shared" si="1"/>
      </c>
      <c r="W173" s="49">
        <f t="shared" si="2"/>
      </c>
      <c r="X173" s="2">
        <f t="shared" si="3"/>
      </c>
      <c r="Y173" s="2">
        <f t="shared" si="4"/>
      </c>
      <c r="Z173" s="2">
        <f t="shared" si="5"/>
        <v>0</v>
      </c>
      <c r="AA173" s="2">
        <f t="shared" si="6"/>
        <v>0</v>
      </c>
      <c r="AB173" s="2">
        <f t="shared" si="7"/>
        <v>0</v>
      </c>
      <c r="AC173" s="2">
        <f t="shared" si="8"/>
      </c>
    </row>
    <row r="174">
      <c r="A174" s="64" t="n"/>
      <c r="B174" s="65" t="n"/>
      <c r="C174" s="65" t="n"/>
      <c r="D174" s="65" t="n"/>
      <c r="E174" s="65" t="n"/>
      <c r="F174" s="66" t="n"/>
      <c r="G174" s="65" t="n"/>
      <c r="H174" s="66" t="n"/>
      <c r="I174" s="64" t="n"/>
      <c r="J174" s="68" t="n"/>
      <c r="K174" s="68" t="n"/>
      <c r="L174" s="68" t="n"/>
      <c r="M174" s="64" t="n"/>
      <c r="N174" s="64" t="n"/>
      <c r="O174" s="64" t="n"/>
      <c r="P174" s="64" t="n"/>
      <c r="Q174" s="64" t="n"/>
      <c r="R174" s="64" t="n"/>
      <c r="S174" s="66" t="n"/>
      <c r="T174" s="45" t="n"/>
      <c r="U174" s="43">
        <f t="shared" si="0"/>
      </c>
      <c r="V174" s="49">
        <f t="shared" si="1"/>
      </c>
      <c r="W174" s="49">
        <f t="shared" si="2"/>
      </c>
      <c r="X174" s="2">
        <f t="shared" si="3"/>
      </c>
      <c r="Y174" s="2">
        <f t="shared" si="4"/>
      </c>
      <c r="Z174" s="2">
        <f t="shared" si="5"/>
        <v>0</v>
      </c>
      <c r="AA174" s="2">
        <f t="shared" si="6"/>
        <v>0</v>
      </c>
      <c r="AB174" s="2">
        <f t="shared" si="7"/>
        <v>0</v>
      </c>
      <c r="AC174" s="2">
        <f t="shared" si="8"/>
      </c>
    </row>
    <row r="175">
      <c r="A175" s="64" t="n"/>
      <c r="B175" s="65" t="n"/>
      <c r="C175" s="65" t="n"/>
      <c r="D175" s="65" t="n"/>
      <c r="E175" s="65" t="n"/>
      <c r="F175" s="66" t="n"/>
      <c r="G175" s="65" t="n"/>
      <c r="H175" s="66" t="n"/>
      <c r="I175" s="64" t="n"/>
      <c r="J175" s="68" t="n"/>
      <c r="K175" s="68" t="n"/>
      <c r="L175" s="68" t="n"/>
      <c r="M175" s="64" t="n"/>
      <c r="N175" s="64" t="n"/>
      <c r="O175" s="64" t="n"/>
      <c r="P175" s="64" t="n"/>
      <c r="Q175" s="64" t="n"/>
      <c r="R175" s="64" t="n"/>
      <c r="S175" s="66" t="n"/>
      <c r="T175" s="45" t="n"/>
      <c r="U175" s="43">
        <f t="shared" si="0"/>
      </c>
      <c r="V175" s="49">
        <f t="shared" si="1"/>
      </c>
      <c r="W175" s="49">
        <f t="shared" si="2"/>
      </c>
      <c r="X175" s="2">
        <f t="shared" si="3"/>
      </c>
      <c r="Y175" s="2">
        <f t="shared" si="4"/>
      </c>
      <c r="Z175" s="2">
        <f t="shared" si="5"/>
        <v>0</v>
      </c>
      <c r="AA175" s="2">
        <f t="shared" si="6"/>
        <v>0</v>
      </c>
      <c r="AB175" s="2">
        <f t="shared" si="7"/>
        <v>0</v>
      </c>
      <c r="AC175" s="2">
        <f t="shared" si="8"/>
      </c>
    </row>
    <row r="176">
      <c r="A176" s="64" t="n"/>
      <c r="B176" s="65" t="n"/>
      <c r="C176" s="65" t="n"/>
      <c r="D176" s="65" t="n"/>
      <c r="E176" s="65" t="n"/>
      <c r="F176" s="66" t="n"/>
      <c r="G176" s="65" t="n"/>
      <c r="H176" s="66" t="n"/>
      <c r="I176" s="64" t="n"/>
      <c r="J176" s="68" t="n"/>
      <c r="K176" s="68" t="n"/>
      <c r="L176" s="68" t="n"/>
      <c r="M176" s="64" t="n"/>
      <c r="N176" s="64" t="n"/>
      <c r="O176" s="64" t="n"/>
      <c r="P176" s="64" t="n"/>
      <c r="Q176" s="64" t="n"/>
      <c r="R176" s="64" t="n"/>
      <c r="S176" s="66" t="n"/>
      <c r="T176" s="45" t="n"/>
      <c r="U176" s="43">
        <f t="shared" si="0"/>
      </c>
      <c r="V176" s="49">
        <f t="shared" si="1"/>
      </c>
      <c r="W176" s="49">
        <f t="shared" si="2"/>
      </c>
      <c r="X176" s="2">
        <f t="shared" si="3"/>
      </c>
      <c r="Y176" s="2">
        <f t="shared" si="4"/>
      </c>
      <c r="Z176" s="2">
        <f t="shared" si="5"/>
        <v>0</v>
      </c>
      <c r="AA176" s="2">
        <f t="shared" si="6"/>
        <v>0</v>
      </c>
      <c r="AB176" s="2">
        <f t="shared" si="7"/>
        <v>0</v>
      </c>
      <c r="AC176" s="2">
        <f t="shared" si="8"/>
      </c>
    </row>
    <row r="177">
      <c r="A177" s="64" t="n"/>
      <c r="B177" s="65" t="n"/>
      <c r="C177" s="65" t="n"/>
      <c r="D177" s="65" t="n"/>
      <c r="E177" s="65" t="n"/>
      <c r="F177" s="66" t="n"/>
      <c r="G177" s="65" t="n"/>
      <c r="H177" s="66" t="n"/>
      <c r="I177" s="64" t="n"/>
      <c r="J177" s="68" t="n"/>
      <c r="K177" s="68" t="n"/>
      <c r="L177" s="68" t="n"/>
      <c r="M177" s="64" t="n"/>
      <c r="N177" s="64" t="n"/>
      <c r="O177" s="64" t="n"/>
      <c r="P177" s="64" t="n"/>
      <c r="Q177" s="64" t="n"/>
      <c r="R177" s="64" t="n"/>
      <c r="S177" s="66" t="n"/>
      <c r="T177" s="45" t="n"/>
      <c r="U177" s="43">
        <f t="shared" si="0"/>
      </c>
      <c r="V177" s="49">
        <f t="shared" si="1"/>
      </c>
      <c r="W177" s="49">
        <f t="shared" si="2"/>
      </c>
      <c r="X177" s="2">
        <f t="shared" si="3"/>
      </c>
      <c r="Y177" s="2">
        <f t="shared" si="4"/>
      </c>
      <c r="Z177" s="2">
        <f t="shared" si="5"/>
        <v>0</v>
      </c>
      <c r="AA177" s="2">
        <f t="shared" si="6"/>
        <v>0</v>
      </c>
      <c r="AB177" s="2">
        <f t="shared" si="7"/>
        <v>0</v>
      </c>
      <c r="AC177" s="2">
        <f t="shared" si="8"/>
      </c>
    </row>
    <row r="178">
      <c r="A178" s="64" t="n"/>
      <c r="B178" s="65" t="n"/>
      <c r="C178" s="65" t="n"/>
      <c r="D178" s="65" t="n"/>
      <c r="E178" s="65" t="n"/>
      <c r="F178" s="66" t="n"/>
      <c r="G178" s="65" t="n"/>
      <c r="H178" s="66" t="n"/>
      <c r="I178" s="64" t="n"/>
      <c r="J178" s="68" t="n"/>
      <c r="K178" s="68" t="n"/>
      <c r="L178" s="68" t="n"/>
      <c r="M178" s="64" t="n"/>
      <c r="N178" s="64" t="n"/>
      <c r="O178" s="64" t="n"/>
      <c r="P178" s="64" t="n"/>
      <c r="Q178" s="64" t="n"/>
      <c r="R178" s="64" t="n"/>
      <c r="S178" s="66" t="n"/>
      <c r="T178" s="45" t="n"/>
      <c r="U178" s="43">
        <f t="shared" si="0"/>
      </c>
      <c r="V178" s="49">
        <f t="shared" si="1"/>
      </c>
      <c r="W178" s="49">
        <f t="shared" si="2"/>
      </c>
      <c r="X178" s="2">
        <f t="shared" si="3"/>
      </c>
      <c r="Y178" s="2">
        <f t="shared" si="4"/>
      </c>
      <c r="Z178" s="2">
        <f t="shared" si="5"/>
        <v>0</v>
      </c>
      <c r="AA178" s="2">
        <f t="shared" si="6"/>
        <v>0</v>
      </c>
      <c r="AB178" s="2">
        <f t="shared" si="7"/>
        <v>0</v>
      </c>
      <c r="AC178" s="2">
        <f t="shared" si="8"/>
      </c>
    </row>
    <row r="179">
      <c r="A179" s="64" t="n"/>
      <c r="B179" s="65" t="n"/>
      <c r="C179" s="65" t="n"/>
      <c r="D179" s="65" t="n"/>
      <c r="E179" s="65" t="n"/>
      <c r="F179" s="66" t="n"/>
      <c r="G179" s="65" t="n"/>
      <c r="H179" s="66" t="n"/>
      <c r="I179" s="64" t="n"/>
      <c r="J179" s="68" t="n"/>
      <c r="K179" s="68" t="n"/>
      <c r="L179" s="68" t="n"/>
      <c r="M179" s="64" t="n"/>
      <c r="N179" s="64" t="n"/>
      <c r="O179" s="64" t="n"/>
      <c r="P179" s="64" t="n"/>
      <c r="Q179" s="64" t="n"/>
      <c r="R179" s="64" t="n"/>
      <c r="S179" s="66" t="n"/>
      <c r="T179" s="45" t="n"/>
      <c r="U179" s="43">
        <f t="shared" si="0"/>
      </c>
      <c r="V179" s="49">
        <f t="shared" si="1"/>
      </c>
      <c r="W179" s="49">
        <f t="shared" si="2"/>
      </c>
      <c r="X179" s="2">
        <f t="shared" si="3"/>
      </c>
      <c r="Y179" s="2">
        <f t="shared" si="4"/>
      </c>
      <c r="Z179" s="2">
        <f t="shared" si="5"/>
        <v>0</v>
      </c>
      <c r="AA179" s="2">
        <f t="shared" si="6"/>
        <v>0</v>
      </c>
      <c r="AB179" s="2">
        <f t="shared" si="7"/>
        <v>0</v>
      </c>
      <c r="AC179" s="2">
        <f t="shared" si="8"/>
      </c>
    </row>
    <row r="180">
      <c r="A180" s="64" t="n"/>
      <c r="B180" s="65" t="n"/>
      <c r="C180" s="65" t="n"/>
      <c r="D180" s="65" t="n"/>
      <c r="E180" s="65" t="n"/>
      <c r="F180" s="66" t="n"/>
      <c r="G180" s="65" t="n"/>
      <c r="H180" s="66" t="n"/>
      <c r="I180" s="64" t="n"/>
      <c r="J180" s="68" t="n"/>
      <c r="K180" s="68" t="n"/>
      <c r="L180" s="68" t="n"/>
      <c r="M180" s="64" t="n"/>
      <c r="N180" s="64" t="n"/>
      <c r="O180" s="64" t="n"/>
      <c r="P180" s="64" t="n"/>
      <c r="Q180" s="64" t="n"/>
      <c r="R180" s="64" t="n"/>
      <c r="S180" s="66" t="n"/>
      <c r="T180" s="45" t="n"/>
      <c r="U180" s="43">
        <f t="shared" si="0"/>
      </c>
      <c r="V180" s="49">
        <f t="shared" si="1"/>
      </c>
      <c r="W180" s="49">
        <f t="shared" si="2"/>
      </c>
      <c r="X180" s="2">
        <f t="shared" si="3"/>
      </c>
      <c r="Y180" s="2">
        <f t="shared" si="4"/>
      </c>
      <c r="Z180" s="2">
        <f t="shared" si="5"/>
        <v>0</v>
      </c>
      <c r="AA180" s="2">
        <f t="shared" si="6"/>
        <v>0</v>
      </c>
      <c r="AB180" s="2">
        <f t="shared" si="7"/>
        <v>0</v>
      </c>
      <c r="AC180" s="2">
        <f t="shared" si="8"/>
      </c>
    </row>
    <row r="181">
      <c r="A181" s="64" t="n"/>
      <c r="B181" s="65" t="n"/>
      <c r="C181" s="65" t="n"/>
      <c r="D181" s="65" t="n"/>
      <c r="E181" s="65" t="n"/>
      <c r="F181" s="66" t="n"/>
      <c r="G181" s="65" t="n"/>
      <c r="H181" s="66" t="n"/>
      <c r="I181" s="64" t="n"/>
      <c r="J181" s="68" t="n"/>
      <c r="K181" s="68" t="n"/>
      <c r="L181" s="68" t="n"/>
      <c r="M181" s="64" t="n"/>
      <c r="N181" s="64" t="n"/>
      <c r="O181" s="64" t="n"/>
      <c r="P181" s="64" t="n"/>
      <c r="Q181" s="64" t="n"/>
      <c r="R181" s="64" t="n"/>
      <c r="S181" s="66" t="n"/>
      <c r="T181" s="45" t="n"/>
      <c r="U181" s="43">
        <f t="shared" si="0"/>
      </c>
      <c r="V181" s="49">
        <f t="shared" si="1"/>
      </c>
      <c r="W181" s="49">
        <f t="shared" si="2"/>
      </c>
      <c r="X181" s="2">
        <f t="shared" si="3"/>
      </c>
      <c r="Y181" s="2">
        <f t="shared" si="4"/>
      </c>
      <c r="Z181" s="2">
        <f t="shared" si="5"/>
        <v>0</v>
      </c>
      <c r="AA181" s="2">
        <f t="shared" si="6"/>
        <v>0</v>
      </c>
      <c r="AB181" s="2">
        <f t="shared" si="7"/>
        <v>0</v>
      </c>
      <c r="AC181" s="2">
        <f t="shared" si="8"/>
      </c>
    </row>
    <row r="182">
      <c r="A182" s="64" t="n"/>
      <c r="B182" s="65" t="n"/>
      <c r="C182" s="65" t="n"/>
      <c r="D182" s="65" t="n"/>
      <c r="E182" s="65" t="n"/>
      <c r="F182" s="66" t="n"/>
      <c r="G182" s="65" t="n"/>
      <c r="H182" s="66" t="n"/>
      <c r="I182" s="64" t="n"/>
      <c r="J182" s="68" t="n"/>
      <c r="K182" s="68" t="n"/>
      <c r="L182" s="68" t="n"/>
      <c r="M182" s="64" t="n"/>
      <c r="N182" s="64" t="n"/>
      <c r="O182" s="64" t="n"/>
      <c r="P182" s="64" t="n"/>
      <c r="Q182" s="64" t="n"/>
      <c r="R182" s="64" t="n"/>
      <c r="S182" s="66" t="n"/>
      <c r="T182" s="45" t="n"/>
      <c r="U182" s="43">
        <f t="shared" si="0"/>
      </c>
      <c r="V182" s="49">
        <f t="shared" si="1"/>
      </c>
      <c r="W182" s="49">
        <f t="shared" si="2"/>
      </c>
      <c r="X182" s="2">
        <f t="shared" si="3"/>
      </c>
      <c r="Y182" s="2">
        <f t="shared" si="4"/>
      </c>
      <c r="Z182" s="2">
        <f t="shared" si="5"/>
        <v>0</v>
      </c>
      <c r="AA182" s="2">
        <f t="shared" si="6"/>
        <v>0</v>
      </c>
      <c r="AB182" s="2">
        <f t="shared" si="7"/>
        <v>0</v>
      </c>
      <c r="AC182" s="2">
        <f t="shared" si="8"/>
      </c>
    </row>
    <row r="183">
      <c r="A183" s="64" t="n"/>
      <c r="B183" s="65" t="n"/>
      <c r="C183" s="65" t="n"/>
      <c r="D183" s="65" t="n"/>
      <c r="E183" s="65" t="n"/>
      <c r="F183" s="66" t="n"/>
      <c r="G183" s="65" t="n"/>
      <c r="H183" s="66" t="n"/>
      <c r="I183" s="64" t="n"/>
      <c r="J183" s="68" t="n"/>
      <c r="K183" s="68" t="n"/>
      <c r="L183" s="68" t="n"/>
      <c r="M183" s="64" t="n"/>
      <c r="N183" s="64" t="n"/>
      <c r="O183" s="64" t="n"/>
      <c r="P183" s="64" t="n"/>
      <c r="Q183" s="64" t="n"/>
      <c r="R183" s="64" t="n"/>
      <c r="S183" s="66" t="n"/>
      <c r="T183" s="45" t="n"/>
      <c r="U183" s="43">
        <f t="shared" si="0"/>
      </c>
      <c r="V183" s="49">
        <f t="shared" si="1"/>
      </c>
      <c r="W183" s="49">
        <f t="shared" si="2"/>
      </c>
      <c r="X183" s="2">
        <f t="shared" si="3"/>
      </c>
      <c r="Y183" s="2">
        <f t="shared" si="4"/>
      </c>
      <c r="Z183" s="2">
        <f t="shared" si="5"/>
        <v>0</v>
      </c>
      <c r="AA183" s="2">
        <f t="shared" si="6"/>
        <v>0</v>
      </c>
      <c r="AB183" s="2">
        <f t="shared" si="7"/>
        <v>0</v>
      </c>
      <c r="AC183" s="2">
        <f t="shared" si="8"/>
      </c>
    </row>
    <row r="184">
      <c r="A184" s="64" t="n"/>
      <c r="B184" s="65" t="n"/>
      <c r="C184" s="65" t="n"/>
      <c r="D184" s="65" t="n"/>
      <c r="E184" s="65" t="n"/>
      <c r="F184" s="66" t="n"/>
      <c r="G184" s="65" t="n"/>
      <c r="H184" s="66" t="n"/>
      <c r="I184" s="64" t="n"/>
      <c r="J184" s="68" t="n"/>
      <c r="K184" s="68" t="n"/>
      <c r="L184" s="68" t="n"/>
      <c r="M184" s="64" t="n"/>
      <c r="N184" s="64" t="n"/>
      <c r="O184" s="64" t="n"/>
      <c r="P184" s="64" t="n"/>
      <c r="Q184" s="64" t="n"/>
      <c r="R184" s="64" t="n"/>
      <c r="S184" s="66" t="n"/>
      <c r="T184" s="45" t="n"/>
      <c r="U184" s="43">
        <f t="shared" si="0"/>
      </c>
      <c r="V184" s="49">
        <f t="shared" si="1"/>
      </c>
      <c r="W184" s="49">
        <f t="shared" si="2"/>
      </c>
      <c r="X184" s="2">
        <f t="shared" si="3"/>
      </c>
      <c r="Y184" s="2">
        <f t="shared" si="4"/>
      </c>
      <c r="Z184" s="2">
        <f t="shared" si="5"/>
        <v>0</v>
      </c>
      <c r="AA184" s="2">
        <f t="shared" si="6"/>
        <v>0</v>
      </c>
      <c r="AB184" s="2">
        <f t="shared" si="7"/>
        <v>0</v>
      </c>
      <c r="AC184" s="2">
        <f t="shared" si="8"/>
      </c>
    </row>
    <row r="185">
      <c r="A185" s="64" t="n"/>
      <c r="B185" s="65" t="n"/>
      <c r="C185" s="65" t="n"/>
      <c r="D185" s="65" t="n"/>
      <c r="E185" s="65" t="n"/>
      <c r="F185" s="66" t="n"/>
      <c r="G185" s="65" t="n"/>
      <c r="H185" s="66" t="n"/>
      <c r="I185" s="64" t="n"/>
      <c r="J185" s="68" t="n"/>
      <c r="K185" s="68" t="n"/>
      <c r="L185" s="68" t="n"/>
      <c r="M185" s="64" t="n"/>
      <c r="N185" s="64" t="n"/>
      <c r="O185" s="64" t="n"/>
      <c r="P185" s="64" t="n"/>
      <c r="Q185" s="64" t="n"/>
      <c r="R185" s="64" t="n"/>
      <c r="S185" s="66" t="n"/>
      <c r="T185" s="45" t="n"/>
      <c r="U185" s="43">
        <f t="shared" si="0"/>
      </c>
      <c r="V185" s="49">
        <f t="shared" si="1"/>
      </c>
      <c r="W185" s="49">
        <f t="shared" si="2"/>
      </c>
      <c r="X185" s="2">
        <f t="shared" si="3"/>
      </c>
      <c r="Y185" s="2">
        <f t="shared" si="4"/>
      </c>
      <c r="Z185" s="2">
        <f t="shared" si="5"/>
        <v>0</v>
      </c>
      <c r="AA185" s="2">
        <f t="shared" si="6"/>
        <v>0</v>
      </c>
      <c r="AB185" s="2">
        <f t="shared" si="7"/>
        <v>0</v>
      </c>
      <c r="AC185" s="2">
        <f t="shared" si="8"/>
      </c>
    </row>
    <row r="186">
      <c r="A186" s="64" t="n"/>
      <c r="B186" s="65" t="n"/>
      <c r="C186" s="65" t="n"/>
      <c r="D186" s="65" t="n"/>
      <c r="E186" s="65" t="n"/>
      <c r="F186" s="66" t="n"/>
      <c r="G186" s="65" t="n"/>
      <c r="H186" s="66" t="n"/>
      <c r="I186" s="64" t="n"/>
      <c r="J186" s="68" t="n"/>
      <c r="K186" s="68" t="n"/>
      <c r="L186" s="68" t="n"/>
      <c r="M186" s="64" t="n"/>
      <c r="N186" s="64" t="n"/>
      <c r="O186" s="64" t="n"/>
      <c r="P186" s="64" t="n"/>
      <c r="Q186" s="64" t="n"/>
      <c r="R186" s="64" t="n"/>
      <c r="S186" s="66" t="n"/>
      <c r="T186" s="45" t="n"/>
      <c r="U186" s="43">
        <f t="shared" si="0"/>
      </c>
      <c r="V186" s="49">
        <f t="shared" si="1"/>
      </c>
      <c r="W186" s="49">
        <f t="shared" si="2"/>
      </c>
      <c r="X186" s="2">
        <f t="shared" si="3"/>
      </c>
      <c r="Y186" s="2">
        <f t="shared" si="4"/>
      </c>
      <c r="Z186" s="2">
        <f t="shared" si="5"/>
        <v>0</v>
      </c>
      <c r="AA186" s="2">
        <f t="shared" si="6"/>
        <v>0</v>
      </c>
      <c r="AB186" s="2">
        <f t="shared" si="7"/>
        <v>0</v>
      </c>
      <c r="AC186" s="2">
        <f t="shared" si="8"/>
      </c>
    </row>
    <row r="187">
      <c r="A187" s="64" t="n"/>
      <c r="B187" s="65" t="n"/>
      <c r="C187" s="65" t="n"/>
      <c r="D187" s="65" t="n"/>
      <c r="E187" s="65" t="n"/>
      <c r="F187" s="66" t="n"/>
      <c r="G187" s="65" t="n"/>
      <c r="H187" s="66" t="n"/>
      <c r="I187" s="64" t="n"/>
      <c r="J187" s="68" t="n"/>
      <c r="K187" s="68" t="n"/>
      <c r="L187" s="68" t="n"/>
      <c r="M187" s="64" t="n"/>
      <c r="N187" s="64" t="n"/>
      <c r="O187" s="64" t="n"/>
      <c r="P187" s="64" t="n"/>
      <c r="Q187" s="64" t="n"/>
      <c r="R187" s="64" t="n"/>
      <c r="S187" s="66" t="n"/>
      <c r="T187" s="45" t="n"/>
      <c r="U187" s="43">
        <f t="shared" si="0"/>
      </c>
      <c r="V187" s="49">
        <f t="shared" si="1"/>
      </c>
      <c r="W187" s="49">
        <f t="shared" si="2"/>
      </c>
      <c r="X187" s="2">
        <f t="shared" si="3"/>
      </c>
      <c r="Y187" s="2">
        <f t="shared" si="4"/>
      </c>
      <c r="Z187" s="2">
        <f t="shared" si="5"/>
        <v>0</v>
      </c>
      <c r="AA187" s="2">
        <f t="shared" si="6"/>
        <v>0</v>
      </c>
      <c r="AB187" s="2">
        <f t="shared" si="7"/>
        <v>0</v>
      </c>
      <c r="AC187" s="2">
        <f t="shared" si="8"/>
      </c>
    </row>
    <row r="188">
      <c r="A188" s="64" t="n"/>
      <c r="B188" s="65" t="n"/>
      <c r="C188" s="65" t="n"/>
      <c r="D188" s="65" t="n"/>
      <c r="E188" s="65" t="n"/>
      <c r="F188" s="66" t="n"/>
      <c r="G188" s="65" t="n"/>
      <c r="H188" s="66" t="n"/>
      <c r="I188" s="64" t="n"/>
      <c r="J188" s="68" t="n"/>
      <c r="K188" s="68" t="n"/>
      <c r="L188" s="68" t="n"/>
      <c r="M188" s="64" t="n"/>
      <c r="N188" s="64" t="n"/>
      <c r="O188" s="64" t="n"/>
      <c r="P188" s="64" t="n"/>
      <c r="Q188" s="64" t="n"/>
      <c r="R188" s="64" t="n"/>
      <c r="S188" s="66" t="n"/>
      <c r="T188" s="45" t="n"/>
      <c r="U188" s="43">
        <f t="shared" si="0"/>
      </c>
      <c r="V188" s="49">
        <f t="shared" si="1"/>
      </c>
      <c r="W188" s="49">
        <f t="shared" si="2"/>
      </c>
      <c r="X188" s="2">
        <f t="shared" si="3"/>
      </c>
      <c r="Y188" s="2">
        <f t="shared" si="4"/>
      </c>
      <c r="Z188" s="2">
        <f t="shared" si="5"/>
        <v>0</v>
      </c>
      <c r="AA188" s="2">
        <f t="shared" si="6"/>
        <v>0</v>
      </c>
      <c r="AB188" s="2">
        <f t="shared" si="7"/>
        <v>0</v>
      </c>
      <c r="AC188" s="2">
        <f t="shared" si="8"/>
      </c>
    </row>
    <row r="189">
      <c r="A189" s="64" t="n"/>
      <c r="B189" s="65" t="n"/>
      <c r="C189" s="65" t="n"/>
      <c r="D189" s="65" t="n"/>
      <c r="E189" s="65" t="n"/>
      <c r="F189" s="66" t="n"/>
      <c r="G189" s="65" t="n"/>
      <c r="H189" s="66" t="n"/>
      <c r="I189" s="64" t="n"/>
      <c r="J189" s="68" t="n"/>
      <c r="K189" s="68" t="n"/>
      <c r="L189" s="68" t="n"/>
      <c r="M189" s="64" t="n"/>
      <c r="N189" s="64" t="n"/>
      <c r="O189" s="64" t="n"/>
      <c r="P189" s="64" t="n"/>
      <c r="Q189" s="64" t="n"/>
      <c r="R189" s="64" t="n"/>
      <c r="S189" s="66" t="n"/>
      <c r="T189" s="45" t="n"/>
      <c r="U189" s="43">
        <f t="shared" si="0"/>
      </c>
      <c r="V189" s="49">
        <f t="shared" si="1"/>
      </c>
      <c r="W189" s="49">
        <f t="shared" si="2"/>
      </c>
      <c r="X189" s="2">
        <f t="shared" si="3"/>
      </c>
      <c r="Y189" s="2">
        <f t="shared" si="4"/>
      </c>
      <c r="Z189" s="2">
        <f t="shared" si="5"/>
        <v>0</v>
      </c>
      <c r="AA189" s="2">
        <f t="shared" si="6"/>
        <v>0</v>
      </c>
      <c r="AB189" s="2">
        <f t="shared" si="7"/>
        <v>0</v>
      </c>
      <c r="AC189" s="2">
        <f t="shared" si="8"/>
      </c>
    </row>
    <row r="190">
      <c r="A190" s="64" t="n"/>
      <c r="B190" s="65" t="n"/>
      <c r="C190" s="65" t="n"/>
      <c r="D190" s="65" t="n"/>
      <c r="E190" s="65" t="n"/>
      <c r="F190" s="66" t="n"/>
      <c r="G190" s="65" t="n"/>
      <c r="H190" s="66" t="n"/>
      <c r="I190" s="64" t="n"/>
      <c r="J190" s="68" t="n"/>
      <c r="K190" s="68" t="n"/>
      <c r="L190" s="68" t="n"/>
      <c r="M190" s="64" t="n"/>
      <c r="N190" s="64" t="n"/>
      <c r="O190" s="64" t="n"/>
      <c r="P190" s="64" t="n"/>
      <c r="Q190" s="64" t="n"/>
      <c r="R190" s="64" t="n"/>
      <c r="S190" s="66" t="n"/>
      <c r="T190" s="45" t="n"/>
      <c r="U190" s="43">
        <f t="shared" si="0"/>
      </c>
      <c r="V190" s="49">
        <f t="shared" si="1"/>
      </c>
      <c r="W190" s="49">
        <f t="shared" si="2"/>
      </c>
      <c r="X190" s="2">
        <f t="shared" si="3"/>
      </c>
      <c r="Y190" s="2">
        <f t="shared" si="4"/>
      </c>
      <c r="Z190" s="2">
        <f t="shared" si="5"/>
        <v>0</v>
      </c>
      <c r="AA190" s="2">
        <f t="shared" si="6"/>
        <v>0</v>
      </c>
      <c r="AB190" s="2">
        <f t="shared" si="7"/>
        <v>0</v>
      </c>
      <c r="AC190" s="2">
        <f t="shared" si="8"/>
      </c>
    </row>
    <row r="191">
      <c r="A191" s="64" t="n"/>
      <c r="B191" s="65" t="n"/>
      <c r="C191" s="65" t="n"/>
      <c r="D191" s="65" t="n"/>
      <c r="E191" s="65" t="n"/>
      <c r="F191" s="66" t="n"/>
      <c r="G191" s="65" t="n"/>
      <c r="H191" s="66" t="n"/>
      <c r="I191" s="64" t="n"/>
      <c r="J191" s="68" t="n"/>
      <c r="K191" s="68" t="n"/>
      <c r="L191" s="68" t="n"/>
      <c r="M191" s="64" t="n"/>
      <c r="N191" s="64" t="n"/>
      <c r="O191" s="64" t="n"/>
      <c r="P191" s="64" t="n"/>
      <c r="Q191" s="64" t="n"/>
      <c r="R191" s="64" t="n"/>
      <c r="S191" s="66" t="n"/>
      <c r="T191" s="45" t="n"/>
      <c r="U191" s="43">
        <f t="shared" si="0"/>
      </c>
      <c r="V191" s="49">
        <f t="shared" si="1"/>
      </c>
      <c r="W191" s="49">
        <f t="shared" si="2"/>
      </c>
      <c r="X191" s="2">
        <f t="shared" si="3"/>
      </c>
      <c r="Y191" s="2">
        <f t="shared" si="4"/>
      </c>
      <c r="Z191" s="2">
        <f t="shared" si="5"/>
        <v>0</v>
      </c>
      <c r="AA191" s="2">
        <f t="shared" si="6"/>
        <v>0</v>
      </c>
      <c r="AB191" s="2">
        <f t="shared" si="7"/>
        <v>0</v>
      </c>
      <c r="AC191" s="2">
        <f t="shared" si="8"/>
      </c>
    </row>
    <row r="192">
      <c r="A192" s="64" t="n"/>
      <c r="B192" s="65" t="n"/>
      <c r="C192" s="65" t="n"/>
      <c r="D192" s="65" t="n"/>
      <c r="E192" s="65" t="n"/>
      <c r="F192" s="66" t="n"/>
      <c r="G192" s="65" t="n"/>
      <c r="H192" s="66" t="n"/>
      <c r="I192" s="64" t="n"/>
      <c r="J192" s="68" t="n"/>
      <c r="K192" s="68" t="n"/>
      <c r="L192" s="68" t="n"/>
      <c r="M192" s="64" t="n"/>
      <c r="N192" s="64" t="n"/>
      <c r="O192" s="64" t="n"/>
      <c r="P192" s="64" t="n"/>
      <c r="Q192" s="64" t="n"/>
      <c r="R192" s="64" t="n"/>
      <c r="S192" s="66" t="n"/>
      <c r="T192" s="45" t="n"/>
      <c r="U192" s="43">
        <f t="shared" si="0"/>
      </c>
      <c r="V192" s="49">
        <f t="shared" si="1"/>
      </c>
      <c r="W192" s="49">
        <f t="shared" si="2"/>
      </c>
      <c r="X192" s="2">
        <f t="shared" si="3"/>
      </c>
      <c r="Y192" s="2">
        <f t="shared" si="4"/>
      </c>
      <c r="Z192" s="2">
        <f t="shared" si="5"/>
        <v>0</v>
      </c>
      <c r="AA192" s="2">
        <f t="shared" si="6"/>
        <v>0</v>
      </c>
      <c r="AB192" s="2">
        <f t="shared" si="7"/>
        <v>0</v>
      </c>
      <c r="AC192" s="2">
        <f t="shared" si="8"/>
      </c>
    </row>
    <row r="193">
      <c r="A193" s="64" t="n"/>
      <c r="B193" s="65" t="n"/>
      <c r="C193" s="65" t="n"/>
      <c r="D193" s="65" t="n"/>
      <c r="E193" s="65" t="n"/>
      <c r="F193" s="66" t="n"/>
      <c r="G193" s="65" t="n"/>
      <c r="H193" s="66" t="n"/>
      <c r="I193" s="64" t="n"/>
      <c r="J193" s="68" t="n"/>
      <c r="K193" s="68" t="n"/>
      <c r="L193" s="68" t="n"/>
      <c r="M193" s="64" t="n"/>
      <c r="N193" s="64" t="n"/>
      <c r="O193" s="64" t="n"/>
      <c r="P193" s="64" t="n"/>
      <c r="Q193" s="64" t="n"/>
      <c r="R193" s="64" t="n"/>
      <c r="S193" s="66" t="n"/>
      <c r="T193" s="45" t="n"/>
      <c r="U193" s="43">
        <f t="shared" si="0"/>
      </c>
      <c r="V193" s="49">
        <f t="shared" si="1"/>
      </c>
      <c r="W193" s="49">
        <f t="shared" si="2"/>
      </c>
      <c r="X193" s="2">
        <f t="shared" si="3"/>
      </c>
      <c r="Y193" s="2">
        <f t="shared" si="4"/>
      </c>
      <c r="Z193" s="2">
        <f t="shared" si="5"/>
        <v>0</v>
      </c>
      <c r="AA193" s="2">
        <f t="shared" si="6"/>
        <v>0</v>
      </c>
      <c r="AB193" s="2">
        <f t="shared" si="7"/>
        <v>0</v>
      </c>
      <c r="AC193" s="2">
        <f t="shared" si="8"/>
      </c>
    </row>
    <row r="194">
      <c r="A194" s="64" t="n"/>
      <c r="B194" s="65" t="n"/>
      <c r="C194" s="65" t="n"/>
      <c r="D194" s="65" t="n"/>
      <c r="E194" s="65" t="n"/>
      <c r="F194" s="66" t="n"/>
      <c r="G194" s="65" t="n"/>
      <c r="H194" s="66" t="n"/>
      <c r="I194" s="64" t="n"/>
      <c r="J194" s="68" t="n"/>
      <c r="K194" s="68" t="n"/>
      <c r="L194" s="68" t="n"/>
      <c r="M194" s="64" t="n"/>
      <c r="N194" s="64" t="n"/>
      <c r="O194" s="64" t="n"/>
      <c r="P194" s="64" t="n"/>
      <c r="Q194" s="64" t="n"/>
      <c r="R194" s="64" t="n"/>
      <c r="S194" s="66" t="n"/>
      <c r="T194" s="45" t="n"/>
      <c r="U194" s="43">
        <f t="shared" si="0"/>
      </c>
      <c r="V194" s="49">
        <f t="shared" si="1"/>
      </c>
      <c r="W194" s="49">
        <f t="shared" si="2"/>
      </c>
      <c r="X194" s="2">
        <f t="shared" si="3"/>
      </c>
      <c r="Y194" s="2">
        <f t="shared" si="4"/>
      </c>
      <c r="Z194" s="2">
        <f t="shared" si="5"/>
        <v>0</v>
      </c>
      <c r="AA194" s="2">
        <f t="shared" si="6"/>
        <v>0</v>
      </c>
      <c r="AB194" s="2">
        <f t="shared" si="7"/>
        <v>0</v>
      </c>
      <c r="AC194" s="2">
        <f t="shared" si="8"/>
      </c>
    </row>
    <row r="195">
      <c r="A195" s="64" t="n"/>
      <c r="B195" s="65" t="n"/>
      <c r="C195" s="65" t="n"/>
      <c r="D195" s="65" t="n"/>
      <c r="E195" s="65" t="n"/>
      <c r="F195" s="66" t="n"/>
      <c r="G195" s="65" t="n"/>
      <c r="H195" s="66" t="n"/>
      <c r="I195" s="64" t="n"/>
      <c r="J195" s="68" t="n"/>
      <c r="K195" s="68" t="n"/>
      <c r="L195" s="68" t="n"/>
      <c r="M195" s="64" t="n"/>
      <c r="N195" s="64" t="n"/>
      <c r="O195" s="64" t="n"/>
      <c r="P195" s="64" t="n"/>
      <c r="Q195" s="64" t="n"/>
      <c r="R195" s="64" t="n"/>
      <c r="S195" s="66" t="n"/>
      <c r="T195" s="45" t="n"/>
      <c r="U195" s="43">
        <f t="shared" si="0"/>
      </c>
      <c r="V195" s="49">
        <f t="shared" si="1"/>
      </c>
      <c r="W195" s="49">
        <f t="shared" si="2"/>
      </c>
      <c r="X195" s="2">
        <f t="shared" si="3"/>
      </c>
      <c r="Y195" s="2">
        <f t="shared" si="4"/>
      </c>
      <c r="Z195" s="2">
        <f t="shared" si="5"/>
        <v>0</v>
      </c>
      <c r="AA195" s="2">
        <f t="shared" si="6"/>
        <v>0</v>
      </c>
      <c r="AB195" s="2">
        <f t="shared" si="7"/>
        <v>0</v>
      </c>
      <c r="AC195" s="2">
        <f t="shared" si="8"/>
      </c>
    </row>
    <row r="196">
      <c r="A196" s="64" t="n"/>
      <c r="B196" s="65" t="n"/>
      <c r="C196" s="65" t="n"/>
      <c r="D196" s="65" t="n"/>
      <c r="E196" s="65" t="n"/>
      <c r="F196" s="66" t="n"/>
      <c r="G196" s="65" t="n"/>
      <c r="H196" s="66" t="n"/>
      <c r="I196" s="64" t="n"/>
      <c r="J196" s="68" t="n"/>
      <c r="K196" s="68" t="n"/>
      <c r="L196" s="68" t="n"/>
      <c r="M196" s="64" t="n"/>
      <c r="N196" s="64" t="n"/>
      <c r="O196" s="64" t="n"/>
      <c r="P196" s="64" t="n"/>
      <c r="Q196" s="64" t="n"/>
      <c r="R196" s="64" t="n"/>
      <c r="S196" s="66" t="n"/>
      <c r="T196" s="45" t="n"/>
      <c r="U196" s="43">
        <f t="shared" si="0"/>
      </c>
      <c r="V196" s="49">
        <f t="shared" si="1"/>
      </c>
      <c r="W196" s="49">
        <f t="shared" si="2"/>
      </c>
      <c r="X196" s="2">
        <f t="shared" si="3"/>
      </c>
      <c r="Y196" s="2">
        <f t="shared" si="4"/>
      </c>
      <c r="Z196" s="2">
        <f t="shared" si="5"/>
        <v>0</v>
      </c>
      <c r="AA196" s="2">
        <f t="shared" si="6"/>
        <v>0</v>
      </c>
      <c r="AB196" s="2">
        <f t="shared" si="7"/>
        <v>0</v>
      </c>
      <c r="AC196" s="2">
        <f t="shared" si="8"/>
      </c>
    </row>
    <row r="197">
      <c r="A197" s="64" t="n"/>
      <c r="B197" s="65" t="n"/>
      <c r="C197" s="65" t="n"/>
      <c r="D197" s="65" t="n"/>
      <c r="E197" s="65" t="n"/>
      <c r="F197" s="66" t="n"/>
      <c r="G197" s="65" t="n"/>
      <c r="H197" s="66" t="n"/>
      <c r="I197" s="64" t="n"/>
      <c r="J197" s="68" t="n"/>
      <c r="K197" s="68" t="n"/>
      <c r="L197" s="68" t="n"/>
      <c r="M197" s="64" t="n"/>
      <c r="N197" s="64" t="n"/>
      <c r="O197" s="64" t="n"/>
      <c r="P197" s="64" t="n"/>
      <c r="Q197" s="64" t="n"/>
      <c r="R197" s="64" t="n"/>
      <c r="S197" s="66" t="n"/>
      <c r="T197" s="45" t="n"/>
      <c r="U197" s="43">
        <f t="shared" si="0"/>
      </c>
      <c r="V197" s="49">
        <f t="shared" si="1"/>
      </c>
      <c r="W197" s="49">
        <f t="shared" si="2"/>
      </c>
      <c r="X197" s="2">
        <f t="shared" si="3"/>
      </c>
      <c r="Y197" s="2">
        <f t="shared" si="4"/>
      </c>
      <c r="Z197" s="2">
        <f t="shared" si="5"/>
        <v>0</v>
      </c>
      <c r="AA197" s="2">
        <f t="shared" si="6"/>
        <v>0</v>
      </c>
      <c r="AB197" s="2">
        <f t="shared" si="7"/>
        <v>0</v>
      </c>
      <c r="AC197" s="2">
        <f t="shared" si="8"/>
      </c>
    </row>
    <row r="198">
      <c r="A198" s="64" t="n"/>
      <c r="B198" s="65" t="n"/>
      <c r="C198" s="65" t="n"/>
      <c r="D198" s="65" t="n"/>
      <c r="E198" s="65" t="n"/>
      <c r="F198" s="66" t="n"/>
      <c r="G198" s="65" t="n"/>
      <c r="H198" s="66" t="n"/>
      <c r="I198" s="64" t="n"/>
      <c r="J198" s="68" t="n"/>
      <c r="K198" s="68" t="n"/>
      <c r="L198" s="68" t="n"/>
      <c r="M198" s="64" t="n"/>
      <c r="N198" s="64" t="n"/>
      <c r="O198" s="64" t="n"/>
      <c r="P198" s="64" t="n"/>
      <c r="Q198" s="64" t="n"/>
      <c r="R198" s="64" t="n"/>
      <c r="S198" s="66" t="n"/>
      <c r="T198" s="45" t="n"/>
      <c r="U198" s="43">
        <f t="shared" si="0"/>
      </c>
      <c r="V198" s="49">
        <f t="shared" si="1"/>
      </c>
      <c r="W198" s="49">
        <f t="shared" si="2"/>
      </c>
      <c r="X198" s="2">
        <f t="shared" si="3"/>
      </c>
      <c r="Y198" s="2">
        <f t="shared" si="4"/>
      </c>
      <c r="Z198" s="2">
        <f t="shared" si="5"/>
        <v>0</v>
      </c>
      <c r="AA198" s="2">
        <f t="shared" si="6"/>
        <v>0</v>
      </c>
      <c r="AB198" s="2">
        <f t="shared" si="7"/>
        <v>0</v>
      </c>
      <c r="AC198" s="2">
        <f t="shared" si="8"/>
      </c>
    </row>
    <row r="199">
      <c r="A199" s="64" t="n"/>
      <c r="B199" s="65" t="n"/>
      <c r="C199" s="65" t="n"/>
      <c r="D199" s="65" t="n"/>
      <c r="E199" s="65" t="n"/>
      <c r="F199" s="66" t="n"/>
      <c r="G199" s="65" t="n"/>
      <c r="H199" s="66" t="n"/>
      <c r="I199" s="64" t="n"/>
      <c r="J199" s="68" t="n"/>
      <c r="K199" s="68" t="n"/>
      <c r="L199" s="68" t="n"/>
      <c r="M199" s="64" t="n"/>
      <c r="N199" s="64" t="n"/>
      <c r="O199" s="64" t="n"/>
      <c r="P199" s="64" t="n"/>
      <c r="Q199" s="64" t="n"/>
      <c r="R199" s="64" t="n"/>
      <c r="S199" s="66" t="n"/>
      <c r="T199" s="45" t="n"/>
      <c r="U199" s="43">
        <f t="shared" si="0"/>
      </c>
      <c r="V199" s="49">
        <f t="shared" si="1"/>
      </c>
      <c r="W199" s="49">
        <f t="shared" si="2"/>
      </c>
      <c r="X199" s="2">
        <f t="shared" si="3"/>
      </c>
      <c r="Y199" s="2">
        <f t="shared" si="4"/>
      </c>
      <c r="Z199" s="2">
        <f t="shared" si="5"/>
        <v>0</v>
      </c>
      <c r="AA199" s="2">
        <f t="shared" si="6"/>
        <v>0</v>
      </c>
      <c r="AB199" s="2">
        <f t="shared" si="7"/>
        <v>0</v>
      </c>
      <c r="AC199" s="2">
        <f t="shared" si="8"/>
      </c>
    </row>
    <row r="200">
      <c r="A200" s="64" t="n"/>
      <c r="B200" s="65" t="n"/>
      <c r="C200" s="65" t="n"/>
      <c r="D200" s="65" t="n"/>
      <c r="E200" s="65" t="n"/>
      <c r="F200" s="66" t="n"/>
      <c r="G200" s="65" t="n"/>
      <c r="H200" s="66" t="n"/>
      <c r="I200" s="64" t="n"/>
      <c r="J200" s="68" t="n"/>
      <c r="K200" s="68" t="n"/>
      <c r="L200" s="68" t="n"/>
      <c r="M200" s="64" t="n"/>
      <c r="N200" s="64" t="n"/>
      <c r="O200" s="64" t="n"/>
      <c r="P200" s="64" t="n"/>
      <c r="Q200" s="64" t="n"/>
      <c r="R200" s="64" t="n"/>
      <c r="S200" s="66" t="n"/>
      <c r="T200" s="45" t="n"/>
      <c r="U200" s="43">
        <f t="shared" si="0"/>
      </c>
      <c r="V200" s="49">
        <f t="shared" si="1"/>
      </c>
      <c r="W200" s="49">
        <f t="shared" si="2"/>
      </c>
      <c r="X200" s="2">
        <f t="shared" si="3"/>
      </c>
      <c r="Y200" s="2">
        <f t="shared" si="4"/>
      </c>
      <c r="Z200" s="2">
        <f t="shared" si="5"/>
        <v>0</v>
      </c>
      <c r="AA200" s="2">
        <f t="shared" si="6"/>
        <v>0</v>
      </c>
      <c r="AB200" s="2">
        <f t="shared" si="7"/>
        <v>0</v>
      </c>
      <c r="AC200" s="2">
        <f t="shared" si="8"/>
      </c>
    </row>
    <row r="201">
      <c r="A201" s="64" t="n"/>
      <c r="B201" s="65" t="n"/>
      <c r="C201" s="65" t="n"/>
      <c r="D201" s="65" t="n"/>
      <c r="E201" s="65" t="n"/>
      <c r="F201" s="66" t="n"/>
      <c r="G201" s="65" t="n"/>
      <c r="H201" s="66" t="n"/>
      <c r="I201" s="64" t="n"/>
      <c r="J201" s="68" t="n"/>
      <c r="K201" s="68" t="n"/>
      <c r="L201" s="68" t="n"/>
      <c r="M201" s="64" t="n"/>
      <c r="N201" s="64" t="n"/>
      <c r="O201" s="64" t="n"/>
      <c r="P201" s="64" t="n"/>
      <c r="Q201" s="64" t="n"/>
      <c r="R201" s="64" t="n"/>
      <c r="S201" s="66" t="n"/>
      <c r="T201" s="45" t="n"/>
      <c r="U201" s="43">
        <f t="shared" si="0"/>
      </c>
      <c r="V201" s="49">
        <f t="shared" si="1"/>
      </c>
      <c r="W201" s="49">
        <f t="shared" si="2"/>
      </c>
      <c r="X201" s="2">
        <f t="shared" si="3"/>
      </c>
      <c r="Y201" s="2">
        <f t="shared" si="4"/>
      </c>
      <c r="Z201" s="2">
        <f t="shared" si="5"/>
        <v>0</v>
      </c>
      <c r="AA201" s="2">
        <f t="shared" si="6"/>
        <v>0</v>
      </c>
      <c r="AB201" s="2">
        <f t="shared" si="7"/>
        <v>0</v>
      </c>
      <c r="AC201" s="2">
        <f t="shared" si="8"/>
      </c>
    </row>
    <row r="202">
      <c r="A202" s="64" t="n"/>
      <c r="B202" s="65" t="n"/>
      <c r="C202" s="65" t="n"/>
      <c r="D202" s="65" t="n"/>
      <c r="E202" s="65" t="n"/>
      <c r="F202" s="66" t="n"/>
      <c r="G202" s="65" t="n"/>
      <c r="H202" s="66" t="n"/>
      <c r="I202" s="64" t="n"/>
      <c r="J202" s="68" t="n"/>
      <c r="K202" s="68" t="n"/>
      <c r="L202" s="68" t="n"/>
      <c r="M202" s="64" t="n"/>
      <c r="N202" s="64" t="n"/>
      <c r="O202" s="64" t="n"/>
      <c r="P202" s="64" t="n"/>
      <c r="Q202" s="64" t="n"/>
      <c r="R202" s="64" t="n"/>
      <c r="S202" s="66" t="n"/>
      <c r="T202" s="45" t="n"/>
      <c r="U202" s="43">
        <f t="shared" si="0"/>
      </c>
      <c r="V202" s="49">
        <f t="shared" si="1"/>
      </c>
      <c r="W202" s="49">
        <f t="shared" si="2"/>
      </c>
      <c r="X202" s="2">
        <f t="shared" si="3"/>
      </c>
      <c r="Y202" s="2">
        <f t="shared" si="4"/>
      </c>
      <c r="Z202" s="2">
        <f t="shared" si="5"/>
        <v>0</v>
      </c>
      <c r="AA202" s="2">
        <f t="shared" si="6"/>
        <v>0</v>
      </c>
      <c r="AB202" s="2">
        <f t="shared" si="7"/>
        <v>0</v>
      </c>
      <c r="AC202" s="2">
        <f t="shared" si="8"/>
      </c>
    </row>
    <row r="203">
      <c r="A203" s="64" t="n"/>
      <c r="B203" s="65" t="n"/>
      <c r="C203" s="65" t="n"/>
      <c r="D203" s="65" t="n"/>
      <c r="E203" s="65" t="n"/>
      <c r="F203" s="66" t="n"/>
      <c r="G203" s="65" t="n"/>
      <c r="H203" s="66" t="n"/>
      <c r="I203" s="64" t="n"/>
      <c r="J203" s="68" t="n"/>
      <c r="K203" s="68" t="n"/>
      <c r="L203" s="68" t="n"/>
      <c r="M203" s="64" t="n"/>
      <c r="N203" s="64" t="n"/>
      <c r="O203" s="64" t="n"/>
      <c r="P203" s="64" t="n"/>
      <c r="Q203" s="64" t="n"/>
      <c r="R203" s="64" t="n"/>
      <c r="S203" s="66" t="n"/>
      <c r="T203" s="45" t="n"/>
      <c r="U203" s="43">
        <f t="shared" si="0"/>
      </c>
      <c r="V203" s="49">
        <f t="shared" si="1"/>
      </c>
      <c r="W203" s="49">
        <f t="shared" si="2"/>
      </c>
      <c r="X203" s="2">
        <f t="shared" si="3"/>
      </c>
      <c r="Y203" s="2">
        <f t="shared" si="4"/>
      </c>
      <c r="Z203" s="2">
        <f t="shared" si="5"/>
        <v>0</v>
      </c>
      <c r="AA203" s="2">
        <f t="shared" si="6"/>
        <v>0</v>
      </c>
      <c r="AB203" s="2">
        <f t="shared" si="7"/>
        <v>0</v>
      </c>
      <c r="AC203" s="2">
        <f t="shared" si="8"/>
      </c>
    </row>
    <row r="204">
      <c r="A204" s="64" t="n"/>
      <c r="B204" s="65" t="n"/>
      <c r="C204" s="65" t="n"/>
      <c r="D204" s="65" t="n"/>
      <c r="E204" s="65" t="n"/>
      <c r="F204" s="66" t="n"/>
      <c r="G204" s="65" t="n"/>
      <c r="H204" s="66" t="n"/>
      <c r="I204" s="64" t="n"/>
      <c r="J204" s="68" t="n"/>
      <c r="K204" s="68" t="n"/>
      <c r="L204" s="68" t="n"/>
      <c r="M204" s="64" t="n"/>
      <c r="N204" s="64" t="n"/>
      <c r="O204" s="64" t="n"/>
      <c r="P204" s="64" t="n"/>
      <c r="Q204" s="64" t="n"/>
      <c r="R204" s="64" t="n"/>
      <c r="S204" s="66" t="n"/>
      <c r="T204" s="45" t="n"/>
      <c r="U204" s="43">
        <f t="shared" si="0"/>
      </c>
      <c r="V204" s="49">
        <f t="shared" si="1"/>
      </c>
      <c r="W204" s="49">
        <f t="shared" si="2"/>
      </c>
      <c r="X204" s="2">
        <f t="shared" si="3"/>
      </c>
      <c r="Y204" s="2">
        <f t="shared" si="4"/>
      </c>
      <c r="Z204" s="2">
        <f t="shared" si="5"/>
        <v>0</v>
      </c>
      <c r="AA204" s="2">
        <f t="shared" si="6"/>
        <v>0</v>
      </c>
      <c r="AB204" s="2">
        <f t="shared" si="7"/>
        <v>0</v>
      </c>
      <c r="AC204" s="2">
        <f t="shared" si="8"/>
      </c>
    </row>
    <row r="205">
      <c r="A205" s="64" t="n"/>
      <c r="B205" s="65" t="n"/>
      <c r="C205" s="65" t="n"/>
      <c r="D205" s="65" t="n"/>
      <c r="E205" s="65" t="n"/>
      <c r="F205" s="66" t="n"/>
      <c r="G205" s="65" t="n"/>
      <c r="H205" s="66" t="n"/>
      <c r="I205" s="64" t="n"/>
      <c r="J205" s="68" t="n"/>
      <c r="K205" s="68" t="n"/>
      <c r="L205" s="68" t="n"/>
      <c r="M205" s="64" t="n"/>
      <c r="N205" s="64" t="n"/>
      <c r="O205" s="64" t="n"/>
      <c r="P205" s="64" t="n"/>
      <c r="Q205" s="64" t="n"/>
      <c r="R205" s="64" t="n"/>
      <c r="S205" s="66" t="n"/>
      <c r="T205" s="45" t="n"/>
      <c r="U205" s="43">
        <f t="shared" si="0"/>
      </c>
      <c r="V205" s="49">
        <f t="shared" si="1"/>
      </c>
      <c r="W205" s="49">
        <f t="shared" si="2"/>
      </c>
      <c r="X205" s="2">
        <f t="shared" si="3"/>
      </c>
      <c r="Y205" s="2">
        <f t="shared" si="4"/>
      </c>
      <c r="Z205" s="2">
        <f t="shared" si="5"/>
        <v>0</v>
      </c>
      <c r="AA205" s="2">
        <f t="shared" si="6"/>
        <v>0</v>
      </c>
      <c r="AB205" s="2">
        <f t="shared" si="7"/>
        <v>0</v>
      </c>
      <c r="AC205" s="2">
        <f t="shared" si="8"/>
      </c>
    </row>
    <row r="206">
      <c r="A206" s="64" t="n"/>
      <c r="B206" s="65" t="n"/>
      <c r="C206" s="65" t="n"/>
      <c r="D206" s="65" t="n"/>
      <c r="E206" s="65" t="n"/>
      <c r="F206" s="66" t="n"/>
      <c r="G206" s="65" t="n"/>
      <c r="H206" s="66" t="n"/>
      <c r="I206" s="64" t="n"/>
      <c r="J206" s="68" t="n"/>
      <c r="K206" s="68" t="n"/>
      <c r="L206" s="68" t="n"/>
      <c r="M206" s="64" t="n"/>
      <c r="N206" s="64" t="n"/>
      <c r="O206" s="64" t="n"/>
      <c r="P206" s="64" t="n"/>
      <c r="Q206" s="64" t="n"/>
      <c r="R206" s="64" t="n"/>
      <c r="S206" s="66" t="n"/>
      <c r="T206" s="45" t="n"/>
      <c r="U206" s="43">
        <f t="shared" si="0"/>
      </c>
      <c r="V206" s="49">
        <f t="shared" si="1"/>
      </c>
      <c r="W206" s="49">
        <f t="shared" si="2"/>
      </c>
      <c r="X206" s="2">
        <f t="shared" si="3"/>
      </c>
      <c r="Y206" s="2">
        <f t="shared" si="4"/>
      </c>
      <c r="Z206" s="2">
        <f t="shared" si="5"/>
        <v>0</v>
      </c>
      <c r="AA206" s="2">
        <f t="shared" si="6"/>
        <v>0</v>
      </c>
      <c r="AB206" s="2">
        <f t="shared" si="7"/>
        <v>0</v>
      </c>
      <c r="AC206" s="2">
        <f t="shared" si="8"/>
      </c>
    </row>
    <row r="207">
      <c r="A207" s="64" t="n"/>
      <c r="B207" s="65" t="n"/>
      <c r="C207" s="65" t="n"/>
      <c r="D207" s="65" t="n"/>
      <c r="E207" s="65" t="n"/>
      <c r="F207" s="66" t="n"/>
      <c r="G207" s="65" t="n"/>
      <c r="H207" s="66" t="n"/>
      <c r="I207" s="64" t="n"/>
      <c r="J207" s="68" t="n"/>
      <c r="K207" s="68" t="n"/>
      <c r="L207" s="68" t="n"/>
      <c r="M207" s="64" t="n"/>
      <c r="N207" s="64" t="n"/>
      <c r="O207" s="64" t="n"/>
      <c r="P207" s="64" t="n"/>
      <c r="Q207" s="64" t="n"/>
      <c r="R207" s="64" t="n"/>
      <c r="S207" s="66" t="n"/>
      <c r="T207" s="45" t="n"/>
      <c r="U207" s="43">
        <f t="shared" si="0"/>
      </c>
      <c r="V207" s="49">
        <f t="shared" si="1"/>
      </c>
      <c r="W207" s="49">
        <f t="shared" si="2"/>
      </c>
      <c r="X207" s="2">
        <f t="shared" si="3"/>
      </c>
      <c r="Y207" s="2">
        <f t="shared" si="4"/>
      </c>
      <c r="Z207" s="2">
        <f t="shared" si="5"/>
        <v>0</v>
      </c>
      <c r="AA207" s="2">
        <f t="shared" si="6"/>
        <v>0</v>
      </c>
      <c r="AB207" s="2">
        <f t="shared" si="7"/>
        <v>0</v>
      </c>
      <c r="AC207" s="2">
        <f t="shared" si="8"/>
      </c>
    </row>
    <row r="208">
      <c r="A208" s="64" t="n"/>
      <c r="B208" s="65" t="n"/>
      <c r="C208" s="65" t="n"/>
      <c r="D208" s="65" t="n"/>
      <c r="E208" s="65" t="n"/>
      <c r="F208" s="66" t="n"/>
      <c r="G208" s="65" t="n"/>
      <c r="H208" s="66" t="n"/>
      <c r="I208" s="64" t="n"/>
      <c r="J208" s="68" t="n"/>
      <c r="K208" s="68" t="n"/>
      <c r="L208" s="68" t="n"/>
      <c r="M208" s="64" t="n"/>
      <c r="N208" s="64" t="n"/>
      <c r="O208" s="64" t="n"/>
      <c r="P208" s="64" t="n"/>
      <c r="Q208" s="64" t="n"/>
      <c r="R208" s="64" t="n"/>
      <c r="S208" s="66" t="n"/>
      <c r="T208" s="45" t="n"/>
      <c r="U208" s="43">
        <f t="shared" si="0"/>
      </c>
      <c r="V208" s="49">
        <f t="shared" si="1"/>
      </c>
      <c r="W208" s="49">
        <f t="shared" si="2"/>
      </c>
      <c r="X208" s="2">
        <f t="shared" si="3"/>
      </c>
      <c r="Y208" s="2">
        <f t="shared" si="4"/>
      </c>
      <c r="Z208" s="2">
        <f t="shared" si="5"/>
        <v>0</v>
      </c>
      <c r="AA208" s="2">
        <f t="shared" si="6"/>
        <v>0</v>
      </c>
      <c r="AB208" s="2">
        <f t="shared" si="7"/>
        <v>0</v>
      </c>
      <c r="AC208" s="2">
        <f t="shared" si="8"/>
      </c>
    </row>
    <row r="209">
      <c r="A209" s="64" t="n"/>
      <c r="B209" s="65" t="n"/>
      <c r="C209" s="65" t="n"/>
      <c r="D209" s="65" t="n"/>
      <c r="E209" s="65" t="n"/>
      <c r="F209" s="66" t="n"/>
      <c r="G209" s="65" t="n"/>
      <c r="H209" s="66" t="n"/>
      <c r="I209" s="64" t="n"/>
      <c r="J209" s="68" t="n"/>
      <c r="K209" s="68" t="n"/>
      <c r="L209" s="68" t="n"/>
      <c r="M209" s="64" t="n"/>
      <c r="N209" s="64" t="n"/>
      <c r="O209" s="64" t="n"/>
      <c r="P209" s="64" t="n"/>
      <c r="Q209" s="64" t="n"/>
      <c r="R209" s="64" t="n"/>
      <c r="S209" s="66" t="n"/>
      <c r="T209" s="45" t="n"/>
      <c r="U209" s="43">
        <f t="shared" si="0"/>
      </c>
      <c r="V209" s="49">
        <f t="shared" si="1"/>
      </c>
      <c r="W209" s="49">
        <f t="shared" si="2"/>
      </c>
      <c r="X209" s="2">
        <f t="shared" si="3"/>
      </c>
      <c r="Y209" s="2">
        <f t="shared" si="4"/>
      </c>
      <c r="Z209" s="2">
        <f t="shared" si="5"/>
        <v>0</v>
      </c>
      <c r="AA209" s="2">
        <f t="shared" si="6"/>
        <v>0</v>
      </c>
      <c r="AB209" s="2">
        <f t="shared" si="7"/>
        <v>0</v>
      </c>
      <c r="AC209" s="2">
        <f t="shared" si="8"/>
      </c>
    </row>
    <row r="210">
      <c r="A210" s="64" t="n"/>
      <c r="B210" s="65" t="n"/>
      <c r="C210" s="65" t="n"/>
      <c r="D210" s="65" t="n"/>
      <c r="E210" s="65" t="n"/>
      <c r="F210" s="66" t="n"/>
      <c r="G210" s="65" t="n"/>
      <c r="H210" s="66" t="n"/>
      <c r="I210" s="64" t="n"/>
      <c r="J210" s="68" t="n"/>
      <c r="K210" s="68" t="n"/>
      <c r="L210" s="68" t="n"/>
      <c r="M210" s="64" t="n"/>
      <c r="N210" s="64" t="n"/>
      <c r="O210" s="64" t="n"/>
      <c r="P210" s="64" t="n"/>
      <c r="Q210" s="64" t="n"/>
      <c r="R210" s="64" t="n"/>
      <c r="S210" s="66" t="n"/>
      <c r="T210" s="45" t="n"/>
      <c r="U210" s="43">
        <f t="shared" si="0"/>
      </c>
      <c r="V210" s="49">
        <f t="shared" si="1"/>
      </c>
      <c r="W210" s="49">
        <f t="shared" si="2"/>
      </c>
      <c r="X210" s="2">
        <f t="shared" si="3"/>
      </c>
      <c r="Y210" s="2">
        <f t="shared" si="4"/>
      </c>
      <c r="Z210" s="2">
        <f t="shared" si="5"/>
        <v>0</v>
      </c>
      <c r="AA210" s="2">
        <f t="shared" si="6"/>
        <v>0</v>
      </c>
      <c r="AB210" s="2">
        <f t="shared" si="7"/>
        <v>0</v>
      </c>
      <c r="AC210" s="2">
        <f t="shared" si="8"/>
      </c>
    </row>
    <row r="211">
      <c r="A211" s="64" t="n"/>
      <c r="B211" s="65" t="n"/>
      <c r="C211" s="65" t="n"/>
      <c r="D211" s="65" t="n"/>
      <c r="E211" s="65" t="n"/>
      <c r="F211" s="66" t="n"/>
      <c r="G211" s="65" t="n"/>
      <c r="H211" s="66" t="n"/>
      <c r="I211" s="64" t="n"/>
      <c r="J211" s="68" t="n"/>
      <c r="K211" s="68" t="n"/>
      <c r="L211" s="68" t="n"/>
      <c r="M211" s="64" t="n"/>
      <c r="N211" s="64" t="n"/>
      <c r="O211" s="64" t="n"/>
      <c r="P211" s="64" t="n"/>
      <c r="Q211" s="64" t="n"/>
      <c r="R211" s="64" t="n"/>
      <c r="S211" s="66" t="n"/>
      <c r="T211" s="45" t="n"/>
      <c r="U211" s="43">
        <f t="shared" si="0"/>
      </c>
      <c r="V211" s="49">
        <f t="shared" si="1"/>
      </c>
      <c r="W211" s="49">
        <f t="shared" si="2"/>
      </c>
      <c r="X211" s="2">
        <f t="shared" si="3"/>
      </c>
      <c r="Y211" s="2">
        <f t="shared" si="4"/>
      </c>
      <c r="Z211" s="2">
        <f t="shared" si="5"/>
        <v>0</v>
      </c>
      <c r="AA211" s="2">
        <f t="shared" si="6"/>
        <v>0</v>
      </c>
      <c r="AB211" s="2">
        <f t="shared" si="7"/>
        <v>0</v>
      </c>
      <c r="AC211" s="2">
        <f t="shared" si="8"/>
      </c>
    </row>
    <row r="212">
      <c r="A212" s="64" t="n"/>
      <c r="B212" s="65" t="n"/>
      <c r="C212" s="65" t="n"/>
      <c r="D212" s="65" t="n"/>
      <c r="E212" s="65" t="n"/>
      <c r="F212" s="66" t="n"/>
      <c r="G212" s="65" t="n"/>
      <c r="H212" s="66" t="n"/>
      <c r="I212" s="64" t="n"/>
      <c r="J212" s="68" t="n"/>
      <c r="K212" s="68" t="n"/>
      <c r="L212" s="68" t="n"/>
      <c r="M212" s="64" t="n"/>
      <c r="N212" s="64" t="n"/>
      <c r="O212" s="64" t="n"/>
      <c r="P212" s="64" t="n"/>
      <c r="Q212" s="64" t="n"/>
      <c r="R212" s="64" t="n"/>
      <c r="S212" s="66" t="n"/>
      <c r="T212" s="45" t="n"/>
      <c r="U212" s="43">
        <f t="shared" si="0"/>
      </c>
      <c r="V212" s="49">
        <f t="shared" si="1"/>
      </c>
      <c r="W212" s="49">
        <f t="shared" si="2"/>
      </c>
      <c r="X212" s="2">
        <f t="shared" si="3"/>
      </c>
      <c r="Y212" s="2">
        <f t="shared" si="4"/>
      </c>
      <c r="Z212" s="2">
        <f t="shared" si="5"/>
        <v>0</v>
      </c>
      <c r="AA212" s="2">
        <f t="shared" si="6"/>
        <v>0</v>
      </c>
      <c r="AB212" s="2">
        <f t="shared" si="7"/>
        <v>0</v>
      </c>
      <c r="AC212" s="2">
        <f t="shared" si="8"/>
      </c>
    </row>
    <row r="213">
      <c r="A213" s="64" t="n"/>
      <c r="B213" s="65" t="n"/>
      <c r="C213" s="65" t="n"/>
      <c r="D213" s="65" t="n"/>
      <c r="E213" s="65" t="n"/>
      <c r="F213" s="66" t="n"/>
      <c r="G213" s="65" t="n"/>
      <c r="H213" s="66" t="n"/>
      <c r="I213" s="64" t="n"/>
      <c r="J213" s="68" t="n"/>
      <c r="K213" s="68" t="n"/>
      <c r="L213" s="68" t="n"/>
      <c r="M213" s="64" t="n"/>
      <c r="N213" s="64" t="n"/>
      <c r="O213" s="64" t="n"/>
      <c r="P213" s="64" t="n"/>
      <c r="Q213" s="64" t="n"/>
      <c r="R213" s="64" t="n"/>
      <c r="S213" s="66" t="n"/>
      <c r="T213" s="45" t="n"/>
      <c r="U213" s="43">
        <f t="shared" si="0"/>
      </c>
      <c r="V213" s="49">
        <f t="shared" si="1"/>
      </c>
      <c r="W213" s="49">
        <f t="shared" si="2"/>
      </c>
      <c r="X213" s="2">
        <f t="shared" si="3"/>
      </c>
      <c r="Y213" s="2">
        <f t="shared" si="4"/>
      </c>
      <c r="Z213" s="2">
        <f t="shared" si="5"/>
        <v>0</v>
      </c>
      <c r="AA213" s="2">
        <f t="shared" si="6"/>
        <v>0</v>
      </c>
      <c r="AB213" s="2">
        <f t="shared" si="7"/>
        <v>0</v>
      </c>
      <c r="AC213" s="2">
        <f t="shared" si="8"/>
      </c>
    </row>
    <row r="214">
      <c r="A214" s="64" t="n"/>
      <c r="B214" s="65" t="n"/>
      <c r="C214" s="65" t="n"/>
      <c r="D214" s="65" t="n"/>
      <c r="E214" s="65" t="n"/>
      <c r="F214" s="66" t="n"/>
      <c r="G214" s="65" t="n"/>
      <c r="H214" s="66" t="n"/>
      <c r="I214" s="64" t="n"/>
      <c r="J214" s="68" t="n"/>
      <c r="K214" s="68" t="n"/>
      <c r="L214" s="68" t="n"/>
      <c r="M214" s="64" t="n"/>
      <c r="N214" s="64" t="n"/>
      <c r="O214" s="64" t="n"/>
      <c r="P214" s="64" t="n"/>
      <c r="Q214" s="64" t="n"/>
      <c r="R214" s="64" t="n"/>
      <c r="S214" s="66" t="n"/>
      <c r="T214" s="45" t="n"/>
      <c r="U214" s="43">
        <f t="shared" si="0"/>
      </c>
      <c r="V214" s="49">
        <f t="shared" si="1"/>
      </c>
      <c r="W214" s="49">
        <f t="shared" si="2"/>
      </c>
      <c r="X214" s="2">
        <f t="shared" si="3"/>
      </c>
      <c r="Y214" s="2">
        <f t="shared" si="4"/>
      </c>
      <c r="Z214" s="2">
        <f t="shared" si="5"/>
        <v>0</v>
      </c>
      <c r="AA214" s="2">
        <f t="shared" si="6"/>
        <v>0</v>
      </c>
      <c r="AB214" s="2">
        <f t="shared" si="7"/>
        <v>0</v>
      </c>
      <c r="AC214" s="2">
        <f t="shared" si="8"/>
      </c>
    </row>
    <row r="215">
      <c r="A215" s="64" t="n"/>
      <c r="B215" s="65" t="n"/>
      <c r="C215" s="65" t="n"/>
      <c r="D215" s="65" t="n"/>
      <c r="E215" s="65" t="n"/>
      <c r="F215" s="66" t="n"/>
      <c r="G215" s="65" t="n"/>
      <c r="H215" s="66" t="n"/>
      <c r="I215" s="64" t="n"/>
      <c r="J215" s="68" t="n"/>
      <c r="K215" s="68" t="n"/>
      <c r="L215" s="68" t="n"/>
      <c r="M215" s="64" t="n"/>
      <c r="N215" s="64" t="n"/>
      <c r="O215" s="64" t="n"/>
      <c r="P215" s="64" t="n"/>
      <c r="Q215" s="64" t="n"/>
      <c r="R215" s="64" t="n"/>
      <c r="S215" s="66" t="n"/>
      <c r="T215" s="45" t="n"/>
      <c r="U215" s="43">
        <f t="shared" si="0"/>
      </c>
      <c r="V215" s="49">
        <f t="shared" si="1"/>
      </c>
      <c r="W215" s="49">
        <f t="shared" si="2"/>
      </c>
      <c r="X215" s="2">
        <f t="shared" si="3"/>
      </c>
      <c r="Y215" s="2">
        <f t="shared" si="4"/>
      </c>
      <c r="Z215" s="2">
        <f t="shared" si="5"/>
        <v>0</v>
      </c>
      <c r="AA215" s="2">
        <f t="shared" si="6"/>
        <v>0</v>
      </c>
      <c r="AB215" s="2">
        <f t="shared" si="7"/>
        <v>0</v>
      </c>
      <c r="AC215" s="2">
        <f t="shared" si="8"/>
      </c>
    </row>
    <row r="216">
      <c r="A216" s="64" t="n"/>
      <c r="B216" s="65" t="n"/>
      <c r="C216" s="65" t="n"/>
      <c r="D216" s="65" t="n"/>
      <c r="E216" s="65" t="n"/>
      <c r="F216" s="66" t="n"/>
      <c r="G216" s="65" t="n"/>
      <c r="H216" s="66" t="n"/>
      <c r="I216" s="64" t="n"/>
      <c r="J216" s="68" t="n"/>
      <c r="K216" s="68" t="n"/>
      <c r="L216" s="68" t="n"/>
      <c r="M216" s="64" t="n"/>
      <c r="N216" s="64" t="n"/>
      <c r="O216" s="64" t="n"/>
      <c r="P216" s="64" t="n"/>
      <c r="Q216" s="64" t="n"/>
      <c r="R216" s="64" t="n"/>
      <c r="S216" s="66" t="n"/>
      <c r="T216" s="45" t="n"/>
      <c r="U216" s="43">
        <f t="shared" si="0"/>
      </c>
      <c r="V216" s="49">
        <f t="shared" si="1"/>
      </c>
      <c r="W216" s="49">
        <f t="shared" si="2"/>
      </c>
      <c r="X216" s="2">
        <f t="shared" si="3"/>
      </c>
      <c r="Y216" s="2">
        <f t="shared" si="4"/>
      </c>
      <c r="Z216" s="2">
        <f t="shared" si="5"/>
        <v>0</v>
      </c>
      <c r="AA216" s="2">
        <f t="shared" si="6"/>
        <v>0</v>
      </c>
      <c r="AB216" s="2">
        <f t="shared" si="7"/>
        <v>0</v>
      </c>
      <c r="AC216" s="2">
        <f t="shared" si="8"/>
      </c>
    </row>
    <row r="217">
      <c r="A217" s="64" t="n"/>
      <c r="B217" s="65" t="n"/>
      <c r="C217" s="65" t="n"/>
      <c r="D217" s="65" t="n"/>
      <c r="E217" s="65" t="n"/>
      <c r="F217" s="66" t="n"/>
      <c r="G217" s="65" t="n"/>
      <c r="H217" s="66" t="n"/>
      <c r="I217" s="64" t="n"/>
      <c r="J217" s="68" t="n"/>
      <c r="K217" s="68" t="n"/>
      <c r="L217" s="68" t="n"/>
      <c r="M217" s="64" t="n"/>
      <c r="N217" s="64" t="n"/>
      <c r="O217" s="64" t="n"/>
      <c r="P217" s="64" t="n"/>
      <c r="Q217" s="64" t="n"/>
      <c r="R217" s="64" t="n"/>
      <c r="S217" s="66" t="n"/>
      <c r="T217" s="45" t="n"/>
      <c r="U217" s="43">
        <f t="shared" si="0"/>
      </c>
      <c r="V217" s="49">
        <f t="shared" si="1"/>
      </c>
      <c r="W217" s="49">
        <f t="shared" si="2"/>
      </c>
      <c r="X217" s="2">
        <f t="shared" si="3"/>
      </c>
      <c r="Y217" s="2">
        <f t="shared" si="4"/>
      </c>
      <c r="Z217" s="2">
        <f t="shared" si="5"/>
        <v>0</v>
      </c>
      <c r="AA217" s="2">
        <f t="shared" si="6"/>
        <v>0</v>
      </c>
      <c r="AB217" s="2">
        <f t="shared" si="7"/>
        <v>0</v>
      </c>
      <c r="AC217" s="2">
        <f t="shared" si="8"/>
      </c>
    </row>
    <row r="218">
      <c r="A218" s="64" t="n"/>
      <c r="B218" s="65" t="n"/>
      <c r="C218" s="65" t="n"/>
      <c r="D218" s="65" t="n"/>
      <c r="E218" s="65" t="n"/>
      <c r="F218" s="66" t="n"/>
      <c r="G218" s="65" t="n"/>
      <c r="H218" s="66" t="n"/>
      <c r="I218" s="64" t="n"/>
      <c r="J218" s="68" t="n"/>
      <c r="K218" s="68" t="n"/>
      <c r="L218" s="68" t="n"/>
      <c r="M218" s="64" t="n"/>
      <c r="N218" s="64" t="n"/>
      <c r="O218" s="64" t="n"/>
      <c r="P218" s="64" t="n"/>
      <c r="Q218" s="64" t="n"/>
      <c r="R218" s="64" t="n"/>
      <c r="S218" s="66" t="n"/>
      <c r="T218" s="45" t="n"/>
      <c r="U218" s="43">
        <f t="shared" si="0"/>
      </c>
      <c r="V218" s="49">
        <f t="shared" si="1"/>
      </c>
      <c r="W218" s="49">
        <f t="shared" si="2"/>
      </c>
      <c r="X218" s="2">
        <f t="shared" si="3"/>
      </c>
      <c r="Y218" s="2">
        <f t="shared" si="4"/>
      </c>
      <c r="Z218" s="2">
        <f t="shared" si="5"/>
        <v>0</v>
      </c>
      <c r="AA218" s="2">
        <f t="shared" si="6"/>
        <v>0</v>
      </c>
      <c r="AB218" s="2">
        <f t="shared" si="7"/>
        <v>0</v>
      </c>
      <c r="AC218" s="2">
        <f t="shared" si="8"/>
      </c>
    </row>
    <row r="219">
      <c r="A219" s="64" t="n"/>
      <c r="B219" s="65" t="n"/>
      <c r="C219" s="65" t="n"/>
      <c r="D219" s="65" t="n"/>
      <c r="E219" s="65" t="n"/>
      <c r="F219" s="66" t="n"/>
      <c r="G219" s="65" t="n"/>
      <c r="H219" s="66" t="n"/>
      <c r="I219" s="64" t="n"/>
      <c r="J219" s="68" t="n"/>
      <c r="K219" s="68" t="n"/>
      <c r="L219" s="68" t="n"/>
      <c r="M219" s="64" t="n"/>
      <c r="N219" s="64" t="n"/>
      <c r="O219" s="64" t="n"/>
      <c r="P219" s="64" t="n"/>
      <c r="Q219" s="64" t="n"/>
      <c r="R219" s="64" t="n"/>
      <c r="S219" s="66" t="n"/>
      <c r="T219" s="45" t="n"/>
      <c r="U219" s="43">
        <f t="shared" si="0"/>
      </c>
      <c r="V219" s="49">
        <f t="shared" si="1"/>
      </c>
      <c r="W219" s="49">
        <f t="shared" si="2"/>
      </c>
      <c r="X219" s="2">
        <f t="shared" si="3"/>
      </c>
      <c r="Y219" s="2">
        <f t="shared" si="4"/>
      </c>
      <c r="Z219" s="2">
        <f t="shared" si="5"/>
        <v>0</v>
      </c>
      <c r="AA219" s="2">
        <f t="shared" si="6"/>
        <v>0</v>
      </c>
      <c r="AB219" s="2">
        <f t="shared" si="7"/>
        <v>0</v>
      </c>
      <c r="AC219" s="2">
        <f t="shared" si="8"/>
      </c>
    </row>
    <row r="220">
      <c r="A220" s="64" t="n"/>
      <c r="B220" s="65" t="n"/>
      <c r="C220" s="65" t="n"/>
      <c r="D220" s="65" t="n"/>
      <c r="E220" s="65" t="n"/>
      <c r="F220" s="66" t="n"/>
      <c r="G220" s="65" t="n"/>
      <c r="H220" s="66" t="n"/>
      <c r="I220" s="64" t="n"/>
      <c r="J220" s="68" t="n"/>
      <c r="K220" s="68" t="n"/>
      <c r="L220" s="68" t="n"/>
      <c r="M220" s="64" t="n"/>
      <c r="N220" s="64" t="n"/>
      <c r="O220" s="64" t="n"/>
      <c r="P220" s="64" t="n"/>
      <c r="Q220" s="64" t="n"/>
      <c r="R220" s="64" t="n"/>
      <c r="S220" s="66" t="n"/>
      <c r="T220" s="45" t="n"/>
      <c r="U220" s="43">
        <f t="shared" si="0"/>
      </c>
      <c r="V220" s="49">
        <f t="shared" si="1"/>
      </c>
      <c r="W220" s="49">
        <f t="shared" si="2"/>
      </c>
      <c r="X220" s="2">
        <f t="shared" si="3"/>
      </c>
      <c r="Y220" s="2">
        <f t="shared" si="4"/>
      </c>
      <c r="Z220" s="2">
        <f t="shared" si="5"/>
        <v>0</v>
      </c>
      <c r="AA220" s="2">
        <f t="shared" si="6"/>
        <v>0</v>
      </c>
      <c r="AB220" s="2">
        <f t="shared" si="7"/>
        <v>0</v>
      </c>
      <c r="AC220" s="2">
        <f t="shared" si="8"/>
      </c>
    </row>
    <row r="221">
      <c r="A221" s="64" t="n"/>
      <c r="B221" s="65" t="n"/>
      <c r="C221" s="65" t="n"/>
      <c r="D221" s="65" t="n"/>
      <c r="E221" s="65" t="n"/>
      <c r="F221" s="66" t="n"/>
      <c r="G221" s="65" t="n"/>
      <c r="H221" s="66" t="n"/>
      <c r="I221" s="64" t="n"/>
      <c r="J221" s="68" t="n"/>
      <c r="K221" s="68" t="n"/>
      <c r="L221" s="68" t="n"/>
      <c r="M221" s="64" t="n"/>
      <c r="N221" s="64" t="n"/>
      <c r="O221" s="64" t="n"/>
      <c r="P221" s="64" t="n"/>
      <c r="Q221" s="64" t="n"/>
      <c r="R221" s="64" t="n"/>
      <c r="S221" s="66" t="n"/>
      <c r="T221" s="45" t="n"/>
      <c r="U221" s="43">
        <f t="shared" si="0"/>
      </c>
      <c r="V221" s="49">
        <f t="shared" si="1"/>
      </c>
      <c r="W221" s="49">
        <f t="shared" si="2"/>
      </c>
      <c r="X221" s="2">
        <f t="shared" si="3"/>
      </c>
      <c r="Y221" s="2">
        <f t="shared" si="4"/>
      </c>
      <c r="Z221" s="2">
        <f t="shared" si="5"/>
        <v>0</v>
      </c>
      <c r="AA221" s="2">
        <f t="shared" si="6"/>
        <v>0</v>
      </c>
      <c r="AB221" s="2">
        <f t="shared" si="7"/>
        <v>0</v>
      </c>
      <c r="AC221" s="2">
        <f t="shared" si="8"/>
      </c>
    </row>
    <row r="222">
      <c r="A222" s="64" t="n"/>
      <c r="B222" s="65" t="n"/>
      <c r="C222" s="65" t="n"/>
      <c r="D222" s="65" t="n"/>
      <c r="E222" s="65" t="n"/>
      <c r="F222" s="66" t="n"/>
      <c r="G222" s="65" t="n"/>
      <c r="H222" s="66" t="n"/>
      <c r="I222" s="64" t="n"/>
      <c r="J222" s="68" t="n"/>
      <c r="K222" s="68" t="n"/>
      <c r="L222" s="68" t="n"/>
      <c r="M222" s="64" t="n"/>
      <c r="N222" s="64" t="n"/>
      <c r="O222" s="64" t="n"/>
      <c r="P222" s="64" t="n"/>
      <c r="Q222" s="64" t="n"/>
      <c r="R222" s="64" t="n"/>
      <c r="S222" s="66" t="n"/>
      <c r="T222" s="45" t="n"/>
      <c r="U222" s="43">
        <f t="shared" si="0"/>
      </c>
      <c r="V222" s="49">
        <f t="shared" si="1"/>
      </c>
      <c r="W222" s="49">
        <f t="shared" si="2"/>
      </c>
      <c r="X222" s="2">
        <f t="shared" si="3"/>
      </c>
      <c r="Y222" s="2">
        <f t="shared" si="4"/>
      </c>
      <c r="Z222" s="2">
        <f t="shared" si="5"/>
        <v>0</v>
      </c>
      <c r="AA222" s="2">
        <f t="shared" si="6"/>
        <v>0</v>
      </c>
      <c r="AB222" s="2">
        <f t="shared" si="7"/>
        <v>0</v>
      </c>
      <c r="AC222" s="2">
        <f t="shared" si="8"/>
      </c>
    </row>
    <row r="223">
      <c r="A223" s="64" t="n"/>
      <c r="B223" s="65" t="n"/>
      <c r="C223" s="65" t="n"/>
      <c r="D223" s="65" t="n"/>
      <c r="E223" s="65" t="n"/>
      <c r="F223" s="66" t="n"/>
      <c r="G223" s="65" t="n"/>
      <c r="H223" s="66" t="n"/>
      <c r="I223" s="64" t="n"/>
      <c r="J223" s="68" t="n"/>
      <c r="K223" s="68" t="n"/>
      <c r="L223" s="68" t="n"/>
      <c r="M223" s="64" t="n"/>
      <c r="N223" s="64" t="n"/>
      <c r="O223" s="64" t="n"/>
      <c r="P223" s="64" t="n"/>
      <c r="Q223" s="64" t="n"/>
      <c r="R223" s="64" t="n"/>
      <c r="S223" s="66" t="n"/>
      <c r="T223" s="45" t="n"/>
      <c r="U223" s="43">
        <f t="shared" si="0"/>
      </c>
      <c r="V223" s="49">
        <f t="shared" si="1"/>
      </c>
      <c r="W223" s="49">
        <f t="shared" si="2"/>
      </c>
      <c r="X223" s="2">
        <f t="shared" si="3"/>
      </c>
      <c r="Y223" s="2">
        <f t="shared" si="4"/>
      </c>
      <c r="Z223" s="2">
        <f t="shared" si="5"/>
        <v>0</v>
      </c>
      <c r="AA223" s="2">
        <f t="shared" si="6"/>
        <v>0</v>
      </c>
      <c r="AB223" s="2">
        <f t="shared" si="7"/>
        <v>0</v>
      </c>
      <c r="AC223" s="2">
        <f t="shared" si="8"/>
      </c>
    </row>
    <row r="224">
      <c r="A224" s="64" t="n"/>
      <c r="B224" s="65" t="n"/>
      <c r="C224" s="65" t="n"/>
      <c r="D224" s="65" t="n"/>
      <c r="E224" s="65" t="n"/>
      <c r="F224" s="66" t="n"/>
      <c r="G224" s="65" t="n"/>
      <c r="H224" s="66" t="n"/>
      <c r="I224" s="64" t="n"/>
      <c r="J224" s="68" t="n"/>
      <c r="K224" s="68" t="n"/>
      <c r="L224" s="68" t="n"/>
      <c r="M224" s="64" t="n"/>
      <c r="N224" s="64" t="n"/>
      <c r="O224" s="64" t="n"/>
      <c r="P224" s="64" t="n"/>
      <c r="Q224" s="64" t="n"/>
      <c r="R224" s="64" t="n"/>
      <c r="S224" s="66" t="n"/>
      <c r="T224" s="45" t="n"/>
      <c r="U224" s="43">
        <f t="shared" si="0"/>
      </c>
      <c r="V224" s="49">
        <f t="shared" si="1"/>
      </c>
      <c r="W224" s="49">
        <f t="shared" si="2"/>
      </c>
      <c r="X224" s="2">
        <f t="shared" si="3"/>
      </c>
      <c r="Y224" s="2">
        <f t="shared" si="4"/>
      </c>
      <c r="Z224" s="2">
        <f t="shared" si="5"/>
        <v>0</v>
      </c>
      <c r="AA224" s="2">
        <f t="shared" si="6"/>
        <v>0</v>
      </c>
      <c r="AB224" s="2">
        <f t="shared" si="7"/>
        <v>0</v>
      </c>
      <c r="AC224" s="2">
        <f t="shared" si="8"/>
      </c>
    </row>
    <row r="225">
      <c r="A225" s="64" t="n"/>
      <c r="B225" s="65" t="n"/>
      <c r="C225" s="65" t="n"/>
      <c r="D225" s="65" t="n"/>
      <c r="E225" s="65" t="n"/>
      <c r="F225" s="66" t="n"/>
      <c r="G225" s="65" t="n"/>
      <c r="H225" s="66" t="n"/>
      <c r="I225" s="64" t="n"/>
      <c r="J225" s="68" t="n"/>
      <c r="K225" s="68" t="n"/>
      <c r="L225" s="68" t="n"/>
      <c r="M225" s="64" t="n"/>
      <c r="N225" s="64" t="n"/>
      <c r="O225" s="64" t="n"/>
      <c r="P225" s="64" t="n"/>
      <c r="Q225" s="64" t="n"/>
      <c r="R225" s="64" t="n"/>
      <c r="S225" s="66" t="n"/>
      <c r="T225" s="45" t="n"/>
      <c r="U225" s="43">
        <f t="shared" si="0"/>
      </c>
      <c r="V225" s="49">
        <f t="shared" si="1"/>
      </c>
      <c r="W225" s="49">
        <f t="shared" si="2"/>
      </c>
      <c r="X225" s="2">
        <f t="shared" si="3"/>
      </c>
      <c r="Y225" s="2">
        <f t="shared" si="4"/>
      </c>
      <c r="Z225" s="2">
        <f t="shared" si="5"/>
        <v>0</v>
      </c>
      <c r="AA225" s="2">
        <f t="shared" si="6"/>
        <v>0</v>
      </c>
      <c r="AB225" s="2">
        <f t="shared" si="7"/>
        <v>0</v>
      </c>
      <c r="AC225" s="2">
        <f t="shared" si="8"/>
      </c>
    </row>
    <row r="226">
      <c r="A226" s="64" t="n"/>
      <c r="B226" s="65" t="n"/>
      <c r="C226" s="65" t="n"/>
      <c r="D226" s="65" t="n"/>
      <c r="E226" s="65" t="n"/>
      <c r="F226" s="66" t="n"/>
      <c r="G226" s="65" t="n"/>
      <c r="H226" s="66" t="n"/>
      <c r="I226" s="64" t="n"/>
      <c r="J226" s="68" t="n"/>
      <c r="K226" s="68" t="n"/>
      <c r="L226" s="68" t="n"/>
      <c r="M226" s="64" t="n"/>
      <c r="N226" s="64" t="n"/>
      <c r="O226" s="64" t="n"/>
      <c r="P226" s="64" t="n"/>
      <c r="Q226" s="64" t="n"/>
      <c r="R226" s="64" t="n"/>
      <c r="S226" s="66" t="n"/>
      <c r="T226" s="45" t="n"/>
      <c r="U226" s="43">
        <f t="shared" si="0"/>
      </c>
      <c r="V226" s="49">
        <f t="shared" si="1"/>
      </c>
      <c r="W226" s="49">
        <f t="shared" si="2"/>
      </c>
      <c r="X226" s="2">
        <f t="shared" si="3"/>
      </c>
      <c r="Y226" s="2">
        <f t="shared" si="4"/>
      </c>
      <c r="Z226" s="2">
        <f t="shared" si="5"/>
        <v>0</v>
      </c>
      <c r="AA226" s="2">
        <f t="shared" si="6"/>
        <v>0</v>
      </c>
      <c r="AB226" s="2">
        <f t="shared" si="7"/>
        <v>0</v>
      </c>
      <c r="AC226" s="2">
        <f t="shared" si="8"/>
      </c>
    </row>
    <row r="227">
      <c r="A227" s="64" t="n"/>
      <c r="B227" s="65" t="n"/>
      <c r="C227" s="65" t="n"/>
      <c r="D227" s="65" t="n"/>
      <c r="E227" s="65" t="n"/>
      <c r="F227" s="66" t="n"/>
      <c r="G227" s="65" t="n"/>
      <c r="H227" s="66" t="n"/>
      <c r="I227" s="64" t="n"/>
      <c r="J227" s="68" t="n"/>
      <c r="K227" s="68" t="n"/>
      <c r="L227" s="68" t="n"/>
      <c r="M227" s="64" t="n"/>
      <c r="N227" s="64" t="n"/>
      <c r="O227" s="64" t="n"/>
      <c r="P227" s="64" t="n"/>
      <c r="Q227" s="64" t="n"/>
      <c r="R227" s="64" t="n"/>
      <c r="S227" s="66" t="n"/>
      <c r="T227" s="45" t="n"/>
      <c r="U227" s="43">
        <f t="shared" si="0"/>
      </c>
      <c r="V227" s="49">
        <f t="shared" si="1"/>
      </c>
      <c r="W227" s="49">
        <f t="shared" si="2"/>
      </c>
      <c r="X227" s="2">
        <f t="shared" si="3"/>
      </c>
      <c r="Y227" s="2">
        <f t="shared" si="4"/>
      </c>
      <c r="Z227" s="2">
        <f t="shared" si="5"/>
        <v>0</v>
      </c>
      <c r="AA227" s="2">
        <f t="shared" si="6"/>
        <v>0</v>
      </c>
      <c r="AB227" s="2">
        <f t="shared" si="7"/>
        <v>0</v>
      </c>
      <c r="AC227" s="2">
        <f t="shared" si="8"/>
      </c>
    </row>
    <row r="228">
      <c r="A228" s="64" t="n"/>
      <c r="B228" s="65" t="n"/>
      <c r="C228" s="65" t="n"/>
      <c r="D228" s="65" t="n"/>
      <c r="E228" s="65" t="n"/>
      <c r="F228" s="66" t="n"/>
      <c r="G228" s="65" t="n"/>
      <c r="H228" s="66" t="n"/>
      <c r="I228" s="64" t="n"/>
      <c r="J228" s="68" t="n"/>
      <c r="K228" s="68" t="n"/>
      <c r="L228" s="68" t="n"/>
      <c r="M228" s="64" t="n"/>
      <c r="N228" s="64" t="n"/>
      <c r="O228" s="64" t="n"/>
      <c r="P228" s="64" t="n"/>
      <c r="Q228" s="64" t="n"/>
      <c r="R228" s="64" t="n"/>
      <c r="S228" s="66" t="n"/>
      <c r="T228" s="45" t="n"/>
      <c r="U228" s="43">
        <f t="shared" si="0"/>
      </c>
      <c r="V228" s="49">
        <f t="shared" si="1"/>
      </c>
      <c r="W228" s="49">
        <f t="shared" si="2"/>
      </c>
      <c r="X228" s="2">
        <f t="shared" si="3"/>
      </c>
      <c r="Y228" s="2">
        <f t="shared" si="4"/>
      </c>
      <c r="Z228" s="2">
        <f t="shared" si="5"/>
        <v>0</v>
      </c>
      <c r="AA228" s="2">
        <f t="shared" si="6"/>
        <v>0</v>
      </c>
      <c r="AB228" s="2">
        <f t="shared" si="7"/>
        <v>0</v>
      </c>
      <c r="AC228" s="2">
        <f t="shared" si="8"/>
      </c>
    </row>
    <row r="229">
      <c r="A229" s="64" t="n"/>
      <c r="B229" s="65" t="n"/>
      <c r="C229" s="65" t="n"/>
      <c r="D229" s="65" t="n"/>
      <c r="E229" s="65" t="n"/>
      <c r="F229" s="66" t="n"/>
      <c r="G229" s="65" t="n"/>
      <c r="H229" s="66" t="n"/>
      <c r="I229" s="64" t="n"/>
      <c r="J229" s="68" t="n"/>
      <c r="K229" s="68" t="n"/>
      <c r="L229" s="68" t="n"/>
      <c r="M229" s="64" t="n"/>
      <c r="N229" s="64" t="n"/>
      <c r="O229" s="64" t="n"/>
      <c r="P229" s="64" t="n"/>
      <c r="Q229" s="64" t="n"/>
      <c r="R229" s="64" t="n"/>
      <c r="S229" s="66" t="n"/>
      <c r="T229" s="45" t="n"/>
      <c r="U229" s="43">
        <f t="shared" si="0"/>
      </c>
      <c r="V229" s="49">
        <f t="shared" si="1"/>
      </c>
      <c r="W229" s="49">
        <f t="shared" si="2"/>
      </c>
      <c r="X229" s="2">
        <f t="shared" si="3"/>
      </c>
      <c r="Y229" s="2">
        <f t="shared" si="4"/>
      </c>
      <c r="Z229" s="2">
        <f t="shared" si="5"/>
        <v>0</v>
      </c>
      <c r="AA229" s="2">
        <f t="shared" si="6"/>
        <v>0</v>
      </c>
      <c r="AB229" s="2">
        <f t="shared" si="7"/>
        <v>0</v>
      </c>
      <c r="AC229" s="2">
        <f t="shared" si="8"/>
      </c>
    </row>
    <row r="230">
      <c r="A230" s="64" t="n"/>
      <c r="B230" s="65" t="n"/>
      <c r="C230" s="65" t="n"/>
      <c r="D230" s="65" t="n"/>
      <c r="E230" s="65" t="n"/>
      <c r="F230" s="66" t="n"/>
      <c r="G230" s="65" t="n"/>
      <c r="H230" s="66" t="n"/>
      <c r="I230" s="64" t="n"/>
      <c r="J230" s="68" t="n"/>
      <c r="K230" s="68" t="n"/>
      <c r="L230" s="68" t="n"/>
      <c r="M230" s="64" t="n"/>
      <c r="N230" s="64" t="n"/>
      <c r="O230" s="64" t="n"/>
      <c r="P230" s="64" t="n"/>
      <c r="Q230" s="64" t="n"/>
      <c r="R230" s="64" t="n"/>
      <c r="S230" s="66" t="n"/>
      <c r="T230" s="45" t="n"/>
      <c r="U230" s="43">
        <f t="shared" si="0"/>
      </c>
      <c r="V230" s="49">
        <f t="shared" si="1"/>
      </c>
      <c r="W230" s="49">
        <f t="shared" si="2"/>
      </c>
      <c r="X230" s="2">
        <f t="shared" si="3"/>
      </c>
      <c r="Y230" s="2">
        <f t="shared" si="4"/>
      </c>
      <c r="Z230" s="2">
        <f t="shared" si="5"/>
        <v>0</v>
      </c>
      <c r="AA230" s="2">
        <f t="shared" si="6"/>
        <v>0</v>
      </c>
      <c r="AB230" s="2">
        <f t="shared" si="7"/>
        <v>0</v>
      </c>
      <c r="AC230" s="2">
        <f t="shared" si="8"/>
      </c>
    </row>
    <row r="231">
      <c r="A231" s="64" t="n"/>
      <c r="B231" s="65" t="n"/>
      <c r="C231" s="65" t="n"/>
      <c r="D231" s="65" t="n"/>
      <c r="E231" s="65" t="n"/>
      <c r="F231" s="66" t="n"/>
      <c r="G231" s="65" t="n"/>
      <c r="H231" s="66" t="n"/>
      <c r="I231" s="64" t="n"/>
      <c r="J231" s="68" t="n"/>
      <c r="K231" s="68" t="n"/>
      <c r="L231" s="68" t="n"/>
      <c r="M231" s="64" t="n"/>
      <c r="N231" s="64" t="n"/>
      <c r="O231" s="64" t="n"/>
      <c r="P231" s="64" t="n"/>
      <c r="Q231" s="64" t="n"/>
      <c r="R231" s="64" t="n"/>
      <c r="S231" s="66" t="n"/>
      <c r="T231" s="45" t="n"/>
      <c r="U231" s="43">
        <f t="shared" si="0"/>
      </c>
      <c r="V231" s="49">
        <f t="shared" si="1"/>
      </c>
      <c r="W231" s="49">
        <f t="shared" si="2"/>
      </c>
      <c r="X231" s="2">
        <f t="shared" si="3"/>
      </c>
      <c r="Y231" s="2">
        <f t="shared" si="4"/>
      </c>
      <c r="Z231" s="2">
        <f t="shared" si="5"/>
        <v>0</v>
      </c>
      <c r="AA231" s="2">
        <f t="shared" si="6"/>
        <v>0</v>
      </c>
      <c r="AB231" s="2">
        <f t="shared" si="7"/>
        <v>0</v>
      </c>
      <c r="AC231" s="2">
        <f t="shared" si="8"/>
      </c>
    </row>
    <row r="232">
      <c r="A232" s="64" t="n"/>
      <c r="B232" s="65" t="n"/>
      <c r="C232" s="65" t="n"/>
      <c r="D232" s="65" t="n"/>
      <c r="E232" s="65" t="n"/>
      <c r="F232" s="66" t="n"/>
      <c r="G232" s="65" t="n"/>
      <c r="H232" s="66" t="n"/>
      <c r="I232" s="64" t="n"/>
      <c r="J232" s="68" t="n"/>
      <c r="K232" s="68" t="n"/>
      <c r="L232" s="68" t="n"/>
      <c r="M232" s="64" t="n"/>
      <c r="N232" s="64" t="n"/>
      <c r="O232" s="64" t="n"/>
      <c r="P232" s="64" t="n"/>
      <c r="Q232" s="64" t="n"/>
      <c r="R232" s="64" t="n"/>
      <c r="S232" s="66" t="n"/>
      <c r="T232" s="45" t="n"/>
      <c r="U232" s="43">
        <f t="shared" si="0"/>
      </c>
      <c r="V232" s="49">
        <f t="shared" si="1"/>
      </c>
      <c r="W232" s="49">
        <f t="shared" si="2"/>
      </c>
      <c r="X232" s="2">
        <f t="shared" si="3"/>
      </c>
      <c r="Y232" s="2">
        <f t="shared" si="4"/>
      </c>
      <c r="Z232" s="2">
        <f t="shared" si="5"/>
        <v>0</v>
      </c>
      <c r="AA232" s="2">
        <f t="shared" si="6"/>
        <v>0</v>
      </c>
      <c r="AB232" s="2">
        <f t="shared" si="7"/>
        <v>0</v>
      </c>
      <c r="AC232" s="2">
        <f t="shared" si="8"/>
      </c>
    </row>
    <row r="233">
      <c r="A233" s="64" t="n"/>
      <c r="B233" s="65" t="n"/>
      <c r="C233" s="65" t="n"/>
      <c r="D233" s="65" t="n"/>
      <c r="E233" s="65" t="n"/>
      <c r="F233" s="66" t="n"/>
      <c r="G233" s="65" t="n"/>
      <c r="H233" s="66" t="n"/>
      <c r="I233" s="64" t="n"/>
      <c r="J233" s="68" t="n"/>
      <c r="K233" s="68" t="n"/>
      <c r="L233" s="68" t="n"/>
      <c r="M233" s="64" t="n"/>
      <c r="N233" s="64" t="n"/>
      <c r="O233" s="64" t="n"/>
      <c r="P233" s="64" t="n"/>
      <c r="Q233" s="64" t="n"/>
      <c r="R233" s="64" t="n"/>
      <c r="S233" s="66" t="n"/>
      <c r="T233" s="45" t="n"/>
      <c r="U233" s="43">
        <f t="shared" si="0"/>
      </c>
      <c r="V233" s="49">
        <f t="shared" si="1"/>
      </c>
      <c r="W233" s="49">
        <f t="shared" si="2"/>
      </c>
      <c r="X233" s="2">
        <f t="shared" si="3"/>
      </c>
      <c r="Y233" s="2">
        <f t="shared" si="4"/>
      </c>
      <c r="Z233" s="2">
        <f t="shared" si="5"/>
        <v>0</v>
      </c>
      <c r="AA233" s="2">
        <f t="shared" si="6"/>
        <v>0</v>
      </c>
      <c r="AB233" s="2">
        <f t="shared" si="7"/>
        <v>0</v>
      </c>
      <c r="AC233" s="2">
        <f t="shared" si="8"/>
      </c>
    </row>
    <row r="234">
      <c r="A234" s="64" t="n"/>
      <c r="B234" s="65" t="n"/>
      <c r="C234" s="65" t="n"/>
      <c r="D234" s="65" t="n"/>
      <c r="E234" s="65" t="n"/>
      <c r="F234" s="66" t="n"/>
      <c r="G234" s="65" t="n"/>
      <c r="H234" s="66" t="n"/>
      <c r="I234" s="64" t="n"/>
      <c r="J234" s="68" t="n"/>
      <c r="K234" s="68" t="n"/>
      <c r="L234" s="68" t="n"/>
      <c r="M234" s="64" t="n"/>
      <c r="N234" s="64" t="n"/>
      <c r="O234" s="64" t="n"/>
      <c r="P234" s="64" t="n"/>
      <c r="Q234" s="64" t="n"/>
      <c r="R234" s="64" t="n"/>
      <c r="S234" s="66" t="n"/>
      <c r="T234" s="45" t="n"/>
      <c r="U234" s="43">
        <f t="shared" si="0"/>
      </c>
      <c r="V234" s="49">
        <f t="shared" si="1"/>
      </c>
      <c r="W234" s="49">
        <f t="shared" si="2"/>
      </c>
      <c r="X234" s="2">
        <f t="shared" si="3"/>
      </c>
      <c r="Y234" s="2">
        <f t="shared" si="4"/>
      </c>
      <c r="Z234" s="2">
        <f t="shared" si="5"/>
        <v>0</v>
      </c>
      <c r="AA234" s="2">
        <f t="shared" si="6"/>
        <v>0</v>
      </c>
      <c r="AB234" s="2">
        <f t="shared" si="7"/>
        <v>0</v>
      </c>
      <c r="AC234" s="2">
        <f t="shared" si="8"/>
      </c>
    </row>
    <row r="235">
      <c r="A235" s="64" t="n"/>
      <c r="B235" s="65" t="n"/>
      <c r="C235" s="65" t="n"/>
      <c r="D235" s="65" t="n"/>
      <c r="E235" s="65" t="n"/>
      <c r="F235" s="66" t="n"/>
      <c r="G235" s="65" t="n"/>
      <c r="H235" s="66" t="n"/>
      <c r="I235" s="64" t="n"/>
      <c r="J235" s="68" t="n"/>
      <c r="K235" s="68" t="n"/>
      <c r="L235" s="68" t="n"/>
      <c r="M235" s="64" t="n"/>
      <c r="N235" s="64" t="n"/>
      <c r="O235" s="64" t="n"/>
      <c r="P235" s="64" t="n"/>
      <c r="Q235" s="64" t="n"/>
      <c r="R235" s="64" t="n"/>
      <c r="S235" s="66" t="n"/>
      <c r="T235" s="45" t="n"/>
      <c r="U235" s="43">
        <f t="shared" si="0"/>
      </c>
      <c r="V235" s="49">
        <f t="shared" si="1"/>
      </c>
      <c r="W235" s="49">
        <f t="shared" si="2"/>
      </c>
      <c r="X235" s="2">
        <f t="shared" si="3"/>
      </c>
      <c r="Y235" s="2">
        <f t="shared" si="4"/>
      </c>
      <c r="Z235" s="2">
        <f t="shared" si="5"/>
        <v>0</v>
      </c>
      <c r="AA235" s="2">
        <f t="shared" si="6"/>
        <v>0</v>
      </c>
      <c r="AB235" s="2">
        <f t="shared" si="7"/>
        <v>0</v>
      </c>
      <c r="AC235" s="2">
        <f t="shared" si="8"/>
      </c>
    </row>
    <row r="236">
      <c r="A236" s="64" t="n"/>
      <c r="B236" s="65" t="n"/>
      <c r="C236" s="65" t="n"/>
      <c r="D236" s="65" t="n"/>
      <c r="E236" s="65" t="n"/>
      <c r="F236" s="66" t="n"/>
      <c r="G236" s="65" t="n"/>
      <c r="H236" s="66" t="n"/>
      <c r="I236" s="64" t="n"/>
      <c r="J236" s="68" t="n"/>
      <c r="K236" s="68" t="n"/>
      <c r="L236" s="68" t="n"/>
      <c r="M236" s="64" t="n"/>
      <c r="N236" s="64" t="n"/>
      <c r="O236" s="64" t="n"/>
      <c r="P236" s="64" t="n"/>
      <c r="Q236" s="64" t="n"/>
      <c r="R236" s="64" t="n"/>
      <c r="S236" s="66" t="n"/>
      <c r="T236" s="45" t="n"/>
      <c r="U236" s="43">
        <f t="shared" si="0"/>
      </c>
      <c r="V236" s="49">
        <f t="shared" si="1"/>
      </c>
      <c r="W236" s="49">
        <f t="shared" si="2"/>
      </c>
      <c r="X236" s="2">
        <f t="shared" si="3"/>
      </c>
      <c r="Y236" s="2">
        <f t="shared" si="4"/>
      </c>
      <c r="Z236" s="2">
        <f t="shared" si="5"/>
        <v>0</v>
      </c>
      <c r="AA236" s="2">
        <f t="shared" si="6"/>
        <v>0</v>
      </c>
      <c r="AB236" s="2">
        <f t="shared" si="7"/>
        <v>0</v>
      </c>
      <c r="AC236" s="2">
        <f t="shared" si="8"/>
      </c>
    </row>
    <row r="237">
      <c r="A237" s="64" t="n"/>
      <c r="B237" s="65" t="n"/>
      <c r="C237" s="65" t="n"/>
      <c r="D237" s="65" t="n"/>
      <c r="E237" s="65" t="n"/>
      <c r="F237" s="66" t="n"/>
      <c r="G237" s="65" t="n"/>
      <c r="H237" s="66" t="n"/>
      <c r="I237" s="64" t="n"/>
      <c r="J237" s="68" t="n"/>
      <c r="K237" s="68" t="n"/>
      <c r="L237" s="68" t="n"/>
      <c r="M237" s="64" t="n"/>
      <c r="N237" s="64" t="n"/>
      <c r="O237" s="64" t="n"/>
      <c r="P237" s="64" t="n"/>
      <c r="Q237" s="64" t="n"/>
      <c r="R237" s="64" t="n"/>
      <c r="S237" s="66" t="n"/>
      <c r="T237" s="45" t="n"/>
      <c r="U237" s="43">
        <f t="shared" si="0"/>
      </c>
      <c r="V237" s="49">
        <f t="shared" si="1"/>
      </c>
      <c r="W237" s="49">
        <f t="shared" si="2"/>
      </c>
      <c r="X237" s="2">
        <f t="shared" si="3"/>
      </c>
      <c r="Y237" s="2">
        <f t="shared" si="4"/>
      </c>
      <c r="Z237" s="2">
        <f t="shared" si="5"/>
        <v>0</v>
      </c>
      <c r="AA237" s="2">
        <f t="shared" si="6"/>
        <v>0</v>
      </c>
      <c r="AB237" s="2">
        <f t="shared" si="7"/>
        <v>0</v>
      </c>
      <c r="AC237" s="2">
        <f t="shared" si="8"/>
      </c>
    </row>
    <row r="238">
      <c r="A238" s="64" t="n"/>
      <c r="B238" s="65" t="n"/>
      <c r="C238" s="65" t="n"/>
      <c r="D238" s="65" t="n"/>
      <c r="E238" s="65" t="n"/>
      <c r="F238" s="66" t="n"/>
      <c r="G238" s="65" t="n"/>
      <c r="H238" s="66" t="n"/>
      <c r="I238" s="64" t="n"/>
      <c r="J238" s="68" t="n"/>
      <c r="K238" s="68" t="n"/>
      <c r="L238" s="68" t="n"/>
      <c r="M238" s="64" t="n"/>
      <c r="N238" s="64" t="n"/>
      <c r="O238" s="64" t="n"/>
      <c r="P238" s="64" t="n"/>
      <c r="Q238" s="64" t="n"/>
      <c r="R238" s="64" t="n"/>
      <c r="S238" s="66" t="n"/>
      <c r="T238" s="45" t="n"/>
      <c r="U238" s="43">
        <f t="shared" si="0"/>
      </c>
      <c r="V238" s="49">
        <f t="shared" si="1"/>
      </c>
      <c r="W238" s="49">
        <f t="shared" si="2"/>
      </c>
      <c r="X238" s="2">
        <f t="shared" si="3"/>
      </c>
      <c r="Y238" s="2">
        <f t="shared" si="4"/>
      </c>
      <c r="Z238" s="2">
        <f t="shared" si="5"/>
        <v>0</v>
      </c>
      <c r="AA238" s="2">
        <f t="shared" si="6"/>
        <v>0</v>
      </c>
      <c r="AB238" s="2">
        <f t="shared" si="7"/>
        <v>0</v>
      </c>
      <c r="AC238" s="2">
        <f t="shared" si="8"/>
      </c>
    </row>
    <row r="239">
      <c r="A239" s="64" t="n"/>
      <c r="B239" s="65" t="n"/>
      <c r="C239" s="65" t="n"/>
      <c r="D239" s="65" t="n"/>
      <c r="E239" s="65" t="n"/>
      <c r="F239" s="66" t="n"/>
      <c r="G239" s="65" t="n"/>
      <c r="H239" s="66" t="n"/>
      <c r="I239" s="64" t="n"/>
      <c r="J239" s="68" t="n"/>
      <c r="K239" s="68" t="n"/>
      <c r="L239" s="68" t="n"/>
      <c r="M239" s="64" t="n"/>
      <c r="N239" s="64" t="n"/>
      <c r="O239" s="64" t="n"/>
      <c r="P239" s="64" t="n"/>
      <c r="Q239" s="64" t="n"/>
      <c r="R239" s="64" t="n"/>
      <c r="S239" s="66" t="n"/>
      <c r="T239" s="45" t="n"/>
      <c r="U239" s="43">
        <f t="shared" si="0"/>
      </c>
      <c r="V239" s="49">
        <f t="shared" si="1"/>
      </c>
      <c r="W239" s="49">
        <f t="shared" si="2"/>
      </c>
      <c r="X239" s="2">
        <f t="shared" si="3"/>
      </c>
      <c r="Y239" s="2">
        <f t="shared" si="4"/>
      </c>
      <c r="Z239" s="2">
        <f t="shared" si="5"/>
        <v>0</v>
      </c>
      <c r="AA239" s="2">
        <f t="shared" si="6"/>
        <v>0</v>
      </c>
      <c r="AB239" s="2">
        <f t="shared" si="7"/>
        <v>0</v>
      </c>
      <c r="AC239" s="2">
        <f t="shared" si="8"/>
      </c>
    </row>
    <row r="240">
      <c r="A240" s="64" t="n"/>
      <c r="B240" s="65" t="n"/>
      <c r="C240" s="65" t="n"/>
      <c r="D240" s="65" t="n"/>
      <c r="E240" s="65" t="n"/>
      <c r="F240" s="66" t="n"/>
      <c r="G240" s="65" t="n"/>
      <c r="H240" s="66" t="n"/>
      <c r="I240" s="64" t="n"/>
      <c r="J240" s="68" t="n"/>
      <c r="K240" s="68" t="n"/>
      <c r="L240" s="68" t="n"/>
      <c r="M240" s="64" t="n"/>
      <c r="N240" s="64" t="n"/>
      <c r="O240" s="64" t="n"/>
      <c r="P240" s="64" t="n"/>
      <c r="Q240" s="64" t="n"/>
      <c r="R240" s="64" t="n"/>
      <c r="S240" s="66" t="n"/>
      <c r="T240" s="45" t="n"/>
      <c r="U240" s="43">
        <f t="shared" si="0"/>
      </c>
      <c r="V240" s="49">
        <f t="shared" si="1"/>
      </c>
      <c r="W240" s="49">
        <f t="shared" si="2"/>
      </c>
      <c r="X240" s="2">
        <f t="shared" si="3"/>
      </c>
      <c r="Y240" s="2">
        <f t="shared" si="4"/>
      </c>
      <c r="Z240" s="2">
        <f t="shared" si="5"/>
        <v>0</v>
      </c>
      <c r="AA240" s="2">
        <f t="shared" si="6"/>
        <v>0</v>
      </c>
      <c r="AB240" s="2">
        <f t="shared" si="7"/>
        <v>0</v>
      </c>
      <c r="AC240" s="2">
        <f t="shared" si="8"/>
      </c>
    </row>
    <row r="241">
      <c r="A241" s="64" t="n"/>
      <c r="B241" s="65" t="n"/>
      <c r="C241" s="65" t="n"/>
      <c r="D241" s="65" t="n"/>
      <c r="E241" s="65" t="n"/>
      <c r="F241" s="66" t="n"/>
      <c r="G241" s="65" t="n"/>
      <c r="H241" s="66" t="n"/>
      <c r="I241" s="64" t="n"/>
      <c r="J241" s="68" t="n"/>
      <c r="K241" s="68" t="n"/>
      <c r="L241" s="68" t="n"/>
      <c r="M241" s="64" t="n"/>
      <c r="N241" s="64" t="n"/>
      <c r="O241" s="64" t="n"/>
      <c r="P241" s="64" t="n"/>
      <c r="Q241" s="64" t="n"/>
      <c r="R241" s="64" t="n"/>
      <c r="S241" s="66" t="n"/>
      <c r="T241" s="45" t="n"/>
      <c r="U241" s="43">
        <f t="shared" si="0"/>
      </c>
      <c r="V241" s="49">
        <f t="shared" si="1"/>
      </c>
      <c r="W241" s="49">
        <f t="shared" si="2"/>
      </c>
      <c r="X241" s="2">
        <f t="shared" si="3"/>
      </c>
      <c r="Y241" s="2">
        <f t="shared" si="4"/>
      </c>
      <c r="Z241" s="2">
        <f t="shared" si="5"/>
        <v>0</v>
      </c>
      <c r="AA241" s="2">
        <f t="shared" si="6"/>
        <v>0</v>
      </c>
      <c r="AB241" s="2">
        <f t="shared" si="7"/>
        <v>0</v>
      </c>
      <c r="AC241" s="2">
        <f t="shared" si="8"/>
      </c>
    </row>
    <row r="242">
      <c r="A242" s="64" t="n"/>
      <c r="B242" s="65" t="n"/>
      <c r="C242" s="65" t="n"/>
      <c r="D242" s="65" t="n"/>
      <c r="E242" s="65" t="n"/>
      <c r="F242" s="66" t="n"/>
      <c r="G242" s="65" t="n"/>
      <c r="H242" s="66" t="n"/>
      <c r="I242" s="64" t="n"/>
      <c r="J242" s="68" t="n"/>
      <c r="K242" s="68" t="n"/>
      <c r="L242" s="68" t="n"/>
      <c r="M242" s="64" t="n"/>
      <c r="N242" s="64" t="n"/>
      <c r="O242" s="64" t="n"/>
      <c r="P242" s="64" t="n"/>
      <c r="Q242" s="64" t="n"/>
      <c r="R242" s="64" t="n"/>
      <c r="S242" s="66" t="n"/>
      <c r="T242" s="45" t="n"/>
      <c r="U242" s="43">
        <f t="shared" si="0"/>
      </c>
      <c r="V242" s="49">
        <f t="shared" si="1"/>
      </c>
      <c r="W242" s="49">
        <f t="shared" si="2"/>
      </c>
      <c r="X242" s="2">
        <f t="shared" si="3"/>
      </c>
      <c r="Y242" s="2">
        <f t="shared" si="4"/>
      </c>
      <c r="Z242" s="2">
        <f t="shared" si="5"/>
        <v>0</v>
      </c>
      <c r="AA242" s="2">
        <f t="shared" si="6"/>
        <v>0</v>
      </c>
      <c r="AB242" s="2">
        <f t="shared" si="7"/>
        <v>0</v>
      </c>
      <c r="AC242" s="2">
        <f t="shared" si="8"/>
      </c>
    </row>
    <row r="243">
      <c r="A243" s="64" t="n"/>
      <c r="B243" s="65" t="n"/>
      <c r="C243" s="65" t="n"/>
      <c r="D243" s="65" t="n"/>
      <c r="E243" s="65" t="n"/>
      <c r="F243" s="66" t="n"/>
      <c r="G243" s="65" t="n"/>
      <c r="H243" s="66" t="n"/>
      <c r="I243" s="64" t="n"/>
      <c r="J243" s="68" t="n"/>
      <c r="K243" s="68" t="n"/>
      <c r="L243" s="68" t="n"/>
      <c r="M243" s="64" t="n"/>
      <c r="N243" s="64" t="n"/>
      <c r="O243" s="64" t="n"/>
      <c r="P243" s="64" t="n"/>
      <c r="Q243" s="64" t="n"/>
      <c r="R243" s="64" t="n"/>
      <c r="S243" s="66" t="n"/>
      <c r="T243" s="45" t="n"/>
      <c r="U243" s="43">
        <f t="shared" si="0"/>
      </c>
      <c r="V243" s="49">
        <f t="shared" si="1"/>
      </c>
      <c r="W243" s="49">
        <f t="shared" si="2"/>
      </c>
      <c r="X243" s="2">
        <f t="shared" si="3"/>
      </c>
      <c r="Y243" s="2">
        <f t="shared" si="4"/>
      </c>
      <c r="Z243" s="2">
        <f t="shared" si="5"/>
        <v>0</v>
      </c>
      <c r="AA243" s="2">
        <f t="shared" si="6"/>
        <v>0</v>
      </c>
      <c r="AB243" s="2">
        <f t="shared" si="7"/>
        <v>0</v>
      </c>
      <c r="AC243" s="2">
        <f t="shared" si="8"/>
      </c>
    </row>
    <row r="244">
      <c r="A244" s="64" t="n"/>
      <c r="B244" s="65" t="n"/>
      <c r="C244" s="65" t="n"/>
      <c r="D244" s="65" t="n"/>
      <c r="E244" s="65" t="n"/>
      <c r="F244" s="66" t="n"/>
      <c r="G244" s="65" t="n"/>
      <c r="H244" s="66" t="n"/>
      <c r="I244" s="64" t="n"/>
      <c r="J244" s="68" t="n"/>
      <c r="K244" s="68" t="n"/>
      <c r="L244" s="68" t="n"/>
      <c r="M244" s="64" t="n"/>
      <c r="N244" s="64" t="n"/>
      <c r="O244" s="64" t="n"/>
      <c r="P244" s="64" t="n"/>
      <c r="Q244" s="64" t="n"/>
      <c r="R244" s="64" t="n"/>
      <c r="S244" s="66" t="n"/>
      <c r="T244" s="45" t="n"/>
      <c r="U244" s="43">
        <f t="shared" si="0"/>
      </c>
      <c r="V244" s="49">
        <f t="shared" si="1"/>
      </c>
      <c r="W244" s="49">
        <f t="shared" si="2"/>
      </c>
      <c r="X244" s="2">
        <f t="shared" si="3"/>
      </c>
      <c r="Y244" s="2">
        <f t="shared" si="4"/>
      </c>
      <c r="Z244" s="2">
        <f t="shared" si="5"/>
        <v>0</v>
      </c>
      <c r="AA244" s="2">
        <f t="shared" si="6"/>
        <v>0</v>
      </c>
      <c r="AB244" s="2">
        <f t="shared" si="7"/>
        <v>0</v>
      </c>
      <c r="AC244" s="2">
        <f t="shared" si="8"/>
      </c>
    </row>
    <row r="245">
      <c r="A245" s="64" t="n"/>
      <c r="B245" s="65" t="n"/>
      <c r="C245" s="65" t="n"/>
      <c r="D245" s="65" t="n"/>
      <c r="E245" s="65" t="n"/>
      <c r="F245" s="66" t="n"/>
      <c r="G245" s="65" t="n"/>
      <c r="H245" s="66" t="n"/>
      <c r="I245" s="64" t="n"/>
      <c r="J245" s="68" t="n"/>
      <c r="K245" s="68" t="n"/>
      <c r="L245" s="68" t="n"/>
      <c r="M245" s="64" t="n"/>
      <c r="N245" s="64" t="n"/>
      <c r="O245" s="64" t="n"/>
      <c r="P245" s="64" t="n"/>
      <c r="Q245" s="64" t="n"/>
      <c r="R245" s="64" t="n"/>
      <c r="S245" s="66" t="n"/>
      <c r="T245" s="45" t="n"/>
      <c r="U245" s="43">
        <f t="shared" si="0"/>
      </c>
      <c r="V245" s="49">
        <f t="shared" si="1"/>
      </c>
      <c r="W245" s="49">
        <f t="shared" si="2"/>
      </c>
      <c r="X245" s="2">
        <f t="shared" si="3"/>
      </c>
      <c r="Y245" s="2">
        <f t="shared" si="4"/>
      </c>
      <c r="Z245" s="2">
        <f t="shared" si="5"/>
        <v>0</v>
      </c>
      <c r="AA245" s="2">
        <f t="shared" si="6"/>
        <v>0</v>
      </c>
      <c r="AB245" s="2">
        <f t="shared" si="7"/>
        <v>0</v>
      </c>
      <c r="AC245" s="2">
        <f t="shared" si="8"/>
      </c>
    </row>
    <row r="246">
      <c r="A246" s="64" t="n"/>
      <c r="B246" s="65" t="n"/>
      <c r="C246" s="65" t="n"/>
      <c r="D246" s="65" t="n"/>
      <c r="E246" s="65" t="n"/>
      <c r="F246" s="66" t="n"/>
      <c r="G246" s="65" t="n"/>
      <c r="H246" s="66" t="n"/>
      <c r="I246" s="64" t="n"/>
      <c r="J246" s="68" t="n"/>
      <c r="K246" s="68" t="n"/>
      <c r="L246" s="68" t="n"/>
      <c r="M246" s="64" t="n"/>
      <c r="N246" s="64" t="n"/>
      <c r="O246" s="64" t="n"/>
      <c r="P246" s="64" t="n"/>
      <c r="Q246" s="64" t="n"/>
      <c r="R246" s="64" t="n"/>
      <c r="S246" s="66" t="n"/>
      <c r="T246" s="45" t="n"/>
      <c r="U246" s="43">
        <f t="shared" si="0"/>
      </c>
      <c r="V246" s="49">
        <f t="shared" si="1"/>
      </c>
      <c r="W246" s="49">
        <f t="shared" si="2"/>
      </c>
      <c r="X246" s="2">
        <f t="shared" si="3"/>
      </c>
      <c r="Y246" s="2">
        <f t="shared" si="4"/>
      </c>
      <c r="Z246" s="2">
        <f t="shared" si="5"/>
        <v>0</v>
      </c>
      <c r="AA246" s="2">
        <f t="shared" si="6"/>
        <v>0</v>
      </c>
      <c r="AB246" s="2">
        <f t="shared" si="7"/>
        <v>0</v>
      </c>
      <c r="AC246" s="2">
        <f t="shared" si="8"/>
      </c>
    </row>
    <row r="247">
      <c r="A247" s="64" t="n"/>
      <c r="B247" s="65" t="n"/>
      <c r="C247" s="65" t="n"/>
      <c r="D247" s="65" t="n"/>
      <c r="E247" s="65" t="n"/>
      <c r="F247" s="66" t="n"/>
      <c r="G247" s="65" t="n"/>
      <c r="H247" s="66" t="n"/>
      <c r="I247" s="64" t="n"/>
      <c r="J247" s="68" t="n"/>
      <c r="K247" s="68" t="n"/>
      <c r="L247" s="68" t="n"/>
      <c r="M247" s="64" t="n"/>
      <c r="N247" s="64" t="n"/>
      <c r="O247" s="64" t="n"/>
      <c r="P247" s="64" t="n"/>
      <c r="Q247" s="64" t="n"/>
      <c r="R247" s="64" t="n"/>
      <c r="S247" s="66" t="n"/>
      <c r="T247" s="45" t="n"/>
      <c r="U247" s="43">
        <f t="shared" si="0"/>
      </c>
      <c r="V247" s="49">
        <f t="shared" si="1"/>
      </c>
      <c r="W247" s="49">
        <f t="shared" si="2"/>
      </c>
      <c r="X247" s="2">
        <f t="shared" si="3"/>
      </c>
      <c r="Y247" s="2">
        <f t="shared" si="4"/>
      </c>
      <c r="Z247" s="2">
        <f t="shared" si="5"/>
        <v>0</v>
      </c>
      <c r="AA247" s="2">
        <f t="shared" si="6"/>
        <v>0</v>
      </c>
      <c r="AB247" s="2">
        <f t="shared" si="7"/>
        <v>0</v>
      </c>
      <c r="AC247" s="2">
        <f t="shared" si="8"/>
      </c>
    </row>
    <row r="248">
      <c r="A248" s="64" t="n"/>
      <c r="B248" s="65" t="n"/>
      <c r="C248" s="65" t="n"/>
      <c r="D248" s="65" t="n"/>
      <c r="E248" s="65" t="n"/>
      <c r="F248" s="66" t="n"/>
      <c r="G248" s="65" t="n"/>
      <c r="H248" s="66" t="n"/>
      <c r="I248" s="64" t="n"/>
      <c r="J248" s="68" t="n"/>
      <c r="K248" s="68" t="n"/>
      <c r="L248" s="68" t="n"/>
      <c r="M248" s="64" t="n"/>
      <c r="N248" s="64" t="n"/>
      <c r="O248" s="64" t="n"/>
      <c r="P248" s="64" t="n"/>
      <c r="Q248" s="64" t="n"/>
      <c r="R248" s="64" t="n"/>
      <c r="S248" s="66" t="n"/>
      <c r="T248" s="45" t="n"/>
      <c r="U248" s="43">
        <f t="shared" si="0"/>
      </c>
      <c r="V248" s="49">
        <f t="shared" si="1"/>
      </c>
      <c r="W248" s="49">
        <f t="shared" si="2"/>
      </c>
      <c r="X248" s="2">
        <f t="shared" si="3"/>
      </c>
      <c r="Y248" s="2">
        <f t="shared" si="4"/>
      </c>
      <c r="Z248" s="2">
        <f t="shared" si="5"/>
        <v>0</v>
      </c>
      <c r="AA248" s="2">
        <f t="shared" si="6"/>
        <v>0</v>
      </c>
      <c r="AB248" s="2">
        <f t="shared" si="7"/>
        <v>0</v>
      </c>
      <c r="AC248" s="2">
        <f t="shared" si="8"/>
      </c>
    </row>
    <row r="249">
      <c r="A249" s="64" t="n"/>
      <c r="B249" s="65" t="n"/>
      <c r="C249" s="65" t="n"/>
      <c r="D249" s="65" t="n"/>
      <c r="E249" s="65" t="n"/>
      <c r="F249" s="66" t="n"/>
      <c r="G249" s="65" t="n"/>
      <c r="H249" s="66" t="n"/>
      <c r="I249" s="64" t="n"/>
      <c r="J249" s="68" t="n"/>
      <c r="K249" s="68" t="n"/>
      <c r="L249" s="68" t="n"/>
      <c r="M249" s="64" t="n"/>
      <c r="N249" s="64" t="n"/>
      <c r="O249" s="64" t="n"/>
      <c r="P249" s="64" t="n"/>
      <c r="Q249" s="64" t="n"/>
      <c r="R249" s="64" t="n"/>
      <c r="S249" s="66" t="n"/>
      <c r="T249" s="45" t="n"/>
      <c r="U249" s="43">
        <f t="shared" si="0"/>
      </c>
      <c r="V249" s="49">
        <f t="shared" si="1"/>
      </c>
      <c r="W249" s="49">
        <f t="shared" si="2"/>
      </c>
      <c r="X249" s="2">
        <f t="shared" si="3"/>
      </c>
      <c r="Y249" s="2">
        <f t="shared" si="4"/>
      </c>
      <c r="Z249" s="2">
        <f t="shared" si="5"/>
        <v>0</v>
      </c>
      <c r="AA249" s="2">
        <f t="shared" si="6"/>
        <v>0</v>
      </c>
      <c r="AB249" s="2">
        <f t="shared" si="7"/>
        <v>0</v>
      </c>
      <c r="AC249" s="2">
        <f t="shared" si="8"/>
      </c>
    </row>
    <row r="250">
      <c r="A250" s="64" t="n"/>
      <c r="B250" s="65" t="n"/>
      <c r="C250" s="65" t="n"/>
      <c r="D250" s="65" t="n"/>
      <c r="E250" s="65" t="n"/>
      <c r="F250" s="66" t="n"/>
      <c r="G250" s="65" t="n"/>
      <c r="H250" s="66" t="n"/>
      <c r="I250" s="64" t="n"/>
      <c r="J250" s="68" t="n"/>
      <c r="K250" s="68" t="n"/>
      <c r="L250" s="68" t="n"/>
      <c r="M250" s="64" t="n"/>
      <c r="N250" s="64" t="n"/>
      <c r="O250" s="64" t="n"/>
      <c r="P250" s="64" t="n"/>
      <c r="Q250" s="64" t="n"/>
      <c r="R250" s="64" t="n"/>
      <c r="S250" s="66" t="n"/>
      <c r="T250" s="45" t="n"/>
      <c r="U250" s="43">
        <f t="shared" si="0"/>
      </c>
      <c r="V250" s="49">
        <f t="shared" si="1"/>
      </c>
      <c r="W250" s="49">
        <f t="shared" si="2"/>
      </c>
      <c r="X250" s="2">
        <f t="shared" si="3"/>
      </c>
      <c r="Y250" s="2">
        <f t="shared" si="4"/>
      </c>
      <c r="Z250" s="2">
        <f t="shared" si="5"/>
        <v>0</v>
      </c>
      <c r="AA250" s="2">
        <f t="shared" si="6"/>
        <v>0</v>
      </c>
      <c r="AB250" s="2">
        <f t="shared" si="7"/>
        <v>0</v>
      </c>
      <c r="AC250" s="2">
        <f t="shared" si="8"/>
      </c>
    </row>
    <row r="251">
      <c r="A251" s="64" t="n"/>
      <c r="B251" s="65" t="n"/>
      <c r="C251" s="65" t="n"/>
      <c r="D251" s="65" t="n"/>
      <c r="E251" s="65" t="n"/>
      <c r="F251" s="66" t="n"/>
      <c r="G251" s="65" t="n"/>
      <c r="H251" s="66" t="n"/>
      <c r="I251" s="64" t="n"/>
      <c r="J251" s="68" t="n"/>
      <c r="K251" s="68" t="n"/>
      <c r="L251" s="68" t="n"/>
      <c r="M251" s="64" t="n"/>
      <c r="N251" s="64" t="n"/>
      <c r="O251" s="64" t="n"/>
      <c r="P251" s="64" t="n"/>
      <c r="Q251" s="64" t="n"/>
      <c r="R251" s="64" t="n"/>
      <c r="S251" s="66" t="n"/>
      <c r="T251" s="45" t="n"/>
      <c r="U251" s="43">
        <f t="shared" si="0"/>
      </c>
      <c r="V251" s="49">
        <f t="shared" si="1"/>
      </c>
      <c r="W251" s="49">
        <f t="shared" si="2"/>
      </c>
      <c r="X251" s="2">
        <f t="shared" si="3"/>
      </c>
      <c r="Y251" s="2">
        <f t="shared" si="4"/>
      </c>
      <c r="Z251" s="2">
        <f t="shared" si="5"/>
        <v>0</v>
      </c>
      <c r="AA251" s="2">
        <f t="shared" si="6"/>
        <v>0</v>
      </c>
      <c r="AB251" s="2">
        <f t="shared" si="7"/>
        <v>0</v>
      </c>
      <c r="AC251" s="2">
        <f t="shared" si="8"/>
      </c>
    </row>
    <row r="252">
      <c r="A252" s="64" t="n"/>
      <c r="B252" s="65" t="n"/>
      <c r="C252" s="65" t="n"/>
      <c r="D252" s="65" t="n"/>
      <c r="E252" s="65" t="n"/>
      <c r="F252" s="66" t="n"/>
      <c r="G252" s="65" t="n"/>
      <c r="H252" s="66" t="n"/>
      <c r="I252" s="64" t="n"/>
      <c r="J252" s="68" t="n"/>
      <c r="K252" s="68" t="n"/>
      <c r="L252" s="68" t="n"/>
      <c r="M252" s="64" t="n"/>
      <c r="N252" s="64" t="n"/>
      <c r="O252" s="64" t="n"/>
      <c r="P252" s="64" t="n"/>
      <c r="Q252" s="64" t="n"/>
      <c r="R252" s="64" t="n"/>
      <c r="S252" s="66" t="n"/>
      <c r="T252" s="45" t="n"/>
      <c r="U252" s="43">
        <f t="shared" si="0"/>
      </c>
      <c r="V252" s="49">
        <f t="shared" si="1"/>
      </c>
      <c r="W252" s="49">
        <f t="shared" si="2"/>
      </c>
      <c r="X252" s="2">
        <f t="shared" si="3"/>
      </c>
      <c r="Y252" s="2">
        <f t="shared" si="4"/>
      </c>
      <c r="Z252" s="2">
        <f t="shared" si="5"/>
        <v>0</v>
      </c>
      <c r="AA252" s="2">
        <f t="shared" si="6"/>
        <v>0</v>
      </c>
      <c r="AB252" s="2">
        <f t="shared" si="7"/>
        <v>0</v>
      </c>
      <c r="AC252" s="2">
        <f t="shared" si="8"/>
      </c>
    </row>
    <row r="253">
      <c r="A253" s="64" t="n"/>
      <c r="B253" s="65" t="n"/>
      <c r="C253" s="65" t="n"/>
      <c r="D253" s="65" t="n"/>
      <c r="E253" s="65" t="n"/>
      <c r="F253" s="66" t="n"/>
      <c r="G253" s="65" t="n"/>
      <c r="H253" s="66" t="n"/>
      <c r="I253" s="64" t="n"/>
      <c r="J253" s="68" t="n"/>
      <c r="K253" s="68" t="n"/>
      <c r="L253" s="68" t="n"/>
      <c r="M253" s="64" t="n"/>
      <c r="N253" s="64" t="n"/>
      <c r="O253" s="64" t="n"/>
      <c r="P253" s="64" t="n"/>
      <c r="Q253" s="64" t="n"/>
      <c r="R253" s="64" t="n"/>
      <c r="S253" s="66" t="n"/>
      <c r="T253" s="45" t="n"/>
      <c r="U253" s="43">
        <f t="shared" si="0"/>
      </c>
      <c r="V253" s="49">
        <f t="shared" si="1"/>
      </c>
      <c r="W253" s="49">
        <f t="shared" si="2"/>
      </c>
      <c r="X253" s="2">
        <f t="shared" si="3"/>
      </c>
      <c r="Y253" s="2">
        <f t="shared" si="4"/>
      </c>
      <c r="Z253" s="2">
        <f t="shared" si="5"/>
        <v>0</v>
      </c>
      <c r="AA253" s="2">
        <f t="shared" si="6"/>
        <v>0</v>
      </c>
      <c r="AB253" s="2">
        <f t="shared" si="7"/>
        <v>0</v>
      </c>
      <c r="AC253" s="2">
        <f t="shared" si="8"/>
      </c>
    </row>
    <row r="254">
      <c r="A254" s="64" t="n"/>
      <c r="B254" s="65" t="n"/>
      <c r="C254" s="65" t="n"/>
      <c r="D254" s="65" t="n"/>
      <c r="E254" s="65" t="n"/>
      <c r="F254" s="66" t="n"/>
      <c r="G254" s="65" t="n"/>
      <c r="H254" s="66" t="n"/>
      <c r="I254" s="64" t="n"/>
      <c r="J254" s="68" t="n"/>
      <c r="K254" s="68" t="n"/>
      <c r="L254" s="68" t="n"/>
      <c r="M254" s="64" t="n"/>
      <c r="N254" s="64" t="n"/>
      <c r="O254" s="64" t="n"/>
      <c r="P254" s="64" t="n"/>
      <c r="Q254" s="64" t="n"/>
      <c r="R254" s="64" t="n"/>
      <c r="S254" s="66" t="n"/>
      <c r="T254" s="45" t="n"/>
      <c r="U254" s="43">
        <f t="shared" si="0"/>
      </c>
      <c r="V254" s="49">
        <f t="shared" si="1"/>
      </c>
      <c r="W254" s="49">
        <f t="shared" si="2"/>
      </c>
      <c r="X254" s="2">
        <f t="shared" si="3"/>
      </c>
      <c r="Y254" s="2">
        <f t="shared" si="4"/>
      </c>
      <c r="Z254" s="2">
        <f t="shared" si="5"/>
        <v>0</v>
      </c>
      <c r="AA254" s="2">
        <f t="shared" si="6"/>
        <v>0</v>
      </c>
      <c r="AB254" s="2">
        <f t="shared" si="7"/>
        <v>0</v>
      </c>
      <c r="AC254" s="2">
        <f t="shared" si="8"/>
      </c>
    </row>
    <row r="255">
      <c r="A255" s="64" t="n"/>
      <c r="B255" s="65" t="n"/>
      <c r="C255" s="65" t="n"/>
      <c r="D255" s="65" t="n"/>
      <c r="E255" s="65" t="n"/>
      <c r="F255" s="66" t="n"/>
      <c r="G255" s="65" t="n"/>
      <c r="H255" s="66" t="n"/>
      <c r="I255" s="64" t="n"/>
      <c r="J255" s="68" t="n"/>
      <c r="K255" s="68" t="n"/>
      <c r="L255" s="68" t="n"/>
      <c r="M255" s="64" t="n"/>
      <c r="N255" s="64" t="n"/>
      <c r="O255" s="64" t="n"/>
      <c r="P255" s="64" t="n"/>
      <c r="Q255" s="64" t="n"/>
      <c r="R255" s="64" t="n"/>
      <c r="S255" s="66" t="n"/>
      <c r="T255" s="45" t="n"/>
      <c r="U255" s="43">
        <f t="shared" si="0"/>
      </c>
      <c r="V255" s="49">
        <f t="shared" si="1"/>
      </c>
      <c r="W255" s="49">
        <f t="shared" si="2"/>
      </c>
      <c r="X255" s="2">
        <f t="shared" si="3"/>
      </c>
      <c r="Y255" s="2">
        <f t="shared" si="4"/>
      </c>
      <c r="Z255" s="2">
        <f t="shared" si="5"/>
        <v>0</v>
      </c>
      <c r="AA255" s="2">
        <f t="shared" si="6"/>
        <v>0</v>
      </c>
      <c r="AB255" s="2">
        <f t="shared" si="7"/>
        <v>0</v>
      </c>
      <c r="AC255" s="2">
        <f t="shared" si="8"/>
      </c>
    </row>
    <row r="256">
      <c r="A256" s="64" t="n"/>
      <c r="B256" s="65" t="n"/>
      <c r="C256" s="65" t="n"/>
      <c r="D256" s="65" t="n"/>
      <c r="E256" s="65" t="n"/>
      <c r="F256" s="66" t="n"/>
      <c r="G256" s="65" t="n"/>
      <c r="H256" s="66" t="n"/>
      <c r="I256" s="64" t="n"/>
      <c r="J256" s="68" t="n"/>
      <c r="K256" s="68" t="n"/>
      <c r="L256" s="68" t="n"/>
      <c r="M256" s="64" t="n"/>
      <c r="N256" s="64" t="n"/>
      <c r="O256" s="64" t="n"/>
      <c r="P256" s="64" t="n"/>
      <c r="Q256" s="64" t="n"/>
      <c r="R256" s="64" t="n"/>
      <c r="S256" s="66" t="n"/>
      <c r="T256" s="45" t="n"/>
      <c r="U256" s="43">
        <f t="shared" si="0"/>
      </c>
      <c r="V256" s="49">
        <f t="shared" si="1"/>
      </c>
      <c r="W256" s="49">
        <f t="shared" si="2"/>
      </c>
      <c r="X256" s="2">
        <f t="shared" si="3"/>
      </c>
      <c r="Y256" s="2">
        <f t="shared" si="4"/>
      </c>
      <c r="Z256" s="2">
        <f t="shared" si="5"/>
        <v>0</v>
      </c>
      <c r="AA256" s="2">
        <f t="shared" si="6"/>
        <v>0</v>
      </c>
      <c r="AB256" s="2">
        <f t="shared" si="7"/>
        <v>0</v>
      </c>
      <c r="AC256" s="2">
        <f t="shared" si="8"/>
      </c>
    </row>
    <row r="257">
      <c r="A257" s="64" t="n"/>
      <c r="B257" s="65" t="n"/>
      <c r="C257" s="65" t="n"/>
      <c r="D257" s="65" t="n"/>
      <c r="E257" s="65" t="n"/>
      <c r="F257" s="66" t="n"/>
      <c r="G257" s="65" t="n"/>
      <c r="H257" s="66" t="n"/>
      <c r="I257" s="64" t="n"/>
      <c r="J257" s="68" t="n"/>
      <c r="K257" s="68" t="n"/>
      <c r="L257" s="68" t="n"/>
      <c r="M257" s="64" t="n"/>
      <c r="N257" s="64" t="n"/>
      <c r="O257" s="64" t="n"/>
      <c r="P257" s="64" t="n"/>
      <c r="Q257" s="64" t="n"/>
      <c r="R257" s="64" t="n"/>
      <c r="S257" s="66" t="n"/>
      <c r="T257" s="45" t="n"/>
      <c r="U257" s="43">
        <f t="shared" si="0"/>
      </c>
      <c r="V257" s="49">
        <f t="shared" si="1"/>
      </c>
      <c r="W257" s="49">
        <f t="shared" si="2"/>
      </c>
      <c r="X257" s="2">
        <f t="shared" si="3"/>
      </c>
      <c r="Y257" s="2">
        <f t="shared" si="4"/>
      </c>
      <c r="Z257" s="2">
        <f t="shared" si="5"/>
        <v>0</v>
      </c>
      <c r="AA257" s="2">
        <f t="shared" si="6"/>
        <v>0</v>
      </c>
      <c r="AB257" s="2">
        <f t="shared" si="7"/>
        <v>0</v>
      </c>
      <c r="AC257" s="2">
        <f t="shared" si="8"/>
      </c>
    </row>
    <row r="258">
      <c r="A258" s="64" t="n"/>
      <c r="B258" s="65" t="n"/>
      <c r="C258" s="65" t="n"/>
      <c r="D258" s="65" t="n"/>
      <c r="E258" s="65" t="n"/>
      <c r="F258" s="66" t="n"/>
      <c r="G258" s="65" t="n"/>
      <c r="H258" s="66" t="n"/>
      <c r="I258" s="64" t="n"/>
      <c r="J258" s="68" t="n"/>
      <c r="K258" s="68" t="n"/>
      <c r="L258" s="68" t="n"/>
      <c r="M258" s="64" t="n"/>
      <c r="N258" s="64" t="n"/>
      <c r="O258" s="64" t="n"/>
      <c r="P258" s="64" t="n"/>
      <c r="Q258" s="64" t="n"/>
      <c r="R258" s="64" t="n"/>
      <c r="S258" s="66" t="n"/>
      <c r="T258" s="45" t="n"/>
      <c r="U258" s="43">
        <f t="shared" si="0"/>
      </c>
      <c r="V258" s="49">
        <f t="shared" si="1"/>
      </c>
      <c r="W258" s="49">
        <f t="shared" si="2"/>
      </c>
      <c r="X258" s="2">
        <f t="shared" si="3"/>
      </c>
      <c r="Y258" s="2">
        <f t="shared" si="4"/>
      </c>
      <c r="Z258" s="2">
        <f t="shared" si="5"/>
        <v>0</v>
      </c>
      <c r="AA258" s="2">
        <f t="shared" si="6"/>
        <v>0</v>
      </c>
      <c r="AB258" s="2">
        <f t="shared" si="7"/>
        <v>0</v>
      </c>
      <c r="AC258" s="2">
        <f t="shared" si="8"/>
      </c>
    </row>
    <row r="259">
      <c r="A259" s="64" t="n"/>
      <c r="B259" s="65" t="n"/>
      <c r="C259" s="65" t="n"/>
      <c r="D259" s="65" t="n"/>
      <c r="E259" s="65" t="n"/>
      <c r="F259" s="66" t="n"/>
      <c r="G259" s="65" t="n"/>
      <c r="H259" s="66" t="n"/>
      <c r="I259" s="64" t="n"/>
      <c r="J259" s="68" t="n"/>
      <c r="K259" s="68" t="n"/>
      <c r="L259" s="68" t="n"/>
      <c r="M259" s="64" t="n"/>
      <c r="N259" s="64" t="n"/>
      <c r="O259" s="64" t="n"/>
      <c r="P259" s="64" t="n"/>
      <c r="Q259" s="64" t="n"/>
      <c r="R259" s="64" t="n"/>
      <c r="S259" s="66" t="n"/>
      <c r="T259" s="45" t="n"/>
      <c r="U259" s="43">
        <f t="shared" si="0"/>
      </c>
      <c r="V259" s="49">
        <f t="shared" si="1"/>
      </c>
      <c r="W259" s="49">
        <f t="shared" si="2"/>
      </c>
      <c r="X259" s="2">
        <f t="shared" si="3"/>
      </c>
      <c r="Y259" s="2">
        <f t="shared" si="4"/>
      </c>
      <c r="Z259" s="2">
        <f t="shared" si="5"/>
        <v>0</v>
      </c>
      <c r="AA259" s="2">
        <f t="shared" si="6"/>
        <v>0</v>
      </c>
      <c r="AB259" s="2">
        <f t="shared" si="7"/>
        <v>0</v>
      </c>
      <c r="AC259" s="2">
        <f t="shared" si="8"/>
      </c>
    </row>
    <row r="260">
      <c r="A260" s="64" t="n"/>
      <c r="B260" s="65" t="n"/>
      <c r="C260" s="65" t="n"/>
      <c r="D260" s="65" t="n"/>
      <c r="E260" s="65" t="n"/>
      <c r="F260" s="66" t="n"/>
      <c r="G260" s="65" t="n"/>
      <c r="H260" s="66" t="n"/>
      <c r="I260" s="64" t="n"/>
      <c r="J260" s="68" t="n"/>
      <c r="K260" s="68" t="n"/>
      <c r="L260" s="68" t="n"/>
      <c r="M260" s="64" t="n"/>
      <c r="N260" s="64" t="n"/>
      <c r="O260" s="64" t="n"/>
      <c r="P260" s="64" t="n"/>
      <c r="Q260" s="64" t="n"/>
      <c r="R260" s="64" t="n"/>
      <c r="S260" s="66" t="n"/>
      <c r="T260" s="45" t="n"/>
      <c r="U260" s="43">
        <f t="shared" si="0"/>
      </c>
      <c r="V260" s="49">
        <f t="shared" si="1"/>
      </c>
      <c r="W260" s="49">
        <f t="shared" si="2"/>
      </c>
      <c r="X260" s="2">
        <f t="shared" si="3"/>
      </c>
      <c r="Y260" s="2">
        <f t="shared" si="4"/>
      </c>
      <c r="Z260" s="2">
        <f t="shared" si="5"/>
        <v>0</v>
      </c>
      <c r="AA260" s="2">
        <f t="shared" si="6"/>
        <v>0</v>
      </c>
      <c r="AB260" s="2">
        <f t="shared" si="7"/>
        <v>0</v>
      </c>
      <c r="AC260" s="2">
        <f t="shared" si="8"/>
      </c>
    </row>
    <row r="261">
      <c r="A261" s="64" t="n"/>
      <c r="B261" s="65" t="n"/>
      <c r="C261" s="65" t="n"/>
      <c r="D261" s="65" t="n"/>
      <c r="E261" s="65" t="n"/>
      <c r="F261" s="66" t="n"/>
      <c r="G261" s="65" t="n"/>
      <c r="H261" s="66" t="n"/>
      <c r="I261" s="64" t="n"/>
      <c r="J261" s="68" t="n"/>
      <c r="K261" s="68" t="n"/>
      <c r="L261" s="68" t="n"/>
      <c r="M261" s="64" t="n"/>
      <c r="N261" s="64" t="n"/>
      <c r="O261" s="64" t="n"/>
      <c r="P261" s="64" t="n"/>
      <c r="Q261" s="64" t="n"/>
      <c r="R261" s="64" t="n"/>
      <c r="S261" s="66" t="n"/>
      <c r="T261" s="45" t="n"/>
      <c r="U261" s="43">
        <f t="shared" si="0"/>
      </c>
      <c r="V261" s="49">
        <f t="shared" si="1"/>
      </c>
      <c r="W261" s="49">
        <f t="shared" si="2"/>
      </c>
      <c r="X261" s="2">
        <f t="shared" si="3"/>
      </c>
      <c r="Y261" s="2">
        <f t="shared" si="4"/>
      </c>
      <c r="Z261" s="2">
        <f t="shared" si="5"/>
        <v>0</v>
      </c>
      <c r="AA261" s="2">
        <f t="shared" si="6"/>
        <v>0</v>
      </c>
      <c r="AB261" s="2">
        <f t="shared" si="7"/>
        <v>0</v>
      </c>
      <c r="AC261" s="2">
        <f t="shared" si="8"/>
      </c>
    </row>
    <row r="262">
      <c r="A262" s="64" t="n"/>
      <c r="B262" s="65" t="n"/>
      <c r="C262" s="65" t="n"/>
      <c r="D262" s="65" t="n"/>
      <c r="E262" s="65" t="n"/>
      <c r="F262" s="66" t="n"/>
      <c r="G262" s="65" t="n"/>
      <c r="H262" s="66" t="n"/>
      <c r="I262" s="64" t="n"/>
      <c r="J262" s="68" t="n"/>
      <c r="K262" s="68" t="n"/>
      <c r="L262" s="68" t="n"/>
      <c r="M262" s="64" t="n"/>
      <c r="N262" s="64" t="n"/>
      <c r="O262" s="64" t="n"/>
      <c r="P262" s="64" t="n"/>
      <c r="Q262" s="64" t="n"/>
      <c r="R262" s="64" t="n"/>
      <c r="S262" s="66" t="n"/>
      <c r="T262" s="45" t="n"/>
      <c r="U262" s="43">
        <f t="shared" si="0"/>
      </c>
      <c r="V262" s="49">
        <f t="shared" si="1"/>
      </c>
      <c r="W262" s="49">
        <f t="shared" si="2"/>
      </c>
      <c r="X262" s="2">
        <f t="shared" si="3"/>
      </c>
      <c r="Y262" s="2">
        <f t="shared" si="4"/>
      </c>
      <c r="Z262" s="2">
        <f t="shared" si="5"/>
        <v>0</v>
      </c>
      <c r="AA262" s="2">
        <f t="shared" si="6"/>
        <v>0</v>
      </c>
      <c r="AB262" s="2">
        <f t="shared" si="7"/>
        <v>0</v>
      </c>
      <c r="AC262" s="2">
        <f t="shared" si="8"/>
      </c>
    </row>
    <row r="263">
      <c r="A263" s="64" t="n"/>
      <c r="B263" s="65" t="n"/>
      <c r="C263" s="65" t="n"/>
      <c r="D263" s="65" t="n"/>
      <c r="E263" s="65" t="n"/>
      <c r="F263" s="66" t="n"/>
      <c r="G263" s="65" t="n"/>
      <c r="H263" s="66" t="n"/>
      <c r="I263" s="64" t="n"/>
      <c r="J263" s="68" t="n"/>
      <c r="K263" s="68" t="n"/>
      <c r="L263" s="68" t="n"/>
      <c r="M263" s="64" t="n"/>
      <c r="N263" s="64" t="n"/>
      <c r="O263" s="64" t="n"/>
      <c r="P263" s="64" t="n"/>
      <c r="Q263" s="64" t="n"/>
      <c r="R263" s="64" t="n"/>
      <c r="S263" s="66" t="n"/>
      <c r="T263" s="45" t="n"/>
      <c r="U263" s="43">
        <f t="shared" si="0"/>
      </c>
      <c r="V263" s="49">
        <f t="shared" si="1"/>
      </c>
      <c r="W263" s="49">
        <f t="shared" si="2"/>
      </c>
      <c r="X263" s="2">
        <f t="shared" si="3"/>
      </c>
      <c r="Y263" s="2">
        <f t="shared" si="4"/>
      </c>
      <c r="Z263" s="2">
        <f t="shared" si="5"/>
        <v>0</v>
      </c>
      <c r="AA263" s="2">
        <f t="shared" si="6"/>
        <v>0</v>
      </c>
      <c r="AB263" s="2">
        <f t="shared" si="7"/>
        <v>0</v>
      </c>
      <c r="AC263" s="2">
        <f t="shared" si="8"/>
      </c>
    </row>
    <row r="264">
      <c r="A264" s="64" t="n"/>
      <c r="B264" s="65" t="n"/>
      <c r="C264" s="65" t="n"/>
      <c r="D264" s="65" t="n"/>
      <c r="E264" s="65" t="n"/>
      <c r="F264" s="66" t="n"/>
      <c r="G264" s="65" t="n"/>
      <c r="H264" s="66" t="n"/>
      <c r="I264" s="64" t="n"/>
      <c r="J264" s="68" t="n"/>
      <c r="K264" s="68" t="n"/>
      <c r="L264" s="68" t="n"/>
      <c r="M264" s="64" t="n"/>
      <c r="N264" s="64" t="n"/>
      <c r="O264" s="64" t="n"/>
      <c r="P264" s="64" t="n"/>
      <c r="Q264" s="64" t="n"/>
      <c r="R264" s="64" t="n"/>
      <c r="S264" s="66" t="n"/>
      <c r="T264" s="45" t="n"/>
      <c r="U264" s="43">
        <f t="shared" si="0"/>
      </c>
      <c r="V264" s="49">
        <f t="shared" si="1"/>
      </c>
      <c r="W264" s="49">
        <f t="shared" si="2"/>
      </c>
      <c r="X264" s="2">
        <f t="shared" si="3"/>
      </c>
      <c r="Y264" s="2">
        <f t="shared" si="4"/>
      </c>
      <c r="Z264" s="2">
        <f t="shared" si="5"/>
        <v>0</v>
      </c>
      <c r="AA264" s="2">
        <f t="shared" si="6"/>
        <v>0</v>
      </c>
      <c r="AB264" s="2">
        <f t="shared" si="7"/>
        <v>0</v>
      </c>
      <c r="AC264" s="2">
        <f t="shared" si="8"/>
      </c>
    </row>
    <row r="265">
      <c r="A265" s="64" t="n"/>
      <c r="B265" s="65" t="n"/>
      <c r="C265" s="65" t="n"/>
      <c r="D265" s="65" t="n"/>
      <c r="E265" s="65" t="n"/>
      <c r="F265" s="66" t="n"/>
      <c r="G265" s="65" t="n"/>
      <c r="H265" s="66" t="n"/>
      <c r="I265" s="64" t="n"/>
      <c r="J265" s="68" t="n"/>
      <c r="K265" s="68" t="n"/>
      <c r="L265" s="68" t="n"/>
      <c r="M265" s="64" t="n"/>
      <c r="N265" s="64" t="n"/>
      <c r="O265" s="64" t="n"/>
      <c r="P265" s="64" t="n"/>
      <c r="Q265" s="64" t="n"/>
      <c r="R265" s="64" t="n"/>
      <c r="S265" s="66" t="n"/>
      <c r="T265" s="45" t="n"/>
      <c r="U265" s="43">
        <f t="shared" si="0"/>
      </c>
      <c r="V265" s="49">
        <f t="shared" si="1"/>
      </c>
      <c r="W265" s="49">
        <f t="shared" si="2"/>
      </c>
      <c r="X265" s="2">
        <f t="shared" si="3"/>
      </c>
      <c r="Y265" s="2">
        <f t="shared" si="4"/>
      </c>
      <c r="Z265" s="2">
        <f t="shared" si="5"/>
        <v>0</v>
      </c>
      <c r="AA265" s="2">
        <f t="shared" si="6"/>
        <v>0</v>
      </c>
      <c r="AB265" s="2">
        <f t="shared" si="7"/>
        <v>0</v>
      </c>
      <c r="AC265" s="2">
        <f t="shared" si="8"/>
      </c>
    </row>
    <row r="266">
      <c r="A266" s="64" t="n"/>
      <c r="B266" s="65" t="n"/>
      <c r="C266" s="65" t="n"/>
      <c r="D266" s="65" t="n"/>
      <c r="E266" s="65" t="n"/>
      <c r="F266" s="66" t="n"/>
      <c r="G266" s="65" t="n"/>
      <c r="H266" s="66" t="n"/>
      <c r="I266" s="64" t="n"/>
      <c r="J266" s="68" t="n"/>
      <c r="K266" s="68" t="n"/>
      <c r="L266" s="68" t="n"/>
      <c r="M266" s="64" t="n"/>
      <c r="N266" s="64" t="n"/>
      <c r="O266" s="64" t="n"/>
      <c r="P266" s="64" t="n"/>
      <c r="Q266" s="64" t="n"/>
      <c r="R266" s="64" t="n"/>
      <c r="S266" s="66" t="n"/>
      <c r="T266" s="45" t="n"/>
      <c r="U266" s="43">
        <f t="shared" si="0"/>
      </c>
      <c r="V266" s="49">
        <f t="shared" si="1"/>
      </c>
      <c r="W266" s="49">
        <f t="shared" si="2"/>
      </c>
      <c r="X266" s="2">
        <f t="shared" si="3"/>
      </c>
      <c r="Y266" s="2">
        <f t="shared" si="4"/>
      </c>
      <c r="Z266" s="2">
        <f t="shared" si="5"/>
        <v>0</v>
      </c>
      <c r="AA266" s="2">
        <f t="shared" si="6"/>
        <v>0</v>
      </c>
      <c r="AB266" s="2">
        <f t="shared" si="7"/>
        <v>0</v>
      </c>
      <c r="AC266" s="2">
        <f t="shared" si="8"/>
      </c>
    </row>
    <row r="267">
      <c r="A267" s="64" t="n"/>
      <c r="B267" s="65" t="n"/>
      <c r="C267" s="65" t="n"/>
      <c r="D267" s="65" t="n"/>
      <c r="E267" s="65" t="n"/>
      <c r="F267" s="66" t="n"/>
      <c r="G267" s="65" t="n"/>
      <c r="H267" s="66" t="n"/>
      <c r="I267" s="64" t="n"/>
      <c r="J267" s="68" t="n"/>
      <c r="K267" s="68" t="n"/>
      <c r="L267" s="68" t="n"/>
      <c r="M267" s="64" t="n"/>
      <c r="N267" s="64" t="n"/>
      <c r="O267" s="64" t="n"/>
      <c r="P267" s="64" t="n"/>
      <c r="Q267" s="64" t="n"/>
      <c r="R267" s="64" t="n"/>
      <c r="S267" s="66" t="n"/>
      <c r="T267" s="45" t="n"/>
      <c r="U267" s="43">
        <f t="shared" si="0"/>
      </c>
      <c r="V267" s="49">
        <f t="shared" si="1"/>
      </c>
      <c r="W267" s="49">
        <f t="shared" si="2"/>
      </c>
      <c r="X267" s="2">
        <f t="shared" si="3"/>
      </c>
      <c r="Y267" s="2">
        <f t="shared" si="4"/>
      </c>
      <c r="Z267" s="2">
        <f t="shared" si="5"/>
        <v>0</v>
      </c>
      <c r="AA267" s="2">
        <f t="shared" si="6"/>
        <v>0</v>
      </c>
      <c r="AB267" s="2">
        <f t="shared" si="7"/>
        <v>0</v>
      </c>
      <c r="AC267" s="2">
        <f t="shared" si="8"/>
      </c>
    </row>
    <row r="268">
      <c r="A268" s="64" t="n"/>
      <c r="B268" s="65" t="n"/>
      <c r="C268" s="65" t="n"/>
      <c r="D268" s="65" t="n"/>
      <c r="E268" s="65" t="n"/>
      <c r="F268" s="66" t="n"/>
      <c r="G268" s="65" t="n"/>
      <c r="H268" s="66" t="n"/>
      <c r="I268" s="64" t="n"/>
      <c r="J268" s="68" t="n"/>
      <c r="K268" s="68" t="n"/>
      <c r="L268" s="68" t="n"/>
      <c r="M268" s="64" t="n"/>
      <c r="N268" s="64" t="n"/>
      <c r="O268" s="64" t="n"/>
      <c r="P268" s="64" t="n"/>
      <c r="Q268" s="64" t="n"/>
      <c r="R268" s="64" t="n"/>
      <c r="S268" s="66" t="n"/>
      <c r="T268" s="45" t="n"/>
      <c r="U268" s="43">
        <f t="shared" si="0"/>
      </c>
      <c r="V268" s="49">
        <f t="shared" si="1"/>
      </c>
      <c r="W268" s="49">
        <f t="shared" si="2"/>
      </c>
      <c r="X268" s="2">
        <f t="shared" si="3"/>
      </c>
      <c r="Y268" s="2">
        <f t="shared" si="4"/>
      </c>
      <c r="Z268" s="2">
        <f t="shared" si="5"/>
        <v>0</v>
      </c>
      <c r="AA268" s="2">
        <f t="shared" si="6"/>
        <v>0</v>
      </c>
      <c r="AB268" s="2">
        <f t="shared" si="7"/>
        <v>0</v>
      </c>
      <c r="AC268" s="2">
        <f t="shared" si="8"/>
      </c>
    </row>
    <row r="269">
      <c r="A269" s="64" t="n"/>
      <c r="B269" s="65" t="n"/>
      <c r="C269" s="65" t="n"/>
      <c r="D269" s="65" t="n"/>
      <c r="E269" s="65" t="n"/>
      <c r="F269" s="66" t="n"/>
      <c r="G269" s="65" t="n"/>
      <c r="H269" s="66" t="n"/>
      <c r="I269" s="64" t="n"/>
      <c r="J269" s="68" t="n"/>
      <c r="K269" s="68" t="n"/>
      <c r="L269" s="68" t="n"/>
      <c r="M269" s="64" t="n"/>
      <c r="N269" s="64" t="n"/>
      <c r="O269" s="64" t="n"/>
      <c r="P269" s="64" t="n"/>
      <c r="Q269" s="64" t="n"/>
      <c r="R269" s="64" t="n"/>
      <c r="S269" s="66" t="n"/>
      <c r="T269" s="45" t="n"/>
      <c r="U269" s="43">
        <f t="shared" si="0"/>
      </c>
      <c r="V269" s="49">
        <f t="shared" si="1"/>
      </c>
      <c r="W269" s="49">
        <f t="shared" si="2"/>
      </c>
      <c r="X269" s="2">
        <f t="shared" si="3"/>
      </c>
      <c r="Y269" s="2">
        <f t="shared" si="4"/>
      </c>
      <c r="Z269" s="2">
        <f t="shared" si="5"/>
        <v>0</v>
      </c>
      <c r="AA269" s="2">
        <f t="shared" si="6"/>
        <v>0</v>
      </c>
      <c r="AB269" s="2">
        <f t="shared" si="7"/>
        <v>0</v>
      </c>
      <c r="AC269" s="2">
        <f t="shared" si="8"/>
      </c>
    </row>
    <row r="270">
      <c r="A270" s="64" t="n"/>
      <c r="B270" s="65" t="n"/>
      <c r="C270" s="65" t="n"/>
      <c r="D270" s="65" t="n"/>
      <c r="E270" s="65" t="n"/>
      <c r="F270" s="66" t="n"/>
      <c r="G270" s="65" t="n"/>
      <c r="H270" s="66" t="n"/>
      <c r="I270" s="64" t="n"/>
      <c r="J270" s="68" t="n"/>
      <c r="K270" s="68" t="n"/>
      <c r="L270" s="68" t="n"/>
      <c r="M270" s="64" t="n"/>
      <c r="N270" s="64" t="n"/>
      <c r="O270" s="64" t="n"/>
      <c r="P270" s="64" t="n"/>
      <c r="Q270" s="64" t="n"/>
      <c r="R270" s="64" t="n"/>
      <c r="S270" s="66" t="n"/>
      <c r="T270" s="45" t="n"/>
      <c r="U270" s="43">
        <f t="shared" si="0"/>
      </c>
      <c r="V270" s="49">
        <f t="shared" si="1"/>
      </c>
      <c r="W270" s="49">
        <f t="shared" si="2"/>
      </c>
      <c r="X270" s="2">
        <f t="shared" si="3"/>
      </c>
      <c r="Y270" s="2">
        <f t="shared" si="4"/>
      </c>
      <c r="Z270" s="2">
        <f t="shared" si="5"/>
        <v>0</v>
      </c>
      <c r="AA270" s="2">
        <f t="shared" si="6"/>
        <v>0</v>
      </c>
      <c r="AB270" s="2">
        <f t="shared" si="7"/>
        <v>0</v>
      </c>
      <c r="AC270" s="2">
        <f t="shared" si="8"/>
      </c>
    </row>
    <row r="271">
      <c r="A271" s="64" t="n"/>
      <c r="B271" s="65" t="n"/>
      <c r="C271" s="65" t="n"/>
      <c r="D271" s="65" t="n"/>
      <c r="E271" s="65" t="n"/>
      <c r="F271" s="66" t="n"/>
      <c r="G271" s="65" t="n"/>
      <c r="H271" s="66" t="n"/>
      <c r="I271" s="64" t="n"/>
      <c r="J271" s="68" t="n"/>
      <c r="K271" s="68" t="n"/>
      <c r="L271" s="68" t="n"/>
      <c r="M271" s="64" t="n"/>
      <c r="N271" s="64" t="n"/>
      <c r="O271" s="64" t="n"/>
      <c r="P271" s="64" t="n"/>
      <c r="Q271" s="64" t="n"/>
      <c r="R271" s="64" t="n"/>
      <c r="S271" s="66" t="n"/>
      <c r="T271" s="45" t="n"/>
      <c r="U271" s="43">
        <f t="shared" si="0"/>
      </c>
      <c r="V271" s="49">
        <f t="shared" si="1"/>
      </c>
      <c r="W271" s="49">
        <f t="shared" si="2"/>
      </c>
      <c r="X271" s="2">
        <f t="shared" si="3"/>
      </c>
      <c r="Y271" s="2">
        <f t="shared" si="4"/>
      </c>
      <c r="Z271" s="2">
        <f t="shared" si="5"/>
        <v>0</v>
      </c>
      <c r="AA271" s="2">
        <f t="shared" si="6"/>
        <v>0</v>
      </c>
      <c r="AB271" s="2">
        <f t="shared" si="7"/>
        <v>0</v>
      </c>
      <c r="AC271" s="2">
        <f t="shared" si="8"/>
      </c>
    </row>
    <row r="272">
      <c r="A272" s="64" t="n"/>
      <c r="B272" s="65" t="n"/>
      <c r="C272" s="65" t="n"/>
      <c r="D272" s="65" t="n"/>
      <c r="E272" s="65" t="n"/>
      <c r="F272" s="66" t="n"/>
      <c r="G272" s="65" t="n"/>
      <c r="H272" s="66" t="n"/>
      <c r="I272" s="64" t="n"/>
      <c r="J272" s="68" t="n"/>
      <c r="K272" s="68" t="n"/>
      <c r="L272" s="68" t="n"/>
      <c r="M272" s="64" t="n"/>
      <c r="N272" s="64" t="n"/>
      <c r="O272" s="64" t="n"/>
      <c r="P272" s="64" t="n"/>
      <c r="Q272" s="64" t="n"/>
      <c r="R272" s="64" t="n"/>
      <c r="S272" s="66" t="n"/>
      <c r="T272" s="45" t="n"/>
      <c r="U272" s="43">
        <f t="shared" si="0"/>
      </c>
      <c r="V272" s="49">
        <f t="shared" si="1"/>
      </c>
      <c r="W272" s="49">
        <f t="shared" si="2"/>
      </c>
      <c r="X272" s="2">
        <f t="shared" si="3"/>
      </c>
      <c r="Y272" s="2">
        <f t="shared" si="4"/>
      </c>
      <c r="Z272" s="2">
        <f t="shared" si="5"/>
        <v>0</v>
      </c>
      <c r="AA272" s="2">
        <f t="shared" si="6"/>
        <v>0</v>
      </c>
      <c r="AB272" s="2">
        <f t="shared" si="7"/>
        <v>0</v>
      </c>
      <c r="AC272" s="2">
        <f t="shared" si="8"/>
      </c>
    </row>
    <row r="273">
      <c r="A273" s="64" t="n"/>
      <c r="B273" s="65" t="n"/>
      <c r="C273" s="65" t="n"/>
      <c r="D273" s="65" t="n"/>
      <c r="E273" s="65" t="n"/>
      <c r="F273" s="66" t="n"/>
      <c r="G273" s="65" t="n"/>
      <c r="H273" s="66" t="n"/>
      <c r="I273" s="64" t="n"/>
      <c r="J273" s="68" t="n"/>
      <c r="K273" s="68" t="n"/>
      <c r="L273" s="68" t="n"/>
      <c r="M273" s="64" t="n"/>
      <c r="N273" s="64" t="n"/>
      <c r="O273" s="64" t="n"/>
      <c r="P273" s="64" t="n"/>
      <c r="Q273" s="64" t="n"/>
      <c r="R273" s="64" t="n"/>
      <c r="S273" s="66" t="n"/>
      <c r="T273" s="45" t="n"/>
      <c r="U273" s="43">
        <f t="shared" si="0"/>
      </c>
      <c r="V273" s="49">
        <f t="shared" si="1"/>
      </c>
      <c r="W273" s="49">
        <f t="shared" si="2"/>
      </c>
      <c r="X273" s="2">
        <f t="shared" si="3"/>
      </c>
      <c r="Y273" s="2">
        <f t="shared" si="4"/>
      </c>
      <c r="Z273" s="2">
        <f t="shared" si="5"/>
        <v>0</v>
      </c>
      <c r="AA273" s="2">
        <f t="shared" si="6"/>
        <v>0</v>
      </c>
      <c r="AB273" s="2">
        <f t="shared" si="7"/>
        <v>0</v>
      </c>
      <c r="AC273" s="2">
        <f t="shared" si="8"/>
      </c>
    </row>
    <row r="274">
      <c r="A274" s="64" t="n"/>
      <c r="B274" s="65" t="n"/>
      <c r="C274" s="65" t="n"/>
      <c r="D274" s="65" t="n"/>
      <c r="E274" s="65" t="n"/>
      <c r="F274" s="66" t="n"/>
      <c r="G274" s="65" t="n"/>
      <c r="H274" s="66" t="n"/>
      <c r="I274" s="64" t="n"/>
      <c r="J274" s="68" t="n"/>
      <c r="K274" s="68" t="n"/>
      <c r="L274" s="68" t="n"/>
      <c r="M274" s="64" t="n"/>
      <c r="N274" s="64" t="n"/>
      <c r="O274" s="64" t="n"/>
      <c r="P274" s="64" t="n"/>
      <c r="Q274" s="64" t="n"/>
      <c r="R274" s="64" t="n"/>
      <c r="S274" s="66" t="n"/>
      <c r="T274" s="45" t="n"/>
      <c r="U274" s="43">
        <f t="shared" si="0"/>
      </c>
      <c r="V274" s="49">
        <f t="shared" si="1"/>
      </c>
      <c r="W274" s="49">
        <f t="shared" si="2"/>
      </c>
      <c r="X274" s="2">
        <f t="shared" si="3"/>
      </c>
      <c r="Y274" s="2">
        <f t="shared" si="4"/>
      </c>
      <c r="Z274" s="2">
        <f t="shared" si="5"/>
        <v>0</v>
      </c>
      <c r="AA274" s="2">
        <f t="shared" si="6"/>
        <v>0</v>
      </c>
      <c r="AB274" s="2">
        <f t="shared" si="7"/>
        <v>0</v>
      </c>
      <c r="AC274" s="2">
        <f t="shared" si="8"/>
      </c>
    </row>
    <row r="275">
      <c r="A275" s="64" t="n"/>
      <c r="B275" s="65" t="n"/>
      <c r="C275" s="65" t="n"/>
      <c r="D275" s="65" t="n"/>
      <c r="E275" s="65" t="n"/>
      <c r="F275" s="66" t="n"/>
      <c r="G275" s="65" t="n"/>
      <c r="H275" s="66" t="n"/>
      <c r="I275" s="64" t="n"/>
      <c r="J275" s="68" t="n"/>
      <c r="K275" s="68" t="n"/>
      <c r="L275" s="68" t="n"/>
      <c r="M275" s="64" t="n"/>
      <c r="N275" s="64" t="n"/>
      <c r="O275" s="64" t="n"/>
      <c r="P275" s="64" t="n"/>
      <c r="Q275" s="64" t="n"/>
      <c r="R275" s="64" t="n"/>
      <c r="S275" s="66" t="n"/>
      <c r="T275" s="45" t="n"/>
      <c r="U275" s="43">
        <f t="shared" si="0"/>
      </c>
      <c r="V275" s="49">
        <f t="shared" si="1"/>
      </c>
      <c r="W275" s="49">
        <f t="shared" si="2"/>
      </c>
      <c r="X275" s="2">
        <f t="shared" si="3"/>
      </c>
      <c r="Y275" s="2">
        <f t="shared" si="4"/>
      </c>
      <c r="Z275" s="2">
        <f t="shared" si="5"/>
        <v>0</v>
      </c>
      <c r="AA275" s="2">
        <f t="shared" si="6"/>
        <v>0</v>
      </c>
      <c r="AB275" s="2">
        <f t="shared" si="7"/>
        <v>0</v>
      </c>
      <c r="AC275" s="2">
        <f t="shared" si="8"/>
      </c>
    </row>
    <row r="276">
      <c r="A276" s="64" t="n"/>
      <c r="B276" s="65" t="n"/>
      <c r="C276" s="65" t="n"/>
      <c r="D276" s="65" t="n"/>
      <c r="E276" s="65" t="n"/>
      <c r="F276" s="66" t="n"/>
      <c r="G276" s="65" t="n"/>
      <c r="H276" s="66" t="n"/>
      <c r="I276" s="64" t="n"/>
      <c r="J276" s="68" t="n"/>
      <c r="K276" s="68" t="n"/>
      <c r="L276" s="68" t="n"/>
      <c r="M276" s="64" t="n"/>
      <c r="N276" s="64" t="n"/>
      <c r="O276" s="64" t="n"/>
      <c r="P276" s="64" t="n"/>
      <c r="Q276" s="64" t="n"/>
      <c r="R276" s="64" t="n"/>
      <c r="S276" s="66" t="n"/>
      <c r="T276" s="45" t="n"/>
      <c r="U276" s="43">
        <f t="shared" si="0"/>
      </c>
      <c r="V276" s="49">
        <f t="shared" si="1"/>
      </c>
      <c r="W276" s="49">
        <f t="shared" si="2"/>
      </c>
      <c r="X276" s="2">
        <f t="shared" si="3"/>
      </c>
      <c r="Y276" s="2">
        <f t="shared" si="4"/>
      </c>
      <c r="Z276" s="2">
        <f t="shared" si="5"/>
        <v>0</v>
      </c>
      <c r="AA276" s="2">
        <f t="shared" si="6"/>
        <v>0</v>
      </c>
      <c r="AB276" s="2">
        <f t="shared" si="7"/>
        <v>0</v>
      </c>
      <c r="AC276" s="2">
        <f t="shared" si="8"/>
      </c>
    </row>
    <row r="277">
      <c r="A277" s="64" t="n"/>
      <c r="B277" s="65" t="n"/>
      <c r="C277" s="65" t="n"/>
      <c r="D277" s="65" t="n"/>
      <c r="E277" s="65" t="n"/>
      <c r="F277" s="66" t="n"/>
      <c r="G277" s="65" t="n"/>
      <c r="H277" s="66" t="n"/>
      <c r="I277" s="64" t="n"/>
      <c r="J277" s="68" t="n"/>
      <c r="K277" s="68" t="n"/>
      <c r="L277" s="68" t="n"/>
      <c r="M277" s="64" t="n"/>
      <c r="N277" s="64" t="n"/>
      <c r="O277" s="64" t="n"/>
      <c r="P277" s="64" t="n"/>
      <c r="Q277" s="64" t="n"/>
      <c r="R277" s="64" t="n"/>
      <c r="S277" s="66" t="n"/>
      <c r="T277" s="45" t="n"/>
      <c r="U277" s="43">
        <f t="shared" si="0"/>
      </c>
      <c r="V277" s="49">
        <f t="shared" si="1"/>
      </c>
      <c r="W277" s="49">
        <f t="shared" si="2"/>
      </c>
      <c r="X277" s="2">
        <f t="shared" si="3"/>
      </c>
      <c r="Y277" s="2">
        <f t="shared" si="4"/>
      </c>
      <c r="Z277" s="2">
        <f t="shared" si="5"/>
        <v>0</v>
      </c>
      <c r="AA277" s="2">
        <f t="shared" si="6"/>
        <v>0</v>
      </c>
      <c r="AB277" s="2">
        <f t="shared" si="7"/>
        <v>0</v>
      </c>
      <c r="AC277" s="2">
        <f t="shared" si="8"/>
      </c>
    </row>
    <row r="278">
      <c r="A278" s="64" t="n"/>
      <c r="B278" s="65" t="n"/>
      <c r="C278" s="65" t="n"/>
      <c r="D278" s="65" t="n"/>
      <c r="E278" s="65" t="n"/>
      <c r="F278" s="66" t="n"/>
      <c r="G278" s="65" t="n"/>
      <c r="H278" s="66" t="n"/>
      <c r="I278" s="64" t="n"/>
      <c r="J278" s="68" t="n"/>
      <c r="K278" s="68" t="n"/>
      <c r="L278" s="68" t="n"/>
      <c r="M278" s="64" t="n"/>
      <c r="N278" s="64" t="n"/>
      <c r="O278" s="64" t="n"/>
      <c r="P278" s="64" t="n"/>
      <c r="Q278" s="64" t="n"/>
      <c r="R278" s="64" t="n"/>
      <c r="S278" s="66" t="n"/>
      <c r="T278" s="45" t="n"/>
      <c r="U278" s="43">
        <f t="shared" si="0"/>
      </c>
      <c r="V278" s="49">
        <f t="shared" si="1"/>
      </c>
      <c r="W278" s="49">
        <f t="shared" si="2"/>
      </c>
      <c r="X278" s="2">
        <f t="shared" si="3"/>
      </c>
      <c r="Y278" s="2">
        <f t="shared" si="4"/>
      </c>
      <c r="Z278" s="2">
        <f t="shared" si="5"/>
        <v>0</v>
      </c>
      <c r="AA278" s="2">
        <f t="shared" si="6"/>
        <v>0</v>
      </c>
      <c r="AB278" s="2">
        <f t="shared" si="7"/>
        <v>0</v>
      </c>
      <c r="AC278" s="2">
        <f t="shared" si="8"/>
      </c>
    </row>
    <row r="279">
      <c r="A279" s="64" t="n"/>
      <c r="B279" s="65" t="n"/>
      <c r="C279" s="65" t="n"/>
      <c r="D279" s="65" t="n"/>
      <c r="E279" s="65" t="n"/>
      <c r="F279" s="66" t="n"/>
      <c r="G279" s="65" t="n"/>
      <c r="H279" s="66" t="n"/>
      <c r="I279" s="64" t="n"/>
      <c r="J279" s="68" t="n"/>
      <c r="K279" s="68" t="n"/>
      <c r="L279" s="68" t="n"/>
      <c r="M279" s="64" t="n"/>
      <c r="N279" s="64" t="n"/>
      <c r="O279" s="64" t="n"/>
      <c r="P279" s="64" t="n"/>
      <c r="Q279" s="64" t="n"/>
      <c r="R279" s="64" t="n"/>
      <c r="S279" s="66" t="n"/>
      <c r="T279" s="45" t="n"/>
      <c r="U279" s="43">
        <f t="shared" si="0"/>
      </c>
      <c r="V279" s="49">
        <f t="shared" si="1"/>
      </c>
      <c r="W279" s="49">
        <f t="shared" si="2"/>
      </c>
      <c r="X279" s="2">
        <f t="shared" si="3"/>
      </c>
      <c r="Y279" s="2">
        <f t="shared" si="4"/>
      </c>
      <c r="Z279" s="2">
        <f t="shared" si="5"/>
        <v>0</v>
      </c>
      <c r="AA279" s="2">
        <f t="shared" si="6"/>
        <v>0</v>
      </c>
      <c r="AB279" s="2">
        <f t="shared" si="7"/>
        <v>0</v>
      </c>
      <c r="AC279" s="2">
        <f t="shared" si="8"/>
      </c>
    </row>
    <row r="280">
      <c r="A280" s="64" t="n"/>
      <c r="B280" s="65" t="n"/>
      <c r="C280" s="65" t="n"/>
      <c r="D280" s="65" t="n"/>
      <c r="E280" s="65" t="n"/>
      <c r="F280" s="66" t="n"/>
      <c r="G280" s="65" t="n"/>
      <c r="H280" s="66" t="n"/>
      <c r="I280" s="64" t="n"/>
      <c r="J280" s="68" t="n"/>
      <c r="K280" s="68" t="n"/>
      <c r="L280" s="68" t="n"/>
      <c r="M280" s="64" t="n"/>
      <c r="N280" s="64" t="n"/>
      <c r="O280" s="64" t="n"/>
      <c r="P280" s="64" t="n"/>
      <c r="Q280" s="64" t="n"/>
      <c r="R280" s="64" t="n"/>
      <c r="S280" s="66" t="n"/>
      <c r="T280" s="45" t="n"/>
      <c r="U280" s="43">
        <f t="shared" si="0"/>
      </c>
      <c r="V280" s="49">
        <f t="shared" si="1"/>
      </c>
      <c r="W280" s="49">
        <f t="shared" si="2"/>
      </c>
      <c r="X280" s="2">
        <f t="shared" si="3"/>
      </c>
      <c r="Y280" s="2">
        <f t="shared" si="4"/>
      </c>
      <c r="Z280" s="2">
        <f t="shared" si="5"/>
        <v>0</v>
      </c>
      <c r="AA280" s="2">
        <f t="shared" si="6"/>
        <v>0</v>
      </c>
      <c r="AB280" s="2">
        <f t="shared" si="7"/>
        <v>0</v>
      </c>
      <c r="AC280" s="2">
        <f t="shared" si="8"/>
      </c>
    </row>
    <row r="281">
      <c r="A281" s="64" t="n"/>
      <c r="B281" s="65" t="n"/>
      <c r="C281" s="65" t="n"/>
      <c r="D281" s="65" t="n"/>
      <c r="E281" s="65" t="n"/>
      <c r="F281" s="66" t="n"/>
      <c r="G281" s="65" t="n"/>
      <c r="H281" s="66" t="n"/>
      <c r="I281" s="64" t="n"/>
      <c r="J281" s="68" t="n"/>
      <c r="K281" s="68" t="n"/>
      <c r="L281" s="68" t="n"/>
      <c r="M281" s="64" t="n"/>
      <c r="N281" s="64" t="n"/>
      <c r="O281" s="64" t="n"/>
      <c r="P281" s="64" t="n"/>
      <c r="Q281" s="64" t="n"/>
      <c r="R281" s="64" t="n"/>
      <c r="S281" s="66" t="n"/>
      <c r="T281" s="45" t="n"/>
      <c r="U281" s="43">
        <f t="shared" si="0"/>
      </c>
      <c r="V281" s="49">
        <f t="shared" si="1"/>
      </c>
      <c r="W281" s="49">
        <f t="shared" si="2"/>
      </c>
      <c r="X281" s="2">
        <f t="shared" si="3"/>
      </c>
      <c r="Y281" s="2">
        <f t="shared" si="4"/>
      </c>
      <c r="Z281" s="2">
        <f t="shared" si="5"/>
        <v>0</v>
      </c>
      <c r="AA281" s="2">
        <f t="shared" si="6"/>
        <v>0</v>
      </c>
      <c r="AB281" s="2">
        <f t="shared" si="7"/>
        <v>0</v>
      </c>
      <c r="AC281" s="2">
        <f t="shared" si="8"/>
      </c>
    </row>
    <row r="282">
      <c r="A282" s="64" t="n"/>
      <c r="B282" s="65" t="n"/>
      <c r="C282" s="65" t="n"/>
      <c r="D282" s="65" t="n"/>
      <c r="E282" s="65" t="n"/>
      <c r="F282" s="66" t="n"/>
      <c r="G282" s="65" t="n"/>
      <c r="H282" s="66" t="n"/>
      <c r="I282" s="64" t="n"/>
      <c r="J282" s="68" t="n"/>
      <c r="K282" s="68" t="n"/>
      <c r="L282" s="68" t="n"/>
      <c r="M282" s="64" t="n"/>
      <c r="N282" s="64" t="n"/>
      <c r="O282" s="64" t="n"/>
      <c r="P282" s="64" t="n"/>
      <c r="Q282" s="64" t="n"/>
      <c r="R282" s="64" t="n"/>
      <c r="S282" s="66" t="n"/>
      <c r="T282" s="45" t="n"/>
      <c r="U282" s="43">
        <f t="shared" si="0"/>
      </c>
      <c r="V282" s="49">
        <f t="shared" si="1"/>
      </c>
      <c r="W282" s="49">
        <f t="shared" si="2"/>
      </c>
      <c r="X282" s="2">
        <f t="shared" si="3"/>
      </c>
      <c r="Y282" s="2">
        <f t="shared" si="4"/>
      </c>
      <c r="Z282" s="2">
        <f t="shared" si="5"/>
        <v>0</v>
      </c>
      <c r="AA282" s="2">
        <f t="shared" si="6"/>
        <v>0</v>
      </c>
      <c r="AB282" s="2">
        <f t="shared" si="7"/>
        <v>0</v>
      </c>
      <c r="AC282" s="2">
        <f t="shared" si="8"/>
      </c>
    </row>
    <row r="283">
      <c r="A283" s="64" t="n"/>
      <c r="B283" s="65" t="n"/>
      <c r="C283" s="65" t="n"/>
      <c r="D283" s="65" t="n"/>
      <c r="E283" s="65" t="n"/>
      <c r="F283" s="66" t="n"/>
      <c r="G283" s="65" t="n"/>
      <c r="H283" s="66" t="n"/>
      <c r="I283" s="64" t="n"/>
      <c r="J283" s="68" t="n"/>
      <c r="K283" s="68" t="n"/>
      <c r="L283" s="68" t="n"/>
      <c r="M283" s="64" t="n"/>
      <c r="N283" s="64" t="n"/>
      <c r="O283" s="64" t="n"/>
      <c r="P283" s="64" t="n"/>
      <c r="Q283" s="64" t="n"/>
      <c r="R283" s="64" t="n"/>
      <c r="S283" s="66" t="n"/>
      <c r="T283" s="45" t="n"/>
      <c r="U283" s="43">
        <f t="shared" si="0"/>
      </c>
      <c r="V283" s="49">
        <f t="shared" si="1"/>
      </c>
      <c r="W283" s="49">
        <f t="shared" si="2"/>
      </c>
      <c r="X283" s="2">
        <f t="shared" si="3"/>
      </c>
      <c r="Y283" s="2">
        <f t="shared" si="4"/>
      </c>
      <c r="Z283" s="2">
        <f t="shared" si="5"/>
        <v>0</v>
      </c>
      <c r="AA283" s="2">
        <f t="shared" si="6"/>
        <v>0</v>
      </c>
      <c r="AB283" s="2">
        <f t="shared" si="7"/>
        <v>0</v>
      </c>
      <c r="AC283" s="2">
        <f t="shared" si="8"/>
      </c>
    </row>
    <row r="284">
      <c r="A284" s="64" t="n"/>
      <c r="B284" s="65" t="n"/>
      <c r="C284" s="65" t="n"/>
      <c r="D284" s="65" t="n"/>
      <c r="E284" s="65" t="n"/>
      <c r="F284" s="66" t="n"/>
      <c r="G284" s="65" t="n"/>
      <c r="H284" s="66" t="n"/>
      <c r="I284" s="64" t="n"/>
      <c r="J284" s="68" t="n"/>
      <c r="K284" s="68" t="n"/>
      <c r="L284" s="68" t="n"/>
      <c r="M284" s="64" t="n"/>
      <c r="N284" s="64" t="n"/>
      <c r="O284" s="64" t="n"/>
      <c r="P284" s="64" t="n"/>
      <c r="Q284" s="64" t="n"/>
      <c r="R284" s="64" t="n"/>
      <c r="S284" s="66" t="n"/>
      <c r="T284" s="45" t="n"/>
      <c r="U284" s="43">
        <f t="shared" si="0"/>
      </c>
      <c r="V284" s="49">
        <f t="shared" si="1"/>
      </c>
      <c r="W284" s="49">
        <f t="shared" si="2"/>
      </c>
      <c r="X284" s="2">
        <f t="shared" si="3"/>
      </c>
      <c r="Y284" s="2">
        <f t="shared" si="4"/>
      </c>
      <c r="Z284" s="2">
        <f t="shared" si="5"/>
        <v>0</v>
      </c>
      <c r="AA284" s="2">
        <f t="shared" si="6"/>
        <v>0</v>
      </c>
      <c r="AB284" s="2">
        <f t="shared" si="7"/>
        <v>0</v>
      </c>
      <c r="AC284" s="2">
        <f t="shared" si="8"/>
      </c>
    </row>
    <row r="285">
      <c r="A285" s="64" t="n"/>
      <c r="B285" s="65" t="n"/>
      <c r="C285" s="65" t="n"/>
      <c r="D285" s="65" t="n"/>
      <c r="E285" s="65" t="n"/>
      <c r="F285" s="66" t="n"/>
      <c r="G285" s="65" t="n"/>
      <c r="H285" s="66" t="n"/>
      <c r="I285" s="64" t="n"/>
      <c r="J285" s="68" t="n"/>
      <c r="K285" s="68" t="n"/>
      <c r="L285" s="68" t="n"/>
      <c r="M285" s="64" t="n"/>
      <c r="N285" s="64" t="n"/>
      <c r="O285" s="64" t="n"/>
      <c r="P285" s="64" t="n"/>
      <c r="Q285" s="64" t="n"/>
      <c r="R285" s="64" t="n"/>
      <c r="S285" s="66" t="n"/>
      <c r="T285" s="45" t="n"/>
      <c r="U285" s="43">
        <f t="shared" si="0"/>
      </c>
      <c r="V285" s="49">
        <f t="shared" si="1"/>
      </c>
      <c r="W285" s="49">
        <f t="shared" si="2"/>
      </c>
      <c r="X285" s="2">
        <f t="shared" si="3"/>
      </c>
      <c r="Y285" s="2">
        <f t="shared" si="4"/>
      </c>
      <c r="Z285" s="2">
        <f t="shared" si="5"/>
        <v>0</v>
      </c>
      <c r="AA285" s="2">
        <f t="shared" si="6"/>
        <v>0</v>
      </c>
      <c r="AB285" s="2">
        <f t="shared" si="7"/>
        <v>0</v>
      </c>
      <c r="AC285" s="2">
        <f t="shared" si="8"/>
      </c>
    </row>
    <row r="286">
      <c r="A286" s="64" t="n"/>
      <c r="B286" s="65" t="n"/>
      <c r="C286" s="65" t="n"/>
      <c r="D286" s="65" t="n"/>
      <c r="E286" s="65" t="n"/>
      <c r="F286" s="66" t="n"/>
      <c r="G286" s="65" t="n"/>
      <c r="H286" s="66" t="n"/>
      <c r="I286" s="64" t="n"/>
      <c r="J286" s="68" t="n"/>
      <c r="K286" s="68" t="n"/>
      <c r="L286" s="68" t="n"/>
      <c r="M286" s="64" t="n"/>
      <c r="N286" s="64" t="n"/>
      <c r="O286" s="64" t="n"/>
      <c r="P286" s="64" t="n"/>
      <c r="Q286" s="64" t="n"/>
      <c r="R286" s="64" t="n"/>
      <c r="S286" s="66" t="n"/>
      <c r="T286" s="45" t="n"/>
      <c r="U286" s="43">
        <f t="shared" si="0"/>
      </c>
      <c r="V286" s="49">
        <f t="shared" si="1"/>
      </c>
      <c r="W286" s="49">
        <f t="shared" si="2"/>
      </c>
      <c r="X286" s="2">
        <f t="shared" si="3"/>
      </c>
      <c r="Y286" s="2">
        <f t="shared" si="4"/>
      </c>
      <c r="Z286" s="2">
        <f t="shared" si="5"/>
        <v>0</v>
      </c>
      <c r="AA286" s="2">
        <f t="shared" si="6"/>
        <v>0</v>
      </c>
      <c r="AB286" s="2">
        <f t="shared" si="7"/>
        <v>0</v>
      </c>
      <c r="AC286" s="2">
        <f t="shared" si="8"/>
      </c>
    </row>
    <row r="287">
      <c r="A287" s="64" t="n"/>
      <c r="B287" s="65" t="n"/>
      <c r="C287" s="65" t="n"/>
      <c r="D287" s="65" t="n"/>
      <c r="E287" s="65" t="n"/>
      <c r="F287" s="66" t="n"/>
      <c r="G287" s="65" t="n"/>
      <c r="H287" s="66" t="n"/>
      <c r="I287" s="64" t="n"/>
      <c r="J287" s="68" t="n"/>
      <c r="K287" s="68" t="n"/>
      <c r="L287" s="68" t="n"/>
      <c r="M287" s="64" t="n"/>
      <c r="N287" s="64" t="n"/>
      <c r="O287" s="64" t="n"/>
      <c r="P287" s="64" t="n"/>
      <c r="Q287" s="64" t="n"/>
      <c r="R287" s="64" t="n"/>
      <c r="S287" s="66" t="n"/>
      <c r="T287" s="45" t="n"/>
      <c r="U287" s="43">
        <f t="shared" si="0"/>
      </c>
      <c r="V287" s="49">
        <f t="shared" si="1"/>
      </c>
      <c r="W287" s="49">
        <f t="shared" si="2"/>
      </c>
      <c r="X287" s="2">
        <f t="shared" si="3"/>
      </c>
      <c r="Y287" s="2">
        <f t="shared" si="4"/>
      </c>
      <c r="Z287" s="2">
        <f t="shared" si="5"/>
        <v>0</v>
      </c>
      <c r="AA287" s="2">
        <f t="shared" si="6"/>
        <v>0</v>
      </c>
      <c r="AB287" s="2">
        <f t="shared" si="7"/>
        <v>0</v>
      </c>
      <c r="AC287" s="2">
        <f t="shared" si="8"/>
      </c>
    </row>
    <row r="288">
      <c r="A288" s="64" t="n"/>
      <c r="B288" s="65" t="n"/>
      <c r="C288" s="65" t="n"/>
      <c r="D288" s="65" t="n"/>
      <c r="E288" s="65" t="n"/>
      <c r="F288" s="66" t="n"/>
      <c r="G288" s="65" t="n"/>
      <c r="H288" s="66" t="n"/>
      <c r="I288" s="64" t="n"/>
      <c r="J288" s="68" t="n"/>
      <c r="K288" s="68" t="n"/>
      <c r="L288" s="68" t="n"/>
      <c r="M288" s="64" t="n"/>
      <c r="N288" s="64" t="n"/>
      <c r="O288" s="64" t="n"/>
      <c r="P288" s="64" t="n"/>
      <c r="Q288" s="64" t="n"/>
      <c r="R288" s="64" t="n"/>
      <c r="S288" s="66" t="n"/>
      <c r="T288" s="45" t="n"/>
      <c r="U288" s="43">
        <f t="shared" si="0"/>
      </c>
      <c r="V288" s="49">
        <f t="shared" si="1"/>
      </c>
      <c r="W288" s="49">
        <f t="shared" si="2"/>
      </c>
      <c r="X288" s="2">
        <f t="shared" si="3"/>
      </c>
      <c r="Y288" s="2">
        <f t="shared" si="4"/>
      </c>
      <c r="Z288" s="2">
        <f t="shared" si="5"/>
        <v>0</v>
      </c>
      <c r="AA288" s="2">
        <f t="shared" si="6"/>
        <v>0</v>
      </c>
      <c r="AB288" s="2">
        <f t="shared" si="7"/>
        <v>0</v>
      </c>
      <c r="AC288" s="2">
        <f t="shared" si="8"/>
      </c>
    </row>
    <row r="289">
      <c r="A289" s="64" t="n"/>
      <c r="B289" s="65" t="n"/>
      <c r="C289" s="65" t="n"/>
      <c r="D289" s="65" t="n"/>
      <c r="E289" s="65" t="n"/>
      <c r="F289" s="66" t="n"/>
      <c r="G289" s="65" t="n"/>
      <c r="H289" s="66" t="n"/>
      <c r="I289" s="64" t="n"/>
      <c r="J289" s="68" t="n"/>
      <c r="K289" s="68" t="n"/>
      <c r="L289" s="68" t="n"/>
      <c r="M289" s="64" t="n"/>
      <c r="N289" s="64" t="n"/>
      <c r="O289" s="64" t="n"/>
      <c r="P289" s="64" t="n"/>
      <c r="Q289" s="64" t="n"/>
      <c r="R289" s="64" t="n"/>
      <c r="S289" s="66" t="n"/>
      <c r="T289" s="45" t="n"/>
      <c r="U289" s="43">
        <f t="shared" si="0"/>
      </c>
      <c r="V289" s="49">
        <f t="shared" si="1"/>
      </c>
      <c r="W289" s="49">
        <f t="shared" si="2"/>
      </c>
      <c r="X289" s="2">
        <f t="shared" si="3"/>
      </c>
      <c r="Y289" s="2">
        <f t="shared" si="4"/>
      </c>
      <c r="Z289" s="2">
        <f t="shared" si="5"/>
        <v>0</v>
      </c>
      <c r="AA289" s="2">
        <f t="shared" si="6"/>
        <v>0</v>
      </c>
      <c r="AB289" s="2">
        <f t="shared" si="7"/>
        <v>0</v>
      </c>
      <c r="AC289" s="2">
        <f t="shared" si="8"/>
      </c>
    </row>
    <row r="290">
      <c r="A290" s="64" t="n"/>
      <c r="B290" s="65" t="n"/>
      <c r="C290" s="65" t="n"/>
      <c r="D290" s="65" t="n"/>
      <c r="E290" s="65" t="n"/>
      <c r="F290" s="66" t="n"/>
      <c r="G290" s="65" t="n"/>
      <c r="H290" s="66" t="n"/>
      <c r="I290" s="64" t="n"/>
      <c r="J290" s="68" t="n"/>
      <c r="K290" s="68" t="n"/>
      <c r="L290" s="68" t="n"/>
      <c r="M290" s="64" t="n"/>
      <c r="N290" s="64" t="n"/>
      <c r="O290" s="64" t="n"/>
      <c r="P290" s="64" t="n"/>
      <c r="Q290" s="64" t="n"/>
      <c r="R290" s="64" t="n"/>
      <c r="S290" s="66" t="n"/>
      <c r="T290" s="45" t="n"/>
      <c r="U290" s="43">
        <f t="shared" si="0"/>
      </c>
      <c r="V290" s="49">
        <f t="shared" si="1"/>
      </c>
      <c r="W290" s="49">
        <f t="shared" si="2"/>
      </c>
      <c r="X290" s="2">
        <f t="shared" si="3"/>
      </c>
      <c r="Y290" s="2">
        <f t="shared" si="4"/>
      </c>
      <c r="Z290" s="2">
        <f t="shared" si="5"/>
        <v>0</v>
      </c>
      <c r="AA290" s="2">
        <f t="shared" si="6"/>
        <v>0</v>
      </c>
      <c r="AB290" s="2">
        <f t="shared" si="7"/>
        <v>0</v>
      </c>
      <c r="AC290" s="2">
        <f t="shared" si="8"/>
      </c>
    </row>
    <row r="291">
      <c r="A291" s="64" t="n"/>
      <c r="B291" s="65" t="n"/>
      <c r="C291" s="65" t="n"/>
      <c r="D291" s="65" t="n"/>
      <c r="E291" s="65" t="n"/>
      <c r="F291" s="66" t="n"/>
      <c r="G291" s="65" t="n"/>
      <c r="H291" s="66" t="n"/>
      <c r="I291" s="64" t="n"/>
      <c r="J291" s="68" t="n"/>
      <c r="K291" s="68" t="n"/>
      <c r="L291" s="68" t="n"/>
      <c r="M291" s="64" t="n"/>
      <c r="N291" s="64" t="n"/>
      <c r="O291" s="64" t="n"/>
      <c r="P291" s="64" t="n"/>
      <c r="Q291" s="64" t="n"/>
      <c r="R291" s="64" t="n"/>
      <c r="S291" s="66" t="n"/>
      <c r="T291" s="45" t="n"/>
      <c r="U291" s="43">
        <f t="shared" si="0"/>
      </c>
      <c r="V291" s="49">
        <f t="shared" si="1"/>
      </c>
      <c r="W291" s="49">
        <f t="shared" si="2"/>
      </c>
      <c r="X291" s="2">
        <f t="shared" si="3"/>
      </c>
      <c r="Y291" s="2">
        <f t="shared" si="4"/>
      </c>
      <c r="Z291" s="2">
        <f t="shared" si="5"/>
        <v>0</v>
      </c>
      <c r="AA291" s="2">
        <f t="shared" si="6"/>
        <v>0</v>
      </c>
      <c r="AB291" s="2">
        <f t="shared" si="7"/>
        <v>0</v>
      </c>
      <c r="AC291" s="2">
        <f t="shared" si="8"/>
      </c>
    </row>
    <row r="292">
      <c r="A292" s="64" t="n"/>
      <c r="B292" s="65" t="n"/>
      <c r="C292" s="65" t="n"/>
      <c r="D292" s="65" t="n"/>
      <c r="E292" s="65" t="n"/>
      <c r="F292" s="66" t="n"/>
      <c r="G292" s="65" t="n"/>
      <c r="H292" s="66" t="n"/>
      <c r="I292" s="64" t="n"/>
      <c r="J292" s="68" t="n"/>
      <c r="K292" s="68" t="n"/>
      <c r="L292" s="68" t="n"/>
      <c r="M292" s="64" t="n"/>
      <c r="N292" s="64" t="n"/>
      <c r="O292" s="64" t="n"/>
      <c r="P292" s="64" t="n"/>
      <c r="Q292" s="64" t="n"/>
      <c r="R292" s="64" t="n"/>
      <c r="S292" s="66" t="n"/>
      <c r="T292" s="45" t="n"/>
      <c r="U292" s="43">
        <f t="shared" si="0"/>
      </c>
      <c r="V292" s="49">
        <f t="shared" si="1"/>
      </c>
      <c r="W292" s="49">
        <f t="shared" si="2"/>
      </c>
      <c r="X292" s="2">
        <f t="shared" si="3"/>
      </c>
      <c r="Y292" s="2">
        <f t="shared" si="4"/>
      </c>
      <c r="Z292" s="2">
        <f t="shared" si="5"/>
        <v>0</v>
      </c>
      <c r="AA292" s="2">
        <f t="shared" si="6"/>
        <v>0</v>
      </c>
      <c r="AB292" s="2">
        <f t="shared" si="7"/>
        <v>0</v>
      </c>
      <c r="AC292" s="2">
        <f t="shared" si="8"/>
      </c>
    </row>
    <row r="293">
      <c r="A293" s="64" t="n"/>
      <c r="B293" s="65" t="n"/>
      <c r="C293" s="65" t="n"/>
      <c r="D293" s="65" t="n"/>
      <c r="E293" s="65" t="n"/>
      <c r="F293" s="66" t="n"/>
      <c r="G293" s="65" t="n"/>
      <c r="H293" s="66" t="n"/>
      <c r="I293" s="64" t="n"/>
      <c r="J293" s="68" t="n"/>
      <c r="K293" s="68" t="n"/>
      <c r="L293" s="68" t="n"/>
      <c r="M293" s="64" t="n"/>
      <c r="N293" s="64" t="n"/>
      <c r="O293" s="64" t="n"/>
      <c r="P293" s="64" t="n"/>
      <c r="Q293" s="64" t="n"/>
      <c r="R293" s="64" t="n"/>
      <c r="S293" s="66" t="n"/>
      <c r="T293" s="45" t="n"/>
      <c r="U293" s="43">
        <f t="shared" si="0"/>
      </c>
      <c r="V293" s="49">
        <f t="shared" si="1"/>
      </c>
      <c r="W293" s="49">
        <f t="shared" si="2"/>
      </c>
      <c r="X293" s="2">
        <f t="shared" si="3"/>
      </c>
      <c r="Y293" s="2">
        <f t="shared" si="4"/>
      </c>
      <c r="Z293" s="2">
        <f t="shared" si="5"/>
        <v>0</v>
      </c>
      <c r="AA293" s="2">
        <f t="shared" si="6"/>
        <v>0</v>
      </c>
      <c r="AB293" s="2">
        <f t="shared" si="7"/>
        <v>0</v>
      </c>
      <c r="AC293" s="2">
        <f t="shared" si="8"/>
      </c>
    </row>
    <row r="294">
      <c r="A294" s="64" t="n"/>
      <c r="B294" s="65" t="n"/>
      <c r="C294" s="65" t="n"/>
      <c r="D294" s="65" t="n"/>
      <c r="E294" s="65" t="n"/>
      <c r="F294" s="66" t="n"/>
      <c r="G294" s="65" t="n"/>
      <c r="H294" s="66" t="n"/>
      <c r="I294" s="64" t="n"/>
      <c r="J294" s="68" t="n"/>
      <c r="K294" s="68" t="n"/>
      <c r="L294" s="68" t="n"/>
      <c r="M294" s="64" t="n"/>
      <c r="N294" s="64" t="n"/>
      <c r="O294" s="64" t="n"/>
      <c r="P294" s="64" t="n"/>
      <c r="Q294" s="64" t="n"/>
      <c r="R294" s="64" t="n"/>
      <c r="S294" s="66" t="n"/>
      <c r="T294" s="45" t="n"/>
      <c r="U294" s="43">
        <f t="shared" si="0"/>
      </c>
      <c r="V294" s="49">
        <f t="shared" si="1"/>
      </c>
      <c r="W294" s="49">
        <f t="shared" si="2"/>
      </c>
      <c r="X294" s="2">
        <f t="shared" si="3"/>
      </c>
      <c r="Y294" s="2">
        <f t="shared" si="4"/>
      </c>
      <c r="Z294" s="2">
        <f t="shared" si="5"/>
        <v>0</v>
      </c>
      <c r="AA294" s="2">
        <f t="shared" si="6"/>
        <v>0</v>
      </c>
      <c r="AB294" s="2">
        <f t="shared" si="7"/>
        <v>0</v>
      </c>
      <c r="AC294" s="2">
        <f t="shared" si="8"/>
      </c>
    </row>
    <row r="295">
      <c r="A295" s="64" t="n"/>
      <c r="B295" s="65" t="n"/>
      <c r="C295" s="65" t="n"/>
      <c r="D295" s="65" t="n"/>
      <c r="E295" s="65" t="n"/>
      <c r="F295" s="66" t="n"/>
      <c r="G295" s="65" t="n"/>
      <c r="H295" s="66" t="n"/>
      <c r="I295" s="64" t="n"/>
      <c r="J295" s="68" t="n"/>
      <c r="K295" s="68" t="n"/>
      <c r="L295" s="68" t="n"/>
      <c r="M295" s="64" t="n"/>
      <c r="N295" s="64" t="n"/>
      <c r="O295" s="64" t="n"/>
      <c r="P295" s="64" t="n"/>
      <c r="Q295" s="64" t="n"/>
      <c r="R295" s="64" t="n"/>
      <c r="S295" s="66" t="n"/>
      <c r="T295" s="45" t="n"/>
      <c r="U295" s="43">
        <f t="shared" si="0"/>
      </c>
      <c r="V295" s="49">
        <f t="shared" si="1"/>
      </c>
      <c r="W295" s="49">
        <f t="shared" si="2"/>
      </c>
      <c r="X295" s="2">
        <f t="shared" si="3"/>
      </c>
      <c r="Y295" s="2">
        <f t="shared" si="4"/>
      </c>
      <c r="Z295" s="2">
        <f t="shared" si="5"/>
        <v>0</v>
      </c>
      <c r="AA295" s="2">
        <f t="shared" si="6"/>
        <v>0</v>
      </c>
      <c r="AB295" s="2">
        <f t="shared" si="7"/>
        <v>0</v>
      </c>
      <c r="AC295" s="2">
        <f t="shared" si="8"/>
      </c>
    </row>
    <row r="296">
      <c r="A296" s="64" t="n"/>
      <c r="B296" s="65" t="n"/>
      <c r="C296" s="65" t="n"/>
      <c r="D296" s="65" t="n"/>
      <c r="E296" s="65" t="n"/>
      <c r="F296" s="66" t="n"/>
      <c r="G296" s="65" t="n"/>
      <c r="H296" s="66" t="n"/>
      <c r="I296" s="64" t="n"/>
      <c r="J296" s="68" t="n"/>
      <c r="K296" s="68" t="n"/>
      <c r="L296" s="68" t="n"/>
      <c r="M296" s="64" t="n"/>
      <c r="N296" s="64" t="n"/>
      <c r="O296" s="64" t="n"/>
      <c r="P296" s="64" t="n"/>
      <c r="Q296" s="64" t="n"/>
      <c r="R296" s="64" t="n"/>
      <c r="S296" s="66" t="n"/>
      <c r="T296" s="45" t="n"/>
      <c r="U296" s="43">
        <f t="shared" si="0"/>
      </c>
      <c r="V296" s="49">
        <f t="shared" si="1"/>
      </c>
      <c r="W296" s="49">
        <f t="shared" si="2"/>
      </c>
      <c r="X296" s="2">
        <f t="shared" si="3"/>
      </c>
      <c r="Y296" s="2">
        <f t="shared" si="4"/>
      </c>
      <c r="Z296" s="2">
        <f t="shared" si="5"/>
        <v>0</v>
      </c>
      <c r="AA296" s="2">
        <f t="shared" si="6"/>
        <v>0</v>
      </c>
      <c r="AB296" s="2">
        <f t="shared" si="7"/>
        <v>0</v>
      </c>
      <c r="AC296" s="2">
        <f t="shared" si="8"/>
      </c>
    </row>
    <row r="297">
      <c r="A297" s="64" t="n"/>
      <c r="B297" s="65" t="n"/>
      <c r="C297" s="65" t="n"/>
      <c r="D297" s="65" t="n"/>
      <c r="E297" s="65" t="n"/>
      <c r="F297" s="66" t="n"/>
      <c r="G297" s="65" t="n"/>
      <c r="H297" s="66" t="n"/>
      <c r="I297" s="64" t="n"/>
      <c r="J297" s="68" t="n"/>
      <c r="K297" s="68" t="n"/>
      <c r="L297" s="68" t="n"/>
      <c r="M297" s="64" t="n"/>
      <c r="N297" s="64" t="n"/>
      <c r="O297" s="64" t="n"/>
      <c r="P297" s="64" t="n"/>
      <c r="Q297" s="64" t="n"/>
      <c r="R297" s="64" t="n"/>
      <c r="S297" s="66" t="n"/>
      <c r="T297" s="45" t="n"/>
      <c r="U297" s="43">
        <f t="shared" si="0"/>
      </c>
      <c r="V297" s="49">
        <f t="shared" si="1"/>
      </c>
      <c r="W297" s="49">
        <f t="shared" si="2"/>
      </c>
      <c r="X297" s="2">
        <f t="shared" si="3"/>
      </c>
      <c r="Y297" s="2">
        <f t="shared" si="4"/>
      </c>
      <c r="Z297" s="2">
        <f t="shared" si="5"/>
        <v>0</v>
      </c>
      <c r="AA297" s="2">
        <f t="shared" si="6"/>
        <v>0</v>
      </c>
      <c r="AB297" s="2">
        <f t="shared" si="7"/>
        <v>0</v>
      </c>
      <c r="AC297" s="2">
        <f t="shared" si="8"/>
      </c>
    </row>
    <row r="298">
      <c r="A298" s="64" t="n"/>
      <c r="B298" s="65" t="n"/>
      <c r="C298" s="65" t="n"/>
      <c r="D298" s="65" t="n"/>
      <c r="E298" s="65" t="n"/>
      <c r="F298" s="66" t="n"/>
      <c r="G298" s="65" t="n"/>
      <c r="H298" s="66" t="n"/>
      <c r="I298" s="64" t="n"/>
      <c r="J298" s="68" t="n"/>
      <c r="K298" s="68" t="n"/>
      <c r="L298" s="68" t="n"/>
      <c r="M298" s="64" t="n"/>
      <c r="N298" s="64" t="n"/>
      <c r="O298" s="64" t="n"/>
      <c r="P298" s="64" t="n"/>
      <c r="Q298" s="64" t="n"/>
      <c r="R298" s="64" t="n"/>
      <c r="S298" s="66" t="n"/>
      <c r="T298" s="45" t="n"/>
      <c r="U298" s="43">
        <f t="shared" si="0"/>
      </c>
      <c r="V298" s="49">
        <f t="shared" si="1"/>
      </c>
      <c r="W298" s="49">
        <f t="shared" si="2"/>
      </c>
      <c r="X298" s="2">
        <f t="shared" si="3"/>
      </c>
      <c r="Y298" s="2">
        <f t="shared" si="4"/>
      </c>
      <c r="Z298" s="2">
        <f t="shared" si="5"/>
        <v>0</v>
      </c>
      <c r="AA298" s="2">
        <f t="shared" si="6"/>
        <v>0</v>
      </c>
      <c r="AB298" s="2">
        <f t="shared" si="7"/>
        <v>0</v>
      </c>
      <c r="AC298" s="2">
        <f t="shared" si="8"/>
      </c>
    </row>
    <row r="299">
      <c r="A299" s="64" t="n"/>
      <c r="B299" s="65" t="n"/>
      <c r="C299" s="65" t="n"/>
      <c r="D299" s="65" t="n"/>
      <c r="E299" s="65" t="n"/>
      <c r="F299" s="66" t="n"/>
      <c r="G299" s="65" t="n"/>
      <c r="H299" s="66" t="n"/>
      <c r="I299" s="64" t="n"/>
      <c r="J299" s="68" t="n"/>
      <c r="K299" s="68" t="n"/>
      <c r="L299" s="68" t="n"/>
      <c r="M299" s="64" t="n"/>
      <c r="N299" s="64" t="n"/>
      <c r="O299" s="64" t="n"/>
      <c r="P299" s="64" t="n"/>
      <c r="Q299" s="64" t="n"/>
      <c r="R299" s="64" t="n"/>
      <c r="S299" s="66" t="n"/>
      <c r="T299" s="45" t="n"/>
      <c r="U299" s="43">
        <f t="shared" si="0"/>
      </c>
      <c r="V299" s="49">
        <f t="shared" si="1"/>
      </c>
      <c r="W299" s="49">
        <f t="shared" si="2"/>
      </c>
      <c r="X299" s="2">
        <f t="shared" si="3"/>
      </c>
      <c r="Y299" s="2">
        <f t="shared" si="4"/>
      </c>
      <c r="Z299" s="2">
        <f t="shared" si="5"/>
        <v>0</v>
      </c>
      <c r="AA299" s="2">
        <f t="shared" si="6"/>
        <v>0</v>
      </c>
      <c r="AB299" s="2">
        <f t="shared" si="7"/>
        <v>0</v>
      </c>
      <c r="AC299" s="2">
        <f t="shared" si="8"/>
      </c>
    </row>
    <row r="300">
      <c r="A300" s="64" t="n"/>
      <c r="B300" s="65" t="n"/>
      <c r="C300" s="65" t="n"/>
      <c r="D300" s="65" t="n"/>
      <c r="E300" s="65" t="n"/>
      <c r="F300" s="66" t="n"/>
      <c r="G300" s="65" t="n"/>
      <c r="H300" s="66" t="n"/>
      <c r="I300" s="64" t="n"/>
      <c r="J300" s="68" t="n"/>
      <c r="K300" s="68" t="n"/>
      <c r="L300" s="68" t="n"/>
      <c r="M300" s="64" t="n"/>
      <c r="N300" s="64" t="n"/>
      <c r="O300" s="64" t="n"/>
      <c r="P300" s="64" t="n"/>
      <c r="Q300" s="64" t="n"/>
      <c r="R300" s="64" t="n"/>
      <c r="S300" s="66" t="n"/>
      <c r="T300" s="45" t="n"/>
      <c r="U300" s="43">
        <f t="shared" si="0"/>
      </c>
      <c r="V300" s="49">
        <f t="shared" si="1"/>
      </c>
      <c r="W300" s="49">
        <f t="shared" si="2"/>
      </c>
      <c r="X300" s="2">
        <f t="shared" si="3"/>
      </c>
      <c r="Y300" s="2">
        <f t="shared" si="4"/>
      </c>
      <c r="Z300" s="2">
        <f t="shared" si="5"/>
        <v>0</v>
      </c>
      <c r="AA300" s="2">
        <f t="shared" si="6"/>
        <v>0</v>
      </c>
      <c r="AB300" s="2">
        <f t="shared" si="7"/>
        <v>0</v>
      </c>
      <c r="AC300" s="2">
        <f t="shared" si="8"/>
      </c>
    </row>
    <row r="301">
      <c r="A301" s="64" t="n"/>
      <c r="B301" s="65" t="n"/>
      <c r="C301" s="65" t="n"/>
      <c r="D301" s="65" t="n"/>
      <c r="E301" s="65" t="n"/>
      <c r="F301" s="66" t="n"/>
      <c r="G301" s="65" t="n"/>
      <c r="H301" s="66" t="n"/>
      <c r="I301" s="64" t="n"/>
      <c r="J301" s="68" t="n"/>
      <c r="K301" s="68" t="n"/>
      <c r="L301" s="68" t="n"/>
      <c r="M301" s="64" t="n"/>
      <c r="N301" s="64" t="n"/>
      <c r="O301" s="64" t="n"/>
      <c r="P301" s="64" t="n"/>
      <c r="Q301" s="64" t="n"/>
      <c r="R301" s="64" t="n"/>
      <c r="S301" s="66" t="n"/>
      <c r="T301" s="45" t="n"/>
      <c r="U301" s="43">
        <f t="shared" si="0"/>
      </c>
      <c r="V301" s="49">
        <f t="shared" si="1"/>
      </c>
      <c r="W301" s="49">
        <f t="shared" si="2"/>
      </c>
      <c r="X301" s="2">
        <f t="shared" si="3"/>
      </c>
      <c r="Y301" s="2">
        <f t="shared" si="4"/>
      </c>
      <c r="Z301" s="2">
        <f t="shared" si="5"/>
        <v>0</v>
      </c>
      <c r="AA301" s="2">
        <f t="shared" si="6"/>
        <v>0</v>
      </c>
      <c r="AB301" s="2">
        <f t="shared" si="7"/>
        <v>0</v>
      </c>
      <c r="AC301" s="2">
        <f t="shared" si="8"/>
      </c>
    </row>
    <row r="302">
      <c r="A302" s="64" t="n"/>
      <c r="B302" s="65" t="n"/>
      <c r="C302" s="65" t="n"/>
      <c r="D302" s="65" t="n"/>
      <c r="E302" s="65" t="n"/>
      <c r="F302" s="66" t="n"/>
      <c r="G302" s="65" t="n"/>
      <c r="H302" s="66" t="n"/>
      <c r="I302" s="64" t="n"/>
      <c r="J302" s="68" t="n"/>
      <c r="K302" s="68" t="n"/>
      <c r="L302" s="68" t="n"/>
      <c r="M302" s="64" t="n"/>
      <c r="N302" s="64" t="n"/>
      <c r="O302" s="64" t="n"/>
      <c r="P302" s="64" t="n"/>
      <c r="Q302" s="64" t="n"/>
      <c r="R302" s="64" t="n"/>
      <c r="S302" s="66" t="n"/>
      <c r="T302" s="45" t="n"/>
      <c r="U302" s="43">
        <f t="shared" si="0"/>
      </c>
      <c r="V302" s="49">
        <f t="shared" si="1"/>
      </c>
      <c r="W302" s="49">
        <f t="shared" si="2"/>
      </c>
      <c r="X302" s="2">
        <f t="shared" si="3"/>
      </c>
      <c r="Y302" s="2">
        <f t="shared" si="4"/>
      </c>
      <c r="Z302" s="2">
        <f t="shared" si="5"/>
        <v>0</v>
      </c>
      <c r="AA302" s="2">
        <f t="shared" si="6"/>
        <v>0</v>
      </c>
      <c r="AB302" s="2">
        <f t="shared" si="7"/>
        <v>0</v>
      </c>
      <c r="AC302" s="2">
        <f t="shared" si="8"/>
      </c>
    </row>
    <row r="303">
      <c r="A303" s="64" t="n"/>
      <c r="B303" s="65" t="n"/>
      <c r="C303" s="65" t="n"/>
      <c r="D303" s="65" t="n"/>
      <c r="E303" s="65" t="n"/>
      <c r="F303" s="66" t="n"/>
      <c r="G303" s="65" t="n"/>
      <c r="H303" s="66" t="n"/>
      <c r="I303" s="64" t="n"/>
      <c r="J303" s="68" t="n"/>
      <c r="K303" s="68" t="n"/>
      <c r="L303" s="68" t="n"/>
      <c r="M303" s="64" t="n"/>
      <c r="N303" s="64" t="n"/>
      <c r="O303" s="64" t="n"/>
      <c r="P303" s="64" t="n"/>
      <c r="Q303" s="64" t="n"/>
      <c r="R303" s="64" t="n"/>
      <c r="S303" s="66" t="n"/>
      <c r="T303" s="45" t="n"/>
      <c r="U303" s="43">
        <f t="shared" si="0"/>
      </c>
      <c r="V303" s="49">
        <f t="shared" si="1"/>
      </c>
      <c r="W303" s="49">
        <f t="shared" si="2"/>
      </c>
      <c r="X303" s="2">
        <f t="shared" si="3"/>
      </c>
      <c r="Y303" s="2">
        <f t="shared" si="4"/>
      </c>
      <c r="Z303" s="2">
        <f t="shared" si="5"/>
        <v>0</v>
      </c>
      <c r="AA303" s="2">
        <f t="shared" si="6"/>
        <v>0</v>
      </c>
      <c r="AB303" s="2">
        <f t="shared" si="7"/>
        <v>0</v>
      </c>
      <c r="AC303" s="2">
        <f t="shared" si="8"/>
      </c>
    </row>
    <row r="304">
      <c r="A304" s="64" t="n"/>
      <c r="B304" s="65" t="n"/>
      <c r="C304" s="65" t="n"/>
      <c r="D304" s="65" t="n"/>
      <c r="E304" s="65" t="n"/>
      <c r="F304" s="66" t="n"/>
      <c r="G304" s="65" t="n"/>
      <c r="H304" s="66" t="n"/>
      <c r="I304" s="64" t="n"/>
      <c r="J304" s="68" t="n"/>
      <c r="K304" s="68" t="n"/>
      <c r="L304" s="68" t="n"/>
      <c r="M304" s="64" t="n"/>
      <c r="N304" s="64" t="n"/>
      <c r="O304" s="64" t="n"/>
      <c r="P304" s="64" t="n"/>
      <c r="Q304" s="64" t="n"/>
      <c r="R304" s="64" t="n"/>
      <c r="S304" s="66" t="n"/>
      <c r="T304" s="45" t="n"/>
      <c r="U304" s="43">
        <f t="shared" si="0"/>
      </c>
      <c r="V304" s="49">
        <f t="shared" si="1"/>
      </c>
      <c r="W304" s="49">
        <f t="shared" si="2"/>
      </c>
      <c r="X304" s="2">
        <f t="shared" si="3"/>
      </c>
      <c r="Y304" s="2">
        <f t="shared" si="4"/>
      </c>
      <c r="Z304" s="2">
        <f t="shared" si="5"/>
        <v>0</v>
      </c>
      <c r="AA304" s="2">
        <f t="shared" si="6"/>
        <v>0</v>
      </c>
      <c r="AB304" s="2">
        <f t="shared" si="7"/>
        <v>0</v>
      </c>
      <c r="AC304" s="2">
        <f t="shared" si="8"/>
      </c>
    </row>
    <row r="305">
      <c r="A305" s="64" t="n"/>
      <c r="B305" s="65" t="n"/>
      <c r="C305" s="65" t="n"/>
      <c r="D305" s="65" t="n"/>
      <c r="E305" s="65" t="n"/>
      <c r="F305" s="66" t="n"/>
      <c r="G305" s="65" t="n"/>
      <c r="H305" s="66" t="n"/>
      <c r="I305" s="64" t="n"/>
      <c r="J305" s="68" t="n"/>
      <c r="K305" s="68" t="n"/>
      <c r="L305" s="68" t="n"/>
      <c r="M305" s="64" t="n"/>
      <c r="N305" s="64" t="n"/>
      <c r="O305" s="64" t="n"/>
      <c r="P305" s="64" t="n"/>
      <c r="Q305" s="64" t="n"/>
      <c r="R305" s="64" t="n"/>
      <c r="S305" s="66" t="n"/>
      <c r="T305" s="45" t="n"/>
      <c r="U305" s="43">
        <f t="shared" si="0"/>
      </c>
      <c r="V305" s="49">
        <f t="shared" si="1"/>
      </c>
      <c r="W305" s="49">
        <f t="shared" si="2"/>
      </c>
      <c r="X305" s="2">
        <f t="shared" si="3"/>
      </c>
      <c r="Y305" s="2">
        <f t="shared" si="4"/>
      </c>
      <c r="Z305" s="2">
        <f t="shared" si="5"/>
        <v>0</v>
      </c>
      <c r="AA305" s="2">
        <f t="shared" si="6"/>
        <v>0</v>
      </c>
      <c r="AB305" s="2">
        <f t="shared" si="7"/>
        <v>0</v>
      </c>
      <c r="AC305" s="2">
        <f t="shared" si="8"/>
      </c>
    </row>
    <row r="306">
      <c r="A306" s="64" t="n"/>
      <c r="B306" s="65" t="n"/>
      <c r="C306" s="65" t="n"/>
      <c r="D306" s="65" t="n"/>
      <c r="E306" s="65" t="n"/>
      <c r="F306" s="66" t="n"/>
      <c r="G306" s="65" t="n"/>
      <c r="H306" s="66" t="n"/>
      <c r="I306" s="64" t="n"/>
      <c r="J306" s="68" t="n"/>
      <c r="K306" s="68" t="n"/>
      <c r="L306" s="68" t="n"/>
      <c r="M306" s="64" t="n"/>
      <c r="N306" s="64" t="n"/>
      <c r="O306" s="64" t="n"/>
      <c r="P306" s="64" t="n"/>
      <c r="Q306" s="64" t="n"/>
      <c r="R306" s="64" t="n"/>
      <c r="S306" s="66" t="n"/>
      <c r="T306" s="45" t="n"/>
      <c r="U306" s="43">
        <f t="shared" si="0"/>
      </c>
      <c r="V306" s="49">
        <f t="shared" si="1"/>
      </c>
      <c r="W306" s="49">
        <f t="shared" si="2"/>
      </c>
      <c r="X306" s="2">
        <f t="shared" si="3"/>
      </c>
      <c r="Y306" s="2">
        <f t="shared" si="4"/>
      </c>
      <c r="Z306" s="2">
        <f t="shared" si="5"/>
        <v>0</v>
      </c>
      <c r="AA306" s="2">
        <f t="shared" si="6"/>
        <v>0</v>
      </c>
      <c r="AB306" s="2">
        <f t="shared" si="7"/>
        <v>0</v>
      </c>
      <c r="AC306" s="2">
        <f t="shared" si="8"/>
      </c>
    </row>
    <row r="307">
      <c r="A307" s="64" t="n"/>
      <c r="B307" s="65" t="n"/>
      <c r="C307" s="65" t="n"/>
      <c r="D307" s="65" t="n"/>
      <c r="E307" s="65" t="n"/>
      <c r="F307" s="66" t="n"/>
      <c r="G307" s="65" t="n"/>
      <c r="H307" s="66" t="n"/>
      <c r="I307" s="64" t="n"/>
      <c r="J307" s="68" t="n"/>
      <c r="K307" s="68" t="n"/>
      <c r="L307" s="68" t="n"/>
      <c r="M307" s="64" t="n"/>
      <c r="N307" s="64" t="n"/>
      <c r="O307" s="64" t="n"/>
      <c r="P307" s="64" t="n"/>
      <c r="Q307" s="64" t="n"/>
      <c r="R307" s="64" t="n"/>
      <c r="S307" s="66" t="n"/>
      <c r="T307" s="45" t="n"/>
      <c r="U307" s="43">
        <f t="shared" si="0"/>
      </c>
      <c r="V307" s="49">
        <f t="shared" si="1"/>
      </c>
      <c r="W307" s="49">
        <f t="shared" si="2"/>
      </c>
      <c r="X307" s="2">
        <f t="shared" si="3"/>
      </c>
      <c r="Y307" s="2">
        <f t="shared" si="4"/>
      </c>
      <c r="Z307" s="2">
        <f t="shared" si="5"/>
        <v>0</v>
      </c>
      <c r="AA307" s="2">
        <f t="shared" si="6"/>
        <v>0</v>
      </c>
      <c r="AB307" s="2">
        <f t="shared" si="7"/>
        <v>0</v>
      </c>
      <c r="AC307" s="2">
        <f t="shared" si="8"/>
      </c>
    </row>
    <row r="308">
      <c r="A308" s="64" t="n"/>
      <c r="B308" s="65" t="n"/>
      <c r="C308" s="65" t="n"/>
      <c r="D308" s="65" t="n"/>
      <c r="E308" s="65" t="n"/>
      <c r="F308" s="66" t="n"/>
      <c r="G308" s="65" t="n"/>
      <c r="H308" s="66" t="n"/>
      <c r="I308" s="64" t="n"/>
      <c r="J308" s="68" t="n"/>
      <c r="K308" s="68" t="n"/>
      <c r="L308" s="68" t="n"/>
      <c r="M308" s="64" t="n"/>
      <c r="N308" s="64" t="n"/>
      <c r="O308" s="64" t="n"/>
      <c r="P308" s="64" t="n"/>
      <c r="Q308" s="64" t="n"/>
      <c r="R308" s="64" t="n"/>
      <c r="S308" s="66" t="n"/>
      <c r="T308" s="45" t="n"/>
      <c r="U308" s="43">
        <f t="shared" si="0"/>
      </c>
      <c r="V308" s="49">
        <f t="shared" si="1"/>
      </c>
      <c r="W308" s="49">
        <f t="shared" si="2"/>
      </c>
      <c r="X308" s="2">
        <f t="shared" si="3"/>
      </c>
      <c r="Y308" s="2">
        <f t="shared" si="4"/>
      </c>
      <c r="Z308" s="2">
        <f t="shared" si="5"/>
        <v>0</v>
      </c>
      <c r="AA308" s="2">
        <f t="shared" si="6"/>
        <v>0</v>
      </c>
      <c r="AB308" s="2">
        <f t="shared" si="7"/>
        <v>0</v>
      </c>
      <c r="AC308" s="2">
        <f t="shared" si="8"/>
      </c>
    </row>
    <row r="309">
      <c r="A309" s="64" t="n"/>
      <c r="B309" s="65" t="n"/>
      <c r="C309" s="65" t="n"/>
      <c r="D309" s="65" t="n"/>
      <c r="E309" s="65" t="n"/>
      <c r="F309" s="66" t="n"/>
      <c r="G309" s="65" t="n"/>
      <c r="H309" s="66" t="n"/>
      <c r="I309" s="64" t="n"/>
      <c r="J309" s="68" t="n"/>
      <c r="K309" s="68" t="n"/>
      <c r="L309" s="68" t="n"/>
      <c r="M309" s="64" t="n"/>
      <c r="N309" s="64" t="n"/>
      <c r="O309" s="64" t="n"/>
      <c r="P309" s="64" t="n"/>
      <c r="Q309" s="64" t="n"/>
      <c r="R309" s="64" t="n"/>
      <c r="S309" s="66" t="n"/>
      <c r="T309" s="45" t="n"/>
      <c r="U309" s="43">
        <f t="shared" si="0"/>
      </c>
      <c r="V309" s="49">
        <f t="shared" si="1"/>
      </c>
      <c r="W309" s="49">
        <f t="shared" si="2"/>
      </c>
      <c r="X309" s="2">
        <f t="shared" si="3"/>
      </c>
      <c r="Y309" s="2">
        <f t="shared" si="4"/>
      </c>
      <c r="Z309" s="2">
        <f t="shared" si="5"/>
        <v>0</v>
      </c>
      <c r="AA309" s="2">
        <f t="shared" si="6"/>
        <v>0</v>
      </c>
      <c r="AB309" s="2">
        <f t="shared" si="7"/>
        <v>0</v>
      </c>
      <c r="AC309" s="2">
        <f t="shared" si="8"/>
      </c>
    </row>
    <row r="310">
      <c r="A310" s="64" t="n"/>
      <c r="B310" s="65" t="n"/>
      <c r="C310" s="65" t="n"/>
      <c r="D310" s="65" t="n"/>
      <c r="E310" s="65" t="n"/>
      <c r="F310" s="66" t="n"/>
      <c r="G310" s="65" t="n"/>
      <c r="H310" s="66" t="n"/>
      <c r="I310" s="64" t="n"/>
      <c r="J310" s="68" t="n"/>
      <c r="K310" s="68" t="n"/>
      <c r="L310" s="68" t="n"/>
      <c r="M310" s="64" t="n"/>
      <c r="N310" s="64" t="n"/>
      <c r="O310" s="64" t="n"/>
      <c r="P310" s="64" t="n"/>
      <c r="Q310" s="64" t="n"/>
      <c r="R310" s="64" t="n"/>
      <c r="S310" s="66" t="n"/>
      <c r="T310" s="45" t="n"/>
      <c r="U310" s="43">
        <f t="shared" si="0"/>
      </c>
      <c r="V310" s="49">
        <f t="shared" si="1"/>
      </c>
      <c r="W310" s="49">
        <f t="shared" si="2"/>
      </c>
      <c r="X310" s="2">
        <f t="shared" si="3"/>
      </c>
      <c r="Y310" s="2">
        <f t="shared" si="4"/>
      </c>
      <c r="Z310" s="2">
        <f t="shared" si="5"/>
        <v>0</v>
      </c>
      <c r="AA310" s="2">
        <f t="shared" si="6"/>
        <v>0</v>
      </c>
      <c r="AB310" s="2">
        <f t="shared" si="7"/>
        <v>0</v>
      </c>
      <c r="AC310" s="2">
        <f t="shared" si="8"/>
      </c>
    </row>
    <row r="311">
      <c r="A311" s="64" t="n"/>
      <c r="B311" s="65" t="n"/>
      <c r="C311" s="65" t="n"/>
      <c r="D311" s="65" t="n"/>
      <c r="E311" s="65" t="n"/>
      <c r="F311" s="66" t="n"/>
      <c r="G311" s="65" t="n"/>
      <c r="H311" s="66" t="n"/>
      <c r="I311" s="64" t="n"/>
      <c r="J311" s="68" t="n"/>
      <c r="K311" s="68" t="n"/>
      <c r="L311" s="68" t="n"/>
      <c r="M311" s="64" t="n"/>
      <c r="N311" s="64" t="n"/>
      <c r="O311" s="64" t="n"/>
      <c r="P311" s="64" t="n"/>
      <c r="Q311" s="64" t="n"/>
      <c r="R311" s="64" t="n"/>
      <c r="S311" s="66" t="n"/>
      <c r="T311" s="45" t="n"/>
      <c r="U311" s="43">
        <f t="shared" si="0"/>
      </c>
      <c r="V311" s="49">
        <f t="shared" si="1"/>
      </c>
      <c r="W311" s="49">
        <f t="shared" si="2"/>
      </c>
      <c r="X311" s="2">
        <f t="shared" si="3"/>
      </c>
      <c r="Y311" s="2">
        <f t="shared" si="4"/>
      </c>
      <c r="Z311" s="2">
        <f t="shared" si="5"/>
        <v>0</v>
      </c>
      <c r="AA311" s="2">
        <f t="shared" si="6"/>
        <v>0</v>
      </c>
      <c r="AB311" s="2">
        <f t="shared" si="7"/>
        <v>0</v>
      </c>
      <c r="AC311" s="2">
        <f t="shared" si="8"/>
      </c>
    </row>
    <row r="312">
      <c r="A312" s="64" t="n"/>
      <c r="B312" s="65" t="n"/>
      <c r="C312" s="65" t="n"/>
      <c r="D312" s="65" t="n"/>
      <c r="E312" s="65" t="n"/>
      <c r="F312" s="66" t="n"/>
      <c r="G312" s="65" t="n"/>
      <c r="H312" s="66" t="n"/>
      <c r="I312" s="64" t="n"/>
      <c r="J312" s="68" t="n"/>
      <c r="K312" s="68" t="n"/>
      <c r="L312" s="68" t="n"/>
      <c r="M312" s="64" t="n"/>
      <c r="N312" s="64" t="n"/>
      <c r="O312" s="64" t="n"/>
      <c r="P312" s="64" t="n"/>
      <c r="Q312" s="64" t="n"/>
      <c r="R312" s="64" t="n"/>
      <c r="S312" s="66" t="n"/>
      <c r="T312" s="45" t="n"/>
      <c r="U312" s="43">
        <f t="shared" si="0"/>
      </c>
      <c r="V312" s="49">
        <f t="shared" si="1"/>
      </c>
      <c r="W312" s="49">
        <f t="shared" si="2"/>
      </c>
      <c r="X312" s="2">
        <f t="shared" si="3"/>
      </c>
      <c r="Y312" s="2">
        <f t="shared" si="4"/>
      </c>
      <c r="Z312" s="2">
        <f t="shared" si="5"/>
        <v>0</v>
      </c>
      <c r="AA312" s="2">
        <f t="shared" si="6"/>
        <v>0</v>
      </c>
      <c r="AB312" s="2">
        <f t="shared" si="7"/>
        <v>0</v>
      </c>
      <c r="AC312" s="2">
        <f t="shared" si="8"/>
      </c>
    </row>
    <row r="313">
      <c r="A313" s="64" t="n"/>
      <c r="B313" s="65" t="n"/>
      <c r="C313" s="65" t="n"/>
      <c r="D313" s="65" t="n"/>
      <c r="E313" s="65" t="n"/>
      <c r="F313" s="66" t="n"/>
      <c r="G313" s="65" t="n"/>
      <c r="H313" s="66" t="n"/>
      <c r="I313" s="64" t="n"/>
      <c r="J313" s="68" t="n"/>
      <c r="K313" s="68" t="n"/>
      <c r="L313" s="68" t="n"/>
      <c r="M313" s="64" t="n"/>
      <c r="N313" s="64" t="n"/>
      <c r="O313" s="64" t="n"/>
      <c r="P313" s="64" t="n"/>
      <c r="Q313" s="64" t="n"/>
      <c r="R313" s="64" t="n"/>
      <c r="S313" s="66" t="n"/>
      <c r="T313" s="45" t="n"/>
      <c r="U313" s="43">
        <f t="shared" si="0"/>
      </c>
      <c r="V313" s="49">
        <f t="shared" si="1"/>
      </c>
      <c r="W313" s="49">
        <f t="shared" si="2"/>
      </c>
      <c r="X313" s="2">
        <f t="shared" si="3"/>
      </c>
      <c r="Y313" s="2">
        <f t="shared" si="4"/>
      </c>
      <c r="Z313" s="2">
        <f t="shared" si="5"/>
        <v>0</v>
      </c>
      <c r="AA313" s="2">
        <f t="shared" si="6"/>
        <v>0</v>
      </c>
      <c r="AB313" s="2">
        <f t="shared" si="7"/>
        <v>0</v>
      </c>
      <c r="AC313" s="2">
        <f t="shared" si="8"/>
      </c>
    </row>
    <row r="314">
      <c r="A314" s="64" t="n"/>
      <c r="B314" s="65" t="n"/>
      <c r="C314" s="65" t="n"/>
      <c r="D314" s="65" t="n"/>
      <c r="E314" s="65" t="n"/>
      <c r="F314" s="66" t="n"/>
      <c r="G314" s="65" t="n"/>
      <c r="H314" s="66" t="n"/>
      <c r="I314" s="64" t="n"/>
      <c r="J314" s="68" t="n"/>
      <c r="K314" s="68" t="n"/>
      <c r="L314" s="68" t="n"/>
      <c r="M314" s="64" t="n"/>
      <c r="N314" s="64" t="n"/>
      <c r="O314" s="64" t="n"/>
      <c r="P314" s="64" t="n"/>
      <c r="Q314" s="64" t="n"/>
      <c r="R314" s="64" t="n"/>
      <c r="S314" s="66" t="n"/>
      <c r="T314" s="45" t="n"/>
      <c r="U314" s="43">
        <f t="shared" si="0"/>
      </c>
      <c r="V314" s="49">
        <f t="shared" si="1"/>
      </c>
      <c r="W314" s="49">
        <f t="shared" si="2"/>
      </c>
      <c r="X314" s="2">
        <f t="shared" si="3"/>
      </c>
      <c r="Y314" s="2">
        <f t="shared" si="4"/>
      </c>
      <c r="Z314" s="2">
        <f t="shared" si="5"/>
        <v>0</v>
      </c>
      <c r="AA314" s="2">
        <f t="shared" si="6"/>
        <v>0</v>
      </c>
      <c r="AB314" s="2">
        <f t="shared" si="7"/>
        <v>0</v>
      </c>
      <c r="AC314" s="2">
        <f t="shared" si="8"/>
      </c>
    </row>
    <row r="315">
      <c r="A315" s="64" t="n"/>
      <c r="B315" s="65" t="n"/>
      <c r="C315" s="65" t="n"/>
      <c r="D315" s="65" t="n"/>
      <c r="E315" s="65" t="n"/>
      <c r="F315" s="66" t="n"/>
      <c r="G315" s="65" t="n"/>
      <c r="H315" s="66" t="n"/>
      <c r="I315" s="64" t="n"/>
      <c r="J315" s="68" t="n"/>
      <c r="K315" s="68" t="n"/>
      <c r="L315" s="68" t="n"/>
      <c r="M315" s="64" t="n"/>
      <c r="N315" s="64" t="n"/>
      <c r="O315" s="64" t="n"/>
      <c r="P315" s="64" t="n"/>
      <c r="Q315" s="64" t="n"/>
      <c r="R315" s="64" t="n"/>
      <c r="S315" s="66" t="n"/>
      <c r="T315" s="45" t="n"/>
      <c r="U315" s="43">
        <f t="shared" si="0"/>
      </c>
      <c r="V315" s="49">
        <f t="shared" si="1"/>
      </c>
      <c r="W315" s="49">
        <f t="shared" si="2"/>
      </c>
      <c r="X315" s="2">
        <f t="shared" si="3"/>
      </c>
      <c r="Y315" s="2">
        <f t="shared" si="4"/>
      </c>
      <c r="Z315" s="2">
        <f t="shared" si="5"/>
        <v>0</v>
      </c>
      <c r="AA315" s="2">
        <f t="shared" si="6"/>
        <v>0</v>
      </c>
      <c r="AB315" s="2">
        <f t="shared" si="7"/>
        <v>0</v>
      </c>
      <c r="AC315" s="2">
        <f t="shared" si="8"/>
      </c>
    </row>
    <row r="316">
      <c r="A316" s="64" t="n"/>
      <c r="B316" s="65" t="n"/>
      <c r="C316" s="65" t="n"/>
      <c r="D316" s="65" t="n"/>
      <c r="E316" s="65" t="n"/>
      <c r="F316" s="66" t="n"/>
      <c r="G316" s="65" t="n"/>
      <c r="H316" s="66" t="n"/>
      <c r="I316" s="64" t="n"/>
      <c r="J316" s="68" t="n"/>
      <c r="K316" s="68" t="n"/>
      <c r="L316" s="68" t="n"/>
      <c r="M316" s="64" t="n"/>
      <c r="N316" s="64" t="n"/>
      <c r="O316" s="64" t="n"/>
      <c r="P316" s="64" t="n"/>
      <c r="Q316" s="64" t="n"/>
      <c r="R316" s="64" t="n"/>
      <c r="S316" s="66" t="n"/>
      <c r="T316" s="45" t="n"/>
      <c r="U316" s="43">
        <f t="shared" si="0"/>
      </c>
      <c r="V316" s="49">
        <f t="shared" si="1"/>
      </c>
      <c r="W316" s="49">
        <f t="shared" si="2"/>
      </c>
      <c r="X316" s="2">
        <f t="shared" si="3"/>
      </c>
      <c r="Y316" s="2">
        <f t="shared" si="4"/>
      </c>
      <c r="Z316" s="2">
        <f t="shared" si="5"/>
        <v>0</v>
      </c>
      <c r="AA316" s="2">
        <f t="shared" si="6"/>
        <v>0</v>
      </c>
      <c r="AB316" s="2">
        <f t="shared" si="7"/>
        <v>0</v>
      </c>
      <c r="AC316" s="2">
        <f t="shared" si="8"/>
      </c>
    </row>
    <row r="317">
      <c r="A317" s="64" t="n"/>
      <c r="B317" s="65" t="n"/>
      <c r="C317" s="65" t="n"/>
      <c r="D317" s="65" t="n"/>
      <c r="E317" s="65" t="n"/>
      <c r="F317" s="66" t="n"/>
      <c r="G317" s="65" t="n"/>
      <c r="H317" s="66" t="n"/>
      <c r="I317" s="64" t="n"/>
      <c r="J317" s="68" t="n"/>
      <c r="K317" s="68" t="n"/>
      <c r="L317" s="68" t="n"/>
      <c r="M317" s="64" t="n"/>
      <c r="N317" s="64" t="n"/>
      <c r="O317" s="64" t="n"/>
      <c r="P317" s="64" t="n"/>
      <c r="Q317" s="64" t="n"/>
      <c r="R317" s="64" t="n"/>
      <c r="S317" s="66" t="n"/>
      <c r="T317" s="45" t="n"/>
      <c r="U317" s="43">
        <f t="shared" si="0"/>
      </c>
      <c r="V317" s="49">
        <f t="shared" si="1"/>
      </c>
      <c r="W317" s="49">
        <f t="shared" si="2"/>
      </c>
      <c r="X317" s="2">
        <f t="shared" si="3"/>
      </c>
      <c r="Y317" s="2">
        <f t="shared" si="4"/>
      </c>
      <c r="Z317" s="2">
        <f t="shared" si="5"/>
        <v>0</v>
      </c>
      <c r="AA317" s="2">
        <f t="shared" si="6"/>
        <v>0</v>
      </c>
      <c r="AB317" s="2">
        <f t="shared" si="7"/>
        <v>0</v>
      </c>
      <c r="AC317" s="2">
        <f t="shared" si="8"/>
      </c>
    </row>
    <row r="318">
      <c r="A318" s="64" t="n"/>
      <c r="B318" s="65" t="n"/>
      <c r="C318" s="65" t="n"/>
      <c r="D318" s="65" t="n"/>
      <c r="E318" s="65" t="n"/>
      <c r="F318" s="66" t="n"/>
      <c r="G318" s="65" t="n"/>
      <c r="H318" s="66" t="n"/>
      <c r="I318" s="64" t="n"/>
      <c r="J318" s="68" t="n"/>
      <c r="K318" s="68" t="n"/>
      <c r="L318" s="68" t="n"/>
      <c r="M318" s="64" t="n"/>
      <c r="N318" s="64" t="n"/>
      <c r="O318" s="64" t="n"/>
      <c r="P318" s="64" t="n"/>
      <c r="Q318" s="64" t="n"/>
      <c r="R318" s="64" t="n"/>
      <c r="S318" s="66" t="n"/>
      <c r="T318" s="45" t="n"/>
      <c r="U318" s="43">
        <f t="shared" si="0"/>
      </c>
      <c r="V318" s="49">
        <f t="shared" si="1"/>
      </c>
      <c r="W318" s="49">
        <f t="shared" si="2"/>
      </c>
      <c r="X318" s="2">
        <f t="shared" si="3"/>
      </c>
      <c r="Y318" s="2">
        <f t="shared" si="4"/>
      </c>
      <c r="Z318" s="2">
        <f t="shared" si="5"/>
        <v>0</v>
      </c>
      <c r="AA318" s="2">
        <f t="shared" si="6"/>
        <v>0</v>
      </c>
      <c r="AB318" s="2">
        <f t="shared" si="7"/>
        <v>0</v>
      </c>
      <c r="AC318" s="2">
        <f t="shared" si="8"/>
      </c>
    </row>
    <row r="319">
      <c r="A319" s="64" t="n"/>
      <c r="B319" s="65" t="n"/>
      <c r="C319" s="65" t="n"/>
      <c r="D319" s="65" t="n"/>
      <c r="E319" s="65" t="n"/>
      <c r="F319" s="66" t="n"/>
      <c r="G319" s="65" t="n"/>
      <c r="H319" s="66" t="n"/>
      <c r="I319" s="64" t="n"/>
      <c r="J319" s="68" t="n"/>
      <c r="K319" s="68" t="n"/>
      <c r="L319" s="68" t="n"/>
      <c r="M319" s="64" t="n"/>
      <c r="N319" s="64" t="n"/>
      <c r="O319" s="64" t="n"/>
      <c r="P319" s="64" t="n"/>
      <c r="Q319" s="64" t="n"/>
      <c r="R319" s="64" t="n"/>
      <c r="S319" s="66" t="n"/>
      <c r="T319" s="45" t="n"/>
      <c r="U319" s="43">
        <f t="shared" si="0"/>
      </c>
      <c r="V319" s="49">
        <f t="shared" si="1"/>
      </c>
      <c r="W319" s="49">
        <f t="shared" si="2"/>
      </c>
      <c r="X319" s="2">
        <f t="shared" si="3"/>
      </c>
      <c r="Y319" s="2">
        <f t="shared" si="4"/>
      </c>
      <c r="Z319" s="2">
        <f t="shared" si="5"/>
        <v>0</v>
      </c>
      <c r="AA319" s="2">
        <f t="shared" si="6"/>
        <v>0</v>
      </c>
      <c r="AB319" s="2">
        <f t="shared" si="7"/>
        <v>0</v>
      </c>
      <c r="AC319" s="2">
        <f t="shared" si="8"/>
      </c>
    </row>
    <row r="320">
      <c r="A320" s="64" t="n"/>
      <c r="B320" s="65" t="n"/>
      <c r="C320" s="65" t="n"/>
      <c r="D320" s="65" t="n"/>
      <c r="E320" s="65" t="n"/>
      <c r="F320" s="66" t="n"/>
      <c r="G320" s="65" t="n"/>
      <c r="H320" s="66" t="n"/>
      <c r="I320" s="64" t="n"/>
      <c r="J320" s="68" t="n"/>
      <c r="K320" s="68" t="n"/>
      <c r="L320" s="68" t="n"/>
      <c r="M320" s="64" t="n"/>
      <c r="N320" s="64" t="n"/>
      <c r="O320" s="64" t="n"/>
      <c r="P320" s="64" t="n"/>
      <c r="Q320" s="64" t="n"/>
      <c r="R320" s="64" t="n"/>
      <c r="S320" s="66" t="n"/>
      <c r="T320" s="45" t="n"/>
      <c r="U320" s="43">
        <f t="shared" si="0"/>
      </c>
      <c r="V320" s="49">
        <f t="shared" si="1"/>
      </c>
      <c r="W320" s="49">
        <f t="shared" si="2"/>
      </c>
      <c r="X320" s="2">
        <f t="shared" si="3"/>
      </c>
      <c r="Y320" s="2">
        <f t="shared" si="4"/>
      </c>
      <c r="Z320" s="2">
        <f t="shared" si="5"/>
        <v>0</v>
      </c>
      <c r="AA320" s="2">
        <f t="shared" si="6"/>
        <v>0</v>
      </c>
      <c r="AB320" s="2">
        <f t="shared" si="7"/>
        <v>0</v>
      </c>
      <c r="AC320" s="2">
        <f t="shared" si="8"/>
      </c>
    </row>
    <row r="321">
      <c r="A321" s="64" t="n"/>
      <c r="B321" s="65" t="n"/>
      <c r="C321" s="65" t="n"/>
      <c r="D321" s="65" t="n"/>
      <c r="E321" s="65" t="n"/>
      <c r="F321" s="66" t="n"/>
      <c r="G321" s="65" t="n"/>
      <c r="H321" s="66" t="n"/>
      <c r="I321" s="64" t="n"/>
      <c r="J321" s="68" t="n"/>
      <c r="K321" s="68" t="n"/>
      <c r="L321" s="68" t="n"/>
      <c r="M321" s="64" t="n"/>
      <c r="N321" s="64" t="n"/>
      <c r="O321" s="64" t="n"/>
      <c r="P321" s="64" t="n"/>
      <c r="Q321" s="64" t="n"/>
      <c r="R321" s="64" t="n"/>
      <c r="S321" s="66" t="n"/>
      <c r="T321" s="45" t="n"/>
      <c r="U321" s="43">
        <f t="shared" si="0"/>
      </c>
      <c r="V321" s="49">
        <f t="shared" si="1"/>
      </c>
      <c r="W321" s="49">
        <f t="shared" si="2"/>
      </c>
      <c r="X321" s="2">
        <f t="shared" si="3"/>
      </c>
      <c r="Y321" s="2">
        <f t="shared" si="4"/>
      </c>
      <c r="Z321" s="2">
        <f t="shared" si="5"/>
        <v>0</v>
      </c>
      <c r="AA321" s="2">
        <f t="shared" si="6"/>
        <v>0</v>
      </c>
      <c r="AB321" s="2">
        <f t="shared" si="7"/>
        <v>0</v>
      </c>
      <c r="AC321" s="2">
        <f t="shared" si="8"/>
      </c>
    </row>
    <row r="322">
      <c r="A322" s="64" t="n"/>
      <c r="B322" s="65" t="n"/>
      <c r="C322" s="65" t="n"/>
      <c r="D322" s="65" t="n"/>
      <c r="E322" s="65" t="n"/>
      <c r="F322" s="66" t="n"/>
      <c r="G322" s="65" t="n"/>
      <c r="H322" s="66" t="n"/>
      <c r="I322" s="64" t="n"/>
      <c r="J322" s="68" t="n"/>
      <c r="K322" s="68" t="n"/>
      <c r="L322" s="68" t="n"/>
      <c r="M322" s="64" t="n"/>
      <c r="N322" s="64" t="n"/>
      <c r="O322" s="64" t="n"/>
      <c r="P322" s="64" t="n"/>
      <c r="Q322" s="64" t="n"/>
      <c r="R322" s="64" t="n"/>
      <c r="S322" s="66" t="n"/>
      <c r="T322" s="45" t="n"/>
      <c r="U322" s="43">
        <f t="shared" si="0"/>
      </c>
      <c r="V322" s="49">
        <f t="shared" si="1"/>
      </c>
      <c r="W322" s="49">
        <f t="shared" si="2"/>
      </c>
      <c r="X322" s="2">
        <f t="shared" si="3"/>
      </c>
      <c r="Y322" s="2">
        <f t="shared" si="4"/>
      </c>
      <c r="Z322" s="2">
        <f t="shared" si="5"/>
        <v>0</v>
      </c>
      <c r="AA322" s="2">
        <f t="shared" si="6"/>
        <v>0</v>
      </c>
      <c r="AB322" s="2">
        <f t="shared" si="7"/>
        <v>0</v>
      </c>
      <c r="AC322" s="2">
        <f t="shared" si="8"/>
      </c>
    </row>
    <row r="323">
      <c r="A323" s="64" t="n"/>
      <c r="B323" s="65" t="n"/>
      <c r="C323" s="65" t="n"/>
      <c r="D323" s="65" t="n"/>
      <c r="E323" s="65" t="n"/>
      <c r="F323" s="66" t="n"/>
      <c r="G323" s="65" t="n"/>
      <c r="H323" s="66" t="n"/>
      <c r="I323" s="64" t="n"/>
      <c r="J323" s="68" t="n"/>
      <c r="K323" s="68" t="n"/>
      <c r="L323" s="68" t="n"/>
      <c r="M323" s="64" t="n"/>
      <c r="N323" s="64" t="n"/>
      <c r="O323" s="64" t="n"/>
      <c r="P323" s="64" t="n"/>
      <c r="Q323" s="64" t="n"/>
      <c r="R323" s="64" t="n"/>
      <c r="S323" s="66" t="n"/>
      <c r="T323" s="45" t="n"/>
      <c r="U323" s="43">
        <f t="shared" si="0"/>
      </c>
      <c r="V323" s="49">
        <f t="shared" si="1"/>
      </c>
      <c r="W323" s="49">
        <f t="shared" si="2"/>
      </c>
      <c r="X323" s="2">
        <f t="shared" si="3"/>
      </c>
      <c r="Y323" s="2">
        <f t="shared" si="4"/>
      </c>
      <c r="Z323" s="2">
        <f t="shared" si="5"/>
        <v>0</v>
      </c>
      <c r="AA323" s="2">
        <f t="shared" si="6"/>
        <v>0</v>
      </c>
      <c r="AB323" s="2">
        <f t="shared" si="7"/>
        <v>0</v>
      </c>
      <c r="AC323" s="2">
        <f t="shared" si="8"/>
      </c>
    </row>
    <row r="324">
      <c r="A324" s="64" t="n"/>
      <c r="B324" s="65" t="n"/>
      <c r="C324" s="65" t="n"/>
      <c r="D324" s="65" t="n"/>
      <c r="E324" s="65" t="n"/>
      <c r="F324" s="66" t="n"/>
      <c r="G324" s="65" t="n"/>
      <c r="H324" s="66" t="n"/>
      <c r="I324" s="64" t="n"/>
      <c r="J324" s="68" t="n"/>
      <c r="K324" s="68" t="n"/>
      <c r="L324" s="68" t="n"/>
      <c r="M324" s="64" t="n"/>
      <c r="N324" s="64" t="n"/>
      <c r="O324" s="64" t="n"/>
      <c r="P324" s="64" t="n"/>
      <c r="Q324" s="64" t="n"/>
      <c r="R324" s="64" t="n"/>
      <c r="S324" s="66" t="n"/>
      <c r="T324" s="45" t="n"/>
      <c r="U324" s="43">
        <f t="shared" si="0"/>
      </c>
      <c r="V324" s="49">
        <f t="shared" si="1"/>
      </c>
      <c r="W324" s="49">
        <f t="shared" si="2"/>
      </c>
      <c r="X324" s="2">
        <f t="shared" si="3"/>
      </c>
      <c r="Y324" s="2">
        <f t="shared" si="4"/>
      </c>
      <c r="Z324" s="2">
        <f t="shared" si="5"/>
        <v>0</v>
      </c>
      <c r="AA324" s="2">
        <f t="shared" si="6"/>
        <v>0</v>
      </c>
      <c r="AB324" s="2">
        <f t="shared" si="7"/>
        <v>0</v>
      </c>
      <c r="AC324" s="2">
        <f t="shared" si="8"/>
      </c>
    </row>
    <row r="325">
      <c r="A325" s="64" t="n"/>
      <c r="B325" s="65" t="n"/>
      <c r="C325" s="65" t="n"/>
      <c r="D325" s="65" t="n"/>
      <c r="E325" s="65" t="n"/>
      <c r="F325" s="66" t="n"/>
      <c r="G325" s="65" t="n"/>
      <c r="H325" s="66" t="n"/>
      <c r="I325" s="64" t="n"/>
      <c r="J325" s="68" t="n"/>
      <c r="K325" s="68" t="n"/>
      <c r="L325" s="68" t="n"/>
      <c r="M325" s="64" t="n"/>
      <c r="N325" s="64" t="n"/>
      <c r="O325" s="64" t="n"/>
      <c r="P325" s="64" t="n"/>
      <c r="Q325" s="64" t="n"/>
      <c r="R325" s="64" t="n"/>
      <c r="S325" s="66" t="n"/>
      <c r="T325" s="45" t="n"/>
      <c r="U325" s="43">
        <f t="shared" si="0"/>
      </c>
      <c r="V325" s="49">
        <f t="shared" si="1"/>
      </c>
      <c r="W325" s="49">
        <f t="shared" si="2"/>
      </c>
      <c r="X325" s="2">
        <f t="shared" si="3"/>
      </c>
      <c r="Y325" s="2">
        <f t="shared" si="4"/>
      </c>
      <c r="Z325" s="2">
        <f t="shared" si="5"/>
        <v>0</v>
      </c>
      <c r="AA325" s="2">
        <f t="shared" si="6"/>
        <v>0</v>
      </c>
      <c r="AB325" s="2">
        <f t="shared" si="7"/>
        <v>0</v>
      </c>
      <c r="AC325" s="2">
        <f t="shared" si="8"/>
      </c>
    </row>
    <row r="326">
      <c r="A326" s="64" t="n"/>
      <c r="B326" s="65" t="n"/>
      <c r="C326" s="65" t="n"/>
      <c r="D326" s="65" t="n"/>
      <c r="E326" s="65" t="n"/>
      <c r="F326" s="66" t="n"/>
      <c r="G326" s="65" t="n"/>
      <c r="H326" s="66" t="n"/>
      <c r="I326" s="64" t="n"/>
      <c r="J326" s="68" t="n"/>
      <c r="K326" s="68" t="n"/>
      <c r="L326" s="68" t="n"/>
      <c r="M326" s="64" t="n"/>
      <c r="N326" s="64" t="n"/>
      <c r="O326" s="64" t="n"/>
      <c r="P326" s="64" t="n"/>
      <c r="Q326" s="64" t="n"/>
      <c r="R326" s="64" t="n"/>
      <c r="S326" s="66" t="n"/>
      <c r="T326" s="45" t="n"/>
      <c r="U326" s="43">
        <f t="shared" si="0"/>
      </c>
      <c r="V326" s="49">
        <f t="shared" si="1"/>
      </c>
      <c r="W326" s="49">
        <f t="shared" si="2"/>
      </c>
      <c r="X326" s="2">
        <f t="shared" si="3"/>
      </c>
      <c r="Y326" s="2">
        <f t="shared" si="4"/>
      </c>
      <c r="Z326" s="2">
        <f t="shared" si="5"/>
        <v>0</v>
      </c>
      <c r="AA326" s="2">
        <f t="shared" si="6"/>
        <v>0</v>
      </c>
      <c r="AB326" s="2">
        <f t="shared" si="7"/>
        <v>0</v>
      </c>
      <c r="AC326" s="2">
        <f t="shared" si="8"/>
      </c>
    </row>
    <row r="327">
      <c r="A327" s="64" t="n"/>
      <c r="B327" s="65" t="n"/>
      <c r="C327" s="65" t="n"/>
      <c r="D327" s="65" t="n"/>
      <c r="E327" s="65" t="n"/>
      <c r="F327" s="66" t="n"/>
      <c r="G327" s="65" t="n"/>
      <c r="H327" s="66" t="n"/>
      <c r="I327" s="64" t="n"/>
      <c r="J327" s="68" t="n"/>
      <c r="K327" s="68" t="n"/>
      <c r="L327" s="68" t="n"/>
      <c r="M327" s="64" t="n"/>
      <c r="N327" s="64" t="n"/>
      <c r="O327" s="64" t="n"/>
      <c r="P327" s="64" t="n"/>
      <c r="Q327" s="64" t="n"/>
      <c r="R327" s="64" t="n"/>
      <c r="S327" s="66" t="n"/>
      <c r="T327" s="45" t="n"/>
      <c r="U327" s="43">
        <f t="shared" si="0"/>
      </c>
      <c r="V327" s="49">
        <f t="shared" si="1"/>
      </c>
      <c r="W327" s="49">
        <f t="shared" si="2"/>
      </c>
      <c r="X327" s="2">
        <f t="shared" si="3"/>
      </c>
      <c r="Y327" s="2">
        <f t="shared" si="4"/>
      </c>
      <c r="Z327" s="2">
        <f t="shared" si="5"/>
        <v>0</v>
      </c>
      <c r="AA327" s="2">
        <f t="shared" si="6"/>
        <v>0</v>
      </c>
      <c r="AB327" s="2">
        <f t="shared" si="7"/>
        <v>0</v>
      </c>
      <c r="AC327" s="2">
        <f t="shared" si="8"/>
      </c>
    </row>
    <row r="328">
      <c r="A328" s="64" t="n"/>
      <c r="B328" s="65" t="n"/>
      <c r="C328" s="65" t="n"/>
      <c r="D328" s="65" t="n"/>
      <c r="E328" s="65" t="n"/>
      <c r="F328" s="66" t="n"/>
      <c r="G328" s="65" t="n"/>
      <c r="H328" s="66" t="n"/>
      <c r="I328" s="64" t="n"/>
      <c r="J328" s="68" t="n"/>
      <c r="K328" s="68" t="n"/>
      <c r="L328" s="68" t="n"/>
      <c r="M328" s="64" t="n"/>
      <c r="N328" s="64" t="n"/>
      <c r="O328" s="64" t="n"/>
      <c r="P328" s="64" t="n"/>
      <c r="Q328" s="64" t="n"/>
      <c r="R328" s="64" t="n"/>
      <c r="S328" s="66" t="n"/>
      <c r="T328" s="45" t="n"/>
      <c r="U328" s="43">
        <f t="shared" si="0"/>
      </c>
      <c r="V328" s="49">
        <f t="shared" si="1"/>
      </c>
      <c r="W328" s="49">
        <f t="shared" si="2"/>
      </c>
      <c r="X328" s="2">
        <f t="shared" si="3"/>
      </c>
      <c r="Y328" s="2">
        <f t="shared" si="4"/>
      </c>
      <c r="Z328" s="2">
        <f t="shared" si="5"/>
        <v>0</v>
      </c>
      <c r="AA328" s="2">
        <f t="shared" si="6"/>
        <v>0</v>
      </c>
      <c r="AB328" s="2">
        <f t="shared" si="7"/>
        <v>0</v>
      </c>
      <c r="AC328" s="2">
        <f t="shared" si="8"/>
      </c>
    </row>
    <row r="329">
      <c r="A329" s="64" t="n"/>
      <c r="B329" s="65" t="n"/>
      <c r="C329" s="65" t="n"/>
      <c r="D329" s="65" t="n"/>
      <c r="E329" s="65" t="n"/>
      <c r="F329" s="66" t="n"/>
      <c r="G329" s="65" t="n"/>
      <c r="H329" s="66" t="n"/>
      <c r="I329" s="64" t="n"/>
      <c r="J329" s="68" t="n"/>
      <c r="K329" s="68" t="n"/>
      <c r="L329" s="68" t="n"/>
      <c r="M329" s="64" t="n"/>
      <c r="N329" s="64" t="n"/>
      <c r="O329" s="64" t="n"/>
      <c r="P329" s="64" t="n"/>
      <c r="Q329" s="64" t="n"/>
      <c r="R329" s="64" t="n"/>
      <c r="S329" s="66" t="n"/>
      <c r="T329" s="45" t="n"/>
      <c r="U329" s="43">
        <f t="shared" si="0"/>
      </c>
      <c r="V329" s="49">
        <f t="shared" si="1"/>
      </c>
      <c r="W329" s="49">
        <f t="shared" si="2"/>
      </c>
      <c r="X329" s="2">
        <f t="shared" si="3"/>
      </c>
      <c r="Y329" s="2">
        <f t="shared" si="4"/>
      </c>
      <c r="Z329" s="2">
        <f t="shared" si="5"/>
        <v>0</v>
      </c>
      <c r="AA329" s="2">
        <f t="shared" si="6"/>
        <v>0</v>
      </c>
      <c r="AB329" s="2">
        <f t="shared" si="7"/>
        <v>0</v>
      </c>
      <c r="AC329" s="2">
        <f t="shared" si="8"/>
      </c>
    </row>
    <row r="330">
      <c r="A330" s="64" t="n"/>
      <c r="B330" s="65" t="n"/>
      <c r="C330" s="65" t="n"/>
      <c r="D330" s="65" t="n"/>
      <c r="E330" s="65" t="n"/>
      <c r="F330" s="66" t="n"/>
      <c r="G330" s="65" t="n"/>
      <c r="H330" s="66" t="n"/>
      <c r="I330" s="64" t="n"/>
      <c r="J330" s="68" t="n"/>
      <c r="K330" s="68" t="n"/>
      <c r="L330" s="68" t="n"/>
      <c r="M330" s="64" t="n"/>
      <c r="N330" s="64" t="n"/>
      <c r="O330" s="64" t="n"/>
      <c r="P330" s="64" t="n"/>
      <c r="Q330" s="64" t="n"/>
      <c r="R330" s="64" t="n"/>
      <c r="S330" s="66" t="n"/>
      <c r="T330" s="45" t="n"/>
      <c r="U330" s="43">
        <f t="shared" si="0"/>
      </c>
      <c r="V330" s="49">
        <f t="shared" si="1"/>
      </c>
      <c r="W330" s="49">
        <f t="shared" si="2"/>
      </c>
      <c r="X330" s="2">
        <f t="shared" si="3"/>
      </c>
      <c r="Y330" s="2">
        <f t="shared" si="4"/>
      </c>
      <c r="Z330" s="2">
        <f t="shared" si="5"/>
        <v>0</v>
      </c>
      <c r="AA330" s="2">
        <f t="shared" si="6"/>
        <v>0</v>
      </c>
      <c r="AB330" s="2">
        <f t="shared" si="7"/>
        <v>0</v>
      </c>
      <c r="AC330" s="2">
        <f t="shared" si="8"/>
      </c>
    </row>
    <row r="331">
      <c r="A331" s="64" t="n"/>
      <c r="B331" s="65" t="n"/>
      <c r="C331" s="65" t="n"/>
      <c r="D331" s="65" t="n"/>
      <c r="E331" s="65" t="n"/>
      <c r="F331" s="66" t="n"/>
      <c r="G331" s="65" t="n"/>
      <c r="H331" s="66" t="n"/>
      <c r="I331" s="64" t="n"/>
      <c r="J331" s="68" t="n"/>
      <c r="K331" s="68" t="n"/>
      <c r="L331" s="68" t="n"/>
      <c r="M331" s="64" t="n"/>
      <c r="N331" s="64" t="n"/>
      <c r="O331" s="64" t="n"/>
      <c r="P331" s="64" t="n"/>
      <c r="Q331" s="64" t="n"/>
      <c r="R331" s="64" t="n"/>
      <c r="S331" s="66" t="n"/>
      <c r="T331" s="45" t="n"/>
      <c r="U331" s="43">
        <f t="shared" si="0"/>
      </c>
      <c r="V331" s="49">
        <f t="shared" si="1"/>
      </c>
      <c r="W331" s="49">
        <f t="shared" si="2"/>
      </c>
      <c r="X331" s="2">
        <f t="shared" si="3"/>
      </c>
      <c r="Y331" s="2">
        <f t="shared" si="4"/>
      </c>
      <c r="Z331" s="2">
        <f t="shared" si="5"/>
        <v>0</v>
      </c>
      <c r="AA331" s="2">
        <f t="shared" si="6"/>
        <v>0</v>
      </c>
      <c r="AB331" s="2">
        <f t="shared" si="7"/>
        <v>0</v>
      </c>
      <c r="AC331" s="2">
        <f t="shared" si="8"/>
      </c>
    </row>
    <row r="332">
      <c r="A332" s="64" t="n"/>
      <c r="B332" s="65" t="n"/>
      <c r="C332" s="65" t="n"/>
      <c r="D332" s="65" t="n"/>
      <c r="E332" s="65" t="n"/>
      <c r="F332" s="66" t="n"/>
      <c r="G332" s="65" t="n"/>
      <c r="H332" s="66" t="n"/>
      <c r="I332" s="64" t="n"/>
      <c r="J332" s="68" t="n"/>
      <c r="K332" s="68" t="n"/>
      <c r="L332" s="68" t="n"/>
      <c r="M332" s="64" t="n"/>
      <c r="N332" s="64" t="n"/>
      <c r="O332" s="64" t="n"/>
      <c r="P332" s="64" t="n"/>
      <c r="Q332" s="64" t="n"/>
      <c r="R332" s="64" t="n"/>
      <c r="S332" s="66" t="n"/>
      <c r="T332" s="45" t="n"/>
      <c r="U332" s="43">
        <f t="shared" si="0"/>
      </c>
      <c r="V332" s="49">
        <f t="shared" si="1"/>
      </c>
      <c r="W332" s="49">
        <f t="shared" si="2"/>
      </c>
      <c r="X332" s="2">
        <f t="shared" si="3"/>
      </c>
      <c r="Y332" s="2">
        <f t="shared" si="4"/>
      </c>
      <c r="Z332" s="2">
        <f t="shared" si="5"/>
        <v>0</v>
      </c>
      <c r="AA332" s="2">
        <f t="shared" si="6"/>
        <v>0</v>
      </c>
      <c r="AB332" s="2">
        <f t="shared" si="7"/>
        <v>0</v>
      </c>
      <c r="AC332" s="2">
        <f t="shared" si="8"/>
      </c>
    </row>
    <row r="333">
      <c r="A333" s="64" t="n"/>
      <c r="B333" s="65" t="n"/>
      <c r="C333" s="65" t="n"/>
      <c r="D333" s="65" t="n"/>
      <c r="E333" s="65" t="n"/>
      <c r="F333" s="66" t="n"/>
      <c r="G333" s="65" t="n"/>
      <c r="H333" s="66" t="n"/>
      <c r="I333" s="64" t="n"/>
      <c r="J333" s="68" t="n"/>
      <c r="K333" s="68" t="n"/>
      <c r="L333" s="68" t="n"/>
      <c r="M333" s="64" t="n"/>
      <c r="N333" s="64" t="n"/>
      <c r="O333" s="64" t="n"/>
      <c r="P333" s="64" t="n"/>
      <c r="Q333" s="64" t="n"/>
      <c r="R333" s="64" t="n"/>
      <c r="S333" s="66" t="n"/>
      <c r="T333" s="45" t="n"/>
      <c r="U333" s="43">
        <f t="shared" si="0"/>
      </c>
      <c r="V333" s="49">
        <f t="shared" si="1"/>
      </c>
      <c r="W333" s="49">
        <f t="shared" si="2"/>
      </c>
      <c r="X333" s="2">
        <f t="shared" si="3"/>
      </c>
      <c r="Y333" s="2">
        <f t="shared" si="4"/>
      </c>
      <c r="Z333" s="2">
        <f t="shared" si="5"/>
        <v>0</v>
      </c>
      <c r="AA333" s="2">
        <f t="shared" si="6"/>
        <v>0</v>
      </c>
      <c r="AB333" s="2">
        <f t="shared" si="7"/>
        <v>0</v>
      </c>
      <c r="AC333" s="2">
        <f t="shared" si="8"/>
      </c>
    </row>
    <row r="334">
      <c r="A334" s="64" t="n"/>
      <c r="B334" s="65" t="n"/>
      <c r="C334" s="65" t="n"/>
      <c r="D334" s="65" t="n"/>
      <c r="E334" s="65" t="n"/>
      <c r="F334" s="66" t="n"/>
      <c r="G334" s="65" t="n"/>
      <c r="H334" s="66" t="n"/>
      <c r="I334" s="64" t="n"/>
      <c r="J334" s="68" t="n"/>
      <c r="K334" s="68" t="n"/>
      <c r="L334" s="68" t="n"/>
      <c r="M334" s="64" t="n"/>
      <c r="N334" s="64" t="n"/>
      <c r="O334" s="64" t="n"/>
      <c r="P334" s="64" t="n"/>
      <c r="Q334" s="64" t="n"/>
      <c r="R334" s="64" t="n"/>
      <c r="S334" s="66" t="n"/>
      <c r="T334" s="45" t="n"/>
      <c r="U334" s="43">
        <f t="shared" si="0"/>
      </c>
      <c r="V334" s="49">
        <f t="shared" si="1"/>
      </c>
      <c r="W334" s="49">
        <f t="shared" si="2"/>
      </c>
      <c r="X334" s="2">
        <f t="shared" si="3"/>
      </c>
      <c r="Y334" s="2">
        <f t="shared" si="4"/>
      </c>
      <c r="Z334" s="2">
        <f t="shared" si="5"/>
        <v>0</v>
      </c>
      <c r="AA334" s="2">
        <f t="shared" si="6"/>
        <v>0</v>
      </c>
      <c r="AB334" s="2">
        <f t="shared" si="7"/>
        <v>0</v>
      </c>
      <c r="AC334" s="2">
        <f t="shared" si="8"/>
      </c>
    </row>
    <row r="335">
      <c r="A335" s="64" t="n"/>
      <c r="B335" s="65" t="n"/>
      <c r="C335" s="65" t="n"/>
      <c r="D335" s="65" t="n"/>
      <c r="E335" s="65" t="n"/>
      <c r="F335" s="66" t="n"/>
      <c r="G335" s="65" t="n"/>
      <c r="H335" s="66" t="n"/>
      <c r="I335" s="64" t="n"/>
      <c r="J335" s="68" t="n"/>
      <c r="K335" s="68" t="n"/>
      <c r="L335" s="68" t="n"/>
      <c r="M335" s="64" t="n"/>
      <c r="N335" s="64" t="n"/>
      <c r="O335" s="64" t="n"/>
      <c r="P335" s="64" t="n"/>
      <c r="Q335" s="64" t="n"/>
      <c r="R335" s="64" t="n"/>
      <c r="S335" s="66" t="n"/>
      <c r="T335" s="45" t="n"/>
      <c r="U335" s="43">
        <f t="shared" si="0"/>
      </c>
      <c r="V335" s="49">
        <f t="shared" si="1"/>
      </c>
      <c r="W335" s="49">
        <f t="shared" si="2"/>
      </c>
      <c r="X335" s="2">
        <f t="shared" si="3"/>
      </c>
      <c r="Y335" s="2">
        <f t="shared" si="4"/>
      </c>
      <c r="Z335" s="2">
        <f t="shared" si="5"/>
        <v>0</v>
      </c>
      <c r="AA335" s="2">
        <f t="shared" si="6"/>
        <v>0</v>
      </c>
      <c r="AB335" s="2">
        <f t="shared" si="7"/>
        <v>0</v>
      </c>
      <c r="AC335" s="2">
        <f t="shared" si="8"/>
      </c>
    </row>
    <row r="336">
      <c r="A336" s="64" t="n"/>
      <c r="B336" s="65" t="n"/>
      <c r="C336" s="65" t="n"/>
      <c r="D336" s="65" t="n"/>
      <c r="E336" s="65" t="n"/>
      <c r="F336" s="66" t="n"/>
      <c r="G336" s="65" t="n"/>
      <c r="H336" s="66" t="n"/>
      <c r="I336" s="64" t="n"/>
      <c r="J336" s="68" t="n"/>
      <c r="K336" s="68" t="n"/>
      <c r="L336" s="68" t="n"/>
      <c r="M336" s="64" t="n"/>
      <c r="N336" s="64" t="n"/>
      <c r="O336" s="64" t="n"/>
      <c r="P336" s="64" t="n"/>
      <c r="Q336" s="64" t="n"/>
      <c r="R336" s="64" t="n"/>
      <c r="S336" s="66" t="n"/>
      <c r="T336" s="45" t="n"/>
      <c r="U336" s="43">
        <f t="shared" si="0"/>
      </c>
      <c r="V336" s="49">
        <f t="shared" si="1"/>
      </c>
      <c r="W336" s="49">
        <f t="shared" si="2"/>
      </c>
      <c r="X336" s="2">
        <f t="shared" si="3"/>
      </c>
      <c r="Y336" s="2">
        <f t="shared" si="4"/>
      </c>
      <c r="Z336" s="2">
        <f t="shared" si="5"/>
        <v>0</v>
      </c>
      <c r="AA336" s="2">
        <f t="shared" si="6"/>
        <v>0</v>
      </c>
      <c r="AB336" s="2">
        <f t="shared" si="7"/>
        <v>0</v>
      </c>
      <c r="AC336" s="2">
        <f t="shared" si="8"/>
      </c>
    </row>
    <row r="337">
      <c r="A337" s="64" t="n"/>
      <c r="B337" s="65" t="n"/>
      <c r="C337" s="65" t="n"/>
      <c r="D337" s="65" t="n"/>
      <c r="E337" s="65" t="n"/>
      <c r="F337" s="66" t="n"/>
      <c r="G337" s="65" t="n"/>
      <c r="H337" s="66" t="n"/>
      <c r="I337" s="64" t="n"/>
      <c r="J337" s="68" t="n"/>
      <c r="K337" s="68" t="n"/>
      <c r="L337" s="68" t="n"/>
      <c r="M337" s="64" t="n"/>
      <c r="N337" s="64" t="n"/>
      <c r="O337" s="64" t="n"/>
      <c r="P337" s="64" t="n"/>
      <c r="Q337" s="64" t="n"/>
      <c r="R337" s="64" t="n"/>
      <c r="S337" s="66" t="n"/>
      <c r="T337" s="45" t="n"/>
      <c r="U337" s="43">
        <f t="shared" si="0"/>
      </c>
      <c r="V337" s="49">
        <f t="shared" si="1"/>
      </c>
      <c r="W337" s="49">
        <f t="shared" si="2"/>
      </c>
      <c r="X337" s="2">
        <f t="shared" si="3"/>
      </c>
      <c r="Y337" s="2">
        <f t="shared" si="4"/>
      </c>
      <c r="Z337" s="2">
        <f t="shared" si="5"/>
        <v>0</v>
      </c>
      <c r="AA337" s="2">
        <f t="shared" si="6"/>
        <v>0</v>
      </c>
      <c r="AB337" s="2">
        <f t="shared" si="7"/>
        <v>0</v>
      </c>
      <c r="AC337" s="2">
        <f t="shared" si="8"/>
      </c>
    </row>
    <row r="338">
      <c r="A338" s="64" t="n"/>
      <c r="B338" s="65" t="n"/>
      <c r="C338" s="65" t="n"/>
      <c r="D338" s="65" t="n"/>
      <c r="E338" s="65" t="n"/>
      <c r="F338" s="66" t="n"/>
      <c r="G338" s="65" t="n"/>
      <c r="H338" s="66" t="n"/>
      <c r="I338" s="64" t="n"/>
      <c r="J338" s="68" t="n"/>
      <c r="K338" s="68" t="n"/>
      <c r="L338" s="68" t="n"/>
      <c r="M338" s="64" t="n"/>
      <c r="N338" s="64" t="n"/>
      <c r="O338" s="64" t="n"/>
      <c r="P338" s="64" t="n"/>
      <c r="Q338" s="64" t="n"/>
      <c r="R338" s="64" t="n"/>
      <c r="S338" s="66" t="n"/>
      <c r="T338" s="45" t="n"/>
      <c r="U338" s="43">
        <f t="shared" si="0"/>
      </c>
      <c r="V338" s="49">
        <f t="shared" si="1"/>
      </c>
      <c r="W338" s="49">
        <f t="shared" si="2"/>
      </c>
      <c r="X338" s="2">
        <f t="shared" si="3"/>
      </c>
      <c r="Y338" s="2">
        <f t="shared" si="4"/>
      </c>
      <c r="Z338" s="2">
        <f t="shared" si="5"/>
        <v>0</v>
      </c>
      <c r="AA338" s="2">
        <f t="shared" si="6"/>
        <v>0</v>
      </c>
      <c r="AB338" s="2">
        <f t="shared" si="7"/>
        <v>0</v>
      </c>
      <c r="AC338" s="2">
        <f t="shared" si="8"/>
      </c>
    </row>
    <row r="339">
      <c r="A339" s="64" t="n"/>
      <c r="B339" s="65" t="n"/>
      <c r="C339" s="65" t="n"/>
      <c r="D339" s="65" t="n"/>
      <c r="E339" s="65" t="n"/>
      <c r="F339" s="66" t="n"/>
      <c r="G339" s="65" t="n"/>
      <c r="H339" s="66" t="n"/>
      <c r="I339" s="64" t="n"/>
      <c r="J339" s="68" t="n"/>
      <c r="K339" s="68" t="n"/>
      <c r="L339" s="68" t="n"/>
      <c r="M339" s="64" t="n"/>
      <c r="N339" s="64" t="n"/>
      <c r="O339" s="64" t="n"/>
      <c r="P339" s="64" t="n"/>
      <c r="Q339" s="64" t="n"/>
      <c r="R339" s="64" t="n"/>
      <c r="S339" s="66" t="n"/>
      <c r="T339" s="45" t="n"/>
      <c r="U339" s="43">
        <f t="shared" si="0"/>
      </c>
      <c r="V339" s="49">
        <f t="shared" si="1"/>
      </c>
      <c r="W339" s="49">
        <f t="shared" si="2"/>
      </c>
      <c r="X339" s="2">
        <f t="shared" si="3"/>
      </c>
      <c r="Y339" s="2">
        <f t="shared" si="4"/>
      </c>
      <c r="Z339" s="2">
        <f t="shared" si="5"/>
        <v>0</v>
      </c>
      <c r="AA339" s="2">
        <f t="shared" si="6"/>
        <v>0</v>
      </c>
      <c r="AB339" s="2">
        <f t="shared" si="7"/>
        <v>0</v>
      </c>
      <c r="AC339" s="2">
        <f t="shared" si="8"/>
      </c>
    </row>
    <row r="340">
      <c r="A340" s="64" t="n"/>
      <c r="B340" s="65" t="n"/>
      <c r="C340" s="65" t="n"/>
      <c r="D340" s="65" t="n"/>
      <c r="E340" s="65" t="n"/>
      <c r="F340" s="66" t="n"/>
      <c r="G340" s="65" t="n"/>
      <c r="H340" s="66" t="n"/>
      <c r="I340" s="64" t="n"/>
      <c r="J340" s="68" t="n"/>
      <c r="K340" s="68" t="n"/>
      <c r="L340" s="68" t="n"/>
      <c r="M340" s="64" t="n"/>
      <c r="N340" s="64" t="n"/>
      <c r="O340" s="64" t="n"/>
      <c r="P340" s="64" t="n"/>
      <c r="Q340" s="64" t="n"/>
      <c r="R340" s="64" t="n"/>
      <c r="S340" s="66" t="n"/>
      <c r="T340" s="45" t="n"/>
      <c r="U340" s="43">
        <f t="shared" si="0"/>
      </c>
      <c r="V340" s="49">
        <f t="shared" si="1"/>
      </c>
      <c r="W340" s="49">
        <f t="shared" si="2"/>
      </c>
      <c r="X340" s="2">
        <f t="shared" si="3"/>
      </c>
      <c r="Y340" s="2">
        <f t="shared" si="4"/>
      </c>
      <c r="Z340" s="2">
        <f t="shared" si="5"/>
        <v>0</v>
      </c>
      <c r="AA340" s="2">
        <f t="shared" si="6"/>
        <v>0</v>
      </c>
      <c r="AB340" s="2">
        <f t="shared" si="7"/>
        <v>0</v>
      </c>
      <c r="AC340" s="2">
        <f t="shared" si="8"/>
      </c>
    </row>
    <row r="341">
      <c r="A341" s="64" t="n"/>
      <c r="B341" s="65" t="n"/>
      <c r="C341" s="65" t="n"/>
      <c r="D341" s="65" t="n"/>
      <c r="E341" s="65" t="n"/>
      <c r="F341" s="66" t="n"/>
      <c r="G341" s="65" t="n"/>
      <c r="H341" s="66" t="n"/>
      <c r="I341" s="64" t="n"/>
      <c r="J341" s="68" t="n"/>
      <c r="K341" s="68" t="n"/>
      <c r="L341" s="68" t="n"/>
      <c r="M341" s="64" t="n"/>
      <c r="N341" s="64" t="n"/>
      <c r="O341" s="64" t="n"/>
      <c r="P341" s="64" t="n"/>
      <c r="Q341" s="64" t="n"/>
      <c r="R341" s="64" t="n"/>
      <c r="S341" s="66" t="n"/>
      <c r="T341" s="45" t="n"/>
      <c r="U341" s="43">
        <f t="shared" si="0"/>
      </c>
      <c r="V341" s="49">
        <f t="shared" si="1"/>
      </c>
      <c r="W341" s="49">
        <f t="shared" si="2"/>
      </c>
      <c r="X341" s="2">
        <f t="shared" si="3"/>
      </c>
      <c r="Y341" s="2">
        <f t="shared" si="4"/>
      </c>
      <c r="Z341" s="2">
        <f t="shared" si="5"/>
        <v>0</v>
      </c>
      <c r="AA341" s="2">
        <f t="shared" si="6"/>
        <v>0</v>
      </c>
      <c r="AB341" s="2">
        <f t="shared" si="7"/>
        <v>0</v>
      </c>
      <c r="AC341" s="2">
        <f t="shared" si="8"/>
      </c>
    </row>
    <row r="342">
      <c r="A342" s="64" t="n"/>
      <c r="B342" s="65" t="n"/>
      <c r="C342" s="65" t="n"/>
      <c r="D342" s="65" t="n"/>
      <c r="E342" s="65" t="n"/>
      <c r="F342" s="66" t="n"/>
      <c r="G342" s="65" t="n"/>
      <c r="H342" s="66" t="n"/>
      <c r="I342" s="64" t="n"/>
      <c r="J342" s="68" t="n"/>
      <c r="K342" s="68" t="n"/>
      <c r="L342" s="68" t="n"/>
      <c r="M342" s="64" t="n"/>
      <c r="N342" s="64" t="n"/>
      <c r="O342" s="64" t="n"/>
      <c r="P342" s="64" t="n"/>
      <c r="Q342" s="64" t="n"/>
      <c r="R342" s="64" t="n"/>
      <c r="S342" s="66" t="n"/>
      <c r="T342" s="45" t="n"/>
      <c r="U342" s="43">
        <f t="shared" si="0"/>
      </c>
      <c r="V342" s="49">
        <f t="shared" si="1"/>
      </c>
      <c r="W342" s="49">
        <f t="shared" si="2"/>
      </c>
      <c r="X342" s="2">
        <f t="shared" si="3"/>
      </c>
      <c r="Y342" s="2">
        <f t="shared" si="4"/>
      </c>
      <c r="Z342" s="2">
        <f t="shared" si="5"/>
        <v>0</v>
      </c>
      <c r="AA342" s="2">
        <f t="shared" si="6"/>
        <v>0</v>
      </c>
      <c r="AB342" s="2">
        <f t="shared" si="7"/>
        <v>0</v>
      </c>
      <c r="AC342" s="2">
        <f t="shared" si="8"/>
      </c>
    </row>
    <row r="343">
      <c r="A343" s="64" t="n"/>
      <c r="B343" s="65" t="n"/>
      <c r="C343" s="65" t="n"/>
      <c r="D343" s="65" t="n"/>
      <c r="E343" s="65" t="n"/>
      <c r="F343" s="66" t="n"/>
      <c r="G343" s="65" t="n"/>
      <c r="H343" s="66" t="n"/>
      <c r="I343" s="64" t="n"/>
      <c r="J343" s="68" t="n"/>
      <c r="K343" s="68" t="n"/>
      <c r="L343" s="68" t="n"/>
      <c r="M343" s="64" t="n"/>
      <c r="N343" s="64" t="n"/>
      <c r="O343" s="64" t="n"/>
      <c r="P343" s="64" t="n"/>
      <c r="Q343" s="64" t="n"/>
      <c r="R343" s="64" t="n"/>
      <c r="S343" s="66" t="n"/>
      <c r="T343" s="45" t="n"/>
      <c r="U343" s="43">
        <f t="shared" si="0"/>
      </c>
      <c r="V343" s="49">
        <f t="shared" si="1"/>
      </c>
      <c r="W343" s="49">
        <f t="shared" si="2"/>
      </c>
      <c r="X343" s="2">
        <f t="shared" si="3"/>
      </c>
      <c r="Y343" s="2">
        <f t="shared" si="4"/>
      </c>
      <c r="Z343" s="2">
        <f t="shared" si="5"/>
        <v>0</v>
      </c>
      <c r="AA343" s="2">
        <f t="shared" si="6"/>
        <v>0</v>
      </c>
      <c r="AB343" s="2">
        <f t="shared" si="7"/>
        <v>0</v>
      </c>
      <c r="AC343" s="2">
        <f t="shared" si="8"/>
      </c>
    </row>
    <row r="344">
      <c r="A344" s="64" t="n"/>
      <c r="B344" s="65" t="n"/>
      <c r="C344" s="65" t="n"/>
      <c r="D344" s="65" t="n"/>
      <c r="E344" s="65" t="n"/>
      <c r="F344" s="66" t="n"/>
      <c r="G344" s="65" t="n"/>
      <c r="H344" s="66" t="n"/>
      <c r="I344" s="64" t="n"/>
      <c r="J344" s="68" t="n"/>
      <c r="K344" s="68" t="n"/>
      <c r="L344" s="68" t="n"/>
      <c r="M344" s="64" t="n"/>
      <c r="N344" s="64" t="n"/>
      <c r="O344" s="64" t="n"/>
      <c r="P344" s="64" t="n"/>
      <c r="Q344" s="64" t="n"/>
      <c r="R344" s="64" t="n"/>
      <c r="S344" s="66" t="n"/>
      <c r="T344" s="45" t="n"/>
      <c r="U344" s="43">
        <f t="shared" si="0"/>
      </c>
      <c r="V344" s="49">
        <f t="shared" si="1"/>
      </c>
      <c r="W344" s="49">
        <f t="shared" si="2"/>
      </c>
      <c r="X344" s="2">
        <f t="shared" si="3"/>
      </c>
      <c r="Y344" s="2">
        <f t="shared" si="4"/>
      </c>
      <c r="Z344" s="2">
        <f t="shared" si="5"/>
        <v>0</v>
      </c>
      <c r="AA344" s="2">
        <f t="shared" si="6"/>
        <v>0</v>
      </c>
      <c r="AB344" s="2">
        <f t="shared" si="7"/>
        <v>0</v>
      </c>
      <c r="AC344" s="2">
        <f t="shared" si="8"/>
      </c>
    </row>
    <row r="345">
      <c r="A345" s="64" t="n"/>
      <c r="B345" s="65" t="n"/>
      <c r="C345" s="65" t="n"/>
      <c r="D345" s="65" t="n"/>
      <c r="E345" s="65" t="n"/>
      <c r="F345" s="66" t="n"/>
      <c r="G345" s="65" t="n"/>
      <c r="H345" s="66" t="n"/>
      <c r="I345" s="64" t="n"/>
      <c r="J345" s="68" t="n"/>
      <c r="K345" s="68" t="n"/>
      <c r="L345" s="68" t="n"/>
      <c r="M345" s="64" t="n"/>
      <c r="N345" s="64" t="n"/>
      <c r="O345" s="64" t="n"/>
      <c r="P345" s="64" t="n"/>
      <c r="Q345" s="64" t="n"/>
      <c r="R345" s="64" t="n"/>
      <c r="S345" s="66" t="n"/>
      <c r="T345" s="45" t="n"/>
      <c r="U345" s="43">
        <f t="shared" si="0"/>
      </c>
      <c r="V345" s="49">
        <f t="shared" si="1"/>
      </c>
      <c r="W345" s="49">
        <f t="shared" si="2"/>
      </c>
      <c r="X345" s="2">
        <f t="shared" si="3"/>
      </c>
      <c r="Y345" s="2">
        <f t="shared" si="4"/>
      </c>
      <c r="Z345" s="2">
        <f t="shared" si="5"/>
        <v>0</v>
      </c>
      <c r="AA345" s="2">
        <f t="shared" si="6"/>
        <v>0</v>
      </c>
      <c r="AB345" s="2">
        <f t="shared" si="7"/>
        <v>0</v>
      </c>
      <c r="AC345" s="2">
        <f t="shared" si="8"/>
      </c>
    </row>
    <row r="346">
      <c r="A346" s="64" t="n"/>
      <c r="B346" s="65" t="n"/>
      <c r="C346" s="65" t="n"/>
      <c r="D346" s="65" t="n"/>
      <c r="E346" s="65" t="n"/>
      <c r="F346" s="66" t="n"/>
      <c r="G346" s="65" t="n"/>
      <c r="H346" s="66" t="n"/>
      <c r="I346" s="64" t="n"/>
      <c r="J346" s="68" t="n"/>
      <c r="K346" s="68" t="n"/>
      <c r="L346" s="68" t="n"/>
      <c r="M346" s="64" t="n"/>
      <c r="N346" s="64" t="n"/>
      <c r="O346" s="64" t="n"/>
      <c r="P346" s="64" t="n"/>
      <c r="Q346" s="64" t="n"/>
      <c r="R346" s="64" t="n"/>
      <c r="S346" s="66" t="n"/>
      <c r="T346" s="45" t="n"/>
      <c r="U346" s="43">
        <f t="shared" si="0"/>
      </c>
      <c r="V346" s="49">
        <f t="shared" si="1"/>
      </c>
      <c r="W346" s="49">
        <f t="shared" si="2"/>
      </c>
      <c r="X346" s="2">
        <f t="shared" si="3"/>
      </c>
      <c r="Y346" s="2">
        <f t="shared" si="4"/>
      </c>
      <c r="Z346" s="2">
        <f t="shared" si="5"/>
        <v>0</v>
      </c>
      <c r="AA346" s="2">
        <f t="shared" si="6"/>
        <v>0</v>
      </c>
      <c r="AB346" s="2">
        <f t="shared" si="7"/>
        <v>0</v>
      </c>
      <c r="AC346" s="2">
        <f t="shared" si="8"/>
      </c>
    </row>
    <row r="347">
      <c r="A347" s="64" t="n"/>
      <c r="B347" s="65" t="n"/>
      <c r="C347" s="65" t="n"/>
      <c r="D347" s="65" t="n"/>
      <c r="E347" s="65" t="n"/>
      <c r="F347" s="66" t="n"/>
      <c r="G347" s="65" t="n"/>
      <c r="H347" s="66" t="n"/>
      <c r="I347" s="64" t="n"/>
      <c r="J347" s="68" t="n"/>
      <c r="K347" s="68" t="n"/>
      <c r="L347" s="68" t="n"/>
      <c r="M347" s="64" t="n"/>
      <c r="N347" s="64" t="n"/>
      <c r="O347" s="64" t="n"/>
      <c r="P347" s="64" t="n"/>
      <c r="Q347" s="64" t="n"/>
      <c r="R347" s="64" t="n"/>
      <c r="S347" s="66" t="n"/>
      <c r="T347" s="45" t="n"/>
      <c r="U347" s="43">
        <f t="shared" si="0"/>
      </c>
      <c r="V347" s="49">
        <f t="shared" si="1"/>
      </c>
      <c r="W347" s="49">
        <f t="shared" si="2"/>
      </c>
      <c r="X347" s="2">
        <f t="shared" si="3"/>
      </c>
      <c r="Y347" s="2">
        <f t="shared" si="4"/>
      </c>
      <c r="Z347" s="2">
        <f t="shared" si="5"/>
        <v>0</v>
      </c>
      <c r="AA347" s="2">
        <f t="shared" si="6"/>
        <v>0</v>
      </c>
      <c r="AB347" s="2">
        <f t="shared" si="7"/>
        <v>0</v>
      </c>
      <c r="AC347" s="2">
        <f t="shared" si="8"/>
      </c>
    </row>
    <row r="348">
      <c r="A348" s="64" t="n"/>
      <c r="B348" s="65" t="n"/>
      <c r="C348" s="65" t="n"/>
      <c r="D348" s="65" t="n"/>
      <c r="E348" s="65" t="n"/>
      <c r="F348" s="66" t="n"/>
      <c r="G348" s="65" t="n"/>
      <c r="H348" s="66" t="n"/>
      <c r="I348" s="64" t="n"/>
      <c r="J348" s="68" t="n"/>
      <c r="K348" s="68" t="n"/>
      <c r="L348" s="68" t="n"/>
      <c r="M348" s="64" t="n"/>
      <c r="N348" s="64" t="n"/>
      <c r="O348" s="64" t="n"/>
      <c r="P348" s="64" t="n"/>
      <c r="Q348" s="64" t="n"/>
      <c r="R348" s="64" t="n"/>
      <c r="S348" s="66" t="n"/>
      <c r="T348" s="45" t="n"/>
      <c r="U348" s="43">
        <f t="shared" si="0"/>
      </c>
      <c r="V348" s="49">
        <f t="shared" si="1"/>
      </c>
      <c r="W348" s="49">
        <f t="shared" si="2"/>
      </c>
      <c r="X348" s="2">
        <f t="shared" si="3"/>
      </c>
      <c r="Y348" s="2">
        <f t="shared" si="4"/>
      </c>
      <c r="Z348" s="2">
        <f t="shared" si="5"/>
        <v>0</v>
      </c>
      <c r="AA348" s="2">
        <f t="shared" si="6"/>
        <v>0</v>
      </c>
      <c r="AB348" s="2">
        <f t="shared" si="7"/>
        <v>0</v>
      </c>
      <c r="AC348" s="2">
        <f t="shared" si="8"/>
      </c>
    </row>
    <row r="349">
      <c r="A349" s="64" t="n"/>
      <c r="B349" s="65" t="n"/>
      <c r="C349" s="65" t="n"/>
      <c r="D349" s="65" t="n"/>
      <c r="E349" s="65" t="n"/>
      <c r="F349" s="66" t="n"/>
      <c r="G349" s="65" t="n"/>
      <c r="H349" s="66" t="n"/>
      <c r="I349" s="64" t="n"/>
      <c r="J349" s="68" t="n"/>
      <c r="K349" s="68" t="n"/>
      <c r="L349" s="68" t="n"/>
      <c r="M349" s="64" t="n"/>
      <c r="N349" s="64" t="n"/>
      <c r="O349" s="64" t="n"/>
      <c r="P349" s="64" t="n"/>
      <c r="Q349" s="64" t="n"/>
      <c r="R349" s="64" t="n"/>
      <c r="S349" s="66" t="n"/>
      <c r="T349" s="45" t="n"/>
      <c r="U349" s="43">
        <f t="shared" si="0"/>
      </c>
      <c r="V349" s="49">
        <f t="shared" si="1"/>
      </c>
      <c r="W349" s="49">
        <f t="shared" si="2"/>
      </c>
      <c r="X349" s="2">
        <f t="shared" si="3"/>
      </c>
      <c r="Y349" s="2">
        <f t="shared" si="4"/>
      </c>
      <c r="Z349" s="2">
        <f t="shared" si="5"/>
        <v>0</v>
      </c>
      <c r="AA349" s="2">
        <f t="shared" si="6"/>
        <v>0</v>
      </c>
      <c r="AB349" s="2">
        <f t="shared" si="7"/>
        <v>0</v>
      </c>
      <c r="AC349" s="2">
        <f t="shared" si="8"/>
      </c>
    </row>
    <row r="350">
      <c r="A350" s="64" t="n"/>
      <c r="B350" s="65" t="n"/>
      <c r="C350" s="65" t="n"/>
      <c r="D350" s="65" t="n"/>
      <c r="E350" s="65" t="n"/>
      <c r="F350" s="66" t="n"/>
      <c r="G350" s="65" t="n"/>
      <c r="H350" s="66" t="n"/>
      <c r="I350" s="64" t="n"/>
      <c r="J350" s="68" t="n"/>
      <c r="K350" s="68" t="n"/>
      <c r="L350" s="68" t="n"/>
      <c r="M350" s="64" t="n"/>
      <c r="N350" s="64" t="n"/>
      <c r="O350" s="64" t="n"/>
      <c r="P350" s="64" t="n"/>
      <c r="Q350" s="64" t="n"/>
      <c r="R350" s="64" t="n"/>
      <c r="S350" s="66" t="n"/>
      <c r="T350" s="45" t="n"/>
      <c r="U350" s="43">
        <f t="shared" si="0"/>
      </c>
      <c r="V350" s="49">
        <f t="shared" si="1"/>
      </c>
      <c r="W350" s="49">
        <f t="shared" si="2"/>
      </c>
      <c r="X350" s="2">
        <f t="shared" si="3"/>
      </c>
      <c r="Y350" s="2">
        <f t="shared" si="4"/>
      </c>
      <c r="Z350" s="2">
        <f t="shared" si="5"/>
        <v>0</v>
      </c>
      <c r="AA350" s="2">
        <f t="shared" si="6"/>
        <v>0</v>
      </c>
      <c r="AB350" s="2">
        <f t="shared" si="7"/>
        <v>0</v>
      </c>
      <c r="AC350" s="2">
        <f t="shared" si="8"/>
      </c>
    </row>
    <row r="351">
      <c r="A351" s="64" t="n"/>
      <c r="B351" s="65" t="n"/>
      <c r="C351" s="65" t="n"/>
      <c r="D351" s="65" t="n"/>
      <c r="E351" s="65" t="n"/>
      <c r="F351" s="66" t="n"/>
      <c r="G351" s="65" t="n"/>
      <c r="H351" s="66" t="n"/>
      <c r="I351" s="64" t="n"/>
      <c r="J351" s="68" t="n"/>
      <c r="K351" s="68" t="n"/>
      <c r="L351" s="68" t="n"/>
      <c r="M351" s="64" t="n"/>
      <c r="N351" s="64" t="n"/>
      <c r="O351" s="64" t="n"/>
      <c r="P351" s="64" t="n"/>
      <c r="Q351" s="64" t="n"/>
      <c r="R351" s="64" t="n"/>
      <c r="S351" s="66" t="n"/>
      <c r="T351" s="45" t="n"/>
      <c r="U351" s="43">
        <f t="shared" si="0"/>
      </c>
      <c r="V351" s="49">
        <f t="shared" si="1"/>
      </c>
      <c r="W351" s="49">
        <f t="shared" si="2"/>
      </c>
      <c r="X351" s="2">
        <f t="shared" si="3"/>
      </c>
      <c r="Y351" s="2">
        <f t="shared" si="4"/>
      </c>
      <c r="Z351" s="2">
        <f t="shared" si="5"/>
        <v>0</v>
      </c>
      <c r="AA351" s="2">
        <f t="shared" si="6"/>
        <v>0</v>
      </c>
      <c r="AB351" s="2">
        <f t="shared" si="7"/>
        <v>0</v>
      </c>
      <c r="AC351" s="2">
        <f t="shared" si="8"/>
      </c>
    </row>
    <row r="352">
      <c r="A352" s="64" t="n"/>
      <c r="B352" s="65" t="n"/>
      <c r="C352" s="65" t="n"/>
      <c r="D352" s="65" t="n"/>
      <c r="E352" s="65" t="n"/>
      <c r="F352" s="66" t="n"/>
      <c r="G352" s="65" t="n"/>
      <c r="H352" s="66" t="n"/>
      <c r="I352" s="64" t="n"/>
      <c r="J352" s="68" t="n"/>
      <c r="K352" s="68" t="n"/>
      <c r="L352" s="68" t="n"/>
      <c r="M352" s="64" t="n"/>
      <c r="N352" s="64" t="n"/>
      <c r="O352" s="64" t="n"/>
      <c r="P352" s="64" t="n"/>
      <c r="Q352" s="64" t="n"/>
      <c r="R352" s="64" t="n"/>
      <c r="S352" s="66" t="n"/>
      <c r="T352" s="45" t="n"/>
      <c r="U352" s="43">
        <f t="shared" si="0"/>
      </c>
      <c r="V352" s="49">
        <f t="shared" si="1"/>
      </c>
      <c r="W352" s="49">
        <f t="shared" si="2"/>
      </c>
      <c r="X352" s="2">
        <f t="shared" si="3"/>
      </c>
      <c r="Y352" s="2">
        <f t="shared" si="4"/>
      </c>
      <c r="Z352" s="2">
        <f t="shared" si="5"/>
        <v>0</v>
      </c>
      <c r="AA352" s="2">
        <f t="shared" si="6"/>
        <v>0</v>
      </c>
      <c r="AB352" s="2">
        <f t="shared" si="7"/>
        <v>0</v>
      </c>
      <c r="AC352" s="2">
        <f t="shared" si="8"/>
      </c>
    </row>
    <row r="353">
      <c r="A353" s="64" t="n"/>
      <c r="B353" s="65" t="n"/>
      <c r="C353" s="65" t="n"/>
      <c r="D353" s="65" t="n"/>
      <c r="E353" s="65" t="n"/>
      <c r="F353" s="66" t="n"/>
      <c r="G353" s="65" t="n"/>
      <c r="H353" s="66" t="n"/>
      <c r="I353" s="64" t="n"/>
      <c r="J353" s="68" t="n"/>
      <c r="K353" s="68" t="n"/>
      <c r="L353" s="68" t="n"/>
      <c r="M353" s="64" t="n"/>
      <c r="N353" s="64" t="n"/>
      <c r="O353" s="64" t="n"/>
      <c r="P353" s="64" t="n"/>
      <c r="Q353" s="64" t="n"/>
      <c r="R353" s="64" t="n"/>
      <c r="S353" s="66" t="n"/>
      <c r="T353" s="45" t="n"/>
      <c r="U353" s="43">
        <f t="shared" si="0"/>
      </c>
      <c r="V353" s="49">
        <f t="shared" si="1"/>
      </c>
      <c r="W353" s="49">
        <f t="shared" si="2"/>
      </c>
      <c r="X353" s="2">
        <f t="shared" si="3"/>
      </c>
      <c r="Y353" s="2">
        <f t="shared" si="4"/>
      </c>
      <c r="Z353" s="2">
        <f t="shared" si="5"/>
        <v>0</v>
      </c>
      <c r="AA353" s="2">
        <f t="shared" si="6"/>
        <v>0</v>
      </c>
      <c r="AB353" s="2">
        <f t="shared" si="7"/>
        <v>0</v>
      </c>
      <c r="AC353" s="2">
        <f t="shared" si="8"/>
      </c>
    </row>
    <row r="354">
      <c r="A354" s="64" t="n"/>
      <c r="B354" s="65" t="n"/>
      <c r="C354" s="65" t="n"/>
      <c r="D354" s="65" t="n"/>
      <c r="E354" s="65" t="n"/>
      <c r="F354" s="66" t="n"/>
      <c r="G354" s="65" t="n"/>
      <c r="H354" s="66" t="n"/>
      <c r="I354" s="64" t="n"/>
      <c r="J354" s="68" t="n"/>
      <c r="K354" s="68" t="n"/>
      <c r="L354" s="68" t="n"/>
      <c r="M354" s="64" t="n"/>
      <c r="N354" s="64" t="n"/>
      <c r="O354" s="64" t="n"/>
      <c r="P354" s="64" t="n"/>
      <c r="Q354" s="64" t="n"/>
      <c r="R354" s="64" t="n"/>
      <c r="S354" s="66" t="n"/>
      <c r="T354" s="45" t="n"/>
      <c r="U354" s="43">
        <f t="shared" si="0"/>
      </c>
      <c r="V354" s="49">
        <f t="shared" si="1"/>
      </c>
      <c r="W354" s="49">
        <f t="shared" si="2"/>
      </c>
      <c r="X354" s="2">
        <f t="shared" si="3"/>
      </c>
      <c r="Y354" s="2">
        <f t="shared" si="4"/>
      </c>
      <c r="Z354" s="2">
        <f t="shared" si="5"/>
        <v>0</v>
      </c>
      <c r="AA354" s="2">
        <f t="shared" si="6"/>
        <v>0</v>
      </c>
      <c r="AB354" s="2">
        <f t="shared" si="7"/>
        <v>0</v>
      </c>
      <c r="AC354" s="2">
        <f t="shared" si="8"/>
      </c>
    </row>
    <row r="355">
      <c r="A355" s="64" t="n"/>
      <c r="B355" s="65" t="n"/>
      <c r="C355" s="65" t="n"/>
      <c r="D355" s="65" t="n"/>
      <c r="E355" s="65" t="n"/>
      <c r="F355" s="66" t="n"/>
      <c r="G355" s="65" t="n"/>
      <c r="H355" s="66" t="n"/>
      <c r="I355" s="64" t="n"/>
      <c r="J355" s="68" t="n"/>
      <c r="K355" s="68" t="n"/>
      <c r="L355" s="68" t="n"/>
      <c r="M355" s="64" t="n"/>
      <c r="N355" s="64" t="n"/>
      <c r="O355" s="64" t="n"/>
      <c r="P355" s="64" t="n"/>
      <c r="Q355" s="64" t="n"/>
      <c r="R355" s="64" t="n"/>
      <c r="S355" s="66" t="n"/>
      <c r="T355" s="45" t="n"/>
      <c r="U355" s="43">
        <f t="shared" si="0"/>
      </c>
      <c r="V355" s="49">
        <f t="shared" si="1"/>
      </c>
      <c r="W355" s="49">
        <f t="shared" si="2"/>
      </c>
      <c r="X355" s="2">
        <f t="shared" si="3"/>
      </c>
      <c r="Y355" s="2">
        <f t="shared" si="4"/>
      </c>
      <c r="Z355" s="2">
        <f t="shared" si="5"/>
        <v>0</v>
      </c>
      <c r="AA355" s="2">
        <f t="shared" si="6"/>
        <v>0</v>
      </c>
      <c r="AB355" s="2">
        <f t="shared" si="7"/>
        <v>0</v>
      </c>
      <c r="AC355" s="2">
        <f t="shared" si="8"/>
      </c>
    </row>
    <row r="356">
      <c r="A356" s="64" t="n"/>
      <c r="B356" s="65" t="n"/>
      <c r="C356" s="65" t="n"/>
      <c r="D356" s="65" t="n"/>
      <c r="E356" s="65" t="n"/>
      <c r="F356" s="66" t="n"/>
      <c r="G356" s="65" t="n"/>
      <c r="H356" s="66" t="n"/>
      <c r="I356" s="64" t="n"/>
      <c r="J356" s="68" t="n"/>
      <c r="K356" s="68" t="n"/>
      <c r="L356" s="68" t="n"/>
      <c r="M356" s="64" t="n"/>
      <c r="N356" s="64" t="n"/>
      <c r="O356" s="64" t="n"/>
      <c r="P356" s="64" t="n"/>
      <c r="Q356" s="64" t="n"/>
      <c r="R356" s="64" t="n"/>
      <c r="S356" s="66" t="n"/>
      <c r="T356" s="45" t="n"/>
      <c r="U356" s="43">
        <f t="shared" si="0"/>
      </c>
      <c r="V356" s="49">
        <f t="shared" si="1"/>
      </c>
      <c r="W356" s="49">
        <f t="shared" si="2"/>
      </c>
      <c r="X356" s="2">
        <f t="shared" si="3"/>
      </c>
      <c r="Y356" s="2">
        <f t="shared" si="4"/>
      </c>
      <c r="Z356" s="2">
        <f t="shared" si="5"/>
        <v>0</v>
      </c>
      <c r="AA356" s="2">
        <f t="shared" si="6"/>
        <v>0</v>
      </c>
      <c r="AB356" s="2">
        <f t="shared" si="7"/>
        <v>0</v>
      </c>
      <c r="AC356" s="2">
        <f t="shared" si="8"/>
      </c>
    </row>
    <row r="357">
      <c r="A357" s="64" t="n"/>
      <c r="B357" s="65" t="n"/>
      <c r="C357" s="65" t="n"/>
      <c r="D357" s="65" t="n"/>
      <c r="E357" s="65" t="n"/>
      <c r="F357" s="66" t="n"/>
      <c r="G357" s="65" t="n"/>
      <c r="H357" s="66" t="n"/>
      <c r="I357" s="64" t="n"/>
      <c r="J357" s="68" t="n"/>
      <c r="K357" s="68" t="n"/>
      <c r="L357" s="68" t="n"/>
      <c r="M357" s="64" t="n"/>
      <c r="N357" s="64" t="n"/>
      <c r="O357" s="64" t="n"/>
      <c r="P357" s="64" t="n"/>
      <c r="Q357" s="64" t="n"/>
      <c r="R357" s="64" t="n"/>
      <c r="S357" s="66" t="n"/>
      <c r="T357" s="45" t="n"/>
      <c r="U357" s="43">
        <f t="shared" si="0"/>
      </c>
      <c r="V357" s="49">
        <f t="shared" si="1"/>
      </c>
      <c r="W357" s="49">
        <f t="shared" si="2"/>
      </c>
      <c r="X357" s="2">
        <f t="shared" si="3"/>
      </c>
      <c r="Y357" s="2">
        <f t="shared" si="4"/>
      </c>
      <c r="Z357" s="2">
        <f t="shared" si="5"/>
        <v>0</v>
      </c>
      <c r="AA357" s="2">
        <f t="shared" si="6"/>
        <v>0</v>
      </c>
      <c r="AB357" s="2">
        <f t="shared" si="7"/>
        <v>0</v>
      </c>
      <c r="AC357" s="2">
        <f t="shared" si="8"/>
      </c>
    </row>
    <row r="358">
      <c r="A358" s="64" t="n"/>
      <c r="B358" s="65" t="n"/>
      <c r="C358" s="65" t="n"/>
      <c r="D358" s="65" t="n"/>
      <c r="E358" s="65" t="n"/>
      <c r="F358" s="66" t="n"/>
      <c r="G358" s="65" t="n"/>
      <c r="H358" s="66" t="n"/>
      <c r="I358" s="64" t="n"/>
      <c r="J358" s="68" t="n"/>
      <c r="K358" s="68" t="n"/>
      <c r="L358" s="68" t="n"/>
      <c r="M358" s="64" t="n"/>
      <c r="N358" s="64" t="n"/>
      <c r="O358" s="64" t="n"/>
      <c r="P358" s="64" t="n"/>
      <c r="Q358" s="64" t="n"/>
      <c r="R358" s="64" t="n"/>
      <c r="S358" s="66" t="n"/>
      <c r="T358" s="45" t="n"/>
      <c r="U358" s="43">
        <f t="shared" si="0"/>
      </c>
      <c r="V358" s="49">
        <f t="shared" si="1"/>
      </c>
      <c r="W358" s="49">
        <f t="shared" si="2"/>
      </c>
      <c r="X358" s="2">
        <f t="shared" si="3"/>
      </c>
      <c r="Y358" s="2">
        <f t="shared" si="4"/>
      </c>
      <c r="Z358" s="2">
        <f t="shared" si="5"/>
        <v>0</v>
      </c>
      <c r="AA358" s="2">
        <f t="shared" si="6"/>
        <v>0</v>
      </c>
      <c r="AB358" s="2">
        <f t="shared" si="7"/>
        <v>0</v>
      </c>
      <c r="AC358" s="2">
        <f t="shared" si="8"/>
      </c>
    </row>
    <row r="359">
      <c r="A359" s="64" t="n"/>
      <c r="B359" s="65" t="n"/>
      <c r="C359" s="65" t="n"/>
      <c r="D359" s="65" t="n"/>
      <c r="E359" s="65" t="n"/>
      <c r="F359" s="66" t="n"/>
      <c r="G359" s="65" t="n"/>
      <c r="H359" s="66" t="n"/>
      <c r="I359" s="64" t="n"/>
      <c r="J359" s="68" t="n"/>
      <c r="K359" s="68" t="n"/>
      <c r="L359" s="68" t="n"/>
      <c r="M359" s="64" t="n"/>
      <c r="N359" s="64" t="n"/>
      <c r="O359" s="64" t="n"/>
      <c r="P359" s="64" t="n"/>
      <c r="Q359" s="64" t="n"/>
      <c r="R359" s="64" t="n"/>
      <c r="S359" s="66" t="n"/>
      <c r="T359" s="45" t="n"/>
      <c r="U359" s="43">
        <f t="shared" si="0"/>
      </c>
      <c r="V359" s="49">
        <f t="shared" si="1"/>
      </c>
      <c r="W359" s="49">
        <f t="shared" si="2"/>
      </c>
      <c r="X359" s="2">
        <f t="shared" si="3"/>
      </c>
      <c r="Y359" s="2">
        <f t="shared" si="4"/>
      </c>
      <c r="Z359" s="2">
        <f t="shared" si="5"/>
        <v>0</v>
      </c>
      <c r="AA359" s="2">
        <f t="shared" si="6"/>
        <v>0</v>
      </c>
      <c r="AB359" s="2">
        <f t="shared" si="7"/>
        <v>0</v>
      </c>
      <c r="AC359" s="2">
        <f t="shared" si="8"/>
      </c>
    </row>
    <row r="360">
      <c r="A360" s="64" t="n"/>
      <c r="B360" s="65" t="n"/>
      <c r="C360" s="65" t="n"/>
      <c r="D360" s="65" t="n"/>
      <c r="E360" s="65" t="n"/>
      <c r="F360" s="66" t="n"/>
      <c r="G360" s="65" t="n"/>
      <c r="H360" s="66" t="n"/>
      <c r="I360" s="64" t="n"/>
      <c r="J360" s="68" t="n"/>
      <c r="K360" s="68" t="n"/>
      <c r="L360" s="68" t="n"/>
      <c r="M360" s="64" t="n"/>
      <c r="N360" s="64" t="n"/>
      <c r="O360" s="64" t="n"/>
      <c r="P360" s="64" t="n"/>
      <c r="Q360" s="64" t="n"/>
      <c r="R360" s="64" t="n"/>
      <c r="S360" s="66" t="n"/>
      <c r="T360" s="45" t="n"/>
      <c r="U360" s="43">
        <f t="shared" si="0"/>
      </c>
      <c r="V360" s="49">
        <f t="shared" si="1"/>
      </c>
      <c r="W360" s="49">
        <f t="shared" si="2"/>
      </c>
      <c r="X360" s="2">
        <f t="shared" si="3"/>
      </c>
      <c r="Y360" s="2">
        <f t="shared" si="4"/>
      </c>
      <c r="Z360" s="2">
        <f t="shared" si="5"/>
        <v>0</v>
      </c>
      <c r="AA360" s="2">
        <f t="shared" si="6"/>
        <v>0</v>
      </c>
      <c r="AB360" s="2">
        <f t="shared" si="7"/>
        <v>0</v>
      </c>
      <c r="AC360" s="2">
        <f t="shared" si="8"/>
      </c>
    </row>
    <row r="361">
      <c r="A361" s="64" t="n"/>
      <c r="B361" s="65" t="n"/>
      <c r="C361" s="65" t="n"/>
      <c r="D361" s="65" t="n"/>
      <c r="E361" s="65" t="n"/>
      <c r="F361" s="66" t="n"/>
      <c r="G361" s="65" t="n"/>
      <c r="H361" s="66" t="n"/>
      <c r="I361" s="64" t="n"/>
      <c r="J361" s="68" t="n"/>
      <c r="K361" s="68" t="n"/>
      <c r="L361" s="68" t="n"/>
      <c r="M361" s="64" t="n"/>
      <c r="N361" s="64" t="n"/>
      <c r="O361" s="64" t="n"/>
      <c r="P361" s="64" t="n"/>
      <c r="Q361" s="64" t="n"/>
      <c r="R361" s="64" t="n"/>
      <c r="S361" s="66" t="n"/>
      <c r="T361" s="45" t="n"/>
      <c r="U361" s="43">
        <f t="shared" si="0"/>
      </c>
      <c r="V361" s="49">
        <f t="shared" si="1"/>
      </c>
      <c r="W361" s="49">
        <f t="shared" si="2"/>
      </c>
      <c r="X361" s="2">
        <f t="shared" si="3"/>
      </c>
      <c r="Y361" s="2">
        <f t="shared" si="4"/>
      </c>
      <c r="Z361" s="2">
        <f t="shared" si="5"/>
        <v>0</v>
      </c>
      <c r="AA361" s="2">
        <f t="shared" si="6"/>
        <v>0</v>
      </c>
      <c r="AB361" s="2">
        <f t="shared" si="7"/>
        <v>0</v>
      </c>
      <c r="AC361" s="2">
        <f t="shared" si="8"/>
      </c>
    </row>
    <row r="362">
      <c r="A362" s="64" t="n"/>
      <c r="B362" s="65" t="n"/>
      <c r="C362" s="65" t="n"/>
      <c r="D362" s="65" t="n"/>
      <c r="E362" s="65" t="n"/>
      <c r="F362" s="66" t="n"/>
      <c r="G362" s="65" t="n"/>
      <c r="H362" s="66" t="n"/>
      <c r="I362" s="64" t="n"/>
      <c r="J362" s="68" t="n"/>
      <c r="K362" s="68" t="n"/>
      <c r="L362" s="68" t="n"/>
      <c r="M362" s="64" t="n"/>
      <c r="N362" s="64" t="n"/>
      <c r="O362" s="64" t="n"/>
      <c r="P362" s="64" t="n"/>
      <c r="Q362" s="64" t="n"/>
      <c r="R362" s="64" t="n"/>
      <c r="S362" s="66" t="n"/>
      <c r="T362" s="45" t="n"/>
      <c r="U362" s="43">
        <f t="shared" si="0"/>
      </c>
      <c r="V362" s="49">
        <f t="shared" si="1"/>
      </c>
      <c r="W362" s="49">
        <f t="shared" si="2"/>
      </c>
      <c r="X362" s="2">
        <f t="shared" si="3"/>
      </c>
      <c r="Y362" s="2">
        <f t="shared" si="4"/>
      </c>
      <c r="Z362" s="2">
        <f t="shared" si="5"/>
        <v>0</v>
      </c>
      <c r="AA362" s="2">
        <f t="shared" si="6"/>
        <v>0</v>
      </c>
      <c r="AB362" s="2">
        <f t="shared" si="7"/>
        <v>0</v>
      </c>
      <c r="AC362" s="2">
        <f t="shared" si="8"/>
      </c>
    </row>
    <row r="363">
      <c r="A363" s="64" t="n"/>
      <c r="B363" s="65" t="n"/>
      <c r="C363" s="65" t="n"/>
      <c r="D363" s="65" t="n"/>
      <c r="E363" s="65" t="n"/>
      <c r="F363" s="66" t="n"/>
      <c r="G363" s="65" t="n"/>
      <c r="H363" s="66" t="n"/>
      <c r="I363" s="64" t="n"/>
      <c r="J363" s="68" t="n"/>
      <c r="K363" s="68" t="n"/>
      <c r="L363" s="68" t="n"/>
      <c r="M363" s="64" t="n"/>
      <c r="N363" s="64" t="n"/>
      <c r="O363" s="64" t="n"/>
      <c r="P363" s="64" t="n"/>
      <c r="Q363" s="64" t="n"/>
      <c r="R363" s="64" t="n"/>
      <c r="S363" s="66" t="n"/>
      <c r="T363" s="45" t="n"/>
      <c r="U363" s="43">
        <f t="shared" si="0"/>
      </c>
      <c r="V363" s="49">
        <f t="shared" si="1"/>
      </c>
      <c r="W363" s="49">
        <f t="shared" si="2"/>
      </c>
      <c r="X363" s="2">
        <f t="shared" si="3"/>
      </c>
      <c r="Y363" s="2">
        <f t="shared" si="4"/>
      </c>
      <c r="Z363" s="2">
        <f t="shared" si="5"/>
        <v>0</v>
      </c>
      <c r="AA363" s="2">
        <f t="shared" si="6"/>
        <v>0</v>
      </c>
      <c r="AB363" s="2">
        <f t="shared" si="7"/>
        <v>0</v>
      </c>
      <c r="AC363" s="2">
        <f t="shared" si="8"/>
      </c>
    </row>
    <row r="364">
      <c r="A364" s="64" t="n"/>
      <c r="B364" s="65" t="n"/>
      <c r="C364" s="65" t="n"/>
      <c r="D364" s="65" t="n"/>
      <c r="E364" s="65" t="n"/>
      <c r="F364" s="66" t="n"/>
      <c r="G364" s="65" t="n"/>
      <c r="H364" s="66" t="n"/>
      <c r="I364" s="64" t="n"/>
      <c r="J364" s="68" t="n"/>
      <c r="K364" s="68" t="n"/>
      <c r="L364" s="68" t="n"/>
      <c r="M364" s="64" t="n"/>
      <c r="N364" s="64" t="n"/>
      <c r="O364" s="64" t="n"/>
      <c r="P364" s="64" t="n"/>
      <c r="Q364" s="64" t="n"/>
      <c r="R364" s="64" t="n"/>
      <c r="S364" s="66" t="n"/>
      <c r="T364" s="45" t="n"/>
      <c r="U364" s="43">
        <f t="shared" si="0"/>
      </c>
      <c r="V364" s="49">
        <f t="shared" si="1"/>
      </c>
      <c r="W364" s="49">
        <f t="shared" si="2"/>
      </c>
      <c r="X364" s="2">
        <f t="shared" si="3"/>
      </c>
      <c r="Y364" s="2">
        <f t="shared" si="4"/>
      </c>
      <c r="Z364" s="2">
        <f t="shared" si="5"/>
        <v>0</v>
      </c>
      <c r="AA364" s="2">
        <f t="shared" si="6"/>
        <v>0</v>
      </c>
      <c r="AB364" s="2">
        <f t="shared" si="7"/>
        <v>0</v>
      </c>
      <c r="AC364" s="2">
        <f t="shared" si="8"/>
      </c>
    </row>
    <row r="365">
      <c r="A365" s="64" t="n"/>
      <c r="B365" s="65" t="n"/>
      <c r="C365" s="65" t="n"/>
      <c r="D365" s="65" t="n"/>
      <c r="E365" s="65" t="n"/>
      <c r="F365" s="66" t="n"/>
      <c r="G365" s="65" t="n"/>
      <c r="H365" s="66" t="n"/>
      <c r="I365" s="64" t="n"/>
      <c r="J365" s="68" t="n"/>
      <c r="K365" s="68" t="n"/>
      <c r="L365" s="68" t="n"/>
      <c r="M365" s="64" t="n"/>
      <c r="N365" s="64" t="n"/>
      <c r="O365" s="64" t="n"/>
      <c r="P365" s="64" t="n"/>
      <c r="Q365" s="64" t="n"/>
      <c r="R365" s="64" t="n"/>
      <c r="S365" s="66" t="n"/>
      <c r="T365" s="45" t="n"/>
      <c r="U365" s="43">
        <f t="shared" si="0"/>
      </c>
      <c r="V365" s="49">
        <f t="shared" si="1"/>
      </c>
      <c r="W365" s="49">
        <f t="shared" si="2"/>
      </c>
      <c r="X365" s="2">
        <f t="shared" si="3"/>
      </c>
      <c r="Y365" s="2">
        <f t="shared" si="4"/>
      </c>
      <c r="Z365" s="2">
        <f t="shared" si="5"/>
        <v>0</v>
      </c>
      <c r="AA365" s="2">
        <f t="shared" si="6"/>
        <v>0</v>
      </c>
      <c r="AB365" s="2">
        <f t="shared" si="7"/>
        <v>0</v>
      </c>
      <c r="AC365" s="2">
        <f t="shared" si="8"/>
      </c>
    </row>
    <row r="366">
      <c r="A366" s="64" t="n"/>
      <c r="B366" s="65" t="n"/>
      <c r="C366" s="65" t="n"/>
      <c r="D366" s="65" t="n"/>
      <c r="E366" s="65" t="n"/>
      <c r="F366" s="66" t="n"/>
      <c r="G366" s="65" t="n"/>
      <c r="H366" s="66" t="n"/>
      <c r="I366" s="64" t="n"/>
      <c r="J366" s="68" t="n"/>
      <c r="K366" s="68" t="n"/>
      <c r="L366" s="68" t="n"/>
      <c r="M366" s="64" t="n"/>
      <c r="N366" s="64" t="n"/>
      <c r="O366" s="64" t="n"/>
      <c r="P366" s="64" t="n"/>
      <c r="Q366" s="64" t="n"/>
      <c r="R366" s="64" t="n"/>
      <c r="S366" s="66" t="n"/>
      <c r="T366" s="45" t="n"/>
      <c r="U366" s="43">
        <f t="shared" si="0"/>
      </c>
      <c r="V366" s="49">
        <f t="shared" si="1"/>
      </c>
      <c r="W366" s="49">
        <f t="shared" si="2"/>
      </c>
      <c r="X366" s="2">
        <f t="shared" si="3"/>
      </c>
      <c r="Y366" s="2">
        <f t="shared" si="4"/>
      </c>
      <c r="Z366" s="2">
        <f t="shared" si="5"/>
        <v>0</v>
      </c>
      <c r="AA366" s="2">
        <f t="shared" si="6"/>
        <v>0</v>
      </c>
      <c r="AB366" s="2">
        <f t="shared" si="7"/>
        <v>0</v>
      </c>
      <c r="AC366" s="2">
        <f t="shared" si="8"/>
      </c>
    </row>
    <row r="367">
      <c r="A367" s="64" t="n"/>
      <c r="B367" s="65" t="n"/>
      <c r="C367" s="65" t="n"/>
      <c r="D367" s="65" t="n"/>
      <c r="E367" s="65" t="n"/>
      <c r="F367" s="66" t="n"/>
      <c r="G367" s="65" t="n"/>
      <c r="H367" s="66" t="n"/>
      <c r="I367" s="64" t="n"/>
      <c r="J367" s="68" t="n"/>
      <c r="K367" s="68" t="n"/>
      <c r="L367" s="68" t="n"/>
      <c r="M367" s="64" t="n"/>
      <c r="N367" s="64" t="n"/>
      <c r="O367" s="64" t="n"/>
      <c r="P367" s="64" t="n"/>
      <c r="Q367" s="64" t="n"/>
      <c r="R367" s="64" t="n"/>
      <c r="S367" s="66" t="n"/>
      <c r="T367" s="45" t="n"/>
      <c r="U367" s="43">
        <f t="shared" si="0"/>
      </c>
      <c r="V367" s="49">
        <f t="shared" si="1"/>
      </c>
      <c r="W367" s="49">
        <f t="shared" si="2"/>
      </c>
      <c r="X367" s="2">
        <f t="shared" si="3"/>
      </c>
      <c r="Y367" s="2">
        <f t="shared" si="4"/>
      </c>
      <c r="Z367" s="2">
        <f t="shared" si="5"/>
        <v>0</v>
      </c>
      <c r="AA367" s="2">
        <f t="shared" si="6"/>
        <v>0</v>
      </c>
      <c r="AB367" s="2">
        <f t="shared" si="7"/>
        <v>0</v>
      </c>
      <c r="AC367" s="2">
        <f t="shared" si="8"/>
      </c>
    </row>
    <row r="368">
      <c r="A368" s="64" t="n"/>
      <c r="B368" s="65" t="n"/>
      <c r="C368" s="65" t="n"/>
      <c r="D368" s="65" t="n"/>
      <c r="E368" s="65" t="n"/>
      <c r="F368" s="66" t="n"/>
      <c r="G368" s="65" t="n"/>
      <c r="H368" s="66" t="n"/>
      <c r="I368" s="64" t="n"/>
      <c r="J368" s="68" t="n"/>
      <c r="K368" s="68" t="n"/>
      <c r="L368" s="68" t="n"/>
      <c r="M368" s="64" t="n"/>
      <c r="N368" s="64" t="n"/>
      <c r="O368" s="64" t="n"/>
      <c r="P368" s="64" t="n"/>
      <c r="Q368" s="64" t="n"/>
      <c r="R368" s="64" t="n"/>
      <c r="S368" s="66" t="n"/>
      <c r="T368" s="45" t="n"/>
      <c r="U368" s="43">
        <f t="shared" si="0"/>
      </c>
      <c r="V368" s="49">
        <f t="shared" si="1"/>
      </c>
      <c r="W368" s="49">
        <f t="shared" si="2"/>
      </c>
      <c r="X368" s="2">
        <f t="shared" si="3"/>
      </c>
      <c r="Y368" s="2">
        <f t="shared" si="4"/>
      </c>
      <c r="Z368" s="2">
        <f t="shared" si="5"/>
        <v>0</v>
      </c>
      <c r="AA368" s="2">
        <f t="shared" si="6"/>
        <v>0</v>
      </c>
      <c r="AB368" s="2">
        <f t="shared" si="7"/>
        <v>0</v>
      </c>
      <c r="AC368" s="2">
        <f t="shared" si="8"/>
      </c>
    </row>
    <row r="369">
      <c r="A369" s="64" t="n"/>
      <c r="B369" s="65" t="n"/>
      <c r="C369" s="65" t="n"/>
      <c r="D369" s="65" t="n"/>
      <c r="E369" s="65" t="n"/>
      <c r="F369" s="66" t="n"/>
      <c r="G369" s="65" t="n"/>
      <c r="H369" s="66" t="n"/>
      <c r="I369" s="64" t="n"/>
      <c r="J369" s="68" t="n"/>
      <c r="K369" s="68" t="n"/>
      <c r="L369" s="68" t="n"/>
      <c r="M369" s="64" t="n"/>
      <c r="N369" s="64" t="n"/>
      <c r="O369" s="64" t="n"/>
      <c r="P369" s="64" t="n"/>
      <c r="Q369" s="64" t="n"/>
      <c r="R369" s="64" t="n"/>
      <c r="S369" s="66" t="n"/>
      <c r="T369" s="45" t="n"/>
      <c r="U369" s="43">
        <f t="shared" si="0"/>
      </c>
      <c r="V369" s="49">
        <f t="shared" si="1"/>
      </c>
      <c r="W369" s="49">
        <f t="shared" si="2"/>
      </c>
      <c r="X369" s="2">
        <f t="shared" si="3"/>
      </c>
      <c r="Y369" s="2">
        <f t="shared" si="4"/>
      </c>
      <c r="Z369" s="2">
        <f t="shared" si="5"/>
        <v>0</v>
      </c>
      <c r="AA369" s="2">
        <f t="shared" si="6"/>
        <v>0</v>
      </c>
      <c r="AB369" s="2">
        <f t="shared" si="7"/>
        <v>0</v>
      </c>
      <c r="AC369" s="2">
        <f t="shared" si="8"/>
      </c>
    </row>
    <row r="370">
      <c r="A370" s="64" t="n"/>
      <c r="B370" s="65" t="n"/>
      <c r="C370" s="65" t="n"/>
      <c r="D370" s="65" t="n"/>
      <c r="E370" s="65" t="n"/>
      <c r="F370" s="66" t="n"/>
      <c r="G370" s="65" t="n"/>
      <c r="H370" s="66" t="n"/>
      <c r="I370" s="64" t="n"/>
      <c r="J370" s="68" t="n"/>
      <c r="K370" s="68" t="n"/>
      <c r="L370" s="68" t="n"/>
      <c r="M370" s="64" t="n"/>
      <c r="N370" s="64" t="n"/>
      <c r="O370" s="64" t="n"/>
      <c r="P370" s="64" t="n"/>
      <c r="Q370" s="64" t="n"/>
      <c r="R370" s="64" t="n"/>
      <c r="S370" s="66" t="n"/>
      <c r="T370" s="45" t="n"/>
      <c r="U370" s="43">
        <f t="shared" si="0"/>
      </c>
      <c r="V370" s="49">
        <f t="shared" si="1"/>
      </c>
      <c r="W370" s="49">
        <f t="shared" si="2"/>
      </c>
      <c r="X370" s="2">
        <f t="shared" si="3"/>
      </c>
      <c r="Y370" s="2">
        <f t="shared" si="4"/>
      </c>
      <c r="Z370" s="2">
        <f t="shared" si="5"/>
        <v>0</v>
      </c>
      <c r="AA370" s="2">
        <f t="shared" si="6"/>
        <v>0</v>
      </c>
      <c r="AB370" s="2">
        <f t="shared" si="7"/>
        <v>0</v>
      </c>
      <c r="AC370" s="2">
        <f t="shared" si="8"/>
      </c>
    </row>
    <row r="371">
      <c r="A371" s="64" t="n"/>
      <c r="B371" s="65" t="n"/>
      <c r="C371" s="65" t="n"/>
      <c r="D371" s="65" t="n"/>
      <c r="E371" s="65" t="n"/>
      <c r="F371" s="66" t="n"/>
      <c r="G371" s="65" t="n"/>
      <c r="H371" s="66" t="n"/>
      <c r="I371" s="64" t="n"/>
      <c r="J371" s="68" t="n"/>
      <c r="K371" s="68" t="n"/>
      <c r="L371" s="68" t="n"/>
      <c r="M371" s="64" t="n"/>
      <c r="N371" s="64" t="n"/>
      <c r="O371" s="64" t="n"/>
      <c r="P371" s="64" t="n"/>
      <c r="Q371" s="64" t="n"/>
      <c r="R371" s="64" t="n"/>
      <c r="S371" s="66" t="n"/>
      <c r="T371" s="45" t="n"/>
      <c r="U371" s="43">
        <f t="shared" si="0"/>
      </c>
      <c r="V371" s="49">
        <f t="shared" si="1"/>
      </c>
      <c r="W371" s="49">
        <f t="shared" si="2"/>
      </c>
      <c r="X371" s="2">
        <f t="shared" si="3"/>
      </c>
      <c r="Y371" s="2">
        <f t="shared" si="4"/>
      </c>
      <c r="Z371" s="2">
        <f t="shared" si="5"/>
        <v>0</v>
      </c>
      <c r="AA371" s="2">
        <f t="shared" si="6"/>
        <v>0</v>
      </c>
      <c r="AB371" s="2">
        <f t="shared" si="7"/>
        <v>0</v>
      </c>
      <c r="AC371" s="2">
        <f t="shared" si="8"/>
      </c>
    </row>
    <row r="372">
      <c r="A372" s="64" t="n"/>
      <c r="B372" s="65" t="n"/>
      <c r="C372" s="65" t="n"/>
      <c r="D372" s="65" t="n"/>
      <c r="E372" s="65" t="n"/>
      <c r="F372" s="66" t="n"/>
      <c r="G372" s="65" t="n"/>
      <c r="H372" s="66" t="n"/>
      <c r="I372" s="64" t="n"/>
      <c r="J372" s="68" t="n"/>
      <c r="K372" s="68" t="n"/>
      <c r="L372" s="68" t="n"/>
      <c r="M372" s="64" t="n"/>
      <c r="N372" s="64" t="n"/>
      <c r="O372" s="64" t="n"/>
      <c r="P372" s="64" t="n"/>
      <c r="Q372" s="64" t="n"/>
      <c r="R372" s="64" t="n"/>
      <c r="S372" s="66" t="n"/>
      <c r="T372" s="45" t="n"/>
      <c r="U372" s="43">
        <f t="shared" si="0"/>
      </c>
      <c r="V372" s="49">
        <f t="shared" si="1"/>
      </c>
      <c r="W372" s="49">
        <f t="shared" si="2"/>
      </c>
      <c r="X372" s="2">
        <f t="shared" si="3"/>
      </c>
      <c r="Y372" s="2">
        <f t="shared" si="4"/>
      </c>
      <c r="Z372" s="2">
        <f t="shared" si="5"/>
        <v>0</v>
      </c>
      <c r="AA372" s="2">
        <f t="shared" si="6"/>
        <v>0</v>
      </c>
      <c r="AB372" s="2">
        <f t="shared" si="7"/>
        <v>0</v>
      </c>
      <c r="AC372" s="2">
        <f t="shared" si="8"/>
      </c>
    </row>
    <row r="373">
      <c r="A373" s="64" t="n"/>
      <c r="B373" s="65" t="n"/>
      <c r="C373" s="65" t="n"/>
      <c r="D373" s="65" t="n"/>
      <c r="E373" s="65" t="n"/>
      <c r="F373" s="66" t="n"/>
      <c r="G373" s="65" t="n"/>
      <c r="H373" s="66" t="n"/>
      <c r="I373" s="64" t="n"/>
      <c r="J373" s="68" t="n"/>
      <c r="K373" s="68" t="n"/>
      <c r="L373" s="68" t="n"/>
      <c r="M373" s="64" t="n"/>
      <c r="N373" s="64" t="n"/>
      <c r="O373" s="64" t="n"/>
      <c r="P373" s="64" t="n"/>
      <c r="Q373" s="64" t="n"/>
      <c r="R373" s="64" t="n"/>
      <c r="S373" s="66" t="n"/>
      <c r="T373" s="45" t="n"/>
      <c r="U373" s="43">
        <f t="shared" si="0"/>
      </c>
      <c r="V373" s="49">
        <f t="shared" si="1"/>
      </c>
      <c r="W373" s="49">
        <f t="shared" si="2"/>
      </c>
      <c r="X373" s="2">
        <f t="shared" si="3"/>
      </c>
      <c r="Y373" s="2">
        <f t="shared" si="4"/>
      </c>
      <c r="Z373" s="2">
        <f t="shared" si="5"/>
        <v>0</v>
      </c>
      <c r="AA373" s="2">
        <f t="shared" si="6"/>
        <v>0</v>
      </c>
      <c r="AB373" s="2">
        <f t="shared" si="7"/>
        <v>0</v>
      </c>
      <c r="AC373" s="2">
        <f t="shared" si="8"/>
      </c>
    </row>
    <row r="374">
      <c r="A374" s="64" t="n"/>
      <c r="B374" s="65" t="n"/>
      <c r="C374" s="65" t="n"/>
      <c r="D374" s="65" t="n"/>
      <c r="E374" s="65" t="n"/>
      <c r="F374" s="66" t="n"/>
      <c r="G374" s="65" t="n"/>
      <c r="H374" s="66" t="n"/>
      <c r="I374" s="64" t="n"/>
      <c r="J374" s="68" t="n"/>
      <c r="K374" s="68" t="n"/>
      <c r="L374" s="68" t="n"/>
      <c r="M374" s="64" t="n"/>
      <c r="N374" s="64" t="n"/>
      <c r="O374" s="64" t="n"/>
      <c r="P374" s="64" t="n"/>
      <c r="Q374" s="64" t="n"/>
      <c r="R374" s="64" t="n"/>
      <c r="S374" s="66" t="n"/>
      <c r="T374" s="45" t="n"/>
      <c r="U374" s="43">
        <f t="shared" si="0"/>
      </c>
      <c r="V374" s="49">
        <f t="shared" si="1"/>
      </c>
      <c r="W374" s="49">
        <f t="shared" si="2"/>
      </c>
      <c r="X374" s="2">
        <f t="shared" si="3"/>
      </c>
      <c r="Y374" s="2">
        <f t="shared" si="4"/>
      </c>
      <c r="Z374" s="2">
        <f t="shared" si="5"/>
        <v>0</v>
      </c>
      <c r="AA374" s="2">
        <f t="shared" si="6"/>
        <v>0</v>
      </c>
      <c r="AB374" s="2">
        <f t="shared" si="7"/>
        <v>0</v>
      </c>
      <c r="AC374" s="2">
        <f t="shared" si="8"/>
      </c>
    </row>
    <row r="375">
      <c r="A375" s="64" t="n"/>
      <c r="B375" s="65" t="n"/>
      <c r="C375" s="65" t="n"/>
      <c r="D375" s="65" t="n"/>
      <c r="E375" s="65" t="n"/>
      <c r="F375" s="66" t="n"/>
      <c r="G375" s="65" t="n"/>
      <c r="H375" s="66" t="n"/>
      <c r="I375" s="64" t="n"/>
      <c r="J375" s="68" t="n"/>
      <c r="K375" s="68" t="n"/>
      <c r="L375" s="68" t="n"/>
      <c r="M375" s="64" t="n"/>
      <c r="N375" s="64" t="n"/>
      <c r="O375" s="64" t="n"/>
      <c r="P375" s="64" t="n"/>
      <c r="Q375" s="64" t="n"/>
      <c r="R375" s="64" t="n"/>
      <c r="S375" s="66" t="n"/>
      <c r="T375" s="45" t="n"/>
      <c r="U375" s="43">
        <f t="shared" si="0"/>
      </c>
      <c r="V375" s="49">
        <f t="shared" si="1"/>
      </c>
      <c r="W375" s="49">
        <f t="shared" si="2"/>
      </c>
      <c r="X375" s="2">
        <f t="shared" si="3"/>
      </c>
      <c r="Y375" s="2">
        <f t="shared" si="4"/>
      </c>
      <c r="Z375" s="2">
        <f t="shared" si="5"/>
        <v>0</v>
      </c>
      <c r="AA375" s="2">
        <f t="shared" si="6"/>
        <v>0</v>
      </c>
      <c r="AB375" s="2">
        <f t="shared" si="7"/>
        <v>0</v>
      </c>
      <c r="AC375" s="2">
        <f t="shared" si="8"/>
      </c>
    </row>
    <row r="376">
      <c r="A376" s="64" t="n"/>
      <c r="B376" s="65" t="n"/>
      <c r="C376" s="65" t="n"/>
      <c r="D376" s="65" t="n"/>
      <c r="E376" s="65" t="n"/>
      <c r="F376" s="66" t="n"/>
      <c r="G376" s="65" t="n"/>
      <c r="H376" s="66" t="n"/>
      <c r="I376" s="64" t="n"/>
      <c r="J376" s="68" t="n"/>
      <c r="K376" s="68" t="n"/>
      <c r="L376" s="68" t="n"/>
      <c r="M376" s="64" t="n"/>
      <c r="N376" s="64" t="n"/>
      <c r="O376" s="64" t="n"/>
      <c r="P376" s="64" t="n"/>
      <c r="Q376" s="64" t="n"/>
      <c r="R376" s="64" t="n"/>
      <c r="S376" s="66" t="n"/>
      <c r="T376" s="45" t="n"/>
      <c r="U376" s="43">
        <f t="shared" si="0"/>
      </c>
      <c r="V376" s="49">
        <f t="shared" si="1"/>
      </c>
      <c r="W376" s="49">
        <f t="shared" si="2"/>
      </c>
      <c r="X376" s="2">
        <f t="shared" si="3"/>
      </c>
      <c r="Y376" s="2">
        <f t="shared" si="4"/>
      </c>
      <c r="Z376" s="2">
        <f t="shared" si="5"/>
        <v>0</v>
      </c>
      <c r="AA376" s="2">
        <f t="shared" si="6"/>
        <v>0</v>
      </c>
      <c r="AB376" s="2">
        <f t="shared" si="7"/>
        <v>0</v>
      </c>
      <c r="AC376" s="2">
        <f t="shared" si="8"/>
      </c>
    </row>
    <row r="377">
      <c r="A377" s="64" t="n"/>
      <c r="B377" s="65" t="n"/>
      <c r="C377" s="65" t="n"/>
      <c r="D377" s="65" t="n"/>
      <c r="E377" s="65" t="n"/>
      <c r="F377" s="66" t="n"/>
      <c r="G377" s="65" t="n"/>
      <c r="H377" s="66" t="n"/>
      <c r="I377" s="64" t="n"/>
      <c r="J377" s="68" t="n"/>
      <c r="K377" s="68" t="n"/>
      <c r="L377" s="68" t="n"/>
      <c r="M377" s="64" t="n"/>
      <c r="N377" s="64" t="n"/>
      <c r="O377" s="64" t="n"/>
      <c r="P377" s="64" t="n"/>
      <c r="Q377" s="64" t="n"/>
      <c r="R377" s="64" t="n"/>
      <c r="S377" s="66" t="n"/>
      <c r="T377" s="45" t="n"/>
      <c r="U377" s="43">
        <f t="shared" si="0"/>
      </c>
      <c r="V377" s="49">
        <f t="shared" si="1"/>
      </c>
      <c r="W377" s="49">
        <f t="shared" si="2"/>
      </c>
      <c r="X377" s="2">
        <f t="shared" si="3"/>
      </c>
      <c r="Y377" s="2">
        <f t="shared" si="4"/>
      </c>
      <c r="Z377" s="2">
        <f t="shared" si="5"/>
        <v>0</v>
      </c>
      <c r="AA377" s="2">
        <f t="shared" si="6"/>
        <v>0</v>
      </c>
      <c r="AB377" s="2">
        <f t="shared" si="7"/>
        <v>0</v>
      </c>
      <c r="AC377" s="2">
        <f t="shared" si="8"/>
      </c>
    </row>
    <row r="378">
      <c r="A378" s="64" t="n"/>
      <c r="B378" s="65" t="n"/>
      <c r="C378" s="65" t="n"/>
      <c r="D378" s="65" t="n"/>
      <c r="E378" s="65" t="n"/>
      <c r="F378" s="66" t="n"/>
      <c r="G378" s="65" t="n"/>
      <c r="H378" s="66" t="n"/>
      <c r="I378" s="64" t="n"/>
      <c r="J378" s="68" t="n"/>
      <c r="K378" s="68" t="n"/>
      <c r="L378" s="68" t="n"/>
      <c r="M378" s="64" t="n"/>
      <c r="N378" s="64" t="n"/>
      <c r="O378" s="64" t="n"/>
      <c r="P378" s="64" t="n"/>
      <c r="Q378" s="64" t="n"/>
      <c r="R378" s="64" t="n"/>
      <c r="S378" s="66" t="n"/>
      <c r="T378" s="45" t="n"/>
      <c r="U378" s="43">
        <f t="shared" si="0"/>
      </c>
      <c r="V378" s="49">
        <f t="shared" si="1"/>
      </c>
      <c r="W378" s="49">
        <f t="shared" si="2"/>
      </c>
      <c r="X378" s="2">
        <f t="shared" si="3"/>
      </c>
      <c r="Y378" s="2">
        <f t="shared" si="4"/>
      </c>
      <c r="Z378" s="2">
        <f t="shared" si="5"/>
        <v>0</v>
      </c>
      <c r="AA378" s="2">
        <f t="shared" si="6"/>
        <v>0</v>
      </c>
      <c r="AB378" s="2">
        <f t="shared" si="7"/>
        <v>0</v>
      </c>
      <c r="AC378" s="2">
        <f t="shared" si="8"/>
      </c>
    </row>
    <row r="379">
      <c r="A379" s="64" t="n"/>
      <c r="B379" s="65" t="n"/>
      <c r="C379" s="65" t="n"/>
      <c r="D379" s="65" t="n"/>
      <c r="E379" s="65" t="n"/>
      <c r="F379" s="66" t="n"/>
      <c r="G379" s="65" t="n"/>
      <c r="H379" s="66" t="n"/>
      <c r="I379" s="64" t="n"/>
      <c r="J379" s="68" t="n"/>
      <c r="K379" s="68" t="n"/>
      <c r="L379" s="68" t="n"/>
      <c r="M379" s="64" t="n"/>
      <c r="N379" s="64" t="n"/>
      <c r="O379" s="64" t="n"/>
      <c r="P379" s="64" t="n"/>
      <c r="Q379" s="64" t="n"/>
      <c r="R379" s="64" t="n"/>
      <c r="S379" s="66" t="n"/>
      <c r="T379" s="45" t="n"/>
      <c r="U379" s="43">
        <f t="shared" si="0"/>
      </c>
      <c r="V379" s="49">
        <f t="shared" si="1"/>
      </c>
      <c r="W379" s="49">
        <f t="shared" si="2"/>
      </c>
      <c r="X379" s="2">
        <f t="shared" si="3"/>
      </c>
      <c r="Y379" s="2">
        <f t="shared" si="4"/>
      </c>
      <c r="Z379" s="2">
        <f t="shared" si="5"/>
        <v>0</v>
      </c>
      <c r="AA379" s="2">
        <f t="shared" si="6"/>
        <v>0</v>
      </c>
      <c r="AB379" s="2">
        <f t="shared" si="7"/>
        <v>0</v>
      </c>
      <c r="AC379" s="2">
        <f t="shared" si="8"/>
      </c>
    </row>
    <row r="380">
      <c r="A380" s="64" t="n"/>
      <c r="B380" s="65" t="n"/>
      <c r="C380" s="65" t="n"/>
      <c r="D380" s="65" t="n"/>
      <c r="E380" s="65" t="n"/>
      <c r="F380" s="66" t="n"/>
      <c r="G380" s="65" t="n"/>
      <c r="H380" s="66" t="n"/>
      <c r="I380" s="64" t="n"/>
      <c r="J380" s="68" t="n"/>
      <c r="K380" s="68" t="n"/>
      <c r="L380" s="68" t="n"/>
      <c r="M380" s="64" t="n"/>
      <c r="N380" s="64" t="n"/>
      <c r="O380" s="64" t="n"/>
      <c r="P380" s="64" t="n"/>
      <c r="Q380" s="64" t="n"/>
      <c r="R380" s="64" t="n"/>
      <c r="S380" s="66" t="n"/>
      <c r="T380" s="45" t="n"/>
      <c r="U380" s="43">
        <f t="shared" si="0"/>
      </c>
      <c r="V380" s="49">
        <f t="shared" si="1"/>
      </c>
      <c r="W380" s="49">
        <f t="shared" si="2"/>
      </c>
      <c r="X380" s="2">
        <f t="shared" si="3"/>
      </c>
      <c r="Y380" s="2">
        <f t="shared" si="4"/>
      </c>
      <c r="Z380" s="2">
        <f t="shared" si="5"/>
        <v>0</v>
      </c>
      <c r="AA380" s="2">
        <f t="shared" si="6"/>
        <v>0</v>
      </c>
      <c r="AB380" s="2">
        <f t="shared" si="7"/>
        <v>0</v>
      </c>
      <c r="AC380" s="2">
        <f t="shared" si="8"/>
      </c>
    </row>
    <row r="381">
      <c r="A381" s="64" t="n"/>
      <c r="B381" s="65" t="n"/>
      <c r="C381" s="65" t="n"/>
      <c r="D381" s="65" t="n"/>
      <c r="E381" s="65" t="n"/>
      <c r="F381" s="66" t="n"/>
      <c r="G381" s="65" t="n"/>
      <c r="H381" s="66" t="n"/>
      <c r="I381" s="64" t="n"/>
      <c r="J381" s="68" t="n"/>
      <c r="K381" s="68" t="n"/>
      <c r="L381" s="68" t="n"/>
      <c r="M381" s="64" t="n"/>
      <c r="N381" s="64" t="n"/>
      <c r="O381" s="64" t="n"/>
      <c r="P381" s="64" t="n"/>
      <c r="Q381" s="64" t="n"/>
      <c r="R381" s="64" t="n"/>
      <c r="S381" s="66" t="n"/>
      <c r="T381" s="45" t="n"/>
      <c r="U381" s="43">
        <f t="shared" si="0"/>
      </c>
      <c r="V381" s="49">
        <f t="shared" si="1"/>
      </c>
      <c r="W381" s="49">
        <f t="shared" si="2"/>
      </c>
      <c r="X381" s="2">
        <f t="shared" si="3"/>
      </c>
      <c r="Y381" s="2">
        <f t="shared" si="4"/>
      </c>
      <c r="Z381" s="2">
        <f t="shared" si="5"/>
        <v>0</v>
      </c>
      <c r="AA381" s="2">
        <f t="shared" si="6"/>
        <v>0</v>
      </c>
      <c r="AB381" s="2">
        <f t="shared" si="7"/>
        <v>0</v>
      </c>
      <c r="AC381" s="2">
        <f t="shared" si="8"/>
      </c>
    </row>
    <row r="382">
      <c r="A382" s="64" t="n"/>
      <c r="B382" s="65" t="n"/>
      <c r="C382" s="65" t="n"/>
      <c r="D382" s="65" t="n"/>
      <c r="E382" s="65" t="n"/>
      <c r="F382" s="66" t="n"/>
      <c r="G382" s="65" t="n"/>
      <c r="H382" s="66" t="n"/>
      <c r="I382" s="64" t="n"/>
      <c r="J382" s="68" t="n"/>
      <c r="K382" s="68" t="n"/>
      <c r="L382" s="68" t="n"/>
      <c r="M382" s="64" t="n"/>
      <c r="N382" s="64" t="n"/>
      <c r="O382" s="64" t="n"/>
      <c r="P382" s="64" t="n"/>
      <c r="Q382" s="64" t="n"/>
      <c r="R382" s="64" t="n"/>
      <c r="S382" s="66" t="n"/>
      <c r="T382" s="45" t="n"/>
      <c r="U382" s="43">
        <f t="shared" si="0"/>
      </c>
      <c r="V382" s="49">
        <f t="shared" si="1"/>
      </c>
      <c r="W382" s="49">
        <f t="shared" si="2"/>
      </c>
      <c r="X382" s="2">
        <f t="shared" si="3"/>
      </c>
      <c r="Y382" s="2">
        <f t="shared" si="4"/>
      </c>
      <c r="Z382" s="2">
        <f t="shared" si="5"/>
        <v>0</v>
      </c>
      <c r="AA382" s="2">
        <f t="shared" si="6"/>
        <v>0</v>
      </c>
      <c r="AB382" s="2">
        <f t="shared" si="7"/>
        <v>0</v>
      </c>
      <c r="AC382" s="2">
        <f t="shared" si="8"/>
      </c>
    </row>
    <row r="383">
      <c r="A383" s="64" t="n"/>
      <c r="B383" s="65" t="n"/>
      <c r="C383" s="65" t="n"/>
      <c r="D383" s="65" t="n"/>
      <c r="E383" s="65" t="n"/>
      <c r="F383" s="66" t="n"/>
      <c r="G383" s="65" t="n"/>
      <c r="H383" s="66" t="n"/>
      <c r="I383" s="64" t="n"/>
      <c r="J383" s="68" t="n"/>
      <c r="K383" s="68" t="n"/>
      <c r="L383" s="68" t="n"/>
      <c r="M383" s="64" t="n"/>
      <c r="N383" s="64" t="n"/>
      <c r="O383" s="64" t="n"/>
      <c r="P383" s="64" t="n"/>
      <c r="Q383" s="64" t="n"/>
      <c r="R383" s="64" t="n"/>
      <c r="S383" s="66" t="n"/>
      <c r="T383" s="45" t="n"/>
      <c r="U383" s="43">
        <f t="shared" si="0"/>
      </c>
      <c r="V383" s="49">
        <f t="shared" si="1"/>
      </c>
      <c r="W383" s="49">
        <f t="shared" si="2"/>
      </c>
      <c r="X383" s="2">
        <f t="shared" si="3"/>
      </c>
      <c r="Y383" s="2">
        <f t="shared" si="4"/>
      </c>
      <c r="Z383" s="2">
        <f t="shared" si="5"/>
        <v>0</v>
      </c>
      <c r="AA383" s="2">
        <f t="shared" si="6"/>
        <v>0</v>
      </c>
      <c r="AB383" s="2">
        <f t="shared" si="7"/>
        <v>0</v>
      </c>
      <c r="AC383" s="2">
        <f t="shared" si="8"/>
      </c>
    </row>
    <row r="384">
      <c r="A384" s="64" t="n"/>
      <c r="B384" s="65" t="n"/>
      <c r="C384" s="65" t="n"/>
      <c r="D384" s="65" t="n"/>
      <c r="E384" s="65" t="n"/>
      <c r="F384" s="66" t="n"/>
      <c r="G384" s="65" t="n"/>
      <c r="H384" s="66" t="n"/>
      <c r="I384" s="64" t="n"/>
      <c r="J384" s="68" t="n"/>
      <c r="K384" s="68" t="n"/>
      <c r="L384" s="68" t="n"/>
      <c r="M384" s="64" t="n"/>
      <c r="N384" s="64" t="n"/>
      <c r="O384" s="64" t="n"/>
      <c r="P384" s="64" t="n"/>
      <c r="Q384" s="64" t="n"/>
      <c r="R384" s="64" t="n"/>
      <c r="S384" s="66" t="n"/>
      <c r="T384" s="45" t="n"/>
      <c r="U384" s="43">
        <f t="shared" si="0"/>
      </c>
      <c r="V384" s="49">
        <f t="shared" si="1"/>
      </c>
      <c r="W384" s="49">
        <f t="shared" si="2"/>
      </c>
      <c r="X384" s="2">
        <f t="shared" si="3"/>
      </c>
      <c r="Y384" s="2">
        <f t="shared" si="4"/>
      </c>
      <c r="Z384" s="2">
        <f t="shared" si="5"/>
        <v>0</v>
      </c>
      <c r="AA384" s="2">
        <f t="shared" si="6"/>
        <v>0</v>
      </c>
      <c r="AB384" s="2">
        <f t="shared" si="7"/>
        <v>0</v>
      </c>
      <c r="AC384" s="2">
        <f t="shared" si="8"/>
      </c>
    </row>
    <row r="385">
      <c r="A385" s="64" t="n"/>
      <c r="B385" s="65" t="n"/>
      <c r="C385" s="65" t="n"/>
      <c r="D385" s="65" t="n"/>
      <c r="E385" s="65" t="n"/>
      <c r="F385" s="66" t="n"/>
      <c r="G385" s="65" t="n"/>
      <c r="H385" s="66" t="n"/>
      <c r="I385" s="64" t="n"/>
      <c r="J385" s="68" t="n"/>
      <c r="K385" s="68" t="n"/>
      <c r="L385" s="68" t="n"/>
      <c r="M385" s="64" t="n"/>
      <c r="N385" s="64" t="n"/>
      <c r="O385" s="64" t="n"/>
      <c r="P385" s="64" t="n"/>
      <c r="Q385" s="64" t="n"/>
      <c r="R385" s="64" t="n"/>
      <c r="S385" s="66" t="n"/>
      <c r="T385" s="45" t="n"/>
      <c r="U385" s="43">
        <f t="shared" si="0"/>
      </c>
      <c r="V385" s="49">
        <f t="shared" si="1"/>
      </c>
      <c r="W385" s="49">
        <f t="shared" si="2"/>
      </c>
      <c r="X385" s="2">
        <f t="shared" si="3"/>
      </c>
      <c r="Y385" s="2">
        <f t="shared" si="4"/>
      </c>
      <c r="Z385" s="2">
        <f t="shared" si="5"/>
        <v>0</v>
      </c>
      <c r="AA385" s="2">
        <f t="shared" si="6"/>
        <v>0</v>
      </c>
      <c r="AB385" s="2">
        <f t="shared" si="7"/>
        <v>0</v>
      </c>
      <c r="AC385" s="2">
        <f t="shared" si="8"/>
      </c>
    </row>
    <row r="386">
      <c r="A386" s="64" t="n"/>
      <c r="B386" s="65" t="n"/>
      <c r="C386" s="65" t="n"/>
      <c r="D386" s="65" t="n"/>
      <c r="E386" s="65" t="n"/>
      <c r="F386" s="66" t="n"/>
      <c r="G386" s="65" t="n"/>
      <c r="H386" s="66" t="n"/>
      <c r="I386" s="64" t="n"/>
      <c r="J386" s="68" t="n"/>
      <c r="K386" s="68" t="n"/>
      <c r="L386" s="68" t="n"/>
      <c r="M386" s="64" t="n"/>
      <c r="N386" s="64" t="n"/>
      <c r="O386" s="64" t="n"/>
      <c r="P386" s="64" t="n"/>
      <c r="Q386" s="64" t="n"/>
      <c r="R386" s="64" t="n"/>
      <c r="S386" s="66" t="n"/>
      <c r="T386" s="45" t="n"/>
      <c r="U386" s="43">
        <f t="shared" si="0"/>
      </c>
      <c r="V386" s="49">
        <f t="shared" si="1"/>
      </c>
      <c r="W386" s="49">
        <f t="shared" si="2"/>
      </c>
      <c r="X386" s="2">
        <f t="shared" si="3"/>
      </c>
      <c r="Y386" s="2">
        <f t="shared" si="4"/>
      </c>
      <c r="Z386" s="2">
        <f t="shared" si="5"/>
        <v>0</v>
      </c>
      <c r="AA386" s="2">
        <f t="shared" si="6"/>
        <v>0</v>
      </c>
      <c r="AB386" s="2">
        <f t="shared" si="7"/>
        <v>0</v>
      </c>
      <c r="AC386" s="2">
        <f t="shared" si="8"/>
      </c>
    </row>
    <row r="387">
      <c r="A387" s="64" t="n"/>
      <c r="B387" s="65" t="n"/>
      <c r="C387" s="65" t="n"/>
      <c r="D387" s="65" t="n"/>
      <c r="E387" s="65" t="n"/>
      <c r="F387" s="66" t="n"/>
      <c r="G387" s="65" t="n"/>
      <c r="H387" s="66" t="n"/>
      <c r="I387" s="64" t="n"/>
      <c r="J387" s="68" t="n"/>
      <c r="K387" s="68" t="n"/>
      <c r="L387" s="68" t="n"/>
      <c r="M387" s="64" t="n"/>
      <c r="N387" s="64" t="n"/>
      <c r="O387" s="64" t="n"/>
      <c r="P387" s="64" t="n"/>
      <c r="Q387" s="64" t="n"/>
      <c r="R387" s="64" t="n"/>
      <c r="S387" s="66" t="n"/>
      <c r="T387" s="45" t="n"/>
      <c r="U387" s="43">
        <f t="shared" si="0"/>
      </c>
      <c r="V387" s="49">
        <f t="shared" si="1"/>
      </c>
      <c r="W387" s="49">
        <f t="shared" si="2"/>
      </c>
      <c r="X387" s="2">
        <f t="shared" si="3"/>
      </c>
      <c r="Y387" s="2">
        <f t="shared" si="4"/>
      </c>
      <c r="Z387" s="2">
        <f t="shared" si="5"/>
        <v>0</v>
      </c>
      <c r="AA387" s="2">
        <f t="shared" si="6"/>
        <v>0</v>
      </c>
      <c r="AB387" s="2">
        <f t="shared" si="7"/>
        <v>0</v>
      </c>
      <c r="AC387" s="2">
        <f t="shared" si="8"/>
      </c>
    </row>
    <row r="388">
      <c r="A388" s="64" t="n"/>
      <c r="B388" s="65" t="n"/>
      <c r="C388" s="65" t="n"/>
      <c r="D388" s="65" t="n"/>
      <c r="E388" s="65" t="n"/>
      <c r="F388" s="66" t="n"/>
      <c r="G388" s="65" t="n"/>
      <c r="H388" s="66" t="n"/>
      <c r="I388" s="64" t="n"/>
      <c r="J388" s="68" t="n"/>
      <c r="K388" s="68" t="n"/>
      <c r="L388" s="68" t="n"/>
      <c r="M388" s="64" t="n"/>
      <c r="N388" s="64" t="n"/>
      <c r="O388" s="64" t="n"/>
      <c r="P388" s="64" t="n"/>
      <c r="Q388" s="64" t="n"/>
      <c r="R388" s="64" t="n"/>
      <c r="S388" s="66" t="n"/>
      <c r="T388" s="45" t="n"/>
      <c r="U388" s="43">
        <f t="shared" si="0"/>
      </c>
      <c r="V388" s="49">
        <f t="shared" si="1"/>
      </c>
      <c r="W388" s="49">
        <f t="shared" si="2"/>
      </c>
      <c r="X388" s="2">
        <f t="shared" si="3"/>
      </c>
      <c r="Y388" s="2">
        <f t="shared" si="4"/>
      </c>
      <c r="Z388" s="2">
        <f t="shared" si="5"/>
        <v>0</v>
      </c>
      <c r="AA388" s="2">
        <f t="shared" si="6"/>
        <v>0</v>
      </c>
      <c r="AB388" s="2">
        <f t="shared" si="7"/>
        <v>0</v>
      </c>
      <c r="AC388" s="2">
        <f t="shared" si="8"/>
      </c>
    </row>
    <row r="389">
      <c r="A389" s="64" t="n"/>
      <c r="B389" s="65" t="n"/>
      <c r="C389" s="65" t="n"/>
      <c r="D389" s="65" t="n"/>
      <c r="E389" s="65" t="n"/>
      <c r="F389" s="66" t="n"/>
      <c r="G389" s="65" t="n"/>
      <c r="H389" s="66" t="n"/>
      <c r="I389" s="64" t="n"/>
      <c r="J389" s="68" t="n"/>
      <c r="K389" s="68" t="n"/>
      <c r="L389" s="68" t="n"/>
      <c r="M389" s="64" t="n"/>
      <c r="N389" s="64" t="n"/>
      <c r="O389" s="64" t="n"/>
      <c r="P389" s="64" t="n"/>
      <c r="Q389" s="64" t="n"/>
      <c r="R389" s="64" t="n"/>
      <c r="S389" s="66" t="n"/>
      <c r="T389" s="45" t="n"/>
      <c r="U389" s="43">
        <f t="shared" si="0"/>
      </c>
      <c r="V389" s="49">
        <f t="shared" si="1"/>
      </c>
      <c r="W389" s="49">
        <f t="shared" si="2"/>
      </c>
      <c r="X389" s="2">
        <f t="shared" si="3"/>
      </c>
      <c r="Y389" s="2">
        <f t="shared" si="4"/>
      </c>
      <c r="Z389" s="2">
        <f t="shared" si="5"/>
        <v>0</v>
      </c>
      <c r="AA389" s="2">
        <f t="shared" si="6"/>
        <v>0</v>
      </c>
      <c r="AB389" s="2">
        <f t="shared" si="7"/>
        <v>0</v>
      </c>
      <c r="AC389" s="2">
        <f t="shared" si="8"/>
      </c>
    </row>
    <row r="390">
      <c r="A390" s="64" t="n"/>
      <c r="B390" s="65" t="n"/>
      <c r="C390" s="65" t="n"/>
      <c r="D390" s="65" t="n"/>
      <c r="E390" s="65" t="n"/>
      <c r="F390" s="66" t="n"/>
      <c r="G390" s="65" t="n"/>
      <c r="H390" s="66" t="n"/>
      <c r="I390" s="64" t="n"/>
      <c r="J390" s="68" t="n"/>
      <c r="K390" s="68" t="n"/>
      <c r="L390" s="68" t="n"/>
      <c r="M390" s="64" t="n"/>
      <c r="N390" s="64" t="n"/>
      <c r="O390" s="64" t="n"/>
      <c r="P390" s="64" t="n"/>
      <c r="Q390" s="64" t="n"/>
      <c r="R390" s="64" t="n"/>
      <c r="S390" s="66" t="n"/>
      <c r="T390" s="45" t="n"/>
      <c r="U390" s="43">
        <f t="shared" si="0"/>
      </c>
      <c r="V390" s="49">
        <f t="shared" si="1"/>
      </c>
      <c r="W390" s="49">
        <f t="shared" si="2"/>
      </c>
      <c r="X390" s="2">
        <f t="shared" si="3"/>
      </c>
      <c r="Y390" s="2">
        <f t="shared" si="4"/>
      </c>
      <c r="Z390" s="2">
        <f t="shared" si="5"/>
        <v>0</v>
      </c>
      <c r="AA390" s="2">
        <f t="shared" si="6"/>
        <v>0</v>
      </c>
      <c r="AB390" s="2">
        <f t="shared" si="7"/>
        <v>0</v>
      </c>
      <c r="AC390" s="2">
        <f t="shared" si="8"/>
      </c>
    </row>
    <row r="391">
      <c r="A391" s="64" t="n"/>
      <c r="B391" s="65" t="n"/>
      <c r="C391" s="65" t="n"/>
      <c r="D391" s="65" t="n"/>
      <c r="E391" s="65" t="n"/>
      <c r="F391" s="66" t="n"/>
      <c r="G391" s="65" t="n"/>
      <c r="H391" s="66" t="n"/>
      <c r="I391" s="64" t="n"/>
      <c r="J391" s="68" t="n"/>
      <c r="K391" s="68" t="n"/>
      <c r="L391" s="68" t="n"/>
      <c r="M391" s="64" t="n"/>
      <c r="N391" s="64" t="n"/>
      <c r="O391" s="64" t="n"/>
      <c r="P391" s="64" t="n"/>
      <c r="Q391" s="64" t="n"/>
      <c r="R391" s="64" t="n"/>
      <c r="S391" s="66" t="n"/>
      <c r="T391" s="45" t="n"/>
      <c r="U391" s="43">
        <f t="shared" si="0"/>
      </c>
      <c r="V391" s="49">
        <f t="shared" si="1"/>
      </c>
      <c r="W391" s="49">
        <f t="shared" si="2"/>
      </c>
      <c r="X391" s="2">
        <f t="shared" si="3"/>
      </c>
      <c r="Y391" s="2">
        <f t="shared" si="4"/>
      </c>
      <c r="Z391" s="2">
        <f t="shared" si="5"/>
        <v>0</v>
      </c>
      <c r="AA391" s="2">
        <f t="shared" si="6"/>
        <v>0</v>
      </c>
      <c r="AB391" s="2">
        <f t="shared" si="7"/>
        <v>0</v>
      </c>
      <c r="AC391" s="2">
        <f t="shared" si="8"/>
      </c>
    </row>
    <row r="392">
      <c r="A392" s="64" t="n"/>
      <c r="B392" s="65" t="n"/>
      <c r="C392" s="65" t="n"/>
      <c r="D392" s="65" t="n"/>
      <c r="E392" s="65" t="n"/>
      <c r="F392" s="66" t="n"/>
      <c r="G392" s="65" t="n"/>
      <c r="H392" s="66" t="n"/>
      <c r="I392" s="64" t="n"/>
      <c r="J392" s="68" t="n"/>
      <c r="K392" s="68" t="n"/>
      <c r="L392" s="68" t="n"/>
      <c r="M392" s="64" t="n"/>
      <c r="N392" s="64" t="n"/>
      <c r="O392" s="64" t="n"/>
      <c r="P392" s="64" t="n"/>
      <c r="Q392" s="64" t="n"/>
      <c r="R392" s="64" t="n"/>
      <c r="S392" s="66" t="n"/>
      <c r="T392" s="45" t="n"/>
      <c r="U392" s="43">
        <f t="shared" si="0"/>
      </c>
      <c r="V392" s="49">
        <f t="shared" si="1"/>
      </c>
      <c r="W392" s="49">
        <f t="shared" si="2"/>
      </c>
      <c r="X392" s="2">
        <f t="shared" si="3"/>
      </c>
      <c r="Y392" s="2">
        <f t="shared" si="4"/>
      </c>
      <c r="Z392" s="2">
        <f t="shared" si="5"/>
        <v>0</v>
      </c>
      <c r="AA392" s="2">
        <f t="shared" si="6"/>
        <v>0</v>
      </c>
      <c r="AB392" s="2">
        <f t="shared" si="7"/>
        <v>0</v>
      </c>
      <c r="AC392" s="2">
        <f t="shared" si="8"/>
      </c>
    </row>
    <row r="393">
      <c r="A393" s="64" t="n"/>
      <c r="B393" s="65" t="n"/>
      <c r="C393" s="65" t="n"/>
      <c r="D393" s="65" t="n"/>
      <c r="E393" s="65" t="n"/>
      <c r="F393" s="66" t="n"/>
      <c r="G393" s="65" t="n"/>
      <c r="H393" s="66" t="n"/>
      <c r="I393" s="64" t="n"/>
      <c r="J393" s="68" t="n"/>
      <c r="K393" s="68" t="n"/>
      <c r="L393" s="68" t="n"/>
      <c r="M393" s="64" t="n"/>
      <c r="N393" s="64" t="n"/>
      <c r="O393" s="64" t="n"/>
      <c r="P393" s="64" t="n"/>
      <c r="Q393" s="64" t="n"/>
      <c r="R393" s="64" t="n"/>
      <c r="S393" s="66" t="n"/>
      <c r="T393" s="45" t="n"/>
      <c r="U393" s="43">
        <f t="shared" si="0"/>
      </c>
      <c r="V393" s="49">
        <f t="shared" si="1"/>
      </c>
      <c r="W393" s="49">
        <f t="shared" si="2"/>
      </c>
      <c r="X393" s="2">
        <f t="shared" si="3"/>
      </c>
      <c r="Y393" s="2">
        <f t="shared" si="4"/>
      </c>
      <c r="Z393" s="2">
        <f t="shared" si="5"/>
        <v>0</v>
      </c>
      <c r="AA393" s="2">
        <f t="shared" si="6"/>
        <v>0</v>
      </c>
      <c r="AB393" s="2">
        <f t="shared" si="7"/>
        <v>0</v>
      </c>
      <c r="AC393" s="2">
        <f t="shared" si="8"/>
      </c>
    </row>
    <row r="394">
      <c r="A394" s="64" t="n"/>
      <c r="B394" s="65" t="n"/>
      <c r="C394" s="65" t="n"/>
      <c r="D394" s="65" t="n"/>
      <c r="E394" s="65" t="n"/>
      <c r="F394" s="66" t="n"/>
      <c r="G394" s="65" t="n"/>
      <c r="H394" s="66" t="n"/>
      <c r="I394" s="64" t="n"/>
      <c r="J394" s="68" t="n"/>
      <c r="K394" s="68" t="n"/>
      <c r="L394" s="68" t="n"/>
      <c r="M394" s="64" t="n"/>
      <c r="N394" s="64" t="n"/>
      <c r="O394" s="64" t="n"/>
      <c r="P394" s="64" t="n"/>
      <c r="Q394" s="64" t="n"/>
      <c r="R394" s="64" t="n"/>
      <c r="S394" s="66" t="n"/>
      <c r="T394" s="45" t="n"/>
      <c r="U394" s="43">
        <f t="shared" si="0"/>
      </c>
      <c r="V394" s="49">
        <f t="shared" si="1"/>
      </c>
      <c r="W394" s="49">
        <f t="shared" si="2"/>
      </c>
      <c r="X394" s="2">
        <f t="shared" si="3"/>
      </c>
      <c r="Y394" s="2">
        <f t="shared" si="4"/>
      </c>
      <c r="Z394" s="2">
        <f t="shared" si="5"/>
        <v>0</v>
      </c>
      <c r="AA394" s="2">
        <f t="shared" si="6"/>
        <v>0</v>
      </c>
      <c r="AB394" s="2">
        <f t="shared" si="7"/>
        <v>0</v>
      </c>
      <c r="AC394" s="2">
        <f t="shared" si="8"/>
      </c>
    </row>
    <row r="395">
      <c r="A395" s="64" t="n"/>
      <c r="B395" s="65" t="n"/>
      <c r="C395" s="65" t="n"/>
      <c r="D395" s="65" t="n"/>
      <c r="E395" s="65" t="n"/>
      <c r="F395" s="66" t="n"/>
      <c r="G395" s="65" t="n"/>
      <c r="H395" s="66" t="n"/>
      <c r="I395" s="64" t="n"/>
      <c r="J395" s="68" t="n"/>
      <c r="K395" s="68" t="n"/>
      <c r="L395" s="68" t="n"/>
      <c r="M395" s="64" t="n"/>
      <c r="N395" s="64" t="n"/>
      <c r="O395" s="64" t="n"/>
      <c r="P395" s="64" t="n"/>
      <c r="Q395" s="64" t="n"/>
      <c r="R395" s="64" t="n"/>
      <c r="S395" s="66" t="n"/>
      <c r="T395" s="45" t="n"/>
      <c r="U395" s="43">
        <f t="shared" si="0"/>
      </c>
      <c r="V395" s="49">
        <f t="shared" si="1"/>
      </c>
      <c r="W395" s="49">
        <f t="shared" si="2"/>
      </c>
      <c r="X395" s="2">
        <f t="shared" si="3"/>
      </c>
      <c r="Y395" s="2">
        <f t="shared" si="4"/>
      </c>
      <c r="Z395" s="2">
        <f t="shared" si="5"/>
        <v>0</v>
      </c>
      <c r="AA395" s="2">
        <f t="shared" si="6"/>
        <v>0</v>
      </c>
      <c r="AB395" s="2">
        <f t="shared" si="7"/>
        <v>0</v>
      </c>
      <c r="AC395" s="2">
        <f t="shared" si="8"/>
      </c>
    </row>
    <row r="396">
      <c r="A396" s="64" t="n"/>
      <c r="B396" s="65" t="n"/>
      <c r="C396" s="65" t="n"/>
      <c r="D396" s="65" t="n"/>
      <c r="E396" s="65" t="n"/>
      <c r="F396" s="66" t="n"/>
      <c r="G396" s="65" t="n"/>
      <c r="H396" s="66" t="n"/>
      <c r="I396" s="64" t="n"/>
      <c r="J396" s="68" t="n"/>
      <c r="K396" s="68" t="n"/>
      <c r="L396" s="68" t="n"/>
      <c r="M396" s="64" t="n"/>
      <c r="N396" s="64" t="n"/>
      <c r="O396" s="64" t="n"/>
      <c r="P396" s="64" t="n"/>
      <c r="Q396" s="64" t="n"/>
      <c r="R396" s="64" t="n"/>
      <c r="S396" s="66" t="n"/>
      <c r="T396" s="45" t="n"/>
      <c r="U396" s="43">
        <f t="shared" si="0"/>
      </c>
      <c r="V396" s="49">
        <f t="shared" si="1"/>
      </c>
      <c r="W396" s="49">
        <f t="shared" si="2"/>
      </c>
      <c r="X396" s="2">
        <f t="shared" si="3"/>
      </c>
      <c r="Y396" s="2">
        <f t="shared" si="4"/>
      </c>
      <c r="Z396" s="2">
        <f t="shared" si="5"/>
        <v>0</v>
      </c>
      <c r="AA396" s="2">
        <f t="shared" si="6"/>
        <v>0</v>
      </c>
      <c r="AB396" s="2">
        <f t="shared" si="7"/>
        <v>0</v>
      </c>
      <c r="AC396" s="2">
        <f t="shared" si="8"/>
      </c>
    </row>
    <row r="397">
      <c r="A397" s="64" t="n"/>
      <c r="B397" s="65" t="n"/>
      <c r="C397" s="65" t="n"/>
      <c r="D397" s="65" t="n"/>
      <c r="E397" s="65" t="n"/>
      <c r="F397" s="66" t="n"/>
      <c r="G397" s="65" t="n"/>
      <c r="H397" s="66" t="n"/>
      <c r="I397" s="64" t="n"/>
      <c r="J397" s="68" t="n"/>
      <c r="K397" s="68" t="n"/>
      <c r="L397" s="68" t="n"/>
      <c r="M397" s="64" t="n"/>
      <c r="N397" s="64" t="n"/>
      <c r="O397" s="64" t="n"/>
      <c r="P397" s="64" t="n"/>
      <c r="Q397" s="64" t="n"/>
      <c r="R397" s="64" t="n"/>
      <c r="S397" s="66" t="n"/>
      <c r="T397" s="45" t="n"/>
      <c r="U397" s="43">
        <f t="shared" si="0"/>
      </c>
      <c r="V397" s="49">
        <f t="shared" si="1"/>
      </c>
      <c r="W397" s="49">
        <f t="shared" si="2"/>
      </c>
      <c r="X397" s="2">
        <f t="shared" si="3"/>
      </c>
      <c r="Y397" s="2">
        <f t="shared" si="4"/>
      </c>
      <c r="Z397" s="2">
        <f t="shared" si="5"/>
        <v>0</v>
      </c>
      <c r="AA397" s="2">
        <f t="shared" si="6"/>
        <v>0</v>
      </c>
      <c r="AB397" s="2">
        <f t="shared" si="7"/>
        <v>0</v>
      </c>
      <c r="AC397" s="2">
        <f t="shared" si="8"/>
      </c>
    </row>
    <row r="398">
      <c r="A398" s="64" t="n"/>
      <c r="B398" s="65" t="n"/>
      <c r="C398" s="65" t="n"/>
      <c r="D398" s="65" t="n"/>
      <c r="E398" s="65" t="n"/>
      <c r="F398" s="66" t="n"/>
      <c r="G398" s="65" t="n"/>
      <c r="H398" s="66" t="n"/>
      <c r="I398" s="64" t="n"/>
      <c r="J398" s="68" t="n"/>
      <c r="K398" s="68" t="n"/>
      <c r="L398" s="68" t="n"/>
      <c r="M398" s="64" t="n"/>
      <c r="N398" s="64" t="n"/>
      <c r="O398" s="64" t="n"/>
      <c r="P398" s="64" t="n"/>
      <c r="Q398" s="64" t="n"/>
      <c r="R398" s="64" t="n"/>
      <c r="S398" s="66" t="n"/>
      <c r="T398" s="45" t="n"/>
      <c r="U398" s="43">
        <f t="shared" si="0"/>
      </c>
      <c r="V398" s="49">
        <f t="shared" si="1"/>
      </c>
      <c r="W398" s="49">
        <f t="shared" si="2"/>
      </c>
      <c r="X398" s="2">
        <f t="shared" si="3"/>
      </c>
      <c r="Y398" s="2">
        <f t="shared" si="4"/>
      </c>
      <c r="Z398" s="2">
        <f t="shared" si="5"/>
        <v>0</v>
      </c>
      <c r="AA398" s="2">
        <f t="shared" si="6"/>
        <v>0</v>
      </c>
      <c r="AB398" s="2">
        <f t="shared" si="7"/>
        <v>0</v>
      </c>
      <c r="AC398" s="2">
        <f t="shared" si="8"/>
      </c>
    </row>
    <row r="399">
      <c r="A399" s="64" t="n"/>
      <c r="B399" s="65" t="n"/>
      <c r="C399" s="65" t="n"/>
      <c r="D399" s="65" t="n"/>
      <c r="E399" s="65" t="n"/>
      <c r="F399" s="66" t="n"/>
      <c r="G399" s="65" t="n"/>
      <c r="H399" s="66" t="n"/>
      <c r="I399" s="64" t="n"/>
      <c r="J399" s="68" t="n"/>
      <c r="K399" s="68" t="n"/>
      <c r="L399" s="68" t="n"/>
      <c r="M399" s="64" t="n"/>
      <c r="N399" s="64" t="n"/>
      <c r="O399" s="64" t="n"/>
      <c r="P399" s="64" t="n"/>
      <c r="Q399" s="64" t="n"/>
      <c r="R399" s="64" t="n"/>
      <c r="S399" s="66" t="n"/>
      <c r="T399" s="45" t="n"/>
      <c r="U399" s="43">
        <f t="shared" si="0"/>
      </c>
      <c r="V399" s="49">
        <f t="shared" si="1"/>
      </c>
      <c r="W399" s="49">
        <f t="shared" si="2"/>
      </c>
      <c r="X399" s="2">
        <f t="shared" si="3"/>
      </c>
      <c r="Y399" s="2">
        <f t="shared" si="4"/>
      </c>
      <c r="Z399" s="2">
        <f t="shared" si="5"/>
        <v>0</v>
      </c>
      <c r="AA399" s="2">
        <f t="shared" si="6"/>
        <v>0</v>
      </c>
      <c r="AB399" s="2">
        <f t="shared" si="7"/>
        <v>0</v>
      </c>
      <c r="AC399" s="2">
        <f t="shared" si="8"/>
      </c>
    </row>
    <row r="400">
      <c r="A400" s="64" t="n"/>
      <c r="B400" s="65" t="n"/>
      <c r="C400" s="65" t="n"/>
      <c r="D400" s="65" t="n"/>
      <c r="E400" s="65" t="n"/>
      <c r="F400" s="66" t="n"/>
      <c r="G400" s="65" t="n"/>
      <c r="H400" s="66" t="n"/>
      <c r="I400" s="64" t="n"/>
      <c r="J400" s="68" t="n"/>
      <c r="K400" s="68" t="n"/>
      <c r="L400" s="68" t="n"/>
      <c r="M400" s="64" t="n"/>
      <c r="N400" s="64" t="n"/>
      <c r="O400" s="64" t="n"/>
      <c r="P400" s="64" t="n"/>
      <c r="Q400" s="64" t="n"/>
      <c r="R400" s="64" t="n"/>
      <c r="S400" s="66" t="n"/>
      <c r="T400" s="45" t="n"/>
      <c r="U400" s="43">
        <f t="shared" si="0"/>
      </c>
      <c r="V400" s="49">
        <f t="shared" si="1"/>
      </c>
      <c r="W400" s="49">
        <f t="shared" si="2"/>
      </c>
      <c r="X400" s="2">
        <f t="shared" si="3"/>
      </c>
      <c r="Y400" s="2">
        <f t="shared" si="4"/>
      </c>
      <c r="Z400" s="2">
        <f t="shared" si="5"/>
        <v>0</v>
      </c>
      <c r="AA400" s="2">
        <f t="shared" si="6"/>
        <v>0</v>
      </c>
      <c r="AB400" s="2">
        <f t="shared" si="7"/>
        <v>0</v>
      </c>
      <c r="AC400" s="2">
        <f t="shared" si="8"/>
      </c>
    </row>
    <row r="401">
      <c r="A401" s="64" t="n"/>
      <c r="B401" s="65" t="n"/>
      <c r="C401" s="65" t="n"/>
      <c r="D401" s="65" t="n"/>
      <c r="E401" s="65" t="n"/>
      <c r="F401" s="66" t="n"/>
      <c r="G401" s="65" t="n"/>
      <c r="H401" s="66" t="n"/>
      <c r="I401" s="64" t="n"/>
      <c r="J401" s="68" t="n"/>
      <c r="K401" s="68" t="n"/>
      <c r="L401" s="68" t="n"/>
      <c r="M401" s="64" t="n"/>
      <c r="N401" s="64" t="n"/>
      <c r="O401" s="64" t="n"/>
      <c r="P401" s="64" t="n"/>
      <c r="Q401" s="64" t="n"/>
      <c r="R401" s="64" t="n"/>
      <c r="S401" s="66" t="n"/>
      <c r="T401" s="45" t="n"/>
      <c r="U401" s="43">
        <f t="shared" si="0"/>
      </c>
      <c r="V401" s="49">
        <f t="shared" si="1"/>
      </c>
      <c r="W401" s="49">
        <f t="shared" si="2"/>
      </c>
      <c r="X401" s="2">
        <f t="shared" si="3"/>
      </c>
      <c r="Y401" s="2">
        <f t="shared" si="4"/>
      </c>
      <c r="Z401" s="2">
        <f t="shared" si="5"/>
        <v>0</v>
      </c>
      <c r="AA401" s="2">
        <f t="shared" si="6"/>
        <v>0</v>
      </c>
      <c r="AB401" s="2">
        <f t="shared" si="7"/>
        <v>0</v>
      </c>
      <c r="AC401" s="2">
        <f t="shared" si="8"/>
      </c>
    </row>
    <row r="402">
      <c r="A402" s="64" t="n"/>
      <c r="B402" s="65" t="n"/>
      <c r="C402" s="65" t="n"/>
      <c r="D402" s="65" t="n"/>
      <c r="E402" s="65" t="n"/>
      <c r="F402" s="66" t="n"/>
      <c r="G402" s="65" t="n"/>
      <c r="H402" s="66" t="n"/>
      <c r="I402" s="64" t="n"/>
      <c r="J402" s="68" t="n"/>
      <c r="K402" s="68" t="n"/>
      <c r="L402" s="68" t="n"/>
      <c r="M402" s="64" t="n"/>
      <c r="N402" s="64" t="n"/>
      <c r="O402" s="64" t="n"/>
      <c r="P402" s="64" t="n"/>
      <c r="Q402" s="64" t="n"/>
      <c r="R402" s="64" t="n"/>
      <c r="S402" s="66" t="n"/>
      <c r="T402" s="45" t="n"/>
      <c r="U402" s="43">
        <f t="shared" si="0"/>
      </c>
      <c r="V402" s="49">
        <f t="shared" si="1"/>
      </c>
      <c r="W402" s="49">
        <f t="shared" si="2"/>
      </c>
      <c r="X402" s="2">
        <f t="shared" si="3"/>
      </c>
      <c r="Y402" s="2">
        <f t="shared" si="4"/>
      </c>
      <c r="Z402" s="2">
        <f t="shared" si="5"/>
        <v>0</v>
      </c>
      <c r="AA402" s="2">
        <f t="shared" si="6"/>
        <v>0</v>
      </c>
      <c r="AB402" s="2">
        <f t="shared" si="7"/>
        <v>0</v>
      </c>
      <c r="AC402" s="2">
        <f t="shared" si="8"/>
      </c>
    </row>
    <row r="403">
      <c r="A403" s="64" t="n"/>
      <c r="B403" s="65" t="n"/>
      <c r="C403" s="65" t="n"/>
      <c r="D403" s="65" t="n"/>
      <c r="E403" s="65" t="n"/>
      <c r="F403" s="66" t="n"/>
      <c r="G403" s="65" t="n"/>
      <c r="H403" s="66" t="n"/>
      <c r="I403" s="64" t="n"/>
      <c r="J403" s="68" t="n"/>
      <c r="K403" s="68" t="n"/>
      <c r="L403" s="68" t="n"/>
      <c r="M403" s="64" t="n"/>
      <c r="N403" s="64" t="n"/>
      <c r="O403" s="64" t="n"/>
      <c r="P403" s="64" t="n"/>
      <c r="Q403" s="64" t="n"/>
      <c r="R403" s="64" t="n"/>
      <c r="S403" s="66" t="n"/>
      <c r="T403" s="45" t="n"/>
      <c r="U403" s="43">
        <f t="shared" si="0"/>
      </c>
      <c r="V403" s="49">
        <f t="shared" si="1"/>
      </c>
      <c r="W403" s="49">
        <f t="shared" si="2"/>
      </c>
      <c r="X403" s="2">
        <f t="shared" si="3"/>
      </c>
      <c r="Y403" s="2">
        <f t="shared" si="4"/>
      </c>
      <c r="Z403" s="2">
        <f t="shared" si="5"/>
        <v>0</v>
      </c>
      <c r="AA403" s="2">
        <f t="shared" si="6"/>
        <v>0</v>
      </c>
      <c r="AB403" s="2">
        <f t="shared" si="7"/>
        <v>0</v>
      </c>
      <c r="AC403" s="2">
        <f t="shared" si="8"/>
      </c>
    </row>
    <row r="404">
      <c r="A404" s="64" t="n"/>
      <c r="B404" s="65" t="n"/>
      <c r="C404" s="65" t="n"/>
      <c r="D404" s="65" t="n"/>
      <c r="E404" s="65" t="n"/>
      <c r="F404" s="66" t="n"/>
      <c r="G404" s="65" t="n"/>
      <c r="H404" s="66" t="n"/>
      <c r="I404" s="64" t="n"/>
      <c r="J404" s="68" t="n"/>
      <c r="K404" s="68" t="n"/>
      <c r="L404" s="68" t="n"/>
      <c r="M404" s="64" t="n"/>
      <c r="N404" s="64" t="n"/>
      <c r="O404" s="64" t="n"/>
      <c r="P404" s="64" t="n"/>
      <c r="Q404" s="64" t="n"/>
      <c r="R404" s="64" t="n"/>
      <c r="S404" s="66" t="n"/>
      <c r="T404" s="45" t="n"/>
      <c r="U404" s="43">
        <f t="shared" si="0"/>
      </c>
      <c r="V404" s="49">
        <f t="shared" si="1"/>
      </c>
      <c r="W404" s="49">
        <f t="shared" si="2"/>
      </c>
      <c r="X404" s="2">
        <f t="shared" si="3"/>
      </c>
      <c r="Y404" s="2">
        <f t="shared" si="4"/>
      </c>
      <c r="Z404" s="2">
        <f t="shared" si="5"/>
        <v>0</v>
      </c>
      <c r="AA404" s="2">
        <f t="shared" si="6"/>
        <v>0</v>
      </c>
      <c r="AB404" s="2">
        <f t="shared" si="7"/>
        <v>0</v>
      </c>
      <c r="AC404" s="2">
        <f t="shared" si="8"/>
      </c>
    </row>
    <row r="405">
      <c r="A405" s="64" t="n"/>
      <c r="B405" s="65" t="n"/>
      <c r="C405" s="65" t="n"/>
      <c r="D405" s="65" t="n"/>
      <c r="E405" s="65" t="n"/>
      <c r="F405" s="66" t="n"/>
      <c r="G405" s="65" t="n"/>
      <c r="H405" s="66" t="n"/>
      <c r="I405" s="64" t="n"/>
      <c r="J405" s="68" t="n"/>
      <c r="K405" s="68" t="n"/>
      <c r="L405" s="68" t="n"/>
      <c r="M405" s="64" t="n"/>
      <c r="N405" s="64" t="n"/>
      <c r="O405" s="64" t="n"/>
      <c r="P405" s="64" t="n"/>
      <c r="Q405" s="64" t="n"/>
      <c r="R405" s="64" t="n"/>
      <c r="S405" s="66" t="n"/>
      <c r="T405" s="45" t="n"/>
      <c r="U405" s="43">
        <f t="shared" si="0"/>
      </c>
      <c r="V405" s="49">
        <f t="shared" si="1"/>
      </c>
      <c r="W405" s="49">
        <f t="shared" si="2"/>
      </c>
      <c r="X405" s="2">
        <f t="shared" si="3"/>
      </c>
      <c r="Y405" s="2">
        <f t="shared" si="4"/>
      </c>
      <c r="Z405" s="2">
        <f t="shared" si="5"/>
        <v>0</v>
      </c>
      <c r="AA405" s="2">
        <f t="shared" si="6"/>
        <v>0</v>
      </c>
      <c r="AB405" s="2">
        <f t="shared" si="7"/>
        <v>0</v>
      </c>
      <c r="AC405" s="2">
        <f t="shared" si="8"/>
      </c>
    </row>
    <row r="406">
      <c r="A406" s="64" t="n"/>
      <c r="B406" s="65" t="n"/>
      <c r="C406" s="65" t="n"/>
      <c r="D406" s="65" t="n"/>
      <c r="E406" s="65" t="n"/>
      <c r="F406" s="66" t="n"/>
      <c r="G406" s="65" t="n"/>
      <c r="H406" s="66" t="n"/>
      <c r="I406" s="64" t="n"/>
      <c r="J406" s="68" t="n"/>
      <c r="K406" s="68" t="n"/>
      <c r="L406" s="68" t="n"/>
      <c r="M406" s="64" t="n"/>
      <c r="N406" s="64" t="n"/>
      <c r="O406" s="64" t="n"/>
      <c r="P406" s="64" t="n"/>
      <c r="Q406" s="64" t="n"/>
      <c r="R406" s="64" t="n"/>
      <c r="S406" s="66" t="n"/>
      <c r="T406" s="45" t="n"/>
      <c r="U406" s="43">
        <f t="shared" si="0"/>
      </c>
      <c r="V406" s="49">
        <f t="shared" si="1"/>
      </c>
      <c r="W406" s="49">
        <f t="shared" si="2"/>
      </c>
      <c r="X406" s="2">
        <f t="shared" si="3"/>
      </c>
      <c r="Y406" s="2">
        <f t="shared" si="4"/>
      </c>
      <c r="Z406" s="2">
        <f t="shared" si="5"/>
        <v>0</v>
      </c>
      <c r="AA406" s="2">
        <f t="shared" si="6"/>
        <v>0</v>
      </c>
      <c r="AB406" s="2">
        <f t="shared" si="7"/>
        <v>0</v>
      </c>
      <c r="AC406" s="2">
        <f t="shared" si="8"/>
      </c>
    </row>
    <row r="407">
      <c r="A407" s="64" t="n"/>
      <c r="B407" s="65" t="n"/>
      <c r="C407" s="65" t="n"/>
      <c r="D407" s="65" t="n"/>
      <c r="E407" s="65" t="n"/>
      <c r="F407" s="66" t="n"/>
      <c r="G407" s="65" t="n"/>
      <c r="H407" s="66" t="n"/>
      <c r="I407" s="64" t="n"/>
      <c r="J407" s="68" t="n"/>
      <c r="K407" s="68" t="n"/>
      <c r="L407" s="68" t="n"/>
      <c r="M407" s="64" t="n"/>
      <c r="N407" s="64" t="n"/>
      <c r="O407" s="64" t="n"/>
      <c r="P407" s="64" t="n"/>
      <c r="Q407" s="64" t="n"/>
      <c r="R407" s="64" t="n"/>
      <c r="S407" s="66" t="n"/>
      <c r="T407" s="45" t="n"/>
      <c r="U407" s="43">
        <f t="shared" si="0"/>
      </c>
      <c r="V407" s="49">
        <f t="shared" si="1"/>
      </c>
      <c r="W407" s="49">
        <f t="shared" si="2"/>
      </c>
      <c r="X407" s="2">
        <f t="shared" si="3"/>
      </c>
      <c r="Y407" s="2">
        <f t="shared" si="4"/>
      </c>
      <c r="Z407" s="2">
        <f t="shared" si="5"/>
        <v>0</v>
      </c>
      <c r="AA407" s="2">
        <f t="shared" si="6"/>
        <v>0</v>
      </c>
      <c r="AB407" s="2">
        <f t="shared" si="7"/>
        <v>0</v>
      </c>
      <c r="AC407" s="2">
        <f t="shared" si="8"/>
      </c>
    </row>
    <row r="408">
      <c r="A408" s="64" t="n"/>
      <c r="B408" s="65" t="n"/>
      <c r="C408" s="65" t="n"/>
      <c r="D408" s="65" t="n"/>
      <c r="E408" s="65" t="n"/>
      <c r="F408" s="66" t="n"/>
      <c r="G408" s="65" t="n"/>
      <c r="H408" s="66" t="n"/>
      <c r="I408" s="64" t="n"/>
      <c r="J408" s="68" t="n"/>
      <c r="K408" s="68" t="n"/>
      <c r="L408" s="68" t="n"/>
      <c r="M408" s="64" t="n"/>
      <c r="N408" s="64" t="n"/>
      <c r="O408" s="64" t="n"/>
      <c r="P408" s="64" t="n"/>
      <c r="Q408" s="64" t="n"/>
      <c r="R408" s="64" t="n"/>
      <c r="S408" s="66" t="n"/>
      <c r="T408" s="45" t="n"/>
      <c r="U408" s="43">
        <f t="shared" si="0"/>
      </c>
      <c r="V408" s="49">
        <f t="shared" si="1"/>
      </c>
      <c r="W408" s="49">
        <f t="shared" si="2"/>
      </c>
      <c r="X408" s="2">
        <f t="shared" si="3"/>
      </c>
      <c r="Y408" s="2">
        <f t="shared" si="4"/>
      </c>
      <c r="Z408" s="2">
        <f t="shared" si="5"/>
        <v>0</v>
      </c>
      <c r="AA408" s="2">
        <f t="shared" si="6"/>
        <v>0</v>
      </c>
      <c r="AB408" s="2">
        <f t="shared" si="7"/>
        <v>0</v>
      </c>
      <c r="AC408" s="2">
        <f t="shared" si="8"/>
      </c>
    </row>
    <row r="409">
      <c r="A409" s="64" t="n"/>
      <c r="B409" s="65" t="n"/>
      <c r="C409" s="65" t="n"/>
      <c r="D409" s="65" t="n"/>
      <c r="E409" s="65" t="n"/>
      <c r="F409" s="66" t="n"/>
      <c r="G409" s="65" t="n"/>
      <c r="H409" s="66" t="n"/>
      <c r="I409" s="64" t="n"/>
      <c r="J409" s="68" t="n"/>
      <c r="K409" s="68" t="n"/>
      <c r="L409" s="68" t="n"/>
      <c r="M409" s="64" t="n"/>
      <c r="N409" s="64" t="n"/>
      <c r="O409" s="64" t="n"/>
      <c r="P409" s="64" t="n"/>
      <c r="Q409" s="64" t="n"/>
      <c r="R409" s="64" t="n"/>
      <c r="S409" s="66" t="n"/>
      <c r="T409" s="45" t="n"/>
      <c r="U409" s="43">
        <f t="shared" si="0"/>
      </c>
      <c r="V409" s="49">
        <f t="shared" si="1"/>
      </c>
      <c r="W409" s="49">
        <f t="shared" si="2"/>
      </c>
      <c r="X409" s="2">
        <f t="shared" si="3"/>
      </c>
      <c r="Y409" s="2">
        <f t="shared" si="4"/>
      </c>
      <c r="Z409" s="2">
        <f t="shared" si="5"/>
        <v>0</v>
      </c>
      <c r="AA409" s="2">
        <f t="shared" si="6"/>
        <v>0</v>
      </c>
      <c r="AB409" s="2">
        <f t="shared" si="7"/>
        <v>0</v>
      </c>
      <c r="AC409" s="2">
        <f t="shared" si="8"/>
      </c>
    </row>
    <row r="410">
      <c r="A410" s="64" t="n"/>
      <c r="B410" s="65" t="n"/>
      <c r="C410" s="65" t="n"/>
      <c r="D410" s="65" t="n"/>
      <c r="E410" s="65" t="n"/>
      <c r="F410" s="66" t="n"/>
      <c r="G410" s="65" t="n"/>
      <c r="H410" s="66" t="n"/>
      <c r="I410" s="64" t="n"/>
      <c r="J410" s="68" t="n"/>
      <c r="K410" s="68" t="n"/>
      <c r="L410" s="68" t="n"/>
      <c r="M410" s="64" t="n"/>
      <c r="N410" s="64" t="n"/>
      <c r="O410" s="64" t="n"/>
      <c r="P410" s="64" t="n"/>
      <c r="Q410" s="64" t="n"/>
      <c r="R410" s="64" t="n"/>
      <c r="S410" s="66" t="n"/>
      <c r="T410" s="45" t="n"/>
      <c r="U410" s="43">
        <f t="shared" si="0"/>
      </c>
      <c r="V410" s="49">
        <f t="shared" si="1"/>
      </c>
      <c r="W410" s="49">
        <f t="shared" si="2"/>
      </c>
      <c r="X410" s="2">
        <f t="shared" si="3"/>
      </c>
      <c r="Y410" s="2">
        <f t="shared" si="4"/>
      </c>
      <c r="Z410" s="2">
        <f t="shared" si="5"/>
        <v>0</v>
      </c>
      <c r="AA410" s="2">
        <f t="shared" si="6"/>
        <v>0</v>
      </c>
      <c r="AB410" s="2">
        <f t="shared" si="7"/>
        <v>0</v>
      </c>
      <c r="AC410" s="2">
        <f t="shared" si="8"/>
      </c>
    </row>
    <row r="411">
      <c r="A411" s="64" t="n"/>
      <c r="B411" s="65" t="n"/>
      <c r="C411" s="65" t="n"/>
      <c r="D411" s="65" t="n"/>
      <c r="E411" s="65" t="n"/>
      <c r="F411" s="66" t="n"/>
      <c r="G411" s="65" t="n"/>
      <c r="H411" s="66" t="n"/>
      <c r="I411" s="64" t="n"/>
      <c r="J411" s="68" t="n"/>
      <c r="K411" s="68" t="n"/>
      <c r="L411" s="68" t="n"/>
      <c r="M411" s="64" t="n"/>
      <c r="N411" s="64" t="n"/>
      <c r="O411" s="64" t="n"/>
      <c r="P411" s="64" t="n"/>
      <c r="Q411" s="64" t="n"/>
      <c r="R411" s="64" t="n"/>
      <c r="S411" s="66" t="n"/>
      <c r="T411" s="45" t="n"/>
      <c r="U411" s="43">
        <f t="shared" si="0"/>
      </c>
      <c r="V411" s="49">
        <f t="shared" si="1"/>
      </c>
      <c r="W411" s="49">
        <f t="shared" si="2"/>
      </c>
      <c r="X411" s="2">
        <f t="shared" si="3"/>
      </c>
      <c r="Y411" s="2">
        <f t="shared" si="4"/>
      </c>
      <c r="Z411" s="2">
        <f t="shared" si="5"/>
        <v>0</v>
      </c>
      <c r="AA411" s="2">
        <f t="shared" si="6"/>
        <v>0</v>
      </c>
      <c r="AB411" s="2">
        <f t="shared" si="7"/>
        <v>0</v>
      </c>
      <c r="AC411" s="2">
        <f t="shared" si="8"/>
      </c>
    </row>
    <row r="412">
      <c r="A412" s="64" t="n"/>
      <c r="B412" s="65" t="n"/>
      <c r="C412" s="65" t="n"/>
      <c r="D412" s="65" t="n"/>
      <c r="E412" s="65" t="n"/>
      <c r="F412" s="66" t="n"/>
      <c r="G412" s="65" t="n"/>
      <c r="H412" s="66" t="n"/>
      <c r="I412" s="64" t="n"/>
      <c r="J412" s="68" t="n"/>
      <c r="K412" s="68" t="n"/>
      <c r="L412" s="68" t="n"/>
      <c r="M412" s="64" t="n"/>
      <c r="N412" s="64" t="n"/>
      <c r="O412" s="64" t="n"/>
      <c r="P412" s="64" t="n"/>
      <c r="Q412" s="64" t="n"/>
      <c r="R412" s="64" t="n"/>
      <c r="S412" s="66" t="n"/>
      <c r="T412" s="45" t="n"/>
      <c r="U412" s="43">
        <f t="shared" si="0"/>
      </c>
      <c r="V412" s="49">
        <f t="shared" si="1"/>
      </c>
      <c r="W412" s="49">
        <f t="shared" si="2"/>
      </c>
      <c r="X412" s="2">
        <f t="shared" si="3"/>
      </c>
      <c r="Y412" s="2">
        <f t="shared" si="4"/>
      </c>
      <c r="Z412" s="2">
        <f t="shared" si="5"/>
        <v>0</v>
      </c>
      <c r="AA412" s="2">
        <f t="shared" si="6"/>
        <v>0</v>
      </c>
      <c r="AB412" s="2">
        <f t="shared" si="7"/>
        <v>0</v>
      </c>
      <c r="AC412" s="2">
        <f t="shared" si="8"/>
      </c>
    </row>
    <row r="413">
      <c r="A413" s="64" t="n"/>
      <c r="B413" s="65" t="n"/>
      <c r="C413" s="65" t="n"/>
      <c r="D413" s="65" t="n"/>
      <c r="E413" s="65" t="n"/>
      <c r="F413" s="66" t="n"/>
      <c r="G413" s="65" t="n"/>
      <c r="H413" s="66" t="n"/>
      <c r="I413" s="64" t="n"/>
      <c r="J413" s="68" t="n"/>
      <c r="K413" s="68" t="n"/>
      <c r="L413" s="68" t="n"/>
      <c r="M413" s="64" t="n"/>
      <c r="N413" s="64" t="n"/>
      <c r="O413" s="64" t="n"/>
      <c r="P413" s="64" t="n"/>
      <c r="Q413" s="64" t="n"/>
      <c r="R413" s="64" t="n"/>
      <c r="S413" s="66" t="n"/>
      <c r="T413" s="45" t="n"/>
      <c r="U413" s="43">
        <f t="shared" si="0"/>
      </c>
      <c r="V413" s="49">
        <f t="shared" si="1"/>
      </c>
      <c r="W413" s="49">
        <f t="shared" si="2"/>
      </c>
      <c r="X413" s="2">
        <f t="shared" si="3"/>
      </c>
      <c r="Y413" s="2">
        <f t="shared" si="4"/>
      </c>
      <c r="Z413" s="2">
        <f t="shared" si="5"/>
        <v>0</v>
      </c>
      <c r="AA413" s="2">
        <f t="shared" si="6"/>
        <v>0</v>
      </c>
      <c r="AB413" s="2">
        <f t="shared" si="7"/>
        <v>0</v>
      </c>
      <c r="AC413" s="2">
        <f t="shared" si="8"/>
      </c>
    </row>
    <row r="414">
      <c r="A414" s="64" t="n"/>
      <c r="B414" s="65" t="n"/>
      <c r="C414" s="65" t="n"/>
      <c r="D414" s="65" t="n"/>
      <c r="E414" s="65" t="n"/>
      <c r="F414" s="66" t="n"/>
      <c r="G414" s="65" t="n"/>
      <c r="H414" s="66" t="n"/>
      <c r="I414" s="64" t="n"/>
      <c r="J414" s="68" t="n"/>
      <c r="K414" s="68" t="n"/>
      <c r="L414" s="68" t="n"/>
      <c r="M414" s="64" t="n"/>
      <c r="N414" s="64" t="n"/>
      <c r="O414" s="64" t="n"/>
      <c r="P414" s="64" t="n"/>
      <c r="Q414" s="64" t="n"/>
      <c r="R414" s="64" t="n"/>
      <c r="S414" s="66" t="n"/>
      <c r="T414" s="45" t="n"/>
      <c r="U414" s="43">
        <f t="shared" si="0"/>
      </c>
      <c r="V414" s="49">
        <f t="shared" si="1"/>
      </c>
      <c r="W414" s="49">
        <f t="shared" si="2"/>
      </c>
      <c r="X414" s="2">
        <f t="shared" si="3"/>
      </c>
      <c r="Y414" s="2">
        <f t="shared" si="4"/>
      </c>
      <c r="Z414" s="2">
        <f t="shared" si="5"/>
        <v>0</v>
      </c>
      <c r="AA414" s="2">
        <f t="shared" si="6"/>
        <v>0</v>
      </c>
      <c r="AB414" s="2">
        <f t="shared" si="7"/>
        <v>0</v>
      </c>
      <c r="AC414" s="2">
        <f t="shared" si="8"/>
      </c>
    </row>
    <row r="415">
      <c r="A415" s="64" t="n"/>
      <c r="B415" s="65" t="n"/>
      <c r="C415" s="65" t="n"/>
      <c r="D415" s="65" t="n"/>
      <c r="E415" s="65" t="n"/>
      <c r="F415" s="66" t="n"/>
      <c r="G415" s="65" t="n"/>
      <c r="H415" s="66" t="n"/>
      <c r="I415" s="64" t="n"/>
      <c r="J415" s="68" t="n"/>
      <c r="K415" s="68" t="n"/>
      <c r="L415" s="68" t="n"/>
      <c r="M415" s="64" t="n"/>
      <c r="N415" s="64" t="n"/>
      <c r="O415" s="64" t="n"/>
      <c r="P415" s="64" t="n"/>
      <c r="Q415" s="64" t="n"/>
      <c r="R415" s="64" t="n"/>
      <c r="S415" s="66" t="n"/>
      <c r="T415" s="45" t="n"/>
      <c r="U415" s="43">
        <f t="shared" si="0"/>
      </c>
      <c r="V415" s="49">
        <f t="shared" si="1"/>
      </c>
      <c r="W415" s="49">
        <f t="shared" si="2"/>
      </c>
      <c r="X415" s="2">
        <f t="shared" si="3"/>
      </c>
      <c r="Y415" s="2">
        <f t="shared" si="4"/>
      </c>
      <c r="Z415" s="2">
        <f t="shared" si="5"/>
        <v>0</v>
      </c>
      <c r="AA415" s="2">
        <f t="shared" si="6"/>
        <v>0</v>
      </c>
      <c r="AB415" s="2">
        <f t="shared" si="7"/>
        <v>0</v>
      </c>
      <c r="AC415" s="2">
        <f t="shared" si="8"/>
      </c>
    </row>
    <row r="416">
      <c r="A416" s="64" t="n"/>
      <c r="B416" s="65" t="n"/>
      <c r="C416" s="65" t="n"/>
      <c r="D416" s="65" t="n"/>
      <c r="E416" s="65" t="n"/>
      <c r="F416" s="66" t="n"/>
      <c r="G416" s="65" t="n"/>
      <c r="H416" s="66" t="n"/>
      <c r="I416" s="64" t="n"/>
      <c r="J416" s="68" t="n"/>
      <c r="K416" s="68" t="n"/>
      <c r="L416" s="68" t="n"/>
      <c r="M416" s="64" t="n"/>
      <c r="N416" s="64" t="n"/>
      <c r="O416" s="64" t="n"/>
      <c r="P416" s="64" t="n"/>
      <c r="Q416" s="64" t="n"/>
      <c r="R416" s="64" t="n"/>
      <c r="S416" s="66" t="n"/>
      <c r="T416" s="45" t="n"/>
      <c r="U416" s="43">
        <f t="shared" si="0"/>
      </c>
      <c r="V416" s="49">
        <f t="shared" si="1"/>
      </c>
      <c r="W416" s="49">
        <f t="shared" si="2"/>
      </c>
      <c r="X416" s="2">
        <f t="shared" si="3"/>
      </c>
      <c r="Y416" s="2">
        <f t="shared" si="4"/>
      </c>
      <c r="Z416" s="2">
        <f t="shared" si="5"/>
        <v>0</v>
      </c>
      <c r="AA416" s="2">
        <f t="shared" si="6"/>
        <v>0</v>
      </c>
      <c r="AB416" s="2">
        <f t="shared" si="7"/>
        <v>0</v>
      </c>
      <c r="AC416" s="2">
        <f t="shared" si="8"/>
      </c>
    </row>
    <row r="417">
      <c r="A417" s="64" t="n"/>
      <c r="B417" s="65" t="n"/>
      <c r="C417" s="65" t="n"/>
      <c r="D417" s="65" t="n"/>
      <c r="E417" s="65" t="n"/>
      <c r="F417" s="66" t="n"/>
      <c r="G417" s="65" t="n"/>
      <c r="H417" s="66" t="n"/>
      <c r="I417" s="64" t="n"/>
      <c r="J417" s="68" t="n"/>
      <c r="K417" s="68" t="n"/>
      <c r="L417" s="68" t="n"/>
      <c r="M417" s="64" t="n"/>
      <c r="N417" s="64" t="n"/>
      <c r="O417" s="64" t="n"/>
      <c r="P417" s="64" t="n"/>
      <c r="Q417" s="64" t="n"/>
      <c r="R417" s="64" t="n"/>
      <c r="S417" s="66" t="n"/>
      <c r="T417" s="45" t="n"/>
      <c r="U417" s="43">
        <f t="shared" si="0"/>
      </c>
      <c r="V417" s="49">
        <f t="shared" si="1"/>
      </c>
      <c r="W417" s="49">
        <f t="shared" si="2"/>
      </c>
      <c r="X417" s="2">
        <f t="shared" si="3"/>
      </c>
      <c r="Y417" s="2">
        <f t="shared" si="4"/>
      </c>
      <c r="Z417" s="2">
        <f t="shared" si="5"/>
        <v>0</v>
      </c>
      <c r="AA417" s="2">
        <f t="shared" si="6"/>
        <v>0</v>
      </c>
      <c r="AB417" s="2">
        <f t="shared" si="7"/>
        <v>0</v>
      </c>
      <c r="AC417" s="2">
        <f t="shared" si="8"/>
      </c>
    </row>
    <row r="418">
      <c r="A418" s="64" t="n"/>
      <c r="B418" s="65" t="n"/>
      <c r="C418" s="65" t="n"/>
      <c r="D418" s="65" t="n"/>
      <c r="E418" s="65" t="n"/>
      <c r="F418" s="66" t="n"/>
      <c r="G418" s="65" t="n"/>
      <c r="H418" s="66" t="n"/>
      <c r="I418" s="64" t="n"/>
      <c r="J418" s="68" t="n"/>
      <c r="K418" s="68" t="n"/>
      <c r="L418" s="68" t="n"/>
      <c r="M418" s="64" t="n"/>
      <c r="N418" s="64" t="n"/>
      <c r="O418" s="64" t="n"/>
      <c r="P418" s="64" t="n"/>
      <c r="Q418" s="64" t="n"/>
      <c r="R418" s="64" t="n"/>
      <c r="S418" s="66" t="n"/>
      <c r="T418" s="45" t="n"/>
      <c r="U418" s="43">
        <f t="shared" si="0"/>
      </c>
      <c r="V418" s="49">
        <f t="shared" si="1"/>
      </c>
      <c r="W418" s="49">
        <f t="shared" si="2"/>
      </c>
      <c r="X418" s="2">
        <f t="shared" si="3"/>
      </c>
      <c r="Y418" s="2">
        <f t="shared" si="4"/>
      </c>
      <c r="Z418" s="2">
        <f t="shared" si="5"/>
        <v>0</v>
      </c>
      <c r="AA418" s="2">
        <f t="shared" si="6"/>
        <v>0</v>
      </c>
      <c r="AB418" s="2">
        <f t="shared" si="7"/>
        <v>0</v>
      </c>
      <c r="AC418" s="2">
        <f t="shared" si="8"/>
      </c>
    </row>
    <row r="419">
      <c r="A419" s="64" t="n"/>
      <c r="B419" s="65" t="n"/>
      <c r="C419" s="65" t="n"/>
      <c r="D419" s="65" t="n"/>
      <c r="E419" s="65" t="n"/>
      <c r="F419" s="66" t="n"/>
      <c r="G419" s="65" t="n"/>
      <c r="H419" s="66" t="n"/>
      <c r="I419" s="64" t="n"/>
      <c r="J419" s="68" t="n"/>
      <c r="K419" s="68" t="n"/>
      <c r="L419" s="68" t="n"/>
      <c r="M419" s="64" t="n"/>
      <c r="N419" s="64" t="n"/>
      <c r="O419" s="64" t="n"/>
      <c r="P419" s="64" t="n"/>
      <c r="Q419" s="64" t="n"/>
      <c r="R419" s="64" t="n"/>
      <c r="S419" s="66" t="n"/>
      <c r="T419" s="45" t="n"/>
      <c r="U419" s="43">
        <f t="shared" si="0"/>
      </c>
      <c r="V419" s="49">
        <f t="shared" si="1"/>
      </c>
      <c r="W419" s="49">
        <f t="shared" si="2"/>
      </c>
      <c r="X419" s="2">
        <f t="shared" si="3"/>
      </c>
      <c r="Y419" s="2">
        <f t="shared" si="4"/>
      </c>
      <c r="Z419" s="2">
        <f t="shared" si="5"/>
        <v>0</v>
      </c>
      <c r="AA419" s="2">
        <f t="shared" si="6"/>
        <v>0</v>
      </c>
      <c r="AB419" s="2">
        <f t="shared" si="7"/>
        <v>0</v>
      </c>
      <c r="AC419" s="2">
        <f t="shared" si="8"/>
      </c>
    </row>
    <row r="420">
      <c r="A420" s="64" t="n"/>
      <c r="B420" s="65" t="n"/>
      <c r="C420" s="65" t="n"/>
      <c r="D420" s="65" t="n"/>
      <c r="E420" s="65" t="n"/>
      <c r="F420" s="66" t="n"/>
      <c r="G420" s="65" t="n"/>
      <c r="H420" s="66" t="n"/>
      <c r="I420" s="64" t="n"/>
      <c r="J420" s="68" t="n"/>
      <c r="K420" s="68" t="n"/>
      <c r="L420" s="68" t="n"/>
      <c r="M420" s="64" t="n"/>
      <c r="N420" s="64" t="n"/>
      <c r="O420" s="64" t="n"/>
      <c r="P420" s="64" t="n"/>
      <c r="Q420" s="64" t="n"/>
      <c r="R420" s="64" t="n"/>
      <c r="S420" s="66" t="n"/>
      <c r="T420" s="45" t="n"/>
      <c r="U420" s="43">
        <f t="shared" si="0"/>
      </c>
      <c r="V420" s="49">
        <f t="shared" si="1"/>
      </c>
      <c r="W420" s="49">
        <f t="shared" si="2"/>
      </c>
      <c r="X420" s="2">
        <f t="shared" si="3"/>
      </c>
      <c r="Y420" s="2">
        <f t="shared" si="4"/>
      </c>
      <c r="Z420" s="2">
        <f t="shared" si="5"/>
        <v>0</v>
      </c>
      <c r="AA420" s="2">
        <f t="shared" si="6"/>
        <v>0</v>
      </c>
      <c r="AB420" s="2">
        <f t="shared" si="7"/>
        <v>0</v>
      </c>
      <c r="AC420" s="2">
        <f t="shared" si="8"/>
      </c>
    </row>
    <row r="421">
      <c r="A421" s="64" t="n"/>
      <c r="B421" s="65" t="n"/>
      <c r="C421" s="65" t="n"/>
      <c r="D421" s="65" t="n"/>
      <c r="E421" s="65" t="n"/>
      <c r="F421" s="66" t="n"/>
      <c r="G421" s="65" t="n"/>
      <c r="H421" s="66" t="n"/>
      <c r="I421" s="64" t="n"/>
      <c r="J421" s="68" t="n"/>
      <c r="K421" s="68" t="n"/>
      <c r="L421" s="68" t="n"/>
      <c r="M421" s="64" t="n"/>
      <c r="N421" s="64" t="n"/>
      <c r="O421" s="64" t="n"/>
      <c r="P421" s="64" t="n"/>
      <c r="Q421" s="64" t="n"/>
      <c r="R421" s="64" t="n"/>
      <c r="S421" s="66" t="n"/>
      <c r="T421" s="45" t="n"/>
      <c r="U421" s="43">
        <f t="shared" si="0"/>
      </c>
      <c r="V421" s="49">
        <f t="shared" si="1"/>
      </c>
      <c r="W421" s="49">
        <f t="shared" si="2"/>
      </c>
      <c r="X421" s="2">
        <f t="shared" si="3"/>
      </c>
      <c r="Y421" s="2">
        <f t="shared" si="4"/>
      </c>
      <c r="Z421" s="2">
        <f t="shared" si="5"/>
        <v>0</v>
      </c>
      <c r="AA421" s="2">
        <f t="shared" si="6"/>
        <v>0</v>
      </c>
      <c r="AB421" s="2">
        <f t="shared" si="7"/>
        <v>0</v>
      </c>
      <c r="AC421" s="2">
        <f t="shared" si="8"/>
      </c>
    </row>
    <row r="422">
      <c r="A422" s="64" t="n"/>
      <c r="B422" s="65" t="n"/>
      <c r="C422" s="65" t="n"/>
      <c r="D422" s="65" t="n"/>
      <c r="E422" s="65" t="n"/>
      <c r="F422" s="66" t="n"/>
      <c r="G422" s="65" t="n"/>
      <c r="H422" s="66" t="n"/>
      <c r="I422" s="64" t="n"/>
      <c r="J422" s="68" t="n"/>
      <c r="K422" s="68" t="n"/>
      <c r="L422" s="68" t="n"/>
      <c r="M422" s="64" t="n"/>
      <c r="N422" s="64" t="n"/>
      <c r="O422" s="64" t="n"/>
      <c r="P422" s="64" t="n"/>
      <c r="Q422" s="64" t="n"/>
      <c r="R422" s="64" t="n"/>
      <c r="S422" s="66" t="n"/>
      <c r="T422" s="45" t="n"/>
      <c r="U422" s="43">
        <f t="shared" si="0"/>
      </c>
      <c r="V422" s="49">
        <f t="shared" si="1"/>
      </c>
      <c r="W422" s="49">
        <f t="shared" si="2"/>
      </c>
      <c r="X422" s="2">
        <f t="shared" si="3"/>
      </c>
      <c r="Y422" s="2">
        <f t="shared" si="4"/>
      </c>
      <c r="Z422" s="2">
        <f t="shared" si="5"/>
        <v>0</v>
      </c>
      <c r="AA422" s="2">
        <f t="shared" si="6"/>
        <v>0</v>
      </c>
      <c r="AB422" s="2">
        <f t="shared" si="7"/>
        <v>0</v>
      </c>
      <c r="AC422" s="2">
        <f t="shared" si="8"/>
      </c>
    </row>
    <row r="423">
      <c r="A423" s="64" t="n"/>
      <c r="B423" s="65" t="n"/>
      <c r="C423" s="65" t="n"/>
      <c r="D423" s="65" t="n"/>
      <c r="E423" s="65" t="n"/>
      <c r="F423" s="66" t="n"/>
      <c r="G423" s="65" t="n"/>
      <c r="H423" s="66" t="n"/>
      <c r="I423" s="64" t="n"/>
      <c r="J423" s="68" t="n"/>
      <c r="K423" s="68" t="n"/>
      <c r="L423" s="68" t="n"/>
      <c r="M423" s="64" t="n"/>
      <c r="N423" s="64" t="n"/>
      <c r="O423" s="64" t="n"/>
      <c r="P423" s="64" t="n"/>
      <c r="Q423" s="64" t="n"/>
      <c r="R423" s="64" t="n"/>
      <c r="S423" s="66" t="n"/>
      <c r="T423" s="45" t="n"/>
      <c r="U423" s="43">
        <f t="shared" si="0"/>
      </c>
      <c r="V423" s="49">
        <f t="shared" si="1"/>
      </c>
      <c r="W423" s="49">
        <f t="shared" si="2"/>
      </c>
      <c r="X423" s="2">
        <f t="shared" si="3"/>
      </c>
      <c r="Y423" s="2">
        <f t="shared" si="4"/>
      </c>
      <c r="Z423" s="2">
        <f t="shared" si="5"/>
        <v>0</v>
      </c>
      <c r="AA423" s="2">
        <f t="shared" si="6"/>
        <v>0</v>
      </c>
      <c r="AB423" s="2">
        <f t="shared" si="7"/>
        <v>0</v>
      </c>
      <c r="AC423" s="2">
        <f t="shared" si="8"/>
      </c>
    </row>
    <row r="424">
      <c r="A424" s="64" t="n"/>
      <c r="B424" s="65" t="n"/>
      <c r="C424" s="65" t="n"/>
      <c r="D424" s="65" t="n"/>
      <c r="E424" s="65" t="n"/>
      <c r="F424" s="66" t="n"/>
      <c r="G424" s="65" t="n"/>
      <c r="H424" s="66" t="n"/>
      <c r="I424" s="64" t="n"/>
      <c r="J424" s="68" t="n"/>
      <c r="K424" s="68" t="n"/>
      <c r="L424" s="68" t="n"/>
      <c r="M424" s="64" t="n"/>
      <c r="N424" s="64" t="n"/>
      <c r="O424" s="64" t="n"/>
      <c r="P424" s="64" t="n"/>
      <c r="Q424" s="64" t="n"/>
      <c r="R424" s="64" t="n"/>
      <c r="S424" s="66" t="n"/>
      <c r="T424" s="45" t="n"/>
      <c r="U424" s="43">
        <f t="shared" si="0"/>
      </c>
      <c r="V424" s="49">
        <f t="shared" si="1"/>
      </c>
      <c r="W424" s="49">
        <f t="shared" si="2"/>
      </c>
      <c r="X424" s="2">
        <f t="shared" si="3"/>
      </c>
      <c r="Y424" s="2">
        <f t="shared" si="4"/>
      </c>
      <c r="Z424" s="2">
        <f t="shared" si="5"/>
        <v>0</v>
      </c>
      <c r="AA424" s="2">
        <f t="shared" si="6"/>
        <v>0</v>
      </c>
      <c r="AB424" s="2">
        <f t="shared" si="7"/>
        <v>0</v>
      </c>
      <c r="AC424" s="2">
        <f t="shared" si="8"/>
      </c>
    </row>
    <row r="425">
      <c r="A425" s="64" t="n"/>
      <c r="B425" s="65" t="n"/>
      <c r="C425" s="65" t="n"/>
      <c r="D425" s="65" t="n"/>
      <c r="E425" s="65" t="n"/>
      <c r="F425" s="66" t="n"/>
      <c r="G425" s="65" t="n"/>
      <c r="H425" s="66" t="n"/>
      <c r="I425" s="64" t="n"/>
      <c r="J425" s="68" t="n"/>
      <c r="K425" s="68" t="n"/>
      <c r="L425" s="68" t="n"/>
      <c r="M425" s="64" t="n"/>
      <c r="N425" s="64" t="n"/>
      <c r="O425" s="64" t="n"/>
      <c r="P425" s="64" t="n"/>
      <c r="Q425" s="64" t="n"/>
      <c r="R425" s="64" t="n"/>
      <c r="S425" s="66" t="n"/>
      <c r="T425" s="45" t="n"/>
      <c r="U425" s="43">
        <f t="shared" si="0"/>
      </c>
      <c r="V425" s="49">
        <f t="shared" si="1"/>
      </c>
      <c r="W425" s="49">
        <f t="shared" si="2"/>
      </c>
      <c r="X425" s="2">
        <f t="shared" si="3"/>
      </c>
      <c r="Y425" s="2">
        <f t="shared" si="4"/>
      </c>
      <c r="Z425" s="2">
        <f t="shared" si="5"/>
        <v>0</v>
      </c>
      <c r="AA425" s="2">
        <f t="shared" si="6"/>
        <v>0</v>
      </c>
      <c r="AB425" s="2">
        <f t="shared" si="7"/>
        <v>0</v>
      </c>
      <c r="AC425" s="2">
        <f t="shared" si="8"/>
      </c>
    </row>
    <row r="426">
      <c r="A426" s="64" t="n"/>
      <c r="B426" s="65" t="n"/>
      <c r="C426" s="65" t="n"/>
      <c r="D426" s="65" t="n"/>
      <c r="E426" s="65" t="n"/>
      <c r="F426" s="66" t="n"/>
      <c r="G426" s="65" t="n"/>
      <c r="H426" s="66" t="n"/>
      <c r="I426" s="64" t="n"/>
      <c r="J426" s="68" t="n"/>
      <c r="K426" s="68" t="n"/>
      <c r="L426" s="68" t="n"/>
      <c r="M426" s="64" t="n"/>
      <c r="N426" s="64" t="n"/>
      <c r="O426" s="64" t="n"/>
      <c r="P426" s="64" t="n"/>
      <c r="Q426" s="64" t="n"/>
      <c r="R426" s="64" t="n"/>
      <c r="S426" s="66" t="n"/>
      <c r="T426" s="45" t="n"/>
      <c r="U426" s="43">
        <f t="shared" si="0"/>
      </c>
      <c r="V426" s="49">
        <f t="shared" si="1"/>
      </c>
      <c r="W426" s="49">
        <f t="shared" si="2"/>
      </c>
      <c r="X426" s="2">
        <f t="shared" si="3"/>
      </c>
      <c r="Y426" s="2">
        <f t="shared" si="4"/>
      </c>
      <c r="Z426" s="2">
        <f t="shared" si="5"/>
        <v>0</v>
      </c>
      <c r="AA426" s="2">
        <f t="shared" si="6"/>
        <v>0</v>
      </c>
      <c r="AB426" s="2">
        <f t="shared" si="7"/>
        <v>0</v>
      </c>
      <c r="AC426" s="2">
        <f t="shared" si="8"/>
      </c>
    </row>
    <row r="427">
      <c r="A427" s="64" t="n"/>
      <c r="B427" s="65" t="n"/>
      <c r="C427" s="65" t="n"/>
      <c r="D427" s="65" t="n"/>
      <c r="E427" s="65" t="n"/>
      <c r="F427" s="66" t="n"/>
      <c r="G427" s="65" t="n"/>
      <c r="H427" s="66" t="n"/>
      <c r="I427" s="64" t="n"/>
      <c r="J427" s="68" t="n"/>
      <c r="K427" s="68" t="n"/>
      <c r="L427" s="68" t="n"/>
      <c r="M427" s="64" t="n"/>
      <c r="N427" s="64" t="n"/>
      <c r="O427" s="64" t="n"/>
      <c r="P427" s="64" t="n"/>
      <c r="Q427" s="64" t="n"/>
      <c r="R427" s="64" t="n"/>
      <c r="S427" s="66" t="n"/>
      <c r="T427" s="45" t="n"/>
      <c r="U427" s="43">
        <f t="shared" si="0"/>
      </c>
      <c r="V427" s="49">
        <f t="shared" si="1"/>
      </c>
      <c r="W427" s="49">
        <f t="shared" si="2"/>
      </c>
      <c r="X427" s="2">
        <f t="shared" si="3"/>
      </c>
      <c r="Y427" s="2">
        <f t="shared" si="4"/>
      </c>
      <c r="Z427" s="2">
        <f t="shared" si="5"/>
        <v>0</v>
      </c>
      <c r="AA427" s="2">
        <f t="shared" si="6"/>
        <v>0</v>
      </c>
      <c r="AB427" s="2">
        <f t="shared" si="7"/>
        <v>0</v>
      </c>
      <c r="AC427" s="2">
        <f t="shared" si="8"/>
      </c>
    </row>
    <row r="428">
      <c r="A428" s="64" t="n"/>
      <c r="B428" s="65" t="n"/>
      <c r="C428" s="65" t="n"/>
      <c r="D428" s="65" t="n"/>
      <c r="E428" s="65" t="n"/>
      <c r="F428" s="66" t="n"/>
      <c r="G428" s="65" t="n"/>
      <c r="H428" s="66" t="n"/>
      <c r="I428" s="64" t="n"/>
      <c r="J428" s="68" t="n"/>
      <c r="K428" s="68" t="n"/>
      <c r="L428" s="68" t="n"/>
      <c r="M428" s="64" t="n"/>
      <c r="N428" s="64" t="n"/>
      <c r="O428" s="64" t="n"/>
      <c r="P428" s="64" t="n"/>
      <c r="Q428" s="64" t="n"/>
      <c r="R428" s="64" t="n"/>
      <c r="S428" s="66" t="n"/>
      <c r="T428" s="45" t="n"/>
      <c r="U428" s="43">
        <f t="shared" si="0"/>
      </c>
      <c r="V428" s="49">
        <f t="shared" si="1"/>
      </c>
      <c r="W428" s="49">
        <f t="shared" si="2"/>
      </c>
      <c r="X428" s="2">
        <f t="shared" si="3"/>
      </c>
      <c r="Y428" s="2">
        <f t="shared" si="4"/>
      </c>
      <c r="Z428" s="2">
        <f t="shared" si="5"/>
        <v>0</v>
      </c>
      <c r="AA428" s="2">
        <f t="shared" si="6"/>
        <v>0</v>
      </c>
      <c r="AB428" s="2">
        <f t="shared" si="7"/>
        <v>0</v>
      </c>
      <c r="AC428" s="2">
        <f t="shared" si="8"/>
      </c>
    </row>
    <row r="429">
      <c r="A429" s="64" t="n"/>
      <c r="B429" s="65" t="n"/>
      <c r="C429" s="65" t="n"/>
      <c r="D429" s="65" t="n"/>
      <c r="E429" s="65" t="n"/>
      <c r="F429" s="66" t="n"/>
      <c r="G429" s="65" t="n"/>
      <c r="H429" s="66" t="n"/>
      <c r="I429" s="64" t="n"/>
      <c r="J429" s="68" t="n"/>
      <c r="K429" s="68" t="n"/>
      <c r="L429" s="68" t="n"/>
      <c r="M429" s="64" t="n"/>
      <c r="N429" s="64" t="n"/>
      <c r="O429" s="64" t="n"/>
      <c r="P429" s="64" t="n"/>
      <c r="Q429" s="64" t="n"/>
      <c r="R429" s="64" t="n"/>
      <c r="S429" s="66" t="n"/>
      <c r="T429" s="45" t="n"/>
      <c r="U429" s="43">
        <f t="shared" si="0"/>
      </c>
      <c r="V429" s="49">
        <f t="shared" si="1"/>
      </c>
      <c r="W429" s="49">
        <f t="shared" si="2"/>
      </c>
      <c r="X429" s="2">
        <f t="shared" si="3"/>
      </c>
      <c r="Y429" s="2">
        <f t="shared" si="4"/>
      </c>
      <c r="Z429" s="2">
        <f t="shared" si="5"/>
        <v>0</v>
      </c>
      <c r="AA429" s="2">
        <f t="shared" si="6"/>
        <v>0</v>
      </c>
      <c r="AB429" s="2">
        <f t="shared" si="7"/>
        <v>0</v>
      </c>
      <c r="AC429" s="2">
        <f t="shared" si="8"/>
      </c>
    </row>
    <row r="430">
      <c r="A430" s="64" t="n"/>
      <c r="B430" s="65" t="n"/>
      <c r="C430" s="65" t="n"/>
      <c r="D430" s="65" t="n"/>
      <c r="E430" s="65" t="n"/>
      <c r="F430" s="66" t="n"/>
      <c r="G430" s="65" t="n"/>
      <c r="H430" s="66" t="n"/>
      <c r="I430" s="64" t="n"/>
      <c r="J430" s="68" t="n"/>
      <c r="K430" s="68" t="n"/>
      <c r="L430" s="68" t="n"/>
      <c r="M430" s="64" t="n"/>
      <c r="N430" s="64" t="n"/>
      <c r="O430" s="64" t="n"/>
      <c r="P430" s="64" t="n"/>
      <c r="Q430" s="64" t="n"/>
      <c r="R430" s="64" t="n"/>
      <c r="S430" s="66" t="n"/>
      <c r="T430" s="45" t="n"/>
      <c r="U430" s="43">
        <f t="shared" si="0"/>
      </c>
      <c r="V430" s="49">
        <f t="shared" si="1"/>
      </c>
      <c r="W430" s="49">
        <f t="shared" si="2"/>
      </c>
      <c r="X430" s="2">
        <f t="shared" si="3"/>
      </c>
      <c r="Y430" s="2">
        <f t="shared" si="4"/>
      </c>
      <c r="Z430" s="2">
        <f t="shared" si="5"/>
        <v>0</v>
      </c>
      <c r="AA430" s="2">
        <f t="shared" si="6"/>
        <v>0</v>
      </c>
      <c r="AB430" s="2">
        <f t="shared" si="7"/>
        <v>0</v>
      </c>
      <c r="AC430" s="2">
        <f t="shared" si="8"/>
      </c>
    </row>
    <row r="431">
      <c r="A431" s="64" t="n"/>
      <c r="B431" s="65" t="n"/>
      <c r="C431" s="65" t="n"/>
      <c r="D431" s="65" t="n"/>
      <c r="E431" s="65" t="n"/>
      <c r="F431" s="66" t="n"/>
      <c r="G431" s="65" t="n"/>
      <c r="H431" s="66" t="n"/>
      <c r="I431" s="64" t="n"/>
      <c r="J431" s="68" t="n"/>
      <c r="K431" s="68" t="n"/>
      <c r="L431" s="68" t="n"/>
      <c r="M431" s="64" t="n"/>
      <c r="N431" s="64" t="n"/>
      <c r="O431" s="64" t="n"/>
      <c r="P431" s="64" t="n"/>
      <c r="Q431" s="64" t="n"/>
      <c r="R431" s="64" t="n"/>
      <c r="S431" s="66" t="n"/>
      <c r="T431" s="45" t="n"/>
      <c r="U431" s="43">
        <f t="shared" si="0"/>
      </c>
      <c r="V431" s="49">
        <f t="shared" si="1"/>
      </c>
      <c r="W431" s="49">
        <f t="shared" si="2"/>
      </c>
      <c r="X431" s="2">
        <f t="shared" si="3"/>
      </c>
      <c r="Y431" s="2">
        <f t="shared" si="4"/>
      </c>
      <c r="Z431" s="2">
        <f t="shared" si="5"/>
        <v>0</v>
      </c>
      <c r="AA431" s="2">
        <f t="shared" si="6"/>
        <v>0</v>
      </c>
      <c r="AB431" s="2">
        <f t="shared" si="7"/>
        <v>0</v>
      </c>
      <c r="AC431" s="2">
        <f t="shared" si="8"/>
      </c>
    </row>
    <row r="432">
      <c r="A432" s="64" t="n"/>
      <c r="B432" s="65" t="n"/>
      <c r="C432" s="65" t="n"/>
      <c r="D432" s="65" t="n"/>
      <c r="E432" s="65" t="n"/>
      <c r="F432" s="66" t="n"/>
      <c r="G432" s="65" t="n"/>
      <c r="H432" s="66" t="n"/>
      <c r="I432" s="64" t="n"/>
      <c r="J432" s="68" t="n"/>
      <c r="K432" s="68" t="n"/>
      <c r="L432" s="68" t="n"/>
      <c r="M432" s="64" t="n"/>
      <c r="N432" s="64" t="n"/>
      <c r="O432" s="64" t="n"/>
      <c r="P432" s="64" t="n"/>
      <c r="Q432" s="64" t="n"/>
      <c r="R432" s="64" t="n"/>
      <c r="S432" s="66" t="n"/>
      <c r="T432" s="45" t="n"/>
      <c r="U432" s="43">
        <f t="shared" si="0"/>
      </c>
      <c r="V432" s="49">
        <f t="shared" si="1"/>
      </c>
      <c r="W432" s="49">
        <f t="shared" si="2"/>
      </c>
      <c r="X432" s="2">
        <f t="shared" si="3"/>
      </c>
      <c r="Y432" s="2">
        <f t="shared" si="4"/>
      </c>
      <c r="Z432" s="2">
        <f t="shared" si="5"/>
        <v>0</v>
      </c>
      <c r="AA432" s="2">
        <f t="shared" si="6"/>
        <v>0</v>
      </c>
      <c r="AB432" s="2">
        <f t="shared" si="7"/>
        <v>0</v>
      </c>
      <c r="AC432" s="2">
        <f t="shared" si="8"/>
      </c>
    </row>
    <row r="433">
      <c r="A433" s="64" t="n"/>
      <c r="B433" s="65" t="n"/>
      <c r="C433" s="65" t="n"/>
      <c r="D433" s="65" t="n"/>
      <c r="E433" s="65" t="n"/>
      <c r="F433" s="66" t="n"/>
      <c r="G433" s="65" t="n"/>
      <c r="H433" s="66" t="n"/>
      <c r="I433" s="64" t="n"/>
      <c r="J433" s="68" t="n"/>
      <c r="K433" s="68" t="n"/>
      <c r="L433" s="68" t="n"/>
      <c r="M433" s="64" t="n"/>
      <c r="N433" s="64" t="n"/>
      <c r="O433" s="64" t="n"/>
      <c r="P433" s="64" t="n"/>
      <c r="Q433" s="64" t="n"/>
      <c r="R433" s="64" t="n"/>
      <c r="S433" s="66" t="n"/>
      <c r="T433" s="45" t="n"/>
      <c r="U433" s="43">
        <f t="shared" si="0"/>
      </c>
      <c r="V433" s="49">
        <f t="shared" si="1"/>
      </c>
      <c r="W433" s="49">
        <f t="shared" si="2"/>
      </c>
      <c r="X433" s="2">
        <f t="shared" si="3"/>
      </c>
      <c r="Y433" s="2">
        <f t="shared" si="4"/>
      </c>
      <c r="Z433" s="2">
        <f t="shared" si="5"/>
        <v>0</v>
      </c>
      <c r="AA433" s="2">
        <f t="shared" si="6"/>
        <v>0</v>
      </c>
      <c r="AB433" s="2">
        <f t="shared" si="7"/>
        <v>0</v>
      </c>
      <c r="AC433" s="2">
        <f t="shared" si="8"/>
      </c>
    </row>
    <row r="434">
      <c r="A434" s="64" t="n"/>
      <c r="B434" s="65" t="n"/>
      <c r="C434" s="65" t="n"/>
      <c r="D434" s="65" t="n"/>
      <c r="E434" s="65" t="n"/>
      <c r="F434" s="66" t="n"/>
      <c r="G434" s="65" t="n"/>
      <c r="H434" s="66" t="n"/>
      <c r="I434" s="64" t="n"/>
      <c r="J434" s="68" t="n"/>
      <c r="K434" s="68" t="n"/>
      <c r="L434" s="68" t="n"/>
      <c r="M434" s="64" t="n"/>
      <c r="N434" s="64" t="n"/>
      <c r="O434" s="64" t="n"/>
      <c r="P434" s="64" t="n"/>
      <c r="Q434" s="64" t="n"/>
      <c r="R434" s="64" t="n"/>
      <c r="S434" s="66" t="n"/>
      <c r="T434" s="45" t="n"/>
      <c r="U434" s="43">
        <f t="shared" si="0"/>
      </c>
      <c r="V434" s="49">
        <f t="shared" si="1"/>
      </c>
      <c r="W434" s="49">
        <f t="shared" si="2"/>
      </c>
      <c r="X434" s="2">
        <f t="shared" si="3"/>
      </c>
      <c r="Y434" s="2">
        <f t="shared" si="4"/>
      </c>
      <c r="Z434" s="2">
        <f t="shared" si="5"/>
        <v>0</v>
      </c>
      <c r="AA434" s="2">
        <f t="shared" si="6"/>
        <v>0</v>
      </c>
      <c r="AB434" s="2">
        <f t="shared" si="7"/>
        <v>0</v>
      </c>
      <c r="AC434" s="2">
        <f t="shared" si="8"/>
      </c>
    </row>
    <row r="435">
      <c r="A435" s="64" t="n"/>
      <c r="B435" s="65" t="n"/>
      <c r="C435" s="65" t="n"/>
      <c r="D435" s="65" t="n"/>
      <c r="E435" s="65" t="n"/>
      <c r="F435" s="66" t="n"/>
      <c r="G435" s="65" t="n"/>
      <c r="H435" s="66" t="n"/>
      <c r="I435" s="64" t="n"/>
      <c r="J435" s="68" t="n"/>
      <c r="K435" s="68" t="n"/>
      <c r="L435" s="68" t="n"/>
      <c r="M435" s="64" t="n"/>
      <c r="N435" s="64" t="n"/>
      <c r="O435" s="64" t="n"/>
      <c r="P435" s="64" t="n"/>
      <c r="Q435" s="64" t="n"/>
      <c r="R435" s="64" t="n"/>
      <c r="S435" s="66" t="n"/>
      <c r="T435" s="45" t="n"/>
      <c r="U435" s="43">
        <f t="shared" si="0"/>
      </c>
      <c r="V435" s="49">
        <f t="shared" si="1"/>
      </c>
      <c r="W435" s="49">
        <f t="shared" si="2"/>
      </c>
      <c r="X435" s="2">
        <f t="shared" si="3"/>
      </c>
      <c r="Y435" s="2">
        <f t="shared" si="4"/>
      </c>
      <c r="Z435" s="2">
        <f t="shared" si="5"/>
        <v>0</v>
      </c>
      <c r="AA435" s="2">
        <f t="shared" si="6"/>
        <v>0</v>
      </c>
      <c r="AB435" s="2">
        <f t="shared" si="7"/>
        <v>0</v>
      </c>
      <c r="AC435" s="2">
        <f t="shared" si="8"/>
      </c>
    </row>
    <row r="436">
      <c r="A436" s="64" t="n"/>
      <c r="B436" s="65" t="n"/>
      <c r="C436" s="65" t="n"/>
      <c r="D436" s="65" t="n"/>
      <c r="E436" s="65" t="n"/>
      <c r="F436" s="66" t="n"/>
      <c r="G436" s="65" t="n"/>
      <c r="H436" s="66" t="n"/>
      <c r="I436" s="64" t="n"/>
      <c r="J436" s="68" t="n"/>
      <c r="K436" s="68" t="n"/>
      <c r="L436" s="68" t="n"/>
      <c r="M436" s="64" t="n"/>
      <c r="N436" s="64" t="n"/>
      <c r="O436" s="64" t="n"/>
      <c r="P436" s="64" t="n"/>
      <c r="Q436" s="64" t="n"/>
      <c r="R436" s="64" t="n"/>
      <c r="S436" s="66" t="n"/>
      <c r="T436" s="45" t="n"/>
      <c r="U436" s="43">
        <f t="shared" si="0"/>
      </c>
      <c r="V436" s="49">
        <f t="shared" si="1"/>
      </c>
      <c r="W436" s="49">
        <f t="shared" si="2"/>
      </c>
      <c r="X436" s="2">
        <f t="shared" si="3"/>
      </c>
      <c r="Y436" s="2">
        <f t="shared" si="4"/>
      </c>
      <c r="Z436" s="2">
        <f t="shared" si="5"/>
        <v>0</v>
      </c>
      <c r="AA436" s="2">
        <f t="shared" si="6"/>
        <v>0</v>
      </c>
      <c r="AB436" s="2">
        <f t="shared" si="7"/>
        <v>0</v>
      </c>
      <c r="AC436" s="2">
        <f t="shared" si="8"/>
      </c>
    </row>
    <row r="437">
      <c r="A437" s="64" t="n"/>
      <c r="B437" s="65" t="n"/>
      <c r="C437" s="65" t="n"/>
      <c r="D437" s="65" t="n"/>
      <c r="E437" s="65" t="n"/>
      <c r="F437" s="66" t="n"/>
      <c r="G437" s="65" t="n"/>
      <c r="H437" s="66" t="n"/>
      <c r="I437" s="64" t="n"/>
      <c r="J437" s="68" t="n"/>
      <c r="K437" s="68" t="n"/>
      <c r="L437" s="68" t="n"/>
      <c r="M437" s="64" t="n"/>
      <c r="N437" s="64" t="n"/>
      <c r="O437" s="64" t="n"/>
      <c r="P437" s="64" t="n"/>
      <c r="Q437" s="64" t="n"/>
      <c r="R437" s="64" t="n"/>
      <c r="S437" s="66" t="n"/>
      <c r="T437" s="45" t="n"/>
      <c r="U437" s="43">
        <f t="shared" si="0"/>
      </c>
      <c r="V437" s="49">
        <f t="shared" si="1"/>
      </c>
      <c r="W437" s="49">
        <f t="shared" si="2"/>
      </c>
      <c r="X437" s="2">
        <f t="shared" si="3"/>
      </c>
      <c r="Y437" s="2">
        <f t="shared" si="4"/>
      </c>
      <c r="Z437" s="2">
        <f t="shared" si="5"/>
        <v>0</v>
      </c>
      <c r="AA437" s="2">
        <f t="shared" si="6"/>
        <v>0</v>
      </c>
      <c r="AB437" s="2">
        <f t="shared" si="7"/>
        <v>0</v>
      </c>
      <c r="AC437" s="2">
        <f t="shared" si="8"/>
      </c>
    </row>
    <row r="438">
      <c r="A438" s="64" t="n"/>
      <c r="B438" s="65" t="n"/>
      <c r="C438" s="65" t="n"/>
      <c r="D438" s="65" t="n"/>
      <c r="E438" s="65" t="n"/>
      <c r="F438" s="66" t="n"/>
      <c r="G438" s="65" t="n"/>
      <c r="H438" s="66" t="n"/>
      <c r="I438" s="64" t="n"/>
      <c r="J438" s="68" t="n"/>
      <c r="K438" s="68" t="n"/>
      <c r="L438" s="68" t="n"/>
      <c r="M438" s="64" t="n"/>
      <c r="N438" s="64" t="n"/>
      <c r="O438" s="64" t="n"/>
      <c r="P438" s="64" t="n"/>
      <c r="Q438" s="64" t="n"/>
      <c r="R438" s="64" t="n"/>
      <c r="S438" s="66" t="n"/>
      <c r="T438" s="45" t="n"/>
      <c r="U438" s="43">
        <f t="shared" si="0"/>
      </c>
      <c r="V438" s="49">
        <f t="shared" si="1"/>
      </c>
      <c r="W438" s="49">
        <f t="shared" si="2"/>
      </c>
      <c r="X438" s="2">
        <f t="shared" si="3"/>
      </c>
      <c r="Y438" s="2">
        <f t="shared" si="4"/>
      </c>
      <c r="Z438" s="2">
        <f t="shared" si="5"/>
        <v>0</v>
      </c>
      <c r="AA438" s="2">
        <f t="shared" si="6"/>
        <v>0</v>
      </c>
      <c r="AB438" s="2">
        <f t="shared" si="7"/>
        <v>0</v>
      </c>
      <c r="AC438" s="2">
        <f t="shared" si="8"/>
      </c>
    </row>
    <row r="439">
      <c r="A439" s="64" t="n"/>
      <c r="B439" s="65" t="n"/>
      <c r="C439" s="65" t="n"/>
      <c r="D439" s="65" t="n"/>
      <c r="E439" s="65" t="n"/>
      <c r="F439" s="66" t="n"/>
      <c r="G439" s="65" t="n"/>
      <c r="H439" s="66" t="n"/>
      <c r="I439" s="64" t="n"/>
      <c r="J439" s="68" t="n"/>
      <c r="K439" s="68" t="n"/>
      <c r="L439" s="68" t="n"/>
      <c r="M439" s="64" t="n"/>
      <c r="N439" s="64" t="n"/>
      <c r="O439" s="64" t="n"/>
      <c r="P439" s="64" t="n"/>
      <c r="Q439" s="64" t="n"/>
      <c r="R439" s="64" t="n"/>
      <c r="S439" s="66" t="n"/>
      <c r="T439" s="45" t="n"/>
      <c r="U439" s="43">
        <f t="shared" si="0"/>
      </c>
      <c r="V439" s="49">
        <f t="shared" si="1"/>
      </c>
      <c r="W439" s="49">
        <f t="shared" si="2"/>
      </c>
      <c r="X439" s="2">
        <f t="shared" si="3"/>
      </c>
      <c r="Y439" s="2">
        <f t="shared" si="4"/>
      </c>
      <c r="Z439" s="2">
        <f t="shared" si="5"/>
        <v>0</v>
      </c>
      <c r="AA439" s="2">
        <f t="shared" si="6"/>
        <v>0</v>
      </c>
      <c r="AB439" s="2">
        <f t="shared" si="7"/>
        <v>0</v>
      </c>
      <c r="AC439" s="2">
        <f t="shared" si="8"/>
      </c>
    </row>
    <row r="440">
      <c r="A440" s="64" t="n"/>
      <c r="B440" s="65" t="n"/>
      <c r="C440" s="65" t="n"/>
      <c r="D440" s="65" t="n"/>
      <c r="E440" s="65" t="n"/>
      <c r="F440" s="66" t="n"/>
      <c r="G440" s="65" t="n"/>
      <c r="H440" s="66" t="n"/>
      <c r="I440" s="64" t="n"/>
      <c r="J440" s="68" t="n"/>
      <c r="K440" s="68" t="n"/>
      <c r="L440" s="68" t="n"/>
      <c r="M440" s="64" t="n"/>
      <c r="N440" s="64" t="n"/>
      <c r="O440" s="64" t="n"/>
      <c r="P440" s="64" t="n"/>
      <c r="Q440" s="64" t="n"/>
      <c r="R440" s="64" t="n"/>
      <c r="S440" s="66" t="n"/>
      <c r="T440" s="45" t="n"/>
      <c r="U440" s="43">
        <f t="shared" si="0"/>
      </c>
      <c r="V440" s="49">
        <f t="shared" si="1"/>
      </c>
      <c r="W440" s="49">
        <f t="shared" si="2"/>
      </c>
      <c r="X440" s="2">
        <f t="shared" si="3"/>
      </c>
      <c r="Y440" s="2">
        <f t="shared" si="4"/>
      </c>
      <c r="Z440" s="2">
        <f t="shared" si="5"/>
        <v>0</v>
      </c>
      <c r="AA440" s="2">
        <f t="shared" si="6"/>
        <v>0</v>
      </c>
      <c r="AB440" s="2">
        <f t="shared" si="7"/>
        <v>0</v>
      </c>
      <c r="AC440" s="2">
        <f t="shared" si="8"/>
      </c>
    </row>
    <row r="441">
      <c r="A441" s="64" t="n"/>
      <c r="B441" s="65" t="n"/>
      <c r="C441" s="65" t="n"/>
      <c r="D441" s="65" t="n"/>
      <c r="E441" s="65" t="n"/>
      <c r="F441" s="66" t="n"/>
      <c r="G441" s="65" t="n"/>
      <c r="H441" s="66" t="n"/>
      <c r="I441" s="64" t="n"/>
      <c r="J441" s="68" t="n"/>
      <c r="K441" s="68" t="n"/>
      <c r="L441" s="68" t="n"/>
      <c r="M441" s="64" t="n"/>
      <c r="N441" s="64" t="n"/>
      <c r="O441" s="64" t="n"/>
      <c r="P441" s="64" t="n"/>
      <c r="Q441" s="64" t="n"/>
      <c r="R441" s="64" t="n"/>
      <c r="S441" s="66" t="n"/>
      <c r="T441" s="45" t="n"/>
      <c r="U441" s="43">
        <f t="shared" si="0"/>
      </c>
      <c r="V441" s="49">
        <f t="shared" si="1"/>
      </c>
      <c r="W441" s="49">
        <f t="shared" si="2"/>
      </c>
      <c r="X441" s="2">
        <f t="shared" si="3"/>
      </c>
      <c r="Y441" s="2">
        <f t="shared" si="4"/>
      </c>
      <c r="Z441" s="2">
        <f t="shared" si="5"/>
        <v>0</v>
      </c>
      <c r="AA441" s="2">
        <f t="shared" si="6"/>
        <v>0</v>
      </c>
      <c r="AB441" s="2">
        <f t="shared" si="7"/>
        <v>0</v>
      </c>
      <c r="AC441" s="2">
        <f t="shared" si="8"/>
      </c>
    </row>
    <row r="442">
      <c r="A442" s="64" t="n"/>
      <c r="B442" s="65" t="n"/>
      <c r="C442" s="65" t="n"/>
      <c r="D442" s="65" t="n"/>
      <c r="E442" s="65" t="n"/>
      <c r="F442" s="66" t="n"/>
      <c r="G442" s="65" t="n"/>
      <c r="H442" s="66" t="n"/>
      <c r="I442" s="64" t="n"/>
      <c r="J442" s="68" t="n"/>
      <c r="K442" s="68" t="n"/>
      <c r="L442" s="68" t="n"/>
      <c r="M442" s="64" t="n"/>
      <c r="N442" s="64" t="n"/>
      <c r="O442" s="64" t="n"/>
      <c r="P442" s="64" t="n"/>
      <c r="Q442" s="64" t="n"/>
      <c r="R442" s="64" t="n"/>
      <c r="S442" s="66" t="n"/>
      <c r="T442" s="45" t="n"/>
      <c r="U442" s="43">
        <f t="shared" si="0"/>
      </c>
      <c r="V442" s="49">
        <f t="shared" si="1"/>
      </c>
      <c r="W442" s="49">
        <f t="shared" si="2"/>
      </c>
      <c r="X442" s="2">
        <f t="shared" si="3"/>
      </c>
      <c r="Y442" s="2">
        <f t="shared" si="4"/>
      </c>
      <c r="Z442" s="2">
        <f t="shared" si="5"/>
        <v>0</v>
      </c>
      <c r="AA442" s="2">
        <f t="shared" si="6"/>
        <v>0</v>
      </c>
      <c r="AB442" s="2">
        <f t="shared" si="7"/>
        <v>0</v>
      </c>
      <c r="AC442" s="2">
        <f t="shared" si="8"/>
      </c>
    </row>
    <row r="443">
      <c r="A443" s="64" t="n"/>
      <c r="B443" s="65" t="n"/>
      <c r="C443" s="65" t="n"/>
      <c r="D443" s="65" t="n"/>
      <c r="E443" s="65" t="n"/>
      <c r="F443" s="66" t="n"/>
      <c r="G443" s="65" t="n"/>
      <c r="H443" s="66" t="n"/>
      <c r="I443" s="64" t="n"/>
      <c r="J443" s="68" t="n"/>
      <c r="K443" s="68" t="n"/>
      <c r="L443" s="68" t="n"/>
      <c r="M443" s="64" t="n"/>
      <c r="N443" s="64" t="n"/>
      <c r="O443" s="64" t="n"/>
      <c r="P443" s="64" t="n"/>
      <c r="Q443" s="64" t="n"/>
      <c r="R443" s="64" t="n"/>
      <c r="S443" s="66" t="n"/>
      <c r="T443" s="45" t="n"/>
      <c r="U443" s="43">
        <f t="shared" si="0"/>
      </c>
      <c r="V443" s="49">
        <f t="shared" si="1"/>
      </c>
      <c r="W443" s="49">
        <f t="shared" si="2"/>
      </c>
      <c r="X443" s="2">
        <f t="shared" si="3"/>
      </c>
      <c r="Y443" s="2">
        <f t="shared" si="4"/>
      </c>
      <c r="Z443" s="2">
        <f t="shared" si="5"/>
        <v>0</v>
      </c>
      <c r="AA443" s="2">
        <f t="shared" si="6"/>
        <v>0</v>
      </c>
      <c r="AB443" s="2">
        <f t="shared" si="7"/>
        <v>0</v>
      </c>
      <c r="AC443" s="2">
        <f t="shared" si="8"/>
      </c>
    </row>
    <row r="444">
      <c r="A444" s="64" t="n"/>
      <c r="B444" s="65" t="n"/>
      <c r="C444" s="65" t="n"/>
      <c r="D444" s="65" t="n"/>
      <c r="E444" s="65" t="n"/>
      <c r="F444" s="66" t="n"/>
      <c r="G444" s="65" t="n"/>
      <c r="H444" s="66" t="n"/>
      <c r="I444" s="64" t="n"/>
      <c r="J444" s="68" t="n"/>
      <c r="K444" s="68" t="n"/>
      <c r="L444" s="68" t="n"/>
      <c r="M444" s="64" t="n"/>
      <c r="N444" s="64" t="n"/>
      <c r="O444" s="64" t="n"/>
      <c r="P444" s="64" t="n"/>
      <c r="Q444" s="64" t="n"/>
      <c r="R444" s="64" t="n"/>
      <c r="S444" s="66" t="n"/>
      <c r="T444" s="45" t="n"/>
      <c r="U444" s="43">
        <f t="shared" si="0"/>
      </c>
      <c r="V444" s="49">
        <f t="shared" si="1"/>
      </c>
      <c r="W444" s="49">
        <f t="shared" si="2"/>
      </c>
      <c r="X444" s="2">
        <f t="shared" si="3"/>
      </c>
      <c r="Y444" s="2">
        <f t="shared" si="4"/>
      </c>
      <c r="Z444" s="2">
        <f t="shared" si="5"/>
        <v>0</v>
      </c>
      <c r="AA444" s="2">
        <f t="shared" si="6"/>
        <v>0</v>
      </c>
      <c r="AB444" s="2">
        <f t="shared" si="7"/>
        <v>0</v>
      </c>
      <c r="AC444" s="2">
        <f t="shared" si="8"/>
      </c>
    </row>
    <row r="445">
      <c r="A445" s="64" t="n"/>
      <c r="B445" s="65" t="n"/>
      <c r="C445" s="65" t="n"/>
      <c r="D445" s="65" t="n"/>
      <c r="E445" s="65" t="n"/>
      <c r="F445" s="66" t="n"/>
      <c r="G445" s="65" t="n"/>
      <c r="H445" s="66" t="n"/>
      <c r="I445" s="64" t="n"/>
      <c r="J445" s="68" t="n"/>
      <c r="K445" s="68" t="n"/>
      <c r="L445" s="68" t="n"/>
      <c r="M445" s="64" t="n"/>
      <c r="N445" s="64" t="n"/>
      <c r="O445" s="64" t="n"/>
      <c r="P445" s="64" t="n"/>
      <c r="Q445" s="64" t="n"/>
      <c r="R445" s="64" t="n"/>
      <c r="S445" s="66" t="n"/>
      <c r="T445" s="45" t="n"/>
      <c r="U445" s="43">
        <f t="shared" si="0"/>
      </c>
      <c r="V445" s="49">
        <f t="shared" si="1"/>
      </c>
      <c r="W445" s="49">
        <f t="shared" si="2"/>
      </c>
      <c r="X445" s="2">
        <f t="shared" si="3"/>
      </c>
      <c r="Y445" s="2">
        <f t="shared" si="4"/>
      </c>
      <c r="Z445" s="2">
        <f t="shared" si="5"/>
        <v>0</v>
      </c>
      <c r="AA445" s="2">
        <f t="shared" si="6"/>
        <v>0</v>
      </c>
      <c r="AB445" s="2">
        <f t="shared" si="7"/>
        <v>0</v>
      </c>
      <c r="AC445" s="2">
        <f t="shared" si="8"/>
      </c>
    </row>
    <row r="446">
      <c r="A446" s="64" t="n"/>
      <c r="B446" s="65" t="n"/>
      <c r="C446" s="65" t="n"/>
      <c r="D446" s="65" t="n"/>
      <c r="E446" s="65" t="n"/>
      <c r="F446" s="66" t="n"/>
      <c r="G446" s="65" t="n"/>
      <c r="H446" s="66" t="n"/>
      <c r="I446" s="64" t="n"/>
      <c r="J446" s="68" t="n"/>
      <c r="K446" s="68" t="n"/>
      <c r="L446" s="68" t="n"/>
      <c r="M446" s="64" t="n"/>
      <c r="N446" s="64" t="n"/>
      <c r="O446" s="64" t="n"/>
      <c r="P446" s="64" t="n"/>
      <c r="Q446" s="64" t="n"/>
      <c r="R446" s="64" t="n"/>
      <c r="S446" s="66" t="n"/>
      <c r="T446" s="45" t="n"/>
      <c r="U446" s="43">
        <f t="shared" si="0"/>
      </c>
      <c r="V446" s="49">
        <f t="shared" si="1"/>
      </c>
      <c r="W446" s="49">
        <f t="shared" si="2"/>
      </c>
      <c r="X446" s="2">
        <f t="shared" si="3"/>
      </c>
      <c r="Y446" s="2">
        <f t="shared" si="4"/>
      </c>
      <c r="Z446" s="2">
        <f t="shared" si="5"/>
        <v>0</v>
      </c>
      <c r="AA446" s="2">
        <f t="shared" si="6"/>
        <v>0</v>
      </c>
      <c r="AB446" s="2">
        <f t="shared" si="7"/>
        <v>0</v>
      </c>
      <c r="AC446" s="2">
        <f t="shared" si="8"/>
      </c>
    </row>
    <row r="447">
      <c r="A447" s="64" t="n"/>
      <c r="B447" s="65" t="n"/>
      <c r="C447" s="65" t="n"/>
      <c r="D447" s="65" t="n"/>
      <c r="E447" s="65" t="n"/>
      <c r="F447" s="66" t="n"/>
      <c r="G447" s="65" t="n"/>
      <c r="H447" s="66" t="n"/>
      <c r="I447" s="64" t="n"/>
      <c r="J447" s="68" t="n"/>
      <c r="K447" s="68" t="n"/>
      <c r="L447" s="68" t="n"/>
      <c r="M447" s="64" t="n"/>
      <c r="N447" s="64" t="n"/>
      <c r="O447" s="64" t="n"/>
      <c r="P447" s="64" t="n"/>
      <c r="Q447" s="64" t="n"/>
      <c r="R447" s="64" t="n"/>
      <c r="S447" s="66" t="n"/>
      <c r="T447" s="45" t="n"/>
      <c r="U447" s="43">
        <f t="shared" si="0"/>
      </c>
      <c r="V447" s="49">
        <f t="shared" si="1"/>
      </c>
      <c r="W447" s="49">
        <f t="shared" si="2"/>
      </c>
      <c r="X447" s="2">
        <f t="shared" si="3"/>
      </c>
      <c r="Y447" s="2">
        <f t="shared" si="4"/>
      </c>
      <c r="Z447" s="2">
        <f t="shared" si="5"/>
        <v>0</v>
      </c>
      <c r="AA447" s="2">
        <f t="shared" si="6"/>
        <v>0</v>
      </c>
      <c r="AB447" s="2">
        <f t="shared" si="7"/>
        <v>0</v>
      </c>
      <c r="AC447" s="2">
        <f t="shared" si="8"/>
      </c>
    </row>
    <row r="448">
      <c r="A448" s="64" t="n"/>
      <c r="B448" s="65" t="n"/>
      <c r="C448" s="65" t="n"/>
      <c r="D448" s="65" t="n"/>
      <c r="E448" s="65" t="n"/>
      <c r="F448" s="66" t="n"/>
      <c r="G448" s="65" t="n"/>
      <c r="H448" s="66" t="n"/>
      <c r="I448" s="64" t="n"/>
      <c r="J448" s="68" t="n"/>
      <c r="K448" s="68" t="n"/>
      <c r="L448" s="68" t="n"/>
      <c r="M448" s="64" t="n"/>
      <c r="N448" s="64" t="n"/>
      <c r="O448" s="64" t="n"/>
      <c r="P448" s="64" t="n"/>
      <c r="Q448" s="64" t="n"/>
      <c r="R448" s="64" t="n"/>
      <c r="S448" s="66" t="n"/>
      <c r="T448" s="45" t="n"/>
      <c r="U448" s="43">
        <f t="shared" si="0"/>
      </c>
      <c r="V448" s="49">
        <f t="shared" si="1"/>
      </c>
      <c r="W448" s="49">
        <f t="shared" si="2"/>
      </c>
      <c r="X448" s="2">
        <f t="shared" si="3"/>
      </c>
      <c r="Y448" s="2">
        <f t="shared" si="4"/>
      </c>
      <c r="Z448" s="2">
        <f t="shared" si="5"/>
        <v>0</v>
      </c>
      <c r="AA448" s="2">
        <f t="shared" si="6"/>
        <v>0</v>
      </c>
      <c r="AB448" s="2">
        <f t="shared" si="7"/>
        <v>0</v>
      </c>
      <c r="AC448" s="2">
        <f t="shared" si="8"/>
      </c>
    </row>
    <row r="449">
      <c r="A449" s="64" t="n"/>
      <c r="B449" s="65" t="n"/>
      <c r="C449" s="65" t="n"/>
      <c r="D449" s="65" t="n"/>
      <c r="E449" s="65" t="n"/>
      <c r="F449" s="66" t="n"/>
      <c r="G449" s="65" t="n"/>
      <c r="H449" s="66" t="n"/>
      <c r="I449" s="64" t="n"/>
      <c r="J449" s="68" t="n"/>
      <c r="K449" s="68" t="n"/>
      <c r="L449" s="68" t="n"/>
      <c r="M449" s="64" t="n"/>
      <c r="N449" s="64" t="n"/>
      <c r="O449" s="64" t="n"/>
      <c r="P449" s="64" t="n"/>
      <c r="Q449" s="64" t="n"/>
      <c r="R449" s="64" t="n"/>
      <c r="S449" s="66" t="n"/>
      <c r="T449" s="45" t="n"/>
      <c r="U449" s="43">
        <f t="shared" si="0"/>
      </c>
      <c r="V449" s="49">
        <f t="shared" si="1"/>
      </c>
      <c r="W449" s="49">
        <f t="shared" si="2"/>
      </c>
      <c r="X449" s="2">
        <f t="shared" si="3"/>
      </c>
      <c r="Y449" s="2">
        <f t="shared" si="4"/>
      </c>
      <c r="Z449" s="2">
        <f t="shared" si="5"/>
        <v>0</v>
      </c>
      <c r="AA449" s="2">
        <f t="shared" si="6"/>
        <v>0</v>
      </c>
      <c r="AB449" s="2">
        <f t="shared" si="7"/>
        <v>0</v>
      </c>
      <c r="AC449" s="2">
        <f t="shared" si="8"/>
      </c>
    </row>
    <row r="450">
      <c r="A450" s="64" t="n"/>
      <c r="B450" s="65" t="n"/>
      <c r="C450" s="65" t="n"/>
      <c r="D450" s="65" t="n"/>
      <c r="E450" s="65" t="n"/>
      <c r="F450" s="66" t="n"/>
      <c r="G450" s="65" t="n"/>
      <c r="H450" s="66" t="n"/>
      <c r="I450" s="64" t="n"/>
      <c r="J450" s="68" t="n"/>
      <c r="K450" s="68" t="n"/>
      <c r="L450" s="68" t="n"/>
      <c r="M450" s="64" t="n"/>
      <c r="N450" s="64" t="n"/>
      <c r="O450" s="64" t="n"/>
      <c r="P450" s="64" t="n"/>
      <c r="Q450" s="64" t="n"/>
      <c r="R450" s="64" t="n"/>
      <c r="S450" s="66" t="n"/>
      <c r="T450" s="45" t="n"/>
      <c r="U450" s="43">
        <f t="shared" si="0"/>
      </c>
      <c r="V450" s="49">
        <f t="shared" si="1"/>
      </c>
      <c r="W450" s="49">
        <f t="shared" si="2"/>
      </c>
      <c r="X450" s="2">
        <f t="shared" si="3"/>
      </c>
      <c r="Y450" s="2">
        <f t="shared" si="4"/>
      </c>
      <c r="Z450" s="2">
        <f t="shared" si="5"/>
        <v>0</v>
      </c>
      <c r="AA450" s="2">
        <f t="shared" si="6"/>
        <v>0</v>
      </c>
      <c r="AB450" s="2">
        <f t="shared" si="7"/>
        <v>0</v>
      </c>
      <c r="AC450" s="2">
        <f t="shared" si="8"/>
      </c>
    </row>
    <row r="451">
      <c r="A451" s="64" t="n"/>
      <c r="B451" s="65" t="n"/>
      <c r="C451" s="65" t="n"/>
      <c r="D451" s="65" t="n"/>
      <c r="E451" s="65" t="n"/>
      <c r="F451" s="66" t="n"/>
      <c r="G451" s="65" t="n"/>
      <c r="H451" s="66" t="n"/>
      <c r="I451" s="64" t="n"/>
      <c r="J451" s="68" t="n"/>
      <c r="K451" s="68" t="n"/>
      <c r="L451" s="68" t="n"/>
      <c r="M451" s="64" t="n"/>
      <c r="N451" s="64" t="n"/>
      <c r="O451" s="64" t="n"/>
      <c r="P451" s="64" t="n"/>
      <c r="Q451" s="64" t="n"/>
      <c r="R451" s="64" t="n"/>
      <c r="S451" s="66" t="n"/>
      <c r="T451" s="45" t="n"/>
      <c r="U451" s="43">
        <f t="shared" si="0"/>
      </c>
      <c r="V451" s="49">
        <f t="shared" si="1"/>
      </c>
      <c r="W451" s="49">
        <f t="shared" si="2"/>
      </c>
      <c r="X451" s="2">
        <f t="shared" si="3"/>
      </c>
      <c r="Y451" s="2">
        <f t="shared" si="4"/>
      </c>
      <c r="Z451" s="2">
        <f t="shared" si="5"/>
        <v>0</v>
      </c>
      <c r="AA451" s="2">
        <f t="shared" si="6"/>
        <v>0</v>
      </c>
      <c r="AB451" s="2">
        <f t="shared" si="7"/>
        <v>0</v>
      </c>
      <c r="AC451" s="2">
        <f t="shared" si="8"/>
      </c>
    </row>
    <row r="452">
      <c r="A452" s="64" t="n"/>
      <c r="B452" s="65" t="n"/>
      <c r="C452" s="65" t="n"/>
      <c r="D452" s="65" t="n"/>
      <c r="E452" s="65" t="n"/>
      <c r="F452" s="66" t="n"/>
      <c r="G452" s="65" t="n"/>
      <c r="H452" s="66" t="n"/>
      <c r="I452" s="64" t="n"/>
      <c r="J452" s="68" t="n"/>
      <c r="K452" s="68" t="n"/>
      <c r="L452" s="68" t="n"/>
      <c r="M452" s="64" t="n"/>
      <c r="N452" s="64" t="n"/>
      <c r="O452" s="64" t="n"/>
      <c r="P452" s="64" t="n"/>
      <c r="Q452" s="64" t="n"/>
      <c r="R452" s="64" t="n"/>
      <c r="S452" s="66" t="n"/>
      <c r="T452" s="45" t="n"/>
      <c r="U452" s="43">
        <f t="shared" si="0"/>
      </c>
      <c r="V452" s="49">
        <f t="shared" si="1"/>
      </c>
      <c r="W452" s="49">
        <f t="shared" si="2"/>
      </c>
      <c r="X452" s="2">
        <f t="shared" si="3"/>
      </c>
      <c r="Y452" s="2">
        <f t="shared" si="4"/>
      </c>
      <c r="Z452" s="2">
        <f t="shared" si="5"/>
        <v>0</v>
      </c>
      <c r="AA452" s="2">
        <f t="shared" si="6"/>
        <v>0</v>
      </c>
      <c r="AB452" s="2">
        <f t="shared" si="7"/>
        <v>0</v>
      </c>
      <c r="AC452" s="2">
        <f t="shared" si="8"/>
      </c>
    </row>
    <row r="453">
      <c r="A453" s="64" t="n"/>
      <c r="B453" s="65" t="n"/>
      <c r="C453" s="65" t="n"/>
      <c r="D453" s="65" t="n"/>
      <c r="E453" s="65" t="n"/>
      <c r="F453" s="66" t="n"/>
      <c r="G453" s="65" t="n"/>
      <c r="H453" s="66" t="n"/>
      <c r="I453" s="64" t="n"/>
      <c r="J453" s="68" t="n"/>
      <c r="K453" s="68" t="n"/>
      <c r="L453" s="68" t="n"/>
      <c r="M453" s="64" t="n"/>
      <c r="N453" s="64" t="n"/>
      <c r="O453" s="64" t="n"/>
      <c r="P453" s="64" t="n"/>
      <c r="Q453" s="64" t="n"/>
      <c r="R453" s="64" t="n"/>
      <c r="S453" s="66" t="n"/>
      <c r="T453" s="45" t="n"/>
      <c r="U453" s="43">
        <f t="shared" si="0"/>
      </c>
      <c r="V453" s="49">
        <f t="shared" si="1"/>
      </c>
      <c r="W453" s="49">
        <f t="shared" si="2"/>
      </c>
      <c r="X453" s="2">
        <f t="shared" si="3"/>
      </c>
      <c r="Y453" s="2">
        <f t="shared" si="4"/>
      </c>
      <c r="Z453" s="2">
        <f t="shared" si="5"/>
        <v>0</v>
      </c>
      <c r="AA453" s="2">
        <f t="shared" si="6"/>
        <v>0</v>
      </c>
      <c r="AB453" s="2">
        <f t="shared" si="7"/>
        <v>0</v>
      </c>
      <c r="AC453" s="2">
        <f t="shared" si="8"/>
      </c>
    </row>
    <row r="454">
      <c r="A454" s="64" t="n"/>
      <c r="B454" s="65" t="n"/>
      <c r="C454" s="65" t="n"/>
      <c r="D454" s="65" t="n"/>
      <c r="E454" s="65" t="n"/>
      <c r="F454" s="66" t="n"/>
      <c r="G454" s="65" t="n"/>
      <c r="H454" s="66" t="n"/>
      <c r="I454" s="64" t="n"/>
      <c r="J454" s="68" t="n"/>
      <c r="K454" s="68" t="n"/>
      <c r="L454" s="68" t="n"/>
      <c r="M454" s="64" t="n"/>
      <c r="N454" s="64" t="n"/>
      <c r="O454" s="64" t="n"/>
      <c r="P454" s="64" t="n"/>
      <c r="Q454" s="64" t="n"/>
      <c r="R454" s="64" t="n"/>
      <c r="S454" s="66" t="n"/>
      <c r="T454" s="45" t="n"/>
      <c r="U454" s="43">
        <f t="shared" si="0"/>
      </c>
      <c r="V454" s="49">
        <f t="shared" si="1"/>
      </c>
      <c r="W454" s="49">
        <f t="shared" si="2"/>
      </c>
      <c r="X454" s="2">
        <f t="shared" si="3"/>
      </c>
      <c r="Y454" s="2">
        <f t="shared" si="4"/>
      </c>
      <c r="Z454" s="2">
        <f t="shared" si="5"/>
        <v>0</v>
      </c>
      <c r="AA454" s="2">
        <f t="shared" si="6"/>
        <v>0</v>
      </c>
      <c r="AB454" s="2">
        <f t="shared" si="7"/>
        <v>0</v>
      </c>
      <c r="AC454" s="2">
        <f t="shared" si="8"/>
      </c>
    </row>
    <row r="455">
      <c r="A455" s="64" t="n"/>
      <c r="B455" s="65" t="n"/>
      <c r="C455" s="65" t="n"/>
      <c r="D455" s="65" t="n"/>
      <c r="E455" s="65" t="n"/>
      <c r="F455" s="66" t="n"/>
      <c r="G455" s="65" t="n"/>
      <c r="H455" s="66" t="n"/>
      <c r="I455" s="64" t="n"/>
      <c r="J455" s="68" t="n"/>
      <c r="K455" s="68" t="n"/>
      <c r="L455" s="68" t="n"/>
      <c r="M455" s="64" t="n"/>
      <c r="N455" s="64" t="n"/>
      <c r="O455" s="64" t="n"/>
      <c r="P455" s="64" t="n"/>
      <c r="Q455" s="64" t="n"/>
      <c r="R455" s="64" t="n"/>
      <c r="S455" s="66" t="n"/>
      <c r="T455" s="45" t="n"/>
      <c r="U455" s="43">
        <f t="shared" si="0"/>
      </c>
      <c r="V455" s="49">
        <f t="shared" si="1"/>
      </c>
      <c r="W455" s="49">
        <f t="shared" si="2"/>
      </c>
      <c r="X455" s="2">
        <f t="shared" si="3"/>
      </c>
      <c r="Y455" s="2">
        <f t="shared" si="4"/>
      </c>
      <c r="Z455" s="2">
        <f t="shared" si="5"/>
        <v>0</v>
      </c>
      <c r="AA455" s="2">
        <f t="shared" si="6"/>
        <v>0</v>
      </c>
      <c r="AB455" s="2">
        <f t="shared" si="7"/>
        <v>0</v>
      </c>
      <c r="AC455" s="2">
        <f t="shared" si="8"/>
      </c>
    </row>
    <row r="456">
      <c r="A456" s="64" t="n"/>
      <c r="B456" s="65" t="n"/>
      <c r="C456" s="65" t="n"/>
      <c r="D456" s="65" t="n"/>
      <c r="E456" s="65" t="n"/>
      <c r="F456" s="66" t="n"/>
      <c r="G456" s="65" t="n"/>
      <c r="H456" s="66" t="n"/>
      <c r="I456" s="64" t="n"/>
      <c r="J456" s="68" t="n"/>
      <c r="K456" s="68" t="n"/>
      <c r="L456" s="68" t="n"/>
      <c r="M456" s="64" t="n"/>
      <c r="N456" s="64" t="n"/>
      <c r="O456" s="64" t="n"/>
      <c r="P456" s="64" t="n"/>
      <c r="Q456" s="64" t="n"/>
      <c r="R456" s="64" t="n"/>
      <c r="S456" s="66" t="n"/>
      <c r="T456" s="45" t="n"/>
      <c r="U456" s="43">
        <f t="shared" si="0"/>
      </c>
      <c r="V456" s="49">
        <f t="shared" si="1"/>
      </c>
      <c r="W456" s="49">
        <f t="shared" si="2"/>
      </c>
      <c r="X456" s="2">
        <f t="shared" si="3"/>
      </c>
      <c r="Y456" s="2">
        <f t="shared" si="4"/>
      </c>
      <c r="Z456" s="2">
        <f t="shared" si="5"/>
        <v>0</v>
      </c>
      <c r="AA456" s="2">
        <f t="shared" si="6"/>
        <v>0</v>
      </c>
      <c r="AB456" s="2">
        <f t="shared" si="7"/>
        <v>0</v>
      </c>
      <c r="AC456" s="2">
        <f t="shared" si="8"/>
      </c>
    </row>
    <row r="457">
      <c r="A457" s="64" t="n"/>
      <c r="B457" s="65" t="n"/>
      <c r="C457" s="65" t="n"/>
      <c r="D457" s="65" t="n"/>
      <c r="E457" s="65" t="n"/>
      <c r="F457" s="66" t="n"/>
      <c r="G457" s="65" t="n"/>
      <c r="H457" s="66" t="n"/>
      <c r="I457" s="64" t="n"/>
      <c r="J457" s="68" t="n"/>
      <c r="K457" s="68" t="n"/>
      <c r="L457" s="68" t="n"/>
      <c r="M457" s="64" t="n"/>
      <c r="N457" s="64" t="n"/>
      <c r="O457" s="64" t="n"/>
      <c r="P457" s="64" t="n"/>
      <c r="Q457" s="64" t="n"/>
      <c r="R457" s="64" t="n"/>
      <c r="S457" s="66" t="n"/>
      <c r="T457" s="45" t="n"/>
      <c r="U457" s="43">
        <f t="shared" si="0"/>
      </c>
      <c r="V457" s="49">
        <f t="shared" si="1"/>
      </c>
      <c r="W457" s="49">
        <f t="shared" si="2"/>
      </c>
      <c r="X457" s="2">
        <f t="shared" si="3"/>
      </c>
      <c r="Y457" s="2">
        <f t="shared" si="4"/>
      </c>
      <c r="Z457" s="2">
        <f t="shared" si="5"/>
        <v>0</v>
      </c>
      <c r="AA457" s="2">
        <f t="shared" si="6"/>
        <v>0</v>
      </c>
      <c r="AB457" s="2">
        <f t="shared" si="7"/>
        <v>0</v>
      </c>
      <c r="AC457" s="2">
        <f t="shared" si="8"/>
      </c>
    </row>
    <row r="458">
      <c r="A458" s="64" t="n"/>
      <c r="B458" s="65" t="n"/>
      <c r="C458" s="65" t="n"/>
      <c r="D458" s="65" t="n"/>
      <c r="E458" s="65" t="n"/>
      <c r="F458" s="66" t="n"/>
      <c r="G458" s="65" t="n"/>
      <c r="H458" s="66" t="n"/>
      <c r="I458" s="64" t="n"/>
      <c r="J458" s="68" t="n"/>
      <c r="K458" s="68" t="n"/>
      <c r="L458" s="68" t="n"/>
      <c r="M458" s="64" t="n"/>
      <c r="N458" s="64" t="n"/>
      <c r="O458" s="64" t="n"/>
      <c r="P458" s="64" t="n"/>
      <c r="Q458" s="64" t="n"/>
      <c r="R458" s="64" t="n"/>
      <c r="S458" s="66" t="n"/>
      <c r="T458" s="45" t="n"/>
      <c r="U458" s="43">
        <f t="shared" si="0"/>
      </c>
      <c r="V458" s="49">
        <f t="shared" si="1"/>
      </c>
      <c r="W458" s="49">
        <f t="shared" si="2"/>
      </c>
      <c r="X458" s="2">
        <f t="shared" si="3"/>
      </c>
      <c r="Y458" s="2">
        <f t="shared" si="4"/>
      </c>
      <c r="Z458" s="2">
        <f t="shared" si="5"/>
        <v>0</v>
      </c>
      <c r="AA458" s="2">
        <f t="shared" si="6"/>
        <v>0</v>
      </c>
      <c r="AB458" s="2">
        <f t="shared" si="7"/>
        <v>0</v>
      </c>
      <c r="AC458" s="2">
        <f t="shared" si="8"/>
      </c>
    </row>
    <row r="459">
      <c r="A459" s="64" t="n"/>
      <c r="B459" s="65" t="n"/>
      <c r="C459" s="65" t="n"/>
      <c r="D459" s="65" t="n"/>
      <c r="E459" s="65" t="n"/>
      <c r="F459" s="66" t="n"/>
      <c r="G459" s="65" t="n"/>
      <c r="H459" s="66" t="n"/>
      <c r="I459" s="64" t="n"/>
      <c r="J459" s="68" t="n"/>
      <c r="K459" s="68" t="n"/>
      <c r="L459" s="68" t="n"/>
      <c r="M459" s="64" t="n"/>
      <c r="N459" s="64" t="n"/>
      <c r="O459" s="64" t="n"/>
      <c r="P459" s="64" t="n"/>
      <c r="Q459" s="64" t="n"/>
      <c r="R459" s="64" t="n"/>
      <c r="S459" s="66" t="n"/>
      <c r="T459" s="45" t="n"/>
      <c r="U459" s="43">
        <f t="shared" si="0"/>
      </c>
      <c r="V459" s="49">
        <f t="shared" si="1"/>
      </c>
      <c r="W459" s="49">
        <f t="shared" si="2"/>
      </c>
      <c r="X459" s="2">
        <f t="shared" si="3"/>
      </c>
      <c r="Y459" s="2">
        <f t="shared" si="4"/>
      </c>
      <c r="Z459" s="2">
        <f t="shared" si="5"/>
        <v>0</v>
      </c>
      <c r="AA459" s="2">
        <f t="shared" si="6"/>
        <v>0</v>
      </c>
      <c r="AB459" s="2">
        <f t="shared" si="7"/>
        <v>0</v>
      </c>
      <c r="AC459" s="2">
        <f t="shared" si="8"/>
      </c>
    </row>
    <row r="460">
      <c r="A460" s="64" t="n"/>
      <c r="B460" s="65" t="n"/>
      <c r="C460" s="65" t="n"/>
      <c r="D460" s="65" t="n"/>
      <c r="E460" s="65" t="n"/>
      <c r="F460" s="66" t="n"/>
      <c r="G460" s="65" t="n"/>
      <c r="H460" s="66" t="n"/>
      <c r="I460" s="64" t="n"/>
      <c r="J460" s="68" t="n"/>
      <c r="K460" s="68" t="n"/>
      <c r="L460" s="68" t="n"/>
      <c r="M460" s="64" t="n"/>
      <c r="N460" s="64" t="n"/>
      <c r="O460" s="64" t="n"/>
      <c r="P460" s="64" t="n"/>
      <c r="Q460" s="64" t="n"/>
      <c r="R460" s="64" t="n"/>
      <c r="S460" s="66" t="n"/>
      <c r="T460" s="45" t="n"/>
      <c r="U460" s="43">
        <f t="shared" si="0"/>
      </c>
      <c r="V460" s="49">
        <f t="shared" si="1"/>
      </c>
      <c r="W460" s="49">
        <f t="shared" si="2"/>
      </c>
      <c r="X460" s="2">
        <f t="shared" si="3"/>
      </c>
      <c r="Y460" s="2">
        <f t="shared" si="4"/>
      </c>
      <c r="Z460" s="2">
        <f t="shared" si="5"/>
        <v>0</v>
      </c>
      <c r="AA460" s="2">
        <f t="shared" si="6"/>
        <v>0</v>
      </c>
      <c r="AB460" s="2">
        <f t="shared" si="7"/>
        <v>0</v>
      </c>
      <c r="AC460" s="2">
        <f t="shared" si="8"/>
      </c>
    </row>
    <row r="461">
      <c r="A461" s="64" t="n"/>
      <c r="B461" s="65" t="n"/>
      <c r="C461" s="65" t="n"/>
      <c r="D461" s="65" t="n"/>
      <c r="E461" s="65" t="n"/>
      <c r="F461" s="66" t="n"/>
      <c r="G461" s="65" t="n"/>
      <c r="H461" s="66" t="n"/>
      <c r="I461" s="64" t="n"/>
      <c r="J461" s="68" t="n"/>
      <c r="K461" s="68" t="n"/>
      <c r="L461" s="68" t="n"/>
      <c r="M461" s="64" t="n"/>
      <c r="N461" s="64" t="n"/>
      <c r="O461" s="64" t="n"/>
      <c r="P461" s="64" t="n"/>
      <c r="Q461" s="64" t="n"/>
      <c r="R461" s="64" t="n"/>
      <c r="S461" s="66" t="n"/>
      <c r="T461" s="45" t="n"/>
      <c r="U461" s="43">
        <f t="shared" si="0"/>
      </c>
      <c r="V461" s="49">
        <f t="shared" si="1"/>
      </c>
      <c r="W461" s="49">
        <f t="shared" si="2"/>
      </c>
      <c r="X461" s="2">
        <f t="shared" si="3"/>
      </c>
      <c r="Y461" s="2">
        <f t="shared" si="4"/>
      </c>
      <c r="Z461" s="2">
        <f t="shared" si="5"/>
        <v>0</v>
      </c>
      <c r="AA461" s="2">
        <f t="shared" si="6"/>
        <v>0</v>
      </c>
      <c r="AB461" s="2">
        <f t="shared" si="7"/>
        <v>0</v>
      </c>
      <c r="AC461" s="2">
        <f t="shared" si="8"/>
      </c>
    </row>
    <row r="462">
      <c r="A462" s="64" t="n"/>
      <c r="B462" s="65" t="n"/>
      <c r="C462" s="65" t="n"/>
      <c r="D462" s="65" t="n"/>
      <c r="E462" s="65" t="n"/>
      <c r="F462" s="66" t="n"/>
      <c r="G462" s="65" t="n"/>
      <c r="H462" s="66" t="n"/>
      <c r="I462" s="64" t="n"/>
      <c r="J462" s="68" t="n"/>
      <c r="K462" s="68" t="n"/>
      <c r="L462" s="68" t="n"/>
      <c r="M462" s="64" t="n"/>
      <c r="N462" s="64" t="n"/>
      <c r="O462" s="64" t="n"/>
      <c r="P462" s="64" t="n"/>
      <c r="Q462" s="64" t="n"/>
      <c r="R462" s="64" t="n"/>
      <c r="S462" s="66" t="n"/>
      <c r="T462" s="45" t="n"/>
      <c r="U462" s="43">
        <f t="shared" si="0"/>
      </c>
      <c r="V462" s="49">
        <f t="shared" si="1"/>
      </c>
      <c r="W462" s="49">
        <f t="shared" si="2"/>
      </c>
      <c r="X462" s="2">
        <f t="shared" si="3"/>
      </c>
      <c r="Y462" s="2">
        <f t="shared" si="4"/>
      </c>
      <c r="Z462" s="2">
        <f t="shared" si="5"/>
        <v>0</v>
      </c>
      <c r="AA462" s="2">
        <f t="shared" si="6"/>
        <v>0</v>
      </c>
      <c r="AB462" s="2">
        <f t="shared" si="7"/>
        <v>0</v>
      </c>
      <c r="AC462" s="2">
        <f t="shared" si="8"/>
      </c>
    </row>
    <row r="463">
      <c r="A463" s="64" t="n"/>
      <c r="B463" s="65" t="n"/>
      <c r="C463" s="65" t="n"/>
      <c r="D463" s="65" t="n"/>
      <c r="E463" s="65" t="n"/>
      <c r="F463" s="66" t="n"/>
      <c r="G463" s="65" t="n"/>
      <c r="H463" s="66" t="n"/>
      <c r="I463" s="64" t="n"/>
      <c r="J463" s="68" t="n"/>
      <c r="K463" s="68" t="n"/>
      <c r="L463" s="68" t="n"/>
      <c r="M463" s="64" t="n"/>
      <c r="N463" s="64" t="n"/>
      <c r="O463" s="64" t="n"/>
      <c r="P463" s="64" t="n"/>
      <c r="Q463" s="64" t="n"/>
      <c r="R463" s="64" t="n"/>
      <c r="S463" s="66" t="n"/>
      <c r="T463" s="45" t="n"/>
      <c r="U463" s="43">
        <f t="shared" si="0"/>
      </c>
      <c r="V463" s="49">
        <f t="shared" si="1"/>
      </c>
      <c r="W463" s="49">
        <f t="shared" si="2"/>
      </c>
      <c r="X463" s="2">
        <f t="shared" si="3"/>
      </c>
      <c r="Y463" s="2">
        <f t="shared" si="4"/>
      </c>
      <c r="Z463" s="2">
        <f t="shared" si="5"/>
        <v>0</v>
      </c>
      <c r="AA463" s="2">
        <f t="shared" si="6"/>
        <v>0</v>
      </c>
      <c r="AB463" s="2">
        <f t="shared" si="7"/>
        <v>0</v>
      </c>
      <c r="AC463" s="2">
        <f t="shared" si="8"/>
      </c>
    </row>
    <row r="464">
      <c r="A464" s="64" t="n"/>
      <c r="B464" s="65" t="n"/>
      <c r="C464" s="65" t="n"/>
      <c r="D464" s="65" t="n"/>
      <c r="E464" s="65" t="n"/>
      <c r="F464" s="66" t="n"/>
      <c r="G464" s="65" t="n"/>
      <c r="H464" s="66" t="n"/>
      <c r="I464" s="64" t="n"/>
      <c r="J464" s="68" t="n"/>
      <c r="K464" s="68" t="n"/>
      <c r="L464" s="68" t="n"/>
      <c r="M464" s="64" t="n"/>
      <c r="N464" s="64" t="n"/>
      <c r="O464" s="64" t="n"/>
      <c r="P464" s="64" t="n"/>
      <c r="Q464" s="64" t="n"/>
      <c r="R464" s="64" t="n"/>
      <c r="S464" s="66" t="n"/>
      <c r="T464" s="45" t="n"/>
      <c r="U464" s="43">
        <f t="shared" si="0"/>
      </c>
      <c r="V464" s="49">
        <f t="shared" si="1"/>
      </c>
      <c r="W464" s="49">
        <f t="shared" si="2"/>
      </c>
      <c r="X464" s="2">
        <f t="shared" si="3"/>
      </c>
      <c r="Y464" s="2">
        <f t="shared" si="4"/>
      </c>
      <c r="Z464" s="2">
        <f t="shared" si="5"/>
        <v>0</v>
      </c>
      <c r="AA464" s="2">
        <f t="shared" si="6"/>
        <v>0</v>
      </c>
      <c r="AB464" s="2">
        <f t="shared" si="7"/>
        <v>0</v>
      </c>
      <c r="AC464" s="2">
        <f t="shared" si="8"/>
      </c>
    </row>
    <row r="465">
      <c r="A465" s="64" t="n"/>
      <c r="B465" s="65" t="n"/>
      <c r="C465" s="65" t="n"/>
      <c r="D465" s="65" t="n"/>
      <c r="E465" s="65" t="n"/>
      <c r="F465" s="66" t="n"/>
      <c r="G465" s="65" t="n"/>
      <c r="H465" s="66" t="n"/>
      <c r="I465" s="64" t="n"/>
      <c r="J465" s="68" t="n"/>
      <c r="K465" s="68" t="n"/>
      <c r="L465" s="68" t="n"/>
      <c r="M465" s="64" t="n"/>
      <c r="N465" s="64" t="n"/>
      <c r="O465" s="64" t="n"/>
      <c r="P465" s="64" t="n"/>
      <c r="Q465" s="64" t="n"/>
      <c r="R465" s="64" t="n"/>
      <c r="S465" s="66" t="n"/>
      <c r="T465" s="45" t="n"/>
      <c r="U465" s="43">
        <f t="shared" si="0"/>
      </c>
      <c r="V465" s="49">
        <f t="shared" si="1"/>
      </c>
      <c r="W465" s="49">
        <f t="shared" si="2"/>
      </c>
      <c r="X465" s="2">
        <f t="shared" si="3"/>
      </c>
      <c r="Y465" s="2">
        <f t="shared" si="4"/>
      </c>
      <c r="Z465" s="2">
        <f t="shared" si="5"/>
        <v>0</v>
      </c>
      <c r="AA465" s="2">
        <f t="shared" si="6"/>
        <v>0</v>
      </c>
      <c r="AB465" s="2">
        <f t="shared" si="7"/>
        <v>0</v>
      </c>
      <c r="AC465" s="2">
        <f t="shared" si="8"/>
      </c>
    </row>
    <row r="466">
      <c r="A466" s="64" t="n"/>
      <c r="B466" s="65" t="n"/>
      <c r="C466" s="65" t="n"/>
      <c r="D466" s="65" t="n"/>
      <c r="E466" s="65" t="n"/>
      <c r="F466" s="66" t="n"/>
      <c r="G466" s="65" t="n"/>
      <c r="H466" s="66" t="n"/>
      <c r="I466" s="64" t="n"/>
      <c r="J466" s="68" t="n"/>
      <c r="K466" s="68" t="n"/>
      <c r="L466" s="68" t="n"/>
      <c r="M466" s="64" t="n"/>
      <c r="N466" s="64" t="n"/>
      <c r="O466" s="64" t="n"/>
      <c r="P466" s="64" t="n"/>
      <c r="Q466" s="64" t="n"/>
      <c r="R466" s="64" t="n"/>
      <c r="S466" s="66" t="n"/>
      <c r="T466" s="45" t="n"/>
      <c r="U466" s="43">
        <f t="shared" si="0"/>
      </c>
      <c r="V466" s="49">
        <f t="shared" si="1"/>
      </c>
      <c r="W466" s="49">
        <f t="shared" si="2"/>
      </c>
      <c r="X466" s="2">
        <f t="shared" si="3"/>
      </c>
      <c r="Y466" s="2">
        <f t="shared" si="4"/>
      </c>
      <c r="Z466" s="2">
        <f t="shared" si="5"/>
        <v>0</v>
      </c>
      <c r="AA466" s="2">
        <f t="shared" si="6"/>
        <v>0</v>
      </c>
      <c r="AB466" s="2">
        <f t="shared" si="7"/>
        <v>0</v>
      </c>
      <c r="AC466" s="2">
        <f t="shared" si="8"/>
      </c>
    </row>
    <row r="467">
      <c r="A467" s="64" t="n"/>
      <c r="B467" s="65" t="n"/>
      <c r="C467" s="65" t="n"/>
      <c r="D467" s="65" t="n"/>
      <c r="E467" s="65" t="n"/>
      <c r="F467" s="66" t="n"/>
      <c r="G467" s="65" t="n"/>
      <c r="H467" s="66" t="n"/>
      <c r="I467" s="64" t="n"/>
      <c r="J467" s="68" t="n"/>
      <c r="K467" s="68" t="n"/>
      <c r="L467" s="68" t="n"/>
      <c r="M467" s="64" t="n"/>
      <c r="N467" s="64" t="n"/>
      <c r="O467" s="64" t="n"/>
      <c r="P467" s="64" t="n"/>
      <c r="Q467" s="64" t="n"/>
      <c r="R467" s="64" t="n"/>
      <c r="S467" s="66" t="n"/>
      <c r="T467" s="45" t="n"/>
      <c r="U467" s="43">
        <f t="shared" si="0"/>
      </c>
      <c r="V467" s="49">
        <f t="shared" si="1"/>
      </c>
      <c r="W467" s="49">
        <f t="shared" si="2"/>
      </c>
      <c r="X467" s="2">
        <f t="shared" si="3"/>
      </c>
      <c r="Y467" s="2">
        <f t="shared" si="4"/>
      </c>
      <c r="Z467" s="2">
        <f t="shared" si="5"/>
        <v>0</v>
      </c>
      <c r="AA467" s="2">
        <f t="shared" si="6"/>
        <v>0</v>
      </c>
      <c r="AB467" s="2">
        <f t="shared" si="7"/>
        <v>0</v>
      </c>
      <c r="AC467" s="2">
        <f t="shared" si="8"/>
      </c>
    </row>
    <row r="468">
      <c r="A468" s="64" t="n"/>
      <c r="B468" s="65" t="n"/>
      <c r="C468" s="65" t="n"/>
      <c r="D468" s="65" t="n"/>
      <c r="E468" s="65" t="n"/>
      <c r="F468" s="66" t="n"/>
      <c r="G468" s="65" t="n"/>
      <c r="H468" s="66" t="n"/>
      <c r="I468" s="64" t="n"/>
      <c r="J468" s="68" t="n"/>
      <c r="K468" s="68" t="n"/>
      <c r="L468" s="68" t="n"/>
      <c r="M468" s="64" t="n"/>
      <c r="N468" s="64" t="n"/>
      <c r="O468" s="64" t="n"/>
      <c r="P468" s="64" t="n"/>
      <c r="Q468" s="64" t="n"/>
      <c r="R468" s="64" t="n"/>
      <c r="S468" s="66" t="n"/>
      <c r="T468" s="45" t="n"/>
      <c r="U468" s="43">
        <f t="shared" si="0"/>
      </c>
      <c r="V468" s="49">
        <f t="shared" si="1"/>
      </c>
      <c r="W468" s="49">
        <f t="shared" si="2"/>
      </c>
      <c r="X468" s="2">
        <f t="shared" si="3"/>
      </c>
      <c r="Y468" s="2">
        <f t="shared" si="4"/>
      </c>
      <c r="Z468" s="2">
        <f t="shared" si="5"/>
        <v>0</v>
      </c>
      <c r="AA468" s="2">
        <f t="shared" si="6"/>
        <v>0</v>
      </c>
      <c r="AB468" s="2">
        <f t="shared" si="7"/>
        <v>0</v>
      </c>
      <c r="AC468" s="2">
        <f t="shared" si="8"/>
      </c>
    </row>
    <row r="469">
      <c r="A469" s="64" t="n"/>
      <c r="B469" s="65" t="n"/>
      <c r="C469" s="65" t="n"/>
      <c r="D469" s="65" t="n"/>
      <c r="E469" s="65" t="n"/>
      <c r="F469" s="66" t="n"/>
      <c r="G469" s="65" t="n"/>
      <c r="H469" s="66" t="n"/>
      <c r="I469" s="64" t="n"/>
      <c r="J469" s="68" t="n"/>
      <c r="K469" s="68" t="n"/>
      <c r="L469" s="68" t="n"/>
      <c r="M469" s="64" t="n"/>
      <c r="N469" s="64" t="n"/>
      <c r="O469" s="64" t="n"/>
      <c r="P469" s="64" t="n"/>
      <c r="Q469" s="64" t="n"/>
      <c r="R469" s="64" t="n"/>
      <c r="S469" s="66" t="n"/>
      <c r="T469" s="45" t="n"/>
      <c r="U469" s="43">
        <f t="shared" si="0"/>
      </c>
      <c r="V469" s="49">
        <f t="shared" si="1"/>
      </c>
      <c r="W469" s="49">
        <f t="shared" si="2"/>
      </c>
      <c r="X469" s="2">
        <f t="shared" si="3"/>
      </c>
      <c r="Y469" s="2">
        <f t="shared" si="4"/>
      </c>
      <c r="Z469" s="2">
        <f t="shared" si="5"/>
        <v>0</v>
      </c>
      <c r="AA469" s="2">
        <f t="shared" si="6"/>
        <v>0</v>
      </c>
      <c r="AB469" s="2">
        <f t="shared" si="7"/>
        <v>0</v>
      </c>
      <c r="AC469" s="2">
        <f t="shared" si="8"/>
      </c>
    </row>
    <row r="470">
      <c r="A470" s="64" t="n"/>
      <c r="B470" s="65" t="n"/>
      <c r="C470" s="65" t="n"/>
      <c r="D470" s="65" t="n"/>
      <c r="E470" s="65" t="n"/>
      <c r="F470" s="66" t="n"/>
      <c r="G470" s="65" t="n"/>
      <c r="H470" s="66" t="n"/>
      <c r="I470" s="64" t="n"/>
      <c r="J470" s="68" t="n"/>
      <c r="K470" s="68" t="n"/>
      <c r="L470" s="68" t="n"/>
      <c r="M470" s="64" t="n"/>
      <c r="N470" s="64" t="n"/>
      <c r="O470" s="64" t="n"/>
      <c r="P470" s="64" t="n"/>
      <c r="Q470" s="64" t="n"/>
      <c r="R470" s="64" t="n"/>
      <c r="S470" s="66" t="n"/>
      <c r="T470" s="45" t="n"/>
      <c r="U470" s="43">
        <f t="shared" si="0"/>
      </c>
      <c r="V470" s="49">
        <f t="shared" si="1"/>
      </c>
      <c r="W470" s="49">
        <f t="shared" si="2"/>
      </c>
      <c r="X470" s="2">
        <f t="shared" si="3"/>
      </c>
      <c r="Y470" s="2">
        <f t="shared" si="4"/>
      </c>
      <c r="Z470" s="2">
        <f t="shared" si="5"/>
        <v>0</v>
      </c>
      <c r="AA470" s="2">
        <f t="shared" si="6"/>
        <v>0</v>
      </c>
      <c r="AB470" s="2">
        <f t="shared" si="7"/>
        <v>0</v>
      </c>
      <c r="AC470" s="2">
        <f t="shared" si="8"/>
      </c>
    </row>
    <row r="471">
      <c r="A471" s="64" t="n"/>
      <c r="B471" s="65" t="n"/>
      <c r="C471" s="65" t="n"/>
      <c r="D471" s="65" t="n"/>
      <c r="E471" s="65" t="n"/>
      <c r="F471" s="66" t="n"/>
      <c r="G471" s="65" t="n"/>
      <c r="H471" s="66" t="n"/>
      <c r="I471" s="64" t="n"/>
      <c r="J471" s="68" t="n"/>
      <c r="K471" s="68" t="n"/>
      <c r="L471" s="68" t="n"/>
      <c r="M471" s="64" t="n"/>
      <c r="N471" s="64" t="n"/>
      <c r="O471" s="64" t="n"/>
      <c r="P471" s="64" t="n"/>
      <c r="Q471" s="64" t="n"/>
      <c r="R471" s="64" t="n"/>
      <c r="S471" s="66" t="n"/>
      <c r="T471" s="45" t="n"/>
      <c r="U471" s="43">
        <f t="shared" si="0"/>
      </c>
      <c r="V471" s="49">
        <f t="shared" si="1"/>
      </c>
      <c r="W471" s="49">
        <f t="shared" si="2"/>
      </c>
      <c r="X471" s="2">
        <f t="shared" si="3"/>
      </c>
      <c r="Y471" s="2">
        <f t="shared" si="4"/>
      </c>
      <c r="Z471" s="2">
        <f t="shared" si="5"/>
        <v>0</v>
      </c>
      <c r="AA471" s="2">
        <f t="shared" si="6"/>
        <v>0</v>
      </c>
      <c r="AB471" s="2">
        <f t="shared" si="7"/>
        <v>0</v>
      </c>
      <c r="AC471" s="2">
        <f t="shared" si="8"/>
      </c>
    </row>
    <row r="472">
      <c r="A472" s="64" t="n"/>
      <c r="B472" s="65" t="n"/>
      <c r="C472" s="65" t="n"/>
      <c r="D472" s="65" t="n"/>
      <c r="E472" s="65" t="n"/>
      <c r="F472" s="66" t="n"/>
      <c r="G472" s="65" t="n"/>
      <c r="H472" s="66" t="n"/>
      <c r="I472" s="64" t="n"/>
      <c r="J472" s="68" t="n"/>
      <c r="K472" s="68" t="n"/>
      <c r="L472" s="68" t="n"/>
      <c r="M472" s="64" t="n"/>
      <c r="N472" s="64" t="n"/>
      <c r="O472" s="64" t="n"/>
      <c r="P472" s="64" t="n"/>
      <c r="Q472" s="64" t="n"/>
      <c r="R472" s="64" t="n"/>
      <c r="S472" s="66" t="n"/>
      <c r="T472" s="45" t="n"/>
      <c r="U472" s="43">
        <f t="shared" si="0"/>
      </c>
      <c r="V472" s="49">
        <f t="shared" si="1"/>
      </c>
      <c r="W472" s="49">
        <f t="shared" si="2"/>
      </c>
      <c r="X472" s="2">
        <f t="shared" si="3"/>
      </c>
      <c r="Y472" s="2">
        <f t="shared" si="4"/>
      </c>
      <c r="Z472" s="2">
        <f t="shared" si="5"/>
        <v>0</v>
      </c>
      <c r="AA472" s="2">
        <f t="shared" si="6"/>
        <v>0</v>
      </c>
      <c r="AB472" s="2">
        <f t="shared" si="7"/>
        <v>0</v>
      </c>
      <c r="AC472" s="2">
        <f t="shared" si="8"/>
      </c>
    </row>
    <row r="473">
      <c r="A473" s="64" t="n"/>
      <c r="B473" s="65" t="n"/>
      <c r="C473" s="65" t="n"/>
      <c r="D473" s="65" t="n"/>
      <c r="E473" s="65" t="n"/>
      <c r="F473" s="66" t="n"/>
      <c r="G473" s="65" t="n"/>
      <c r="H473" s="66" t="n"/>
      <c r="I473" s="64" t="n"/>
      <c r="J473" s="68" t="n"/>
      <c r="K473" s="68" t="n"/>
      <c r="L473" s="68" t="n"/>
      <c r="M473" s="64" t="n"/>
      <c r="N473" s="64" t="n"/>
      <c r="O473" s="64" t="n"/>
      <c r="P473" s="64" t="n"/>
      <c r="Q473" s="64" t="n"/>
      <c r="R473" s="64" t="n"/>
      <c r="S473" s="66" t="n"/>
      <c r="T473" s="45" t="n"/>
      <c r="U473" s="43">
        <f t="shared" si="0"/>
      </c>
      <c r="V473" s="49">
        <f t="shared" si="1"/>
      </c>
      <c r="W473" s="49">
        <f t="shared" si="2"/>
      </c>
      <c r="X473" s="2">
        <f t="shared" si="3"/>
      </c>
      <c r="Y473" s="2">
        <f t="shared" si="4"/>
      </c>
      <c r="Z473" s="2">
        <f t="shared" si="5"/>
        <v>0</v>
      </c>
      <c r="AA473" s="2">
        <f t="shared" si="6"/>
        <v>0</v>
      </c>
      <c r="AB473" s="2">
        <f t="shared" si="7"/>
        <v>0</v>
      </c>
      <c r="AC473" s="2">
        <f t="shared" si="8"/>
      </c>
    </row>
    <row r="474">
      <c r="A474" s="64" t="n"/>
      <c r="B474" s="65" t="n"/>
      <c r="C474" s="65" t="n"/>
      <c r="D474" s="65" t="n"/>
      <c r="E474" s="65" t="n"/>
      <c r="F474" s="66" t="n"/>
      <c r="G474" s="65" t="n"/>
      <c r="H474" s="66" t="n"/>
      <c r="I474" s="64" t="n"/>
      <c r="J474" s="68" t="n"/>
      <c r="K474" s="68" t="n"/>
      <c r="L474" s="68" t="n"/>
      <c r="M474" s="64" t="n"/>
      <c r="N474" s="64" t="n"/>
      <c r="O474" s="64" t="n"/>
      <c r="P474" s="64" t="n"/>
      <c r="Q474" s="64" t="n"/>
      <c r="R474" s="64" t="n"/>
      <c r="S474" s="66" t="n"/>
      <c r="T474" s="45" t="n"/>
      <c r="U474" s="43">
        <f t="shared" si="0"/>
      </c>
      <c r="V474" s="49">
        <f t="shared" si="1"/>
      </c>
      <c r="W474" s="49">
        <f t="shared" si="2"/>
      </c>
      <c r="X474" s="2">
        <f t="shared" si="3"/>
      </c>
      <c r="Y474" s="2">
        <f t="shared" si="4"/>
      </c>
      <c r="Z474" s="2">
        <f t="shared" si="5"/>
        <v>0</v>
      </c>
      <c r="AA474" s="2">
        <f t="shared" si="6"/>
        <v>0</v>
      </c>
      <c r="AB474" s="2">
        <f t="shared" si="7"/>
        <v>0</v>
      </c>
      <c r="AC474" s="2">
        <f t="shared" si="8"/>
      </c>
    </row>
    <row r="475">
      <c r="A475" s="64" t="n"/>
      <c r="B475" s="65" t="n"/>
      <c r="C475" s="65" t="n"/>
      <c r="D475" s="65" t="n"/>
      <c r="E475" s="65" t="n"/>
      <c r="F475" s="66" t="n"/>
      <c r="G475" s="65" t="n"/>
      <c r="H475" s="66" t="n"/>
      <c r="I475" s="64" t="n"/>
      <c r="J475" s="68" t="n"/>
      <c r="K475" s="68" t="n"/>
      <c r="L475" s="68" t="n"/>
      <c r="M475" s="64" t="n"/>
      <c r="N475" s="64" t="n"/>
      <c r="O475" s="64" t="n"/>
      <c r="P475" s="64" t="n"/>
      <c r="Q475" s="64" t="n"/>
      <c r="R475" s="64" t="n"/>
      <c r="S475" s="66" t="n"/>
      <c r="T475" s="45" t="n"/>
      <c r="U475" s="43">
        <f t="shared" si="0"/>
      </c>
      <c r="V475" s="49">
        <f t="shared" si="1"/>
      </c>
      <c r="W475" s="49">
        <f t="shared" si="2"/>
      </c>
      <c r="X475" s="2">
        <f t="shared" si="3"/>
      </c>
      <c r="Y475" s="2">
        <f t="shared" si="4"/>
      </c>
      <c r="Z475" s="2">
        <f t="shared" si="5"/>
        <v>0</v>
      </c>
      <c r="AA475" s="2">
        <f t="shared" si="6"/>
        <v>0</v>
      </c>
      <c r="AB475" s="2">
        <f t="shared" si="7"/>
        <v>0</v>
      </c>
      <c r="AC475" s="2">
        <f t="shared" si="8"/>
      </c>
    </row>
    <row r="476">
      <c r="A476" s="64" t="n"/>
      <c r="B476" s="65" t="n"/>
      <c r="C476" s="65" t="n"/>
      <c r="D476" s="65" t="n"/>
      <c r="E476" s="65" t="n"/>
      <c r="F476" s="66" t="n"/>
      <c r="G476" s="65" t="n"/>
      <c r="H476" s="66" t="n"/>
      <c r="I476" s="64" t="n"/>
      <c r="J476" s="68" t="n"/>
      <c r="K476" s="68" t="n"/>
      <c r="L476" s="68" t="n"/>
      <c r="M476" s="64" t="n"/>
      <c r="N476" s="64" t="n"/>
      <c r="O476" s="64" t="n"/>
      <c r="P476" s="64" t="n"/>
      <c r="Q476" s="64" t="n"/>
      <c r="R476" s="64" t="n"/>
      <c r="S476" s="66" t="n"/>
      <c r="T476" s="45" t="n"/>
      <c r="U476" s="43">
        <f t="shared" si="0"/>
      </c>
      <c r="V476" s="49">
        <f t="shared" si="1"/>
      </c>
      <c r="W476" s="49">
        <f t="shared" si="2"/>
      </c>
      <c r="X476" s="2">
        <f t="shared" si="3"/>
      </c>
      <c r="Y476" s="2">
        <f t="shared" si="4"/>
      </c>
      <c r="Z476" s="2">
        <f t="shared" si="5"/>
        <v>0</v>
      </c>
      <c r="AA476" s="2">
        <f t="shared" si="6"/>
        <v>0</v>
      </c>
      <c r="AB476" s="2">
        <f t="shared" si="7"/>
        <v>0</v>
      </c>
      <c r="AC476" s="2">
        <f t="shared" si="8"/>
      </c>
    </row>
    <row r="477">
      <c r="A477" s="64" t="n"/>
      <c r="B477" s="65" t="n"/>
      <c r="C477" s="65" t="n"/>
      <c r="D477" s="65" t="n"/>
      <c r="E477" s="65" t="n"/>
      <c r="F477" s="66" t="n"/>
      <c r="G477" s="65" t="n"/>
      <c r="H477" s="66" t="n"/>
      <c r="I477" s="64" t="n"/>
      <c r="J477" s="68" t="n"/>
      <c r="K477" s="68" t="n"/>
      <c r="L477" s="68" t="n"/>
      <c r="M477" s="64" t="n"/>
      <c r="N477" s="64" t="n"/>
      <c r="O477" s="64" t="n"/>
      <c r="P477" s="64" t="n"/>
      <c r="Q477" s="64" t="n"/>
      <c r="R477" s="64" t="n"/>
      <c r="S477" s="66" t="n"/>
      <c r="T477" s="45" t="n"/>
      <c r="U477" s="43">
        <f t="shared" si="0"/>
      </c>
      <c r="V477" s="49">
        <f t="shared" si="1"/>
      </c>
      <c r="W477" s="49">
        <f t="shared" si="2"/>
      </c>
      <c r="X477" s="2">
        <f t="shared" si="3"/>
      </c>
      <c r="Y477" s="2">
        <f t="shared" si="4"/>
      </c>
      <c r="Z477" s="2">
        <f t="shared" si="5"/>
        <v>0</v>
      </c>
      <c r="AA477" s="2">
        <f t="shared" si="6"/>
        <v>0</v>
      </c>
      <c r="AB477" s="2">
        <f t="shared" si="7"/>
        <v>0</v>
      </c>
      <c r="AC477" s="2">
        <f t="shared" si="8"/>
      </c>
    </row>
    <row r="478">
      <c r="A478" s="64" t="n"/>
      <c r="B478" s="65" t="n"/>
      <c r="C478" s="65" t="n"/>
      <c r="D478" s="65" t="n"/>
      <c r="E478" s="65" t="n"/>
      <c r="F478" s="66" t="n"/>
      <c r="G478" s="65" t="n"/>
      <c r="H478" s="66" t="n"/>
      <c r="I478" s="64" t="n"/>
      <c r="J478" s="68" t="n"/>
      <c r="K478" s="68" t="n"/>
      <c r="L478" s="68" t="n"/>
      <c r="M478" s="64" t="n"/>
      <c r="N478" s="64" t="n"/>
      <c r="O478" s="64" t="n"/>
      <c r="P478" s="64" t="n"/>
      <c r="Q478" s="64" t="n"/>
      <c r="R478" s="64" t="n"/>
      <c r="S478" s="66" t="n"/>
      <c r="T478" s="45" t="n"/>
      <c r="U478" s="43">
        <f t="shared" si="0"/>
      </c>
      <c r="V478" s="49">
        <f t="shared" si="1"/>
      </c>
      <c r="W478" s="49">
        <f t="shared" si="2"/>
      </c>
      <c r="X478" s="2">
        <f t="shared" si="3"/>
      </c>
      <c r="Y478" s="2">
        <f t="shared" si="4"/>
      </c>
      <c r="Z478" s="2">
        <f t="shared" si="5"/>
        <v>0</v>
      </c>
      <c r="AA478" s="2">
        <f t="shared" si="6"/>
        <v>0</v>
      </c>
      <c r="AB478" s="2">
        <f t="shared" si="7"/>
        <v>0</v>
      </c>
      <c r="AC478" s="2">
        <f t="shared" si="8"/>
      </c>
    </row>
    <row r="479">
      <c r="A479" s="64" t="n"/>
      <c r="B479" s="65" t="n"/>
      <c r="C479" s="65" t="n"/>
      <c r="D479" s="65" t="n"/>
      <c r="E479" s="65" t="n"/>
      <c r="F479" s="66" t="n"/>
      <c r="G479" s="65" t="n"/>
      <c r="H479" s="66" t="n"/>
      <c r="I479" s="64" t="n"/>
      <c r="J479" s="68" t="n"/>
      <c r="K479" s="68" t="n"/>
      <c r="L479" s="68" t="n"/>
      <c r="M479" s="64" t="n"/>
      <c r="N479" s="64" t="n"/>
      <c r="O479" s="64" t="n"/>
      <c r="P479" s="64" t="n"/>
      <c r="Q479" s="64" t="n"/>
      <c r="R479" s="64" t="n"/>
      <c r="S479" s="66" t="n"/>
      <c r="T479" s="45" t="n"/>
      <c r="U479" s="43">
        <f t="shared" si="0"/>
      </c>
      <c r="V479" s="49">
        <f t="shared" si="1"/>
      </c>
      <c r="W479" s="49">
        <f t="shared" si="2"/>
      </c>
      <c r="X479" s="2">
        <f t="shared" si="3"/>
      </c>
      <c r="Y479" s="2">
        <f t="shared" si="4"/>
      </c>
      <c r="Z479" s="2">
        <f t="shared" si="5"/>
        <v>0</v>
      </c>
      <c r="AA479" s="2">
        <f t="shared" si="6"/>
        <v>0</v>
      </c>
      <c r="AB479" s="2">
        <f t="shared" si="7"/>
        <v>0</v>
      </c>
      <c r="AC479" s="2">
        <f t="shared" si="8"/>
      </c>
    </row>
    <row r="480">
      <c r="A480" s="64" t="n"/>
      <c r="B480" s="65" t="n"/>
      <c r="C480" s="65" t="n"/>
      <c r="D480" s="65" t="n"/>
      <c r="E480" s="65" t="n"/>
      <c r="F480" s="66" t="n"/>
      <c r="G480" s="65" t="n"/>
      <c r="H480" s="66" t="n"/>
      <c r="I480" s="64" t="n"/>
      <c r="J480" s="68" t="n"/>
      <c r="K480" s="68" t="n"/>
      <c r="L480" s="68" t="n"/>
      <c r="M480" s="64" t="n"/>
      <c r="N480" s="64" t="n"/>
      <c r="O480" s="64" t="n"/>
      <c r="P480" s="64" t="n"/>
      <c r="Q480" s="64" t="n"/>
      <c r="R480" s="64" t="n"/>
      <c r="S480" s="66" t="n"/>
      <c r="T480" s="45" t="n"/>
      <c r="U480" s="43">
        <f t="shared" si="0"/>
      </c>
      <c r="V480" s="49">
        <f t="shared" si="1"/>
      </c>
      <c r="W480" s="49">
        <f t="shared" si="2"/>
      </c>
      <c r="X480" s="2">
        <f t="shared" si="3"/>
      </c>
      <c r="Y480" s="2">
        <f t="shared" si="4"/>
      </c>
      <c r="Z480" s="2">
        <f t="shared" si="5"/>
        <v>0</v>
      </c>
      <c r="AA480" s="2">
        <f t="shared" si="6"/>
        <v>0</v>
      </c>
      <c r="AB480" s="2">
        <f t="shared" si="7"/>
        <v>0</v>
      </c>
      <c r="AC480" s="2">
        <f t="shared" si="8"/>
      </c>
    </row>
    <row r="481">
      <c r="A481" s="64" t="n"/>
      <c r="B481" s="65" t="n"/>
      <c r="C481" s="65" t="n"/>
      <c r="D481" s="65" t="n"/>
      <c r="E481" s="65" t="n"/>
      <c r="F481" s="66" t="n"/>
      <c r="G481" s="65" t="n"/>
      <c r="H481" s="66" t="n"/>
      <c r="I481" s="64" t="n"/>
      <c r="J481" s="68" t="n"/>
      <c r="K481" s="68" t="n"/>
      <c r="L481" s="68" t="n"/>
      <c r="M481" s="64" t="n"/>
      <c r="N481" s="64" t="n"/>
      <c r="O481" s="64" t="n"/>
      <c r="P481" s="64" t="n"/>
      <c r="Q481" s="64" t="n"/>
      <c r="R481" s="64" t="n"/>
      <c r="S481" s="66" t="n"/>
      <c r="T481" s="45" t="n"/>
      <c r="U481" s="43">
        <f t="shared" si="0"/>
      </c>
      <c r="V481" s="49">
        <f t="shared" si="1"/>
      </c>
      <c r="W481" s="49">
        <f t="shared" si="2"/>
      </c>
      <c r="X481" s="2">
        <f t="shared" si="3"/>
      </c>
      <c r="Y481" s="2">
        <f t="shared" si="4"/>
      </c>
      <c r="Z481" s="2">
        <f t="shared" si="5"/>
        <v>0</v>
      </c>
      <c r="AA481" s="2">
        <f t="shared" si="6"/>
        <v>0</v>
      </c>
      <c r="AB481" s="2">
        <f t="shared" si="7"/>
        <v>0</v>
      </c>
      <c r="AC481" s="2">
        <f t="shared" si="8"/>
      </c>
    </row>
    <row r="482">
      <c r="A482" s="64" t="n"/>
      <c r="B482" s="65" t="n"/>
      <c r="C482" s="65" t="n"/>
      <c r="D482" s="65" t="n"/>
      <c r="E482" s="65" t="n"/>
      <c r="F482" s="66" t="n"/>
      <c r="G482" s="65" t="n"/>
      <c r="H482" s="66" t="n"/>
      <c r="I482" s="64" t="n"/>
      <c r="J482" s="68" t="n"/>
      <c r="K482" s="68" t="n"/>
      <c r="L482" s="68" t="n"/>
      <c r="M482" s="64" t="n"/>
      <c r="N482" s="64" t="n"/>
      <c r="O482" s="64" t="n"/>
      <c r="P482" s="64" t="n"/>
      <c r="Q482" s="64" t="n"/>
      <c r="R482" s="64" t="n"/>
      <c r="S482" s="66" t="n"/>
      <c r="T482" s="45" t="n"/>
      <c r="U482" s="43">
        <f t="shared" si="0"/>
      </c>
      <c r="V482" s="49">
        <f t="shared" si="1"/>
      </c>
      <c r="W482" s="49">
        <f t="shared" si="2"/>
      </c>
      <c r="X482" s="2">
        <f t="shared" si="3"/>
      </c>
      <c r="Y482" s="2">
        <f t="shared" si="4"/>
      </c>
      <c r="Z482" s="2">
        <f t="shared" si="5"/>
        <v>0</v>
      </c>
      <c r="AA482" s="2">
        <f t="shared" si="6"/>
        <v>0</v>
      </c>
      <c r="AB482" s="2">
        <f t="shared" si="7"/>
        <v>0</v>
      </c>
      <c r="AC482" s="2">
        <f t="shared" si="8"/>
      </c>
    </row>
    <row r="483">
      <c r="A483" s="64" t="n"/>
      <c r="B483" s="65" t="n"/>
      <c r="C483" s="65" t="n"/>
      <c r="D483" s="65" t="n"/>
      <c r="E483" s="65" t="n"/>
      <c r="F483" s="66" t="n"/>
      <c r="G483" s="65" t="n"/>
      <c r="H483" s="66" t="n"/>
      <c r="I483" s="64" t="n"/>
      <c r="J483" s="68" t="n"/>
      <c r="K483" s="68" t="n"/>
      <c r="L483" s="68" t="n"/>
      <c r="M483" s="64" t="n"/>
      <c r="N483" s="64" t="n"/>
      <c r="O483" s="64" t="n"/>
      <c r="P483" s="64" t="n"/>
      <c r="Q483" s="64" t="n"/>
      <c r="R483" s="64" t="n"/>
      <c r="S483" s="66" t="n"/>
      <c r="T483" s="45" t="n"/>
      <c r="U483" s="43">
        <f t="shared" si="0"/>
      </c>
      <c r="V483" s="49">
        <f t="shared" si="1"/>
      </c>
      <c r="W483" s="49">
        <f t="shared" si="2"/>
      </c>
      <c r="X483" s="2">
        <f t="shared" si="3"/>
      </c>
      <c r="Y483" s="2">
        <f t="shared" si="4"/>
      </c>
      <c r="Z483" s="2">
        <f t="shared" si="5"/>
        <v>0</v>
      </c>
      <c r="AA483" s="2">
        <f t="shared" si="6"/>
        <v>0</v>
      </c>
      <c r="AB483" s="2">
        <f t="shared" si="7"/>
        <v>0</v>
      </c>
      <c r="AC483" s="2">
        <f t="shared" si="8"/>
      </c>
    </row>
    <row r="484">
      <c r="A484" s="64" t="n"/>
      <c r="B484" s="65" t="n"/>
      <c r="C484" s="65" t="n"/>
      <c r="D484" s="65" t="n"/>
      <c r="E484" s="65" t="n"/>
      <c r="F484" s="66" t="n"/>
      <c r="G484" s="65" t="n"/>
      <c r="H484" s="66" t="n"/>
      <c r="I484" s="64" t="n"/>
      <c r="J484" s="68" t="n"/>
      <c r="K484" s="68" t="n"/>
      <c r="L484" s="68" t="n"/>
      <c r="M484" s="64" t="n"/>
      <c r="N484" s="64" t="n"/>
      <c r="O484" s="64" t="n"/>
      <c r="P484" s="64" t="n"/>
      <c r="Q484" s="64" t="n"/>
      <c r="R484" s="64" t="n"/>
      <c r="S484" s="66" t="n"/>
      <c r="T484" s="45" t="n"/>
      <c r="U484" s="43">
        <f t="shared" si="0"/>
      </c>
      <c r="V484" s="49">
        <f t="shared" si="1"/>
      </c>
      <c r="W484" s="49">
        <f t="shared" si="2"/>
      </c>
      <c r="X484" s="2">
        <f t="shared" si="3"/>
      </c>
      <c r="Y484" s="2">
        <f t="shared" si="4"/>
      </c>
      <c r="Z484" s="2">
        <f t="shared" si="5"/>
        <v>0</v>
      </c>
      <c r="AA484" s="2">
        <f t="shared" si="6"/>
        <v>0</v>
      </c>
      <c r="AB484" s="2">
        <f t="shared" si="7"/>
        <v>0</v>
      </c>
      <c r="AC484" s="2">
        <f t="shared" si="8"/>
      </c>
    </row>
    <row r="485">
      <c r="A485" s="64" t="n"/>
      <c r="B485" s="65" t="n"/>
      <c r="C485" s="65" t="n"/>
      <c r="D485" s="65" t="n"/>
      <c r="E485" s="65" t="n"/>
      <c r="F485" s="66" t="n"/>
      <c r="G485" s="65" t="n"/>
      <c r="H485" s="66" t="n"/>
      <c r="I485" s="64" t="n"/>
      <c r="J485" s="68" t="n"/>
      <c r="K485" s="68" t="n"/>
      <c r="L485" s="68" t="n"/>
      <c r="M485" s="64" t="n"/>
      <c r="N485" s="64" t="n"/>
      <c r="O485" s="64" t="n"/>
      <c r="P485" s="64" t="n"/>
      <c r="Q485" s="64" t="n"/>
      <c r="R485" s="64" t="n"/>
      <c r="S485" s="66" t="n"/>
      <c r="T485" s="45" t="n"/>
      <c r="U485" s="43">
        <f t="shared" si="0"/>
      </c>
      <c r="V485" s="49">
        <f t="shared" si="1"/>
      </c>
      <c r="W485" s="49">
        <f t="shared" si="2"/>
      </c>
      <c r="X485" s="2">
        <f t="shared" si="3"/>
      </c>
      <c r="Y485" s="2">
        <f t="shared" si="4"/>
      </c>
      <c r="Z485" s="2">
        <f t="shared" si="5"/>
        <v>0</v>
      </c>
      <c r="AA485" s="2">
        <f t="shared" si="6"/>
        <v>0</v>
      </c>
      <c r="AB485" s="2">
        <f t="shared" si="7"/>
        <v>0</v>
      </c>
      <c r="AC485" s="2">
        <f t="shared" si="8"/>
      </c>
    </row>
    <row r="486">
      <c r="A486" s="64" t="n"/>
      <c r="B486" s="65" t="n"/>
      <c r="C486" s="65" t="n"/>
      <c r="D486" s="65" t="n"/>
      <c r="E486" s="65" t="n"/>
      <c r="F486" s="66" t="n"/>
      <c r="G486" s="65" t="n"/>
      <c r="H486" s="66" t="n"/>
      <c r="I486" s="64" t="n"/>
      <c r="J486" s="68" t="n"/>
      <c r="K486" s="68" t="n"/>
      <c r="L486" s="68" t="n"/>
      <c r="M486" s="64" t="n"/>
      <c r="N486" s="64" t="n"/>
      <c r="O486" s="64" t="n"/>
      <c r="P486" s="64" t="n"/>
      <c r="Q486" s="64" t="n"/>
      <c r="R486" s="64" t="n"/>
      <c r="S486" s="66" t="n"/>
      <c r="T486" s="45" t="n"/>
      <c r="U486" s="43">
        <f t="shared" si="0"/>
      </c>
      <c r="V486" s="49">
        <f t="shared" si="1"/>
      </c>
      <c r="W486" s="49">
        <f t="shared" si="2"/>
      </c>
      <c r="X486" s="2">
        <f t="shared" si="3"/>
      </c>
      <c r="Y486" s="2">
        <f t="shared" si="4"/>
      </c>
      <c r="Z486" s="2">
        <f t="shared" si="5"/>
        <v>0</v>
      </c>
      <c r="AA486" s="2">
        <f t="shared" si="6"/>
        <v>0</v>
      </c>
      <c r="AB486" s="2">
        <f t="shared" si="7"/>
        <v>0</v>
      </c>
      <c r="AC486" s="2">
        <f t="shared" si="8"/>
      </c>
    </row>
    <row r="487">
      <c r="A487" s="64" t="n"/>
      <c r="B487" s="65" t="n"/>
      <c r="C487" s="65" t="n"/>
      <c r="D487" s="65" t="n"/>
      <c r="E487" s="65" t="n"/>
      <c r="F487" s="66" t="n"/>
      <c r="G487" s="65" t="n"/>
      <c r="H487" s="66" t="n"/>
      <c r="I487" s="64" t="n"/>
      <c r="J487" s="68" t="n"/>
      <c r="K487" s="68" t="n"/>
      <c r="L487" s="68" t="n"/>
      <c r="M487" s="64" t="n"/>
      <c r="N487" s="64" t="n"/>
      <c r="O487" s="64" t="n"/>
      <c r="P487" s="64" t="n"/>
      <c r="Q487" s="64" t="n"/>
      <c r="R487" s="64" t="n"/>
      <c r="S487" s="66" t="n"/>
      <c r="T487" s="45" t="n"/>
      <c r="U487" s="43">
        <f t="shared" si="0"/>
      </c>
      <c r="V487" s="49">
        <f t="shared" si="1"/>
      </c>
      <c r="W487" s="49">
        <f t="shared" si="2"/>
      </c>
      <c r="X487" s="2">
        <f t="shared" si="3"/>
      </c>
      <c r="Y487" s="2">
        <f t="shared" si="4"/>
      </c>
      <c r="Z487" s="2">
        <f t="shared" si="5"/>
        <v>0</v>
      </c>
      <c r="AA487" s="2">
        <f t="shared" si="6"/>
        <v>0</v>
      </c>
      <c r="AB487" s="2">
        <f t="shared" si="7"/>
        <v>0</v>
      </c>
      <c r="AC487" s="2">
        <f t="shared" si="8"/>
      </c>
    </row>
    <row r="488">
      <c r="A488" s="64" t="n"/>
      <c r="B488" s="65" t="n"/>
      <c r="C488" s="65" t="n"/>
      <c r="D488" s="65" t="n"/>
      <c r="E488" s="65" t="n"/>
      <c r="F488" s="66" t="n"/>
      <c r="G488" s="65" t="n"/>
      <c r="H488" s="66" t="n"/>
      <c r="I488" s="64" t="n"/>
      <c r="J488" s="68" t="n"/>
      <c r="K488" s="68" t="n"/>
      <c r="L488" s="68" t="n"/>
      <c r="M488" s="64" t="n"/>
      <c r="N488" s="64" t="n"/>
      <c r="O488" s="64" t="n"/>
      <c r="P488" s="64" t="n"/>
      <c r="Q488" s="64" t="n"/>
      <c r="R488" s="64" t="n"/>
      <c r="S488" s="66" t="n"/>
      <c r="T488" s="45" t="n"/>
      <c r="U488" s="43">
        <f t="shared" si="0"/>
      </c>
      <c r="V488" s="49">
        <f t="shared" si="1"/>
      </c>
      <c r="W488" s="49">
        <f t="shared" si="2"/>
      </c>
      <c r="X488" s="2">
        <f t="shared" si="3"/>
      </c>
      <c r="Y488" s="2">
        <f t="shared" si="4"/>
      </c>
      <c r="Z488" s="2">
        <f t="shared" si="5"/>
        <v>0</v>
      </c>
      <c r="AA488" s="2">
        <f t="shared" si="6"/>
        <v>0</v>
      </c>
      <c r="AB488" s="2">
        <f t="shared" si="7"/>
        <v>0</v>
      </c>
      <c r="AC488" s="2">
        <f t="shared" si="8"/>
      </c>
    </row>
    <row r="489">
      <c r="A489" s="64" t="n"/>
      <c r="B489" s="65" t="n"/>
      <c r="C489" s="65" t="n"/>
      <c r="D489" s="65" t="n"/>
      <c r="E489" s="65" t="n"/>
      <c r="F489" s="66" t="n"/>
      <c r="G489" s="65" t="n"/>
      <c r="H489" s="66" t="n"/>
      <c r="I489" s="64" t="n"/>
      <c r="J489" s="68" t="n"/>
      <c r="K489" s="68" t="n"/>
      <c r="L489" s="68" t="n"/>
      <c r="M489" s="64" t="n"/>
      <c r="N489" s="64" t="n"/>
      <c r="O489" s="64" t="n"/>
      <c r="P489" s="64" t="n"/>
      <c r="Q489" s="64" t="n"/>
      <c r="R489" s="64" t="n"/>
      <c r="S489" s="66" t="n"/>
      <c r="T489" s="45" t="n"/>
      <c r="U489" s="43">
        <f t="shared" si="0"/>
      </c>
      <c r="V489" s="49">
        <f t="shared" si="1"/>
      </c>
      <c r="W489" s="49">
        <f t="shared" si="2"/>
      </c>
      <c r="X489" s="2">
        <f t="shared" si="3"/>
      </c>
      <c r="Y489" s="2">
        <f t="shared" si="4"/>
      </c>
      <c r="Z489" s="2">
        <f t="shared" si="5"/>
        <v>0</v>
      </c>
      <c r="AA489" s="2">
        <f t="shared" si="6"/>
        <v>0</v>
      </c>
      <c r="AB489" s="2">
        <f t="shared" si="7"/>
        <v>0</v>
      </c>
      <c r="AC489" s="2">
        <f t="shared" si="8"/>
      </c>
    </row>
    <row r="490">
      <c r="A490" s="64" t="n"/>
      <c r="B490" s="65" t="n"/>
      <c r="C490" s="65" t="n"/>
      <c r="D490" s="65" t="n"/>
      <c r="E490" s="65" t="n"/>
      <c r="F490" s="66" t="n"/>
      <c r="G490" s="65" t="n"/>
      <c r="H490" s="66" t="n"/>
      <c r="I490" s="64" t="n"/>
      <c r="J490" s="68" t="n"/>
      <c r="K490" s="68" t="n"/>
      <c r="L490" s="68" t="n"/>
      <c r="M490" s="64" t="n"/>
      <c r="N490" s="64" t="n"/>
      <c r="O490" s="64" t="n"/>
      <c r="P490" s="64" t="n"/>
      <c r="Q490" s="64" t="n"/>
      <c r="R490" s="64" t="n"/>
      <c r="S490" s="66" t="n"/>
      <c r="T490" s="45" t="n"/>
      <c r="U490" s="43">
        <f t="shared" si="0"/>
      </c>
      <c r="V490" s="49">
        <f t="shared" si="1"/>
      </c>
      <c r="W490" s="49">
        <f t="shared" si="2"/>
      </c>
      <c r="X490" s="2">
        <f t="shared" si="3"/>
      </c>
      <c r="Y490" s="2">
        <f t="shared" si="4"/>
      </c>
      <c r="Z490" s="2">
        <f t="shared" si="5"/>
        <v>0</v>
      </c>
      <c r="AA490" s="2">
        <f t="shared" si="6"/>
        <v>0</v>
      </c>
      <c r="AB490" s="2">
        <f t="shared" si="7"/>
        <v>0</v>
      </c>
      <c r="AC490" s="2">
        <f t="shared" si="8"/>
      </c>
    </row>
    <row r="491">
      <c r="A491" s="64" t="n"/>
      <c r="B491" s="65" t="n"/>
      <c r="C491" s="65" t="n"/>
      <c r="D491" s="65" t="n"/>
      <c r="E491" s="65" t="n"/>
      <c r="F491" s="66" t="n"/>
      <c r="G491" s="65" t="n"/>
      <c r="H491" s="66" t="n"/>
      <c r="I491" s="64" t="n"/>
      <c r="J491" s="68" t="n"/>
      <c r="K491" s="68" t="n"/>
      <c r="L491" s="68" t="n"/>
      <c r="M491" s="64" t="n"/>
      <c r="N491" s="64" t="n"/>
      <c r="O491" s="64" t="n"/>
      <c r="P491" s="64" t="n"/>
      <c r="Q491" s="64" t="n"/>
      <c r="R491" s="64" t="n"/>
      <c r="S491" s="66" t="n"/>
      <c r="T491" s="45" t="n"/>
      <c r="U491" s="43">
        <f t="shared" si="0"/>
      </c>
      <c r="V491" s="49">
        <f t="shared" si="1"/>
      </c>
      <c r="W491" s="49">
        <f t="shared" si="2"/>
      </c>
      <c r="X491" s="2">
        <f t="shared" si="3"/>
      </c>
      <c r="Y491" s="2">
        <f t="shared" si="4"/>
      </c>
      <c r="Z491" s="2">
        <f t="shared" si="5"/>
        <v>0</v>
      </c>
      <c r="AA491" s="2">
        <f t="shared" si="6"/>
        <v>0</v>
      </c>
      <c r="AB491" s="2">
        <f t="shared" si="7"/>
        <v>0</v>
      </c>
      <c r="AC491" s="2">
        <f t="shared" si="8"/>
      </c>
    </row>
    <row r="492">
      <c r="A492" s="64" t="n"/>
      <c r="B492" s="65" t="n"/>
      <c r="C492" s="65" t="n"/>
      <c r="D492" s="65" t="n"/>
      <c r="E492" s="65" t="n"/>
      <c r="F492" s="66" t="n"/>
      <c r="G492" s="65" t="n"/>
      <c r="H492" s="66" t="n"/>
      <c r="I492" s="64" t="n"/>
      <c r="J492" s="68" t="n"/>
      <c r="K492" s="68" t="n"/>
      <c r="L492" s="68" t="n"/>
      <c r="M492" s="64" t="n"/>
      <c r="N492" s="64" t="n"/>
      <c r="O492" s="64" t="n"/>
      <c r="P492" s="64" t="n"/>
      <c r="Q492" s="64" t="n"/>
      <c r="R492" s="64" t="n"/>
      <c r="S492" s="66" t="n"/>
      <c r="T492" s="45" t="n"/>
      <c r="U492" s="43">
        <f t="shared" si="0"/>
      </c>
      <c r="V492" s="49">
        <f t="shared" si="1"/>
      </c>
      <c r="W492" s="49">
        <f t="shared" si="2"/>
      </c>
      <c r="X492" s="2">
        <f t="shared" si="3"/>
      </c>
      <c r="Y492" s="2">
        <f t="shared" si="4"/>
      </c>
      <c r="Z492" s="2">
        <f t="shared" si="5"/>
        <v>0</v>
      </c>
      <c r="AA492" s="2">
        <f t="shared" si="6"/>
        <v>0</v>
      </c>
      <c r="AB492" s="2">
        <f t="shared" si="7"/>
        <v>0</v>
      </c>
      <c r="AC492" s="2">
        <f t="shared" si="8"/>
      </c>
    </row>
    <row r="493">
      <c r="A493" s="64" t="n"/>
      <c r="B493" s="65" t="n"/>
      <c r="C493" s="65" t="n"/>
      <c r="D493" s="65" t="n"/>
      <c r="E493" s="65" t="n"/>
      <c r="F493" s="66" t="n"/>
      <c r="G493" s="65" t="n"/>
      <c r="H493" s="66" t="n"/>
      <c r="I493" s="64" t="n"/>
      <c r="J493" s="68" t="n"/>
      <c r="K493" s="68" t="n"/>
      <c r="L493" s="68" t="n"/>
      <c r="M493" s="64" t="n"/>
      <c r="N493" s="64" t="n"/>
      <c r="O493" s="64" t="n"/>
      <c r="P493" s="64" t="n"/>
      <c r="Q493" s="64" t="n"/>
      <c r="R493" s="64" t="n"/>
      <c r="S493" s="66" t="n"/>
      <c r="T493" s="45" t="n"/>
      <c r="U493" s="43">
        <f t="shared" si="0"/>
      </c>
      <c r="V493" s="49">
        <f t="shared" si="1"/>
      </c>
      <c r="W493" s="49">
        <f t="shared" si="2"/>
      </c>
      <c r="X493" s="2">
        <f t="shared" si="3"/>
      </c>
      <c r="Y493" s="2">
        <f t="shared" si="4"/>
      </c>
      <c r="Z493" s="2">
        <f t="shared" si="5"/>
        <v>0</v>
      </c>
      <c r="AA493" s="2">
        <f t="shared" si="6"/>
        <v>0</v>
      </c>
      <c r="AB493" s="2">
        <f t="shared" si="7"/>
        <v>0</v>
      </c>
      <c r="AC493" s="2">
        <f t="shared" si="8"/>
      </c>
    </row>
    <row r="494">
      <c r="A494" s="64" t="n"/>
      <c r="B494" s="65" t="n"/>
      <c r="C494" s="65" t="n"/>
      <c r="D494" s="65" t="n"/>
      <c r="E494" s="65" t="n"/>
      <c r="F494" s="66" t="n"/>
      <c r="G494" s="65" t="n"/>
      <c r="H494" s="66" t="n"/>
      <c r="I494" s="64" t="n"/>
      <c r="J494" s="68" t="n"/>
      <c r="K494" s="68" t="n"/>
      <c r="L494" s="68" t="n"/>
      <c r="M494" s="64" t="n"/>
      <c r="N494" s="64" t="n"/>
      <c r="O494" s="64" t="n"/>
      <c r="P494" s="64" t="n"/>
      <c r="Q494" s="64" t="n"/>
      <c r="R494" s="64" t="n"/>
      <c r="S494" s="66" t="n"/>
      <c r="T494" s="45" t="n"/>
      <c r="U494" s="43">
        <f t="shared" si="0"/>
      </c>
      <c r="V494" s="49">
        <f t="shared" si="1"/>
      </c>
      <c r="W494" s="49">
        <f t="shared" si="2"/>
      </c>
      <c r="X494" s="2">
        <f t="shared" si="3"/>
      </c>
      <c r="Y494" s="2">
        <f t="shared" si="4"/>
      </c>
      <c r="Z494" s="2">
        <f t="shared" si="5"/>
        <v>0</v>
      </c>
      <c r="AA494" s="2">
        <f t="shared" si="6"/>
        <v>0</v>
      </c>
      <c r="AB494" s="2">
        <f t="shared" si="7"/>
        <v>0</v>
      </c>
      <c r="AC494" s="2">
        <f t="shared" si="8"/>
      </c>
    </row>
    <row r="495">
      <c r="A495" s="64" t="n"/>
      <c r="B495" s="65" t="n"/>
      <c r="C495" s="65" t="n"/>
      <c r="D495" s="65" t="n"/>
      <c r="E495" s="65" t="n"/>
      <c r="F495" s="66" t="n"/>
      <c r="G495" s="65" t="n"/>
      <c r="H495" s="66" t="n"/>
      <c r="I495" s="64" t="n"/>
      <c r="J495" s="68" t="n"/>
      <c r="K495" s="68" t="n"/>
      <c r="L495" s="68" t="n"/>
      <c r="M495" s="64" t="n"/>
      <c r="N495" s="64" t="n"/>
      <c r="O495" s="64" t="n"/>
      <c r="P495" s="64" t="n"/>
      <c r="Q495" s="64" t="n"/>
      <c r="R495" s="64" t="n"/>
      <c r="S495" s="66" t="n"/>
      <c r="T495" s="45" t="n"/>
      <c r="U495" s="43">
        <f t="shared" si="0"/>
      </c>
      <c r="V495" s="49">
        <f t="shared" si="1"/>
      </c>
      <c r="W495" s="49">
        <f t="shared" si="2"/>
      </c>
      <c r="X495" s="2">
        <f t="shared" si="3"/>
      </c>
      <c r="Y495" s="2">
        <f t="shared" si="4"/>
      </c>
      <c r="Z495" s="2">
        <f t="shared" si="5"/>
        <v>0</v>
      </c>
      <c r="AA495" s="2">
        <f t="shared" si="6"/>
        <v>0</v>
      </c>
      <c r="AB495" s="2">
        <f t="shared" si="7"/>
        <v>0</v>
      </c>
      <c r="AC495" s="2">
        <f t="shared" si="8"/>
      </c>
    </row>
    <row r="496">
      <c r="A496" s="64" t="n"/>
      <c r="B496" s="65" t="n"/>
      <c r="C496" s="65" t="n"/>
      <c r="D496" s="65" t="n"/>
      <c r="E496" s="65" t="n"/>
      <c r="F496" s="66" t="n"/>
      <c r="G496" s="65" t="n"/>
      <c r="H496" s="66" t="n"/>
      <c r="I496" s="64" t="n"/>
      <c r="J496" s="68" t="n"/>
      <c r="K496" s="68" t="n"/>
      <c r="L496" s="68" t="n"/>
      <c r="M496" s="64" t="n"/>
      <c r="N496" s="64" t="n"/>
      <c r="O496" s="64" t="n"/>
      <c r="P496" s="64" t="n"/>
      <c r="Q496" s="64" t="n"/>
      <c r="R496" s="64" t="n"/>
      <c r="S496" s="66" t="n"/>
      <c r="T496" s="45" t="n"/>
      <c r="U496" s="43">
        <f t="shared" si="0"/>
      </c>
      <c r="V496" s="49">
        <f t="shared" si="1"/>
      </c>
      <c r="W496" s="49">
        <f t="shared" si="2"/>
      </c>
      <c r="X496" s="2">
        <f t="shared" si="3"/>
      </c>
      <c r="Y496" s="2">
        <f t="shared" si="4"/>
      </c>
      <c r="Z496" s="2">
        <f t="shared" si="5"/>
        <v>0</v>
      </c>
      <c r="AA496" s="2">
        <f t="shared" si="6"/>
        <v>0</v>
      </c>
      <c r="AB496" s="2">
        <f t="shared" si="7"/>
        <v>0</v>
      </c>
      <c r="AC496" s="2">
        <f t="shared" si="8"/>
      </c>
    </row>
    <row r="497">
      <c r="A497" s="64" t="n"/>
      <c r="B497" s="65" t="n"/>
      <c r="C497" s="65" t="n"/>
      <c r="D497" s="65" t="n"/>
      <c r="E497" s="65" t="n"/>
      <c r="F497" s="66" t="n"/>
      <c r="G497" s="65" t="n"/>
      <c r="H497" s="66" t="n"/>
      <c r="I497" s="64" t="n"/>
      <c r="J497" s="68" t="n"/>
      <c r="K497" s="68" t="n"/>
      <c r="L497" s="68" t="n"/>
      <c r="M497" s="64" t="n"/>
      <c r="N497" s="64" t="n"/>
      <c r="O497" s="64" t="n"/>
      <c r="P497" s="64" t="n"/>
      <c r="Q497" s="64" t="n"/>
      <c r="R497" s="64" t="n"/>
      <c r="S497" s="66" t="n"/>
      <c r="T497" s="45" t="n"/>
      <c r="U497" s="43">
        <f t="shared" si="0"/>
      </c>
      <c r="V497" s="49">
        <f t="shared" si="1"/>
      </c>
      <c r="W497" s="49">
        <f t="shared" si="2"/>
      </c>
      <c r="X497" s="2">
        <f t="shared" si="3"/>
      </c>
      <c r="Y497" s="2">
        <f t="shared" si="4"/>
      </c>
      <c r="Z497" s="2">
        <f t="shared" si="5"/>
        <v>0</v>
      </c>
      <c r="AA497" s="2">
        <f t="shared" si="6"/>
        <v>0</v>
      </c>
      <c r="AB497" s="2">
        <f t="shared" si="7"/>
        <v>0</v>
      </c>
      <c r="AC497" s="2">
        <f t="shared" si="8"/>
      </c>
    </row>
    <row r="498">
      <c r="A498" s="64" t="n"/>
      <c r="B498" s="65" t="n"/>
      <c r="C498" s="65" t="n"/>
      <c r="D498" s="65" t="n"/>
      <c r="E498" s="65" t="n"/>
      <c r="F498" s="66" t="n"/>
      <c r="G498" s="65" t="n"/>
      <c r="H498" s="66" t="n"/>
      <c r="I498" s="64" t="n"/>
      <c r="J498" s="68" t="n"/>
      <c r="K498" s="68" t="n"/>
      <c r="L498" s="68" t="n"/>
      <c r="M498" s="64" t="n"/>
      <c r="N498" s="64" t="n"/>
      <c r="O498" s="64" t="n"/>
      <c r="P498" s="64" t="n"/>
      <c r="Q498" s="64" t="n"/>
      <c r="R498" s="64" t="n"/>
      <c r="S498" s="66" t="n"/>
      <c r="T498" s="45" t="n"/>
      <c r="U498" s="43">
        <f t="shared" si="0"/>
      </c>
      <c r="V498" s="49">
        <f t="shared" si="1"/>
      </c>
      <c r="W498" s="49">
        <f t="shared" si="2"/>
      </c>
      <c r="X498" s="2">
        <f t="shared" si="3"/>
      </c>
      <c r="Y498" s="2">
        <f t="shared" si="4"/>
      </c>
      <c r="Z498" s="2">
        <f t="shared" si="5"/>
        <v>0</v>
      </c>
      <c r="AA498" s="2">
        <f t="shared" si="6"/>
        <v>0</v>
      </c>
      <c r="AB498" s="2">
        <f t="shared" si="7"/>
        <v>0</v>
      </c>
      <c r="AC498" s="2">
        <f t="shared" si="8"/>
      </c>
    </row>
    <row r="499">
      <c r="A499" s="64" t="n"/>
      <c r="B499" s="65" t="n"/>
      <c r="C499" s="65" t="n"/>
      <c r="D499" s="65" t="n"/>
      <c r="E499" s="65" t="n"/>
      <c r="F499" s="66" t="n"/>
      <c r="G499" s="65" t="n"/>
      <c r="H499" s="66" t="n"/>
      <c r="I499" s="64" t="n"/>
      <c r="J499" s="68" t="n"/>
      <c r="K499" s="68" t="n"/>
      <c r="L499" s="68" t="n"/>
      <c r="M499" s="64" t="n"/>
      <c r="N499" s="64" t="n"/>
      <c r="O499" s="64" t="n"/>
      <c r="P499" s="64" t="n"/>
      <c r="Q499" s="64" t="n"/>
      <c r="R499" s="64" t="n"/>
      <c r="S499" s="66" t="n"/>
      <c r="T499" s="45" t="n"/>
      <c r="U499" s="43">
        <f t="shared" si="0"/>
      </c>
      <c r="V499" s="49">
        <f t="shared" si="1"/>
      </c>
      <c r="W499" s="49">
        <f t="shared" si="2"/>
      </c>
      <c r="X499" s="2">
        <f t="shared" si="3"/>
      </c>
      <c r="Y499" s="2">
        <f t="shared" si="4"/>
      </c>
      <c r="Z499" s="2">
        <f t="shared" si="5"/>
        <v>0</v>
      </c>
      <c r="AA499" s="2">
        <f t="shared" si="6"/>
        <v>0</v>
      </c>
      <c r="AB499" s="2">
        <f t="shared" si="7"/>
        <v>0</v>
      </c>
      <c r="AC499" s="2">
        <f t="shared" si="8"/>
      </c>
    </row>
    <row r="500">
      <c r="A500" s="64" t="n"/>
      <c r="B500" s="65" t="n"/>
      <c r="C500" s="65" t="n"/>
      <c r="D500" s="65" t="n"/>
      <c r="E500" s="65" t="n"/>
      <c r="F500" s="66" t="n"/>
      <c r="G500" s="65" t="n"/>
      <c r="H500" s="66" t="n"/>
      <c r="I500" s="64" t="n"/>
      <c r="J500" s="68" t="n"/>
      <c r="K500" s="68" t="n"/>
      <c r="L500" s="68" t="n"/>
      <c r="M500" s="64" t="n"/>
      <c r="N500" s="64" t="n"/>
      <c r="O500" s="64" t="n"/>
      <c r="P500" s="64" t="n"/>
      <c r="Q500" s="64" t="n"/>
      <c r="R500" s="64" t="n"/>
      <c r="S500" s="66" t="n"/>
      <c r="T500" s="45" t="n"/>
      <c r="U500" s="43">
        <f t="shared" si="0"/>
      </c>
      <c r="V500" s="49">
        <f t="shared" si="1"/>
      </c>
      <c r="W500" s="49">
        <f t="shared" si="2"/>
      </c>
      <c r="X500" s="2">
        <f t="shared" si="3"/>
      </c>
      <c r="Y500" s="2">
        <f t="shared" si="4"/>
      </c>
      <c r="Z500" s="2">
        <f t="shared" si="5"/>
        <v>0</v>
      </c>
      <c r="AA500" s="2">
        <f t="shared" si="6"/>
        <v>0</v>
      </c>
      <c r="AB500" s="2">
        <f t="shared" si="7"/>
        <v>0</v>
      </c>
      <c r="AC500" s="2">
        <f t="shared" si="8"/>
      </c>
    </row>
    <row r="501">
      <c r="A501" s="64" t="n"/>
      <c r="B501" s="65" t="n"/>
      <c r="C501" s="65" t="n"/>
      <c r="D501" s="65" t="n"/>
      <c r="E501" s="65" t="n"/>
      <c r="F501" s="66" t="n"/>
      <c r="G501" s="65" t="n"/>
      <c r="H501" s="66" t="n"/>
      <c r="I501" s="64" t="n"/>
      <c r="J501" s="68" t="n"/>
      <c r="K501" s="68" t="n"/>
      <c r="L501" s="68" t="n"/>
      <c r="M501" s="64" t="n"/>
      <c r="N501" s="64" t="n"/>
      <c r="O501" s="64" t="n"/>
      <c r="P501" s="64" t="n"/>
      <c r="Q501" s="64" t="n"/>
      <c r="R501" s="64" t="n"/>
      <c r="S501" s="66" t="n"/>
      <c r="T501" s="45" t="n"/>
      <c r="U501" s="43">
        <f t="shared" si="0"/>
      </c>
      <c r="V501" s="49">
        <f t="shared" si="1"/>
      </c>
      <c r="W501" s="49">
        <f t="shared" si="2"/>
      </c>
      <c r="X501" s="2">
        <f t="shared" si="3"/>
      </c>
      <c r="Y501" s="2">
        <f t="shared" si="4"/>
      </c>
      <c r="Z501" s="2">
        <f t="shared" si="5"/>
        <v>0</v>
      </c>
      <c r="AA501" s="2">
        <f t="shared" si="6"/>
        <v>0</v>
      </c>
      <c r="AB501" s="2">
        <f t="shared" si="7"/>
        <v>0</v>
      </c>
      <c r="AC501" s="2">
        <f t="shared" si="8"/>
      </c>
    </row>
    <row r="502">
      <c r="A502" s="64" t="n"/>
      <c r="B502" s="65" t="n"/>
      <c r="C502" s="65" t="n"/>
      <c r="D502" s="65" t="n"/>
      <c r="E502" s="65" t="n"/>
      <c r="F502" s="66" t="n"/>
      <c r="G502" s="65" t="n"/>
      <c r="H502" s="66" t="n"/>
      <c r="I502" s="64" t="n"/>
      <c r="J502" s="68" t="n"/>
      <c r="K502" s="68" t="n"/>
      <c r="L502" s="68" t="n"/>
      <c r="M502" s="64" t="n"/>
      <c r="N502" s="64" t="n"/>
      <c r="O502" s="64" t="n"/>
      <c r="P502" s="64" t="n"/>
      <c r="Q502" s="64" t="n"/>
      <c r="R502" s="64" t="n"/>
      <c r="S502" s="66" t="n"/>
      <c r="T502" s="45" t="n"/>
      <c r="U502" s="43">
        <f t="shared" si="0"/>
      </c>
      <c r="V502" s="49">
        <f t="shared" si="1"/>
      </c>
      <c r="W502" s="49">
        <f t="shared" si="2"/>
      </c>
      <c r="X502" s="2">
        <f t="shared" si="3"/>
      </c>
      <c r="Y502" s="2">
        <f t="shared" si="4"/>
      </c>
      <c r="Z502" s="2">
        <f t="shared" si="5"/>
        <v>0</v>
      </c>
      <c r="AA502" s="2">
        <f t="shared" si="6"/>
        <v>0</v>
      </c>
      <c r="AB502" s="2">
        <f t="shared" si="7"/>
        <v>0</v>
      </c>
      <c r="AC502" s="2">
        <f t="shared" si="8"/>
      </c>
    </row>
    <row r="503">
      <c r="A503" s="64" t="n"/>
      <c r="B503" s="65" t="n"/>
      <c r="C503" s="65" t="n"/>
      <c r="D503" s="65" t="n"/>
      <c r="E503" s="65" t="n"/>
      <c r="F503" s="66" t="n"/>
      <c r="G503" s="65" t="n"/>
      <c r="H503" s="66" t="n"/>
      <c r="I503" s="64" t="n"/>
      <c r="J503" s="68" t="n"/>
      <c r="K503" s="68" t="n"/>
      <c r="L503" s="68" t="n"/>
      <c r="M503" s="64" t="n"/>
      <c r="N503" s="64" t="n"/>
      <c r="O503" s="64" t="n"/>
      <c r="P503" s="64" t="n"/>
      <c r="Q503" s="64" t="n"/>
      <c r="R503" s="64" t="n"/>
      <c r="S503" s="66" t="n"/>
      <c r="T503" s="45" t="n"/>
      <c r="U503" s="43">
        <f t="shared" si="0"/>
      </c>
      <c r="V503" s="49">
        <f t="shared" si="1"/>
      </c>
      <c r="W503" s="49">
        <f t="shared" si="2"/>
      </c>
      <c r="X503" s="2">
        <f t="shared" si="3"/>
      </c>
      <c r="Y503" s="2">
        <f t="shared" si="4"/>
      </c>
      <c r="Z503" s="2">
        <f t="shared" si="5"/>
        <v>0</v>
      </c>
      <c r="AA503" s="2">
        <f t="shared" si="6"/>
        <v>0</v>
      </c>
      <c r="AB503" s="2">
        <f t="shared" si="7"/>
        <v>0</v>
      </c>
      <c r="AC503" s="2">
        <f t="shared" si="8"/>
      </c>
    </row>
    <row r="504">
      <c r="A504" s="64" t="n"/>
      <c r="B504" s="65" t="n"/>
      <c r="C504" s="65" t="n"/>
      <c r="D504" s="65" t="n"/>
      <c r="E504" s="65" t="n"/>
      <c r="F504" s="66" t="n"/>
      <c r="G504" s="65" t="n"/>
      <c r="H504" s="66" t="n"/>
      <c r="I504" s="64" t="n"/>
      <c r="J504" s="68" t="n"/>
      <c r="K504" s="68" t="n"/>
      <c r="L504" s="68" t="n"/>
      <c r="M504" s="64" t="n"/>
      <c r="N504" s="64" t="n"/>
      <c r="O504" s="64" t="n"/>
      <c r="P504" s="64" t="n"/>
      <c r="Q504" s="64" t="n"/>
      <c r="R504" s="64" t="n"/>
      <c r="S504" s="66" t="n"/>
      <c r="T504" s="45" t="n"/>
      <c r="U504" s="43">
        <f t="shared" si="0"/>
      </c>
      <c r="V504" s="49">
        <f t="shared" si="1"/>
      </c>
      <c r="W504" s="49">
        <f t="shared" si="2"/>
      </c>
      <c r="X504" s="2">
        <f t="shared" si="3"/>
      </c>
      <c r="Y504" s="2">
        <f t="shared" si="4"/>
      </c>
      <c r="Z504" s="2">
        <f t="shared" si="5"/>
        <v>0</v>
      </c>
      <c r="AA504" s="2">
        <f t="shared" si="6"/>
        <v>0</v>
      </c>
      <c r="AB504" s="2">
        <f t="shared" si="7"/>
        <v>0</v>
      </c>
      <c r="AC504" s="2">
        <f t="shared" si="8"/>
      </c>
    </row>
    <row r="505">
      <c r="A505" s="64" t="n"/>
      <c r="B505" s="65" t="n"/>
      <c r="C505" s="65" t="n"/>
      <c r="D505" s="65" t="n"/>
      <c r="E505" s="65" t="n"/>
      <c r="F505" s="66" t="n"/>
      <c r="G505" s="65" t="n"/>
      <c r="H505" s="66" t="n"/>
      <c r="I505" s="64" t="n"/>
      <c r="J505" s="68" t="n"/>
      <c r="K505" s="68" t="n"/>
      <c r="L505" s="68" t="n"/>
      <c r="M505" s="64" t="n"/>
      <c r="N505" s="64" t="n"/>
      <c r="O505" s="64" t="n"/>
      <c r="P505" s="64" t="n"/>
      <c r="Q505" s="64" t="n"/>
      <c r="R505" s="64" t="n"/>
      <c r="S505" s="66" t="n"/>
      <c r="T505" s="45" t="n"/>
      <c r="U505" s="43">
        <f t="shared" si="0"/>
      </c>
      <c r="V505" s="49">
        <f t="shared" si="1"/>
      </c>
      <c r="W505" s="49">
        <f t="shared" si="2"/>
      </c>
      <c r="X505" s="2">
        <f t="shared" si="3"/>
      </c>
      <c r="Y505" s="2">
        <f t="shared" si="4"/>
      </c>
      <c r="Z505" s="2">
        <f t="shared" si="5"/>
        <v>0</v>
      </c>
      <c r="AA505" s="2">
        <f t="shared" si="6"/>
        <v>0</v>
      </c>
      <c r="AB505" s="2">
        <f t="shared" si="7"/>
        <v>0</v>
      </c>
      <c r="AC505" s="2">
        <f t="shared" si="8"/>
      </c>
    </row>
    <row r="506">
      <c r="A506" s="64" t="n"/>
      <c r="B506" s="65" t="n"/>
      <c r="C506" s="65" t="n"/>
      <c r="D506" s="65" t="n"/>
      <c r="E506" s="65" t="n"/>
      <c r="F506" s="66" t="n"/>
      <c r="G506" s="65" t="n"/>
      <c r="H506" s="66" t="n"/>
      <c r="I506" s="64" t="n"/>
      <c r="J506" s="68" t="n"/>
      <c r="K506" s="68" t="n"/>
      <c r="L506" s="68" t="n"/>
      <c r="M506" s="64" t="n"/>
      <c r="N506" s="64" t="n"/>
      <c r="O506" s="64" t="n"/>
      <c r="P506" s="64" t="n"/>
      <c r="Q506" s="64" t="n"/>
      <c r="R506" s="64" t="n"/>
      <c r="S506" s="66" t="n"/>
      <c r="T506" s="45" t="n"/>
      <c r="U506" s="43">
        <f t="shared" si="0"/>
      </c>
      <c r="V506" s="49">
        <f t="shared" si="1"/>
      </c>
      <c r="W506" s="49">
        <f t="shared" si="2"/>
      </c>
      <c r="X506" s="2">
        <f t="shared" si="3"/>
      </c>
      <c r="Y506" s="2">
        <f t="shared" si="4"/>
      </c>
      <c r="Z506" s="2">
        <f t="shared" si="5"/>
        <v>0</v>
      </c>
      <c r="AA506" s="2">
        <f t="shared" si="6"/>
        <v>0</v>
      </c>
      <c r="AB506" s="2">
        <f t="shared" si="7"/>
        <v>0</v>
      </c>
      <c r="AC506" s="2">
        <f t="shared" si="8"/>
      </c>
    </row>
    <row r="507">
      <c r="A507" s="64" t="n"/>
      <c r="B507" s="65" t="n"/>
      <c r="C507" s="65" t="n"/>
      <c r="D507" s="65" t="n"/>
      <c r="E507" s="65" t="n"/>
      <c r="F507" s="66" t="n"/>
      <c r="G507" s="65" t="n"/>
      <c r="H507" s="66" t="n"/>
      <c r="I507" s="64" t="n"/>
      <c r="J507" s="68" t="n"/>
      <c r="K507" s="68" t="n"/>
      <c r="L507" s="68" t="n"/>
      <c r="M507" s="64" t="n"/>
      <c r="N507" s="64" t="n"/>
      <c r="O507" s="64" t="n"/>
      <c r="P507" s="64" t="n"/>
      <c r="Q507" s="64" t="n"/>
      <c r="R507" s="64" t="n"/>
      <c r="S507" s="66" t="n"/>
      <c r="T507" s="45" t="n"/>
      <c r="U507" s="43">
        <f t="shared" si="0"/>
      </c>
      <c r="V507" s="49">
        <f t="shared" si="1"/>
      </c>
      <c r="W507" s="49">
        <f t="shared" si="2"/>
      </c>
      <c r="X507" s="2">
        <f t="shared" si="3"/>
      </c>
      <c r="Y507" s="2">
        <f t="shared" si="4"/>
      </c>
      <c r="Z507" s="2">
        <f t="shared" si="5"/>
        <v>0</v>
      </c>
      <c r="AA507" s="2">
        <f t="shared" si="6"/>
        <v>0</v>
      </c>
      <c r="AB507" s="2">
        <f t="shared" si="7"/>
        <v>0</v>
      </c>
      <c r="AC507" s="2">
        <f t="shared" si="8"/>
      </c>
    </row>
    <row r="508">
      <c r="A508" s="64" t="n"/>
      <c r="B508" s="65" t="n"/>
      <c r="C508" s="65" t="n"/>
      <c r="D508" s="65" t="n"/>
      <c r="E508" s="65" t="n"/>
      <c r="F508" s="66" t="n"/>
      <c r="G508" s="65" t="n"/>
      <c r="H508" s="66" t="n"/>
      <c r="I508" s="64" t="n"/>
      <c r="J508" s="68" t="n"/>
      <c r="K508" s="68" t="n"/>
      <c r="L508" s="68" t="n"/>
      <c r="M508" s="64" t="n"/>
      <c r="N508" s="64" t="n"/>
      <c r="O508" s="64" t="n"/>
      <c r="P508" s="64" t="n"/>
      <c r="Q508" s="64" t="n"/>
      <c r="R508" s="64" t="n"/>
      <c r="S508" s="66" t="n"/>
      <c r="T508" s="45" t="n"/>
      <c r="U508" s="43">
        <f t="shared" si="0"/>
      </c>
      <c r="V508" s="49">
        <f t="shared" si="1"/>
      </c>
      <c r="W508" s="49">
        <f t="shared" si="2"/>
      </c>
      <c r="X508" s="2">
        <f t="shared" si="3"/>
      </c>
      <c r="Y508" s="2">
        <f t="shared" si="4"/>
      </c>
      <c r="Z508" s="2">
        <f t="shared" si="5"/>
        <v>0</v>
      </c>
      <c r="AA508" s="2">
        <f t="shared" si="6"/>
        <v>0</v>
      </c>
      <c r="AB508" s="2">
        <f t="shared" si="7"/>
        <v>0</v>
      </c>
      <c r="AC508" s="2">
        <f t="shared" si="8"/>
      </c>
    </row>
    <row r="509">
      <c r="A509" s="64" t="n"/>
      <c r="B509" s="65" t="n"/>
      <c r="C509" s="65" t="n"/>
      <c r="D509" s="65" t="n"/>
      <c r="E509" s="65" t="n"/>
      <c r="F509" s="66" t="n"/>
      <c r="G509" s="65" t="n"/>
      <c r="H509" s="66" t="n"/>
      <c r="I509" s="64" t="n"/>
      <c r="J509" s="68" t="n"/>
      <c r="K509" s="68" t="n"/>
      <c r="L509" s="68" t="n"/>
      <c r="M509" s="64" t="n"/>
      <c r="N509" s="64" t="n"/>
      <c r="O509" s="64" t="n"/>
      <c r="P509" s="64" t="n"/>
      <c r="Q509" s="64" t="n"/>
      <c r="R509" s="64" t="n"/>
      <c r="S509" s="66" t="n"/>
      <c r="T509" s="45" t="n"/>
      <c r="U509" s="43">
        <f t="shared" si="0"/>
      </c>
      <c r="V509" s="49">
        <f t="shared" si="1"/>
      </c>
      <c r="W509" s="49">
        <f t="shared" si="2"/>
      </c>
      <c r="X509" s="2">
        <f t="shared" si="3"/>
      </c>
      <c r="Y509" s="2">
        <f t="shared" si="4"/>
      </c>
      <c r="Z509" s="2">
        <f t="shared" si="5"/>
        <v>0</v>
      </c>
      <c r="AA509" s="2">
        <f t="shared" si="6"/>
        <v>0</v>
      </c>
      <c r="AB509" s="2">
        <f t="shared" si="7"/>
        <v>0</v>
      </c>
      <c r="AC509" s="2">
        <f t="shared" si="8"/>
      </c>
    </row>
    <row r="510">
      <c r="A510" s="64" t="n"/>
      <c r="B510" s="65" t="n"/>
      <c r="C510" s="65" t="n"/>
      <c r="D510" s="65" t="n"/>
      <c r="E510" s="65" t="n"/>
      <c r="F510" s="66" t="n"/>
      <c r="G510" s="65" t="n"/>
      <c r="H510" s="66" t="n"/>
      <c r="I510" s="64" t="n"/>
      <c r="J510" s="68" t="n"/>
      <c r="K510" s="68" t="n"/>
      <c r="L510" s="68" t="n"/>
      <c r="M510" s="64" t="n"/>
      <c r="N510" s="64" t="n"/>
      <c r="O510" s="64" t="n"/>
      <c r="P510" s="64" t="n"/>
      <c r="Q510" s="64" t="n"/>
      <c r="R510" s="64" t="n"/>
      <c r="S510" s="66" t="n"/>
      <c r="T510" s="45" t="n"/>
      <c r="U510" s="43">
        <f t="shared" si="0"/>
      </c>
      <c r="V510" s="49">
        <f t="shared" si="1"/>
      </c>
      <c r="W510" s="49">
        <f t="shared" si="2"/>
      </c>
      <c r="X510" s="2">
        <f t="shared" si="3"/>
      </c>
      <c r="Y510" s="2">
        <f t="shared" si="4"/>
      </c>
      <c r="Z510" s="2">
        <f t="shared" si="5"/>
        <v>0</v>
      </c>
      <c r="AA510" s="2">
        <f t="shared" si="6"/>
        <v>0</v>
      </c>
      <c r="AB510" s="2">
        <f t="shared" si="7"/>
        <v>0</v>
      </c>
      <c r="AC510" s="2">
        <f t="shared" si="8"/>
      </c>
    </row>
    <row r="511">
      <c r="A511" s="64" t="n"/>
      <c r="B511" s="65" t="n"/>
      <c r="C511" s="65" t="n"/>
      <c r="D511" s="65" t="n"/>
      <c r="E511" s="65" t="n"/>
      <c r="F511" s="66" t="n"/>
      <c r="G511" s="65" t="n"/>
      <c r="H511" s="66" t="n"/>
      <c r="I511" s="64" t="n"/>
      <c r="J511" s="68" t="n"/>
      <c r="K511" s="68" t="n"/>
      <c r="L511" s="68" t="n"/>
      <c r="M511" s="64" t="n"/>
      <c r="N511" s="64" t="n"/>
      <c r="O511" s="64" t="n"/>
      <c r="P511" s="64" t="n"/>
      <c r="Q511" s="64" t="n"/>
      <c r="R511" s="64" t="n"/>
      <c r="S511" s="66" t="n"/>
      <c r="T511" s="45" t="n"/>
      <c r="U511" s="43">
        <f t="shared" si="0"/>
      </c>
      <c r="V511" s="49">
        <f t="shared" si="1"/>
      </c>
      <c r="W511" s="49">
        <f t="shared" si="2"/>
      </c>
      <c r="X511" s="2">
        <f t="shared" si="3"/>
      </c>
      <c r="Y511" s="2">
        <f t="shared" si="4"/>
      </c>
      <c r="Z511" s="2">
        <f t="shared" si="5"/>
        <v>0</v>
      </c>
      <c r="AA511" s="2">
        <f t="shared" si="6"/>
        <v>0</v>
      </c>
      <c r="AB511" s="2">
        <f t="shared" si="7"/>
        <v>0</v>
      </c>
      <c r="AC511" s="2">
        <f t="shared" si="8"/>
      </c>
    </row>
    <row r="512">
      <c r="A512" s="64" t="n"/>
      <c r="B512" s="65" t="n"/>
      <c r="C512" s="65" t="n"/>
      <c r="D512" s="65" t="n"/>
      <c r="E512" s="65" t="n"/>
      <c r="F512" s="66" t="n"/>
      <c r="G512" s="65" t="n"/>
      <c r="H512" s="66" t="n"/>
      <c r="I512" s="64" t="n"/>
      <c r="J512" s="68" t="n"/>
      <c r="K512" s="68" t="n"/>
      <c r="L512" s="68" t="n"/>
      <c r="M512" s="64" t="n"/>
      <c r="N512" s="64" t="n"/>
      <c r="O512" s="64" t="n"/>
      <c r="P512" s="64" t="n"/>
      <c r="Q512" s="64" t="n"/>
      <c r="R512" s="64" t="n"/>
      <c r="S512" s="66" t="n"/>
      <c r="T512" s="45" t="n"/>
      <c r="U512" s="43">
        <f t="shared" si="0"/>
      </c>
      <c r="V512" s="49">
        <f t="shared" si="1"/>
      </c>
      <c r="W512" s="49">
        <f t="shared" si="2"/>
      </c>
      <c r="X512" s="2">
        <f t="shared" si="3"/>
      </c>
      <c r="Y512" s="2">
        <f t="shared" si="4"/>
      </c>
      <c r="Z512" s="2">
        <f t="shared" si="5"/>
        <v>0</v>
      </c>
      <c r="AA512" s="2">
        <f t="shared" si="6"/>
        <v>0</v>
      </c>
      <c r="AB512" s="2">
        <f t="shared" si="7"/>
        <v>0</v>
      </c>
      <c r="AC512" s="2">
        <f t="shared" si="8"/>
      </c>
    </row>
    <row r="513">
      <c r="A513" s="64" t="n"/>
      <c r="B513" s="65" t="n"/>
      <c r="C513" s="65" t="n"/>
      <c r="D513" s="65" t="n"/>
      <c r="E513" s="65" t="n"/>
      <c r="F513" s="66" t="n"/>
      <c r="G513" s="65" t="n"/>
      <c r="H513" s="66" t="n"/>
      <c r="I513" s="64" t="n"/>
      <c r="J513" s="68" t="n"/>
      <c r="K513" s="68" t="n"/>
      <c r="L513" s="68" t="n"/>
      <c r="M513" s="64" t="n"/>
      <c r="N513" s="64" t="n"/>
      <c r="O513" s="64" t="n"/>
      <c r="P513" s="64" t="n"/>
      <c r="Q513" s="64" t="n"/>
      <c r="R513" s="64" t="n"/>
      <c r="S513" s="66" t="n"/>
      <c r="T513" s="45" t="n"/>
      <c r="U513" s="43">
        <f t="shared" si="0"/>
      </c>
      <c r="V513" s="49">
        <f t="shared" si="1"/>
      </c>
      <c r="W513" s="49">
        <f t="shared" si="2"/>
      </c>
      <c r="X513" s="2">
        <f t="shared" si="3"/>
      </c>
      <c r="Y513" s="2">
        <f t="shared" si="4"/>
      </c>
      <c r="Z513" s="2">
        <f t="shared" si="5"/>
        <v>0</v>
      </c>
      <c r="AA513" s="2">
        <f t="shared" si="6"/>
        <v>0</v>
      </c>
      <c r="AB513" s="2">
        <f t="shared" si="7"/>
        <v>0</v>
      </c>
      <c r="AC513" s="2">
        <f t="shared" si="8"/>
      </c>
    </row>
    <row r="514">
      <c r="A514" s="64" t="n"/>
      <c r="B514" s="65" t="n"/>
      <c r="C514" s="65" t="n"/>
      <c r="D514" s="65" t="n"/>
      <c r="E514" s="65" t="n"/>
      <c r="F514" s="66" t="n"/>
      <c r="G514" s="65" t="n"/>
      <c r="H514" s="66" t="n"/>
      <c r="I514" s="64" t="n"/>
      <c r="J514" s="68" t="n"/>
      <c r="K514" s="68" t="n"/>
      <c r="L514" s="68" t="n"/>
      <c r="M514" s="64" t="n"/>
      <c r="N514" s="64" t="n"/>
      <c r="O514" s="64" t="n"/>
      <c r="P514" s="64" t="n"/>
      <c r="Q514" s="64" t="n"/>
      <c r="R514" s="64" t="n"/>
      <c r="S514" s="66" t="n"/>
      <c r="T514" s="45" t="n"/>
      <c r="U514" s="43">
        <f t="shared" si="0"/>
      </c>
      <c r="V514" s="49">
        <f t="shared" si="1"/>
      </c>
      <c r="W514" s="49">
        <f t="shared" si="2"/>
      </c>
      <c r="X514" s="2">
        <f t="shared" si="3"/>
      </c>
      <c r="Y514" s="2">
        <f t="shared" si="4"/>
      </c>
      <c r="Z514" s="2">
        <f t="shared" si="5"/>
        <v>0</v>
      </c>
      <c r="AA514" s="2">
        <f t="shared" si="6"/>
        <v>0</v>
      </c>
      <c r="AB514" s="2">
        <f t="shared" si="7"/>
        <v>0</v>
      </c>
      <c r="AC514" s="2">
        <f t="shared" si="8"/>
      </c>
    </row>
    <row r="515">
      <c r="A515" s="64" t="n"/>
      <c r="B515" s="65" t="n"/>
      <c r="C515" s="65" t="n"/>
      <c r="D515" s="65" t="n"/>
      <c r="E515" s="65" t="n"/>
      <c r="F515" s="66" t="n"/>
      <c r="G515" s="65" t="n"/>
      <c r="H515" s="66" t="n"/>
      <c r="I515" s="64" t="n"/>
      <c r="J515" s="68" t="n"/>
      <c r="K515" s="68" t="n"/>
      <c r="L515" s="68" t="n"/>
      <c r="M515" s="64" t="n"/>
      <c r="N515" s="64" t="n"/>
      <c r="O515" s="64" t="n"/>
      <c r="P515" s="64" t="n"/>
      <c r="Q515" s="64" t="n"/>
      <c r="R515" s="64" t="n"/>
      <c r="S515" s="66" t="n"/>
      <c r="T515" s="45" t="n"/>
      <c r="U515" s="43">
        <f t="shared" si="0"/>
      </c>
      <c r="V515" s="49">
        <f t="shared" si="1"/>
      </c>
      <c r="W515" s="49">
        <f t="shared" si="2"/>
      </c>
      <c r="X515" s="2">
        <f t="shared" si="3"/>
      </c>
      <c r="Y515" s="2">
        <f t="shared" si="4"/>
      </c>
      <c r="Z515" s="2">
        <f t="shared" si="5"/>
        <v>0</v>
      </c>
      <c r="AA515" s="2">
        <f t="shared" si="6"/>
        <v>0</v>
      </c>
      <c r="AB515" s="2">
        <f t="shared" si="7"/>
        <v>0</v>
      </c>
      <c r="AC515" s="2">
        <f t="shared" si="8"/>
      </c>
    </row>
    <row r="516">
      <c r="A516" s="64" t="n"/>
      <c r="B516" s="65" t="n"/>
      <c r="C516" s="65" t="n"/>
      <c r="D516" s="65" t="n"/>
      <c r="E516" s="65" t="n"/>
      <c r="F516" s="66" t="n"/>
      <c r="G516" s="65" t="n"/>
      <c r="H516" s="66" t="n"/>
      <c r="I516" s="64" t="n"/>
      <c r="J516" s="68" t="n"/>
      <c r="K516" s="68" t="n"/>
      <c r="L516" s="68" t="n"/>
      <c r="M516" s="64" t="n"/>
      <c r="N516" s="64" t="n"/>
      <c r="O516" s="64" t="n"/>
      <c r="P516" s="64" t="n"/>
      <c r="Q516" s="64" t="n"/>
      <c r="R516" s="64" t="n"/>
      <c r="S516" s="66" t="n"/>
      <c r="T516" s="45" t="n"/>
      <c r="U516" s="43">
        <f t="shared" si="0"/>
      </c>
      <c r="V516" s="49">
        <f t="shared" si="1"/>
      </c>
      <c r="W516" s="49">
        <f t="shared" si="2"/>
      </c>
      <c r="X516" s="2">
        <f t="shared" si="3"/>
      </c>
      <c r="Y516" s="2">
        <f t="shared" si="4"/>
      </c>
      <c r="Z516" s="2">
        <f t="shared" si="5"/>
        <v>0</v>
      </c>
      <c r="AA516" s="2">
        <f t="shared" si="6"/>
        <v>0</v>
      </c>
      <c r="AB516" s="2">
        <f t="shared" si="7"/>
        <v>0</v>
      </c>
      <c r="AC516" s="2">
        <f t="shared" si="8"/>
      </c>
    </row>
    <row r="517">
      <c r="A517" s="64" t="n"/>
      <c r="B517" s="65" t="n"/>
      <c r="C517" s="65" t="n"/>
      <c r="D517" s="65" t="n"/>
      <c r="E517" s="65" t="n"/>
      <c r="F517" s="66" t="n"/>
      <c r="G517" s="65" t="n"/>
      <c r="H517" s="66" t="n"/>
      <c r="I517" s="64" t="n"/>
      <c r="J517" s="68" t="n"/>
      <c r="K517" s="68" t="n"/>
      <c r="L517" s="68" t="n"/>
      <c r="M517" s="64" t="n"/>
      <c r="N517" s="64" t="n"/>
      <c r="O517" s="64" t="n"/>
      <c r="P517" s="64" t="n"/>
      <c r="Q517" s="64" t="n"/>
      <c r="R517" s="64" t="n"/>
      <c r="S517" s="66" t="n"/>
      <c r="T517" s="45" t="n"/>
      <c r="U517" s="43">
        <f t="shared" si="0"/>
      </c>
      <c r="V517" s="49">
        <f t="shared" si="1"/>
      </c>
      <c r="W517" s="49">
        <f t="shared" si="2"/>
      </c>
      <c r="X517" s="2">
        <f t="shared" si="3"/>
      </c>
      <c r="Y517" s="2">
        <f t="shared" si="4"/>
      </c>
      <c r="Z517" s="2">
        <f t="shared" si="5"/>
        <v>0</v>
      </c>
      <c r="AA517" s="2">
        <f t="shared" si="6"/>
        <v>0</v>
      </c>
      <c r="AB517" s="2">
        <f t="shared" si="7"/>
        <v>0</v>
      </c>
      <c r="AC517" s="2">
        <f t="shared" si="8"/>
      </c>
    </row>
    <row r="518">
      <c r="A518" s="64" t="n"/>
      <c r="B518" s="65" t="n"/>
      <c r="C518" s="65" t="n"/>
      <c r="D518" s="65" t="n"/>
      <c r="E518" s="65" t="n"/>
      <c r="F518" s="66" t="n"/>
      <c r="G518" s="65" t="n"/>
      <c r="H518" s="66" t="n"/>
      <c r="I518" s="64" t="n"/>
      <c r="J518" s="68" t="n"/>
      <c r="K518" s="68" t="n"/>
      <c r="L518" s="68" t="n"/>
      <c r="M518" s="64" t="n"/>
      <c r="N518" s="64" t="n"/>
      <c r="O518" s="64" t="n"/>
      <c r="P518" s="64" t="n"/>
      <c r="Q518" s="64" t="n"/>
      <c r="R518" s="64" t="n"/>
      <c r="S518" s="66" t="n"/>
      <c r="T518" s="45" t="n"/>
      <c r="U518" s="43">
        <f t="shared" si="0"/>
      </c>
      <c r="V518" s="49">
        <f t="shared" si="1"/>
      </c>
      <c r="W518" s="49">
        <f t="shared" si="2"/>
      </c>
      <c r="X518" s="2">
        <f t="shared" si="3"/>
      </c>
      <c r="Y518" s="2">
        <f t="shared" si="4"/>
      </c>
      <c r="Z518" s="2">
        <f t="shared" si="5"/>
        <v>0</v>
      </c>
      <c r="AA518" s="2">
        <f t="shared" si="6"/>
        <v>0</v>
      </c>
      <c r="AB518" s="2">
        <f t="shared" si="7"/>
        <v>0</v>
      </c>
      <c r="AC518" s="2">
        <f t="shared" si="8"/>
      </c>
    </row>
    <row r="519">
      <c r="A519" s="64" t="n"/>
      <c r="B519" s="65" t="n"/>
      <c r="C519" s="65" t="n"/>
      <c r="D519" s="65" t="n"/>
      <c r="E519" s="65" t="n"/>
      <c r="F519" s="66" t="n"/>
      <c r="G519" s="65" t="n"/>
      <c r="H519" s="66" t="n"/>
      <c r="I519" s="64" t="n"/>
      <c r="J519" s="68" t="n"/>
      <c r="K519" s="68" t="n"/>
      <c r="L519" s="68" t="n"/>
      <c r="M519" s="64" t="n"/>
      <c r="N519" s="64" t="n"/>
      <c r="O519" s="64" t="n"/>
      <c r="P519" s="64" t="n"/>
      <c r="Q519" s="64" t="n"/>
      <c r="R519" s="64" t="n"/>
      <c r="S519" s="66" t="n"/>
      <c r="T519" s="45" t="n"/>
      <c r="U519" s="43">
        <f t="shared" si="0"/>
      </c>
      <c r="V519" s="49">
        <f t="shared" si="1"/>
      </c>
      <c r="W519" s="49">
        <f t="shared" si="2"/>
      </c>
      <c r="X519" s="2">
        <f t="shared" si="3"/>
      </c>
      <c r="Y519" s="2">
        <f t="shared" si="4"/>
      </c>
      <c r="Z519" s="2">
        <f t="shared" si="5"/>
        <v>0</v>
      </c>
      <c r="AA519" s="2">
        <f t="shared" si="6"/>
        <v>0</v>
      </c>
      <c r="AB519" s="2">
        <f t="shared" si="7"/>
        <v>0</v>
      </c>
      <c r="AC519" s="2">
        <f t="shared" si="8"/>
      </c>
    </row>
    <row r="520">
      <c r="A520" s="64" t="n"/>
      <c r="B520" s="65" t="n"/>
      <c r="C520" s="65" t="n"/>
      <c r="D520" s="65" t="n"/>
      <c r="E520" s="65" t="n"/>
      <c r="F520" s="66" t="n"/>
      <c r="G520" s="65" t="n"/>
      <c r="H520" s="66" t="n"/>
      <c r="I520" s="64" t="n"/>
      <c r="J520" s="68" t="n"/>
      <c r="K520" s="68" t="n"/>
      <c r="L520" s="68" t="n"/>
      <c r="M520" s="64" t="n"/>
      <c r="N520" s="64" t="n"/>
      <c r="O520" s="64" t="n"/>
      <c r="P520" s="64" t="n"/>
      <c r="Q520" s="64" t="n"/>
      <c r="R520" s="64" t="n"/>
      <c r="S520" s="66" t="n"/>
      <c r="T520" s="45" t="n"/>
      <c r="U520" s="43">
        <f t="shared" si="0"/>
      </c>
      <c r="V520" s="49">
        <f t="shared" si="1"/>
      </c>
      <c r="W520" s="49">
        <f t="shared" si="2"/>
      </c>
      <c r="X520" s="2">
        <f t="shared" si="3"/>
      </c>
      <c r="Y520" s="2">
        <f t="shared" si="4"/>
      </c>
      <c r="Z520" s="2">
        <f t="shared" si="5"/>
        <v>0</v>
      </c>
      <c r="AA520" s="2">
        <f t="shared" si="6"/>
        <v>0</v>
      </c>
      <c r="AB520" s="2">
        <f t="shared" si="7"/>
        <v>0</v>
      </c>
      <c r="AC520" s="2">
        <f t="shared" si="8"/>
      </c>
    </row>
    <row r="521">
      <c r="A521" s="64" t="n"/>
      <c r="B521" s="65" t="n"/>
      <c r="C521" s="65" t="n"/>
      <c r="D521" s="65" t="n"/>
      <c r="E521" s="65" t="n"/>
      <c r="F521" s="66" t="n"/>
      <c r="G521" s="65" t="n"/>
      <c r="H521" s="66" t="n"/>
      <c r="I521" s="64" t="n"/>
      <c r="J521" s="68" t="n"/>
      <c r="K521" s="68" t="n"/>
      <c r="L521" s="68" t="n"/>
      <c r="M521" s="64" t="n"/>
      <c r="N521" s="64" t="n"/>
      <c r="O521" s="64" t="n"/>
      <c r="P521" s="64" t="n"/>
      <c r="Q521" s="64" t="n"/>
      <c r="R521" s="64" t="n"/>
      <c r="S521" s="66" t="n"/>
      <c r="T521" s="45" t="n"/>
      <c r="U521" s="43">
        <f t="shared" si="0"/>
      </c>
      <c r="V521" s="49">
        <f t="shared" si="1"/>
      </c>
      <c r="W521" s="49">
        <f t="shared" si="2"/>
      </c>
      <c r="X521" s="2">
        <f t="shared" si="3"/>
      </c>
      <c r="Y521" s="2">
        <f t="shared" si="4"/>
      </c>
      <c r="Z521" s="2">
        <f t="shared" si="5"/>
        <v>0</v>
      </c>
      <c r="AA521" s="2">
        <f t="shared" si="6"/>
        <v>0</v>
      </c>
      <c r="AB521" s="2">
        <f t="shared" si="7"/>
        <v>0</v>
      </c>
      <c r="AC521" s="2">
        <f t="shared" si="8"/>
      </c>
    </row>
    <row r="522">
      <c r="A522" s="64" t="n"/>
      <c r="B522" s="65" t="n"/>
      <c r="C522" s="65" t="n"/>
      <c r="D522" s="65" t="n"/>
      <c r="E522" s="65" t="n"/>
      <c r="F522" s="66" t="n"/>
      <c r="G522" s="65" t="n"/>
      <c r="H522" s="66" t="n"/>
      <c r="I522" s="64" t="n"/>
      <c r="J522" s="68" t="n"/>
      <c r="K522" s="68" t="n"/>
      <c r="L522" s="68" t="n"/>
      <c r="M522" s="64" t="n"/>
      <c r="N522" s="64" t="n"/>
      <c r="O522" s="64" t="n"/>
      <c r="P522" s="64" t="n"/>
      <c r="Q522" s="64" t="n"/>
      <c r="R522" s="64" t="n"/>
      <c r="S522" s="66" t="n"/>
      <c r="T522" s="45" t="n"/>
      <c r="U522" s="43">
        <f t="shared" si="0"/>
      </c>
      <c r="V522" s="49">
        <f t="shared" si="1"/>
      </c>
      <c r="W522" s="49">
        <f t="shared" si="2"/>
      </c>
      <c r="X522" s="2">
        <f t="shared" si="3"/>
      </c>
      <c r="Y522" s="2">
        <f t="shared" si="4"/>
      </c>
      <c r="Z522" s="2">
        <f t="shared" si="5"/>
        <v>0</v>
      </c>
      <c r="AA522" s="2">
        <f t="shared" si="6"/>
        <v>0</v>
      </c>
      <c r="AB522" s="2">
        <f t="shared" si="7"/>
        <v>0</v>
      </c>
      <c r="AC522" s="2">
        <f t="shared" si="8"/>
      </c>
    </row>
    <row r="523">
      <c r="A523" s="64" t="n"/>
      <c r="B523" s="65" t="n"/>
      <c r="C523" s="65" t="n"/>
      <c r="D523" s="65" t="n"/>
      <c r="E523" s="65" t="n"/>
      <c r="F523" s="66" t="n"/>
      <c r="G523" s="65" t="n"/>
      <c r="H523" s="66" t="n"/>
      <c r="I523" s="64" t="n"/>
      <c r="J523" s="68" t="n"/>
      <c r="K523" s="68" t="n"/>
      <c r="L523" s="68" t="n"/>
      <c r="M523" s="64" t="n"/>
      <c r="N523" s="64" t="n"/>
      <c r="O523" s="64" t="n"/>
      <c r="P523" s="64" t="n"/>
      <c r="Q523" s="64" t="n"/>
      <c r="R523" s="64" t="n"/>
      <c r="S523" s="66" t="n"/>
      <c r="T523" s="45" t="n"/>
      <c r="U523" s="43">
        <f t="shared" si="0"/>
      </c>
      <c r="V523" s="49">
        <f t="shared" si="1"/>
      </c>
      <c r="W523" s="49">
        <f t="shared" si="2"/>
      </c>
      <c r="X523" s="2">
        <f t="shared" si="3"/>
      </c>
      <c r="Y523" s="2">
        <f t="shared" si="4"/>
      </c>
      <c r="Z523" s="2">
        <f t="shared" si="5"/>
        <v>0</v>
      </c>
      <c r="AA523" s="2">
        <f t="shared" si="6"/>
        <v>0</v>
      </c>
      <c r="AB523" s="2">
        <f t="shared" si="7"/>
        <v>0</v>
      </c>
      <c r="AC523" s="2">
        <f t="shared" si="8"/>
      </c>
    </row>
    <row r="524">
      <c r="A524" s="64" t="n"/>
      <c r="B524" s="65" t="n"/>
      <c r="C524" s="65" t="n"/>
      <c r="D524" s="65" t="n"/>
      <c r="E524" s="65" t="n"/>
      <c r="F524" s="66" t="n"/>
      <c r="G524" s="65" t="n"/>
      <c r="H524" s="66" t="n"/>
      <c r="I524" s="64" t="n"/>
      <c r="J524" s="68" t="n"/>
      <c r="K524" s="68" t="n"/>
      <c r="L524" s="68" t="n"/>
      <c r="M524" s="64" t="n"/>
      <c r="N524" s="64" t="n"/>
      <c r="O524" s="64" t="n"/>
      <c r="P524" s="64" t="n"/>
      <c r="Q524" s="64" t="n"/>
      <c r="R524" s="64" t="n"/>
      <c r="S524" s="66" t="n"/>
      <c r="T524" s="45" t="n"/>
      <c r="U524" s="43">
        <f t="shared" si="0"/>
      </c>
      <c r="V524" s="49">
        <f t="shared" si="1"/>
      </c>
      <c r="W524" s="49">
        <f t="shared" si="2"/>
      </c>
      <c r="X524" s="2">
        <f t="shared" si="3"/>
      </c>
      <c r="Y524" s="2">
        <f t="shared" si="4"/>
      </c>
      <c r="Z524" s="2">
        <f t="shared" si="5"/>
        <v>0</v>
      </c>
      <c r="AA524" s="2">
        <f t="shared" si="6"/>
        <v>0</v>
      </c>
      <c r="AB524" s="2">
        <f t="shared" si="7"/>
        <v>0</v>
      </c>
      <c r="AC524" s="2">
        <f t="shared" si="8"/>
      </c>
    </row>
    <row r="525">
      <c r="A525" s="64" t="n"/>
      <c r="B525" s="65" t="n"/>
      <c r="C525" s="65" t="n"/>
      <c r="D525" s="65" t="n"/>
      <c r="E525" s="65" t="n"/>
      <c r="F525" s="66" t="n"/>
      <c r="G525" s="65" t="n"/>
      <c r="H525" s="66" t="n"/>
      <c r="I525" s="64" t="n"/>
      <c r="J525" s="68" t="n"/>
      <c r="K525" s="68" t="n"/>
      <c r="L525" s="68" t="n"/>
      <c r="M525" s="64" t="n"/>
      <c r="N525" s="64" t="n"/>
      <c r="O525" s="64" t="n"/>
      <c r="P525" s="64" t="n"/>
      <c r="Q525" s="64" t="n"/>
      <c r="R525" s="64" t="n"/>
      <c r="S525" s="66" t="n"/>
      <c r="T525" s="45" t="n"/>
      <c r="U525" s="43">
        <f t="shared" si="0"/>
      </c>
      <c r="V525" s="49">
        <f t="shared" si="1"/>
      </c>
      <c r="W525" s="49">
        <f t="shared" si="2"/>
      </c>
      <c r="X525" s="2">
        <f t="shared" si="3"/>
      </c>
      <c r="Y525" s="2">
        <f t="shared" si="4"/>
      </c>
      <c r="Z525" s="2">
        <f t="shared" si="5"/>
        <v>0</v>
      </c>
      <c r="AA525" s="2">
        <f t="shared" si="6"/>
        <v>0</v>
      </c>
      <c r="AB525" s="2">
        <f t="shared" si="7"/>
        <v>0</v>
      </c>
      <c r="AC525" s="2">
        <f t="shared" si="8"/>
      </c>
    </row>
    <row r="526">
      <c r="A526" s="64" t="n"/>
      <c r="B526" s="65" t="n"/>
      <c r="C526" s="65" t="n"/>
      <c r="D526" s="65" t="n"/>
      <c r="E526" s="65" t="n"/>
      <c r="F526" s="66" t="n"/>
      <c r="G526" s="65" t="n"/>
      <c r="H526" s="66" t="n"/>
      <c r="I526" s="64" t="n"/>
      <c r="J526" s="68" t="n"/>
      <c r="K526" s="68" t="n"/>
      <c r="L526" s="68" t="n"/>
      <c r="M526" s="64" t="n"/>
      <c r="N526" s="64" t="n"/>
      <c r="O526" s="64" t="n"/>
      <c r="P526" s="64" t="n"/>
      <c r="Q526" s="64" t="n"/>
      <c r="R526" s="64" t="n"/>
      <c r="S526" s="66" t="n"/>
      <c r="T526" s="45" t="n"/>
      <c r="U526" s="43">
        <f t="shared" si="0"/>
      </c>
      <c r="V526" s="49">
        <f t="shared" si="1"/>
      </c>
      <c r="W526" s="49">
        <f t="shared" si="2"/>
      </c>
      <c r="X526" s="2">
        <f t="shared" si="3"/>
      </c>
      <c r="Y526" s="2">
        <f t="shared" si="4"/>
      </c>
      <c r="Z526" s="2">
        <f t="shared" si="5"/>
        <v>0</v>
      </c>
      <c r="AA526" s="2">
        <f t="shared" si="6"/>
        <v>0</v>
      </c>
      <c r="AB526" s="2">
        <f t="shared" si="7"/>
        <v>0</v>
      </c>
      <c r="AC526" s="2">
        <f t="shared" si="8"/>
      </c>
    </row>
    <row r="527">
      <c r="A527" s="64" t="n"/>
      <c r="B527" s="65" t="n"/>
      <c r="C527" s="65" t="n"/>
      <c r="D527" s="65" t="n"/>
      <c r="E527" s="65" t="n"/>
      <c r="F527" s="66" t="n"/>
      <c r="G527" s="65" t="n"/>
      <c r="H527" s="66" t="n"/>
      <c r="I527" s="64" t="n"/>
      <c r="J527" s="68" t="n"/>
      <c r="K527" s="68" t="n"/>
      <c r="L527" s="68" t="n"/>
      <c r="M527" s="64" t="n"/>
      <c r="N527" s="64" t="n"/>
      <c r="O527" s="64" t="n"/>
      <c r="P527" s="64" t="n"/>
      <c r="Q527" s="64" t="n"/>
      <c r="R527" s="64" t="n"/>
      <c r="S527" s="66" t="n"/>
      <c r="T527" s="45" t="n"/>
      <c r="U527" s="43">
        <f t="shared" si="0"/>
      </c>
      <c r="V527" s="49">
        <f t="shared" si="1"/>
      </c>
      <c r="W527" s="49">
        <f t="shared" si="2"/>
      </c>
      <c r="X527" s="2">
        <f t="shared" si="3"/>
      </c>
      <c r="Y527" s="2">
        <f t="shared" si="4"/>
      </c>
      <c r="Z527" s="2">
        <f t="shared" si="5"/>
        <v>0</v>
      </c>
      <c r="AA527" s="2">
        <f t="shared" si="6"/>
        <v>0</v>
      </c>
      <c r="AB527" s="2">
        <f t="shared" si="7"/>
        <v>0</v>
      </c>
      <c r="AC527" s="2">
        <f t="shared" si="8"/>
      </c>
    </row>
    <row r="528">
      <c r="A528" s="64" t="n"/>
      <c r="B528" s="65" t="n"/>
      <c r="C528" s="65" t="n"/>
      <c r="D528" s="65" t="n"/>
      <c r="E528" s="65" t="n"/>
      <c r="F528" s="66" t="n"/>
      <c r="G528" s="65" t="n"/>
      <c r="H528" s="66" t="n"/>
      <c r="I528" s="64" t="n"/>
      <c r="J528" s="68" t="n"/>
      <c r="K528" s="68" t="n"/>
      <c r="L528" s="68" t="n"/>
      <c r="M528" s="64" t="n"/>
      <c r="N528" s="64" t="n"/>
      <c r="O528" s="64" t="n"/>
      <c r="P528" s="64" t="n"/>
      <c r="Q528" s="64" t="n"/>
      <c r="R528" s="64" t="n"/>
      <c r="S528" s="66" t="n"/>
      <c r="T528" s="45" t="n"/>
      <c r="U528" s="43">
        <f t="shared" si="0"/>
      </c>
      <c r="V528" s="49">
        <f t="shared" si="1"/>
      </c>
      <c r="W528" s="49">
        <f t="shared" si="2"/>
      </c>
      <c r="X528" s="2">
        <f t="shared" si="3"/>
      </c>
      <c r="Y528" s="2">
        <f t="shared" si="4"/>
      </c>
      <c r="Z528" s="2">
        <f t="shared" si="5"/>
        <v>0</v>
      </c>
      <c r="AA528" s="2">
        <f t="shared" si="6"/>
        <v>0</v>
      </c>
      <c r="AB528" s="2">
        <f t="shared" si="7"/>
        <v>0</v>
      </c>
      <c r="AC528" s="2">
        <f t="shared" si="8"/>
      </c>
    </row>
    <row r="529">
      <c r="A529" s="64" t="n"/>
      <c r="B529" s="65" t="n"/>
      <c r="C529" s="65" t="n"/>
      <c r="D529" s="65" t="n"/>
      <c r="E529" s="65" t="n"/>
      <c r="F529" s="66" t="n"/>
      <c r="G529" s="65" t="n"/>
      <c r="H529" s="66" t="n"/>
      <c r="I529" s="64" t="n"/>
      <c r="J529" s="68" t="n"/>
      <c r="K529" s="68" t="n"/>
      <c r="L529" s="68" t="n"/>
      <c r="M529" s="64" t="n"/>
      <c r="N529" s="64" t="n"/>
      <c r="O529" s="64" t="n"/>
      <c r="P529" s="64" t="n"/>
      <c r="Q529" s="64" t="n"/>
      <c r="R529" s="64" t="n"/>
      <c r="S529" s="66" t="n"/>
      <c r="T529" s="45" t="n"/>
      <c r="U529" s="43">
        <f t="shared" si="0"/>
      </c>
      <c r="V529" s="49">
        <f t="shared" si="1"/>
      </c>
      <c r="W529" s="49">
        <f t="shared" si="2"/>
      </c>
      <c r="X529" s="2">
        <f t="shared" si="3"/>
      </c>
      <c r="Y529" s="2">
        <f t="shared" si="4"/>
      </c>
      <c r="Z529" s="2">
        <f t="shared" si="5"/>
        <v>0</v>
      </c>
      <c r="AA529" s="2">
        <f t="shared" si="6"/>
        <v>0</v>
      </c>
      <c r="AB529" s="2">
        <f t="shared" si="7"/>
        <v>0</v>
      </c>
      <c r="AC529" s="2">
        <f t="shared" si="8"/>
      </c>
    </row>
    <row r="530">
      <c r="A530" s="64" t="n"/>
      <c r="B530" s="65" t="n"/>
      <c r="C530" s="65" t="n"/>
      <c r="D530" s="65" t="n"/>
      <c r="E530" s="65" t="n"/>
      <c r="F530" s="66" t="n"/>
      <c r="G530" s="65" t="n"/>
      <c r="H530" s="66" t="n"/>
      <c r="I530" s="64" t="n"/>
      <c r="J530" s="68" t="n"/>
      <c r="K530" s="68" t="n"/>
      <c r="L530" s="68" t="n"/>
      <c r="M530" s="64" t="n"/>
      <c r="N530" s="64" t="n"/>
      <c r="O530" s="64" t="n"/>
      <c r="P530" s="64" t="n"/>
      <c r="Q530" s="64" t="n"/>
      <c r="R530" s="64" t="n"/>
      <c r="S530" s="66" t="n"/>
      <c r="T530" s="45" t="n"/>
      <c r="U530" s="43">
        <f t="shared" si="0"/>
      </c>
      <c r="V530" s="49">
        <f t="shared" si="1"/>
      </c>
      <c r="W530" s="49">
        <f t="shared" si="2"/>
      </c>
      <c r="X530" s="2">
        <f t="shared" si="3"/>
      </c>
      <c r="Y530" s="2">
        <f t="shared" si="4"/>
      </c>
      <c r="Z530" s="2">
        <f t="shared" si="5"/>
        <v>0</v>
      </c>
      <c r="AA530" s="2">
        <f t="shared" si="6"/>
        <v>0</v>
      </c>
      <c r="AB530" s="2">
        <f t="shared" si="7"/>
        <v>0</v>
      </c>
      <c r="AC530" s="2">
        <f t="shared" si="8"/>
      </c>
    </row>
    <row r="531">
      <c r="A531" s="64" t="n"/>
      <c r="B531" s="65" t="n"/>
      <c r="C531" s="65" t="n"/>
      <c r="D531" s="65" t="n"/>
      <c r="E531" s="65" t="n"/>
      <c r="F531" s="66" t="n"/>
      <c r="G531" s="65" t="n"/>
      <c r="H531" s="66" t="n"/>
      <c r="I531" s="64" t="n"/>
      <c r="J531" s="68" t="n"/>
      <c r="K531" s="68" t="n"/>
      <c r="L531" s="68" t="n"/>
      <c r="M531" s="64" t="n"/>
      <c r="N531" s="64" t="n"/>
      <c r="O531" s="64" t="n"/>
      <c r="P531" s="64" t="n"/>
      <c r="Q531" s="64" t="n"/>
      <c r="R531" s="64" t="n"/>
      <c r="S531" s="66" t="n"/>
      <c r="T531" s="45" t="n"/>
      <c r="U531" s="43">
        <f t="shared" si="0"/>
      </c>
      <c r="V531" s="49">
        <f t="shared" si="1"/>
      </c>
      <c r="W531" s="49">
        <f t="shared" si="2"/>
      </c>
      <c r="X531" s="2">
        <f t="shared" si="3"/>
      </c>
      <c r="Y531" s="2">
        <f t="shared" si="4"/>
      </c>
      <c r="Z531" s="2">
        <f t="shared" si="5"/>
        <v>0</v>
      </c>
      <c r="AA531" s="2">
        <f t="shared" si="6"/>
        <v>0</v>
      </c>
      <c r="AB531" s="2">
        <f t="shared" si="7"/>
        <v>0</v>
      </c>
      <c r="AC531" s="2">
        <f t="shared" si="8"/>
      </c>
    </row>
    <row r="532">
      <c r="A532" s="64" t="n"/>
      <c r="B532" s="65" t="n"/>
      <c r="C532" s="65" t="n"/>
      <c r="D532" s="65" t="n"/>
      <c r="E532" s="65" t="n"/>
      <c r="F532" s="66" t="n"/>
      <c r="G532" s="65" t="n"/>
      <c r="H532" s="66" t="n"/>
      <c r="I532" s="64" t="n"/>
      <c r="J532" s="68" t="n"/>
      <c r="K532" s="68" t="n"/>
      <c r="L532" s="68" t="n"/>
      <c r="M532" s="64" t="n"/>
      <c r="N532" s="64" t="n"/>
      <c r="O532" s="64" t="n"/>
      <c r="P532" s="64" t="n"/>
      <c r="Q532" s="64" t="n"/>
      <c r="R532" s="64" t="n"/>
      <c r="S532" s="66" t="n"/>
      <c r="T532" s="45" t="n"/>
      <c r="U532" s="43">
        <f t="shared" si="0"/>
      </c>
      <c r="V532" s="49">
        <f t="shared" si="1"/>
      </c>
      <c r="W532" s="49">
        <f t="shared" si="2"/>
      </c>
      <c r="X532" s="2">
        <f t="shared" si="3"/>
      </c>
      <c r="Y532" s="2">
        <f t="shared" si="4"/>
      </c>
      <c r="Z532" s="2">
        <f t="shared" si="5"/>
        <v>0</v>
      </c>
      <c r="AA532" s="2">
        <f t="shared" si="6"/>
        <v>0</v>
      </c>
      <c r="AB532" s="2">
        <f t="shared" si="7"/>
        <v>0</v>
      </c>
      <c r="AC532" s="2">
        <f t="shared" si="8"/>
      </c>
    </row>
    <row r="533">
      <c r="A533" s="64" t="n"/>
      <c r="B533" s="65" t="n"/>
      <c r="C533" s="65" t="n"/>
      <c r="D533" s="65" t="n"/>
      <c r="E533" s="65" t="n"/>
      <c r="F533" s="66" t="n"/>
      <c r="G533" s="65" t="n"/>
      <c r="H533" s="66" t="n"/>
      <c r="I533" s="64" t="n"/>
      <c r="J533" s="68" t="n"/>
      <c r="K533" s="68" t="n"/>
      <c r="L533" s="68" t="n"/>
      <c r="M533" s="64" t="n"/>
      <c r="N533" s="64" t="n"/>
      <c r="O533" s="64" t="n"/>
      <c r="P533" s="64" t="n"/>
      <c r="Q533" s="64" t="n"/>
      <c r="R533" s="64" t="n"/>
      <c r="S533" s="66" t="n"/>
      <c r="T533" s="45" t="n"/>
      <c r="U533" s="43">
        <f t="shared" si="0"/>
      </c>
      <c r="V533" s="49">
        <f t="shared" si="1"/>
      </c>
      <c r="W533" s="49">
        <f t="shared" si="2"/>
      </c>
      <c r="X533" s="2">
        <f t="shared" si="3"/>
      </c>
      <c r="Y533" s="2">
        <f t="shared" si="4"/>
      </c>
      <c r="Z533" s="2">
        <f t="shared" si="5"/>
        <v>0</v>
      </c>
      <c r="AA533" s="2">
        <f t="shared" si="6"/>
        <v>0</v>
      </c>
      <c r="AB533" s="2">
        <f t="shared" si="7"/>
        <v>0</v>
      </c>
      <c r="AC533" s="2">
        <f t="shared" si="8"/>
      </c>
    </row>
    <row r="534">
      <c r="A534" s="64" t="n"/>
      <c r="B534" s="65" t="n"/>
      <c r="C534" s="65" t="n"/>
      <c r="D534" s="65" t="n"/>
      <c r="E534" s="65" t="n"/>
      <c r="F534" s="66" t="n"/>
      <c r="G534" s="65" t="n"/>
      <c r="H534" s="66" t="n"/>
      <c r="I534" s="64" t="n"/>
      <c r="J534" s="68" t="n"/>
      <c r="K534" s="68" t="n"/>
      <c r="L534" s="68" t="n"/>
      <c r="M534" s="64" t="n"/>
      <c r="N534" s="64" t="n"/>
      <c r="O534" s="64" t="n"/>
      <c r="P534" s="64" t="n"/>
      <c r="Q534" s="64" t="n"/>
      <c r="R534" s="64" t="n"/>
      <c r="S534" s="66" t="n"/>
      <c r="T534" s="45" t="n"/>
      <c r="U534" s="43">
        <f t="shared" si="0"/>
      </c>
      <c r="V534" s="49">
        <f t="shared" si="1"/>
      </c>
      <c r="W534" s="49">
        <f t="shared" si="2"/>
      </c>
      <c r="X534" s="2">
        <f t="shared" si="3"/>
      </c>
      <c r="Y534" s="2">
        <f t="shared" si="4"/>
      </c>
      <c r="Z534" s="2">
        <f t="shared" si="5"/>
        <v>0</v>
      </c>
      <c r="AA534" s="2">
        <f t="shared" si="6"/>
        <v>0</v>
      </c>
      <c r="AB534" s="2">
        <f t="shared" si="7"/>
        <v>0</v>
      </c>
      <c r="AC534" s="2">
        <f t="shared" si="8"/>
      </c>
    </row>
    <row r="535">
      <c r="A535" s="64" t="n"/>
      <c r="B535" s="65" t="n"/>
      <c r="C535" s="65" t="n"/>
      <c r="D535" s="65" t="n"/>
      <c r="E535" s="65" t="n"/>
      <c r="F535" s="66" t="n"/>
      <c r="G535" s="65" t="n"/>
      <c r="H535" s="66" t="n"/>
      <c r="I535" s="64" t="n"/>
      <c r="J535" s="68" t="n"/>
      <c r="K535" s="68" t="n"/>
      <c r="L535" s="68" t="n"/>
      <c r="M535" s="64" t="n"/>
      <c r="N535" s="64" t="n"/>
      <c r="O535" s="64" t="n"/>
      <c r="P535" s="64" t="n"/>
      <c r="Q535" s="64" t="n"/>
      <c r="R535" s="64" t="n"/>
      <c r="S535" s="66" t="n"/>
      <c r="T535" s="45" t="n"/>
      <c r="U535" s="43">
        <f t="shared" si="0"/>
      </c>
      <c r="V535" s="49">
        <f t="shared" si="1"/>
      </c>
      <c r="W535" s="49">
        <f t="shared" si="2"/>
      </c>
      <c r="X535" s="2">
        <f t="shared" si="3"/>
      </c>
      <c r="Y535" s="2">
        <f t="shared" si="4"/>
      </c>
      <c r="Z535" s="2">
        <f t="shared" si="5"/>
        <v>0</v>
      </c>
      <c r="AA535" s="2">
        <f t="shared" si="6"/>
        <v>0</v>
      </c>
      <c r="AB535" s="2">
        <f t="shared" si="7"/>
        <v>0</v>
      </c>
      <c r="AC535" s="2">
        <f t="shared" si="8"/>
      </c>
    </row>
    <row r="536">
      <c r="A536" s="64" t="n"/>
      <c r="B536" s="65" t="n"/>
      <c r="C536" s="65" t="n"/>
      <c r="D536" s="65" t="n"/>
      <c r="E536" s="65" t="n"/>
      <c r="F536" s="66" t="n"/>
      <c r="G536" s="65" t="n"/>
      <c r="H536" s="66" t="n"/>
      <c r="I536" s="64" t="n"/>
      <c r="J536" s="68" t="n"/>
      <c r="K536" s="68" t="n"/>
      <c r="L536" s="68" t="n"/>
      <c r="M536" s="64" t="n"/>
      <c r="N536" s="64" t="n"/>
      <c r="O536" s="64" t="n"/>
      <c r="P536" s="64" t="n"/>
      <c r="Q536" s="64" t="n"/>
      <c r="R536" s="64" t="n"/>
      <c r="S536" s="66" t="n"/>
      <c r="T536" s="45" t="n"/>
      <c r="U536" s="43">
        <f t="shared" si="0"/>
      </c>
      <c r="V536" s="49">
        <f t="shared" si="1"/>
      </c>
      <c r="W536" s="49">
        <f t="shared" si="2"/>
      </c>
      <c r="X536" s="2">
        <f t="shared" si="3"/>
      </c>
      <c r="Y536" s="2">
        <f t="shared" si="4"/>
      </c>
      <c r="Z536" s="2">
        <f t="shared" si="5"/>
        <v>0</v>
      </c>
      <c r="AA536" s="2">
        <f t="shared" si="6"/>
        <v>0</v>
      </c>
      <c r="AB536" s="2">
        <f t="shared" si="7"/>
        <v>0</v>
      </c>
      <c r="AC536" s="2">
        <f t="shared" si="8"/>
      </c>
    </row>
    <row r="537">
      <c r="A537" s="64" t="n"/>
      <c r="B537" s="65" t="n"/>
      <c r="C537" s="65" t="n"/>
      <c r="D537" s="65" t="n"/>
      <c r="E537" s="65" t="n"/>
      <c r="F537" s="66" t="n"/>
      <c r="G537" s="65" t="n"/>
      <c r="H537" s="66" t="n"/>
      <c r="I537" s="64" t="n"/>
      <c r="J537" s="68" t="n"/>
      <c r="K537" s="68" t="n"/>
      <c r="L537" s="68" t="n"/>
      <c r="M537" s="64" t="n"/>
      <c r="N537" s="64" t="n"/>
      <c r="O537" s="64" t="n"/>
      <c r="P537" s="64" t="n"/>
      <c r="Q537" s="64" t="n"/>
      <c r="R537" s="64" t="n"/>
      <c r="S537" s="66" t="n"/>
      <c r="T537" s="45" t="n"/>
      <c r="U537" s="43">
        <f t="shared" si="0"/>
      </c>
      <c r="V537" s="49">
        <f t="shared" si="1"/>
      </c>
      <c r="W537" s="49">
        <f t="shared" si="2"/>
      </c>
      <c r="X537" s="2">
        <f t="shared" si="3"/>
      </c>
      <c r="Y537" s="2">
        <f t="shared" si="4"/>
      </c>
      <c r="Z537" s="2">
        <f t="shared" si="5"/>
        <v>0</v>
      </c>
      <c r="AA537" s="2">
        <f t="shared" si="6"/>
        <v>0</v>
      </c>
      <c r="AB537" s="2">
        <f t="shared" si="7"/>
        <v>0</v>
      </c>
      <c r="AC537" s="2">
        <f t="shared" si="8"/>
      </c>
    </row>
    <row r="538">
      <c r="A538" s="64" t="n"/>
      <c r="B538" s="65" t="n"/>
      <c r="C538" s="65" t="n"/>
      <c r="D538" s="65" t="n"/>
      <c r="E538" s="65" t="n"/>
      <c r="F538" s="66" t="n"/>
      <c r="G538" s="65" t="n"/>
      <c r="H538" s="66" t="n"/>
      <c r="I538" s="64" t="n"/>
      <c r="J538" s="68" t="n"/>
      <c r="K538" s="68" t="n"/>
      <c r="L538" s="68" t="n"/>
      <c r="M538" s="64" t="n"/>
      <c r="N538" s="64" t="n"/>
      <c r="O538" s="64" t="n"/>
      <c r="P538" s="64" t="n"/>
      <c r="Q538" s="64" t="n"/>
      <c r="R538" s="64" t="n"/>
      <c r="S538" s="66" t="n"/>
      <c r="T538" s="45" t="n"/>
      <c r="U538" s="43">
        <f t="shared" si="0"/>
      </c>
      <c r="V538" s="49">
        <f t="shared" si="1"/>
      </c>
      <c r="W538" s="49">
        <f t="shared" si="2"/>
      </c>
      <c r="X538" s="2">
        <f t="shared" si="3"/>
      </c>
      <c r="Y538" s="2">
        <f t="shared" si="4"/>
      </c>
      <c r="Z538" s="2">
        <f t="shared" si="5"/>
        <v>0</v>
      </c>
      <c r="AA538" s="2">
        <f t="shared" si="6"/>
        <v>0</v>
      </c>
      <c r="AB538" s="2">
        <f t="shared" si="7"/>
        <v>0</v>
      </c>
      <c r="AC538" s="2">
        <f t="shared" si="8"/>
      </c>
    </row>
    <row r="539">
      <c r="A539" s="64" t="n"/>
      <c r="B539" s="65" t="n"/>
      <c r="C539" s="65" t="n"/>
      <c r="D539" s="65" t="n"/>
      <c r="E539" s="65" t="n"/>
      <c r="F539" s="66" t="n"/>
      <c r="G539" s="65" t="n"/>
      <c r="H539" s="66" t="n"/>
      <c r="I539" s="64" t="n"/>
      <c r="J539" s="68" t="n"/>
      <c r="K539" s="68" t="n"/>
      <c r="L539" s="68" t="n"/>
      <c r="M539" s="64" t="n"/>
      <c r="N539" s="64" t="n"/>
      <c r="O539" s="64" t="n"/>
      <c r="P539" s="64" t="n"/>
      <c r="Q539" s="64" t="n"/>
      <c r="R539" s="64" t="n"/>
      <c r="S539" s="66" t="n"/>
      <c r="T539" s="45" t="n"/>
      <c r="U539" s="43">
        <f t="shared" si="0"/>
      </c>
      <c r="V539" s="49">
        <f t="shared" si="1"/>
      </c>
      <c r="W539" s="49">
        <f t="shared" si="2"/>
      </c>
      <c r="X539" s="2">
        <f t="shared" si="3"/>
      </c>
      <c r="Y539" s="2">
        <f t="shared" si="4"/>
      </c>
      <c r="Z539" s="2">
        <f t="shared" si="5"/>
        <v>0</v>
      </c>
      <c r="AA539" s="2">
        <f t="shared" si="6"/>
        <v>0</v>
      </c>
      <c r="AB539" s="2">
        <f t="shared" si="7"/>
        <v>0</v>
      </c>
      <c r="AC539" s="2">
        <f t="shared" si="8"/>
      </c>
    </row>
    <row r="540">
      <c r="A540" s="64" t="n"/>
      <c r="B540" s="65" t="n"/>
      <c r="C540" s="65" t="n"/>
      <c r="D540" s="65" t="n"/>
      <c r="E540" s="65" t="n"/>
      <c r="F540" s="66" t="n"/>
      <c r="G540" s="65" t="n"/>
      <c r="H540" s="66" t="n"/>
      <c r="I540" s="64" t="n"/>
      <c r="J540" s="68" t="n"/>
      <c r="K540" s="68" t="n"/>
      <c r="L540" s="68" t="n"/>
      <c r="M540" s="64" t="n"/>
      <c r="N540" s="64" t="n"/>
      <c r="O540" s="64" t="n"/>
      <c r="P540" s="64" t="n"/>
      <c r="Q540" s="64" t="n"/>
      <c r="R540" s="64" t="n"/>
      <c r="S540" s="66" t="n"/>
      <c r="T540" s="45" t="n"/>
      <c r="U540" s="43">
        <f t="shared" si="0"/>
      </c>
      <c r="V540" s="49">
        <f t="shared" si="1"/>
      </c>
      <c r="W540" s="49">
        <f t="shared" si="2"/>
      </c>
      <c r="X540" s="2">
        <f t="shared" si="3"/>
      </c>
      <c r="Y540" s="2">
        <f t="shared" si="4"/>
      </c>
      <c r="Z540" s="2">
        <f t="shared" si="5"/>
        <v>0</v>
      </c>
      <c r="AA540" s="2">
        <f t="shared" si="6"/>
        <v>0</v>
      </c>
      <c r="AB540" s="2">
        <f t="shared" si="7"/>
        <v>0</v>
      </c>
      <c r="AC540" s="2">
        <f t="shared" si="8"/>
      </c>
    </row>
    <row r="541">
      <c r="A541" s="64" t="n"/>
      <c r="B541" s="65" t="n"/>
      <c r="C541" s="65" t="n"/>
      <c r="D541" s="65" t="n"/>
      <c r="E541" s="65" t="n"/>
      <c r="F541" s="66" t="n"/>
      <c r="G541" s="65" t="n"/>
      <c r="H541" s="66" t="n"/>
      <c r="I541" s="64" t="n"/>
      <c r="J541" s="68" t="n"/>
      <c r="K541" s="68" t="n"/>
      <c r="L541" s="68" t="n"/>
      <c r="M541" s="64" t="n"/>
      <c r="N541" s="64" t="n"/>
      <c r="O541" s="64" t="n"/>
      <c r="P541" s="64" t="n"/>
      <c r="Q541" s="64" t="n"/>
      <c r="R541" s="64" t="n"/>
      <c r="S541" s="66" t="n"/>
      <c r="T541" s="45" t="n"/>
      <c r="U541" s="43">
        <f t="shared" si="0"/>
      </c>
      <c r="V541" s="49">
        <f t="shared" si="1"/>
      </c>
      <c r="W541" s="49">
        <f t="shared" si="2"/>
      </c>
      <c r="X541" s="2">
        <f t="shared" si="3"/>
      </c>
      <c r="Y541" s="2">
        <f t="shared" si="4"/>
      </c>
      <c r="Z541" s="2">
        <f t="shared" si="5"/>
        <v>0</v>
      </c>
      <c r="AA541" s="2">
        <f t="shared" si="6"/>
        <v>0</v>
      </c>
      <c r="AB541" s="2">
        <f t="shared" si="7"/>
        <v>0</v>
      </c>
      <c r="AC541" s="2">
        <f t="shared" si="8"/>
      </c>
    </row>
    <row r="542">
      <c r="A542" s="64" t="n"/>
      <c r="B542" s="65" t="n"/>
      <c r="C542" s="65" t="n"/>
      <c r="D542" s="65" t="n"/>
      <c r="E542" s="65" t="n"/>
      <c r="F542" s="66" t="n"/>
      <c r="G542" s="65" t="n"/>
      <c r="H542" s="66" t="n"/>
      <c r="I542" s="64" t="n"/>
      <c r="J542" s="68" t="n"/>
      <c r="K542" s="68" t="n"/>
      <c r="L542" s="68" t="n"/>
      <c r="M542" s="64" t="n"/>
      <c r="N542" s="64" t="n"/>
      <c r="O542" s="64" t="n"/>
      <c r="P542" s="64" t="n"/>
      <c r="Q542" s="64" t="n"/>
      <c r="R542" s="64" t="n"/>
      <c r="S542" s="66" t="n"/>
      <c r="T542" s="45" t="n"/>
      <c r="U542" s="43">
        <f t="shared" si="0"/>
      </c>
      <c r="V542" s="49">
        <f t="shared" si="1"/>
      </c>
      <c r="W542" s="49">
        <f t="shared" si="2"/>
      </c>
      <c r="X542" s="2">
        <f t="shared" si="3"/>
      </c>
      <c r="Y542" s="2">
        <f t="shared" si="4"/>
      </c>
      <c r="Z542" s="2">
        <f t="shared" si="5"/>
        <v>0</v>
      </c>
      <c r="AA542" s="2">
        <f t="shared" si="6"/>
        <v>0</v>
      </c>
      <c r="AB542" s="2">
        <f t="shared" si="7"/>
        <v>0</v>
      </c>
      <c r="AC542" s="2">
        <f t="shared" si="8"/>
      </c>
    </row>
    <row r="543">
      <c r="A543" s="64" t="n"/>
      <c r="B543" s="65" t="n"/>
      <c r="C543" s="65" t="n"/>
      <c r="D543" s="65" t="n"/>
      <c r="E543" s="65" t="n"/>
      <c r="F543" s="66" t="n"/>
      <c r="G543" s="65" t="n"/>
      <c r="H543" s="66" t="n"/>
      <c r="I543" s="64" t="n"/>
      <c r="J543" s="68" t="n"/>
      <c r="K543" s="68" t="n"/>
      <c r="L543" s="68" t="n"/>
      <c r="M543" s="64" t="n"/>
      <c r="N543" s="64" t="n"/>
      <c r="O543" s="64" t="n"/>
      <c r="P543" s="64" t="n"/>
      <c r="Q543" s="64" t="n"/>
      <c r="R543" s="64" t="n"/>
      <c r="S543" s="66" t="n"/>
      <c r="T543" s="45" t="n"/>
      <c r="U543" s="43">
        <f t="shared" si="0"/>
      </c>
      <c r="V543" s="49">
        <f t="shared" si="1"/>
      </c>
      <c r="W543" s="49">
        <f t="shared" si="2"/>
      </c>
      <c r="X543" s="2">
        <f t="shared" si="3"/>
      </c>
      <c r="Y543" s="2">
        <f t="shared" si="4"/>
      </c>
      <c r="Z543" s="2">
        <f t="shared" si="5"/>
        <v>0</v>
      </c>
      <c r="AA543" s="2">
        <f t="shared" si="6"/>
        <v>0</v>
      </c>
      <c r="AB543" s="2">
        <f t="shared" si="7"/>
        <v>0</v>
      </c>
      <c r="AC543" s="2">
        <f t="shared" si="8"/>
      </c>
    </row>
    <row r="544">
      <c r="A544" s="64" t="n"/>
      <c r="B544" s="65" t="n"/>
      <c r="C544" s="65" t="n"/>
      <c r="D544" s="65" t="n"/>
      <c r="E544" s="65" t="n"/>
      <c r="F544" s="66" t="n"/>
      <c r="G544" s="65" t="n"/>
      <c r="H544" s="66" t="n"/>
      <c r="I544" s="64" t="n"/>
      <c r="J544" s="68" t="n"/>
      <c r="K544" s="68" t="n"/>
      <c r="L544" s="68" t="n"/>
      <c r="M544" s="64" t="n"/>
      <c r="N544" s="64" t="n"/>
      <c r="O544" s="64" t="n"/>
      <c r="P544" s="64" t="n"/>
      <c r="Q544" s="64" t="n"/>
      <c r="R544" s="64" t="n"/>
      <c r="S544" s="66" t="n"/>
      <c r="T544" s="45" t="n"/>
      <c r="U544" s="43">
        <f t="shared" si="0"/>
      </c>
      <c r="V544" s="49">
        <f t="shared" si="1"/>
      </c>
      <c r="W544" s="49">
        <f t="shared" si="2"/>
      </c>
      <c r="X544" s="2">
        <f t="shared" si="3"/>
      </c>
      <c r="Y544" s="2">
        <f t="shared" si="4"/>
      </c>
      <c r="Z544" s="2">
        <f t="shared" si="5"/>
        <v>0</v>
      </c>
      <c r="AA544" s="2">
        <f t="shared" si="6"/>
        <v>0</v>
      </c>
      <c r="AB544" s="2">
        <f t="shared" si="7"/>
        <v>0</v>
      </c>
      <c r="AC544" s="2">
        <f t="shared" si="8"/>
      </c>
    </row>
    <row r="545">
      <c r="A545" s="64" t="n"/>
      <c r="B545" s="65" t="n"/>
      <c r="C545" s="65" t="n"/>
      <c r="D545" s="65" t="n"/>
      <c r="E545" s="65" t="n"/>
      <c r="F545" s="66" t="n"/>
      <c r="G545" s="65" t="n"/>
      <c r="H545" s="66" t="n"/>
      <c r="I545" s="64" t="n"/>
      <c r="J545" s="68" t="n"/>
      <c r="K545" s="68" t="n"/>
      <c r="L545" s="68" t="n"/>
      <c r="M545" s="64" t="n"/>
      <c r="N545" s="64" t="n"/>
      <c r="O545" s="64" t="n"/>
      <c r="P545" s="64" t="n"/>
      <c r="Q545" s="64" t="n"/>
      <c r="R545" s="64" t="n"/>
      <c r="S545" s="66" t="n"/>
      <c r="T545" s="45" t="n"/>
      <c r="U545" s="43">
        <f t="shared" si="0"/>
      </c>
      <c r="V545" s="49">
        <f t="shared" si="1"/>
      </c>
      <c r="W545" s="49">
        <f t="shared" si="2"/>
      </c>
      <c r="X545" s="2">
        <f t="shared" si="3"/>
      </c>
      <c r="Y545" s="2">
        <f t="shared" si="4"/>
      </c>
      <c r="Z545" s="2">
        <f t="shared" si="5"/>
        <v>0</v>
      </c>
      <c r="AA545" s="2">
        <f t="shared" si="6"/>
        <v>0</v>
      </c>
      <c r="AB545" s="2">
        <f t="shared" si="7"/>
        <v>0</v>
      </c>
      <c r="AC545" s="2">
        <f t="shared" si="8"/>
      </c>
    </row>
    <row r="546">
      <c r="A546" s="64" t="n"/>
      <c r="B546" s="65" t="n"/>
      <c r="C546" s="65" t="n"/>
      <c r="D546" s="65" t="n"/>
      <c r="E546" s="65" t="n"/>
      <c r="F546" s="66" t="n"/>
      <c r="G546" s="65" t="n"/>
      <c r="H546" s="66" t="n"/>
      <c r="I546" s="64" t="n"/>
      <c r="J546" s="68" t="n"/>
      <c r="K546" s="68" t="n"/>
      <c r="L546" s="68" t="n"/>
      <c r="M546" s="64" t="n"/>
      <c r="N546" s="64" t="n"/>
      <c r="O546" s="64" t="n"/>
      <c r="P546" s="64" t="n"/>
      <c r="Q546" s="64" t="n"/>
      <c r="R546" s="64" t="n"/>
      <c r="S546" s="66" t="n"/>
      <c r="T546" s="45" t="n"/>
      <c r="U546" s="43">
        <f t="shared" si="0"/>
      </c>
      <c r="V546" s="49">
        <f t="shared" si="1"/>
      </c>
      <c r="W546" s="49">
        <f t="shared" si="2"/>
      </c>
      <c r="X546" s="2">
        <f t="shared" si="3"/>
      </c>
      <c r="Y546" s="2">
        <f t="shared" si="4"/>
      </c>
      <c r="Z546" s="2">
        <f t="shared" si="5"/>
        <v>0</v>
      </c>
      <c r="AA546" s="2">
        <f t="shared" si="6"/>
        <v>0</v>
      </c>
      <c r="AB546" s="2">
        <f t="shared" si="7"/>
        <v>0</v>
      </c>
      <c r="AC546" s="2">
        <f t="shared" si="8"/>
      </c>
    </row>
    <row r="547">
      <c r="A547" s="64" t="n"/>
      <c r="B547" s="65" t="n"/>
      <c r="C547" s="65" t="n"/>
      <c r="D547" s="65" t="n"/>
      <c r="E547" s="65" t="n"/>
      <c r="F547" s="66" t="n"/>
      <c r="G547" s="65" t="n"/>
      <c r="H547" s="66" t="n"/>
      <c r="I547" s="64" t="n"/>
      <c r="J547" s="68" t="n"/>
      <c r="K547" s="68" t="n"/>
      <c r="L547" s="68" t="n"/>
      <c r="M547" s="64" t="n"/>
      <c r="N547" s="64" t="n"/>
      <c r="O547" s="64" t="n"/>
      <c r="P547" s="64" t="n"/>
      <c r="Q547" s="64" t="n"/>
      <c r="R547" s="64" t="n"/>
      <c r="S547" s="66" t="n"/>
      <c r="T547" s="45" t="n"/>
      <c r="U547" s="43">
        <f t="shared" si="0"/>
      </c>
      <c r="V547" s="49">
        <f t="shared" si="1"/>
      </c>
      <c r="W547" s="49">
        <f t="shared" si="2"/>
      </c>
      <c r="X547" s="2">
        <f t="shared" si="3"/>
      </c>
      <c r="Y547" s="2">
        <f t="shared" si="4"/>
      </c>
      <c r="Z547" s="2">
        <f t="shared" si="5"/>
        <v>0</v>
      </c>
      <c r="AA547" s="2">
        <f t="shared" si="6"/>
        <v>0</v>
      </c>
      <c r="AB547" s="2">
        <f t="shared" si="7"/>
        <v>0</v>
      </c>
      <c r="AC547" s="2">
        <f t="shared" si="8"/>
      </c>
    </row>
    <row r="548">
      <c r="A548" s="64" t="n"/>
      <c r="B548" s="65" t="n"/>
      <c r="C548" s="65" t="n"/>
      <c r="D548" s="65" t="n"/>
      <c r="E548" s="65" t="n"/>
      <c r="F548" s="66" t="n"/>
      <c r="G548" s="65" t="n"/>
      <c r="H548" s="66" t="n"/>
      <c r="I548" s="64" t="n"/>
      <c r="J548" s="68" t="n"/>
      <c r="K548" s="68" t="n"/>
      <c r="L548" s="68" t="n"/>
      <c r="M548" s="64" t="n"/>
      <c r="N548" s="64" t="n"/>
      <c r="O548" s="64" t="n"/>
      <c r="P548" s="64" t="n"/>
      <c r="Q548" s="64" t="n"/>
      <c r="R548" s="64" t="n"/>
      <c r="S548" s="66" t="n"/>
      <c r="T548" s="45" t="n"/>
      <c r="U548" s="43">
        <f t="shared" si="0"/>
      </c>
      <c r="V548" s="49">
        <f t="shared" si="1"/>
      </c>
      <c r="W548" s="49">
        <f t="shared" si="2"/>
      </c>
      <c r="X548" s="2">
        <f t="shared" si="3"/>
      </c>
      <c r="Y548" s="2">
        <f t="shared" si="4"/>
      </c>
      <c r="Z548" s="2">
        <f t="shared" si="5"/>
        <v>0</v>
      </c>
      <c r="AA548" s="2">
        <f t="shared" si="6"/>
        <v>0</v>
      </c>
      <c r="AB548" s="2">
        <f t="shared" si="7"/>
        <v>0</v>
      </c>
      <c r="AC548" s="2">
        <f t="shared" si="8"/>
      </c>
    </row>
    <row r="549">
      <c r="A549" s="64" t="n"/>
      <c r="B549" s="65" t="n"/>
      <c r="C549" s="65" t="n"/>
      <c r="D549" s="65" t="n"/>
      <c r="E549" s="65" t="n"/>
      <c r="F549" s="66" t="n"/>
      <c r="G549" s="65" t="n"/>
      <c r="H549" s="66" t="n"/>
      <c r="I549" s="64" t="n"/>
      <c r="J549" s="68" t="n"/>
      <c r="K549" s="68" t="n"/>
      <c r="L549" s="68" t="n"/>
      <c r="M549" s="64" t="n"/>
      <c r="N549" s="64" t="n"/>
      <c r="O549" s="64" t="n"/>
      <c r="P549" s="64" t="n"/>
      <c r="Q549" s="64" t="n"/>
      <c r="R549" s="64" t="n"/>
      <c r="S549" s="66" t="n"/>
      <c r="T549" s="45" t="n"/>
      <c r="U549" s="43">
        <f t="shared" si="0"/>
      </c>
      <c r="V549" s="49">
        <f t="shared" si="1"/>
      </c>
      <c r="W549" s="49">
        <f t="shared" si="2"/>
      </c>
      <c r="X549" s="2">
        <f t="shared" si="3"/>
      </c>
      <c r="Y549" s="2">
        <f t="shared" si="4"/>
      </c>
      <c r="Z549" s="2">
        <f t="shared" si="5"/>
        <v>0</v>
      </c>
      <c r="AA549" s="2">
        <f t="shared" si="6"/>
        <v>0</v>
      </c>
      <c r="AB549" s="2">
        <f t="shared" si="7"/>
        <v>0</v>
      </c>
      <c r="AC549" s="2">
        <f t="shared" si="8"/>
      </c>
    </row>
    <row r="550">
      <c r="A550" s="64" t="n"/>
      <c r="B550" s="65" t="n"/>
      <c r="C550" s="65" t="n"/>
      <c r="D550" s="65" t="n"/>
      <c r="E550" s="65" t="n"/>
      <c r="F550" s="66" t="n"/>
      <c r="G550" s="65" t="n"/>
      <c r="H550" s="66" t="n"/>
      <c r="I550" s="64" t="n"/>
      <c r="J550" s="68" t="n"/>
      <c r="K550" s="68" t="n"/>
      <c r="L550" s="68" t="n"/>
      <c r="M550" s="64" t="n"/>
      <c r="N550" s="64" t="n"/>
      <c r="O550" s="64" t="n"/>
      <c r="P550" s="64" t="n"/>
      <c r="Q550" s="64" t="n"/>
      <c r="R550" s="64" t="n"/>
      <c r="S550" s="66" t="n"/>
      <c r="T550" s="45" t="n"/>
      <c r="U550" s="43">
        <f t="shared" si="0"/>
      </c>
      <c r="V550" s="49">
        <f t="shared" si="1"/>
      </c>
      <c r="W550" s="49">
        <f t="shared" si="2"/>
      </c>
      <c r="X550" s="2">
        <f t="shared" si="3"/>
      </c>
      <c r="Y550" s="2">
        <f t="shared" si="4"/>
      </c>
      <c r="Z550" s="2">
        <f t="shared" si="5"/>
        <v>0</v>
      </c>
      <c r="AA550" s="2">
        <f t="shared" si="6"/>
        <v>0</v>
      </c>
      <c r="AB550" s="2">
        <f t="shared" si="7"/>
        <v>0</v>
      </c>
      <c r="AC550" s="2">
        <f t="shared" si="8"/>
      </c>
    </row>
    <row r="551">
      <c r="A551" s="64" t="n"/>
      <c r="B551" s="65" t="n"/>
      <c r="C551" s="65" t="n"/>
      <c r="D551" s="65" t="n"/>
      <c r="E551" s="65" t="n"/>
      <c r="F551" s="66" t="n"/>
      <c r="G551" s="65" t="n"/>
      <c r="H551" s="66" t="n"/>
      <c r="I551" s="64" t="n"/>
      <c r="J551" s="68" t="n"/>
      <c r="K551" s="68" t="n"/>
      <c r="L551" s="68" t="n"/>
      <c r="M551" s="64" t="n"/>
      <c r="N551" s="64" t="n"/>
      <c r="O551" s="64" t="n"/>
      <c r="P551" s="64" t="n"/>
      <c r="Q551" s="64" t="n"/>
      <c r="R551" s="64" t="n"/>
      <c r="S551" s="66" t="n"/>
      <c r="T551" s="45" t="n"/>
      <c r="U551" s="43">
        <f t="shared" si="0"/>
      </c>
      <c r="V551" s="49">
        <f t="shared" si="1"/>
      </c>
      <c r="W551" s="49">
        <f t="shared" si="2"/>
      </c>
      <c r="X551" s="2">
        <f t="shared" si="3"/>
      </c>
      <c r="Y551" s="2">
        <f t="shared" si="4"/>
      </c>
      <c r="Z551" s="2">
        <f t="shared" si="5"/>
        <v>0</v>
      </c>
      <c r="AA551" s="2">
        <f t="shared" si="6"/>
        <v>0</v>
      </c>
      <c r="AB551" s="2">
        <f t="shared" si="7"/>
        <v>0</v>
      </c>
      <c r="AC551" s="2">
        <f t="shared" si="8"/>
      </c>
    </row>
    <row r="552">
      <c r="A552" s="64" t="n"/>
      <c r="B552" s="65" t="n"/>
      <c r="C552" s="65" t="n"/>
      <c r="D552" s="65" t="n"/>
      <c r="E552" s="65" t="n"/>
      <c r="F552" s="66" t="n"/>
      <c r="G552" s="65" t="n"/>
      <c r="H552" s="66" t="n"/>
      <c r="I552" s="64" t="n"/>
      <c r="J552" s="68" t="n"/>
      <c r="K552" s="68" t="n"/>
      <c r="L552" s="68" t="n"/>
      <c r="M552" s="64" t="n"/>
      <c r="N552" s="64" t="n"/>
      <c r="O552" s="64" t="n"/>
      <c r="P552" s="64" t="n"/>
      <c r="Q552" s="64" t="n"/>
      <c r="R552" s="64" t="n"/>
      <c r="S552" s="66" t="n"/>
      <c r="T552" s="45" t="n"/>
      <c r="U552" s="43">
        <f t="shared" si="0"/>
      </c>
      <c r="V552" s="49">
        <f t="shared" si="1"/>
      </c>
      <c r="W552" s="49">
        <f t="shared" si="2"/>
      </c>
      <c r="X552" s="2">
        <f t="shared" si="3"/>
      </c>
      <c r="Y552" s="2">
        <f t="shared" si="4"/>
      </c>
      <c r="Z552" s="2">
        <f t="shared" si="5"/>
        <v>0</v>
      </c>
      <c r="AA552" s="2">
        <f t="shared" si="6"/>
        <v>0</v>
      </c>
      <c r="AB552" s="2">
        <f t="shared" si="7"/>
        <v>0</v>
      </c>
      <c r="AC552" s="2">
        <f t="shared" si="8"/>
      </c>
    </row>
    <row r="553">
      <c r="A553" s="64" t="n"/>
      <c r="B553" s="65" t="n"/>
      <c r="C553" s="65" t="n"/>
      <c r="D553" s="65" t="n"/>
      <c r="E553" s="65" t="n"/>
      <c r="F553" s="66" t="n"/>
      <c r="G553" s="65" t="n"/>
      <c r="H553" s="66" t="n"/>
      <c r="I553" s="64" t="n"/>
      <c r="J553" s="68" t="n"/>
      <c r="K553" s="68" t="n"/>
      <c r="L553" s="68" t="n"/>
      <c r="M553" s="64" t="n"/>
      <c r="N553" s="64" t="n"/>
      <c r="O553" s="64" t="n"/>
      <c r="P553" s="64" t="n"/>
      <c r="Q553" s="64" t="n"/>
      <c r="R553" s="64" t="n"/>
      <c r="S553" s="66" t="n"/>
      <c r="T553" s="45" t="n"/>
      <c r="U553" s="43">
        <f t="shared" si="0"/>
      </c>
      <c r="V553" s="49">
        <f t="shared" si="1"/>
      </c>
      <c r="W553" s="49">
        <f t="shared" si="2"/>
      </c>
      <c r="X553" s="2">
        <f t="shared" si="3"/>
      </c>
      <c r="Y553" s="2">
        <f t="shared" si="4"/>
      </c>
      <c r="Z553" s="2">
        <f t="shared" si="5"/>
        <v>0</v>
      </c>
      <c r="AA553" s="2">
        <f t="shared" si="6"/>
        <v>0</v>
      </c>
      <c r="AB553" s="2">
        <f t="shared" si="7"/>
        <v>0</v>
      </c>
      <c r="AC553" s="2">
        <f t="shared" si="8"/>
      </c>
    </row>
    <row r="554">
      <c r="A554" s="64" t="n"/>
      <c r="B554" s="65" t="n"/>
      <c r="C554" s="65" t="n"/>
      <c r="D554" s="65" t="n"/>
      <c r="E554" s="65" t="n"/>
      <c r="F554" s="66" t="n"/>
      <c r="G554" s="65" t="n"/>
      <c r="H554" s="66" t="n"/>
      <c r="I554" s="64" t="n"/>
      <c r="J554" s="68" t="n"/>
      <c r="K554" s="68" t="n"/>
      <c r="L554" s="68" t="n"/>
      <c r="M554" s="64" t="n"/>
      <c r="N554" s="64" t="n"/>
      <c r="O554" s="64" t="n"/>
      <c r="P554" s="64" t="n"/>
      <c r="Q554" s="64" t="n"/>
      <c r="R554" s="64" t="n"/>
      <c r="S554" s="66" t="n"/>
      <c r="T554" s="45" t="n"/>
      <c r="U554" s="43">
        <f t="shared" si="0"/>
      </c>
      <c r="V554" s="49">
        <f t="shared" si="1"/>
      </c>
      <c r="W554" s="49">
        <f t="shared" si="2"/>
      </c>
      <c r="X554" s="2">
        <f t="shared" si="3"/>
      </c>
      <c r="Y554" s="2">
        <f t="shared" si="4"/>
      </c>
      <c r="Z554" s="2">
        <f t="shared" si="5"/>
        <v>0</v>
      </c>
      <c r="AA554" s="2">
        <f t="shared" si="6"/>
        <v>0</v>
      </c>
      <c r="AB554" s="2">
        <f t="shared" si="7"/>
        <v>0</v>
      </c>
      <c r="AC554" s="2">
        <f t="shared" si="8"/>
      </c>
    </row>
    <row r="555">
      <c r="A555" s="64" t="n"/>
      <c r="B555" s="65" t="n"/>
      <c r="C555" s="65" t="n"/>
      <c r="D555" s="65" t="n"/>
      <c r="E555" s="65" t="n"/>
      <c r="F555" s="66" t="n"/>
      <c r="G555" s="65" t="n"/>
      <c r="H555" s="66" t="n"/>
      <c r="I555" s="64" t="n"/>
      <c r="J555" s="68" t="n"/>
      <c r="K555" s="68" t="n"/>
      <c r="L555" s="68" t="n"/>
      <c r="M555" s="64" t="n"/>
      <c r="N555" s="64" t="n"/>
      <c r="O555" s="64" t="n"/>
      <c r="P555" s="64" t="n"/>
      <c r="Q555" s="64" t="n"/>
      <c r="R555" s="64" t="n"/>
      <c r="S555" s="66" t="n"/>
      <c r="T555" s="45" t="n"/>
      <c r="U555" s="43">
        <f t="shared" si="0"/>
      </c>
      <c r="V555" s="49">
        <f t="shared" si="1"/>
      </c>
      <c r="W555" s="49">
        <f t="shared" si="2"/>
      </c>
      <c r="X555" s="2">
        <f t="shared" si="3"/>
      </c>
      <c r="Y555" s="2">
        <f t="shared" si="4"/>
      </c>
      <c r="Z555" s="2">
        <f t="shared" si="5"/>
        <v>0</v>
      </c>
      <c r="AA555" s="2">
        <f t="shared" si="6"/>
        <v>0</v>
      </c>
      <c r="AB555" s="2">
        <f t="shared" si="7"/>
        <v>0</v>
      </c>
      <c r="AC555" s="2">
        <f t="shared" si="8"/>
      </c>
    </row>
    <row r="556">
      <c r="A556" s="64" t="n"/>
      <c r="B556" s="65" t="n"/>
      <c r="C556" s="65" t="n"/>
      <c r="D556" s="65" t="n"/>
      <c r="E556" s="65" t="n"/>
      <c r="F556" s="66" t="n"/>
      <c r="G556" s="65" t="n"/>
      <c r="H556" s="66" t="n"/>
      <c r="I556" s="64" t="n"/>
      <c r="J556" s="68" t="n"/>
      <c r="K556" s="68" t="n"/>
      <c r="L556" s="68" t="n"/>
      <c r="M556" s="64" t="n"/>
      <c r="N556" s="64" t="n"/>
      <c r="O556" s="64" t="n"/>
      <c r="P556" s="64" t="n"/>
      <c r="Q556" s="64" t="n"/>
      <c r="R556" s="64" t="n"/>
      <c r="S556" s="66" t="n"/>
      <c r="T556" s="45" t="n"/>
      <c r="U556" s="43">
        <f t="shared" si="0"/>
      </c>
      <c r="V556" s="49">
        <f t="shared" si="1"/>
      </c>
      <c r="W556" s="49">
        <f t="shared" si="2"/>
      </c>
      <c r="X556" s="2">
        <f t="shared" si="3"/>
      </c>
      <c r="Y556" s="2">
        <f t="shared" si="4"/>
      </c>
      <c r="Z556" s="2">
        <f t="shared" si="5"/>
        <v>0</v>
      </c>
      <c r="AA556" s="2">
        <f t="shared" si="6"/>
        <v>0</v>
      </c>
      <c r="AB556" s="2">
        <f t="shared" si="7"/>
        <v>0</v>
      </c>
      <c r="AC556" s="2">
        <f t="shared" si="8"/>
      </c>
    </row>
    <row r="557">
      <c r="A557" s="64" t="n"/>
      <c r="B557" s="65" t="n"/>
      <c r="C557" s="65" t="n"/>
      <c r="D557" s="65" t="n"/>
      <c r="E557" s="65" t="n"/>
      <c r="F557" s="66" t="n"/>
      <c r="G557" s="65" t="n"/>
      <c r="H557" s="66" t="n"/>
      <c r="I557" s="64" t="n"/>
      <c r="J557" s="68" t="n"/>
      <c r="K557" s="68" t="n"/>
      <c r="L557" s="68" t="n"/>
      <c r="M557" s="64" t="n"/>
      <c r="N557" s="64" t="n"/>
      <c r="O557" s="64" t="n"/>
      <c r="P557" s="64" t="n"/>
      <c r="Q557" s="64" t="n"/>
      <c r="R557" s="64" t="n"/>
      <c r="S557" s="66" t="n"/>
      <c r="T557" s="45" t="n"/>
      <c r="U557" s="43">
        <f t="shared" si="0"/>
      </c>
      <c r="V557" s="49">
        <f t="shared" si="1"/>
      </c>
      <c r="W557" s="49">
        <f t="shared" si="2"/>
      </c>
      <c r="X557" s="2">
        <f t="shared" si="3"/>
      </c>
      <c r="Y557" s="2">
        <f t="shared" si="4"/>
      </c>
      <c r="Z557" s="2">
        <f t="shared" si="5"/>
        <v>0</v>
      </c>
      <c r="AA557" s="2">
        <f t="shared" si="6"/>
        <v>0</v>
      </c>
      <c r="AB557" s="2">
        <f t="shared" si="7"/>
        <v>0</v>
      </c>
      <c r="AC557" s="2">
        <f t="shared" si="8"/>
      </c>
    </row>
    <row r="558">
      <c r="A558" s="64" t="n"/>
      <c r="B558" s="65" t="n"/>
      <c r="C558" s="65" t="n"/>
      <c r="D558" s="65" t="n"/>
      <c r="E558" s="65" t="n"/>
      <c r="F558" s="66" t="n"/>
      <c r="G558" s="65" t="n"/>
      <c r="H558" s="66" t="n"/>
      <c r="I558" s="64" t="n"/>
      <c r="J558" s="68" t="n"/>
      <c r="K558" s="68" t="n"/>
      <c r="L558" s="68" t="n"/>
      <c r="M558" s="64" t="n"/>
      <c r="N558" s="64" t="n"/>
      <c r="O558" s="64" t="n"/>
      <c r="P558" s="64" t="n"/>
      <c r="Q558" s="64" t="n"/>
      <c r="R558" s="64" t="n"/>
      <c r="S558" s="66" t="n"/>
      <c r="T558" s="45" t="n"/>
      <c r="U558" s="43">
        <f t="shared" si="0"/>
      </c>
      <c r="V558" s="49">
        <f t="shared" si="1"/>
      </c>
      <c r="W558" s="49">
        <f t="shared" si="2"/>
      </c>
      <c r="X558" s="2">
        <f t="shared" si="3"/>
      </c>
      <c r="Y558" s="2">
        <f t="shared" si="4"/>
      </c>
      <c r="Z558" s="2">
        <f t="shared" si="5"/>
        <v>0</v>
      </c>
      <c r="AA558" s="2">
        <f t="shared" si="6"/>
        <v>0</v>
      </c>
      <c r="AB558" s="2">
        <f t="shared" si="7"/>
        <v>0</v>
      </c>
      <c r="AC558" s="2">
        <f t="shared" si="8"/>
      </c>
    </row>
    <row r="559">
      <c r="A559" s="64" t="n"/>
      <c r="B559" s="65" t="n"/>
      <c r="C559" s="65" t="n"/>
      <c r="D559" s="65" t="n"/>
      <c r="E559" s="65" t="n"/>
      <c r="F559" s="66" t="n"/>
      <c r="G559" s="65" t="n"/>
      <c r="H559" s="66" t="n"/>
      <c r="I559" s="64" t="n"/>
      <c r="J559" s="68" t="n"/>
      <c r="K559" s="68" t="n"/>
      <c r="L559" s="68" t="n"/>
      <c r="M559" s="64" t="n"/>
      <c r="N559" s="64" t="n"/>
      <c r="O559" s="64" t="n"/>
      <c r="P559" s="64" t="n"/>
      <c r="Q559" s="64" t="n"/>
      <c r="R559" s="64" t="n"/>
      <c r="S559" s="66" t="n"/>
      <c r="T559" s="45" t="n"/>
      <c r="U559" s="43">
        <f t="shared" si="0"/>
      </c>
      <c r="V559" s="49">
        <f t="shared" si="1"/>
      </c>
      <c r="W559" s="49">
        <f t="shared" si="2"/>
      </c>
      <c r="X559" s="2">
        <f t="shared" si="3"/>
      </c>
      <c r="Y559" s="2">
        <f t="shared" si="4"/>
      </c>
      <c r="Z559" s="2">
        <f t="shared" si="5"/>
        <v>0</v>
      </c>
      <c r="AA559" s="2">
        <f t="shared" si="6"/>
        <v>0</v>
      </c>
      <c r="AB559" s="2">
        <f t="shared" si="7"/>
        <v>0</v>
      </c>
      <c r="AC559" s="2">
        <f t="shared" si="8"/>
      </c>
    </row>
    <row r="560">
      <c r="A560" s="64" t="n"/>
      <c r="B560" s="65" t="n"/>
      <c r="C560" s="65" t="n"/>
      <c r="D560" s="65" t="n"/>
      <c r="E560" s="65" t="n"/>
      <c r="F560" s="66" t="n"/>
      <c r="G560" s="65" t="n"/>
      <c r="H560" s="66" t="n"/>
      <c r="I560" s="64" t="n"/>
      <c r="J560" s="68" t="n"/>
      <c r="K560" s="68" t="n"/>
      <c r="L560" s="68" t="n"/>
      <c r="M560" s="64" t="n"/>
      <c r="N560" s="64" t="n"/>
      <c r="O560" s="64" t="n"/>
      <c r="P560" s="64" t="n"/>
      <c r="Q560" s="64" t="n"/>
      <c r="R560" s="64" t="n"/>
      <c r="S560" s="66" t="n"/>
      <c r="T560" s="45" t="n"/>
      <c r="U560" s="43">
        <f t="shared" si="0"/>
      </c>
      <c r="V560" s="49">
        <f t="shared" si="1"/>
      </c>
      <c r="W560" s="49">
        <f t="shared" si="2"/>
      </c>
      <c r="X560" s="2">
        <f t="shared" si="3"/>
      </c>
      <c r="Y560" s="2">
        <f t="shared" si="4"/>
      </c>
      <c r="Z560" s="2">
        <f t="shared" si="5"/>
        <v>0</v>
      </c>
      <c r="AA560" s="2">
        <f t="shared" si="6"/>
        <v>0</v>
      </c>
      <c r="AB560" s="2">
        <f t="shared" si="7"/>
        <v>0</v>
      </c>
      <c r="AC560" s="2">
        <f t="shared" si="8"/>
      </c>
    </row>
    <row r="561">
      <c r="A561" s="64" t="n"/>
      <c r="B561" s="65" t="n"/>
      <c r="C561" s="65" t="n"/>
      <c r="D561" s="65" t="n"/>
      <c r="E561" s="65" t="n"/>
      <c r="F561" s="66" t="n"/>
      <c r="G561" s="65" t="n"/>
      <c r="H561" s="66" t="n"/>
      <c r="I561" s="64" t="n"/>
      <c r="J561" s="68" t="n"/>
      <c r="K561" s="68" t="n"/>
      <c r="L561" s="68" t="n"/>
      <c r="M561" s="64" t="n"/>
      <c r="N561" s="64" t="n"/>
      <c r="O561" s="64" t="n"/>
      <c r="P561" s="64" t="n"/>
      <c r="Q561" s="64" t="n"/>
      <c r="R561" s="64" t="n"/>
      <c r="S561" s="66" t="n"/>
      <c r="T561" s="45" t="n"/>
      <c r="U561" s="43">
        <f t="shared" si="0"/>
      </c>
      <c r="V561" s="49">
        <f t="shared" si="1"/>
      </c>
      <c r="W561" s="49">
        <f t="shared" si="2"/>
      </c>
      <c r="X561" s="2">
        <f t="shared" si="3"/>
      </c>
      <c r="Y561" s="2">
        <f t="shared" si="4"/>
      </c>
      <c r="Z561" s="2">
        <f t="shared" si="5"/>
        <v>0</v>
      </c>
      <c r="AA561" s="2">
        <f t="shared" si="6"/>
        <v>0</v>
      </c>
      <c r="AB561" s="2">
        <f t="shared" si="7"/>
        <v>0</v>
      </c>
      <c r="AC561" s="2">
        <f t="shared" si="8"/>
      </c>
    </row>
    <row r="562">
      <c r="A562" s="64" t="n"/>
      <c r="B562" s="65" t="n"/>
      <c r="C562" s="65" t="n"/>
      <c r="D562" s="65" t="n"/>
      <c r="E562" s="65" t="n"/>
      <c r="F562" s="66" t="n"/>
      <c r="G562" s="65" t="n"/>
      <c r="H562" s="66" t="n"/>
      <c r="I562" s="64" t="n"/>
      <c r="J562" s="68" t="n"/>
      <c r="K562" s="68" t="n"/>
      <c r="L562" s="68" t="n"/>
      <c r="M562" s="64" t="n"/>
      <c r="N562" s="64" t="n"/>
      <c r="O562" s="64" t="n"/>
      <c r="P562" s="64" t="n"/>
      <c r="Q562" s="64" t="n"/>
      <c r="R562" s="64" t="n"/>
      <c r="S562" s="66" t="n"/>
      <c r="T562" s="45" t="n"/>
      <c r="U562" s="43">
        <f t="shared" si="0"/>
      </c>
      <c r="V562" s="49">
        <f t="shared" si="1"/>
      </c>
      <c r="W562" s="49">
        <f t="shared" si="2"/>
      </c>
      <c r="X562" s="2">
        <f t="shared" si="3"/>
      </c>
      <c r="Y562" s="2">
        <f t="shared" si="4"/>
      </c>
      <c r="Z562" s="2">
        <f t="shared" si="5"/>
        <v>0</v>
      </c>
      <c r="AA562" s="2">
        <f t="shared" si="6"/>
        <v>0</v>
      </c>
      <c r="AB562" s="2">
        <f t="shared" si="7"/>
        <v>0</v>
      </c>
      <c r="AC562" s="2">
        <f t="shared" si="8"/>
      </c>
    </row>
    <row r="563">
      <c r="A563" s="64" t="n"/>
      <c r="B563" s="65" t="n"/>
      <c r="C563" s="65" t="n"/>
      <c r="D563" s="65" t="n"/>
      <c r="E563" s="65" t="n"/>
      <c r="F563" s="66" t="n"/>
      <c r="G563" s="65" t="n"/>
      <c r="H563" s="66" t="n"/>
      <c r="I563" s="64" t="n"/>
      <c r="J563" s="68" t="n"/>
      <c r="K563" s="68" t="n"/>
      <c r="L563" s="68" t="n"/>
      <c r="M563" s="64" t="n"/>
      <c r="N563" s="64" t="n"/>
      <c r="O563" s="64" t="n"/>
      <c r="P563" s="64" t="n"/>
      <c r="Q563" s="64" t="n"/>
      <c r="R563" s="64" t="n"/>
      <c r="S563" s="66" t="n"/>
      <c r="T563" s="45" t="n"/>
      <c r="U563" s="43">
        <f t="shared" si="0"/>
      </c>
      <c r="V563" s="49">
        <f t="shared" si="1"/>
      </c>
      <c r="W563" s="49">
        <f t="shared" si="2"/>
      </c>
      <c r="X563" s="2">
        <f t="shared" si="3"/>
      </c>
      <c r="Y563" s="2">
        <f t="shared" si="4"/>
      </c>
      <c r="Z563" s="2">
        <f t="shared" si="5"/>
        <v>0</v>
      </c>
      <c r="AA563" s="2">
        <f t="shared" si="6"/>
        <v>0</v>
      </c>
      <c r="AB563" s="2">
        <f t="shared" si="7"/>
        <v>0</v>
      </c>
      <c r="AC563" s="2">
        <f t="shared" si="8"/>
      </c>
    </row>
    <row r="564">
      <c r="A564" s="64" t="n"/>
      <c r="B564" s="65" t="n"/>
      <c r="C564" s="65" t="n"/>
      <c r="D564" s="65" t="n"/>
      <c r="E564" s="65" t="n"/>
      <c r="F564" s="66" t="n"/>
      <c r="G564" s="65" t="n"/>
      <c r="H564" s="66" t="n"/>
      <c r="I564" s="64" t="n"/>
      <c r="J564" s="68" t="n"/>
      <c r="K564" s="68" t="n"/>
      <c r="L564" s="68" t="n"/>
      <c r="M564" s="64" t="n"/>
      <c r="N564" s="64" t="n"/>
      <c r="O564" s="64" t="n"/>
      <c r="P564" s="64" t="n"/>
      <c r="Q564" s="64" t="n"/>
      <c r="R564" s="64" t="n"/>
      <c r="S564" s="66" t="n"/>
      <c r="T564" s="45" t="n"/>
      <c r="U564" s="43">
        <f t="shared" si="0"/>
      </c>
      <c r="V564" s="49">
        <f t="shared" si="1"/>
      </c>
      <c r="W564" s="49">
        <f t="shared" si="2"/>
      </c>
      <c r="X564" s="2">
        <f t="shared" si="3"/>
      </c>
      <c r="Y564" s="2">
        <f t="shared" si="4"/>
      </c>
      <c r="Z564" s="2">
        <f t="shared" si="5"/>
        <v>0</v>
      </c>
      <c r="AA564" s="2">
        <f t="shared" si="6"/>
        <v>0</v>
      </c>
      <c r="AB564" s="2">
        <f t="shared" si="7"/>
        <v>0</v>
      </c>
      <c r="AC564" s="2">
        <f t="shared" si="8"/>
      </c>
    </row>
    <row r="565">
      <c r="A565" s="64" t="n"/>
      <c r="B565" s="65" t="n"/>
      <c r="C565" s="65" t="n"/>
      <c r="D565" s="65" t="n"/>
      <c r="E565" s="65" t="n"/>
      <c r="F565" s="66" t="n"/>
      <c r="G565" s="65" t="n"/>
      <c r="H565" s="66" t="n"/>
      <c r="I565" s="64" t="n"/>
      <c r="J565" s="68" t="n"/>
      <c r="K565" s="68" t="n"/>
      <c r="L565" s="68" t="n"/>
      <c r="M565" s="64" t="n"/>
      <c r="N565" s="64" t="n"/>
      <c r="O565" s="64" t="n"/>
      <c r="P565" s="64" t="n"/>
      <c r="Q565" s="64" t="n"/>
      <c r="R565" s="64" t="n"/>
      <c r="S565" s="66" t="n"/>
      <c r="T565" s="45" t="n"/>
      <c r="U565" s="43">
        <f t="shared" si="0"/>
      </c>
      <c r="V565" s="49">
        <f t="shared" si="1"/>
      </c>
      <c r="W565" s="49">
        <f t="shared" si="2"/>
      </c>
      <c r="X565" s="2">
        <f t="shared" si="3"/>
      </c>
      <c r="Y565" s="2">
        <f t="shared" si="4"/>
      </c>
      <c r="Z565" s="2">
        <f t="shared" si="5"/>
        <v>0</v>
      </c>
      <c r="AA565" s="2">
        <f t="shared" si="6"/>
        <v>0</v>
      </c>
      <c r="AB565" s="2">
        <f t="shared" si="7"/>
        <v>0</v>
      </c>
      <c r="AC565" s="2">
        <f t="shared" si="8"/>
      </c>
    </row>
    <row r="566">
      <c r="A566" s="64" t="n"/>
      <c r="B566" s="65" t="n"/>
      <c r="C566" s="65" t="n"/>
      <c r="D566" s="65" t="n"/>
      <c r="E566" s="65" t="n"/>
      <c r="F566" s="66" t="n"/>
      <c r="G566" s="65" t="n"/>
      <c r="H566" s="66" t="n"/>
      <c r="I566" s="64" t="n"/>
      <c r="J566" s="68" t="n"/>
      <c r="K566" s="68" t="n"/>
      <c r="L566" s="68" t="n"/>
      <c r="M566" s="64" t="n"/>
      <c r="N566" s="64" t="n"/>
      <c r="O566" s="64" t="n"/>
      <c r="P566" s="64" t="n"/>
      <c r="Q566" s="64" t="n"/>
      <c r="R566" s="64" t="n"/>
      <c r="S566" s="66" t="n"/>
      <c r="T566" s="45" t="n"/>
      <c r="U566" s="43">
        <f t="shared" si="0"/>
      </c>
      <c r="V566" s="49">
        <f t="shared" si="1"/>
      </c>
      <c r="W566" s="49">
        <f t="shared" si="2"/>
      </c>
      <c r="X566" s="2">
        <f t="shared" si="3"/>
      </c>
      <c r="Y566" s="2">
        <f t="shared" si="4"/>
      </c>
      <c r="Z566" s="2">
        <f t="shared" si="5"/>
        <v>0</v>
      </c>
      <c r="AA566" s="2">
        <f t="shared" si="6"/>
        <v>0</v>
      </c>
      <c r="AB566" s="2">
        <f t="shared" si="7"/>
        <v>0</v>
      </c>
      <c r="AC566" s="2">
        <f t="shared" si="8"/>
      </c>
    </row>
    <row r="567">
      <c r="A567" s="64" t="n"/>
      <c r="B567" s="65" t="n"/>
      <c r="C567" s="65" t="n"/>
      <c r="D567" s="65" t="n"/>
      <c r="E567" s="65" t="n"/>
      <c r="F567" s="66" t="n"/>
      <c r="G567" s="65" t="n"/>
      <c r="H567" s="66" t="n"/>
      <c r="I567" s="64" t="n"/>
      <c r="J567" s="68" t="n"/>
      <c r="K567" s="68" t="n"/>
      <c r="L567" s="68" t="n"/>
      <c r="M567" s="64" t="n"/>
      <c r="N567" s="64" t="n"/>
      <c r="O567" s="64" t="n"/>
      <c r="P567" s="64" t="n"/>
      <c r="Q567" s="64" t="n"/>
      <c r="R567" s="64" t="n"/>
      <c r="S567" s="66" t="n"/>
      <c r="T567" s="45" t="n"/>
      <c r="U567" s="43">
        <f t="shared" si="0"/>
      </c>
      <c r="V567" s="49">
        <f t="shared" si="1"/>
      </c>
      <c r="W567" s="49">
        <f t="shared" si="2"/>
      </c>
      <c r="X567" s="2">
        <f t="shared" si="3"/>
      </c>
      <c r="Y567" s="2">
        <f t="shared" si="4"/>
      </c>
      <c r="Z567" s="2">
        <f t="shared" si="5"/>
        <v>0</v>
      </c>
      <c r="AA567" s="2">
        <f t="shared" si="6"/>
        <v>0</v>
      </c>
      <c r="AB567" s="2">
        <f t="shared" si="7"/>
        <v>0</v>
      </c>
      <c r="AC567" s="2">
        <f t="shared" si="8"/>
      </c>
    </row>
    <row r="568">
      <c r="A568" s="64" t="n"/>
      <c r="B568" s="65" t="n"/>
      <c r="C568" s="65" t="n"/>
      <c r="D568" s="65" t="n"/>
      <c r="E568" s="65" t="n"/>
      <c r="F568" s="66" t="n"/>
      <c r="G568" s="65" t="n"/>
      <c r="H568" s="66" t="n"/>
      <c r="I568" s="64" t="n"/>
      <c r="J568" s="68" t="n"/>
      <c r="K568" s="68" t="n"/>
      <c r="L568" s="68" t="n"/>
      <c r="M568" s="64" t="n"/>
      <c r="N568" s="64" t="n"/>
      <c r="O568" s="64" t="n"/>
      <c r="P568" s="64" t="n"/>
      <c r="Q568" s="64" t="n"/>
      <c r="R568" s="64" t="n"/>
      <c r="S568" s="66" t="n"/>
      <c r="T568" s="45" t="n"/>
      <c r="U568" s="43">
        <f t="shared" si="0"/>
      </c>
      <c r="V568" s="49">
        <f t="shared" si="1"/>
      </c>
      <c r="W568" s="49">
        <f t="shared" si="2"/>
      </c>
      <c r="X568" s="2">
        <f t="shared" si="3"/>
      </c>
      <c r="Y568" s="2">
        <f t="shared" si="4"/>
      </c>
      <c r="Z568" s="2">
        <f t="shared" si="5"/>
        <v>0</v>
      </c>
      <c r="AA568" s="2">
        <f t="shared" si="6"/>
        <v>0</v>
      </c>
      <c r="AB568" s="2">
        <f t="shared" si="7"/>
        <v>0</v>
      </c>
      <c r="AC568" s="2">
        <f t="shared" si="8"/>
      </c>
    </row>
    <row r="569">
      <c r="A569" s="64" t="n"/>
      <c r="B569" s="65" t="n"/>
      <c r="C569" s="65" t="n"/>
      <c r="D569" s="65" t="n"/>
      <c r="E569" s="65" t="n"/>
      <c r="F569" s="66" t="n"/>
      <c r="G569" s="65" t="n"/>
      <c r="H569" s="66" t="n"/>
      <c r="I569" s="64" t="n"/>
      <c r="J569" s="68" t="n"/>
      <c r="K569" s="68" t="n"/>
      <c r="L569" s="68" t="n"/>
      <c r="M569" s="64" t="n"/>
      <c r="N569" s="64" t="n"/>
      <c r="O569" s="64" t="n"/>
      <c r="P569" s="64" t="n"/>
      <c r="Q569" s="64" t="n"/>
      <c r="R569" s="64" t="n"/>
      <c r="S569" s="66" t="n"/>
      <c r="T569" s="45" t="n"/>
      <c r="U569" s="43">
        <f t="shared" si="0"/>
      </c>
      <c r="V569" s="49">
        <f t="shared" si="1"/>
      </c>
      <c r="W569" s="49">
        <f t="shared" si="2"/>
      </c>
      <c r="X569" s="2">
        <f t="shared" si="3"/>
      </c>
      <c r="Y569" s="2">
        <f t="shared" si="4"/>
      </c>
      <c r="Z569" s="2">
        <f t="shared" si="5"/>
        <v>0</v>
      </c>
      <c r="AA569" s="2">
        <f t="shared" si="6"/>
        <v>0</v>
      </c>
      <c r="AB569" s="2">
        <f t="shared" si="7"/>
        <v>0</v>
      </c>
      <c r="AC569" s="2">
        <f t="shared" si="8"/>
      </c>
    </row>
    <row r="570">
      <c r="A570" s="64" t="n"/>
      <c r="B570" s="65" t="n"/>
      <c r="C570" s="65" t="n"/>
      <c r="D570" s="65" t="n"/>
      <c r="E570" s="65" t="n"/>
      <c r="F570" s="66" t="n"/>
      <c r="G570" s="65" t="n"/>
      <c r="H570" s="66" t="n"/>
      <c r="I570" s="64" t="n"/>
      <c r="J570" s="68" t="n"/>
      <c r="K570" s="68" t="n"/>
      <c r="L570" s="68" t="n"/>
      <c r="M570" s="64" t="n"/>
      <c r="N570" s="64" t="n"/>
      <c r="O570" s="64" t="n"/>
      <c r="P570" s="64" t="n"/>
      <c r="Q570" s="64" t="n"/>
      <c r="R570" s="64" t="n"/>
      <c r="S570" s="66" t="n"/>
      <c r="T570" s="45" t="n"/>
      <c r="U570" s="43">
        <f t="shared" si="0"/>
      </c>
      <c r="V570" s="49">
        <f t="shared" si="1"/>
      </c>
      <c r="W570" s="49">
        <f t="shared" si="2"/>
      </c>
      <c r="X570" s="2">
        <f t="shared" si="3"/>
      </c>
      <c r="Y570" s="2">
        <f t="shared" si="4"/>
      </c>
      <c r="Z570" s="2">
        <f t="shared" si="5"/>
        <v>0</v>
      </c>
      <c r="AA570" s="2">
        <f t="shared" si="6"/>
        <v>0</v>
      </c>
      <c r="AB570" s="2">
        <f t="shared" si="7"/>
        <v>0</v>
      </c>
      <c r="AC570" s="2">
        <f t="shared" si="8"/>
      </c>
    </row>
    <row r="571">
      <c r="A571" s="64" t="n"/>
      <c r="B571" s="65" t="n"/>
      <c r="C571" s="65" t="n"/>
      <c r="D571" s="65" t="n"/>
      <c r="E571" s="65" t="n"/>
      <c r="F571" s="66" t="n"/>
      <c r="G571" s="65" t="n"/>
      <c r="H571" s="66" t="n"/>
      <c r="I571" s="64" t="n"/>
      <c r="J571" s="68" t="n"/>
      <c r="K571" s="68" t="n"/>
      <c r="L571" s="68" t="n"/>
      <c r="M571" s="64" t="n"/>
      <c r="N571" s="64" t="n"/>
      <c r="O571" s="64" t="n"/>
      <c r="P571" s="64" t="n"/>
      <c r="Q571" s="64" t="n"/>
      <c r="R571" s="64" t="n"/>
      <c r="S571" s="66" t="n"/>
      <c r="T571" s="45" t="n"/>
      <c r="U571" s="43">
        <f t="shared" si="0"/>
      </c>
      <c r="V571" s="49">
        <f t="shared" si="1"/>
      </c>
      <c r="W571" s="49">
        <f t="shared" si="2"/>
      </c>
      <c r="X571" s="2">
        <f t="shared" si="3"/>
      </c>
      <c r="Y571" s="2">
        <f t="shared" si="4"/>
      </c>
      <c r="Z571" s="2">
        <f t="shared" si="5"/>
        <v>0</v>
      </c>
      <c r="AA571" s="2">
        <f t="shared" si="6"/>
        <v>0</v>
      </c>
      <c r="AB571" s="2">
        <f t="shared" si="7"/>
        <v>0</v>
      </c>
      <c r="AC571" s="2">
        <f t="shared" si="8"/>
      </c>
    </row>
    <row r="572">
      <c r="A572" s="64" t="n"/>
      <c r="B572" s="65" t="n"/>
      <c r="C572" s="65" t="n"/>
      <c r="D572" s="65" t="n"/>
      <c r="E572" s="65" t="n"/>
      <c r="F572" s="66" t="n"/>
      <c r="G572" s="65" t="n"/>
      <c r="H572" s="66" t="n"/>
      <c r="I572" s="64" t="n"/>
      <c r="J572" s="68" t="n"/>
      <c r="K572" s="68" t="n"/>
      <c r="L572" s="68" t="n"/>
      <c r="M572" s="64" t="n"/>
      <c r="N572" s="64" t="n"/>
      <c r="O572" s="64" t="n"/>
      <c r="P572" s="64" t="n"/>
      <c r="Q572" s="64" t="n"/>
      <c r="R572" s="64" t="n"/>
      <c r="S572" s="66" t="n"/>
      <c r="T572" s="45" t="n"/>
      <c r="U572" s="43">
        <f t="shared" si="0"/>
      </c>
      <c r="V572" s="49">
        <f t="shared" si="1"/>
      </c>
      <c r="W572" s="49">
        <f t="shared" si="2"/>
      </c>
      <c r="X572" s="2">
        <f t="shared" si="3"/>
      </c>
      <c r="Y572" s="2">
        <f t="shared" si="4"/>
      </c>
      <c r="Z572" s="2">
        <f t="shared" si="5"/>
        <v>0</v>
      </c>
      <c r="AA572" s="2">
        <f t="shared" si="6"/>
        <v>0</v>
      </c>
      <c r="AB572" s="2">
        <f t="shared" si="7"/>
        <v>0</v>
      </c>
      <c r="AC572" s="2">
        <f t="shared" si="8"/>
      </c>
    </row>
    <row r="573">
      <c r="A573" s="64" t="n"/>
      <c r="B573" s="65" t="n"/>
      <c r="C573" s="65" t="n"/>
      <c r="D573" s="65" t="n"/>
      <c r="E573" s="65" t="n"/>
      <c r="F573" s="66" t="n"/>
      <c r="G573" s="65" t="n"/>
      <c r="H573" s="66" t="n"/>
      <c r="I573" s="64" t="n"/>
      <c r="J573" s="68" t="n"/>
      <c r="K573" s="68" t="n"/>
      <c r="L573" s="68" t="n"/>
      <c r="M573" s="64" t="n"/>
      <c r="N573" s="64" t="n"/>
      <c r="O573" s="64" t="n"/>
      <c r="P573" s="64" t="n"/>
      <c r="Q573" s="64" t="n"/>
      <c r="R573" s="64" t="n"/>
      <c r="S573" s="66" t="n"/>
      <c r="T573" s="45" t="n"/>
      <c r="U573" s="43">
        <f t="shared" si="0"/>
      </c>
      <c r="V573" s="49">
        <f t="shared" si="1"/>
      </c>
      <c r="W573" s="49">
        <f t="shared" si="2"/>
      </c>
      <c r="X573" s="2">
        <f t="shared" si="3"/>
      </c>
      <c r="Y573" s="2">
        <f t="shared" si="4"/>
      </c>
      <c r="Z573" s="2">
        <f t="shared" si="5"/>
        <v>0</v>
      </c>
      <c r="AA573" s="2">
        <f t="shared" si="6"/>
        <v>0</v>
      </c>
      <c r="AB573" s="2">
        <f t="shared" si="7"/>
        <v>0</v>
      </c>
      <c r="AC573" s="2">
        <f t="shared" si="8"/>
      </c>
    </row>
    <row r="574">
      <c r="A574" s="64" t="n"/>
      <c r="B574" s="65" t="n"/>
      <c r="C574" s="65" t="n"/>
      <c r="D574" s="65" t="n"/>
      <c r="E574" s="65" t="n"/>
      <c r="F574" s="66" t="n"/>
      <c r="G574" s="65" t="n"/>
      <c r="H574" s="66" t="n"/>
      <c r="I574" s="64" t="n"/>
      <c r="J574" s="68" t="n"/>
      <c r="K574" s="68" t="n"/>
      <c r="L574" s="68" t="n"/>
      <c r="M574" s="64" t="n"/>
      <c r="N574" s="64" t="n"/>
      <c r="O574" s="64" t="n"/>
      <c r="P574" s="64" t="n"/>
      <c r="Q574" s="64" t="n"/>
      <c r="R574" s="64" t="n"/>
      <c r="S574" s="66" t="n"/>
      <c r="T574" s="45" t="n"/>
      <c r="U574" s="43">
        <f t="shared" si="0"/>
      </c>
      <c r="V574" s="49">
        <f t="shared" si="1"/>
      </c>
      <c r="W574" s="49">
        <f t="shared" si="2"/>
      </c>
      <c r="X574" s="2">
        <f t="shared" si="3"/>
      </c>
      <c r="Y574" s="2">
        <f t="shared" si="4"/>
      </c>
      <c r="Z574" s="2">
        <f t="shared" si="5"/>
        <v>0</v>
      </c>
      <c r="AA574" s="2">
        <f t="shared" si="6"/>
        <v>0</v>
      </c>
      <c r="AB574" s="2">
        <f t="shared" si="7"/>
        <v>0</v>
      </c>
      <c r="AC574" s="2">
        <f t="shared" si="8"/>
      </c>
    </row>
    <row r="575">
      <c r="A575" s="64" t="n"/>
      <c r="B575" s="65" t="n"/>
      <c r="C575" s="65" t="n"/>
      <c r="D575" s="65" t="n"/>
      <c r="E575" s="65" t="n"/>
      <c r="F575" s="66" t="n"/>
      <c r="G575" s="65" t="n"/>
      <c r="H575" s="66" t="n"/>
      <c r="I575" s="64" t="n"/>
      <c r="J575" s="68" t="n"/>
      <c r="K575" s="68" t="n"/>
      <c r="L575" s="68" t="n"/>
      <c r="M575" s="64" t="n"/>
      <c r="N575" s="64" t="n"/>
      <c r="O575" s="64" t="n"/>
      <c r="P575" s="64" t="n"/>
      <c r="Q575" s="64" t="n"/>
      <c r="R575" s="64" t="n"/>
      <c r="S575" s="66" t="n"/>
      <c r="T575" s="45" t="n"/>
      <c r="U575" s="43">
        <f t="shared" si="0"/>
      </c>
      <c r="V575" s="49">
        <f t="shared" si="1"/>
      </c>
      <c r="W575" s="49">
        <f t="shared" si="2"/>
      </c>
      <c r="X575" s="2">
        <f t="shared" si="3"/>
      </c>
      <c r="Y575" s="2">
        <f t="shared" si="4"/>
      </c>
      <c r="Z575" s="2">
        <f t="shared" si="5"/>
        <v>0</v>
      </c>
      <c r="AA575" s="2">
        <f t="shared" si="6"/>
        <v>0</v>
      </c>
      <c r="AB575" s="2">
        <f t="shared" si="7"/>
        <v>0</v>
      </c>
      <c r="AC575" s="2">
        <f t="shared" si="8"/>
      </c>
    </row>
    <row r="576">
      <c r="A576" s="64" t="n"/>
      <c r="B576" s="65" t="n"/>
      <c r="C576" s="65" t="n"/>
      <c r="D576" s="65" t="n"/>
      <c r="E576" s="65" t="n"/>
      <c r="F576" s="66" t="n"/>
      <c r="G576" s="65" t="n"/>
      <c r="H576" s="66" t="n"/>
      <c r="I576" s="64" t="n"/>
      <c r="J576" s="68" t="n"/>
      <c r="K576" s="68" t="n"/>
      <c r="L576" s="68" t="n"/>
      <c r="M576" s="64" t="n"/>
      <c r="N576" s="64" t="n"/>
      <c r="O576" s="64" t="n"/>
      <c r="P576" s="64" t="n"/>
      <c r="Q576" s="64" t="n"/>
      <c r="R576" s="64" t="n"/>
      <c r="S576" s="66" t="n"/>
      <c r="T576" s="45" t="n"/>
      <c r="U576" s="43">
        <f t="shared" si="0"/>
      </c>
      <c r="V576" s="49">
        <f t="shared" si="1"/>
      </c>
      <c r="W576" s="49">
        <f t="shared" si="2"/>
      </c>
      <c r="X576" s="2">
        <f t="shared" si="3"/>
      </c>
      <c r="Y576" s="2">
        <f t="shared" si="4"/>
      </c>
      <c r="Z576" s="2">
        <f t="shared" si="5"/>
        <v>0</v>
      </c>
      <c r="AA576" s="2">
        <f t="shared" si="6"/>
        <v>0</v>
      </c>
      <c r="AB576" s="2">
        <f t="shared" si="7"/>
        <v>0</v>
      </c>
      <c r="AC576" s="2">
        <f t="shared" si="8"/>
      </c>
    </row>
    <row r="577">
      <c r="A577" s="64" t="n"/>
      <c r="B577" s="65" t="n"/>
      <c r="C577" s="65" t="n"/>
      <c r="D577" s="65" t="n"/>
      <c r="E577" s="65" t="n"/>
      <c r="F577" s="66" t="n"/>
      <c r="G577" s="65" t="n"/>
      <c r="H577" s="66" t="n"/>
      <c r="I577" s="64" t="n"/>
      <c r="J577" s="68" t="n"/>
      <c r="K577" s="68" t="n"/>
      <c r="L577" s="68" t="n"/>
      <c r="M577" s="64" t="n"/>
      <c r="N577" s="64" t="n"/>
      <c r="O577" s="64" t="n"/>
      <c r="P577" s="64" t="n"/>
      <c r="Q577" s="64" t="n"/>
      <c r="R577" s="64" t="n"/>
      <c r="S577" s="66" t="n"/>
      <c r="T577" s="45" t="n"/>
      <c r="U577" s="43">
        <f t="shared" si="0"/>
      </c>
      <c r="V577" s="49">
        <f t="shared" si="1"/>
      </c>
      <c r="W577" s="49">
        <f t="shared" si="2"/>
      </c>
      <c r="X577" s="2">
        <f t="shared" si="3"/>
      </c>
      <c r="Y577" s="2">
        <f t="shared" si="4"/>
      </c>
      <c r="Z577" s="2">
        <f t="shared" si="5"/>
        <v>0</v>
      </c>
      <c r="AA577" s="2">
        <f t="shared" si="6"/>
        <v>0</v>
      </c>
      <c r="AB577" s="2">
        <f t="shared" si="7"/>
        <v>0</v>
      </c>
      <c r="AC577" s="2">
        <f t="shared" si="8"/>
      </c>
    </row>
    <row r="578">
      <c r="A578" s="64" t="n"/>
      <c r="B578" s="65" t="n"/>
      <c r="C578" s="65" t="n"/>
      <c r="D578" s="65" t="n"/>
      <c r="E578" s="65" t="n"/>
      <c r="F578" s="66" t="n"/>
      <c r="G578" s="65" t="n"/>
      <c r="H578" s="66" t="n"/>
      <c r="I578" s="64" t="n"/>
      <c r="J578" s="68" t="n"/>
      <c r="K578" s="68" t="n"/>
      <c r="L578" s="68" t="n"/>
      <c r="M578" s="64" t="n"/>
      <c r="N578" s="64" t="n"/>
      <c r="O578" s="64" t="n"/>
      <c r="P578" s="64" t="n"/>
      <c r="Q578" s="64" t="n"/>
      <c r="R578" s="64" t="n"/>
      <c r="S578" s="66" t="n"/>
      <c r="T578" s="45" t="n"/>
      <c r="U578" s="43">
        <f t="shared" si="0"/>
      </c>
      <c r="V578" s="49">
        <f t="shared" si="1"/>
      </c>
      <c r="W578" s="49">
        <f t="shared" si="2"/>
      </c>
      <c r="X578" s="2">
        <f t="shared" si="3"/>
      </c>
      <c r="Y578" s="2">
        <f t="shared" si="4"/>
      </c>
      <c r="Z578" s="2">
        <f t="shared" si="5"/>
        <v>0</v>
      </c>
      <c r="AA578" s="2">
        <f t="shared" si="6"/>
        <v>0</v>
      </c>
      <c r="AB578" s="2">
        <f t="shared" si="7"/>
        <v>0</v>
      </c>
      <c r="AC578" s="2">
        <f t="shared" si="8"/>
      </c>
    </row>
    <row r="579">
      <c r="A579" s="64" t="n"/>
      <c r="B579" s="65" t="n"/>
      <c r="C579" s="65" t="n"/>
      <c r="D579" s="65" t="n"/>
      <c r="E579" s="65" t="n"/>
      <c r="F579" s="66" t="n"/>
      <c r="G579" s="65" t="n"/>
      <c r="H579" s="66" t="n"/>
      <c r="I579" s="64" t="n"/>
      <c r="J579" s="68" t="n"/>
      <c r="K579" s="68" t="n"/>
      <c r="L579" s="68" t="n"/>
      <c r="M579" s="64" t="n"/>
      <c r="N579" s="64" t="n"/>
      <c r="O579" s="64" t="n"/>
      <c r="P579" s="64" t="n"/>
      <c r="Q579" s="64" t="n"/>
      <c r="R579" s="64" t="n"/>
      <c r="S579" s="66" t="n"/>
      <c r="T579" s="45" t="n"/>
      <c r="U579" s="43">
        <f t="shared" si="0"/>
      </c>
      <c r="V579" s="49">
        <f t="shared" si="1"/>
      </c>
      <c r="W579" s="49">
        <f t="shared" si="2"/>
      </c>
      <c r="X579" s="2">
        <f t="shared" si="3"/>
      </c>
      <c r="Y579" s="2">
        <f t="shared" si="4"/>
      </c>
      <c r="Z579" s="2">
        <f t="shared" si="5"/>
        <v>0</v>
      </c>
      <c r="AA579" s="2">
        <f t="shared" si="6"/>
        <v>0</v>
      </c>
      <c r="AB579" s="2">
        <f t="shared" si="7"/>
        <v>0</v>
      </c>
      <c r="AC579" s="2">
        <f t="shared" si="8"/>
      </c>
    </row>
    <row r="580">
      <c r="A580" s="64" t="n"/>
      <c r="B580" s="65" t="n"/>
      <c r="C580" s="65" t="n"/>
      <c r="D580" s="65" t="n"/>
      <c r="E580" s="65" t="n"/>
      <c r="F580" s="66" t="n"/>
      <c r="G580" s="65" t="n"/>
      <c r="H580" s="66" t="n"/>
      <c r="I580" s="64" t="n"/>
      <c r="J580" s="68" t="n"/>
      <c r="K580" s="68" t="n"/>
      <c r="L580" s="68" t="n"/>
      <c r="M580" s="64" t="n"/>
      <c r="N580" s="64" t="n"/>
      <c r="O580" s="64" t="n"/>
      <c r="P580" s="64" t="n"/>
      <c r="Q580" s="64" t="n"/>
      <c r="R580" s="64" t="n"/>
      <c r="S580" s="66" t="n"/>
      <c r="T580" s="45" t="n"/>
      <c r="U580" s="43">
        <f t="shared" si="0"/>
      </c>
      <c r="V580" s="49">
        <f t="shared" si="1"/>
      </c>
      <c r="W580" s="49">
        <f t="shared" si="2"/>
      </c>
      <c r="X580" s="2">
        <f t="shared" si="3"/>
      </c>
      <c r="Y580" s="2">
        <f t="shared" si="4"/>
      </c>
      <c r="Z580" s="2">
        <f t="shared" si="5"/>
        <v>0</v>
      </c>
      <c r="AA580" s="2">
        <f t="shared" si="6"/>
        <v>0</v>
      </c>
      <c r="AB580" s="2">
        <f t="shared" si="7"/>
        <v>0</v>
      </c>
      <c r="AC580" s="2">
        <f t="shared" si="8"/>
      </c>
    </row>
    <row r="581">
      <c r="A581" s="64" t="n"/>
      <c r="B581" s="65" t="n"/>
      <c r="C581" s="65" t="n"/>
      <c r="D581" s="65" t="n"/>
      <c r="E581" s="65" t="n"/>
      <c r="F581" s="66" t="n"/>
      <c r="G581" s="65" t="n"/>
      <c r="H581" s="66" t="n"/>
      <c r="I581" s="64" t="n"/>
      <c r="J581" s="68" t="n"/>
      <c r="K581" s="68" t="n"/>
      <c r="L581" s="68" t="n"/>
      <c r="M581" s="64" t="n"/>
      <c r="N581" s="64" t="n"/>
      <c r="O581" s="64" t="n"/>
      <c r="P581" s="64" t="n"/>
      <c r="Q581" s="64" t="n"/>
      <c r="R581" s="64" t="n"/>
      <c r="S581" s="66" t="n"/>
      <c r="T581" s="45" t="n"/>
      <c r="U581" s="43">
        <f t="shared" si="0"/>
      </c>
      <c r="V581" s="49">
        <f t="shared" si="1"/>
      </c>
      <c r="W581" s="49">
        <f t="shared" si="2"/>
      </c>
      <c r="X581" s="2">
        <f t="shared" si="3"/>
      </c>
      <c r="Y581" s="2">
        <f t="shared" si="4"/>
      </c>
      <c r="Z581" s="2">
        <f t="shared" si="5"/>
        <v>0</v>
      </c>
      <c r="AA581" s="2">
        <f t="shared" si="6"/>
        <v>0</v>
      </c>
      <c r="AB581" s="2">
        <f t="shared" si="7"/>
        <v>0</v>
      </c>
      <c r="AC581" s="2">
        <f t="shared" si="8"/>
      </c>
    </row>
    <row r="582">
      <c r="A582" s="64" t="n"/>
      <c r="B582" s="65" t="n"/>
      <c r="C582" s="65" t="n"/>
      <c r="D582" s="65" t="n"/>
      <c r="E582" s="65" t="n"/>
      <c r="F582" s="66" t="n"/>
      <c r="G582" s="65" t="n"/>
      <c r="H582" s="66" t="n"/>
      <c r="I582" s="64" t="n"/>
      <c r="J582" s="68" t="n"/>
      <c r="K582" s="68" t="n"/>
      <c r="L582" s="68" t="n"/>
      <c r="M582" s="64" t="n"/>
      <c r="N582" s="64" t="n"/>
      <c r="O582" s="64" t="n"/>
      <c r="P582" s="64" t="n"/>
      <c r="Q582" s="64" t="n"/>
      <c r="R582" s="64" t="n"/>
      <c r="S582" s="66" t="n"/>
      <c r="T582" s="45" t="n"/>
      <c r="U582" s="43">
        <f t="shared" si="0"/>
      </c>
      <c r="V582" s="49">
        <f t="shared" si="1"/>
      </c>
      <c r="W582" s="49">
        <f t="shared" si="2"/>
      </c>
      <c r="X582" s="2">
        <f t="shared" si="3"/>
      </c>
      <c r="Y582" s="2">
        <f t="shared" si="4"/>
      </c>
      <c r="Z582" s="2">
        <f t="shared" si="5"/>
        <v>0</v>
      </c>
      <c r="AA582" s="2">
        <f t="shared" si="6"/>
        <v>0</v>
      </c>
      <c r="AB582" s="2">
        <f t="shared" si="7"/>
        <v>0</v>
      </c>
      <c r="AC582" s="2">
        <f t="shared" si="8"/>
      </c>
    </row>
    <row r="583">
      <c r="A583" s="64" t="n"/>
      <c r="B583" s="65" t="n"/>
      <c r="C583" s="65" t="n"/>
      <c r="D583" s="65" t="n"/>
      <c r="E583" s="65" t="n"/>
      <c r="F583" s="66" t="n"/>
      <c r="G583" s="65" t="n"/>
      <c r="H583" s="66" t="n"/>
      <c r="I583" s="64" t="n"/>
      <c r="J583" s="68" t="n"/>
      <c r="K583" s="68" t="n"/>
      <c r="L583" s="68" t="n"/>
      <c r="M583" s="64" t="n"/>
      <c r="N583" s="64" t="n"/>
      <c r="O583" s="64" t="n"/>
      <c r="P583" s="64" t="n"/>
      <c r="Q583" s="64" t="n"/>
      <c r="R583" s="64" t="n"/>
      <c r="S583" s="66" t="n"/>
      <c r="T583" s="45" t="n"/>
      <c r="U583" s="43">
        <f t="shared" si="0"/>
      </c>
      <c r="V583" s="49">
        <f t="shared" si="1"/>
      </c>
      <c r="W583" s="49">
        <f t="shared" si="2"/>
      </c>
      <c r="X583" s="2">
        <f t="shared" si="3"/>
      </c>
      <c r="Y583" s="2">
        <f t="shared" si="4"/>
      </c>
      <c r="Z583" s="2">
        <f t="shared" si="5"/>
        <v>0</v>
      </c>
      <c r="AA583" s="2">
        <f t="shared" si="6"/>
        <v>0</v>
      </c>
      <c r="AB583" s="2">
        <f t="shared" si="7"/>
        <v>0</v>
      </c>
      <c r="AC583" s="2">
        <f t="shared" si="8"/>
      </c>
    </row>
    <row r="584">
      <c r="A584" s="64" t="n"/>
      <c r="B584" s="65" t="n"/>
      <c r="C584" s="65" t="n"/>
      <c r="D584" s="65" t="n"/>
      <c r="E584" s="65" t="n"/>
      <c r="F584" s="66" t="n"/>
      <c r="G584" s="65" t="n"/>
      <c r="H584" s="66" t="n"/>
      <c r="I584" s="64" t="n"/>
      <c r="J584" s="68" t="n"/>
      <c r="K584" s="68" t="n"/>
      <c r="L584" s="68" t="n"/>
      <c r="M584" s="64" t="n"/>
      <c r="N584" s="64" t="n"/>
      <c r="O584" s="64" t="n"/>
      <c r="P584" s="64" t="n"/>
      <c r="Q584" s="64" t="n"/>
      <c r="R584" s="64" t="n"/>
      <c r="S584" s="66" t="n"/>
      <c r="T584" s="45" t="n"/>
      <c r="U584" s="43">
        <f t="shared" si="0"/>
      </c>
      <c r="V584" s="49">
        <f t="shared" si="1"/>
      </c>
      <c r="W584" s="49">
        <f t="shared" si="2"/>
      </c>
      <c r="X584" s="2">
        <f t="shared" si="3"/>
      </c>
      <c r="Y584" s="2">
        <f t="shared" si="4"/>
      </c>
      <c r="Z584" s="2">
        <f t="shared" si="5"/>
        <v>0</v>
      </c>
      <c r="AA584" s="2">
        <f t="shared" si="6"/>
        <v>0</v>
      </c>
      <c r="AB584" s="2">
        <f t="shared" si="7"/>
        <v>0</v>
      </c>
      <c r="AC584" s="2">
        <f t="shared" si="8"/>
      </c>
    </row>
    <row r="585">
      <c r="A585" s="64" t="n"/>
      <c r="B585" s="65" t="n"/>
      <c r="C585" s="65" t="n"/>
      <c r="D585" s="65" t="n"/>
      <c r="E585" s="65" t="n"/>
      <c r="F585" s="66" t="n"/>
      <c r="G585" s="65" t="n"/>
      <c r="H585" s="66" t="n"/>
      <c r="I585" s="64" t="n"/>
      <c r="J585" s="68" t="n"/>
      <c r="K585" s="68" t="n"/>
      <c r="L585" s="68" t="n"/>
      <c r="M585" s="64" t="n"/>
      <c r="N585" s="64" t="n"/>
      <c r="O585" s="64" t="n"/>
      <c r="P585" s="64" t="n"/>
      <c r="Q585" s="64" t="n"/>
      <c r="R585" s="64" t="n"/>
      <c r="S585" s="66" t="n"/>
      <c r="T585" s="45" t="n"/>
      <c r="U585" s="43">
        <f t="shared" si="0"/>
      </c>
      <c r="V585" s="49">
        <f t="shared" si="1"/>
      </c>
      <c r="W585" s="49">
        <f t="shared" si="2"/>
      </c>
      <c r="X585" s="2">
        <f t="shared" si="3"/>
      </c>
      <c r="Y585" s="2">
        <f t="shared" si="4"/>
      </c>
      <c r="Z585" s="2">
        <f t="shared" si="5"/>
        <v>0</v>
      </c>
      <c r="AA585" s="2">
        <f t="shared" si="6"/>
        <v>0</v>
      </c>
      <c r="AB585" s="2">
        <f t="shared" si="7"/>
        <v>0</v>
      </c>
      <c r="AC585" s="2">
        <f t="shared" si="8"/>
      </c>
    </row>
    <row r="586">
      <c r="A586" s="64" t="n"/>
      <c r="B586" s="65" t="n"/>
      <c r="C586" s="65" t="n"/>
      <c r="D586" s="65" t="n"/>
      <c r="E586" s="65" t="n"/>
      <c r="F586" s="66" t="n"/>
      <c r="G586" s="65" t="n"/>
      <c r="H586" s="66" t="n"/>
      <c r="I586" s="64" t="n"/>
      <c r="J586" s="68" t="n"/>
      <c r="K586" s="68" t="n"/>
      <c r="L586" s="68" t="n"/>
      <c r="M586" s="64" t="n"/>
      <c r="N586" s="64" t="n"/>
      <c r="O586" s="64" t="n"/>
      <c r="P586" s="64" t="n"/>
      <c r="Q586" s="64" t="n"/>
      <c r="R586" s="64" t="n"/>
      <c r="S586" s="66" t="n"/>
      <c r="T586" s="45" t="n"/>
      <c r="U586" s="43">
        <f t="shared" si="0"/>
      </c>
      <c r="V586" s="49">
        <f t="shared" si="1"/>
      </c>
      <c r="W586" s="49">
        <f t="shared" si="2"/>
      </c>
      <c r="X586" s="2">
        <f t="shared" si="3"/>
      </c>
      <c r="Y586" s="2">
        <f t="shared" si="4"/>
      </c>
      <c r="Z586" s="2">
        <f t="shared" si="5"/>
        <v>0</v>
      </c>
      <c r="AA586" s="2">
        <f t="shared" si="6"/>
        <v>0</v>
      </c>
      <c r="AB586" s="2">
        <f t="shared" si="7"/>
        <v>0</v>
      </c>
      <c r="AC586" s="2">
        <f t="shared" si="8"/>
      </c>
    </row>
    <row r="587">
      <c r="A587" s="64" t="n"/>
      <c r="B587" s="65" t="n"/>
      <c r="C587" s="65" t="n"/>
      <c r="D587" s="65" t="n"/>
      <c r="E587" s="65" t="n"/>
      <c r="F587" s="66" t="n"/>
      <c r="G587" s="65" t="n"/>
      <c r="H587" s="66" t="n"/>
      <c r="I587" s="64" t="n"/>
      <c r="J587" s="68" t="n"/>
      <c r="K587" s="68" t="n"/>
      <c r="L587" s="68" t="n"/>
      <c r="M587" s="64" t="n"/>
      <c r="N587" s="64" t="n"/>
      <c r="O587" s="64" t="n"/>
      <c r="P587" s="64" t="n"/>
      <c r="Q587" s="64" t="n"/>
      <c r="R587" s="64" t="n"/>
      <c r="S587" s="66" t="n"/>
      <c r="T587" s="45" t="n"/>
      <c r="U587" s="43">
        <f t="shared" si="0"/>
      </c>
      <c r="V587" s="49">
        <f t="shared" si="1"/>
      </c>
      <c r="W587" s="49">
        <f t="shared" si="2"/>
      </c>
      <c r="X587" s="2">
        <f t="shared" si="3"/>
      </c>
      <c r="Y587" s="2">
        <f t="shared" si="4"/>
      </c>
      <c r="Z587" s="2">
        <f t="shared" si="5"/>
        <v>0</v>
      </c>
      <c r="AA587" s="2">
        <f t="shared" si="6"/>
        <v>0</v>
      </c>
      <c r="AB587" s="2">
        <f t="shared" si="7"/>
        <v>0</v>
      </c>
      <c r="AC587" s="2">
        <f t="shared" si="8"/>
      </c>
    </row>
    <row r="588">
      <c r="A588" s="64" t="n"/>
      <c r="B588" s="65" t="n"/>
      <c r="C588" s="65" t="n"/>
      <c r="D588" s="65" t="n"/>
      <c r="E588" s="65" t="n"/>
      <c r="F588" s="66" t="n"/>
      <c r="G588" s="65" t="n"/>
      <c r="H588" s="66" t="n"/>
      <c r="I588" s="64" t="n"/>
      <c r="J588" s="68" t="n"/>
      <c r="K588" s="68" t="n"/>
      <c r="L588" s="68" t="n"/>
      <c r="M588" s="64" t="n"/>
      <c r="N588" s="64" t="n"/>
      <c r="O588" s="64" t="n"/>
      <c r="P588" s="64" t="n"/>
      <c r="Q588" s="64" t="n"/>
      <c r="R588" s="64" t="n"/>
      <c r="S588" s="66" t="n"/>
      <c r="T588" s="45" t="n"/>
      <c r="U588" s="43">
        <f t="shared" si="0"/>
      </c>
      <c r="V588" s="49">
        <f t="shared" si="1"/>
      </c>
      <c r="W588" s="49">
        <f t="shared" si="2"/>
      </c>
      <c r="X588" s="2">
        <f t="shared" si="3"/>
      </c>
      <c r="Y588" s="2">
        <f t="shared" si="4"/>
      </c>
      <c r="Z588" s="2">
        <f t="shared" si="5"/>
        <v>0</v>
      </c>
      <c r="AA588" s="2">
        <f t="shared" si="6"/>
        <v>0</v>
      </c>
      <c r="AB588" s="2">
        <f t="shared" si="7"/>
        <v>0</v>
      </c>
      <c r="AC588" s="2">
        <f t="shared" si="8"/>
      </c>
    </row>
    <row r="589">
      <c r="A589" s="64" t="n"/>
      <c r="B589" s="65" t="n"/>
      <c r="C589" s="65" t="n"/>
      <c r="D589" s="65" t="n"/>
      <c r="E589" s="65" t="n"/>
      <c r="F589" s="66" t="n"/>
      <c r="G589" s="65" t="n"/>
      <c r="H589" s="66" t="n"/>
      <c r="I589" s="64" t="n"/>
      <c r="J589" s="68" t="n"/>
      <c r="K589" s="68" t="n"/>
      <c r="L589" s="68" t="n"/>
      <c r="M589" s="64" t="n"/>
      <c r="N589" s="64" t="n"/>
      <c r="O589" s="64" t="n"/>
      <c r="P589" s="64" t="n"/>
      <c r="Q589" s="64" t="n"/>
      <c r="R589" s="64" t="n"/>
      <c r="S589" s="66" t="n"/>
      <c r="T589" s="45" t="n"/>
      <c r="U589" s="43">
        <f t="shared" si="0"/>
      </c>
      <c r="V589" s="49">
        <f t="shared" si="1"/>
      </c>
      <c r="W589" s="49">
        <f t="shared" si="2"/>
      </c>
      <c r="X589" s="2">
        <f t="shared" si="3"/>
      </c>
      <c r="Y589" s="2">
        <f t="shared" si="4"/>
      </c>
      <c r="Z589" s="2">
        <f t="shared" si="5"/>
        <v>0</v>
      </c>
      <c r="AA589" s="2">
        <f t="shared" si="6"/>
        <v>0</v>
      </c>
      <c r="AB589" s="2">
        <f t="shared" si="7"/>
        <v>0</v>
      </c>
      <c r="AC589" s="2">
        <f t="shared" si="8"/>
      </c>
    </row>
    <row r="590">
      <c r="A590" s="64" t="n"/>
      <c r="B590" s="65" t="n"/>
      <c r="C590" s="65" t="n"/>
      <c r="D590" s="65" t="n"/>
      <c r="E590" s="65" t="n"/>
      <c r="F590" s="66" t="n"/>
      <c r="G590" s="65" t="n"/>
      <c r="H590" s="66" t="n"/>
      <c r="I590" s="64" t="n"/>
      <c r="J590" s="68" t="n"/>
      <c r="K590" s="68" t="n"/>
      <c r="L590" s="68" t="n"/>
      <c r="M590" s="64" t="n"/>
      <c r="N590" s="64" t="n"/>
      <c r="O590" s="64" t="n"/>
      <c r="P590" s="64" t="n"/>
      <c r="Q590" s="64" t="n"/>
      <c r="R590" s="64" t="n"/>
      <c r="S590" s="66" t="n"/>
      <c r="T590" s="45" t="n"/>
      <c r="U590" s="43">
        <f t="shared" si="0"/>
      </c>
      <c r="V590" s="49">
        <f t="shared" si="1"/>
      </c>
      <c r="W590" s="49">
        <f t="shared" si="2"/>
      </c>
      <c r="X590" s="2">
        <f t="shared" si="3"/>
      </c>
      <c r="Y590" s="2">
        <f t="shared" si="4"/>
      </c>
      <c r="Z590" s="2">
        <f t="shared" si="5"/>
        <v>0</v>
      </c>
      <c r="AA590" s="2">
        <f t="shared" si="6"/>
        <v>0</v>
      </c>
      <c r="AB590" s="2">
        <f t="shared" si="7"/>
        <v>0</v>
      </c>
      <c r="AC590" s="2">
        <f t="shared" si="8"/>
      </c>
    </row>
    <row r="591">
      <c r="A591" s="64" t="n"/>
      <c r="B591" s="65" t="n"/>
      <c r="C591" s="65" t="n"/>
      <c r="D591" s="65" t="n"/>
      <c r="E591" s="65" t="n"/>
      <c r="F591" s="66" t="n"/>
      <c r="G591" s="65" t="n"/>
      <c r="H591" s="66" t="n"/>
      <c r="I591" s="64" t="n"/>
      <c r="J591" s="68" t="n"/>
      <c r="K591" s="68" t="n"/>
      <c r="L591" s="68" t="n"/>
      <c r="M591" s="64" t="n"/>
      <c r="N591" s="64" t="n"/>
      <c r="O591" s="64" t="n"/>
      <c r="P591" s="64" t="n"/>
      <c r="Q591" s="64" t="n"/>
      <c r="R591" s="64" t="n"/>
      <c r="S591" s="66" t="n"/>
      <c r="T591" s="45" t="n"/>
      <c r="U591" s="43">
        <f t="shared" si="0"/>
      </c>
      <c r="V591" s="49">
        <f t="shared" si="1"/>
      </c>
      <c r="W591" s="49">
        <f t="shared" si="2"/>
      </c>
      <c r="X591" s="2">
        <f t="shared" si="3"/>
      </c>
      <c r="Y591" s="2">
        <f t="shared" si="4"/>
      </c>
      <c r="Z591" s="2">
        <f t="shared" si="5"/>
        <v>0</v>
      </c>
      <c r="AA591" s="2">
        <f t="shared" si="6"/>
        <v>0</v>
      </c>
      <c r="AB591" s="2">
        <f t="shared" si="7"/>
        <v>0</v>
      </c>
      <c r="AC591" s="2">
        <f t="shared" si="8"/>
      </c>
    </row>
    <row r="592">
      <c r="A592" s="64" t="n"/>
      <c r="B592" s="65" t="n"/>
      <c r="C592" s="65" t="n"/>
      <c r="D592" s="65" t="n"/>
      <c r="E592" s="65" t="n"/>
      <c r="F592" s="66" t="n"/>
      <c r="G592" s="65" t="n"/>
      <c r="H592" s="66" t="n"/>
      <c r="I592" s="64" t="n"/>
      <c r="J592" s="68" t="n"/>
      <c r="K592" s="68" t="n"/>
      <c r="L592" s="68" t="n"/>
      <c r="M592" s="64" t="n"/>
      <c r="N592" s="64" t="n"/>
      <c r="O592" s="64" t="n"/>
      <c r="P592" s="64" t="n"/>
      <c r="Q592" s="64" t="n"/>
      <c r="R592" s="64" t="n"/>
      <c r="S592" s="66" t="n"/>
      <c r="T592" s="45" t="n"/>
      <c r="U592" s="43">
        <f t="shared" si="0"/>
      </c>
      <c r="V592" s="49">
        <f t="shared" si="1"/>
      </c>
      <c r="W592" s="49">
        <f t="shared" si="2"/>
      </c>
      <c r="X592" s="2">
        <f t="shared" si="3"/>
      </c>
      <c r="Y592" s="2">
        <f t="shared" si="4"/>
      </c>
      <c r="Z592" s="2">
        <f t="shared" si="5"/>
        <v>0</v>
      </c>
      <c r="AA592" s="2">
        <f t="shared" si="6"/>
        <v>0</v>
      </c>
      <c r="AB592" s="2">
        <f t="shared" si="7"/>
        <v>0</v>
      </c>
      <c r="AC592" s="2">
        <f t="shared" si="8"/>
      </c>
    </row>
    <row r="593">
      <c r="A593" s="64" t="n"/>
      <c r="B593" s="65" t="n"/>
      <c r="C593" s="65" t="n"/>
      <c r="D593" s="65" t="n"/>
      <c r="E593" s="65" t="n"/>
      <c r="F593" s="66" t="n"/>
      <c r="G593" s="65" t="n"/>
      <c r="H593" s="66" t="n"/>
      <c r="I593" s="64" t="n"/>
      <c r="J593" s="68" t="n"/>
      <c r="K593" s="68" t="n"/>
      <c r="L593" s="68" t="n"/>
      <c r="M593" s="64" t="n"/>
      <c r="N593" s="64" t="n"/>
      <c r="O593" s="64" t="n"/>
      <c r="P593" s="64" t="n"/>
      <c r="Q593" s="64" t="n"/>
      <c r="R593" s="64" t="n"/>
      <c r="S593" s="66" t="n"/>
      <c r="T593" s="45" t="n"/>
      <c r="U593" s="43">
        <f t="shared" si="0"/>
      </c>
      <c r="V593" s="49">
        <f t="shared" si="1"/>
      </c>
      <c r="W593" s="49">
        <f t="shared" si="2"/>
      </c>
      <c r="X593" s="2">
        <f t="shared" si="3"/>
      </c>
      <c r="Y593" s="2">
        <f t="shared" si="4"/>
      </c>
      <c r="Z593" s="2">
        <f t="shared" si="5"/>
        <v>0</v>
      </c>
      <c r="AA593" s="2">
        <f t="shared" si="6"/>
        <v>0</v>
      </c>
      <c r="AB593" s="2">
        <f t="shared" si="7"/>
        <v>0</v>
      </c>
      <c r="AC593" s="2">
        <f t="shared" si="8"/>
      </c>
    </row>
    <row r="594">
      <c r="A594" s="64" t="n"/>
      <c r="B594" s="65" t="n"/>
      <c r="C594" s="65" t="n"/>
      <c r="D594" s="65" t="n"/>
      <c r="E594" s="65" t="n"/>
      <c r="F594" s="66" t="n"/>
      <c r="G594" s="65" t="n"/>
      <c r="H594" s="66" t="n"/>
      <c r="I594" s="64" t="n"/>
      <c r="J594" s="68" t="n"/>
      <c r="K594" s="68" t="n"/>
      <c r="L594" s="68" t="n"/>
      <c r="M594" s="64" t="n"/>
      <c r="N594" s="64" t="n"/>
      <c r="O594" s="64" t="n"/>
      <c r="P594" s="64" t="n"/>
      <c r="Q594" s="64" t="n"/>
      <c r="R594" s="64" t="n"/>
      <c r="S594" s="66" t="n"/>
      <c r="T594" s="45" t="n"/>
      <c r="U594" s="43">
        <f t="shared" si="0"/>
      </c>
      <c r="V594" s="49">
        <f t="shared" si="1"/>
      </c>
      <c r="W594" s="49">
        <f t="shared" si="2"/>
      </c>
      <c r="X594" s="2">
        <f t="shared" si="3"/>
      </c>
      <c r="Y594" s="2">
        <f t="shared" si="4"/>
      </c>
      <c r="Z594" s="2">
        <f t="shared" si="5"/>
        <v>0</v>
      </c>
      <c r="AA594" s="2">
        <f t="shared" si="6"/>
        <v>0</v>
      </c>
      <c r="AB594" s="2">
        <f t="shared" si="7"/>
        <v>0</v>
      </c>
      <c r="AC594" s="2">
        <f t="shared" si="8"/>
      </c>
    </row>
    <row r="595">
      <c r="A595" s="64" t="n"/>
      <c r="B595" s="65" t="n"/>
      <c r="C595" s="65" t="n"/>
      <c r="D595" s="65" t="n"/>
      <c r="E595" s="65" t="n"/>
      <c r="F595" s="66" t="n"/>
      <c r="G595" s="65" t="n"/>
      <c r="H595" s="66" t="n"/>
      <c r="I595" s="64" t="n"/>
      <c r="J595" s="68" t="n"/>
      <c r="K595" s="68" t="n"/>
      <c r="L595" s="68" t="n"/>
      <c r="M595" s="64" t="n"/>
      <c r="N595" s="64" t="n"/>
      <c r="O595" s="64" t="n"/>
      <c r="P595" s="64" t="n"/>
      <c r="Q595" s="64" t="n"/>
      <c r="R595" s="64" t="n"/>
      <c r="S595" s="66" t="n"/>
      <c r="T595" s="45" t="n"/>
      <c r="U595" s="43">
        <f t="shared" si="0"/>
      </c>
      <c r="V595" s="49">
        <f t="shared" si="1"/>
      </c>
      <c r="W595" s="49">
        <f t="shared" si="2"/>
      </c>
      <c r="X595" s="2">
        <f t="shared" si="3"/>
      </c>
      <c r="Y595" s="2">
        <f t="shared" si="4"/>
      </c>
      <c r="Z595" s="2">
        <f t="shared" si="5"/>
        <v>0</v>
      </c>
      <c r="AA595" s="2">
        <f t="shared" si="6"/>
        <v>0</v>
      </c>
      <c r="AB595" s="2">
        <f t="shared" si="7"/>
        <v>0</v>
      </c>
      <c r="AC595" s="2">
        <f t="shared" si="8"/>
      </c>
    </row>
    <row r="596">
      <c r="A596" s="64" t="n"/>
      <c r="B596" s="65" t="n"/>
      <c r="C596" s="65" t="n"/>
      <c r="D596" s="65" t="n"/>
      <c r="E596" s="65" t="n"/>
      <c r="F596" s="66" t="n"/>
      <c r="G596" s="65" t="n"/>
      <c r="H596" s="66" t="n"/>
      <c r="I596" s="64" t="n"/>
      <c r="J596" s="68" t="n"/>
      <c r="K596" s="68" t="n"/>
      <c r="L596" s="68" t="n"/>
      <c r="M596" s="64" t="n"/>
      <c r="N596" s="64" t="n"/>
      <c r="O596" s="64" t="n"/>
      <c r="P596" s="64" t="n"/>
      <c r="Q596" s="64" t="n"/>
      <c r="R596" s="64" t="n"/>
      <c r="S596" s="66" t="n"/>
      <c r="T596" s="45" t="n"/>
      <c r="U596" s="43">
        <f t="shared" si="0"/>
      </c>
      <c r="V596" s="49">
        <f t="shared" si="1"/>
      </c>
      <c r="W596" s="49">
        <f t="shared" si="2"/>
      </c>
      <c r="X596" s="2">
        <f t="shared" si="3"/>
      </c>
      <c r="Y596" s="2">
        <f t="shared" si="4"/>
      </c>
      <c r="Z596" s="2">
        <f t="shared" si="5"/>
        <v>0</v>
      </c>
      <c r="AA596" s="2">
        <f t="shared" si="6"/>
        <v>0</v>
      </c>
      <c r="AB596" s="2">
        <f t="shared" si="7"/>
        <v>0</v>
      </c>
      <c r="AC596" s="2">
        <f t="shared" si="8"/>
      </c>
    </row>
    <row r="597">
      <c r="A597" s="64" t="n"/>
      <c r="B597" s="65" t="n"/>
      <c r="C597" s="65" t="n"/>
      <c r="D597" s="65" t="n"/>
      <c r="E597" s="65" t="n"/>
      <c r="F597" s="66" t="n"/>
      <c r="G597" s="65" t="n"/>
      <c r="H597" s="66" t="n"/>
      <c r="I597" s="64" t="n"/>
      <c r="J597" s="68" t="n"/>
      <c r="K597" s="68" t="n"/>
      <c r="L597" s="68" t="n"/>
      <c r="M597" s="64" t="n"/>
      <c r="N597" s="64" t="n"/>
      <c r="O597" s="64" t="n"/>
      <c r="P597" s="64" t="n"/>
      <c r="Q597" s="64" t="n"/>
      <c r="R597" s="64" t="n"/>
      <c r="S597" s="66" t="n"/>
      <c r="T597" s="45" t="n"/>
      <c r="U597" s="43">
        <f t="shared" si="0"/>
      </c>
      <c r="V597" s="49">
        <f t="shared" si="1"/>
      </c>
      <c r="W597" s="49">
        <f t="shared" si="2"/>
      </c>
      <c r="X597" s="2">
        <f t="shared" si="3"/>
      </c>
      <c r="Y597" s="2">
        <f t="shared" si="4"/>
      </c>
      <c r="Z597" s="2">
        <f t="shared" si="5"/>
        <v>0</v>
      </c>
      <c r="AA597" s="2">
        <f t="shared" si="6"/>
        <v>0</v>
      </c>
      <c r="AB597" s="2">
        <f t="shared" si="7"/>
        <v>0</v>
      </c>
      <c r="AC597" s="2">
        <f t="shared" si="8"/>
      </c>
    </row>
    <row r="598">
      <c r="A598" s="64" t="n"/>
      <c r="B598" s="65" t="n"/>
      <c r="C598" s="65" t="n"/>
      <c r="D598" s="65" t="n"/>
      <c r="E598" s="65" t="n"/>
      <c r="F598" s="66" t="n"/>
      <c r="G598" s="65" t="n"/>
      <c r="H598" s="66" t="n"/>
      <c r="I598" s="64" t="n"/>
      <c r="J598" s="68" t="n"/>
      <c r="K598" s="68" t="n"/>
      <c r="L598" s="68" t="n"/>
      <c r="M598" s="64" t="n"/>
      <c r="N598" s="64" t="n"/>
      <c r="O598" s="64" t="n"/>
      <c r="P598" s="64" t="n"/>
      <c r="Q598" s="64" t="n"/>
      <c r="R598" s="64" t="n"/>
      <c r="S598" s="66" t="n"/>
      <c r="T598" s="45" t="n"/>
      <c r="U598" s="43">
        <f t="shared" si="0"/>
      </c>
      <c r="V598" s="49">
        <f t="shared" si="1"/>
      </c>
      <c r="W598" s="49">
        <f t="shared" si="2"/>
      </c>
      <c r="X598" s="2">
        <f t="shared" si="3"/>
      </c>
      <c r="Y598" s="2">
        <f t="shared" si="4"/>
      </c>
      <c r="Z598" s="2">
        <f t="shared" si="5"/>
        <v>0</v>
      </c>
      <c r="AA598" s="2">
        <f t="shared" si="6"/>
        <v>0</v>
      </c>
      <c r="AB598" s="2">
        <f t="shared" si="7"/>
        <v>0</v>
      </c>
      <c r="AC598" s="2">
        <f t="shared" si="8"/>
      </c>
    </row>
    <row r="599">
      <c r="A599" s="64" t="n"/>
      <c r="B599" s="65" t="n"/>
      <c r="C599" s="65" t="n"/>
      <c r="D599" s="65" t="n"/>
      <c r="E599" s="65" t="n"/>
      <c r="F599" s="66" t="n"/>
      <c r="G599" s="65" t="n"/>
      <c r="H599" s="66" t="n"/>
      <c r="I599" s="64" t="n"/>
      <c r="J599" s="68" t="n"/>
      <c r="K599" s="68" t="n"/>
      <c r="L599" s="68" t="n"/>
      <c r="M599" s="64" t="n"/>
      <c r="N599" s="64" t="n"/>
      <c r="O599" s="64" t="n"/>
      <c r="P599" s="64" t="n"/>
      <c r="Q599" s="64" t="n"/>
      <c r="R599" s="64" t="n"/>
      <c r="S599" s="66" t="n"/>
      <c r="T599" s="45" t="n"/>
      <c r="U599" s="43">
        <f t="shared" si="0"/>
      </c>
      <c r="V599" s="49">
        <f t="shared" si="1"/>
      </c>
      <c r="W599" s="49">
        <f t="shared" si="2"/>
      </c>
      <c r="X599" s="2">
        <f t="shared" si="3"/>
      </c>
      <c r="Y599" s="2">
        <f t="shared" si="4"/>
      </c>
      <c r="Z599" s="2">
        <f t="shared" si="5"/>
        <v>0</v>
      </c>
      <c r="AA599" s="2">
        <f t="shared" si="6"/>
        <v>0</v>
      </c>
      <c r="AB599" s="2">
        <f t="shared" si="7"/>
        <v>0</v>
      </c>
      <c r="AC599" s="2">
        <f t="shared" si="8"/>
      </c>
    </row>
    <row r="600">
      <c r="A600" s="64" t="n"/>
      <c r="B600" s="65" t="n"/>
      <c r="C600" s="65" t="n"/>
      <c r="D600" s="65" t="n"/>
      <c r="E600" s="65" t="n"/>
      <c r="F600" s="66" t="n"/>
      <c r="G600" s="65" t="n"/>
      <c r="H600" s="66" t="n"/>
      <c r="I600" s="64" t="n"/>
      <c r="J600" s="68" t="n"/>
      <c r="K600" s="68" t="n"/>
      <c r="L600" s="68" t="n"/>
      <c r="M600" s="64" t="n"/>
      <c r="N600" s="64" t="n"/>
      <c r="O600" s="64" t="n"/>
      <c r="P600" s="64" t="n"/>
      <c r="Q600" s="64" t="n"/>
      <c r="R600" s="64" t="n"/>
      <c r="S600" s="66" t="n"/>
      <c r="T600" s="45" t="n"/>
      <c r="U600" s="43">
        <f t="shared" si="0"/>
      </c>
      <c r="V600" s="49">
        <f t="shared" si="1"/>
      </c>
      <c r="W600" s="49">
        <f t="shared" si="2"/>
      </c>
      <c r="X600" s="2">
        <f t="shared" si="3"/>
      </c>
      <c r="Y600" s="2">
        <f t="shared" si="4"/>
      </c>
      <c r="Z600" s="2">
        <f t="shared" si="5"/>
        <v>0</v>
      </c>
      <c r="AA600" s="2">
        <f t="shared" si="6"/>
        <v>0</v>
      </c>
      <c r="AB600" s="2">
        <f t="shared" si="7"/>
        <v>0</v>
      </c>
      <c r="AC600" s="2">
        <f t="shared" si="8"/>
      </c>
    </row>
    <row r="601">
      <c r="A601" s="64" t="n"/>
      <c r="B601" s="65" t="n"/>
      <c r="C601" s="65" t="n"/>
      <c r="D601" s="65" t="n"/>
      <c r="E601" s="65" t="n"/>
      <c r="F601" s="66" t="n"/>
      <c r="G601" s="65" t="n"/>
      <c r="H601" s="66" t="n"/>
      <c r="I601" s="64" t="n"/>
      <c r="J601" s="68" t="n"/>
      <c r="K601" s="68" t="n"/>
      <c r="L601" s="68" t="n"/>
      <c r="M601" s="64" t="n"/>
      <c r="N601" s="64" t="n"/>
      <c r="O601" s="64" t="n"/>
      <c r="P601" s="64" t="n"/>
      <c r="Q601" s="64" t="n"/>
      <c r="R601" s="64" t="n"/>
      <c r="S601" s="66" t="n"/>
      <c r="T601" s="45" t="n"/>
      <c r="U601" s="43">
        <f t="shared" si="0"/>
      </c>
      <c r="V601" s="49">
        <f t="shared" si="1"/>
      </c>
      <c r="W601" s="49">
        <f t="shared" si="2"/>
      </c>
      <c r="X601" s="2">
        <f t="shared" si="3"/>
      </c>
      <c r="Y601" s="2">
        <f t="shared" si="4"/>
      </c>
      <c r="Z601" s="2">
        <f t="shared" si="5"/>
        <v>0</v>
      </c>
      <c r="AA601" s="2">
        <f t="shared" si="6"/>
        <v>0</v>
      </c>
      <c r="AB601" s="2">
        <f t="shared" si="7"/>
        <v>0</v>
      </c>
      <c r="AC601" s="2">
        <f t="shared" si="8"/>
      </c>
    </row>
    <row r="602">
      <c r="A602" s="64" t="n"/>
      <c r="B602" s="65" t="n"/>
      <c r="C602" s="65" t="n"/>
      <c r="D602" s="65" t="n"/>
      <c r="E602" s="65" t="n"/>
      <c r="F602" s="66" t="n"/>
      <c r="G602" s="65" t="n"/>
      <c r="H602" s="66" t="n"/>
      <c r="I602" s="64" t="n"/>
      <c r="J602" s="68" t="n"/>
      <c r="K602" s="68" t="n"/>
      <c r="L602" s="68" t="n"/>
      <c r="M602" s="64" t="n"/>
      <c r="N602" s="64" t="n"/>
      <c r="O602" s="64" t="n"/>
      <c r="P602" s="64" t="n"/>
      <c r="Q602" s="64" t="n"/>
      <c r="R602" s="64" t="n"/>
      <c r="S602" s="66" t="n"/>
      <c r="T602" s="45" t="n"/>
      <c r="U602" s="43">
        <f t="shared" si="0"/>
      </c>
      <c r="V602" s="49">
        <f t="shared" si="1"/>
      </c>
      <c r="W602" s="49">
        <f t="shared" si="2"/>
      </c>
      <c r="X602" s="2">
        <f t="shared" si="3"/>
      </c>
      <c r="Y602" s="2">
        <f t="shared" si="4"/>
      </c>
      <c r="Z602" s="2">
        <f t="shared" si="5"/>
        <v>0</v>
      </c>
      <c r="AA602" s="2">
        <f t="shared" si="6"/>
        <v>0</v>
      </c>
      <c r="AB602" s="2">
        <f t="shared" si="7"/>
        <v>0</v>
      </c>
      <c r="AC602" s="2">
        <f t="shared" si="8"/>
      </c>
    </row>
    <row r="603">
      <c r="A603" s="64" t="n"/>
      <c r="B603" s="65" t="n"/>
      <c r="C603" s="65" t="n"/>
      <c r="D603" s="65" t="n"/>
      <c r="E603" s="65" t="n"/>
      <c r="F603" s="66" t="n"/>
      <c r="G603" s="65" t="n"/>
      <c r="H603" s="66" t="n"/>
      <c r="I603" s="64" t="n"/>
      <c r="J603" s="68" t="n"/>
      <c r="K603" s="68" t="n"/>
      <c r="L603" s="68" t="n"/>
      <c r="M603" s="64" t="n"/>
      <c r="N603" s="64" t="n"/>
      <c r="O603" s="64" t="n"/>
      <c r="P603" s="64" t="n"/>
      <c r="Q603" s="64" t="n"/>
      <c r="R603" s="64" t="n"/>
      <c r="S603" s="66" t="n"/>
      <c r="T603" s="45" t="n"/>
      <c r="U603" s="43">
        <f t="shared" si="0"/>
      </c>
      <c r="V603" s="49">
        <f t="shared" si="1"/>
      </c>
      <c r="W603" s="49">
        <f t="shared" si="2"/>
      </c>
      <c r="X603" s="2">
        <f t="shared" si="3"/>
      </c>
      <c r="Y603" s="2">
        <f t="shared" si="4"/>
      </c>
      <c r="Z603" s="2">
        <f t="shared" si="5"/>
        <v>0</v>
      </c>
      <c r="AA603" s="2">
        <f t="shared" si="6"/>
        <v>0</v>
      </c>
      <c r="AB603" s="2">
        <f t="shared" si="7"/>
        <v>0</v>
      </c>
      <c r="AC603" s="2">
        <f t="shared" si="8"/>
      </c>
    </row>
    <row r="604">
      <c r="A604" s="64" t="n"/>
      <c r="B604" s="65" t="n"/>
      <c r="C604" s="65" t="n"/>
      <c r="D604" s="65" t="n"/>
      <c r="E604" s="65" t="n"/>
      <c r="F604" s="66" t="n"/>
      <c r="G604" s="65" t="n"/>
      <c r="H604" s="66" t="n"/>
      <c r="I604" s="64" t="n"/>
      <c r="J604" s="68" t="n"/>
      <c r="K604" s="68" t="n"/>
      <c r="L604" s="68" t="n"/>
      <c r="M604" s="64" t="n"/>
      <c r="N604" s="64" t="n"/>
      <c r="O604" s="64" t="n"/>
      <c r="P604" s="64" t="n"/>
      <c r="Q604" s="64" t="n"/>
      <c r="R604" s="64" t="n"/>
      <c r="S604" s="66" t="n"/>
      <c r="T604" s="45" t="n"/>
      <c r="U604" s="43">
        <f t="shared" si="0"/>
      </c>
      <c r="V604" s="49">
        <f t="shared" si="1"/>
      </c>
      <c r="W604" s="49">
        <f t="shared" si="2"/>
      </c>
      <c r="X604" s="2">
        <f t="shared" si="3"/>
      </c>
      <c r="Y604" s="2">
        <f t="shared" si="4"/>
      </c>
      <c r="Z604" s="2">
        <f t="shared" si="5"/>
        <v>0</v>
      </c>
      <c r="AA604" s="2">
        <f t="shared" si="6"/>
        <v>0</v>
      </c>
      <c r="AB604" s="2">
        <f t="shared" si="7"/>
        <v>0</v>
      </c>
      <c r="AC604" s="2">
        <f t="shared" si="8"/>
      </c>
    </row>
    <row r="605">
      <c r="A605" s="64" t="n"/>
      <c r="B605" s="65" t="n"/>
      <c r="C605" s="65" t="n"/>
      <c r="D605" s="65" t="n"/>
      <c r="E605" s="65" t="n"/>
      <c r="F605" s="66" t="n"/>
      <c r="G605" s="65" t="n"/>
      <c r="H605" s="66" t="n"/>
      <c r="I605" s="64" t="n"/>
      <c r="J605" s="68" t="n"/>
      <c r="K605" s="68" t="n"/>
      <c r="L605" s="68" t="n"/>
      <c r="M605" s="64" t="n"/>
      <c r="N605" s="64" t="n"/>
      <c r="O605" s="64" t="n"/>
      <c r="P605" s="64" t="n"/>
      <c r="Q605" s="64" t="n"/>
      <c r="R605" s="64" t="n"/>
      <c r="S605" s="66" t="n"/>
      <c r="T605" s="45" t="n"/>
      <c r="U605" s="43">
        <f t="shared" si="0"/>
      </c>
      <c r="V605" s="49">
        <f t="shared" si="1"/>
      </c>
      <c r="W605" s="49">
        <f t="shared" si="2"/>
      </c>
      <c r="X605" s="2">
        <f t="shared" si="3"/>
      </c>
      <c r="Y605" s="2">
        <f t="shared" si="4"/>
      </c>
      <c r="Z605" s="2">
        <f t="shared" si="5"/>
        <v>0</v>
      </c>
      <c r="AA605" s="2">
        <f t="shared" si="6"/>
        <v>0</v>
      </c>
      <c r="AB605" s="2">
        <f t="shared" si="7"/>
        <v>0</v>
      </c>
      <c r="AC605" s="2">
        <f t="shared" si="8"/>
      </c>
    </row>
    <row r="606">
      <c r="A606" s="64" t="n"/>
      <c r="B606" s="65" t="n"/>
      <c r="C606" s="65" t="n"/>
      <c r="D606" s="65" t="n"/>
      <c r="E606" s="65" t="n"/>
      <c r="F606" s="66" t="n"/>
      <c r="G606" s="65" t="n"/>
      <c r="H606" s="66" t="n"/>
      <c r="I606" s="64" t="n"/>
      <c r="J606" s="68" t="n"/>
      <c r="K606" s="68" t="n"/>
      <c r="L606" s="68" t="n"/>
      <c r="M606" s="64" t="n"/>
      <c r="N606" s="64" t="n"/>
      <c r="O606" s="64" t="n"/>
      <c r="P606" s="64" t="n"/>
      <c r="Q606" s="64" t="n"/>
      <c r="R606" s="64" t="n"/>
      <c r="S606" s="66" t="n"/>
      <c r="T606" s="45" t="n"/>
      <c r="U606" s="43">
        <f t="shared" si="0"/>
      </c>
      <c r="V606" s="49">
        <f t="shared" si="1"/>
      </c>
      <c r="W606" s="49">
        <f t="shared" si="2"/>
      </c>
      <c r="X606" s="2">
        <f t="shared" si="3"/>
      </c>
      <c r="Y606" s="2">
        <f t="shared" si="4"/>
      </c>
      <c r="Z606" s="2">
        <f t="shared" si="5"/>
        <v>0</v>
      </c>
      <c r="AA606" s="2">
        <f t="shared" si="6"/>
        <v>0</v>
      </c>
      <c r="AB606" s="2">
        <f t="shared" si="7"/>
        <v>0</v>
      </c>
      <c r="AC606" s="2">
        <f t="shared" si="8"/>
      </c>
    </row>
    <row r="607">
      <c r="A607" s="64" t="n"/>
      <c r="B607" s="65" t="n"/>
      <c r="C607" s="65" t="n"/>
      <c r="D607" s="65" t="n"/>
      <c r="E607" s="65" t="n"/>
      <c r="F607" s="66" t="n"/>
      <c r="G607" s="65" t="n"/>
      <c r="H607" s="66" t="n"/>
      <c r="I607" s="64" t="n"/>
      <c r="J607" s="68" t="n"/>
      <c r="K607" s="68" t="n"/>
      <c r="L607" s="68" t="n"/>
      <c r="M607" s="64" t="n"/>
      <c r="N607" s="64" t="n"/>
      <c r="O607" s="64" t="n"/>
      <c r="P607" s="64" t="n"/>
      <c r="Q607" s="64" t="n"/>
      <c r="R607" s="64" t="n"/>
      <c r="S607" s="66" t="n"/>
      <c r="T607" s="45" t="n"/>
      <c r="U607" s="43">
        <f t="shared" si="0"/>
      </c>
      <c r="V607" s="49">
        <f t="shared" si="1"/>
      </c>
      <c r="W607" s="49">
        <f t="shared" si="2"/>
      </c>
      <c r="X607" s="2">
        <f t="shared" si="3"/>
      </c>
      <c r="Y607" s="2">
        <f t="shared" si="4"/>
      </c>
      <c r="Z607" s="2">
        <f t="shared" si="5"/>
        <v>0</v>
      </c>
      <c r="AA607" s="2">
        <f t="shared" si="6"/>
        <v>0</v>
      </c>
      <c r="AB607" s="2">
        <f t="shared" si="7"/>
        <v>0</v>
      </c>
      <c r="AC607" s="2">
        <f t="shared" si="8"/>
      </c>
    </row>
    <row r="608">
      <c r="A608" s="64" t="n"/>
      <c r="B608" s="65" t="n"/>
      <c r="C608" s="65" t="n"/>
      <c r="D608" s="65" t="n"/>
      <c r="E608" s="65" t="n"/>
      <c r="F608" s="66" t="n"/>
      <c r="G608" s="65" t="n"/>
      <c r="H608" s="66" t="n"/>
      <c r="I608" s="64" t="n"/>
      <c r="J608" s="68" t="n"/>
      <c r="K608" s="68" t="n"/>
      <c r="L608" s="68" t="n"/>
      <c r="M608" s="64" t="n"/>
      <c r="N608" s="64" t="n"/>
      <c r="O608" s="64" t="n"/>
      <c r="P608" s="64" t="n"/>
      <c r="Q608" s="64" t="n"/>
      <c r="R608" s="64" t="n"/>
      <c r="S608" s="66" t="n"/>
      <c r="T608" s="45" t="n"/>
      <c r="U608" s="43">
        <f t="shared" si="0"/>
      </c>
      <c r="V608" s="49">
        <f t="shared" si="1"/>
      </c>
      <c r="W608" s="49">
        <f t="shared" si="2"/>
      </c>
      <c r="X608" s="2">
        <f t="shared" si="3"/>
      </c>
      <c r="Y608" s="2">
        <f t="shared" si="4"/>
      </c>
      <c r="Z608" s="2">
        <f t="shared" si="5"/>
        <v>0</v>
      </c>
      <c r="AA608" s="2">
        <f t="shared" si="6"/>
        <v>0</v>
      </c>
      <c r="AB608" s="2">
        <f t="shared" si="7"/>
        <v>0</v>
      </c>
      <c r="AC608" s="2">
        <f t="shared" si="8"/>
      </c>
    </row>
    <row r="609">
      <c r="A609" s="64" t="n"/>
      <c r="B609" s="65" t="n"/>
      <c r="C609" s="65" t="n"/>
      <c r="D609" s="65" t="n"/>
      <c r="E609" s="65" t="n"/>
      <c r="F609" s="66" t="n"/>
      <c r="G609" s="65" t="n"/>
      <c r="H609" s="66" t="n"/>
      <c r="I609" s="64" t="n"/>
      <c r="J609" s="68" t="n"/>
      <c r="K609" s="68" t="n"/>
      <c r="L609" s="68" t="n"/>
      <c r="M609" s="64" t="n"/>
      <c r="N609" s="64" t="n"/>
      <c r="O609" s="64" t="n"/>
      <c r="P609" s="64" t="n"/>
      <c r="Q609" s="64" t="n"/>
      <c r="R609" s="64" t="n"/>
      <c r="S609" s="66" t="n"/>
      <c r="T609" s="45" t="n"/>
      <c r="U609" s="43">
        <f t="shared" si="0"/>
      </c>
      <c r="V609" s="49">
        <f t="shared" si="1"/>
      </c>
      <c r="W609" s="49">
        <f t="shared" si="2"/>
      </c>
      <c r="X609" s="2">
        <f t="shared" si="3"/>
      </c>
      <c r="Y609" s="2">
        <f t="shared" si="4"/>
      </c>
      <c r="Z609" s="2">
        <f t="shared" si="5"/>
        <v>0</v>
      </c>
      <c r="AA609" s="2">
        <f t="shared" si="6"/>
        <v>0</v>
      </c>
      <c r="AB609" s="2">
        <f t="shared" si="7"/>
        <v>0</v>
      </c>
      <c r="AC609" s="2">
        <f t="shared" si="8"/>
      </c>
    </row>
    <row r="610">
      <c r="A610" s="64" t="n"/>
      <c r="B610" s="65" t="n"/>
      <c r="C610" s="65" t="n"/>
      <c r="D610" s="65" t="n"/>
      <c r="E610" s="65" t="n"/>
      <c r="F610" s="66" t="n"/>
      <c r="G610" s="65" t="n"/>
      <c r="H610" s="66" t="n"/>
      <c r="I610" s="64" t="n"/>
      <c r="J610" s="68" t="n"/>
      <c r="K610" s="68" t="n"/>
      <c r="L610" s="68" t="n"/>
      <c r="M610" s="64" t="n"/>
      <c r="N610" s="64" t="n"/>
      <c r="O610" s="64" t="n"/>
      <c r="P610" s="64" t="n"/>
      <c r="Q610" s="64" t="n"/>
      <c r="R610" s="64" t="n"/>
      <c r="S610" s="66" t="n"/>
      <c r="T610" s="45" t="n"/>
      <c r="U610" s="43">
        <f t="shared" si="0"/>
      </c>
      <c r="V610" s="49">
        <f t="shared" si="1"/>
      </c>
      <c r="W610" s="49">
        <f t="shared" si="2"/>
      </c>
      <c r="X610" s="2">
        <f t="shared" si="3"/>
      </c>
      <c r="Y610" s="2">
        <f t="shared" si="4"/>
      </c>
      <c r="Z610" s="2">
        <f t="shared" si="5"/>
        <v>0</v>
      </c>
      <c r="AA610" s="2">
        <f t="shared" si="6"/>
        <v>0</v>
      </c>
      <c r="AB610" s="2">
        <f t="shared" si="7"/>
        <v>0</v>
      </c>
      <c r="AC610" s="2">
        <f t="shared" si="8"/>
      </c>
    </row>
    <row r="611">
      <c r="A611" s="64" t="n"/>
      <c r="B611" s="65" t="n"/>
      <c r="C611" s="65" t="n"/>
      <c r="D611" s="65" t="n"/>
      <c r="E611" s="65" t="n"/>
      <c r="F611" s="66" t="n"/>
      <c r="G611" s="65" t="n"/>
      <c r="H611" s="66" t="n"/>
      <c r="I611" s="64" t="n"/>
      <c r="J611" s="68" t="n"/>
      <c r="K611" s="68" t="n"/>
      <c r="L611" s="68" t="n"/>
      <c r="M611" s="64" t="n"/>
      <c r="N611" s="64" t="n"/>
      <c r="O611" s="64" t="n"/>
      <c r="P611" s="64" t="n"/>
      <c r="Q611" s="64" t="n"/>
      <c r="R611" s="64" t="n"/>
      <c r="S611" s="66" t="n"/>
      <c r="T611" s="45" t="n"/>
      <c r="U611" s="43">
        <f t="shared" si="0"/>
      </c>
      <c r="V611" s="49">
        <f t="shared" si="1"/>
      </c>
      <c r="W611" s="49">
        <f t="shared" si="2"/>
      </c>
      <c r="X611" s="2">
        <f t="shared" si="3"/>
      </c>
      <c r="Y611" s="2">
        <f t="shared" si="4"/>
      </c>
      <c r="Z611" s="2">
        <f t="shared" si="5"/>
        <v>0</v>
      </c>
      <c r="AA611" s="2">
        <f t="shared" si="6"/>
        <v>0</v>
      </c>
      <c r="AB611" s="2">
        <f t="shared" si="7"/>
        <v>0</v>
      </c>
      <c r="AC611" s="2">
        <f t="shared" si="8"/>
      </c>
    </row>
    <row r="612">
      <c r="A612" s="64" t="n"/>
      <c r="B612" s="65" t="n"/>
      <c r="C612" s="65" t="n"/>
      <c r="D612" s="65" t="n"/>
      <c r="E612" s="65" t="n"/>
      <c r="F612" s="66" t="n"/>
      <c r="G612" s="65" t="n"/>
      <c r="H612" s="66" t="n"/>
      <c r="I612" s="64" t="n"/>
      <c r="J612" s="68" t="n"/>
      <c r="K612" s="68" t="n"/>
      <c r="L612" s="68" t="n"/>
      <c r="M612" s="64" t="n"/>
      <c r="N612" s="64" t="n"/>
      <c r="O612" s="64" t="n"/>
      <c r="P612" s="64" t="n"/>
      <c r="Q612" s="64" t="n"/>
      <c r="R612" s="64" t="n"/>
      <c r="S612" s="66" t="n"/>
      <c r="T612" s="45" t="n"/>
      <c r="U612" s="43">
        <f t="shared" si="0"/>
      </c>
      <c r="V612" s="49">
        <f t="shared" si="1"/>
      </c>
      <c r="W612" s="49">
        <f t="shared" si="2"/>
      </c>
      <c r="X612" s="2">
        <f t="shared" si="3"/>
      </c>
      <c r="Y612" s="2">
        <f t="shared" si="4"/>
      </c>
      <c r="Z612" s="2">
        <f t="shared" si="5"/>
        <v>0</v>
      </c>
      <c r="AA612" s="2">
        <f t="shared" si="6"/>
        <v>0</v>
      </c>
      <c r="AB612" s="2">
        <f t="shared" si="7"/>
        <v>0</v>
      </c>
      <c r="AC612" s="2">
        <f t="shared" si="8"/>
      </c>
    </row>
    <row r="613">
      <c r="A613" s="64" t="n"/>
      <c r="B613" s="65" t="n"/>
      <c r="C613" s="65" t="n"/>
      <c r="D613" s="65" t="n"/>
      <c r="E613" s="65" t="n"/>
      <c r="F613" s="66" t="n"/>
      <c r="G613" s="65" t="n"/>
      <c r="H613" s="66" t="n"/>
      <c r="I613" s="64" t="n"/>
      <c r="J613" s="68" t="n"/>
      <c r="K613" s="68" t="n"/>
      <c r="L613" s="68" t="n"/>
      <c r="M613" s="64" t="n"/>
      <c r="N613" s="64" t="n"/>
      <c r="O613" s="64" t="n"/>
      <c r="P613" s="64" t="n"/>
      <c r="Q613" s="64" t="n"/>
      <c r="R613" s="64" t="n"/>
      <c r="S613" s="66" t="n"/>
      <c r="T613" s="45" t="n"/>
      <c r="U613" s="43">
        <f t="shared" si="0"/>
      </c>
      <c r="V613" s="49">
        <f t="shared" si="1"/>
      </c>
      <c r="W613" s="49">
        <f t="shared" si="2"/>
      </c>
      <c r="X613" s="2">
        <f t="shared" si="3"/>
      </c>
      <c r="Y613" s="2">
        <f t="shared" si="4"/>
      </c>
      <c r="Z613" s="2">
        <f t="shared" si="5"/>
        <v>0</v>
      </c>
      <c r="AA613" s="2">
        <f t="shared" si="6"/>
        <v>0</v>
      </c>
      <c r="AB613" s="2">
        <f t="shared" si="7"/>
        <v>0</v>
      </c>
      <c r="AC613" s="2">
        <f t="shared" si="8"/>
      </c>
    </row>
    <row r="614">
      <c r="A614" s="64" t="n"/>
      <c r="B614" s="65" t="n"/>
      <c r="C614" s="65" t="n"/>
      <c r="D614" s="65" t="n"/>
      <c r="E614" s="65" t="n"/>
      <c r="F614" s="66" t="n"/>
      <c r="G614" s="65" t="n"/>
      <c r="H614" s="66" t="n"/>
      <c r="I614" s="64" t="n"/>
      <c r="J614" s="68" t="n"/>
      <c r="K614" s="68" t="n"/>
      <c r="L614" s="68" t="n"/>
      <c r="M614" s="64" t="n"/>
      <c r="N614" s="64" t="n"/>
      <c r="O614" s="64" t="n"/>
      <c r="P614" s="64" t="n"/>
      <c r="Q614" s="64" t="n"/>
      <c r="R614" s="64" t="n"/>
      <c r="S614" s="66" t="n"/>
      <c r="T614" s="45" t="n"/>
      <c r="U614" s="43">
        <f t="shared" si="0"/>
      </c>
      <c r="V614" s="49">
        <f t="shared" si="1"/>
      </c>
      <c r="W614" s="49">
        <f t="shared" si="2"/>
      </c>
      <c r="X614" s="2">
        <f t="shared" si="3"/>
      </c>
      <c r="Y614" s="2">
        <f t="shared" si="4"/>
      </c>
      <c r="Z614" s="2">
        <f t="shared" si="5"/>
        <v>0</v>
      </c>
      <c r="AA614" s="2">
        <f t="shared" si="6"/>
        <v>0</v>
      </c>
      <c r="AB614" s="2">
        <f t="shared" si="7"/>
        <v>0</v>
      </c>
      <c r="AC614" s="2">
        <f t="shared" si="8"/>
      </c>
    </row>
    <row r="615">
      <c r="A615" s="64" t="n"/>
      <c r="B615" s="65" t="n"/>
      <c r="C615" s="65" t="n"/>
      <c r="D615" s="65" t="n"/>
      <c r="E615" s="65" t="n"/>
      <c r="F615" s="66" t="n"/>
      <c r="G615" s="65" t="n"/>
      <c r="H615" s="66" t="n"/>
      <c r="I615" s="64" t="n"/>
      <c r="J615" s="68" t="n"/>
      <c r="K615" s="68" t="n"/>
      <c r="L615" s="68" t="n"/>
      <c r="M615" s="64" t="n"/>
      <c r="N615" s="64" t="n"/>
      <c r="O615" s="64" t="n"/>
      <c r="P615" s="64" t="n"/>
      <c r="Q615" s="64" t="n"/>
      <c r="R615" s="64" t="n"/>
      <c r="S615" s="66" t="n"/>
      <c r="T615" s="45" t="n"/>
      <c r="U615" s="43">
        <f t="shared" si="0"/>
      </c>
      <c r="V615" s="49">
        <f t="shared" si="1"/>
      </c>
      <c r="W615" s="49">
        <f t="shared" si="2"/>
      </c>
      <c r="X615" s="2">
        <f t="shared" si="3"/>
      </c>
      <c r="Y615" s="2">
        <f t="shared" si="4"/>
      </c>
      <c r="Z615" s="2">
        <f t="shared" si="5"/>
        <v>0</v>
      </c>
      <c r="AA615" s="2">
        <f t="shared" si="6"/>
        <v>0</v>
      </c>
      <c r="AB615" s="2">
        <f t="shared" si="7"/>
        <v>0</v>
      </c>
      <c r="AC615" s="2">
        <f t="shared" si="8"/>
      </c>
    </row>
    <row r="616">
      <c r="A616" s="64" t="n"/>
      <c r="B616" s="65" t="n"/>
      <c r="C616" s="65" t="n"/>
      <c r="D616" s="65" t="n"/>
      <c r="E616" s="65" t="n"/>
      <c r="F616" s="66" t="n"/>
      <c r="G616" s="65" t="n"/>
      <c r="H616" s="66" t="n"/>
      <c r="I616" s="64" t="n"/>
      <c r="J616" s="68" t="n"/>
      <c r="K616" s="68" t="n"/>
      <c r="L616" s="68" t="n"/>
      <c r="M616" s="64" t="n"/>
      <c r="N616" s="64" t="n"/>
      <c r="O616" s="64" t="n"/>
      <c r="P616" s="64" t="n"/>
      <c r="Q616" s="64" t="n"/>
      <c r="R616" s="64" t="n"/>
      <c r="S616" s="66" t="n"/>
      <c r="T616" s="45" t="n"/>
      <c r="U616" s="43">
        <f t="shared" si="0"/>
      </c>
      <c r="V616" s="49">
        <f t="shared" si="1"/>
      </c>
      <c r="W616" s="49">
        <f t="shared" si="2"/>
      </c>
      <c r="X616" s="2">
        <f t="shared" si="3"/>
      </c>
      <c r="Y616" s="2">
        <f t="shared" si="4"/>
      </c>
      <c r="Z616" s="2">
        <f t="shared" si="5"/>
        <v>0</v>
      </c>
      <c r="AA616" s="2">
        <f t="shared" si="6"/>
        <v>0</v>
      </c>
      <c r="AB616" s="2">
        <f t="shared" si="7"/>
        <v>0</v>
      </c>
      <c r="AC616" s="2">
        <f t="shared" si="8"/>
      </c>
    </row>
    <row r="617">
      <c r="A617" s="64" t="n"/>
      <c r="B617" s="65" t="n"/>
      <c r="C617" s="65" t="n"/>
      <c r="D617" s="65" t="n"/>
      <c r="E617" s="65" t="n"/>
      <c r="F617" s="66" t="n"/>
      <c r="G617" s="65" t="n"/>
      <c r="H617" s="66" t="n"/>
      <c r="I617" s="64" t="n"/>
      <c r="J617" s="68" t="n"/>
      <c r="K617" s="68" t="n"/>
      <c r="L617" s="68" t="n"/>
      <c r="M617" s="64" t="n"/>
      <c r="N617" s="64" t="n"/>
      <c r="O617" s="64" t="n"/>
      <c r="P617" s="64" t="n"/>
      <c r="Q617" s="64" t="n"/>
      <c r="R617" s="64" t="n"/>
      <c r="S617" s="66" t="n"/>
      <c r="T617" s="45" t="n"/>
      <c r="U617" s="43">
        <f t="shared" si="0"/>
      </c>
      <c r="V617" s="49">
        <f t="shared" si="1"/>
      </c>
      <c r="W617" s="49">
        <f t="shared" si="2"/>
      </c>
      <c r="X617" s="2">
        <f t="shared" si="3"/>
      </c>
      <c r="Y617" s="2">
        <f t="shared" si="4"/>
      </c>
      <c r="Z617" s="2">
        <f t="shared" si="5"/>
        <v>0</v>
      </c>
      <c r="AA617" s="2">
        <f t="shared" si="6"/>
        <v>0</v>
      </c>
      <c r="AB617" s="2">
        <f t="shared" si="7"/>
        <v>0</v>
      </c>
      <c r="AC617" s="2">
        <f t="shared" si="8"/>
      </c>
    </row>
    <row r="618">
      <c r="A618" s="64" t="n"/>
      <c r="B618" s="65" t="n"/>
      <c r="C618" s="65" t="n"/>
      <c r="D618" s="65" t="n"/>
      <c r="E618" s="65" t="n"/>
      <c r="F618" s="66" t="n"/>
      <c r="G618" s="65" t="n"/>
      <c r="H618" s="66" t="n"/>
      <c r="I618" s="64" t="n"/>
      <c r="J618" s="68" t="n"/>
      <c r="K618" s="68" t="n"/>
      <c r="L618" s="68" t="n"/>
      <c r="M618" s="64" t="n"/>
      <c r="N618" s="64" t="n"/>
      <c r="O618" s="64" t="n"/>
      <c r="P618" s="64" t="n"/>
      <c r="Q618" s="64" t="n"/>
      <c r="R618" s="64" t="n"/>
      <c r="S618" s="66" t="n"/>
      <c r="T618" s="45" t="n"/>
      <c r="U618" s="43">
        <f t="shared" si="0"/>
      </c>
      <c r="V618" s="49">
        <f t="shared" si="1"/>
      </c>
      <c r="W618" s="49">
        <f t="shared" si="2"/>
      </c>
      <c r="X618" s="2">
        <f t="shared" si="3"/>
      </c>
      <c r="Y618" s="2">
        <f t="shared" si="4"/>
      </c>
      <c r="Z618" s="2">
        <f t="shared" si="5"/>
        <v>0</v>
      </c>
      <c r="AA618" s="2">
        <f t="shared" si="6"/>
        <v>0</v>
      </c>
      <c r="AB618" s="2">
        <f t="shared" si="7"/>
        <v>0</v>
      </c>
      <c r="AC618" s="2">
        <f t="shared" si="8"/>
      </c>
    </row>
    <row r="619">
      <c r="A619" s="64" t="n"/>
      <c r="B619" s="65" t="n"/>
      <c r="C619" s="65" t="n"/>
      <c r="D619" s="65" t="n"/>
      <c r="E619" s="65" t="n"/>
      <c r="F619" s="66" t="n"/>
      <c r="G619" s="65" t="n"/>
      <c r="H619" s="66" t="n"/>
      <c r="I619" s="64" t="n"/>
      <c r="J619" s="68" t="n"/>
      <c r="K619" s="68" t="n"/>
      <c r="L619" s="68" t="n"/>
      <c r="M619" s="64" t="n"/>
      <c r="N619" s="64" t="n"/>
      <c r="O619" s="64" t="n"/>
      <c r="P619" s="64" t="n"/>
      <c r="Q619" s="64" t="n"/>
      <c r="R619" s="64" t="n"/>
      <c r="S619" s="66" t="n"/>
      <c r="T619" s="45" t="n"/>
      <c r="U619" s="43">
        <f t="shared" si="0"/>
      </c>
      <c r="V619" s="49">
        <f t="shared" si="1"/>
      </c>
      <c r="W619" s="49">
        <f t="shared" si="2"/>
      </c>
      <c r="X619" s="2">
        <f t="shared" si="3"/>
      </c>
      <c r="Y619" s="2">
        <f t="shared" si="4"/>
      </c>
      <c r="Z619" s="2">
        <f t="shared" si="5"/>
        <v>0</v>
      </c>
      <c r="AA619" s="2">
        <f t="shared" si="6"/>
        <v>0</v>
      </c>
      <c r="AB619" s="2">
        <f t="shared" si="7"/>
        <v>0</v>
      </c>
      <c r="AC619" s="2">
        <f t="shared" si="8"/>
      </c>
    </row>
    <row r="620">
      <c r="A620" s="64" t="n"/>
      <c r="B620" s="65" t="n"/>
      <c r="C620" s="65" t="n"/>
      <c r="D620" s="65" t="n"/>
      <c r="E620" s="65" t="n"/>
      <c r="F620" s="66" t="n"/>
      <c r="G620" s="65" t="n"/>
      <c r="H620" s="66" t="n"/>
      <c r="I620" s="64" t="n"/>
      <c r="J620" s="68" t="n"/>
      <c r="K620" s="68" t="n"/>
      <c r="L620" s="68" t="n"/>
      <c r="M620" s="64" t="n"/>
      <c r="N620" s="64" t="n"/>
      <c r="O620" s="64" t="n"/>
      <c r="P620" s="64" t="n"/>
      <c r="Q620" s="64" t="n"/>
      <c r="R620" s="64" t="n"/>
      <c r="S620" s="66" t="n"/>
      <c r="T620" s="45" t="n"/>
      <c r="U620" s="43">
        <f t="shared" si="0"/>
      </c>
      <c r="V620" s="49">
        <f t="shared" si="1"/>
      </c>
      <c r="W620" s="49">
        <f t="shared" si="2"/>
      </c>
      <c r="X620" s="2">
        <f t="shared" si="3"/>
      </c>
      <c r="Y620" s="2">
        <f t="shared" si="4"/>
      </c>
      <c r="Z620" s="2">
        <f t="shared" si="5"/>
        <v>0</v>
      </c>
      <c r="AA620" s="2">
        <f t="shared" si="6"/>
        <v>0</v>
      </c>
      <c r="AB620" s="2">
        <f t="shared" si="7"/>
        <v>0</v>
      </c>
      <c r="AC620" s="2">
        <f t="shared" si="8"/>
      </c>
    </row>
    <row r="621">
      <c r="A621" s="64" t="n"/>
      <c r="B621" s="65" t="n"/>
      <c r="C621" s="65" t="n"/>
      <c r="D621" s="65" t="n"/>
      <c r="E621" s="65" t="n"/>
      <c r="F621" s="66" t="n"/>
      <c r="G621" s="65" t="n"/>
      <c r="H621" s="66" t="n"/>
      <c r="I621" s="64" t="n"/>
      <c r="J621" s="68" t="n"/>
      <c r="K621" s="68" t="n"/>
      <c r="L621" s="68" t="n"/>
      <c r="M621" s="64" t="n"/>
      <c r="N621" s="64" t="n"/>
      <c r="O621" s="64" t="n"/>
      <c r="P621" s="64" t="n"/>
      <c r="Q621" s="64" t="n"/>
      <c r="R621" s="64" t="n"/>
      <c r="S621" s="66" t="n"/>
      <c r="T621" s="45" t="n"/>
      <c r="U621" s="43">
        <f t="shared" si="0"/>
      </c>
      <c r="V621" s="49">
        <f t="shared" si="1"/>
      </c>
      <c r="W621" s="49">
        <f t="shared" si="2"/>
      </c>
      <c r="X621" s="2">
        <f t="shared" si="3"/>
      </c>
      <c r="Y621" s="2">
        <f t="shared" si="4"/>
      </c>
      <c r="Z621" s="2">
        <f t="shared" si="5"/>
        <v>0</v>
      </c>
      <c r="AA621" s="2">
        <f t="shared" si="6"/>
        <v>0</v>
      </c>
      <c r="AB621" s="2">
        <f t="shared" si="7"/>
        <v>0</v>
      </c>
      <c r="AC621" s="2">
        <f t="shared" si="8"/>
      </c>
    </row>
    <row r="622">
      <c r="A622" s="64" t="n"/>
      <c r="B622" s="65" t="n"/>
      <c r="C622" s="65" t="n"/>
      <c r="D622" s="65" t="n"/>
      <c r="E622" s="65" t="n"/>
      <c r="F622" s="66" t="n"/>
      <c r="G622" s="65" t="n"/>
      <c r="H622" s="66" t="n"/>
      <c r="I622" s="64" t="n"/>
      <c r="J622" s="68" t="n"/>
      <c r="K622" s="68" t="n"/>
      <c r="L622" s="68" t="n"/>
      <c r="M622" s="64" t="n"/>
      <c r="N622" s="64" t="n"/>
      <c r="O622" s="64" t="n"/>
      <c r="P622" s="64" t="n"/>
      <c r="Q622" s="64" t="n"/>
      <c r="R622" s="64" t="n"/>
      <c r="S622" s="66" t="n"/>
      <c r="T622" s="45" t="n"/>
      <c r="U622" s="43">
        <f t="shared" si="0"/>
      </c>
      <c r="V622" s="49">
        <f t="shared" si="1"/>
      </c>
      <c r="W622" s="49">
        <f t="shared" si="2"/>
      </c>
      <c r="X622" s="2">
        <f t="shared" si="3"/>
      </c>
      <c r="Y622" s="2">
        <f t="shared" si="4"/>
      </c>
      <c r="Z622" s="2">
        <f t="shared" si="5"/>
        <v>0</v>
      </c>
      <c r="AA622" s="2">
        <f t="shared" si="6"/>
        <v>0</v>
      </c>
      <c r="AB622" s="2">
        <f t="shared" si="7"/>
        <v>0</v>
      </c>
      <c r="AC622" s="2">
        <f t="shared" si="8"/>
      </c>
    </row>
    <row r="623">
      <c r="A623" s="64" t="n"/>
      <c r="B623" s="65" t="n"/>
      <c r="C623" s="65" t="n"/>
      <c r="D623" s="65" t="n"/>
      <c r="E623" s="65" t="n"/>
      <c r="F623" s="66" t="n"/>
      <c r="G623" s="65" t="n"/>
      <c r="H623" s="66" t="n"/>
      <c r="I623" s="64" t="n"/>
      <c r="J623" s="68" t="n"/>
      <c r="K623" s="68" t="n"/>
      <c r="L623" s="68" t="n"/>
      <c r="M623" s="64" t="n"/>
      <c r="N623" s="64" t="n"/>
      <c r="O623" s="64" t="n"/>
      <c r="P623" s="64" t="n"/>
      <c r="Q623" s="64" t="n"/>
      <c r="R623" s="64" t="n"/>
      <c r="S623" s="66" t="n"/>
      <c r="T623" s="45" t="n"/>
      <c r="U623" s="43">
        <f t="shared" si="0"/>
      </c>
      <c r="V623" s="49">
        <f t="shared" si="1"/>
      </c>
      <c r="W623" s="49">
        <f t="shared" si="2"/>
      </c>
      <c r="X623" s="2">
        <f t="shared" si="3"/>
      </c>
      <c r="Y623" s="2">
        <f t="shared" si="4"/>
      </c>
      <c r="Z623" s="2">
        <f t="shared" si="5"/>
        <v>0</v>
      </c>
      <c r="AA623" s="2">
        <f t="shared" si="6"/>
        <v>0</v>
      </c>
      <c r="AB623" s="2">
        <f t="shared" si="7"/>
        <v>0</v>
      </c>
      <c r="AC623" s="2">
        <f t="shared" si="8"/>
      </c>
    </row>
    <row r="624">
      <c r="A624" s="64" t="n"/>
      <c r="B624" s="65" t="n"/>
      <c r="C624" s="65" t="n"/>
      <c r="D624" s="65" t="n"/>
      <c r="E624" s="65" t="n"/>
      <c r="F624" s="66" t="n"/>
      <c r="G624" s="65" t="n"/>
      <c r="H624" s="66" t="n"/>
      <c r="I624" s="64" t="n"/>
      <c r="J624" s="68" t="n"/>
      <c r="K624" s="68" t="n"/>
      <c r="L624" s="68" t="n"/>
      <c r="M624" s="64" t="n"/>
      <c r="N624" s="64" t="n"/>
      <c r="O624" s="64" t="n"/>
      <c r="P624" s="64" t="n"/>
      <c r="Q624" s="64" t="n"/>
      <c r="R624" s="64" t="n"/>
      <c r="S624" s="66" t="n"/>
      <c r="T624" s="45" t="n"/>
      <c r="U624" s="43">
        <f t="shared" si="0"/>
      </c>
      <c r="V624" s="49">
        <f t="shared" si="1"/>
      </c>
      <c r="W624" s="49">
        <f t="shared" si="2"/>
      </c>
      <c r="X624" s="2">
        <f t="shared" si="3"/>
      </c>
      <c r="Y624" s="2">
        <f t="shared" si="4"/>
      </c>
      <c r="Z624" s="2">
        <f t="shared" si="5"/>
        <v>0</v>
      </c>
      <c r="AA624" s="2">
        <f t="shared" si="6"/>
        <v>0</v>
      </c>
      <c r="AB624" s="2">
        <f t="shared" si="7"/>
        <v>0</v>
      </c>
      <c r="AC624" s="2">
        <f t="shared" si="8"/>
      </c>
    </row>
    <row r="625">
      <c r="A625" s="64" t="n"/>
      <c r="B625" s="65" t="n"/>
      <c r="C625" s="65" t="n"/>
      <c r="D625" s="65" t="n"/>
      <c r="E625" s="65" t="n"/>
      <c r="F625" s="66" t="n"/>
      <c r="G625" s="65" t="n"/>
      <c r="H625" s="66" t="n"/>
      <c r="I625" s="64" t="n"/>
      <c r="J625" s="68" t="n"/>
      <c r="K625" s="68" t="n"/>
      <c r="L625" s="68" t="n"/>
      <c r="M625" s="64" t="n"/>
      <c r="N625" s="64" t="n"/>
      <c r="O625" s="64" t="n"/>
      <c r="P625" s="64" t="n"/>
      <c r="Q625" s="64" t="n"/>
      <c r="R625" s="64" t="n"/>
      <c r="S625" s="66" t="n"/>
      <c r="T625" s="45" t="n"/>
      <c r="U625" s="43">
        <f t="shared" si="0"/>
      </c>
      <c r="V625" s="49">
        <f t="shared" si="1"/>
      </c>
      <c r="W625" s="49">
        <f t="shared" si="2"/>
      </c>
      <c r="X625" s="2">
        <f t="shared" si="3"/>
      </c>
      <c r="Y625" s="2">
        <f t="shared" si="4"/>
      </c>
      <c r="Z625" s="2">
        <f t="shared" si="5"/>
        <v>0</v>
      </c>
      <c r="AA625" s="2">
        <f t="shared" si="6"/>
        <v>0</v>
      </c>
      <c r="AB625" s="2">
        <f t="shared" si="7"/>
        <v>0</v>
      </c>
      <c r="AC625" s="2">
        <f t="shared" si="8"/>
      </c>
    </row>
    <row r="626">
      <c r="A626" s="64" t="n"/>
      <c r="B626" s="65" t="n"/>
      <c r="C626" s="65" t="n"/>
      <c r="D626" s="65" t="n"/>
      <c r="E626" s="65" t="n"/>
      <c r="F626" s="66" t="n"/>
      <c r="G626" s="65" t="n"/>
      <c r="H626" s="66" t="n"/>
      <c r="I626" s="64" t="n"/>
      <c r="J626" s="68" t="n"/>
      <c r="K626" s="68" t="n"/>
      <c r="L626" s="68" t="n"/>
      <c r="M626" s="64" t="n"/>
      <c r="N626" s="64" t="n"/>
      <c r="O626" s="64" t="n"/>
      <c r="P626" s="64" t="n"/>
      <c r="Q626" s="64" t="n"/>
      <c r="R626" s="64" t="n"/>
      <c r="S626" s="66" t="n"/>
      <c r="T626" s="45" t="n"/>
      <c r="U626" s="43">
        <f t="shared" si="0"/>
      </c>
      <c r="V626" s="49">
        <f t="shared" si="1"/>
      </c>
      <c r="W626" s="49">
        <f t="shared" si="2"/>
      </c>
      <c r="X626" s="2">
        <f t="shared" si="3"/>
      </c>
      <c r="Y626" s="2">
        <f t="shared" si="4"/>
      </c>
      <c r="Z626" s="2">
        <f t="shared" si="5"/>
        <v>0</v>
      </c>
      <c r="AA626" s="2">
        <f t="shared" si="6"/>
        <v>0</v>
      </c>
      <c r="AB626" s="2">
        <f t="shared" si="7"/>
        <v>0</v>
      </c>
      <c r="AC626" s="2">
        <f t="shared" si="8"/>
      </c>
    </row>
    <row r="627">
      <c r="A627" s="64" t="n"/>
      <c r="B627" s="65" t="n"/>
      <c r="C627" s="65" t="n"/>
      <c r="D627" s="65" t="n"/>
      <c r="E627" s="65" t="n"/>
      <c r="F627" s="66" t="n"/>
      <c r="G627" s="65" t="n"/>
      <c r="H627" s="66" t="n"/>
      <c r="I627" s="64" t="n"/>
      <c r="J627" s="68" t="n"/>
      <c r="K627" s="68" t="n"/>
      <c r="L627" s="68" t="n"/>
      <c r="M627" s="64" t="n"/>
      <c r="N627" s="64" t="n"/>
      <c r="O627" s="64" t="n"/>
      <c r="P627" s="64" t="n"/>
      <c r="Q627" s="64" t="n"/>
      <c r="R627" s="64" t="n"/>
      <c r="S627" s="66" t="n"/>
      <c r="T627" s="45" t="n"/>
      <c r="U627" s="43">
        <f t="shared" si="0"/>
      </c>
      <c r="V627" s="49">
        <f t="shared" si="1"/>
      </c>
      <c r="W627" s="49">
        <f t="shared" si="2"/>
      </c>
      <c r="X627" s="2">
        <f t="shared" si="3"/>
      </c>
      <c r="Y627" s="2">
        <f t="shared" si="4"/>
      </c>
      <c r="Z627" s="2">
        <f t="shared" si="5"/>
        <v>0</v>
      </c>
      <c r="AA627" s="2">
        <f t="shared" si="6"/>
        <v>0</v>
      </c>
      <c r="AB627" s="2">
        <f t="shared" si="7"/>
        <v>0</v>
      </c>
      <c r="AC627" s="2">
        <f t="shared" si="8"/>
      </c>
    </row>
    <row r="628">
      <c r="A628" s="64" t="n"/>
      <c r="B628" s="65" t="n"/>
      <c r="C628" s="65" t="n"/>
      <c r="D628" s="65" t="n"/>
      <c r="E628" s="65" t="n"/>
      <c r="F628" s="66" t="n"/>
      <c r="G628" s="65" t="n"/>
      <c r="H628" s="66" t="n"/>
      <c r="I628" s="64" t="n"/>
      <c r="J628" s="68" t="n"/>
      <c r="K628" s="68" t="n"/>
      <c r="L628" s="68" t="n"/>
      <c r="M628" s="64" t="n"/>
      <c r="N628" s="64" t="n"/>
      <c r="O628" s="64" t="n"/>
      <c r="P628" s="64" t="n"/>
      <c r="Q628" s="64" t="n"/>
      <c r="R628" s="64" t="n"/>
      <c r="S628" s="66" t="n"/>
      <c r="T628" s="45" t="n"/>
      <c r="U628" s="43">
        <f t="shared" si="0"/>
      </c>
      <c r="V628" s="49">
        <f t="shared" si="1"/>
      </c>
      <c r="W628" s="49">
        <f t="shared" si="2"/>
      </c>
      <c r="X628" s="2">
        <f t="shared" si="3"/>
      </c>
      <c r="Y628" s="2">
        <f t="shared" si="4"/>
      </c>
      <c r="Z628" s="2">
        <f t="shared" si="5"/>
        <v>0</v>
      </c>
      <c r="AA628" s="2">
        <f t="shared" si="6"/>
        <v>0</v>
      </c>
      <c r="AB628" s="2">
        <f t="shared" si="7"/>
        <v>0</v>
      </c>
      <c r="AC628" s="2">
        <f t="shared" si="8"/>
      </c>
    </row>
    <row r="629">
      <c r="A629" s="64" t="n"/>
      <c r="B629" s="65" t="n"/>
      <c r="C629" s="65" t="n"/>
      <c r="D629" s="65" t="n"/>
      <c r="E629" s="65" t="n"/>
      <c r="F629" s="66" t="n"/>
      <c r="G629" s="65" t="n"/>
      <c r="H629" s="66" t="n"/>
      <c r="I629" s="64" t="n"/>
      <c r="J629" s="68" t="n"/>
      <c r="K629" s="68" t="n"/>
      <c r="L629" s="68" t="n"/>
      <c r="M629" s="64" t="n"/>
      <c r="N629" s="64" t="n"/>
      <c r="O629" s="64" t="n"/>
      <c r="P629" s="64" t="n"/>
      <c r="Q629" s="64" t="n"/>
      <c r="R629" s="64" t="n"/>
      <c r="S629" s="66" t="n"/>
      <c r="T629" s="45" t="n"/>
      <c r="U629" s="43">
        <f t="shared" si="0"/>
      </c>
      <c r="V629" s="49">
        <f t="shared" si="1"/>
      </c>
      <c r="W629" s="49">
        <f t="shared" si="2"/>
      </c>
      <c r="X629" s="2">
        <f t="shared" si="3"/>
      </c>
      <c r="Y629" s="2">
        <f t="shared" si="4"/>
      </c>
      <c r="Z629" s="2">
        <f t="shared" si="5"/>
        <v>0</v>
      </c>
      <c r="AA629" s="2">
        <f t="shared" si="6"/>
        <v>0</v>
      </c>
      <c r="AB629" s="2">
        <f t="shared" si="7"/>
        <v>0</v>
      </c>
      <c r="AC629" s="2">
        <f t="shared" si="8"/>
      </c>
    </row>
    <row r="630">
      <c r="A630" s="64" t="n"/>
      <c r="B630" s="65" t="n"/>
      <c r="C630" s="65" t="n"/>
      <c r="D630" s="65" t="n"/>
      <c r="E630" s="65" t="n"/>
      <c r="F630" s="66" t="n"/>
      <c r="G630" s="65" t="n"/>
      <c r="H630" s="66" t="n"/>
      <c r="I630" s="64" t="n"/>
      <c r="J630" s="68" t="n"/>
      <c r="K630" s="68" t="n"/>
      <c r="L630" s="68" t="n"/>
      <c r="M630" s="64" t="n"/>
      <c r="N630" s="64" t="n"/>
      <c r="O630" s="64" t="n"/>
      <c r="P630" s="64" t="n"/>
      <c r="Q630" s="64" t="n"/>
      <c r="R630" s="64" t="n"/>
      <c r="S630" s="66" t="n"/>
      <c r="T630" s="45" t="n"/>
      <c r="U630" s="43">
        <f t="shared" si="0"/>
      </c>
      <c r="V630" s="49">
        <f t="shared" si="1"/>
      </c>
      <c r="W630" s="49">
        <f t="shared" si="2"/>
      </c>
      <c r="X630" s="2">
        <f t="shared" si="3"/>
      </c>
      <c r="Y630" s="2">
        <f t="shared" si="4"/>
      </c>
      <c r="Z630" s="2">
        <f t="shared" si="5"/>
        <v>0</v>
      </c>
      <c r="AA630" s="2">
        <f t="shared" si="6"/>
        <v>0</v>
      </c>
      <c r="AB630" s="2">
        <f t="shared" si="7"/>
        <v>0</v>
      </c>
      <c r="AC630" s="2">
        <f t="shared" si="8"/>
      </c>
    </row>
    <row r="631">
      <c r="A631" s="64" t="n"/>
      <c r="B631" s="65" t="n"/>
      <c r="C631" s="65" t="n"/>
      <c r="D631" s="65" t="n"/>
      <c r="E631" s="65" t="n"/>
      <c r="F631" s="66" t="n"/>
      <c r="G631" s="65" t="n"/>
      <c r="H631" s="66" t="n"/>
      <c r="I631" s="64" t="n"/>
      <c r="J631" s="68" t="n"/>
      <c r="K631" s="68" t="n"/>
      <c r="L631" s="68" t="n"/>
      <c r="M631" s="64" t="n"/>
      <c r="N631" s="64" t="n"/>
      <c r="O631" s="64" t="n"/>
      <c r="P631" s="64" t="n"/>
      <c r="Q631" s="64" t="n"/>
      <c r="R631" s="64" t="n"/>
      <c r="S631" s="66" t="n"/>
      <c r="T631" s="45" t="n"/>
      <c r="U631" s="43">
        <f t="shared" si="0"/>
      </c>
      <c r="V631" s="49">
        <f t="shared" si="1"/>
      </c>
      <c r="W631" s="49">
        <f t="shared" si="2"/>
      </c>
      <c r="X631" s="2">
        <f t="shared" si="3"/>
      </c>
      <c r="Y631" s="2">
        <f t="shared" si="4"/>
      </c>
      <c r="Z631" s="2">
        <f t="shared" si="5"/>
        <v>0</v>
      </c>
      <c r="AA631" s="2">
        <f t="shared" si="6"/>
        <v>0</v>
      </c>
      <c r="AB631" s="2">
        <f t="shared" si="7"/>
        <v>0</v>
      </c>
      <c r="AC631" s="2">
        <f t="shared" si="8"/>
      </c>
    </row>
    <row r="632">
      <c r="A632" s="64" t="n"/>
      <c r="B632" s="65" t="n"/>
      <c r="C632" s="65" t="n"/>
      <c r="D632" s="65" t="n"/>
      <c r="E632" s="65" t="n"/>
      <c r="F632" s="66" t="n"/>
      <c r="G632" s="65" t="n"/>
      <c r="H632" s="66" t="n"/>
      <c r="I632" s="64" t="n"/>
      <c r="J632" s="68" t="n"/>
      <c r="K632" s="68" t="n"/>
      <c r="L632" s="68" t="n"/>
      <c r="M632" s="64" t="n"/>
      <c r="N632" s="64" t="n"/>
      <c r="O632" s="64" t="n"/>
      <c r="P632" s="64" t="n"/>
      <c r="Q632" s="64" t="n"/>
      <c r="R632" s="64" t="n"/>
      <c r="S632" s="66" t="n"/>
      <c r="T632" s="45" t="n"/>
      <c r="U632" s="43">
        <f t="shared" si="0"/>
      </c>
      <c r="V632" s="49">
        <f t="shared" si="1"/>
      </c>
      <c r="W632" s="49">
        <f t="shared" si="2"/>
      </c>
      <c r="X632" s="2">
        <f t="shared" si="3"/>
      </c>
      <c r="Y632" s="2">
        <f t="shared" si="4"/>
      </c>
      <c r="Z632" s="2">
        <f t="shared" si="5"/>
        <v>0</v>
      </c>
      <c r="AA632" s="2">
        <f t="shared" si="6"/>
        <v>0</v>
      </c>
      <c r="AB632" s="2">
        <f t="shared" si="7"/>
        <v>0</v>
      </c>
      <c r="AC632" s="2">
        <f t="shared" si="8"/>
      </c>
    </row>
    <row r="633">
      <c r="A633" s="64" t="n"/>
      <c r="B633" s="65" t="n"/>
      <c r="C633" s="65" t="n"/>
      <c r="D633" s="65" t="n"/>
      <c r="E633" s="65" t="n"/>
      <c r="F633" s="66" t="n"/>
      <c r="G633" s="65" t="n"/>
      <c r="H633" s="66" t="n"/>
      <c r="I633" s="64" t="n"/>
      <c r="J633" s="68" t="n"/>
      <c r="K633" s="68" t="n"/>
      <c r="L633" s="68" t="n"/>
      <c r="M633" s="64" t="n"/>
      <c r="N633" s="64" t="n"/>
      <c r="O633" s="64" t="n"/>
      <c r="P633" s="64" t="n"/>
      <c r="Q633" s="64" t="n"/>
      <c r="R633" s="64" t="n"/>
      <c r="S633" s="66" t="n"/>
      <c r="T633" s="45" t="n"/>
      <c r="U633" s="43">
        <f t="shared" si="0"/>
      </c>
      <c r="V633" s="49">
        <f t="shared" si="1"/>
      </c>
      <c r="W633" s="49">
        <f t="shared" si="2"/>
      </c>
      <c r="X633" s="2">
        <f t="shared" si="3"/>
      </c>
      <c r="Y633" s="2">
        <f t="shared" si="4"/>
      </c>
      <c r="Z633" s="2">
        <f t="shared" si="5"/>
        <v>0</v>
      </c>
      <c r="AA633" s="2">
        <f t="shared" si="6"/>
        <v>0</v>
      </c>
      <c r="AB633" s="2">
        <f t="shared" si="7"/>
        <v>0</v>
      </c>
      <c r="AC633" s="2">
        <f t="shared" si="8"/>
      </c>
    </row>
    <row r="634">
      <c r="A634" s="64" t="n"/>
      <c r="B634" s="65" t="n"/>
      <c r="C634" s="65" t="n"/>
      <c r="D634" s="65" t="n"/>
      <c r="E634" s="65" t="n"/>
      <c r="F634" s="66" t="n"/>
      <c r="G634" s="65" t="n"/>
      <c r="H634" s="66" t="n"/>
      <c r="I634" s="64" t="n"/>
      <c r="J634" s="68" t="n"/>
      <c r="K634" s="68" t="n"/>
      <c r="L634" s="68" t="n"/>
      <c r="M634" s="64" t="n"/>
      <c r="N634" s="64" t="n"/>
      <c r="O634" s="64" t="n"/>
      <c r="P634" s="64" t="n"/>
      <c r="Q634" s="64" t="n"/>
      <c r="R634" s="64" t="n"/>
      <c r="S634" s="66" t="n"/>
      <c r="T634" s="45" t="n"/>
      <c r="U634" s="43">
        <f t="shared" si="0"/>
      </c>
      <c r="V634" s="49">
        <f t="shared" si="1"/>
      </c>
      <c r="W634" s="49">
        <f t="shared" si="2"/>
      </c>
      <c r="X634" s="2">
        <f t="shared" si="3"/>
      </c>
      <c r="Y634" s="2">
        <f t="shared" si="4"/>
      </c>
      <c r="Z634" s="2">
        <f t="shared" si="5"/>
        <v>0</v>
      </c>
      <c r="AA634" s="2">
        <f t="shared" si="6"/>
        <v>0</v>
      </c>
      <c r="AB634" s="2">
        <f t="shared" si="7"/>
        <v>0</v>
      </c>
      <c r="AC634" s="2">
        <f t="shared" si="8"/>
      </c>
    </row>
    <row r="635">
      <c r="A635" s="64" t="n"/>
      <c r="B635" s="65" t="n"/>
      <c r="C635" s="65" t="n"/>
      <c r="D635" s="65" t="n"/>
      <c r="E635" s="65" t="n"/>
      <c r="F635" s="66" t="n"/>
      <c r="G635" s="65" t="n"/>
      <c r="H635" s="66" t="n"/>
      <c r="I635" s="64" t="n"/>
      <c r="J635" s="68" t="n"/>
      <c r="K635" s="68" t="n"/>
      <c r="L635" s="68" t="n"/>
      <c r="M635" s="64" t="n"/>
      <c r="N635" s="64" t="n"/>
      <c r="O635" s="64" t="n"/>
      <c r="P635" s="64" t="n"/>
      <c r="Q635" s="64" t="n"/>
      <c r="R635" s="64" t="n"/>
      <c r="S635" s="66" t="n"/>
      <c r="T635" s="45" t="n"/>
      <c r="U635" s="43">
        <f t="shared" si="0"/>
      </c>
      <c r="V635" s="49">
        <f t="shared" si="1"/>
      </c>
      <c r="W635" s="49">
        <f t="shared" si="2"/>
      </c>
      <c r="X635" s="2">
        <f t="shared" si="3"/>
      </c>
      <c r="Y635" s="2">
        <f t="shared" si="4"/>
      </c>
      <c r="Z635" s="2">
        <f t="shared" si="5"/>
        <v>0</v>
      </c>
      <c r="AA635" s="2">
        <f t="shared" si="6"/>
        <v>0</v>
      </c>
      <c r="AB635" s="2">
        <f t="shared" si="7"/>
        <v>0</v>
      </c>
      <c r="AC635" s="2">
        <f t="shared" si="8"/>
      </c>
    </row>
    <row r="636">
      <c r="A636" s="64" t="n"/>
      <c r="B636" s="65" t="n"/>
      <c r="C636" s="65" t="n"/>
      <c r="D636" s="65" t="n"/>
      <c r="E636" s="65" t="n"/>
      <c r="F636" s="66" t="n"/>
      <c r="G636" s="65" t="n"/>
      <c r="H636" s="66" t="n"/>
      <c r="I636" s="64" t="n"/>
      <c r="J636" s="68" t="n"/>
      <c r="K636" s="68" t="n"/>
      <c r="L636" s="68" t="n"/>
      <c r="M636" s="64" t="n"/>
      <c r="N636" s="64" t="n"/>
      <c r="O636" s="64" t="n"/>
      <c r="P636" s="64" t="n"/>
      <c r="Q636" s="64" t="n"/>
      <c r="R636" s="64" t="n"/>
      <c r="S636" s="66" t="n"/>
      <c r="T636" s="45" t="n"/>
      <c r="U636" s="43">
        <f t="shared" si="0"/>
      </c>
      <c r="V636" s="49">
        <f t="shared" si="1"/>
      </c>
      <c r="W636" s="49">
        <f t="shared" si="2"/>
      </c>
      <c r="X636" s="2">
        <f t="shared" si="3"/>
      </c>
      <c r="Y636" s="2">
        <f t="shared" si="4"/>
      </c>
      <c r="Z636" s="2">
        <f t="shared" si="5"/>
        <v>0</v>
      </c>
      <c r="AA636" s="2">
        <f t="shared" si="6"/>
        <v>0</v>
      </c>
      <c r="AB636" s="2">
        <f t="shared" si="7"/>
        <v>0</v>
      </c>
      <c r="AC636" s="2">
        <f t="shared" si="8"/>
      </c>
    </row>
    <row r="637">
      <c r="A637" s="64" t="n"/>
      <c r="B637" s="65" t="n"/>
      <c r="C637" s="65" t="n"/>
      <c r="D637" s="65" t="n"/>
      <c r="E637" s="65" t="n"/>
      <c r="F637" s="66" t="n"/>
      <c r="G637" s="65" t="n"/>
      <c r="H637" s="66" t="n"/>
      <c r="I637" s="64" t="n"/>
      <c r="J637" s="68" t="n"/>
      <c r="K637" s="68" t="n"/>
      <c r="L637" s="68" t="n"/>
      <c r="M637" s="64" t="n"/>
      <c r="N637" s="64" t="n"/>
      <c r="O637" s="64" t="n"/>
      <c r="P637" s="64" t="n"/>
      <c r="Q637" s="64" t="n"/>
      <c r="R637" s="64" t="n"/>
      <c r="S637" s="66" t="n"/>
      <c r="T637" s="45" t="n"/>
      <c r="U637" s="43">
        <f t="shared" si="0"/>
      </c>
      <c r="V637" s="49">
        <f t="shared" si="1"/>
      </c>
      <c r="W637" s="49">
        <f t="shared" si="2"/>
      </c>
      <c r="X637" s="2">
        <f t="shared" si="3"/>
      </c>
      <c r="Y637" s="2">
        <f t="shared" si="4"/>
      </c>
      <c r="Z637" s="2">
        <f t="shared" si="5"/>
        <v>0</v>
      </c>
      <c r="AA637" s="2">
        <f t="shared" si="6"/>
        <v>0</v>
      </c>
      <c r="AB637" s="2">
        <f t="shared" si="7"/>
        <v>0</v>
      </c>
      <c r="AC637" s="2">
        <f t="shared" si="8"/>
      </c>
    </row>
    <row r="638">
      <c r="A638" s="64" t="n"/>
      <c r="B638" s="65" t="n"/>
      <c r="C638" s="65" t="n"/>
      <c r="D638" s="65" t="n"/>
      <c r="E638" s="65" t="n"/>
      <c r="F638" s="66" t="n"/>
      <c r="G638" s="65" t="n"/>
      <c r="H638" s="66" t="n"/>
      <c r="I638" s="64" t="n"/>
      <c r="J638" s="68" t="n"/>
      <c r="K638" s="68" t="n"/>
      <c r="L638" s="68" t="n"/>
      <c r="M638" s="64" t="n"/>
      <c r="N638" s="64" t="n"/>
      <c r="O638" s="64" t="n"/>
      <c r="P638" s="64" t="n"/>
      <c r="Q638" s="64" t="n"/>
      <c r="R638" s="64" t="n"/>
      <c r="S638" s="66" t="n"/>
      <c r="T638" s="45" t="n"/>
      <c r="U638" s="43">
        <f t="shared" si="0"/>
      </c>
      <c r="V638" s="49">
        <f t="shared" si="1"/>
      </c>
      <c r="W638" s="49">
        <f t="shared" si="2"/>
      </c>
      <c r="X638" s="2">
        <f t="shared" si="3"/>
      </c>
      <c r="Y638" s="2">
        <f t="shared" si="4"/>
      </c>
      <c r="Z638" s="2">
        <f t="shared" si="5"/>
        <v>0</v>
      </c>
      <c r="AA638" s="2">
        <f t="shared" si="6"/>
        <v>0</v>
      </c>
      <c r="AB638" s="2">
        <f t="shared" si="7"/>
        <v>0</v>
      </c>
      <c r="AC638" s="2">
        <f t="shared" si="8"/>
      </c>
    </row>
    <row r="639">
      <c r="A639" s="64" t="n"/>
      <c r="B639" s="65" t="n"/>
      <c r="C639" s="65" t="n"/>
      <c r="D639" s="65" t="n"/>
      <c r="E639" s="65" t="n"/>
      <c r="F639" s="66" t="n"/>
      <c r="G639" s="65" t="n"/>
      <c r="H639" s="66" t="n"/>
      <c r="I639" s="64" t="n"/>
      <c r="J639" s="68" t="n"/>
      <c r="K639" s="68" t="n"/>
      <c r="L639" s="68" t="n"/>
      <c r="M639" s="64" t="n"/>
      <c r="N639" s="64" t="n"/>
      <c r="O639" s="64" t="n"/>
      <c r="P639" s="64" t="n"/>
      <c r="Q639" s="64" t="n"/>
      <c r="R639" s="64" t="n"/>
      <c r="S639" s="66" t="n"/>
      <c r="T639" s="45" t="n"/>
      <c r="U639" s="43">
        <f t="shared" si="0"/>
      </c>
      <c r="V639" s="49">
        <f t="shared" si="1"/>
      </c>
      <c r="W639" s="49">
        <f t="shared" si="2"/>
      </c>
      <c r="X639" s="2">
        <f t="shared" si="3"/>
      </c>
      <c r="Y639" s="2">
        <f t="shared" si="4"/>
      </c>
      <c r="Z639" s="2">
        <f t="shared" si="5"/>
        <v>0</v>
      </c>
      <c r="AA639" s="2">
        <f t="shared" si="6"/>
        <v>0</v>
      </c>
      <c r="AB639" s="2">
        <f t="shared" si="7"/>
        <v>0</v>
      </c>
      <c r="AC639" s="2">
        <f t="shared" si="8"/>
      </c>
    </row>
    <row r="640">
      <c r="A640" s="64" t="n"/>
      <c r="B640" s="65" t="n"/>
      <c r="C640" s="65" t="n"/>
      <c r="D640" s="65" t="n"/>
      <c r="E640" s="65" t="n"/>
      <c r="F640" s="66" t="n"/>
      <c r="G640" s="65" t="n"/>
      <c r="H640" s="66" t="n"/>
      <c r="I640" s="64" t="n"/>
      <c r="J640" s="68" t="n"/>
      <c r="K640" s="68" t="n"/>
      <c r="L640" s="68" t="n"/>
      <c r="M640" s="64" t="n"/>
      <c r="N640" s="64" t="n"/>
      <c r="O640" s="64" t="n"/>
      <c r="P640" s="64" t="n"/>
      <c r="Q640" s="64" t="n"/>
      <c r="R640" s="64" t="n"/>
      <c r="S640" s="66" t="n"/>
      <c r="T640" s="45" t="n"/>
      <c r="U640" s="43">
        <f t="shared" si="0"/>
      </c>
      <c r="V640" s="49">
        <f t="shared" si="1"/>
      </c>
      <c r="W640" s="49">
        <f t="shared" si="2"/>
      </c>
      <c r="X640" s="2">
        <f t="shared" si="3"/>
      </c>
      <c r="Y640" s="2">
        <f t="shared" si="4"/>
      </c>
      <c r="Z640" s="2">
        <f t="shared" si="5"/>
        <v>0</v>
      </c>
      <c r="AA640" s="2">
        <f t="shared" si="6"/>
        <v>0</v>
      </c>
      <c r="AB640" s="2">
        <f t="shared" si="7"/>
        <v>0</v>
      </c>
      <c r="AC640" s="2">
        <f t="shared" si="8"/>
      </c>
    </row>
    <row r="641">
      <c r="A641" s="64" t="n"/>
      <c r="B641" s="65" t="n"/>
      <c r="C641" s="65" t="n"/>
      <c r="D641" s="65" t="n"/>
      <c r="E641" s="65" t="n"/>
      <c r="F641" s="66" t="n"/>
      <c r="G641" s="65" t="n"/>
      <c r="H641" s="66" t="n"/>
      <c r="I641" s="64" t="n"/>
      <c r="J641" s="68" t="n"/>
      <c r="K641" s="68" t="n"/>
      <c r="L641" s="68" t="n"/>
      <c r="M641" s="64" t="n"/>
      <c r="N641" s="64" t="n"/>
      <c r="O641" s="64" t="n"/>
      <c r="P641" s="64" t="n"/>
      <c r="Q641" s="64" t="n"/>
      <c r="R641" s="64" t="n"/>
      <c r="S641" s="66" t="n"/>
      <c r="T641" s="45" t="n"/>
      <c r="U641" s="43">
        <f t="shared" si="0"/>
      </c>
      <c r="V641" s="49">
        <f t="shared" si="1"/>
      </c>
      <c r="W641" s="49">
        <f t="shared" si="2"/>
      </c>
      <c r="X641" s="2">
        <f t="shared" si="3"/>
      </c>
      <c r="Y641" s="2">
        <f t="shared" si="4"/>
      </c>
      <c r="Z641" s="2">
        <f t="shared" si="5"/>
        <v>0</v>
      </c>
      <c r="AA641" s="2">
        <f t="shared" si="6"/>
        <v>0</v>
      </c>
      <c r="AB641" s="2">
        <f t="shared" si="7"/>
        <v>0</v>
      </c>
      <c r="AC641" s="2">
        <f t="shared" si="8"/>
      </c>
    </row>
    <row r="642">
      <c r="A642" s="64" t="n"/>
      <c r="B642" s="65" t="n"/>
      <c r="C642" s="65" t="n"/>
      <c r="D642" s="65" t="n"/>
      <c r="E642" s="65" t="n"/>
      <c r="F642" s="66" t="n"/>
      <c r="G642" s="65" t="n"/>
      <c r="H642" s="66" t="n"/>
      <c r="I642" s="64" t="n"/>
      <c r="J642" s="68" t="n"/>
      <c r="K642" s="68" t="n"/>
      <c r="L642" s="68" t="n"/>
      <c r="M642" s="64" t="n"/>
      <c r="N642" s="64" t="n"/>
      <c r="O642" s="64" t="n"/>
      <c r="P642" s="64" t="n"/>
      <c r="Q642" s="64" t="n"/>
      <c r="R642" s="64" t="n"/>
      <c r="S642" s="66" t="n"/>
      <c r="T642" s="45" t="n"/>
      <c r="U642" s="43">
        <f t="shared" si="0"/>
      </c>
      <c r="V642" s="49">
        <f t="shared" si="1"/>
      </c>
      <c r="W642" s="49">
        <f t="shared" si="2"/>
      </c>
      <c r="X642" s="2">
        <f t="shared" si="3"/>
      </c>
      <c r="Y642" s="2">
        <f t="shared" si="4"/>
      </c>
      <c r="Z642" s="2">
        <f t="shared" si="5"/>
        <v>0</v>
      </c>
      <c r="AA642" s="2">
        <f t="shared" si="6"/>
        <v>0</v>
      </c>
      <c r="AB642" s="2">
        <f t="shared" si="7"/>
        <v>0</v>
      </c>
      <c r="AC642" s="2">
        <f t="shared" si="8"/>
      </c>
    </row>
    <row r="643">
      <c r="A643" s="64" t="n"/>
      <c r="B643" s="65" t="n"/>
      <c r="C643" s="65" t="n"/>
      <c r="D643" s="65" t="n"/>
      <c r="E643" s="65" t="n"/>
      <c r="F643" s="66" t="n"/>
      <c r="G643" s="65" t="n"/>
      <c r="H643" s="66" t="n"/>
      <c r="I643" s="64" t="n"/>
      <c r="J643" s="68" t="n"/>
      <c r="K643" s="68" t="n"/>
      <c r="L643" s="68" t="n"/>
      <c r="M643" s="64" t="n"/>
      <c r="N643" s="64" t="n"/>
      <c r="O643" s="64" t="n"/>
      <c r="P643" s="64" t="n"/>
      <c r="Q643" s="64" t="n"/>
      <c r="R643" s="64" t="n"/>
      <c r="S643" s="66" t="n"/>
      <c r="T643" s="45" t="n"/>
      <c r="U643" s="43">
        <f t="shared" si="0"/>
      </c>
      <c r="V643" s="49">
        <f t="shared" si="1"/>
      </c>
      <c r="W643" s="49">
        <f t="shared" si="2"/>
      </c>
      <c r="X643" s="2">
        <f t="shared" si="3"/>
      </c>
      <c r="Y643" s="2">
        <f t="shared" si="4"/>
      </c>
      <c r="Z643" s="2">
        <f t="shared" si="5"/>
        <v>0</v>
      </c>
      <c r="AA643" s="2">
        <f t="shared" si="6"/>
        <v>0</v>
      </c>
      <c r="AB643" s="2">
        <f t="shared" si="7"/>
        <v>0</v>
      </c>
      <c r="AC643" s="2">
        <f t="shared" si="8"/>
      </c>
    </row>
    <row r="644">
      <c r="A644" s="64" t="n"/>
      <c r="B644" s="65" t="n"/>
      <c r="C644" s="65" t="n"/>
      <c r="D644" s="65" t="n"/>
      <c r="E644" s="65" t="n"/>
      <c r="F644" s="66" t="n"/>
      <c r="G644" s="65" t="n"/>
      <c r="H644" s="66" t="n"/>
      <c r="I644" s="64" t="n"/>
      <c r="J644" s="68" t="n"/>
      <c r="K644" s="68" t="n"/>
      <c r="L644" s="68" t="n"/>
      <c r="M644" s="64" t="n"/>
      <c r="N644" s="64" t="n"/>
      <c r="O644" s="64" t="n"/>
      <c r="P644" s="64" t="n"/>
      <c r="Q644" s="64" t="n"/>
      <c r="R644" s="64" t="n"/>
      <c r="S644" s="66" t="n"/>
      <c r="T644" s="45" t="n"/>
      <c r="U644" s="43">
        <f t="shared" si="0"/>
      </c>
      <c r="V644" s="49">
        <f t="shared" si="1"/>
      </c>
      <c r="W644" s="49">
        <f t="shared" si="2"/>
      </c>
      <c r="X644" s="2">
        <f t="shared" si="3"/>
      </c>
      <c r="Y644" s="2">
        <f t="shared" si="4"/>
      </c>
      <c r="Z644" s="2">
        <f t="shared" si="5"/>
        <v>0</v>
      </c>
      <c r="AA644" s="2">
        <f t="shared" si="6"/>
        <v>0</v>
      </c>
      <c r="AB644" s="2">
        <f t="shared" si="7"/>
        <v>0</v>
      </c>
      <c r="AC644" s="2">
        <f t="shared" si="8"/>
      </c>
    </row>
    <row r="645">
      <c r="A645" s="64" t="n"/>
      <c r="B645" s="65" t="n"/>
      <c r="C645" s="65" t="n"/>
      <c r="D645" s="65" t="n"/>
      <c r="E645" s="65" t="n"/>
      <c r="F645" s="66" t="n"/>
      <c r="G645" s="65" t="n"/>
      <c r="H645" s="66" t="n"/>
      <c r="I645" s="64" t="n"/>
      <c r="J645" s="68" t="n"/>
      <c r="K645" s="68" t="n"/>
      <c r="L645" s="68" t="n"/>
      <c r="M645" s="64" t="n"/>
      <c r="N645" s="64" t="n"/>
      <c r="O645" s="64" t="n"/>
      <c r="P645" s="64" t="n"/>
      <c r="Q645" s="64" t="n"/>
      <c r="R645" s="64" t="n"/>
      <c r="S645" s="66" t="n"/>
      <c r="T645" s="45" t="n"/>
      <c r="U645" s="43">
        <f t="shared" si="0"/>
      </c>
      <c r="V645" s="49">
        <f t="shared" si="1"/>
      </c>
      <c r="W645" s="49">
        <f t="shared" si="2"/>
      </c>
      <c r="X645" s="2">
        <f t="shared" si="3"/>
      </c>
      <c r="Y645" s="2">
        <f t="shared" si="4"/>
      </c>
      <c r="Z645" s="2">
        <f t="shared" si="5"/>
        <v>0</v>
      </c>
      <c r="AA645" s="2">
        <f t="shared" si="6"/>
        <v>0</v>
      </c>
      <c r="AB645" s="2">
        <f t="shared" si="7"/>
        <v>0</v>
      </c>
      <c r="AC645" s="2">
        <f t="shared" si="8"/>
      </c>
    </row>
    <row r="646">
      <c r="A646" s="64" t="n"/>
      <c r="B646" s="65" t="n"/>
      <c r="C646" s="65" t="n"/>
      <c r="D646" s="65" t="n"/>
      <c r="E646" s="65" t="n"/>
      <c r="F646" s="66" t="n"/>
      <c r="G646" s="65" t="n"/>
      <c r="H646" s="66" t="n"/>
      <c r="I646" s="64" t="n"/>
      <c r="J646" s="68" t="n"/>
      <c r="K646" s="68" t="n"/>
      <c r="L646" s="68" t="n"/>
      <c r="M646" s="64" t="n"/>
      <c r="N646" s="64" t="n"/>
      <c r="O646" s="64" t="n"/>
      <c r="P646" s="64" t="n"/>
      <c r="Q646" s="64" t="n"/>
      <c r="R646" s="64" t="n"/>
      <c r="S646" s="66" t="n"/>
      <c r="T646" s="45" t="n"/>
      <c r="U646" s="43">
        <f t="shared" si="0"/>
      </c>
      <c r="V646" s="49">
        <f t="shared" si="1"/>
      </c>
      <c r="W646" s="49">
        <f t="shared" si="2"/>
      </c>
      <c r="X646" s="2">
        <f t="shared" si="3"/>
      </c>
      <c r="Y646" s="2">
        <f t="shared" si="4"/>
      </c>
      <c r="Z646" s="2">
        <f t="shared" si="5"/>
        <v>0</v>
      </c>
      <c r="AA646" s="2">
        <f t="shared" si="6"/>
        <v>0</v>
      </c>
      <c r="AB646" s="2">
        <f t="shared" si="7"/>
        <v>0</v>
      </c>
      <c r="AC646" s="2">
        <f t="shared" si="8"/>
      </c>
    </row>
    <row r="647">
      <c r="A647" s="64" t="n"/>
      <c r="B647" s="65" t="n"/>
      <c r="C647" s="65" t="n"/>
      <c r="D647" s="65" t="n"/>
      <c r="E647" s="65" t="n"/>
      <c r="F647" s="66" t="n"/>
      <c r="G647" s="65" t="n"/>
      <c r="H647" s="66" t="n"/>
      <c r="I647" s="64" t="n"/>
      <c r="J647" s="68" t="n"/>
      <c r="K647" s="68" t="n"/>
      <c r="L647" s="68" t="n"/>
      <c r="M647" s="64" t="n"/>
      <c r="N647" s="64" t="n"/>
      <c r="O647" s="64" t="n"/>
      <c r="P647" s="64" t="n"/>
      <c r="Q647" s="64" t="n"/>
      <c r="R647" s="64" t="n"/>
      <c r="S647" s="66" t="n"/>
      <c r="T647" s="45" t="n"/>
      <c r="U647" s="43">
        <f t="shared" si="0"/>
      </c>
      <c r="V647" s="49">
        <f t="shared" si="1"/>
      </c>
      <c r="W647" s="49">
        <f t="shared" si="2"/>
      </c>
      <c r="X647" s="2">
        <f t="shared" si="3"/>
      </c>
      <c r="Y647" s="2">
        <f t="shared" si="4"/>
      </c>
      <c r="Z647" s="2">
        <f t="shared" si="5"/>
        <v>0</v>
      </c>
      <c r="AA647" s="2">
        <f t="shared" si="6"/>
        <v>0</v>
      </c>
      <c r="AB647" s="2">
        <f t="shared" si="7"/>
        <v>0</v>
      </c>
      <c r="AC647" s="2">
        <f t="shared" si="8"/>
      </c>
    </row>
    <row r="648">
      <c r="A648" s="64" t="n"/>
      <c r="B648" s="65" t="n"/>
      <c r="C648" s="65" t="n"/>
      <c r="D648" s="65" t="n"/>
      <c r="E648" s="65" t="n"/>
      <c r="F648" s="66" t="n"/>
      <c r="G648" s="65" t="n"/>
      <c r="H648" s="66" t="n"/>
      <c r="I648" s="64" t="n"/>
      <c r="J648" s="68" t="n"/>
      <c r="K648" s="68" t="n"/>
      <c r="L648" s="68" t="n"/>
      <c r="M648" s="64" t="n"/>
      <c r="N648" s="64" t="n"/>
      <c r="O648" s="64" t="n"/>
      <c r="P648" s="64" t="n"/>
      <c r="Q648" s="64" t="n"/>
      <c r="R648" s="64" t="n"/>
      <c r="S648" s="66" t="n"/>
      <c r="T648" s="45" t="n"/>
      <c r="U648" s="43">
        <f t="shared" si="0"/>
      </c>
      <c r="V648" s="49">
        <f t="shared" si="1"/>
      </c>
      <c r="W648" s="49">
        <f t="shared" si="2"/>
      </c>
      <c r="X648" s="2">
        <f t="shared" si="3"/>
      </c>
      <c r="Y648" s="2">
        <f t="shared" si="4"/>
      </c>
      <c r="Z648" s="2">
        <f t="shared" si="5"/>
        <v>0</v>
      </c>
      <c r="AA648" s="2">
        <f t="shared" si="6"/>
        <v>0</v>
      </c>
      <c r="AB648" s="2">
        <f t="shared" si="7"/>
        <v>0</v>
      </c>
      <c r="AC648" s="2">
        <f t="shared" si="8"/>
      </c>
    </row>
    <row r="649">
      <c r="A649" s="64" t="n"/>
      <c r="B649" s="65" t="n"/>
      <c r="C649" s="65" t="n"/>
      <c r="D649" s="65" t="n"/>
      <c r="E649" s="65" t="n"/>
      <c r="F649" s="66" t="n"/>
      <c r="G649" s="65" t="n"/>
      <c r="H649" s="66" t="n"/>
      <c r="I649" s="64" t="n"/>
      <c r="J649" s="68" t="n"/>
      <c r="K649" s="68" t="n"/>
      <c r="L649" s="68" t="n"/>
      <c r="M649" s="64" t="n"/>
      <c r="N649" s="64" t="n"/>
      <c r="O649" s="64" t="n"/>
      <c r="P649" s="64" t="n"/>
      <c r="Q649" s="64" t="n"/>
      <c r="R649" s="64" t="n"/>
      <c r="S649" s="66" t="n"/>
      <c r="T649" s="45" t="n"/>
      <c r="U649" s="43">
        <f t="shared" si="0"/>
      </c>
      <c r="V649" s="49">
        <f t="shared" si="1"/>
      </c>
      <c r="W649" s="49">
        <f t="shared" si="2"/>
      </c>
      <c r="X649" s="2">
        <f t="shared" si="3"/>
      </c>
      <c r="Y649" s="2">
        <f t="shared" si="4"/>
      </c>
      <c r="Z649" s="2">
        <f t="shared" si="5"/>
        <v>0</v>
      </c>
      <c r="AA649" s="2">
        <f t="shared" si="6"/>
        <v>0</v>
      </c>
      <c r="AB649" s="2">
        <f t="shared" si="7"/>
        <v>0</v>
      </c>
      <c r="AC649" s="2">
        <f t="shared" si="8"/>
      </c>
    </row>
    <row r="650">
      <c r="A650" s="64" t="n"/>
      <c r="B650" s="65" t="n"/>
      <c r="C650" s="65" t="n"/>
      <c r="D650" s="65" t="n"/>
      <c r="E650" s="65" t="n"/>
      <c r="F650" s="66" t="n"/>
      <c r="G650" s="65" t="n"/>
      <c r="H650" s="66" t="n"/>
      <c r="I650" s="64" t="n"/>
      <c r="J650" s="68" t="n"/>
      <c r="K650" s="68" t="n"/>
      <c r="L650" s="68" t="n"/>
      <c r="M650" s="64" t="n"/>
      <c r="N650" s="64" t="n"/>
      <c r="O650" s="64" t="n"/>
      <c r="P650" s="64" t="n"/>
      <c r="Q650" s="64" t="n"/>
      <c r="R650" s="64" t="n"/>
      <c r="S650" s="66" t="n"/>
      <c r="T650" s="45" t="n"/>
      <c r="U650" s="43">
        <f t="shared" si="0"/>
      </c>
      <c r="V650" s="49">
        <f t="shared" si="1"/>
      </c>
      <c r="W650" s="49">
        <f t="shared" si="2"/>
      </c>
      <c r="X650" s="2">
        <f t="shared" si="3"/>
      </c>
      <c r="Y650" s="2">
        <f t="shared" si="4"/>
      </c>
      <c r="Z650" s="2">
        <f t="shared" si="5"/>
        <v>0</v>
      </c>
      <c r="AA650" s="2">
        <f t="shared" si="6"/>
        <v>0</v>
      </c>
      <c r="AB650" s="2">
        <f t="shared" si="7"/>
        <v>0</v>
      </c>
      <c r="AC650" s="2">
        <f t="shared" si="8"/>
      </c>
    </row>
    <row r="651">
      <c r="A651" s="64" t="n"/>
      <c r="B651" s="65" t="n"/>
      <c r="C651" s="65" t="n"/>
      <c r="D651" s="65" t="n"/>
      <c r="E651" s="65" t="n"/>
      <c r="F651" s="66" t="n"/>
      <c r="G651" s="65" t="n"/>
      <c r="H651" s="66" t="n"/>
      <c r="I651" s="64" t="n"/>
      <c r="J651" s="68" t="n"/>
      <c r="K651" s="68" t="n"/>
      <c r="L651" s="68" t="n"/>
      <c r="M651" s="64" t="n"/>
      <c r="N651" s="64" t="n"/>
      <c r="O651" s="64" t="n"/>
      <c r="P651" s="64" t="n"/>
      <c r="Q651" s="64" t="n"/>
      <c r="R651" s="64" t="n"/>
      <c r="S651" s="66" t="n"/>
      <c r="T651" s="45" t="n"/>
      <c r="U651" s="43">
        <f t="shared" si="0"/>
      </c>
      <c r="V651" s="49">
        <f t="shared" si="1"/>
      </c>
      <c r="W651" s="49">
        <f t="shared" si="2"/>
      </c>
      <c r="X651" s="2">
        <f t="shared" si="3"/>
      </c>
      <c r="Y651" s="2">
        <f t="shared" si="4"/>
      </c>
      <c r="Z651" s="2">
        <f t="shared" si="5"/>
        <v>0</v>
      </c>
      <c r="AA651" s="2">
        <f t="shared" si="6"/>
        <v>0</v>
      </c>
      <c r="AB651" s="2">
        <f t="shared" si="7"/>
        <v>0</v>
      </c>
      <c r="AC651" s="2">
        <f t="shared" si="8"/>
      </c>
    </row>
    <row r="652">
      <c r="A652" s="64" t="n"/>
      <c r="B652" s="65" t="n"/>
      <c r="C652" s="65" t="n"/>
      <c r="D652" s="65" t="n"/>
      <c r="E652" s="65" t="n"/>
      <c r="F652" s="66" t="n"/>
      <c r="G652" s="65" t="n"/>
      <c r="H652" s="66" t="n"/>
      <c r="I652" s="64" t="n"/>
      <c r="J652" s="68" t="n"/>
      <c r="K652" s="68" t="n"/>
      <c r="L652" s="68" t="n"/>
      <c r="M652" s="64" t="n"/>
      <c r="N652" s="64" t="n"/>
      <c r="O652" s="64" t="n"/>
      <c r="P652" s="64" t="n"/>
      <c r="Q652" s="64" t="n"/>
      <c r="R652" s="64" t="n"/>
      <c r="S652" s="66" t="n"/>
      <c r="T652" s="45" t="n"/>
      <c r="U652" s="43">
        <f t="shared" si="0"/>
      </c>
      <c r="V652" s="49">
        <f t="shared" si="1"/>
      </c>
      <c r="W652" s="49">
        <f t="shared" si="2"/>
      </c>
      <c r="X652" s="2">
        <f t="shared" si="3"/>
      </c>
      <c r="Y652" s="2">
        <f t="shared" si="4"/>
      </c>
      <c r="Z652" s="2">
        <f t="shared" si="5"/>
        <v>0</v>
      </c>
      <c r="AA652" s="2">
        <f t="shared" si="6"/>
        <v>0</v>
      </c>
      <c r="AB652" s="2">
        <f t="shared" si="7"/>
        <v>0</v>
      </c>
      <c r="AC652" s="2">
        <f t="shared" si="8"/>
      </c>
    </row>
    <row r="653">
      <c r="A653" s="64" t="n"/>
      <c r="B653" s="65" t="n"/>
      <c r="C653" s="65" t="n"/>
      <c r="D653" s="65" t="n"/>
      <c r="E653" s="65" t="n"/>
      <c r="F653" s="66" t="n"/>
      <c r="G653" s="65" t="n"/>
      <c r="H653" s="66" t="n"/>
      <c r="I653" s="64" t="n"/>
      <c r="J653" s="68" t="n"/>
      <c r="K653" s="68" t="n"/>
      <c r="L653" s="68" t="n"/>
      <c r="M653" s="64" t="n"/>
      <c r="N653" s="64" t="n"/>
      <c r="O653" s="64" t="n"/>
      <c r="P653" s="64" t="n"/>
      <c r="Q653" s="64" t="n"/>
      <c r="R653" s="64" t="n"/>
      <c r="S653" s="66" t="n"/>
      <c r="T653" s="45" t="n"/>
      <c r="U653" s="43">
        <f t="shared" si="0"/>
      </c>
      <c r="V653" s="49">
        <f t="shared" si="1"/>
      </c>
      <c r="W653" s="49">
        <f t="shared" si="2"/>
      </c>
      <c r="X653" s="2">
        <f t="shared" si="3"/>
      </c>
      <c r="Y653" s="2">
        <f t="shared" si="4"/>
      </c>
      <c r="Z653" s="2">
        <f t="shared" si="5"/>
        <v>0</v>
      </c>
      <c r="AA653" s="2">
        <f t="shared" si="6"/>
        <v>0</v>
      </c>
      <c r="AB653" s="2">
        <f t="shared" si="7"/>
        <v>0</v>
      </c>
      <c r="AC653" s="2">
        <f t="shared" si="8"/>
      </c>
    </row>
    <row r="654">
      <c r="A654" s="64" t="n"/>
      <c r="B654" s="65" t="n"/>
      <c r="C654" s="65" t="n"/>
      <c r="D654" s="65" t="n"/>
      <c r="E654" s="65" t="n"/>
      <c r="F654" s="66" t="n"/>
      <c r="G654" s="65" t="n"/>
      <c r="H654" s="66" t="n"/>
      <c r="I654" s="64" t="n"/>
      <c r="J654" s="68" t="n"/>
      <c r="K654" s="68" t="n"/>
      <c r="L654" s="68" t="n"/>
      <c r="M654" s="64" t="n"/>
      <c r="N654" s="64" t="n"/>
      <c r="O654" s="64" t="n"/>
      <c r="P654" s="64" t="n"/>
      <c r="Q654" s="64" t="n"/>
      <c r="R654" s="64" t="n"/>
      <c r="S654" s="66" t="n"/>
      <c r="T654" s="45" t="n"/>
      <c r="U654" s="43">
        <f t="shared" si="0"/>
      </c>
      <c r="V654" s="49">
        <f t="shared" si="1"/>
      </c>
      <c r="W654" s="49">
        <f t="shared" si="2"/>
      </c>
      <c r="X654" s="2">
        <f t="shared" si="3"/>
      </c>
      <c r="Y654" s="2">
        <f t="shared" si="4"/>
      </c>
      <c r="Z654" s="2">
        <f t="shared" si="5"/>
        <v>0</v>
      </c>
      <c r="AA654" s="2">
        <f t="shared" si="6"/>
        <v>0</v>
      </c>
      <c r="AB654" s="2">
        <f t="shared" si="7"/>
        <v>0</v>
      </c>
      <c r="AC654" s="2">
        <f t="shared" si="8"/>
      </c>
    </row>
    <row r="655">
      <c r="A655" s="64" t="n"/>
      <c r="B655" s="65" t="n"/>
      <c r="C655" s="65" t="n"/>
      <c r="D655" s="65" t="n"/>
      <c r="E655" s="65" t="n"/>
      <c r="F655" s="66" t="n"/>
      <c r="G655" s="65" t="n"/>
      <c r="H655" s="66" t="n"/>
      <c r="I655" s="64" t="n"/>
      <c r="J655" s="68" t="n"/>
      <c r="K655" s="68" t="n"/>
      <c r="L655" s="68" t="n"/>
      <c r="M655" s="64" t="n"/>
      <c r="N655" s="64" t="n"/>
      <c r="O655" s="64" t="n"/>
      <c r="P655" s="64" t="n"/>
      <c r="Q655" s="64" t="n"/>
      <c r="R655" s="64" t="n"/>
      <c r="S655" s="66" t="n"/>
      <c r="T655" s="45" t="n"/>
      <c r="U655" s="43">
        <f t="shared" si="0"/>
      </c>
      <c r="V655" s="49">
        <f t="shared" si="1"/>
      </c>
      <c r="W655" s="49">
        <f t="shared" si="2"/>
      </c>
      <c r="X655" s="2">
        <f t="shared" si="3"/>
      </c>
      <c r="Y655" s="2">
        <f t="shared" si="4"/>
      </c>
      <c r="Z655" s="2">
        <f t="shared" si="5"/>
        <v>0</v>
      </c>
      <c r="AA655" s="2">
        <f t="shared" si="6"/>
        <v>0</v>
      </c>
      <c r="AB655" s="2">
        <f t="shared" si="7"/>
        <v>0</v>
      </c>
      <c r="AC655" s="2">
        <f t="shared" si="8"/>
      </c>
    </row>
    <row r="656">
      <c r="A656" s="64" t="n"/>
      <c r="B656" s="65" t="n"/>
      <c r="C656" s="65" t="n"/>
      <c r="D656" s="65" t="n"/>
      <c r="E656" s="65" t="n"/>
      <c r="F656" s="66" t="n"/>
      <c r="G656" s="65" t="n"/>
      <c r="H656" s="66" t="n"/>
      <c r="I656" s="64" t="n"/>
      <c r="J656" s="68" t="n"/>
      <c r="K656" s="68" t="n"/>
      <c r="L656" s="68" t="n"/>
      <c r="M656" s="64" t="n"/>
      <c r="N656" s="64" t="n"/>
      <c r="O656" s="64" t="n"/>
      <c r="P656" s="64" t="n"/>
      <c r="Q656" s="64" t="n"/>
      <c r="R656" s="64" t="n"/>
      <c r="S656" s="66" t="n"/>
      <c r="T656" s="45" t="n"/>
      <c r="U656" s="43">
        <f t="shared" si="0"/>
      </c>
      <c r="V656" s="49">
        <f t="shared" si="1"/>
      </c>
      <c r="W656" s="49">
        <f t="shared" si="2"/>
      </c>
      <c r="X656" s="2">
        <f t="shared" si="3"/>
      </c>
      <c r="Y656" s="2">
        <f t="shared" si="4"/>
      </c>
      <c r="Z656" s="2">
        <f t="shared" si="5"/>
        <v>0</v>
      </c>
      <c r="AA656" s="2">
        <f t="shared" si="6"/>
        <v>0</v>
      </c>
      <c r="AB656" s="2">
        <f t="shared" si="7"/>
        <v>0</v>
      </c>
      <c r="AC656" s="2">
        <f t="shared" si="8"/>
      </c>
    </row>
    <row r="657">
      <c r="A657" s="64" t="n"/>
      <c r="B657" s="65" t="n"/>
      <c r="C657" s="65" t="n"/>
      <c r="D657" s="65" t="n"/>
      <c r="E657" s="65" t="n"/>
      <c r="F657" s="66" t="n"/>
      <c r="G657" s="65" t="n"/>
      <c r="H657" s="66" t="n"/>
      <c r="I657" s="64" t="n"/>
      <c r="J657" s="68" t="n"/>
      <c r="K657" s="68" t="n"/>
      <c r="L657" s="68" t="n"/>
      <c r="M657" s="64" t="n"/>
      <c r="N657" s="64" t="n"/>
      <c r="O657" s="64" t="n"/>
      <c r="P657" s="64" t="n"/>
      <c r="Q657" s="64" t="n"/>
      <c r="R657" s="64" t="n"/>
      <c r="S657" s="66" t="n"/>
      <c r="T657" s="45" t="n"/>
      <c r="U657" s="43">
        <f t="shared" si="0"/>
      </c>
      <c r="V657" s="49">
        <f t="shared" si="1"/>
      </c>
      <c r="W657" s="49">
        <f t="shared" si="2"/>
      </c>
      <c r="X657" s="2">
        <f t="shared" si="3"/>
      </c>
      <c r="Y657" s="2">
        <f t="shared" si="4"/>
      </c>
      <c r="Z657" s="2">
        <f t="shared" si="5"/>
        <v>0</v>
      </c>
      <c r="AA657" s="2">
        <f t="shared" si="6"/>
        <v>0</v>
      </c>
      <c r="AB657" s="2">
        <f t="shared" si="7"/>
        <v>0</v>
      </c>
      <c r="AC657" s="2">
        <f t="shared" si="8"/>
      </c>
    </row>
    <row r="658">
      <c r="A658" s="64" t="n"/>
      <c r="B658" s="65" t="n"/>
      <c r="C658" s="65" t="n"/>
      <c r="D658" s="65" t="n"/>
      <c r="E658" s="65" t="n"/>
      <c r="F658" s="66" t="n"/>
      <c r="G658" s="65" t="n"/>
      <c r="H658" s="66" t="n"/>
      <c r="I658" s="64" t="n"/>
      <c r="J658" s="68" t="n"/>
      <c r="K658" s="68" t="n"/>
      <c r="L658" s="68" t="n"/>
      <c r="M658" s="64" t="n"/>
      <c r="N658" s="64" t="n"/>
      <c r="O658" s="64" t="n"/>
      <c r="P658" s="64" t="n"/>
      <c r="Q658" s="64" t="n"/>
      <c r="R658" s="64" t="n"/>
      <c r="S658" s="66" t="n"/>
      <c r="T658" s="45" t="n"/>
      <c r="U658" s="43">
        <f t="shared" si="0"/>
      </c>
      <c r="V658" s="49">
        <f t="shared" si="1"/>
      </c>
      <c r="W658" s="49">
        <f t="shared" si="2"/>
      </c>
      <c r="X658" s="2">
        <f t="shared" si="3"/>
      </c>
      <c r="Y658" s="2">
        <f t="shared" si="4"/>
      </c>
      <c r="Z658" s="2">
        <f t="shared" si="5"/>
        <v>0</v>
      </c>
      <c r="AA658" s="2">
        <f t="shared" si="6"/>
        <v>0</v>
      </c>
      <c r="AB658" s="2">
        <f t="shared" si="7"/>
        <v>0</v>
      </c>
      <c r="AC658" s="2">
        <f t="shared" si="8"/>
      </c>
    </row>
    <row r="659">
      <c r="A659" s="64" t="n"/>
      <c r="B659" s="65" t="n"/>
      <c r="C659" s="65" t="n"/>
      <c r="D659" s="65" t="n"/>
      <c r="E659" s="65" t="n"/>
      <c r="F659" s="66" t="n"/>
      <c r="G659" s="65" t="n"/>
      <c r="H659" s="66" t="n"/>
      <c r="I659" s="64" t="n"/>
      <c r="J659" s="68" t="n"/>
      <c r="K659" s="68" t="n"/>
      <c r="L659" s="68" t="n"/>
      <c r="M659" s="64" t="n"/>
      <c r="N659" s="64" t="n"/>
      <c r="O659" s="64" t="n"/>
      <c r="P659" s="64" t="n"/>
      <c r="Q659" s="64" t="n"/>
      <c r="R659" s="64" t="n"/>
      <c r="S659" s="66" t="n"/>
      <c r="T659" s="45" t="n"/>
      <c r="U659" s="43">
        <f t="shared" si="0"/>
      </c>
      <c r="V659" s="49">
        <f t="shared" si="1"/>
      </c>
      <c r="W659" s="49">
        <f t="shared" si="2"/>
      </c>
      <c r="X659" s="2">
        <f t="shared" si="3"/>
      </c>
      <c r="Y659" s="2">
        <f t="shared" si="4"/>
      </c>
      <c r="Z659" s="2">
        <f t="shared" si="5"/>
        <v>0</v>
      </c>
      <c r="AA659" s="2">
        <f t="shared" si="6"/>
        <v>0</v>
      </c>
      <c r="AB659" s="2">
        <f t="shared" si="7"/>
        <v>0</v>
      </c>
      <c r="AC659" s="2">
        <f t="shared" si="8"/>
      </c>
    </row>
    <row r="660">
      <c r="A660" s="64" t="n"/>
      <c r="B660" s="65" t="n"/>
      <c r="C660" s="65" t="n"/>
      <c r="D660" s="65" t="n"/>
      <c r="E660" s="65" t="n"/>
      <c r="F660" s="66" t="n"/>
      <c r="G660" s="65" t="n"/>
      <c r="H660" s="66" t="n"/>
      <c r="I660" s="64" t="n"/>
      <c r="J660" s="68" t="n"/>
      <c r="K660" s="68" t="n"/>
      <c r="L660" s="68" t="n"/>
      <c r="M660" s="64" t="n"/>
      <c r="N660" s="64" t="n"/>
      <c r="O660" s="64" t="n"/>
      <c r="P660" s="64" t="n"/>
      <c r="Q660" s="64" t="n"/>
      <c r="R660" s="64" t="n"/>
      <c r="S660" s="66" t="n"/>
      <c r="T660" s="45" t="n"/>
      <c r="U660" s="43">
        <f t="shared" si="0"/>
      </c>
      <c r="V660" s="49">
        <f t="shared" si="1"/>
      </c>
      <c r="W660" s="49">
        <f t="shared" si="2"/>
      </c>
      <c r="X660" s="2">
        <f t="shared" si="3"/>
      </c>
      <c r="Y660" s="2">
        <f t="shared" si="4"/>
      </c>
      <c r="Z660" s="2">
        <f t="shared" si="5"/>
        <v>0</v>
      </c>
      <c r="AA660" s="2">
        <f t="shared" si="6"/>
        <v>0</v>
      </c>
      <c r="AB660" s="2">
        <f t="shared" si="7"/>
        <v>0</v>
      </c>
      <c r="AC660" s="2">
        <f t="shared" si="8"/>
      </c>
    </row>
    <row r="661">
      <c r="A661" s="64" t="n"/>
      <c r="B661" s="65" t="n"/>
      <c r="C661" s="65" t="n"/>
      <c r="D661" s="65" t="n"/>
      <c r="E661" s="65" t="n"/>
      <c r="F661" s="66" t="n"/>
      <c r="G661" s="65" t="n"/>
      <c r="H661" s="66" t="n"/>
      <c r="I661" s="64" t="n"/>
      <c r="J661" s="68" t="n"/>
      <c r="K661" s="68" t="n"/>
      <c r="L661" s="68" t="n"/>
      <c r="M661" s="64" t="n"/>
      <c r="N661" s="64" t="n"/>
      <c r="O661" s="64" t="n"/>
      <c r="P661" s="64" t="n"/>
      <c r="Q661" s="64" t="n"/>
      <c r="R661" s="64" t="n"/>
      <c r="S661" s="66" t="n"/>
      <c r="T661" s="45" t="n"/>
      <c r="U661" s="43">
        <f t="shared" si="0"/>
      </c>
      <c r="V661" s="49">
        <f t="shared" si="1"/>
      </c>
      <c r="W661" s="49">
        <f t="shared" si="2"/>
      </c>
      <c r="X661" s="2">
        <f t="shared" si="3"/>
      </c>
      <c r="Y661" s="2">
        <f t="shared" si="4"/>
      </c>
      <c r="Z661" s="2">
        <f t="shared" si="5"/>
        <v>0</v>
      </c>
      <c r="AA661" s="2">
        <f t="shared" si="6"/>
        <v>0</v>
      </c>
      <c r="AB661" s="2">
        <f t="shared" si="7"/>
        <v>0</v>
      </c>
      <c r="AC661" s="2">
        <f t="shared" si="8"/>
      </c>
    </row>
    <row r="662">
      <c r="A662" s="64" t="n"/>
      <c r="B662" s="65" t="n"/>
      <c r="C662" s="65" t="n"/>
      <c r="D662" s="65" t="n"/>
      <c r="E662" s="65" t="n"/>
      <c r="F662" s="66" t="n"/>
      <c r="G662" s="65" t="n"/>
      <c r="H662" s="66" t="n"/>
      <c r="I662" s="64" t="n"/>
      <c r="J662" s="68" t="n"/>
      <c r="K662" s="68" t="n"/>
      <c r="L662" s="68" t="n"/>
      <c r="M662" s="64" t="n"/>
      <c r="N662" s="64" t="n"/>
      <c r="O662" s="64" t="n"/>
      <c r="P662" s="64" t="n"/>
      <c r="Q662" s="64" t="n"/>
      <c r="R662" s="64" t="n"/>
      <c r="S662" s="66" t="n"/>
      <c r="T662" s="45" t="n"/>
      <c r="U662" s="43">
        <f t="shared" si="0"/>
      </c>
      <c r="V662" s="49">
        <f t="shared" si="1"/>
      </c>
      <c r="W662" s="49">
        <f t="shared" si="2"/>
      </c>
      <c r="X662" s="2">
        <f t="shared" si="3"/>
      </c>
      <c r="Y662" s="2">
        <f t="shared" si="4"/>
      </c>
      <c r="Z662" s="2">
        <f t="shared" si="5"/>
        <v>0</v>
      </c>
      <c r="AA662" s="2">
        <f t="shared" si="6"/>
        <v>0</v>
      </c>
      <c r="AB662" s="2">
        <f t="shared" si="7"/>
        <v>0</v>
      </c>
      <c r="AC662" s="2">
        <f t="shared" si="8"/>
      </c>
    </row>
    <row r="663">
      <c r="A663" s="64" t="n"/>
      <c r="B663" s="65" t="n"/>
      <c r="C663" s="65" t="n"/>
      <c r="D663" s="65" t="n"/>
      <c r="E663" s="65" t="n"/>
      <c r="F663" s="66" t="n"/>
      <c r="G663" s="65" t="n"/>
      <c r="H663" s="66" t="n"/>
      <c r="I663" s="64" t="n"/>
      <c r="J663" s="68" t="n"/>
      <c r="K663" s="68" t="n"/>
      <c r="L663" s="68" t="n"/>
      <c r="M663" s="64" t="n"/>
      <c r="N663" s="64" t="n"/>
      <c r="O663" s="64" t="n"/>
      <c r="P663" s="64" t="n"/>
      <c r="Q663" s="64" t="n"/>
      <c r="R663" s="64" t="n"/>
      <c r="S663" s="66" t="n"/>
      <c r="T663" s="45" t="n"/>
      <c r="U663" s="43">
        <f t="shared" si="0"/>
      </c>
      <c r="V663" s="49">
        <f t="shared" si="1"/>
      </c>
      <c r="W663" s="49">
        <f t="shared" si="2"/>
      </c>
      <c r="X663" s="2">
        <f t="shared" si="3"/>
      </c>
      <c r="Y663" s="2">
        <f t="shared" si="4"/>
      </c>
      <c r="Z663" s="2">
        <f t="shared" si="5"/>
        <v>0</v>
      </c>
      <c r="AA663" s="2">
        <f t="shared" si="6"/>
        <v>0</v>
      </c>
      <c r="AB663" s="2">
        <f t="shared" si="7"/>
        <v>0</v>
      </c>
      <c r="AC663" s="2">
        <f t="shared" si="8"/>
      </c>
    </row>
    <row r="664">
      <c r="A664" s="64" t="n"/>
      <c r="B664" s="65" t="n"/>
      <c r="C664" s="65" t="n"/>
      <c r="D664" s="65" t="n"/>
      <c r="E664" s="65" t="n"/>
      <c r="F664" s="66" t="n"/>
      <c r="G664" s="65" t="n"/>
      <c r="H664" s="66" t="n"/>
      <c r="I664" s="64" t="n"/>
      <c r="J664" s="68" t="n"/>
      <c r="K664" s="68" t="n"/>
      <c r="L664" s="68" t="n"/>
      <c r="M664" s="64" t="n"/>
      <c r="N664" s="64" t="n"/>
      <c r="O664" s="64" t="n"/>
      <c r="P664" s="64" t="n"/>
      <c r="Q664" s="64" t="n"/>
      <c r="R664" s="64" t="n"/>
      <c r="S664" s="66" t="n"/>
      <c r="T664" s="45" t="n"/>
      <c r="U664" s="43">
        <f t="shared" si="0"/>
      </c>
      <c r="V664" s="49">
        <f t="shared" si="1"/>
      </c>
      <c r="W664" s="49">
        <f t="shared" si="2"/>
      </c>
      <c r="X664" s="2">
        <f t="shared" si="3"/>
      </c>
      <c r="Y664" s="2">
        <f t="shared" si="4"/>
      </c>
      <c r="Z664" s="2">
        <f t="shared" si="5"/>
        <v>0</v>
      </c>
      <c r="AA664" s="2">
        <f t="shared" si="6"/>
        <v>0</v>
      </c>
      <c r="AB664" s="2">
        <f t="shared" si="7"/>
        <v>0</v>
      </c>
      <c r="AC664" s="2">
        <f t="shared" si="8"/>
      </c>
    </row>
    <row r="665">
      <c r="A665" s="64" t="n"/>
      <c r="B665" s="65" t="n"/>
      <c r="C665" s="65" t="n"/>
      <c r="D665" s="65" t="n"/>
      <c r="E665" s="65" t="n"/>
      <c r="F665" s="66" t="n"/>
      <c r="G665" s="65" t="n"/>
      <c r="H665" s="66" t="n"/>
      <c r="I665" s="64" t="n"/>
      <c r="J665" s="68" t="n"/>
      <c r="K665" s="68" t="n"/>
      <c r="L665" s="68" t="n"/>
      <c r="M665" s="64" t="n"/>
      <c r="N665" s="64" t="n"/>
      <c r="O665" s="64" t="n"/>
      <c r="P665" s="64" t="n"/>
      <c r="Q665" s="64" t="n"/>
      <c r="R665" s="64" t="n"/>
      <c r="S665" s="66" t="n"/>
      <c r="T665" s="45" t="n"/>
      <c r="U665" s="43">
        <f t="shared" si="0"/>
      </c>
      <c r="V665" s="49">
        <f t="shared" si="1"/>
      </c>
      <c r="W665" s="49">
        <f t="shared" si="2"/>
      </c>
      <c r="X665" s="2">
        <f t="shared" si="3"/>
      </c>
      <c r="Y665" s="2">
        <f t="shared" si="4"/>
      </c>
      <c r="Z665" s="2">
        <f t="shared" si="5"/>
        <v>0</v>
      </c>
      <c r="AA665" s="2">
        <f t="shared" si="6"/>
        <v>0</v>
      </c>
      <c r="AB665" s="2">
        <f t="shared" si="7"/>
        <v>0</v>
      </c>
      <c r="AC665" s="2">
        <f t="shared" si="8"/>
      </c>
    </row>
    <row r="666">
      <c r="A666" s="64" t="n"/>
      <c r="B666" s="65" t="n"/>
      <c r="C666" s="65" t="n"/>
      <c r="D666" s="65" t="n"/>
      <c r="E666" s="65" t="n"/>
      <c r="F666" s="66" t="n"/>
      <c r="G666" s="65" t="n"/>
      <c r="H666" s="66" t="n"/>
      <c r="I666" s="64" t="n"/>
      <c r="J666" s="68" t="n"/>
      <c r="K666" s="68" t="n"/>
      <c r="L666" s="68" t="n"/>
      <c r="M666" s="64" t="n"/>
      <c r="N666" s="64" t="n"/>
      <c r="O666" s="64" t="n"/>
      <c r="P666" s="64" t="n"/>
      <c r="Q666" s="64" t="n"/>
      <c r="R666" s="64" t="n"/>
      <c r="S666" s="66" t="n"/>
      <c r="T666" s="45" t="n"/>
      <c r="U666" s="43">
        <f t="shared" si="0"/>
      </c>
      <c r="V666" s="49">
        <f t="shared" si="1"/>
      </c>
      <c r="W666" s="49">
        <f t="shared" si="2"/>
      </c>
      <c r="X666" s="2">
        <f t="shared" si="3"/>
      </c>
      <c r="Y666" s="2">
        <f t="shared" si="4"/>
      </c>
      <c r="Z666" s="2">
        <f t="shared" si="5"/>
        <v>0</v>
      </c>
      <c r="AA666" s="2">
        <f t="shared" si="6"/>
        <v>0</v>
      </c>
      <c r="AB666" s="2">
        <f t="shared" si="7"/>
        <v>0</v>
      </c>
      <c r="AC666" s="2">
        <f t="shared" si="8"/>
      </c>
    </row>
    <row r="667">
      <c r="A667" s="64" t="n"/>
      <c r="B667" s="65" t="n"/>
      <c r="C667" s="65" t="n"/>
      <c r="D667" s="65" t="n"/>
      <c r="E667" s="65" t="n"/>
      <c r="F667" s="66" t="n"/>
      <c r="G667" s="65" t="n"/>
      <c r="H667" s="66" t="n"/>
      <c r="I667" s="64" t="n"/>
      <c r="J667" s="68" t="n"/>
      <c r="K667" s="68" t="n"/>
      <c r="L667" s="68" t="n"/>
      <c r="M667" s="64" t="n"/>
      <c r="N667" s="64" t="n"/>
      <c r="O667" s="64" t="n"/>
      <c r="P667" s="64" t="n"/>
      <c r="Q667" s="64" t="n"/>
      <c r="R667" s="64" t="n"/>
      <c r="S667" s="66" t="n"/>
      <c r="T667" s="45" t="n"/>
      <c r="U667" s="43">
        <f t="shared" si="0"/>
      </c>
      <c r="V667" s="49">
        <f t="shared" si="1"/>
      </c>
      <c r="W667" s="49">
        <f t="shared" si="2"/>
      </c>
      <c r="X667" s="2">
        <f t="shared" si="3"/>
      </c>
      <c r="Y667" s="2">
        <f t="shared" si="4"/>
      </c>
      <c r="Z667" s="2">
        <f t="shared" si="5"/>
        <v>0</v>
      </c>
      <c r="AA667" s="2">
        <f t="shared" si="6"/>
        <v>0</v>
      </c>
      <c r="AB667" s="2">
        <f t="shared" si="7"/>
        <v>0</v>
      </c>
      <c r="AC667" s="2">
        <f t="shared" si="8"/>
      </c>
    </row>
    <row r="668">
      <c r="A668" s="64" t="n"/>
      <c r="B668" s="65" t="n"/>
      <c r="C668" s="65" t="n"/>
      <c r="D668" s="65" t="n"/>
      <c r="E668" s="65" t="n"/>
      <c r="F668" s="66" t="n"/>
      <c r="G668" s="65" t="n"/>
      <c r="H668" s="66" t="n"/>
      <c r="I668" s="64" t="n"/>
      <c r="J668" s="68" t="n"/>
      <c r="K668" s="68" t="n"/>
      <c r="L668" s="68" t="n"/>
      <c r="M668" s="64" t="n"/>
      <c r="N668" s="64" t="n"/>
      <c r="O668" s="64" t="n"/>
      <c r="P668" s="64" t="n"/>
      <c r="Q668" s="64" t="n"/>
      <c r="R668" s="64" t="n"/>
      <c r="S668" s="66" t="n"/>
      <c r="T668" s="45" t="n"/>
      <c r="U668" s="43">
        <f t="shared" si="0"/>
      </c>
      <c r="V668" s="49">
        <f t="shared" si="1"/>
      </c>
      <c r="W668" s="49">
        <f t="shared" si="2"/>
      </c>
      <c r="X668" s="2">
        <f t="shared" si="3"/>
      </c>
      <c r="Y668" s="2">
        <f t="shared" si="4"/>
      </c>
      <c r="Z668" s="2">
        <f t="shared" si="5"/>
        <v>0</v>
      </c>
      <c r="AA668" s="2">
        <f t="shared" si="6"/>
        <v>0</v>
      </c>
      <c r="AB668" s="2">
        <f t="shared" si="7"/>
        <v>0</v>
      </c>
      <c r="AC668" s="2">
        <f t="shared" si="8"/>
      </c>
    </row>
    <row r="669">
      <c r="A669" s="64" t="n"/>
      <c r="B669" s="65" t="n"/>
      <c r="C669" s="65" t="n"/>
      <c r="D669" s="65" t="n"/>
      <c r="E669" s="65" t="n"/>
      <c r="F669" s="66" t="n"/>
      <c r="G669" s="65" t="n"/>
      <c r="H669" s="66" t="n"/>
      <c r="I669" s="64" t="n"/>
      <c r="J669" s="68" t="n"/>
      <c r="K669" s="68" t="n"/>
      <c r="L669" s="68" t="n"/>
      <c r="M669" s="64" t="n"/>
      <c r="N669" s="64" t="n"/>
      <c r="O669" s="64" t="n"/>
      <c r="P669" s="64" t="n"/>
      <c r="Q669" s="64" t="n"/>
      <c r="R669" s="64" t="n"/>
      <c r="S669" s="66" t="n"/>
      <c r="T669" s="45" t="n"/>
      <c r="U669" s="43">
        <f t="shared" si="0"/>
      </c>
      <c r="V669" s="49">
        <f t="shared" si="1"/>
      </c>
      <c r="W669" s="49">
        <f t="shared" si="2"/>
      </c>
      <c r="X669" s="2">
        <f t="shared" si="3"/>
      </c>
      <c r="Y669" s="2">
        <f t="shared" si="4"/>
      </c>
      <c r="Z669" s="2">
        <f t="shared" si="5"/>
        <v>0</v>
      </c>
      <c r="AA669" s="2">
        <f t="shared" si="6"/>
        <v>0</v>
      </c>
      <c r="AB669" s="2">
        <f t="shared" si="7"/>
        <v>0</v>
      </c>
      <c r="AC669" s="2">
        <f t="shared" si="8"/>
      </c>
    </row>
    <row r="670">
      <c r="A670" s="64" t="n"/>
      <c r="B670" s="65" t="n"/>
      <c r="C670" s="65" t="n"/>
      <c r="D670" s="65" t="n"/>
      <c r="E670" s="65" t="n"/>
      <c r="F670" s="66" t="n"/>
      <c r="G670" s="65" t="n"/>
      <c r="H670" s="66" t="n"/>
      <c r="I670" s="64" t="n"/>
      <c r="J670" s="68" t="n"/>
      <c r="K670" s="68" t="n"/>
      <c r="L670" s="68" t="n"/>
      <c r="M670" s="64" t="n"/>
      <c r="N670" s="64" t="n"/>
      <c r="O670" s="64" t="n"/>
      <c r="P670" s="64" t="n"/>
      <c r="Q670" s="64" t="n"/>
      <c r="R670" s="64" t="n"/>
      <c r="S670" s="66" t="n"/>
      <c r="T670" s="45" t="n"/>
      <c r="U670" s="43">
        <f t="shared" si="0"/>
      </c>
      <c r="V670" s="49">
        <f t="shared" si="1"/>
      </c>
      <c r="W670" s="49">
        <f t="shared" si="2"/>
      </c>
      <c r="X670" s="2">
        <f t="shared" si="3"/>
      </c>
      <c r="Y670" s="2">
        <f t="shared" si="4"/>
      </c>
      <c r="Z670" s="2">
        <f t="shared" si="5"/>
        <v>0</v>
      </c>
      <c r="AA670" s="2">
        <f t="shared" si="6"/>
        <v>0</v>
      </c>
      <c r="AB670" s="2">
        <f t="shared" si="7"/>
        <v>0</v>
      </c>
      <c r="AC670" s="2">
        <f t="shared" si="8"/>
      </c>
    </row>
    <row r="671">
      <c r="A671" s="64" t="n"/>
      <c r="B671" s="65" t="n"/>
      <c r="C671" s="65" t="n"/>
      <c r="D671" s="65" t="n"/>
      <c r="E671" s="65" t="n"/>
      <c r="F671" s="66" t="n"/>
      <c r="G671" s="65" t="n"/>
      <c r="H671" s="66" t="n"/>
      <c r="I671" s="64" t="n"/>
      <c r="J671" s="68" t="n"/>
      <c r="K671" s="68" t="n"/>
      <c r="L671" s="68" t="n"/>
      <c r="M671" s="64" t="n"/>
      <c r="N671" s="64" t="n"/>
      <c r="O671" s="64" t="n"/>
      <c r="P671" s="64" t="n"/>
      <c r="Q671" s="64" t="n"/>
      <c r="R671" s="64" t="n"/>
      <c r="S671" s="66" t="n"/>
      <c r="T671" s="45" t="n"/>
      <c r="U671" s="43">
        <f t="shared" si="0"/>
      </c>
      <c r="V671" s="49">
        <f t="shared" si="1"/>
      </c>
      <c r="W671" s="49">
        <f t="shared" si="2"/>
      </c>
      <c r="X671" s="2">
        <f t="shared" si="3"/>
      </c>
      <c r="Y671" s="2">
        <f t="shared" si="4"/>
      </c>
      <c r="Z671" s="2">
        <f t="shared" si="5"/>
        <v>0</v>
      </c>
      <c r="AA671" s="2">
        <f t="shared" si="6"/>
        <v>0</v>
      </c>
      <c r="AB671" s="2">
        <f t="shared" si="7"/>
        <v>0</v>
      </c>
      <c r="AC671" s="2">
        <f t="shared" si="8"/>
      </c>
    </row>
    <row r="672">
      <c r="A672" s="64" t="n"/>
      <c r="B672" s="65" t="n"/>
      <c r="C672" s="65" t="n"/>
      <c r="D672" s="65" t="n"/>
      <c r="E672" s="65" t="n"/>
      <c r="F672" s="66" t="n"/>
      <c r="G672" s="65" t="n"/>
      <c r="H672" s="66" t="n"/>
      <c r="I672" s="64" t="n"/>
      <c r="J672" s="68" t="n"/>
      <c r="K672" s="68" t="n"/>
      <c r="L672" s="68" t="n"/>
      <c r="M672" s="64" t="n"/>
      <c r="N672" s="64" t="n"/>
      <c r="O672" s="64" t="n"/>
      <c r="P672" s="64" t="n"/>
      <c r="Q672" s="64" t="n"/>
      <c r="R672" s="64" t="n"/>
      <c r="S672" s="66" t="n"/>
      <c r="T672" s="45" t="n"/>
      <c r="U672" s="43">
        <f t="shared" si="0"/>
      </c>
      <c r="V672" s="49">
        <f t="shared" si="1"/>
      </c>
      <c r="W672" s="49">
        <f t="shared" si="2"/>
      </c>
      <c r="X672" s="2">
        <f t="shared" si="3"/>
      </c>
      <c r="Y672" s="2">
        <f t="shared" si="4"/>
      </c>
      <c r="Z672" s="2">
        <f t="shared" si="5"/>
        <v>0</v>
      </c>
      <c r="AA672" s="2">
        <f t="shared" si="6"/>
        <v>0</v>
      </c>
      <c r="AB672" s="2">
        <f t="shared" si="7"/>
        <v>0</v>
      </c>
      <c r="AC672" s="2">
        <f t="shared" si="8"/>
      </c>
    </row>
    <row r="673">
      <c r="A673" s="64" t="n"/>
      <c r="B673" s="65" t="n"/>
      <c r="C673" s="65" t="n"/>
      <c r="D673" s="65" t="n"/>
      <c r="E673" s="65" t="n"/>
      <c r="F673" s="66" t="n"/>
      <c r="G673" s="65" t="n"/>
      <c r="H673" s="66" t="n"/>
      <c r="I673" s="64" t="n"/>
      <c r="J673" s="68" t="n"/>
      <c r="K673" s="68" t="n"/>
      <c r="L673" s="68" t="n"/>
      <c r="M673" s="64" t="n"/>
      <c r="N673" s="64" t="n"/>
      <c r="O673" s="64" t="n"/>
      <c r="P673" s="64" t="n"/>
      <c r="Q673" s="64" t="n"/>
      <c r="R673" s="64" t="n"/>
      <c r="S673" s="66" t="n"/>
      <c r="T673" s="45" t="n"/>
      <c r="U673" s="43">
        <f t="shared" si="0"/>
      </c>
      <c r="V673" s="49">
        <f t="shared" si="1"/>
      </c>
      <c r="W673" s="49">
        <f t="shared" si="2"/>
      </c>
      <c r="X673" s="2">
        <f t="shared" si="3"/>
      </c>
      <c r="Y673" s="2">
        <f t="shared" si="4"/>
      </c>
      <c r="Z673" s="2">
        <f t="shared" si="5"/>
        <v>0</v>
      </c>
      <c r="AA673" s="2">
        <f t="shared" si="6"/>
        <v>0</v>
      </c>
      <c r="AB673" s="2">
        <f t="shared" si="7"/>
        <v>0</v>
      </c>
      <c r="AC673" s="2">
        <f t="shared" si="8"/>
      </c>
    </row>
    <row r="674">
      <c r="A674" s="64" t="n"/>
      <c r="B674" s="65" t="n"/>
      <c r="C674" s="65" t="n"/>
      <c r="D674" s="65" t="n"/>
      <c r="E674" s="65" t="n"/>
      <c r="F674" s="66" t="n"/>
      <c r="G674" s="65" t="n"/>
      <c r="H674" s="66" t="n"/>
      <c r="I674" s="64" t="n"/>
      <c r="J674" s="68" t="n"/>
      <c r="K674" s="68" t="n"/>
      <c r="L674" s="68" t="n"/>
      <c r="M674" s="64" t="n"/>
      <c r="N674" s="64" t="n"/>
      <c r="O674" s="64" t="n"/>
      <c r="P674" s="64" t="n"/>
      <c r="Q674" s="64" t="n"/>
      <c r="R674" s="64" t="n"/>
      <c r="S674" s="66" t="n"/>
      <c r="T674" s="45" t="n"/>
      <c r="U674" s="43">
        <f t="shared" si="0"/>
      </c>
      <c r="V674" s="49">
        <f t="shared" si="1"/>
      </c>
      <c r="W674" s="49">
        <f t="shared" si="2"/>
      </c>
      <c r="X674" s="2">
        <f t="shared" si="3"/>
      </c>
      <c r="Y674" s="2">
        <f t="shared" si="4"/>
      </c>
      <c r="Z674" s="2">
        <f t="shared" si="5"/>
        <v>0</v>
      </c>
      <c r="AA674" s="2">
        <f t="shared" si="6"/>
        <v>0</v>
      </c>
      <c r="AB674" s="2">
        <f t="shared" si="7"/>
        <v>0</v>
      </c>
      <c r="AC674" s="2">
        <f t="shared" si="8"/>
      </c>
    </row>
    <row r="675">
      <c r="A675" s="64" t="n"/>
      <c r="B675" s="65" t="n"/>
      <c r="C675" s="65" t="n"/>
      <c r="D675" s="65" t="n"/>
      <c r="E675" s="65" t="n"/>
      <c r="F675" s="66" t="n"/>
      <c r="G675" s="65" t="n"/>
      <c r="H675" s="66" t="n"/>
      <c r="I675" s="64" t="n"/>
      <c r="J675" s="68" t="n"/>
      <c r="K675" s="68" t="n"/>
      <c r="L675" s="68" t="n"/>
      <c r="M675" s="64" t="n"/>
      <c r="N675" s="64" t="n"/>
      <c r="O675" s="64" t="n"/>
      <c r="P675" s="64" t="n"/>
      <c r="Q675" s="64" t="n"/>
      <c r="R675" s="64" t="n"/>
      <c r="S675" s="66" t="n"/>
      <c r="T675" s="45" t="n"/>
      <c r="U675" s="43">
        <f t="shared" si="0"/>
      </c>
      <c r="V675" s="49">
        <f t="shared" si="1"/>
      </c>
      <c r="W675" s="49">
        <f t="shared" si="2"/>
      </c>
      <c r="X675" s="2">
        <f t="shared" si="3"/>
      </c>
      <c r="Y675" s="2">
        <f t="shared" si="4"/>
      </c>
      <c r="Z675" s="2">
        <f t="shared" si="5"/>
        <v>0</v>
      </c>
      <c r="AA675" s="2">
        <f t="shared" si="6"/>
        <v>0</v>
      </c>
      <c r="AB675" s="2">
        <f t="shared" si="7"/>
        <v>0</v>
      </c>
      <c r="AC675" s="2">
        <f t="shared" si="8"/>
      </c>
    </row>
    <row r="676">
      <c r="A676" s="64" t="n"/>
      <c r="B676" s="65" t="n"/>
      <c r="C676" s="65" t="n"/>
      <c r="D676" s="65" t="n"/>
      <c r="E676" s="65" t="n"/>
      <c r="F676" s="66" t="n"/>
      <c r="G676" s="65" t="n"/>
      <c r="H676" s="66" t="n"/>
      <c r="I676" s="64" t="n"/>
      <c r="J676" s="68" t="n"/>
      <c r="K676" s="68" t="n"/>
      <c r="L676" s="68" t="n"/>
      <c r="M676" s="64" t="n"/>
      <c r="N676" s="64" t="n"/>
      <c r="O676" s="64" t="n"/>
      <c r="P676" s="64" t="n"/>
      <c r="Q676" s="64" t="n"/>
      <c r="R676" s="64" t="n"/>
      <c r="S676" s="66" t="n"/>
      <c r="T676" s="45" t="n"/>
      <c r="U676" s="43">
        <f t="shared" si="0"/>
      </c>
      <c r="V676" s="49">
        <f t="shared" si="1"/>
      </c>
      <c r="W676" s="49">
        <f t="shared" si="2"/>
      </c>
      <c r="X676" s="2">
        <f t="shared" si="3"/>
      </c>
      <c r="Y676" s="2">
        <f t="shared" si="4"/>
      </c>
      <c r="Z676" s="2">
        <f t="shared" si="5"/>
        <v>0</v>
      </c>
      <c r="AA676" s="2">
        <f t="shared" si="6"/>
        <v>0</v>
      </c>
      <c r="AB676" s="2">
        <f t="shared" si="7"/>
        <v>0</v>
      </c>
      <c r="AC676" s="2">
        <f t="shared" si="8"/>
      </c>
    </row>
    <row r="677">
      <c r="A677" s="64" t="n"/>
      <c r="B677" s="65" t="n"/>
      <c r="C677" s="65" t="n"/>
      <c r="D677" s="65" t="n"/>
      <c r="E677" s="65" t="n"/>
      <c r="F677" s="66" t="n"/>
      <c r="G677" s="65" t="n"/>
      <c r="H677" s="66" t="n"/>
      <c r="I677" s="64" t="n"/>
      <c r="J677" s="68" t="n"/>
      <c r="K677" s="68" t="n"/>
      <c r="L677" s="68" t="n"/>
      <c r="M677" s="64" t="n"/>
      <c r="N677" s="64" t="n"/>
      <c r="O677" s="64" t="n"/>
      <c r="P677" s="64" t="n"/>
      <c r="Q677" s="64" t="n"/>
      <c r="R677" s="64" t="n"/>
      <c r="S677" s="66" t="n"/>
      <c r="T677" s="45" t="n"/>
      <c r="U677" s="43">
        <f t="shared" si="0"/>
      </c>
      <c r="V677" s="49">
        <f t="shared" si="1"/>
      </c>
      <c r="W677" s="49">
        <f t="shared" si="2"/>
      </c>
      <c r="X677" s="2">
        <f t="shared" si="3"/>
      </c>
      <c r="Y677" s="2">
        <f t="shared" si="4"/>
      </c>
      <c r="Z677" s="2">
        <f t="shared" si="5"/>
        <v>0</v>
      </c>
      <c r="AA677" s="2">
        <f t="shared" si="6"/>
        <v>0</v>
      </c>
      <c r="AB677" s="2">
        <f t="shared" si="7"/>
        <v>0</v>
      </c>
      <c r="AC677" s="2">
        <f t="shared" si="8"/>
      </c>
    </row>
    <row r="678">
      <c r="A678" s="64" t="n"/>
      <c r="B678" s="65" t="n"/>
      <c r="C678" s="65" t="n"/>
      <c r="D678" s="65" t="n"/>
      <c r="E678" s="65" t="n"/>
      <c r="F678" s="66" t="n"/>
      <c r="G678" s="65" t="n"/>
      <c r="H678" s="66" t="n"/>
      <c r="I678" s="64" t="n"/>
      <c r="J678" s="68" t="n"/>
      <c r="K678" s="68" t="n"/>
      <c r="L678" s="68" t="n"/>
      <c r="M678" s="64" t="n"/>
      <c r="N678" s="64" t="n"/>
      <c r="O678" s="64" t="n"/>
      <c r="P678" s="64" t="n"/>
      <c r="Q678" s="64" t="n"/>
      <c r="R678" s="64" t="n"/>
      <c r="S678" s="66" t="n"/>
      <c r="T678" s="45" t="n"/>
      <c r="U678" s="43">
        <f t="shared" si="0"/>
      </c>
      <c r="V678" s="49">
        <f t="shared" si="1"/>
      </c>
      <c r="W678" s="49">
        <f t="shared" si="2"/>
      </c>
      <c r="X678" s="2">
        <f t="shared" si="3"/>
      </c>
      <c r="Y678" s="2">
        <f t="shared" si="4"/>
      </c>
      <c r="Z678" s="2">
        <f t="shared" si="5"/>
        <v>0</v>
      </c>
      <c r="AA678" s="2">
        <f t="shared" si="6"/>
        <v>0</v>
      </c>
      <c r="AB678" s="2">
        <f t="shared" si="7"/>
        <v>0</v>
      </c>
      <c r="AC678" s="2">
        <f t="shared" si="8"/>
      </c>
    </row>
    <row r="679">
      <c r="A679" s="64" t="n"/>
      <c r="B679" s="65" t="n"/>
      <c r="C679" s="65" t="n"/>
      <c r="D679" s="65" t="n"/>
      <c r="E679" s="65" t="n"/>
      <c r="F679" s="66" t="n"/>
      <c r="G679" s="65" t="n"/>
      <c r="H679" s="66" t="n"/>
      <c r="I679" s="64" t="n"/>
      <c r="J679" s="68" t="n"/>
      <c r="K679" s="68" t="n"/>
      <c r="L679" s="68" t="n"/>
      <c r="M679" s="64" t="n"/>
      <c r="N679" s="64" t="n"/>
      <c r="O679" s="64" t="n"/>
      <c r="P679" s="64" t="n"/>
      <c r="Q679" s="64" t="n"/>
      <c r="R679" s="64" t="n"/>
      <c r="S679" s="66" t="n"/>
      <c r="T679" s="45" t="n"/>
      <c r="U679" s="43">
        <f t="shared" si="0"/>
      </c>
      <c r="V679" s="49">
        <f t="shared" si="1"/>
      </c>
      <c r="W679" s="49">
        <f t="shared" si="2"/>
      </c>
      <c r="X679" s="2">
        <f t="shared" si="3"/>
      </c>
      <c r="Y679" s="2">
        <f t="shared" si="4"/>
      </c>
      <c r="Z679" s="2">
        <f t="shared" si="5"/>
        <v>0</v>
      </c>
      <c r="AA679" s="2">
        <f t="shared" si="6"/>
        <v>0</v>
      </c>
      <c r="AB679" s="2">
        <f t="shared" si="7"/>
        <v>0</v>
      </c>
      <c r="AC679" s="2">
        <f t="shared" si="8"/>
      </c>
    </row>
    <row r="680">
      <c r="A680" s="64" t="n"/>
      <c r="B680" s="65" t="n"/>
      <c r="C680" s="65" t="n"/>
      <c r="D680" s="65" t="n"/>
      <c r="E680" s="65" t="n"/>
      <c r="F680" s="66" t="n"/>
      <c r="G680" s="65" t="n"/>
      <c r="H680" s="66" t="n"/>
      <c r="I680" s="64" t="n"/>
      <c r="J680" s="68" t="n"/>
      <c r="K680" s="68" t="n"/>
      <c r="L680" s="68" t="n"/>
      <c r="M680" s="64" t="n"/>
      <c r="N680" s="64" t="n"/>
      <c r="O680" s="64" t="n"/>
      <c r="P680" s="64" t="n"/>
      <c r="Q680" s="64" t="n"/>
      <c r="R680" s="64" t="n"/>
      <c r="S680" s="66" t="n"/>
      <c r="T680" s="45" t="n"/>
      <c r="U680" s="43">
        <f t="shared" si="0"/>
      </c>
      <c r="V680" s="49">
        <f t="shared" si="1"/>
      </c>
      <c r="W680" s="49">
        <f t="shared" si="2"/>
      </c>
      <c r="X680" s="2">
        <f t="shared" si="3"/>
      </c>
      <c r="Y680" s="2">
        <f t="shared" si="4"/>
      </c>
      <c r="Z680" s="2">
        <f t="shared" si="5"/>
        <v>0</v>
      </c>
      <c r="AA680" s="2">
        <f t="shared" si="6"/>
        <v>0</v>
      </c>
      <c r="AB680" s="2">
        <f t="shared" si="7"/>
        <v>0</v>
      </c>
      <c r="AC680" s="2">
        <f t="shared" si="8"/>
      </c>
    </row>
    <row r="681">
      <c r="A681" s="64" t="n"/>
      <c r="B681" s="65" t="n"/>
      <c r="C681" s="65" t="n"/>
      <c r="D681" s="65" t="n"/>
      <c r="E681" s="65" t="n"/>
      <c r="F681" s="66" t="n"/>
      <c r="G681" s="65" t="n"/>
      <c r="H681" s="66" t="n"/>
      <c r="I681" s="64" t="n"/>
      <c r="J681" s="68" t="n"/>
      <c r="K681" s="68" t="n"/>
      <c r="L681" s="68" t="n"/>
      <c r="M681" s="64" t="n"/>
      <c r="N681" s="64" t="n"/>
      <c r="O681" s="64" t="n"/>
      <c r="P681" s="64" t="n"/>
      <c r="Q681" s="64" t="n"/>
      <c r="R681" s="64" t="n"/>
      <c r="S681" s="66" t="n"/>
      <c r="T681" s="45" t="n"/>
      <c r="U681" s="43">
        <f t="shared" si="0"/>
      </c>
      <c r="V681" s="49">
        <f t="shared" si="1"/>
      </c>
      <c r="W681" s="49">
        <f t="shared" si="2"/>
      </c>
      <c r="X681" s="2">
        <f t="shared" si="3"/>
      </c>
      <c r="Y681" s="2">
        <f t="shared" si="4"/>
      </c>
      <c r="Z681" s="2">
        <f t="shared" si="5"/>
        <v>0</v>
      </c>
      <c r="AA681" s="2">
        <f t="shared" si="6"/>
        <v>0</v>
      </c>
      <c r="AB681" s="2">
        <f t="shared" si="7"/>
        <v>0</v>
      </c>
      <c r="AC681" s="2">
        <f t="shared" si="8"/>
      </c>
    </row>
    <row r="682">
      <c r="A682" s="64" t="n"/>
      <c r="B682" s="65" t="n"/>
      <c r="C682" s="65" t="n"/>
      <c r="D682" s="65" t="n"/>
      <c r="E682" s="65" t="n"/>
      <c r="F682" s="66" t="n"/>
      <c r="G682" s="65" t="n"/>
      <c r="H682" s="66" t="n"/>
      <c r="I682" s="64" t="n"/>
      <c r="J682" s="68" t="n"/>
      <c r="K682" s="68" t="n"/>
      <c r="L682" s="68" t="n"/>
      <c r="M682" s="64" t="n"/>
      <c r="N682" s="64" t="n"/>
      <c r="O682" s="64" t="n"/>
      <c r="P682" s="64" t="n"/>
      <c r="Q682" s="64" t="n"/>
      <c r="R682" s="64" t="n"/>
      <c r="S682" s="66" t="n"/>
      <c r="T682" s="45" t="n"/>
      <c r="U682" s="43">
        <f t="shared" si="0"/>
      </c>
      <c r="V682" s="49">
        <f t="shared" si="1"/>
      </c>
      <c r="W682" s="49">
        <f t="shared" si="2"/>
      </c>
      <c r="X682" s="2">
        <f t="shared" si="3"/>
      </c>
      <c r="Y682" s="2">
        <f t="shared" si="4"/>
      </c>
      <c r="Z682" s="2">
        <f t="shared" si="5"/>
        <v>0</v>
      </c>
      <c r="AA682" s="2">
        <f t="shared" si="6"/>
        <v>0</v>
      </c>
      <c r="AB682" s="2">
        <f t="shared" si="7"/>
        <v>0</v>
      </c>
      <c r="AC682" s="2">
        <f t="shared" si="8"/>
      </c>
    </row>
    <row r="683">
      <c r="A683" s="64" t="n"/>
      <c r="B683" s="65" t="n"/>
      <c r="C683" s="65" t="n"/>
      <c r="D683" s="65" t="n"/>
      <c r="E683" s="65" t="n"/>
      <c r="F683" s="66" t="n"/>
      <c r="G683" s="65" t="n"/>
      <c r="H683" s="66" t="n"/>
      <c r="I683" s="64" t="n"/>
      <c r="J683" s="68" t="n"/>
      <c r="K683" s="68" t="n"/>
      <c r="L683" s="68" t="n"/>
      <c r="M683" s="64" t="n"/>
      <c r="N683" s="64" t="n"/>
      <c r="O683" s="64" t="n"/>
      <c r="P683" s="64" t="n"/>
      <c r="Q683" s="64" t="n"/>
      <c r="R683" s="64" t="n"/>
      <c r="S683" s="66" t="n"/>
      <c r="T683" s="45" t="n"/>
      <c r="U683" s="43">
        <f t="shared" si="0"/>
      </c>
      <c r="V683" s="49">
        <f t="shared" si="1"/>
      </c>
      <c r="W683" s="49">
        <f t="shared" si="2"/>
      </c>
      <c r="X683" s="2">
        <f t="shared" si="3"/>
      </c>
      <c r="Y683" s="2">
        <f t="shared" si="4"/>
      </c>
      <c r="Z683" s="2">
        <f t="shared" si="5"/>
        <v>0</v>
      </c>
      <c r="AA683" s="2">
        <f t="shared" si="6"/>
        <v>0</v>
      </c>
      <c r="AB683" s="2">
        <f t="shared" si="7"/>
        <v>0</v>
      </c>
      <c r="AC683" s="2">
        <f t="shared" si="8"/>
      </c>
    </row>
    <row r="684">
      <c r="A684" s="64" t="n"/>
      <c r="B684" s="65" t="n"/>
      <c r="C684" s="65" t="n"/>
      <c r="D684" s="65" t="n"/>
      <c r="E684" s="65" t="n"/>
      <c r="F684" s="66" t="n"/>
      <c r="G684" s="65" t="n"/>
      <c r="H684" s="66" t="n"/>
      <c r="I684" s="64" t="n"/>
      <c r="J684" s="68" t="n"/>
      <c r="K684" s="68" t="n"/>
      <c r="L684" s="68" t="n"/>
      <c r="M684" s="64" t="n"/>
      <c r="N684" s="64" t="n"/>
      <c r="O684" s="64" t="n"/>
      <c r="P684" s="64" t="n"/>
      <c r="Q684" s="64" t="n"/>
      <c r="R684" s="64" t="n"/>
      <c r="S684" s="66" t="n"/>
      <c r="T684" s="45" t="n"/>
      <c r="U684" s="43">
        <f t="shared" si="0"/>
      </c>
      <c r="V684" s="49">
        <f t="shared" si="1"/>
      </c>
      <c r="W684" s="49">
        <f t="shared" si="2"/>
      </c>
      <c r="X684" s="2">
        <f t="shared" si="3"/>
      </c>
      <c r="Y684" s="2">
        <f t="shared" si="4"/>
      </c>
      <c r="Z684" s="2">
        <f t="shared" si="5"/>
        <v>0</v>
      </c>
      <c r="AA684" s="2">
        <f t="shared" si="6"/>
        <v>0</v>
      </c>
      <c r="AB684" s="2">
        <f t="shared" si="7"/>
        <v>0</v>
      </c>
      <c r="AC684" s="2">
        <f t="shared" si="8"/>
      </c>
    </row>
    <row r="685">
      <c r="A685" s="64" t="n"/>
      <c r="B685" s="65" t="n"/>
      <c r="C685" s="65" t="n"/>
      <c r="D685" s="65" t="n"/>
      <c r="E685" s="65" t="n"/>
      <c r="F685" s="66" t="n"/>
      <c r="G685" s="65" t="n"/>
      <c r="H685" s="66" t="n"/>
      <c r="I685" s="64" t="n"/>
      <c r="J685" s="68" t="n"/>
      <c r="K685" s="68" t="n"/>
      <c r="L685" s="68" t="n"/>
      <c r="M685" s="64" t="n"/>
      <c r="N685" s="64" t="n"/>
      <c r="O685" s="64" t="n"/>
      <c r="P685" s="64" t="n"/>
      <c r="Q685" s="64" t="n"/>
      <c r="R685" s="64" t="n"/>
      <c r="S685" s="66" t="n"/>
      <c r="T685" s="45" t="n"/>
      <c r="U685" s="43">
        <f t="shared" si="0"/>
      </c>
      <c r="V685" s="49">
        <f t="shared" si="1"/>
      </c>
      <c r="W685" s="49">
        <f t="shared" si="2"/>
      </c>
      <c r="X685" s="2">
        <f t="shared" si="3"/>
      </c>
      <c r="Y685" s="2">
        <f t="shared" si="4"/>
      </c>
      <c r="Z685" s="2">
        <f t="shared" si="5"/>
        <v>0</v>
      </c>
      <c r="AA685" s="2">
        <f t="shared" si="6"/>
        <v>0</v>
      </c>
      <c r="AB685" s="2">
        <f t="shared" si="7"/>
        <v>0</v>
      </c>
      <c r="AC685" s="2">
        <f t="shared" si="8"/>
      </c>
    </row>
    <row r="686">
      <c r="A686" s="64" t="n"/>
      <c r="B686" s="65" t="n"/>
      <c r="C686" s="65" t="n"/>
      <c r="D686" s="65" t="n"/>
      <c r="E686" s="65" t="n"/>
      <c r="F686" s="66" t="n"/>
      <c r="G686" s="65" t="n"/>
      <c r="H686" s="66" t="n"/>
      <c r="I686" s="64" t="n"/>
      <c r="J686" s="68" t="n"/>
      <c r="K686" s="68" t="n"/>
      <c r="L686" s="68" t="n"/>
      <c r="M686" s="64" t="n"/>
      <c r="N686" s="64" t="n"/>
      <c r="O686" s="64" t="n"/>
      <c r="P686" s="64" t="n"/>
      <c r="Q686" s="64" t="n"/>
      <c r="R686" s="64" t="n"/>
      <c r="S686" s="66" t="n"/>
      <c r="T686" s="45" t="n"/>
      <c r="U686" s="43">
        <f t="shared" si="0"/>
      </c>
      <c r="V686" s="49">
        <f t="shared" si="1"/>
      </c>
      <c r="W686" s="49">
        <f t="shared" si="2"/>
      </c>
      <c r="X686" s="2">
        <f t="shared" si="3"/>
      </c>
      <c r="Y686" s="2">
        <f t="shared" si="4"/>
      </c>
      <c r="Z686" s="2">
        <f t="shared" si="5"/>
        <v>0</v>
      </c>
      <c r="AA686" s="2">
        <f t="shared" si="6"/>
        <v>0</v>
      </c>
      <c r="AB686" s="2">
        <f t="shared" si="7"/>
        <v>0</v>
      </c>
      <c r="AC686" s="2">
        <f t="shared" si="8"/>
      </c>
    </row>
    <row r="687">
      <c r="A687" s="64" t="n"/>
      <c r="B687" s="65" t="n"/>
      <c r="C687" s="65" t="n"/>
      <c r="D687" s="65" t="n"/>
      <c r="E687" s="65" t="n"/>
      <c r="F687" s="66" t="n"/>
      <c r="G687" s="65" t="n"/>
      <c r="H687" s="66" t="n"/>
      <c r="I687" s="64" t="n"/>
      <c r="J687" s="68" t="n"/>
      <c r="K687" s="68" t="n"/>
      <c r="L687" s="68" t="n"/>
      <c r="M687" s="64" t="n"/>
      <c r="N687" s="64" t="n"/>
      <c r="O687" s="64" t="n"/>
      <c r="P687" s="64" t="n"/>
      <c r="Q687" s="64" t="n"/>
      <c r="R687" s="64" t="n"/>
      <c r="S687" s="66" t="n"/>
      <c r="T687" s="45" t="n"/>
      <c r="U687" s="43">
        <f t="shared" si="0"/>
      </c>
      <c r="V687" s="49">
        <f t="shared" si="1"/>
      </c>
      <c r="W687" s="49">
        <f t="shared" si="2"/>
      </c>
      <c r="X687" s="2">
        <f t="shared" si="3"/>
      </c>
      <c r="Y687" s="2">
        <f t="shared" si="4"/>
      </c>
      <c r="Z687" s="2">
        <f t="shared" si="5"/>
        <v>0</v>
      </c>
      <c r="AA687" s="2">
        <f t="shared" si="6"/>
        <v>0</v>
      </c>
      <c r="AB687" s="2">
        <f t="shared" si="7"/>
        <v>0</v>
      </c>
      <c r="AC687" s="2">
        <f t="shared" si="8"/>
      </c>
    </row>
    <row r="688">
      <c r="A688" s="64" t="n"/>
      <c r="B688" s="65" t="n"/>
      <c r="C688" s="65" t="n"/>
      <c r="D688" s="65" t="n"/>
      <c r="E688" s="65" t="n"/>
      <c r="F688" s="66" t="n"/>
      <c r="G688" s="65" t="n"/>
      <c r="H688" s="66" t="n"/>
      <c r="I688" s="64" t="n"/>
      <c r="J688" s="68" t="n"/>
      <c r="K688" s="68" t="n"/>
      <c r="L688" s="68" t="n"/>
      <c r="M688" s="64" t="n"/>
      <c r="N688" s="64" t="n"/>
      <c r="O688" s="64" t="n"/>
      <c r="P688" s="64" t="n"/>
      <c r="Q688" s="64" t="n"/>
      <c r="R688" s="64" t="n"/>
      <c r="S688" s="66" t="n"/>
      <c r="T688" s="45" t="n"/>
      <c r="U688" s="43">
        <f t="shared" si="0"/>
      </c>
      <c r="V688" s="49">
        <f t="shared" si="1"/>
      </c>
      <c r="W688" s="49">
        <f t="shared" si="2"/>
      </c>
      <c r="X688" s="2">
        <f t="shared" si="3"/>
      </c>
      <c r="Y688" s="2">
        <f t="shared" si="4"/>
      </c>
      <c r="Z688" s="2">
        <f t="shared" si="5"/>
        <v>0</v>
      </c>
      <c r="AA688" s="2">
        <f t="shared" si="6"/>
        <v>0</v>
      </c>
      <c r="AB688" s="2">
        <f t="shared" si="7"/>
        <v>0</v>
      </c>
      <c r="AC688" s="2">
        <f t="shared" si="8"/>
      </c>
    </row>
    <row r="689">
      <c r="A689" s="64" t="n"/>
      <c r="B689" s="65" t="n"/>
      <c r="C689" s="65" t="n"/>
      <c r="D689" s="65" t="n"/>
      <c r="E689" s="65" t="n"/>
      <c r="F689" s="66" t="n"/>
      <c r="G689" s="65" t="n"/>
      <c r="H689" s="66" t="n"/>
      <c r="I689" s="64" t="n"/>
      <c r="J689" s="68" t="n"/>
      <c r="K689" s="68" t="n"/>
      <c r="L689" s="68" t="n"/>
      <c r="M689" s="64" t="n"/>
      <c r="N689" s="64" t="n"/>
      <c r="O689" s="64" t="n"/>
      <c r="P689" s="64" t="n"/>
      <c r="Q689" s="64" t="n"/>
      <c r="R689" s="64" t="n"/>
      <c r="S689" s="66" t="n"/>
      <c r="T689" s="45" t="n"/>
      <c r="U689" s="43">
        <f t="shared" si="0"/>
      </c>
      <c r="V689" s="49">
        <f t="shared" si="1"/>
      </c>
      <c r="W689" s="49">
        <f t="shared" si="2"/>
      </c>
      <c r="X689" s="2">
        <f t="shared" si="3"/>
      </c>
      <c r="Y689" s="2">
        <f t="shared" si="4"/>
      </c>
      <c r="Z689" s="2">
        <f t="shared" si="5"/>
        <v>0</v>
      </c>
      <c r="AA689" s="2">
        <f t="shared" si="6"/>
        <v>0</v>
      </c>
      <c r="AB689" s="2">
        <f t="shared" si="7"/>
        <v>0</v>
      </c>
      <c r="AC689" s="2">
        <f t="shared" si="8"/>
      </c>
    </row>
    <row r="690">
      <c r="A690" s="64" t="n"/>
      <c r="B690" s="65" t="n"/>
      <c r="C690" s="65" t="n"/>
      <c r="D690" s="65" t="n"/>
      <c r="E690" s="65" t="n"/>
      <c r="F690" s="66" t="n"/>
      <c r="G690" s="65" t="n"/>
      <c r="H690" s="66" t="n"/>
      <c r="I690" s="64" t="n"/>
      <c r="J690" s="68" t="n"/>
      <c r="K690" s="68" t="n"/>
      <c r="L690" s="68" t="n"/>
      <c r="M690" s="64" t="n"/>
      <c r="N690" s="64" t="n"/>
      <c r="O690" s="64" t="n"/>
      <c r="P690" s="64" t="n"/>
      <c r="Q690" s="64" t="n"/>
      <c r="R690" s="64" t="n"/>
      <c r="S690" s="66" t="n"/>
      <c r="T690" s="45" t="n"/>
      <c r="U690" s="43">
        <f t="shared" si="0"/>
      </c>
      <c r="V690" s="49">
        <f t="shared" si="1"/>
      </c>
      <c r="W690" s="49">
        <f t="shared" si="2"/>
      </c>
      <c r="X690" s="2">
        <f t="shared" si="3"/>
      </c>
      <c r="Y690" s="2">
        <f t="shared" si="4"/>
      </c>
      <c r="Z690" s="2">
        <f t="shared" si="5"/>
        <v>0</v>
      </c>
      <c r="AA690" s="2">
        <f t="shared" si="6"/>
        <v>0</v>
      </c>
      <c r="AB690" s="2">
        <f t="shared" si="7"/>
        <v>0</v>
      </c>
      <c r="AC690" s="2">
        <f t="shared" si="8"/>
      </c>
    </row>
    <row r="691">
      <c r="A691" s="64" t="n"/>
      <c r="B691" s="65" t="n"/>
      <c r="C691" s="65" t="n"/>
      <c r="D691" s="65" t="n"/>
      <c r="E691" s="65" t="n"/>
      <c r="F691" s="66" t="n"/>
      <c r="G691" s="65" t="n"/>
      <c r="H691" s="66" t="n"/>
      <c r="I691" s="64" t="n"/>
      <c r="J691" s="68" t="n"/>
      <c r="K691" s="68" t="n"/>
      <c r="L691" s="68" t="n"/>
      <c r="M691" s="64" t="n"/>
      <c r="N691" s="64" t="n"/>
      <c r="O691" s="64" t="n"/>
      <c r="P691" s="64" t="n"/>
      <c r="Q691" s="64" t="n"/>
      <c r="R691" s="64" t="n"/>
      <c r="S691" s="66" t="n"/>
      <c r="T691" s="45" t="n"/>
      <c r="U691" s="43">
        <f t="shared" si="0"/>
      </c>
      <c r="V691" s="49">
        <f t="shared" si="1"/>
      </c>
      <c r="W691" s="49">
        <f t="shared" si="2"/>
      </c>
      <c r="X691" s="2">
        <f t="shared" si="3"/>
      </c>
      <c r="Y691" s="2">
        <f t="shared" si="4"/>
      </c>
      <c r="Z691" s="2">
        <f t="shared" si="5"/>
        <v>0</v>
      </c>
      <c r="AA691" s="2">
        <f t="shared" si="6"/>
        <v>0</v>
      </c>
      <c r="AB691" s="2">
        <f t="shared" si="7"/>
        <v>0</v>
      </c>
      <c r="AC691" s="2">
        <f t="shared" si="8"/>
      </c>
    </row>
    <row r="692">
      <c r="A692" s="64" t="n"/>
      <c r="B692" s="65" t="n"/>
      <c r="C692" s="65" t="n"/>
      <c r="D692" s="65" t="n"/>
      <c r="E692" s="65" t="n"/>
      <c r="F692" s="66" t="n"/>
      <c r="G692" s="65" t="n"/>
      <c r="H692" s="66" t="n"/>
      <c r="I692" s="64" t="n"/>
      <c r="J692" s="68" t="n"/>
      <c r="K692" s="68" t="n"/>
      <c r="L692" s="68" t="n"/>
      <c r="M692" s="64" t="n"/>
      <c r="N692" s="64" t="n"/>
      <c r="O692" s="64" t="n"/>
      <c r="P692" s="64" t="n"/>
      <c r="Q692" s="64" t="n"/>
      <c r="R692" s="64" t="n"/>
      <c r="S692" s="66" t="n"/>
      <c r="T692" s="45" t="n"/>
      <c r="U692" s="43">
        <f t="shared" si="0"/>
      </c>
      <c r="V692" s="49">
        <f t="shared" si="1"/>
      </c>
      <c r="W692" s="49">
        <f t="shared" si="2"/>
      </c>
      <c r="X692" s="2">
        <f t="shared" si="3"/>
      </c>
      <c r="Y692" s="2">
        <f t="shared" si="4"/>
      </c>
      <c r="Z692" s="2">
        <f t="shared" si="5"/>
        <v>0</v>
      </c>
      <c r="AA692" s="2">
        <f t="shared" si="6"/>
        <v>0</v>
      </c>
      <c r="AB692" s="2">
        <f t="shared" si="7"/>
        <v>0</v>
      </c>
      <c r="AC692" s="2">
        <f t="shared" si="8"/>
      </c>
    </row>
    <row r="693">
      <c r="A693" s="64" t="n"/>
      <c r="B693" s="65" t="n"/>
      <c r="C693" s="65" t="n"/>
      <c r="D693" s="65" t="n"/>
      <c r="E693" s="65" t="n"/>
      <c r="F693" s="66" t="n"/>
      <c r="G693" s="65" t="n"/>
      <c r="H693" s="66" t="n"/>
      <c r="I693" s="64" t="n"/>
      <c r="J693" s="68" t="n"/>
      <c r="K693" s="68" t="n"/>
      <c r="L693" s="68" t="n"/>
      <c r="M693" s="64" t="n"/>
      <c r="N693" s="64" t="n"/>
      <c r="O693" s="64" t="n"/>
      <c r="P693" s="64" t="n"/>
      <c r="Q693" s="64" t="n"/>
      <c r="R693" s="64" t="n"/>
      <c r="S693" s="66" t="n"/>
      <c r="T693" s="45" t="n"/>
      <c r="U693" s="43">
        <f t="shared" si="0"/>
      </c>
      <c r="V693" s="49">
        <f t="shared" si="1"/>
      </c>
      <c r="W693" s="49">
        <f t="shared" si="2"/>
      </c>
      <c r="X693" s="2">
        <f t="shared" si="3"/>
      </c>
      <c r="Y693" s="2">
        <f t="shared" si="4"/>
      </c>
      <c r="Z693" s="2">
        <f t="shared" si="5"/>
        <v>0</v>
      </c>
      <c r="AA693" s="2">
        <f t="shared" si="6"/>
        <v>0</v>
      </c>
      <c r="AB693" s="2">
        <f t="shared" si="7"/>
        <v>0</v>
      </c>
      <c r="AC693" s="2">
        <f t="shared" si="8"/>
      </c>
    </row>
    <row r="694">
      <c r="A694" s="64" t="n"/>
      <c r="B694" s="65" t="n"/>
      <c r="C694" s="65" t="n"/>
      <c r="D694" s="65" t="n"/>
      <c r="E694" s="65" t="n"/>
      <c r="F694" s="66" t="n"/>
      <c r="G694" s="65" t="n"/>
      <c r="H694" s="66" t="n"/>
      <c r="I694" s="64" t="n"/>
      <c r="J694" s="68" t="n"/>
      <c r="K694" s="68" t="n"/>
      <c r="L694" s="68" t="n"/>
      <c r="M694" s="64" t="n"/>
      <c r="N694" s="64" t="n"/>
      <c r="O694" s="64" t="n"/>
      <c r="P694" s="64" t="n"/>
      <c r="Q694" s="64" t="n"/>
      <c r="R694" s="64" t="n"/>
      <c r="S694" s="66" t="n"/>
      <c r="T694" s="45" t="n"/>
      <c r="U694" s="43">
        <f t="shared" si="0"/>
      </c>
      <c r="V694" s="49">
        <f t="shared" si="1"/>
      </c>
      <c r="W694" s="49">
        <f t="shared" si="2"/>
      </c>
      <c r="X694" s="2">
        <f t="shared" si="3"/>
      </c>
      <c r="Y694" s="2">
        <f t="shared" si="4"/>
      </c>
      <c r="Z694" s="2">
        <f t="shared" si="5"/>
        <v>0</v>
      </c>
      <c r="AA694" s="2">
        <f t="shared" si="6"/>
        <v>0</v>
      </c>
      <c r="AB694" s="2">
        <f t="shared" si="7"/>
        <v>0</v>
      </c>
      <c r="AC694" s="2">
        <f t="shared" si="8"/>
      </c>
    </row>
    <row r="695">
      <c r="A695" s="64" t="n"/>
      <c r="B695" s="65" t="n"/>
      <c r="C695" s="65" t="n"/>
      <c r="D695" s="65" t="n"/>
      <c r="E695" s="65" t="n"/>
      <c r="F695" s="66" t="n"/>
      <c r="G695" s="65" t="n"/>
      <c r="H695" s="66" t="n"/>
      <c r="I695" s="64" t="n"/>
      <c r="J695" s="68" t="n"/>
      <c r="K695" s="68" t="n"/>
      <c r="L695" s="68" t="n"/>
      <c r="M695" s="64" t="n"/>
      <c r="N695" s="64" t="n"/>
      <c r="O695" s="64" t="n"/>
      <c r="P695" s="64" t="n"/>
      <c r="Q695" s="64" t="n"/>
      <c r="R695" s="64" t="n"/>
      <c r="S695" s="66" t="n"/>
      <c r="T695" s="45" t="n"/>
      <c r="U695" s="43">
        <f t="shared" si="0"/>
      </c>
      <c r="V695" s="49">
        <f t="shared" si="1"/>
      </c>
      <c r="W695" s="49">
        <f t="shared" si="2"/>
      </c>
      <c r="X695" s="2">
        <f t="shared" si="3"/>
      </c>
      <c r="Y695" s="2">
        <f t="shared" si="4"/>
      </c>
      <c r="Z695" s="2">
        <f t="shared" si="5"/>
        <v>0</v>
      </c>
      <c r="AA695" s="2">
        <f t="shared" si="6"/>
        <v>0</v>
      </c>
      <c r="AB695" s="2">
        <f t="shared" si="7"/>
        <v>0</v>
      </c>
      <c r="AC695" s="2">
        <f t="shared" si="8"/>
      </c>
    </row>
    <row r="696">
      <c r="A696" s="64" t="n"/>
      <c r="B696" s="65" t="n"/>
      <c r="C696" s="65" t="n"/>
      <c r="D696" s="65" t="n"/>
      <c r="E696" s="65" t="n"/>
      <c r="F696" s="66" t="n"/>
      <c r="G696" s="65" t="n"/>
      <c r="H696" s="66" t="n"/>
      <c r="I696" s="64" t="n"/>
      <c r="J696" s="68" t="n"/>
      <c r="K696" s="68" t="n"/>
      <c r="L696" s="68" t="n"/>
      <c r="M696" s="64" t="n"/>
      <c r="N696" s="64" t="n"/>
      <c r="O696" s="64" t="n"/>
      <c r="P696" s="64" t="n"/>
      <c r="Q696" s="64" t="n"/>
      <c r="R696" s="64" t="n"/>
      <c r="S696" s="66" t="n"/>
      <c r="T696" s="45" t="n"/>
      <c r="U696" s="43">
        <f t="shared" si="0"/>
      </c>
      <c r="V696" s="49">
        <f t="shared" si="1"/>
      </c>
      <c r="W696" s="49">
        <f t="shared" si="2"/>
      </c>
      <c r="X696" s="2">
        <f t="shared" si="3"/>
      </c>
      <c r="Y696" s="2">
        <f t="shared" si="4"/>
      </c>
      <c r="Z696" s="2">
        <f t="shared" si="5"/>
        <v>0</v>
      </c>
      <c r="AA696" s="2">
        <f t="shared" si="6"/>
        <v>0</v>
      </c>
      <c r="AB696" s="2">
        <f t="shared" si="7"/>
        <v>0</v>
      </c>
      <c r="AC696" s="2">
        <f t="shared" si="8"/>
      </c>
    </row>
    <row r="697">
      <c r="A697" s="64" t="n"/>
      <c r="B697" s="65" t="n"/>
      <c r="C697" s="65" t="n"/>
      <c r="D697" s="65" t="n"/>
      <c r="E697" s="65" t="n"/>
      <c r="F697" s="66" t="n"/>
      <c r="G697" s="65" t="n"/>
      <c r="H697" s="66" t="n"/>
      <c r="I697" s="64" t="n"/>
      <c r="J697" s="68" t="n"/>
      <c r="K697" s="68" t="n"/>
      <c r="L697" s="68" t="n"/>
      <c r="M697" s="64" t="n"/>
      <c r="N697" s="64" t="n"/>
      <c r="O697" s="64" t="n"/>
      <c r="P697" s="64" t="n"/>
      <c r="Q697" s="64" t="n"/>
      <c r="R697" s="64" t="n"/>
      <c r="S697" s="66" t="n"/>
      <c r="T697" s="45" t="n"/>
      <c r="U697" s="43">
        <f t="shared" si="0"/>
      </c>
      <c r="V697" s="49">
        <f t="shared" si="1"/>
      </c>
      <c r="W697" s="49">
        <f t="shared" si="2"/>
      </c>
      <c r="X697" s="2">
        <f t="shared" si="3"/>
      </c>
      <c r="Y697" s="2">
        <f t="shared" si="4"/>
      </c>
      <c r="Z697" s="2">
        <f t="shared" si="5"/>
        <v>0</v>
      </c>
      <c r="AA697" s="2">
        <f t="shared" si="6"/>
        <v>0</v>
      </c>
      <c r="AB697" s="2">
        <f t="shared" si="7"/>
        <v>0</v>
      </c>
      <c r="AC697" s="2">
        <f t="shared" si="8"/>
      </c>
    </row>
    <row r="698">
      <c r="A698" s="64" t="n"/>
      <c r="B698" s="65" t="n"/>
      <c r="C698" s="65" t="n"/>
      <c r="D698" s="65" t="n"/>
      <c r="E698" s="65" t="n"/>
      <c r="F698" s="66" t="n"/>
      <c r="G698" s="65" t="n"/>
      <c r="H698" s="66" t="n"/>
      <c r="I698" s="64" t="n"/>
      <c r="J698" s="68" t="n"/>
      <c r="K698" s="68" t="n"/>
      <c r="L698" s="68" t="n"/>
      <c r="M698" s="64" t="n"/>
      <c r="N698" s="64" t="n"/>
      <c r="O698" s="64" t="n"/>
      <c r="P698" s="64" t="n"/>
      <c r="Q698" s="64" t="n"/>
      <c r="R698" s="64" t="n"/>
      <c r="S698" s="66" t="n"/>
      <c r="T698" s="45" t="n"/>
      <c r="U698" s="43">
        <f t="shared" si="0"/>
      </c>
      <c r="V698" s="49">
        <f t="shared" si="1"/>
      </c>
      <c r="W698" s="49">
        <f t="shared" si="2"/>
      </c>
      <c r="X698" s="2">
        <f t="shared" si="3"/>
      </c>
      <c r="Y698" s="2">
        <f t="shared" si="4"/>
      </c>
      <c r="Z698" s="2">
        <f t="shared" si="5"/>
        <v>0</v>
      </c>
      <c r="AA698" s="2">
        <f t="shared" si="6"/>
        <v>0</v>
      </c>
      <c r="AB698" s="2">
        <f t="shared" si="7"/>
        <v>0</v>
      </c>
      <c r="AC698" s="2">
        <f t="shared" si="8"/>
      </c>
    </row>
    <row r="699">
      <c r="A699" s="64" t="n"/>
      <c r="B699" s="65" t="n"/>
      <c r="C699" s="65" t="n"/>
      <c r="D699" s="65" t="n"/>
      <c r="E699" s="65" t="n"/>
      <c r="F699" s="66" t="n"/>
      <c r="G699" s="65" t="n"/>
      <c r="H699" s="66" t="n"/>
      <c r="I699" s="64" t="n"/>
      <c r="J699" s="68" t="n"/>
      <c r="K699" s="68" t="n"/>
      <c r="L699" s="68" t="n"/>
      <c r="M699" s="64" t="n"/>
      <c r="N699" s="64" t="n"/>
      <c r="O699" s="64" t="n"/>
      <c r="P699" s="64" t="n"/>
      <c r="Q699" s="64" t="n"/>
      <c r="R699" s="64" t="n"/>
      <c r="S699" s="66" t="n"/>
      <c r="T699" s="45" t="n"/>
      <c r="U699" s="43">
        <f t="shared" si="0"/>
      </c>
      <c r="V699" s="49">
        <f t="shared" si="1"/>
      </c>
      <c r="W699" s="49">
        <f t="shared" si="2"/>
      </c>
      <c r="X699" s="2">
        <f t="shared" si="3"/>
      </c>
      <c r="Y699" s="2">
        <f t="shared" si="4"/>
      </c>
      <c r="Z699" s="2">
        <f t="shared" si="5"/>
        <v>0</v>
      </c>
      <c r="AA699" s="2">
        <f t="shared" si="6"/>
        <v>0</v>
      </c>
      <c r="AB699" s="2">
        <f t="shared" si="7"/>
        <v>0</v>
      </c>
      <c r="AC699" s="2">
        <f t="shared" si="8"/>
      </c>
    </row>
    <row r="700">
      <c r="A700" s="64" t="n"/>
      <c r="B700" s="65" t="n"/>
      <c r="C700" s="65" t="n"/>
      <c r="D700" s="65" t="n"/>
      <c r="E700" s="65" t="n"/>
      <c r="F700" s="66" t="n"/>
      <c r="G700" s="65" t="n"/>
      <c r="H700" s="66" t="n"/>
      <c r="I700" s="64" t="n"/>
      <c r="J700" s="68" t="n"/>
      <c r="K700" s="68" t="n"/>
      <c r="L700" s="68" t="n"/>
      <c r="M700" s="64" t="n"/>
      <c r="N700" s="64" t="n"/>
      <c r="O700" s="64" t="n"/>
      <c r="P700" s="64" t="n"/>
      <c r="Q700" s="64" t="n"/>
      <c r="R700" s="64" t="n"/>
      <c r="S700" s="66" t="n"/>
      <c r="T700" s="45" t="n"/>
      <c r="U700" s="43">
        <f t="shared" si="0"/>
      </c>
      <c r="V700" s="49">
        <f t="shared" si="1"/>
      </c>
      <c r="W700" s="49">
        <f t="shared" si="2"/>
      </c>
      <c r="X700" s="2">
        <f t="shared" si="3"/>
      </c>
      <c r="Y700" s="2">
        <f t="shared" si="4"/>
      </c>
      <c r="Z700" s="2">
        <f t="shared" si="5"/>
        <v>0</v>
      </c>
      <c r="AA700" s="2">
        <f t="shared" si="6"/>
        <v>0</v>
      </c>
      <c r="AB700" s="2">
        <f t="shared" si="7"/>
        <v>0</v>
      </c>
      <c r="AC700" s="2">
        <f t="shared" si="8"/>
      </c>
    </row>
    <row r="701">
      <c r="A701" s="64" t="n"/>
      <c r="B701" s="65" t="n"/>
      <c r="C701" s="65" t="n"/>
      <c r="D701" s="65" t="n"/>
      <c r="E701" s="65" t="n"/>
      <c r="F701" s="66" t="n"/>
      <c r="G701" s="65" t="n"/>
      <c r="H701" s="66" t="n"/>
      <c r="I701" s="64" t="n"/>
      <c r="J701" s="68" t="n"/>
      <c r="K701" s="68" t="n"/>
      <c r="L701" s="68" t="n"/>
      <c r="M701" s="64" t="n"/>
      <c r="N701" s="64" t="n"/>
      <c r="O701" s="64" t="n"/>
      <c r="P701" s="64" t="n"/>
      <c r="Q701" s="64" t="n"/>
      <c r="R701" s="64" t="n"/>
      <c r="S701" s="66" t="n"/>
      <c r="T701" s="45" t="n"/>
      <c r="U701" s="43">
        <f t="shared" si="0"/>
      </c>
      <c r="V701" s="49">
        <f t="shared" si="1"/>
      </c>
      <c r="W701" s="49">
        <f t="shared" si="2"/>
      </c>
      <c r="X701" s="2">
        <f t="shared" si="3"/>
      </c>
      <c r="Y701" s="2">
        <f t="shared" si="4"/>
      </c>
      <c r="Z701" s="2">
        <f t="shared" si="5"/>
        <v>0</v>
      </c>
      <c r="AA701" s="2">
        <f t="shared" si="6"/>
        <v>0</v>
      </c>
      <c r="AB701" s="2">
        <f t="shared" si="7"/>
        <v>0</v>
      </c>
      <c r="AC701" s="2">
        <f t="shared" si="8"/>
      </c>
    </row>
    <row r="702">
      <c r="A702" s="64" t="n"/>
      <c r="B702" s="65" t="n"/>
      <c r="C702" s="65" t="n"/>
      <c r="D702" s="65" t="n"/>
      <c r="E702" s="65" t="n"/>
      <c r="F702" s="66" t="n"/>
      <c r="G702" s="65" t="n"/>
      <c r="H702" s="66" t="n"/>
      <c r="I702" s="64" t="n"/>
      <c r="J702" s="68" t="n"/>
      <c r="K702" s="68" t="n"/>
      <c r="L702" s="68" t="n"/>
      <c r="M702" s="64" t="n"/>
      <c r="N702" s="64" t="n"/>
      <c r="O702" s="64" t="n"/>
      <c r="P702" s="64" t="n"/>
      <c r="Q702" s="64" t="n"/>
      <c r="R702" s="64" t="n"/>
      <c r="S702" s="66" t="n"/>
      <c r="T702" s="45" t="n"/>
      <c r="U702" s="43">
        <f t="shared" si="0"/>
      </c>
      <c r="V702" s="49">
        <f t="shared" si="1"/>
      </c>
      <c r="W702" s="49">
        <f t="shared" si="2"/>
      </c>
      <c r="X702" s="2">
        <f t="shared" si="3"/>
      </c>
      <c r="Y702" s="2">
        <f t="shared" si="4"/>
      </c>
      <c r="Z702" s="2">
        <f t="shared" si="5"/>
        <v>0</v>
      </c>
      <c r="AA702" s="2">
        <f t="shared" si="6"/>
        <v>0</v>
      </c>
      <c r="AB702" s="2">
        <f t="shared" si="7"/>
        <v>0</v>
      </c>
      <c r="AC702" s="2">
        <f t="shared" si="8"/>
      </c>
    </row>
    <row r="703">
      <c r="A703" s="64" t="n"/>
      <c r="B703" s="65" t="n"/>
      <c r="C703" s="65" t="n"/>
      <c r="D703" s="65" t="n"/>
      <c r="E703" s="65" t="n"/>
      <c r="F703" s="66" t="n"/>
      <c r="G703" s="65" t="n"/>
      <c r="H703" s="66" t="n"/>
      <c r="I703" s="64" t="n"/>
      <c r="J703" s="68" t="n"/>
      <c r="K703" s="68" t="n"/>
      <c r="L703" s="68" t="n"/>
      <c r="M703" s="64" t="n"/>
      <c r="N703" s="64" t="n"/>
      <c r="O703" s="64" t="n"/>
      <c r="P703" s="64" t="n"/>
      <c r="Q703" s="64" t="n"/>
      <c r="R703" s="64" t="n"/>
      <c r="S703" s="66" t="n"/>
      <c r="T703" s="45" t="n"/>
      <c r="U703" s="43">
        <f t="shared" si="0"/>
      </c>
      <c r="V703" s="49">
        <f t="shared" si="1"/>
      </c>
      <c r="W703" s="49">
        <f t="shared" si="2"/>
      </c>
      <c r="X703" s="2">
        <f t="shared" si="3"/>
      </c>
      <c r="Y703" s="2">
        <f t="shared" si="4"/>
      </c>
      <c r="Z703" s="2">
        <f t="shared" si="5"/>
        <v>0</v>
      </c>
      <c r="AA703" s="2">
        <f t="shared" si="6"/>
        <v>0</v>
      </c>
      <c r="AB703" s="2">
        <f t="shared" si="7"/>
        <v>0</v>
      </c>
      <c r="AC703" s="2">
        <f t="shared" si="8"/>
      </c>
    </row>
    <row r="704">
      <c r="A704" s="64" t="n"/>
      <c r="B704" s="65" t="n"/>
      <c r="C704" s="65" t="n"/>
      <c r="D704" s="65" t="n"/>
      <c r="E704" s="65" t="n"/>
      <c r="F704" s="66" t="n"/>
      <c r="G704" s="65" t="n"/>
      <c r="H704" s="66" t="n"/>
      <c r="I704" s="64" t="n"/>
      <c r="J704" s="68" t="n"/>
      <c r="K704" s="68" t="n"/>
      <c r="L704" s="68" t="n"/>
      <c r="M704" s="64" t="n"/>
      <c r="N704" s="64" t="n"/>
      <c r="O704" s="64" t="n"/>
      <c r="P704" s="64" t="n"/>
      <c r="Q704" s="64" t="n"/>
      <c r="R704" s="64" t="n"/>
      <c r="S704" s="66" t="n"/>
      <c r="T704" s="45" t="n"/>
      <c r="U704" s="43">
        <f t="shared" si="0"/>
      </c>
      <c r="V704" s="49">
        <f t="shared" si="1"/>
      </c>
      <c r="W704" s="49">
        <f t="shared" si="2"/>
      </c>
      <c r="X704" s="2">
        <f t="shared" si="3"/>
      </c>
      <c r="Y704" s="2">
        <f t="shared" si="4"/>
      </c>
      <c r="Z704" s="2">
        <f t="shared" si="5"/>
        <v>0</v>
      </c>
      <c r="AA704" s="2">
        <f t="shared" si="6"/>
        <v>0</v>
      </c>
      <c r="AB704" s="2">
        <f t="shared" si="7"/>
        <v>0</v>
      </c>
      <c r="AC704" s="2">
        <f t="shared" si="8"/>
      </c>
    </row>
    <row r="705">
      <c r="A705" s="64" t="n"/>
      <c r="B705" s="65" t="n"/>
      <c r="C705" s="65" t="n"/>
      <c r="D705" s="65" t="n"/>
      <c r="E705" s="65" t="n"/>
      <c r="F705" s="66" t="n"/>
      <c r="G705" s="65" t="n"/>
      <c r="H705" s="66" t="n"/>
      <c r="I705" s="64" t="n"/>
      <c r="J705" s="68" t="n"/>
      <c r="K705" s="68" t="n"/>
      <c r="L705" s="68" t="n"/>
      <c r="M705" s="64" t="n"/>
      <c r="N705" s="64" t="n"/>
      <c r="O705" s="64" t="n"/>
      <c r="P705" s="64" t="n"/>
      <c r="Q705" s="64" t="n"/>
      <c r="R705" s="64" t="n"/>
      <c r="S705" s="66" t="n"/>
      <c r="T705" s="45" t="n"/>
      <c r="U705" s="43">
        <f t="shared" si="0"/>
      </c>
      <c r="V705" s="49">
        <f t="shared" si="1"/>
      </c>
      <c r="W705" s="49">
        <f t="shared" si="2"/>
      </c>
      <c r="X705" s="2">
        <f t="shared" si="3"/>
      </c>
      <c r="Y705" s="2">
        <f t="shared" si="4"/>
      </c>
      <c r="Z705" s="2">
        <f t="shared" si="5"/>
        <v>0</v>
      </c>
      <c r="AA705" s="2">
        <f t="shared" si="6"/>
        <v>0</v>
      </c>
      <c r="AB705" s="2">
        <f t="shared" si="7"/>
        <v>0</v>
      </c>
      <c r="AC705" s="2">
        <f t="shared" si="8"/>
      </c>
    </row>
    <row r="706">
      <c r="A706" s="64" t="n"/>
      <c r="B706" s="65" t="n"/>
      <c r="C706" s="65" t="n"/>
      <c r="D706" s="65" t="n"/>
      <c r="E706" s="65" t="n"/>
      <c r="F706" s="66" t="n"/>
      <c r="G706" s="65" t="n"/>
      <c r="H706" s="66" t="n"/>
      <c r="I706" s="64" t="n"/>
      <c r="J706" s="68" t="n"/>
      <c r="K706" s="68" t="n"/>
      <c r="L706" s="68" t="n"/>
      <c r="M706" s="64" t="n"/>
      <c r="N706" s="64" t="n"/>
      <c r="O706" s="64" t="n"/>
      <c r="P706" s="64" t="n"/>
      <c r="Q706" s="64" t="n"/>
      <c r="R706" s="64" t="n"/>
      <c r="S706" s="66" t="n"/>
      <c r="T706" s="45" t="n"/>
      <c r="U706" s="43">
        <f t="shared" si="0"/>
      </c>
      <c r="V706" s="49">
        <f t="shared" si="1"/>
      </c>
      <c r="W706" s="49">
        <f t="shared" si="2"/>
      </c>
      <c r="X706" s="2">
        <f t="shared" si="3"/>
      </c>
      <c r="Y706" s="2">
        <f t="shared" si="4"/>
      </c>
      <c r="Z706" s="2">
        <f t="shared" si="5"/>
        <v>0</v>
      </c>
      <c r="AA706" s="2">
        <f t="shared" si="6"/>
        <v>0</v>
      </c>
      <c r="AB706" s="2">
        <f t="shared" si="7"/>
        <v>0</v>
      </c>
      <c r="AC706" s="2">
        <f t="shared" si="8"/>
      </c>
    </row>
    <row r="707">
      <c r="A707" s="64" t="n"/>
      <c r="B707" s="65" t="n"/>
      <c r="C707" s="65" t="n"/>
      <c r="D707" s="65" t="n"/>
      <c r="E707" s="65" t="n"/>
      <c r="F707" s="66" t="n"/>
      <c r="G707" s="65" t="n"/>
      <c r="H707" s="66" t="n"/>
      <c r="I707" s="64" t="n"/>
      <c r="J707" s="68" t="n"/>
      <c r="K707" s="68" t="n"/>
      <c r="L707" s="68" t="n"/>
      <c r="M707" s="64" t="n"/>
      <c r="N707" s="64" t="n"/>
      <c r="O707" s="64" t="n"/>
      <c r="P707" s="64" t="n"/>
      <c r="Q707" s="64" t="n"/>
      <c r="R707" s="64" t="n"/>
      <c r="S707" s="66" t="n"/>
      <c r="T707" s="45" t="n"/>
      <c r="U707" s="43">
        <f t="shared" si="0"/>
      </c>
      <c r="V707" s="49">
        <f t="shared" si="1"/>
      </c>
      <c r="W707" s="49">
        <f t="shared" si="2"/>
      </c>
      <c r="X707" s="2">
        <f t="shared" si="3"/>
      </c>
      <c r="Y707" s="2">
        <f t="shared" si="4"/>
      </c>
      <c r="Z707" s="2">
        <f t="shared" si="5"/>
        <v>0</v>
      </c>
      <c r="AA707" s="2">
        <f t="shared" si="6"/>
        <v>0</v>
      </c>
      <c r="AB707" s="2">
        <f t="shared" si="7"/>
        <v>0</v>
      </c>
      <c r="AC707" s="2">
        <f t="shared" si="8"/>
      </c>
    </row>
    <row r="708">
      <c r="A708" s="64" t="n"/>
      <c r="B708" s="65" t="n"/>
      <c r="C708" s="65" t="n"/>
      <c r="D708" s="65" t="n"/>
      <c r="E708" s="65" t="n"/>
      <c r="F708" s="66" t="n"/>
      <c r="G708" s="65" t="n"/>
      <c r="H708" s="66" t="n"/>
      <c r="I708" s="64" t="n"/>
      <c r="J708" s="68" t="n"/>
      <c r="K708" s="68" t="n"/>
      <c r="L708" s="68" t="n"/>
      <c r="M708" s="64" t="n"/>
      <c r="N708" s="64" t="n"/>
      <c r="O708" s="64" t="n"/>
      <c r="P708" s="64" t="n"/>
      <c r="Q708" s="64" t="n"/>
      <c r="R708" s="64" t="n"/>
      <c r="S708" s="66" t="n"/>
      <c r="T708" s="45" t="n"/>
      <c r="U708" s="43">
        <f t="shared" si="0"/>
      </c>
      <c r="V708" s="49">
        <f t="shared" si="1"/>
      </c>
      <c r="W708" s="49">
        <f t="shared" si="2"/>
      </c>
      <c r="X708" s="2">
        <f t="shared" si="3"/>
      </c>
      <c r="Y708" s="2">
        <f t="shared" si="4"/>
      </c>
      <c r="Z708" s="2">
        <f t="shared" si="5"/>
        <v>0</v>
      </c>
      <c r="AA708" s="2">
        <f t="shared" si="6"/>
        <v>0</v>
      </c>
      <c r="AB708" s="2">
        <f t="shared" si="7"/>
        <v>0</v>
      </c>
      <c r="AC708" s="2">
        <f t="shared" si="8"/>
      </c>
    </row>
    <row r="709">
      <c r="A709" s="64" t="n"/>
      <c r="B709" s="65" t="n"/>
      <c r="C709" s="65" t="n"/>
      <c r="D709" s="65" t="n"/>
      <c r="E709" s="65" t="n"/>
      <c r="F709" s="66" t="n"/>
      <c r="G709" s="65" t="n"/>
      <c r="H709" s="66" t="n"/>
      <c r="I709" s="64" t="n"/>
      <c r="J709" s="68" t="n"/>
      <c r="K709" s="68" t="n"/>
      <c r="L709" s="68" t="n"/>
      <c r="M709" s="64" t="n"/>
      <c r="N709" s="64" t="n"/>
      <c r="O709" s="64" t="n"/>
      <c r="P709" s="64" t="n"/>
      <c r="Q709" s="64" t="n"/>
      <c r="R709" s="64" t="n"/>
      <c r="S709" s="66" t="n"/>
      <c r="T709" s="45" t="n"/>
      <c r="U709" s="43">
        <f t="shared" si="0"/>
      </c>
      <c r="V709" s="49">
        <f t="shared" si="1"/>
      </c>
      <c r="W709" s="49">
        <f t="shared" si="2"/>
      </c>
      <c r="X709" s="2">
        <f t="shared" si="3"/>
      </c>
      <c r="Y709" s="2">
        <f t="shared" si="4"/>
      </c>
      <c r="Z709" s="2">
        <f t="shared" si="5"/>
        <v>0</v>
      </c>
      <c r="AA709" s="2">
        <f t="shared" si="6"/>
        <v>0</v>
      </c>
      <c r="AB709" s="2">
        <f t="shared" si="7"/>
        <v>0</v>
      </c>
      <c r="AC709" s="2">
        <f t="shared" si="8"/>
      </c>
    </row>
    <row r="710">
      <c r="A710" s="64" t="n"/>
      <c r="B710" s="65" t="n"/>
      <c r="C710" s="65" t="n"/>
      <c r="D710" s="65" t="n"/>
      <c r="E710" s="65" t="n"/>
      <c r="F710" s="66" t="n"/>
      <c r="G710" s="65" t="n"/>
      <c r="H710" s="66" t="n"/>
      <c r="I710" s="64" t="n"/>
      <c r="J710" s="68" t="n"/>
      <c r="K710" s="68" t="n"/>
      <c r="L710" s="68" t="n"/>
      <c r="M710" s="64" t="n"/>
      <c r="N710" s="64" t="n"/>
      <c r="O710" s="64" t="n"/>
      <c r="P710" s="64" t="n"/>
      <c r="Q710" s="64" t="n"/>
      <c r="R710" s="64" t="n"/>
      <c r="S710" s="66" t="n"/>
      <c r="T710" s="45" t="n"/>
      <c r="U710" s="43">
        <f t="shared" si="0"/>
      </c>
      <c r="V710" s="49">
        <f t="shared" si="1"/>
      </c>
      <c r="W710" s="49">
        <f t="shared" si="2"/>
      </c>
      <c r="X710" s="2">
        <f t="shared" si="3"/>
      </c>
      <c r="Y710" s="2">
        <f t="shared" si="4"/>
      </c>
      <c r="Z710" s="2">
        <f t="shared" si="5"/>
        <v>0</v>
      </c>
      <c r="AA710" s="2">
        <f t="shared" si="6"/>
        <v>0</v>
      </c>
      <c r="AB710" s="2">
        <f t="shared" si="7"/>
        <v>0</v>
      </c>
      <c r="AC710" s="2">
        <f t="shared" si="8"/>
      </c>
    </row>
    <row r="711">
      <c r="A711" s="64" t="n"/>
      <c r="B711" s="65" t="n"/>
      <c r="C711" s="65" t="n"/>
      <c r="D711" s="65" t="n"/>
      <c r="E711" s="65" t="n"/>
      <c r="F711" s="66" t="n"/>
      <c r="G711" s="65" t="n"/>
      <c r="H711" s="66" t="n"/>
      <c r="I711" s="64" t="n"/>
      <c r="J711" s="68" t="n"/>
      <c r="K711" s="68" t="n"/>
      <c r="L711" s="68" t="n"/>
      <c r="M711" s="64" t="n"/>
      <c r="N711" s="64" t="n"/>
      <c r="O711" s="64" t="n"/>
      <c r="P711" s="64" t="n"/>
      <c r="Q711" s="64" t="n"/>
      <c r="R711" s="64" t="n"/>
      <c r="S711" s="66" t="n"/>
      <c r="T711" s="45" t="n"/>
      <c r="U711" s="43">
        <f t="shared" si="0"/>
      </c>
      <c r="V711" s="49">
        <f t="shared" si="1"/>
      </c>
      <c r="W711" s="49">
        <f t="shared" si="2"/>
      </c>
      <c r="X711" s="2">
        <f t="shared" si="3"/>
      </c>
      <c r="Y711" s="2">
        <f t="shared" si="4"/>
      </c>
      <c r="Z711" s="2">
        <f t="shared" si="5"/>
        <v>0</v>
      </c>
      <c r="AA711" s="2">
        <f t="shared" si="6"/>
        <v>0</v>
      </c>
      <c r="AB711" s="2">
        <f t="shared" si="7"/>
        <v>0</v>
      </c>
      <c r="AC711" s="2">
        <f t="shared" si="8"/>
      </c>
    </row>
    <row r="712">
      <c r="A712" s="64" t="n"/>
      <c r="B712" s="65" t="n"/>
      <c r="C712" s="65" t="n"/>
      <c r="D712" s="65" t="n"/>
      <c r="E712" s="65" t="n"/>
      <c r="F712" s="66" t="n"/>
      <c r="G712" s="65" t="n"/>
      <c r="H712" s="66" t="n"/>
      <c r="I712" s="64" t="n"/>
      <c r="J712" s="68" t="n"/>
      <c r="K712" s="68" t="n"/>
      <c r="L712" s="68" t="n"/>
      <c r="M712" s="64" t="n"/>
      <c r="N712" s="64" t="n"/>
      <c r="O712" s="64" t="n"/>
      <c r="P712" s="64" t="n"/>
      <c r="Q712" s="64" t="n"/>
      <c r="R712" s="64" t="n"/>
      <c r="S712" s="66" t="n"/>
      <c r="T712" s="45" t="n"/>
      <c r="U712" s="43">
        <f t="shared" si="0"/>
      </c>
      <c r="V712" s="49">
        <f t="shared" si="1"/>
      </c>
      <c r="W712" s="49">
        <f t="shared" si="2"/>
      </c>
      <c r="X712" s="2">
        <f t="shared" si="3"/>
      </c>
      <c r="Y712" s="2">
        <f t="shared" si="4"/>
      </c>
      <c r="Z712" s="2">
        <f t="shared" si="5"/>
        <v>0</v>
      </c>
      <c r="AA712" s="2">
        <f t="shared" si="6"/>
        <v>0</v>
      </c>
      <c r="AB712" s="2">
        <f t="shared" si="7"/>
        <v>0</v>
      </c>
      <c r="AC712" s="2">
        <f t="shared" si="8"/>
      </c>
    </row>
    <row r="713">
      <c r="A713" s="64" t="n"/>
      <c r="B713" s="65" t="n"/>
      <c r="C713" s="65" t="n"/>
      <c r="D713" s="65" t="n"/>
      <c r="E713" s="65" t="n"/>
      <c r="F713" s="66" t="n"/>
      <c r="G713" s="65" t="n"/>
      <c r="H713" s="66" t="n"/>
      <c r="I713" s="64" t="n"/>
      <c r="J713" s="68" t="n"/>
      <c r="K713" s="68" t="n"/>
      <c r="L713" s="68" t="n"/>
      <c r="M713" s="64" t="n"/>
      <c r="N713" s="64" t="n"/>
      <c r="O713" s="64" t="n"/>
      <c r="P713" s="64" t="n"/>
      <c r="Q713" s="64" t="n"/>
      <c r="R713" s="64" t="n"/>
      <c r="S713" s="66" t="n"/>
      <c r="T713" s="45" t="n"/>
      <c r="U713" s="43">
        <f t="shared" si="0"/>
      </c>
      <c r="V713" s="49">
        <f t="shared" si="1"/>
      </c>
      <c r="W713" s="49">
        <f t="shared" si="2"/>
      </c>
      <c r="X713" s="2">
        <f t="shared" si="3"/>
      </c>
      <c r="Y713" s="2">
        <f t="shared" si="4"/>
      </c>
      <c r="Z713" s="2">
        <f t="shared" si="5"/>
        <v>0</v>
      </c>
      <c r="AA713" s="2">
        <f t="shared" si="6"/>
        <v>0</v>
      </c>
      <c r="AB713" s="2">
        <f t="shared" si="7"/>
        <v>0</v>
      </c>
      <c r="AC713" s="2">
        <f t="shared" si="8"/>
      </c>
    </row>
    <row r="714">
      <c r="A714" s="64" t="n"/>
      <c r="B714" s="65" t="n"/>
      <c r="C714" s="65" t="n"/>
      <c r="D714" s="65" t="n"/>
      <c r="E714" s="65" t="n"/>
      <c r="F714" s="66" t="n"/>
      <c r="G714" s="65" t="n"/>
      <c r="H714" s="66" t="n"/>
      <c r="I714" s="64" t="n"/>
      <c r="J714" s="68" t="n"/>
      <c r="K714" s="68" t="n"/>
      <c r="L714" s="68" t="n"/>
      <c r="M714" s="64" t="n"/>
      <c r="N714" s="64" t="n"/>
      <c r="O714" s="64" t="n"/>
      <c r="P714" s="64" t="n"/>
      <c r="Q714" s="64" t="n"/>
      <c r="R714" s="64" t="n"/>
      <c r="S714" s="66" t="n"/>
      <c r="T714" s="45" t="n"/>
      <c r="U714" s="43">
        <f t="shared" si="0"/>
      </c>
      <c r="V714" s="49">
        <f t="shared" si="1"/>
      </c>
      <c r="W714" s="49">
        <f t="shared" si="2"/>
      </c>
      <c r="X714" s="2">
        <f t="shared" si="3"/>
      </c>
      <c r="Y714" s="2">
        <f t="shared" si="4"/>
      </c>
      <c r="Z714" s="2">
        <f t="shared" si="5"/>
        <v>0</v>
      </c>
      <c r="AA714" s="2">
        <f t="shared" si="6"/>
        <v>0</v>
      </c>
      <c r="AB714" s="2">
        <f t="shared" si="7"/>
        <v>0</v>
      </c>
      <c r="AC714" s="2">
        <f t="shared" si="8"/>
      </c>
    </row>
    <row r="715">
      <c r="A715" s="64" t="n"/>
      <c r="B715" s="65" t="n"/>
      <c r="C715" s="65" t="n"/>
      <c r="D715" s="65" t="n"/>
      <c r="E715" s="65" t="n"/>
      <c r="F715" s="66" t="n"/>
      <c r="G715" s="65" t="n"/>
      <c r="H715" s="66" t="n"/>
      <c r="I715" s="64" t="n"/>
      <c r="J715" s="68" t="n"/>
      <c r="K715" s="68" t="n"/>
      <c r="L715" s="68" t="n"/>
      <c r="M715" s="64" t="n"/>
      <c r="N715" s="64" t="n"/>
      <c r="O715" s="64" t="n"/>
      <c r="P715" s="64" t="n"/>
      <c r="Q715" s="64" t="n"/>
      <c r="R715" s="64" t="n"/>
      <c r="S715" s="66" t="n"/>
      <c r="T715" s="45" t="n"/>
      <c r="U715" s="43">
        <f t="shared" si="0"/>
      </c>
      <c r="V715" s="49">
        <f t="shared" si="1"/>
      </c>
      <c r="W715" s="49">
        <f t="shared" si="2"/>
      </c>
      <c r="X715" s="2">
        <f t="shared" si="3"/>
      </c>
      <c r="Y715" s="2">
        <f t="shared" si="4"/>
      </c>
      <c r="Z715" s="2">
        <f t="shared" si="5"/>
        <v>0</v>
      </c>
      <c r="AA715" s="2">
        <f t="shared" si="6"/>
        <v>0</v>
      </c>
      <c r="AB715" s="2">
        <f t="shared" si="7"/>
        <v>0</v>
      </c>
      <c r="AC715" s="2">
        <f t="shared" si="8"/>
      </c>
    </row>
    <row r="716">
      <c r="A716" s="64" t="n"/>
      <c r="B716" s="65" t="n"/>
      <c r="C716" s="65" t="n"/>
      <c r="D716" s="65" t="n"/>
      <c r="E716" s="65" t="n"/>
      <c r="F716" s="66" t="n"/>
      <c r="G716" s="65" t="n"/>
      <c r="H716" s="66" t="n"/>
      <c r="I716" s="64" t="n"/>
      <c r="J716" s="68" t="n"/>
      <c r="K716" s="68" t="n"/>
      <c r="L716" s="68" t="n"/>
      <c r="M716" s="64" t="n"/>
      <c r="N716" s="64" t="n"/>
      <c r="O716" s="64" t="n"/>
      <c r="P716" s="64" t="n"/>
      <c r="Q716" s="64" t="n"/>
      <c r="R716" s="64" t="n"/>
      <c r="S716" s="66" t="n"/>
      <c r="T716" s="45" t="n"/>
      <c r="U716" s="43">
        <f t="shared" si="0"/>
      </c>
      <c r="V716" s="49">
        <f t="shared" si="1"/>
      </c>
      <c r="W716" s="49">
        <f t="shared" si="2"/>
      </c>
      <c r="X716" s="2">
        <f t="shared" si="3"/>
      </c>
      <c r="Y716" s="2">
        <f t="shared" si="4"/>
      </c>
      <c r="Z716" s="2">
        <f t="shared" si="5"/>
        <v>0</v>
      </c>
      <c r="AA716" s="2">
        <f t="shared" si="6"/>
        <v>0</v>
      </c>
      <c r="AB716" s="2">
        <f t="shared" si="7"/>
        <v>0</v>
      </c>
      <c r="AC716" s="2">
        <f t="shared" si="8"/>
      </c>
    </row>
    <row r="717">
      <c r="A717" s="64" t="n"/>
      <c r="B717" s="65" t="n"/>
      <c r="C717" s="65" t="n"/>
      <c r="D717" s="65" t="n"/>
      <c r="E717" s="65" t="n"/>
      <c r="F717" s="66" t="n"/>
      <c r="G717" s="65" t="n"/>
      <c r="H717" s="66" t="n"/>
      <c r="I717" s="64" t="n"/>
      <c r="J717" s="68" t="n"/>
      <c r="K717" s="68" t="n"/>
      <c r="L717" s="68" t="n"/>
      <c r="M717" s="64" t="n"/>
      <c r="N717" s="64" t="n"/>
      <c r="O717" s="64" t="n"/>
      <c r="P717" s="64" t="n"/>
      <c r="Q717" s="64" t="n"/>
      <c r="R717" s="64" t="n"/>
      <c r="S717" s="66" t="n"/>
      <c r="T717" s="45" t="n"/>
      <c r="U717" s="43">
        <f t="shared" si="0"/>
      </c>
      <c r="V717" s="49">
        <f t="shared" si="1"/>
      </c>
      <c r="W717" s="49">
        <f t="shared" si="2"/>
      </c>
      <c r="X717" s="2">
        <f t="shared" si="3"/>
      </c>
      <c r="Y717" s="2">
        <f t="shared" si="4"/>
      </c>
      <c r="Z717" s="2">
        <f t="shared" si="5"/>
        <v>0</v>
      </c>
      <c r="AA717" s="2">
        <f t="shared" si="6"/>
        <v>0</v>
      </c>
      <c r="AB717" s="2">
        <f t="shared" si="7"/>
        <v>0</v>
      </c>
      <c r="AC717" s="2">
        <f t="shared" si="8"/>
      </c>
    </row>
    <row r="718">
      <c r="A718" s="64" t="n"/>
      <c r="B718" s="65" t="n"/>
      <c r="C718" s="65" t="n"/>
      <c r="D718" s="65" t="n"/>
      <c r="E718" s="65" t="n"/>
      <c r="F718" s="66" t="n"/>
      <c r="G718" s="65" t="n"/>
      <c r="H718" s="66" t="n"/>
      <c r="I718" s="64" t="n"/>
      <c r="J718" s="68" t="n"/>
      <c r="K718" s="68" t="n"/>
      <c r="L718" s="68" t="n"/>
      <c r="M718" s="64" t="n"/>
      <c r="N718" s="64" t="n"/>
      <c r="O718" s="64" t="n"/>
      <c r="P718" s="64" t="n"/>
      <c r="Q718" s="64" t="n"/>
      <c r="R718" s="64" t="n"/>
      <c r="S718" s="66" t="n"/>
      <c r="T718" s="45" t="n"/>
      <c r="U718" s="43">
        <f t="shared" si="0"/>
      </c>
      <c r="V718" s="49">
        <f t="shared" si="1"/>
      </c>
      <c r="W718" s="49">
        <f t="shared" si="2"/>
      </c>
      <c r="X718" s="2">
        <f t="shared" si="3"/>
      </c>
      <c r="Y718" s="2">
        <f t="shared" si="4"/>
      </c>
      <c r="Z718" s="2">
        <f t="shared" si="5"/>
        <v>0</v>
      </c>
      <c r="AA718" s="2">
        <f t="shared" si="6"/>
        <v>0</v>
      </c>
      <c r="AB718" s="2">
        <f t="shared" si="7"/>
        <v>0</v>
      </c>
      <c r="AC718" s="2">
        <f t="shared" si="8"/>
      </c>
    </row>
    <row r="719">
      <c r="A719" s="64" t="n"/>
      <c r="B719" s="65" t="n"/>
      <c r="C719" s="65" t="n"/>
      <c r="D719" s="65" t="n"/>
      <c r="E719" s="65" t="n"/>
      <c r="F719" s="66" t="n"/>
      <c r="G719" s="65" t="n"/>
      <c r="H719" s="66" t="n"/>
      <c r="I719" s="64" t="n"/>
      <c r="J719" s="68" t="n"/>
      <c r="K719" s="68" t="n"/>
      <c r="L719" s="68" t="n"/>
      <c r="M719" s="64" t="n"/>
      <c r="N719" s="64" t="n"/>
      <c r="O719" s="64" t="n"/>
      <c r="P719" s="64" t="n"/>
      <c r="Q719" s="64" t="n"/>
      <c r="R719" s="64" t="n"/>
      <c r="S719" s="66" t="n"/>
      <c r="T719" s="45" t="n"/>
      <c r="U719" s="43">
        <f t="shared" si="0"/>
      </c>
      <c r="V719" s="49">
        <f t="shared" si="1"/>
      </c>
      <c r="W719" s="49">
        <f t="shared" si="2"/>
      </c>
      <c r="X719" s="2">
        <f t="shared" si="3"/>
      </c>
      <c r="Y719" s="2">
        <f t="shared" si="4"/>
      </c>
      <c r="Z719" s="2">
        <f t="shared" si="5"/>
        <v>0</v>
      </c>
      <c r="AA719" s="2">
        <f t="shared" si="6"/>
        <v>0</v>
      </c>
      <c r="AB719" s="2">
        <f t="shared" si="7"/>
        <v>0</v>
      </c>
      <c r="AC719" s="2">
        <f t="shared" si="8"/>
      </c>
    </row>
    <row r="720">
      <c r="A720" s="64" t="n"/>
      <c r="B720" s="65" t="n"/>
      <c r="C720" s="65" t="n"/>
      <c r="D720" s="65" t="n"/>
      <c r="E720" s="65" t="n"/>
      <c r="F720" s="66" t="n"/>
      <c r="G720" s="65" t="n"/>
      <c r="H720" s="66" t="n"/>
      <c r="I720" s="64" t="n"/>
      <c r="J720" s="68" t="n"/>
      <c r="K720" s="68" t="n"/>
      <c r="L720" s="68" t="n"/>
      <c r="M720" s="64" t="n"/>
      <c r="N720" s="64" t="n"/>
      <c r="O720" s="64" t="n"/>
      <c r="P720" s="64" t="n"/>
      <c r="Q720" s="64" t="n"/>
      <c r="R720" s="64" t="n"/>
      <c r="S720" s="66" t="n"/>
      <c r="T720" s="45" t="n"/>
      <c r="U720" s="43">
        <f t="shared" si="0"/>
      </c>
      <c r="V720" s="49">
        <f t="shared" si="1"/>
      </c>
      <c r="W720" s="49">
        <f t="shared" si="2"/>
      </c>
      <c r="X720" s="2">
        <f t="shared" si="3"/>
      </c>
      <c r="Y720" s="2">
        <f t="shared" si="4"/>
      </c>
      <c r="Z720" s="2">
        <f t="shared" si="5"/>
        <v>0</v>
      </c>
      <c r="AA720" s="2">
        <f t="shared" si="6"/>
        <v>0</v>
      </c>
      <c r="AB720" s="2">
        <f t="shared" si="7"/>
        <v>0</v>
      </c>
      <c r="AC720" s="2">
        <f t="shared" si="8"/>
      </c>
    </row>
    <row r="721">
      <c r="A721" s="64" t="n"/>
      <c r="B721" s="65" t="n"/>
      <c r="C721" s="65" t="n"/>
      <c r="D721" s="65" t="n"/>
      <c r="E721" s="65" t="n"/>
      <c r="F721" s="66" t="n"/>
      <c r="G721" s="65" t="n"/>
      <c r="H721" s="66" t="n"/>
      <c r="I721" s="64" t="n"/>
      <c r="J721" s="68" t="n"/>
      <c r="K721" s="68" t="n"/>
      <c r="L721" s="68" t="n"/>
      <c r="M721" s="64" t="n"/>
      <c r="N721" s="64" t="n"/>
      <c r="O721" s="64" t="n"/>
      <c r="P721" s="64" t="n"/>
      <c r="Q721" s="64" t="n"/>
      <c r="R721" s="64" t="n"/>
      <c r="S721" s="66" t="n"/>
      <c r="T721" s="45" t="n"/>
      <c r="U721" s="43">
        <f t="shared" si="0"/>
      </c>
      <c r="V721" s="49">
        <f t="shared" si="1"/>
      </c>
      <c r="W721" s="49">
        <f t="shared" si="2"/>
      </c>
      <c r="X721" s="2">
        <f t="shared" si="3"/>
      </c>
      <c r="Y721" s="2">
        <f t="shared" si="4"/>
      </c>
      <c r="Z721" s="2">
        <f t="shared" si="5"/>
        <v>0</v>
      </c>
      <c r="AA721" s="2">
        <f t="shared" si="6"/>
        <v>0</v>
      </c>
      <c r="AB721" s="2">
        <f t="shared" si="7"/>
        <v>0</v>
      </c>
      <c r="AC721" s="2">
        <f t="shared" si="8"/>
      </c>
    </row>
    <row r="722">
      <c r="A722" s="64" t="n"/>
      <c r="B722" s="65" t="n"/>
      <c r="C722" s="65" t="n"/>
      <c r="D722" s="65" t="n"/>
      <c r="E722" s="65" t="n"/>
      <c r="F722" s="66" t="n"/>
      <c r="G722" s="65" t="n"/>
      <c r="H722" s="66" t="n"/>
      <c r="I722" s="64" t="n"/>
      <c r="J722" s="68" t="n"/>
      <c r="K722" s="68" t="n"/>
      <c r="L722" s="68" t="n"/>
      <c r="M722" s="64" t="n"/>
      <c r="N722" s="64" t="n"/>
      <c r="O722" s="64" t="n"/>
      <c r="P722" s="64" t="n"/>
      <c r="Q722" s="64" t="n"/>
      <c r="R722" s="64" t="n"/>
      <c r="S722" s="66" t="n"/>
      <c r="T722" s="45" t="n"/>
      <c r="U722" s="43">
        <f t="shared" si="0"/>
      </c>
      <c r="V722" s="49">
        <f t="shared" si="1"/>
      </c>
      <c r="W722" s="49">
        <f t="shared" si="2"/>
      </c>
      <c r="X722" s="2">
        <f t="shared" si="3"/>
      </c>
      <c r="Y722" s="2">
        <f t="shared" si="4"/>
      </c>
      <c r="Z722" s="2">
        <f t="shared" si="5"/>
        <v>0</v>
      </c>
      <c r="AA722" s="2">
        <f t="shared" si="6"/>
        <v>0</v>
      </c>
      <c r="AB722" s="2">
        <f t="shared" si="7"/>
        <v>0</v>
      </c>
      <c r="AC722" s="2">
        <f t="shared" si="8"/>
      </c>
    </row>
    <row r="723">
      <c r="A723" s="64" t="n"/>
      <c r="B723" s="65" t="n"/>
      <c r="C723" s="65" t="n"/>
      <c r="D723" s="65" t="n"/>
      <c r="E723" s="65" t="n"/>
      <c r="F723" s="66" t="n"/>
      <c r="G723" s="65" t="n"/>
      <c r="H723" s="66" t="n"/>
      <c r="I723" s="64" t="n"/>
      <c r="J723" s="68" t="n"/>
      <c r="K723" s="68" t="n"/>
      <c r="L723" s="68" t="n"/>
      <c r="M723" s="64" t="n"/>
      <c r="N723" s="64" t="n"/>
      <c r="O723" s="64" t="n"/>
      <c r="P723" s="64" t="n"/>
      <c r="Q723" s="64" t="n"/>
      <c r="R723" s="64" t="n"/>
      <c r="S723" s="66" t="n"/>
      <c r="T723" s="45" t="n"/>
      <c r="U723" s="43">
        <f t="shared" si="0"/>
      </c>
      <c r="V723" s="49">
        <f t="shared" si="1"/>
      </c>
      <c r="W723" s="49">
        <f t="shared" si="2"/>
      </c>
      <c r="X723" s="2">
        <f t="shared" si="3"/>
      </c>
      <c r="Y723" s="2">
        <f t="shared" si="4"/>
      </c>
      <c r="Z723" s="2">
        <f t="shared" si="5"/>
        <v>0</v>
      </c>
      <c r="AA723" s="2">
        <f t="shared" si="6"/>
        <v>0</v>
      </c>
      <c r="AB723" s="2">
        <f t="shared" si="7"/>
        <v>0</v>
      </c>
      <c r="AC723" s="2">
        <f t="shared" si="8"/>
      </c>
    </row>
    <row r="724">
      <c r="A724" s="64" t="n"/>
      <c r="B724" s="65" t="n"/>
      <c r="C724" s="65" t="n"/>
      <c r="D724" s="65" t="n"/>
      <c r="E724" s="65" t="n"/>
      <c r="F724" s="66" t="n"/>
      <c r="G724" s="65" t="n"/>
      <c r="H724" s="66" t="n"/>
      <c r="I724" s="64" t="n"/>
      <c r="J724" s="68" t="n"/>
      <c r="K724" s="68" t="n"/>
      <c r="L724" s="68" t="n"/>
      <c r="M724" s="64" t="n"/>
      <c r="N724" s="64" t="n"/>
      <c r="O724" s="64" t="n"/>
      <c r="P724" s="64" t="n"/>
      <c r="Q724" s="64" t="n"/>
      <c r="R724" s="64" t="n"/>
      <c r="S724" s="66" t="n"/>
      <c r="T724" s="45" t="n"/>
      <c r="U724" s="43">
        <f t="shared" si="0"/>
      </c>
      <c r="V724" s="49">
        <f t="shared" si="1"/>
      </c>
      <c r="W724" s="49">
        <f t="shared" si="2"/>
      </c>
      <c r="X724" s="2">
        <f t="shared" si="3"/>
      </c>
      <c r="Y724" s="2">
        <f t="shared" si="4"/>
      </c>
      <c r="Z724" s="2">
        <f t="shared" si="5"/>
        <v>0</v>
      </c>
      <c r="AA724" s="2">
        <f t="shared" si="6"/>
        <v>0</v>
      </c>
      <c r="AB724" s="2">
        <f t="shared" si="7"/>
        <v>0</v>
      </c>
      <c r="AC724" s="2">
        <f t="shared" si="8"/>
      </c>
    </row>
    <row r="725">
      <c r="A725" s="64" t="n"/>
      <c r="B725" s="65" t="n"/>
      <c r="C725" s="65" t="n"/>
      <c r="D725" s="65" t="n"/>
      <c r="E725" s="65" t="n"/>
      <c r="F725" s="66" t="n"/>
      <c r="G725" s="65" t="n"/>
      <c r="H725" s="66" t="n"/>
      <c r="I725" s="64" t="n"/>
      <c r="J725" s="68" t="n"/>
      <c r="K725" s="68" t="n"/>
      <c r="L725" s="68" t="n"/>
      <c r="M725" s="64" t="n"/>
      <c r="N725" s="64" t="n"/>
      <c r="O725" s="64" t="n"/>
      <c r="P725" s="64" t="n"/>
      <c r="Q725" s="64" t="n"/>
      <c r="R725" s="64" t="n"/>
      <c r="S725" s="66" t="n"/>
      <c r="T725" s="45" t="n"/>
      <c r="U725" s="43">
        <f t="shared" si="0"/>
      </c>
      <c r="V725" s="49">
        <f t="shared" si="1"/>
      </c>
      <c r="W725" s="49">
        <f t="shared" si="2"/>
      </c>
      <c r="X725" s="2">
        <f t="shared" si="3"/>
      </c>
      <c r="Y725" s="2">
        <f t="shared" si="4"/>
      </c>
      <c r="Z725" s="2">
        <f t="shared" si="5"/>
        <v>0</v>
      </c>
      <c r="AA725" s="2">
        <f t="shared" si="6"/>
        <v>0</v>
      </c>
      <c r="AB725" s="2">
        <f t="shared" si="7"/>
        <v>0</v>
      </c>
      <c r="AC725" s="2">
        <f t="shared" si="8"/>
      </c>
    </row>
    <row r="726">
      <c r="A726" s="64" t="n"/>
      <c r="B726" s="65" t="n"/>
      <c r="C726" s="65" t="n"/>
      <c r="D726" s="65" t="n"/>
      <c r="E726" s="65" t="n"/>
      <c r="F726" s="66" t="n"/>
      <c r="G726" s="65" t="n"/>
      <c r="H726" s="66" t="n"/>
      <c r="I726" s="64" t="n"/>
      <c r="J726" s="68" t="n"/>
      <c r="K726" s="68" t="n"/>
      <c r="L726" s="68" t="n"/>
      <c r="M726" s="64" t="n"/>
      <c r="N726" s="64" t="n"/>
      <c r="O726" s="64" t="n"/>
      <c r="P726" s="64" t="n"/>
      <c r="Q726" s="64" t="n"/>
      <c r="R726" s="64" t="n"/>
      <c r="S726" s="66" t="n"/>
      <c r="T726" s="45" t="n"/>
      <c r="U726" s="43">
        <f t="shared" si="0"/>
      </c>
      <c r="V726" s="49">
        <f t="shared" si="1"/>
      </c>
      <c r="W726" s="49">
        <f t="shared" si="2"/>
      </c>
      <c r="X726" s="2">
        <f t="shared" si="3"/>
      </c>
      <c r="Y726" s="2">
        <f t="shared" si="4"/>
      </c>
      <c r="Z726" s="2">
        <f t="shared" si="5"/>
        <v>0</v>
      </c>
      <c r="AA726" s="2">
        <f t="shared" si="6"/>
        <v>0</v>
      </c>
      <c r="AB726" s="2">
        <f t="shared" si="7"/>
        <v>0</v>
      </c>
      <c r="AC726" s="2">
        <f t="shared" si="8"/>
      </c>
    </row>
    <row r="727">
      <c r="A727" s="64" t="n"/>
      <c r="B727" s="65" t="n"/>
      <c r="C727" s="65" t="n"/>
      <c r="D727" s="65" t="n"/>
      <c r="E727" s="65" t="n"/>
      <c r="F727" s="66" t="n"/>
      <c r="G727" s="65" t="n"/>
      <c r="H727" s="66" t="n"/>
      <c r="I727" s="64" t="n"/>
      <c r="J727" s="68" t="n"/>
      <c r="K727" s="68" t="n"/>
      <c r="L727" s="68" t="n"/>
      <c r="M727" s="64" t="n"/>
      <c r="N727" s="64" t="n"/>
      <c r="O727" s="64" t="n"/>
      <c r="P727" s="64" t="n"/>
      <c r="Q727" s="64" t="n"/>
      <c r="R727" s="64" t="n"/>
      <c r="S727" s="66" t="n"/>
      <c r="T727" s="45" t="n"/>
      <c r="U727" s="43">
        <f t="shared" si="0"/>
      </c>
      <c r="V727" s="49">
        <f t="shared" si="1"/>
      </c>
      <c r="W727" s="49">
        <f t="shared" si="2"/>
      </c>
      <c r="X727" s="2">
        <f t="shared" si="3"/>
      </c>
      <c r="Y727" s="2">
        <f t="shared" si="4"/>
      </c>
      <c r="Z727" s="2">
        <f t="shared" si="5"/>
        <v>0</v>
      </c>
      <c r="AA727" s="2">
        <f t="shared" si="6"/>
        <v>0</v>
      </c>
      <c r="AB727" s="2">
        <f t="shared" si="7"/>
        <v>0</v>
      </c>
      <c r="AC727" s="2">
        <f t="shared" si="8"/>
      </c>
    </row>
    <row r="728">
      <c r="A728" s="64" t="n"/>
      <c r="B728" s="65" t="n"/>
      <c r="C728" s="65" t="n"/>
      <c r="D728" s="65" t="n"/>
      <c r="E728" s="65" t="n"/>
      <c r="F728" s="66" t="n"/>
      <c r="G728" s="65" t="n"/>
      <c r="H728" s="66" t="n"/>
      <c r="I728" s="64" t="n"/>
      <c r="J728" s="68" t="n"/>
      <c r="K728" s="68" t="n"/>
      <c r="L728" s="68" t="n"/>
      <c r="M728" s="64" t="n"/>
      <c r="N728" s="64" t="n"/>
      <c r="O728" s="64" t="n"/>
      <c r="P728" s="64" t="n"/>
      <c r="Q728" s="64" t="n"/>
      <c r="R728" s="64" t="n"/>
      <c r="S728" s="66" t="n"/>
      <c r="T728" s="45" t="n"/>
      <c r="U728" s="43">
        <f t="shared" si="0"/>
      </c>
      <c r="V728" s="49">
        <f t="shared" si="1"/>
      </c>
      <c r="W728" s="49">
        <f t="shared" si="2"/>
      </c>
      <c r="X728" s="2">
        <f t="shared" si="3"/>
      </c>
      <c r="Y728" s="2">
        <f t="shared" si="4"/>
      </c>
      <c r="Z728" s="2">
        <f t="shared" si="5"/>
        <v>0</v>
      </c>
      <c r="AA728" s="2">
        <f t="shared" si="6"/>
        <v>0</v>
      </c>
      <c r="AB728" s="2">
        <f t="shared" si="7"/>
        <v>0</v>
      </c>
      <c r="AC728" s="2">
        <f t="shared" si="8"/>
      </c>
    </row>
    <row r="729">
      <c r="A729" s="64" t="n"/>
      <c r="B729" s="65" t="n"/>
      <c r="C729" s="65" t="n"/>
      <c r="D729" s="65" t="n"/>
      <c r="E729" s="65" t="n"/>
      <c r="F729" s="66" t="n"/>
      <c r="G729" s="65" t="n"/>
      <c r="H729" s="66" t="n"/>
      <c r="I729" s="64" t="n"/>
      <c r="J729" s="68" t="n"/>
      <c r="K729" s="68" t="n"/>
      <c r="L729" s="68" t="n"/>
      <c r="M729" s="64" t="n"/>
      <c r="N729" s="64" t="n"/>
      <c r="O729" s="64" t="n"/>
      <c r="P729" s="64" t="n"/>
      <c r="Q729" s="64" t="n"/>
      <c r="R729" s="64" t="n"/>
      <c r="S729" s="66" t="n"/>
      <c r="T729" s="45" t="n"/>
      <c r="U729" s="43">
        <f t="shared" si="0"/>
      </c>
      <c r="V729" s="49">
        <f t="shared" si="1"/>
      </c>
      <c r="W729" s="49">
        <f t="shared" si="2"/>
      </c>
      <c r="X729" s="2">
        <f t="shared" si="3"/>
      </c>
      <c r="Y729" s="2">
        <f t="shared" si="4"/>
      </c>
      <c r="Z729" s="2">
        <f t="shared" si="5"/>
        <v>0</v>
      </c>
      <c r="AA729" s="2">
        <f t="shared" si="6"/>
        <v>0</v>
      </c>
      <c r="AB729" s="2">
        <f t="shared" si="7"/>
        <v>0</v>
      </c>
      <c r="AC729" s="2">
        <f t="shared" si="8"/>
      </c>
    </row>
    <row r="730">
      <c r="A730" s="64" t="n"/>
      <c r="B730" s="65" t="n"/>
      <c r="C730" s="65" t="n"/>
      <c r="D730" s="65" t="n"/>
      <c r="E730" s="65" t="n"/>
      <c r="F730" s="66" t="n"/>
      <c r="G730" s="65" t="n"/>
      <c r="H730" s="66" t="n"/>
      <c r="I730" s="64" t="n"/>
      <c r="J730" s="68" t="n"/>
      <c r="K730" s="68" t="n"/>
      <c r="L730" s="68" t="n"/>
      <c r="M730" s="64" t="n"/>
      <c r="N730" s="64" t="n"/>
      <c r="O730" s="64" t="n"/>
      <c r="P730" s="64" t="n"/>
      <c r="Q730" s="64" t="n"/>
      <c r="R730" s="64" t="n"/>
      <c r="S730" s="66" t="n"/>
      <c r="T730" s="45" t="n"/>
      <c r="U730" s="43">
        <f t="shared" si="0"/>
      </c>
      <c r="V730" s="49">
        <f t="shared" si="1"/>
      </c>
      <c r="W730" s="49">
        <f t="shared" si="2"/>
      </c>
      <c r="X730" s="2">
        <f t="shared" si="3"/>
      </c>
      <c r="Y730" s="2">
        <f t="shared" si="4"/>
      </c>
      <c r="Z730" s="2">
        <f t="shared" si="5"/>
        <v>0</v>
      </c>
      <c r="AA730" s="2">
        <f t="shared" si="6"/>
        <v>0</v>
      </c>
      <c r="AB730" s="2">
        <f t="shared" si="7"/>
        <v>0</v>
      </c>
      <c r="AC730" s="2">
        <f t="shared" si="8"/>
      </c>
    </row>
    <row r="731">
      <c r="A731" s="64" t="n"/>
      <c r="B731" s="65" t="n"/>
      <c r="C731" s="65" t="n"/>
      <c r="D731" s="65" t="n"/>
      <c r="E731" s="65" t="n"/>
      <c r="F731" s="66" t="n"/>
      <c r="G731" s="65" t="n"/>
      <c r="H731" s="66" t="n"/>
      <c r="I731" s="64" t="n"/>
      <c r="J731" s="68" t="n"/>
      <c r="K731" s="68" t="n"/>
      <c r="L731" s="68" t="n"/>
      <c r="M731" s="64" t="n"/>
      <c r="N731" s="64" t="n"/>
      <c r="O731" s="64" t="n"/>
      <c r="P731" s="64" t="n"/>
      <c r="Q731" s="64" t="n"/>
      <c r="R731" s="64" t="n"/>
      <c r="S731" s="66" t="n"/>
      <c r="T731" s="45" t="n"/>
      <c r="U731" s="43">
        <f t="shared" si="0"/>
      </c>
      <c r="V731" s="49">
        <f t="shared" si="1"/>
      </c>
      <c r="W731" s="49">
        <f t="shared" si="2"/>
      </c>
      <c r="X731" s="2">
        <f t="shared" si="3"/>
      </c>
      <c r="Y731" s="2">
        <f t="shared" si="4"/>
      </c>
      <c r="Z731" s="2">
        <f t="shared" si="5"/>
        <v>0</v>
      </c>
      <c r="AA731" s="2">
        <f t="shared" si="6"/>
        <v>0</v>
      </c>
      <c r="AB731" s="2">
        <f t="shared" si="7"/>
        <v>0</v>
      </c>
      <c r="AC731" s="2">
        <f t="shared" si="8"/>
      </c>
    </row>
    <row r="732">
      <c r="A732" s="64" t="n"/>
      <c r="B732" s="65" t="n"/>
      <c r="C732" s="65" t="n"/>
      <c r="D732" s="65" t="n"/>
      <c r="E732" s="65" t="n"/>
      <c r="F732" s="66" t="n"/>
      <c r="G732" s="65" t="n"/>
      <c r="H732" s="66" t="n"/>
      <c r="I732" s="64" t="n"/>
      <c r="J732" s="68" t="n"/>
      <c r="K732" s="68" t="n"/>
      <c r="L732" s="68" t="n"/>
      <c r="M732" s="64" t="n"/>
      <c r="N732" s="64" t="n"/>
      <c r="O732" s="64" t="n"/>
      <c r="P732" s="64" t="n"/>
      <c r="Q732" s="64" t="n"/>
      <c r="R732" s="64" t="n"/>
      <c r="S732" s="66" t="n"/>
      <c r="T732" s="45" t="n"/>
      <c r="U732" s="43">
        <f t="shared" si="0"/>
      </c>
      <c r="V732" s="49">
        <f t="shared" si="1"/>
      </c>
      <c r="W732" s="49">
        <f t="shared" si="2"/>
      </c>
      <c r="X732" s="2">
        <f t="shared" si="3"/>
      </c>
      <c r="Y732" s="2">
        <f t="shared" si="4"/>
      </c>
      <c r="Z732" s="2">
        <f t="shared" si="5"/>
        <v>0</v>
      </c>
      <c r="AA732" s="2">
        <f t="shared" si="6"/>
        <v>0</v>
      </c>
      <c r="AB732" s="2">
        <f t="shared" si="7"/>
        <v>0</v>
      </c>
      <c r="AC732" s="2">
        <f t="shared" si="8"/>
      </c>
    </row>
    <row r="733">
      <c r="A733" s="64" t="n"/>
      <c r="B733" s="65" t="n"/>
      <c r="C733" s="65" t="n"/>
      <c r="D733" s="65" t="n"/>
      <c r="E733" s="65" t="n"/>
      <c r="F733" s="66" t="n"/>
      <c r="G733" s="65" t="n"/>
      <c r="H733" s="66" t="n"/>
      <c r="I733" s="64" t="n"/>
      <c r="J733" s="68" t="n"/>
      <c r="K733" s="68" t="n"/>
      <c r="L733" s="68" t="n"/>
      <c r="M733" s="64" t="n"/>
      <c r="N733" s="64" t="n"/>
      <c r="O733" s="64" t="n"/>
      <c r="P733" s="64" t="n"/>
      <c r="Q733" s="64" t="n"/>
      <c r="R733" s="64" t="n"/>
      <c r="S733" s="66" t="n"/>
      <c r="T733" s="45" t="n"/>
      <c r="U733" s="43">
        <f t="shared" si="0"/>
      </c>
      <c r="V733" s="49">
        <f t="shared" si="1"/>
      </c>
      <c r="W733" s="49">
        <f t="shared" si="2"/>
      </c>
      <c r="X733" s="2">
        <f t="shared" si="3"/>
      </c>
      <c r="Y733" s="2">
        <f t="shared" si="4"/>
      </c>
      <c r="Z733" s="2">
        <f t="shared" si="5"/>
        <v>0</v>
      </c>
      <c r="AA733" s="2">
        <f t="shared" si="6"/>
        <v>0</v>
      </c>
      <c r="AB733" s="2">
        <f t="shared" si="7"/>
        <v>0</v>
      </c>
      <c r="AC733" s="2">
        <f t="shared" si="8"/>
      </c>
    </row>
    <row r="734">
      <c r="A734" s="64" t="n"/>
      <c r="B734" s="65" t="n"/>
      <c r="C734" s="65" t="n"/>
      <c r="D734" s="65" t="n"/>
      <c r="E734" s="65" t="n"/>
      <c r="F734" s="66" t="n"/>
      <c r="G734" s="65" t="n"/>
      <c r="H734" s="66" t="n"/>
      <c r="I734" s="64" t="n"/>
      <c r="J734" s="68" t="n"/>
      <c r="K734" s="68" t="n"/>
      <c r="L734" s="68" t="n"/>
      <c r="M734" s="64" t="n"/>
      <c r="N734" s="64" t="n"/>
      <c r="O734" s="64" t="n"/>
      <c r="P734" s="64" t="n"/>
      <c r="Q734" s="64" t="n"/>
      <c r="R734" s="64" t="n"/>
      <c r="S734" s="66" t="n"/>
      <c r="T734" s="45" t="n"/>
      <c r="U734" s="43">
        <f t="shared" si="0"/>
      </c>
      <c r="V734" s="49">
        <f t="shared" si="1"/>
      </c>
      <c r="W734" s="49">
        <f t="shared" si="2"/>
      </c>
      <c r="X734" s="2">
        <f t="shared" si="3"/>
      </c>
      <c r="Y734" s="2">
        <f t="shared" si="4"/>
      </c>
      <c r="Z734" s="2">
        <f t="shared" si="5"/>
        <v>0</v>
      </c>
      <c r="AA734" s="2">
        <f t="shared" si="6"/>
        <v>0</v>
      </c>
      <c r="AB734" s="2">
        <f t="shared" si="7"/>
        <v>0</v>
      </c>
      <c r="AC734" s="2">
        <f t="shared" si="8"/>
      </c>
    </row>
    <row r="735">
      <c r="A735" s="64" t="n"/>
      <c r="B735" s="65" t="n"/>
      <c r="C735" s="65" t="n"/>
      <c r="D735" s="65" t="n"/>
      <c r="E735" s="65" t="n"/>
      <c r="F735" s="66" t="n"/>
      <c r="G735" s="65" t="n"/>
      <c r="H735" s="66" t="n"/>
      <c r="I735" s="64" t="n"/>
      <c r="J735" s="68" t="n"/>
      <c r="K735" s="68" t="n"/>
      <c r="L735" s="68" t="n"/>
      <c r="M735" s="64" t="n"/>
      <c r="N735" s="64" t="n"/>
      <c r="O735" s="64" t="n"/>
      <c r="P735" s="64" t="n"/>
      <c r="Q735" s="64" t="n"/>
      <c r="R735" s="64" t="n"/>
      <c r="S735" s="66" t="n"/>
      <c r="T735" s="45" t="n"/>
      <c r="U735" s="43">
        <f t="shared" si="0"/>
      </c>
      <c r="V735" s="49">
        <f t="shared" si="1"/>
      </c>
      <c r="W735" s="49">
        <f t="shared" si="2"/>
      </c>
      <c r="X735" s="2">
        <f t="shared" si="3"/>
      </c>
      <c r="Y735" s="2">
        <f t="shared" si="4"/>
      </c>
      <c r="Z735" s="2">
        <f t="shared" si="5"/>
        <v>0</v>
      </c>
      <c r="AA735" s="2">
        <f t="shared" si="6"/>
        <v>0</v>
      </c>
      <c r="AB735" s="2">
        <f t="shared" si="7"/>
        <v>0</v>
      </c>
      <c r="AC735" s="2">
        <f t="shared" si="8"/>
      </c>
    </row>
    <row r="736">
      <c r="A736" s="64" t="n"/>
      <c r="B736" s="65" t="n"/>
      <c r="C736" s="65" t="n"/>
      <c r="D736" s="65" t="n"/>
      <c r="E736" s="65" t="n"/>
      <c r="F736" s="66" t="n"/>
      <c r="G736" s="65" t="n"/>
      <c r="H736" s="66" t="n"/>
      <c r="I736" s="64" t="n"/>
      <c r="J736" s="68" t="n"/>
      <c r="K736" s="68" t="n"/>
      <c r="L736" s="68" t="n"/>
      <c r="M736" s="64" t="n"/>
      <c r="N736" s="64" t="n"/>
      <c r="O736" s="64" t="n"/>
      <c r="P736" s="64" t="n"/>
      <c r="Q736" s="64" t="n"/>
      <c r="R736" s="64" t="n"/>
      <c r="S736" s="66" t="n"/>
      <c r="T736" s="45" t="n"/>
      <c r="U736" s="43">
        <f t="shared" si="0"/>
      </c>
      <c r="V736" s="49">
        <f t="shared" si="1"/>
      </c>
      <c r="W736" s="49">
        <f t="shared" si="2"/>
      </c>
      <c r="X736" s="2">
        <f t="shared" si="3"/>
      </c>
      <c r="Y736" s="2">
        <f t="shared" si="4"/>
      </c>
      <c r="Z736" s="2">
        <f t="shared" si="5"/>
        <v>0</v>
      </c>
      <c r="AA736" s="2">
        <f t="shared" si="6"/>
        <v>0</v>
      </c>
      <c r="AB736" s="2">
        <f t="shared" si="7"/>
        <v>0</v>
      </c>
      <c r="AC736" s="2">
        <f t="shared" si="8"/>
      </c>
    </row>
    <row r="737">
      <c r="A737" s="64" t="n"/>
      <c r="B737" s="65" t="n"/>
      <c r="C737" s="65" t="n"/>
      <c r="D737" s="65" t="n"/>
      <c r="E737" s="65" t="n"/>
      <c r="F737" s="66" t="n"/>
      <c r="G737" s="65" t="n"/>
      <c r="H737" s="66" t="n"/>
      <c r="I737" s="64" t="n"/>
      <c r="J737" s="68" t="n"/>
      <c r="K737" s="68" t="n"/>
      <c r="L737" s="68" t="n"/>
      <c r="M737" s="64" t="n"/>
      <c r="N737" s="64" t="n"/>
      <c r="O737" s="64" t="n"/>
      <c r="P737" s="64" t="n"/>
      <c r="Q737" s="64" t="n"/>
      <c r="R737" s="64" t="n"/>
      <c r="S737" s="66" t="n"/>
      <c r="T737" s="45" t="n"/>
      <c r="U737" s="43">
        <f t="shared" si="0"/>
      </c>
      <c r="V737" s="49">
        <f t="shared" si="1"/>
      </c>
      <c r="W737" s="49">
        <f t="shared" si="2"/>
      </c>
      <c r="X737" s="2">
        <f t="shared" si="3"/>
      </c>
      <c r="Y737" s="2">
        <f t="shared" si="4"/>
      </c>
      <c r="Z737" s="2">
        <f t="shared" si="5"/>
        <v>0</v>
      </c>
      <c r="AA737" s="2">
        <f t="shared" si="6"/>
        <v>0</v>
      </c>
      <c r="AB737" s="2">
        <f t="shared" si="7"/>
        <v>0</v>
      </c>
      <c r="AC737" s="2">
        <f t="shared" si="8"/>
      </c>
    </row>
    <row r="738">
      <c r="A738" s="64" t="n"/>
      <c r="B738" s="65" t="n"/>
      <c r="C738" s="65" t="n"/>
      <c r="D738" s="65" t="n"/>
      <c r="E738" s="65" t="n"/>
      <c r="F738" s="66" t="n"/>
      <c r="G738" s="65" t="n"/>
      <c r="H738" s="66" t="n"/>
      <c r="I738" s="64" t="n"/>
      <c r="J738" s="68" t="n"/>
      <c r="K738" s="68" t="n"/>
      <c r="L738" s="68" t="n"/>
      <c r="M738" s="64" t="n"/>
      <c r="N738" s="64" t="n"/>
      <c r="O738" s="64" t="n"/>
      <c r="P738" s="64" t="n"/>
      <c r="Q738" s="64" t="n"/>
      <c r="R738" s="64" t="n"/>
      <c r="S738" s="66" t="n"/>
      <c r="T738" s="45" t="n"/>
      <c r="U738" s="43">
        <f t="shared" si="0"/>
      </c>
      <c r="V738" s="49">
        <f t="shared" si="1"/>
      </c>
      <c r="W738" s="49">
        <f t="shared" si="2"/>
      </c>
      <c r="X738" s="2">
        <f t="shared" si="3"/>
      </c>
      <c r="Y738" s="2">
        <f t="shared" si="4"/>
      </c>
      <c r="Z738" s="2">
        <f t="shared" si="5"/>
        <v>0</v>
      </c>
      <c r="AA738" s="2">
        <f t="shared" si="6"/>
        <v>0</v>
      </c>
      <c r="AB738" s="2">
        <f t="shared" si="7"/>
        <v>0</v>
      </c>
      <c r="AC738" s="2">
        <f t="shared" si="8"/>
      </c>
    </row>
    <row r="739">
      <c r="A739" s="64" t="n"/>
      <c r="B739" s="65" t="n"/>
      <c r="C739" s="65" t="n"/>
      <c r="D739" s="65" t="n"/>
      <c r="E739" s="65" t="n"/>
      <c r="F739" s="66" t="n"/>
      <c r="G739" s="65" t="n"/>
      <c r="H739" s="66" t="n"/>
      <c r="I739" s="64" t="n"/>
      <c r="J739" s="68" t="n"/>
      <c r="K739" s="68" t="n"/>
      <c r="L739" s="68" t="n"/>
      <c r="M739" s="64" t="n"/>
      <c r="N739" s="64" t="n"/>
      <c r="O739" s="64" t="n"/>
      <c r="P739" s="64" t="n"/>
      <c r="Q739" s="64" t="n"/>
      <c r="R739" s="64" t="n"/>
      <c r="S739" s="66" t="n"/>
      <c r="T739" s="45" t="n"/>
      <c r="U739" s="43">
        <f t="shared" si="0"/>
      </c>
      <c r="V739" s="49">
        <f t="shared" si="1"/>
      </c>
      <c r="W739" s="49">
        <f t="shared" si="2"/>
      </c>
      <c r="X739" s="2">
        <f t="shared" si="3"/>
      </c>
      <c r="Y739" s="2">
        <f t="shared" si="4"/>
      </c>
      <c r="Z739" s="2">
        <f t="shared" si="5"/>
        <v>0</v>
      </c>
      <c r="AA739" s="2">
        <f t="shared" si="6"/>
        <v>0</v>
      </c>
      <c r="AB739" s="2">
        <f t="shared" si="7"/>
        <v>0</v>
      </c>
      <c r="AC739" s="2">
        <f t="shared" si="8"/>
      </c>
    </row>
    <row r="740">
      <c r="A740" s="64" t="n"/>
      <c r="B740" s="65" t="n"/>
      <c r="C740" s="65" t="n"/>
      <c r="D740" s="65" t="n"/>
      <c r="E740" s="65" t="n"/>
      <c r="F740" s="66" t="n"/>
      <c r="G740" s="65" t="n"/>
      <c r="H740" s="66" t="n"/>
      <c r="I740" s="64" t="n"/>
      <c r="J740" s="68" t="n"/>
      <c r="K740" s="68" t="n"/>
      <c r="L740" s="68" t="n"/>
      <c r="M740" s="64" t="n"/>
      <c r="N740" s="64" t="n"/>
      <c r="O740" s="64" t="n"/>
      <c r="P740" s="64" t="n"/>
      <c r="Q740" s="64" t="n"/>
      <c r="R740" s="64" t="n"/>
      <c r="S740" s="66" t="n"/>
      <c r="T740" s="45" t="n"/>
      <c r="U740" s="43">
        <f t="shared" si="0"/>
      </c>
      <c r="V740" s="49">
        <f t="shared" si="1"/>
      </c>
      <c r="W740" s="49">
        <f t="shared" si="2"/>
      </c>
      <c r="X740" s="2">
        <f t="shared" si="3"/>
      </c>
      <c r="Y740" s="2">
        <f t="shared" si="4"/>
      </c>
      <c r="Z740" s="2">
        <f t="shared" si="5"/>
        <v>0</v>
      </c>
      <c r="AA740" s="2">
        <f t="shared" si="6"/>
        <v>0</v>
      </c>
      <c r="AB740" s="2">
        <f t="shared" si="7"/>
        <v>0</v>
      </c>
      <c r="AC740" s="2">
        <f t="shared" si="8"/>
      </c>
    </row>
    <row r="741">
      <c r="A741" s="64" t="n"/>
      <c r="B741" s="65" t="n"/>
      <c r="C741" s="65" t="n"/>
      <c r="D741" s="65" t="n"/>
      <c r="E741" s="65" t="n"/>
      <c r="F741" s="66" t="n"/>
      <c r="G741" s="65" t="n"/>
      <c r="H741" s="66" t="n"/>
      <c r="I741" s="64" t="n"/>
      <c r="J741" s="68" t="n"/>
      <c r="K741" s="68" t="n"/>
      <c r="L741" s="68" t="n"/>
      <c r="M741" s="64" t="n"/>
      <c r="N741" s="64" t="n"/>
      <c r="O741" s="64" t="n"/>
      <c r="P741" s="64" t="n"/>
      <c r="Q741" s="64" t="n"/>
      <c r="R741" s="64" t="n"/>
      <c r="S741" s="66" t="n"/>
      <c r="T741" s="45" t="n"/>
      <c r="U741" s="43">
        <f t="shared" si="0"/>
      </c>
      <c r="V741" s="49">
        <f t="shared" si="1"/>
      </c>
      <c r="W741" s="49">
        <f t="shared" si="2"/>
      </c>
      <c r="X741" s="2">
        <f t="shared" si="3"/>
      </c>
      <c r="Y741" s="2">
        <f t="shared" si="4"/>
      </c>
      <c r="Z741" s="2">
        <f t="shared" si="5"/>
        <v>0</v>
      </c>
      <c r="AA741" s="2">
        <f t="shared" si="6"/>
        <v>0</v>
      </c>
      <c r="AB741" s="2">
        <f t="shared" si="7"/>
        <v>0</v>
      </c>
      <c r="AC741" s="2">
        <f t="shared" si="8"/>
      </c>
    </row>
    <row r="742">
      <c r="A742" s="64" t="n"/>
      <c r="B742" s="65" t="n"/>
      <c r="C742" s="65" t="n"/>
      <c r="D742" s="65" t="n"/>
      <c r="E742" s="65" t="n"/>
      <c r="F742" s="66" t="n"/>
      <c r="G742" s="65" t="n"/>
      <c r="H742" s="66" t="n"/>
      <c r="I742" s="64" t="n"/>
      <c r="J742" s="68" t="n"/>
      <c r="K742" s="68" t="n"/>
      <c r="L742" s="68" t="n"/>
      <c r="M742" s="64" t="n"/>
      <c r="N742" s="64" t="n"/>
      <c r="O742" s="64" t="n"/>
      <c r="P742" s="64" t="n"/>
      <c r="Q742" s="64" t="n"/>
      <c r="R742" s="64" t="n"/>
      <c r="S742" s="66" t="n"/>
      <c r="T742" s="45" t="n"/>
      <c r="U742" s="43">
        <f t="shared" si="0"/>
      </c>
      <c r="V742" s="49">
        <f t="shared" si="1"/>
      </c>
      <c r="W742" s="49">
        <f t="shared" si="2"/>
      </c>
      <c r="X742" s="2">
        <f t="shared" si="3"/>
      </c>
      <c r="Y742" s="2">
        <f t="shared" si="4"/>
      </c>
      <c r="Z742" s="2">
        <f t="shared" si="5"/>
        <v>0</v>
      </c>
      <c r="AA742" s="2">
        <f t="shared" si="6"/>
        <v>0</v>
      </c>
      <c r="AB742" s="2">
        <f t="shared" si="7"/>
        <v>0</v>
      </c>
      <c r="AC742" s="2">
        <f t="shared" si="8"/>
      </c>
    </row>
    <row r="743">
      <c r="A743" s="64" t="n"/>
      <c r="B743" s="65" t="n"/>
      <c r="C743" s="65" t="n"/>
      <c r="D743" s="65" t="n"/>
      <c r="E743" s="65" t="n"/>
      <c r="F743" s="66" t="n"/>
      <c r="G743" s="65" t="n"/>
      <c r="H743" s="66" t="n"/>
      <c r="I743" s="64" t="n"/>
      <c r="J743" s="68" t="n"/>
      <c r="K743" s="68" t="n"/>
      <c r="L743" s="68" t="n"/>
      <c r="M743" s="64" t="n"/>
      <c r="N743" s="64" t="n"/>
      <c r="O743" s="64" t="n"/>
      <c r="P743" s="64" t="n"/>
      <c r="Q743" s="64" t="n"/>
      <c r="R743" s="64" t="n"/>
      <c r="S743" s="66" t="n"/>
      <c r="T743" s="45" t="n"/>
      <c r="U743" s="43">
        <f t="shared" si="0"/>
      </c>
      <c r="V743" s="49">
        <f t="shared" si="1"/>
      </c>
      <c r="W743" s="49">
        <f t="shared" si="2"/>
      </c>
      <c r="X743" s="2">
        <f t="shared" si="3"/>
      </c>
      <c r="Y743" s="2">
        <f t="shared" si="4"/>
      </c>
      <c r="Z743" s="2">
        <f t="shared" si="5"/>
        <v>0</v>
      </c>
      <c r="AA743" s="2">
        <f t="shared" si="6"/>
        <v>0</v>
      </c>
      <c r="AB743" s="2">
        <f t="shared" si="7"/>
        <v>0</v>
      </c>
      <c r="AC743" s="2">
        <f t="shared" si="8"/>
      </c>
    </row>
    <row r="744">
      <c r="A744" s="64" t="n"/>
      <c r="B744" s="65" t="n"/>
      <c r="C744" s="65" t="n"/>
      <c r="D744" s="65" t="n"/>
      <c r="E744" s="65" t="n"/>
      <c r="F744" s="66" t="n"/>
      <c r="G744" s="65" t="n"/>
      <c r="H744" s="66" t="n"/>
      <c r="I744" s="64" t="n"/>
      <c r="J744" s="68" t="n"/>
      <c r="K744" s="68" t="n"/>
      <c r="L744" s="68" t="n"/>
      <c r="M744" s="64" t="n"/>
      <c r="N744" s="64" t="n"/>
      <c r="O744" s="64" t="n"/>
      <c r="P744" s="64" t="n"/>
      <c r="Q744" s="64" t="n"/>
      <c r="R744" s="64" t="n"/>
      <c r="S744" s="66" t="n"/>
      <c r="T744" s="45" t="n"/>
      <c r="U744" s="43">
        <f t="shared" si="0"/>
      </c>
      <c r="V744" s="49">
        <f t="shared" si="1"/>
      </c>
      <c r="W744" s="49">
        <f t="shared" si="2"/>
      </c>
      <c r="X744" s="2">
        <f t="shared" si="3"/>
      </c>
      <c r="Y744" s="2">
        <f t="shared" si="4"/>
      </c>
      <c r="Z744" s="2">
        <f t="shared" si="5"/>
        <v>0</v>
      </c>
      <c r="AA744" s="2">
        <f t="shared" si="6"/>
        <v>0</v>
      </c>
      <c r="AB744" s="2">
        <f t="shared" si="7"/>
        <v>0</v>
      </c>
      <c r="AC744" s="2">
        <f t="shared" si="8"/>
      </c>
    </row>
    <row r="745">
      <c r="A745" s="64" t="n"/>
      <c r="B745" s="65" t="n"/>
      <c r="C745" s="65" t="n"/>
      <c r="D745" s="65" t="n"/>
      <c r="E745" s="65" t="n"/>
      <c r="F745" s="66" t="n"/>
      <c r="G745" s="65" t="n"/>
      <c r="H745" s="66" t="n"/>
      <c r="I745" s="64" t="n"/>
      <c r="J745" s="68" t="n"/>
      <c r="K745" s="68" t="n"/>
      <c r="L745" s="68" t="n"/>
      <c r="M745" s="64" t="n"/>
      <c r="N745" s="64" t="n"/>
      <c r="O745" s="64" t="n"/>
      <c r="P745" s="64" t="n"/>
      <c r="Q745" s="64" t="n"/>
      <c r="R745" s="64" t="n"/>
      <c r="S745" s="66" t="n"/>
      <c r="T745" s="45" t="n"/>
      <c r="U745" s="43">
        <f t="shared" si="0"/>
      </c>
      <c r="V745" s="49">
        <f t="shared" si="1"/>
      </c>
      <c r="W745" s="49">
        <f t="shared" si="2"/>
      </c>
      <c r="X745" s="2">
        <f t="shared" si="3"/>
      </c>
      <c r="Y745" s="2">
        <f t="shared" si="4"/>
      </c>
      <c r="Z745" s="2">
        <f t="shared" si="5"/>
        <v>0</v>
      </c>
      <c r="AA745" s="2">
        <f t="shared" si="6"/>
        <v>0</v>
      </c>
      <c r="AB745" s="2">
        <f t="shared" si="7"/>
        <v>0</v>
      </c>
      <c r="AC745" s="2">
        <f t="shared" si="8"/>
      </c>
    </row>
    <row r="746">
      <c r="A746" s="64" t="n"/>
      <c r="B746" s="65" t="n"/>
      <c r="C746" s="65" t="n"/>
      <c r="D746" s="65" t="n"/>
      <c r="E746" s="65" t="n"/>
      <c r="F746" s="66" t="n"/>
      <c r="G746" s="65" t="n"/>
      <c r="H746" s="66" t="n"/>
      <c r="I746" s="64" t="n"/>
      <c r="J746" s="68" t="n"/>
      <c r="K746" s="68" t="n"/>
      <c r="L746" s="68" t="n"/>
      <c r="M746" s="64" t="n"/>
      <c r="N746" s="64" t="n"/>
      <c r="O746" s="64" t="n"/>
      <c r="P746" s="64" t="n"/>
      <c r="Q746" s="64" t="n"/>
      <c r="R746" s="64" t="n"/>
      <c r="S746" s="66" t="n"/>
      <c r="T746" s="45" t="n"/>
      <c r="U746" s="43">
        <f t="shared" si="0"/>
      </c>
      <c r="V746" s="49">
        <f t="shared" si="1"/>
      </c>
      <c r="W746" s="49">
        <f t="shared" si="2"/>
      </c>
      <c r="X746" s="2">
        <f t="shared" si="3"/>
      </c>
      <c r="Y746" s="2">
        <f t="shared" si="4"/>
      </c>
      <c r="Z746" s="2">
        <f t="shared" si="5"/>
        <v>0</v>
      </c>
      <c r="AA746" s="2">
        <f t="shared" si="6"/>
        <v>0</v>
      </c>
      <c r="AB746" s="2">
        <f t="shared" si="7"/>
        <v>0</v>
      </c>
      <c r="AC746" s="2">
        <f t="shared" si="8"/>
      </c>
    </row>
    <row r="747">
      <c r="A747" s="64" t="n"/>
      <c r="B747" s="65" t="n"/>
      <c r="C747" s="65" t="n"/>
      <c r="D747" s="65" t="n"/>
      <c r="E747" s="65" t="n"/>
      <c r="F747" s="66" t="n"/>
      <c r="G747" s="65" t="n"/>
      <c r="H747" s="66" t="n"/>
      <c r="I747" s="64" t="n"/>
      <c r="J747" s="68" t="n"/>
      <c r="K747" s="68" t="n"/>
      <c r="L747" s="68" t="n"/>
      <c r="M747" s="64" t="n"/>
      <c r="N747" s="64" t="n"/>
      <c r="O747" s="64" t="n"/>
      <c r="P747" s="64" t="n"/>
      <c r="Q747" s="64" t="n"/>
      <c r="R747" s="64" t="n"/>
      <c r="S747" s="66" t="n"/>
      <c r="T747" s="45" t="n"/>
      <c r="U747" s="43">
        <f t="shared" si="0"/>
      </c>
      <c r="V747" s="49">
        <f t="shared" si="1"/>
      </c>
      <c r="W747" s="49">
        <f t="shared" si="2"/>
      </c>
      <c r="X747" s="2">
        <f t="shared" si="3"/>
      </c>
      <c r="Y747" s="2">
        <f t="shared" si="4"/>
      </c>
      <c r="Z747" s="2">
        <f t="shared" si="5"/>
        <v>0</v>
      </c>
      <c r="AA747" s="2">
        <f t="shared" si="6"/>
        <v>0</v>
      </c>
      <c r="AB747" s="2">
        <f t="shared" si="7"/>
        <v>0</v>
      </c>
      <c r="AC747" s="2">
        <f t="shared" si="8"/>
      </c>
    </row>
    <row r="748">
      <c r="A748" s="64" t="n"/>
      <c r="B748" s="65" t="n"/>
      <c r="C748" s="65" t="n"/>
      <c r="D748" s="65" t="n"/>
      <c r="E748" s="65" t="n"/>
      <c r="F748" s="66" t="n"/>
      <c r="G748" s="65" t="n"/>
      <c r="H748" s="66" t="n"/>
      <c r="I748" s="64" t="n"/>
      <c r="J748" s="68" t="n"/>
      <c r="K748" s="68" t="n"/>
      <c r="L748" s="68" t="n"/>
      <c r="M748" s="64" t="n"/>
      <c r="N748" s="64" t="n"/>
      <c r="O748" s="64" t="n"/>
      <c r="P748" s="64" t="n"/>
      <c r="Q748" s="64" t="n"/>
      <c r="R748" s="64" t="n"/>
      <c r="S748" s="66" t="n"/>
      <c r="T748" s="45" t="n"/>
      <c r="U748" s="43">
        <f t="shared" si="0"/>
      </c>
      <c r="V748" s="49">
        <f t="shared" si="1"/>
      </c>
      <c r="W748" s="49">
        <f t="shared" si="2"/>
      </c>
      <c r="X748" s="2">
        <f t="shared" si="3"/>
      </c>
      <c r="Y748" s="2">
        <f t="shared" si="4"/>
      </c>
      <c r="Z748" s="2">
        <f t="shared" si="5"/>
        <v>0</v>
      </c>
      <c r="AA748" s="2">
        <f t="shared" si="6"/>
        <v>0</v>
      </c>
      <c r="AB748" s="2">
        <f t="shared" si="7"/>
        <v>0</v>
      </c>
      <c r="AC748" s="2">
        <f t="shared" si="8"/>
      </c>
    </row>
    <row r="749">
      <c r="A749" s="64" t="n"/>
      <c r="B749" s="65" t="n"/>
      <c r="C749" s="65" t="n"/>
      <c r="D749" s="65" t="n"/>
      <c r="E749" s="65" t="n"/>
      <c r="F749" s="66" t="n"/>
      <c r="G749" s="65" t="n"/>
      <c r="H749" s="66" t="n"/>
      <c r="I749" s="64" t="n"/>
      <c r="J749" s="68" t="n"/>
      <c r="K749" s="68" t="n"/>
      <c r="L749" s="68" t="n"/>
      <c r="M749" s="64" t="n"/>
      <c r="N749" s="64" t="n"/>
      <c r="O749" s="64" t="n"/>
      <c r="P749" s="64" t="n"/>
      <c r="Q749" s="64" t="n"/>
      <c r="R749" s="64" t="n"/>
      <c r="S749" s="66" t="n"/>
      <c r="T749" s="45" t="n"/>
      <c r="U749" s="43">
        <f t="shared" si="0"/>
      </c>
      <c r="V749" s="49">
        <f t="shared" si="1"/>
      </c>
      <c r="W749" s="49">
        <f t="shared" si="2"/>
      </c>
      <c r="X749" s="2">
        <f t="shared" si="3"/>
      </c>
      <c r="Y749" s="2">
        <f t="shared" si="4"/>
      </c>
      <c r="Z749" s="2">
        <f t="shared" si="5"/>
        <v>0</v>
      </c>
      <c r="AA749" s="2">
        <f t="shared" si="6"/>
        <v>0</v>
      </c>
      <c r="AB749" s="2">
        <f t="shared" si="7"/>
        <v>0</v>
      </c>
      <c r="AC749" s="2">
        <f t="shared" si="8"/>
      </c>
    </row>
    <row r="750">
      <c r="A750" s="64" t="n"/>
      <c r="B750" s="65" t="n"/>
      <c r="C750" s="65" t="n"/>
      <c r="D750" s="65" t="n"/>
      <c r="E750" s="65" t="n"/>
      <c r="F750" s="66" t="n"/>
      <c r="G750" s="65" t="n"/>
      <c r="H750" s="66" t="n"/>
      <c r="I750" s="64" t="n"/>
      <c r="J750" s="68" t="n"/>
      <c r="K750" s="68" t="n"/>
      <c r="L750" s="68" t="n"/>
      <c r="M750" s="64" t="n"/>
      <c r="N750" s="64" t="n"/>
      <c r="O750" s="64" t="n"/>
      <c r="P750" s="64" t="n"/>
      <c r="Q750" s="64" t="n"/>
      <c r="R750" s="64" t="n"/>
      <c r="S750" s="66" t="n"/>
      <c r="T750" s="45" t="n"/>
      <c r="U750" s="43">
        <f t="shared" si="0"/>
      </c>
      <c r="V750" s="49">
        <f t="shared" si="1"/>
      </c>
      <c r="W750" s="49">
        <f t="shared" si="2"/>
      </c>
      <c r="X750" s="2">
        <f t="shared" si="3"/>
      </c>
      <c r="Y750" s="2">
        <f t="shared" si="4"/>
      </c>
      <c r="Z750" s="2">
        <f t="shared" si="5"/>
        <v>0</v>
      </c>
      <c r="AA750" s="2">
        <f t="shared" si="6"/>
        <v>0</v>
      </c>
      <c r="AB750" s="2">
        <f t="shared" si="7"/>
        <v>0</v>
      </c>
      <c r="AC750" s="2">
        <f t="shared" si="8"/>
      </c>
    </row>
    <row r="751">
      <c r="A751" s="64" t="n"/>
      <c r="B751" s="65" t="n"/>
      <c r="C751" s="65" t="n"/>
      <c r="D751" s="65" t="n"/>
      <c r="E751" s="65" t="n"/>
      <c r="F751" s="66" t="n"/>
      <c r="G751" s="65" t="n"/>
      <c r="H751" s="66" t="n"/>
      <c r="I751" s="64" t="n"/>
      <c r="J751" s="68" t="n"/>
      <c r="K751" s="68" t="n"/>
      <c r="L751" s="68" t="n"/>
      <c r="M751" s="64" t="n"/>
      <c r="N751" s="64" t="n"/>
      <c r="O751" s="64" t="n"/>
      <c r="P751" s="64" t="n"/>
      <c r="Q751" s="64" t="n"/>
      <c r="R751" s="64" t="n"/>
      <c r="S751" s="66" t="n"/>
      <c r="T751" s="45" t="n"/>
      <c r="U751" s="43">
        <f t="shared" si="0"/>
      </c>
      <c r="V751" s="49">
        <f t="shared" si="1"/>
      </c>
      <c r="W751" s="49">
        <f t="shared" si="2"/>
      </c>
      <c r="X751" s="2">
        <f t="shared" si="3"/>
      </c>
      <c r="Y751" s="2">
        <f t="shared" si="4"/>
      </c>
      <c r="Z751" s="2">
        <f t="shared" si="5"/>
        <v>0</v>
      </c>
      <c r="AA751" s="2">
        <f t="shared" si="6"/>
        <v>0</v>
      </c>
      <c r="AB751" s="2">
        <f t="shared" si="7"/>
        <v>0</v>
      </c>
      <c r="AC751" s="2">
        <f t="shared" si="8"/>
      </c>
    </row>
    <row r="752">
      <c r="A752" s="64" t="n"/>
      <c r="B752" s="65" t="n"/>
      <c r="C752" s="65" t="n"/>
      <c r="D752" s="65" t="n"/>
      <c r="E752" s="65" t="n"/>
      <c r="F752" s="66" t="n"/>
      <c r="G752" s="65" t="n"/>
      <c r="H752" s="66" t="n"/>
      <c r="I752" s="64" t="n"/>
      <c r="J752" s="68" t="n"/>
      <c r="K752" s="68" t="n"/>
      <c r="L752" s="68" t="n"/>
      <c r="M752" s="64" t="n"/>
      <c r="N752" s="64" t="n"/>
      <c r="O752" s="64" t="n"/>
      <c r="P752" s="64" t="n"/>
      <c r="Q752" s="64" t="n"/>
      <c r="R752" s="64" t="n"/>
      <c r="S752" s="66" t="n"/>
      <c r="T752" s="45" t="n"/>
      <c r="U752" s="43">
        <f t="shared" si="0"/>
      </c>
      <c r="V752" s="49">
        <f t="shared" si="1"/>
      </c>
      <c r="W752" s="49">
        <f t="shared" si="2"/>
      </c>
      <c r="X752" s="2">
        <f t="shared" si="3"/>
      </c>
      <c r="Y752" s="2">
        <f t="shared" si="4"/>
      </c>
      <c r="Z752" s="2">
        <f t="shared" si="5"/>
        <v>0</v>
      </c>
      <c r="AA752" s="2">
        <f t="shared" si="6"/>
        <v>0</v>
      </c>
      <c r="AB752" s="2">
        <f t="shared" si="7"/>
        <v>0</v>
      </c>
      <c r="AC752" s="2">
        <f t="shared" si="8"/>
      </c>
    </row>
    <row r="753">
      <c r="A753" s="64" t="n"/>
      <c r="B753" s="65" t="n"/>
      <c r="C753" s="65" t="n"/>
      <c r="D753" s="65" t="n"/>
      <c r="E753" s="65" t="n"/>
      <c r="F753" s="66" t="n"/>
      <c r="G753" s="65" t="n"/>
      <c r="H753" s="66" t="n"/>
      <c r="I753" s="64" t="n"/>
      <c r="J753" s="68" t="n"/>
      <c r="K753" s="68" t="n"/>
      <c r="L753" s="68" t="n"/>
      <c r="M753" s="64" t="n"/>
      <c r="N753" s="64" t="n"/>
      <c r="O753" s="64" t="n"/>
      <c r="P753" s="64" t="n"/>
      <c r="Q753" s="64" t="n"/>
      <c r="R753" s="64" t="n"/>
      <c r="S753" s="66" t="n"/>
      <c r="T753" s="45" t="n"/>
      <c r="U753" s="43">
        <f t="shared" si="0"/>
      </c>
      <c r="V753" s="49">
        <f t="shared" si="1"/>
      </c>
      <c r="W753" s="49">
        <f t="shared" si="2"/>
      </c>
      <c r="X753" s="2">
        <f t="shared" si="3"/>
      </c>
      <c r="Y753" s="2">
        <f t="shared" si="4"/>
      </c>
      <c r="Z753" s="2">
        <f t="shared" si="5"/>
        <v>0</v>
      </c>
      <c r="AA753" s="2">
        <f t="shared" si="6"/>
        <v>0</v>
      </c>
      <c r="AB753" s="2">
        <f t="shared" si="7"/>
        <v>0</v>
      </c>
      <c r="AC753" s="2">
        <f t="shared" si="8"/>
      </c>
    </row>
    <row r="754">
      <c r="A754" s="64" t="n"/>
      <c r="B754" s="65" t="n"/>
      <c r="C754" s="65" t="n"/>
      <c r="D754" s="65" t="n"/>
      <c r="E754" s="65" t="n"/>
      <c r="F754" s="66" t="n"/>
      <c r="G754" s="65" t="n"/>
      <c r="H754" s="66" t="n"/>
      <c r="I754" s="64" t="n"/>
      <c r="J754" s="68" t="n"/>
      <c r="K754" s="68" t="n"/>
      <c r="L754" s="68" t="n"/>
      <c r="M754" s="64" t="n"/>
      <c r="N754" s="64" t="n"/>
      <c r="O754" s="64" t="n"/>
      <c r="P754" s="64" t="n"/>
      <c r="Q754" s="64" t="n"/>
      <c r="R754" s="64" t="n"/>
      <c r="S754" s="66" t="n"/>
      <c r="T754" s="45" t="n"/>
      <c r="U754" s="43">
        <f t="shared" si="0"/>
      </c>
      <c r="V754" s="49">
        <f t="shared" si="1"/>
      </c>
      <c r="W754" s="49">
        <f t="shared" si="2"/>
      </c>
      <c r="X754" s="2">
        <f t="shared" si="3"/>
      </c>
      <c r="Y754" s="2">
        <f t="shared" si="4"/>
      </c>
      <c r="Z754" s="2">
        <f t="shared" si="5"/>
        <v>0</v>
      </c>
      <c r="AA754" s="2">
        <f t="shared" si="6"/>
        <v>0</v>
      </c>
      <c r="AB754" s="2">
        <f t="shared" si="7"/>
        <v>0</v>
      </c>
      <c r="AC754" s="2">
        <f t="shared" si="8"/>
      </c>
    </row>
    <row r="755">
      <c r="A755" s="64" t="n"/>
      <c r="B755" s="65" t="n"/>
      <c r="C755" s="65" t="n"/>
      <c r="D755" s="65" t="n"/>
      <c r="E755" s="65" t="n"/>
      <c r="F755" s="66" t="n"/>
      <c r="G755" s="65" t="n"/>
      <c r="H755" s="66" t="n"/>
      <c r="I755" s="64" t="n"/>
      <c r="J755" s="68" t="n"/>
      <c r="K755" s="68" t="n"/>
      <c r="L755" s="68" t="n"/>
      <c r="M755" s="64" t="n"/>
      <c r="N755" s="64" t="n"/>
      <c r="O755" s="64" t="n"/>
      <c r="P755" s="64" t="n"/>
      <c r="Q755" s="64" t="n"/>
      <c r="R755" s="64" t="n"/>
      <c r="S755" s="66" t="n"/>
      <c r="T755" s="45" t="n"/>
      <c r="U755" s="43">
        <f t="shared" si="0"/>
      </c>
      <c r="V755" s="49">
        <f t="shared" si="1"/>
      </c>
      <c r="W755" s="49">
        <f t="shared" si="2"/>
      </c>
      <c r="X755" s="2">
        <f t="shared" si="3"/>
      </c>
      <c r="Y755" s="2">
        <f t="shared" si="4"/>
      </c>
      <c r="Z755" s="2">
        <f t="shared" si="5"/>
        <v>0</v>
      </c>
      <c r="AA755" s="2">
        <f t="shared" si="6"/>
        <v>0</v>
      </c>
      <c r="AB755" s="2">
        <f t="shared" si="7"/>
        <v>0</v>
      </c>
      <c r="AC755" s="2">
        <f t="shared" si="8"/>
      </c>
    </row>
    <row r="756">
      <c r="A756" s="64" t="n"/>
      <c r="B756" s="65" t="n"/>
      <c r="C756" s="65" t="n"/>
      <c r="D756" s="65" t="n"/>
      <c r="E756" s="65" t="n"/>
      <c r="F756" s="66" t="n"/>
      <c r="G756" s="65" t="n"/>
      <c r="H756" s="66" t="n"/>
      <c r="I756" s="64" t="n"/>
      <c r="J756" s="68" t="n"/>
      <c r="K756" s="68" t="n"/>
      <c r="L756" s="68" t="n"/>
      <c r="M756" s="64" t="n"/>
      <c r="N756" s="64" t="n"/>
      <c r="O756" s="64" t="n"/>
      <c r="P756" s="64" t="n"/>
      <c r="Q756" s="64" t="n"/>
      <c r="R756" s="64" t="n"/>
      <c r="S756" s="66" t="n"/>
      <c r="T756" s="45" t="n"/>
      <c r="U756" s="43">
        <f t="shared" si="0"/>
      </c>
      <c r="V756" s="49">
        <f t="shared" si="1"/>
      </c>
      <c r="W756" s="49">
        <f t="shared" si="2"/>
      </c>
      <c r="X756" s="2">
        <f t="shared" si="3"/>
      </c>
      <c r="Y756" s="2">
        <f t="shared" si="4"/>
      </c>
      <c r="Z756" s="2">
        <f t="shared" si="5"/>
        <v>0</v>
      </c>
      <c r="AA756" s="2">
        <f t="shared" si="6"/>
        <v>0</v>
      </c>
      <c r="AB756" s="2">
        <f t="shared" si="7"/>
        <v>0</v>
      </c>
      <c r="AC756" s="2">
        <f t="shared" si="8"/>
      </c>
    </row>
    <row r="757">
      <c r="A757" s="64" t="n"/>
      <c r="B757" s="65" t="n"/>
      <c r="C757" s="65" t="n"/>
      <c r="D757" s="65" t="n"/>
      <c r="E757" s="65" t="n"/>
      <c r="F757" s="66" t="n"/>
      <c r="G757" s="65" t="n"/>
      <c r="H757" s="66" t="n"/>
      <c r="I757" s="64" t="n"/>
      <c r="J757" s="68" t="n"/>
      <c r="K757" s="68" t="n"/>
      <c r="L757" s="68" t="n"/>
      <c r="M757" s="64" t="n"/>
      <c r="N757" s="64" t="n"/>
      <c r="O757" s="64" t="n"/>
      <c r="P757" s="64" t="n"/>
      <c r="Q757" s="64" t="n"/>
      <c r="R757" s="64" t="n"/>
      <c r="S757" s="66" t="n"/>
      <c r="T757" s="45" t="n"/>
      <c r="U757" s="43">
        <f t="shared" si="0"/>
      </c>
      <c r="V757" s="49">
        <f t="shared" si="1"/>
      </c>
      <c r="W757" s="49">
        <f t="shared" si="2"/>
      </c>
      <c r="X757" s="2">
        <f t="shared" si="3"/>
      </c>
      <c r="Y757" s="2">
        <f t="shared" si="4"/>
      </c>
      <c r="Z757" s="2">
        <f t="shared" si="5"/>
        <v>0</v>
      </c>
      <c r="AA757" s="2">
        <f t="shared" si="6"/>
        <v>0</v>
      </c>
      <c r="AB757" s="2">
        <f t="shared" si="7"/>
        <v>0</v>
      </c>
      <c r="AC757" s="2">
        <f t="shared" si="8"/>
      </c>
    </row>
    <row r="758">
      <c r="A758" s="64" t="n"/>
      <c r="B758" s="65" t="n"/>
      <c r="C758" s="65" t="n"/>
      <c r="D758" s="65" t="n"/>
      <c r="E758" s="65" t="n"/>
      <c r="F758" s="66" t="n"/>
      <c r="G758" s="65" t="n"/>
      <c r="H758" s="66" t="n"/>
      <c r="I758" s="64" t="n"/>
      <c r="J758" s="68" t="n"/>
      <c r="K758" s="68" t="n"/>
      <c r="L758" s="68" t="n"/>
      <c r="M758" s="64" t="n"/>
      <c r="N758" s="64" t="n"/>
      <c r="O758" s="64" t="n"/>
      <c r="P758" s="64" t="n"/>
      <c r="Q758" s="64" t="n"/>
      <c r="R758" s="64" t="n"/>
      <c r="S758" s="66" t="n"/>
      <c r="T758" s="45" t="n"/>
      <c r="U758" s="43">
        <f t="shared" si="0"/>
      </c>
      <c r="V758" s="49">
        <f t="shared" si="1"/>
      </c>
      <c r="W758" s="49">
        <f t="shared" si="2"/>
      </c>
      <c r="X758" s="2">
        <f t="shared" si="3"/>
      </c>
      <c r="Y758" s="2">
        <f t="shared" si="4"/>
      </c>
      <c r="Z758" s="2">
        <f t="shared" si="5"/>
        <v>0</v>
      </c>
      <c r="AA758" s="2">
        <f t="shared" si="6"/>
        <v>0</v>
      </c>
      <c r="AB758" s="2">
        <f t="shared" si="7"/>
        <v>0</v>
      </c>
      <c r="AC758" s="2">
        <f t="shared" si="8"/>
      </c>
    </row>
    <row r="759">
      <c r="A759" s="64" t="n"/>
      <c r="B759" s="65" t="n"/>
      <c r="C759" s="65" t="n"/>
      <c r="D759" s="65" t="n"/>
      <c r="E759" s="65" t="n"/>
      <c r="F759" s="66" t="n"/>
      <c r="G759" s="65" t="n"/>
      <c r="H759" s="66" t="n"/>
      <c r="I759" s="64" t="n"/>
      <c r="J759" s="68" t="n"/>
      <c r="K759" s="68" t="n"/>
      <c r="L759" s="68" t="n"/>
      <c r="M759" s="64" t="n"/>
      <c r="N759" s="64" t="n"/>
      <c r="O759" s="64" t="n"/>
      <c r="P759" s="64" t="n"/>
      <c r="Q759" s="64" t="n"/>
      <c r="R759" s="64" t="n"/>
      <c r="S759" s="66" t="n"/>
      <c r="T759" s="45" t="n"/>
      <c r="U759" s="43">
        <f t="shared" si="0"/>
      </c>
      <c r="V759" s="49">
        <f t="shared" si="1"/>
      </c>
      <c r="W759" s="49">
        <f t="shared" si="2"/>
      </c>
      <c r="X759" s="2">
        <f t="shared" si="3"/>
      </c>
      <c r="Y759" s="2">
        <f t="shared" si="4"/>
      </c>
      <c r="Z759" s="2">
        <f t="shared" si="5"/>
        <v>0</v>
      </c>
      <c r="AA759" s="2">
        <f t="shared" si="6"/>
        <v>0</v>
      </c>
      <c r="AB759" s="2">
        <f t="shared" si="7"/>
        <v>0</v>
      </c>
      <c r="AC759" s="2">
        <f t="shared" si="8"/>
      </c>
    </row>
    <row r="760">
      <c r="A760" s="64" t="n"/>
      <c r="B760" s="65" t="n"/>
      <c r="C760" s="65" t="n"/>
      <c r="D760" s="65" t="n"/>
      <c r="E760" s="65" t="n"/>
      <c r="F760" s="66" t="n"/>
      <c r="G760" s="65" t="n"/>
      <c r="H760" s="66" t="n"/>
      <c r="I760" s="64" t="n"/>
      <c r="J760" s="68" t="n"/>
      <c r="K760" s="68" t="n"/>
      <c r="L760" s="68" t="n"/>
      <c r="M760" s="64" t="n"/>
      <c r="N760" s="64" t="n"/>
      <c r="O760" s="64" t="n"/>
      <c r="P760" s="64" t="n"/>
      <c r="Q760" s="64" t="n"/>
      <c r="R760" s="64" t="n"/>
      <c r="S760" s="66" t="n"/>
      <c r="T760" s="45" t="n"/>
      <c r="U760" s="43">
        <f t="shared" si="0"/>
      </c>
      <c r="V760" s="49">
        <f t="shared" si="1"/>
      </c>
      <c r="W760" s="49">
        <f t="shared" si="2"/>
      </c>
      <c r="X760" s="2">
        <f t="shared" si="3"/>
      </c>
      <c r="Y760" s="2">
        <f t="shared" si="4"/>
      </c>
      <c r="Z760" s="2">
        <f t="shared" si="5"/>
        <v>0</v>
      </c>
      <c r="AA760" s="2">
        <f t="shared" si="6"/>
        <v>0</v>
      </c>
      <c r="AB760" s="2">
        <f t="shared" si="7"/>
        <v>0</v>
      </c>
      <c r="AC760" s="2">
        <f t="shared" si="8"/>
      </c>
    </row>
    <row r="761">
      <c r="A761" s="64" t="n"/>
      <c r="B761" s="65" t="n"/>
      <c r="C761" s="65" t="n"/>
      <c r="D761" s="65" t="n"/>
      <c r="E761" s="65" t="n"/>
      <c r="F761" s="66" t="n"/>
      <c r="G761" s="65" t="n"/>
      <c r="H761" s="66" t="n"/>
      <c r="I761" s="64" t="n"/>
      <c r="J761" s="68" t="n"/>
      <c r="K761" s="68" t="n"/>
      <c r="L761" s="68" t="n"/>
      <c r="M761" s="64" t="n"/>
      <c r="N761" s="64" t="n"/>
      <c r="O761" s="64" t="n"/>
      <c r="P761" s="64" t="n"/>
      <c r="Q761" s="64" t="n"/>
      <c r="R761" s="64" t="n"/>
      <c r="S761" s="66" t="n"/>
      <c r="T761" s="45" t="n"/>
      <c r="U761" s="43">
        <f t="shared" si="0"/>
      </c>
      <c r="V761" s="49">
        <f t="shared" si="1"/>
      </c>
      <c r="W761" s="49">
        <f t="shared" si="2"/>
      </c>
      <c r="X761" s="2">
        <f t="shared" si="3"/>
      </c>
      <c r="Y761" s="2">
        <f t="shared" si="4"/>
      </c>
      <c r="Z761" s="2">
        <f t="shared" si="5"/>
        <v>0</v>
      </c>
      <c r="AA761" s="2">
        <f t="shared" si="6"/>
        <v>0</v>
      </c>
      <c r="AB761" s="2">
        <f t="shared" si="7"/>
        <v>0</v>
      </c>
      <c r="AC761" s="2">
        <f t="shared" si="8"/>
      </c>
    </row>
    <row r="762">
      <c r="A762" s="64" t="n"/>
      <c r="B762" s="65" t="n"/>
      <c r="C762" s="65" t="n"/>
      <c r="D762" s="65" t="n"/>
      <c r="E762" s="65" t="n"/>
      <c r="F762" s="66" t="n"/>
      <c r="G762" s="65" t="n"/>
      <c r="H762" s="66" t="n"/>
      <c r="I762" s="64" t="n"/>
      <c r="J762" s="68" t="n"/>
      <c r="K762" s="68" t="n"/>
      <c r="L762" s="68" t="n"/>
      <c r="M762" s="64" t="n"/>
      <c r="N762" s="64" t="n"/>
      <c r="O762" s="64" t="n"/>
      <c r="P762" s="64" t="n"/>
      <c r="Q762" s="64" t="n"/>
      <c r="R762" s="64" t="n"/>
      <c r="S762" s="66" t="n"/>
      <c r="T762" s="45" t="n"/>
      <c r="U762" s="43">
        <f t="shared" si="0"/>
      </c>
      <c r="V762" s="49">
        <f t="shared" si="1"/>
      </c>
      <c r="W762" s="49">
        <f t="shared" si="2"/>
      </c>
      <c r="X762" s="2">
        <f t="shared" si="3"/>
      </c>
      <c r="Y762" s="2">
        <f t="shared" si="4"/>
      </c>
      <c r="Z762" s="2">
        <f t="shared" si="5"/>
        <v>0</v>
      </c>
      <c r="AA762" s="2">
        <f t="shared" si="6"/>
        <v>0</v>
      </c>
      <c r="AB762" s="2">
        <f t="shared" si="7"/>
        <v>0</v>
      </c>
      <c r="AC762" s="2">
        <f t="shared" si="8"/>
      </c>
    </row>
    <row r="763">
      <c r="A763" s="64" t="n"/>
      <c r="B763" s="65" t="n"/>
      <c r="C763" s="65" t="n"/>
      <c r="D763" s="65" t="n"/>
      <c r="E763" s="65" t="n"/>
      <c r="F763" s="66" t="n"/>
      <c r="G763" s="65" t="n"/>
      <c r="H763" s="66" t="n"/>
      <c r="I763" s="64" t="n"/>
      <c r="J763" s="68" t="n"/>
      <c r="K763" s="68" t="n"/>
      <c r="L763" s="68" t="n"/>
      <c r="M763" s="64" t="n"/>
      <c r="N763" s="64" t="n"/>
      <c r="O763" s="64" t="n"/>
      <c r="P763" s="64" t="n"/>
      <c r="Q763" s="64" t="n"/>
      <c r="R763" s="64" t="n"/>
      <c r="S763" s="66" t="n"/>
      <c r="T763" s="45" t="n"/>
      <c r="U763" s="43">
        <f t="shared" si="0"/>
      </c>
      <c r="V763" s="49">
        <f t="shared" si="1"/>
      </c>
      <c r="W763" s="49">
        <f t="shared" si="2"/>
      </c>
      <c r="X763" s="2">
        <f t="shared" si="3"/>
      </c>
      <c r="Y763" s="2">
        <f t="shared" si="4"/>
      </c>
      <c r="Z763" s="2">
        <f t="shared" si="5"/>
        <v>0</v>
      </c>
      <c r="AA763" s="2">
        <f t="shared" si="6"/>
        <v>0</v>
      </c>
      <c r="AB763" s="2">
        <f t="shared" si="7"/>
        <v>0</v>
      </c>
      <c r="AC763" s="2">
        <f t="shared" si="8"/>
      </c>
    </row>
    <row r="764">
      <c r="A764" s="64" t="n"/>
      <c r="B764" s="65" t="n"/>
      <c r="C764" s="65" t="n"/>
      <c r="D764" s="65" t="n"/>
      <c r="E764" s="65" t="n"/>
      <c r="F764" s="66" t="n"/>
      <c r="G764" s="65" t="n"/>
      <c r="H764" s="66" t="n"/>
      <c r="I764" s="64" t="n"/>
      <c r="J764" s="68" t="n"/>
      <c r="K764" s="68" t="n"/>
      <c r="L764" s="68" t="n"/>
      <c r="M764" s="64" t="n"/>
      <c r="N764" s="64" t="n"/>
      <c r="O764" s="64" t="n"/>
      <c r="P764" s="64" t="n"/>
      <c r="Q764" s="64" t="n"/>
      <c r="R764" s="64" t="n"/>
      <c r="S764" s="66" t="n"/>
      <c r="T764" s="45" t="n"/>
      <c r="U764" s="43">
        <f t="shared" si="0"/>
      </c>
      <c r="V764" s="49">
        <f t="shared" si="1"/>
      </c>
      <c r="W764" s="49">
        <f t="shared" si="2"/>
      </c>
      <c r="X764" s="2">
        <f t="shared" si="3"/>
      </c>
      <c r="Y764" s="2">
        <f t="shared" si="4"/>
      </c>
      <c r="Z764" s="2">
        <f t="shared" si="5"/>
        <v>0</v>
      </c>
      <c r="AA764" s="2">
        <f t="shared" si="6"/>
        <v>0</v>
      </c>
      <c r="AB764" s="2">
        <f t="shared" si="7"/>
        <v>0</v>
      </c>
      <c r="AC764" s="2">
        <f t="shared" si="8"/>
      </c>
    </row>
    <row r="765">
      <c r="A765" s="64" t="n"/>
      <c r="B765" s="65" t="n"/>
      <c r="C765" s="65" t="n"/>
      <c r="D765" s="65" t="n"/>
      <c r="E765" s="65" t="n"/>
      <c r="F765" s="66" t="n"/>
      <c r="G765" s="65" t="n"/>
      <c r="H765" s="66" t="n"/>
      <c r="I765" s="64" t="n"/>
      <c r="J765" s="68" t="n"/>
      <c r="K765" s="68" t="n"/>
      <c r="L765" s="68" t="n"/>
      <c r="M765" s="64" t="n"/>
      <c r="N765" s="64" t="n"/>
      <c r="O765" s="64" t="n"/>
      <c r="P765" s="64" t="n"/>
      <c r="Q765" s="64" t="n"/>
      <c r="R765" s="64" t="n"/>
      <c r="S765" s="66" t="n"/>
      <c r="T765" s="45" t="n"/>
      <c r="U765" s="43">
        <f t="shared" si="0"/>
      </c>
      <c r="V765" s="49">
        <f t="shared" si="1"/>
      </c>
      <c r="W765" s="49">
        <f t="shared" si="2"/>
      </c>
      <c r="X765" s="2">
        <f t="shared" si="3"/>
      </c>
      <c r="Y765" s="2">
        <f t="shared" si="4"/>
      </c>
      <c r="Z765" s="2">
        <f t="shared" si="5"/>
        <v>0</v>
      </c>
      <c r="AA765" s="2">
        <f t="shared" si="6"/>
        <v>0</v>
      </c>
      <c r="AB765" s="2">
        <f t="shared" si="7"/>
        <v>0</v>
      </c>
      <c r="AC765" s="2">
        <f t="shared" si="8"/>
      </c>
    </row>
    <row r="766">
      <c r="A766" s="64" t="n"/>
      <c r="B766" s="65" t="n"/>
      <c r="C766" s="65" t="n"/>
      <c r="D766" s="65" t="n"/>
      <c r="E766" s="65" t="n"/>
      <c r="F766" s="66" t="n"/>
      <c r="G766" s="65" t="n"/>
      <c r="H766" s="66" t="n"/>
      <c r="I766" s="64" t="n"/>
      <c r="J766" s="68" t="n"/>
      <c r="K766" s="68" t="n"/>
      <c r="L766" s="68" t="n"/>
      <c r="M766" s="64" t="n"/>
      <c r="N766" s="64" t="n"/>
      <c r="O766" s="64" t="n"/>
      <c r="P766" s="64" t="n"/>
      <c r="Q766" s="64" t="n"/>
      <c r="R766" s="64" t="n"/>
      <c r="S766" s="66" t="n"/>
      <c r="T766" s="45" t="n"/>
      <c r="U766" s="43">
        <f t="shared" si="0"/>
      </c>
      <c r="V766" s="49">
        <f t="shared" si="1"/>
      </c>
      <c r="W766" s="49">
        <f t="shared" si="2"/>
      </c>
      <c r="X766" s="2">
        <f t="shared" si="3"/>
      </c>
      <c r="Y766" s="2">
        <f t="shared" si="4"/>
      </c>
      <c r="Z766" s="2">
        <f t="shared" si="5"/>
        <v>0</v>
      </c>
      <c r="AA766" s="2">
        <f t="shared" si="6"/>
        <v>0</v>
      </c>
      <c r="AB766" s="2">
        <f t="shared" si="7"/>
        <v>0</v>
      </c>
      <c r="AC766" s="2">
        <f t="shared" si="8"/>
      </c>
    </row>
    <row r="767">
      <c r="A767" s="64" t="n"/>
      <c r="B767" s="65" t="n"/>
      <c r="C767" s="65" t="n"/>
      <c r="D767" s="65" t="n"/>
      <c r="E767" s="65" t="n"/>
      <c r="F767" s="66" t="n"/>
      <c r="G767" s="65" t="n"/>
      <c r="H767" s="66" t="n"/>
      <c r="I767" s="64" t="n"/>
      <c r="J767" s="68" t="n"/>
      <c r="K767" s="68" t="n"/>
      <c r="L767" s="68" t="n"/>
      <c r="M767" s="64" t="n"/>
      <c r="N767" s="64" t="n"/>
      <c r="O767" s="64" t="n"/>
      <c r="P767" s="64" t="n"/>
      <c r="Q767" s="64" t="n"/>
      <c r="R767" s="64" t="n"/>
      <c r="S767" s="66" t="n"/>
      <c r="T767" s="45" t="n"/>
      <c r="U767" s="43">
        <f t="shared" si="0"/>
      </c>
      <c r="V767" s="49">
        <f t="shared" si="1"/>
      </c>
      <c r="W767" s="49">
        <f t="shared" si="2"/>
      </c>
      <c r="X767" s="2">
        <f t="shared" si="3"/>
      </c>
      <c r="Y767" s="2">
        <f t="shared" si="4"/>
      </c>
      <c r="Z767" s="2">
        <f t="shared" si="5"/>
        <v>0</v>
      </c>
      <c r="AA767" s="2">
        <f t="shared" si="6"/>
        <v>0</v>
      </c>
      <c r="AB767" s="2">
        <f t="shared" si="7"/>
        <v>0</v>
      </c>
      <c r="AC767" s="2">
        <f t="shared" si="8"/>
      </c>
    </row>
    <row r="768">
      <c r="A768" s="64" t="n"/>
      <c r="B768" s="65" t="n"/>
      <c r="C768" s="65" t="n"/>
      <c r="D768" s="65" t="n"/>
      <c r="E768" s="65" t="n"/>
      <c r="F768" s="66" t="n"/>
      <c r="G768" s="65" t="n"/>
      <c r="H768" s="66" t="n"/>
      <c r="I768" s="64" t="n"/>
      <c r="J768" s="68" t="n"/>
      <c r="K768" s="68" t="n"/>
      <c r="L768" s="68" t="n"/>
      <c r="M768" s="64" t="n"/>
      <c r="N768" s="64" t="n"/>
      <c r="O768" s="64" t="n"/>
      <c r="P768" s="64" t="n"/>
      <c r="Q768" s="64" t="n"/>
      <c r="R768" s="64" t="n"/>
      <c r="S768" s="66" t="n"/>
      <c r="T768" s="45" t="n"/>
      <c r="U768" s="43">
        <f t="shared" si="0"/>
      </c>
      <c r="V768" s="49">
        <f t="shared" si="1"/>
      </c>
      <c r="W768" s="49">
        <f t="shared" si="2"/>
      </c>
      <c r="X768" s="2">
        <f t="shared" si="3"/>
      </c>
      <c r="Y768" s="2">
        <f t="shared" si="4"/>
      </c>
      <c r="Z768" s="2">
        <f t="shared" si="5"/>
        <v>0</v>
      </c>
      <c r="AA768" s="2">
        <f t="shared" si="6"/>
        <v>0</v>
      </c>
      <c r="AB768" s="2">
        <f t="shared" si="7"/>
        <v>0</v>
      </c>
      <c r="AC768" s="2">
        <f t="shared" si="8"/>
      </c>
    </row>
    <row r="769">
      <c r="A769" s="64" t="n"/>
      <c r="B769" s="65" t="n"/>
      <c r="C769" s="65" t="n"/>
      <c r="D769" s="65" t="n"/>
      <c r="E769" s="65" t="n"/>
      <c r="F769" s="66" t="n"/>
      <c r="G769" s="65" t="n"/>
      <c r="H769" s="66" t="n"/>
      <c r="I769" s="64" t="n"/>
      <c r="J769" s="68" t="n"/>
      <c r="K769" s="68" t="n"/>
      <c r="L769" s="68" t="n"/>
      <c r="M769" s="64" t="n"/>
      <c r="N769" s="64" t="n"/>
      <c r="O769" s="64" t="n"/>
      <c r="P769" s="64" t="n"/>
      <c r="Q769" s="64" t="n"/>
      <c r="R769" s="64" t="n"/>
      <c r="S769" s="66" t="n"/>
      <c r="T769" s="45" t="n"/>
      <c r="U769" s="43">
        <f t="shared" si="0"/>
      </c>
      <c r="V769" s="49">
        <f t="shared" si="1"/>
      </c>
      <c r="W769" s="49">
        <f t="shared" si="2"/>
      </c>
      <c r="X769" s="2">
        <f t="shared" si="3"/>
      </c>
      <c r="Y769" s="2">
        <f t="shared" si="4"/>
      </c>
      <c r="Z769" s="2">
        <f t="shared" si="5"/>
        <v>0</v>
      </c>
      <c r="AA769" s="2">
        <f t="shared" si="6"/>
        <v>0</v>
      </c>
      <c r="AB769" s="2">
        <f t="shared" si="7"/>
        <v>0</v>
      </c>
      <c r="AC769" s="2">
        <f t="shared" si="8"/>
      </c>
    </row>
    <row r="770">
      <c r="A770" s="64" t="n"/>
      <c r="B770" s="65" t="n"/>
      <c r="C770" s="65" t="n"/>
      <c r="D770" s="65" t="n"/>
      <c r="E770" s="65" t="n"/>
      <c r="F770" s="66" t="n"/>
      <c r="G770" s="65" t="n"/>
      <c r="H770" s="66" t="n"/>
      <c r="I770" s="64" t="n"/>
      <c r="J770" s="68" t="n"/>
      <c r="K770" s="68" t="n"/>
      <c r="L770" s="68" t="n"/>
      <c r="M770" s="64" t="n"/>
      <c r="N770" s="64" t="n"/>
      <c r="O770" s="64" t="n"/>
      <c r="P770" s="64" t="n"/>
      <c r="Q770" s="64" t="n"/>
      <c r="R770" s="64" t="n"/>
      <c r="S770" s="66" t="n"/>
      <c r="T770" s="45" t="n"/>
      <c r="U770" s="43">
        <f t="shared" si="0"/>
      </c>
      <c r="V770" s="49">
        <f t="shared" si="1"/>
      </c>
      <c r="W770" s="49">
        <f t="shared" si="2"/>
      </c>
      <c r="X770" s="2">
        <f t="shared" si="3"/>
      </c>
      <c r="Y770" s="2">
        <f t="shared" si="4"/>
      </c>
      <c r="Z770" s="2">
        <f t="shared" si="5"/>
        <v>0</v>
      </c>
      <c r="AA770" s="2">
        <f t="shared" si="6"/>
        <v>0</v>
      </c>
      <c r="AB770" s="2">
        <f t="shared" si="7"/>
        <v>0</v>
      </c>
      <c r="AC770" s="2">
        <f t="shared" si="8"/>
      </c>
    </row>
    <row r="771">
      <c r="A771" s="64" t="n"/>
      <c r="B771" s="65" t="n"/>
      <c r="C771" s="65" t="n"/>
      <c r="D771" s="65" t="n"/>
      <c r="E771" s="65" t="n"/>
      <c r="F771" s="66" t="n"/>
      <c r="G771" s="65" t="n"/>
      <c r="H771" s="66" t="n"/>
      <c r="I771" s="64" t="n"/>
      <c r="J771" s="68" t="n"/>
      <c r="K771" s="68" t="n"/>
      <c r="L771" s="68" t="n"/>
      <c r="M771" s="64" t="n"/>
      <c r="N771" s="64" t="n"/>
      <c r="O771" s="64" t="n"/>
      <c r="P771" s="64" t="n"/>
      <c r="Q771" s="64" t="n"/>
      <c r="R771" s="64" t="n"/>
      <c r="S771" s="66" t="n"/>
      <c r="T771" s="45" t="n"/>
      <c r="U771" s="43">
        <f t="shared" si="0"/>
      </c>
      <c r="V771" s="49">
        <f t="shared" si="1"/>
      </c>
      <c r="W771" s="49">
        <f t="shared" si="2"/>
      </c>
      <c r="X771" s="2">
        <f t="shared" si="3"/>
      </c>
      <c r="Y771" s="2">
        <f t="shared" si="4"/>
      </c>
      <c r="Z771" s="2">
        <f t="shared" si="5"/>
        <v>0</v>
      </c>
      <c r="AA771" s="2">
        <f t="shared" si="6"/>
        <v>0</v>
      </c>
      <c r="AB771" s="2">
        <f t="shared" si="7"/>
        <v>0</v>
      </c>
      <c r="AC771" s="2">
        <f t="shared" si="8"/>
      </c>
    </row>
    <row r="772">
      <c r="A772" s="64" t="n"/>
      <c r="B772" s="65" t="n"/>
      <c r="C772" s="65" t="n"/>
      <c r="D772" s="65" t="n"/>
      <c r="E772" s="65" t="n"/>
      <c r="F772" s="66" t="n"/>
      <c r="G772" s="65" t="n"/>
      <c r="H772" s="66" t="n"/>
      <c r="I772" s="64" t="n"/>
      <c r="J772" s="68" t="n"/>
      <c r="K772" s="68" t="n"/>
      <c r="L772" s="68" t="n"/>
      <c r="M772" s="64" t="n"/>
      <c r="N772" s="64" t="n"/>
      <c r="O772" s="64" t="n"/>
      <c r="P772" s="64" t="n"/>
      <c r="Q772" s="64" t="n"/>
      <c r="R772" s="64" t="n"/>
      <c r="S772" s="66" t="n"/>
      <c r="T772" s="45" t="n"/>
      <c r="U772" s="43">
        <f t="shared" si="0"/>
      </c>
      <c r="V772" s="49">
        <f t="shared" si="1"/>
      </c>
      <c r="W772" s="49">
        <f t="shared" si="2"/>
      </c>
      <c r="X772" s="2">
        <f t="shared" si="3"/>
      </c>
      <c r="Y772" s="2">
        <f t="shared" si="4"/>
      </c>
      <c r="Z772" s="2">
        <f t="shared" si="5"/>
        <v>0</v>
      </c>
      <c r="AA772" s="2">
        <f t="shared" si="6"/>
        <v>0</v>
      </c>
      <c r="AB772" s="2">
        <f t="shared" si="7"/>
        <v>0</v>
      </c>
      <c r="AC772" s="2">
        <f t="shared" si="8"/>
      </c>
    </row>
    <row r="773">
      <c r="A773" s="64" t="n"/>
      <c r="B773" s="65" t="n"/>
      <c r="C773" s="65" t="n"/>
      <c r="D773" s="65" t="n"/>
      <c r="E773" s="65" t="n"/>
      <c r="F773" s="66" t="n"/>
      <c r="G773" s="65" t="n"/>
      <c r="H773" s="66" t="n"/>
      <c r="I773" s="64" t="n"/>
      <c r="J773" s="68" t="n"/>
      <c r="K773" s="68" t="n"/>
      <c r="L773" s="68" t="n"/>
      <c r="M773" s="64" t="n"/>
      <c r="N773" s="64" t="n"/>
      <c r="O773" s="64" t="n"/>
      <c r="P773" s="64" t="n"/>
      <c r="Q773" s="64" t="n"/>
      <c r="R773" s="64" t="n"/>
      <c r="S773" s="66" t="n"/>
      <c r="T773" s="45" t="n"/>
      <c r="U773" s="43">
        <f t="shared" si="0"/>
      </c>
      <c r="V773" s="49">
        <f t="shared" si="1"/>
      </c>
      <c r="W773" s="49">
        <f t="shared" si="2"/>
      </c>
      <c r="X773" s="2">
        <f t="shared" si="3"/>
      </c>
      <c r="Y773" s="2">
        <f t="shared" si="4"/>
      </c>
      <c r="Z773" s="2">
        <f t="shared" si="5"/>
        <v>0</v>
      </c>
      <c r="AA773" s="2">
        <f t="shared" si="6"/>
        <v>0</v>
      </c>
      <c r="AB773" s="2">
        <f t="shared" si="7"/>
        <v>0</v>
      </c>
      <c r="AC773" s="2">
        <f t="shared" si="8"/>
      </c>
    </row>
    <row r="774">
      <c r="A774" s="64" t="n"/>
      <c r="B774" s="65" t="n"/>
      <c r="C774" s="65" t="n"/>
      <c r="D774" s="65" t="n"/>
      <c r="E774" s="65" t="n"/>
      <c r="F774" s="66" t="n"/>
      <c r="G774" s="65" t="n"/>
      <c r="H774" s="66" t="n"/>
      <c r="I774" s="64" t="n"/>
      <c r="J774" s="68" t="n"/>
      <c r="K774" s="68" t="n"/>
      <c r="L774" s="68" t="n"/>
      <c r="M774" s="64" t="n"/>
      <c r="N774" s="64" t="n"/>
      <c r="O774" s="64" t="n"/>
      <c r="P774" s="64" t="n"/>
      <c r="Q774" s="64" t="n"/>
      <c r="R774" s="64" t="n"/>
      <c r="S774" s="66" t="n"/>
      <c r="T774" s="45" t="n"/>
      <c r="U774" s="43">
        <f t="shared" si="0"/>
      </c>
      <c r="V774" s="49">
        <f t="shared" si="1"/>
      </c>
      <c r="W774" s="49">
        <f t="shared" si="2"/>
      </c>
      <c r="X774" s="2">
        <f t="shared" si="3"/>
      </c>
      <c r="Y774" s="2">
        <f t="shared" si="4"/>
      </c>
      <c r="Z774" s="2">
        <f t="shared" si="5"/>
        <v>0</v>
      </c>
      <c r="AA774" s="2">
        <f t="shared" si="6"/>
        <v>0</v>
      </c>
      <c r="AB774" s="2">
        <f t="shared" si="7"/>
        <v>0</v>
      </c>
      <c r="AC774" s="2">
        <f t="shared" si="8"/>
      </c>
    </row>
    <row r="775">
      <c r="A775" s="64" t="n"/>
      <c r="B775" s="65" t="n"/>
      <c r="C775" s="65" t="n"/>
      <c r="D775" s="65" t="n"/>
      <c r="E775" s="65" t="n"/>
      <c r="F775" s="66" t="n"/>
      <c r="G775" s="65" t="n"/>
      <c r="H775" s="66" t="n"/>
      <c r="I775" s="64" t="n"/>
      <c r="J775" s="68" t="n"/>
      <c r="K775" s="68" t="n"/>
      <c r="L775" s="68" t="n"/>
      <c r="M775" s="64" t="n"/>
      <c r="N775" s="64" t="n"/>
      <c r="O775" s="64" t="n"/>
      <c r="P775" s="64" t="n"/>
      <c r="Q775" s="64" t="n"/>
      <c r="R775" s="64" t="n"/>
      <c r="S775" s="66" t="n"/>
      <c r="T775" s="45" t="n"/>
      <c r="U775" s="43">
        <f t="shared" si="0"/>
      </c>
      <c r="V775" s="49">
        <f t="shared" si="1"/>
      </c>
      <c r="W775" s="49">
        <f t="shared" si="2"/>
      </c>
      <c r="X775" s="2">
        <f t="shared" si="3"/>
      </c>
      <c r="Y775" s="2">
        <f t="shared" si="4"/>
      </c>
      <c r="Z775" s="2">
        <f t="shared" si="5"/>
        <v>0</v>
      </c>
      <c r="AA775" s="2">
        <f t="shared" si="6"/>
        <v>0</v>
      </c>
      <c r="AB775" s="2">
        <f t="shared" si="7"/>
        <v>0</v>
      </c>
      <c r="AC775" s="2">
        <f t="shared" si="8"/>
      </c>
    </row>
    <row r="776">
      <c r="A776" s="64" t="n"/>
      <c r="B776" s="65" t="n"/>
      <c r="C776" s="65" t="n"/>
      <c r="D776" s="65" t="n"/>
      <c r="E776" s="65" t="n"/>
      <c r="F776" s="66" t="n"/>
      <c r="G776" s="65" t="n"/>
      <c r="H776" s="66" t="n"/>
      <c r="I776" s="64" t="n"/>
      <c r="J776" s="68" t="n"/>
      <c r="K776" s="68" t="n"/>
      <c r="L776" s="68" t="n"/>
      <c r="M776" s="64" t="n"/>
      <c r="N776" s="64" t="n"/>
      <c r="O776" s="64" t="n"/>
      <c r="P776" s="64" t="n"/>
      <c r="Q776" s="64" t="n"/>
      <c r="R776" s="64" t="n"/>
      <c r="S776" s="66" t="n"/>
      <c r="T776" s="45" t="n"/>
      <c r="U776" s="43">
        <f t="shared" si="0"/>
      </c>
      <c r="V776" s="49">
        <f t="shared" si="1"/>
      </c>
      <c r="W776" s="49">
        <f t="shared" si="2"/>
      </c>
      <c r="X776" s="2">
        <f t="shared" si="3"/>
      </c>
      <c r="Y776" s="2">
        <f t="shared" si="4"/>
      </c>
      <c r="Z776" s="2">
        <f t="shared" si="5"/>
        <v>0</v>
      </c>
      <c r="AA776" s="2">
        <f t="shared" si="6"/>
        <v>0</v>
      </c>
      <c r="AB776" s="2">
        <f t="shared" si="7"/>
        <v>0</v>
      </c>
      <c r="AC776" s="2">
        <f t="shared" si="8"/>
      </c>
    </row>
    <row r="777">
      <c r="A777" s="64" t="n"/>
      <c r="B777" s="65" t="n"/>
      <c r="C777" s="65" t="n"/>
      <c r="D777" s="65" t="n"/>
      <c r="E777" s="65" t="n"/>
      <c r="F777" s="66" t="n"/>
      <c r="G777" s="65" t="n"/>
      <c r="H777" s="66" t="n"/>
      <c r="I777" s="64" t="n"/>
      <c r="J777" s="68" t="n"/>
      <c r="K777" s="68" t="n"/>
      <c r="L777" s="68" t="n"/>
      <c r="M777" s="64" t="n"/>
      <c r="N777" s="64" t="n"/>
      <c r="O777" s="64" t="n"/>
      <c r="P777" s="64" t="n"/>
      <c r="Q777" s="64" t="n"/>
      <c r="R777" s="64" t="n"/>
      <c r="S777" s="66" t="n"/>
      <c r="T777" s="45" t="n"/>
      <c r="U777" s="43">
        <f t="shared" si="0"/>
      </c>
      <c r="V777" s="49">
        <f t="shared" si="1"/>
      </c>
      <c r="W777" s="49">
        <f t="shared" si="2"/>
      </c>
      <c r="X777" s="2">
        <f t="shared" si="3"/>
      </c>
      <c r="Y777" s="2">
        <f t="shared" si="4"/>
      </c>
      <c r="Z777" s="2">
        <f t="shared" si="5"/>
        <v>0</v>
      </c>
      <c r="AA777" s="2">
        <f t="shared" si="6"/>
        <v>0</v>
      </c>
      <c r="AB777" s="2">
        <f t="shared" si="7"/>
        <v>0</v>
      </c>
      <c r="AC777" s="2">
        <f t="shared" si="8"/>
      </c>
    </row>
    <row r="778">
      <c r="A778" s="64" t="n"/>
      <c r="B778" s="65" t="n"/>
      <c r="C778" s="65" t="n"/>
      <c r="D778" s="65" t="n"/>
      <c r="E778" s="65" t="n"/>
      <c r="F778" s="66" t="n"/>
      <c r="G778" s="65" t="n"/>
      <c r="H778" s="66" t="n"/>
      <c r="I778" s="64" t="n"/>
      <c r="J778" s="68" t="n"/>
      <c r="K778" s="68" t="n"/>
      <c r="L778" s="68" t="n"/>
      <c r="M778" s="64" t="n"/>
      <c r="N778" s="64" t="n"/>
      <c r="O778" s="64" t="n"/>
      <c r="P778" s="64" t="n"/>
      <c r="Q778" s="64" t="n"/>
      <c r="R778" s="64" t="n"/>
      <c r="S778" s="66" t="n"/>
      <c r="T778" s="45" t="n"/>
      <c r="U778" s="43">
        <f t="shared" si="0"/>
      </c>
      <c r="V778" s="49">
        <f t="shared" si="1"/>
      </c>
      <c r="W778" s="49">
        <f t="shared" si="2"/>
      </c>
      <c r="X778" s="2">
        <f t="shared" si="3"/>
      </c>
      <c r="Y778" s="2">
        <f t="shared" si="4"/>
      </c>
      <c r="Z778" s="2">
        <f t="shared" si="5"/>
        <v>0</v>
      </c>
      <c r="AA778" s="2">
        <f t="shared" si="6"/>
        <v>0</v>
      </c>
      <c r="AB778" s="2">
        <f t="shared" si="7"/>
        <v>0</v>
      </c>
      <c r="AC778" s="2">
        <f t="shared" si="8"/>
      </c>
    </row>
    <row r="779">
      <c r="A779" s="64" t="n"/>
      <c r="B779" s="65" t="n"/>
      <c r="C779" s="65" t="n"/>
      <c r="D779" s="65" t="n"/>
      <c r="E779" s="65" t="n"/>
      <c r="F779" s="66" t="n"/>
      <c r="G779" s="65" t="n"/>
      <c r="H779" s="66" t="n"/>
      <c r="I779" s="64" t="n"/>
      <c r="J779" s="68" t="n"/>
      <c r="K779" s="68" t="n"/>
      <c r="L779" s="68" t="n"/>
      <c r="M779" s="64" t="n"/>
      <c r="N779" s="64" t="n"/>
      <c r="O779" s="64" t="n"/>
      <c r="P779" s="64" t="n"/>
      <c r="Q779" s="64" t="n"/>
      <c r="R779" s="64" t="n"/>
      <c r="S779" s="66" t="n"/>
      <c r="T779" s="45" t="n"/>
      <c r="U779" s="43">
        <f t="shared" si="0"/>
      </c>
      <c r="V779" s="49">
        <f t="shared" si="1"/>
      </c>
      <c r="W779" s="49">
        <f t="shared" si="2"/>
      </c>
      <c r="X779" s="2">
        <f t="shared" si="3"/>
      </c>
      <c r="Y779" s="2">
        <f t="shared" si="4"/>
      </c>
      <c r="Z779" s="2">
        <f t="shared" si="5"/>
        <v>0</v>
      </c>
      <c r="AA779" s="2">
        <f t="shared" si="6"/>
        <v>0</v>
      </c>
      <c r="AB779" s="2">
        <f t="shared" si="7"/>
        <v>0</v>
      </c>
      <c r="AC779" s="2">
        <f t="shared" si="8"/>
      </c>
    </row>
    <row r="780">
      <c r="A780" s="64" t="n"/>
      <c r="B780" s="65" t="n"/>
      <c r="C780" s="65" t="n"/>
      <c r="D780" s="65" t="n"/>
      <c r="E780" s="65" t="n"/>
      <c r="F780" s="66" t="n"/>
      <c r="G780" s="65" t="n"/>
      <c r="H780" s="66" t="n"/>
      <c r="I780" s="64" t="n"/>
      <c r="J780" s="68" t="n"/>
      <c r="K780" s="68" t="n"/>
      <c r="L780" s="68" t="n"/>
      <c r="M780" s="64" t="n"/>
      <c r="N780" s="64" t="n"/>
      <c r="O780" s="64" t="n"/>
      <c r="P780" s="64" t="n"/>
      <c r="Q780" s="64" t="n"/>
      <c r="R780" s="64" t="n"/>
      <c r="S780" s="66" t="n"/>
      <c r="T780" s="45" t="n"/>
      <c r="U780" s="43">
        <f t="shared" si="0"/>
      </c>
      <c r="V780" s="49">
        <f t="shared" si="1"/>
      </c>
      <c r="W780" s="49">
        <f t="shared" si="2"/>
      </c>
      <c r="X780" s="2">
        <f t="shared" si="3"/>
      </c>
      <c r="Y780" s="2">
        <f t="shared" si="4"/>
      </c>
      <c r="Z780" s="2">
        <f t="shared" si="5"/>
        <v>0</v>
      </c>
      <c r="AA780" s="2">
        <f t="shared" si="6"/>
        <v>0</v>
      </c>
      <c r="AB780" s="2">
        <f t="shared" si="7"/>
        <v>0</v>
      </c>
      <c r="AC780" s="2">
        <f t="shared" si="8"/>
      </c>
    </row>
    <row r="781">
      <c r="A781" s="64" t="n"/>
      <c r="B781" s="65" t="n"/>
      <c r="C781" s="65" t="n"/>
      <c r="D781" s="65" t="n"/>
      <c r="E781" s="65" t="n"/>
      <c r="F781" s="66" t="n"/>
      <c r="G781" s="65" t="n"/>
      <c r="H781" s="66" t="n"/>
      <c r="I781" s="64" t="n"/>
      <c r="J781" s="68" t="n"/>
      <c r="K781" s="68" t="n"/>
      <c r="L781" s="68" t="n"/>
      <c r="M781" s="64" t="n"/>
      <c r="N781" s="64" t="n"/>
      <c r="O781" s="64" t="n"/>
      <c r="P781" s="64" t="n"/>
      <c r="Q781" s="64" t="n"/>
      <c r="R781" s="64" t="n"/>
      <c r="S781" s="66" t="n"/>
      <c r="T781" s="45" t="n"/>
      <c r="U781" s="43">
        <f t="shared" si="0"/>
      </c>
      <c r="V781" s="49">
        <f t="shared" si="1"/>
      </c>
      <c r="W781" s="49">
        <f t="shared" si="2"/>
      </c>
      <c r="X781" s="2">
        <f t="shared" si="3"/>
      </c>
      <c r="Y781" s="2">
        <f t="shared" si="4"/>
      </c>
      <c r="Z781" s="2">
        <f t="shared" si="5"/>
        <v>0</v>
      </c>
      <c r="AA781" s="2">
        <f t="shared" si="6"/>
        <v>0</v>
      </c>
      <c r="AB781" s="2">
        <f t="shared" si="7"/>
        <v>0</v>
      </c>
      <c r="AC781" s="2">
        <f t="shared" si="8"/>
      </c>
    </row>
    <row r="782">
      <c r="A782" s="64" t="n"/>
      <c r="B782" s="65" t="n"/>
      <c r="C782" s="65" t="n"/>
      <c r="D782" s="65" t="n"/>
      <c r="E782" s="65" t="n"/>
      <c r="F782" s="66" t="n"/>
      <c r="G782" s="65" t="n"/>
      <c r="H782" s="66" t="n"/>
      <c r="I782" s="64" t="n"/>
      <c r="J782" s="68" t="n"/>
      <c r="K782" s="68" t="n"/>
      <c r="L782" s="68" t="n"/>
      <c r="M782" s="64" t="n"/>
      <c r="N782" s="64" t="n"/>
      <c r="O782" s="64" t="n"/>
      <c r="P782" s="64" t="n"/>
      <c r="Q782" s="64" t="n"/>
      <c r="R782" s="64" t="n"/>
      <c r="S782" s="66" t="n"/>
      <c r="T782" s="45" t="n"/>
      <c r="U782" s="43">
        <f t="shared" si="0"/>
      </c>
      <c r="V782" s="49">
        <f t="shared" si="1"/>
      </c>
      <c r="W782" s="49">
        <f t="shared" si="2"/>
      </c>
      <c r="X782" s="2">
        <f t="shared" si="3"/>
      </c>
      <c r="Y782" s="2">
        <f t="shared" si="4"/>
      </c>
      <c r="Z782" s="2">
        <f t="shared" si="5"/>
        <v>0</v>
      </c>
      <c r="AA782" s="2">
        <f t="shared" si="6"/>
        <v>0</v>
      </c>
      <c r="AB782" s="2">
        <f t="shared" si="7"/>
        <v>0</v>
      </c>
      <c r="AC782" s="2">
        <f t="shared" si="8"/>
      </c>
    </row>
    <row r="783">
      <c r="A783" s="64" t="n"/>
      <c r="B783" s="65" t="n"/>
      <c r="C783" s="65" t="n"/>
      <c r="D783" s="65" t="n"/>
      <c r="E783" s="65" t="n"/>
      <c r="F783" s="66" t="n"/>
      <c r="G783" s="65" t="n"/>
      <c r="H783" s="66" t="n"/>
      <c r="I783" s="64" t="n"/>
      <c r="J783" s="68" t="n"/>
      <c r="K783" s="68" t="n"/>
      <c r="L783" s="68" t="n"/>
      <c r="M783" s="64" t="n"/>
      <c r="N783" s="64" t="n"/>
      <c r="O783" s="64" t="n"/>
      <c r="P783" s="64" t="n"/>
      <c r="Q783" s="64" t="n"/>
      <c r="R783" s="64" t="n"/>
      <c r="S783" s="66" t="n"/>
      <c r="T783" s="45" t="n"/>
      <c r="U783" s="43">
        <f t="shared" si="0"/>
      </c>
      <c r="V783" s="49">
        <f t="shared" si="1"/>
      </c>
      <c r="W783" s="49">
        <f t="shared" si="2"/>
      </c>
      <c r="X783" s="2">
        <f t="shared" si="3"/>
      </c>
      <c r="Y783" s="2">
        <f t="shared" si="4"/>
      </c>
      <c r="Z783" s="2">
        <f t="shared" si="5"/>
        <v>0</v>
      </c>
      <c r="AA783" s="2">
        <f t="shared" si="6"/>
        <v>0</v>
      </c>
      <c r="AB783" s="2">
        <f t="shared" si="7"/>
        <v>0</v>
      </c>
      <c r="AC783" s="2">
        <f t="shared" si="8"/>
      </c>
    </row>
    <row r="784">
      <c r="A784" s="64" t="n"/>
      <c r="B784" s="65" t="n"/>
      <c r="C784" s="65" t="n"/>
      <c r="D784" s="65" t="n"/>
      <c r="E784" s="65" t="n"/>
      <c r="F784" s="66" t="n"/>
      <c r="G784" s="65" t="n"/>
      <c r="H784" s="66" t="n"/>
      <c r="I784" s="64" t="n"/>
      <c r="J784" s="68" t="n"/>
      <c r="K784" s="68" t="n"/>
      <c r="L784" s="68" t="n"/>
      <c r="M784" s="64" t="n"/>
      <c r="N784" s="64" t="n"/>
      <c r="O784" s="64" t="n"/>
      <c r="P784" s="64" t="n"/>
      <c r="Q784" s="64" t="n"/>
      <c r="R784" s="64" t="n"/>
      <c r="S784" s="66" t="n"/>
      <c r="T784" s="45" t="n"/>
      <c r="U784" s="43">
        <f t="shared" si="0"/>
      </c>
      <c r="V784" s="49">
        <f t="shared" si="1"/>
      </c>
      <c r="W784" s="49">
        <f t="shared" si="2"/>
      </c>
      <c r="X784" s="2">
        <f t="shared" si="3"/>
      </c>
      <c r="Y784" s="2">
        <f t="shared" si="4"/>
      </c>
      <c r="Z784" s="2">
        <f t="shared" si="5"/>
        <v>0</v>
      </c>
      <c r="AA784" s="2">
        <f t="shared" si="6"/>
        <v>0</v>
      </c>
      <c r="AB784" s="2">
        <f t="shared" si="7"/>
        <v>0</v>
      </c>
      <c r="AC784" s="2">
        <f t="shared" si="8"/>
      </c>
    </row>
    <row r="785">
      <c r="A785" s="64" t="n"/>
      <c r="B785" s="65" t="n"/>
      <c r="C785" s="65" t="n"/>
      <c r="D785" s="65" t="n"/>
      <c r="E785" s="65" t="n"/>
      <c r="F785" s="66" t="n"/>
      <c r="G785" s="65" t="n"/>
      <c r="H785" s="66" t="n"/>
      <c r="I785" s="64" t="n"/>
      <c r="J785" s="68" t="n"/>
      <c r="K785" s="68" t="n"/>
      <c r="L785" s="68" t="n"/>
      <c r="M785" s="64" t="n"/>
      <c r="N785" s="64" t="n"/>
      <c r="O785" s="64" t="n"/>
      <c r="P785" s="64" t="n"/>
      <c r="Q785" s="64" t="n"/>
      <c r="R785" s="64" t="n"/>
      <c r="S785" s="66" t="n"/>
      <c r="T785" s="45" t="n"/>
      <c r="U785" s="43">
        <f t="shared" si="0"/>
      </c>
      <c r="V785" s="49">
        <f t="shared" si="1"/>
      </c>
      <c r="W785" s="49">
        <f t="shared" si="2"/>
      </c>
      <c r="X785" s="2">
        <f t="shared" si="3"/>
      </c>
      <c r="Y785" s="2">
        <f t="shared" si="4"/>
      </c>
      <c r="Z785" s="2">
        <f t="shared" si="5"/>
        <v>0</v>
      </c>
      <c r="AA785" s="2">
        <f t="shared" si="6"/>
        <v>0</v>
      </c>
      <c r="AB785" s="2">
        <f t="shared" si="7"/>
        <v>0</v>
      </c>
      <c r="AC785" s="2">
        <f t="shared" si="8"/>
      </c>
    </row>
    <row r="786">
      <c r="A786" s="64" t="n"/>
      <c r="B786" s="65" t="n"/>
      <c r="C786" s="65" t="n"/>
      <c r="D786" s="65" t="n"/>
      <c r="E786" s="65" t="n"/>
      <c r="F786" s="66" t="n"/>
      <c r="G786" s="65" t="n"/>
      <c r="H786" s="66" t="n"/>
      <c r="I786" s="64" t="n"/>
      <c r="J786" s="68" t="n"/>
      <c r="K786" s="68" t="n"/>
      <c r="L786" s="68" t="n"/>
      <c r="M786" s="64" t="n"/>
      <c r="N786" s="64" t="n"/>
      <c r="O786" s="64" t="n"/>
      <c r="P786" s="64" t="n"/>
      <c r="Q786" s="64" t="n"/>
      <c r="R786" s="64" t="n"/>
      <c r="S786" s="66" t="n"/>
      <c r="T786" s="45" t="n"/>
      <c r="U786" s="43">
        <f t="shared" si="0"/>
      </c>
      <c r="V786" s="49">
        <f t="shared" si="1"/>
      </c>
      <c r="W786" s="49">
        <f t="shared" si="2"/>
      </c>
      <c r="X786" s="2">
        <f t="shared" si="3"/>
      </c>
      <c r="Y786" s="2">
        <f t="shared" si="4"/>
      </c>
      <c r="Z786" s="2">
        <f t="shared" si="5"/>
        <v>0</v>
      </c>
      <c r="AA786" s="2">
        <f t="shared" si="6"/>
        <v>0</v>
      </c>
      <c r="AB786" s="2">
        <f t="shared" si="7"/>
        <v>0</v>
      </c>
      <c r="AC786" s="2">
        <f t="shared" si="8"/>
      </c>
    </row>
    <row r="787">
      <c r="A787" s="64" t="n"/>
      <c r="B787" s="65" t="n"/>
      <c r="C787" s="65" t="n"/>
      <c r="D787" s="65" t="n"/>
      <c r="E787" s="65" t="n"/>
      <c r="F787" s="66" t="n"/>
      <c r="G787" s="65" t="n"/>
      <c r="H787" s="66" t="n"/>
      <c r="I787" s="64" t="n"/>
      <c r="J787" s="68" t="n"/>
      <c r="K787" s="68" t="n"/>
      <c r="L787" s="68" t="n"/>
      <c r="M787" s="64" t="n"/>
      <c r="N787" s="64" t="n"/>
      <c r="O787" s="64" t="n"/>
      <c r="P787" s="64" t="n"/>
      <c r="Q787" s="64" t="n"/>
      <c r="R787" s="64" t="n"/>
      <c r="S787" s="66" t="n"/>
      <c r="T787" s="45" t="n"/>
      <c r="U787" s="43">
        <f t="shared" si="0"/>
      </c>
      <c r="V787" s="49">
        <f t="shared" si="1"/>
      </c>
      <c r="W787" s="49">
        <f t="shared" si="2"/>
      </c>
      <c r="X787" s="2">
        <f t="shared" si="3"/>
      </c>
      <c r="Y787" s="2">
        <f t="shared" si="4"/>
      </c>
      <c r="Z787" s="2">
        <f t="shared" si="5"/>
        <v>0</v>
      </c>
      <c r="AA787" s="2">
        <f t="shared" si="6"/>
        <v>0</v>
      </c>
      <c r="AB787" s="2">
        <f t="shared" si="7"/>
        <v>0</v>
      </c>
      <c r="AC787" s="2">
        <f t="shared" si="8"/>
      </c>
    </row>
    <row r="788">
      <c r="A788" s="64" t="n"/>
      <c r="B788" s="65" t="n"/>
      <c r="C788" s="65" t="n"/>
      <c r="D788" s="65" t="n"/>
      <c r="E788" s="65" t="n"/>
      <c r="F788" s="66" t="n"/>
      <c r="G788" s="65" t="n"/>
      <c r="H788" s="66" t="n"/>
      <c r="I788" s="64" t="n"/>
      <c r="J788" s="68" t="n"/>
      <c r="K788" s="68" t="n"/>
      <c r="L788" s="68" t="n"/>
      <c r="M788" s="64" t="n"/>
      <c r="N788" s="64" t="n"/>
      <c r="O788" s="64" t="n"/>
      <c r="P788" s="64" t="n"/>
      <c r="Q788" s="64" t="n"/>
      <c r="R788" s="64" t="n"/>
      <c r="S788" s="66" t="n"/>
      <c r="T788" s="45" t="n"/>
      <c r="U788" s="43">
        <f t="shared" si="0"/>
      </c>
      <c r="V788" s="49">
        <f t="shared" si="1"/>
      </c>
      <c r="W788" s="49">
        <f t="shared" si="2"/>
      </c>
      <c r="X788" s="2">
        <f t="shared" si="3"/>
      </c>
      <c r="Y788" s="2">
        <f t="shared" si="4"/>
      </c>
      <c r="Z788" s="2">
        <f t="shared" si="5"/>
        <v>0</v>
      </c>
      <c r="AA788" s="2">
        <f t="shared" si="6"/>
        <v>0</v>
      </c>
      <c r="AB788" s="2">
        <f t="shared" si="7"/>
        <v>0</v>
      </c>
      <c r="AC788" s="2">
        <f t="shared" si="8"/>
      </c>
    </row>
    <row r="789">
      <c r="A789" s="64" t="n"/>
      <c r="B789" s="65" t="n"/>
      <c r="C789" s="65" t="n"/>
      <c r="D789" s="65" t="n"/>
      <c r="E789" s="65" t="n"/>
      <c r="F789" s="66" t="n"/>
      <c r="G789" s="65" t="n"/>
      <c r="H789" s="66" t="n"/>
      <c r="I789" s="64" t="n"/>
      <c r="J789" s="68" t="n"/>
      <c r="K789" s="68" t="n"/>
      <c r="L789" s="68" t="n"/>
      <c r="M789" s="64" t="n"/>
      <c r="N789" s="64" t="n"/>
      <c r="O789" s="64" t="n"/>
      <c r="P789" s="64" t="n"/>
      <c r="Q789" s="64" t="n"/>
      <c r="R789" s="64" t="n"/>
      <c r="S789" s="66" t="n"/>
      <c r="T789" s="45" t="n"/>
      <c r="U789" s="43">
        <f t="shared" si="0"/>
      </c>
      <c r="V789" s="49">
        <f t="shared" si="1"/>
      </c>
      <c r="W789" s="49">
        <f t="shared" si="2"/>
      </c>
      <c r="X789" s="2">
        <f t="shared" si="3"/>
      </c>
      <c r="Y789" s="2">
        <f t="shared" si="4"/>
      </c>
      <c r="Z789" s="2">
        <f t="shared" si="5"/>
        <v>0</v>
      </c>
      <c r="AA789" s="2">
        <f t="shared" si="6"/>
        <v>0</v>
      </c>
      <c r="AB789" s="2">
        <f t="shared" si="7"/>
        <v>0</v>
      </c>
      <c r="AC789" s="2">
        <f t="shared" si="8"/>
      </c>
    </row>
    <row r="790">
      <c r="A790" s="64" t="n"/>
      <c r="B790" s="65" t="n"/>
      <c r="C790" s="65" t="n"/>
      <c r="D790" s="65" t="n"/>
      <c r="E790" s="65" t="n"/>
      <c r="F790" s="66" t="n"/>
      <c r="G790" s="65" t="n"/>
      <c r="H790" s="66" t="n"/>
      <c r="I790" s="64" t="n"/>
      <c r="J790" s="68" t="n"/>
      <c r="K790" s="68" t="n"/>
      <c r="L790" s="68" t="n"/>
      <c r="M790" s="64" t="n"/>
      <c r="N790" s="64" t="n"/>
      <c r="O790" s="64" t="n"/>
      <c r="P790" s="64" t="n"/>
      <c r="Q790" s="64" t="n"/>
      <c r="R790" s="64" t="n"/>
      <c r="S790" s="66" t="n"/>
      <c r="T790" s="45" t="n"/>
      <c r="U790" s="43">
        <f t="shared" si="0"/>
      </c>
      <c r="V790" s="49">
        <f t="shared" si="1"/>
      </c>
      <c r="W790" s="49">
        <f t="shared" si="2"/>
      </c>
      <c r="X790" s="2">
        <f t="shared" si="3"/>
      </c>
      <c r="Y790" s="2">
        <f t="shared" si="4"/>
      </c>
      <c r="Z790" s="2">
        <f t="shared" si="5"/>
        <v>0</v>
      </c>
      <c r="AA790" s="2">
        <f t="shared" si="6"/>
        <v>0</v>
      </c>
      <c r="AB790" s="2">
        <f t="shared" si="7"/>
        <v>0</v>
      </c>
      <c r="AC790" s="2">
        <f t="shared" si="8"/>
      </c>
    </row>
    <row r="791">
      <c r="A791" s="64" t="n"/>
      <c r="B791" s="65" t="n"/>
      <c r="C791" s="65" t="n"/>
      <c r="D791" s="65" t="n"/>
      <c r="E791" s="65" t="n"/>
      <c r="F791" s="66" t="n"/>
      <c r="G791" s="65" t="n"/>
      <c r="H791" s="66" t="n"/>
      <c r="I791" s="64" t="n"/>
      <c r="J791" s="68" t="n"/>
      <c r="K791" s="68" t="n"/>
      <c r="L791" s="68" t="n"/>
      <c r="M791" s="64" t="n"/>
      <c r="N791" s="64" t="n"/>
      <c r="O791" s="64" t="n"/>
      <c r="P791" s="64" t="n"/>
      <c r="Q791" s="64" t="n"/>
      <c r="R791" s="64" t="n"/>
      <c r="S791" s="66" t="n"/>
      <c r="T791" s="45" t="n"/>
      <c r="U791" s="43">
        <f t="shared" si="0"/>
      </c>
      <c r="V791" s="49">
        <f t="shared" si="1"/>
      </c>
      <c r="W791" s="49">
        <f t="shared" si="2"/>
      </c>
      <c r="X791" s="2">
        <f t="shared" si="3"/>
      </c>
      <c r="Y791" s="2">
        <f t="shared" si="4"/>
      </c>
      <c r="Z791" s="2">
        <f t="shared" si="5"/>
        <v>0</v>
      </c>
      <c r="AA791" s="2">
        <f t="shared" si="6"/>
        <v>0</v>
      </c>
      <c r="AB791" s="2">
        <f t="shared" si="7"/>
        <v>0</v>
      </c>
      <c r="AC791" s="2">
        <f t="shared" si="8"/>
      </c>
    </row>
    <row r="792">
      <c r="A792" s="64" t="n"/>
      <c r="B792" s="65" t="n"/>
      <c r="C792" s="65" t="n"/>
      <c r="D792" s="65" t="n"/>
      <c r="E792" s="65" t="n"/>
      <c r="F792" s="66" t="n"/>
      <c r="G792" s="65" t="n"/>
      <c r="H792" s="66" t="n"/>
      <c r="I792" s="64" t="n"/>
      <c r="J792" s="68" t="n"/>
      <c r="K792" s="68" t="n"/>
      <c r="L792" s="68" t="n"/>
      <c r="M792" s="64" t="n"/>
      <c r="N792" s="64" t="n"/>
      <c r="O792" s="64" t="n"/>
      <c r="P792" s="64" t="n"/>
      <c r="Q792" s="64" t="n"/>
      <c r="R792" s="64" t="n"/>
      <c r="S792" s="66" t="n"/>
      <c r="T792" s="45" t="n"/>
      <c r="U792" s="43">
        <f t="shared" si="0"/>
      </c>
      <c r="V792" s="49">
        <f t="shared" si="1"/>
      </c>
      <c r="W792" s="49">
        <f t="shared" si="2"/>
      </c>
      <c r="X792" s="2">
        <f t="shared" si="3"/>
      </c>
      <c r="Y792" s="2">
        <f t="shared" si="4"/>
      </c>
      <c r="Z792" s="2">
        <f t="shared" si="5"/>
        <v>0</v>
      </c>
      <c r="AA792" s="2">
        <f t="shared" si="6"/>
        <v>0</v>
      </c>
      <c r="AB792" s="2">
        <f t="shared" si="7"/>
        <v>0</v>
      </c>
      <c r="AC792" s="2">
        <f t="shared" si="8"/>
      </c>
    </row>
    <row r="793">
      <c r="A793" s="64" t="n"/>
      <c r="B793" s="65" t="n"/>
      <c r="C793" s="65" t="n"/>
      <c r="D793" s="65" t="n"/>
      <c r="E793" s="65" t="n"/>
      <c r="F793" s="66" t="n"/>
      <c r="G793" s="65" t="n"/>
      <c r="H793" s="66" t="n"/>
      <c r="I793" s="64" t="n"/>
      <c r="J793" s="68" t="n"/>
      <c r="K793" s="68" t="n"/>
      <c r="L793" s="68" t="n"/>
      <c r="M793" s="64" t="n"/>
      <c r="N793" s="64" t="n"/>
      <c r="O793" s="64" t="n"/>
      <c r="P793" s="64" t="n"/>
      <c r="Q793" s="64" t="n"/>
      <c r="R793" s="64" t="n"/>
      <c r="S793" s="66" t="n"/>
      <c r="T793" s="45" t="n"/>
      <c r="U793" s="43">
        <f t="shared" si="0"/>
      </c>
      <c r="V793" s="49">
        <f t="shared" si="1"/>
      </c>
      <c r="W793" s="49">
        <f t="shared" si="2"/>
      </c>
      <c r="X793" s="2">
        <f t="shared" si="3"/>
      </c>
      <c r="Y793" s="2">
        <f t="shared" si="4"/>
      </c>
      <c r="Z793" s="2">
        <f t="shared" si="5"/>
        <v>0</v>
      </c>
      <c r="AA793" s="2">
        <f t="shared" si="6"/>
        <v>0</v>
      </c>
      <c r="AB793" s="2">
        <f t="shared" si="7"/>
        <v>0</v>
      </c>
      <c r="AC793" s="2">
        <f t="shared" si="8"/>
      </c>
    </row>
    <row r="794">
      <c r="A794" s="64" t="n"/>
      <c r="B794" s="65" t="n"/>
      <c r="C794" s="65" t="n"/>
      <c r="D794" s="65" t="n"/>
      <c r="E794" s="65" t="n"/>
      <c r="F794" s="66" t="n"/>
      <c r="G794" s="65" t="n"/>
      <c r="H794" s="66" t="n"/>
      <c r="I794" s="64" t="n"/>
      <c r="J794" s="68" t="n"/>
      <c r="K794" s="68" t="n"/>
      <c r="L794" s="68" t="n"/>
      <c r="M794" s="64" t="n"/>
      <c r="N794" s="64" t="n"/>
      <c r="O794" s="64" t="n"/>
      <c r="P794" s="64" t="n"/>
      <c r="Q794" s="64" t="n"/>
      <c r="R794" s="64" t="n"/>
      <c r="S794" s="66" t="n"/>
      <c r="T794" s="45" t="n"/>
      <c r="U794" s="43">
        <f t="shared" si="0"/>
      </c>
      <c r="V794" s="49">
        <f t="shared" si="1"/>
      </c>
      <c r="W794" s="49">
        <f t="shared" si="2"/>
      </c>
      <c r="X794" s="2">
        <f t="shared" si="3"/>
      </c>
      <c r="Y794" s="2">
        <f t="shared" si="4"/>
      </c>
      <c r="Z794" s="2">
        <f t="shared" si="5"/>
        <v>0</v>
      </c>
      <c r="AA794" s="2">
        <f t="shared" si="6"/>
        <v>0</v>
      </c>
      <c r="AB794" s="2">
        <f t="shared" si="7"/>
        <v>0</v>
      </c>
      <c r="AC794" s="2">
        <f t="shared" si="8"/>
      </c>
    </row>
    <row r="795">
      <c r="A795" s="64" t="n"/>
      <c r="B795" s="65" t="n"/>
      <c r="C795" s="65" t="n"/>
      <c r="D795" s="65" t="n"/>
      <c r="E795" s="65" t="n"/>
      <c r="F795" s="66" t="n"/>
      <c r="G795" s="65" t="n"/>
      <c r="H795" s="66" t="n"/>
      <c r="I795" s="64" t="n"/>
      <c r="J795" s="68" t="n"/>
      <c r="K795" s="68" t="n"/>
      <c r="L795" s="68" t="n"/>
      <c r="M795" s="64" t="n"/>
      <c r="N795" s="64" t="n"/>
      <c r="O795" s="64" t="n"/>
      <c r="P795" s="64" t="n"/>
      <c r="Q795" s="64" t="n"/>
      <c r="R795" s="64" t="n"/>
      <c r="S795" s="66" t="n"/>
      <c r="T795" s="45" t="n"/>
      <c r="U795" s="43">
        <f t="shared" si="0"/>
      </c>
      <c r="V795" s="49">
        <f t="shared" si="1"/>
      </c>
      <c r="W795" s="49">
        <f t="shared" si="2"/>
      </c>
      <c r="X795" s="2">
        <f t="shared" si="3"/>
      </c>
      <c r="Y795" s="2">
        <f t="shared" si="4"/>
      </c>
      <c r="Z795" s="2">
        <f t="shared" si="5"/>
        <v>0</v>
      </c>
      <c r="AA795" s="2">
        <f t="shared" si="6"/>
        <v>0</v>
      </c>
      <c r="AB795" s="2">
        <f t="shared" si="7"/>
        <v>0</v>
      </c>
      <c r="AC795" s="2">
        <f t="shared" si="8"/>
      </c>
    </row>
    <row r="796">
      <c r="A796" s="64" t="n"/>
      <c r="B796" s="65" t="n"/>
      <c r="C796" s="65" t="n"/>
      <c r="D796" s="65" t="n"/>
      <c r="E796" s="65" t="n"/>
      <c r="F796" s="66" t="n"/>
      <c r="G796" s="65" t="n"/>
      <c r="H796" s="66" t="n"/>
      <c r="I796" s="64" t="n"/>
      <c r="J796" s="68" t="n"/>
      <c r="K796" s="68" t="n"/>
      <c r="L796" s="68" t="n"/>
      <c r="M796" s="64" t="n"/>
      <c r="N796" s="64" t="n"/>
      <c r="O796" s="64" t="n"/>
      <c r="P796" s="64" t="n"/>
      <c r="Q796" s="64" t="n"/>
      <c r="R796" s="64" t="n"/>
      <c r="S796" s="66" t="n"/>
      <c r="T796" s="45" t="n"/>
      <c r="U796" s="43">
        <f t="shared" si="0"/>
      </c>
      <c r="V796" s="49">
        <f t="shared" si="1"/>
      </c>
      <c r="W796" s="49">
        <f t="shared" si="2"/>
      </c>
      <c r="X796" s="2">
        <f t="shared" si="3"/>
      </c>
      <c r="Y796" s="2">
        <f t="shared" si="4"/>
      </c>
      <c r="Z796" s="2">
        <f t="shared" si="5"/>
        <v>0</v>
      </c>
      <c r="AA796" s="2">
        <f t="shared" si="6"/>
        <v>0</v>
      </c>
      <c r="AB796" s="2">
        <f t="shared" si="7"/>
        <v>0</v>
      </c>
      <c r="AC796" s="2">
        <f t="shared" si="8"/>
      </c>
    </row>
    <row r="797">
      <c r="A797" s="64" t="n"/>
      <c r="B797" s="65" t="n"/>
      <c r="C797" s="65" t="n"/>
      <c r="D797" s="65" t="n"/>
      <c r="E797" s="65" t="n"/>
      <c r="F797" s="66" t="n"/>
      <c r="G797" s="65" t="n"/>
      <c r="H797" s="66" t="n"/>
      <c r="I797" s="64" t="n"/>
      <c r="J797" s="68" t="n"/>
      <c r="K797" s="68" t="n"/>
      <c r="L797" s="68" t="n"/>
      <c r="M797" s="64" t="n"/>
      <c r="N797" s="64" t="n"/>
      <c r="O797" s="64" t="n"/>
      <c r="P797" s="64" t="n"/>
      <c r="Q797" s="64" t="n"/>
      <c r="R797" s="64" t="n"/>
      <c r="S797" s="66" t="n"/>
      <c r="T797" s="45" t="n"/>
      <c r="U797" s="43">
        <f t="shared" si="0"/>
      </c>
      <c r="V797" s="49">
        <f t="shared" si="1"/>
      </c>
      <c r="W797" s="49">
        <f t="shared" si="2"/>
      </c>
      <c r="X797" s="2">
        <f t="shared" si="3"/>
      </c>
      <c r="Y797" s="2">
        <f t="shared" si="4"/>
      </c>
      <c r="Z797" s="2">
        <f t="shared" si="5"/>
        <v>0</v>
      </c>
      <c r="AA797" s="2">
        <f t="shared" si="6"/>
        <v>0</v>
      </c>
      <c r="AB797" s="2">
        <f t="shared" si="7"/>
        <v>0</v>
      </c>
      <c r="AC797" s="2">
        <f t="shared" si="8"/>
      </c>
    </row>
    <row r="798">
      <c r="A798" s="64" t="n"/>
      <c r="B798" s="65" t="n"/>
      <c r="C798" s="65" t="n"/>
      <c r="D798" s="65" t="n"/>
      <c r="E798" s="65" t="n"/>
      <c r="F798" s="66" t="n"/>
      <c r="G798" s="65" t="n"/>
      <c r="H798" s="66" t="n"/>
      <c r="I798" s="64" t="n"/>
      <c r="J798" s="68" t="n"/>
      <c r="K798" s="68" t="n"/>
      <c r="L798" s="68" t="n"/>
      <c r="M798" s="64" t="n"/>
      <c r="N798" s="64" t="n"/>
      <c r="O798" s="64" t="n"/>
      <c r="P798" s="64" t="n"/>
      <c r="Q798" s="64" t="n"/>
      <c r="R798" s="64" t="n"/>
      <c r="S798" s="66" t="n"/>
      <c r="T798" s="45" t="n"/>
      <c r="U798" s="43">
        <f t="shared" si="0"/>
      </c>
      <c r="V798" s="49">
        <f t="shared" si="1"/>
      </c>
      <c r="W798" s="49">
        <f t="shared" si="2"/>
      </c>
      <c r="X798" s="2">
        <f t="shared" si="3"/>
      </c>
      <c r="Y798" s="2">
        <f t="shared" si="4"/>
      </c>
      <c r="Z798" s="2">
        <f t="shared" si="5"/>
        <v>0</v>
      </c>
      <c r="AA798" s="2">
        <f t="shared" si="6"/>
        <v>0</v>
      </c>
      <c r="AB798" s="2">
        <f t="shared" si="7"/>
        <v>0</v>
      </c>
      <c r="AC798" s="2">
        <f t="shared" si="8"/>
      </c>
    </row>
    <row r="799">
      <c r="A799" s="64" t="n"/>
      <c r="B799" s="65" t="n"/>
      <c r="C799" s="65" t="n"/>
      <c r="D799" s="65" t="n"/>
      <c r="E799" s="65" t="n"/>
      <c r="F799" s="66" t="n"/>
      <c r="G799" s="65" t="n"/>
      <c r="H799" s="66" t="n"/>
      <c r="I799" s="64" t="n"/>
      <c r="J799" s="68" t="n"/>
      <c r="K799" s="68" t="n"/>
      <c r="L799" s="68" t="n"/>
      <c r="M799" s="64" t="n"/>
      <c r="N799" s="64" t="n"/>
      <c r="O799" s="64" t="n"/>
      <c r="P799" s="64" t="n"/>
      <c r="Q799" s="64" t="n"/>
      <c r="R799" s="64" t="n"/>
      <c r="S799" s="66" t="n"/>
      <c r="T799" s="45" t="n"/>
      <c r="U799" s="43">
        <f t="shared" si="0"/>
      </c>
      <c r="V799" s="49">
        <f t="shared" si="1"/>
      </c>
      <c r="W799" s="49">
        <f t="shared" si="2"/>
      </c>
      <c r="X799" s="2">
        <f t="shared" si="3"/>
      </c>
      <c r="Y799" s="2">
        <f t="shared" si="4"/>
      </c>
      <c r="Z799" s="2">
        <f t="shared" si="5"/>
        <v>0</v>
      </c>
      <c r="AA799" s="2">
        <f t="shared" si="6"/>
        <v>0</v>
      </c>
      <c r="AB799" s="2">
        <f t="shared" si="7"/>
        <v>0</v>
      </c>
      <c r="AC799" s="2">
        <f t="shared" si="8"/>
      </c>
    </row>
    <row r="800">
      <c r="A800" s="64" t="n"/>
      <c r="B800" s="65" t="n"/>
      <c r="C800" s="65" t="n"/>
      <c r="D800" s="65" t="n"/>
      <c r="E800" s="65" t="n"/>
      <c r="F800" s="66" t="n"/>
      <c r="G800" s="65" t="n"/>
      <c r="H800" s="66" t="n"/>
      <c r="I800" s="64" t="n"/>
      <c r="J800" s="68" t="n"/>
      <c r="K800" s="68" t="n"/>
      <c r="L800" s="68" t="n"/>
      <c r="M800" s="64" t="n"/>
      <c r="N800" s="64" t="n"/>
      <c r="O800" s="64" t="n"/>
      <c r="P800" s="64" t="n"/>
      <c r="Q800" s="64" t="n"/>
      <c r="R800" s="64" t="n"/>
      <c r="S800" s="66" t="n"/>
      <c r="T800" s="45" t="n"/>
      <c r="U800" s="43">
        <f t="shared" si="0"/>
      </c>
      <c r="V800" s="49">
        <f t="shared" si="1"/>
      </c>
      <c r="W800" s="49">
        <f t="shared" si="2"/>
      </c>
      <c r="X800" s="2">
        <f t="shared" si="3"/>
      </c>
      <c r="Y800" s="2">
        <f t="shared" si="4"/>
      </c>
      <c r="Z800" s="2">
        <f t="shared" si="5"/>
        <v>0</v>
      </c>
      <c r="AA800" s="2">
        <f t="shared" si="6"/>
        <v>0</v>
      </c>
      <c r="AB800" s="2">
        <f t="shared" si="7"/>
        <v>0</v>
      </c>
      <c r="AC800" s="2">
        <f t="shared" si="8"/>
      </c>
    </row>
    <row r="801">
      <c r="A801" s="64" t="n"/>
      <c r="B801" s="65" t="n"/>
      <c r="C801" s="65" t="n"/>
      <c r="D801" s="65" t="n"/>
      <c r="E801" s="65" t="n"/>
      <c r="F801" s="66" t="n"/>
      <c r="G801" s="65" t="n"/>
      <c r="H801" s="66" t="n"/>
      <c r="I801" s="64" t="n"/>
      <c r="J801" s="68" t="n"/>
      <c r="K801" s="68" t="n"/>
      <c r="L801" s="68" t="n"/>
      <c r="M801" s="64" t="n"/>
      <c r="N801" s="64" t="n"/>
      <c r="O801" s="64" t="n"/>
      <c r="P801" s="64" t="n"/>
      <c r="Q801" s="64" t="n"/>
      <c r="R801" s="64" t="n"/>
      <c r="S801" s="66" t="n"/>
      <c r="T801" s="45" t="n"/>
      <c r="U801" s="43">
        <f t="shared" si="0"/>
      </c>
      <c r="V801" s="49">
        <f t="shared" si="1"/>
      </c>
      <c r="W801" s="49">
        <f t="shared" si="2"/>
      </c>
      <c r="X801" s="2">
        <f t="shared" si="3"/>
      </c>
      <c r="Y801" s="2">
        <f t="shared" si="4"/>
      </c>
      <c r="Z801" s="2">
        <f t="shared" si="5"/>
        <v>0</v>
      </c>
      <c r="AA801" s="2">
        <f t="shared" si="6"/>
        <v>0</v>
      </c>
      <c r="AB801" s="2">
        <f t="shared" si="7"/>
        <v>0</v>
      </c>
      <c r="AC801" s="2">
        <f t="shared" si="8"/>
      </c>
    </row>
    <row r="802">
      <c r="A802" s="64" t="n"/>
      <c r="B802" s="65" t="n"/>
      <c r="C802" s="65" t="n"/>
      <c r="D802" s="65" t="n"/>
      <c r="E802" s="65" t="n"/>
      <c r="F802" s="66" t="n"/>
      <c r="G802" s="65" t="n"/>
      <c r="H802" s="66" t="n"/>
      <c r="I802" s="64" t="n"/>
      <c r="J802" s="68" t="n"/>
      <c r="K802" s="68" t="n"/>
      <c r="L802" s="68" t="n"/>
      <c r="M802" s="64" t="n"/>
      <c r="N802" s="64" t="n"/>
      <c r="O802" s="64" t="n"/>
      <c r="P802" s="64" t="n"/>
      <c r="Q802" s="64" t="n"/>
      <c r="R802" s="64" t="n"/>
      <c r="S802" s="66" t="n"/>
      <c r="T802" s="45" t="n"/>
      <c r="U802" s="43">
        <f t="shared" si="0"/>
      </c>
      <c r="V802" s="49">
        <f t="shared" si="1"/>
      </c>
      <c r="W802" s="49">
        <f t="shared" si="2"/>
      </c>
      <c r="X802" s="2">
        <f t="shared" si="3"/>
      </c>
      <c r="Y802" s="2">
        <f t="shared" si="4"/>
      </c>
      <c r="Z802" s="2">
        <f t="shared" si="5"/>
        <v>0</v>
      </c>
      <c r="AA802" s="2">
        <f t="shared" si="6"/>
        <v>0</v>
      </c>
      <c r="AB802" s="2">
        <f t="shared" si="7"/>
        <v>0</v>
      </c>
      <c r="AC802" s="2">
        <f t="shared" si="8"/>
      </c>
    </row>
    <row r="803">
      <c r="A803" s="64" t="n"/>
      <c r="B803" s="65" t="n"/>
      <c r="C803" s="65" t="n"/>
      <c r="D803" s="65" t="n"/>
      <c r="E803" s="65" t="n"/>
      <c r="F803" s="66" t="n"/>
      <c r="G803" s="65" t="n"/>
      <c r="H803" s="66" t="n"/>
      <c r="I803" s="64" t="n"/>
      <c r="J803" s="68" t="n"/>
      <c r="K803" s="68" t="n"/>
      <c r="L803" s="68" t="n"/>
      <c r="M803" s="64" t="n"/>
      <c r="N803" s="64" t="n"/>
      <c r="O803" s="64" t="n"/>
      <c r="P803" s="64" t="n"/>
      <c r="Q803" s="64" t="n"/>
      <c r="R803" s="64" t="n"/>
      <c r="S803" s="66" t="n"/>
      <c r="T803" s="45" t="n"/>
      <c r="U803" s="43">
        <f t="shared" si="0"/>
      </c>
      <c r="V803" s="49">
        <f t="shared" si="1"/>
      </c>
      <c r="W803" s="49">
        <f t="shared" si="2"/>
      </c>
      <c r="X803" s="2">
        <f t="shared" si="3"/>
      </c>
      <c r="Y803" s="2">
        <f t="shared" si="4"/>
      </c>
      <c r="Z803" s="2">
        <f t="shared" si="5"/>
        <v>0</v>
      </c>
      <c r="AA803" s="2">
        <f t="shared" si="6"/>
        <v>0</v>
      </c>
      <c r="AB803" s="2">
        <f t="shared" si="7"/>
        <v>0</v>
      </c>
      <c r="AC803" s="2">
        <f t="shared" si="8"/>
      </c>
    </row>
    <row r="804">
      <c r="A804" s="64" t="n"/>
      <c r="B804" s="65" t="n"/>
      <c r="C804" s="65" t="n"/>
      <c r="D804" s="65" t="n"/>
      <c r="E804" s="65" t="n"/>
      <c r="F804" s="66" t="n"/>
      <c r="G804" s="65" t="n"/>
      <c r="H804" s="66" t="n"/>
      <c r="I804" s="64" t="n"/>
      <c r="J804" s="68" t="n"/>
      <c r="K804" s="68" t="n"/>
      <c r="L804" s="68" t="n"/>
      <c r="M804" s="64" t="n"/>
      <c r="N804" s="64" t="n"/>
      <c r="O804" s="64" t="n"/>
      <c r="P804" s="64" t="n"/>
      <c r="Q804" s="64" t="n"/>
      <c r="R804" s="64" t="n"/>
      <c r="S804" s="66" t="n"/>
      <c r="T804" s="45" t="n"/>
      <c r="U804" s="43">
        <f t="shared" si="0"/>
      </c>
      <c r="V804" s="49">
        <f t="shared" si="1"/>
      </c>
      <c r="W804" s="49">
        <f t="shared" si="2"/>
      </c>
      <c r="X804" s="2">
        <f t="shared" si="3"/>
      </c>
      <c r="Y804" s="2">
        <f t="shared" si="4"/>
      </c>
      <c r="Z804" s="2">
        <f t="shared" si="5"/>
        <v>0</v>
      </c>
      <c r="AA804" s="2">
        <f t="shared" si="6"/>
        <v>0</v>
      </c>
      <c r="AB804" s="2">
        <f t="shared" si="7"/>
        <v>0</v>
      </c>
      <c r="AC804" s="2">
        <f t="shared" si="8"/>
      </c>
    </row>
    <row r="805">
      <c r="A805" s="64" t="n"/>
      <c r="B805" s="65" t="n"/>
      <c r="C805" s="65" t="n"/>
      <c r="D805" s="65" t="n"/>
      <c r="E805" s="65" t="n"/>
      <c r="F805" s="66" t="n"/>
      <c r="G805" s="65" t="n"/>
      <c r="H805" s="66" t="n"/>
      <c r="I805" s="64" t="n"/>
      <c r="J805" s="68" t="n"/>
      <c r="K805" s="68" t="n"/>
      <c r="L805" s="68" t="n"/>
      <c r="M805" s="64" t="n"/>
      <c r="N805" s="64" t="n"/>
      <c r="O805" s="64" t="n"/>
      <c r="P805" s="64" t="n"/>
      <c r="Q805" s="64" t="n"/>
      <c r="R805" s="64" t="n"/>
      <c r="S805" s="66" t="n"/>
      <c r="T805" s="45" t="n"/>
      <c r="U805" s="43">
        <f t="shared" si="0"/>
      </c>
      <c r="V805" s="49">
        <f t="shared" si="1"/>
      </c>
      <c r="W805" s="49">
        <f t="shared" si="2"/>
      </c>
      <c r="X805" s="2">
        <f t="shared" si="3"/>
      </c>
      <c r="Y805" s="2">
        <f t="shared" si="4"/>
      </c>
      <c r="Z805" s="2">
        <f t="shared" si="5"/>
        <v>0</v>
      </c>
      <c r="AA805" s="2">
        <f t="shared" si="6"/>
        <v>0</v>
      </c>
      <c r="AB805" s="2">
        <f t="shared" si="7"/>
        <v>0</v>
      </c>
      <c r="AC805" s="2">
        <f t="shared" si="8"/>
      </c>
    </row>
    <row r="806">
      <c r="A806" s="64" t="n"/>
      <c r="B806" s="65" t="n"/>
      <c r="C806" s="65" t="n"/>
      <c r="D806" s="65" t="n"/>
      <c r="E806" s="65" t="n"/>
      <c r="F806" s="66" t="n"/>
      <c r="G806" s="65" t="n"/>
      <c r="H806" s="66" t="n"/>
      <c r="I806" s="64" t="n"/>
      <c r="J806" s="68" t="n"/>
      <c r="K806" s="68" t="n"/>
      <c r="L806" s="68" t="n"/>
      <c r="M806" s="64" t="n"/>
      <c r="N806" s="64" t="n"/>
      <c r="O806" s="64" t="n"/>
      <c r="P806" s="64" t="n"/>
      <c r="Q806" s="64" t="n"/>
      <c r="R806" s="64" t="n"/>
      <c r="S806" s="66" t="n"/>
      <c r="T806" s="45" t="n"/>
      <c r="U806" s="43">
        <f t="shared" si="0"/>
      </c>
      <c r="V806" s="49">
        <f t="shared" si="1"/>
      </c>
      <c r="W806" s="49">
        <f t="shared" si="2"/>
      </c>
      <c r="X806" s="2">
        <f t="shared" si="3"/>
      </c>
      <c r="Y806" s="2">
        <f t="shared" si="4"/>
      </c>
      <c r="Z806" s="2">
        <f t="shared" si="5"/>
        <v>0</v>
      </c>
      <c r="AA806" s="2">
        <f t="shared" si="6"/>
        <v>0</v>
      </c>
      <c r="AB806" s="2">
        <f t="shared" si="7"/>
        <v>0</v>
      </c>
      <c r="AC806" s="2">
        <f t="shared" si="8"/>
      </c>
    </row>
    <row r="807">
      <c r="A807" s="64" t="n"/>
      <c r="B807" s="65" t="n"/>
      <c r="C807" s="65" t="n"/>
      <c r="D807" s="65" t="n"/>
      <c r="E807" s="65" t="n"/>
      <c r="F807" s="66" t="n"/>
      <c r="G807" s="65" t="n"/>
      <c r="H807" s="66" t="n"/>
      <c r="I807" s="64" t="n"/>
      <c r="J807" s="68" t="n"/>
      <c r="K807" s="68" t="n"/>
      <c r="L807" s="68" t="n"/>
      <c r="M807" s="64" t="n"/>
      <c r="N807" s="64" t="n"/>
      <c r="O807" s="64" t="n"/>
      <c r="P807" s="64" t="n"/>
      <c r="Q807" s="64" t="n"/>
      <c r="R807" s="64" t="n"/>
      <c r="S807" s="66" t="n"/>
      <c r="T807" s="45" t="n"/>
      <c r="U807" s="43">
        <f t="shared" si="0"/>
      </c>
      <c r="V807" s="49">
        <f t="shared" si="1"/>
      </c>
      <c r="W807" s="49">
        <f t="shared" si="2"/>
      </c>
      <c r="X807" s="2">
        <f t="shared" si="3"/>
      </c>
      <c r="Y807" s="2">
        <f t="shared" si="4"/>
      </c>
      <c r="Z807" s="2">
        <f t="shared" si="5"/>
        <v>0</v>
      </c>
      <c r="AA807" s="2">
        <f t="shared" si="6"/>
        <v>0</v>
      </c>
      <c r="AB807" s="2">
        <f t="shared" si="7"/>
        <v>0</v>
      </c>
      <c r="AC807" s="2">
        <f t="shared" si="8"/>
      </c>
    </row>
    <row r="808">
      <c r="A808" s="64" t="n"/>
      <c r="B808" s="65" t="n"/>
      <c r="C808" s="65" t="n"/>
      <c r="D808" s="65" t="n"/>
      <c r="E808" s="65" t="n"/>
      <c r="F808" s="66" t="n"/>
      <c r="G808" s="65" t="n"/>
      <c r="H808" s="66" t="n"/>
      <c r="I808" s="64" t="n"/>
      <c r="J808" s="68" t="n"/>
      <c r="K808" s="68" t="n"/>
      <c r="L808" s="68" t="n"/>
      <c r="M808" s="64" t="n"/>
      <c r="N808" s="64" t="n"/>
      <c r="O808" s="64" t="n"/>
      <c r="P808" s="64" t="n"/>
      <c r="Q808" s="64" t="n"/>
      <c r="R808" s="64" t="n"/>
      <c r="S808" s="66" t="n"/>
      <c r="T808" s="45" t="n"/>
      <c r="U808" s="43">
        <f t="shared" si="0"/>
      </c>
      <c r="V808" s="49">
        <f t="shared" si="1"/>
      </c>
      <c r="W808" s="49">
        <f t="shared" si="2"/>
      </c>
      <c r="X808" s="2">
        <f t="shared" si="3"/>
      </c>
      <c r="Y808" s="2">
        <f t="shared" si="4"/>
      </c>
      <c r="Z808" s="2">
        <f t="shared" si="5"/>
        <v>0</v>
      </c>
      <c r="AA808" s="2">
        <f t="shared" si="6"/>
        <v>0</v>
      </c>
      <c r="AB808" s="2">
        <f t="shared" si="7"/>
        <v>0</v>
      </c>
      <c r="AC808" s="2">
        <f t="shared" si="8"/>
      </c>
    </row>
    <row r="809">
      <c r="A809" s="64" t="n"/>
      <c r="B809" s="65" t="n"/>
      <c r="C809" s="65" t="n"/>
      <c r="D809" s="65" t="n"/>
      <c r="E809" s="65" t="n"/>
      <c r="F809" s="66" t="n"/>
      <c r="G809" s="65" t="n"/>
      <c r="H809" s="66" t="n"/>
      <c r="I809" s="64" t="n"/>
      <c r="J809" s="68" t="n"/>
      <c r="K809" s="68" t="n"/>
      <c r="L809" s="68" t="n"/>
      <c r="M809" s="64" t="n"/>
      <c r="N809" s="64" t="n"/>
      <c r="O809" s="64" t="n"/>
      <c r="P809" s="64" t="n"/>
      <c r="Q809" s="64" t="n"/>
      <c r="R809" s="64" t="n"/>
      <c r="S809" s="66" t="n"/>
      <c r="T809" s="45" t="n"/>
      <c r="U809" s="43">
        <f t="shared" si="0"/>
      </c>
      <c r="V809" s="49">
        <f t="shared" si="1"/>
      </c>
      <c r="W809" s="49">
        <f t="shared" si="2"/>
      </c>
      <c r="X809" s="2">
        <f t="shared" si="3"/>
      </c>
      <c r="Y809" s="2">
        <f t="shared" si="4"/>
      </c>
      <c r="Z809" s="2">
        <f t="shared" si="5"/>
        <v>0</v>
      </c>
      <c r="AA809" s="2">
        <f t="shared" si="6"/>
        <v>0</v>
      </c>
      <c r="AB809" s="2">
        <f t="shared" si="7"/>
        <v>0</v>
      </c>
      <c r="AC809" s="2">
        <f t="shared" si="8"/>
      </c>
    </row>
    <row r="810">
      <c r="A810" s="64" t="n"/>
      <c r="B810" s="65" t="n"/>
      <c r="C810" s="65" t="n"/>
      <c r="D810" s="65" t="n"/>
      <c r="E810" s="65" t="n"/>
      <c r="F810" s="66" t="n"/>
      <c r="G810" s="65" t="n"/>
      <c r="H810" s="66" t="n"/>
      <c r="I810" s="64" t="n"/>
      <c r="J810" s="68" t="n"/>
      <c r="K810" s="68" t="n"/>
      <c r="L810" s="68" t="n"/>
      <c r="M810" s="64" t="n"/>
      <c r="N810" s="64" t="n"/>
      <c r="O810" s="64" t="n"/>
      <c r="P810" s="64" t="n"/>
      <c r="Q810" s="64" t="n"/>
      <c r="R810" s="64" t="n"/>
      <c r="S810" s="66" t="n"/>
      <c r="T810" s="45" t="n"/>
      <c r="U810" s="43">
        <f t="shared" si="0"/>
      </c>
      <c r="V810" s="49">
        <f t="shared" si="1"/>
      </c>
      <c r="W810" s="49">
        <f t="shared" si="2"/>
      </c>
      <c r="X810" s="2">
        <f t="shared" si="3"/>
      </c>
      <c r="Y810" s="2">
        <f t="shared" si="4"/>
      </c>
      <c r="Z810" s="2">
        <f t="shared" si="5"/>
        <v>0</v>
      </c>
      <c r="AA810" s="2">
        <f t="shared" si="6"/>
        <v>0</v>
      </c>
      <c r="AB810" s="2">
        <f t="shared" si="7"/>
        <v>0</v>
      </c>
      <c r="AC810" s="2">
        <f t="shared" si="8"/>
      </c>
    </row>
    <row r="811">
      <c r="A811" s="64" t="n"/>
      <c r="B811" s="65" t="n"/>
      <c r="C811" s="65" t="n"/>
      <c r="D811" s="65" t="n"/>
      <c r="E811" s="65" t="n"/>
      <c r="F811" s="66" t="n"/>
      <c r="G811" s="65" t="n"/>
      <c r="H811" s="66" t="n"/>
      <c r="I811" s="64" t="n"/>
      <c r="J811" s="68" t="n"/>
      <c r="K811" s="68" t="n"/>
      <c r="L811" s="68" t="n"/>
      <c r="M811" s="64" t="n"/>
      <c r="N811" s="64" t="n"/>
      <c r="O811" s="64" t="n"/>
      <c r="P811" s="64" t="n"/>
      <c r="Q811" s="64" t="n"/>
      <c r="R811" s="64" t="n"/>
      <c r="S811" s="66" t="n"/>
      <c r="T811" s="45" t="n"/>
      <c r="U811" s="43">
        <f t="shared" si="0"/>
      </c>
      <c r="V811" s="49">
        <f t="shared" si="1"/>
      </c>
      <c r="W811" s="49">
        <f t="shared" si="2"/>
      </c>
      <c r="X811" s="2">
        <f t="shared" si="3"/>
      </c>
      <c r="Y811" s="2">
        <f t="shared" si="4"/>
      </c>
      <c r="Z811" s="2">
        <f t="shared" si="5"/>
        <v>0</v>
      </c>
      <c r="AA811" s="2">
        <f t="shared" si="6"/>
        <v>0</v>
      </c>
      <c r="AB811" s="2">
        <f t="shared" si="7"/>
        <v>0</v>
      </c>
      <c r="AC811" s="2">
        <f t="shared" si="8"/>
      </c>
    </row>
    <row r="812">
      <c r="A812" s="64" t="n"/>
      <c r="B812" s="65" t="n"/>
      <c r="C812" s="65" t="n"/>
      <c r="D812" s="65" t="n"/>
      <c r="E812" s="65" t="n"/>
      <c r="F812" s="66" t="n"/>
      <c r="G812" s="65" t="n"/>
      <c r="H812" s="66" t="n"/>
      <c r="I812" s="64" t="n"/>
      <c r="J812" s="68" t="n"/>
      <c r="K812" s="68" t="n"/>
      <c r="L812" s="68" t="n"/>
      <c r="M812" s="64" t="n"/>
      <c r="N812" s="64" t="n"/>
      <c r="O812" s="64" t="n"/>
      <c r="P812" s="64" t="n"/>
      <c r="Q812" s="64" t="n"/>
      <c r="R812" s="64" t="n"/>
      <c r="S812" s="66" t="n"/>
      <c r="T812" s="45" t="n"/>
      <c r="U812" s="43">
        <f t="shared" si="0"/>
      </c>
      <c r="V812" s="49">
        <f t="shared" si="1"/>
      </c>
      <c r="W812" s="49">
        <f t="shared" si="2"/>
      </c>
      <c r="X812" s="2">
        <f t="shared" si="3"/>
      </c>
      <c r="Y812" s="2">
        <f t="shared" si="4"/>
      </c>
      <c r="Z812" s="2">
        <f t="shared" si="5"/>
        <v>0</v>
      </c>
      <c r="AA812" s="2">
        <f t="shared" si="6"/>
        <v>0</v>
      </c>
      <c r="AB812" s="2">
        <f t="shared" si="7"/>
        <v>0</v>
      </c>
      <c r="AC812" s="2">
        <f t="shared" si="8"/>
      </c>
    </row>
    <row r="813">
      <c r="A813" s="64" t="n"/>
      <c r="B813" s="65" t="n"/>
      <c r="C813" s="65" t="n"/>
      <c r="D813" s="65" t="n"/>
      <c r="E813" s="65" t="n"/>
      <c r="F813" s="66" t="n"/>
      <c r="G813" s="65" t="n"/>
      <c r="H813" s="66" t="n"/>
      <c r="I813" s="64" t="n"/>
      <c r="J813" s="68" t="n"/>
      <c r="K813" s="68" t="n"/>
      <c r="L813" s="68" t="n"/>
      <c r="M813" s="64" t="n"/>
      <c r="N813" s="64" t="n"/>
      <c r="O813" s="64" t="n"/>
      <c r="P813" s="64" t="n"/>
      <c r="Q813" s="64" t="n"/>
      <c r="R813" s="64" t="n"/>
      <c r="S813" s="66" t="n"/>
      <c r="T813" s="45" t="n"/>
      <c r="U813" s="43">
        <f t="shared" si="0"/>
      </c>
      <c r="V813" s="49">
        <f t="shared" si="1"/>
      </c>
      <c r="W813" s="49">
        <f t="shared" si="2"/>
      </c>
      <c r="X813" s="2">
        <f t="shared" si="3"/>
      </c>
      <c r="Y813" s="2">
        <f t="shared" si="4"/>
      </c>
      <c r="Z813" s="2">
        <f t="shared" si="5"/>
        <v>0</v>
      </c>
      <c r="AA813" s="2">
        <f t="shared" si="6"/>
        <v>0</v>
      </c>
      <c r="AB813" s="2">
        <f t="shared" si="7"/>
        <v>0</v>
      </c>
      <c r="AC813" s="2">
        <f t="shared" si="8"/>
      </c>
    </row>
    <row r="814">
      <c r="A814" s="64" t="n"/>
      <c r="B814" s="65" t="n"/>
      <c r="C814" s="65" t="n"/>
      <c r="D814" s="65" t="n"/>
      <c r="E814" s="65" t="n"/>
      <c r="F814" s="66" t="n"/>
      <c r="G814" s="65" t="n"/>
      <c r="H814" s="66" t="n"/>
      <c r="I814" s="64" t="n"/>
      <c r="J814" s="68" t="n"/>
      <c r="K814" s="68" t="n"/>
      <c r="L814" s="68" t="n"/>
      <c r="M814" s="64" t="n"/>
      <c r="N814" s="64" t="n"/>
      <c r="O814" s="64" t="n"/>
      <c r="P814" s="64" t="n"/>
      <c r="Q814" s="64" t="n"/>
      <c r="R814" s="64" t="n"/>
      <c r="S814" s="66" t="n"/>
      <c r="T814" s="45" t="n"/>
      <c r="U814" s="43">
        <f t="shared" si="0"/>
      </c>
      <c r="V814" s="49">
        <f t="shared" si="1"/>
      </c>
      <c r="W814" s="49">
        <f t="shared" si="2"/>
      </c>
      <c r="X814" s="2">
        <f t="shared" si="3"/>
      </c>
      <c r="Y814" s="2">
        <f t="shared" si="4"/>
      </c>
      <c r="Z814" s="2">
        <f t="shared" si="5"/>
        <v>0</v>
      </c>
      <c r="AA814" s="2">
        <f t="shared" si="6"/>
        <v>0</v>
      </c>
      <c r="AB814" s="2">
        <f t="shared" si="7"/>
        <v>0</v>
      </c>
      <c r="AC814" s="2">
        <f t="shared" si="8"/>
      </c>
    </row>
    <row r="815">
      <c r="A815" s="64" t="n"/>
      <c r="B815" s="65" t="n"/>
      <c r="C815" s="65" t="n"/>
      <c r="D815" s="65" t="n"/>
      <c r="E815" s="65" t="n"/>
      <c r="F815" s="66" t="n"/>
      <c r="G815" s="65" t="n"/>
      <c r="H815" s="66" t="n"/>
      <c r="I815" s="64" t="n"/>
      <c r="J815" s="68" t="n"/>
      <c r="K815" s="68" t="n"/>
      <c r="L815" s="68" t="n"/>
      <c r="M815" s="64" t="n"/>
      <c r="N815" s="64" t="n"/>
      <c r="O815" s="64" t="n"/>
      <c r="P815" s="64" t="n"/>
      <c r="Q815" s="64" t="n"/>
      <c r="R815" s="64" t="n"/>
      <c r="S815" s="66" t="n"/>
      <c r="T815" s="45" t="n"/>
      <c r="U815" s="43">
        <f t="shared" si="0"/>
      </c>
      <c r="V815" s="49">
        <f t="shared" si="1"/>
      </c>
      <c r="W815" s="49">
        <f t="shared" si="2"/>
      </c>
      <c r="X815" s="2">
        <f t="shared" si="3"/>
      </c>
      <c r="Y815" s="2">
        <f t="shared" si="4"/>
      </c>
      <c r="Z815" s="2">
        <f t="shared" si="5"/>
        <v>0</v>
      </c>
      <c r="AA815" s="2">
        <f t="shared" si="6"/>
        <v>0</v>
      </c>
      <c r="AB815" s="2">
        <f t="shared" si="7"/>
        <v>0</v>
      </c>
      <c r="AC815" s="2">
        <f t="shared" si="8"/>
      </c>
    </row>
    <row r="816">
      <c r="A816" s="64" t="n"/>
      <c r="B816" s="65" t="n"/>
      <c r="C816" s="65" t="n"/>
      <c r="D816" s="65" t="n"/>
      <c r="E816" s="65" t="n"/>
      <c r="F816" s="66" t="n"/>
      <c r="G816" s="65" t="n"/>
      <c r="H816" s="66" t="n"/>
      <c r="I816" s="64" t="n"/>
      <c r="J816" s="68" t="n"/>
      <c r="K816" s="68" t="n"/>
      <c r="L816" s="68" t="n"/>
      <c r="M816" s="64" t="n"/>
      <c r="N816" s="64" t="n"/>
      <c r="O816" s="64" t="n"/>
      <c r="P816" s="64" t="n"/>
      <c r="Q816" s="64" t="n"/>
      <c r="R816" s="64" t="n"/>
      <c r="S816" s="66" t="n"/>
      <c r="T816" s="45" t="n"/>
      <c r="U816" s="43">
        <f t="shared" si="0"/>
      </c>
      <c r="V816" s="49">
        <f t="shared" si="1"/>
      </c>
      <c r="W816" s="49">
        <f t="shared" si="2"/>
      </c>
      <c r="X816" s="2">
        <f t="shared" si="3"/>
      </c>
      <c r="Y816" s="2">
        <f t="shared" si="4"/>
      </c>
      <c r="Z816" s="2">
        <f t="shared" si="5"/>
        <v>0</v>
      </c>
      <c r="AA816" s="2">
        <f t="shared" si="6"/>
        <v>0</v>
      </c>
      <c r="AB816" s="2">
        <f t="shared" si="7"/>
        <v>0</v>
      </c>
      <c r="AC816" s="2">
        <f t="shared" si="8"/>
      </c>
    </row>
    <row r="817">
      <c r="A817" s="64" t="n"/>
      <c r="B817" s="65" t="n"/>
      <c r="C817" s="65" t="n"/>
      <c r="D817" s="65" t="n"/>
      <c r="E817" s="65" t="n"/>
      <c r="F817" s="66" t="n"/>
      <c r="G817" s="65" t="n"/>
      <c r="H817" s="66" t="n"/>
      <c r="I817" s="64" t="n"/>
      <c r="J817" s="68" t="n"/>
      <c r="K817" s="68" t="n"/>
      <c r="L817" s="68" t="n"/>
      <c r="M817" s="64" t="n"/>
      <c r="N817" s="64" t="n"/>
      <c r="O817" s="64" t="n"/>
      <c r="P817" s="64" t="n"/>
      <c r="Q817" s="64" t="n"/>
      <c r="R817" s="64" t="n"/>
      <c r="S817" s="66" t="n"/>
      <c r="T817" s="45" t="n"/>
      <c r="U817" s="43">
        <f t="shared" si="0"/>
      </c>
      <c r="V817" s="49">
        <f t="shared" si="1"/>
      </c>
      <c r="W817" s="49">
        <f t="shared" si="2"/>
      </c>
      <c r="X817" s="2">
        <f t="shared" si="3"/>
      </c>
      <c r="Y817" s="2">
        <f t="shared" si="4"/>
      </c>
      <c r="Z817" s="2">
        <f t="shared" si="5"/>
        <v>0</v>
      </c>
      <c r="AA817" s="2">
        <f t="shared" si="6"/>
        <v>0</v>
      </c>
      <c r="AB817" s="2">
        <f t="shared" si="7"/>
        <v>0</v>
      </c>
      <c r="AC817" s="2">
        <f t="shared" si="8"/>
      </c>
    </row>
    <row r="818">
      <c r="A818" s="64" t="n"/>
      <c r="B818" s="65" t="n"/>
      <c r="C818" s="65" t="n"/>
      <c r="D818" s="65" t="n"/>
      <c r="E818" s="65" t="n"/>
      <c r="F818" s="66" t="n"/>
      <c r="G818" s="65" t="n"/>
      <c r="H818" s="66" t="n"/>
      <c r="I818" s="64" t="n"/>
      <c r="J818" s="68" t="n"/>
      <c r="K818" s="68" t="n"/>
      <c r="L818" s="68" t="n"/>
      <c r="M818" s="64" t="n"/>
      <c r="N818" s="64" t="n"/>
      <c r="O818" s="64" t="n"/>
      <c r="P818" s="64" t="n"/>
      <c r="Q818" s="64" t="n"/>
      <c r="R818" s="64" t="n"/>
      <c r="S818" s="66" t="n"/>
      <c r="T818" s="45" t="n"/>
      <c r="U818" s="43">
        <f t="shared" si="0"/>
      </c>
      <c r="V818" s="49">
        <f t="shared" si="1"/>
      </c>
      <c r="W818" s="49">
        <f t="shared" si="2"/>
      </c>
      <c r="X818" s="2">
        <f t="shared" si="3"/>
      </c>
      <c r="Y818" s="2">
        <f t="shared" si="4"/>
      </c>
      <c r="Z818" s="2">
        <f t="shared" si="5"/>
        <v>0</v>
      </c>
      <c r="AA818" s="2">
        <f t="shared" si="6"/>
        <v>0</v>
      </c>
      <c r="AB818" s="2">
        <f t="shared" si="7"/>
        <v>0</v>
      </c>
      <c r="AC818" s="2">
        <f t="shared" si="8"/>
      </c>
    </row>
    <row r="819">
      <c r="A819" s="64" t="n"/>
      <c r="B819" s="65" t="n"/>
      <c r="C819" s="65" t="n"/>
      <c r="D819" s="65" t="n"/>
      <c r="E819" s="65" t="n"/>
      <c r="F819" s="66" t="n"/>
      <c r="G819" s="65" t="n"/>
      <c r="H819" s="66" t="n"/>
      <c r="I819" s="64" t="n"/>
      <c r="J819" s="68" t="n"/>
      <c r="K819" s="68" t="n"/>
      <c r="L819" s="68" t="n"/>
      <c r="M819" s="64" t="n"/>
      <c r="N819" s="64" t="n"/>
      <c r="O819" s="64" t="n"/>
      <c r="P819" s="64" t="n"/>
      <c r="Q819" s="64" t="n"/>
      <c r="R819" s="64" t="n"/>
      <c r="S819" s="66" t="n"/>
      <c r="T819" s="45" t="n"/>
      <c r="U819" s="43">
        <f t="shared" si="0"/>
      </c>
      <c r="V819" s="49">
        <f t="shared" si="1"/>
      </c>
      <c r="W819" s="49">
        <f t="shared" si="2"/>
      </c>
      <c r="X819" s="2">
        <f t="shared" si="3"/>
      </c>
      <c r="Y819" s="2">
        <f t="shared" si="4"/>
      </c>
      <c r="Z819" s="2">
        <f t="shared" si="5"/>
        <v>0</v>
      </c>
      <c r="AA819" s="2">
        <f t="shared" si="6"/>
        <v>0</v>
      </c>
      <c r="AB819" s="2">
        <f t="shared" si="7"/>
        <v>0</v>
      </c>
      <c r="AC819" s="2">
        <f t="shared" si="8"/>
      </c>
    </row>
    <row r="820">
      <c r="A820" s="64" t="n"/>
      <c r="B820" s="65" t="n"/>
      <c r="C820" s="65" t="n"/>
      <c r="D820" s="65" t="n"/>
      <c r="E820" s="65" t="n"/>
      <c r="F820" s="66" t="n"/>
      <c r="G820" s="65" t="n"/>
      <c r="H820" s="66" t="n"/>
      <c r="I820" s="64" t="n"/>
      <c r="J820" s="68" t="n"/>
      <c r="K820" s="68" t="n"/>
      <c r="L820" s="68" t="n"/>
      <c r="M820" s="64" t="n"/>
      <c r="N820" s="64" t="n"/>
      <c r="O820" s="64" t="n"/>
      <c r="P820" s="64" t="n"/>
      <c r="Q820" s="64" t="n"/>
      <c r="R820" s="64" t="n"/>
      <c r="S820" s="66" t="n"/>
      <c r="T820" s="45" t="n"/>
      <c r="U820" s="43">
        <f t="shared" si="0"/>
      </c>
      <c r="V820" s="49">
        <f t="shared" si="1"/>
      </c>
      <c r="W820" s="49">
        <f t="shared" si="2"/>
      </c>
      <c r="X820" s="2">
        <f t="shared" si="3"/>
      </c>
      <c r="Y820" s="2">
        <f t="shared" si="4"/>
      </c>
      <c r="Z820" s="2">
        <f t="shared" si="5"/>
        <v>0</v>
      </c>
      <c r="AA820" s="2">
        <f t="shared" si="6"/>
        <v>0</v>
      </c>
      <c r="AB820" s="2">
        <f t="shared" si="7"/>
        <v>0</v>
      </c>
      <c r="AC820" s="2">
        <f t="shared" si="8"/>
      </c>
    </row>
    <row r="821">
      <c r="A821" s="64" t="n"/>
      <c r="B821" s="65" t="n"/>
      <c r="C821" s="65" t="n"/>
      <c r="D821" s="65" t="n"/>
      <c r="E821" s="65" t="n"/>
      <c r="F821" s="66" t="n"/>
      <c r="G821" s="65" t="n"/>
      <c r="H821" s="66" t="n"/>
      <c r="I821" s="64" t="n"/>
      <c r="J821" s="68" t="n"/>
      <c r="K821" s="68" t="n"/>
      <c r="L821" s="68" t="n"/>
      <c r="M821" s="64" t="n"/>
      <c r="N821" s="64" t="n"/>
      <c r="O821" s="64" t="n"/>
      <c r="P821" s="64" t="n"/>
      <c r="Q821" s="64" t="n"/>
      <c r="R821" s="64" t="n"/>
      <c r="S821" s="66" t="n"/>
      <c r="T821" s="45" t="n"/>
      <c r="U821" s="43">
        <f t="shared" si="0"/>
      </c>
      <c r="V821" s="49">
        <f t="shared" si="1"/>
      </c>
      <c r="W821" s="49">
        <f t="shared" si="2"/>
      </c>
      <c r="X821" s="2">
        <f t="shared" si="3"/>
      </c>
      <c r="Y821" s="2">
        <f t="shared" si="4"/>
      </c>
      <c r="Z821" s="2">
        <f t="shared" si="5"/>
        <v>0</v>
      </c>
      <c r="AA821" s="2">
        <f t="shared" si="6"/>
        <v>0</v>
      </c>
      <c r="AB821" s="2">
        <f t="shared" si="7"/>
        <v>0</v>
      </c>
      <c r="AC821" s="2">
        <f t="shared" si="8"/>
      </c>
    </row>
    <row r="822">
      <c r="A822" s="64" t="n"/>
      <c r="B822" s="65" t="n"/>
      <c r="C822" s="65" t="n"/>
      <c r="D822" s="65" t="n"/>
      <c r="E822" s="65" t="n"/>
      <c r="F822" s="66" t="n"/>
      <c r="G822" s="65" t="n"/>
      <c r="H822" s="66" t="n"/>
      <c r="I822" s="64" t="n"/>
      <c r="J822" s="68" t="n"/>
      <c r="K822" s="68" t="n"/>
      <c r="L822" s="68" t="n"/>
      <c r="M822" s="64" t="n"/>
      <c r="N822" s="64" t="n"/>
      <c r="O822" s="64" t="n"/>
      <c r="P822" s="64" t="n"/>
      <c r="Q822" s="64" t="n"/>
      <c r="R822" s="64" t="n"/>
      <c r="S822" s="66" t="n"/>
      <c r="T822" s="45" t="n"/>
      <c r="U822" s="43">
        <f t="shared" si="0"/>
      </c>
      <c r="V822" s="49">
        <f t="shared" si="1"/>
      </c>
      <c r="W822" s="49">
        <f t="shared" si="2"/>
      </c>
      <c r="X822" s="2">
        <f t="shared" si="3"/>
      </c>
      <c r="Y822" s="2">
        <f t="shared" si="4"/>
      </c>
      <c r="Z822" s="2">
        <f t="shared" si="5"/>
        <v>0</v>
      </c>
      <c r="AA822" s="2">
        <f t="shared" si="6"/>
        <v>0</v>
      </c>
      <c r="AB822" s="2">
        <f t="shared" si="7"/>
        <v>0</v>
      </c>
      <c r="AC822" s="2">
        <f t="shared" si="8"/>
      </c>
    </row>
    <row r="823">
      <c r="A823" s="64" t="n"/>
      <c r="B823" s="65" t="n"/>
      <c r="C823" s="65" t="n"/>
      <c r="D823" s="65" t="n"/>
      <c r="E823" s="65" t="n"/>
      <c r="F823" s="66" t="n"/>
      <c r="G823" s="65" t="n"/>
      <c r="H823" s="66" t="n"/>
      <c r="I823" s="64" t="n"/>
      <c r="J823" s="68" t="n"/>
      <c r="K823" s="68" t="n"/>
      <c r="L823" s="68" t="n"/>
      <c r="M823" s="64" t="n"/>
      <c r="N823" s="64" t="n"/>
      <c r="O823" s="64" t="n"/>
      <c r="P823" s="64" t="n"/>
      <c r="Q823" s="64" t="n"/>
      <c r="R823" s="64" t="n"/>
      <c r="S823" s="66" t="n"/>
      <c r="T823" s="45" t="n"/>
      <c r="U823" s="43">
        <f t="shared" si="0"/>
      </c>
      <c r="V823" s="49">
        <f t="shared" si="1"/>
      </c>
      <c r="W823" s="49">
        <f t="shared" si="2"/>
      </c>
      <c r="X823" s="2">
        <f t="shared" si="3"/>
      </c>
      <c r="Y823" s="2">
        <f t="shared" si="4"/>
      </c>
      <c r="Z823" s="2">
        <f t="shared" si="5"/>
        <v>0</v>
      </c>
      <c r="AA823" s="2">
        <f t="shared" si="6"/>
        <v>0</v>
      </c>
      <c r="AB823" s="2">
        <f t="shared" si="7"/>
        <v>0</v>
      </c>
      <c r="AC823" s="2">
        <f t="shared" si="8"/>
      </c>
    </row>
    <row r="824">
      <c r="A824" s="64" t="n"/>
      <c r="B824" s="65" t="n"/>
      <c r="C824" s="65" t="n"/>
      <c r="D824" s="65" t="n"/>
      <c r="E824" s="65" t="n"/>
      <c r="F824" s="66" t="n"/>
      <c r="G824" s="65" t="n"/>
      <c r="H824" s="66" t="n"/>
      <c r="I824" s="64" t="n"/>
      <c r="J824" s="68" t="n"/>
      <c r="K824" s="68" t="n"/>
      <c r="L824" s="68" t="n"/>
      <c r="M824" s="64" t="n"/>
      <c r="N824" s="64" t="n"/>
      <c r="O824" s="64" t="n"/>
      <c r="P824" s="64" t="n"/>
      <c r="Q824" s="64" t="n"/>
      <c r="R824" s="64" t="n"/>
      <c r="S824" s="66" t="n"/>
      <c r="T824" s="45" t="n"/>
      <c r="U824" s="43">
        <f t="shared" si="0"/>
      </c>
      <c r="V824" s="49">
        <f t="shared" si="1"/>
      </c>
      <c r="W824" s="49">
        <f t="shared" si="2"/>
      </c>
      <c r="X824" s="2">
        <f t="shared" si="3"/>
      </c>
      <c r="Y824" s="2">
        <f t="shared" si="4"/>
      </c>
      <c r="Z824" s="2">
        <f t="shared" si="5"/>
        <v>0</v>
      </c>
      <c r="AA824" s="2">
        <f t="shared" si="6"/>
        <v>0</v>
      </c>
      <c r="AB824" s="2">
        <f t="shared" si="7"/>
        <v>0</v>
      </c>
      <c r="AC824" s="2">
        <f t="shared" si="8"/>
      </c>
    </row>
    <row r="825">
      <c r="A825" s="64" t="n"/>
      <c r="B825" s="65" t="n"/>
      <c r="C825" s="65" t="n"/>
      <c r="D825" s="65" t="n"/>
      <c r="E825" s="65" t="n"/>
      <c r="F825" s="66" t="n"/>
      <c r="G825" s="65" t="n"/>
      <c r="H825" s="66" t="n"/>
      <c r="I825" s="64" t="n"/>
      <c r="J825" s="68" t="n"/>
      <c r="K825" s="68" t="n"/>
      <c r="L825" s="68" t="n"/>
      <c r="M825" s="64" t="n"/>
      <c r="N825" s="64" t="n"/>
      <c r="O825" s="64" t="n"/>
      <c r="P825" s="64" t="n"/>
      <c r="Q825" s="64" t="n"/>
      <c r="R825" s="64" t="n"/>
      <c r="S825" s="66" t="n"/>
      <c r="T825" s="45" t="n"/>
      <c r="U825" s="43">
        <f t="shared" si="0"/>
      </c>
      <c r="V825" s="49">
        <f t="shared" si="1"/>
      </c>
      <c r="W825" s="49">
        <f t="shared" si="2"/>
      </c>
      <c r="X825" s="2">
        <f t="shared" si="3"/>
      </c>
      <c r="Y825" s="2">
        <f t="shared" si="4"/>
      </c>
      <c r="Z825" s="2">
        <f t="shared" si="5"/>
        <v>0</v>
      </c>
      <c r="AA825" s="2">
        <f t="shared" si="6"/>
        <v>0</v>
      </c>
      <c r="AB825" s="2">
        <f t="shared" si="7"/>
        <v>0</v>
      </c>
      <c r="AC825" s="2">
        <f t="shared" si="8"/>
      </c>
    </row>
    <row r="826">
      <c r="A826" s="64" t="n"/>
      <c r="B826" s="65" t="n"/>
      <c r="C826" s="65" t="n"/>
      <c r="D826" s="65" t="n"/>
      <c r="E826" s="65" t="n"/>
      <c r="F826" s="66" t="n"/>
      <c r="G826" s="65" t="n"/>
      <c r="H826" s="66" t="n"/>
      <c r="I826" s="64" t="n"/>
      <c r="J826" s="68" t="n"/>
      <c r="K826" s="68" t="n"/>
      <c r="L826" s="68" t="n"/>
      <c r="M826" s="64" t="n"/>
      <c r="N826" s="64" t="n"/>
      <c r="O826" s="64" t="n"/>
      <c r="P826" s="64" t="n"/>
      <c r="Q826" s="64" t="n"/>
      <c r="R826" s="64" t="n"/>
      <c r="S826" s="66" t="n"/>
      <c r="T826" s="45" t="n"/>
      <c r="U826" s="43">
        <f t="shared" si="0"/>
      </c>
      <c r="V826" s="49">
        <f t="shared" si="1"/>
      </c>
      <c r="W826" s="49">
        <f t="shared" si="2"/>
      </c>
      <c r="X826" s="2">
        <f t="shared" si="3"/>
      </c>
      <c r="Y826" s="2">
        <f t="shared" si="4"/>
      </c>
      <c r="Z826" s="2">
        <f t="shared" si="5"/>
        <v>0</v>
      </c>
      <c r="AA826" s="2">
        <f t="shared" si="6"/>
        <v>0</v>
      </c>
      <c r="AB826" s="2">
        <f t="shared" si="7"/>
        <v>0</v>
      </c>
      <c r="AC826" s="2">
        <f t="shared" si="8"/>
      </c>
    </row>
    <row r="827">
      <c r="A827" s="64" t="n"/>
      <c r="B827" s="65" t="n"/>
      <c r="C827" s="65" t="n"/>
      <c r="D827" s="65" t="n"/>
      <c r="E827" s="65" t="n"/>
      <c r="F827" s="66" t="n"/>
      <c r="G827" s="65" t="n"/>
      <c r="H827" s="66" t="n"/>
      <c r="I827" s="64" t="n"/>
      <c r="J827" s="68" t="n"/>
      <c r="K827" s="68" t="n"/>
      <c r="L827" s="68" t="n"/>
      <c r="M827" s="64" t="n"/>
      <c r="N827" s="64" t="n"/>
      <c r="O827" s="64" t="n"/>
      <c r="P827" s="64" t="n"/>
      <c r="Q827" s="64" t="n"/>
      <c r="R827" s="64" t="n"/>
      <c r="S827" s="66" t="n"/>
      <c r="T827" s="45" t="n"/>
      <c r="U827" s="43">
        <f t="shared" si="0"/>
      </c>
      <c r="V827" s="49">
        <f t="shared" si="1"/>
      </c>
      <c r="W827" s="49">
        <f t="shared" si="2"/>
      </c>
      <c r="X827" s="2">
        <f t="shared" si="3"/>
      </c>
      <c r="Y827" s="2">
        <f t="shared" si="4"/>
      </c>
      <c r="Z827" s="2">
        <f t="shared" si="5"/>
        <v>0</v>
      </c>
      <c r="AA827" s="2">
        <f t="shared" si="6"/>
        <v>0</v>
      </c>
      <c r="AB827" s="2">
        <f t="shared" si="7"/>
        <v>0</v>
      </c>
      <c r="AC827" s="2">
        <f t="shared" si="8"/>
      </c>
    </row>
    <row r="828">
      <c r="A828" s="64" t="n"/>
      <c r="B828" s="65" t="n"/>
      <c r="C828" s="65" t="n"/>
      <c r="D828" s="65" t="n"/>
      <c r="E828" s="65" t="n"/>
      <c r="F828" s="66" t="n"/>
      <c r="G828" s="65" t="n"/>
      <c r="H828" s="66" t="n"/>
      <c r="I828" s="64" t="n"/>
      <c r="J828" s="68" t="n"/>
      <c r="K828" s="68" t="n"/>
      <c r="L828" s="68" t="n"/>
      <c r="M828" s="64" t="n"/>
      <c r="N828" s="64" t="n"/>
      <c r="O828" s="64" t="n"/>
      <c r="P828" s="64" t="n"/>
      <c r="Q828" s="64" t="n"/>
      <c r="R828" s="64" t="n"/>
      <c r="S828" s="66" t="n"/>
      <c r="T828" s="45" t="n"/>
      <c r="U828" s="43">
        <f t="shared" si="0"/>
      </c>
      <c r="V828" s="49">
        <f t="shared" si="1"/>
      </c>
      <c r="W828" s="49">
        <f t="shared" si="2"/>
      </c>
      <c r="X828" s="2">
        <f t="shared" si="3"/>
      </c>
      <c r="Y828" s="2">
        <f t="shared" si="4"/>
      </c>
      <c r="Z828" s="2">
        <f t="shared" si="5"/>
        <v>0</v>
      </c>
      <c r="AA828" s="2">
        <f t="shared" si="6"/>
        <v>0</v>
      </c>
      <c r="AB828" s="2">
        <f t="shared" si="7"/>
        <v>0</v>
      </c>
      <c r="AC828" s="2">
        <f t="shared" si="8"/>
      </c>
    </row>
    <row r="829">
      <c r="A829" s="64" t="n"/>
      <c r="B829" s="65" t="n"/>
      <c r="C829" s="65" t="n"/>
      <c r="D829" s="65" t="n"/>
      <c r="E829" s="65" t="n"/>
      <c r="F829" s="66" t="n"/>
      <c r="G829" s="65" t="n"/>
      <c r="H829" s="66" t="n"/>
      <c r="I829" s="64" t="n"/>
      <c r="J829" s="68" t="n"/>
      <c r="K829" s="68" t="n"/>
      <c r="L829" s="68" t="n"/>
      <c r="M829" s="64" t="n"/>
      <c r="N829" s="64" t="n"/>
      <c r="O829" s="64" t="n"/>
      <c r="P829" s="64" t="n"/>
      <c r="Q829" s="64" t="n"/>
      <c r="R829" s="64" t="n"/>
      <c r="S829" s="66" t="n"/>
      <c r="T829" s="45" t="n"/>
      <c r="U829" s="43">
        <f t="shared" si="0"/>
      </c>
      <c r="V829" s="49">
        <f t="shared" si="1"/>
      </c>
      <c r="W829" s="49">
        <f t="shared" si="2"/>
      </c>
      <c r="X829" s="2">
        <f t="shared" si="3"/>
      </c>
      <c r="Y829" s="2">
        <f t="shared" si="4"/>
      </c>
      <c r="Z829" s="2">
        <f t="shared" si="5"/>
        <v>0</v>
      </c>
      <c r="AA829" s="2">
        <f t="shared" si="6"/>
        <v>0</v>
      </c>
      <c r="AB829" s="2">
        <f t="shared" si="7"/>
        <v>0</v>
      </c>
      <c r="AC829" s="2">
        <f t="shared" si="8"/>
      </c>
    </row>
    <row r="830">
      <c r="A830" s="64" t="n"/>
      <c r="B830" s="65" t="n"/>
      <c r="C830" s="65" t="n"/>
      <c r="D830" s="65" t="n"/>
      <c r="E830" s="65" t="n"/>
      <c r="F830" s="66" t="n"/>
      <c r="G830" s="65" t="n"/>
      <c r="H830" s="66" t="n"/>
      <c r="I830" s="64" t="n"/>
      <c r="J830" s="68" t="n"/>
      <c r="K830" s="68" t="n"/>
      <c r="L830" s="68" t="n"/>
      <c r="M830" s="64" t="n"/>
      <c r="N830" s="64" t="n"/>
      <c r="O830" s="64" t="n"/>
      <c r="P830" s="64" t="n"/>
      <c r="Q830" s="64" t="n"/>
      <c r="R830" s="64" t="n"/>
      <c r="S830" s="66" t="n"/>
      <c r="T830" s="45" t="n"/>
      <c r="U830" s="43">
        <f t="shared" si="0"/>
      </c>
      <c r="V830" s="49">
        <f t="shared" si="1"/>
      </c>
      <c r="W830" s="49">
        <f t="shared" si="2"/>
      </c>
      <c r="X830" s="2">
        <f t="shared" si="3"/>
      </c>
      <c r="Y830" s="2">
        <f t="shared" si="4"/>
      </c>
      <c r="Z830" s="2">
        <f t="shared" si="5"/>
        <v>0</v>
      </c>
      <c r="AA830" s="2">
        <f t="shared" si="6"/>
        <v>0</v>
      </c>
      <c r="AB830" s="2">
        <f t="shared" si="7"/>
        <v>0</v>
      </c>
      <c r="AC830" s="2">
        <f t="shared" si="8"/>
      </c>
    </row>
    <row r="831">
      <c r="A831" s="64" t="n"/>
      <c r="B831" s="65" t="n"/>
      <c r="C831" s="65" t="n"/>
      <c r="D831" s="65" t="n"/>
      <c r="E831" s="65" t="n"/>
      <c r="F831" s="66" t="n"/>
      <c r="G831" s="65" t="n"/>
      <c r="H831" s="66" t="n"/>
      <c r="I831" s="64" t="n"/>
      <c r="J831" s="68" t="n"/>
      <c r="K831" s="68" t="n"/>
      <c r="L831" s="68" t="n"/>
      <c r="M831" s="64" t="n"/>
      <c r="N831" s="64" t="n"/>
      <c r="O831" s="64" t="n"/>
      <c r="P831" s="64" t="n"/>
      <c r="Q831" s="64" t="n"/>
      <c r="R831" s="64" t="n"/>
      <c r="S831" s="66" t="n"/>
      <c r="T831" s="45" t="n"/>
      <c r="U831" s="43">
        <f t="shared" si="0"/>
      </c>
      <c r="V831" s="49">
        <f t="shared" si="1"/>
      </c>
      <c r="W831" s="49">
        <f t="shared" si="2"/>
      </c>
      <c r="X831" s="2">
        <f t="shared" si="3"/>
      </c>
      <c r="Y831" s="2">
        <f t="shared" si="4"/>
      </c>
      <c r="Z831" s="2">
        <f t="shared" si="5"/>
        <v>0</v>
      </c>
      <c r="AA831" s="2">
        <f t="shared" si="6"/>
        <v>0</v>
      </c>
      <c r="AB831" s="2">
        <f t="shared" si="7"/>
        <v>0</v>
      </c>
      <c r="AC831" s="2">
        <f t="shared" si="8"/>
      </c>
    </row>
    <row r="832">
      <c r="A832" s="64" t="n"/>
      <c r="B832" s="65" t="n"/>
      <c r="C832" s="65" t="n"/>
      <c r="D832" s="65" t="n"/>
      <c r="E832" s="65" t="n"/>
      <c r="F832" s="66" t="n"/>
      <c r="G832" s="65" t="n"/>
      <c r="H832" s="66" t="n"/>
      <c r="I832" s="64" t="n"/>
      <c r="J832" s="68" t="n"/>
      <c r="K832" s="68" t="n"/>
      <c r="L832" s="68" t="n"/>
      <c r="M832" s="64" t="n"/>
      <c r="N832" s="64" t="n"/>
      <c r="O832" s="64" t="n"/>
      <c r="P832" s="64" t="n"/>
      <c r="Q832" s="64" t="n"/>
      <c r="R832" s="64" t="n"/>
      <c r="S832" s="66" t="n"/>
      <c r="T832" s="45" t="n"/>
      <c r="U832" s="43">
        <f t="shared" si="0"/>
      </c>
      <c r="V832" s="49">
        <f t="shared" si="1"/>
      </c>
      <c r="W832" s="49">
        <f t="shared" si="2"/>
      </c>
      <c r="X832" s="2">
        <f t="shared" si="3"/>
      </c>
      <c r="Y832" s="2">
        <f t="shared" si="4"/>
      </c>
      <c r="Z832" s="2">
        <f t="shared" si="5"/>
        <v>0</v>
      </c>
      <c r="AA832" s="2">
        <f t="shared" si="6"/>
        <v>0</v>
      </c>
      <c r="AB832" s="2">
        <f t="shared" si="7"/>
        <v>0</v>
      </c>
      <c r="AC832" s="2">
        <f t="shared" si="8"/>
      </c>
    </row>
    <row r="833">
      <c r="A833" s="64" t="n"/>
      <c r="B833" s="65" t="n"/>
      <c r="C833" s="65" t="n"/>
      <c r="D833" s="65" t="n"/>
      <c r="E833" s="65" t="n"/>
      <c r="F833" s="66" t="n"/>
      <c r="G833" s="65" t="n"/>
      <c r="H833" s="66" t="n"/>
      <c r="I833" s="64" t="n"/>
      <c r="J833" s="68" t="n"/>
      <c r="K833" s="68" t="n"/>
      <c r="L833" s="68" t="n"/>
      <c r="M833" s="64" t="n"/>
      <c r="N833" s="64" t="n"/>
      <c r="O833" s="64" t="n"/>
      <c r="P833" s="64" t="n"/>
      <c r="Q833" s="64" t="n"/>
      <c r="R833" s="64" t="n"/>
      <c r="S833" s="66" t="n"/>
      <c r="T833" s="45" t="n"/>
      <c r="U833" s="43">
        <f t="shared" si="0"/>
      </c>
      <c r="V833" s="49">
        <f t="shared" si="1"/>
      </c>
      <c r="W833" s="49">
        <f t="shared" si="2"/>
      </c>
      <c r="X833" s="2">
        <f t="shared" si="3"/>
      </c>
      <c r="Y833" s="2">
        <f t="shared" si="4"/>
      </c>
      <c r="Z833" s="2">
        <f t="shared" si="5"/>
        <v>0</v>
      </c>
      <c r="AA833" s="2">
        <f t="shared" si="6"/>
        <v>0</v>
      </c>
      <c r="AB833" s="2">
        <f t="shared" si="7"/>
        <v>0</v>
      </c>
      <c r="AC833" s="2">
        <f t="shared" si="8"/>
      </c>
    </row>
    <row r="834">
      <c r="A834" s="64" t="n"/>
      <c r="B834" s="65" t="n"/>
      <c r="C834" s="65" t="n"/>
      <c r="D834" s="65" t="n"/>
      <c r="E834" s="65" t="n"/>
      <c r="F834" s="66" t="n"/>
      <c r="G834" s="65" t="n"/>
      <c r="H834" s="66" t="n"/>
      <c r="I834" s="64" t="n"/>
      <c r="J834" s="68" t="n"/>
      <c r="K834" s="68" t="n"/>
      <c r="L834" s="68" t="n"/>
      <c r="M834" s="64" t="n"/>
      <c r="N834" s="64" t="n"/>
      <c r="O834" s="64" t="n"/>
      <c r="P834" s="64" t="n"/>
      <c r="Q834" s="64" t="n"/>
      <c r="R834" s="64" t="n"/>
      <c r="S834" s="66" t="n"/>
      <c r="T834" s="45" t="n"/>
      <c r="U834" s="43">
        <f t="shared" si="0"/>
      </c>
      <c r="V834" s="49">
        <f t="shared" si="1"/>
      </c>
      <c r="W834" s="49">
        <f t="shared" si="2"/>
      </c>
      <c r="X834" s="2">
        <f t="shared" si="3"/>
      </c>
      <c r="Y834" s="2">
        <f t="shared" si="4"/>
      </c>
      <c r="Z834" s="2">
        <f t="shared" si="5"/>
        <v>0</v>
      </c>
      <c r="AA834" s="2">
        <f t="shared" si="6"/>
        <v>0</v>
      </c>
      <c r="AB834" s="2">
        <f t="shared" si="7"/>
        <v>0</v>
      </c>
      <c r="AC834" s="2">
        <f t="shared" si="8"/>
      </c>
    </row>
    <row r="835">
      <c r="A835" s="64" t="n"/>
      <c r="B835" s="65" t="n"/>
      <c r="C835" s="65" t="n"/>
      <c r="D835" s="65" t="n"/>
      <c r="E835" s="65" t="n"/>
      <c r="F835" s="66" t="n"/>
      <c r="G835" s="65" t="n"/>
      <c r="H835" s="66" t="n"/>
      <c r="I835" s="64" t="n"/>
      <c r="J835" s="68" t="n"/>
      <c r="K835" s="68" t="n"/>
      <c r="L835" s="68" t="n"/>
      <c r="M835" s="64" t="n"/>
      <c r="N835" s="64" t="n"/>
      <c r="O835" s="64" t="n"/>
      <c r="P835" s="64" t="n"/>
      <c r="Q835" s="64" t="n"/>
      <c r="R835" s="64" t="n"/>
      <c r="S835" s="66" t="n"/>
      <c r="T835" s="45" t="n"/>
      <c r="U835" s="43">
        <f t="shared" si="0"/>
      </c>
      <c r="V835" s="49">
        <f t="shared" si="1"/>
      </c>
      <c r="W835" s="49">
        <f t="shared" si="2"/>
      </c>
      <c r="X835" s="2">
        <f t="shared" si="3"/>
      </c>
      <c r="Y835" s="2">
        <f t="shared" si="4"/>
      </c>
      <c r="Z835" s="2">
        <f t="shared" si="5"/>
        <v>0</v>
      </c>
      <c r="AA835" s="2">
        <f t="shared" si="6"/>
        <v>0</v>
      </c>
      <c r="AB835" s="2">
        <f t="shared" si="7"/>
        <v>0</v>
      </c>
      <c r="AC835" s="2">
        <f t="shared" si="8"/>
      </c>
    </row>
    <row r="836">
      <c r="A836" s="64" t="n"/>
      <c r="B836" s="65" t="n"/>
      <c r="C836" s="65" t="n"/>
      <c r="D836" s="65" t="n"/>
      <c r="E836" s="65" t="n"/>
      <c r="F836" s="66" t="n"/>
      <c r="G836" s="65" t="n"/>
      <c r="H836" s="66" t="n"/>
      <c r="I836" s="64" t="n"/>
      <c r="J836" s="68" t="n"/>
      <c r="K836" s="68" t="n"/>
      <c r="L836" s="68" t="n"/>
      <c r="M836" s="64" t="n"/>
      <c r="N836" s="64" t="n"/>
      <c r="O836" s="64" t="n"/>
      <c r="P836" s="64" t="n"/>
      <c r="Q836" s="64" t="n"/>
      <c r="R836" s="64" t="n"/>
      <c r="S836" s="66" t="n"/>
      <c r="T836" s="45" t="n"/>
      <c r="U836" s="43">
        <f t="shared" si="0"/>
      </c>
      <c r="V836" s="49">
        <f t="shared" si="1"/>
      </c>
      <c r="W836" s="49">
        <f t="shared" si="2"/>
      </c>
      <c r="X836" s="2">
        <f t="shared" si="3"/>
      </c>
      <c r="Y836" s="2">
        <f t="shared" si="4"/>
      </c>
      <c r="Z836" s="2">
        <f t="shared" si="5"/>
        <v>0</v>
      </c>
      <c r="AA836" s="2">
        <f t="shared" si="6"/>
        <v>0</v>
      </c>
      <c r="AB836" s="2">
        <f t="shared" si="7"/>
        <v>0</v>
      </c>
      <c r="AC836" s="2">
        <f t="shared" si="8"/>
      </c>
    </row>
    <row r="837">
      <c r="A837" s="64" t="n"/>
      <c r="B837" s="65" t="n"/>
      <c r="C837" s="65" t="n"/>
      <c r="D837" s="65" t="n"/>
      <c r="E837" s="65" t="n"/>
      <c r="F837" s="66" t="n"/>
      <c r="G837" s="65" t="n"/>
      <c r="H837" s="66" t="n"/>
      <c r="I837" s="64" t="n"/>
      <c r="J837" s="68" t="n"/>
      <c r="K837" s="68" t="n"/>
      <c r="L837" s="68" t="n"/>
      <c r="M837" s="64" t="n"/>
      <c r="N837" s="64" t="n"/>
      <c r="O837" s="64" t="n"/>
      <c r="P837" s="64" t="n"/>
      <c r="Q837" s="64" t="n"/>
      <c r="R837" s="64" t="n"/>
      <c r="S837" s="66" t="n"/>
      <c r="T837" s="45" t="n"/>
      <c r="U837" s="43">
        <f t="shared" si="0"/>
      </c>
      <c r="V837" s="49">
        <f t="shared" si="1"/>
      </c>
      <c r="W837" s="49">
        <f t="shared" si="2"/>
      </c>
      <c r="X837" s="2">
        <f t="shared" si="3"/>
      </c>
      <c r="Y837" s="2">
        <f t="shared" si="4"/>
      </c>
      <c r="Z837" s="2">
        <f t="shared" si="5"/>
        <v>0</v>
      </c>
      <c r="AA837" s="2">
        <f t="shared" si="6"/>
        <v>0</v>
      </c>
      <c r="AB837" s="2">
        <f t="shared" si="7"/>
        <v>0</v>
      </c>
      <c r="AC837" s="2">
        <f t="shared" si="8"/>
      </c>
    </row>
    <row r="838">
      <c r="A838" s="64" t="n"/>
      <c r="B838" s="65" t="n"/>
      <c r="C838" s="65" t="n"/>
      <c r="D838" s="65" t="n"/>
      <c r="E838" s="65" t="n"/>
      <c r="F838" s="66" t="n"/>
      <c r="G838" s="65" t="n"/>
      <c r="H838" s="66" t="n"/>
      <c r="I838" s="64" t="n"/>
      <c r="J838" s="68" t="n"/>
      <c r="K838" s="68" t="n"/>
      <c r="L838" s="68" t="n"/>
      <c r="M838" s="64" t="n"/>
      <c r="N838" s="64" t="n"/>
      <c r="O838" s="64" t="n"/>
      <c r="P838" s="64" t="n"/>
      <c r="Q838" s="64" t="n"/>
      <c r="R838" s="64" t="n"/>
      <c r="S838" s="66" t="n"/>
      <c r="T838" s="45" t="n"/>
      <c r="U838" s="43">
        <f t="shared" si="0"/>
      </c>
      <c r="V838" s="49">
        <f t="shared" si="1"/>
      </c>
      <c r="W838" s="49">
        <f t="shared" si="2"/>
      </c>
      <c r="X838" s="2">
        <f t="shared" si="3"/>
      </c>
      <c r="Y838" s="2">
        <f t="shared" si="4"/>
      </c>
      <c r="Z838" s="2">
        <f t="shared" si="5"/>
        <v>0</v>
      </c>
      <c r="AA838" s="2">
        <f t="shared" si="6"/>
        <v>0</v>
      </c>
      <c r="AB838" s="2">
        <f t="shared" si="7"/>
        <v>0</v>
      </c>
      <c r="AC838" s="2">
        <f t="shared" si="8"/>
      </c>
    </row>
    <row r="839">
      <c r="A839" s="64" t="n"/>
      <c r="B839" s="65" t="n"/>
      <c r="C839" s="65" t="n"/>
      <c r="D839" s="65" t="n"/>
      <c r="E839" s="65" t="n"/>
      <c r="F839" s="66" t="n"/>
      <c r="G839" s="65" t="n"/>
      <c r="H839" s="66" t="n"/>
      <c r="I839" s="64" t="n"/>
      <c r="J839" s="68" t="n"/>
      <c r="K839" s="68" t="n"/>
      <c r="L839" s="68" t="n"/>
      <c r="M839" s="64" t="n"/>
      <c r="N839" s="64" t="n"/>
      <c r="O839" s="64" t="n"/>
      <c r="P839" s="64" t="n"/>
      <c r="Q839" s="64" t="n"/>
      <c r="R839" s="64" t="n"/>
      <c r="S839" s="66" t="n"/>
      <c r="T839" s="45" t="n"/>
      <c r="U839" s="43">
        <f t="shared" si="0"/>
      </c>
      <c r="V839" s="49">
        <f t="shared" si="1"/>
      </c>
      <c r="W839" s="49">
        <f t="shared" si="2"/>
      </c>
      <c r="X839" s="2">
        <f t="shared" si="3"/>
      </c>
      <c r="Y839" s="2">
        <f t="shared" si="4"/>
      </c>
      <c r="Z839" s="2">
        <f t="shared" si="5"/>
        <v>0</v>
      </c>
      <c r="AA839" s="2">
        <f t="shared" si="6"/>
        <v>0</v>
      </c>
      <c r="AB839" s="2">
        <f t="shared" si="7"/>
        <v>0</v>
      </c>
      <c r="AC839" s="2">
        <f t="shared" si="8"/>
      </c>
    </row>
    <row r="840">
      <c r="A840" s="64" t="n"/>
      <c r="B840" s="65" t="n"/>
      <c r="C840" s="65" t="n"/>
      <c r="D840" s="65" t="n"/>
      <c r="E840" s="65" t="n"/>
      <c r="F840" s="66" t="n"/>
      <c r="G840" s="65" t="n"/>
      <c r="H840" s="66" t="n"/>
      <c r="I840" s="64" t="n"/>
      <c r="J840" s="68" t="n"/>
      <c r="K840" s="68" t="n"/>
      <c r="L840" s="68" t="n"/>
      <c r="M840" s="64" t="n"/>
      <c r="N840" s="64" t="n"/>
      <c r="O840" s="64" t="n"/>
      <c r="P840" s="64" t="n"/>
      <c r="Q840" s="64" t="n"/>
      <c r="R840" s="64" t="n"/>
      <c r="S840" s="66" t="n"/>
      <c r="T840" s="45" t="n"/>
      <c r="U840" s="43">
        <f t="shared" si="0"/>
      </c>
      <c r="V840" s="49">
        <f t="shared" si="1"/>
      </c>
      <c r="W840" s="49">
        <f t="shared" si="2"/>
      </c>
      <c r="X840" s="2">
        <f t="shared" si="3"/>
      </c>
      <c r="Y840" s="2">
        <f t="shared" si="4"/>
      </c>
      <c r="Z840" s="2">
        <f t="shared" si="5"/>
        <v>0</v>
      </c>
      <c r="AA840" s="2">
        <f t="shared" si="6"/>
        <v>0</v>
      </c>
      <c r="AB840" s="2">
        <f t="shared" si="7"/>
        <v>0</v>
      </c>
      <c r="AC840" s="2">
        <f t="shared" si="8"/>
      </c>
    </row>
    <row r="841">
      <c r="A841" s="64" t="n"/>
      <c r="B841" s="65" t="n"/>
      <c r="C841" s="65" t="n"/>
      <c r="D841" s="65" t="n"/>
      <c r="E841" s="65" t="n"/>
      <c r="F841" s="66" t="n"/>
      <c r="G841" s="65" t="n"/>
      <c r="H841" s="66" t="n"/>
      <c r="I841" s="64" t="n"/>
      <c r="J841" s="68" t="n"/>
      <c r="K841" s="68" t="n"/>
      <c r="L841" s="68" t="n"/>
      <c r="M841" s="64" t="n"/>
      <c r="N841" s="64" t="n"/>
      <c r="O841" s="64" t="n"/>
      <c r="P841" s="64" t="n"/>
      <c r="Q841" s="64" t="n"/>
      <c r="R841" s="64" t="n"/>
      <c r="S841" s="66" t="n"/>
      <c r="T841" s="45" t="n"/>
      <c r="U841" s="43">
        <f t="shared" si="0"/>
      </c>
      <c r="V841" s="49">
        <f t="shared" si="1"/>
      </c>
      <c r="W841" s="49">
        <f t="shared" si="2"/>
      </c>
      <c r="X841" s="2">
        <f t="shared" si="3"/>
      </c>
      <c r="Y841" s="2">
        <f t="shared" si="4"/>
      </c>
      <c r="Z841" s="2">
        <f t="shared" si="5"/>
        <v>0</v>
      </c>
      <c r="AA841" s="2">
        <f t="shared" si="6"/>
        <v>0</v>
      </c>
      <c r="AB841" s="2">
        <f t="shared" si="7"/>
        <v>0</v>
      </c>
      <c r="AC841" s="2">
        <f t="shared" si="8"/>
      </c>
    </row>
    <row r="842">
      <c r="A842" s="64" t="n"/>
      <c r="B842" s="65" t="n"/>
      <c r="C842" s="65" t="n"/>
      <c r="D842" s="65" t="n"/>
      <c r="E842" s="65" t="n"/>
      <c r="F842" s="66" t="n"/>
      <c r="G842" s="65" t="n"/>
      <c r="H842" s="66" t="n"/>
      <c r="I842" s="64" t="n"/>
      <c r="J842" s="68" t="n"/>
      <c r="K842" s="68" t="n"/>
      <c r="L842" s="68" t="n"/>
      <c r="M842" s="64" t="n"/>
      <c r="N842" s="64" t="n"/>
      <c r="O842" s="64" t="n"/>
      <c r="P842" s="64" t="n"/>
      <c r="Q842" s="64" t="n"/>
      <c r="R842" s="64" t="n"/>
      <c r="S842" s="66" t="n"/>
      <c r="T842" s="45" t="n"/>
      <c r="U842" s="43">
        <f t="shared" si="0"/>
      </c>
      <c r="V842" s="49">
        <f t="shared" si="1"/>
      </c>
      <c r="W842" s="49">
        <f t="shared" si="2"/>
      </c>
      <c r="X842" s="2">
        <f t="shared" si="3"/>
      </c>
      <c r="Y842" s="2">
        <f t="shared" si="4"/>
      </c>
      <c r="Z842" s="2">
        <f t="shared" si="5"/>
        <v>0</v>
      </c>
      <c r="AA842" s="2">
        <f t="shared" si="6"/>
        <v>0</v>
      </c>
      <c r="AB842" s="2">
        <f t="shared" si="7"/>
        <v>0</v>
      </c>
      <c r="AC842" s="2">
        <f t="shared" si="8"/>
      </c>
    </row>
    <row r="843">
      <c r="A843" s="64" t="n"/>
      <c r="B843" s="65" t="n"/>
      <c r="C843" s="65" t="n"/>
      <c r="D843" s="65" t="n"/>
      <c r="E843" s="65" t="n"/>
      <c r="F843" s="66" t="n"/>
      <c r="G843" s="65" t="n"/>
      <c r="H843" s="66" t="n"/>
      <c r="I843" s="64" t="n"/>
      <c r="J843" s="68" t="n"/>
      <c r="K843" s="68" t="n"/>
      <c r="L843" s="68" t="n"/>
      <c r="M843" s="64" t="n"/>
      <c r="N843" s="64" t="n"/>
      <c r="O843" s="64" t="n"/>
      <c r="P843" s="64" t="n"/>
      <c r="Q843" s="64" t="n"/>
      <c r="R843" s="64" t="n"/>
      <c r="S843" s="66" t="n"/>
      <c r="T843" s="45" t="n"/>
      <c r="U843" s="43">
        <f t="shared" si="0"/>
      </c>
      <c r="V843" s="49">
        <f t="shared" si="1"/>
      </c>
      <c r="W843" s="49">
        <f t="shared" si="2"/>
      </c>
      <c r="X843" s="2">
        <f t="shared" si="3"/>
      </c>
      <c r="Y843" s="2">
        <f t="shared" si="4"/>
      </c>
      <c r="Z843" s="2">
        <f t="shared" si="5"/>
        <v>0</v>
      </c>
      <c r="AA843" s="2">
        <f t="shared" si="6"/>
        <v>0</v>
      </c>
      <c r="AB843" s="2">
        <f t="shared" si="7"/>
        <v>0</v>
      </c>
      <c r="AC843" s="2">
        <f t="shared" si="8"/>
      </c>
    </row>
    <row r="844">
      <c r="A844" s="64" t="n"/>
      <c r="B844" s="65" t="n"/>
      <c r="C844" s="65" t="n"/>
      <c r="D844" s="65" t="n"/>
      <c r="E844" s="65" t="n"/>
      <c r="F844" s="66" t="n"/>
      <c r="G844" s="65" t="n"/>
      <c r="H844" s="66" t="n"/>
      <c r="I844" s="64" t="n"/>
      <c r="J844" s="68" t="n"/>
      <c r="K844" s="68" t="n"/>
      <c r="L844" s="68" t="n"/>
      <c r="M844" s="64" t="n"/>
      <c r="N844" s="64" t="n"/>
      <c r="O844" s="64" t="n"/>
      <c r="P844" s="64" t="n"/>
      <c r="Q844" s="64" t="n"/>
      <c r="R844" s="64" t="n"/>
      <c r="S844" s="66" t="n"/>
      <c r="T844" s="45" t="n"/>
      <c r="U844" s="43">
        <f t="shared" si="0"/>
      </c>
      <c r="V844" s="49">
        <f t="shared" si="1"/>
      </c>
      <c r="W844" s="49">
        <f t="shared" si="2"/>
      </c>
      <c r="X844" s="2">
        <f t="shared" si="3"/>
      </c>
      <c r="Y844" s="2">
        <f t="shared" si="4"/>
      </c>
      <c r="Z844" s="2">
        <f t="shared" si="5"/>
        <v>0</v>
      </c>
      <c r="AA844" s="2">
        <f t="shared" si="6"/>
        <v>0</v>
      </c>
      <c r="AB844" s="2">
        <f t="shared" si="7"/>
        <v>0</v>
      </c>
      <c r="AC844" s="2">
        <f t="shared" si="8"/>
      </c>
    </row>
    <row r="845">
      <c r="A845" s="64" t="n"/>
      <c r="B845" s="65" t="n"/>
      <c r="C845" s="65" t="n"/>
      <c r="D845" s="65" t="n"/>
      <c r="E845" s="65" t="n"/>
      <c r="F845" s="66" t="n"/>
      <c r="G845" s="65" t="n"/>
      <c r="H845" s="66" t="n"/>
      <c r="I845" s="64" t="n"/>
      <c r="J845" s="68" t="n"/>
      <c r="K845" s="68" t="n"/>
      <c r="L845" s="68" t="n"/>
      <c r="M845" s="64" t="n"/>
      <c r="N845" s="64" t="n"/>
      <c r="O845" s="64" t="n"/>
      <c r="P845" s="64" t="n"/>
      <c r="Q845" s="64" t="n"/>
      <c r="R845" s="64" t="n"/>
      <c r="S845" s="66" t="n"/>
      <c r="T845" s="45" t="n"/>
      <c r="U845" s="43">
        <f t="shared" si="0"/>
      </c>
      <c r="V845" s="49">
        <f t="shared" si="1"/>
      </c>
      <c r="W845" s="49">
        <f t="shared" si="2"/>
      </c>
      <c r="X845" s="2">
        <f t="shared" si="3"/>
      </c>
      <c r="Y845" s="2">
        <f t="shared" si="4"/>
      </c>
      <c r="Z845" s="2">
        <f t="shared" si="5"/>
        <v>0</v>
      </c>
      <c r="AA845" s="2">
        <f t="shared" si="6"/>
        <v>0</v>
      </c>
      <c r="AB845" s="2">
        <f t="shared" si="7"/>
        <v>0</v>
      </c>
      <c r="AC845" s="2">
        <f t="shared" si="8"/>
      </c>
    </row>
    <row r="846">
      <c r="A846" s="64" t="n"/>
      <c r="B846" s="65" t="n"/>
      <c r="C846" s="65" t="n"/>
      <c r="D846" s="65" t="n"/>
      <c r="E846" s="65" t="n"/>
      <c r="F846" s="66" t="n"/>
      <c r="G846" s="65" t="n"/>
      <c r="H846" s="66" t="n"/>
      <c r="I846" s="64" t="n"/>
      <c r="J846" s="68" t="n"/>
      <c r="K846" s="68" t="n"/>
      <c r="L846" s="68" t="n"/>
      <c r="M846" s="64" t="n"/>
      <c r="N846" s="64" t="n"/>
      <c r="O846" s="64" t="n"/>
      <c r="P846" s="64" t="n"/>
      <c r="Q846" s="64" t="n"/>
      <c r="R846" s="64" t="n"/>
      <c r="S846" s="66" t="n"/>
      <c r="T846" s="45" t="n"/>
      <c r="U846" s="43">
        <f t="shared" si="0"/>
      </c>
      <c r="V846" s="49">
        <f t="shared" si="1"/>
      </c>
      <c r="W846" s="49">
        <f t="shared" si="2"/>
      </c>
      <c r="X846" s="2">
        <f t="shared" si="3"/>
      </c>
      <c r="Y846" s="2">
        <f t="shared" si="4"/>
      </c>
      <c r="Z846" s="2">
        <f t="shared" si="5"/>
        <v>0</v>
      </c>
      <c r="AA846" s="2">
        <f t="shared" si="6"/>
        <v>0</v>
      </c>
      <c r="AB846" s="2">
        <f t="shared" si="7"/>
        <v>0</v>
      </c>
      <c r="AC846" s="2">
        <f t="shared" si="8"/>
      </c>
    </row>
    <row r="847">
      <c r="A847" s="64" t="n"/>
      <c r="B847" s="65" t="n"/>
      <c r="C847" s="65" t="n"/>
      <c r="D847" s="65" t="n"/>
      <c r="E847" s="65" t="n"/>
      <c r="F847" s="66" t="n"/>
      <c r="G847" s="65" t="n"/>
      <c r="H847" s="66" t="n"/>
      <c r="I847" s="64" t="n"/>
      <c r="J847" s="68" t="n"/>
      <c r="K847" s="68" t="n"/>
      <c r="L847" s="68" t="n"/>
      <c r="M847" s="64" t="n"/>
      <c r="N847" s="64" t="n"/>
      <c r="O847" s="64" t="n"/>
      <c r="P847" s="64" t="n"/>
      <c r="Q847" s="64" t="n"/>
      <c r="R847" s="64" t="n"/>
      <c r="S847" s="66" t="n"/>
      <c r="T847" s="45" t="n"/>
      <c r="U847" s="43">
        <f t="shared" si="0"/>
      </c>
      <c r="V847" s="49">
        <f t="shared" si="1"/>
      </c>
      <c r="W847" s="49">
        <f t="shared" si="2"/>
      </c>
      <c r="X847" s="2">
        <f t="shared" si="3"/>
      </c>
      <c r="Y847" s="2">
        <f t="shared" si="4"/>
      </c>
      <c r="Z847" s="2">
        <f t="shared" si="5"/>
        <v>0</v>
      </c>
      <c r="AA847" s="2">
        <f t="shared" si="6"/>
        <v>0</v>
      </c>
      <c r="AB847" s="2">
        <f t="shared" si="7"/>
        <v>0</v>
      </c>
      <c r="AC847" s="2">
        <f t="shared" si="8"/>
      </c>
    </row>
    <row r="848">
      <c r="A848" s="64" t="n"/>
      <c r="B848" s="65" t="n"/>
      <c r="C848" s="65" t="n"/>
      <c r="D848" s="65" t="n"/>
      <c r="E848" s="65" t="n"/>
      <c r="F848" s="66" t="n"/>
      <c r="G848" s="65" t="n"/>
      <c r="H848" s="66" t="n"/>
      <c r="I848" s="64" t="n"/>
      <c r="J848" s="68" t="n"/>
      <c r="K848" s="68" t="n"/>
      <c r="L848" s="68" t="n"/>
      <c r="M848" s="64" t="n"/>
      <c r="N848" s="64" t="n"/>
      <c r="O848" s="64" t="n"/>
      <c r="P848" s="64" t="n"/>
      <c r="Q848" s="64" t="n"/>
      <c r="R848" s="64" t="n"/>
      <c r="S848" s="66" t="n"/>
      <c r="T848" s="45" t="n"/>
      <c r="U848" s="43">
        <f t="shared" si="0"/>
      </c>
      <c r="V848" s="49">
        <f t="shared" si="1"/>
      </c>
      <c r="W848" s="49">
        <f t="shared" si="2"/>
      </c>
      <c r="X848" s="2">
        <f t="shared" si="3"/>
      </c>
      <c r="Y848" s="2">
        <f t="shared" si="4"/>
      </c>
      <c r="Z848" s="2">
        <f t="shared" si="5"/>
        <v>0</v>
      </c>
      <c r="AA848" s="2">
        <f t="shared" si="6"/>
        <v>0</v>
      </c>
      <c r="AB848" s="2">
        <f t="shared" si="7"/>
        <v>0</v>
      </c>
      <c r="AC848" s="2">
        <f t="shared" si="8"/>
      </c>
    </row>
    <row r="849">
      <c r="A849" s="64" t="n"/>
      <c r="B849" s="65" t="n"/>
      <c r="C849" s="65" t="n"/>
      <c r="D849" s="65" t="n"/>
      <c r="E849" s="65" t="n"/>
      <c r="F849" s="66" t="n"/>
      <c r="G849" s="65" t="n"/>
      <c r="H849" s="66" t="n"/>
      <c r="I849" s="64" t="n"/>
      <c r="J849" s="68" t="n"/>
      <c r="K849" s="68" t="n"/>
      <c r="L849" s="68" t="n"/>
      <c r="M849" s="64" t="n"/>
      <c r="N849" s="64" t="n"/>
      <c r="O849" s="64" t="n"/>
      <c r="P849" s="64" t="n"/>
      <c r="Q849" s="64" t="n"/>
      <c r="R849" s="64" t="n"/>
      <c r="S849" s="66" t="n"/>
      <c r="T849" s="45" t="n"/>
      <c r="U849" s="43">
        <f t="shared" si="0"/>
      </c>
      <c r="V849" s="49">
        <f t="shared" si="1"/>
      </c>
      <c r="W849" s="49">
        <f t="shared" si="2"/>
      </c>
      <c r="X849" s="2">
        <f t="shared" si="3"/>
      </c>
      <c r="Y849" s="2">
        <f t="shared" si="4"/>
      </c>
      <c r="Z849" s="2">
        <f t="shared" si="5"/>
        <v>0</v>
      </c>
      <c r="AA849" s="2">
        <f t="shared" si="6"/>
        <v>0</v>
      </c>
      <c r="AB849" s="2">
        <f t="shared" si="7"/>
        <v>0</v>
      </c>
      <c r="AC849" s="2">
        <f t="shared" si="8"/>
      </c>
    </row>
    <row r="850">
      <c r="A850" s="64" t="n"/>
      <c r="B850" s="65" t="n"/>
      <c r="C850" s="65" t="n"/>
      <c r="D850" s="65" t="n"/>
      <c r="E850" s="65" t="n"/>
      <c r="F850" s="66" t="n"/>
      <c r="G850" s="65" t="n"/>
      <c r="H850" s="66" t="n"/>
      <c r="I850" s="64" t="n"/>
      <c r="J850" s="68" t="n"/>
      <c r="K850" s="68" t="n"/>
      <c r="L850" s="68" t="n"/>
      <c r="M850" s="64" t="n"/>
      <c r="N850" s="64" t="n"/>
      <c r="O850" s="64" t="n"/>
      <c r="P850" s="64" t="n"/>
      <c r="Q850" s="64" t="n"/>
      <c r="R850" s="64" t="n"/>
      <c r="S850" s="66" t="n"/>
      <c r="T850" s="45" t="n"/>
      <c r="U850" s="43">
        <f t="shared" si="0"/>
      </c>
      <c r="V850" s="49">
        <f t="shared" si="1"/>
      </c>
      <c r="W850" s="49">
        <f t="shared" si="2"/>
      </c>
      <c r="X850" s="2">
        <f t="shared" si="3"/>
      </c>
      <c r="Y850" s="2">
        <f t="shared" si="4"/>
      </c>
      <c r="Z850" s="2">
        <f t="shared" si="5"/>
        <v>0</v>
      </c>
      <c r="AA850" s="2">
        <f t="shared" si="6"/>
        <v>0</v>
      </c>
      <c r="AB850" s="2">
        <f t="shared" si="7"/>
        <v>0</v>
      </c>
      <c r="AC850" s="2">
        <f t="shared" si="8"/>
      </c>
    </row>
    <row r="851">
      <c r="A851" s="64" t="n"/>
      <c r="B851" s="65" t="n"/>
      <c r="C851" s="65" t="n"/>
      <c r="D851" s="65" t="n"/>
      <c r="E851" s="65" t="n"/>
      <c r="F851" s="66" t="n"/>
      <c r="G851" s="65" t="n"/>
      <c r="H851" s="66" t="n"/>
      <c r="I851" s="64" t="n"/>
      <c r="J851" s="68" t="n"/>
      <c r="K851" s="68" t="n"/>
      <c r="L851" s="68" t="n"/>
      <c r="M851" s="64" t="n"/>
      <c r="N851" s="64" t="n"/>
      <c r="O851" s="64" t="n"/>
      <c r="P851" s="64" t="n"/>
      <c r="Q851" s="64" t="n"/>
      <c r="R851" s="64" t="n"/>
      <c r="S851" s="66" t="n"/>
      <c r="T851" s="45" t="n"/>
      <c r="U851" s="43">
        <f t="shared" si="0"/>
      </c>
      <c r="V851" s="49">
        <f t="shared" si="1"/>
      </c>
      <c r="W851" s="49">
        <f t="shared" si="2"/>
      </c>
      <c r="X851" s="2">
        <f t="shared" si="3"/>
      </c>
      <c r="Y851" s="2">
        <f t="shared" si="4"/>
      </c>
      <c r="Z851" s="2">
        <f t="shared" si="5"/>
        <v>0</v>
      </c>
      <c r="AA851" s="2">
        <f t="shared" si="6"/>
        <v>0</v>
      </c>
      <c r="AB851" s="2">
        <f t="shared" si="7"/>
        <v>0</v>
      </c>
      <c r="AC851" s="2">
        <f t="shared" si="8"/>
      </c>
    </row>
    <row r="852">
      <c r="A852" s="64" t="n"/>
      <c r="B852" s="65" t="n"/>
      <c r="C852" s="65" t="n"/>
      <c r="D852" s="65" t="n"/>
      <c r="E852" s="65" t="n"/>
      <c r="F852" s="66" t="n"/>
      <c r="G852" s="65" t="n"/>
      <c r="H852" s="66" t="n"/>
      <c r="I852" s="64" t="n"/>
      <c r="J852" s="68" t="n"/>
      <c r="K852" s="68" t="n"/>
      <c r="L852" s="68" t="n"/>
      <c r="M852" s="64" t="n"/>
      <c r="N852" s="64" t="n"/>
      <c r="O852" s="64" t="n"/>
      <c r="P852" s="64" t="n"/>
      <c r="Q852" s="64" t="n"/>
      <c r="R852" s="64" t="n"/>
      <c r="S852" s="66" t="n"/>
      <c r="T852" s="45" t="n"/>
      <c r="U852" s="43">
        <f t="shared" si="0"/>
      </c>
      <c r="V852" s="49">
        <f t="shared" si="1"/>
      </c>
      <c r="W852" s="49">
        <f t="shared" si="2"/>
      </c>
      <c r="X852" s="2">
        <f t="shared" si="3"/>
      </c>
      <c r="Y852" s="2">
        <f t="shared" si="4"/>
      </c>
      <c r="Z852" s="2">
        <f t="shared" si="5"/>
        <v>0</v>
      </c>
      <c r="AA852" s="2">
        <f t="shared" si="6"/>
        <v>0</v>
      </c>
      <c r="AB852" s="2">
        <f t="shared" si="7"/>
        <v>0</v>
      </c>
      <c r="AC852" s="2">
        <f t="shared" si="8"/>
      </c>
    </row>
    <row r="853">
      <c r="A853" s="64" t="n"/>
      <c r="B853" s="65" t="n"/>
      <c r="C853" s="65" t="n"/>
      <c r="D853" s="65" t="n"/>
      <c r="E853" s="65" t="n"/>
      <c r="F853" s="66" t="n"/>
      <c r="G853" s="65" t="n"/>
      <c r="H853" s="66" t="n"/>
      <c r="I853" s="64" t="n"/>
      <c r="J853" s="68" t="n"/>
      <c r="K853" s="68" t="n"/>
      <c r="L853" s="68" t="n"/>
      <c r="M853" s="64" t="n"/>
      <c r="N853" s="64" t="n"/>
      <c r="O853" s="64" t="n"/>
      <c r="P853" s="64" t="n"/>
      <c r="Q853" s="64" t="n"/>
      <c r="R853" s="64" t="n"/>
      <c r="S853" s="66" t="n"/>
      <c r="T853" s="45" t="n"/>
      <c r="U853" s="43">
        <f t="shared" si="0"/>
      </c>
      <c r="V853" s="49">
        <f t="shared" si="1"/>
      </c>
      <c r="W853" s="49">
        <f t="shared" si="2"/>
      </c>
      <c r="X853" s="2">
        <f t="shared" si="3"/>
      </c>
      <c r="Y853" s="2">
        <f t="shared" si="4"/>
      </c>
      <c r="Z853" s="2">
        <f t="shared" si="5"/>
        <v>0</v>
      </c>
      <c r="AA853" s="2">
        <f t="shared" si="6"/>
        <v>0</v>
      </c>
      <c r="AB853" s="2">
        <f t="shared" si="7"/>
        <v>0</v>
      </c>
      <c r="AC853" s="2">
        <f t="shared" si="8"/>
      </c>
    </row>
    <row r="854">
      <c r="A854" s="64" t="n"/>
      <c r="B854" s="65" t="n"/>
      <c r="C854" s="65" t="n"/>
      <c r="D854" s="65" t="n"/>
      <c r="E854" s="65" t="n"/>
      <c r="F854" s="66" t="n"/>
      <c r="G854" s="65" t="n"/>
      <c r="H854" s="66" t="n"/>
      <c r="I854" s="64" t="n"/>
      <c r="J854" s="68" t="n"/>
      <c r="K854" s="68" t="n"/>
      <c r="L854" s="68" t="n"/>
      <c r="M854" s="64" t="n"/>
      <c r="N854" s="64" t="n"/>
      <c r="O854" s="64" t="n"/>
      <c r="P854" s="64" t="n"/>
      <c r="Q854" s="64" t="n"/>
      <c r="R854" s="64" t="n"/>
      <c r="S854" s="66" t="n"/>
      <c r="T854" s="45" t="n"/>
      <c r="U854" s="43">
        <f t="shared" si="0"/>
      </c>
      <c r="V854" s="49">
        <f t="shared" si="1"/>
      </c>
      <c r="W854" s="49">
        <f t="shared" si="2"/>
      </c>
      <c r="X854" s="2">
        <f t="shared" si="3"/>
      </c>
      <c r="Y854" s="2">
        <f t="shared" si="4"/>
      </c>
      <c r="Z854" s="2">
        <f t="shared" si="5"/>
        <v>0</v>
      </c>
      <c r="AA854" s="2">
        <f t="shared" si="6"/>
        <v>0</v>
      </c>
      <c r="AB854" s="2">
        <f t="shared" si="7"/>
        <v>0</v>
      </c>
      <c r="AC854" s="2">
        <f t="shared" si="8"/>
      </c>
    </row>
    <row r="855">
      <c r="A855" s="64" t="n"/>
      <c r="B855" s="65" t="n"/>
      <c r="C855" s="65" t="n"/>
      <c r="D855" s="65" t="n"/>
      <c r="E855" s="65" t="n"/>
      <c r="F855" s="66" t="n"/>
      <c r="G855" s="65" t="n"/>
      <c r="H855" s="66" t="n"/>
      <c r="I855" s="64" t="n"/>
      <c r="J855" s="68" t="n"/>
      <c r="K855" s="68" t="n"/>
      <c r="L855" s="68" t="n"/>
      <c r="M855" s="64" t="n"/>
      <c r="N855" s="64" t="n"/>
      <c r="O855" s="64" t="n"/>
      <c r="P855" s="64" t="n"/>
      <c r="Q855" s="64" t="n"/>
      <c r="R855" s="64" t="n"/>
      <c r="S855" s="66" t="n"/>
      <c r="T855" s="45" t="n"/>
      <c r="U855" s="43">
        <f t="shared" si="0"/>
      </c>
      <c r="V855" s="49">
        <f t="shared" si="1"/>
      </c>
      <c r="W855" s="49">
        <f t="shared" si="2"/>
      </c>
      <c r="X855" s="2">
        <f t="shared" si="3"/>
      </c>
      <c r="Y855" s="2">
        <f t="shared" si="4"/>
      </c>
      <c r="Z855" s="2">
        <f t="shared" si="5"/>
        <v>0</v>
      </c>
      <c r="AA855" s="2">
        <f t="shared" si="6"/>
        <v>0</v>
      </c>
      <c r="AB855" s="2">
        <f t="shared" si="7"/>
        <v>0</v>
      </c>
      <c r="AC855" s="2">
        <f t="shared" si="8"/>
      </c>
    </row>
    <row r="856">
      <c r="A856" s="64" t="n"/>
      <c r="B856" s="65" t="n"/>
      <c r="C856" s="65" t="n"/>
      <c r="D856" s="65" t="n"/>
      <c r="E856" s="65" t="n"/>
      <c r="F856" s="66" t="n"/>
      <c r="G856" s="65" t="n"/>
      <c r="H856" s="66" t="n"/>
      <c r="I856" s="64" t="n"/>
      <c r="J856" s="68" t="n"/>
      <c r="K856" s="68" t="n"/>
      <c r="L856" s="68" t="n"/>
      <c r="M856" s="64" t="n"/>
      <c r="N856" s="64" t="n"/>
      <c r="O856" s="64" t="n"/>
      <c r="P856" s="64" t="n"/>
      <c r="Q856" s="64" t="n"/>
      <c r="R856" s="64" t="n"/>
      <c r="S856" s="66" t="n"/>
      <c r="T856" s="45" t="n"/>
      <c r="U856" s="43">
        <f t="shared" si="0"/>
      </c>
      <c r="V856" s="49">
        <f t="shared" si="1"/>
      </c>
      <c r="W856" s="49">
        <f t="shared" si="2"/>
      </c>
      <c r="X856" s="2">
        <f t="shared" si="3"/>
      </c>
      <c r="Y856" s="2">
        <f t="shared" si="4"/>
      </c>
      <c r="Z856" s="2">
        <f t="shared" si="5"/>
        <v>0</v>
      </c>
      <c r="AA856" s="2">
        <f t="shared" si="6"/>
        <v>0</v>
      </c>
      <c r="AB856" s="2">
        <f t="shared" si="7"/>
        <v>0</v>
      </c>
      <c r="AC856" s="2">
        <f t="shared" si="8"/>
      </c>
    </row>
    <row r="857">
      <c r="A857" s="64" t="n"/>
      <c r="B857" s="65" t="n"/>
      <c r="C857" s="65" t="n"/>
      <c r="D857" s="65" t="n"/>
      <c r="E857" s="65" t="n"/>
      <c r="F857" s="66" t="n"/>
      <c r="G857" s="65" t="n"/>
      <c r="H857" s="66" t="n"/>
      <c r="I857" s="64" t="n"/>
      <c r="J857" s="68" t="n"/>
      <c r="K857" s="68" t="n"/>
      <c r="L857" s="68" t="n"/>
      <c r="M857" s="64" t="n"/>
      <c r="N857" s="64" t="n"/>
      <c r="O857" s="64" t="n"/>
      <c r="P857" s="64" t="n"/>
      <c r="Q857" s="64" t="n"/>
      <c r="R857" s="64" t="n"/>
      <c r="S857" s="66" t="n"/>
      <c r="T857" s="45" t="n"/>
      <c r="U857" s="43">
        <f t="shared" si="0"/>
      </c>
      <c r="V857" s="49">
        <f t="shared" si="1"/>
      </c>
      <c r="W857" s="49">
        <f t="shared" si="2"/>
      </c>
      <c r="X857" s="2">
        <f t="shared" si="3"/>
      </c>
      <c r="Y857" s="2">
        <f t="shared" si="4"/>
      </c>
      <c r="Z857" s="2">
        <f t="shared" si="5"/>
        <v>0</v>
      </c>
      <c r="AA857" s="2">
        <f t="shared" si="6"/>
        <v>0</v>
      </c>
      <c r="AB857" s="2">
        <f t="shared" si="7"/>
        <v>0</v>
      </c>
      <c r="AC857" s="2">
        <f t="shared" si="8"/>
      </c>
    </row>
    <row r="858">
      <c r="A858" s="64" t="n"/>
      <c r="B858" s="65" t="n"/>
      <c r="C858" s="65" t="n"/>
      <c r="D858" s="65" t="n"/>
      <c r="E858" s="65" t="n"/>
      <c r="F858" s="66" t="n"/>
      <c r="G858" s="65" t="n"/>
      <c r="H858" s="66" t="n"/>
      <c r="I858" s="64" t="n"/>
      <c r="J858" s="68" t="n"/>
      <c r="K858" s="68" t="n"/>
      <c r="L858" s="68" t="n"/>
      <c r="M858" s="64" t="n"/>
      <c r="N858" s="64" t="n"/>
      <c r="O858" s="64" t="n"/>
      <c r="P858" s="64" t="n"/>
      <c r="Q858" s="64" t="n"/>
      <c r="R858" s="64" t="n"/>
      <c r="S858" s="66" t="n"/>
      <c r="T858" s="45" t="n"/>
      <c r="U858" s="43">
        <f t="shared" si="0"/>
      </c>
      <c r="V858" s="49">
        <f t="shared" si="1"/>
      </c>
      <c r="W858" s="49">
        <f t="shared" si="2"/>
      </c>
      <c r="X858" s="2">
        <f t="shared" si="3"/>
      </c>
      <c r="Y858" s="2">
        <f t="shared" si="4"/>
      </c>
      <c r="Z858" s="2">
        <f t="shared" si="5"/>
        <v>0</v>
      </c>
      <c r="AA858" s="2">
        <f t="shared" si="6"/>
        <v>0</v>
      </c>
      <c r="AB858" s="2">
        <f t="shared" si="7"/>
        <v>0</v>
      </c>
      <c r="AC858" s="2">
        <f t="shared" si="8"/>
      </c>
    </row>
    <row r="859">
      <c r="A859" s="64" t="n"/>
      <c r="B859" s="65" t="n"/>
      <c r="C859" s="65" t="n"/>
      <c r="D859" s="65" t="n"/>
      <c r="E859" s="65" t="n"/>
      <c r="F859" s="66" t="n"/>
      <c r="G859" s="65" t="n"/>
      <c r="H859" s="66" t="n"/>
      <c r="I859" s="64" t="n"/>
      <c r="J859" s="68" t="n"/>
      <c r="K859" s="68" t="n"/>
      <c r="L859" s="68" t="n"/>
      <c r="M859" s="64" t="n"/>
      <c r="N859" s="64" t="n"/>
      <c r="O859" s="64" t="n"/>
      <c r="P859" s="64" t="n"/>
      <c r="Q859" s="64" t="n"/>
      <c r="R859" s="64" t="n"/>
      <c r="S859" s="66" t="n"/>
      <c r="T859" s="45" t="n"/>
      <c r="U859" s="43">
        <f t="shared" si="0"/>
      </c>
      <c r="V859" s="49">
        <f t="shared" si="1"/>
      </c>
      <c r="W859" s="49">
        <f t="shared" si="2"/>
      </c>
      <c r="X859" s="2">
        <f t="shared" si="3"/>
      </c>
      <c r="Y859" s="2">
        <f t="shared" si="4"/>
      </c>
      <c r="Z859" s="2">
        <f t="shared" si="5"/>
        <v>0</v>
      </c>
      <c r="AA859" s="2">
        <f t="shared" si="6"/>
        <v>0</v>
      </c>
      <c r="AB859" s="2">
        <f t="shared" si="7"/>
        <v>0</v>
      </c>
      <c r="AC859" s="2">
        <f t="shared" si="8"/>
      </c>
    </row>
    <row r="860">
      <c r="A860" s="64" t="n"/>
      <c r="B860" s="65" t="n"/>
      <c r="C860" s="65" t="n"/>
      <c r="D860" s="65" t="n"/>
      <c r="E860" s="65" t="n"/>
      <c r="F860" s="66" t="n"/>
      <c r="G860" s="65" t="n"/>
      <c r="H860" s="66" t="n"/>
      <c r="I860" s="64" t="n"/>
      <c r="J860" s="68" t="n"/>
      <c r="K860" s="68" t="n"/>
      <c r="L860" s="68" t="n"/>
      <c r="M860" s="64" t="n"/>
      <c r="N860" s="64" t="n"/>
      <c r="O860" s="64" t="n"/>
      <c r="P860" s="64" t="n"/>
      <c r="Q860" s="64" t="n"/>
      <c r="R860" s="64" t="n"/>
      <c r="S860" s="66" t="n"/>
      <c r="T860" s="45" t="n"/>
      <c r="U860" s="43">
        <f t="shared" si="0"/>
      </c>
      <c r="V860" s="49">
        <f t="shared" si="1"/>
      </c>
      <c r="W860" s="49">
        <f t="shared" si="2"/>
      </c>
      <c r="X860" s="2">
        <f t="shared" si="3"/>
      </c>
      <c r="Y860" s="2">
        <f t="shared" si="4"/>
      </c>
      <c r="Z860" s="2">
        <f t="shared" si="5"/>
        <v>0</v>
      </c>
      <c r="AA860" s="2">
        <f t="shared" si="6"/>
        <v>0</v>
      </c>
      <c r="AB860" s="2">
        <f t="shared" si="7"/>
        <v>0</v>
      </c>
      <c r="AC860" s="2">
        <f t="shared" si="8"/>
      </c>
    </row>
    <row r="861">
      <c r="A861" s="64" t="n"/>
      <c r="B861" s="65" t="n"/>
      <c r="C861" s="65" t="n"/>
      <c r="D861" s="65" t="n"/>
      <c r="E861" s="65" t="n"/>
      <c r="F861" s="66" t="n"/>
      <c r="G861" s="65" t="n"/>
      <c r="H861" s="66" t="n"/>
      <c r="I861" s="64" t="n"/>
      <c r="J861" s="68" t="n"/>
      <c r="K861" s="68" t="n"/>
      <c r="L861" s="68" t="n"/>
      <c r="M861" s="64" t="n"/>
      <c r="N861" s="64" t="n"/>
      <c r="O861" s="64" t="n"/>
      <c r="P861" s="64" t="n"/>
      <c r="Q861" s="64" t="n"/>
      <c r="R861" s="64" t="n"/>
      <c r="S861" s="66" t="n"/>
      <c r="T861" s="45" t="n"/>
      <c r="U861" s="43">
        <f t="shared" si="0"/>
      </c>
      <c r="V861" s="49">
        <f t="shared" si="1"/>
      </c>
      <c r="W861" s="49">
        <f t="shared" si="2"/>
      </c>
      <c r="X861" s="2">
        <f t="shared" si="3"/>
      </c>
      <c r="Y861" s="2">
        <f t="shared" si="4"/>
      </c>
      <c r="Z861" s="2">
        <f t="shared" si="5"/>
        <v>0</v>
      </c>
      <c r="AA861" s="2">
        <f t="shared" si="6"/>
        <v>0</v>
      </c>
      <c r="AB861" s="2">
        <f t="shared" si="7"/>
        <v>0</v>
      </c>
      <c r="AC861" s="2">
        <f t="shared" si="8"/>
      </c>
    </row>
    <row r="862">
      <c r="A862" s="64" t="n"/>
      <c r="B862" s="65" t="n"/>
      <c r="C862" s="65" t="n"/>
      <c r="D862" s="65" t="n"/>
      <c r="E862" s="65" t="n"/>
      <c r="F862" s="66" t="n"/>
      <c r="G862" s="65" t="n"/>
      <c r="H862" s="66" t="n"/>
      <c r="I862" s="64" t="n"/>
      <c r="J862" s="68" t="n"/>
      <c r="K862" s="68" t="n"/>
      <c r="L862" s="68" t="n"/>
      <c r="M862" s="64" t="n"/>
      <c r="N862" s="64" t="n"/>
      <c r="O862" s="64" t="n"/>
      <c r="P862" s="64" t="n"/>
      <c r="Q862" s="64" t="n"/>
      <c r="R862" s="64" t="n"/>
      <c r="S862" s="66" t="n"/>
      <c r="T862" s="45" t="n"/>
      <c r="U862" s="43">
        <f t="shared" si="0"/>
      </c>
      <c r="V862" s="49">
        <f t="shared" si="1"/>
      </c>
      <c r="W862" s="49">
        <f t="shared" si="2"/>
      </c>
      <c r="X862" s="2">
        <f t="shared" si="3"/>
      </c>
      <c r="Y862" s="2">
        <f t="shared" si="4"/>
      </c>
      <c r="Z862" s="2">
        <f t="shared" si="5"/>
        <v>0</v>
      </c>
      <c r="AA862" s="2">
        <f t="shared" si="6"/>
        <v>0</v>
      </c>
      <c r="AB862" s="2">
        <f t="shared" si="7"/>
        <v>0</v>
      </c>
      <c r="AC862" s="2">
        <f t="shared" si="8"/>
      </c>
    </row>
    <row r="863">
      <c r="A863" s="64" t="n"/>
      <c r="B863" s="65" t="n"/>
      <c r="C863" s="65" t="n"/>
      <c r="D863" s="65" t="n"/>
      <c r="E863" s="65" t="n"/>
      <c r="F863" s="66" t="n"/>
      <c r="G863" s="65" t="n"/>
      <c r="H863" s="66" t="n"/>
      <c r="I863" s="64" t="n"/>
      <c r="J863" s="68" t="n"/>
      <c r="K863" s="68" t="n"/>
      <c r="L863" s="68" t="n"/>
      <c r="M863" s="64" t="n"/>
      <c r="N863" s="64" t="n"/>
      <c r="O863" s="64" t="n"/>
      <c r="P863" s="64" t="n"/>
      <c r="Q863" s="64" t="n"/>
      <c r="R863" s="64" t="n"/>
      <c r="S863" s="66" t="n"/>
      <c r="T863" s="45" t="n"/>
      <c r="U863" s="43">
        <f t="shared" si="0"/>
      </c>
      <c r="V863" s="49">
        <f t="shared" si="1"/>
      </c>
      <c r="W863" s="49">
        <f t="shared" si="2"/>
      </c>
      <c r="X863" s="2">
        <f t="shared" si="3"/>
      </c>
      <c r="Y863" s="2">
        <f t="shared" si="4"/>
      </c>
      <c r="Z863" s="2">
        <f t="shared" si="5"/>
        <v>0</v>
      </c>
      <c r="AA863" s="2">
        <f t="shared" si="6"/>
        <v>0</v>
      </c>
      <c r="AB863" s="2">
        <f t="shared" si="7"/>
        <v>0</v>
      </c>
      <c r="AC863" s="2">
        <f t="shared" si="8"/>
      </c>
    </row>
    <row r="864">
      <c r="A864" s="64" t="n"/>
      <c r="B864" s="65" t="n"/>
      <c r="C864" s="65" t="n"/>
      <c r="D864" s="65" t="n"/>
      <c r="E864" s="65" t="n"/>
      <c r="F864" s="66" t="n"/>
      <c r="G864" s="65" t="n"/>
      <c r="H864" s="66" t="n"/>
      <c r="I864" s="64" t="n"/>
      <c r="J864" s="68" t="n"/>
      <c r="K864" s="68" t="n"/>
      <c r="L864" s="68" t="n"/>
      <c r="M864" s="64" t="n"/>
      <c r="N864" s="64" t="n"/>
      <c r="O864" s="64" t="n"/>
      <c r="P864" s="64" t="n"/>
      <c r="Q864" s="64" t="n"/>
      <c r="R864" s="64" t="n"/>
      <c r="S864" s="66" t="n"/>
      <c r="T864" s="45" t="n"/>
      <c r="U864" s="43">
        <f t="shared" si="0"/>
      </c>
      <c r="V864" s="49">
        <f t="shared" si="1"/>
      </c>
      <c r="W864" s="49">
        <f t="shared" si="2"/>
      </c>
      <c r="X864" s="2">
        <f t="shared" si="3"/>
      </c>
      <c r="Y864" s="2">
        <f t="shared" si="4"/>
      </c>
      <c r="Z864" s="2">
        <f t="shared" si="5"/>
        <v>0</v>
      </c>
      <c r="AA864" s="2">
        <f t="shared" si="6"/>
        <v>0</v>
      </c>
      <c r="AB864" s="2">
        <f t="shared" si="7"/>
        <v>0</v>
      </c>
      <c r="AC864" s="2">
        <f t="shared" si="8"/>
      </c>
    </row>
    <row r="865">
      <c r="A865" s="64" t="n"/>
      <c r="B865" s="65" t="n"/>
      <c r="C865" s="65" t="n"/>
      <c r="D865" s="65" t="n"/>
      <c r="E865" s="65" t="n"/>
      <c r="F865" s="66" t="n"/>
      <c r="G865" s="65" t="n"/>
      <c r="H865" s="66" t="n"/>
      <c r="I865" s="64" t="n"/>
      <c r="J865" s="68" t="n"/>
      <c r="K865" s="68" t="n"/>
      <c r="L865" s="68" t="n"/>
      <c r="M865" s="64" t="n"/>
      <c r="N865" s="64" t="n"/>
      <c r="O865" s="64" t="n"/>
      <c r="P865" s="64" t="n"/>
      <c r="Q865" s="64" t="n"/>
      <c r="R865" s="64" t="n"/>
      <c r="S865" s="66" t="n"/>
      <c r="T865" s="45" t="n"/>
      <c r="U865" s="43">
        <f t="shared" si="0"/>
      </c>
      <c r="V865" s="49">
        <f t="shared" si="1"/>
      </c>
      <c r="W865" s="49">
        <f t="shared" si="2"/>
      </c>
      <c r="X865" s="2">
        <f t="shared" si="3"/>
      </c>
      <c r="Y865" s="2">
        <f t="shared" si="4"/>
      </c>
      <c r="Z865" s="2">
        <f t="shared" si="5"/>
        <v>0</v>
      </c>
      <c r="AA865" s="2">
        <f t="shared" si="6"/>
        <v>0</v>
      </c>
      <c r="AB865" s="2">
        <f t="shared" si="7"/>
        <v>0</v>
      </c>
      <c r="AC865" s="2">
        <f t="shared" si="8"/>
      </c>
    </row>
    <row r="866">
      <c r="A866" s="64" t="n"/>
      <c r="B866" s="65" t="n"/>
      <c r="C866" s="65" t="n"/>
      <c r="D866" s="65" t="n"/>
      <c r="E866" s="65" t="n"/>
      <c r="F866" s="66" t="n"/>
      <c r="G866" s="65" t="n"/>
      <c r="H866" s="66" t="n"/>
      <c r="I866" s="64" t="n"/>
      <c r="J866" s="68" t="n"/>
      <c r="K866" s="68" t="n"/>
      <c r="L866" s="68" t="n"/>
      <c r="M866" s="64" t="n"/>
      <c r="N866" s="64" t="n"/>
      <c r="O866" s="64" t="n"/>
      <c r="P866" s="64" t="n"/>
      <c r="Q866" s="64" t="n"/>
      <c r="R866" s="64" t="n"/>
      <c r="S866" s="66" t="n"/>
      <c r="T866" s="45" t="n"/>
      <c r="U866" s="43">
        <f t="shared" si="0"/>
      </c>
      <c r="V866" s="49">
        <f t="shared" si="1"/>
      </c>
      <c r="W866" s="49">
        <f t="shared" si="2"/>
      </c>
      <c r="X866" s="2">
        <f t="shared" si="3"/>
      </c>
      <c r="Y866" s="2">
        <f t="shared" si="4"/>
      </c>
      <c r="Z866" s="2">
        <f t="shared" si="5"/>
        <v>0</v>
      </c>
      <c r="AA866" s="2">
        <f t="shared" si="6"/>
        <v>0</v>
      </c>
      <c r="AB866" s="2">
        <f t="shared" si="7"/>
        <v>0</v>
      </c>
      <c r="AC866" s="2">
        <f t="shared" si="8"/>
      </c>
    </row>
    <row r="867">
      <c r="A867" s="64" t="n"/>
      <c r="B867" s="65" t="n"/>
      <c r="C867" s="65" t="n"/>
      <c r="D867" s="65" t="n"/>
      <c r="E867" s="65" t="n"/>
      <c r="F867" s="66" t="n"/>
      <c r="G867" s="65" t="n"/>
      <c r="H867" s="66" t="n"/>
      <c r="I867" s="64" t="n"/>
      <c r="J867" s="68" t="n"/>
      <c r="K867" s="68" t="n"/>
      <c r="L867" s="68" t="n"/>
      <c r="M867" s="64" t="n"/>
      <c r="N867" s="64" t="n"/>
      <c r="O867" s="64" t="n"/>
      <c r="P867" s="64" t="n"/>
      <c r="Q867" s="64" t="n"/>
      <c r="R867" s="64" t="n"/>
      <c r="S867" s="66" t="n"/>
      <c r="T867" s="45" t="n"/>
      <c r="U867" s="43">
        <f t="shared" si="0"/>
      </c>
      <c r="V867" s="49">
        <f t="shared" si="1"/>
      </c>
      <c r="W867" s="49">
        <f t="shared" si="2"/>
      </c>
      <c r="X867" s="2">
        <f t="shared" si="3"/>
      </c>
      <c r="Y867" s="2">
        <f t="shared" si="4"/>
      </c>
      <c r="Z867" s="2">
        <f t="shared" si="5"/>
        <v>0</v>
      </c>
      <c r="AA867" s="2">
        <f t="shared" si="6"/>
        <v>0</v>
      </c>
      <c r="AB867" s="2">
        <f t="shared" si="7"/>
        <v>0</v>
      </c>
      <c r="AC867" s="2">
        <f t="shared" si="8"/>
      </c>
    </row>
    <row r="868">
      <c r="A868" s="64" t="n"/>
      <c r="B868" s="65" t="n"/>
      <c r="C868" s="65" t="n"/>
      <c r="D868" s="65" t="n"/>
      <c r="E868" s="65" t="n"/>
      <c r="F868" s="66" t="n"/>
      <c r="G868" s="65" t="n"/>
      <c r="H868" s="66" t="n"/>
      <c r="I868" s="64" t="n"/>
      <c r="J868" s="68" t="n"/>
      <c r="K868" s="68" t="n"/>
      <c r="L868" s="68" t="n"/>
      <c r="M868" s="64" t="n"/>
      <c r="N868" s="64" t="n"/>
      <c r="O868" s="64" t="n"/>
      <c r="P868" s="64" t="n"/>
      <c r="Q868" s="64" t="n"/>
      <c r="R868" s="64" t="n"/>
      <c r="S868" s="66" t="n"/>
      <c r="T868" s="45" t="n"/>
      <c r="U868" s="43">
        <f t="shared" si="0"/>
      </c>
      <c r="V868" s="49">
        <f t="shared" si="1"/>
      </c>
      <c r="W868" s="49">
        <f t="shared" si="2"/>
      </c>
      <c r="X868" s="2">
        <f t="shared" si="3"/>
      </c>
      <c r="Y868" s="2">
        <f t="shared" si="4"/>
      </c>
      <c r="Z868" s="2">
        <f t="shared" si="5"/>
        <v>0</v>
      </c>
      <c r="AA868" s="2">
        <f t="shared" si="6"/>
        <v>0</v>
      </c>
      <c r="AB868" s="2">
        <f t="shared" si="7"/>
        <v>0</v>
      </c>
      <c r="AC868" s="2">
        <f t="shared" si="8"/>
      </c>
    </row>
    <row r="869">
      <c r="A869" s="64" t="n"/>
      <c r="B869" s="65" t="n"/>
      <c r="C869" s="65" t="n"/>
      <c r="D869" s="65" t="n"/>
      <c r="E869" s="65" t="n"/>
      <c r="F869" s="66" t="n"/>
      <c r="G869" s="65" t="n"/>
      <c r="H869" s="66" t="n"/>
      <c r="I869" s="64" t="n"/>
      <c r="J869" s="68" t="n"/>
      <c r="K869" s="68" t="n"/>
      <c r="L869" s="68" t="n"/>
      <c r="M869" s="64" t="n"/>
      <c r="N869" s="64" t="n"/>
      <c r="O869" s="64" t="n"/>
      <c r="P869" s="64" t="n"/>
      <c r="Q869" s="64" t="n"/>
      <c r="R869" s="64" t="n"/>
      <c r="S869" s="66" t="n"/>
      <c r="T869" s="45" t="n"/>
      <c r="U869" s="43">
        <f t="shared" si="0"/>
      </c>
      <c r="V869" s="49">
        <f t="shared" si="1"/>
      </c>
      <c r="W869" s="49">
        <f t="shared" si="2"/>
      </c>
      <c r="X869" s="2">
        <f t="shared" si="3"/>
      </c>
      <c r="Y869" s="2">
        <f t="shared" si="4"/>
      </c>
      <c r="Z869" s="2">
        <f t="shared" si="5"/>
        <v>0</v>
      </c>
      <c r="AA869" s="2">
        <f t="shared" si="6"/>
        <v>0</v>
      </c>
      <c r="AB869" s="2">
        <f t="shared" si="7"/>
        <v>0</v>
      </c>
      <c r="AC869" s="2">
        <f t="shared" si="8"/>
      </c>
    </row>
    <row r="870">
      <c r="A870" s="64" t="n"/>
      <c r="B870" s="65" t="n"/>
      <c r="C870" s="65" t="n"/>
      <c r="D870" s="65" t="n"/>
      <c r="E870" s="65" t="n"/>
      <c r="F870" s="66" t="n"/>
      <c r="G870" s="65" t="n"/>
      <c r="H870" s="66" t="n"/>
      <c r="I870" s="64" t="n"/>
      <c r="J870" s="68" t="n"/>
      <c r="K870" s="68" t="n"/>
      <c r="L870" s="68" t="n"/>
      <c r="M870" s="64" t="n"/>
      <c r="N870" s="64" t="n"/>
      <c r="O870" s="64" t="n"/>
      <c r="P870" s="64" t="n"/>
      <c r="Q870" s="64" t="n"/>
      <c r="R870" s="64" t="n"/>
      <c r="S870" s="66" t="n"/>
      <c r="T870" s="45" t="n"/>
      <c r="U870" s="43">
        <f t="shared" si="0"/>
      </c>
      <c r="V870" s="49">
        <f t="shared" si="1"/>
      </c>
      <c r="W870" s="49">
        <f t="shared" si="2"/>
      </c>
      <c r="X870" s="2">
        <f t="shared" si="3"/>
      </c>
      <c r="Y870" s="2">
        <f t="shared" si="4"/>
      </c>
      <c r="Z870" s="2">
        <f t="shared" si="5"/>
        <v>0</v>
      </c>
      <c r="AA870" s="2">
        <f t="shared" si="6"/>
        <v>0</v>
      </c>
      <c r="AB870" s="2">
        <f t="shared" si="7"/>
        <v>0</v>
      </c>
      <c r="AC870" s="2">
        <f t="shared" si="8"/>
      </c>
    </row>
    <row r="871">
      <c r="A871" s="64" t="n"/>
      <c r="B871" s="65" t="n"/>
      <c r="C871" s="65" t="n"/>
      <c r="D871" s="65" t="n"/>
      <c r="E871" s="65" t="n"/>
      <c r="F871" s="66" t="n"/>
      <c r="G871" s="65" t="n"/>
      <c r="H871" s="66" t="n"/>
      <c r="I871" s="64" t="n"/>
      <c r="J871" s="68" t="n"/>
      <c r="K871" s="68" t="n"/>
      <c r="L871" s="68" t="n"/>
      <c r="M871" s="64" t="n"/>
      <c r="N871" s="64" t="n"/>
      <c r="O871" s="64" t="n"/>
      <c r="P871" s="64" t="n"/>
      <c r="Q871" s="64" t="n"/>
      <c r="R871" s="64" t="n"/>
      <c r="S871" s="66" t="n"/>
      <c r="T871" s="45" t="n"/>
      <c r="U871" s="43">
        <f t="shared" si="0"/>
      </c>
      <c r="V871" s="49">
        <f t="shared" si="1"/>
      </c>
      <c r="W871" s="49">
        <f t="shared" si="2"/>
      </c>
      <c r="X871" s="2">
        <f t="shared" si="3"/>
      </c>
      <c r="Y871" s="2">
        <f t="shared" si="4"/>
      </c>
      <c r="Z871" s="2">
        <f t="shared" si="5"/>
        <v>0</v>
      </c>
      <c r="AA871" s="2">
        <f t="shared" si="6"/>
        <v>0</v>
      </c>
      <c r="AB871" s="2">
        <f t="shared" si="7"/>
        <v>0</v>
      </c>
      <c r="AC871" s="2">
        <f t="shared" si="8"/>
      </c>
    </row>
    <row r="872">
      <c r="A872" s="64" t="n"/>
      <c r="B872" s="65" t="n"/>
      <c r="C872" s="65" t="n"/>
      <c r="D872" s="65" t="n"/>
      <c r="E872" s="65" t="n"/>
      <c r="F872" s="66" t="n"/>
      <c r="G872" s="65" t="n"/>
      <c r="H872" s="66" t="n"/>
      <c r="I872" s="64" t="n"/>
      <c r="J872" s="68" t="n"/>
      <c r="K872" s="68" t="n"/>
      <c r="L872" s="68" t="n"/>
      <c r="M872" s="64" t="n"/>
      <c r="N872" s="64" t="n"/>
      <c r="O872" s="64" t="n"/>
      <c r="P872" s="64" t="n"/>
      <c r="Q872" s="64" t="n"/>
      <c r="R872" s="64" t="n"/>
      <c r="S872" s="66" t="n"/>
      <c r="T872" s="45" t="n"/>
      <c r="U872" s="43">
        <f t="shared" si="0"/>
      </c>
      <c r="V872" s="49">
        <f t="shared" si="1"/>
      </c>
      <c r="W872" s="49">
        <f t="shared" si="2"/>
      </c>
      <c r="X872" s="2">
        <f t="shared" si="3"/>
      </c>
      <c r="Y872" s="2">
        <f t="shared" si="4"/>
      </c>
      <c r="Z872" s="2">
        <f t="shared" si="5"/>
        <v>0</v>
      </c>
      <c r="AA872" s="2">
        <f t="shared" si="6"/>
        <v>0</v>
      </c>
      <c r="AB872" s="2">
        <f t="shared" si="7"/>
        <v>0</v>
      </c>
      <c r="AC872" s="2">
        <f t="shared" si="8"/>
      </c>
    </row>
    <row r="873">
      <c r="A873" s="64" t="n"/>
      <c r="B873" s="65" t="n"/>
      <c r="C873" s="65" t="n"/>
      <c r="D873" s="65" t="n"/>
      <c r="E873" s="65" t="n"/>
      <c r="F873" s="66" t="n"/>
      <c r="G873" s="65" t="n"/>
      <c r="H873" s="66" t="n"/>
      <c r="I873" s="64" t="n"/>
      <c r="J873" s="68" t="n"/>
      <c r="K873" s="68" t="n"/>
      <c r="L873" s="68" t="n"/>
      <c r="M873" s="64" t="n"/>
      <c r="N873" s="64" t="n"/>
      <c r="O873" s="64" t="n"/>
      <c r="P873" s="64" t="n"/>
      <c r="Q873" s="64" t="n"/>
      <c r="R873" s="64" t="n"/>
      <c r="S873" s="66" t="n"/>
      <c r="T873" s="45" t="n"/>
      <c r="U873" s="43">
        <f t="shared" si="0"/>
      </c>
      <c r="V873" s="49">
        <f t="shared" si="1"/>
      </c>
      <c r="W873" s="49">
        <f t="shared" si="2"/>
      </c>
      <c r="X873" s="2">
        <f t="shared" si="3"/>
      </c>
      <c r="Y873" s="2">
        <f t="shared" si="4"/>
      </c>
      <c r="Z873" s="2">
        <f t="shared" si="5"/>
        <v>0</v>
      </c>
      <c r="AA873" s="2">
        <f t="shared" si="6"/>
        <v>0</v>
      </c>
      <c r="AB873" s="2">
        <f t="shared" si="7"/>
        <v>0</v>
      </c>
      <c r="AC873" s="2">
        <f t="shared" si="8"/>
      </c>
    </row>
    <row r="874">
      <c r="A874" s="64" t="n"/>
      <c r="B874" s="65" t="n"/>
      <c r="C874" s="65" t="n"/>
      <c r="D874" s="65" t="n"/>
      <c r="E874" s="65" t="n"/>
      <c r="F874" s="66" t="n"/>
      <c r="G874" s="65" t="n"/>
      <c r="H874" s="66" t="n"/>
      <c r="I874" s="64" t="n"/>
      <c r="J874" s="68" t="n"/>
      <c r="K874" s="68" t="n"/>
      <c r="L874" s="68" t="n"/>
      <c r="M874" s="64" t="n"/>
      <c r="N874" s="64" t="n"/>
      <c r="O874" s="64" t="n"/>
      <c r="P874" s="64" t="n"/>
      <c r="Q874" s="64" t="n"/>
      <c r="R874" s="64" t="n"/>
      <c r="S874" s="66" t="n"/>
      <c r="T874" s="45" t="n"/>
      <c r="U874" s="43">
        <f t="shared" si="0"/>
      </c>
      <c r="V874" s="49">
        <f t="shared" si="1"/>
      </c>
      <c r="W874" s="49">
        <f t="shared" si="2"/>
      </c>
      <c r="X874" s="2">
        <f t="shared" si="3"/>
      </c>
      <c r="Y874" s="2">
        <f t="shared" si="4"/>
      </c>
      <c r="Z874" s="2">
        <f t="shared" si="5"/>
        <v>0</v>
      </c>
      <c r="AA874" s="2">
        <f t="shared" si="6"/>
        <v>0</v>
      </c>
      <c r="AB874" s="2">
        <f t="shared" si="7"/>
        <v>0</v>
      </c>
      <c r="AC874" s="2">
        <f t="shared" si="8"/>
      </c>
    </row>
    <row r="875">
      <c r="A875" s="64" t="n"/>
      <c r="B875" s="65" t="n"/>
      <c r="C875" s="65" t="n"/>
      <c r="D875" s="65" t="n"/>
      <c r="E875" s="65" t="n"/>
      <c r="F875" s="66" t="n"/>
      <c r="G875" s="65" t="n"/>
      <c r="H875" s="66" t="n"/>
      <c r="I875" s="64" t="n"/>
      <c r="J875" s="68" t="n"/>
      <c r="K875" s="68" t="n"/>
      <c r="L875" s="68" t="n"/>
      <c r="M875" s="64" t="n"/>
      <c r="N875" s="64" t="n"/>
      <c r="O875" s="64" t="n"/>
      <c r="P875" s="64" t="n"/>
      <c r="Q875" s="64" t="n"/>
      <c r="R875" s="64" t="n"/>
      <c r="S875" s="66" t="n"/>
      <c r="T875" s="45" t="n"/>
      <c r="U875" s="43">
        <f t="shared" si="0"/>
      </c>
      <c r="V875" s="49">
        <f t="shared" si="1"/>
      </c>
      <c r="W875" s="49">
        <f t="shared" si="2"/>
      </c>
      <c r="X875" s="2">
        <f t="shared" si="3"/>
      </c>
      <c r="Y875" s="2">
        <f t="shared" si="4"/>
      </c>
      <c r="Z875" s="2">
        <f t="shared" si="5"/>
        <v>0</v>
      </c>
      <c r="AA875" s="2">
        <f t="shared" si="6"/>
        <v>0</v>
      </c>
      <c r="AB875" s="2">
        <f t="shared" si="7"/>
        <v>0</v>
      </c>
      <c r="AC875" s="2">
        <f t="shared" si="8"/>
      </c>
    </row>
    <row r="876">
      <c r="A876" s="64" t="n"/>
      <c r="B876" s="65" t="n"/>
      <c r="C876" s="65" t="n"/>
      <c r="D876" s="65" t="n"/>
      <c r="E876" s="65" t="n"/>
      <c r="F876" s="66" t="n"/>
      <c r="G876" s="65" t="n"/>
      <c r="H876" s="66" t="n"/>
      <c r="I876" s="64" t="n"/>
      <c r="J876" s="68" t="n"/>
      <c r="K876" s="68" t="n"/>
      <c r="L876" s="68" t="n"/>
      <c r="M876" s="64" t="n"/>
      <c r="N876" s="64" t="n"/>
      <c r="O876" s="64" t="n"/>
      <c r="P876" s="64" t="n"/>
      <c r="Q876" s="64" t="n"/>
      <c r="R876" s="64" t="n"/>
      <c r="S876" s="66" t="n"/>
      <c r="T876" s="45" t="n"/>
      <c r="U876" s="43">
        <f t="shared" si="0"/>
      </c>
      <c r="V876" s="49">
        <f t="shared" si="1"/>
      </c>
      <c r="W876" s="49">
        <f t="shared" si="2"/>
      </c>
      <c r="X876" s="2">
        <f t="shared" si="3"/>
      </c>
      <c r="Y876" s="2">
        <f t="shared" si="4"/>
      </c>
      <c r="Z876" s="2">
        <f t="shared" si="5"/>
        <v>0</v>
      </c>
      <c r="AA876" s="2">
        <f t="shared" si="6"/>
        <v>0</v>
      </c>
      <c r="AB876" s="2">
        <f t="shared" si="7"/>
        <v>0</v>
      </c>
      <c r="AC876" s="2">
        <f t="shared" si="8"/>
      </c>
    </row>
    <row r="877">
      <c r="A877" s="64" t="n"/>
      <c r="B877" s="65" t="n"/>
      <c r="C877" s="65" t="n"/>
      <c r="D877" s="65" t="n"/>
      <c r="E877" s="65" t="n"/>
      <c r="F877" s="66" t="n"/>
      <c r="G877" s="65" t="n"/>
      <c r="H877" s="66" t="n"/>
      <c r="I877" s="64" t="n"/>
      <c r="J877" s="68" t="n"/>
      <c r="K877" s="68" t="n"/>
      <c r="L877" s="68" t="n"/>
      <c r="M877" s="64" t="n"/>
      <c r="N877" s="64" t="n"/>
      <c r="O877" s="64" t="n"/>
      <c r="P877" s="64" t="n"/>
      <c r="Q877" s="64" t="n"/>
      <c r="R877" s="64" t="n"/>
      <c r="S877" s="66" t="n"/>
      <c r="T877" s="45" t="n"/>
      <c r="U877" s="43">
        <f t="shared" si="0"/>
      </c>
      <c r="V877" s="49">
        <f t="shared" si="1"/>
      </c>
      <c r="W877" s="49">
        <f t="shared" si="2"/>
      </c>
      <c r="X877" s="2">
        <f t="shared" si="3"/>
      </c>
      <c r="Y877" s="2">
        <f t="shared" si="4"/>
      </c>
      <c r="Z877" s="2">
        <f t="shared" si="5"/>
        <v>0</v>
      </c>
      <c r="AA877" s="2">
        <f t="shared" si="6"/>
        <v>0</v>
      </c>
      <c r="AB877" s="2">
        <f t="shared" si="7"/>
        <v>0</v>
      </c>
      <c r="AC877" s="2">
        <f t="shared" si="8"/>
      </c>
    </row>
    <row r="878">
      <c r="A878" s="64" t="n"/>
      <c r="B878" s="65" t="n"/>
      <c r="C878" s="65" t="n"/>
      <c r="D878" s="65" t="n"/>
      <c r="E878" s="65" t="n"/>
      <c r="F878" s="66" t="n"/>
      <c r="G878" s="65" t="n"/>
      <c r="H878" s="66" t="n"/>
      <c r="I878" s="64" t="n"/>
      <c r="J878" s="68" t="n"/>
      <c r="K878" s="68" t="n"/>
      <c r="L878" s="68" t="n"/>
      <c r="M878" s="64" t="n"/>
      <c r="N878" s="64" t="n"/>
      <c r="O878" s="64" t="n"/>
      <c r="P878" s="64" t="n"/>
      <c r="Q878" s="64" t="n"/>
      <c r="R878" s="64" t="n"/>
      <c r="S878" s="66" t="n"/>
      <c r="T878" s="45" t="n"/>
      <c r="U878" s="43">
        <f t="shared" si="0"/>
      </c>
      <c r="V878" s="49">
        <f t="shared" si="1"/>
      </c>
      <c r="W878" s="49">
        <f t="shared" si="2"/>
      </c>
      <c r="X878" s="2">
        <f t="shared" si="3"/>
      </c>
      <c r="Y878" s="2">
        <f t="shared" si="4"/>
      </c>
      <c r="Z878" s="2">
        <f t="shared" si="5"/>
        <v>0</v>
      </c>
      <c r="AA878" s="2">
        <f t="shared" si="6"/>
        <v>0</v>
      </c>
      <c r="AB878" s="2">
        <f t="shared" si="7"/>
        <v>0</v>
      </c>
      <c r="AC878" s="2">
        <f t="shared" si="8"/>
      </c>
    </row>
    <row r="879">
      <c r="A879" s="64" t="n"/>
      <c r="B879" s="65" t="n"/>
      <c r="C879" s="65" t="n"/>
      <c r="D879" s="65" t="n"/>
      <c r="E879" s="65" t="n"/>
      <c r="F879" s="66" t="n"/>
      <c r="G879" s="65" t="n"/>
      <c r="H879" s="66" t="n"/>
      <c r="I879" s="64" t="n"/>
      <c r="J879" s="68" t="n"/>
      <c r="K879" s="68" t="n"/>
      <c r="L879" s="68" t="n"/>
      <c r="M879" s="64" t="n"/>
      <c r="N879" s="64" t="n"/>
      <c r="O879" s="64" t="n"/>
      <c r="P879" s="64" t="n"/>
      <c r="Q879" s="64" t="n"/>
      <c r="R879" s="64" t="n"/>
      <c r="S879" s="66" t="n"/>
      <c r="T879" s="45" t="n"/>
      <c r="U879" s="43">
        <f t="shared" si="0"/>
      </c>
      <c r="V879" s="49">
        <f t="shared" si="1"/>
      </c>
      <c r="W879" s="49">
        <f t="shared" si="2"/>
      </c>
      <c r="X879" s="2">
        <f t="shared" si="3"/>
      </c>
      <c r="Y879" s="2">
        <f t="shared" si="4"/>
      </c>
      <c r="Z879" s="2">
        <f t="shared" si="5"/>
        <v>0</v>
      </c>
      <c r="AA879" s="2">
        <f t="shared" si="6"/>
        <v>0</v>
      </c>
      <c r="AB879" s="2">
        <f t="shared" si="7"/>
        <v>0</v>
      </c>
      <c r="AC879" s="2">
        <f t="shared" si="8"/>
      </c>
    </row>
    <row r="880">
      <c r="A880" s="64" t="n"/>
      <c r="B880" s="65" t="n"/>
      <c r="C880" s="65" t="n"/>
      <c r="D880" s="65" t="n"/>
      <c r="E880" s="65" t="n"/>
      <c r="F880" s="66" t="n"/>
      <c r="G880" s="65" t="n"/>
      <c r="H880" s="66" t="n"/>
      <c r="I880" s="64" t="n"/>
      <c r="J880" s="68" t="n"/>
      <c r="K880" s="68" t="n"/>
      <c r="L880" s="68" t="n"/>
      <c r="M880" s="64" t="n"/>
      <c r="N880" s="64" t="n"/>
      <c r="O880" s="64" t="n"/>
      <c r="P880" s="64" t="n"/>
      <c r="Q880" s="64" t="n"/>
      <c r="R880" s="64" t="n"/>
      <c r="S880" s="66" t="n"/>
      <c r="T880" s="45" t="n"/>
      <c r="U880" s="43">
        <f t="shared" si="0"/>
      </c>
      <c r="V880" s="49">
        <f t="shared" si="1"/>
      </c>
      <c r="W880" s="49">
        <f t="shared" si="2"/>
      </c>
      <c r="X880" s="2">
        <f t="shared" si="3"/>
      </c>
      <c r="Y880" s="2">
        <f t="shared" si="4"/>
      </c>
      <c r="Z880" s="2">
        <f t="shared" si="5"/>
        <v>0</v>
      </c>
      <c r="AA880" s="2">
        <f t="shared" si="6"/>
        <v>0</v>
      </c>
      <c r="AB880" s="2">
        <f t="shared" si="7"/>
        <v>0</v>
      </c>
      <c r="AC880" s="2">
        <f t="shared" si="8"/>
      </c>
    </row>
    <row r="881">
      <c r="A881" s="64" t="n"/>
      <c r="B881" s="65" t="n"/>
      <c r="C881" s="65" t="n"/>
      <c r="D881" s="65" t="n"/>
      <c r="E881" s="65" t="n"/>
      <c r="F881" s="66" t="n"/>
      <c r="G881" s="65" t="n"/>
      <c r="H881" s="66" t="n"/>
      <c r="I881" s="64" t="n"/>
      <c r="J881" s="68" t="n"/>
      <c r="K881" s="68" t="n"/>
      <c r="L881" s="68" t="n"/>
      <c r="M881" s="64" t="n"/>
      <c r="N881" s="64" t="n"/>
      <c r="O881" s="64" t="n"/>
      <c r="P881" s="64" t="n"/>
      <c r="Q881" s="64" t="n"/>
      <c r="R881" s="64" t="n"/>
      <c r="S881" s="66" t="n"/>
      <c r="T881" s="45" t="n"/>
      <c r="U881" s="43">
        <f t="shared" si="0"/>
      </c>
      <c r="V881" s="49">
        <f t="shared" si="1"/>
      </c>
      <c r="W881" s="49">
        <f t="shared" si="2"/>
      </c>
      <c r="X881" s="2">
        <f t="shared" si="3"/>
      </c>
      <c r="Y881" s="2">
        <f t="shared" si="4"/>
      </c>
      <c r="Z881" s="2">
        <f t="shared" si="5"/>
        <v>0</v>
      </c>
      <c r="AA881" s="2">
        <f t="shared" si="6"/>
        <v>0</v>
      </c>
      <c r="AB881" s="2">
        <f t="shared" si="7"/>
        <v>0</v>
      </c>
      <c r="AC881" s="2">
        <f t="shared" si="8"/>
      </c>
    </row>
    <row r="882">
      <c r="A882" s="64" t="n"/>
      <c r="B882" s="65" t="n"/>
      <c r="C882" s="65" t="n"/>
      <c r="D882" s="65" t="n"/>
      <c r="E882" s="65" t="n"/>
      <c r="F882" s="66" t="n"/>
      <c r="G882" s="65" t="n"/>
      <c r="H882" s="66" t="n"/>
      <c r="I882" s="64" t="n"/>
      <c r="J882" s="68" t="n"/>
      <c r="K882" s="68" t="n"/>
      <c r="L882" s="68" t="n"/>
      <c r="M882" s="64" t="n"/>
      <c r="N882" s="64" t="n"/>
      <c r="O882" s="64" t="n"/>
      <c r="P882" s="64" t="n"/>
      <c r="Q882" s="64" t="n"/>
      <c r="R882" s="64" t="n"/>
      <c r="S882" s="66" t="n"/>
      <c r="T882" s="45" t="n"/>
      <c r="U882" s="43">
        <f t="shared" si="0"/>
      </c>
      <c r="V882" s="49">
        <f t="shared" si="1"/>
      </c>
      <c r="W882" s="49">
        <f t="shared" si="2"/>
      </c>
      <c r="X882" s="2">
        <f t="shared" si="3"/>
      </c>
      <c r="Y882" s="2">
        <f t="shared" si="4"/>
      </c>
      <c r="Z882" s="2">
        <f t="shared" si="5"/>
        <v>0</v>
      </c>
      <c r="AA882" s="2">
        <f t="shared" si="6"/>
        <v>0</v>
      </c>
      <c r="AB882" s="2">
        <f t="shared" si="7"/>
        <v>0</v>
      </c>
      <c r="AC882" s="2">
        <f t="shared" si="8"/>
      </c>
    </row>
    <row r="883">
      <c r="A883" s="64" t="n"/>
      <c r="B883" s="65" t="n"/>
      <c r="C883" s="65" t="n"/>
      <c r="D883" s="65" t="n"/>
      <c r="E883" s="65" t="n"/>
      <c r="F883" s="66" t="n"/>
      <c r="G883" s="65" t="n"/>
      <c r="H883" s="66" t="n"/>
      <c r="I883" s="64" t="n"/>
      <c r="J883" s="68" t="n"/>
      <c r="K883" s="68" t="n"/>
      <c r="L883" s="68" t="n"/>
      <c r="M883" s="64" t="n"/>
      <c r="N883" s="64" t="n"/>
      <c r="O883" s="64" t="n"/>
      <c r="P883" s="64" t="n"/>
      <c r="Q883" s="64" t="n"/>
      <c r="R883" s="64" t="n"/>
      <c r="S883" s="66" t="n"/>
      <c r="T883" s="45" t="n"/>
      <c r="U883" s="43">
        <f t="shared" si="0"/>
      </c>
      <c r="V883" s="49">
        <f t="shared" si="1"/>
      </c>
      <c r="W883" s="49">
        <f t="shared" si="2"/>
      </c>
      <c r="X883" s="2">
        <f t="shared" si="3"/>
      </c>
      <c r="Y883" s="2">
        <f t="shared" si="4"/>
      </c>
      <c r="Z883" s="2">
        <f t="shared" si="5"/>
        <v>0</v>
      </c>
      <c r="AA883" s="2">
        <f t="shared" si="6"/>
        <v>0</v>
      </c>
      <c r="AB883" s="2">
        <f t="shared" si="7"/>
        <v>0</v>
      </c>
      <c r="AC883" s="2">
        <f t="shared" si="8"/>
      </c>
    </row>
    <row r="884">
      <c r="A884" s="64" t="n"/>
      <c r="B884" s="65" t="n"/>
      <c r="C884" s="65" t="n"/>
      <c r="D884" s="65" t="n"/>
      <c r="E884" s="65" t="n"/>
      <c r="F884" s="66" t="n"/>
      <c r="G884" s="65" t="n"/>
      <c r="H884" s="66" t="n"/>
      <c r="I884" s="64" t="n"/>
      <c r="J884" s="68" t="n"/>
      <c r="K884" s="68" t="n"/>
      <c r="L884" s="68" t="n"/>
      <c r="M884" s="64" t="n"/>
      <c r="N884" s="64" t="n"/>
      <c r="O884" s="64" t="n"/>
      <c r="P884" s="64" t="n"/>
      <c r="Q884" s="64" t="n"/>
      <c r="R884" s="64" t="n"/>
      <c r="S884" s="66" t="n"/>
      <c r="T884" s="45" t="n"/>
      <c r="U884" s="43">
        <f t="shared" si="0"/>
      </c>
      <c r="V884" s="49">
        <f t="shared" si="1"/>
      </c>
      <c r="W884" s="49">
        <f t="shared" si="2"/>
      </c>
      <c r="X884" s="2">
        <f t="shared" si="3"/>
      </c>
      <c r="Y884" s="2">
        <f t="shared" si="4"/>
      </c>
      <c r="Z884" s="2">
        <f t="shared" si="5"/>
        <v>0</v>
      </c>
      <c r="AA884" s="2">
        <f t="shared" si="6"/>
        <v>0</v>
      </c>
      <c r="AB884" s="2">
        <f t="shared" si="7"/>
        <v>0</v>
      </c>
      <c r="AC884" s="2">
        <f t="shared" si="8"/>
      </c>
    </row>
    <row r="885">
      <c r="A885" s="64" t="n"/>
      <c r="B885" s="65" t="n"/>
      <c r="C885" s="65" t="n"/>
      <c r="D885" s="65" t="n"/>
      <c r="E885" s="65" t="n"/>
      <c r="F885" s="66" t="n"/>
      <c r="G885" s="65" t="n"/>
      <c r="H885" s="66" t="n"/>
      <c r="I885" s="64" t="n"/>
      <c r="J885" s="68" t="n"/>
      <c r="K885" s="68" t="n"/>
      <c r="L885" s="68" t="n"/>
      <c r="M885" s="64" t="n"/>
      <c r="N885" s="64" t="n"/>
      <c r="O885" s="64" t="n"/>
      <c r="P885" s="64" t="n"/>
      <c r="Q885" s="64" t="n"/>
      <c r="R885" s="64" t="n"/>
      <c r="S885" s="66" t="n"/>
      <c r="T885" s="45" t="n"/>
      <c r="U885" s="43">
        <f t="shared" si="0"/>
      </c>
      <c r="V885" s="49">
        <f t="shared" si="1"/>
      </c>
      <c r="W885" s="49">
        <f t="shared" si="2"/>
      </c>
      <c r="X885" s="2">
        <f t="shared" si="3"/>
      </c>
      <c r="Y885" s="2">
        <f t="shared" si="4"/>
      </c>
      <c r="Z885" s="2">
        <f t="shared" si="5"/>
        <v>0</v>
      </c>
      <c r="AA885" s="2">
        <f t="shared" si="6"/>
        <v>0</v>
      </c>
      <c r="AB885" s="2">
        <f t="shared" si="7"/>
        <v>0</v>
      </c>
      <c r="AC885" s="2">
        <f t="shared" si="8"/>
      </c>
    </row>
    <row r="886">
      <c r="A886" s="64" t="n"/>
      <c r="B886" s="65" t="n"/>
      <c r="C886" s="65" t="n"/>
      <c r="D886" s="65" t="n"/>
      <c r="E886" s="65" t="n"/>
      <c r="F886" s="66" t="n"/>
      <c r="G886" s="65" t="n"/>
      <c r="H886" s="66" t="n"/>
      <c r="I886" s="64" t="n"/>
      <c r="J886" s="68" t="n"/>
      <c r="K886" s="68" t="n"/>
      <c r="L886" s="68" t="n"/>
      <c r="M886" s="64" t="n"/>
      <c r="N886" s="64" t="n"/>
      <c r="O886" s="64" t="n"/>
      <c r="P886" s="64" t="n"/>
      <c r="Q886" s="64" t="n"/>
      <c r="R886" s="64" t="n"/>
      <c r="S886" s="66" t="n"/>
      <c r="T886" s="45" t="n"/>
      <c r="U886" s="43">
        <f t="shared" si="0"/>
      </c>
      <c r="V886" s="49">
        <f t="shared" si="1"/>
      </c>
      <c r="W886" s="49">
        <f t="shared" si="2"/>
      </c>
      <c r="X886" s="2">
        <f t="shared" si="3"/>
      </c>
      <c r="Y886" s="2">
        <f t="shared" si="4"/>
      </c>
      <c r="Z886" s="2">
        <f t="shared" si="5"/>
        <v>0</v>
      </c>
      <c r="AA886" s="2">
        <f t="shared" si="6"/>
        <v>0</v>
      </c>
      <c r="AB886" s="2">
        <f t="shared" si="7"/>
        <v>0</v>
      </c>
      <c r="AC886" s="2">
        <f t="shared" si="8"/>
      </c>
    </row>
    <row r="887">
      <c r="A887" s="64" t="n"/>
      <c r="B887" s="65" t="n"/>
      <c r="C887" s="65" t="n"/>
      <c r="D887" s="65" t="n"/>
      <c r="E887" s="65" t="n"/>
      <c r="F887" s="66" t="n"/>
      <c r="G887" s="65" t="n"/>
      <c r="H887" s="66" t="n"/>
      <c r="I887" s="64" t="n"/>
      <c r="J887" s="68" t="n"/>
      <c r="K887" s="68" t="n"/>
      <c r="L887" s="68" t="n"/>
      <c r="M887" s="64" t="n"/>
      <c r="N887" s="64" t="n"/>
      <c r="O887" s="64" t="n"/>
      <c r="P887" s="64" t="n"/>
      <c r="Q887" s="64" t="n"/>
      <c r="R887" s="64" t="n"/>
      <c r="S887" s="66" t="n"/>
      <c r="T887" s="45" t="n"/>
      <c r="U887" s="43">
        <f t="shared" si="0"/>
      </c>
      <c r="V887" s="49">
        <f t="shared" si="1"/>
      </c>
      <c r="W887" s="49">
        <f t="shared" si="2"/>
      </c>
      <c r="X887" s="2">
        <f t="shared" si="3"/>
      </c>
      <c r="Y887" s="2">
        <f t="shared" si="4"/>
      </c>
      <c r="Z887" s="2">
        <f t="shared" si="5"/>
        <v>0</v>
      </c>
      <c r="AA887" s="2">
        <f t="shared" si="6"/>
        <v>0</v>
      </c>
      <c r="AB887" s="2">
        <f t="shared" si="7"/>
        <v>0</v>
      </c>
      <c r="AC887" s="2">
        <f t="shared" si="8"/>
      </c>
    </row>
    <row r="888">
      <c r="A888" s="64" t="n"/>
      <c r="B888" s="65" t="n"/>
      <c r="C888" s="65" t="n"/>
      <c r="D888" s="65" t="n"/>
      <c r="E888" s="65" t="n"/>
      <c r="F888" s="66" t="n"/>
      <c r="G888" s="65" t="n"/>
      <c r="H888" s="66" t="n"/>
      <c r="I888" s="64" t="n"/>
      <c r="J888" s="68" t="n"/>
      <c r="K888" s="68" t="n"/>
      <c r="L888" s="68" t="n"/>
      <c r="M888" s="64" t="n"/>
      <c r="N888" s="64" t="n"/>
      <c r="O888" s="64" t="n"/>
      <c r="P888" s="64" t="n"/>
      <c r="Q888" s="64" t="n"/>
      <c r="R888" s="64" t="n"/>
      <c r="S888" s="66" t="n"/>
      <c r="T888" s="45" t="n"/>
      <c r="U888" s="43">
        <f t="shared" si="0"/>
      </c>
      <c r="V888" s="49">
        <f t="shared" si="1"/>
      </c>
      <c r="W888" s="49">
        <f t="shared" si="2"/>
      </c>
      <c r="X888" s="2">
        <f t="shared" si="3"/>
      </c>
      <c r="Y888" s="2">
        <f t="shared" si="4"/>
      </c>
      <c r="Z888" s="2">
        <f t="shared" si="5"/>
        <v>0</v>
      </c>
      <c r="AA888" s="2">
        <f t="shared" si="6"/>
        <v>0</v>
      </c>
      <c r="AB888" s="2">
        <f t="shared" si="7"/>
        <v>0</v>
      </c>
      <c r="AC888" s="2">
        <f t="shared" si="8"/>
      </c>
    </row>
    <row r="889">
      <c r="A889" s="64" t="n"/>
      <c r="B889" s="65" t="n"/>
      <c r="C889" s="65" t="n"/>
      <c r="D889" s="65" t="n"/>
      <c r="E889" s="65" t="n"/>
      <c r="F889" s="66" t="n"/>
      <c r="G889" s="65" t="n"/>
      <c r="H889" s="66" t="n"/>
      <c r="I889" s="64" t="n"/>
      <c r="J889" s="68" t="n"/>
      <c r="K889" s="68" t="n"/>
      <c r="L889" s="68" t="n"/>
      <c r="M889" s="64" t="n"/>
      <c r="N889" s="64" t="n"/>
      <c r="O889" s="64" t="n"/>
      <c r="P889" s="64" t="n"/>
      <c r="Q889" s="64" t="n"/>
      <c r="R889" s="64" t="n"/>
      <c r="S889" s="66" t="n"/>
      <c r="T889" s="45" t="n"/>
      <c r="U889" s="43">
        <f t="shared" si="0"/>
      </c>
      <c r="V889" s="49">
        <f t="shared" si="1"/>
      </c>
      <c r="W889" s="49">
        <f t="shared" si="2"/>
      </c>
      <c r="X889" s="2">
        <f t="shared" si="3"/>
      </c>
      <c r="Y889" s="2">
        <f t="shared" si="4"/>
      </c>
      <c r="Z889" s="2">
        <f t="shared" si="5"/>
        <v>0</v>
      </c>
      <c r="AA889" s="2">
        <f t="shared" si="6"/>
        <v>0</v>
      </c>
      <c r="AB889" s="2">
        <f t="shared" si="7"/>
        <v>0</v>
      </c>
      <c r="AC889" s="2">
        <f t="shared" si="8"/>
      </c>
    </row>
    <row r="890">
      <c r="A890" s="64" t="n"/>
      <c r="B890" s="65" t="n"/>
      <c r="C890" s="65" t="n"/>
      <c r="D890" s="65" t="n"/>
      <c r="E890" s="65" t="n"/>
      <c r="F890" s="66" t="n"/>
      <c r="G890" s="65" t="n"/>
      <c r="H890" s="66" t="n"/>
      <c r="I890" s="64" t="n"/>
      <c r="J890" s="68" t="n"/>
      <c r="K890" s="68" t="n"/>
      <c r="L890" s="68" t="n"/>
      <c r="M890" s="64" t="n"/>
      <c r="N890" s="64" t="n"/>
      <c r="O890" s="64" t="n"/>
      <c r="P890" s="64" t="n"/>
      <c r="Q890" s="64" t="n"/>
      <c r="R890" s="64" t="n"/>
      <c r="S890" s="66" t="n"/>
      <c r="T890" s="45" t="n"/>
      <c r="U890" s="43">
        <f t="shared" si="0"/>
      </c>
      <c r="V890" s="49">
        <f t="shared" si="1"/>
      </c>
      <c r="W890" s="49">
        <f t="shared" si="2"/>
      </c>
      <c r="X890" s="2">
        <f t="shared" si="3"/>
      </c>
      <c r="Y890" s="2">
        <f t="shared" si="4"/>
      </c>
      <c r="Z890" s="2">
        <f t="shared" si="5"/>
        <v>0</v>
      </c>
      <c r="AA890" s="2">
        <f t="shared" si="6"/>
        <v>0</v>
      </c>
      <c r="AB890" s="2">
        <f t="shared" si="7"/>
        <v>0</v>
      </c>
      <c r="AC890" s="2">
        <f t="shared" si="8"/>
      </c>
    </row>
    <row r="891">
      <c r="A891" s="64" t="n"/>
      <c r="B891" s="65" t="n"/>
      <c r="C891" s="65" t="n"/>
      <c r="D891" s="65" t="n"/>
      <c r="E891" s="65" t="n"/>
      <c r="F891" s="66" t="n"/>
      <c r="G891" s="65" t="n"/>
      <c r="H891" s="66" t="n"/>
      <c r="I891" s="64" t="n"/>
      <c r="J891" s="68" t="n"/>
      <c r="K891" s="68" t="n"/>
      <c r="L891" s="68" t="n"/>
      <c r="M891" s="64" t="n"/>
      <c r="N891" s="64" t="n"/>
      <c r="O891" s="64" t="n"/>
      <c r="P891" s="64" t="n"/>
      <c r="Q891" s="64" t="n"/>
      <c r="R891" s="64" t="n"/>
      <c r="S891" s="66" t="n"/>
      <c r="T891" s="45" t="n"/>
      <c r="U891" s="43">
        <f t="shared" si="0"/>
      </c>
      <c r="V891" s="49">
        <f t="shared" si="1"/>
      </c>
      <c r="W891" s="49">
        <f t="shared" si="2"/>
      </c>
      <c r="X891" s="2">
        <f t="shared" si="3"/>
      </c>
      <c r="Y891" s="2">
        <f t="shared" si="4"/>
      </c>
      <c r="Z891" s="2">
        <f t="shared" si="5"/>
        <v>0</v>
      </c>
      <c r="AA891" s="2">
        <f t="shared" si="6"/>
        <v>0</v>
      </c>
      <c r="AB891" s="2">
        <f t="shared" si="7"/>
        <v>0</v>
      </c>
      <c r="AC891" s="2">
        <f t="shared" si="8"/>
      </c>
    </row>
    <row r="892">
      <c r="A892" s="64" t="n"/>
      <c r="B892" s="65" t="n"/>
      <c r="C892" s="65" t="n"/>
      <c r="D892" s="65" t="n"/>
      <c r="E892" s="65" t="n"/>
      <c r="F892" s="66" t="n"/>
      <c r="G892" s="65" t="n"/>
      <c r="H892" s="66" t="n"/>
      <c r="I892" s="64" t="n"/>
      <c r="J892" s="68" t="n"/>
      <c r="K892" s="68" t="n"/>
      <c r="L892" s="68" t="n"/>
      <c r="M892" s="64" t="n"/>
      <c r="N892" s="64" t="n"/>
      <c r="O892" s="64" t="n"/>
      <c r="P892" s="64" t="n"/>
      <c r="Q892" s="64" t="n"/>
      <c r="R892" s="64" t="n"/>
      <c r="S892" s="66" t="n"/>
      <c r="T892" s="45" t="n"/>
      <c r="U892" s="43">
        <f t="shared" si="0"/>
      </c>
      <c r="V892" s="49">
        <f t="shared" si="1"/>
      </c>
      <c r="W892" s="49">
        <f t="shared" si="2"/>
      </c>
      <c r="X892" s="2">
        <f t="shared" si="3"/>
      </c>
      <c r="Y892" s="2">
        <f t="shared" si="4"/>
      </c>
      <c r="Z892" s="2">
        <f t="shared" si="5"/>
        <v>0</v>
      </c>
      <c r="AA892" s="2">
        <f t="shared" si="6"/>
        <v>0</v>
      </c>
      <c r="AB892" s="2">
        <f t="shared" si="7"/>
        <v>0</v>
      </c>
      <c r="AC892" s="2">
        <f t="shared" si="8"/>
      </c>
    </row>
    <row r="893">
      <c r="A893" s="64" t="n"/>
      <c r="B893" s="65" t="n"/>
      <c r="C893" s="65" t="n"/>
      <c r="D893" s="65" t="n"/>
      <c r="E893" s="65" t="n"/>
      <c r="F893" s="66" t="n"/>
      <c r="G893" s="65" t="n"/>
      <c r="H893" s="66" t="n"/>
      <c r="I893" s="64" t="n"/>
      <c r="J893" s="68" t="n"/>
      <c r="K893" s="68" t="n"/>
      <c r="L893" s="68" t="n"/>
      <c r="M893" s="64" t="n"/>
      <c r="N893" s="64" t="n"/>
      <c r="O893" s="64" t="n"/>
      <c r="P893" s="64" t="n"/>
      <c r="Q893" s="64" t="n"/>
      <c r="R893" s="64" t="n"/>
      <c r="S893" s="66" t="n"/>
      <c r="T893" s="45" t="n"/>
      <c r="U893" s="43">
        <f t="shared" si="0"/>
      </c>
      <c r="V893" s="49">
        <f t="shared" si="1"/>
      </c>
      <c r="W893" s="49">
        <f t="shared" si="2"/>
      </c>
      <c r="X893" s="2">
        <f t="shared" si="3"/>
      </c>
      <c r="Y893" s="2">
        <f t="shared" si="4"/>
      </c>
      <c r="Z893" s="2">
        <f t="shared" si="5"/>
        <v>0</v>
      </c>
      <c r="AA893" s="2">
        <f t="shared" si="6"/>
        <v>0</v>
      </c>
      <c r="AB893" s="2">
        <f t="shared" si="7"/>
        <v>0</v>
      </c>
      <c r="AC893" s="2">
        <f t="shared" si="8"/>
      </c>
    </row>
    <row r="894">
      <c r="A894" s="64" t="n"/>
      <c r="B894" s="65" t="n"/>
      <c r="C894" s="65" t="n"/>
      <c r="D894" s="65" t="n"/>
      <c r="E894" s="65" t="n"/>
      <c r="F894" s="66" t="n"/>
      <c r="G894" s="65" t="n"/>
      <c r="H894" s="66" t="n"/>
      <c r="I894" s="64" t="n"/>
      <c r="J894" s="68" t="n"/>
      <c r="K894" s="68" t="n"/>
      <c r="L894" s="68" t="n"/>
      <c r="M894" s="64" t="n"/>
      <c r="N894" s="64" t="n"/>
      <c r="O894" s="64" t="n"/>
      <c r="P894" s="64" t="n"/>
      <c r="Q894" s="64" t="n"/>
      <c r="R894" s="64" t="n"/>
      <c r="S894" s="66" t="n"/>
      <c r="T894" s="45" t="n"/>
      <c r="U894" s="43">
        <f t="shared" si="0"/>
      </c>
      <c r="V894" s="49">
        <f t="shared" si="1"/>
      </c>
      <c r="W894" s="49">
        <f t="shared" si="2"/>
      </c>
      <c r="X894" s="2">
        <f t="shared" si="3"/>
      </c>
      <c r="Y894" s="2">
        <f t="shared" si="4"/>
      </c>
      <c r="Z894" s="2">
        <f t="shared" si="5"/>
        <v>0</v>
      </c>
      <c r="AA894" s="2">
        <f t="shared" si="6"/>
        <v>0</v>
      </c>
      <c r="AB894" s="2">
        <f t="shared" si="7"/>
        <v>0</v>
      </c>
      <c r="AC894" s="2">
        <f t="shared" si="8"/>
      </c>
    </row>
    <row r="895">
      <c r="A895" s="64" t="n"/>
      <c r="B895" s="65" t="n"/>
      <c r="C895" s="65" t="n"/>
      <c r="D895" s="65" t="n"/>
      <c r="E895" s="65" t="n"/>
      <c r="F895" s="66" t="n"/>
      <c r="G895" s="65" t="n"/>
      <c r="H895" s="66" t="n"/>
      <c r="I895" s="64" t="n"/>
      <c r="J895" s="68" t="n"/>
      <c r="K895" s="68" t="n"/>
      <c r="L895" s="68" t="n"/>
      <c r="M895" s="64" t="n"/>
      <c r="N895" s="64" t="n"/>
      <c r="O895" s="64" t="n"/>
      <c r="P895" s="64" t="n"/>
      <c r="Q895" s="64" t="n"/>
      <c r="R895" s="64" t="n"/>
      <c r="S895" s="66" t="n"/>
      <c r="T895" s="45" t="n"/>
      <c r="U895" s="43">
        <f t="shared" si="0"/>
      </c>
      <c r="V895" s="49">
        <f t="shared" si="1"/>
      </c>
      <c r="W895" s="49">
        <f t="shared" si="2"/>
      </c>
      <c r="X895" s="2">
        <f t="shared" si="3"/>
      </c>
      <c r="Y895" s="2">
        <f t="shared" si="4"/>
      </c>
      <c r="Z895" s="2">
        <f t="shared" si="5"/>
        <v>0</v>
      </c>
      <c r="AA895" s="2">
        <f t="shared" si="6"/>
        <v>0</v>
      </c>
      <c r="AB895" s="2">
        <f t="shared" si="7"/>
        <v>0</v>
      </c>
      <c r="AC895" s="2">
        <f t="shared" si="8"/>
      </c>
    </row>
    <row r="896">
      <c r="A896" s="64" t="n"/>
      <c r="B896" s="65" t="n"/>
      <c r="C896" s="65" t="n"/>
      <c r="D896" s="65" t="n"/>
      <c r="E896" s="65" t="n"/>
      <c r="F896" s="66" t="n"/>
      <c r="G896" s="65" t="n"/>
      <c r="H896" s="66" t="n"/>
      <c r="I896" s="64" t="n"/>
      <c r="J896" s="68" t="n"/>
      <c r="K896" s="68" t="n"/>
      <c r="L896" s="68" t="n"/>
      <c r="M896" s="64" t="n"/>
      <c r="N896" s="64" t="n"/>
      <c r="O896" s="64" t="n"/>
      <c r="P896" s="64" t="n"/>
      <c r="Q896" s="64" t="n"/>
      <c r="R896" s="64" t="n"/>
      <c r="S896" s="66" t="n"/>
      <c r="T896" s="45" t="n"/>
      <c r="U896" s="43">
        <f t="shared" si="0"/>
      </c>
      <c r="V896" s="49">
        <f t="shared" si="1"/>
      </c>
      <c r="W896" s="49">
        <f t="shared" si="2"/>
      </c>
      <c r="X896" s="2">
        <f t="shared" si="3"/>
      </c>
      <c r="Y896" s="2">
        <f t="shared" si="4"/>
      </c>
      <c r="Z896" s="2">
        <f t="shared" si="5"/>
        <v>0</v>
      </c>
      <c r="AA896" s="2">
        <f t="shared" si="6"/>
        <v>0</v>
      </c>
      <c r="AB896" s="2">
        <f t="shared" si="7"/>
        <v>0</v>
      </c>
      <c r="AC896" s="2">
        <f t="shared" si="8"/>
      </c>
    </row>
    <row r="897">
      <c r="A897" s="64" t="n"/>
      <c r="B897" s="65" t="n"/>
      <c r="C897" s="65" t="n"/>
      <c r="D897" s="65" t="n"/>
      <c r="E897" s="65" t="n"/>
      <c r="F897" s="66" t="n"/>
      <c r="G897" s="65" t="n"/>
      <c r="H897" s="66" t="n"/>
      <c r="I897" s="64" t="n"/>
      <c r="J897" s="68" t="n"/>
      <c r="K897" s="68" t="n"/>
      <c r="L897" s="68" t="n"/>
      <c r="M897" s="64" t="n"/>
      <c r="N897" s="64" t="n"/>
      <c r="O897" s="64" t="n"/>
      <c r="P897" s="64" t="n"/>
      <c r="Q897" s="64" t="n"/>
      <c r="R897" s="64" t="n"/>
      <c r="S897" s="66" t="n"/>
      <c r="T897" s="45" t="n"/>
      <c r="U897" s="43">
        <f t="shared" si="0"/>
      </c>
      <c r="V897" s="49">
        <f t="shared" si="1"/>
      </c>
      <c r="W897" s="49">
        <f t="shared" si="2"/>
      </c>
      <c r="X897" s="2">
        <f t="shared" si="3"/>
      </c>
      <c r="Y897" s="2">
        <f t="shared" si="4"/>
      </c>
      <c r="Z897" s="2">
        <f t="shared" si="5"/>
        <v>0</v>
      </c>
      <c r="AA897" s="2">
        <f t="shared" si="6"/>
        <v>0</v>
      </c>
      <c r="AB897" s="2">
        <f t="shared" si="7"/>
        <v>0</v>
      </c>
      <c r="AC897" s="2">
        <f t="shared" si="8"/>
      </c>
    </row>
    <row r="898">
      <c r="A898" s="64" t="n"/>
      <c r="B898" s="65" t="n"/>
      <c r="C898" s="65" t="n"/>
      <c r="D898" s="65" t="n"/>
      <c r="E898" s="65" t="n"/>
      <c r="F898" s="66" t="n"/>
      <c r="G898" s="65" t="n"/>
      <c r="H898" s="66" t="n"/>
      <c r="I898" s="64" t="n"/>
      <c r="J898" s="68" t="n"/>
      <c r="K898" s="68" t="n"/>
      <c r="L898" s="68" t="n"/>
      <c r="M898" s="64" t="n"/>
      <c r="N898" s="64" t="n"/>
      <c r="O898" s="64" t="n"/>
      <c r="P898" s="64" t="n"/>
      <c r="Q898" s="64" t="n"/>
      <c r="R898" s="64" t="n"/>
      <c r="S898" s="66" t="n"/>
      <c r="T898" s="45" t="n"/>
      <c r="U898" s="43">
        <f t="shared" si="0"/>
      </c>
      <c r="V898" s="49">
        <f t="shared" si="1"/>
      </c>
      <c r="W898" s="49">
        <f t="shared" si="2"/>
      </c>
      <c r="X898" s="2">
        <f t="shared" si="3"/>
      </c>
      <c r="Y898" s="2">
        <f t="shared" si="4"/>
      </c>
      <c r="Z898" s="2">
        <f t="shared" si="5"/>
        <v>0</v>
      </c>
      <c r="AA898" s="2">
        <f t="shared" si="6"/>
        <v>0</v>
      </c>
      <c r="AB898" s="2">
        <f t="shared" si="7"/>
        <v>0</v>
      </c>
      <c r="AC898" s="2">
        <f t="shared" si="8"/>
      </c>
    </row>
    <row r="899">
      <c r="A899" s="64" t="n"/>
      <c r="B899" s="65" t="n"/>
      <c r="C899" s="65" t="n"/>
      <c r="D899" s="65" t="n"/>
      <c r="E899" s="65" t="n"/>
      <c r="F899" s="66" t="n"/>
      <c r="G899" s="65" t="n"/>
      <c r="H899" s="66" t="n"/>
      <c r="I899" s="64" t="n"/>
      <c r="J899" s="68" t="n"/>
      <c r="K899" s="68" t="n"/>
      <c r="L899" s="68" t="n"/>
      <c r="M899" s="64" t="n"/>
      <c r="N899" s="64" t="n"/>
      <c r="O899" s="64" t="n"/>
      <c r="P899" s="64" t="n"/>
      <c r="Q899" s="64" t="n"/>
      <c r="R899" s="64" t="n"/>
      <c r="S899" s="66" t="n"/>
      <c r="T899" s="45" t="n"/>
      <c r="U899" s="43">
        <f t="shared" si="0"/>
      </c>
      <c r="V899" s="49">
        <f t="shared" si="1"/>
      </c>
      <c r="W899" s="49">
        <f t="shared" si="2"/>
      </c>
      <c r="X899" s="2">
        <f t="shared" si="3"/>
      </c>
      <c r="Y899" s="2">
        <f t="shared" si="4"/>
      </c>
      <c r="Z899" s="2">
        <f t="shared" si="5"/>
        <v>0</v>
      </c>
      <c r="AA899" s="2">
        <f t="shared" si="6"/>
        <v>0</v>
      </c>
      <c r="AB899" s="2">
        <f t="shared" si="7"/>
        <v>0</v>
      </c>
      <c r="AC899" s="2">
        <f t="shared" si="8"/>
      </c>
    </row>
    <row r="900">
      <c r="A900" s="64" t="n"/>
      <c r="B900" s="65" t="n"/>
      <c r="C900" s="65" t="n"/>
      <c r="D900" s="65" t="n"/>
      <c r="E900" s="65" t="n"/>
      <c r="F900" s="66" t="n"/>
      <c r="G900" s="65" t="n"/>
      <c r="H900" s="66" t="n"/>
      <c r="I900" s="64" t="n"/>
      <c r="J900" s="68" t="n"/>
      <c r="K900" s="68" t="n"/>
      <c r="L900" s="68" t="n"/>
      <c r="M900" s="64" t="n"/>
      <c r="N900" s="64" t="n"/>
      <c r="O900" s="64" t="n"/>
      <c r="P900" s="64" t="n"/>
      <c r="Q900" s="64" t="n"/>
      <c r="R900" s="64" t="n"/>
      <c r="S900" s="66" t="n"/>
      <c r="T900" s="45" t="n"/>
      <c r="U900" s="43">
        <f t="shared" si="0"/>
      </c>
      <c r="V900" s="49">
        <f t="shared" si="1"/>
      </c>
      <c r="W900" s="49">
        <f t="shared" si="2"/>
      </c>
      <c r="X900" s="2">
        <f t="shared" si="3"/>
      </c>
      <c r="Y900" s="2">
        <f t="shared" si="4"/>
      </c>
      <c r="Z900" s="2">
        <f t="shared" si="5"/>
        <v>0</v>
      </c>
      <c r="AA900" s="2">
        <f t="shared" si="6"/>
        <v>0</v>
      </c>
      <c r="AB900" s="2">
        <f t="shared" si="7"/>
        <v>0</v>
      </c>
      <c r="AC900" s="2">
        <f t="shared" si="8"/>
      </c>
    </row>
    <row r="901">
      <c r="A901" s="64" t="n"/>
      <c r="B901" s="65" t="n"/>
      <c r="C901" s="65" t="n"/>
      <c r="D901" s="65" t="n"/>
      <c r="E901" s="65" t="n"/>
      <c r="F901" s="66" t="n"/>
      <c r="G901" s="65" t="n"/>
      <c r="H901" s="66" t="n"/>
      <c r="I901" s="64" t="n"/>
      <c r="J901" s="68" t="n"/>
      <c r="K901" s="68" t="n"/>
      <c r="L901" s="68" t="n"/>
      <c r="M901" s="64" t="n"/>
      <c r="N901" s="64" t="n"/>
      <c r="O901" s="64" t="n"/>
      <c r="P901" s="64" t="n"/>
      <c r="Q901" s="64" t="n"/>
      <c r="R901" s="64" t="n"/>
      <c r="S901" s="66" t="n"/>
      <c r="T901" s="45" t="n"/>
      <c r="U901" s="43">
        <f t="shared" si="0"/>
      </c>
      <c r="V901" s="49">
        <f t="shared" si="1"/>
      </c>
      <c r="W901" s="49">
        <f t="shared" si="2"/>
      </c>
      <c r="X901" s="2">
        <f t="shared" si="3"/>
      </c>
      <c r="Y901" s="2">
        <f t="shared" si="4"/>
      </c>
      <c r="Z901" s="2">
        <f t="shared" si="5"/>
        <v>0</v>
      </c>
      <c r="AA901" s="2">
        <f t="shared" si="6"/>
        <v>0</v>
      </c>
      <c r="AB901" s="2">
        <f t="shared" si="7"/>
        <v>0</v>
      </c>
      <c r="AC901" s="2">
        <f t="shared" si="8"/>
      </c>
    </row>
    <row r="902">
      <c r="A902" s="64" t="n"/>
      <c r="B902" s="65" t="n"/>
      <c r="C902" s="65" t="n"/>
      <c r="D902" s="65" t="n"/>
      <c r="E902" s="65" t="n"/>
      <c r="F902" s="66" t="n"/>
      <c r="G902" s="65" t="n"/>
      <c r="H902" s="66" t="n"/>
      <c r="I902" s="64" t="n"/>
      <c r="J902" s="68" t="n"/>
      <c r="K902" s="68" t="n"/>
      <c r="L902" s="68" t="n"/>
      <c r="M902" s="64" t="n"/>
      <c r="N902" s="64" t="n"/>
      <c r="O902" s="64" t="n"/>
      <c r="P902" s="64" t="n"/>
      <c r="Q902" s="64" t="n"/>
      <c r="R902" s="64" t="n"/>
      <c r="S902" s="66" t="n"/>
      <c r="T902" s="45" t="n"/>
      <c r="U902" s="43">
        <f t="shared" si="0"/>
      </c>
      <c r="V902" s="49">
        <f t="shared" si="1"/>
      </c>
      <c r="W902" s="49">
        <f t="shared" si="2"/>
      </c>
      <c r="X902" s="2">
        <f t="shared" si="3"/>
      </c>
      <c r="Y902" s="2">
        <f t="shared" si="4"/>
      </c>
      <c r="Z902" s="2">
        <f t="shared" si="5"/>
        <v>0</v>
      </c>
      <c r="AA902" s="2">
        <f t="shared" si="6"/>
        <v>0</v>
      </c>
      <c r="AB902" s="2">
        <f t="shared" si="7"/>
        <v>0</v>
      </c>
      <c r="AC902" s="2">
        <f t="shared" si="8"/>
      </c>
    </row>
    <row r="903">
      <c r="A903" s="64" t="n"/>
      <c r="B903" s="65" t="n"/>
      <c r="C903" s="65" t="n"/>
      <c r="D903" s="65" t="n"/>
      <c r="E903" s="65" t="n"/>
      <c r="F903" s="66" t="n"/>
      <c r="G903" s="65" t="n"/>
      <c r="H903" s="66" t="n"/>
      <c r="I903" s="64" t="n"/>
      <c r="J903" s="68" t="n"/>
      <c r="K903" s="68" t="n"/>
      <c r="L903" s="68" t="n"/>
      <c r="M903" s="64" t="n"/>
      <c r="N903" s="64" t="n"/>
      <c r="O903" s="64" t="n"/>
      <c r="P903" s="64" t="n"/>
      <c r="Q903" s="64" t="n"/>
      <c r="R903" s="64" t="n"/>
      <c r="S903" s="66" t="n"/>
      <c r="T903" s="45" t="n"/>
      <c r="U903" s="43">
        <f t="shared" si="0"/>
      </c>
      <c r="V903" s="49">
        <f t="shared" si="1"/>
      </c>
      <c r="W903" s="49">
        <f t="shared" si="2"/>
      </c>
      <c r="X903" s="2">
        <f t="shared" si="3"/>
      </c>
      <c r="Y903" s="2">
        <f t="shared" si="4"/>
      </c>
      <c r="Z903" s="2">
        <f t="shared" si="5"/>
        <v>0</v>
      </c>
      <c r="AA903" s="2">
        <f t="shared" si="6"/>
        <v>0</v>
      </c>
      <c r="AB903" s="2">
        <f t="shared" si="7"/>
        <v>0</v>
      </c>
      <c r="AC903" s="2">
        <f t="shared" si="8"/>
      </c>
    </row>
    <row r="904">
      <c r="A904" s="64" t="n"/>
      <c r="B904" s="65" t="n"/>
      <c r="C904" s="65" t="n"/>
      <c r="D904" s="65" t="n"/>
      <c r="E904" s="65" t="n"/>
      <c r="F904" s="66" t="n"/>
      <c r="G904" s="65" t="n"/>
      <c r="H904" s="66" t="n"/>
      <c r="I904" s="64" t="n"/>
      <c r="J904" s="68" t="n"/>
      <c r="K904" s="68" t="n"/>
      <c r="L904" s="68" t="n"/>
      <c r="M904" s="64" t="n"/>
      <c r="N904" s="64" t="n"/>
      <c r="O904" s="64" t="n"/>
      <c r="P904" s="64" t="n"/>
      <c r="Q904" s="64" t="n"/>
      <c r="R904" s="64" t="n"/>
      <c r="S904" s="66" t="n"/>
      <c r="T904" s="45" t="n"/>
      <c r="U904" s="43">
        <f t="shared" si="0"/>
      </c>
      <c r="V904" s="49">
        <f t="shared" si="1"/>
      </c>
      <c r="W904" s="49">
        <f t="shared" si="2"/>
      </c>
      <c r="X904" s="2">
        <f t="shared" si="3"/>
      </c>
      <c r="Y904" s="2">
        <f t="shared" si="4"/>
      </c>
      <c r="Z904" s="2">
        <f t="shared" si="5"/>
        <v>0</v>
      </c>
      <c r="AA904" s="2">
        <f t="shared" si="6"/>
        <v>0</v>
      </c>
      <c r="AB904" s="2">
        <f t="shared" si="7"/>
        <v>0</v>
      </c>
      <c r="AC904" s="2">
        <f t="shared" si="8"/>
      </c>
    </row>
    <row r="905">
      <c r="A905" s="64" t="n"/>
      <c r="B905" s="65" t="n"/>
      <c r="C905" s="65" t="n"/>
      <c r="D905" s="65" t="n"/>
      <c r="E905" s="65" t="n"/>
      <c r="F905" s="66" t="n"/>
      <c r="G905" s="65" t="n"/>
      <c r="H905" s="66" t="n"/>
      <c r="I905" s="64" t="n"/>
      <c r="J905" s="68" t="n"/>
      <c r="K905" s="68" t="n"/>
      <c r="L905" s="68" t="n"/>
      <c r="M905" s="64" t="n"/>
      <c r="N905" s="64" t="n"/>
      <c r="O905" s="64" t="n"/>
      <c r="P905" s="64" t="n"/>
      <c r="Q905" s="64" t="n"/>
      <c r="R905" s="64" t="n"/>
      <c r="S905" s="66" t="n"/>
      <c r="T905" s="45" t="n"/>
      <c r="U905" s="43">
        <f t="shared" si="0"/>
      </c>
      <c r="V905" s="49">
        <f t="shared" si="1"/>
      </c>
      <c r="W905" s="49">
        <f t="shared" si="2"/>
      </c>
      <c r="X905" s="2">
        <f t="shared" si="3"/>
      </c>
      <c r="Y905" s="2">
        <f t="shared" si="4"/>
      </c>
      <c r="Z905" s="2">
        <f t="shared" si="5"/>
        <v>0</v>
      </c>
      <c r="AA905" s="2">
        <f t="shared" si="6"/>
        <v>0</v>
      </c>
      <c r="AB905" s="2">
        <f t="shared" si="7"/>
        <v>0</v>
      </c>
      <c r="AC905" s="2">
        <f t="shared" si="8"/>
      </c>
    </row>
    <row r="906">
      <c r="A906" s="64" t="n"/>
      <c r="B906" s="65" t="n"/>
      <c r="C906" s="65" t="n"/>
      <c r="D906" s="65" t="n"/>
      <c r="E906" s="65" t="n"/>
      <c r="F906" s="66" t="n"/>
      <c r="G906" s="65" t="n"/>
      <c r="H906" s="66" t="n"/>
      <c r="I906" s="64" t="n"/>
      <c r="J906" s="68" t="n"/>
      <c r="K906" s="68" t="n"/>
      <c r="L906" s="68" t="n"/>
      <c r="M906" s="64" t="n"/>
      <c r="N906" s="64" t="n"/>
      <c r="O906" s="64" t="n"/>
      <c r="P906" s="64" t="n"/>
      <c r="Q906" s="64" t="n"/>
      <c r="R906" s="64" t="n"/>
      <c r="S906" s="66" t="n"/>
      <c r="T906" s="45" t="n"/>
      <c r="U906" s="43">
        <f t="shared" si="0"/>
      </c>
      <c r="V906" s="49">
        <f t="shared" si="1"/>
      </c>
      <c r="W906" s="49">
        <f t="shared" si="2"/>
      </c>
      <c r="X906" s="2">
        <f t="shared" si="3"/>
      </c>
      <c r="Y906" s="2">
        <f t="shared" si="4"/>
      </c>
      <c r="Z906" s="2">
        <f t="shared" si="5"/>
        <v>0</v>
      </c>
      <c r="AA906" s="2">
        <f t="shared" si="6"/>
        <v>0</v>
      </c>
      <c r="AB906" s="2">
        <f t="shared" si="7"/>
        <v>0</v>
      </c>
      <c r="AC906" s="2">
        <f t="shared" si="8"/>
      </c>
    </row>
    <row r="907">
      <c r="A907" s="64" t="n"/>
      <c r="B907" s="65" t="n"/>
      <c r="C907" s="65" t="n"/>
      <c r="D907" s="65" t="n"/>
      <c r="E907" s="65" t="n"/>
      <c r="F907" s="66" t="n"/>
      <c r="G907" s="65" t="n"/>
      <c r="H907" s="66" t="n"/>
      <c r="I907" s="64" t="n"/>
      <c r="J907" s="68" t="n"/>
      <c r="K907" s="68" t="n"/>
      <c r="L907" s="68" t="n"/>
      <c r="M907" s="64" t="n"/>
      <c r="N907" s="64" t="n"/>
      <c r="O907" s="64" t="n"/>
      <c r="P907" s="64" t="n"/>
      <c r="Q907" s="64" t="n"/>
      <c r="R907" s="64" t="n"/>
      <c r="S907" s="66" t="n"/>
      <c r="T907" s="45" t="n"/>
      <c r="U907" s="43">
        <f t="shared" si="0"/>
      </c>
      <c r="V907" s="49">
        <f t="shared" si="1"/>
      </c>
      <c r="W907" s="49">
        <f t="shared" si="2"/>
      </c>
      <c r="X907" s="2">
        <f t="shared" si="3"/>
      </c>
      <c r="Y907" s="2">
        <f t="shared" si="4"/>
      </c>
      <c r="Z907" s="2">
        <f t="shared" si="5"/>
        <v>0</v>
      </c>
      <c r="AA907" s="2">
        <f t="shared" si="6"/>
        <v>0</v>
      </c>
      <c r="AB907" s="2">
        <f t="shared" si="7"/>
        <v>0</v>
      </c>
      <c r="AC907" s="2">
        <f t="shared" si="8"/>
      </c>
    </row>
    <row r="908">
      <c r="A908" s="64" t="n"/>
      <c r="B908" s="65" t="n"/>
      <c r="C908" s="65" t="n"/>
      <c r="D908" s="65" t="n"/>
      <c r="E908" s="65" t="n"/>
      <c r="F908" s="66" t="n"/>
      <c r="G908" s="65" t="n"/>
      <c r="H908" s="66" t="n"/>
      <c r="I908" s="64" t="n"/>
      <c r="J908" s="68" t="n"/>
      <c r="K908" s="68" t="n"/>
      <c r="L908" s="68" t="n"/>
      <c r="M908" s="64" t="n"/>
      <c r="N908" s="64" t="n"/>
      <c r="O908" s="64" t="n"/>
      <c r="P908" s="64" t="n"/>
      <c r="Q908" s="64" t="n"/>
      <c r="R908" s="64" t="n"/>
      <c r="S908" s="66" t="n"/>
      <c r="T908" s="45" t="n"/>
      <c r="U908" s="43">
        <f t="shared" si="0"/>
      </c>
      <c r="V908" s="49">
        <f t="shared" si="1"/>
      </c>
      <c r="W908" s="49">
        <f t="shared" si="2"/>
      </c>
      <c r="X908" s="2">
        <f t="shared" si="3"/>
      </c>
      <c r="Y908" s="2">
        <f t="shared" si="4"/>
      </c>
      <c r="Z908" s="2">
        <f t="shared" si="5"/>
        <v>0</v>
      </c>
      <c r="AA908" s="2">
        <f t="shared" si="6"/>
        <v>0</v>
      </c>
      <c r="AB908" s="2">
        <f t="shared" si="7"/>
        <v>0</v>
      </c>
      <c r="AC908" s="2">
        <f t="shared" si="8"/>
      </c>
    </row>
    <row r="909">
      <c r="A909" s="64" t="n"/>
      <c r="B909" s="65" t="n"/>
      <c r="C909" s="65" t="n"/>
      <c r="D909" s="65" t="n"/>
      <c r="E909" s="65" t="n"/>
      <c r="F909" s="66" t="n"/>
      <c r="G909" s="65" t="n"/>
      <c r="H909" s="66" t="n"/>
      <c r="I909" s="64" t="n"/>
      <c r="J909" s="68" t="n"/>
      <c r="K909" s="68" t="n"/>
      <c r="L909" s="68" t="n"/>
      <c r="M909" s="64" t="n"/>
      <c r="N909" s="64" t="n"/>
      <c r="O909" s="64" t="n"/>
      <c r="P909" s="64" t="n"/>
      <c r="Q909" s="64" t="n"/>
      <c r="R909" s="64" t="n"/>
      <c r="S909" s="66" t="n"/>
      <c r="T909" s="45" t="n"/>
      <c r="U909" s="43">
        <f t="shared" si="0"/>
      </c>
      <c r="V909" s="49">
        <f t="shared" si="1"/>
      </c>
      <c r="W909" s="49">
        <f t="shared" si="2"/>
      </c>
      <c r="X909" s="2">
        <f t="shared" si="3"/>
      </c>
      <c r="Y909" s="2">
        <f t="shared" si="4"/>
      </c>
      <c r="Z909" s="2">
        <f t="shared" si="5"/>
        <v>0</v>
      </c>
      <c r="AA909" s="2">
        <f t="shared" si="6"/>
        <v>0</v>
      </c>
      <c r="AB909" s="2">
        <f t="shared" si="7"/>
        <v>0</v>
      </c>
      <c r="AC909" s="2">
        <f t="shared" si="8"/>
      </c>
    </row>
    <row r="910">
      <c r="A910" s="64" t="n"/>
      <c r="B910" s="65" t="n"/>
      <c r="C910" s="65" t="n"/>
      <c r="D910" s="65" t="n"/>
      <c r="E910" s="65" t="n"/>
      <c r="F910" s="66" t="n"/>
      <c r="G910" s="65" t="n"/>
      <c r="H910" s="66" t="n"/>
      <c r="I910" s="64" t="n"/>
      <c r="J910" s="68" t="n"/>
      <c r="K910" s="68" t="n"/>
      <c r="L910" s="68" t="n"/>
      <c r="M910" s="64" t="n"/>
      <c r="N910" s="64" t="n"/>
      <c r="O910" s="64" t="n"/>
      <c r="P910" s="64" t="n"/>
      <c r="Q910" s="64" t="n"/>
      <c r="R910" s="64" t="n"/>
      <c r="S910" s="66" t="n"/>
      <c r="T910" s="45" t="n"/>
      <c r="U910" s="43">
        <f t="shared" si="0"/>
      </c>
      <c r="V910" s="49">
        <f t="shared" si="1"/>
      </c>
      <c r="W910" s="49">
        <f t="shared" si="2"/>
      </c>
      <c r="X910" s="2">
        <f t="shared" si="3"/>
      </c>
      <c r="Y910" s="2">
        <f t="shared" si="4"/>
      </c>
      <c r="Z910" s="2">
        <f t="shared" si="5"/>
        <v>0</v>
      </c>
      <c r="AA910" s="2">
        <f t="shared" si="6"/>
        <v>0</v>
      </c>
      <c r="AB910" s="2">
        <f t="shared" si="7"/>
        <v>0</v>
      </c>
      <c r="AC910" s="2">
        <f t="shared" si="8"/>
      </c>
    </row>
    <row r="911">
      <c r="A911" s="64" t="n"/>
      <c r="B911" s="65" t="n"/>
      <c r="C911" s="65" t="n"/>
      <c r="D911" s="65" t="n"/>
      <c r="E911" s="65" t="n"/>
      <c r="F911" s="66" t="n"/>
      <c r="G911" s="65" t="n"/>
      <c r="H911" s="66" t="n"/>
      <c r="I911" s="64" t="n"/>
      <c r="J911" s="68" t="n"/>
      <c r="K911" s="68" t="n"/>
      <c r="L911" s="68" t="n"/>
      <c r="M911" s="64" t="n"/>
      <c r="N911" s="64" t="n"/>
      <c r="O911" s="64" t="n"/>
      <c r="P911" s="64" t="n"/>
      <c r="Q911" s="64" t="n"/>
      <c r="R911" s="64" t="n"/>
      <c r="S911" s="66" t="n"/>
      <c r="T911" s="45" t="n"/>
      <c r="U911" s="43">
        <f t="shared" si="0"/>
      </c>
      <c r="V911" s="49">
        <f t="shared" si="1"/>
      </c>
      <c r="W911" s="49">
        <f t="shared" si="2"/>
      </c>
      <c r="X911" s="2">
        <f t="shared" si="3"/>
      </c>
      <c r="Y911" s="2">
        <f t="shared" si="4"/>
      </c>
      <c r="Z911" s="2">
        <f t="shared" si="5"/>
        <v>0</v>
      </c>
      <c r="AA911" s="2">
        <f t="shared" si="6"/>
        <v>0</v>
      </c>
      <c r="AB911" s="2">
        <f t="shared" si="7"/>
        <v>0</v>
      </c>
      <c r="AC911" s="2">
        <f t="shared" si="8"/>
      </c>
    </row>
    <row r="912">
      <c r="A912" s="64" t="n"/>
      <c r="B912" s="65" t="n"/>
      <c r="C912" s="65" t="n"/>
      <c r="D912" s="65" t="n"/>
      <c r="E912" s="65" t="n"/>
      <c r="F912" s="66" t="n"/>
      <c r="G912" s="65" t="n"/>
      <c r="H912" s="66" t="n"/>
      <c r="I912" s="64" t="n"/>
      <c r="J912" s="68" t="n"/>
      <c r="K912" s="68" t="n"/>
      <c r="L912" s="68" t="n"/>
      <c r="M912" s="64" t="n"/>
      <c r="N912" s="64" t="n"/>
      <c r="O912" s="64" t="n"/>
      <c r="P912" s="64" t="n"/>
      <c r="Q912" s="64" t="n"/>
      <c r="R912" s="64" t="n"/>
      <c r="S912" s="66" t="n"/>
      <c r="T912" s="45" t="n"/>
      <c r="U912" s="43">
        <f t="shared" si="0"/>
      </c>
      <c r="V912" s="49">
        <f t="shared" si="1"/>
      </c>
      <c r="W912" s="49">
        <f t="shared" si="2"/>
      </c>
      <c r="X912" s="2">
        <f t="shared" si="3"/>
      </c>
      <c r="Y912" s="2">
        <f t="shared" si="4"/>
      </c>
      <c r="Z912" s="2">
        <f t="shared" si="5"/>
        <v>0</v>
      </c>
      <c r="AA912" s="2">
        <f t="shared" si="6"/>
        <v>0</v>
      </c>
      <c r="AB912" s="2">
        <f t="shared" si="7"/>
        <v>0</v>
      </c>
      <c r="AC912" s="2">
        <f t="shared" si="8"/>
      </c>
    </row>
    <row r="913">
      <c r="A913" s="64" t="n"/>
      <c r="B913" s="65" t="n"/>
      <c r="C913" s="65" t="n"/>
      <c r="D913" s="65" t="n"/>
      <c r="E913" s="65" t="n"/>
      <c r="F913" s="66" t="n"/>
      <c r="G913" s="65" t="n"/>
      <c r="H913" s="66" t="n"/>
      <c r="I913" s="64" t="n"/>
      <c r="J913" s="68" t="n"/>
      <c r="K913" s="68" t="n"/>
      <c r="L913" s="68" t="n"/>
      <c r="M913" s="64" t="n"/>
      <c r="N913" s="64" t="n"/>
      <c r="O913" s="64" t="n"/>
      <c r="P913" s="64" t="n"/>
      <c r="Q913" s="64" t="n"/>
      <c r="R913" s="64" t="n"/>
      <c r="S913" s="66" t="n"/>
      <c r="T913" s="45" t="n"/>
      <c r="U913" s="43">
        <f t="shared" si="0"/>
      </c>
      <c r="V913" s="49">
        <f t="shared" si="1"/>
      </c>
      <c r="W913" s="49">
        <f t="shared" si="2"/>
      </c>
      <c r="X913" s="2">
        <f t="shared" si="3"/>
      </c>
      <c r="Y913" s="2">
        <f t="shared" si="4"/>
      </c>
      <c r="Z913" s="2">
        <f t="shared" si="5"/>
        <v>0</v>
      </c>
      <c r="AA913" s="2">
        <f t="shared" si="6"/>
        <v>0</v>
      </c>
      <c r="AB913" s="2">
        <f t="shared" si="7"/>
        <v>0</v>
      </c>
      <c r="AC913" s="2">
        <f t="shared" si="8"/>
      </c>
    </row>
    <row r="914">
      <c r="A914" s="64" t="n"/>
      <c r="B914" s="65" t="n"/>
      <c r="C914" s="65" t="n"/>
      <c r="D914" s="65" t="n"/>
      <c r="E914" s="65" t="n"/>
      <c r="F914" s="66" t="n"/>
      <c r="G914" s="65" t="n"/>
      <c r="H914" s="66" t="n"/>
      <c r="I914" s="64" t="n"/>
      <c r="J914" s="68" t="n"/>
      <c r="K914" s="68" t="n"/>
      <c r="L914" s="68" t="n"/>
      <c r="M914" s="64" t="n"/>
      <c r="N914" s="64" t="n"/>
      <c r="O914" s="64" t="n"/>
      <c r="P914" s="64" t="n"/>
      <c r="Q914" s="64" t="n"/>
      <c r="R914" s="64" t="n"/>
      <c r="S914" s="66" t="n"/>
      <c r="T914" s="45" t="n"/>
      <c r="U914" s="43">
        <f t="shared" si="0"/>
      </c>
      <c r="V914" s="49">
        <f t="shared" si="1"/>
      </c>
      <c r="W914" s="49">
        <f t="shared" si="2"/>
      </c>
      <c r="X914" s="2">
        <f t="shared" si="3"/>
      </c>
      <c r="Y914" s="2">
        <f t="shared" si="4"/>
      </c>
      <c r="Z914" s="2">
        <f t="shared" si="5"/>
        <v>0</v>
      </c>
      <c r="AA914" s="2">
        <f t="shared" si="6"/>
        <v>0</v>
      </c>
      <c r="AB914" s="2">
        <f t="shared" si="7"/>
        <v>0</v>
      </c>
      <c r="AC914" s="2">
        <f t="shared" si="8"/>
      </c>
    </row>
    <row r="915">
      <c r="A915" s="64" t="n"/>
      <c r="B915" s="65" t="n"/>
      <c r="C915" s="65" t="n"/>
      <c r="D915" s="65" t="n"/>
      <c r="E915" s="65" t="n"/>
      <c r="F915" s="66" t="n"/>
      <c r="G915" s="65" t="n"/>
      <c r="H915" s="66" t="n"/>
      <c r="I915" s="64" t="n"/>
      <c r="J915" s="68" t="n"/>
      <c r="K915" s="68" t="n"/>
      <c r="L915" s="68" t="n"/>
      <c r="M915" s="64" t="n"/>
      <c r="N915" s="64" t="n"/>
      <c r="O915" s="64" t="n"/>
      <c r="P915" s="64" t="n"/>
      <c r="Q915" s="64" t="n"/>
      <c r="R915" s="64" t="n"/>
      <c r="S915" s="66" t="n"/>
      <c r="T915" s="45" t="n"/>
      <c r="U915" s="43">
        <f t="shared" si="0"/>
      </c>
      <c r="V915" s="49">
        <f t="shared" si="1"/>
      </c>
      <c r="W915" s="49">
        <f t="shared" si="2"/>
      </c>
      <c r="X915" s="2">
        <f t="shared" si="3"/>
      </c>
      <c r="Y915" s="2">
        <f t="shared" si="4"/>
      </c>
      <c r="Z915" s="2">
        <f t="shared" si="5"/>
        <v>0</v>
      </c>
      <c r="AA915" s="2">
        <f t="shared" si="6"/>
        <v>0</v>
      </c>
      <c r="AB915" s="2">
        <f t="shared" si="7"/>
        <v>0</v>
      </c>
      <c r="AC915" s="2">
        <f t="shared" si="8"/>
      </c>
    </row>
    <row r="916">
      <c r="A916" s="64" t="n"/>
      <c r="B916" s="65" t="n"/>
      <c r="C916" s="65" t="n"/>
      <c r="D916" s="65" t="n"/>
      <c r="E916" s="65" t="n"/>
      <c r="F916" s="66" t="n"/>
      <c r="G916" s="65" t="n"/>
      <c r="H916" s="66" t="n"/>
      <c r="I916" s="64" t="n"/>
      <c r="J916" s="68" t="n"/>
      <c r="K916" s="68" t="n"/>
      <c r="L916" s="68" t="n"/>
      <c r="M916" s="64" t="n"/>
      <c r="N916" s="64" t="n"/>
      <c r="O916" s="64" t="n"/>
      <c r="P916" s="64" t="n"/>
      <c r="Q916" s="64" t="n"/>
      <c r="R916" s="64" t="n"/>
      <c r="S916" s="66" t="n"/>
      <c r="T916" s="45" t="n"/>
      <c r="U916" s="43">
        <f t="shared" si="0"/>
      </c>
      <c r="V916" s="49">
        <f t="shared" si="1"/>
      </c>
      <c r="W916" s="49">
        <f t="shared" si="2"/>
      </c>
      <c r="X916" s="2">
        <f t="shared" si="3"/>
      </c>
      <c r="Y916" s="2">
        <f t="shared" si="4"/>
      </c>
      <c r="Z916" s="2">
        <f t="shared" si="5"/>
        <v>0</v>
      </c>
      <c r="AA916" s="2">
        <f t="shared" si="6"/>
        <v>0</v>
      </c>
      <c r="AB916" s="2">
        <f t="shared" si="7"/>
        <v>0</v>
      </c>
      <c r="AC916" s="2">
        <f t="shared" si="8"/>
      </c>
    </row>
    <row r="917">
      <c r="A917" s="64" t="n"/>
      <c r="B917" s="65" t="n"/>
      <c r="C917" s="65" t="n"/>
      <c r="D917" s="65" t="n"/>
      <c r="E917" s="65" t="n"/>
      <c r="F917" s="66" t="n"/>
      <c r="G917" s="65" t="n"/>
      <c r="H917" s="66" t="n"/>
      <c r="I917" s="64" t="n"/>
      <c r="J917" s="68" t="n"/>
      <c r="K917" s="68" t="n"/>
      <c r="L917" s="68" t="n"/>
      <c r="M917" s="64" t="n"/>
      <c r="N917" s="64" t="n"/>
      <c r="O917" s="64" t="n"/>
      <c r="P917" s="64" t="n"/>
      <c r="Q917" s="64" t="n"/>
      <c r="R917" s="64" t="n"/>
      <c r="S917" s="66" t="n"/>
      <c r="T917" s="45" t="n"/>
      <c r="U917" s="43">
        <f t="shared" si="0"/>
      </c>
      <c r="V917" s="49">
        <f t="shared" si="1"/>
      </c>
      <c r="W917" s="49">
        <f t="shared" si="2"/>
      </c>
      <c r="X917" s="2">
        <f t="shared" si="3"/>
      </c>
      <c r="Y917" s="2">
        <f t="shared" si="4"/>
      </c>
      <c r="Z917" s="2">
        <f t="shared" si="5"/>
        <v>0</v>
      </c>
      <c r="AA917" s="2">
        <f t="shared" si="6"/>
        <v>0</v>
      </c>
      <c r="AB917" s="2">
        <f t="shared" si="7"/>
        <v>0</v>
      </c>
      <c r="AC917" s="2">
        <f t="shared" si="8"/>
      </c>
    </row>
    <row r="918">
      <c r="A918" s="64" t="n"/>
      <c r="B918" s="65" t="n"/>
      <c r="C918" s="65" t="n"/>
      <c r="D918" s="65" t="n"/>
      <c r="E918" s="65" t="n"/>
      <c r="F918" s="66" t="n"/>
      <c r="G918" s="65" t="n"/>
      <c r="H918" s="66" t="n"/>
      <c r="I918" s="64" t="n"/>
      <c r="J918" s="68" t="n"/>
      <c r="K918" s="68" t="n"/>
      <c r="L918" s="68" t="n"/>
      <c r="M918" s="64" t="n"/>
      <c r="N918" s="64" t="n"/>
      <c r="O918" s="64" t="n"/>
      <c r="P918" s="64" t="n"/>
      <c r="Q918" s="64" t="n"/>
      <c r="R918" s="64" t="n"/>
      <c r="S918" s="66" t="n"/>
      <c r="T918" s="45" t="n"/>
      <c r="U918" s="43">
        <f t="shared" si="0"/>
      </c>
      <c r="V918" s="49">
        <f t="shared" si="1"/>
      </c>
      <c r="W918" s="49">
        <f t="shared" si="2"/>
      </c>
      <c r="X918" s="2">
        <f t="shared" si="3"/>
      </c>
      <c r="Y918" s="2">
        <f t="shared" si="4"/>
      </c>
      <c r="Z918" s="2">
        <f t="shared" si="5"/>
        <v>0</v>
      </c>
      <c r="AA918" s="2">
        <f t="shared" si="6"/>
        <v>0</v>
      </c>
      <c r="AB918" s="2">
        <f t="shared" si="7"/>
        <v>0</v>
      </c>
      <c r="AC918" s="2">
        <f t="shared" si="8"/>
      </c>
    </row>
    <row r="919">
      <c r="A919" s="64" t="n"/>
      <c r="B919" s="65" t="n"/>
      <c r="C919" s="65" t="n"/>
      <c r="D919" s="65" t="n"/>
      <c r="E919" s="65" t="n"/>
      <c r="F919" s="66" t="n"/>
      <c r="G919" s="65" t="n"/>
      <c r="H919" s="66" t="n"/>
      <c r="I919" s="64" t="n"/>
      <c r="J919" s="68" t="n"/>
      <c r="K919" s="68" t="n"/>
      <c r="L919" s="68" t="n"/>
      <c r="M919" s="64" t="n"/>
      <c r="N919" s="64" t="n"/>
      <c r="O919" s="64" t="n"/>
      <c r="P919" s="64" t="n"/>
      <c r="Q919" s="64" t="n"/>
      <c r="R919" s="64" t="n"/>
      <c r="S919" s="66" t="n"/>
      <c r="T919" s="45" t="n"/>
      <c r="U919" s="43">
        <f t="shared" si="0"/>
      </c>
      <c r="V919" s="49">
        <f t="shared" si="1"/>
      </c>
      <c r="W919" s="49">
        <f t="shared" si="2"/>
      </c>
      <c r="X919" s="2">
        <f t="shared" si="3"/>
      </c>
      <c r="Y919" s="2">
        <f t="shared" si="4"/>
      </c>
      <c r="Z919" s="2">
        <f t="shared" si="5"/>
        <v>0</v>
      </c>
      <c r="AA919" s="2">
        <f t="shared" si="6"/>
        <v>0</v>
      </c>
      <c r="AB919" s="2">
        <f t="shared" si="7"/>
        <v>0</v>
      </c>
      <c r="AC919" s="2">
        <f t="shared" si="8"/>
      </c>
    </row>
    <row r="920">
      <c r="A920" s="64" t="n"/>
      <c r="B920" s="65" t="n"/>
      <c r="C920" s="65" t="n"/>
      <c r="D920" s="65" t="n"/>
      <c r="E920" s="65" t="n"/>
      <c r="F920" s="66" t="n"/>
      <c r="G920" s="65" t="n"/>
      <c r="H920" s="66" t="n"/>
      <c r="I920" s="64" t="n"/>
      <c r="J920" s="68" t="n"/>
      <c r="K920" s="68" t="n"/>
      <c r="L920" s="68" t="n"/>
      <c r="M920" s="64" t="n"/>
      <c r="N920" s="64" t="n"/>
      <c r="O920" s="64" t="n"/>
      <c r="P920" s="64" t="n"/>
      <c r="Q920" s="64" t="n"/>
      <c r="R920" s="64" t="n"/>
      <c r="S920" s="66" t="n"/>
      <c r="T920" s="45" t="n"/>
      <c r="U920" s="43">
        <f t="shared" si="0"/>
      </c>
      <c r="V920" s="49">
        <f t="shared" si="1"/>
      </c>
      <c r="W920" s="49">
        <f t="shared" si="2"/>
      </c>
      <c r="X920" s="2">
        <f t="shared" si="3"/>
      </c>
      <c r="Y920" s="2">
        <f t="shared" si="4"/>
      </c>
      <c r="Z920" s="2">
        <f t="shared" si="5"/>
        <v>0</v>
      </c>
      <c r="AA920" s="2">
        <f t="shared" si="6"/>
        <v>0</v>
      </c>
      <c r="AB920" s="2">
        <f t="shared" si="7"/>
        <v>0</v>
      </c>
      <c r="AC920" s="2">
        <f t="shared" si="8"/>
      </c>
    </row>
    <row r="921">
      <c r="A921" s="64" t="n"/>
      <c r="B921" s="65" t="n"/>
      <c r="C921" s="65" t="n"/>
      <c r="D921" s="65" t="n"/>
      <c r="E921" s="65" t="n"/>
      <c r="F921" s="66" t="n"/>
      <c r="G921" s="65" t="n"/>
      <c r="H921" s="66" t="n"/>
      <c r="I921" s="64" t="n"/>
      <c r="J921" s="68" t="n"/>
      <c r="K921" s="68" t="n"/>
      <c r="L921" s="68" t="n"/>
      <c r="M921" s="64" t="n"/>
      <c r="N921" s="64" t="n"/>
      <c r="O921" s="64" t="n"/>
      <c r="P921" s="64" t="n"/>
      <c r="Q921" s="64" t="n"/>
      <c r="R921" s="64" t="n"/>
      <c r="S921" s="66" t="n"/>
      <c r="T921" s="45" t="n"/>
      <c r="U921" s="43">
        <f t="shared" si="0"/>
      </c>
      <c r="V921" s="49">
        <f t="shared" si="1"/>
      </c>
      <c r="W921" s="49">
        <f t="shared" si="2"/>
      </c>
      <c r="X921" s="2">
        <f t="shared" si="3"/>
      </c>
      <c r="Y921" s="2">
        <f t="shared" si="4"/>
      </c>
      <c r="Z921" s="2">
        <f t="shared" si="5"/>
        <v>0</v>
      </c>
      <c r="AA921" s="2">
        <f t="shared" si="6"/>
        <v>0</v>
      </c>
      <c r="AB921" s="2">
        <f t="shared" si="7"/>
        <v>0</v>
      </c>
      <c r="AC921" s="2">
        <f t="shared" si="8"/>
      </c>
    </row>
    <row r="922">
      <c r="A922" s="64" t="n"/>
      <c r="B922" s="65" t="n"/>
      <c r="C922" s="65" t="n"/>
      <c r="D922" s="65" t="n"/>
      <c r="E922" s="65" t="n"/>
      <c r="F922" s="66" t="n"/>
      <c r="G922" s="65" t="n"/>
      <c r="H922" s="66" t="n"/>
      <c r="I922" s="64" t="n"/>
      <c r="J922" s="68" t="n"/>
      <c r="K922" s="68" t="n"/>
      <c r="L922" s="68" t="n"/>
      <c r="M922" s="64" t="n"/>
      <c r="N922" s="64" t="n"/>
      <c r="O922" s="64" t="n"/>
      <c r="P922" s="64" t="n"/>
      <c r="Q922" s="64" t="n"/>
      <c r="R922" s="64" t="n"/>
      <c r="S922" s="66" t="n"/>
      <c r="T922" s="45" t="n"/>
      <c r="U922" s="43">
        <f t="shared" si="0"/>
      </c>
      <c r="V922" s="49">
        <f t="shared" si="1"/>
      </c>
      <c r="W922" s="49">
        <f t="shared" si="2"/>
      </c>
      <c r="X922" s="2">
        <f t="shared" si="3"/>
      </c>
      <c r="Y922" s="2">
        <f t="shared" si="4"/>
      </c>
      <c r="Z922" s="2">
        <f t="shared" si="5"/>
        <v>0</v>
      </c>
      <c r="AA922" s="2">
        <f t="shared" si="6"/>
        <v>0</v>
      </c>
      <c r="AB922" s="2">
        <f t="shared" si="7"/>
        <v>0</v>
      </c>
      <c r="AC922" s="2">
        <f t="shared" si="8"/>
      </c>
    </row>
    <row r="923">
      <c r="A923" s="64" t="n"/>
      <c r="B923" s="65" t="n"/>
      <c r="C923" s="65" t="n"/>
      <c r="D923" s="65" t="n"/>
      <c r="E923" s="65" t="n"/>
      <c r="F923" s="66" t="n"/>
      <c r="G923" s="65" t="n"/>
      <c r="H923" s="66" t="n"/>
      <c r="I923" s="64" t="n"/>
      <c r="J923" s="68" t="n"/>
      <c r="K923" s="68" t="n"/>
      <c r="L923" s="68" t="n"/>
      <c r="M923" s="64" t="n"/>
      <c r="N923" s="64" t="n"/>
      <c r="O923" s="64" t="n"/>
      <c r="P923" s="64" t="n"/>
      <c r="Q923" s="64" t="n"/>
      <c r="R923" s="64" t="n"/>
      <c r="S923" s="66" t="n"/>
      <c r="T923" s="45" t="n"/>
      <c r="U923" s="43">
        <f t="shared" si="0"/>
      </c>
      <c r="V923" s="49">
        <f t="shared" si="1"/>
      </c>
      <c r="W923" s="49">
        <f t="shared" si="2"/>
      </c>
      <c r="X923" s="2">
        <f t="shared" si="3"/>
      </c>
      <c r="Y923" s="2">
        <f t="shared" si="4"/>
      </c>
      <c r="Z923" s="2">
        <f t="shared" si="5"/>
        <v>0</v>
      </c>
      <c r="AA923" s="2">
        <f t="shared" si="6"/>
        <v>0</v>
      </c>
      <c r="AB923" s="2">
        <f t="shared" si="7"/>
        <v>0</v>
      </c>
      <c r="AC923" s="2">
        <f t="shared" si="8"/>
      </c>
    </row>
    <row r="924">
      <c r="A924" s="64" t="n"/>
      <c r="B924" s="65" t="n"/>
      <c r="C924" s="65" t="n"/>
      <c r="D924" s="65" t="n"/>
      <c r="E924" s="65" t="n"/>
      <c r="F924" s="66" t="n"/>
      <c r="G924" s="65" t="n"/>
      <c r="H924" s="66" t="n"/>
      <c r="I924" s="64" t="n"/>
      <c r="J924" s="68" t="n"/>
      <c r="K924" s="68" t="n"/>
      <c r="L924" s="68" t="n"/>
      <c r="M924" s="64" t="n"/>
      <c r="N924" s="64" t="n"/>
      <c r="O924" s="64" t="n"/>
      <c r="P924" s="64" t="n"/>
      <c r="Q924" s="64" t="n"/>
      <c r="R924" s="64" t="n"/>
      <c r="S924" s="66" t="n"/>
      <c r="T924" s="45" t="n"/>
      <c r="U924" s="43">
        <f t="shared" si="0"/>
      </c>
      <c r="V924" s="49">
        <f t="shared" si="1"/>
      </c>
      <c r="W924" s="49">
        <f t="shared" si="2"/>
      </c>
      <c r="X924" s="2">
        <f t="shared" si="3"/>
      </c>
      <c r="Y924" s="2">
        <f t="shared" si="4"/>
      </c>
      <c r="Z924" s="2">
        <f t="shared" si="5"/>
        <v>0</v>
      </c>
      <c r="AA924" s="2">
        <f t="shared" si="6"/>
        <v>0</v>
      </c>
      <c r="AB924" s="2">
        <f t="shared" si="7"/>
        <v>0</v>
      </c>
      <c r="AC924" s="2">
        <f t="shared" si="8"/>
      </c>
    </row>
    <row r="925">
      <c r="A925" s="64" t="n"/>
      <c r="B925" s="65" t="n"/>
      <c r="C925" s="65" t="n"/>
      <c r="D925" s="65" t="n"/>
      <c r="E925" s="65" t="n"/>
      <c r="F925" s="66" t="n"/>
      <c r="G925" s="65" t="n"/>
      <c r="H925" s="66" t="n"/>
      <c r="I925" s="64" t="n"/>
      <c r="J925" s="68" t="n"/>
      <c r="K925" s="68" t="n"/>
      <c r="L925" s="68" t="n"/>
      <c r="M925" s="64" t="n"/>
      <c r="N925" s="64" t="n"/>
      <c r="O925" s="64" t="n"/>
      <c r="P925" s="64" t="n"/>
      <c r="Q925" s="64" t="n"/>
      <c r="R925" s="64" t="n"/>
      <c r="S925" s="66" t="n"/>
      <c r="T925" s="45" t="n"/>
      <c r="U925" s="43">
        <f t="shared" si="0"/>
      </c>
      <c r="V925" s="49">
        <f t="shared" si="1"/>
      </c>
      <c r="W925" s="49">
        <f t="shared" si="2"/>
      </c>
      <c r="X925" s="2">
        <f t="shared" si="3"/>
      </c>
      <c r="Y925" s="2">
        <f t="shared" si="4"/>
      </c>
      <c r="Z925" s="2">
        <f t="shared" si="5"/>
        <v>0</v>
      </c>
      <c r="AA925" s="2">
        <f t="shared" si="6"/>
        <v>0</v>
      </c>
      <c r="AB925" s="2">
        <f t="shared" si="7"/>
        <v>0</v>
      </c>
      <c r="AC925" s="2">
        <f t="shared" si="8"/>
      </c>
    </row>
    <row r="926">
      <c r="A926" s="64" t="n"/>
      <c r="B926" s="65" t="n"/>
      <c r="C926" s="65" t="n"/>
      <c r="D926" s="65" t="n"/>
      <c r="E926" s="65" t="n"/>
      <c r="F926" s="66" t="n"/>
      <c r="G926" s="65" t="n"/>
      <c r="H926" s="66" t="n"/>
      <c r="I926" s="64" t="n"/>
      <c r="J926" s="68" t="n"/>
      <c r="K926" s="68" t="n"/>
      <c r="L926" s="68" t="n"/>
      <c r="M926" s="64" t="n"/>
      <c r="N926" s="64" t="n"/>
      <c r="O926" s="64" t="n"/>
      <c r="P926" s="64" t="n"/>
      <c r="Q926" s="64" t="n"/>
      <c r="R926" s="64" t="n"/>
      <c r="S926" s="66" t="n"/>
      <c r="T926" s="45" t="n"/>
      <c r="U926" s="43">
        <f t="shared" si="0"/>
      </c>
      <c r="V926" s="49">
        <f t="shared" si="1"/>
      </c>
      <c r="W926" s="49">
        <f t="shared" si="2"/>
      </c>
      <c r="X926" s="2">
        <f t="shared" si="3"/>
      </c>
      <c r="Y926" s="2">
        <f t="shared" si="4"/>
      </c>
      <c r="Z926" s="2">
        <f t="shared" si="5"/>
        <v>0</v>
      </c>
      <c r="AA926" s="2">
        <f t="shared" si="6"/>
        <v>0</v>
      </c>
      <c r="AB926" s="2">
        <f t="shared" si="7"/>
        <v>0</v>
      </c>
      <c r="AC926" s="2">
        <f t="shared" si="8"/>
      </c>
    </row>
    <row r="927">
      <c r="A927" s="64" t="n"/>
      <c r="B927" s="65" t="n"/>
      <c r="C927" s="65" t="n"/>
      <c r="D927" s="65" t="n"/>
      <c r="E927" s="65" t="n"/>
      <c r="F927" s="66" t="n"/>
      <c r="G927" s="65" t="n"/>
      <c r="H927" s="66" t="n"/>
      <c r="I927" s="64" t="n"/>
      <c r="J927" s="68" t="n"/>
      <c r="K927" s="68" t="n"/>
      <c r="L927" s="68" t="n"/>
      <c r="M927" s="64" t="n"/>
      <c r="N927" s="64" t="n"/>
      <c r="O927" s="64" t="n"/>
      <c r="P927" s="64" t="n"/>
      <c r="Q927" s="64" t="n"/>
      <c r="R927" s="64" t="n"/>
      <c r="S927" s="66" t="n"/>
      <c r="T927" s="45" t="n"/>
      <c r="U927" s="43">
        <f t="shared" si="0"/>
      </c>
      <c r="V927" s="49">
        <f t="shared" si="1"/>
      </c>
      <c r="W927" s="49">
        <f t="shared" si="2"/>
      </c>
      <c r="X927" s="2">
        <f t="shared" si="3"/>
      </c>
      <c r="Y927" s="2">
        <f t="shared" si="4"/>
      </c>
      <c r="Z927" s="2">
        <f t="shared" si="5"/>
        <v>0</v>
      </c>
      <c r="AA927" s="2">
        <f t="shared" si="6"/>
        <v>0</v>
      </c>
      <c r="AB927" s="2">
        <f t="shared" si="7"/>
        <v>0</v>
      </c>
      <c r="AC927" s="2">
        <f t="shared" si="8"/>
      </c>
    </row>
    <row r="928">
      <c r="A928" s="64" t="n"/>
      <c r="B928" s="65" t="n"/>
      <c r="C928" s="65" t="n"/>
      <c r="D928" s="65" t="n"/>
      <c r="E928" s="65" t="n"/>
      <c r="F928" s="66" t="n"/>
      <c r="G928" s="65" t="n"/>
      <c r="H928" s="66" t="n"/>
      <c r="I928" s="64" t="n"/>
      <c r="J928" s="68" t="n"/>
      <c r="K928" s="68" t="n"/>
      <c r="L928" s="68" t="n"/>
      <c r="M928" s="64" t="n"/>
      <c r="N928" s="64" t="n"/>
      <c r="O928" s="64" t="n"/>
      <c r="P928" s="64" t="n"/>
      <c r="Q928" s="64" t="n"/>
      <c r="R928" s="64" t="n"/>
      <c r="S928" s="66" t="n"/>
      <c r="T928" s="45" t="n"/>
      <c r="U928" s="43">
        <f t="shared" si="0"/>
      </c>
      <c r="V928" s="49">
        <f t="shared" si="1"/>
      </c>
      <c r="W928" s="49">
        <f t="shared" si="2"/>
      </c>
      <c r="X928" s="2">
        <f t="shared" si="3"/>
      </c>
      <c r="Y928" s="2">
        <f t="shared" si="4"/>
      </c>
      <c r="Z928" s="2">
        <f t="shared" si="5"/>
        <v>0</v>
      </c>
      <c r="AA928" s="2">
        <f t="shared" si="6"/>
        <v>0</v>
      </c>
      <c r="AB928" s="2">
        <f t="shared" si="7"/>
        <v>0</v>
      </c>
      <c r="AC928" s="2">
        <f t="shared" si="8"/>
      </c>
    </row>
    <row r="929">
      <c r="A929" s="64" t="n"/>
      <c r="B929" s="65" t="n"/>
      <c r="C929" s="65" t="n"/>
      <c r="D929" s="65" t="n"/>
      <c r="E929" s="65" t="n"/>
      <c r="F929" s="66" t="n"/>
      <c r="G929" s="65" t="n"/>
      <c r="H929" s="66" t="n"/>
      <c r="I929" s="64" t="n"/>
      <c r="J929" s="68" t="n"/>
      <c r="K929" s="68" t="n"/>
      <c r="L929" s="68" t="n"/>
      <c r="M929" s="64" t="n"/>
      <c r="N929" s="64" t="n"/>
      <c r="O929" s="64" t="n"/>
      <c r="P929" s="64" t="n"/>
      <c r="Q929" s="64" t="n"/>
      <c r="R929" s="64" t="n"/>
      <c r="S929" s="66" t="n"/>
      <c r="T929" s="45" t="n"/>
      <c r="U929" s="43">
        <f t="shared" si="0"/>
      </c>
      <c r="V929" s="49">
        <f t="shared" si="1"/>
      </c>
      <c r="W929" s="49">
        <f t="shared" si="2"/>
      </c>
      <c r="X929" s="2">
        <f t="shared" si="3"/>
      </c>
      <c r="Y929" s="2">
        <f t="shared" si="4"/>
      </c>
      <c r="Z929" s="2">
        <f t="shared" si="5"/>
        <v>0</v>
      </c>
      <c r="AA929" s="2">
        <f t="shared" si="6"/>
        <v>0</v>
      </c>
      <c r="AB929" s="2">
        <f t="shared" si="7"/>
        <v>0</v>
      </c>
      <c r="AC929" s="2">
        <f t="shared" si="8"/>
      </c>
    </row>
    <row r="930">
      <c r="A930" s="64" t="n"/>
      <c r="B930" s="65" t="n"/>
      <c r="C930" s="65" t="n"/>
      <c r="D930" s="65" t="n"/>
      <c r="E930" s="65" t="n"/>
      <c r="F930" s="66" t="n"/>
      <c r="G930" s="65" t="n"/>
      <c r="H930" s="66" t="n"/>
      <c r="I930" s="64" t="n"/>
      <c r="J930" s="68" t="n"/>
      <c r="K930" s="68" t="n"/>
      <c r="L930" s="68" t="n"/>
      <c r="M930" s="64" t="n"/>
      <c r="N930" s="64" t="n"/>
      <c r="O930" s="64" t="n"/>
      <c r="P930" s="64" t="n"/>
      <c r="Q930" s="64" t="n"/>
      <c r="R930" s="64" t="n"/>
      <c r="S930" s="66" t="n"/>
      <c r="T930" s="45" t="n"/>
      <c r="U930" s="43">
        <f t="shared" si="0"/>
      </c>
      <c r="V930" s="49">
        <f t="shared" si="1"/>
      </c>
      <c r="W930" s="49">
        <f t="shared" si="2"/>
      </c>
      <c r="X930" s="2">
        <f t="shared" si="3"/>
      </c>
      <c r="Y930" s="2">
        <f t="shared" si="4"/>
      </c>
      <c r="Z930" s="2">
        <f t="shared" si="5"/>
        <v>0</v>
      </c>
      <c r="AA930" s="2">
        <f t="shared" si="6"/>
        <v>0</v>
      </c>
      <c r="AB930" s="2">
        <f t="shared" si="7"/>
        <v>0</v>
      </c>
      <c r="AC930" s="2">
        <f t="shared" si="8"/>
      </c>
    </row>
    <row r="931">
      <c r="A931" s="64" t="n"/>
      <c r="B931" s="65" t="n"/>
      <c r="C931" s="65" t="n"/>
      <c r="D931" s="65" t="n"/>
      <c r="E931" s="65" t="n"/>
      <c r="F931" s="66" t="n"/>
      <c r="G931" s="65" t="n"/>
      <c r="H931" s="66" t="n"/>
      <c r="I931" s="64" t="n"/>
      <c r="J931" s="68" t="n"/>
      <c r="K931" s="68" t="n"/>
      <c r="L931" s="68" t="n"/>
      <c r="M931" s="64" t="n"/>
      <c r="N931" s="64" t="n"/>
      <c r="O931" s="64" t="n"/>
      <c r="P931" s="64" t="n"/>
      <c r="Q931" s="64" t="n"/>
      <c r="R931" s="64" t="n"/>
      <c r="S931" s="66" t="n"/>
      <c r="T931" s="45" t="n"/>
      <c r="U931" s="43">
        <f t="shared" si="0"/>
      </c>
      <c r="V931" s="49">
        <f t="shared" si="1"/>
      </c>
      <c r="W931" s="49">
        <f t="shared" si="2"/>
      </c>
      <c r="X931" s="2">
        <f t="shared" si="3"/>
      </c>
      <c r="Y931" s="2">
        <f t="shared" si="4"/>
      </c>
      <c r="Z931" s="2">
        <f t="shared" si="5"/>
        <v>0</v>
      </c>
      <c r="AA931" s="2">
        <f t="shared" si="6"/>
        <v>0</v>
      </c>
      <c r="AB931" s="2">
        <f t="shared" si="7"/>
        <v>0</v>
      </c>
      <c r="AC931" s="2">
        <f t="shared" si="8"/>
      </c>
    </row>
    <row r="932">
      <c r="A932" s="64" t="n"/>
      <c r="B932" s="65" t="n"/>
      <c r="C932" s="65" t="n"/>
      <c r="D932" s="65" t="n"/>
      <c r="E932" s="65" t="n"/>
      <c r="F932" s="66" t="n"/>
      <c r="G932" s="65" t="n"/>
      <c r="H932" s="66" t="n"/>
      <c r="I932" s="64" t="n"/>
      <c r="J932" s="68" t="n"/>
      <c r="K932" s="68" t="n"/>
      <c r="L932" s="68" t="n"/>
      <c r="M932" s="64" t="n"/>
      <c r="N932" s="64" t="n"/>
      <c r="O932" s="64" t="n"/>
      <c r="P932" s="64" t="n"/>
      <c r="Q932" s="64" t="n"/>
      <c r="R932" s="64" t="n"/>
      <c r="S932" s="66" t="n"/>
      <c r="T932" s="45" t="n"/>
      <c r="U932" s="43">
        <f t="shared" si="0"/>
      </c>
      <c r="V932" s="49">
        <f t="shared" si="1"/>
      </c>
      <c r="W932" s="49">
        <f t="shared" si="2"/>
      </c>
      <c r="X932" s="2">
        <f t="shared" si="3"/>
      </c>
      <c r="Y932" s="2">
        <f t="shared" si="4"/>
      </c>
      <c r="Z932" s="2">
        <f t="shared" si="5"/>
        <v>0</v>
      </c>
      <c r="AA932" s="2">
        <f t="shared" si="6"/>
        <v>0</v>
      </c>
      <c r="AB932" s="2">
        <f t="shared" si="7"/>
        <v>0</v>
      </c>
      <c r="AC932" s="2">
        <f t="shared" si="8"/>
      </c>
    </row>
    <row r="933">
      <c r="A933" s="64" t="n"/>
      <c r="B933" s="65" t="n"/>
      <c r="C933" s="65" t="n"/>
      <c r="D933" s="65" t="n"/>
      <c r="E933" s="65" t="n"/>
      <c r="F933" s="66" t="n"/>
      <c r="G933" s="65" t="n"/>
      <c r="H933" s="66" t="n"/>
      <c r="I933" s="64" t="n"/>
      <c r="J933" s="68" t="n"/>
      <c r="K933" s="68" t="n"/>
      <c r="L933" s="68" t="n"/>
      <c r="M933" s="64" t="n"/>
      <c r="N933" s="64" t="n"/>
      <c r="O933" s="64" t="n"/>
      <c r="P933" s="64" t="n"/>
      <c r="Q933" s="64" t="n"/>
      <c r="R933" s="64" t="n"/>
      <c r="S933" s="66" t="n"/>
      <c r="T933" s="45" t="n"/>
      <c r="U933" s="43">
        <f t="shared" si="0"/>
      </c>
      <c r="V933" s="49">
        <f t="shared" si="1"/>
      </c>
      <c r="W933" s="49">
        <f t="shared" si="2"/>
      </c>
      <c r="X933" s="2">
        <f t="shared" si="3"/>
      </c>
      <c r="Y933" s="2">
        <f t="shared" si="4"/>
      </c>
      <c r="Z933" s="2">
        <f t="shared" si="5"/>
        <v>0</v>
      </c>
      <c r="AA933" s="2">
        <f t="shared" si="6"/>
        <v>0</v>
      </c>
      <c r="AB933" s="2">
        <f t="shared" si="7"/>
        <v>0</v>
      </c>
      <c r="AC933" s="2">
        <f t="shared" si="8"/>
      </c>
    </row>
    <row r="934">
      <c r="A934" s="64" t="n"/>
      <c r="B934" s="65" t="n"/>
      <c r="C934" s="65" t="n"/>
      <c r="D934" s="65" t="n"/>
      <c r="E934" s="65" t="n"/>
      <c r="F934" s="66" t="n"/>
      <c r="G934" s="65" t="n"/>
      <c r="H934" s="66" t="n"/>
      <c r="I934" s="64" t="n"/>
      <c r="J934" s="68" t="n"/>
      <c r="K934" s="68" t="n"/>
      <c r="L934" s="68" t="n"/>
      <c r="M934" s="64" t="n"/>
      <c r="N934" s="64" t="n"/>
      <c r="O934" s="64" t="n"/>
      <c r="P934" s="64" t="n"/>
      <c r="Q934" s="64" t="n"/>
      <c r="R934" s="64" t="n"/>
      <c r="S934" s="66" t="n"/>
      <c r="T934" s="45" t="n"/>
      <c r="U934" s="43">
        <f t="shared" si="0"/>
      </c>
      <c r="V934" s="49">
        <f t="shared" si="1"/>
      </c>
      <c r="W934" s="49">
        <f t="shared" si="2"/>
      </c>
      <c r="X934" s="2">
        <f t="shared" si="3"/>
      </c>
      <c r="Y934" s="2">
        <f t="shared" si="4"/>
      </c>
      <c r="Z934" s="2">
        <f t="shared" si="5"/>
        <v>0</v>
      </c>
      <c r="AA934" s="2">
        <f t="shared" si="6"/>
        <v>0</v>
      </c>
      <c r="AB934" s="2">
        <f t="shared" si="7"/>
        <v>0</v>
      </c>
      <c r="AC934" s="2">
        <f t="shared" si="8"/>
      </c>
    </row>
    <row r="935">
      <c r="A935" s="64" t="n"/>
      <c r="B935" s="65" t="n"/>
      <c r="C935" s="65" t="n"/>
      <c r="D935" s="65" t="n"/>
      <c r="E935" s="65" t="n"/>
      <c r="F935" s="66" t="n"/>
      <c r="G935" s="65" t="n"/>
      <c r="H935" s="66" t="n"/>
      <c r="I935" s="64" t="n"/>
      <c r="J935" s="68" t="n"/>
      <c r="K935" s="68" t="n"/>
      <c r="L935" s="68" t="n"/>
      <c r="M935" s="64" t="n"/>
      <c r="N935" s="64" t="n"/>
      <c r="O935" s="64" t="n"/>
      <c r="P935" s="64" t="n"/>
      <c r="Q935" s="64" t="n"/>
      <c r="R935" s="64" t="n"/>
      <c r="S935" s="66" t="n"/>
      <c r="T935" s="45" t="n"/>
      <c r="U935" s="43">
        <f t="shared" si="0"/>
      </c>
      <c r="V935" s="49">
        <f t="shared" si="1"/>
      </c>
      <c r="W935" s="49">
        <f t="shared" si="2"/>
      </c>
      <c r="X935" s="2">
        <f t="shared" si="3"/>
      </c>
      <c r="Y935" s="2">
        <f t="shared" si="4"/>
      </c>
      <c r="Z935" s="2">
        <f t="shared" si="5"/>
        <v>0</v>
      </c>
      <c r="AA935" s="2">
        <f t="shared" si="6"/>
        <v>0</v>
      </c>
      <c r="AB935" s="2">
        <f t="shared" si="7"/>
        <v>0</v>
      </c>
      <c r="AC935" s="2">
        <f t="shared" si="8"/>
      </c>
    </row>
    <row r="936">
      <c r="A936" s="64" t="n"/>
      <c r="B936" s="65" t="n"/>
      <c r="C936" s="65" t="n"/>
      <c r="D936" s="65" t="n"/>
      <c r="E936" s="65" t="n"/>
      <c r="F936" s="66" t="n"/>
      <c r="G936" s="65" t="n"/>
      <c r="H936" s="66" t="n"/>
      <c r="I936" s="64" t="n"/>
      <c r="J936" s="68" t="n"/>
      <c r="K936" s="68" t="n"/>
      <c r="L936" s="68" t="n"/>
      <c r="M936" s="64" t="n"/>
      <c r="N936" s="64" t="n"/>
      <c r="O936" s="64" t="n"/>
      <c r="P936" s="64" t="n"/>
      <c r="Q936" s="64" t="n"/>
      <c r="R936" s="64" t="n"/>
      <c r="S936" s="66" t="n"/>
      <c r="T936" s="45" t="n"/>
      <c r="U936" s="43">
        <f t="shared" si="0"/>
      </c>
      <c r="V936" s="49">
        <f t="shared" si="1"/>
      </c>
      <c r="W936" s="49">
        <f t="shared" si="2"/>
      </c>
      <c r="X936" s="2">
        <f t="shared" si="3"/>
      </c>
      <c r="Y936" s="2">
        <f t="shared" si="4"/>
      </c>
      <c r="Z936" s="2">
        <f t="shared" si="5"/>
        <v>0</v>
      </c>
      <c r="AA936" s="2">
        <f t="shared" si="6"/>
        <v>0</v>
      </c>
      <c r="AB936" s="2">
        <f t="shared" si="7"/>
        <v>0</v>
      </c>
      <c r="AC936" s="2">
        <f t="shared" si="8"/>
      </c>
    </row>
    <row r="937">
      <c r="A937" s="64" t="n"/>
      <c r="B937" s="65" t="n"/>
      <c r="C937" s="65" t="n"/>
      <c r="D937" s="65" t="n"/>
      <c r="E937" s="65" t="n"/>
      <c r="F937" s="66" t="n"/>
      <c r="G937" s="65" t="n"/>
      <c r="H937" s="66" t="n"/>
      <c r="I937" s="64" t="n"/>
      <c r="J937" s="68" t="n"/>
      <c r="K937" s="68" t="n"/>
      <c r="L937" s="68" t="n"/>
      <c r="M937" s="64" t="n"/>
      <c r="N937" s="64" t="n"/>
      <c r="O937" s="64" t="n"/>
      <c r="P937" s="64" t="n"/>
      <c r="Q937" s="64" t="n"/>
      <c r="R937" s="64" t="n"/>
      <c r="S937" s="66" t="n"/>
      <c r="T937" s="45" t="n"/>
      <c r="U937" s="43">
        <f t="shared" si="0"/>
      </c>
      <c r="V937" s="49">
        <f t="shared" si="1"/>
      </c>
      <c r="W937" s="49">
        <f t="shared" si="2"/>
      </c>
      <c r="X937" s="2">
        <f t="shared" si="3"/>
      </c>
      <c r="Y937" s="2">
        <f t="shared" si="4"/>
      </c>
      <c r="Z937" s="2">
        <f t="shared" si="5"/>
        <v>0</v>
      </c>
      <c r="AA937" s="2">
        <f t="shared" si="6"/>
        <v>0</v>
      </c>
      <c r="AB937" s="2">
        <f t="shared" si="7"/>
        <v>0</v>
      </c>
      <c r="AC937" s="2">
        <f t="shared" si="8"/>
      </c>
    </row>
    <row r="938">
      <c r="A938" s="64" t="n"/>
      <c r="B938" s="65" t="n"/>
      <c r="C938" s="65" t="n"/>
      <c r="D938" s="65" t="n"/>
      <c r="E938" s="65" t="n"/>
      <c r="F938" s="66" t="n"/>
      <c r="G938" s="65" t="n"/>
      <c r="H938" s="66" t="n"/>
      <c r="I938" s="64" t="n"/>
      <c r="J938" s="68" t="n"/>
      <c r="K938" s="68" t="n"/>
      <c r="L938" s="68" t="n"/>
      <c r="M938" s="64" t="n"/>
      <c r="N938" s="64" t="n"/>
      <c r="O938" s="64" t="n"/>
      <c r="P938" s="64" t="n"/>
      <c r="Q938" s="64" t="n"/>
      <c r="R938" s="64" t="n"/>
      <c r="S938" s="66" t="n"/>
      <c r="T938" s="45" t="n"/>
      <c r="U938" s="43">
        <f t="shared" si="0"/>
      </c>
      <c r="V938" s="49">
        <f t="shared" si="1"/>
      </c>
      <c r="W938" s="49">
        <f t="shared" si="2"/>
      </c>
      <c r="X938" s="2">
        <f t="shared" si="3"/>
      </c>
      <c r="Y938" s="2">
        <f t="shared" si="4"/>
      </c>
      <c r="Z938" s="2">
        <f t="shared" si="5"/>
        <v>0</v>
      </c>
      <c r="AA938" s="2">
        <f t="shared" si="6"/>
        <v>0</v>
      </c>
      <c r="AB938" s="2">
        <f t="shared" si="7"/>
        <v>0</v>
      </c>
      <c r="AC938" s="2">
        <f t="shared" si="8"/>
      </c>
    </row>
    <row r="939">
      <c r="A939" s="64" t="n"/>
      <c r="B939" s="65" t="n"/>
      <c r="C939" s="65" t="n"/>
      <c r="D939" s="65" t="n"/>
      <c r="E939" s="65" t="n"/>
      <c r="F939" s="66" t="n"/>
      <c r="G939" s="65" t="n"/>
      <c r="H939" s="66" t="n"/>
      <c r="I939" s="64" t="n"/>
      <c r="J939" s="68" t="n"/>
      <c r="K939" s="68" t="n"/>
      <c r="L939" s="68" t="n"/>
      <c r="M939" s="64" t="n"/>
      <c r="N939" s="64" t="n"/>
      <c r="O939" s="64" t="n"/>
      <c r="P939" s="64" t="n"/>
      <c r="Q939" s="64" t="n"/>
      <c r="R939" s="64" t="n"/>
      <c r="S939" s="66" t="n"/>
      <c r="T939" s="45" t="n"/>
      <c r="U939" s="43">
        <f t="shared" si="0"/>
      </c>
      <c r="V939" s="49">
        <f t="shared" si="1"/>
      </c>
      <c r="W939" s="49">
        <f t="shared" si="2"/>
      </c>
      <c r="X939" s="2">
        <f t="shared" si="3"/>
      </c>
      <c r="Y939" s="2">
        <f t="shared" si="4"/>
      </c>
      <c r="Z939" s="2">
        <f t="shared" si="5"/>
        <v>0</v>
      </c>
      <c r="AA939" s="2">
        <f t="shared" si="6"/>
        <v>0</v>
      </c>
      <c r="AB939" s="2">
        <f t="shared" si="7"/>
        <v>0</v>
      </c>
      <c r="AC939" s="2">
        <f t="shared" si="8"/>
      </c>
    </row>
    <row r="940">
      <c r="A940" s="64" t="n"/>
      <c r="B940" s="65" t="n"/>
      <c r="C940" s="65" t="n"/>
      <c r="D940" s="65" t="n"/>
      <c r="E940" s="65" t="n"/>
      <c r="F940" s="66" t="n"/>
      <c r="G940" s="65" t="n"/>
      <c r="H940" s="66" t="n"/>
      <c r="I940" s="64" t="n"/>
      <c r="J940" s="68" t="n"/>
      <c r="K940" s="68" t="n"/>
      <c r="L940" s="68" t="n"/>
      <c r="M940" s="64" t="n"/>
      <c r="N940" s="64" t="n"/>
      <c r="O940" s="64" t="n"/>
      <c r="P940" s="64" t="n"/>
      <c r="Q940" s="64" t="n"/>
      <c r="R940" s="64" t="n"/>
      <c r="S940" s="66" t="n"/>
      <c r="T940" s="45" t="n"/>
      <c r="U940" s="43">
        <f t="shared" si="0"/>
      </c>
      <c r="V940" s="49">
        <f t="shared" si="1"/>
      </c>
      <c r="W940" s="49">
        <f t="shared" si="2"/>
      </c>
      <c r="X940" s="2">
        <f t="shared" si="3"/>
      </c>
      <c r="Y940" s="2">
        <f t="shared" si="4"/>
      </c>
      <c r="Z940" s="2">
        <f t="shared" si="5"/>
        <v>0</v>
      </c>
      <c r="AA940" s="2">
        <f t="shared" si="6"/>
        <v>0</v>
      </c>
      <c r="AB940" s="2">
        <f t="shared" si="7"/>
        <v>0</v>
      </c>
      <c r="AC940" s="2">
        <f t="shared" si="8"/>
      </c>
    </row>
    <row r="941">
      <c r="A941" s="64" t="n"/>
      <c r="B941" s="65" t="n"/>
      <c r="C941" s="65" t="n"/>
      <c r="D941" s="65" t="n"/>
      <c r="E941" s="65" t="n"/>
      <c r="F941" s="66" t="n"/>
      <c r="G941" s="65" t="n"/>
      <c r="H941" s="66" t="n"/>
      <c r="I941" s="64" t="n"/>
      <c r="J941" s="68" t="n"/>
      <c r="K941" s="68" t="n"/>
      <c r="L941" s="68" t="n"/>
      <c r="M941" s="64" t="n"/>
      <c r="N941" s="64" t="n"/>
      <c r="O941" s="64" t="n"/>
      <c r="P941" s="64" t="n"/>
      <c r="Q941" s="64" t="n"/>
      <c r="R941" s="64" t="n"/>
      <c r="S941" s="66" t="n"/>
      <c r="T941" s="45" t="n"/>
      <c r="U941" s="43">
        <f t="shared" si="0"/>
      </c>
      <c r="V941" s="49">
        <f t="shared" si="1"/>
      </c>
      <c r="W941" s="49">
        <f t="shared" si="2"/>
      </c>
      <c r="X941" s="2">
        <f t="shared" si="3"/>
      </c>
      <c r="Y941" s="2">
        <f t="shared" si="4"/>
      </c>
      <c r="Z941" s="2">
        <f t="shared" si="5"/>
        <v>0</v>
      </c>
      <c r="AA941" s="2">
        <f t="shared" si="6"/>
        <v>0</v>
      </c>
      <c r="AB941" s="2">
        <f t="shared" si="7"/>
        <v>0</v>
      </c>
      <c r="AC941" s="2">
        <f t="shared" si="8"/>
      </c>
    </row>
    <row r="942">
      <c r="A942" s="64" t="n"/>
      <c r="B942" s="65" t="n"/>
      <c r="C942" s="65" t="n"/>
      <c r="D942" s="65" t="n"/>
      <c r="E942" s="65" t="n"/>
      <c r="F942" s="66" t="n"/>
      <c r="G942" s="65" t="n"/>
      <c r="H942" s="66" t="n"/>
      <c r="I942" s="64" t="n"/>
      <c r="J942" s="68" t="n"/>
      <c r="K942" s="68" t="n"/>
      <c r="L942" s="68" t="n"/>
      <c r="M942" s="64" t="n"/>
      <c r="N942" s="64" t="n"/>
      <c r="O942" s="64" t="n"/>
      <c r="P942" s="64" t="n"/>
      <c r="Q942" s="64" t="n"/>
      <c r="R942" s="64" t="n"/>
      <c r="S942" s="66" t="n"/>
      <c r="T942" s="45" t="n"/>
      <c r="U942" s="43">
        <f t="shared" si="0"/>
      </c>
      <c r="V942" s="49">
        <f t="shared" si="1"/>
      </c>
      <c r="W942" s="49">
        <f t="shared" si="2"/>
      </c>
      <c r="X942" s="2">
        <f t="shared" si="3"/>
      </c>
      <c r="Y942" s="2">
        <f t="shared" si="4"/>
      </c>
      <c r="Z942" s="2">
        <f t="shared" si="5"/>
        <v>0</v>
      </c>
      <c r="AA942" s="2">
        <f t="shared" si="6"/>
        <v>0</v>
      </c>
      <c r="AB942" s="2">
        <f t="shared" si="7"/>
        <v>0</v>
      </c>
      <c r="AC942" s="2">
        <f t="shared" si="8"/>
      </c>
    </row>
    <row r="943">
      <c r="A943" s="64" t="n"/>
      <c r="B943" s="65" t="n"/>
      <c r="C943" s="65" t="n"/>
      <c r="D943" s="65" t="n"/>
      <c r="E943" s="65" t="n"/>
      <c r="F943" s="66" t="n"/>
      <c r="G943" s="65" t="n"/>
      <c r="H943" s="66" t="n"/>
      <c r="I943" s="64" t="n"/>
      <c r="J943" s="68" t="n"/>
      <c r="K943" s="68" t="n"/>
      <c r="L943" s="68" t="n"/>
      <c r="M943" s="64" t="n"/>
      <c r="N943" s="64" t="n"/>
      <c r="O943" s="64" t="n"/>
      <c r="P943" s="64" t="n"/>
      <c r="Q943" s="64" t="n"/>
      <c r="R943" s="64" t="n"/>
      <c r="S943" s="66" t="n"/>
      <c r="T943" s="45" t="n"/>
      <c r="U943" s="43">
        <f t="shared" si="0"/>
      </c>
      <c r="V943" s="49">
        <f t="shared" si="1"/>
      </c>
      <c r="W943" s="49">
        <f t="shared" si="2"/>
      </c>
      <c r="X943" s="2">
        <f t="shared" si="3"/>
      </c>
      <c r="Y943" s="2">
        <f t="shared" si="4"/>
      </c>
      <c r="Z943" s="2">
        <f t="shared" si="5"/>
        <v>0</v>
      </c>
      <c r="AA943" s="2">
        <f t="shared" si="6"/>
        <v>0</v>
      </c>
      <c r="AB943" s="2">
        <f t="shared" si="7"/>
        <v>0</v>
      </c>
      <c r="AC943" s="2">
        <f t="shared" si="8"/>
      </c>
    </row>
    <row r="944">
      <c r="A944" s="64" t="n"/>
      <c r="B944" s="65" t="n"/>
      <c r="C944" s="65" t="n"/>
      <c r="D944" s="65" t="n"/>
      <c r="E944" s="65" t="n"/>
      <c r="F944" s="66" t="n"/>
      <c r="G944" s="65" t="n"/>
      <c r="H944" s="66" t="n"/>
      <c r="I944" s="64" t="n"/>
      <c r="J944" s="68" t="n"/>
      <c r="K944" s="68" t="n"/>
      <c r="L944" s="68" t="n"/>
      <c r="M944" s="64" t="n"/>
      <c r="N944" s="64" t="n"/>
      <c r="O944" s="64" t="n"/>
      <c r="P944" s="64" t="n"/>
      <c r="Q944" s="64" t="n"/>
      <c r="R944" s="64" t="n"/>
      <c r="S944" s="66" t="n"/>
      <c r="T944" s="45" t="n"/>
      <c r="U944" s="43">
        <f t="shared" si="0"/>
      </c>
      <c r="V944" s="49">
        <f t="shared" si="1"/>
      </c>
      <c r="W944" s="49">
        <f t="shared" si="2"/>
      </c>
      <c r="X944" s="2">
        <f t="shared" si="3"/>
      </c>
      <c r="Y944" s="2">
        <f t="shared" si="4"/>
      </c>
      <c r="Z944" s="2">
        <f t="shared" si="5"/>
        <v>0</v>
      </c>
      <c r="AA944" s="2">
        <f t="shared" si="6"/>
        <v>0</v>
      </c>
      <c r="AB944" s="2">
        <f t="shared" si="7"/>
        <v>0</v>
      </c>
      <c r="AC944" s="2">
        <f t="shared" si="8"/>
      </c>
    </row>
    <row r="945">
      <c r="A945" s="64" t="n"/>
      <c r="B945" s="65" t="n"/>
      <c r="C945" s="65" t="n"/>
      <c r="D945" s="65" t="n"/>
      <c r="E945" s="65" t="n"/>
      <c r="F945" s="66" t="n"/>
      <c r="G945" s="65" t="n"/>
      <c r="H945" s="66" t="n"/>
      <c r="I945" s="64" t="n"/>
      <c r="J945" s="68" t="n"/>
      <c r="K945" s="68" t="n"/>
      <c r="L945" s="68" t="n"/>
      <c r="M945" s="64" t="n"/>
      <c r="N945" s="64" t="n"/>
      <c r="O945" s="64" t="n"/>
      <c r="P945" s="64" t="n"/>
      <c r="Q945" s="64" t="n"/>
      <c r="R945" s="64" t="n"/>
      <c r="S945" s="66" t="n"/>
      <c r="T945" s="45" t="n"/>
      <c r="U945" s="43">
        <f t="shared" si="0"/>
      </c>
      <c r="V945" s="49">
        <f t="shared" si="1"/>
      </c>
      <c r="W945" s="49">
        <f t="shared" si="2"/>
      </c>
      <c r="X945" s="2">
        <f t="shared" si="3"/>
      </c>
      <c r="Y945" s="2">
        <f t="shared" si="4"/>
      </c>
      <c r="Z945" s="2">
        <f t="shared" si="5"/>
        <v>0</v>
      </c>
      <c r="AA945" s="2">
        <f t="shared" si="6"/>
        <v>0</v>
      </c>
      <c r="AB945" s="2">
        <f t="shared" si="7"/>
        <v>0</v>
      </c>
      <c r="AC945" s="2">
        <f t="shared" si="8"/>
      </c>
    </row>
    <row r="946">
      <c r="A946" s="64" t="n"/>
      <c r="B946" s="65" t="n"/>
      <c r="C946" s="65" t="n"/>
      <c r="D946" s="65" t="n"/>
      <c r="E946" s="65" t="n"/>
      <c r="F946" s="66" t="n"/>
      <c r="G946" s="65" t="n"/>
      <c r="H946" s="66" t="n"/>
      <c r="I946" s="64" t="n"/>
      <c r="J946" s="68" t="n"/>
      <c r="K946" s="68" t="n"/>
      <c r="L946" s="68" t="n"/>
      <c r="M946" s="64" t="n"/>
      <c r="N946" s="64" t="n"/>
      <c r="O946" s="64" t="n"/>
      <c r="P946" s="64" t="n"/>
      <c r="Q946" s="64" t="n"/>
      <c r="R946" s="64" t="n"/>
      <c r="S946" s="66" t="n"/>
      <c r="T946" s="45" t="n"/>
      <c r="U946" s="43">
        <f t="shared" si="0"/>
      </c>
      <c r="V946" s="49">
        <f t="shared" si="1"/>
      </c>
      <c r="W946" s="49">
        <f t="shared" si="2"/>
      </c>
      <c r="X946" s="2">
        <f t="shared" si="3"/>
      </c>
      <c r="Y946" s="2">
        <f t="shared" si="4"/>
      </c>
      <c r="Z946" s="2">
        <f t="shared" si="5"/>
        <v>0</v>
      </c>
      <c r="AA946" s="2">
        <f t="shared" si="6"/>
        <v>0</v>
      </c>
      <c r="AB946" s="2">
        <f t="shared" si="7"/>
        <v>0</v>
      </c>
      <c r="AC946" s="2">
        <f t="shared" si="8"/>
      </c>
    </row>
    <row r="947">
      <c r="A947" s="64" t="n"/>
      <c r="B947" s="65" t="n"/>
      <c r="C947" s="65" t="n"/>
      <c r="D947" s="65" t="n"/>
      <c r="E947" s="65" t="n"/>
      <c r="F947" s="66" t="n"/>
      <c r="G947" s="65" t="n"/>
      <c r="H947" s="66" t="n"/>
      <c r="I947" s="64" t="n"/>
      <c r="J947" s="68" t="n"/>
      <c r="K947" s="68" t="n"/>
      <c r="L947" s="68" t="n"/>
      <c r="M947" s="64" t="n"/>
      <c r="N947" s="64" t="n"/>
      <c r="O947" s="64" t="n"/>
      <c r="P947" s="64" t="n"/>
      <c r="Q947" s="64" t="n"/>
      <c r="R947" s="64" t="n"/>
      <c r="S947" s="66" t="n"/>
      <c r="T947" s="45" t="n"/>
      <c r="U947" s="43">
        <f t="shared" si="0"/>
      </c>
      <c r="V947" s="49">
        <f t="shared" si="1"/>
      </c>
      <c r="W947" s="49">
        <f t="shared" si="2"/>
      </c>
      <c r="X947" s="2">
        <f t="shared" si="3"/>
      </c>
      <c r="Y947" s="2">
        <f t="shared" si="4"/>
      </c>
      <c r="Z947" s="2">
        <f t="shared" si="5"/>
        <v>0</v>
      </c>
      <c r="AA947" s="2">
        <f t="shared" si="6"/>
        <v>0</v>
      </c>
      <c r="AB947" s="2">
        <f t="shared" si="7"/>
        <v>0</v>
      </c>
      <c r="AC947" s="2">
        <f t="shared" si="8"/>
      </c>
    </row>
    <row r="948">
      <c r="A948" s="64" t="n"/>
      <c r="B948" s="65" t="n"/>
      <c r="C948" s="65" t="n"/>
      <c r="D948" s="65" t="n"/>
      <c r="E948" s="65" t="n"/>
      <c r="F948" s="66" t="n"/>
      <c r="G948" s="65" t="n"/>
      <c r="H948" s="66" t="n"/>
      <c r="I948" s="64" t="n"/>
      <c r="J948" s="68" t="n"/>
      <c r="K948" s="68" t="n"/>
      <c r="L948" s="68" t="n"/>
      <c r="M948" s="64" t="n"/>
      <c r="N948" s="64" t="n"/>
      <c r="O948" s="64" t="n"/>
      <c r="P948" s="64" t="n"/>
      <c r="Q948" s="64" t="n"/>
      <c r="R948" s="64" t="n"/>
      <c r="S948" s="66" t="n"/>
      <c r="T948" s="45" t="n"/>
      <c r="U948" s="43">
        <f t="shared" si="0"/>
      </c>
      <c r="V948" s="49">
        <f t="shared" si="1"/>
      </c>
      <c r="W948" s="49">
        <f t="shared" si="2"/>
      </c>
      <c r="X948" s="2">
        <f t="shared" si="3"/>
      </c>
      <c r="Y948" s="2">
        <f t="shared" si="4"/>
      </c>
      <c r="Z948" s="2">
        <f t="shared" si="5"/>
        <v>0</v>
      </c>
      <c r="AA948" s="2">
        <f t="shared" si="6"/>
        <v>0</v>
      </c>
      <c r="AB948" s="2">
        <f t="shared" si="7"/>
        <v>0</v>
      </c>
      <c r="AC948" s="2">
        <f t="shared" si="8"/>
      </c>
    </row>
    <row r="949">
      <c r="A949" s="64" t="n"/>
      <c r="B949" s="65" t="n"/>
      <c r="C949" s="65" t="n"/>
      <c r="D949" s="65" t="n"/>
      <c r="E949" s="65" t="n"/>
      <c r="F949" s="66" t="n"/>
      <c r="G949" s="65" t="n"/>
      <c r="H949" s="66" t="n"/>
      <c r="I949" s="64" t="n"/>
      <c r="J949" s="68" t="n"/>
      <c r="K949" s="68" t="n"/>
      <c r="L949" s="68" t="n"/>
      <c r="M949" s="64" t="n"/>
      <c r="N949" s="64" t="n"/>
      <c r="O949" s="64" t="n"/>
      <c r="P949" s="64" t="n"/>
      <c r="Q949" s="64" t="n"/>
      <c r="R949" s="64" t="n"/>
      <c r="S949" s="66" t="n"/>
      <c r="T949" s="45" t="n"/>
      <c r="U949" s="43">
        <f t="shared" si="0"/>
      </c>
      <c r="V949" s="49">
        <f t="shared" si="1"/>
      </c>
      <c r="W949" s="49">
        <f t="shared" si="2"/>
      </c>
      <c r="X949" s="2">
        <f t="shared" si="3"/>
      </c>
      <c r="Y949" s="2">
        <f t="shared" si="4"/>
      </c>
      <c r="Z949" s="2">
        <f t="shared" si="5"/>
        <v>0</v>
      </c>
      <c r="AA949" s="2">
        <f t="shared" si="6"/>
        <v>0</v>
      </c>
      <c r="AB949" s="2">
        <f t="shared" si="7"/>
        <v>0</v>
      </c>
      <c r="AC949" s="2">
        <f t="shared" si="8"/>
      </c>
    </row>
    <row r="950">
      <c r="A950" s="64" t="n"/>
      <c r="B950" s="65" t="n"/>
      <c r="C950" s="65" t="n"/>
      <c r="D950" s="65" t="n"/>
      <c r="E950" s="65" t="n"/>
      <c r="F950" s="66" t="n"/>
      <c r="G950" s="65" t="n"/>
      <c r="H950" s="66" t="n"/>
      <c r="I950" s="64" t="n"/>
      <c r="J950" s="68" t="n"/>
      <c r="K950" s="68" t="n"/>
      <c r="L950" s="68" t="n"/>
      <c r="M950" s="64" t="n"/>
      <c r="N950" s="64" t="n"/>
      <c r="O950" s="64" t="n"/>
      <c r="P950" s="64" t="n"/>
      <c r="Q950" s="64" t="n"/>
      <c r="R950" s="64" t="n"/>
      <c r="S950" s="66" t="n"/>
      <c r="T950" s="45" t="n"/>
      <c r="U950" s="43">
        <f t="shared" si="0"/>
      </c>
      <c r="V950" s="49">
        <f t="shared" si="1"/>
      </c>
      <c r="W950" s="49">
        <f t="shared" si="2"/>
      </c>
      <c r="X950" s="2">
        <f t="shared" si="3"/>
      </c>
      <c r="Y950" s="2">
        <f t="shared" si="4"/>
      </c>
      <c r="Z950" s="2">
        <f t="shared" si="5"/>
        <v>0</v>
      </c>
      <c r="AA950" s="2">
        <f t="shared" si="6"/>
        <v>0</v>
      </c>
      <c r="AB950" s="2">
        <f t="shared" si="7"/>
        <v>0</v>
      </c>
      <c r="AC950" s="2">
        <f t="shared" si="8"/>
      </c>
    </row>
    <row r="951">
      <c r="A951" s="64" t="n"/>
      <c r="B951" s="65" t="n"/>
      <c r="C951" s="65" t="n"/>
      <c r="D951" s="65" t="n"/>
      <c r="E951" s="65" t="n"/>
      <c r="F951" s="66" t="n"/>
      <c r="G951" s="65" t="n"/>
      <c r="H951" s="66" t="n"/>
      <c r="I951" s="64" t="n"/>
      <c r="J951" s="68" t="n"/>
      <c r="K951" s="68" t="n"/>
      <c r="L951" s="68" t="n"/>
      <c r="M951" s="64" t="n"/>
      <c r="N951" s="64" t="n"/>
      <c r="O951" s="64" t="n"/>
      <c r="P951" s="64" t="n"/>
      <c r="Q951" s="64" t="n"/>
      <c r="R951" s="64" t="n"/>
      <c r="S951" s="66" t="n"/>
      <c r="T951" s="45" t="n"/>
      <c r="U951" s="43">
        <f t="shared" si="0"/>
      </c>
      <c r="V951" s="49">
        <f t="shared" si="1"/>
      </c>
      <c r="W951" s="49">
        <f t="shared" si="2"/>
      </c>
      <c r="X951" s="2">
        <f t="shared" si="3"/>
      </c>
      <c r="Y951" s="2">
        <f t="shared" si="4"/>
      </c>
      <c r="Z951" s="2">
        <f t="shared" si="5"/>
        <v>0</v>
      </c>
      <c r="AA951" s="2">
        <f t="shared" si="6"/>
        <v>0</v>
      </c>
      <c r="AB951" s="2">
        <f t="shared" si="7"/>
        <v>0</v>
      </c>
      <c r="AC951" s="2">
        <f t="shared" si="8"/>
      </c>
    </row>
    <row r="952">
      <c r="A952" s="64" t="n"/>
      <c r="B952" s="65" t="n"/>
      <c r="C952" s="65" t="n"/>
      <c r="D952" s="65" t="n"/>
      <c r="E952" s="65" t="n"/>
      <c r="F952" s="66" t="n"/>
      <c r="G952" s="65" t="n"/>
      <c r="H952" s="66" t="n"/>
      <c r="I952" s="64" t="n"/>
      <c r="J952" s="68" t="n"/>
      <c r="K952" s="68" t="n"/>
      <c r="L952" s="68" t="n"/>
      <c r="M952" s="64" t="n"/>
      <c r="N952" s="64" t="n"/>
      <c r="O952" s="64" t="n"/>
      <c r="P952" s="64" t="n"/>
      <c r="Q952" s="64" t="n"/>
      <c r="R952" s="64" t="n"/>
      <c r="S952" s="66" t="n"/>
      <c r="T952" s="45" t="n"/>
      <c r="U952" s="43">
        <f t="shared" si="0"/>
      </c>
      <c r="V952" s="49">
        <f t="shared" si="1"/>
      </c>
      <c r="W952" s="49">
        <f t="shared" si="2"/>
      </c>
      <c r="X952" s="2">
        <f t="shared" si="3"/>
      </c>
      <c r="Y952" s="2">
        <f t="shared" si="4"/>
      </c>
      <c r="Z952" s="2">
        <f t="shared" si="5"/>
        <v>0</v>
      </c>
      <c r="AA952" s="2">
        <f t="shared" si="6"/>
        <v>0</v>
      </c>
      <c r="AB952" s="2">
        <f t="shared" si="7"/>
        <v>0</v>
      </c>
      <c r="AC952" s="2">
        <f t="shared" si="8"/>
      </c>
    </row>
    <row r="953">
      <c r="A953" s="64" t="n"/>
      <c r="B953" s="65" t="n"/>
      <c r="C953" s="65" t="n"/>
      <c r="D953" s="65" t="n"/>
      <c r="E953" s="65" t="n"/>
      <c r="F953" s="66" t="n"/>
      <c r="G953" s="65" t="n"/>
      <c r="H953" s="66" t="n"/>
      <c r="I953" s="64" t="n"/>
      <c r="J953" s="68" t="n"/>
      <c r="K953" s="68" t="n"/>
      <c r="L953" s="68" t="n"/>
      <c r="M953" s="64" t="n"/>
      <c r="N953" s="64" t="n"/>
      <c r="O953" s="64" t="n"/>
      <c r="P953" s="64" t="n"/>
      <c r="Q953" s="64" t="n"/>
      <c r="R953" s="64" t="n"/>
      <c r="S953" s="66" t="n"/>
      <c r="T953" s="45" t="n"/>
      <c r="U953" s="43">
        <f t="shared" si="0"/>
      </c>
      <c r="V953" s="49">
        <f t="shared" si="1"/>
      </c>
      <c r="W953" s="49">
        <f t="shared" si="2"/>
      </c>
      <c r="X953" s="2">
        <f t="shared" si="3"/>
      </c>
      <c r="Y953" s="2">
        <f t="shared" si="4"/>
      </c>
      <c r="Z953" s="2">
        <f t="shared" si="5"/>
        <v>0</v>
      </c>
      <c r="AA953" s="2">
        <f t="shared" si="6"/>
        <v>0</v>
      </c>
      <c r="AB953" s="2">
        <f t="shared" si="7"/>
        <v>0</v>
      </c>
      <c r="AC953" s="2">
        <f t="shared" si="8"/>
      </c>
    </row>
    <row r="954">
      <c r="A954" s="64" t="n"/>
      <c r="B954" s="65" t="n"/>
      <c r="C954" s="65" t="n"/>
      <c r="D954" s="65" t="n"/>
      <c r="E954" s="65" t="n"/>
      <c r="F954" s="66" t="n"/>
      <c r="G954" s="65" t="n"/>
      <c r="H954" s="66" t="n"/>
      <c r="I954" s="64" t="n"/>
      <c r="J954" s="68" t="n"/>
      <c r="K954" s="68" t="n"/>
      <c r="L954" s="68" t="n"/>
      <c r="M954" s="64" t="n"/>
      <c r="N954" s="64" t="n"/>
      <c r="O954" s="64" t="n"/>
      <c r="P954" s="64" t="n"/>
      <c r="Q954" s="64" t="n"/>
      <c r="R954" s="64" t="n"/>
      <c r="S954" s="66" t="n"/>
      <c r="T954" s="45" t="n"/>
      <c r="U954" s="43">
        <f t="shared" si="0"/>
      </c>
      <c r="V954" s="49">
        <f t="shared" si="1"/>
      </c>
      <c r="W954" s="49">
        <f t="shared" si="2"/>
      </c>
      <c r="X954" s="2">
        <f t="shared" si="3"/>
      </c>
      <c r="Y954" s="2">
        <f t="shared" si="4"/>
      </c>
      <c r="Z954" s="2">
        <f t="shared" si="5"/>
        <v>0</v>
      </c>
      <c r="AA954" s="2">
        <f t="shared" si="6"/>
        <v>0</v>
      </c>
      <c r="AB954" s="2">
        <f t="shared" si="7"/>
        <v>0</v>
      </c>
      <c r="AC954" s="2">
        <f t="shared" si="8"/>
      </c>
    </row>
    <row r="955">
      <c r="A955" s="64" t="n"/>
      <c r="B955" s="65" t="n"/>
      <c r="C955" s="65" t="n"/>
      <c r="D955" s="65" t="n"/>
      <c r="E955" s="65" t="n"/>
      <c r="F955" s="66" t="n"/>
      <c r="G955" s="65" t="n"/>
      <c r="H955" s="66" t="n"/>
      <c r="I955" s="64" t="n"/>
      <c r="J955" s="68" t="n"/>
      <c r="K955" s="68" t="n"/>
      <c r="L955" s="68" t="n"/>
      <c r="M955" s="64" t="n"/>
      <c r="N955" s="64" t="n"/>
      <c r="O955" s="64" t="n"/>
      <c r="P955" s="64" t="n"/>
      <c r="Q955" s="64" t="n"/>
      <c r="R955" s="64" t="n"/>
      <c r="S955" s="66" t="n"/>
      <c r="T955" s="45" t="n"/>
      <c r="U955" s="43">
        <f t="shared" si="0"/>
      </c>
      <c r="V955" s="49">
        <f t="shared" si="1"/>
      </c>
      <c r="W955" s="49">
        <f t="shared" si="2"/>
      </c>
      <c r="X955" s="2">
        <f t="shared" si="3"/>
      </c>
      <c r="Y955" s="2">
        <f t="shared" si="4"/>
      </c>
      <c r="Z955" s="2">
        <f t="shared" si="5"/>
        <v>0</v>
      </c>
      <c r="AA955" s="2">
        <f t="shared" si="6"/>
        <v>0</v>
      </c>
      <c r="AB955" s="2">
        <f t="shared" si="7"/>
        <v>0</v>
      </c>
      <c r="AC955" s="2">
        <f t="shared" si="8"/>
      </c>
    </row>
    <row r="956">
      <c r="A956" s="64" t="n"/>
      <c r="B956" s="65" t="n"/>
      <c r="C956" s="65" t="n"/>
      <c r="D956" s="65" t="n"/>
      <c r="E956" s="65" t="n"/>
      <c r="F956" s="66" t="n"/>
      <c r="G956" s="65" t="n"/>
      <c r="H956" s="66" t="n"/>
      <c r="I956" s="64" t="n"/>
      <c r="J956" s="68" t="n"/>
      <c r="K956" s="68" t="n"/>
      <c r="L956" s="68" t="n"/>
      <c r="M956" s="64" t="n"/>
      <c r="N956" s="64" t="n"/>
      <c r="O956" s="64" t="n"/>
      <c r="P956" s="64" t="n"/>
      <c r="Q956" s="64" t="n"/>
      <c r="R956" s="64" t="n"/>
      <c r="S956" s="66" t="n"/>
      <c r="T956" s="45" t="n"/>
      <c r="U956" s="43">
        <f t="shared" si="0"/>
      </c>
      <c r="V956" s="49">
        <f t="shared" si="1"/>
      </c>
      <c r="W956" s="49">
        <f t="shared" si="2"/>
      </c>
      <c r="X956" s="2">
        <f t="shared" si="3"/>
      </c>
      <c r="Y956" s="2">
        <f t="shared" si="4"/>
      </c>
      <c r="Z956" s="2">
        <f t="shared" si="5"/>
        <v>0</v>
      </c>
      <c r="AA956" s="2">
        <f t="shared" si="6"/>
        <v>0</v>
      </c>
      <c r="AB956" s="2">
        <f t="shared" si="7"/>
        <v>0</v>
      </c>
      <c r="AC956" s="2">
        <f t="shared" si="8"/>
      </c>
    </row>
    <row r="957">
      <c r="A957" s="64" t="n"/>
      <c r="B957" s="65" t="n"/>
      <c r="C957" s="65" t="n"/>
      <c r="D957" s="65" t="n"/>
      <c r="E957" s="65" t="n"/>
      <c r="F957" s="66" t="n"/>
      <c r="G957" s="65" t="n"/>
      <c r="H957" s="66" t="n"/>
      <c r="I957" s="64" t="n"/>
      <c r="J957" s="68" t="n"/>
      <c r="K957" s="68" t="n"/>
      <c r="L957" s="68" t="n"/>
      <c r="M957" s="64" t="n"/>
      <c r="N957" s="64" t="n"/>
      <c r="O957" s="64" t="n"/>
      <c r="P957" s="64" t="n"/>
      <c r="Q957" s="64" t="n"/>
      <c r="R957" s="64" t="n"/>
      <c r="S957" s="66" t="n"/>
      <c r="T957" s="45" t="n"/>
      <c r="U957" s="43">
        <f t="shared" si="0"/>
      </c>
      <c r="V957" s="49">
        <f t="shared" si="1"/>
      </c>
      <c r="W957" s="49">
        <f t="shared" si="2"/>
      </c>
      <c r="X957" s="2">
        <f t="shared" si="3"/>
      </c>
      <c r="Y957" s="2">
        <f t="shared" si="4"/>
      </c>
      <c r="Z957" s="2">
        <f t="shared" si="5"/>
        <v>0</v>
      </c>
      <c r="AA957" s="2">
        <f t="shared" si="6"/>
        <v>0</v>
      </c>
      <c r="AB957" s="2">
        <f t="shared" si="7"/>
        <v>0</v>
      </c>
      <c r="AC957" s="2">
        <f t="shared" si="8"/>
      </c>
    </row>
    <row r="958">
      <c r="A958" s="64" t="n"/>
      <c r="B958" s="65" t="n"/>
      <c r="C958" s="65" t="n"/>
      <c r="D958" s="65" t="n"/>
      <c r="E958" s="65" t="n"/>
      <c r="F958" s="66" t="n"/>
      <c r="G958" s="65" t="n"/>
      <c r="H958" s="66" t="n"/>
      <c r="I958" s="64" t="n"/>
      <c r="J958" s="68" t="n"/>
      <c r="K958" s="68" t="n"/>
      <c r="L958" s="68" t="n"/>
      <c r="M958" s="64" t="n"/>
      <c r="N958" s="64" t="n"/>
      <c r="O958" s="64" t="n"/>
      <c r="P958" s="64" t="n"/>
      <c r="Q958" s="64" t="n"/>
      <c r="R958" s="64" t="n"/>
      <c r="S958" s="66" t="n"/>
      <c r="T958" s="45" t="n"/>
      <c r="U958" s="43">
        <f t="shared" si="0"/>
      </c>
      <c r="V958" s="49">
        <f t="shared" si="1"/>
      </c>
      <c r="W958" s="49">
        <f t="shared" si="2"/>
      </c>
      <c r="X958" s="2">
        <f t="shared" si="3"/>
      </c>
      <c r="Y958" s="2">
        <f t="shared" si="4"/>
      </c>
      <c r="Z958" s="2">
        <f t="shared" si="5"/>
        <v>0</v>
      </c>
      <c r="AA958" s="2">
        <f t="shared" si="6"/>
        <v>0</v>
      </c>
      <c r="AB958" s="2">
        <f t="shared" si="7"/>
        <v>0</v>
      </c>
      <c r="AC958" s="2">
        <f t="shared" si="8"/>
      </c>
    </row>
    <row r="959">
      <c r="A959" s="64" t="n"/>
      <c r="B959" s="65" t="n"/>
      <c r="C959" s="65" t="n"/>
      <c r="D959" s="65" t="n"/>
      <c r="E959" s="65" t="n"/>
      <c r="F959" s="66" t="n"/>
      <c r="G959" s="65" t="n"/>
      <c r="H959" s="66" t="n"/>
      <c r="I959" s="64" t="n"/>
      <c r="J959" s="68" t="n"/>
      <c r="K959" s="68" t="n"/>
      <c r="L959" s="68" t="n"/>
      <c r="M959" s="64" t="n"/>
      <c r="N959" s="64" t="n"/>
      <c r="O959" s="64" t="n"/>
      <c r="P959" s="64" t="n"/>
      <c r="Q959" s="64" t="n"/>
      <c r="R959" s="64" t="n"/>
      <c r="S959" s="66" t="n"/>
      <c r="T959" s="45" t="n"/>
      <c r="U959" s="43">
        <f t="shared" si="0"/>
      </c>
      <c r="V959" s="49">
        <f t="shared" si="1"/>
      </c>
      <c r="W959" s="49">
        <f t="shared" si="2"/>
      </c>
      <c r="X959" s="2">
        <f t="shared" si="3"/>
      </c>
      <c r="Y959" s="2">
        <f t="shared" si="4"/>
      </c>
      <c r="Z959" s="2">
        <f t="shared" si="5"/>
        <v>0</v>
      </c>
      <c r="AA959" s="2">
        <f t="shared" si="6"/>
        <v>0</v>
      </c>
      <c r="AB959" s="2">
        <f t="shared" si="7"/>
        <v>0</v>
      </c>
      <c r="AC959" s="2">
        <f t="shared" si="8"/>
      </c>
    </row>
    <row r="960">
      <c r="A960" s="64" t="n"/>
      <c r="B960" s="65" t="n"/>
      <c r="C960" s="65" t="n"/>
      <c r="D960" s="65" t="n"/>
      <c r="E960" s="65" t="n"/>
      <c r="F960" s="66" t="n"/>
      <c r="G960" s="65" t="n"/>
      <c r="H960" s="66" t="n"/>
      <c r="I960" s="64" t="n"/>
      <c r="J960" s="68" t="n"/>
      <c r="K960" s="68" t="n"/>
      <c r="L960" s="68" t="n"/>
      <c r="M960" s="64" t="n"/>
      <c r="N960" s="64" t="n"/>
      <c r="O960" s="64" t="n"/>
      <c r="P960" s="64" t="n"/>
      <c r="Q960" s="64" t="n"/>
      <c r="R960" s="64" t="n"/>
      <c r="S960" s="66" t="n"/>
      <c r="T960" s="45" t="n"/>
      <c r="U960" s="43">
        <f t="shared" si="0"/>
      </c>
      <c r="V960" s="49">
        <f t="shared" si="1"/>
      </c>
      <c r="W960" s="49">
        <f t="shared" si="2"/>
      </c>
      <c r="X960" s="2">
        <f t="shared" si="3"/>
      </c>
      <c r="Y960" s="2">
        <f t="shared" si="4"/>
      </c>
      <c r="Z960" s="2">
        <f t="shared" si="5"/>
        <v>0</v>
      </c>
      <c r="AA960" s="2">
        <f t="shared" si="6"/>
        <v>0</v>
      </c>
      <c r="AB960" s="2">
        <f t="shared" si="7"/>
        <v>0</v>
      </c>
      <c r="AC960" s="2">
        <f t="shared" si="8"/>
      </c>
    </row>
    <row r="961">
      <c r="A961" s="64" t="n"/>
      <c r="B961" s="65" t="n"/>
      <c r="C961" s="65" t="n"/>
      <c r="D961" s="65" t="n"/>
      <c r="E961" s="65" t="n"/>
      <c r="F961" s="66" t="n"/>
      <c r="G961" s="65" t="n"/>
      <c r="H961" s="66" t="n"/>
      <c r="I961" s="64" t="n"/>
      <c r="J961" s="68" t="n"/>
      <c r="K961" s="68" t="n"/>
      <c r="L961" s="68" t="n"/>
      <c r="M961" s="64" t="n"/>
      <c r="N961" s="64" t="n"/>
      <c r="O961" s="64" t="n"/>
      <c r="P961" s="64" t="n"/>
      <c r="Q961" s="64" t="n"/>
      <c r="R961" s="64" t="n"/>
      <c r="S961" s="66" t="n"/>
      <c r="T961" s="45" t="n"/>
      <c r="U961" s="43">
        <f t="shared" si="0"/>
      </c>
      <c r="V961" s="49">
        <f t="shared" si="1"/>
      </c>
      <c r="W961" s="49">
        <f t="shared" si="2"/>
      </c>
      <c r="X961" s="2">
        <f t="shared" si="3"/>
      </c>
      <c r="Y961" s="2">
        <f t="shared" si="4"/>
      </c>
      <c r="Z961" s="2">
        <f t="shared" si="5"/>
        <v>0</v>
      </c>
      <c r="AA961" s="2">
        <f t="shared" si="6"/>
        <v>0</v>
      </c>
      <c r="AB961" s="2">
        <f t="shared" si="7"/>
        <v>0</v>
      </c>
      <c r="AC961" s="2">
        <f t="shared" si="8"/>
      </c>
    </row>
    <row r="962">
      <c r="A962" s="64" t="n"/>
      <c r="B962" s="65" t="n"/>
      <c r="C962" s="65" t="n"/>
      <c r="D962" s="65" t="n"/>
      <c r="E962" s="65" t="n"/>
      <c r="F962" s="66" t="n"/>
      <c r="G962" s="65" t="n"/>
      <c r="H962" s="66" t="n"/>
      <c r="I962" s="64" t="n"/>
      <c r="J962" s="68" t="n"/>
      <c r="K962" s="68" t="n"/>
      <c r="L962" s="68" t="n"/>
      <c r="M962" s="64" t="n"/>
      <c r="N962" s="64" t="n"/>
      <c r="O962" s="64" t="n"/>
      <c r="P962" s="64" t="n"/>
      <c r="Q962" s="64" t="n"/>
      <c r="R962" s="64" t="n"/>
      <c r="S962" s="66" t="n"/>
      <c r="T962" s="45" t="n"/>
      <c r="U962" s="43">
        <f t="shared" si="0"/>
      </c>
      <c r="V962" s="49">
        <f t="shared" si="1"/>
      </c>
      <c r="W962" s="49">
        <f t="shared" si="2"/>
      </c>
      <c r="X962" s="2">
        <f t="shared" si="3"/>
      </c>
      <c r="Y962" s="2">
        <f t="shared" si="4"/>
      </c>
      <c r="Z962" s="2">
        <f t="shared" si="5"/>
        <v>0</v>
      </c>
      <c r="AA962" s="2">
        <f t="shared" si="6"/>
        <v>0</v>
      </c>
      <c r="AB962" s="2">
        <f t="shared" si="7"/>
        <v>0</v>
      </c>
      <c r="AC962" s="2">
        <f t="shared" si="8"/>
      </c>
    </row>
    <row r="963">
      <c r="A963" s="64" t="n"/>
      <c r="B963" s="65" t="n"/>
      <c r="C963" s="65" t="n"/>
      <c r="D963" s="65" t="n"/>
      <c r="E963" s="65" t="n"/>
      <c r="F963" s="66" t="n"/>
      <c r="G963" s="65" t="n"/>
      <c r="H963" s="66" t="n"/>
      <c r="I963" s="64" t="n"/>
      <c r="J963" s="68" t="n"/>
      <c r="K963" s="68" t="n"/>
      <c r="L963" s="68" t="n"/>
      <c r="M963" s="64" t="n"/>
      <c r="N963" s="64" t="n"/>
      <c r="O963" s="64" t="n"/>
      <c r="P963" s="64" t="n"/>
      <c r="Q963" s="64" t="n"/>
      <c r="R963" s="64" t="n"/>
      <c r="S963" s="66" t="n"/>
      <c r="T963" s="45" t="n"/>
      <c r="U963" s="43">
        <f t="shared" si="0"/>
      </c>
      <c r="V963" s="49">
        <f t="shared" si="1"/>
      </c>
      <c r="W963" s="49">
        <f t="shared" si="2"/>
      </c>
      <c r="X963" s="2">
        <f t="shared" si="3"/>
      </c>
      <c r="Y963" s="2">
        <f t="shared" si="4"/>
      </c>
      <c r="Z963" s="2">
        <f t="shared" si="5"/>
        <v>0</v>
      </c>
      <c r="AA963" s="2">
        <f t="shared" si="6"/>
        <v>0</v>
      </c>
      <c r="AB963" s="2">
        <f t="shared" si="7"/>
        <v>0</v>
      </c>
      <c r="AC963" s="2">
        <f t="shared" si="8"/>
      </c>
    </row>
    <row r="964">
      <c r="A964" s="64" t="n"/>
      <c r="B964" s="65" t="n"/>
      <c r="C964" s="65" t="n"/>
      <c r="D964" s="65" t="n"/>
      <c r="E964" s="65" t="n"/>
      <c r="F964" s="66" t="n"/>
      <c r="G964" s="65" t="n"/>
      <c r="H964" s="66" t="n"/>
      <c r="I964" s="64" t="n"/>
      <c r="J964" s="68" t="n"/>
      <c r="K964" s="68" t="n"/>
      <c r="L964" s="68" t="n"/>
      <c r="M964" s="64" t="n"/>
      <c r="N964" s="64" t="n"/>
      <c r="O964" s="64" t="n"/>
      <c r="P964" s="64" t="n"/>
      <c r="Q964" s="64" t="n"/>
      <c r="R964" s="64" t="n"/>
      <c r="S964" s="66" t="n"/>
      <c r="T964" s="45" t="n"/>
      <c r="U964" s="43">
        <f t="shared" si="0"/>
      </c>
      <c r="V964" s="49">
        <f t="shared" si="1"/>
      </c>
      <c r="W964" s="49">
        <f t="shared" si="2"/>
      </c>
      <c r="X964" s="2">
        <f t="shared" si="3"/>
      </c>
      <c r="Y964" s="2">
        <f t="shared" si="4"/>
      </c>
      <c r="Z964" s="2">
        <f t="shared" si="5"/>
        <v>0</v>
      </c>
      <c r="AA964" s="2">
        <f t="shared" si="6"/>
        <v>0</v>
      </c>
      <c r="AB964" s="2">
        <f t="shared" si="7"/>
        <v>0</v>
      </c>
      <c r="AC964" s="2">
        <f t="shared" si="8"/>
      </c>
    </row>
    <row r="965">
      <c r="A965" s="64" t="n"/>
      <c r="B965" s="65" t="n"/>
      <c r="C965" s="65" t="n"/>
      <c r="D965" s="65" t="n"/>
      <c r="E965" s="65" t="n"/>
      <c r="F965" s="66" t="n"/>
      <c r="G965" s="65" t="n"/>
      <c r="H965" s="66" t="n"/>
      <c r="I965" s="64" t="n"/>
      <c r="J965" s="68" t="n"/>
      <c r="K965" s="68" t="n"/>
      <c r="L965" s="68" t="n"/>
      <c r="M965" s="64" t="n"/>
      <c r="N965" s="64" t="n"/>
      <c r="O965" s="64" t="n"/>
      <c r="P965" s="64" t="n"/>
      <c r="Q965" s="64" t="n"/>
      <c r="R965" s="64" t="n"/>
      <c r="S965" s="66" t="n"/>
      <c r="T965" s="45" t="n"/>
      <c r="U965" s="43">
        <f t="shared" si="0"/>
      </c>
      <c r="V965" s="49">
        <f t="shared" si="1"/>
      </c>
      <c r="W965" s="49">
        <f t="shared" si="2"/>
      </c>
      <c r="X965" s="2">
        <f t="shared" si="3"/>
      </c>
      <c r="Y965" s="2">
        <f t="shared" si="4"/>
      </c>
      <c r="Z965" s="2">
        <f t="shared" si="5"/>
        <v>0</v>
      </c>
      <c r="AA965" s="2">
        <f t="shared" si="6"/>
        <v>0</v>
      </c>
      <c r="AB965" s="2">
        <f t="shared" si="7"/>
        <v>0</v>
      </c>
      <c r="AC965" s="2">
        <f t="shared" si="8"/>
      </c>
    </row>
    <row r="966">
      <c r="A966" s="64" t="n"/>
      <c r="B966" s="65" t="n"/>
      <c r="C966" s="65" t="n"/>
      <c r="D966" s="65" t="n"/>
      <c r="E966" s="65" t="n"/>
      <c r="F966" s="66" t="n"/>
      <c r="G966" s="65" t="n"/>
      <c r="H966" s="66" t="n"/>
      <c r="I966" s="64" t="n"/>
      <c r="J966" s="68" t="n"/>
      <c r="K966" s="68" t="n"/>
      <c r="L966" s="68" t="n"/>
      <c r="M966" s="64" t="n"/>
      <c r="N966" s="64" t="n"/>
      <c r="O966" s="64" t="n"/>
      <c r="P966" s="64" t="n"/>
      <c r="Q966" s="64" t="n"/>
      <c r="R966" s="64" t="n"/>
      <c r="S966" s="66" t="n"/>
      <c r="T966" s="45" t="n"/>
      <c r="U966" s="43">
        <f t="shared" si="0"/>
      </c>
      <c r="V966" s="49">
        <f t="shared" si="1"/>
      </c>
      <c r="W966" s="49">
        <f t="shared" si="2"/>
      </c>
      <c r="X966" s="2">
        <f t="shared" si="3"/>
      </c>
      <c r="Y966" s="2">
        <f t="shared" si="4"/>
      </c>
      <c r="Z966" s="2">
        <f t="shared" si="5"/>
        <v>0</v>
      </c>
      <c r="AA966" s="2">
        <f t="shared" si="6"/>
        <v>0</v>
      </c>
      <c r="AB966" s="2">
        <f t="shared" si="7"/>
        <v>0</v>
      </c>
      <c r="AC966" s="2">
        <f t="shared" si="8"/>
      </c>
    </row>
    <row r="967">
      <c r="A967" s="64" t="n"/>
      <c r="B967" s="65" t="n"/>
      <c r="C967" s="65" t="n"/>
      <c r="D967" s="65" t="n"/>
      <c r="E967" s="65" t="n"/>
      <c r="F967" s="66" t="n"/>
      <c r="G967" s="65" t="n"/>
      <c r="H967" s="66" t="n"/>
      <c r="I967" s="64" t="n"/>
      <c r="J967" s="68" t="n"/>
      <c r="K967" s="68" t="n"/>
      <c r="L967" s="68" t="n"/>
      <c r="M967" s="64" t="n"/>
      <c r="N967" s="64" t="n"/>
      <c r="O967" s="64" t="n"/>
      <c r="P967" s="64" t="n"/>
      <c r="Q967" s="64" t="n"/>
      <c r="R967" s="64" t="n"/>
      <c r="S967" s="66" t="n"/>
      <c r="T967" s="45" t="n"/>
      <c r="U967" s="43">
        <f t="shared" si="0"/>
      </c>
      <c r="V967" s="49">
        <f t="shared" si="1"/>
      </c>
      <c r="W967" s="49">
        <f t="shared" si="2"/>
      </c>
      <c r="X967" s="2">
        <f t="shared" si="3"/>
      </c>
      <c r="Y967" s="2">
        <f t="shared" si="4"/>
      </c>
      <c r="Z967" s="2">
        <f t="shared" si="5"/>
        <v>0</v>
      </c>
      <c r="AA967" s="2">
        <f t="shared" si="6"/>
        <v>0</v>
      </c>
      <c r="AB967" s="2">
        <f t="shared" si="7"/>
        <v>0</v>
      </c>
      <c r="AC967" s="2">
        <f t="shared" si="8"/>
      </c>
    </row>
    <row r="968">
      <c r="A968" s="64" t="n"/>
      <c r="B968" s="65" t="n"/>
      <c r="C968" s="65" t="n"/>
      <c r="D968" s="65" t="n"/>
      <c r="E968" s="65" t="n"/>
      <c r="F968" s="66" t="n"/>
      <c r="G968" s="65" t="n"/>
      <c r="H968" s="66" t="n"/>
      <c r="I968" s="64" t="n"/>
      <c r="J968" s="68" t="n"/>
      <c r="K968" s="68" t="n"/>
      <c r="L968" s="68" t="n"/>
      <c r="M968" s="64" t="n"/>
      <c r="N968" s="64" t="n"/>
      <c r="O968" s="64" t="n"/>
      <c r="P968" s="64" t="n"/>
      <c r="Q968" s="64" t="n"/>
      <c r="R968" s="64" t="n"/>
      <c r="S968" s="66" t="n"/>
      <c r="T968" s="45" t="n"/>
      <c r="U968" s="43">
        <f t="shared" si="0"/>
      </c>
      <c r="V968" s="49">
        <f t="shared" si="1"/>
      </c>
      <c r="W968" s="49">
        <f t="shared" si="2"/>
      </c>
      <c r="X968" s="2">
        <f t="shared" si="3"/>
      </c>
      <c r="Y968" s="2">
        <f t="shared" si="4"/>
      </c>
      <c r="Z968" s="2">
        <f t="shared" si="5"/>
        <v>0</v>
      </c>
      <c r="AA968" s="2">
        <f t="shared" si="6"/>
        <v>0</v>
      </c>
      <c r="AB968" s="2">
        <f t="shared" si="7"/>
        <v>0</v>
      </c>
      <c r="AC968" s="2">
        <f t="shared" si="8"/>
      </c>
    </row>
    <row r="969">
      <c r="A969" s="64" t="n"/>
      <c r="B969" s="65" t="n"/>
      <c r="C969" s="65" t="n"/>
      <c r="D969" s="65" t="n"/>
      <c r="E969" s="65" t="n"/>
      <c r="F969" s="66" t="n"/>
      <c r="G969" s="65" t="n"/>
      <c r="H969" s="66" t="n"/>
      <c r="I969" s="64" t="n"/>
      <c r="J969" s="68" t="n"/>
      <c r="K969" s="68" t="n"/>
      <c r="L969" s="68" t="n"/>
      <c r="M969" s="64" t="n"/>
      <c r="N969" s="64" t="n"/>
      <c r="O969" s="64" t="n"/>
      <c r="P969" s="64" t="n"/>
      <c r="Q969" s="64" t="n"/>
      <c r="R969" s="64" t="n"/>
      <c r="S969" s="66" t="n"/>
      <c r="T969" s="45" t="n"/>
      <c r="U969" s="43">
        <f t="shared" si="0"/>
      </c>
      <c r="V969" s="49">
        <f t="shared" si="1"/>
      </c>
      <c r="W969" s="49">
        <f t="shared" si="2"/>
      </c>
      <c r="X969" s="2">
        <f t="shared" si="3"/>
      </c>
      <c r="Y969" s="2">
        <f t="shared" si="4"/>
      </c>
      <c r="Z969" s="2">
        <f t="shared" si="5"/>
        <v>0</v>
      </c>
      <c r="AA969" s="2">
        <f t="shared" si="6"/>
        <v>0</v>
      </c>
      <c r="AB969" s="2">
        <f t="shared" si="7"/>
        <v>0</v>
      </c>
      <c r="AC969" s="2">
        <f t="shared" si="8"/>
      </c>
    </row>
    <row r="970">
      <c r="A970" s="64" t="n"/>
      <c r="B970" s="65" t="n"/>
      <c r="C970" s="65" t="n"/>
      <c r="D970" s="65" t="n"/>
      <c r="E970" s="65" t="n"/>
      <c r="F970" s="66" t="n"/>
      <c r="G970" s="65" t="n"/>
      <c r="H970" s="66" t="n"/>
      <c r="I970" s="64" t="n"/>
      <c r="J970" s="68" t="n"/>
      <c r="K970" s="68" t="n"/>
      <c r="L970" s="68" t="n"/>
      <c r="M970" s="64" t="n"/>
      <c r="N970" s="64" t="n"/>
      <c r="O970" s="64" t="n"/>
      <c r="P970" s="64" t="n"/>
      <c r="Q970" s="64" t="n"/>
      <c r="R970" s="64" t="n"/>
      <c r="S970" s="66" t="n"/>
      <c r="T970" s="45" t="n"/>
      <c r="U970" s="43">
        <f t="shared" si="0"/>
      </c>
      <c r="V970" s="49">
        <f t="shared" si="1"/>
      </c>
      <c r="W970" s="49">
        <f t="shared" si="2"/>
      </c>
      <c r="X970" s="2">
        <f t="shared" si="3"/>
      </c>
      <c r="Y970" s="2">
        <f t="shared" si="4"/>
      </c>
      <c r="Z970" s="2">
        <f t="shared" si="5"/>
        <v>0</v>
      </c>
      <c r="AA970" s="2">
        <f t="shared" si="6"/>
        <v>0</v>
      </c>
      <c r="AB970" s="2">
        <f t="shared" si="7"/>
        <v>0</v>
      </c>
      <c r="AC970" s="2">
        <f t="shared" si="8"/>
      </c>
    </row>
    <row r="971">
      <c r="A971" s="64" t="n"/>
      <c r="B971" s="65" t="n"/>
      <c r="C971" s="65" t="n"/>
      <c r="D971" s="65" t="n"/>
      <c r="E971" s="65" t="n"/>
      <c r="F971" s="66" t="n"/>
      <c r="G971" s="65" t="n"/>
      <c r="H971" s="66" t="n"/>
      <c r="I971" s="64" t="n"/>
      <c r="J971" s="68" t="n"/>
      <c r="K971" s="68" t="n"/>
      <c r="L971" s="68" t="n"/>
      <c r="M971" s="64" t="n"/>
      <c r="N971" s="64" t="n"/>
      <c r="O971" s="64" t="n"/>
      <c r="P971" s="64" t="n"/>
      <c r="Q971" s="64" t="n"/>
      <c r="R971" s="64" t="n"/>
      <c r="S971" s="66" t="n"/>
      <c r="T971" s="45" t="n"/>
      <c r="U971" s="43">
        <f t="shared" si="0"/>
      </c>
      <c r="V971" s="49">
        <f t="shared" si="1"/>
      </c>
      <c r="W971" s="49">
        <f t="shared" si="2"/>
      </c>
      <c r="X971" s="2">
        <f t="shared" si="3"/>
      </c>
      <c r="Y971" s="2">
        <f t="shared" si="4"/>
      </c>
      <c r="Z971" s="2">
        <f t="shared" si="5"/>
        <v>0</v>
      </c>
      <c r="AA971" s="2">
        <f t="shared" si="6"/>
        <v>0</v>
      </c>
      <c r="AB971" s="2">
        <f t="shared" si="7"/>
        <v>0</v>
      </c>
      <c r="AC971" s="2">
        <f t="shared" si="8"/>
      </c>
    </row>
    <row r="972">
      <c r="A972" s="64" t="n"/>
      <c r="B972" s="65" t="n"/>
      <c r="C972" s="65" t="n"/>
      <c r="D972" s="65" t="n"/>
      <c r="E972" s="65" t="n"/>
      <c r="F972" s="66" t="n"/>
      <c r="G972" s="65" t="n"/>
      <c r="H972" s="66" t="n"/>
      <c r="I972" s="64" t="n"/>
      <c r="J972" s="68" t="n"/>
      <c r="K972" s="68" t="n"/>
      <c r="L972" s="68" t="n"/>
      <c r="M972" s="64" t="n"/>
      <c r="N972" s="64" t="n"/>
      <c r="O972" s="64" t="n"/>
      <c r="P972" s="64" t="n"/>
      <c r="Q972" s="64" t="n"/>
      <c r="R972" s="64" t="n"/>
      <c r="S972" s="66" t="n"/>
      <c r="T972" s="45" t="n"/>
      <c r="U972" s="43">
        <f t="shared" si="0"/>
      </c>
      <c r="V972" s="49">
        <f t="shared" si="1"/>
      </c>
      <c r="W972" s="49">
        <f t="shared" si="2"/>
      </c>
      <c r="X972" s="2">
        <f t="shared" si="3"/>
      </c>
      <c r="Y972" s="2">
        <f t="shared" si="4"/>
      </c>
      <c r="Z972" s="2">
        <f t="shared" si="5"/>
        <v>0</v>
      </c>
      <c r="AA972" s="2">
        <f t="shared" si="6"/>
        <v>0</v>
      </c>
      <c r="AB972" s="2">
        <f t="shared" si="7"/>
        <v>0</v>
      </c>
      <c r="AC972" s="2">
        <f t="shared" si="8"/>
      </c>
    </row>
    <row r="973">
      <c r="A973" s="64" t="n"/>
      <c r="B973" s="65" t="n"/>
      <c r="C973" s="65" t="n"/>
      <c r="D973" s="65" t="n"/>
      <c r="E973" s="65" t="n"/>
      <c r="F973" s="66" t="n"/>
      <c r="G973" s="65" t="n"/>
      <c r="H973" s="66" t="n"/>
      <c r="I973" s="64" t="n"/>
      <c r="J973" s="68" t="n"/>
      <c r="K973" s="68" t="n"/>
      <c r="L973" s="68" t="n"/>
      <c r="M973" s="64" t="n"/>
      <c r="N973" s="64" t="n"/>
      <c r="O973" s="64" t="n"/>
      <c r="P973" s="64" t="n"/>
      <c r="Q973" s="64" t="n"/>
      <c r="R973" s="64" t="n"/>
      <c r="S973" s="66" t="n"/>
      <c r="T973" s="45" t="n"/>
      <c r="U973" s="43">
        <f t="shared" si="0"/>
      </c>
      <c r="V973" s="49">
        <f t="shared" si="1"/>
      </c>
      <c r="W973" s="49">
        <f t="shared" si="2"/>
      </c>
      <c r="X973" s="2">
        <f t="shared" si="3"/>
      </c>
      <c r="Y973" s="2">
        <f t="shared" si="4"/>
      </c>
      <c r="Z973" s="2">
        <f t="shared" si="5"/>
        <v>0</v>
      </c>
      <c r="AA973" s="2">
        <f t="shared" si="6"/>
        <v>0</v>
      </c>
      <c r="AB973" s="2">
        <f t="shared" si="7"/>
        <v>0</v>
      </c>
      <c r="AC973" s="2">
        <f t="shared" si="8"/>
      </c>
    </row>
    <row r="974">
      <c r="A974" s="64" t="n"/>
      <c r="B974" s="65" t="n"/>
      <c r="C974" s="65" t="n"/>
      <c r="D974" s="65" t="n"/>
      <c r="E974" s="65" t="n"/>
      <c r="F974" s="66" t="n"/>
      <c r="G974" s="65" t="n"/>
      <c r="H974" s="66" t="n"/>
      <c r="I974" s="64" t="n"/>
      <c r="J974" s="68" t="n"/>
      <c r="K974" s="68" t="n"/>
      <c r="L974" s="68" t="n"/>
      <c r="M974" s="64" t="n"/>
      <c r="N974" s="64" t="n"/>
      <c r="O974" s="64" t="n"/>
      <c r="P974" s="64" t="n"/>
      <c r="Q974" s="64" t="n"/>
      <c r="R974" s="64" t="n"/>
      <c r="S974" s="66" t="n"/>
      <c r="T974" s="45" t="n"/>
      <c r="U974" s="43">
        <f t="shared" si="0"/>
      </c>
      <c r="V974" s="49">
        <f t="shared" si="1"/>
      </c>
      <c r="W974" s="49">
        <f t="shared" si="2"/>
      </c>
      <c r="X974" s="2">
        <f t="shared" si="3"/>
      </c>
      <c r="Y974" s="2">
        <f t="shared" si="4"/>
      </c>
      <c r="Z974" s="2">
        <f t="shared" si="5"/>
        <v>0</v>
      </c>
      <c r="AA974" s="2">
        <f t="shared" si="6"/>
        <v>0</v>
      </c>
      <c r="AB974" s="2">
        <f t="shared" si="7"/>
        <v>0</v>
      </c>
      <c r="AC974" s="2">
        <f t="shared" si="8"/>
      </c>
    </row>
    <row r="975">
      <c r="A975" s="64" t="n"/>
      <c r="B975" s="65" t="n"/>
      <c r="C975" s="65" t="n"/>
      <c r="D975" s="65" t="n"/>
      <c r="E975" s="65" t="n"/>
      <c r="F975" s="66" t="n"/>
      <c r="G975" s="65" t="n"/>
      <c r="H975" s="66" t="n"/>
      <c r="I975" s="64" t="n"/>
      <c r="J975" s="68" t="n"/>
      <c r="K975" s="68" t="n"/>
      <c r="L975" s="68" t="n"/>
      <c r="M975" s="64" t="n"/>
      <c r="N975" s="64" t="n"/>
      <c r="O975" s="64" t="n"/>
      <c r="P975" s="64" t="n"/>
      <c r="Q975" s="64" t="n"/>
      <c r="R975" s="64" t="n"/>
      <c r="S975" s="66" t="n"/>
      <c r="T975" s="45" t="n"/>
      <c r="U975" s="43">
        <f t="shared" si="0"/>
      </c>
      <c r="V975" s="49">
        <f t="shared" si="1"/>
      </c>
      <c r="W975" s="49">
        <f t="shared" si="2"/>
      </c>
      <c r="X975" s="2">
        <f t="shared" si="3"/>
      </c>
      <c r="Y975" s="2">
        <f t="shared" si="4"/>
      </c>
      <c r="Z975" s="2">
        <f t="shared" si="5"/>
        <v>0</v>
      </c>
      <c r="AA975" s="2">
        <f t="shared" si="6"/>
        <v>0</v>
      </c>
      <c r="AB975" s="2">
        <f t="shared" si="7"/>
        <v>0</v>
      </c>
      <c r="AC975" s="2">
        <f t="shared" si="8"/>
      </c>
    </row>
    <row r="976">
      <c r="A976" s="64" t="n"/>
      <c r="B976" s="65" t="n"/>
      <c r="C976" s="65" t="n"/>
      <c r="D976" s="65" t="n"/>
      <c r="E976" s="65" t="n"/>
      <c r="F976" s="66" t="n"/>
      <c r="G976" s="65" t="n"/>
      <c r="H976" s="66" t="n"/>
      <c r="I976" s="64" t="n"/>
      <c r="J976" s="68" t="n"/>
      <c r="K976" s="68" t="n"/>
      <c r="L976" s="68" t="n"/>
      <c r="M976" s="64" t="n"/>
      <c r="N976" s="64" t="n"/>
      <c r="O976" s="64" t="n"/>
      <c r="P976" s="64" t="n"/>
      <c r="Q976" s="64" t="n"/>
      <c r="R976" s="64" t="n"/>
      <c r="S976" s="66" t="n"/>
      <c r="T976" s="45" t="n"/>
      <c r="U976" s="43">
        <f t="shared" si="0"/>
      </c>
      <c r="V976" s="49">
        <f t="shared" si="1"/>
      </c>
      <c r="W976" s="49">
        <f t="shared" si="2"/>
      </c>
      <c r="X976" s="2">
        <f t="shared" si="3"/>
      </c>
      <c r="Y976" s="2">
        <f t="shared" si="4"/>
      </c>
      <c r="Z976" s="2">
        <f t="shared" si="5"/>
        <v>0</v>
      </c>
      <c r="AA976" s="2">
        <f t="shared" si="6"/>
        <v>0</v>
      </c>
      <c r="AB976" s="2">
        <f t="shared" si="7"/>
        <v>0</v>
      </c>
      <c r="AC976" s="2">
        <f t="shared" si="8"/>
      </c>
    </row>
    <row r="977">
      <c r="A977" s="64" t="n"/>
      <c r="B977" s="65" t="n"/>
      <c r="C977" s="65" t="n"/>
      <c r="D977" s="65" t="n"/>
      <c r="E977" s="65" t="n"/>
      <c r="F977" s="66" t="n"/>
      <c r="G977" s="65" t="n"/>
      <c r="H977" s="66" t="n"/>
      <c r="I977" s="64" t="n"/>
      <c r="J977" s="68" t="n"/>
      <c r="K977" s="68" t="n"/>
      <c r="L977" s="68" t="n"/>
      <c r="M977" s="64" t="n"/>
      <c r="N977" s="64" t="n"/>
      <c r="O977" s="64" t="n"/>
      <c r="P977" s="64" t="n"/>
      <c r="Q977" s="64" t="n"/>
      <c r="R977" s="64" t="n"/>
      <c r="S977" s="66" t="n"/>
      <c r="T977" s="45" t="n"/>
      <c r="U977" s="43">
        <f t="shared" si="0"/>
      </c>
      <c r="V977" s="49">
        <f t="shared" si="1"/>
      </c>
      <c r="W977" s="49">
        <f t="shared" si="2"/>
      </c>
      <c r="X977" s="2">
        <f t="shared" si="3"/>
      </c>
      <c r="Y977" s="2">
        <f t="shared" si="4"/>
      </c>
      <c r="Z977" s="2">
        <f t="shared" si="5"/>
        <v>0</v>
      </c>
      <c r="AA977" s="2">
        <f t="shared" si="6"/>
        <v>0</v>
      </c>
      <c r="AB977" s="2">
        <f t="shared" si="7"/>
        <v>0</v>
      </c>
      <c r="AC977" s="2">
        <f t="shared" si="8"/>
      </c>
    </row>
    <row r="978">
      <c r="A978" s="64" t="n"/>
      <c r="B978" s="65" t="n"/>
      <c r="C978" s="65" t="n"/>
      <c r="D978" s="65" t="n"/>
      <c r="E978" s="65" t="n"/>
      <c r="F978" s="66" t="n"/>
      <c r="G978" s="65" t="n"/>
      <c r="H978" s="66" t="n"/>
      <c r="I978" s="64" t="n"/>
      <c r="J978" s="68" t="n"/>
      <c r="K978" s="68" t="n"/>
      <c r="L978" s="68" t="n"/>
      <c r="M978" s="64" t="n"/>
      <c r="N978" s="64" t="n"/>
      <c r="O978" s="64" t="n"/>
      <c r="P978" s="64" t="n"/>
      <c r="Q978" s="64" t="n"/>
      <c r="R978" s="64" t="n"/>
      <c r="S978" s="66" t="n"/>
      <c r="T978" s="45" t="n"/>
      <c r="U978" s="43">
        <f t="shared" si="0"/>
      </c>
      <c r="V978" s="49">
        <f t="shared" si="1"/>
      </c>
      <c r="W978" s="49">
        <f t="shared" si="2"/>
      </c>
      <c r="X978" s="2">
        <f t="shared" si="3"/>
      </c>
      <c r="Y978" s="2">
        <f t="shared" si="4"/>
      </c>
      <c r="Z978" s="2">
        <f t="shared" si="5"/>
        <v>0</v>
      </c>
      <c r="AA978" s="2">
        <f t="shared" si="6"/>
        <v>0</v>
      </c>
      <c r="AB978" s="2">
        <f t="shared" si="7"/>
        <v>0</v>
      </c>
      <c r="AC978" s="2">
        <f t="shared" si="8"/>
      </c>
    </row>
    <row r="979">
      <c r="A979" s="64" t="n"/>
      <c r="B979" s="65" t="n"/>
      <c r="C979" s="65" t="n"/>
      <c r="D979" s="65" t="n"/>
      <c r="E979" s="65" t="n"/>
      <c r="F979" s="66" t="n"/>
      <c r="G979" s="65" t="n"/>
      <c r="H979" s="66" t="n"/>
      <c r="I979" s="64" t="n"/>
      <c r="J979" s="68" t="n"/>
      <c r="K979" s="68" t="n"/>
      <c r="L979" s="68" t="n"/>
      <c r="M979" s="64" t="n"/>
      <c r="N979" s="64" t="n"/>
      <c r="O979" s="64" t="n"/>
      <c r="P979" s="64" t="n"/>
      <c r="Q979" s="64" t="n"/>
      <c r="R979" s="64" t="n"/>
      <c r="S979" s="66" t="n"/>
      <c r="T979" s="45" t="n"/>
      <c r="U979" s="43">
        <f t="shared" si="0"/>
      </c>
      <c r="V979" s="49">
        <f t="shared" si="1"/>
      </c>
      <c r="W979" s="49">
        <f t="shared" si="2"/>
      </c>
      <c r="X979" s="2">
        <f t="shared" si="3"/>
      </c>
      <c r="Y979" s="2">
        <f t="shared" si="4"/>
      </c>
      <c r="Z979" s="2">
        <f t="shared" si="5"/>
        <v>0</v>
      </c>
      <c r="AA979" s="2">
        <f t="shared" si="6"/>
        <v>0</v>
      </c>
      <c r="AB979" s="2">
        <f t="shared" si="7"/>
        <v>0</v>
      </c>
      <c r="AC979" s="2">
        <f t="shared" si="8"/>
      </c>
    </row>
    <row r="980">
      <c r="A980" s="64" t="n"/>
      <c r="B980" s="65" t="n"/>
      <c r="C980" s="65" t="n"/>
      <c r="D980" s="65" t="n"/>
      <c r="E980" s="65" t="n"/>
      <c r="F980" s="66" t="n"/>
      <c r="G980" s="65" t="n"/>
      <c r="H980" s="66" t="n"/>
      <c r="I980" s="64" t="n"/>
      <c r="J980" s="68" t="n"/>
      <c r="K980" s="68" t="n"/>
      <c r="L980" s="68" t="n"/>
      <c r="M980" s="64" t="n"/>
      <c r="N980" s="64" t="n"/>
      <c r="O980" s="64" t="n"/>
      <c r="P980" s="64" t="n"/>
      <c r="Q980" s="64" t="n"/>
      <c r="R980" s="64" t="n"/>
      <c r="S980" s="66" t="n"/>
      <c r="T980" s="45" t="n"/>
      <c r="U980" s="43">
        <f t="shared" si="0"/>
      </c>
      <c r="V980" s="49">
        <f t="shared" si="1"/>
      </c>
      <c r="W980" s="49">
        <f t="shared" si="2"/>
      </c>
      <c r="X980" s="2">
        <f t="shared" si="3"/>
      </c>
      <c r="Y980" s="2">
        <f t="shared" si="4"/>
      </c>
      <c r="Z980" s="2">
        <f t="shared" si="5"/>
        <v>0</v>
      </c>
      <c r="AA980" s="2">
        <f t="shared" si="6"/>
        <v>0</v>
      </c>
      <c r="AB980" s="2">
        <f t="shared" si="7"/>
        <v>0</v>
      </c>
      <c r="AC980" s="2">
        <f t="shared" si="8"/>
      </c>
    </row>
    <row r="981">
      <c r="A981" s="64" t="n"/>
      <c r="B981" s="65" t="n"/>
      <c r="C981" s="65" t="n"/>
      <c r="D981" s="65" t="n"/>
      <c r="E981" s="65" t="n"/>
      <c r="F981" s="66" t="n"/>
      <c r="G981" s="65" t="n"/>
      <c r="H981" s="66" t="n"/>
      <c r="I981" s="64" t="n"/>
      <c r="J981" s="68" t="n"/>
      <c r="K981" s="68" t="n"/>
      <c r="L981" s="68" t="n"/>
      <c r="M981" s="64" t="n"/>
      <c r="N981" s="64" t="n"/>
      <c r="O981" s="64" t="n"/>
      <c r="P981" s="64" t="n"/>
      <c r="Q981" s="64" t="n"/>
      <c r="R981" s="64" t="n"/>
      <c r="S981" s="66" t="n"/>
      <c r="T981" s="45" t="n"/>
      <c r="U981" s="43">
        <f t="shared" si="0"/>
      </c>
      <c r="V981" s="49">
        <f t="shared" si="1"/>
      </c>
      <c r="W981" s="49">
        <f t="shared" si="2"/>
      </c>
      <c r="X981" s="2">
        <f t="shared" si="3"/>
      </c>
      <c r="Y981" s="2">
        <f t="shared" si="4"/>
      </c>
      <c r="Z981" s="2">
        <f t="shared" si="5"/>
        <v>0</v>
      </c>
      <c r="AA981" s="2">
        <f t="shared" si="6"/>
        <v>0</v>
      </c>
      <c r="AB981" s="2">
        <f t="shared" si="7"/>
        <v>0</v>
      </c>
      <c r="AC981" s="2">
        <f t="shared" si="8"/>
      </c>
    </row>
    <row r="982">
      <c r="A982" s="64" t="n"/>
      <c r="B982" s="65" t="n"/>
      <c r="C982" s="65" t="n"/>
      <c r="D982" s="65" t="n"/>
      <c r="E982" s="65" t="n"/>
      <c r="F982" s="66" t="n"/>
      <c r="G982" s="65" t="n"/>
      <c r="H982" s="66" t="n"/>
      <c r="I982" s="64" t="n"/>
      <c r="J982" s="68" t="n"/>
      <c r="K982" s="68" t="n"/>
      <c r="L982" s="68" t="n"/>
      <c r="M982" s="64" t="n"/>
      <c r="N982" s="64" t="n"/>
      <c r="O982" s="64" t="n"/>
      <c r="P982" s="64" t="n"/>
      <c r="Q982" s="64" t="n"/>
      <c r="R982" s="64" t="n"/>
      <c r="S982" s="66" t="n"/>
      <c r="T982" s="45" t="n"/>
      <c r="U982" s="43">
        <f t="shared" si="0"/>
      </c>
      <c r="V982" s="49">
        <f t="shared" si="1"/>
      </c>
      <c r="W982" s="49">
        <f t="shared" si="2"/>
      </c>
      <c r="X982" s="2">
        <f t="shared" si="3"/>
      </c>
      <c r="Y982" s="2">
        <f t="shared" si="4"/>
      </c>
      <c r="Z982" s="2">
        <f t="shared" si="5"/>
        <v>0</v>
      </c>
      <c r="AA982" s="2">
        <f t="shared" si="6"/>
        <v>0</v>
      </c>
      <c r="AB982" s="2">
        <f t="shared" si="7"/>
        <v>0</v>
      </c>
      <c r="AC982" s="2">
        <f t="shared" si="8"/>
      </c>
    </row>
    <row r="983">
      <c r="A983" s="64" t="n"/>
      <c r="B983" s="65" t="n"/>
      <c r="C983" s="65" t="n"/>
      <c r="D983" s="65" t="n"/>
      <c r="E983" s="65" t="n"/>
      <c r="F983" s="66" t="n"/>
      <c r="G983" s="65" t="n"/>
      <c r="H983" s="66" t="n"/>
      <c r="I983" s="64" t="n"/>
      <c r="J983" s="68" t="n"/>
      <c r="K983" s="68" t="n"/>
      <c r="L983" s="68" t="n"/>
      <c r="M983" s="64" t="n"/>
      <c r="N983" s="64" t="n"/>
      <c r="O983" s="64" t="n"/>
      <c r="P983" s="64" t="n"/>
      <c r="Q983" s="64" t="n"/>
      <c r="R983" s="64" t="n"/>
      <c r="S983" s="66" t="n"/>
      <c r="T983" s="45" t="n"/>
      <c r="U983" s="43">
        <f t="shared" si="0"/>
      </c>
      <c r="V983" s="49">
        <f t="shared" si="1"/>
      </c>
      <c r="W983" s="49">
        <f t="shared" si="2"/>
      </c>
      <c r="X983" s="2">
        <f t="shared" si="3"/>
      </c>
      <c r="Y983" s="2">
        <f t="shared" si="4"/>
      </c>
      <c r="Z983" s="2">
        <f t="shared" si="5"/>
        <v>0</v>
      </c>
      <c r="AA983" s="2">
        <f t="shared" si="6"/>
        <v>0</v>
      </c>
      <c r="AB983" s="2">
        <f t="shared" si="7"/>
        <v>0</v>
      </c>
      <c r="AC983" s="2">
        <f t="shared" si="8"/>
      </c>
    </row>
    <row r="984">
      <c r="A984" s="64" t="n"/>
      <c r="B984" s="65" t="n"/>
      <c r="C984" s="65" t="n"/>
      <c r="D984" s="65" t="n"/>
      <c r="E984" s="65" t="n"/>
      <c r="F984" s="66" t="n"/>
      <c r="G984" s="65" t="n"/>
      <c r="H984" s="66" t="n"/>
      <c r="I984" s="64" t="n"/>
      <c r="J984" s="68" t="n"/>
      <c r="K984" s="68" t="n"/>
      <c r="L984" s="68" t="n"/>
      <c r="M984" s="64" t="n"/>
      <c r="N984" s="64" t="n"/>
      <c r="O984" s="64" t="n"/>
      <c r="P984" s="64" t="n"/>
      <c r="Q984" s="64" t="n"/>
      <c r="R984" s="64" t="n"/>
      <c r="S984" s="66" t="n"/>
      <c r="T984" s="45" t="n"/>
      <c r="U984" s="43">
        <f t="shared" si="0"/>
      </c>
      <c r="V984" s="49">
        <f t="shared" si="1"/>
      </c>
      <c r="W984" s="49">
        <f t="shared" si="2"/>
      </c>
      <c r="X984" s="2">
        <f t="shared" si="3"/>
      </c>
      <c r="Y984" s="2">
        <f t="shared" si="4"/>
      </c>
      <c r="Z984" s="2">
        <f t="shared" si="5"/>
        <v>0</v>
      </c>
      <c r="AA984" s="2">
        <f t="shared" si="6"/>
        <v>0</v>
      </c>
      <c r="AB984" s="2">
        <f t="shared" si="7"/>
        <v>0</v>
      </c>
      <c r="AC984" s="2">
        <f t="shared" si="8"/>
      </c>
    </row>
    <row r="985">
      <c r="A985" s="64" t="n"/>
      <c r="B985" s="65" t="n"/>
      <c r="C985" s="65" t="n"/>
      <c r="D985" s="65" t="n"/>
      <c r="E985" s="65" t="n"/>
      <c r="F985" s="66" t="n"/>
      <c r="G985" s="65" t="n"/>
      <c r="H985" s="66" t="n"/>
      <c r="I985" s="64" t="n"/>
      <c r="J985" s="68" t="n"/>
      <c r="K985" s="68" t="n"/>
      <c r="L985" s="68" t="n"/>
      <c r="M985" s="64" t="n"/>
      <c r="N985" s="64" t="n"/>
      <c r="O985" s="64" t="n"/>
      <c r="P985" s="64" t="n"/>
      <c r="Q985" s="64" t="n"/>
      <c r="R985" s="64" t="n"/>
      <c r="S985" s="66" t="n"/>
      <c r="T985" s="45" t="n"/>
      <c r="U985" s="43">
        <f t="shared" si="0"/>
      </c>
      <c r="V985" s="49">
        <f t="shared" si="1"/>
      </c>
      <c r="W985" s="49">
        <f t="shared" si="2"/>
      </c>
      <c r="X985" s="2">
        <f t="shared" si="3"/>
      </c>
      <c r="Y985" s="2">
        <f t="shared" si="4"/>
      </c>
      <c r="Z985" s="2">
        <f t="shared" si="5"/>
        <v>0</v>
      </c>
      <c r="AA985" s="2">
        <f t="shared" si="6"/>
        <v>0</v>
      </c>
      <c r="AB985" s="2">
        <f t="shared" si="7"/>
        <v>0</v>
      </c>
      <c r="AC985" s="2">
        <f t="shared" si="8"/>
      </c>
    </row>
    <row r="986">
      <c r="A986" s="64" t="n"/>
      <c r="B986" s="65" t="n"/>
      <c r="C986" s="65" t="n"/>
      <c r="D986" s="65" t="n"/>
      <c r="E986" s="65" t="n"/>
      <c r="F986" s="66" t="n"/>
      <c r="G986" s="65" t="n"/>
      <c r="H986" s="66" t="n"/>
      <c r="I986" s="64" t="n"/>
      <c r="J986" s="68" t="n"/>
      <c r="K986" s="68" t="n"/>
      <c r="L986" s="68" t="n"/>
      <c r="M986" s="64" t="n"/>
      <c r="N986" s="64" t="n"/>
      <c r="O986" s="64" t="n"/>
      <c r="P986" s="64" t="n"/>
      <c r="Q986" s="64" t="n"/>
      <c r="R986" s="64" t="n"/>
      <c r="S986" s="66" t="n"/>
      <c r="T986" s="45" t="n"/>
      <c r="U986" s="43">
        <f t="shared" si="0"/>
      </c>
      <c r="V986" s="49">
        <f t="shared" si="1"/>
      </c>
      <c r="W986" s="49">
        <f t="shared" si="2"/>
      </c>
      <c r="X986" s="2">
        <f t="shared" si="3"/>
      </c>
      <c r="Y986" s="2">
        <f t="shared" si="4"/>
      </c>
      <c r="Z986" s="2">
        <f t="shared" si="5"/>
        <v>0</v>
      </c>
      <c r="AA986" s="2">
        <f t="shared" si="6"/>
        <v>0</v>
      </c>
      <c r="AB986" s="2">
        <f t="shared" si="7"/>
        <v>0</v>
      </c>
      <c r="AC986" s="2">
        <f t="shared" si="8"/>
      </c>
    </row>
    <row r="987">
      <c r="A987" s="64" t="n"/>
      <c r="B987" s="65" t="n"/>
      <c r="C987" s="65" t="n"/>
      <c r="D987" s="65" t="n"/>
      <c r="E987" s="65" t="n"/>
      <c r="F987" s="66" t="n"/>
      <c r="G987" s="65" t="n"/>
      <c r="H987" s="66" t="n"/>
      <c r="I987" s="64" t="n"/>
      <c r="J987" s="68" t="n"/>
      <c r="K987" s="68" t="n"/>
      <c r="L987" s="68" t="n"/>
      <c r="M987" s="64" t="n"/>
      <c r="N987" s="64" t="n"/>
      <c r="O987" s="64" t="n"/>
      <c r="P987" s="64" t="n"/>
      <c r="Q987" s="64" t="n"/>
      <c r="R987" s="64" t="n"/>
      <c r="S987" s="66" t="n"/>
      <c r="T987" s="45" t="n"/>
      <c r="U987" s="43">
        <f t="shared" si="0"/>
      </c>
      <c r="V987" s="49">
        <f t="shared" si="1"/>
      </c>
      <c r="W987" s="49">
        <f t="shared" si="2"/>
      </c>
      <c r="X987" s="2">
        <f t="shared" si="3"/>
      </c>
      <c r="Y987" s="2">
        <f t="shared" si="4"/>
      </c>
      <c r="Z987" s="2">
        <f t="shared" si="5"/>
        <v>0</v>
      </c>
      <c r="AA987" s="2">
        <f t="shared" si="6"/>
        <v>0</v>
      </c>
      <c r="AB987" s="2">
        <f t="shared" si="7"/>
        <v>0</v>
      </c>
      <c r="AC987" s="2">
        <f t="shared" si="8"/>
      </c>
    </row>
    <row r="988">
      <c r="A988" s="64" t="n"/>
      <c r="B988" s="65" t="n"/>
      <c r="C988" s="65" t="n"/>
      <c r="D988" s="65" t="n"/>
      <c r="E988" s="65" t="n"/>
      <c r="F988" s="66" t="n"/>
      <c r="G988" s="65" t="n"/>
      <c r="H988" s="66" t="n"/>
      <c r="I988" s="64" t="n"/>
      <c r="J988" s="68" t="n"/>
      <c r="K988" s="68" t="n"/>
      <c r="L988" s="68" t="n"/>
      <c r="M988" s="64" t="n"/>
      <c r="N988" s="64" t="n"/>
      <c r="O988" s="64" t="n"/>
      <c r="P988" s="64" t="n"/>
      <c r="Q988" s="64" t="n"/>
      <c r="R988" s="64" t="n"/>
      <c r="S988" s="66" t="n"/>
      <c r="T988" s="45" t="n"/>
      <c r="U988" s="43">
        <f t="shared" si="0"/>
      </c>
      <c r="V988" s="49">
        <f t="shared" si="1"/>
      </c>
      <c r="W988" s="49">
        <f t="shared" si="2"/>
      </c>
      <c r="X988" s="2">
        <f t="shared" si="3"/>
      </c>
      <c r="Y988" s="2">
        <f t="shared" si="4"/>
      </c>
      <c r="Z988" s="2">
        <f t="shared" si="5"/>
        <v>0</v>
      </c>
      <c r="AA988" s="2">
        <f t="shared" si="6"/>
        <v>0</v>
      </c>
      <c r="AB988" s="2">
        <f t="shared" si="7"/>
        <v>0</v>
      </c>
      <c r="AC988" s="2">
        <f t="shared" si="8"/>
      </c>
    </row>
    <row r="989">
      <c r="A989" s="64" t="n"/>
      <c r="B989" s="65" t="n"/>
      <c r="C989" s="65" t="n"/>
      <c r="D989" s="65" t="n"/>
      <c r="E989" s="65" t="n"/>
      <c r="F989" s="66" t="n"/>
      <c r="G989" s="65" t="n"/>
      <c r="H989" s="66" t="n"/>
      <c r="I989" s="64" t="n"/>
      <c r="J989" s="68" t="n"/>
      <c r="K989" s="68" t="n"/>
      <c r="L989" s="68" t="n"/>
      <c r="M989" s="64" t="n"/>
      <c r="N989" s="64" t="n"/>
      <c r="O989" s="64" t="n"/>
      <c r="P989" s="64" t="n"/>
      <c r="Q989" s="64" t="n"/>
      <c r="R989" s="64" t="n"/>
      <c r="S989" s="66" t="n"/>
      <c r="T989" s="45" t="n"/>
      <c r="U989" s="43">
        <f t="shared" si="0"/>
      </c>
      <c r="V989" s="49">
        <f t="shared" si="1"/>
      </c>
      <c r="W989" s="49">
        <f t="shared" si="2"/>
      </c>
      <c r="X989" s="2">
        <f t="shared" si="3"/>
      </c>
      <c r="Y989" s="2">
        <f t="shared" si="4"/>
      </c>
      <c r="Z989" s="2">
        <f t="shared" si="5"/>
        <v>0</v>
      </c>
      <c r="AA989" s="2">
        <f t="shared" si="6"/>
        <v>0</v>
      </c>
      <c r="AB989" s="2">
        <f t="shared" si="7"/>
        <v>0</v>
      </c>
      <c r="AC989" s="2">
        <f t="shared" si="8"/>
      </c>
    </row>
    <row r="990">
      <c r="A990" s="64" t="n"/>
      <c r="B990" s="65" t="n"/>
      <c r="C990" s="65" t="n"/>
      <c r="D990" s="65" t="n"/>
      <c r="E990" s="65" t="n"/>
      <c r="F990" s="66" t="n"/>
      <c r="G990" s="65" t="n"/>
      <c r="H990" s="66" t="n"/>
      <c r="I990" s="64" t="n"/>
      <c r="J990" s="68" t="n"/>
      <c r="K990" s="68" t="n"/>
      <c r="L990" s="68" t="n"/>
      <c r="M990" s="64" t="n"/>
      <c r="N990" s="64" t="n"/>
      <c r="O990" s="64" t="n"/>
      <c r="P990" s="64" t="n"/>
      <c r="Q990" s="64" t="n"/>
      <c r="R990" s="64" t="n"/>
      <c r="S990" s="66" t="n"/>
      <c r="T990" s="45" t="n"/>
      <c r="U990" s="43">
        <f t="shared" si="0"/>
      </c>
      <c r="V990" s="49">
        <f t="shared" si="1"/>
      </c>
      <c r="W990" s="49">
        <f t="shared" si="2"/>
      </c>
      <c r="X990" s="2">
        <f t="shared" si="3"/>
      </c>
      <c r="Y990" s="2">
        <f t="shared" si="4"/>
      </c>
      <c r="Z990" s="2">
        <f t="shared" si="5"/>
        <v>0</v>
      </c>
      <c r="AA990" s="2">
        <f t="shared" si="6"/>
        <v>0</v>
      </c>
      <c r="AB990" s="2">
        <f t="shared" si="7"/>
        <v>0</v>
      </c>
      <c r="AC990" s="2">
        <f t="shared" si="8"/>
      </c>
    </row>
    <row r="991">
      <c r="A991" s="64" t="n"/>
      <c r="B991" s="65" t="n"/>
      <c r="C991" s="65" t="n"/>
      <c r="D991" s="65" t="n"/>
      <c r="E991" s="65" t="n"/>
      <c r="F991" s="66" t="n"/>
      <c r="G991" s="65" t="n"/>
      <c r="H991" s="66" t="n"/>
      <c r="I991" s="64" t="n"/>
      <c r="J991" s="68" t="n"/>
      <c r="K991" s="68" t="n"/>
      <c r="L991" s="68" t="n"/>
      <c r="M991" s="64" t="n"/>
      <c r="N991" s="64" t="n"/>
      <c r="O991" s="64" t="n"/>
      <c r="P991" s="64" t="n"/>
      <c r="Q991" s="64" t="n"/>
      <c r="R991" s="64" t="n"/>
      <c r="S991" s="66" t="n"/>
      <c r="T991" s="45" t="n"/>
      <c r="U991" s="43">
        <f t="shared" si="0"/>
      </c>
      <c r="V991" s="49">
        <f t="shared" si="1"/>
      </c>
      <c r="W991" s="49">
        <f t="shared" si="2"/>
      </c>
      <c r="X991" s="2">
        <f t="shared" si="3"/>
      </c>
      <c r="Y991" s="2">
        <f t="shared" si="4"/>
      </c>
      <c r="Z991" s="2">
        <f t="shared" si="5"/>
        <v>0</v>
      </c>
      <c r="AA991" s="2">
        <f t="shared" si="6"/>
        <v>0</v>
      </c>
      <c r="AB991" s="2">
        <f t="shared" si="7"/>
        <v>0</v>
      </c>
      <c r="AC991" s="2">
        <f t="shared" si="8"/>
      </c>
    </row>
    <row r="992">
      <c r="A992" s="64" t="n"/>
      <c r="B992" s="65" t="n"/>
      <c r="C992" s="65" t="n"/>
      <c r="D992" s="65" t="n"/>
      <c r="E992" s="65" t="n"/>
      <c r="F992" s="66" t="n"/>
      <c r="G992" s="65" t="n"/>
      <c r="H992" s="66" t="n"/>
      <c r="I992" s="64" t="n"/>
      <c r="J992" s="68" t="n"/>
      <c r="K992" s="68" t="n"/>
      <c r="L992" s="68" t="n"/>
      <c r="M992" s="64" t="n"/>
      <c r="N992" s="64" t="n"/>
      <c r="O992" s="64" t="n"/>
      <c r="P992" s="64" t="n"/>
      <c r="Q992" s="64" t="n"/>
      <c r="R992" s="64" t="n"/>
      <c r="S992" s="66" t="n"/>
      <c r="T992" s="45" t="n"/>
      <c r="U992" s="43">
        <f t="shared" si="0"/>
      </c>
      <c r="V992" s="49">
        <f t="shared" si="1"/>
      </c>
      <c r="W992" s="49">
        <f t="shared" si="2"/>
      </c>
      <c r="X992" s="2">
        <f t="shared" si="3"/>
      </c>
      <c r="Y992" s="2">
        <f t="shared" si="4"/>
      </c>
      <c r="Z992" s="2">
        <f t="shared" si="5"/>
        <v>0</v>
      </c>
      <c r="AA992" s="2">
        <f t="shared" si="6"/>
        <v>0</v>
      </c>
      <c r="AB992" s="2">
        <f t="shared" si="7"/>
        <v>0</v>
      </c>
      <c r="AC992" s="2">
        <f t="shared" si="8"/>
      </c>
    </row>
    <row r="993">
      <c r="A993" s="64" t="n"/>
      <c r="B993" s="65" t="n"/>
      <c r="C993" s="65" t="n"/>
      <c r="D993" s="65" t="n"/>
      <c r="E993" s="65" t="n"/>
      <c r="F993" s="66" t="n"/>
      <c r="G993" s="65" t="n"/>
      <c r="H993" s="66" t="n"/>
      <c r="I993" s="64" t="n"/>
      <c r="J993" s="68" t="n"/>
      <c r="K993" s="68" t="n"/>
      <c r="L993" s="68" t="n"/>
      <c r="M993" s="64" t="n"/>
      <c r="N993" s="64" t="n"/>
      <c r="O993" s="64" t="n"/>
      <c r="P993" s="64" t="n"/>
      <c r="Q993" s="64" t="n"/>
      <c r="R993" s="64" t="n"/>
      <c r="S993" s="66" t="n"/>
      <c r="T993" s="45" t="n"/>
      <c r="U993" s="43">
        <f t="shared" si="0"/>
      </c>
      <c r="V993" s="49">
        <f t="shared" si="1"/>
      </c>
      <c r="W993" s="49">
        <f t="shared" si="2"/>
      </c>
      <c r="X993" s="2">
        <f t="shared" si="3"/>
      </c>
      <c r="Y993" s="2">
        <f t="shared" si="4"/>
      </c>
      <c r="Z993" s="2">
        <f t="shared" si="5"/>
        <v>0</v>
      </c>
      <c r="AA993" s="2">
        <f t="shared" si="6"/>
        <v>0</v>
      </c>
      <c r="AB993" s="2">
        <f t="shared" si="7"/>
        <v>0</v>
      </c>
      <c r="AC993" s="2">
        <f t="shared" si="8"/>
      </c>
    </row>
    <row r="994">
      <c r="A994" s="64" t="n"/>
      <c r="B994" s="65" t="n"/>
      <c r="C994" s="65" t="n"/>
      <c r="D994" s="65" t="n"/>
      <c r="E994" s="65" t="n"/>
      <c r="F994" s="66" t="n"/>
      <c r="G994" s="65" t="n"/>
      <c r="H994" s="66" t="n"/>
      <c r="I994" s="64" t="n"/>
      <c r="J994" s="68" t="n"/>
      <c r="K994" s="68" t="n"/>
      <c r="L994" s="68" t="n"/>
      <c r="M994" s="64" t="n"/>
      <c r="N994" s="64" t="n"/>
      <c r="O994" s="64" t="n"/>
      <c r="P994" s="64" t="n"/>
      <c r="Q994" s="64" t="n"/>
      <c r="R994" s="64" t="n"/>
      <c r="S994" s="66" t="n"/>
      <c r="T994" s="45" t="n"/>
      <c r="U994" s="43">
        <f t="shared" si="0"/>
      </c>
      <c r="V994" s="49">
        <f t="shared" si="1"/>
      </c>
      <c r="W994" s="49">
        <f t="shared" si="2"/>
      </c>
      <c r="X994" s="2">
        <f t="shared" si="3"/>
      </c>
      <c r="Y994" s="2">
        <f t="shared" si="4"/>
      </c>
      <c r="Z994" s="2">
        <f t="shared" si="5"/>
        <v>0</v>
      </c>
      <c r="AA994" s="2">
        <f t="shared" si="6"/>
        <v>0</v>
      </c>
      <c r="AB994" s="2">
        <f t="shared" si="7"/>
        <v>0</v>
      </c>
      <c r="AC994" s="2">
        <f t="shared" si="8"/>
      </c>
    </row>
    <row r="995">
      <c r="A995" s="64" t="n"/>
      <c r="B995" s="65" t="n"/>
      <c r="C995" s="65" t="n"/>
      <c r="D995" s="65" t="n"/>
      <c r="E995" s="65" t="n"/>
      <c r="F995" s="66" t="n"/>
      <c r="G995" s="65" t="n"/>
      <c r="H995" s="66" t="n"/>
      <c r="I995" s="64" t="n"/>
      <c r="J995" s="68" t="n"/>
      <c r="K995" s="68" t="n"/>
      <c r="L995" s="68" t="n"/>
      <c r="M995" s="64" t="n"/>
      <c r="N995" s="64" t="n"/>
      <c r="O995" s="64" t="n"/>
      <c r="P995" s="64" t="n"/>
      <c r="Q995" s="64" t="n"/>
      <c r="R995" s="64" t="n"/>
      <c r="S995" s="66" t="n"/>
      <c r="T995" s="45" t="n"/>
      <c r="U995" s="43">
        <f t="shared" si="0"/>
      </c>
      <c r="V995" s="49">
        <f t="shared" si="1"/>
      </c>
      <c r="W995" s="49">
        <f t="shared" si="2"/>
      </c>
      <c r="X995" s="2">
        <f t="shared" si="3"/>
      </c>
      <c r="Y995" s="2">
        <f t="shared" si="4"/>
      </c>
      <c r="Z995" s="2">
        <f t="shared" si="5"/>
        <v>0</v>
      </c>
      <c r="AA995" s="2">
        <f t="shared" si="6"/>
        <v>0</v>
      </c>
      <c r="AB995" s="2">
        <f t="shared" si="7"/>
        <v>0</v>
      </c>
      <c r="AC995" s="2">
        <f t="shared" si="8"/>
      </c>
    </row>
    <row r="996">
      <c r="A996" s="64" t="n"/>
      <c r="B996" s="65" t="n"/>
      <c r="C996" s="65" t="n"/>
      <c r="D996" s="65" t="n"/>
      <c r="E996" s="65" t="n"/>
      <c r="F996" s="66" t="n"/>
      <c r="G996" s="65" t="n"/>
      <c r="H996" s="66" t="n"/>
      <c r="I996" s="64" t="n"/>
      <c r="J996" s="68" t="n"/>
      <c r="K996" s="68" t="n"/>
      <c r="L996" s="68" t="n"/>
      <c r="M996" s="64" t="n"/>
      <c r="N996" s="64" t="n"/>
      <c r="O996" s="64" t="n"/>
      <c r="P996" s="64" t="n"/>
      <c r="Q996" s="64" t="n"/>
      <c r="R996" s="64" t="n"/>
      <c r="S996" s="66" t="n"/>
      <c r="T996" s="45" t="n"/>
      <c r="U996" s="43">
        <f t="shared" si="0"/>
      </c>
      <c r="V996" s="49">
        <f t="shared" si="1"/>
      </c>
      <c r="W996" s="49">
        <f t="shared" si="2"/>
      </c>
      <c r="X996" s="2">
        <f t="shared" si="3"/>
      </c>
      <c r="Y996" s="2">
        <f t="shared" si="4"/>
      </c>
      <c r="Z996" s="2">
        <f t="shared" si="5"/>
        <v>0</v>
      </c>
      <c r="AA996" s="2">
        <f t="shared" si="6"/>
        <v>0</v>
      </c>
      <c r="AB996" s="2">
        <f t="shared" si="7"/>
        <v>0</v>
      </c>
      <c r="AC996" s="2">
        <f t="shared" si="8"/>
      </c>
    </row>
    <row r="997">
      <c r="A997" s="64" t="n"/>
      <c r="B997" s="65" t="n"/>
      <c r="C997" s="65" t="n"/>
      <c r="D997" s="65" t="n"/>
      <c r="E997" s="65" t="n"/>
      <c r="F997" s="66" t="n"/>
      <c r="G997" s="65" t="n"/>
      <c r="H997" s="66" t="n"/>
      <c r="I997" s="64" t="n"/>
      <c r="J997" s="68" t="n"/>
      <c r="K997" s="68" t="n"/>
      <c r="L997" s="68" t="n"/>
      <c r="M997" s="64" t="n"/>
      <c r="N997" s="64" t="n"/>
      <c r="O997" s="64" t="n"/>
      <c r="P997" s="64" t="n"/>
      <c r="Q997" s="64" t="n"/>
      <c r="R997" s="64" t="n"/>
      <c r="S997" s="66" t="n"/>
      <c r="T997" s="45" t="n"/>
      <c r="U997" s="43">
        <f t="shared" si="0"/>
      </c>
      <c r="V997" s="49">
        <f t="shared" si="1"/>
      </c>
      <c r="W997" s="49">
        <f t="shared" si="2"/>
      </c>
      <c r="X997" s="2">
        <f t="shared" si="3"/>
      </c>
      <c r="Y997" s="2">
        <f t="shared" si="4"/>
      </c>
      <c r="Z997" s="2">
        <f t="shared" si="5"/>
        <v>0</v>
      </c>
      <c r="AA997" s="2">
        <f t="shared" si="6"/>
        <v>0</v>
      </c>
      <c r="AB997" s="2">
        <f t="shared" si="7"/>
        <v>0</v>
      </c>
      <c r="AC997" s="2">
        <f t="shared" si="8"/>
      </c>
    </row>
    <row r="998">
      <c r="A998" s="64" t="n"/>
      <c r="B998" s="65" t="n"/>
      <c r="C998" s="65" t="n"/>
      <c r="D998" s="65" t="n"/>
      <c r="E998" s="65" t="n"/>
      <c r="F998" s="66" t="n"/>
      <c r="G998" s="65" t="n"/>
      <c r="H998" s="66" t="n"/>
      <c r="I998" s="64" t="n"/>
      <c r="J998" s="68" t="n"/>
      <c r="K998" s="68" t="n"/>
      <c r="L998" s="68" t="n"/>
      <c r="M998" s="64" t="n"/>
      <c r="N998" s="64" t="n"/>
      <c r="O998" s="64" t="n"/>
      <c r="P998" s="64" t="n"/>
      <c r="Q998" s="64" t="n"/>
      <c r="R998" s="64" t="n"/>
      <c r="S998" s="66" t="n"/>
      <c r="T998" s="45" t="n"/>
      <c r="U998" s="43">
        <f t="shared" si="0"/>
      </c>
      <c r="V998" s="49">
        <f t="shared" si="1"/>
      </c>
      <c r="W998" s="49">
        <f t="shared" si="2"/>
      </c>
      <c r="X998" s="2">
        <f t="shared" si="3"/>
      </c>
      <c r="Y998" s="2">
        <f t="shared" si="4"/>
      </c>
      <c r="Z998" s="2">
        <f t="shared" si="5"/>
        <v>0</v>
      </c>
      <c r="AA998" s="2">
        <f t="shared" si="6"/>
        <v>0</v>
      </c>
      <c r="AB998" s="2">
        <f t="shared" si="7"/>
        <v>0</v>
      </c>
      <c r="AC998" s="2">
        <f t="shared" si="8"/>
      </c>
    </row>
    <row r="999">
      <c r="A999" s="64" t="n"/>
      <c r="B999" s="65" t="n"/>
      <c r="C999" s="65" t="n"/>
      <c r="D999" s="65" t="n"/>
      <c r="E999" s="65" t="n"/>
      <c r="F999" s="66" t="n"/>
      <c r="G999" s="65" t="n"/>
      <c r="H999" s="66" t="n"/>
      <c r="I999" s="64" t="n"/>
      <c r="J999" s="68" t="n"/>
      <c r="K999" s="68" t="n"/>
      <c r="L999" s="68" t="n"/>
      <c r="M999" s="64" t="n"/>
      <c r="N999" s="64" t="n"/>
      <c r="O999" s="64" t="n"/>
      <c r="P999" s="64" t="n"/>
      <c r="Q999" s="64" t="n"/>
      <c r="R999" s="64" t="n"/>
      <c r="S999" s="66" t="n"/>
      <c r="T999" s="45" t="n"/>
      <c r="U999" s="43">
        <f t="shared" si="0"/>
      </c>
      <c r="V999" s="49">
        <f t="shared" si="1"/>
      </c>
      <c r="W999" s="49">
        <f t="shared" si="2"/>
      </c>
      <c r="X999" s="2">
        <f t="shared" si="3"/>
      </c>
      <c r="Y999" s="2">
        <f t="shared" si="4"/>
      </c>
      <c r="Z999" s="2">
        <f t="shared" si="5"/>
        <v>0</v>
      </c>
      <c r="AA999" s="2">
        <f t="shared" si="6"/>
        <v>0</v>
      </c>
      <c r="AB999" s="2">
        <f t="shared" si="7"/>
        <v>0</v>
      </c>
      <c r="AC999" s="2">
        <f t="shared" si="8"/>
      </c>
    </row>
    <row r="1000">
      <c r="A1000" s="64" t="n"/>
      <c r="B1000" s="65" t="n"/>
      <c r="C1000" s="65" t="n"/>
      <c r="D1000" s="65" t="n"/>
      <c r="E1000" s="65" t="n"/>
      <c r="F1000" s="66" t="n"/>
      <c r="G1000" s="65" t="n"/>
      <c r="H1000" s="66" t="n"/>
      <c r="I1000" s="64" t="n"/>
      <c r="J1000" s="68" t="n"/>
      <c r="K1000" s="68" t="n"/>
      <c r="L1000" s="68" t="n"/>
      <c r="M1000" s="64" t="n"/>
      <c r="N1000" s="64" t="n"/>
      <c r="O1000" s="64" t="n"/>
      <c r="P1000" s="64" t="n"/>
      <c r="Q1000" s="64" t="n"/>
      <c r="R1000" s="64" t="n"/>
      <c r="S1000" s="66" t="n"/>
      <c r="T1000" s="45" t="n"/>
      <c r="U1000" s="43">
        <f t="shared" si="0"/>
      </c>
      <c r="V1000" s="49">
        <f t="shared" si="1"/>
      </c>
      <c r="W1000" s="49">
        <f t="shared" si="2"/>
      </c>
      <c r="X1000" s="2">
        <f t="shared" si="3"/>
      </c>
      <c r="Y1000" s="2">
        <f t="shared" si="4"/>
      </c>
      <c r="Z1000" s="2">
        <f t="shared" si="5"/>
        <v>0</v>
      </c>
      <c r="AA1000" s="2">
        <f t="shared" si="6"/>
        <v>0</v>
      </c>
      <c r="AB1000" s="2">
        <f t="shared" si="7"/>
        <v>0</v>
      </c>
      <c r="AC1000" s="2">
        <f t="shared" si="8"/>
      </c>
    </row>
    <row r="1001">
      <c r="A1001" s="64" t="n"/>
      <c r="B1001" s="65" t="n"/>
      <c r="C1001" s="65" t="n"/>
      <c r="D1001" s="65" t="n"/>
      <c r="E1001" s="65" t="n"/>
      <c r="F1001" s="66" t="n"/>
      <c r="G1001" s="65" t="n"/>
      <c r="H1001" s="66" t="n"/>
      <c r="I1001" s="64" t="n"/>
      <c r="J1001" s="68" t="n"/>
      <c r="K1001" s="68" t="n"/>
      <c r="L1001" s="68" t="n"/>
      <c r="M1001" s="64" t="n"/>
      <c r="N1001" s="64" t="n"/>
      <c r="O1001" s="64" t="n"/>
      <c r="P1001" s="64" t="n"/>
      <c r="Q1001" s="64" t="n"/>
      <c r="R1001" s="64" t="n"/>
      <c r="S1001" s="66" t="n"/>
      <c r="T1001" s="45" t="n"/>
      <c r="U1001" s="43">
        <f t="shared" si="0"/>
      </c>
      <c r="V1001" s="49">
        <f t="shared" si="1"/>
      </c>
      <c r="W1001" s="49">
        <f t="shared" si="2"/>
      </c>
      <c r="X1001" s="2">
        <f t="shared" si="3"/>
      </c>
      <c r="Y1001" s="2">
        <f t="shared" si="4"/>
      </c>
      <c r="Z1001" s="2">
        <f t="shared" si="5"/>
        <v>0</v>
      </c>
      <c r="AA1001" s="2">
        <f t="shared" si="6"/>
        <v>0</v>
      </c>
      <c r="AB1001" s="2">
        <f t="shared" si="7"/>
        <v>0</v>
      </c>
      <c r="AC1001" s="2">
        <f t="shared" si="8"/>
      </c>
    </row>
    <row r="1002">
      <c r="A1002" s="64" t="n"/>
      <c r="B1002" s="65" t="n"/>
      <c r="C1002" s="65" t="n"/>
      <c r="D1002" s="65" t="n"/>
      <c r="E1002" s="65" t="n"/>
      <c r="F1002" s="66" t="n"/>
      <c r="G1002" s="65" t="n"/>
      <c r="H1002" s="66" t="n"/>
      <c r="I1002" s="64" t="n"/>
      <c r="J1002" s="68" t="n"/>
      <c r="K1002" s="68" t="n"/>
      <c r="L1002" s="68" t="n"/>
      <c r="M1002" s="64" t="n"/>
      <c r="N1002" s="64" t="n"/>
      <c r="O1002" s="64" t="n"/>
      <c r="P1002" s="64" t="n"/>
      <c r="Q1002" s="64" t="n"/>
      <c r="R1002" s="64" t="n"/>
      <c r="S1002" s="66" t="n"/>
      <c r="T1002" s="45" t="n"/>
      <c r="U1002" s="43">
        <f t="shared" si="0"/>
      </c>
      <c r="V1002" s="49">
        <f t="shared" si="1"/>
      </c>
      <c r="W1002" s="49">
        <f t="shared" si="2"/>
      </c>
      <c r="X1002" s="2">
        <f t="shared" si="3"/>
      </c>
      <c r="Y1002" s="2">
        <f t="shared" si="4"/>
      </c>
      <c r="Z1002" s="2">
        <f t="shared" si="5"/>
        <v>0</v>
      </c>
      <c r="AA1002" s="2">
        <f t="shared" si="6"/>
        <v>0</v>
      </c>
      <c r="AB1002" s="2">
        <f t="shared" si="7"/>
        <v>0</v>
      </c>
      <c r="AC1002" s="2">
        <f t="shared" si="8"/>
      </c>
    </row>
    <row r="1003">
      <c r="A1003" s="64" t="n"/>
      <c r="B1003" s="65" t="n"/>
      <c r="C1003" s="65" t="n"/>
      <c r="D1003" s="65" t="n"/>
      <c r="E1003" s="65" t="n"/>
      <c r="F1003" s="66" t="n"/>
      <c r="G1003" s="65" t="n"/>
      <c r="H1003" s="66" t="n"/>
      <c r="I1003" s="64" t="n"/>
      <c r="J1003" s="68" t="n"/>
      <c r="K1003" s="68" t="n"/>
      <c r="L1003" s="68" t="n"/>
      <c r="M1003" s="64" t="n"/>
      <c r="N1003" s="64" t="n"/>
      <c r="O1003" s="64" t="n"/>
      <c r="P1003" s="64" t="n"/>
      <c r="Q1003" s="64" t="n"/>
      <c r="R1003" s="64" t="n"/>
      <c r="S1003" s="66" t="n"/>
      <c r="T1003" s="45" t="n"/>
      <c r="U1003" s="43">
        <f t="shared" si="0"/>
      </c>
      <c r="V1003" s="49">
        <f t="shared" si="1"/>
      </c>
      <c r="W1003" s="49">
        <f t="shared" si="2"/>
      </c>
      <c r="X1003" s="2">
        <f t="shared" si="3"/>
      </c>
      <c r="Y1003" s="2">
        <f t="shared" si="4"/>
      </c>
      <c r="Z1003" s="2">
        <f t="shared" si="5"/>
        <v>0</v>
      </c>
      <c r="AA1003" s="2">
        <f t="shared" si="6"/>
        <v>0</v>
      </c>
      <c r="AB1003" s="2">
        <f t="shared" si="7"/>
        <v>0</v>
      </c>
      <c r="AC1003" s="2">
        <f t="shared" si="8"/>
      </c>
    </row>
    <row r="1004">
      <c r="A1004" s="64" t="n"/>
      <c r="B1004" s="65" t="n"/>
      <c r="C1004" s="65" t="n"/>
      <c r="D1004" s="65" t="n"/>
      <c r="E1004" s="65" t="n"/>
      <c r="F1004" s="66" t="n"/>
      <c r="G1004" s="65" t="n"/>
      <c r="H1004" s="66" t="n"/>
      <c r="I1004" s="64" t="n"/>
      <c r="J1004" s="68" t="n"/>
      <c r="K1004" s="68" t="n"/>
      <c r="L1004" s="68" t="n"/>
      <c r="M1004" s="64" t="n"/>
      <c r="N1004" s="64" t="n"/>
      <c r="O1004" s="64" t="n"/>
      <c r="P1004" s="64" t="n"/>
      <c r="Q1004" s="64" t="n"/>
      <c r="R1004" s="64" t="n"/>
      <c r="S1004" s="66" t="n"/>
      <c r="T1004" s="45" t="n"/>
      <c r="U1004" s="43">
        <f t="shared" si="0"/>
      </c>
      <c r="V1004" s="49">
        <f t="shared" si="1"/>
      </c>
      <c r="W1004" s="49">
        <f t="shared" si="2"/>
      </c>
      <c r="X1004" s="2">
        <f t="shared" si="3"/>
      </c>
      <c r="Y1004" s="2">
        <f t="shared" si="4"/>
      </c>
      <c r="Z1004" s="2">
        <f t="shared" si="5"/>
        <v>0</v>
      </c>
      <c r="AA1004" s="2">
        <f t="shared" si="6"/>
        <v>0</v>
      </c>
      <c r="AB1004" s="2">
        <f t="shared" si="7"/>
        <v>0</v>
      </c>
      <c r="AC1004" s="2">
        <f t="shared" si="8"/>
      </c>
    </row>
  </sheetData>
  <autoFilter ref="A4:W1004"/>
  <mergeCells count="2">
    <mergeCell ref="A2:W2"/>
    <mergeCell ref="A1:W1"/>
  </mergeCells>
  <conditionalFormatting sqref="W5:W1004">
    <cfRule type="expression" priority="1" dxfId="2">
      <formula>LEFT($W5,1)="✗"</formula>
    </cfRule>
    <cfRule type="expression" priority="2" dxfId="3">
      <formula>LEFT($W5,1)="⚠"</formula>
    </cfRule>
    <cfRule type="expression" priority="3" dxfId="4">
      <formula>$W5="√"</formula>
    </cfRule>
  </conditionalFormatting>
  <dataValidations count="1">
    <dataValidation sqref="T5:T1004" showDropDown="0" showInputMessage="0" showErrorMessage="1" allowBlank="1" errorTitle="不在清单里" error="请从下拉里选；清单里没有的，先到【基础资料】/【往来单位】里登记" type="list" errorStyle="stop">
      <formula1>=项目档案!$B$4:$B$63</formula1>
    </dataValidation>
  </dataValidations>
  <hyperlinks>
    <hyperlink ref="X1" location="'首页'!A1" display="← 回首页"/>
  </hyperlinks>
  <pageMargins left="0.3" right="0.3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2F75B5"/>
    <outlinePr summaryBelow="1" summaryRight="1"/>
    <pageSetUpPr/>
  </sheetPr>
  <dimension ref="A1:J204"/>
  <sheetViews>
    <sheetView showGridLines="0" tabSelected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.5" customWidth="1" min="2" max="2"/>
    <col width="14" customWidth="1" min="3" max="3"/>
    <col width="11" customWidth="1" min="4" max="4"/>
    <col width="14" customWidth="1" min="5" max="5"/>
    <col width="36" customWidth="1" min="6" max="6"/>
    <col width="26" customWidth="1" min="7" max="7"/>
    <col width="8" customWidth="1" min="8" max="8"/>
    <col width="30" customWidth="1" min="9" max="9"/>
    <col hidden="1" width="13" customWidth="1" min="10" max="10"/>
  </cols>
  <sheetData>
    <row r="1" ht="33" customHeight="1">
      <c r="A1" s="69" t="inlineStr">
        <is>
          <t>收 入 确 认（甲方 / 总包确认的产值、结算 —— 收入按这里算，不按收款）</t>
        </is>
      </c>
      <c r="J1" s="33" t="inlineStr">
        <is>
          <t>← 回首页</t>
        </is>
      </c>
    </row>
    <row r="2" ht="54" customHeight="1">
      <c r="A2" s="3" t="inlineStr">
        <is>
          <t>💡 甲方或总包确认了进度产值（报量、进度款申请批下来）、签证变更，就登记一行：日期、项目、类型、确认金额（含税）。利润表、项目利润都按这里的金额算收入；应收账款＝这里确认的 − 收到的工程款。钱几年收不到也不影响收入和利润。竣工结算了：先在【项目档案】填结算额，再在这里录一行「结算调整」＝结算额 − 以前确认过的合计（多退少补，可以是负数），千万别把结算总额整笔再录一遍。建账日期之前确认过的产值不在这里录，在【期初余额】① 填累计数。</t>
        </is>
      </c>
    </row>
    <row r="3"/>
    <row r="4" ht="34" customHeight="1">
      <c r="A4" s="70" t="inlineStr">
        <is>
          <t>序号</t>
        </is>
      </c>
      <c r="B4" s="70" t="inlineStr">
        <is>
          <t>确认日期</t>
        </is>
      </c>
      <c r="C4" s="70" t="inlineStr">
        <is>
          <t>项目</t>
        </is>
      </c>
      <c r="D4" s="70" t="inlineStr">
        <is>
          <t>类型</t>
        </is>
      </c>
      <c r="E4" s="70" t="inlineStr">
        <is>
          <t>确认金额
（含税）</t>
        </is>
      </c>
      <c r="F4" s="70" t="inlineStr">
        <is>
          <t>依据 / 说明</t>
        </is>
      </c>
      <c r="G4" s="70" t="inlineStr">
        <is>
          <t>甲方/总包（自动）</t>
        </is>
      </c>
      <c r="H4" s="70" t="inlineStr">
        <is>
          <t>年月</t>
        </is>
      </c>
      <c r="I4" s="70" t="inlineStr">
        <is>
          <t>校验</t>
        </is>
      </c>
      <c r="J4" s="2" t="inlineStr">
        <is>
          <t>销项税额</t>
        </is>
      </c>
    </row>
    <row r="5">
      <c r="A5" s="43">
        <f t="shared" ref="A5:A204" si="0">IF(AND(B5="",C5="",E5=""),"",ROW()-4)</f>
        <v>1</v>
      </c>
      <c r="B5" s="44" t="n">
        <v>46234</v>
      </c>
      <c r="C5" s="45" t="inlineStr">
        <is>
          <t>德安农商行总部</t>
        </is>
      </c>
      <c r="D5" s="45" t="inlineStr">
        <is>
          <t>进度确认</t>
        </is>
      </c>
      <c r="E5" s="47" t="n">
        <v>8992</v>
      </c>
      <c r="F5" s="50" t="inlineStr">
        <is>
          <t>演示：你原表2「项目汇总情况」合同 8,992、已开票 8,992（确认日期原表没有，按完工 7 月底估的）</t>
        </is>
      </c>
      <c r="G5" s="49" t="str">
        <f t="shared" ref="G5:G204" si="1">IF(C5="","",IFERROR(INDEX(项目档案!$D$4:$D$63,MATCH(C5,项目档案!$B$4:$B$63,0))&amp;"",""))</f>
        <v>德安农商银行</v>
      </c>
      <c r="H5" s="53">
        <f t="shared" ref="H5:H204" si="2">IF(ISNUMBER(B5),YEAR(B5)*100+MONTH(B5),"")</f>
        <v>202607</v>
      </c>
      <c r="I5" s="49" t="str">
        <f t="shared" ref="I5:I204" si="3">IF(AND(B5="",C5="",E5=""),"",IF(NOT(ISNUMBER(B5)),"✗ 日期要填成日期",IF(B5&lt;基础资料!$C$9,"✗ 早于建账日期（建账前的放【期初余额】①）",IF(C5="","✗ 选项目",IF(COUNTIF(项目档案!$B$4:$B$63,C5)=0,"✗ 项目不在【项目档案】里",IF(N(E5)=0,"✗ 没有金额",IF(D5="","⚠ 选一下类型",IF(AND(N(IFERROR(INDEX(项目档案!$T$4:$T$63,MATCH(C5,项目档案!$B$4:$B$63,0)),0))&gt;0,SUMIFS(收入确认!$E$5:$E$204,收入确认!$C$5:$C$204,C5)+SUMIFS(期初余额!$C$5:$C$64,期初余额!$B$5:$B$64,C5)&gt;N(IFERROR(INDEX(项目档案!$T$4:$T$63,MATCH(C5,项目档案!$B$4:$B$63,0)),0))*1.001),"⚠ 这个项目累计确认超过总价了（结算额整笔又录了一遍？）","√"))))))))</f>
        <v>√</v>
      </c>
      <c r="J5" s="2">
        <f t="shared" ref="J5:J204" si="4">IF(N(E5)=0,0,ROUND(E5/(1+IF(基础资料!$C$8="小规模纳税人",IF(AND(ISNUMBER(IFERROR(INDEX(项目档案!$J$4:$J$63,MATCH(C5,项目档案!$B$4:$B$63,0)),"")),N(IFERROR(INDEX(项目档案!$J$4:$J$63,MATCH(C5,项目档案!$B$4:$B$63,0)),""))&lt;0.05),IFERROR(INDEX(项目档案!$J$4:$J$63,MATCH(C5,项目档案!$B$4:$B$63,0)),""),基础资料!$AF$5),IF(ISNUMBER(IFERROR(INDEX(项目档案!$J$4:$J$63,MATCH(C5,项目档案!$B$4:$B$63,0)),"")),IFERROR(INDEX(项目档案!$J$4:$J$63,MATCH(C5,项目档案!$B$4:$B$63,0)),""),基础资料!$AF$5)))*IF(基础资料!$C$8="小规模纳税人",IF(AND(ISNUMBER(IFERROR(INDEX(项目档案!$J$4:$J$63,MATCH(C5,项目档案!$B$4:$B$63,0)),"")),N(IFERROR(INDEX(项目档案!$J$4:$J$63,MATCH(C5,项目档案!$B$4:$B$63,0)),""))&lt;0.05),IFERROR(INDEX(项目档案!$J$4:$J$63,MATCH(C5,项目档案!$B$4:$B$63,0)),""),基础资料!$AF$5),IF(ISNUMBER(IFERROR(INDEX(项目档案!$J$4:$J$63,MATCH(C5,项目档案!$B$4:$B$63,0)),"")),IFERROR(INDEX(项目档案!$J$4:$J$63,MATCH(C5,项目档案!$B$4:$B$63,0)),""),基础资料!$AF$5)),2))</f>
        <v>742.46</v>
      </c>
    </row>
    <row r="6">
      <c r="A6" s="43">
        <f t="shared" si="0"/>
      </c>
      <c r="B6" s="44" t="n"/>
      <c r="C6" s="45" t="n"/>
      <c r="D6" s="45" t="n"/>
      <c r="E6" s="47" t="n"/>
      <c r="F6" s="50" t="n"/>
      <c r="G6" s="49">
        <f t="shared" si="1"/>
      </c>
      <c r="H6" s="53">
        <f t="shared" si="2"/>
      </c>
      <c r="I6" s="49">
        <f t="shared" si="3"/>
      </c>
      <c r="J6" s="2">
        <f t="shared" si="4"/>
        <v>0</v>
      </c>
    </row>
    <row r="7">
      <c r="A7" s="43">
        <f t="shared" si="0"/>
      </c>
      <c r="B7" s="44" t="n"/>
      <c r="C7" s="45" t="n"/>
      <c r="D7" s="45" t="n"/>
      <c r="E7" s="47" t="n"/>
      <c r="F7" s="50" t="n"/>
      <c r="G7" s="49">
        <f t="shared" si="1"/>
      </c>
      <c r="H7" s="53">
        <f t="shared" si="2"/>
      </c>
      <c r="I7" s="49">
        <f t="shared" si="3"/>
      </c>
      <c r="J7" s="2">
        <f t="shared" si="4"/>
        <v>0</v>
      </c>
    </row>
    <row r="8">
      <c r="A8" s="43">
        <f t="shared" si="0"/>
      </c>
      <c r="B8" s="44" t="n"/>
      <c r="C8" s="45" t="n"/>
      <c r="D8" s="45" t="n"/>
      <c r="E8" s="47" t="n"/>
      <c r="F8" s="50" t="n"/>
      <c r="G8" s="49">
        <f t="shared" si="1"/>
      </c>
      <c r="H8" s="53">
        <f t="shared" si="2"/>
      </c>
      <c r="I8" s="49">
        <f t="shared" si="3"/>
      </c>
      <c r="J8" s="2">
        <f t="shared" si="4"/>
        <v>0</v>
      </c>
    </row>
    <row r="9">
      <c r="A9" s="43">
        <f t="shared" si="0"/>
      </c>
      <c r="B9" s="44" t="n"/>
      <c r="C9" s="45" t="n"/>
      <c r="D9" s="45" t="n"/>
      <c r="E9" s="47" t="n"/>
      <c r="F9" s="50" t="n"/>
      <c r="G9" s="49">
        <f t="shared" si="1"/>
      </c>
      <c r="H9" s="53">
        <f t="shared" si="2"/>
      </c>
      <c r="I9" s="49">
        <f t="shared" si="3"/>
      </c>
      <c r="J9" s="2">
        <f t="shared" si="4"/>
        <v>0</v>
      </c>
    </row>
    <row r="10">
      <c r="A10" s="43">
        <f t="shared" si="0"/>
      </c>
      <c r="B10" s="44" t="n"/>
      <c r="C10" s="45" t="n"/>
      <c r="D10" s="45" t="n"/>
      <c r="E10" s="47" t="n"/>
      <c r="F10" s="50" t="n"/>
      <c r="G10" s="49">
        <f t="shared" si="1"/>
      </c>
      <c r="H10" s="53">
        <f t="shared" si="2"/>
      </c>
      <c r="I10" s="49">
        <f t="shared" si="3"/>
      </c>
      <c r="J10" s="2">
        <f t="shared" si="4"/>
        <v>0</v>
      </c>
    </row>
    <row r="11">
      <c r="A11" s="43">
        <f t="shared" si="0"/>
      </c>
      <c r="B11" s="44" t="n"/>
      <c r="C11" s="45" t="n"/>
      <c r="D11" s="45" t="n"/>
      <c r="E11" s="47" t="n"/>
      <c r="F11" s="50" t="n"/>
      <c r="G11" s="49">
        <f t="shared" si="1"/>
      </c>
      <c r="H11" s="53">
        <f t="shared" si="2"/>
      </c>
      <c r="I11" s="49">
        <f t="shared" si="3"/>
      </c>
      <c r="J11" s="2">
        <f t="shared" si="4"/>
        <v>0</v>
      </c>
    </row>
    <row r="12">
      <c r="A12" s="43">
        <f t="shared" si="0"/>
      </c>
      <c r="B12" s="44" t="n"/>
      <c r="C12" s="45" t="n"/>
      <c r="D12" s="45" t="n"/>
      <c r="E12" s="47" t="n"/>
      <c r="F12" s="50" t="n"/>
      <c r="G12" s="49">
        <f t="shared" si="1"/>
      </c>
      <c r="H12" s="53">
        <f t="shared" si="2"/>
      </c>
      <c r="I12" s="49">
        <f t="shared" si="3"/>
      </c>
      <c r="J12" s="2">
        <f t="shared" si="4"/>
        <v>0</v>
      </c>
    </row>
    <row r="13">
      <c r="A13" s="43">
        <f t="shared" si="0"/>
      </c>
      <c r="B13" s="44" t="n"/>
      <c r="C13" s="45" t="n"/>
      <c r="D13" s="45" t="n"/>
      <c r="E13" s="47" t="n"/>
      <c r="F13" s="50" t="n"/>
      <c r="G13" s="49">
        <f t="shared" si="1"/>
      </c>
      <c r="H13" s="53">
        <f t="shared" si="2"/>
      </c>
      <c r="I13" s="49">
        <f t="shared" si="3"/>
      </c>
      <c r="J13" s="2">
        <f t="shared" si="4"/>
        <v>0</v>
      </c>
    </row>
    <row r="14">
      <c r="A14" s="43">
        <f t="shared" si="0"/>
      </c>
      <c r="B14" s="44" t="n"/>
      <c r="C14" s="45" t="n"/>
      <c r="D14" s="45" t="n"/>
      <c r="E14" s="47" t="n"/>
      <c r="F14" s="50" t="n"/>
      <c r="G14" s="49">
        <f t="shared" si="1"/>
      </c>
      <c r="H14" s="53">
        <f t="shared" si="2"/>
      </c>
      <c r="I14" s="49">
        <f t="shared" si="3"/>
      </c>
      <c r="J14" s="2">
        <f t="shared" si="4"/>
        <v>0</v>
      </c>
    </row>
    <row r="15">
      <c r="A15" s="43">
        <f t="shared" si="0"/>
      </c>
      <c r="B15" s="44" t="n"/>
      <c r="C15" s="45" t="n"/>
      <c r="D15" s="45" t="n"/>
      <c r="E15" s="47" t="n"/>
      <c r="F15" s="50" t="n"/>
      <c r="G15" s="49">
        <f t="shared" si="1"/>
      </c>
      <c r="H15" s="53">
        <f t="shared" si="2"/>
      </c>
      <c r="I15" s="49">
        <f t="shared" si="3"/>
      </c>
      <c r="J15" s="2">
        <f t="shared" si="4"/>
        <v>0</v>
      </c>
    </row>
    <row r="16">
      <c r="A16" s="43">
        <f t="shared" si="0"/>
      </c>
      <c r="B16" s="44" t="n"/>
      <c r="C16" s="45" t="n"/>
      <c r="D16" s="45" t="n"/>
      <c r="E16" s="47" t="n"/>
      <c r="F16" s="50" t="n"/>
      <c r="G16" s="49">
        <f t="shared" si="1"/>
      </c>
      <c r="H16" s="53">
        <f t="shared" si="2"/>
      </c>
      <c r="I16" s="49">
        <f t="shared" si="3"/>
      </c>
      <c r="J16" s="2">
        <f t="shared" si="4"/>
        <v>0</v>
      </c>
    </row>
    <row r="17">
      <c r="A17" s="43">
        <f t="shared" si="0"/>
      </c>
      <c r="B17" s="44" t="n"/>
      <c r="C17" s="45" t="n"/>
      <c r="D17" s="45" t="n"/>
      <c r="E17" s="47" t="n"/>
      <c r="F17" s="50" t="n"/>
      <c r="G17" s="49">
        <f t="shared" si="1"/>
      </c>
      <c r="H17" s="53">
        <f t="shared" si="2"/>
      </c>
      <c r="I17" s="49">
        <f t="shared" si="3"/>
      </c>
      <c r="J17" s="2">
        <f t="shared" si="4"/>
        <v>0</v>
      </c>
    </row>
    <row r="18">
      <c r="A18" s="43">
        <f t="shared" si="0"/>
      </c>
      <c r="B18" s="44" t="n"/>
      <c r="C18" s="45" t="n"/>
      <c r="D18" s="45" t="n"/>
      <c r="E18" s="47" t="n"/>
      <c r="F18" s="50" t="n"/>
      <c r="G18" s="49">
        <f t="shared" si="1"/>
      </c>
      <c r="H18" s="53">
        <f t="shared" si="2"/>
      </c>
      <c r="I18" s="49">
        <f t="shared" si="3"/>
      </c>
      <c r="J18" s="2">
        <f t="shared" si="4"/>
        <v>0</v>
      </c>
    </row>
    <row r="19">
      <c r="A19" s="43">
        <f t="shared" si="0"/>
      </c>
      <c r="B19" s="44" t="n"/>
      <c r="C19" s="45" t="n"/>
      <c r="D19" s="45" t="n"/>
      <c r="E19" s="47" t="n"/>
      <c r="F19" s="50" t="n"/>
      <c r="G19" s="49">
        <f t="shared" si="1"/>
      </c>
      <c r="H19" s="53">
        <f t="shared" si="2"/>
      </c>
      <c r="I19" s="49">
        <f t="shared" si="3"/>
      </c>
      <c r="J19" s="2">
        <f t="shared" si="4"/>
        <v>0</v>
      </c>
    </row>
    <row r="20">
      <c r="A20" s="43">
        <f t="shared" si="0"/>
      </c>
      <c r="B20" s="44" t="n"/>
      <c r="C20" s="45" t="n"/>
      <c r="D20" s="45" t="n"/>
      <c r="E20" s="47" t="n"/>
      <c r="F20" s="50" t="n"/>
      <c r="G20" s="49">
        <f t="shared" si="1"/>
      </c>
      <c r="H20" s="53">
        <f t="shared" si="2"/>
      </c>
      <c r="I20" s="49">
        <f t="shared" si="3"/>
      </c>
      <c r="J20" s="2">
        <f t="shared" si="4"/>
        <v>0</v>
      </c>
    </row>
    <row r="21">
      <c r="A21" s="43">
        <f t="shared" si="0"/>
      </c>
      <c r="B21" s="44" t="n"/>
      <c r="C21" s="45" t="n"/>
      <c r="D21" s="45" t="n"/>
      <c r="E21" s="47" t="n"/>
      <c r="F21" s="50" t="n"/>
      <c r="G21" s="49">
        <f t="shared" si="1"/>
      </c>
      <c r="H21" s="53">
        <f t="shared" si="2"/>
      </c>
      <c r="I21" s="49">
        <f t="shared" si="3"/>
      </c>
      <c r="J21" s="2">
        <f t="shared" si="4"/>
        <v>0</v>
      </c>
    </row>
    <row r="22">
      <c r="A22" s="43">
        <f t="shared" si="0"/>
      </c>
      <c r="B22" s="44" t="n"/>
      <c r="C22" s="45" t="n"/>
      <c r="D22" s="45" t="n"/>
      <c r="E22" s="47" t="n"/>
      <c r="F22" s="50" t="n"/>
      <c r="G22" s="49">
        <f t="shared" si="1"/>
      </c>
      <c r="H22" s="53">
        <f t="shared" si="2"/>
      </c>
      <c r="I22" s="49">
        <f t="shared" si="3"/>
      </c>
      <c r="J22" s="2">
        <f t="shared" si="4"/>
        <v>0</v>
      </c>
    </row>
    <row r="23">
      <c r="A23" s="43">
        <f t="shared" si="0"/>
      </c>
      <c r="B23" s="44" t="n"/>
      <c r="C23" s="45" t="n"/>
      <c r="D23" s="45" t="n"/>
      <c r="E23" s="47" t="n"/>
      <c r="F23" s="50" t="n"/>
      <c r="G23" s="49">
        <f t="shared" si="1"/>
      </c>
      <c r="H23" s="53">
        <f t="shared" si="2"/>
      </c>
      <c r="I23" s="49">
        <f t="shared" si="3"/>
      </c>
      <c r="J23" s="2">
        <f t="shared" si="4"/>
        <v>0</v>
      </c>
    </row>
    <row r="24">
      <c r="A24" s="43">
        <f t="shared" si="0"/>
      </c>
      <c r="B24" s="44" t="n"/>
      <c r="C24" s="45" t="n"/>
      <c r="D24" s="45" t="n"/>
      <c r="E24" s="47" t="n"/>
      <c r="F24" s="50" t="n"/>
      <c r="G24" s="49">
        <f t="shared" si="1"/>
      </c>
      <c r="H24" s="53">
        <f t="shared" si="2"/>
      </c>
      <c r="I24" s="49">
        <f t="shared" si="3"/>
      </c>
      <c r="J24" s="2">
        <f t="shared" si="4"/>
        <v>0</v>
      </c>
    </row>
    <row r="25">
      <c r="A25" s="43">
        <f t="shared" si="0"/>
      </c>
      <c r="B25" s="44" t="n"/>
      <c r="C25" s="45" t="n"/>
      <c r="D25" s="45" t="n"/>
      <c r="E25" s="47" t="n"/>
      <c r="F25" s="50" t="n"/>
      <c r="G25" s="49">
        <f t="shared" si="1"/>
      </c>
      <c r="H25" s="53">
        <f t="shared" si="2"/>
      </c>
      <c r="I25" s="49">
        <f t="shared" si="3"/>
      </c>
      <c r="J25" s="2">
        <f t="shared" si="4"/>
        <v>0</v>
      </c>
    </row>
    <row r="26">
      <c r="A26" s="43">
        <f t="shared" si="0"/>
      </c>
      <c r="B26" s="44" t="n"/>
      <c r="C26" s="45" t="n"/>
      <c r="D26" s="45" t="n"/>
      <c r="E26" s="47" t="n"/>
      <c r="F26" s="50" t="n"/>
      <c r="G26" s="49">
        <f t="shared" si="1"/>
      </c>
      <c r="H26" s="53">
        <f t="shared" si="2"/>
      </c>
      <c r="I26" s="49">
        <f t="shared" si="3"/>
      </c>
      <c r="J26" s="2">
        <f t="shared" si="4"/>
        <v>0</v>
      </c>
    </row>
    <row r="27">
      <c r="A27" s="43">
        <f t="shared" si="0"/>
      </c>
      <c r="B27" s="44" t="n"/>
      <c r="C27" s="45" t="n"/>
      <c r="D27" s="45" t="n"/>
      <c r="E27" s="47" t="n"/>
      <c r="F27" s="50" t="n"/>
      <c r="G27" s="49">
        <f t="shared" si="1"/>
      </c>
      <c r="H27" s="53">
        <f t="shared" si="2"/>
      </c>
      <c r="I27" s="49">
        <f t="shared" si="3"/>
      </c>
      <c r="J27" s="2">
        <f t="shared" si="4"/>
        <v>0</v>
      </c>
    </row>
    <row r="28">
      <c r="A28" s="43">
        <f t="shared" si="0"/>
      </c>
      <c r="B28" s="44" t="n"/>
      <c r="C28" s="45" t="n"/>
      <c r="D28" s="45" t="n"/>
      <c r="E28" s="47" t="n"/>
      <c r="F28" s="50" t="n"/>
      <c r="G28" s="49">
        <f t="shared" si="1"/>
      </c>
      <c r="H28" s="53">
        <f t="shared" si="2"/>
      </c>
      <c r="I28" s="49">
        <f t="shared" si="3"/>
      </c>
      <c r="J28" s="2">
        <f t="shared" si="4"/>
        <v>0</v>
      </c>
    </row>
    <row r="29">
      <c r="A29" s="43">
        <f t="shared" si="0"/>
      </c>
      <c r="B29" s="44" t="n"/>
      <c r="C29" s="45" t="n"/>
      <c r="D29" s="45" t="n"/>
      <c r="E29" s="47" t="n"/>
      <c r="F29" s="50" t="n"/>
      <c r="G29" s="49">
        <f t="shared" si="1"/>
      </c>
      <c r="H29" s="53">
        <f t="shared" si="2"/>
      </c>
      <c r="I29" s="49">
        <f t="shared" si="3"/>
      </c>
      <c r="J29" s="2">
        <f t="shared" si="4"/>
        <v>0</v>
      </c>
    </row>
    <row r="30">
      <c r="A30" s="43">
        <f t="shared" si="0"/>
      </c>
      <c r="B30" s="44" t="n"/>
      <c r="C30" s="45" t="n"/>
      <c r="D30" s="45" t="n"/>
      <c r="E30" s="47" t="n"/>
      <c r="F30" s="50" t="n"/>
      <c r="G30" s="49">
        <f t="shared" si="1"/>
      </c>
      <c r="H30" s="53">
        <f t="shared" si="2"/>
      </c>
      <c r="I30" s="49">
        <f t="shared" si="3"/>
      </c>
      <c r="J30" s="2">
        <f t="shared" si="4"/>
        <v>0</v>
      </c>
    </row>
    <row r="31">
      <c r="A31" s="43">
        <f t="shared" si="0"/>
      </c>
      <c r="B31" s="44" t="n"/>
      <c r="C31" s="45" t="n"/>
      <c r="D31" s="45" t="n"/>
      <c r="E31" s="47" t="n"/>
      <c r="F31" s="50" t="n"/>
      <c r="G31" s="49">
        <f t="shared" si="1"/>
      </c>
      <c r="H31" s="53">
        <f t="shared" si="2"/>
      </c>
      <c r="I31" s="49">
        <f t="shared" si="3"/>
      </c>
      <c r="J31" s="2">
        <f t="shared" si="4"/>
        <v>0</v>
      </c>
    </row>
    <row r="32">
      <c r="A32" s="43">
        <f t="shared" si="0"/>
      </c>
      <c r="B32" s="44" t="n"/>
      <c r="C32" s="45" t="n"/>
      <c r="D32" s="45" t="n"/>
      <c r="E32" s="47" t="n"/>
      <c r="F32" s="50" t="n"/>
      <c r="G32" s="49">
        <f t="shared" si="1"/>
      </c>
      <c r="H32" s="53">
        <f t="shared" si="2"/>
      </c>
      <c r="I32" s="49">
        <f t="shared" si="3"/>
      </c>
      <c r="J32" s="2">
        <f t="shared" si="4"/>
        <v>0</v>
      </c>
    </row>
    <row r="33">
      <c r="A33" s="43">
        <f t="shared" si="0"/>
      </c>
      <c r="B33" s="44" t="n"/>
      <c r="C33" s="45" t="n"/>
      <c r="D33" s="45" t="n"/>
      <c r="E33" s="47" t="n"/>
      <c r="F33" s="50" t="n"/>
      <c r="G33" s="49">
        <f t="shared" si="1"/>
      </c>
      <c r="H33" s="53">
        <f t="shared" si="2"/>
      </c>
      <c r="I33" s="49">
        <f t="shared" si="3"/>
      </c>
      <c r="J33" s="2">
        <f t="shared" si="4"/>
        <v>0</v>
      </c>
    </row>
    <row r="34">
      <c r="A34" s="43">
        <f t="shared" si="0"/>
      </c>
      <c r="B34" s="44" t="n"/>
      <c r="C34" s="45" t="n"/>
      <c r="D34" s="45" t="n"/>
      <c r="E34" s="47" t="n"/>
      <c r="F34" s="50" t="n"/>
      <c r="G34" s="49">
        <f t="shared" si="1"/>
      </c>
      <c r="H34" s="53">
        <f t="shared" si="2"/>
      </c>
      <c r="I34" s="49">
        <f t="shared" si="3"/>
      </c>
      <c r="J34" s="2">
        <f t="shared" si="4"/>
        <v>0</v>
      </c>
    </row>
    <row r="35">
      <c r="A35" s="43">
        <f t="shared" si="0"/>
      </c>
      <c r="B35" s="44" t="n"/>
      <c r="C35" s="45" t="n"/>
      <c r="D35" s="45" t="n"/>
      <c r="E35" s="47" t="n"/>
      <c r="F35" s="50" t="n"/>
      <c r="G35" s="49">
        <f t="shared" si="1"/>
      </c>
      <c r="H35" s="53">
        <f t="shared" si="2"/>
      </c>
      <c r="I35" s="49">
        <f t="shared" si="3"/>
      </c>
      <c r="J35" s="2">
        <f t="shared" si="4"/>
        <v>0</v>
      </c>
    </row>
    <row r="36">
      <c r="A36" s="43">
        <f t="shared" si="0"/>
      </c>
      <c r="B36" s="44" t="n"/>
      <c r="C36" s="45" t="n"/>
      <c r="D36" s="45" t="n"/>
      <c r="E36" s="47" t="n"/>
      <c r="F36" s="50" t="n"/>
      <c r="G36" s="49">
        <f t="shared" si="1"/>
      </c>
      <c r="H36" s="53">
        <f t="shared" si="2"/>
      </c>
      <c r="I36" s="49">
        <f t="shared" si="3"/>
      </c>
      <c r="J36" s="2">
        <f t="shared" si="4"/>
        <v>0</v>
      </c>
    </row>
    <row r="37">
      <c r="A37" s="43">
        <f t="shared" si="0"/>
      </c>
      <c r="B37" s="44" t="n"/>
      <c r="C37" s="45" t="n"/>
      <c r="D37" s="45" t="n"/>
      <c r="E37" s="47" t="n"/>
      <c r="F37" s="50" t="n"/>
      <c r="G37" s="49">
        <f t="shared" si="1"/>
      </c>
      <c r="H37" s="53">
        <f t="shared" si="2"/>
      </c>
      <c r="I37" s="49">
        <f t="shared" si="3"/>
      </c>
      <c r="J37" s="2">
        <f t="shared" si="4"/>
        <v>0</v>
      </c>
    </row>
    <row r="38">
      <c r="A38" s="43">
        <f t="shared" si="0"/>
      </c>
      <c r="B38" s="44" t="n"/>
      <c r="C38" s="45" t="n"/>
      <c r="D38" s="45" t="n"/>
      <c r="E38" s="47" t="n"/>
      <c r="F38" s="50" t="n"/>
      <c r="G38" s="49">
        <f t="shared" si="1"/>
      </c>
      <c r="H38" s="53">
        <f t="shared" si="2"/>
      </c>
      <c r="I38" s="49">
        <f t="shared" si="3"/>
      </c>
      <c r="J38" s="2">
        <f t="shared" si="4"/>
        <v>0</v>
      </c>
    </row>
    <row r="39">
      <c r="A39" s="43">
        <f t="shared" si="0"/>
      </c>
      <c r="B39" s="44" t="n"/>
      <c r="C39" s="45" t="n"/>
      <c r="D39" s="45" t="n"/>
      <c r="E39" s="47" t="n"/>
      <c r="F39" s="50" t="n"/>
      <c r="G39" s="49">
        <f t="shared" si="1"/>
      </c>
      <c r="H39" s="53">
        <f t="shared" si="2"/>
      </c>
      <c r="I39" s="49">
        <f t="shared" si="3"/>
      </c>
      <c r="J39" s="2">
        <f t="shared" si="4"/>
        <v>0</v>
      </c>
    </row>
    <row r="40">
      <c r="A40" s="43">
        <f t="shared" si="0"/>
      </c>
      <c r="B40" s="44" t="n"/>
      <c r="C40" s="45" t="n"/>
      <c r="D40" s="45" t="n"/>
      <c r="E40" s="47" t="n"/>
      <c r="F40" s="50" t="n"/>
      <c r="G40" s="49">
        <f t="shared" si="1"/>
      </c>
      <c r="H40" s="53">
        <f t="shared" si="2"/>
      </c>
      <c r="I40" s="49">
        <f t="shared" si="3"/>
      </c>
      <c r="J40" s="2">
        <f t="shared" si="4"/>
        <v>0</v>
      </c>
    </row>
    <row r="41">
      <c r="A41" s="43">
        <f t="shared" si="0"/>
      </c>
      <c r="B41" s="44" t="n"/>
      <c r="C41" s="45" t="n"/>
      <c r="D41" s="45" t="n"/>
      <c r="E41" s="47" t="n"/>
      <c r="F41" s="50" t="n"/>
      <c r="G41" s="49">
        <f t="shared" si="1"/>
      </c>
      <c r="H41" s="53">
        <f t="shared" si="2"/>
      </c>
      <c r="I41" s="49">
        <f t="shared" si="3"/>
      </c>
      <c r="J41" s="2">
        <f t="shared" si="4"/>
        <v>0</v>
      </c>
    </row>
    <row r="42">
      <c r="A42" s="43">
        <f t="shared" si="0"/>
      </c>
      <c r="B42" s="44" t="n"/>
      <c r="C42" s="45" t="n"/>
      <c r="D42" s="45" t="n"/>
      <c r="E42" s="47" t="n"/>
      <c r="F42" s="50" t="n"/>
      <c r="G42" s="49">
        <f t="shared" si="1"/>
      </c>
      <c r="H42" s="53">
        <f t="shared" si="2"/>
      </c>
      <c r="I42" s="49">
        <f t="shared" si="3"/>
      </c>
      <c r="J42" s="2">
        <f t="shared" si="4"/>
        <v>0</v>
      </c>
    </row>
    <row r="43">
      <c r="A43" s="43">
        <f t="shared" si="0"/>
      </c>
      <c r="B43" s="44" t="n"/>
      <c r="C43" s="45" t="n"/>
      <c r="D43" s="45" t="n"/>
      <c r="E43" s="47" t="n"/>
      <c r="F43" s="50" t="n"/>
      <c r="G43" s="49">
        <f t="shared" si="1"/>
      </c>
      <c r="H43" s="53">
        <f t="shared" si="2"/>
      </c>
      <c r="I43" s="49">
        <f t="shared" si="3"/>
      </c>
      <c r="J43" s="2">
        <f t="shared" si="4"/>
        <v>0</v>
      </c>
    </row>
    <row r="44">
      <c r="A44" s="43">
        <f t="shared" si="0"/>
      </c>
      <c r="B44" s="44" t="n"/>
      <c r="C44" s="45" t="n"/>
      <c r="D44" s="45" t="n"/>
      <c r="E44" s="47" t="n"/>
      <c r="F44" s="50" t="n"/>
      <c r="G44" s="49">
        <f t="shared" si="1"/>
      </c>
      <c r="H44" s="53">
        <f t="shared" si="2"/>
      </c>
      <c r="I44" s="49">
        <f t="shared" si="3"/>
      </c>
      <c r="J44" s="2">
        <f t="shared" si="4"/>
        <v>0</v>
      </c>
    </row>
    <row r="45">
      <c r="A45" s="43">
        <f t="shared" si="0"/>
      </c>
      <c r="B45" s="44" t="n"/>
      <c r="C45" s="45" t="n"/>
      <c r="D45" s="45" t="n"/>
      <c r="E45" s="47" t="n"/>
      <c r="F45" s="50" t="n"/>
      <c r="G45" s="49">
        <f t="shared" si="1"/>
      </c>
      <c r="H45" s="53">
        <f t="shared" si="2"/>
      </c>
      <c r="I45" s="49">
        <f t="shared" si="3"/>
      </c>
      <c r="J45" s="2">
        <f t="shared" si="4"/>
        <v>0</v>
      </c>
    </row>
    <row r="46">
      <c r="A46" s="43">
        <f t="shared" si="0"/>
      </c>
      <c r="B46" s="44" t="n"/>
      <c r="C46" s="45" t="n"/>
      <c r="D46" s="45" t="n"/>
      <c r="E46" s="47" t="n"/>
      <c r="F46" s="50" t="n"/>
      <c r="G46" s="49">
        <f t="shared" si="1"/>
      </c>
      <c r="H46" s="53">
        <f t="shared" si="2"/>
      </c>
      <c r="I46" s="49">
        <f t="shared" si="3"/>
      </c>
      <c r="J46" s="2">
        <f t="shared" si="4"/>
        <v>0</v>
      </c>
    </row>
    <row r="47">
      <c r="A47" s="43">
        <f t="shared" si="0"/>
      </c>
      <c r="B47" s="44" t="n"/>
      <c r="C47" s="45" t="n"/>
      <c r="D47" s="45" t="n"/>
      <c r="E47" s="47" t="n"/>
      <c r="F47" s="50" t="n"/>
      <c r="G47" s="49">
        <f t="shared" si="1"/>
      </c>
      <c r="H47" s="53">
        <f t="shared" si="2"/>
      </c>
      <c r="I47" s="49">
        <f t="shared" si="3"/>
      </c>
      <c r="J47" s="2">
        <f t="shared" si="4"/>
        <v>0</v>
      </c>
    </row>
    <row r="48">
      <c r="A48" s="43">
        <f t="shared" si="0"/>
      </c>
      <c r="B48" s="44" t="n"/>
      <c r="C48" s="45" t="n"/>
      <c r="D48" s="45" t="n"/>
      <c r="E48" s="47" t="n"/>
      <c r="F48" s="50" t="n"/>
      <c r="G48" s="49">
        <f t="shared" si="1"/>
      </c>
      <c r="H48" s="53">
        <f t="shared" si="2"/>
      </c>
      <c r="I48" s="49">
        <f t="shared" si="3"/>
      </c>
      <c r="J48" s="2">
        <f t="shared" si="4"/>
        <v>0</v>
      </c>
    </row>
    <row r="49">
      <c r="A49" s="43">
        <f t="shared" si="0"/>
      </c>
      <c r="B49" s="44" t="n"/>
      <c r="C49" s="45" t="n"/>
      <c r="D49" s="45" t="n"/>
      <c r="E49" s="47" t="n"/>
      <c r="F49" s="50" t="n"/>
      <c r="G49" s="49">
        <f t="shared" si="1"/>
      </c>
      <c r="H49" s="53">
        <f t="shared" si="2"/>
      </c>
      <c r="I49" s="49">
        <f t="shared" si="3"/>
      </c>
      <c r="J49" s="2">
        <f t="shared" si="4"/>
        <v>0</v>
      </c>
    </row>
    <row r="50">
      <c r="A50" s="43">
        <f t="shared" si="0"/>
      </c>
      <c r="B50" s="44" t="n"/>
      <c r="C50" s="45" t="n"/>
      <c r="D50" s="45" t="n"/>
      <c r="E50" s="47" t="n"/>
      <c r="F50" s="50" t="n"/>
      <c r="G50" s="49">
        <f t="shared" si="1"/>
      </c>
      <c r="H50" s="53">
        <f t="shared" si="2"/>
      </c>
      <c r="I50" s="49">
        <f t="shared" si="3"/>
      </c>
      <c r="J50" s="2">
        <f t="shared" si="4"/>
        <v>0</v>
      </c>
    </row>
    <row r="51">
      <c r="A51" s="43">
        <f t="shared" si="0"/>
      </c>
      <c r="B51" s="44" t="n"/>
      <c r="C51" s="45" t="n"/>
      <c r="D51" s="45" t="n"/>
      <c r="E51" s="47" t="n"/>
      <c r="F51" s="50" t="n"/>
      <c r="G51" s="49">
        <f t="shared" si="1"/>
      </c>
      <c r="H51" s="53">
        <f t="shared" si="2"/>
      </c>
      <c r="I51" s="49">
        <f t="shared" si="3"/>
      </c>
      <c r="J51" s="2">
        <f t="shared" si="4"/>
        <v>0</v>
      </c>
    </row>
    <row r="52">
      <c r="A52" s="43">
        <f t="shared" si="0"/>
      </c>
      <c r="B52" s="44" t="n"/>
      <c r="C52" s="45" t="n"/>
      <c r="D52" s="45" t="n"/>
      <c r="E52" s="47" t="n"/>
      <c r="F52" s="50" t="n"/>
      <c r="G52" s="49">
        <f t="shared" si="1"/>
      </c>
      <c r="H52" s="53">
        <f t="shared" si="2"/>
      </c>
      <c r="I52" s="49">
        <f t="shared" si="3"/>
      </c>
      <c r="J52" s="2">
        <f t="shared" si="4"/>
        <v>0</v>
      </c>
    </row>
    <row r="53">
      <c r="A53" s="43">
        <f t="shared" si="0"/>
      </c>
      <c r="B53" s="44" t="n"/>
      <c r="C53" s="45" t="n"/>
      <c r="D53" s="45" t="n"/>
      <c r="E53" s="47" t="n"/>
      <c r="F53" s="50" t="n"/>
      <c r="G53" s="49">
        <f t="shared" si="1"/>
      </c>
      <c r="H53" s="53">
        <f t="shared" si="2"/>
      </c>
      <c r="I53" s="49">
        <f t="shared" si="3"/>
      </c>
      <c r="J53" s="2">
        <f t="shared" si="4"/>
        <v>0</v>
      </c>
    </row>
    <row r="54">
      <c r="A54" s="43">
        <f t="shared" si="0"/>
      </c>
      <c r="B54" s="44" t="n"/>
      <c r="C54" s="45" t="n"/>
      <c r="D54" s="45" t="n"/>
      <c r="E54" s="47" t="n"/>
      <c r="F54" s="50" t="n"/>
      <c r="G54" s="49">
        <f t="shared" si="1"/>
      </c>
      <c r="H54" s="53">
        <f t="shared" si="2"/>
      </c>
      <c r="I54" s="49">
        <f t="shared" si="3"/>
      </c>
      <c r="J54" s="2">
        <f t="shared" si="4"/>
        <v>0</v>
      </c>
    </row>
    <row r="55">
      <c r="A55" s="43">
        <f t="shared" si="0"/>
      </c>
      <c r="B55" s="44" t="n"/>
      <c r="C55" s="45" t="n"/>
      <c r="D55" s="45" t="n"/>
      <c r="E55" s="47" t="n"/>
      <c r="F55" s="50" t="n"/>
      <c r="G55" s="49">
        <f t="shared" si="1"/>
      </c>
      <c r="H55" s="53">
        <f t="shared" si="2"/>
      </c>
      <c r="I55" s="49">
        <f t="shared" si="3"/>
      </c>
      <c r="J55" s="2">
        <f t="shared" si="4"/>
        <v>0</v>
      </c>
    </row>
    <row r="56">
      <c r="A56" s="43">
        <f t="shared" si="0"/>
      </c>
      <c r="B56" s="44" t="n"/>
      <c r="C56" s="45" t="n"/>
      <c r="D56" s="45" t="n"/>
      <c r="E56" s="47" t="n"/>
      <c r="F56" s="50" t="n"/>
      <c r="G56" s="49">
        <f t="shared" si="1"/>
      </c>
      <c r="H56" s="53">
        <f t="shared" si="2"/>
      </c>
      <c r="I56" s="49">
        <f t="shared" si="3"/>
      </c>
      <c r="J56" s="2">
        <f t="shared" si="4"/>
        <v>0</v>
      </c>
    </row>
    <row r="57">
      <c r="A57" s="43">
        <f t="shared" si="0"/>
      </c>
      <c r="B57" s="44" t="n"/>
      <c r="C57" s="45" t="n"/>
      <c r="D57" s="45" t="n"/>
      <c r="E57" s="47" t="n"/>
      <c r="F57" s="50" t="n"/>
      <c r="G57" s="49">
        <f t="shared" si="1"/>
      </c>
      <c r="H57" s="53">
        <f t="shared" si="2"/>
      </c>
      <c r="I57" s="49">
        <f t="shared" si="3"/>
      </c>
      <c r="J57" s="2">
        <f t="shared" si="4"/>
        <v>0</v>
      </c>
    </row>
    <row r="58">
      <c r="A58" s="43">
        <f t="shared" si="0"/>
      </c>
      <c r="B58" s="44" t="n"/>
      <c r="C58" s="45" t="n"/>
      <c r="D58" s="45" t="n"/>
      <c r="E58" s="47" t="n"/>
      <c r="F58" s="50" t="n"/>
      <c r="G58" s="49">
        <f t="shared" si="1"/>
      </c>
      <c r="H58" s="53">
        <f t="shared" si="2"/>
      </c>
      <c r="I58" s="49">
        <f t="shared" si="3"/>
      </c>
      <c r="J58" s="2">
        <f t="shared" si="4"/>
        <v>0</v>
      </c>
    </row>
    <row r="59">
      <c r="A59" s="43">
        <f t="shared" si="0"/>
      </c>
      <c r="B59" s="44" t="n"/>
      <c r="C59" s="45" t="n"/>
      <c r="D59" s="45" t="n"/>
      <c r="E59" s="47" t="n"/>
      <c r="F59" s="50" t="n"/>
      <c r="G59" s="49">
        <f t="shared" si="1"/>
      </c>
      <c r="H59" s="53">
        <f t="shared" si="2"/>
      </c>
      <c r="I59" s="49">
        <f t="shared" si="3"/>
      </c>
      <c r="J59" s="2">
        <f t="shared" si="4"/>
        <v>0</v>
      </c>
    </row>
    <row r="60">
      <c r="A60" s="43">
        <f t="shared" si="0"/>
      </c>
      <c r="B60" s="44" t="n"/>
      <c r="C60" s="45" t="n"/>
      <c r="D60" s="45" t="n"/>
      <c r="E60" s="47" t="n"/>
      <c r="F60" s="50" t="n"/>
      <c r="G60" s="49">
        <f t="shared" si="1"/>
      </c>
      <c r="H60" s="53">
        <f t="shared" si="2"/>
      </c>
      <c r="I60" s="49">
        <f t="shared" si="3"/>
      </c>
      <c r="J60" s="2">
        <f t="shared" si="4"/>
        <v>0</v>
      </c>
    </row>
    <row r="61">
      <c r="A61" s="43">
        <f t="shared" si="0"/>
      </c>
      <c r="B61" s="44" t="n"/>
      <c r="C61" s="45" t="n"/>
      <c r="D61" s="45" t="n"/>
      <c r="E61" s="47" t="n"/>
      <c r="F61" s="50" t="n"/>
      <c r="G61" s="49">
        <f t="shared" si="1"/>
      </c>
      <c r="H61" s="53">
        <f t="shared" si="2"/>
      </c>
      <c r="I61" s="49">
        <f t="shared" si="3"/>
      </c>
      <c r="J61" s="2">
        <f t="shared" si="4"/>
        <v>0</v>
      </c>
    </row>
    <row r="62">
      <c r="A62" s="43">
        <f t="shared" si="0"/>
      </c>
      <c r="B62" s="44" t="n"/>
      <c r="C62" s="45" t="n"/>
      <c r="D62" s="45" t="n"/>
      <c r="E62" s="47" t="n"/>
      <c r="F62" s="50" t="n"/>
      <c r="G62" s="49">
        <f t="shared" si="1"/>
      </c>
      <c r="H62" s="53">
        <f t="shared" si="2"/>
      </c>
      <c r="I62" s="49">
        <f t="shared" si="3"/>
      </c>
      <c r="J62" s="2">
        <f t="shared" si="4"/>
        <v>0</v>
      </c>
    </row>
    <row r="63">
      <c r="A63" s="43">
        <f t="shared" si="0"/>
      </c>
      <c r="B63" s="44" t="n"/>
      <c r="C63" s="45" t="n"/>
      <c r="D63" s="45" t="n"/>
      <c r="E63" s="47" t="n"/>
      <c r="F63" s="50" t="n"/>
      <c r="G63" s="49">
        <f t="shared" si="1"/>
      </c>
      <c r="H63" s="53">
        <f t="shared" si="2"/>
      </c>
      <c r="I63" s="49">
        <f t="shared" si="3"/>
      </c>
      <c r="J63" s="2">
        <f t="shared" si="4"/>
        <v>0</v>
      </c>
    </row>
    <row r="64">
      <c r="A64" s="43">
        <f t="shared" si="0"/>
      </c>
      <c r="B64" s="44" t="n"/>
      <c r="C64" s="45" t="n"/>
      <c r="D64" s="45" t="n"/>
      <c r="E64" s="47" t="n"/>
      <c r="F64" s="50" t="n"/>
      <c r="G64" s="49">
        <f t="shared" si="1"/>
      </c>
      <c r="H64" s="53">
        <f t="shared" si="2"/>
      </c>
      <c r="I64" s="49">
        <f t="shared" si="3"/>
      </c>
      <c r="J64" s="2">
        <f t="shared" si="4"/>
        <v>0</v>
      </c>
    </row>
    <row r="65">
      <c r="A65" s="43">
        <f t="shared" si="0"/>
      </c>
      <c r="B65" s="44" t="n"/>
      <c r="C65" s="45" t="n"/>
      <c r="D65" s="45" t="n"/>
      <c r="E65" s="47" t="n"/>
      <c r="F65" s="50" t="n"/>
      <c r="G65" s="49">
        <f t="shared" si="1"/>
      </c>
      <c r="H65" s="53">
        <f t="shared" si="2"/>
      </c>
      <c r="I65" s="49">
        <f t="shared" si="3"/>
      </c>
      <c r="J65" s="2">
        <f t="shared" si="4"/>
        <v>0</v>
      </c>
    </row>
    <row r="66">
      <c r="A66" s="43">
        <f t="shared" si="0"/>
      </c>
      <c r="B66" s="44" t="n"/>
      <c r="C66" s="45" t="n"/>
      <c r="D66" s="45" t="n"/>
      <c r="E66" s="47" t="n"/>
      <c r="F66" s="50" t="n"/>
      <c r="G66" s="49">
        <f t="shared" si="1"/>
      </c>
      <c r="H66" s="53">
        <f t="shared" si="2"/>
      </c>
      <c r="I66" s="49">
        <f t="shared" si="3"/>
      </c>
      <c r="J66" s="2">
        <f t="shared" si="4"/>
        <v>0</v>
      </c>
    </row>
    <row r="67">
      <c r="A67" s="43">
        <f t="shared" si="0"/>
      </c>
      <c r="B67" s="44" t="n"/>
      <c r="C67" s="45" t="n"/>
      <c r="D67" s="45" t="n"/>
      <c r="E67" s="47" t="n"/>
      <c r="F67" s="50" t="n"/>
      <c r="G67" s="49">
        <f t="shared" si="1"/>
      </c>
      <c r="H67" s="53">
        <f t="shared" si="2"/>
      </c>
      <c r="I67" s="49">
        <f t="shared" si="3"/>
      </c>
      <c r="J67" s="2">
        <f t="shared" si="4"/>
        <v>0</v>
      </c>
    </row>
    <row r="68">
      <c r="A68" s="43">
        <f t="shared" si="0"/>
      </c>
      <c r="B68" s="44" t="n"/>
      <c r="C68" s="45" t="n"/>
      <c r="D68" s="45" t="n"/>
      <c r="E68" s="47" t="n"/>
      <c r="F68" s="50" t="n"/>
      <c r="G68" s="49">
        <f t="shared" si="1"/>
      </c>
      <c r="H68" s="53">
        <f t="shared" si="2"/>
      </c>
      <c r="I68" s="49">
        <f t="shared" si="3"/>
      </c>
      <c r="J68" s="2">
        <f t="shared" si="4"/>
        <v>0</v>
      </c>
    </row>
    <row r="69">
      <c r="A69" s="43">
        <f t="shared" si="0"/>
      </c>
      <c r="B69" s="44" t="n"/>
      <c r="C69" s="45" t="n"/>
      <c r="D69" s="45" t="n"/>
      <c r="E69" s="47" t="n"/>
      <c r="F69" s="50" t="n"/>
      <c r="G69" s="49">
        <f t="shared" si="1"/>
      </c>
      <c r="H69" s="53">
        <f t="shared" si="2"/>
      </c>
      <c r="I69" s="49">
        <f t="shared" si="3"/>
      </c>
      <c r="J69" s="2">
        <f t="shared" si="4"/>
        <v>0</v>
      </c>
    </row>
    <row r="70">
      <c r="A70" s="43">
        <f t="shared" si="0"/>
      </c>
      <c r="B70" s="44" t="n"/>
      <c r="C70" s="45" t="n"/>
      <c r="D70" s="45" t="n"/>
      <c r="E70" s="47" t="n"/>
      <c r="F70" s="50" t="n"/>
      <c r="G70" s="49">
        <f t="shared" si="1"/>
      </c>
      <c r="H70" s="53">
        <f t="shared" si="2"/>
      </c>
      <c r="I70" s="49">
        <f t="shared" si="3"/>
      </c>
      <c r="J70" s="2">
        <f t="shared" si="4"/>
        <v>0</v>
      </c>
    </row>
    <row r="71">
      <c r="A71" s="43">
        <f t="shared" si="0"/>
      </c>
      <c r="B71" s="44" t="n"/>
      <c r="C71" s="45" t="n"/>
      <c r="D71" s="45" t="n"/>
      <c r="E71" s="47" t="n"/>
      <c r="F71" s="50" t="n"/>
      <c r="G71" s="49">
        <f t="shared" si="1"/>
      </c>
      <c r="H71" s="53">
        <f t="shared" si="2"/>
      </c>
      <c r="I71" s="49">
        <f t="shared" si="3"/>
      </c>
      <c r="J71" s="2">
        <f t="shared" si="4"/>
        <v>0</v>
      </c>
    </row>
    <row r="72">
      <c r="A72" s="43">
        <f t="shared" si="0"/>
      </c>
      <c r="B72" s="44" t="n"/>
      <c r="C72" s="45" t="n"/>
      <c r="D72" s="45" t="n"/>
      <c r="E72" s="47" t="n"/>
      <c r="F72" s="50" t="n"/>
      <c r="G72" s="49">
        <f t="shared" si="1"/>
      </c>
      <c r="H72" s="53">
        <f t="shared" si="2"/>
      </c>
      <c r="I72" s="49">
        <f t="shared" si="3"/>
      </c>
      <c r="J72" s="2">
        <f t="shared" si="4"/>
        <v>0</v>
      </c>
    </row>
    <row r="73">
      <c r="A73" s="43">
        <f t="shared" si="0"/>
      </c>
      <c r="B73" s="44" t="n"/>
      <c r="C73" s="45" t="n"/>
      <c r="D73" s="45" t="n"/>
      <c r="E73" s="47" t="n"/>
      <c r="F73" s="50" t="n"/>
      <c r="G73" s="49">
        <f t="shared" si="1"/>
      </c>
      <c r="H73" s="53">
        <f t="shared" si="2"/>
      </c>
      <c r="I73" s="49">
        <f t="shared" si="3"/>
      </c>
      <c r="J73" s="2">
        <f t="shared" si="4"/>
        <v>0</v>
      </c>
    </row>
    <row r="74">
      <c r="A74" s="43">
        <f t="shared" si="0"/>
      </c>
      <c r="B74" s="44" t="n"/>
      <c r="C74" s="45" t="n"/>
      <c r="D74" s="45" t="n"/>
      <c r="E74" s="47" t="n"/>
      <c r="F74" s="50" t="n"/>
      <c r="G74" s="49">
        <f t="shared" si="1"/>
      </c>
      <c r="H74" s="53">
        <f t="shared" si="2"/>
      </c>
      <c r="I74" s="49">
        <f t="shared" si="3"/>
      </c>
      <c r="J74" s="2">
        <f t="shared" si="4"/>
        <v>0</v>
      </c>
    </row>
    <row r="75">
      <c r="A75" s="43">
        <f t="shared" si="0"/>
      </c>
      <c r="B75" s="44" t="n"/>
      <c r="C75" s="45" t="n"/>
      <c r="D75" s="45" t="n"/>
      <c r="E75" s="47" t="n"/>
      <c r="F75" s="50" t="n"/>
      <c r="G75" s="49">
        <f t="shared" si="1"/>
      </c>
      <c r="H75" s="53">
        <f t="shared" si="2"/>
      </c>
      <c r="I75" s="49">
        <f t="shared" si="3"/>
      </c>
      <c r="J75" s="2">
        <f t="shared" si="4"/>
        <v>0</v>
      </c>
    </row>
    <row r="76">
      <c r="A76" s="43">
        <f t="shared" si="0"/>
      </c>
      <c r="B76" s="44" t="n"/>
      <c r="C76" s="45" t="n"/>
      <c r="D76" s="45" t="n"/>
      <c r="E76" s="47" t="n"/>
      <c r="F76" s="50" t="n"/>
      <c r="G76" s="49">
        <f t="shared" si="1"/>
      </c>
      <c r="H76" s="53">
        <f t="shared" si="2"/>
      </c>
      <c r="I76" s="49">
        <f t="shared" si="3"/>
      </c>
      <c r="J76" s="2">
        <f t="shared" si="4"/>
        <v>0</v>
      </c>
    </row>
    <row r="77">
      <c r="A77" s="43">
        <f t="shared" si="0"/>
      </c>
      <c r="B77" s="44" t="n"/>
      <c r="C77" s="45" t="n"/>
      <c r="D77" s="45" t="n"/>
      <c r="E77" s="47" t="n"/>
      <c r="F77" s="50" t="n"/>
      <c r="G77" s="49">
        <f t="shared" si="1"/>
      </c>
      <c r="H77" s="53">
        <f t="shared" si="2"/>
      </c>
      <c r="I77" s="49">
        <f t="shared" si="3"/>
      </c>
      <c r="J77" s="2">
        <f t="shared" si="4"/>
        <v>0</v>
      </c>
    </row>
    <row r="78">
      <c r="A78" s="43">
        <f t="shared" si="0"/>
      </c>
      <c r="B78" s="44" t="n"/>
      <c r="C78" s="45" t="n"/>
      <c r="D78" s="45" t="n"/>
      <c r="E78" s="47" t="n"/>
      <c r="F78" s="50" t="n"/>
      <c r="G78" s="49">
        <f t="shared" si="1"/>
      </c>
      <c r="H78" s="53">
        <f t="shared" si="2"/>
      </c>
      <c r="I78" s="49">
        <f t="shared" si="3"/>
      </c>
      <c r="J78" s="2">
        <f t="shared" si="4"/>
        <v>0</v>
      </c>
    </row>
    <row r="79">
      <c r="A79" s="43">
        <f t="shared" si="0"/>
      </c>
      <c r="B79" s="44" t="n"/>
      <c r="C79" s="45" t="n"/>
      <c r="D79" s="45" t="n"/>
      <c r="E79" s="47" t="n"/>
      <c r="F79" s="50" t="n"/>
      <c r="G79" s="49">
        <f t="shared" si="1"/>
      </c>
      <c r="H79" s="53">
        <f t="shared" si="2"/>
      </c>
      <c r="I79" s="49">
        <f t="shared" si="3"/>
      </c>
      <c r="J79" s="2">
        <f t="shared" si="4"/>
        <v>0</v>
      </c>
    </row>
    <row r="80">
      <c r="A80" s="43">
        <f t="shared" si="0"/>
      </c>
      <c r="B80" s="44" t="n"/>
      <c r="C80" s="45" t="n"/>
      <c r="D80" s="45" t="n"/>
      <c r="E80" s="47" t="n"/>
      <c r="F80" s="50" t="n"/>
      <c r="G80" s="49">
        <f t="shared" si="1"/>
      </c>
      <c r="H80" s="53">
        <f t="shared" si="2"/>
      </c>
      <c r="I80" s="49">
        <f t="shared" si="3"/>
      </c>
      <c r="J80" s="2">
        <f t="shared" si="4"/>
        <v>0</v>
      </c>
    </row>
    <row r="81">
      <c r="A81" s="43">
        <f t="shared" si="0"/>
      </c>
      <c r="B81" s="44" t="n"/>
      <c r="C81" s="45" t="n"/>
      <c r="D81" s="45" t="n"/>
      <c r="E81" s="47" t="n"/>
      <c r="F81" s="50" t="n"/>
      <c r="G81" s="49">
        <f t="shared" si="1"/>
      </c>
      <c r="H81" s="53">
        <f t="shared" si="2"/>
      </c>
      <c r="I81" s="49">
        <f t="shared" si="3"/>
      </c>
      <c r="J81" s="2">
        <f t="shared" si="4"/>
        <v>0</v>
      </c>
    </row>
    <row r="82">
      <c r="A82" s="43">
        <f t="shared" si="0"/>
      </c>
      <c r="B82" s="44" t="n"/>
      <c r="C82" s="45" t="n"/>
      <c r="D82" s="45" t="n"/>
      <c r="E82" s="47" t="n"/>
      <c r="F82" s="50" t="n"/>
      <c r="G82" s="49">
        <f t="shared" si="1"/>
      </c>
      <c r="H82" s="53">
        <f t="shared" si="2"/>
      </c>
      <c r="I82" s="49">
        <f t="shared" si="3"/>
      </c>
      <c r="J82" s="2">
        <f t="shared" si="4"/>
        <v>0</v>
      </c>
    </row>
    <row r="83">
      <c r="A83" s="43">
        <f t="shared" si="0"/>
      </c>
      <c r="B83" s="44" t="n"/>
      <c r="C83" s="45" t="n"/>
      <c r="D83" s="45" t="n"/>
      <c r="E83" s="47" t="n"/>
      <c r="F83" s="50" t="n"/>
      <c r="G83" s="49">
        <f t="shared" si="1"/>
      </c>
      <c r="H83" s="53">
        <f t="shared" si="2"/>
      </c>
      <c r="I83" s="49">
        <f t="shared" si="3"/>
      </c>
      <c r="J83" s="2">
        <f t="shared" si="4"/>
        <v>0</v>
      </c>
    </row>
    <row r="84">
      <c r="A84" s="43">
        <f t="shared" si="0"/>
      </c>
      <c r="B84" s="44" t="n"/>
      <c r="C84" s="45" t="n"/>
      <c r="D84" s="45" t="n"/>
      <c r="E84" s="47" t="n"/>
      <c r="F84" s="50" t="n"/>
      <c r="G84" s="49">
        <f t="shared" si="1"/>
      </c>
      <c r="H84" s="53">
        <f t="shared" si="2"/>
      </c>
      <c r="I84" s="49">
        <f t="shared" si="3"/>
      </c>
      <c r="J84" s="2">
        <f t="shared" si="4"/>
        <v>0</v>
      </c>
    </row>
    <row r="85">
      <c r="A85" s="43">
        <f t="shared" si="0"/>
      </c>
      <c r="B85" s="44" t="n"/>
      <c r="C85" s="45" t="n"/>
      <c r="D85" s="45" t="n"/>
      <c r="E85" s="47" t="n"/>
      <c r="F85" s="50" t="n"/>
      <c r="G85" s="49">
        <f t="shared" si="1"/>
      </c>
      <c r="H85" s="53">
        <f t="shared" si="2"/>
      </c>
      <c r="I85" s="49">
        <f t="shared" si="3"/>
      </c>
      <c r="J85" s="2">
        <f t="shared" si="4"/>
        <v>0</v>
      </c>
    </row>
    <row r="86">
      <c r="A86" s="43">
        <f t="shared" si="0"/>
      </c>
      <c r="B86" s="44" t="n"/>
      <c r="C86" s="45" t="n"/>
      <c r="D86" s="45" t="n"/>
      <c r="E86" s="47" t="n"/>
      <c r="F86" s="50" t="n"/>
      <c r="G86" s="49">
        <f t="shared" si="1"/>
      </c>
      <c r="H86" s="53">
        <f t="shared" si="2"/>
      </c>
      <c r="I86" s="49">
        <f t="shared" si="3"/>
      </c>
      <c r="J86" s="2">
        <f t="shared" si="4"/>
        <v>0</v>
      </c>
    </row>
    <row r="87">
      <c r="A87" s="43">
        <f t="shared" si="0"/>
      </c>
      <c r="B87" s="44" t="n"/>
      <c r="C87" s="45" t="n"/>
      <c r="D87" s="45" t="n"/>
      <c r="E87" s="47" t="n"/>
      <c r="F87" s="50" t="n"/>
      <c r="G87" s="49">
        <f t="shared" si="1"/>
      </c>
      <c r="H87" s="53">
        <f t="shared" si="2"/>
      </c>
      <c r="I87" s="49">
        <f t="shared" si="3"/>
      </c>
      <c r="J87" s="2">
        <f t="shared" si="4"/>
        <v>0</v>
      </c>
    </row>
    <row r="88">
      <c r="A88" s="43">
        <f t="shared" si="0"/>
      </c>
      <c r="B88" s="44" t="n"/>
      <c r="C88" s="45" t="n"/>
      <c r="D88" s="45" t="n"/>
      <c r="E88" s="47" t="n"/>
      <c r="F88" s="50" t="n"/>
      <c r="G88" s="49">
        <f t="shared" si="1"/>
      </c>
      <c r="H88" s="53">
        <f t="shared" si="2"/>
      </c>
      <c r="I88" s="49">
        <f t="shared" si="3"/>
      </c>
      <c r="J88" s="2">
        <f t="shared" si="4"/>
        <v>0</v>
      </c>
    </row>
    <row r="89">
      <c r="A89" s="43">
        <f t="shared" si="0"/>
      </c>
      <c r="B89" s="44" t="n"/>
      <c r="C89" s="45" t="n"/>
      <c r="D89" s="45" t="n"/>
      <c r="E89" s="47" t="n"/>
      <c r="F89" s="50" t="n"/>
      <c r="G89" s="49">
        <f t="shared" si="1"/>
      </c>
      <c r="H89" s="53">
        <f t="shared" si="2"/>
      </c>
      <c r="I89" s="49">
        <f t="shared" si="3"/>
      </c>
      <c r="J89" s="2">
        <f t="shared" si="4"/>
        <v>0</v>
      </c>
    </row>
    <row r="90">
      <c r="A90" s="43">
        <f t="shared" si="0"/>
      </c>
      <c r="B90" s="44" t="n"/>
      <c r="C90" s="45" t="n"/>
      <c r="D90" s="45" t="n"/>
      <c r="E90" s="47" t="n"/>
      <c r="F90" s="50" t="n"/>
      <c r="G90" s="49">
        <f t="shared" si="1"/>
      </c>
      <c r="H90" s="53">
        <f t="shared" si="2"/>
      </c>
      <c r="I90" s="49">
        <f t="shared" si="3"/>
      </c>
      <c r="J90" s="2">
        <f t="shared" si="4"/>
        <v>0</v>
      </c>
    </row>
    <row r="91">
      <c r="A91" s="43">
        <f t="shared" si="0"/>
      </c>
      <c r="B91" s="44" t="n"/>
      <c r="C91" s="45" t="n"/>
      <c r="D91" s="45" t="n"/>
      <c r="E91" s="47" t="n"/>
      <c r="F91" s="50" t="n"/>
      <c r="G91" s="49">
        <f t="shared" si="1"/>
      </c>
      <c r="H91" s="53">
        <f t="shared" si="2"/>
      </c>
      <c r="I91" s="49">
        <f t="shared" si="3"/>
      </c>
      <c r="J91" s="2">
        <f t="shared" si="4"/>
        <v>0</v>
      </c>
    </row>
    <row r="92">
      <c r="A92" s="43">
        <f t="shared" si="0"/>
      </c>
      <c r="B92" s="44" t="n"/>
      <c r="C92" s="45" t="n"/>
      <c r="D92" s="45" t="n"/>
      <c r="E92" s="47" t="n"/>
      <c r="F92" s="50" t="n"/>
      <c r="G92" s="49">
        <f t="shared" si="1"/>
      </c>
      <c r="H92" s="53">
        <f t="shared" si="2"/>
      </c>
      <c r="I92" s="49">
        <f t="shared" si="3"/>
      </c>
      <c r="J92" s="2">
        <f t="shared" si="4"/>
        <v>0</v>
      </c>
    </row>
    <row r="93">
      <c r="A93" s="43">
        <f t="shared" si="0"/>
      </c>
      <c r="B93" s="44" t="n"/>
      <c r="C93" s="45" t="n"/>
      <c r="D93" s="45" t="n"/>
      <c r="E93" s="47" t="n"/>
      <c r="F93" s="50" t="n"/>
      <c r="G93" s="49">
        <f t="shared" si="1"/>
      </c>
      <c r="H93" s="53">
        <f t="shared" si="2"/>
      </c>
      <c r="I93" s="49">
        <f t="shared" si="3"/>
      </c>
      <c r="J93" s="2">
        <f t="shared" si="4"/>
        <v>0</v>
      </c>
    </row>
    <row r="94">
      <c r="A94" s="43">
        <f t="shared" si="0"/>
      </c>
      <c r="B94" s="44" t="n"/>
      <c r="C94" s="45" t="n"/>
      <c r="D94" s="45" t="n"/>
      <c r="E94" s="47" t="n"/>
      <c r="F94" s="50" t="n"/>
      <c r="G94" s="49">
        <f t="shared" si="1"/>
      </c>
      <c r="H94" s="53">
        <f t="shared" si="2"/>
      </c>
      <c r="I94" s="49">
        <f t="shared" si="3"/>
      </c>
      <c r="J94" s="2">
        <f t="shared" si="4"/>
        <v>0</v>
      </c>
    </row>
    <row r="95">
      <c r="A95" s="43">
        <f t="shared" si="0"/>
      </c>
      <c r="B95" s="44" t="n"/>
      <c r="C95" s="45" t="n"/>
      <c r="D95" s="45" t="n"/>
      <c r="E95" s="47" t="n"/>
      <c r="F95" s="50" t="n"/>
      <c r="G95" s="49">
        <f t="shared" si="1"/>
      </c>
      <c r="H95" s="53">
        <f t="shared" si="2"/>
      </c>
      <c r="I95" s="49">
        <f t="shared" si="3"/>
      </c>
      <c r="J95" s="2">
        <f t="shared" si="4"/>
        <v>0</v>
      </c>
    </row>
    <row r="96">
      <c r="A96" s="43">
        <f t="shared" si="0"/>
      </c>
      <c r="B96" s="44" t="n"/>
      <c r="C96" s="45" t="n"/>
      <c r="D96" s="45" t="n"/>
      <c r="E96" s="47" t="n"/>
      <c r="F96" s="50" t="n"/>
      <c r="G96" s="49">
        <f t="shared" si="1"/>
      </c>
      <c r="H96" s="53">
        <f t="shared" si="2"/>
      </c>
      <c r="I96" s="49">
        <f t="shared" si="3"/>
      </c>
      <c r="J96" s="2">
        <f t="shared" si="4"/>
        <v>0</v>
      </c>
    </row>
    <row r="97">
      <c r="A97" s="43">
        <f t="shared" si="0"/>
      </c>
      <c r="B97" s="44" t="n"/>
      <c r="C97" s="45" t="n"/>
      <c r="D97" s="45" t="n"/>
      <c r="E97" s="47" t="n"/>
      <c r="F97" s="50" t="n"/>
      <c r="G97" s="49">
        <f t="shared" si="1"/>
      </c>
      <c r="H97" s="53">
        <f t="shared" si="2"/>
      </c>
      <c r="I97" s="49">
        <f t="shared" si="3"/>
      </c>
      <c r="J97" s="2">
        <f t="shared" si="4"/>
        <v>0</v>
      </c>
    </row>
    <row r="98">
      <c r="A98" s="43">
        <f t="shared" si="0"/>
      </c>
      <c r="B98" s="44" t="n"/>
      <c r="C98" s="45" t="n"/>
      <c r="D98" s="45" t="n"/>
      <c r="E98" s="47" t="n"/>
      <c r="F98" s="50" t="n"/>
      <c r="G98" s="49">
        <f t="shared" si="1"/>
      </c>
      <c r="H98" s="53">
        <f t="shared" si="2"/>
      </c>
      <c r="I98" s="49">
        <f t="shared" si="3"/>
      </c>
      <c r="J98" s="2">
        <f t="shared" si="4"/>
        <v>0</v>
      </c>
    </row>
    <row r="99">
      <c r="A99" s="43">
        <f t="shared" si="0"/>
      </c>
      <c r="B99" s="44" t="n"/>
      <c r="C99" s="45" t="n"/>
      <c r="D99" s="45" t="n"/>
      <c r="E99" s="47" t="n"/>
      <c r="F99" s="50" t="n"/>
      <c r="G99" s="49">
        <f t="shared" si="1"/>
      </c>
      <c r="H99" s="53">
        <f t="shared" si="2"/>
      </c>
      <c r="I99" s="49">
        <f t="shared" si="3"/>
      </c>
      <c r="J99" s="2">
        <f t="shared" si="4"/>
        <v>0</v>
      </c>
    </row>
    <row r="100">
      <c r="A100" s="43">
        <f t="shared" si="0"/>
      </c>
      <c r="B100" s="44" t="n"/>
      <c r="C100" s="45" t="n"/>
      <c r="D100" s="45" t="n"/>
      <c r="E100" s="47" t="n"/>
      <c r="F100" s="50" t="n"/>
      <c r="G100" s="49">
        <f t="shared" si="1"/>
      </c>
      <c r="H100" s="53">
        <f t="shared" si="2"/>
      </c>
      <c r="I100" s="49">
        <f t="shared" si="3"/>
      </c>
      <c r="J100" s="2">
        <f t="shared" si="4"/>
        <v>0</v>
      </c>
    </row>
    <row r="101">
      <c r="A101" s="43">
        <f t="shared" si="0"/>
      </c>
      <c r="B101" s="44" t="n"/>
      <c r="C101" s="45" t="n"/>
      <c r="D101" s="45" t="n"/>
      <c r="E101" s="47" t="n"/>
      <c r="F101" s="50" t="n"/>
      <c r="G101" s="49">
        <f t="shared" si="1"/>
      </c>
      <c r="H101" s="53">
        <f t="shared" si="2"/>
      </c>
      <c r="I101" s="49">
        <f t="shared" si="3"/>
      </c>
      <c r="J101" s="2">
        <f t="shared" si="4"/>
        <v>0</v>
      </c>
    </row>
    <row r="102">
      <c r="A102" s="43">
        <f t="shared" si="0"/>
      </c>
      <c r="B102" s="44" t="n"/>
      <c r="C102" s="45" t="n"/>
      <c r="D102" s="45" t="n"/>
      <c r="E102" s="47" t="n"/>
      <c r="F102" s="50" t="n"/>
      <c r="G102" s="49">
        <f t="shared" si="1"/>
      </c>
      <c r="H102" s="53">
        <f t="shared" si="2"/>
      </c>
      <c r="I102" s="49">
        <f t="shared" si="3"/>
      </c>
      <c r="J102" s="2">
        <f t="shared" si="4"/>
        <v>0</v>
      </c>
    </row>
    <row r="103">
      <c r="A103" s="43">
        <f t="shared" si="0"/>
      </c>
      <c r="B103" s="44" t="n"/>
      <c r="C103" s="45" t="n"/>
      <c r="D103" s="45" t="n"/>
      <c r="E103" s="47" t="n"/>
      <c r="F103" s="50" t="n"/>
      <c r="G103" s="49">
        <f t="shared" si="1"/>
      </c>
      <c r="H103" s="53">
        <f t="shared" si="2"/>
      </c>
      <c r="I103" s="49">
        <f t="shared" si="3"/>
      </c>
      <c r="J103" s="2">
        <f t="shared" si="4"/>
        <v>0</v>
      </c>
    </row>
    <row r="104">
      <c r="A104" s="43">
        <f t="shared" si="0"/>
      </c>
      <c r="B104" s="44" t="n"/>
      <c r="C104" s="45" t="n"/>
      <c r="D104" s="45" t="n"/>
      <c r="E104" s="47" t="n"/>
      <c r="F104" s="50" t="n"/>
      <c r="G104" s="49">
        <f t="shared" si="1"/>
      </c>
      <c r="H104" s="53">
        <f t="shared" si="2"/>
      </c>
      <c r="I104" s="49">
        <f t="shared" si="3"/>
      </c>
      <c r="J104" s="2">
        <f t="shared" si="4"/>
        <v>0</v>
      </c>
    </row>
    <row r="105">
      <c r="A105" s="43">
        <f t="shared" si="0"/>
      </c>
      <c r="B105" s="44" t="n"/>
      <c r="C105" s="45" t="n"/>
      <c r="D105" s="45" t="n"/>
      <c r="E105" s="47" t="n"/>
      <c r="F105" s="50" t="n"/>
      <c r="G105" s="49">
        <f t="shared" si="1"/>
      </c>
      <c r="H105" s="53">
        <f t="shared" si="2"/>
      </c>
      <c r="I105" s="49">
        <f t="shared" si="3"/>
      </c>
      <c r="J105" s="2">
        <f t="shared" si="4"/>
        <v>0</v>
      </c>
    </row>
    <row r="106">
      <c r="A106" s="43">
        <f t="shared" si="0"/>
      </c>
      <c r="B106" s="44" t="n"/>
      <c r="C106" s="45" t="n"/>
      <c r="D106" s="45" t="n"/>
      <c r="E106" s="47" t="n"/>
      <c r="F106" s="50" t="n"/>
      <c r="G106" s="49">
        <f t="shared" si="1"/>
      </c>
      <c r="H106" s="53">
        <f t="shared" si="2"/>
      </c>
      <c r="I106" s="49">
        <f t="shared" si="3"/>
      </c>
      <c r="J106" s="2">
        <f t="shared" si="4"/>
        <v>0</v>
      </c>
    </row>
    <row r="107">
      <c r="A107" s="43">
        <f t="shared" si="0"/>
      </c>
      <c r="B107" s="44" t="n"/>
      <c r="C107" s="45" t="n"/>
      <c r="D107" s="45" t="n"/>
      <c r="E107" s="47" t="n"/>
      <c r="F107" s="50" t="n"/>
      <c r="G107" s="49">
        <f t="shared" si="1"/>
      </c>
      <c r="H107" s="53">
        <f t="shared" si="2"/>
      </c>
      <c r="I107" s="49">
        <f t="shared" si="3"/>
      </c>
      <c r="J107" s="2">
        <f t="shared" si="4"/>
        <v>0</v>
      </c>
    </row>
    <row r="108">
      <c r="A108" s="43">
        <f t="shared" si="0"/>
      </c>
      <c r="B108" s="44" t="n"/>
      <c r="C108" s="45" t="n"/>
      <c r="D108" s="45" t="n"/>
      <c r="E108" s="47" t="n"/>
      <c r="F108" s="50" t="n"/>
      <c r="G108" s="49">
        <f t="shared" si="1"/>
      </c>
      <c r="H108" s="53">
        <f t="shared" si="2"/>
      </c>
      <c r="I108" s="49">
        <f t="shared" si="3"/>
      </c>
      <c r="J108" s="2">
        <f t="shared" si="4"/>
        <v>0</v>
      </c>
    </row>
    <row r="109">
      <c r="A109" s="43">
        <f t="shared" si="0"/>
      </c>
      <c r="B109" s="44" t="n"/>
      <c r="C109" s="45" t="n"/>
      <c r="D109" s="45" t="n"/>
      <c r="E109" s="47" t="n"/>
      <c r="F109" s="50" t="n"/>
      <c r="G109" s="49">
        <f t="shared" si="1"/>
      </c>
      <c r="H109" s="53">
        <f t="shared" si="2"/>
      </c>
      <c r="I109" s="49">
        <f t="shared" si="3"/>
      </c>
      <c r="J109" s="2">
        <f t="shared" si="4"/>
        <v>0</v>
      </c>
    </row>
    <row r="110">
      <c r="A110" s="43">
        <f t="shared" si="0"/>
      </c>
      <c r="B110" s="44" t="n"/>
      <c r="C110" s="45" t="n"/>
      <c r="D110" s="45" t="n"/>
      <c r="E110" s="47" t="n"/>
      <c r="F110" s="50" t="n"/>
      <c r="G110" s="49">
        <f t="shared" si="1"/>
      </c>
      <c r="H110" s="53">
        <f t="shared" si="2"/>
      </c>
      <c r="I110" s="49">
        <f t="shared" si="3"/>
      </c>
      <c r="J110" s="2">
        <f t="shared" si="4"/>
        <v>0</v>
      </c>
    </row>
    <row r="111">
      <c r="A111" s="43">
        <f t="shared" si="0"/>
      </c>
      <c r="B111" s="44" t="n"/>
      <c r="C111" s="45" t="n"/>
      <c r="D111" s="45" t="n"/>
      <c r="E111" s="47" t="n"/>
      <c r="F111" s="50" t="n"/>
      <c r="G111" s="49">
        <f t="shared" si="1"/>
      </c>
      <c r="H111" s="53">
        <f t="shared" si="2"/>
      </c>
      <c r="I111" s="49">
        <f t="shared" si="3"/>
      </c>
      <c r="J111" s="2">
        <f t="shared" si="4"/>
        <v>0</v>
      </c>
    </row>
    <row r="112">
      <c r="A112" s="43">
        <f t="shared" si="0"/>
      </c>
      <c r="B112" s="44" t="n"/>
      <c r="C112" s="45" t="n"/>
      <c r="D112" s="45" t="n"/>
      <c r="E112" s="47" t="n"/>
      <c r="F112" s="50" t="n"/>
      <c r="G112" s="49">
        <f t="shared" si="1"/>
      </c>
      <c r="H112" s="53">
        <f t="shared" si="2"/>
      </c>
      <c r="I112" s="49">
        <f t="shared" si="3"/>
      </c>
      <c r="J112" s="2">
        <f t="shared" si="4"/>
        <v>0</v>
      </c>
    </row>
    <row r="113">
      <c r="A113" s="43">
        <f t="shared" si="0"/>
      </c>
      <c r="B113" s="44" t="n"/>
      <c r="C113" s="45" t="n"/>
      <c r="D113" s="45" t="n"/>
      <c r="E113" s="47" t="n"/>
      <c r="F113" s="50" t="n"/>
      <c r="G113" s="49">
        <f t="shared" si="1"/>
      </c>
      <c r="H113" s="53">
        <f t="shared" si="2"/>
      </c>
      <c r="I113" s="49">
        <f t="shared" si="3"/>
      </c>
      <c r="J113" s="2">
        <f t="shared" si="4"/>
        <v>0</v>
      </c>
    </row>
    <row r="114">
      <c r="A114" s="43">
        <f t="shared" si="0"/>
      </c>
      <c r="B114" s="44" t="n"/>
      <c r="C114" s="45" t="n"/>
      <c r="D114" s="45" t="n"/>
      <c r="E114" s="47" t="n"/>
      <c r="F114" s="50" t="n"/>
      <c r="G114" s="49">
        <f t="shared" si="1"/>
      </c>
      <c r="H114" s="53">
        <f t="shared" si="2"/>
      </c>
      <c r="I114" s="49">
        <f t="shared" si="3"/>
      </c>
      <c r="J114" s="2">
        <f t="shared" si="4"/>
        <v>0</v>
      </c>
    </row>
    <row r="115">
      <c r="A115" s="43">
        <f t="shared" si="0"/>
      </c>
      <c r="B115" s="44" t="n"/>
      <c r="C115" s="45" t="n"/>
      <c r="D115" s="45" t="n"/>
      <c r="E115" s="47" t="n"/>
      <c r="F115" s="50" t="n"/>
      <c r="G115" s="49">
        <f t="shared" si="1"/>
      </c>
      <c r="H115" s="53">
        <f t="shared" si="2"/>
      </c>
      <c r="I115" s="49">
        <f t="shared" si="3"/>
      </c>
      <c r="J115" s="2">
        <f t="shared" si="4"/>
        <v>0</v>
      </c>
    </row>
    <row r="116">
      <c r="A116" s="43">
        <f t="shared" si="0"/>
      </c>
      <c r="B116" s="44" t="n"/>
      <c r="C116" s="45" t="n"/>
      <c r="D116" s="45" t="n"/>
      <c r="E116" s="47" t="n"/>
      <c r="F116" s="50" t="n"/>
      <c r="G116" s="49">
        <f t="shared" si="1"/>
      </c>
      <c r="H116" s="53">
        <f t="shared" si="2"/>
      </c>
      <c r="I116" s="49">
        <f t="shared" si="3"/>
      </c>
      <c r="J116" s="2">
        <f t="shared" si="4"/>
        <v>0</v>
      </c>
    </row>
    <row r="117">
      <c r="A117" s="43">
        <f t="shared" si="0"/>
      </c>
      <c r="B117" s="44" t="n"/>
      <c r="C117" s="45" t="n"/>
      <c r="D117" s="45" t="n"/>
      <c r="E117" s="47" t="n"/>
      <c r="F117" s="50" t="n"/>
      <c r="G117" s="49">
        <f t="shared" si="1"/>
      </c>
      <c r="H117" s="53">
        <f t="shared" si="2"/>
      </c>
      <c r="I117" s="49">
        <f t="shared" si="3"/>
      </c>
      <c r="J117" s="2">
        <f t="shared" si="4"/>
        <v>0</v>
      </c>
    </row>
    <row r="118">
      <c r="A118" s="43">
        <f t="shared" si="0"/>
      </c>
      <c r="B118" s="44" t="n"/>
      <c r="C118" s="45" t="n"/>
      <c r="D118" s="45" t="n"/>
      <c r="E118" s="47" t="n"/>
      <c r="F118" s="50" t="n"/>
      <c r="G118" s="49">
        <f t="shared" si="1"/>
      </c>
      <c r="H118" s="53">
        <f t="shared" si="2"/>
      </c>
      <c r="I118" s="49">
        <f t="shared" si="3"/>
      </c>
      <c r="J118" s="2">
        <f t="shared" si="4"/>
        <v>0</v>
      </c>
    </row>
    <row r="119">
      <c r="A119" s="43">
        <f t="shared" si="0"/>
      </c>
      <c r="B119" s="44" t="n"/>
      <c r="C119" s="45" t="n"/>
      <c r="D119" s="45" t="n"/>
      <c r="E119" s="47" t="n"/>
      <c r="F119" s="50" t="n"/>
      <c r="G119" s="49">
        <f t="shared" si="1"/>
      </c>
      <c r="H119" s="53">
        <f t="shared" si="2"/>
      </c>
      <c r="I119" s="49">
        <f t="shared" si="3"/>
      </c>
      <c r="J119" s="2">
        <f t="shared" si="4"/>
        <v>0</v>
      </c>
    </row>
    <row r="120">
      <c r="A120" s="43">
        <f t="shared" si="0"/>
      </c>
      <c r="B120" s="44" t="n"/>
      <c r="C120" s="45" t="n"/>
      <c r="D120" s="45" t="n"/>
      <c r="E120" s="47" t="n"/>
      <c r="F120" s="50" t="n"/>
      <c r="G120" s="49">
        <f t="shared" si="1"/>
      </c>
      <c r="H120" s="53">
        <f t="shared" si="2"/>
      </c>
      <c r="I120" s="49">
        <f t="shared" si="3"/>
      </c>
      <c r="J120" s="2">
        <f t="shared" si="4"/>
        <v>0</v>
      </c>
    </row>
    <row r="121">
      <c r="A121" s="43">
        <f t="shared" si="0"/>
      </c>
      <c r="B121" s="44" t="n"/>
      <c r="C121" s="45" t="n"/>
      <c r="D121" s="45" t="n"/>
      <c r="E121" s="47" t="n"/>
      <c r="F121" s="50" t="n"/>
      <c r="G121" s="49">
        <f t="shared" si="1"/>
      </c>
      <c r="H121" s="53">
        <f t="shared" si="2"/>
      </c>
      <c r="I121" s="49">
        <f t="shared" si="3"/>
      </c>
      <c r="J121" s="2">
        <f t="shared" si="4"/>
        <v>0</v>
      </c>
    </row>
    <row r="122">
      <c r="A122" s="43">
        <f t="shared" si="0"/>
      </c>
      <c r="B122" s="44" t="n"/>
      <c r="C122" s="45" t="n"/>
      <c r="D122" s="45" t="n"/>
      <c r="E122" s="47" t="n"/>
      <c r="F122" s="50" t="n"/>
      <c r="G122" s="49">
        <f t="shared" si="1"/>
      </c>
      <c r="H122" s="53">
        <f t="shared" si="2"/>
      </c>
      <c r="I122" s="49">
        <f t="shared" si="3"/>
      </c>
      <c r="J122" s="2">
        <f t="shared" si="4"/>
        <v>0</v>
      </c>
    </row>
    <row r="123">
      <c r="A123" s="43">
        <f t="shared" si="0"/>
      </c>
      <c r="B123" s="44" t="n"/>
      <c r="C123" s="45" t="n"/>
      <c r="D123" s="45" t="n"/>
      <c r="E123" s="47" t="n"/>
      <c r="F123" s="50" t="n"/>
      <c r="G123" s="49">
        <f t="shared" si="1"/>
      </c>
      <c r="H123" s="53">
        <f t="shared" si="2"/>
      </c>
      <c r="I123" s="49">
        <f t="shared" si="3"/>
      </c>
      <c r="J123" s="2">
        <f t="shared" si="4"/>
        <v>0</v>
      </c>
    </row>
    <row r="124">
      <c r="A124" s="43">
        <f t="shared" si="0"/>
      </c>
      <c r="B124" s="44" t="n"/>
      <c r="C124" s="45" t="n"/>
      <c r="D124" s="45" t="n"/>
      <c r="E124" s="47" t="n"/>
      <c r="F124" s="50" t="n"/>
      <c r="G124" s="49">
        <f t="shared" si="1"/>
      </c>
      <c r="H124" s="53">
        <f t="shared" si="2"/>
      </c>
      <c r="I124" s="49">
        <f t="shared" si="3"/>
      </c>
      <c r="J124" s="2">
        <f t="shared" si="4"/>
        <v>0</v>
      </c>
    </row>
    <row r="125">
      <c r="A125" s="43">
        <f t="shared" si="0"/>
      </c>
      <c r="B125" s="44" t="n"/>
      <c r="C125" s="45" t="n"/>
      <c r="D125" s="45" t="n"/>
      <c r="E125" s="47" t="n"/>
      <c r="F125" s="50" t="n"/>
      <c r="G125" s="49">
        <f t="shared" si="1"/>
      </c>
      <c r="H125" s="53">
        <f t="shared" si="2"/>
      </c>
      <c r="I125" s="49">
        <f t="shared" si="3"/>
      </c>
      <c r="J125" s="2">
        <f t="shared" si="4"/>
        <v>0</v>
      </c>
    </row>
    <row r="126">
      <c r="A126" s="43">
        <f t="shared" si="0"/>
      </c>
      <c r="B126" s="44" t="n"/>
      <c r="C126" s="45" t="n"/>
      <c r="D126" s="45" t="n"/>
      <c r="E126" s="47" t="n"/>
      <c r="F126" s="50" t="n"/>
      <c r="G126" s="49">
        <f t="shared" si="1"/>
      </c>
      <c r="H126" s="53">
        <f t="shared" si="2"/>
      </c>
      <c r="I126" s="49">
        <f t="shared" si="3"/>
      </c>
      <c r="J126" s="2">
        <f t="shared" si="4"/>
        <v>0</v>
      </c>
    </row>
    <row r="127">
      <c r="A127" s="43">
        <f t="shared" si="0"/>
      </c>
      <c r="B127" s="44" t="n"/>
      <c r="C127" s="45" t="n"/>
      <c r="D127" s="45" t="n"/>
      <c r="E127" s="47" t="n"/>
      <c r="F127" s="50" t="n"/>
      <c r="G127" s="49">
        <f t="shared" si="1"/>
      </c>
      <c r="H127" s="53">
        <f t="shared" si="2"/>
      </c>
      <c r="I127" s="49">
        <f t="shared" si="3"/>
      </c>
      <c r="J127" s="2">
        <f t="shared" si="4"/>
        <v>0</v>
      </c>
    </row>
    <row r="128">
      <c r="A128" s="43">
        <f t="shared" si="0"/>
      </c>
      <c r="B128" s="44" t="n"/>
      <c r="C128" s="45" t="n"/>
      <c r="D128" s="45" t="n"/>
      <c r="E128" s="47" t="n"/>
      <c r="F128" s="50" t="n"/>
      <c r="G128" s="49">
        <f t="shared" si="1"/>
      </c>
      <c r="H128" s="53">
        <f t="shared" si="2"/>
      </c>
      <c r="I128" s="49">
        <f t="shared" si="3"/>
      </c>
      <c r="J128" s="2">
        <f t="shared" si="4"/>
        <v>0</v>
      </c>
    </row>
    <row r="129">
      <c r="A129" s="43">
        <f t="shared" si="0"/>
      </c>
      <c r="B129" s="44" t="n"/>
      <c r="C129" s="45" t="n"/>
      <c r="D129" s="45" t="n"/>
      <c r="E129" s="47" t="n"/>
      <c r="F129" s="50" t="n"/>
      <c r="G129" s="49">
        <f t="shared" si="1"/>
      </c>
      <c r="H129" s="53">
        <f t="shared" si="2"/>
      </c>
      <c r="I129" s="49">
        <f t="shared" si="3"/>
      </c>
      <c r="J129" s="2">
        <f t="shared" si="4"/>
        <v>0</v>
      </c>
    </row>
    <row r="130">
      <c r="A130" s="43">
        <f t="shared" si="0"/>
      </c>
      <c r="B130" s="44" t="n"/>
      <c r="C130" s="45" t="n"/>
      <c r="D130" s="45" t="n"/>
      <c r="E130" s="47" t="n"/>
      <c r="F130" s="50" t="n"/>
      <c r="G130" s="49">
        <f t="shared" si="1"/>
      </c>
      <c r="H130" s="53">
        <f t="shared" si="2"/>
      </c>
      <c r="I130" s="49">
        <f t="shared" si="3"/>
      </c>
      <c r="J130" s="2">
        <f t="shared" si="4"/>
        <v>0</v>
      </c>
    </row>
    <row r="131">
      <c r="A131" s="43">
        <f t="shared" si="0"/>
      </c>
      <c r="B131" s="44" t="n"/>
      <c r="C131" s="45" t="n"/>
      <c r="D131" s="45" t="n"/>
      <c r="E131" s="47" t="n"/>
      <c r="F131" s="50" t="n"/>
      <c r="G131" s="49">
        <f t="shared" si="1"/>
      </c>
      <c r="H131" s="53">
        <f t="shared" si="2"/>
      </c>
      <c r="I131" s="49">
        <f t="shared" si="3"/>
      </c>
      <c r="J131" s="2">
        <f t="shared" si="4"/>
        <v>0</v>
      </c>
    </row>
    <row r="132">
      <c r="A132" s="43">
        <f t="shared" si="0"/>
      </c>
      <c r="B132" s="44" t="n"/>
      <c r="C132" s="45" t="n"/>
      <c r="D132" s="45" t="n"/>
      <c r="E132" s="47" t="n"/>
      <c r="F132" s="50" t="n"/>
      <c r="G132" s="49">
        <f t="shared" si="1"/>
      </c>
      <c r="H132" s="53">
        <f t="shared" si="2"/>
      </c>
      <c r="I132" s="49">
        <f t="shared" si="3"/>
      </c>
      <c r="J132" s="2">
        <f t="shared" si="4"/>
        <v>0</v>
      </c>
    </row>
    <row r="133">
      <c r="A133" s="43">
        <f t="shared" si="0"/>
      </c>
      <c r="B133" s="44" t="n"/>
      <c r="C133" s="45" t="n"/>
      <c r="D133" s="45" t="n"/>
      <c r="E133" s="47" t="n"/>
      <c r="F133" s="50" t="n"/>
      <c r="G133" s="49">
        <f t="shared" si="1"/>
      </c>
      <c r="H133" s="53">
        <f t="shared" si="2"/>
      </c>
      <c r="I133" s="49">
        <f t="shared" si="3"/>
      </c>
      <c r="J133" s="2">
        <f t="shared" si="4"/>
        <v>0</v>
      </c>
    </row>
    <row r="134">
      <c r="A134" s="43">
        <f t="shared" si="0"/>
      </c>
      <c r="B134" s="44" t="n"/>
      <c r="C134" s="45" t="n"/>
      <c r="D134" s="45" t="n"/>
      <c r="E134" s="47" t="n"/>
      <c r="F134" s="50" t="n"/>
      <c r="G134" s="49">
        <f t="shared" si="1"/>
      </c>
      <c r="H134" s="53">
        <f t="shared" si="2"/>
      </c>
      <c r="I134" s="49">
        <f t="shared" si="3"/>
      </c>
      <c r="J134" s="2">
        <f t="shared" si="4"/>
        <v>0</v>
      </c>
    </row>
    <row r="135">
      <c r="A135" s="43">
        <f t="shared" si="0"/>
      </c>
      <c r="B135" s="44" t="n"/>
      <c r="C135" s="45" t="n"/>
      <c r="D135" s="45" t="n"/>
      <c r="E135" s="47" t="n"/>
      <c r="F135" s="50" t="n"/>
      <c r="G135" s="49">
        <f t="shared" si="1"/>
      </c>
      <c r="H135" s="53">
        <f t="shared" si="2"/>
      </c>
      <c r="I135" s="49">
        <f t="shared" si="3"/>
      </c>
      <c r="J135" s="2">
        <f t="shared" si="4"/>
        <v>0</v>
      </c>
    </row>
    <row r="136">
      <c r="A136" s="43">
        <f t="shared" si="0"/>
      </c>
      <c r="B136" s="44" t="n"/>
      <c r="C136" s="45" t="n"/>
      <c r="D136" s="45" t="n"/>
      <c r="E136" s="47" t="n"/>
      <c r="F136" s="50" t="n"/>
      <c r="G136" s="49">
        <f t="shared" si="1"/>
      </c>
      <c r="H136" s="53">
        <f t="shared" si="2"/>
      </c>
      <c r="I136" s="49">
        <f t="shared" si="3"/>
      </c>
      <c r="J136" s="2">
        <f t="shared" si="4"/>
        <v>0</v>
      </c>
    </row>
    <row r="137">
      <c r="A137" s="43">
        <f t="shared" si="0"/>
      </c>
      <c r="B137" s="44" t="n"/>
      <c r="C137" s="45" t="n"/>
      <c r="D137" s="45" t="n"/>
      <c r="E137" s="47" t="n"/>
      <c r="F137" s="50" t="n"/>
      <c r="G137" s="49">
        <f t="shared" si="1"/>
      </c>
      <c r="H137" s="53">
        <f t="shared" si="2"/>
      </c>
      <c r="I137" s="49">
        <f t="shared" si="3"/>
      </c>
      <c r="J137" s="2">
        <f t="shared" si="4"/>
        <v>0</v>
      </c>
    </row>
    <row r="138">
      <c r="A138" s="43">
        <f t="shared" si="0"/>
      </c>
      <c r="B138" s="44" t="n"/>
      <c r="C138" s="45" t="n"/>
      <c r="D138" s="45" t="n"/>
      <c r="E138" s="47" t="n"/>
      <c r="F138" s="50" t="n"/>
      <c r="G138" s="49">
        <f t="shared" si="1"/>
      </c>
      <c r="H138" s="53">
        <f t="shared" si="2"/>
      </c>
      <c r="I138" s="49">
        <f t="shared" si="3"/>
      </c>
      <c r="J138" s="2">
        <f t="shared" si="4"/>
        <v>0</v>
      </c>
    </row>
    <row r="139">
      <c r="A139" s="43">
        <f t="shared" si="0"/>
      </c>
      <c r="B139" s="44" t="n"/>
      <c r="C139" s="45" t="n"/>
      <c r="D139" s="45" t="n"/>
      <c r="E139" s="47" t="n"/>
      <c r="F139" s="50" t="n"/>
      <c r="G139" s="49">
        <f t="shared" si="1"/>
      </c>
      <c r="H139" s="53">
        <f t="shared" si="2"/>
      </c>
      <c r="I139" s="49">
        <f t="shared" si="3"/>
      </c>
      <c r="J139" s="2">
        <f t="shared" si="4"/>
        <v>0</v>
      </c>
    </row>
    <row r="140">
      <c r="A140" s="43">
        <f t="shared" si="0"/>
      </c>
      <c r="B140" s="44" t="n"/>
      <c r="C140" s="45" t="n"/>
      <c r="D140" s="45" t="n"/>
      <c r="E140" s="47" t="n"/>
      <c r="F140" s="50" t="n"/>
      <c r="G140" s="49">
        <f t="shared" si="1"/>
      </c>
      <c r="H140" s="53">
        <f t="shared" si="2"/>
      </c>
      <c r="I140" s="49">
        <f t="shared" si="3"/>
      </c>
      <c r="J140" s="2">
        <f t="shared" si="4"/>
        <v>0</v>
      </c>
    </row>
    <row r="141">
      <c r="A141" s="43">
        <f t="shared" si="0"/>
      </c>
      <c r="B141" s="44" t="n"/>
      <c r="C141" s="45" t="n"/>
      <c r="D141" s="45" t="n"/>
      <c r="E141" s="47" t="n"/>
      <c r="F141" s="50" t="n"/>
      <c r="G141" s="49">
        <f t="shared" si="1"/>
      </c>
      <c r="H141" s="53">
        <f t="shared" si="2"/>
      </c>
      <c r="I141" s="49">
        <f t="shared" si="3"/>
      </c>
      <c r="J141" s="2">
        <f t="shared" si="4"/>
        <v>0</v>
      </c>
    </row>
    <row r="142">
      <c r="A142" s="43">
        <f t="shared" si="0"/>
      </c>
      <c r="B142" s="44" t="n"/>
      <c r="C142" s="45" t="n"/>
      <c r="D142" s="45" t="n"/>
      <c r="E142" s="47" t="n"/>
      <c r="F142" s="50" t="n"/>
      <c r="G142" s="49">
        <f t="shared" si="1"/>
      </c>
      <c r="H142" s="53">
        <f t="shared" si="2"/>
      </c>
      <c r="I142" s="49">
        <f t="shared" si="3"/>
      </c>
      <c r="J142" s="2">
        <f t="shared" si="4"/>
        <v>0</v>
      </c>
    </row>
    <row r="143">
      <c r="A143" s="43">
        <f t="shared" si="0"/>
      </c>
      <c r="B143" s="44" t="n"/>
      <c r="C143" s="45" t="n"/>
      <c r="D143" s="45" t="n"/>
      <c r="E143" s="47" t="n"/>
      <c r="F143" s="50" t="n"/>
      <c r="G143" s="49">
        <f t="shared" si="1"/>
      </c>
      <c r="H143" s="53">
        <f t="shared" si="2"/>
      </c>
      <c r="I143" s="49">
        <f t="shared" si="3"/>
      </c>
      <c r="J143" s="2">
        <f t="shared" si="4"/>
        <v>0</v>
      </c>
    </row>
    <row r="144">
      <c r="A144" s="43">
        <f t="shared" si="0"/>
      </c>
      <c r="B144" s="44" t="n"/>
      <c r="C144" s="45" t="n"/>
      <c r="D144" s="45" t="n"/>
      <c r="E144" s="47" t="n"/>
      <c r="F144" s="50" t="n"/>
      <c r="G144" s="49">
        <f t="shared" si="1"/>
      </c>
      <c r="H144" s="53">
        <f t="shared" si="2"/>
      </c>
      <c r="I144" s="49">
        <f t="shared" si="3"/>
      </c>
      <c r="J144" s="2">
        <f t="shared" si="4"/>
        <v>0</v>
      </c>
    </row>
    <row r="145">
      <c r="A145" s="43">
        <f t="shared" si="0"/>
      </c>
      <c r="B145" s="44" t="n"/>
      <c r="C145" s="45" t="n"/>
      <c r="D145" s="45" t="n"/>
      <c r="E145" s="47" t="n"/>
      <c r="F145" s="50" t="n"/>
      <c r="G145" s="49">
        <f t="shared" si="1"/>
      </c>
      <c r="H145" s="53">
        <f t="shared" si="2"/>
      </c>
      <c r="I145" s="49">
        <f t="shared" si="3"/>
      </c>
      <c r="J145" s="2">
        <f t="shared" si="4"/>
        <v>0</v>
      </c>
    </row>
    <row r="146">
      <c r="A146" s="43">
        <f t="shared" si="0"/>
      </c>
      <c r="B146" s="44" t="n"/>
      <c r="C146" s="45" t="n"/>
      <c r="D146" s="45" t="n"/>
      <c r="E146" s="47" t="n"/>
      <c r="F146" s="50" t="n"/>
      <c r="G146" s="49">
        <f t="shared" si="1"/>
      </c>
      <c r="H146" s="53">
        <f t="shared" si="2"/>
      </c>
      <c r="I146" s="49">
        <f t="shared" si="3"/>
      </c>
      <c r="J146" s="2">
        <f t="shared" si="4"/>
        <v>0</v>
      </c>
    </row>
    <row r="147">
      <c r="A147" s="43">
        <f t="shared" si="0"/>
      </c>
      <c r="B147" s="44" t="n"/>
      <c r="C147" s="45" t="n"/>
      <c r="D147" s="45" t="n"/>
      <c r="E147" s="47" t="n"/>
      <c r="F147" s="50" t="n"/>
      <c r="G147" s="49">
        <f t="shared" si="1"/>
      </c>
      <c r="H147" s="53">
        <f t="shared" si="2"/>
      </c>
      <c r="I147" s="49">
        <f t="shared" si="3"/>
      </c>
      <c r="J147" s="2">
        <f t="shared" si="4"/>
        <v>0</v>
      </c>
    </row>
    <row r="148">
      <c r="A148" s="43">
        <f t="shared" si="0"/>
      </c>
      <c r="B148" s="44" t="n"/>
      <c r="C148" s="45" t="n"/>
      <c r="D148" s="45" t="n"/>
      <c r="E148" s="47" t="n"/>
      <c r="F148" s="50" t="n"/>
      <c r="G148" s="49">
        <f t="shared" si="1"/>
      </c>
      <c r="H148" s="53">
        <f t="shared" si="2"/>
      </c>
      <c r="I148" s="49">
        <f t="shared" si="3"/>
      </c>
      <c r="J148" s="2">
        <f t="shared" si="4"/>
        <v>0</v>
      </c>
    </row>
    <row r="149">
      <c r="A149" s="43">
        <f t="shared" si="0"/>
      </c>
      <c r="B149" s="44" t="n"/>
      <c r="C149" s="45" t="n"/>
      <c r="D149" s="45" t="n"/>
      <c r="E149" s="47" t="n"/>
      <c r="F149" s="50" t="n"/>
      <c r="G149" s="49">
        <f t="shared" si="1"/>
      </c>
      <c r="H149" s="53">
        <f t="shared" si="2"/>
      </c>
      <c r="I149" s="49">
        <f t="shared" si="3"/>
      </c>
      <c r="J149" s="2">
        <f t="shared" si="4"/>
        <v>0</v>
      </c>
    </row>
    <row r="150">
      <c r="A150" s="43">
        <f t="shared" si="0"/>
      </c>
      <c r="B150" s="44" t="n"/>
      <c r="C150" s="45" t="n"/>
      <c r="D150" s="45" t="n"/>
      <c r="E150" s="47" t="n"/>
      <c r="F150" s="50" t="n"/>
      <c r="G150" s="49">
        <f t="shared" si="1"/>
      </c>
      <c r="H150" s="53">
        <f t="shared" si="2"/>
      </c>
      <c r="I150" s="49">
        <f t="shared" si="3"/>
      </c>
      <c r="J150" s="2">
        <f t="shared" si="4"/>
        <v>0</v>
      </c>
    </row>
    <row r="151">
      <c r="A151" s="43">
        <f t="shared" si="0"/>
      </c>
      <c r="B151" s="44" t="n"/>
      <c r="C151" s="45" t="n"/>
      <c r="D151" s="45" t="n"/>
      <c r="E151" s="47" t="n"/>
      <c r="F151" s="50" t="n"/>
      <c r="G151" s="49">
        <f t="shared" si="1"/>
      </c>
      <c r="H151" s="53">
        <f t="shared" si="2"/>
      </c>
      <c r="I151" s="49">
        <f t="shared" si="3"/>
      </c>
      <c r="J151" s="2">
        <f t="shared" si="4"/>
        <v>0</v>
      </c>
    </row>
    <row r="152">
      <c r="A152" s="43">
        <f t="shared" si="0"/>
      </c>
      <c r="B152" s="44" t="n"/>
      <c r="C152" s="45" t="n"/>
      <c r="D152" s="45" t="n"/>
      <c r="E152" s="47" t="n"/>
      <c r="F152" s="50" t="n"/>
      <c r="G152" s="49">
        <f t="shared" si="1"/>
      </c>
      <c r="H152" s="53">
        <f t="shared" si="2"/>
      </c>
      <c r="I152" s="49">
        <f t="shared" si="3"/>
      </c>
      <c r="J152" s="2">
        <f t="shared" si="4"/>
        <v>0</v>
      </c>
    </row>
    <row r="153">
      <c r="A153" s="43">
        <f t="shared" si="0"/>
      </c>
      <c r="B153" s="44" t="n"/>
      <c r="C153" s="45" t="n"/>
      <c r="D153" s="45" t="n"/>
      <c r="E153" s="47" t="n"/>
      <c r="F153" s="50" t="n"/>
      <c r="G153" s="49">
        <f t="shared" si="1"/>
      </c>
      <c r="H153" s="53">
        <f t="shared" si="2"/>
      </c>
      <c r="I153" s="49">
        <f t="shared" si="3"/>
      </c>
      <c r="J153" s="2">
        <f t="shared" si="4"/>
        <v>0</v>
      </c>
    </row>
    <row r="154">
      <c r="A154" s="43">
        <f t="shared" si="0"/>
      </c>
      <c r="B154" s="44" t="n"/>
      <c r="C154" s="45" t="n"/>
      <c r="D154" s="45" t="n"/>
      <c r="E154" s="47" t="n"/>
      <c r="F154" s="50" t="n"/>
      <c r="G154" s="49">
        <f t="shared" si="1"/>
      </c>
      <c r="H154" s="53">
        <f t="shared" si="2"/>
      </c>
      <c r="I154" s="49">
        <f t="shared" si="3"/>
      </c>
      <c r="J154" s="2">
        <f t="shared" si="4"/>
        <v>0</v>
      </c>
    </row>
    <row r="155">
      <c r="A155" s="43">
        <f t="shared" si="0"/>
      </c>
      <c r="B155" s="44" t="n"/>
      <c r="C155" s="45" t="n"/>
      <c r="D155" s="45" t="n"/>
      <c r="E155" s="47" t="n"/>
      <c r="F155" s="50" t="n"/>
      <c r="G155" s="49">
        <f t="shared" si="1"/>
      </c>
      <c r="H155" s="53">
        <f t="shared" si="2"/>
      </c>
      <c r="I155" s="49">
        <f t="shared" si="3"/>
      </c>
      <c r="J155" s="2">
        <f t="shared" si="4"/>
        <v>0</v>
      </c>
    </row>
    <row r="156">
      <c r="A156" s="43">
        <f t="shared" si="0"/>
      </c>
      <c r="B156" s="44" t="n"/>
      <c r="C156" s="45" t="n"/>
      <c r="D156" s="45" t="n"/>
      <c r="E156" s="47" t="n"/>
      <c r="F156" s="50" t="n"/>
      <c r="G156" s="49">
        <f t="shared" si="1"/>
      </c>
      <c r="H156" s="53">
        <f t="shared" si="2"/>
      </c>
      <c r="I156" s="49">
        <f t="shared" si="3"/>
      </c>
      <c r="J156" s="2">
        <f t="shared" si="4"/>
        <v>0</v>
      </c>
    </row>
    <row r="157">
      <c r="A157" s="43">
        <f t="shared" si="0"/>
      </c>
      <c r="B157" s="44" t="n"/>
      <c r="C157" s="45" t="n"/>
      <c r="D157" s="45" t="n"/>
      <c r="E157" s="47" t="n"/>
      <c r="F157" s="50" t="n"/>
      <c r="G157" s="49">
        <f t="shared" si="1"/>
      </c>
      <c r="H157" s="53">
        <f t="shared" si="2"/>
      </c>
      <c r="I157" s="49">
        <f t="shared" si="3"/>
      </c>
      <c r="J157" s="2">
        <f t="shared" si="4"/>
        <v>0</v>
      </c>
    </row>
    <row r="158">
      <c r="A158" s="43">
        <f t="shared" si="0"/>
      </c>
      <c r="B158" s="44" t="n"/>
      <c r="C158" s="45" t="n"/>
      <c r="D158" s="45" t="n"/>
      <c r="E158" s="47" t="n"/>
      <c r="F158" s="50" t="n"/>
      <c r="G158" s="49">
        <f t="shared" si="1"/>
      </c>
      <c r="H158" s="53">
        <f t="shared" si="2"/>
      </c>
      <c r="I158" s="49">
        <f t="shared" si="3"/>
      </c>
      <c r="J158" s="2">
        <f t="shared" si="4"/>
        <v>0</v>
      </c>
    </row>
    <row r="159">
      <c r="A159" s="43">
        <f t="shared" si="0"/>
      </c>
      <c r="B159" s="44" t="n"/>
      <c r="C159" s="45" t="n"/>
      <c r="D159" s="45" t="n"/>
      <c r="E159" s="47" t="n"/>
      <c r="F159" s="50" t="n"/>
      <c r="G159" s="49">
        <f t="shared" si="1"/>
      </c>
      <c r="H159" s="53">
        <f t="shared" si="2"/>
      </c>
      <c r="I159" s="49">
        <f t="shared" si="3"/>
      </c>
      <c r="J159" s="2">
        <f t="shared" si="4"/>
        <v>0</v>
      </c>
    </row>
    <row r="160">
      <c r="A160" s="43">
        <f t="shared" si="0"/>
      </c>
      <c r="B160" s="44" t="n"/>
      <c r="C160" s="45" t="n"/>
      <c r="D160" s="45" t="n"/>
      <c r="E160" s="47" t="n"/>
      <c r="F160" s="50" t="n"/>
      <c r="G160" s="49">
        <f t="shared" si="1"/>
      </c>
      <c r="H160" s="53">
        <f t="shared" si="2"/>
      </c>
      <c r="I160" s="49">
        <f t="shared" si="3"/>
      </c>
      <c r="J160" s="2">
        <f t="shared" si="4"/>
        <v>0</v>
      </c>
    </row>
    <row r="161">
      <c r="A161" s="43">
        <f t="shared" si="0"/>
      </c>
      <c r="B161" s="44" t="n"/>
      <c r="C161" s="45" t="n"/>
      <c r="D161" s="45" t="n"/>
      <c r="E161" s="47" t="n"/>
      <c r="F161" s="50" t="n"/>
      <c r="G161" s="49">
        <f t="shared" si="1"/>
      </c>
      <c r="H161" s="53">
        <f t="shared" si="2"/>
      </c>
      <c r="I161" s="49">
        <f t="shared" si="3"/>
      </c>
      <c r="J161" s="2">
        <f t="shared" si="4"/>
        <v>0</v>
      </c>
    </row>
    <row r="162">
      <c r="A162" s="43">
        <f t="shared" si="0"/>
      </c>
      <c r="B162" s="44" t="n"/>
      <c r="C162" s="45" t="n"/>
      <c r="D162" s="45" t="n"/>
      <c r="E162" s="47" t="n"/>
      <c r="F162" s="50" t="n"/>
      <c r="G162" s="49">
        <f t="shared" si="1"/>
      </c>
      <c r="H162" s="53">
        <f t="shared" si="2"/>
      </c>
      <c r="I162" s="49">
        <f t="shared" si="3"/>
      </c>
      <c r="J162" s="2">
        <f t="shared" si="4"/>
        <v>0</v>
      </c>
    </row>
    <row r="163">
      <c r="A163" s="43">
        <f t="shared" si="0"/>
      </c>
      <c r="B163" s="44" t="n"/>
      <c r="C163" s="45" t="n"/>
      <c r="D163" s="45" t="n"/>
      <c r="E163" s="47" t="n"/>
      <c r="F163" s="50" t="n"/>
      <c r="G163" s="49">
        <f t="shared" si="1"/>
      </c>
      <c r="H163" s="53">
        <f t="shared" si="2"/>
      </c>
      <c r="I163" s="49">
        <f t="shared" si="3"/>
      </c>
      <c r="J163" s="2">
        <f t="shared" si="4"/>
        <v>0</v>
      </c>
    </row>
    <row r="164">
      <c r="A164" s="43">
        <f t="shared" si="0"/>
      </c>
      <c r="B164" s="44" t="n"/>
      <c r="C164" s="45" t="n"/>
      <c r="D164" s="45" t="n"/>
      <c r="E164" s="47" t="n"/>
      <c r="F164" s="50" t="n"/>
      <c r="G164" s="49">
        <f t="shared" si="1"/>
      </c>
      <c r="H164" s="53">
        <f t="shared" si="2"/>
      </c>
      <c r="I164" s="49">
        <f t="shared" si="3"/>
      </c>
      <c r="J164" s="2">
        <f t="shared" si="4"/>
        <v>0</v>
      </c>
    </row>
    <row r="165">
      <c r="A165" s="43">
        <f t="shared" si="0"/>
      </c>
      <c r="B165" s="44" t="n"/>
      <c r="C165" s="45" t="n"/>
      <c r="D165" s="45" t="n"/>
      <c r="E165" s="47" t="n"/>
      <c r="F165" s="50" t="n"/>
      <c r="G165" s="49">
        <f t="shared" si="1"/>
      </c>
      <c r="H165" s="53">
        <f t="shared" si="2"/>
      </c>
      <c r="I165" s="49">
        <f t="shared" si="3"/>
      </c>
      <c r="J165" s="2">
        <f t="shared" si="4"/>
        <v>0</v>
      </c>
    </row>
    <row r="166">
      <c r="A166" s="43">
        <f t="shared" si="0"/>
      </c>
      <c r="B166" s="44" t="n"/>
      <c r="C166" s="45" t="n"/>
      <c r="D166" s="45" t="n"/>
      <c r="E166" s="47" t="n"/>
      <c r="F166" s="50" t="n"/>
      <c r="G166" s="49">
        <f t="shared" si="1"/>
      </c>
      <c r="H166" s="53">
        <f t="shared" si="2"/>
      </c>
      <c r="I166" s="49">
        <f t="shared" si="3"/>
      </c>
      <c r="J166" s="2">
        <f t="shared" si="4"/>
        <v>0</v>
      </c>
    </row>
    <row r="167">
      <c r="A167" s="43">
        <f t="shared" si="0"/>
      </c>
      <c r="B167" s="44" t="n"/>
      <c r="C167" s="45" t="n"/>
      <c r="D167" s="45" t="n"/>
      <c r="E167" s="47" t="n"/>
      <c r="F167" s="50" t="n"/>
      <c r="G167" s="49">
        <f t="shared" si="1"/>
      </c>
      <c r="H167" s="53">
        <f t="shared" si="2"/>
      </c>
      <c r="I167" s="49">
        <f t="shared" si="3"/>
      </c>
      <c r="J167" s="2">
        <f t="shared" si="4"/>
        <v>0</v>
      </c>
    </row>
    <row r="168">
      <c r="A168" s="43">
        <f t="shared" si="0"/>
      </c>
      <c r="B168" s="44" t="n"/>
      <c r="C168" s="45" t="n"/>
      <c r="D168" s="45" t="n"/>
      <c r="E168" s="47" t="n"/>
      <c r="F168" s="50" t="n"/>
      <c r="G168" s="49">
        <f t="shared" si="1"/>
      </c>
      <c r="H168" s="53">
        <f t="shared" si="2"/>
      </c>
      <c r="I168" s="49">
        <f t="shared" si="3"/>
      </c>
      <c r="J168" s="2">
        <f t="shared" si="4"/>
        <v>0</v>
      </c>
    </row>
    <row r="169">
      <c r="A169" s="43">
        <f t="shared" si="0"/>
      </c>
      <c r="B169" s="44" t="n"/>
      <c r="C169" s="45" t="n"/>
      <c r="D169" s="45" t="n"/>
      <c r="E169" s="47" t="n"/>
      <c r="F169" s="50" t="n"/>
      <c r="G169" s="49">
        <f t="shared" si="1"/>
      </c>
      <c r="H169" s="53">
        <f t="shared" si="2"/>
      </c>
      <c r="I169" s="49">
        <f t="shared" si="3"/>
      </c>
      <c r="J169" s="2">
        <f t="shared" si="4"/>
        <v>0</v>
      </c>
    </row>
    <row r="170">
      <c r="A170" s="43">
        <f t="shared" si="0"/>
      </c>
      <c r="B170" s="44" t="n"/>
      <c r="C170" s="45" t="n"/>
      <c r="D170" s="45" t="n"/>
      <c r="E170" s="47" t="n"/>
      <c r="F170" s="50" t="n"/>
      <c r="G170" s="49">
        <f t="shared" si="1"/>
      </c>
      <c r="H170" s="53">
        <f t="shared" si="2"/>
      </c>
      <c r="I170" s="49">
        <f t="shared" si="3"/>
      </c>
      <c r="J170" s="2">
        <f t="shared" si="4"/>
        <v>0</v>
      </c>
    </row>
    <row r="171">
      <c r="A171" s="43">
        <f t="shared" si="0"/>
      </c>
      <c r="B171" s="44" t="n"/>
      <c r="C171" s="45" t="n"/>
      <c r="D171" s="45" t="n"/>
      <c r="E171" s="47" t="n"/>
      <c r="F171" s="50" t="n"/>
      <c r="G171" s="49">
        <f t="shared" si="1"/>
      </c>
      <c r="H171" s="53">
        <f t="shared" si="2"/>
      </c>
      <c r="I171" s="49">
        <f t="shared" si="3"/>
      </c>
      <c r="J171" s="2">
        <f t="shared" si="4"/>
        <v>0</v>
      </c>
    </row>
    <row r="172">
      <c r="A172" s="43">
        <f t="shared" si="0"/>
      </c>
      <c r="B172" s="44" t="n"/>
      <c r="C172" s="45" t="n"/>
      <c r="D172" s="45" t="n"/>
      <c r="E172" s="47" t="n"/>
      <c r="F172" s="50" t="n"/>
      <c r="G172" s="49">
        <f t="shared" si="1"/>
      </c>
      <c r="H172" s="53">
        <f t="shared" si="2"/>
      </c>
      <c r="I172" s="49">
        <f t="shared" si="3"/>
      </c>
      <c r="J172" s="2">
        <f t="shared" si="4"/>
        <v>0</v>
      </c>
    </row>
    <row r="173">
      <c r="A173" s="43">
        <f t="shared" si="0"/>
      </c>
      <c r="B173" s="44" t="n"/>
      <c r="C173" s="45" t="n"/>
      <c r="D173" s="45" t="n"/>
      <c r="E173" s="47" t="n"/>
      <c r="F173" s="50" t="n"/>
      <c r="G173" s="49">
        <f t="shared" si="1"/>
      </c>
      <c r="H173" s="53">
        <f t="shared" si="2"/>
      </c>
      <c r="I173" s="49">
        <f t="shared" si="3"/>
      </c>
      <c r="J173" s="2">
        <f t="shared" si="4"/>
        <v>0</v>
      </c>
    </row>
    <row r="174">
      <c r="A174" s="43">
        <f t="shared" si="0"/>
      </c>
      <c r="B174" s="44" t="n"/>
      <c r="C174" s="45" t="n"/>
      <c r="D174" s="45" t="n"/>
      <c r="E174" s="47" t="n"/>
      <c r="F174" s="50" t="n"/>
      <c r="G174" s="49">
        <f t="shared" si="1"/>
      </c>
      <c r="H174" s="53">
        <f t="shared" si="2"/>
      </c>
      <c r="I174" s="49">
        <f t="shared" si="3"/>
      </c>
      <c r="J174" s="2">
        <f t="shared" si="4"/>
        <v>0</v>
      </c>
    </row>
    <row r="175">
      <c r="A175" s="43">
        <f t="shared" si="0"/>
      </c>
      <c r="B175" s="44" t="n"/>
      <c r="C175" s="45" t="n"/>
      <c r="D175" s="45" t="n"/>
      <c r="E175" s="47" t="n"/>
      <c r="F175" s="50" t="n"/>
      <c r="G175" s="49">
        <f t="shared" si="1"/>
      </c>
      <c r="H175" s="53">
        <f t="shared" si="2"/>
      </c>
      <c r="I175" s="49">
        <f t="shared" si="3"/>
      </c>
      <c r="J175" s="2">
        <f t="shared" si="4"/>
        <v>0</v>
      </c>
    </row>
    <row r="176">
      <c r="A176" s="43">
        <f t="shared" si="0"/>
      </c>
      <c r="B176" s="44" t="n"/>
      <c r="C176" s="45" t="n"/>
      <c r="D176" s="45" t="n"/>
      <c r="E176" s="47" t="n"/>
      <c r="F176" s="50" t="n"/>
      <c r="G176" s="49">
        <f t="shared" si="1"/>
      </c>
      <c r="H176" s="53">
        <f t="shared" si="2"/>
      </c>
      <c r="I176" s="49">
        <f t="shared" si="3"/>
      </c>
      <c r="J176" s="2">
        <f t="shared" si="4"/>
        <v>0</v>
      </c>
    </row>
    <row r="177">
      <c r="A177" s="43">
        <f t="shared" si="0"/>
      </c>
      <c r="B177" s="44" t="n"/>
      <c r="C177" s="45" t="n"/>
      <c r="D177" s="45" t="n"/>
      <c r="E177" s="47" t="n"/>
      <c r="F177" s="50" t="n"/>
      <c r="G177" s="49">
        <f t="shared" si="1"/>
      </c>
      <c r="H177" s="53">
        <f t="shared" si="2"/>
      </c>
      <c r="I177" s="49">
        <f t="shared" si="3"/>
      </c>
      <c r="J177" s="2">
        <f t="shared" si="4"/>
        <v>0</v>
      </c>
    </row>
    <row r="178">
      <c r="A178" s="43">
        <f t="shared" si="0"/>
      </c>
      <c r="B178" s="44" t="n"/>
      <c r="C178" s="45" t="n"/>
      <c r="D178" s="45" t="n"/>
      <c r="E178" s="47" t="n"/>
      <c r="F178" s="50" t="n"/>
      <c r="G178" s="49">
        <f t="shared" si="1"/>
      </c>
      <c r="H178" s="53">
        <f t="shared" si="2"/>
      </c>
      <c r="I178" s="49">
        <f t="shared" si="3"/>
      </c>
      <c r="J178" s="2">
        <f t="shared" si="4"/>
        <v>0</v>
      </c>
    </row>
    <row r="179">
      <c r="A179" s="43">
        <f t="shared" si="0"/>
      </c>
      <c r="B179" s="44" t="n"/>
      <c r="C179" s="45" t="n"/>
      <c r="D179" s="45" t="n"/>
      <c r="E179" s="47" t="n"/>
      <c r="F179" s="50" t="n"/>
      <c r="G179" s="49">
        <f t="shared" si="1"/>
      </c>
      <c r="H179" s="53">
        <f t="shared" si="2"/>
      </c>
      <c r="I179" s="49">
        <f t="shared" si="3"/>
      </c>
      <c r="J179" s="2">
        <f t="shared" si="4"/>
        <v>0</v>
      </c>
    </row>
    <row r="180">
      <c r="A180" s="43">
        <f t="shared" si="0"/>
      </c>
      <c r="B180" s="44" t="n"/>
      <c r="C180" s="45" t="n"/>
      <c r="D180" s="45" t="n"/>
      <c r="E180" s="47" t="n"/>
      <c r="F180" s="50" t="n"/>
      <c r="G180" s="49">
        <f t="shared" si="1"/>
      </c>
      <c r="H180" s="53">
        <f t="shared" si="2"/>
      </c>
      <c r="I180" s="49">
        <f t="shared" si="3"/>
      </c>
      <c r="J180" s="2">
        <f t="shared" si="4"/>
        <v>0</v>
      </c>
    </row>
    <row r="181">
      <c r="A181" s="43">
        <f t="shared" si="0"/>
      </c>
      <c r="B181" s="44" t="n"/>
      <c r="C181" s="45" t="n"/>
      <c r="D181" s="45" t="n"/>
      <c r="E181" s="47" t="n"/>
      <c r="F181" s="50" t="n"/>
      <c r="G181" s="49">
        <f t="shared" si="1"/>
      </c>
      <c r="H181" s="53">
        <f t="shared" si="2"/>
      </c>
      <c r="I181" s="49">
        <f t="shared" si="3"/>
      </c>
      <c r="J181" s="2">
        <f t="shared" si="4"/>
        <v>0</v>
      </c>
    </row>
    <row r="182">
      <c r="A182" s="43">
        <f t="shared" si="0"/>
      </c>
      <c r="B182" s="44" t="n"/>
      <c r="C182" s="45" t="n"/>
      <c r="D182" s="45" t="n"/>
      <c r="E182" s="47" t="n"/>
      <c r="F182" s="50" t="n"/>
      <c r="G182" s="49">
        <f t="shared" si="1"/>
      </c>
      <c r="H182" s="53">
        <f t="shared" si="2"/>
      </c>
      <c r="I182" s="49">
        <f t="shared" si="3"/>
      </c>
      <c r="J182" s="2">
        <f t="shared" si="4"/>
        <v>0</v>
      </c>
    </row>
    <row r="183">
      <c r="A183" s="43">
        <f t="shared" si="0"/>
      </c>
      <c r="B183" s="44" t="n"/>
      <c r="C183" s="45" t="n"/>
      <c r="D183" s="45" t="n"/>
      <c r="E183" s="47" t="n"/>
      <c r="F183" s="50" t="n"/>
      <c r="G183" s="49">
        <f t="shared" si="1"/>
      </c>
      <c r="H183" s="53">
        <f t="shared" si="2"/>
      </c>
      <c r="I183" s="49">
        <f t="shared" si="3"/>
      </c>
      <c r="J183" s="2">
        <f t="shared" si="4"/>
        <v>0</v>
      </c>
    </row>
    <row r="184">
      <c r="A184" s="43">
        <f t="shared" si="0"/>
      </c>
      <c r="B184" s="44" t="n"/>
      <c r="C184" s="45" t="n"/>
      <c r="D184" s="45" t="n"/>
      <c r="E184" s="47" t="n"/>
      <c r="F184" s="50" t="n"/>
      <c r="G184" s="49">
        <f t="shared" si="1"/>
      </c>
      <c r="H184" s="53">
        <f t="shared" si="2"/>
      </c>
      <c r="I184" s="49">
        <f t="shared" si="3"/>
      </c>
      <c r="J184" s="2">
        <f t="shared" si="4"/>
        <v>0</v>
      </c>
    </row>
    <row r="185">
      <c r="A185" s="43">
        <f t="shared" si="0"/>
      </c>
      <c r="B185" s="44" t="n"/>
      <c r="C185" s="45" t="n"/>
      <c r="D185" s="45" t="n"/>
      <c r="E185" s="47" t="n"/>
      <c r="F185" s="50" t="n"/>
      <c r="G185" s="49">
        <f t="shared" si="1"/>
      </c>
      <c r="H185" s="53">
        <f t="shared" si="2"/>
      </c>
      <c r="I185" s="49">
        <f t="shared" si="3"/>
      </c>
      <c r="J185" s="2">
        <f t="shared" si="4"/>
        <v>0</v>
      </c>
    </row>
    <row r="186">
      <c r="A186" s="43">
        <f t="shared" si="0"/>
      </c>
      <c r="B186" s="44" t="n"/>
      <c r="C186" s="45" t="n"/>
      <c r="D186" s="45" t="n"/>
      <c r="E186" s="47" t="n"/>
      <c r="F186" s="50" t="n"/>
      <c r="G186" s="49">
        <f t="shared" si="1"/>
      </c>
      <c r="H186" s="53">
        <f t="shared" si="2"/>
      </c>
      <c r="I186" s="49">
        <f t="shared" si="3"/>
      </c>
      <c r="J186" s="2">
        <f t="shared" si="4"/>
        <v>0</v>
      </c>
    </row>
    <row r="187">
      <c r="A187" s="43">
        <f t="shared" si="0"/>
      </c>
      <c r="B187" s="44" t="n"/>
      <c r="C187" s="45" t="n"/>
      <c r="D187" s="45" t="n"/>
      <c r="E187" s="47" t="n"/>
      <c r="F187" s="50" t="n"/>
      <c r="G187" s="49">
        <f t="shared" si="1"/>
      </c>
      <c r="H187" s="53">
        <f t="shared" si="2"/>
      </c>
      <c r="I187" s="49">
        <f t="shared" si="3"/>
      </c>
      <c r="J187" s="2">
        <f t="shared" si="4"/>
        <v>0</v>
      </c>
    </row>
    <row r="188">
      <c r="A188" s="43">
        <f t="shared" si="0"/>
      </c>
      <c r="B188" s="44" t="n"/>
      <c r="C188" s="45" t="n"/>
      <c r="D188" s="45" t="n"/>
      <c r="E188" s="47" t="n"/>
      <c r="F188" s="50" t="n"/>
      <c r="G188" s="49">
        <f t="shared" si="1"/>
      </c>
      <c r="H188" s="53">
        <f t="shared" si="2"/>
      </c>
      <c r="I188" s="49">
        <f t="shared" si="3"/>
      </c>
      <c r="J188" s="2">
        <f t="shared" si="4"/>
        <v>0</v>
      </c>
    </row>
    <row r="189">
      <c r="A189" s="43">
        <f t="shared" si="0"/>
      </c>
      <c r="B189" s="44" t="n"/>
      <c r="C189" s="45" t="n"/>
      <c r="D189" s="45" t="n"/>
      <c r="E189" s="47" t="n"/>
      <c r="F189" s="50" t="n"/>
      <c r="G189" s="49">
        <f t="shared" si="1"/>
      </c>
      <c r="H189" s="53">
        <f t="shared" si="2"/>
      </c>
      <c r="I189" s="49">
        <f t="shared" si="3"/>
      </c>
      <c r="J189" s="2">
        <f t="shared" si="4"/>
        <v>0</v>
      </c>
    </row>
    <row r="190">
      <c r="A190" s="43">
        <f t="shared" si="0"/>
      </c>
      <c r="B190" s="44" t="n"/>
      <c r="C190" s="45" t="n"/>
      <c r="D190" s="45" t="n"/>
      <c r="E190" s="47" t="n"/>
      <c r="F190" s="50" t="n"/>
      <c r="G190" s="49">
        <f t="shared" si="1"/>
      </c>
      <c r="H190" s="53">
        <f t="shared" si="2"/>
      </c>
      <c r="I190" s="49">
        <f t="shared" si="3"/>
      </c>
      <c r="J190" s="2">
        <f t="shared" si="4"/>
        <v>0</v>
      </c>
    </row>
    <row r="191">
      <c r="A191" s="43">
        <f t="shared" si="0"/>
      </c>
      <c r="B191" s="44" t="n"/>
      <c r="C191" s="45" t="n"/>
      <c r="D191" s="45" t="n"/>
      <c r="E191" s="47" t="n"/>
      <c r="F191" s="50" t="n"/>
      <c r="G191" s="49">
        <f t="shared" si="1"/>
      </c>
      <c r="H191" s="53">
        <f t="shared" si="2"/>
      </c>
      <c r="I191" s="49">
        <f t="shared" si="3"/>
      </c>
      <c r="J191" s="2">
        <f t="shared" si="4"/>
        <v>0</v>
      </c>
    </row>
    <row r="192">
      <c r="A192" s="43">
        <f t="shared" si="0"/>
      </c>
      <c r="B192" s="44" t="n"/>
      <c r="C192" s="45" t="n"/>
      <c r="D192" s="45" t="n"/>
      <c r="E192" s="47" t="n"/>
      <c r="F192" s="50" t="n"/>
      <c r="G192" s="49">
        <f t="shared" si="1"/>
      </c>
      <c r="H192" s="53">
        <f t="shared" si="2"/>
      </c>
      <c r="I192" s="49">
        <f t="shared" si="3"/>
      </c>
      <c r="J192" s="2">
        <f t="shared" si="4"/>
        <v>0</v>
      </c>
    </row>
    <row r="193">
      <c r="A193" s="43">
        <f t="shared" si="0"/>
      </c>
      <c r="B193" s="44" t="n"/>
      <c r="C193" s="45" t="n"/>
      <c r="D193" s="45" t="n"/>
      <c r="E193" s="47" t="n"/>
      <c r="F193" s="50" t="n"/>
      <c r="G193" s="49">
        <f t="shared" si="1"/>
      </c>
      <c r="H193" s="53">
        <f t="shared" si="2"/>
      </c>
      <c r="I193" s="49">
        <f t="shared" si="3"/>
      </c>
      <c r="J193" s="2">
        <f t="shared" si="4"/>
        <v>0</v>
      </c>
    </row>
    <row r="194">
      <c r="A194" s="43">
        <f t="shared" si="0"/>
      </c>
      <c r="B194" s="44" t="n"/>
      <c r="C194" s="45" t="n"/>
      <c r="D194" s="45" t="n"/>
      <c r="E194" s="47" t="n"/>
      <c r="F194" s="50" t="n"/>
      <c r="G194" s="49">
        <f t="shared" si="1"/>
      </c>
      <c r="H194" s="53">
        <f t="shared" si="2"/>
      </c>
      <c r="I194" s="49">
        <f t="shared" si="3"/>
      </c>
      <c r="J194" s="2">
        <f t="shared" si="4"/>
        <v>0</v>
      </c>
    </row>
    <row r="195">
      <c r="A195" s="43">
        <f t="shared" si="0"/>
      </c>
      <c r="B195" s="44" t="n"/>
      <c r="C195" s="45" t="n"/>
      <c r="D195" s="45" t="n"/>
      <c r="E195" s="47" t="n"/>
      <c r="F195" s="50" t="n"/>
      <c r="G195" s="49">
        <f t="shared" si="1"/>
      </c>
      <c r="H195" s="53">
        <f t="shared" si="2"/>
      </c>
      <c r="I195" s="49">
        <f t="shared" si="3"/>
      </c>
      <c r="J195" s="2">
        <f t="shared" si="4"/>
        <v>0</v>
      </c>
    </row>
    <row r="196">
      <c r="A196" s="43">
        <f t="shared" si="0"/>
      </c>
      <c r="B196" s="44" t="n"/>
      <c r="C196" s="45" t="n"/>
      <c r="D196" s="45" t="n"/>
      <c r="E196" s="47" t="n"/>
      <c r="F196" s="50" t="n"/>
      <c r="G196" s="49">
        <f t="shared" si="1"/>
      </c>
      <c r="H196" s="53">
        <f t="shared" si="2"/>
      </c>
      <c r="I196" s="49">
        <f t="shared" si="3"/>
      </c>
      <c r="J196" s="2">
        <f t="shared" si="4"/>
        <v>0</v>
      </c>
    </row>
    <row r="197">
      <c r="A197" s="43">
        <f t="shared" si="0"/>
      </c>
      <c r="B197" s="44" t="n"/>
      <c r="C197" s="45" t="n"/>
      <c r="D197" s="45" t="n"/>
      <c r="E197" s="47" t="n"/>
      <c r="F197" s="50" t="n"/>
      <c r="G197" s="49">
        <f t="shared" si="1"/>
      </c>
      <c r="H197" s="53">
        <f t="shared" si="2"/>
      </c>
      <c r="I197" s="49">
        <f t="shared" si="3"/>
      </c>
      <c r="J197" s="2">
        <f t="shared" si="4"/>
        <v>0</v>
      </c>
    </row>
    <row r="198">
      <c r="A198" s="43">
        <f t="shared" si="0"/>
      </c>
      <c r="B198" s="44" t="n"/>
      <c r="C198" s="45" t="n"/>
      <c r="D198" s="45" t="n"/>
      <c r="E198" s="47" t="n"/>
      <c r="F198" s="50" t="n"/>
      <c r="G198" s="49">
        <f t="shared" si="1"/>
      </c>
      <c r="H198" s="53">
        <f t="shared" si="2"/>
      </c>
      <c r="I198" s="49">
        <f t="shared" si="3"/>
      </c>
      <c r="J198" s="2">
        <f t="shared" si="4"/>
        <v>0</v>
      </c>
    </row>
    <row r="199">
      <c r="A199" s="43">
        <f t="shared" si="0"/>
      </c>
      <c r="B199" s="44" t="n"/>
      <c r="C199" s="45" t="n"/>
      <c r="D199" s="45" t="n"/>
      <c r="E199" s="47" t="n"/>
      <c r="F199" s="50" t="n"/>
      <c r="G199" s="49">
        <f t="shared" si="1"/>
      </c>
      <c r="H199" s="53">
        <f t="shared" si="2"/>
      </c>
      <c r="I199" s="49">
        <f t="shared" si="3"/>
      </c>
      <c r="J199" s="2">
        <f t="shared" si="4"/>
        <v>0</v>
      </c>
    </row>
    <row r="200">
      <c r="A200" s="43">
        <f t="shared" si="0"/>
      </c>
      <c r="B200" s="44" t="n"/>
      <c r="C200" s="45" t="n"/>
      <c r="D200" s="45" t="n"/>
      <c r="E200" s="47" t="n"/>
      <c r="F200" s="50" t="n"/>
      <c r="G200" s="49">
        <f t="shared" si="1"/>
      </c>
      <c r="H200" s="53">
        <f t="shared" si="2"/>
      </c>
      <c r="I200" s="49">
        <f t="shared" si="3"/>
      </c>
      <c r="J200" s="2">
        <f t="shared" si="4"/>
        <v>0</v>
      </c>
    </row>
    <row r="201">
      <c r="A201" s="43">
        <f t="shared" si="0"/>
      </c>
      <c r="B201" s="44" t="n"/>
      <c r="C201" s="45" t="n"/>
      <c r="D201" s="45" t="n"/>
      <c r="E201" s="47" t="n"/>
      <c r="F201" s="50" t="n"/>
      <c r="G201" s="49">
        <f t="shared" si="1"/>
      </c>
      <c r="H201" s="53">
        <f t="shared" si="2"/>
      </c>
      <c r="I201" s="49">
        <f t="shared" si="3"/>
      </c>
      <c r="J201" s="2">
        <f t="shared" si="4"/>
        <v>0</v>
      </c>
    </row>
    <row r="202">
      <c r="A202" s="43">
        <f t="shared" si="0"/>
      </c>
      <c r="B202" s="44" t="n"/>
      <c r="C202" s="45" t="n"/>
      <c r="D202" s="45" t="n"/>
      <c r="E202" s="47" t="n"/>
      <c r="F202" s="50" t="n"/>
      <c r="G202" s="49">
        <f t="shared" si="1"/>
      </c>
      <c r="H202" s="53">
        <f t="shared" si="2"/>
      </c>
      <c r="I202" s="49">
        <f t="shared" si="3"/>
      </c>
      <c r="J202" s="2">
        <f t="shared" si="4"/>
        <v>0</v>
      </c>
    </row>
    <row r="203">
      <c r="A203" s="43">
        <f t="shared" si="0"/>
      </c>
      <c r="B203" s="44" t="n"/>
      <c r="C203" s="45" t="n"/>
      <c r="D203" s="45" t="n"/>
      <c r="E203" s="47" t="n"/>
      <c r="F203" s="50" t="n"/>
      <c r="G203" s="49">
        <f t="shared" si="1"/>
      </c>
      <c r="H203" s="53">
        <f t="shared" si="2"/>
      </c>
      <c r="I203" s="49">
        <f t="shared" si="3"/>
      </c>
      <c r="J203" s="2">
        <f t="shared" si="4"/>
        <v>0</v>
      </c>
    </row>
    <row r="204">
      <c r="A204" s="43">
        <f t="shared" si="0"/>
      </c>
      <c r="B204" s="44" t="n"/>
      <c r="C204" s="45" t="n"/>
      <c r="D204" s="45" t="n"/>
      <c r="E204" s="47" t="n"/>
      <c r="F204" s="50" t="n"/>
      <c r="G204" s="49">
        <f t="shared" si="1"/>
      </c>
      <c r="H204" s="53">
        <f t="shared" si="2"/>
      </c>
      <c r="I204" s="49">
        <f t="shared" si="3"/>
      </c>
      <c r="J204" s="2">
        <f t="shared" si="4"/>
        <v>0</v>
      </c>
    </row>
  </sheetData>
  <autoFilter ref="A4:I204"/>
  <mergeCells count="2">
    <mergeCell ref="A1:I1"/>
    <mergeCell ref="A2:I2"/>
  </mergeCells>
  <conditionalFormatting sqref="I5:I204">
    <cfRule type="expression" priority="1" dxfId="2">
      <formula>LEFT($I5,1)="✗"</formula>
    </cfRule>
    <cfRule type="expression" priority="2" dxfId="3">
      <formula>LEFT($I5,1)="⚠"</formula>
    </cfRule>
    <cfRule type="expression" priority="3" dxfId="4">
      <formula>$I5="√"</formula>
    </cfRule>
  </conditionalFormatting>
  <dataValidations count="3">
    <dataValidation sqref="B5:B204" showDropDown="0" showInputMessage="0" showErrorMessage="1" allowBlank="1" errorTitle="日期" error="要像 2026/9/1 这样填日期" type="date" errorStyle="warning" operator="between">
      <formula1>36526</formula1>
      <formula2>73050</formula2>
    </dataValidation>
    <dataValidation sqref="C5:C204" showDropDown="0" showInputMessage="0" showErrorMessage="1" allowBlank="1" errorTitle="不在清单里" error="请从下拉里选；清单里没有的，先到【基础资料】/【往来单位】里登记" type="list" errorStyle="stop">
      <formula1>=项目档案!$B$4:$B$63</formula1>
    </dataValidation>
    <dataValidation sqref="D5:D204" showDropDown="0" showInputMessage="0" showErrorMessage="1" allowBlank="1" errorTitle="不在清单里" error="请从下拉里选；清单里没有的，先到【基础资料】/【往来单位】里登记" type="list" errorStyle="stop">
      <formula1>"进度确认,签证变更,结算调整"</formula1>
    </dataValidation>
  </dataValidations>
  <hyperlinks>
    <hyperlink ref="J1" location="'首页'!A1" display="← 回首页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75B5"/>
    <outlinePr summaryBelow="1" summaryRight="1"/>
    <pageSetUpPr/>
  </sheetPr>
  <dimension ref="A1:L304"/>
  <sheetViews>
    <sheetView showGridLines="0" tabSelected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8" customWidth="1" min="4" max="4"/>
    <col width="14" customWidth="1" min="5" max="5"/>
    <col width="13" customWidth="1" min="6" max="6"/>
    <col width="36" customWidth="1" min="7" max="7"/>
    <col width="8" customWidth="1" min="8" max="8"/>
    <col width="10" customWidth="1" min="9" max="9"/>
    <col width="30" customWidth="1" min="10" max="10"/>
    <col hidden="1" width="13" customWidth="1" min="11" max="11"/>
    <col hidden="1" width="13" customWidth="1" min="12" max="12"/>
  </cols>
  <sheetData>
    <row r="1" ht="33" customHeight="1">
      <c r="A1" s="51" t="inlineStr">
        <is>
          <t>代 发 抵 账（总包代发工资 · 总包代付款 · 甲方扣款：没经过我们账户的钱）</t>
        </is>
      </c>
      <c r="K1" s="33" t="inlineStr">
        <is>
          <t>← 回首页</t>
        </is>
      </c>
    </row>
    <row r="2" ht="54" customHeight="1">
      <c r="A2" s="3" t="inlineStr">
        <is>
          <t>💡 总包直接把工资发给我们的工人（从我们的工程款里扣），选「总包代发工资」：这个项目算收到了这么多工程款，这个工人算已经发了这么多工资。工人多拿了、退给我们的，在【资金流水】记收入、类别选「工资退回」、单位选这个工人。总包替我们付给材料商、分包的，选「总包代付材料分包款」（对象填那家单位）；甲方供的材料从工程款里扣，选「甲供材扣款」（算这个项目的材料费）；甲方扣的罚款、水电费，选「甲方扣款」（算这个项目的其他直接费）。</t>
        </is>
      </c>
    </row>
    <row r="3"/>
    <row r="4" ht="34" customHeight="1">
      <c r="A4" s="42" t="inlineStr">
        <is>
          <t>序号</t>
        </is>
      </c>
      <c r="B4" s="42" t="inlineStr">
        <is>
          <t>日期</t>
        </is>
      </c>
      <c r="C4" s="42" t="inlineStr">
        <is>
          <t>项目</t>
        </is>
      </c>
      <c r="D4" s="42" t="inlineStr">
        <is>
          <t>类型</t>
        </is>
      </c>
      <c r="E4" s="42" t="inlineStr">
        <is>
          <t>对象
（工人 / 单位）</t>
        </is>
      </c>
      <c r="F4" s="42" t="inlineStr">
        <is>
          <t>金额</t>
        </is>
      </c>
      <c r="G4" s="42" t="inlineStr">
        <is>
          <t>说明</t>
        </is>
      </c>
      <c r="H4" s="42" t="inlineStr">
        <is>
          <t>年月</t>
        </is>
      </c>
      <c r="I4" s="42" t="inlineStr">
        <is>
          <t>对象类型</t>
        </is>
      </c>
      <c r="J4" s="42" t="inlineStr">
        <is>
          <t>校验</t>
        </is>
      </c>
    </row>
    <row r="5">
      <c r="A5" s="43">
        <f t="shared" ref="A5:A304" si="0">IF(AND(B5="",C5="",F5=""),"",ROW()-4)</f>
      </c>
      <c r="B5" s="44" t="n"/>
      <c r="C5" s="45" t="n"/>
      <c r="D5" s="45" t="n"/>
      <c r="E5" s="45" t="n"/>
      <c r="F5" s="47" t="n"/>
      <c r="G5" s="50" t="n"/>
      <c r="H5" s="53">
        <f t="shared" ref="H5:H304" si="1">IF(ISNUMBER(B5),YEAR(B5)*100+MONTH(B5),"")</f>
      </c>
      <c r="I5" s="53">
        <f t="shared" ref="I5:I304" si="2">IF(E5="","",IFERROR(INDEX(往来单位!$C$4:$C$303,MATCH(E5,往来单位!$B$4:$B$303,0))&amp;"",""))</f>
      </c>
      <c r="J5" s="49">
        <f t="shared" ref="J5:J304" si="3">IF(AND(B5="",C5="",F5=""),"",IF(NOT(ISNUMBER(B5)),"✗ 日期要填成日期",IF(B5&lt;基础资料!$C$9,"✗ 早于建账日期",IF(C5="","✗ 选项目",IF(COUNTIF(项目档案!$B$4:$B$63,C5)=0,"✗ 项目不在【项目档案】里",IF(D5="","✗ 选类型",IF(N(F5)=0,"✗ 没有金额",IF(AND(D5="总包代发工资",I5&lt;&gt;"工人",I5&lt;&gt;"管理人员"),"✗ 代发工资的对象要是一个工人（一人一行）",IF(AND(D5="总包代付材料分包款",I5&lt;&gt;"材料供应商",I5&lt;&gt;"分包",I5&lt;&gt;"机械运输",I5&lt;&gt;"其他"),"✗ 代付款的对象要是材料商、分包或机械单位","√")))))))))</f>
      </c>
      <c r="K5" s="2">
        <f t="shared" ref="K5:K304" si="4">IF(ISNUMBER(B5),INT(B5),0)</f>
        <v>0</v>
      </c>
      <c r="L5" s="2">
        <f t="shared" ref="L5:L304" si="5">IF(AND(OR(D5="总包代发工资",D5="总包代付材料分包款"),K5&gt;0,C5&lt;&gt;""),C5&amp;"|"&amp;(COUNTIFS(代发抵账!$C$5:$C$304,C5,代发抵账!$D$5:$D$304,"总包代发工资",代发抵账!$K$5:$K$304,"&gt;0",代发抵账!$K$5:$K$304,"&lt;="&amp;K5)+COUNTIFS(代发抵账!$C$5:$C$304,C5,代发抵账!$D$5:$D$304,"总包代付材料分包款",代发抵账!$K$5:$K$304,"&gt;0",代发抵账!$K$5:$K$304,"&lt;="&amp;K5)),"")</f>
      </c>
    </row>
    <row r="6">
      <c r="A6" s="43">
        <f t="shared" si="0"/>
      </c>
      <c r="B6" s="44" t="n"/>
      <c r="C6" s="45" t="n"/>
      <c r="D6" s="45" t="n"/>
      <c r="E6" s="45" t="n"/>
      <c r="F6" s="47" t="n"/>
      <c r="G6" s="50" t="n"/>
      <c r="H6" s="53">
        <f t="shared" si="1"/>
      </c>
      <c r="I6" s="53">
        <f t="shared" si="2"/>
      </c>
      <c r="J6" s="49">
        <f t="shared" si="3"/>
      </c>
      <c r="K6" s="2">
        <f t="shared" si="4"/>
        <v>0</v>
      </c>
      <c r="L6" s="2">
        <f t="shared" si="5"/>
      </c>
    </row>
    <row r="7">
      <c r="A7" s="43">
        <f t="shared" si="0"/>
      </c>
      <c r="B7" s="44" t="n"/>
      <c r="C7" s="45" t="n"/>
      <c r="D7" s="45" t="n"/>
      <c r="E7" s="45" t="n"/>
      <c r="F7" s="47" t="n"/>
      <c r="G7" s="50" t="n"/>
      <c r="H7" s="53">
        <f t="shared" si="1"/>
      </c>
      <c r="I7" s="53">
        <f t="shared" si="2"/>
      </c>
      <c r="J7" s="49">
        <f t="shared" si="3"/>
      </c>
      <c r="K7" s="2">
        <f t="shared" si="4"/>
        <v>0</v>
      </c>
      <c r="L7" s="2">
        <f t="shared" si="5"/>
      </c>
    </row>
    <row r="8">
      <c r="A8" s="43">
        <f t="shared" si="0"/>
      </c>
      <c r="B8" s="44" t="n"/>
      <c r="C8" s="45" t="n"/>
      <c r="D8" s="45" t="n"/>
      <c r="E8" s="45" t="n"/>
      <c r="F8" s="47" t="n"/>
      <c r="G8" s="50" t="n"/>
      <c r="H8" s="53">
        <f t="shared" si="1"/>
      </c>
      <c r="I8" s="53">
        <f t="shared" si="2"/>
      </c>
      <c r="J8" s="49">
        <f t="shared" si="3"/>
      </c>
      <c r="K8" s="2">
        <f t="shared" si="4"/>
        <v>0</v>
      </c>
      <c r="L8" s="2">
        <f t="shared" si="5"/>
      </c>
    </row>
    <row r="9">
      <c r="A9" s="43">
        <f t="shared" si="0"/>
      </c>
      <c r="B9" s="44" t="n"/>
      <c r="C9" s="45" t="n"/>
      <c r="D9" s="45" t="n"/>
      <c r="E9" s="45" t="n"/>
      <c r="F9" s="47" t="n"/>
      <c r="G9" s="50" t="n"/>
      <c r="H9" s="53">
        <f t="shared" si="1"/>
      </c>
      <c r="I9" s="53">
        <f t="shared" si="2"/>
      </c>
      <c r="J9" s="49">
        <f t="shared" si="3"/>
      </c>
      <c r="K9" s="2">
        <f t="shared" si="4"/>
        <v>0</v>
      </c>
      <c r="L9" s="2">
        <f t="shared" si="5"/>
      </c>
    </row>
    <row r="10">
      <c r="A10" s="43">
        <f t="shared" si="0"/>
      </c>
      <c r="B10" s="44" t="n"/>
      <c r="C10" s="45" t="n"/>
      <c r="D10" s="45" t="n"/>
      <c r="E10" s="45" t="n"/>
      <c r="F10" s="47" t="n"/>
      <c r="G10" s="50" t="n"/>
      <c r="H10" s="53">
        <f t="shared" si="1"/>
      </c>
      <c r="I10" s="53">
        <f t="shared" si="2"/>
      </c>
      <c r="J10" s="49">
        <f t="shared" si="3"/>
      </c>
      <c r="K10" s="2">
        <f t="shared" si="4"/>
        <v>0</v>
      </c>
      <c r="L10" s="2">
        <f t="shared" si="5"/>
      </c>
    </row>
    <row r="11">
      <c r="A11" s="43">
        <f t="shared" si="0"/>
      </c>
      <c r="B11" s="44" t="n"/>
      <c r="C11" s="45" t="n"/>
      <c r="D11" s="45" t="n"/>
      <c r="E11" s="45" t="n"/>
      <c r="F11" s="47" t="n"/>
      <c r="G11" s="50" t="n"/>
      <c r="H11" s="53">
        <f t="shared" si="1"/>
      </c>
      <c r="I11" s="53">
        <f t="shared" si="2"/>
      </c>
      <c r="J11" s="49">
        <f t="shared" si="3"/>
      </c>
      <c r="K11" s="2">
        <f t="shared" si="4"/>
        <v>0</v>
      </c>
      <c r="L11" s="2">
        <f t="shared" si="5"/>
      </c>
    </row>
    <row r="12">
      <c r="A12" s="43">
        <f t="shared" si="0"/>
      </c>
      <c r="B12" s="44" t="n"/>
      <c r="C12" s="45" t="n"/>
      <c r="D12" s="45" t="n"/>
      <c r="E12" s="45" t="n"/>
      <c r="F12" s="47" t="n"/>
      <c r="G12" s="50" t="n"/>
      <c r="H12" s="53">
        <f t="shared" si="1"/>
      </c>
      <c r="I12" s="53">
        <f t="shared" si="2"/>
      </c>
      <c r="J12" s="49">
        <f t="shared" si="3"/>
      </c>
      <c r="K12" s="2">
        <f t="shared" si="4"/>
        <v>0</v>
      </c>
      <c r="L12" s="2">
        <f t="shared" si="5"/>
      </c>
    </row>
    <row r="13">
      <c r="A13" s="43">
        <f t="shared" si="0"/>
      </c>
      <c r="B13" s="44" t="n"/>
      <c r="C13" s="45" t="n"/>
      <c r="D13" s="45" t="n"/>
      <c r="E13" s="45" t="n"/>
      <c r="F13" s="47" t="n"/>
      <c r="G13" s="50" t="n"/>
      <c r="H13" s="53">
        <f t="shared" si="1"/>
      </c>
      <c r="I13" s="53">
        <f t="shared" si="2"/>
      </c>
      <c r="J13" s="49">
        <f t="shared" si="3"/>
      </c>
      <c r="K13" s="2">
        <f t="shared" si="4"/>
        <v>0</v>
      </c>
      <c r="L13" s="2">
        <f t="shared" si="5"/>
      </c>
    </row>
    <row r="14">
      <c r="A14" s="43">
        <f t="shared" si="0"/>
      </c>
      <c r="B14" s="44" t="n"/>
      <c r="C14" s="45" t="n"/>
      <c r="D14" s="45" t="n"/>
      <c r="E14" s="45" t="n"/>
      <c r="F14" s="47" t="n"/>
      <c r="G14" s="50" t="n"/>
      <c r="H14" s="53">
        <f t="shared" si="1"/>
      </c>
      <c r="I14" s="53">
        <f t="shared" si="2"/>
      </c>
      <c r="J14" s="49">
        <f t="shared" si="3"/>
      </c>
      <c r="K14" s="2">
        <f t="shared" si="4"/>
        <v>0</v>
      </c>
      <c r="L14" s="2">
        <f t="shared" si="5"/>
      </c>
    </row>
    <row r="15">
      <c r="A15" s="43">
        <f t="shared" si="0"/>
      </c>
      <c r="B15" s="44" t="n"/>
      <c r="C15" s="45" t="n"/>
      <c r="D15" s="45" t="n"/>
      <c r="E15" s="45" t="n"/>
      <c r="F15" s="47" t="n"/>
      <c r="G15" s="50" t="n"/>
      <c r="H15" s="53">
        <f t="shared" si="1"/>
      </c>
      <c r="I15" s="53">
        <f t="shared" si="2"/>
      </c>
      <c r="J15" s="49">
        <f t="shared" si="3"/>
      </c>
      <c r="K15" s="2">
        <f t="shared" si="4"/>
        <v>0</v>
      </c>
      <c r="L15" s="2">
        <f t="shared" si="5"/>
      </c>
    </row>
    <row r="16">
      <c r="A16" s="43">
        <f t="shared" si="0"/>
      </c>
      <c r="B16" s="44" t="n"/>
      <c r="C16" s="45" t="n"/>
      <c r="D16" s="45" t="n"/>
      <c r="E16" s="45" t="n"/>
      <c r="F16" s="47" t="n"/>
      <c r="G16" s="50" t="n"/>
      <c r="H16" s="53">
        <f t="shared" si="1"/>
      </c>
      <c r="I16" s="53">
        <f t="shared" si="2"/>
      </c>
      <c r="J16" s="49">
        <f t="shared" si="3"/>
      </c>
      <c r="K16" s="2">
        <f t="shared" si="4"/>
        <v>0</v>
      </c>
      <c r="L16" s="2">
        <f t="shared" si="5"/>
      </c>
    </row>
    <row r="17">
      <c r="A17" s="43">
        <f t="shared" si="0"/>
      </c>
      <c r="B17" s="44" t="n"/>
      <c r="C17" s="45" t="n"/>
      <c r="D17" s="45" t="n"/>
      <c r="E17" s="45" t="n"/>
      <c r="F17" s="47" t="n"/>
      <c r="G17" s="50" t="n"/>
      <c r="H17" s="53">
        <f t="shared" si="1"/>
      </c>
      <c r="I17" s="53">
        <f t="shared" si="2"/>
      </c>
      <c r="J17" s="49">
        <f t="shared" si="3"/>
      </c>
      <c r="K17" s="2">
        <f t="shared" si="4"/>
        <v>0</v>
      </c>
      <c r="L17" s="2">
        <f t="shared" si="5"/>
      </c>
    </row>
    <row r="18">
      <c r="A18" s="43">
        <f t="shared" si="0"/>
      </c>
      <c r="B18" s="44" t="n"/>
      <c r="C18" s="45" t="n"/>
      <c r="D18" s="45" t="n"/>
      <c r="E18" s="45" t="n"/>
      <c r="F18" s="47" t="n"/>
      <c r="G18" s="50" t="n"/>
      <c r="H18" s="53">
        <f t="shared" si="1"/>
      </c>
      <c r="I18" s="53">
        <f t="shared" si="2"/>
      </c>
      <c r="J18" s="49">
        <f t="shared" si="3"/>
      </c>
      <c r="K18" s="2">
        <f t="shared" si="4"/>
        <v>0</v>
      </c>
      <c r="L18" s="2">
        <f t="shared" si="5"/>
      </c>
    </row>
    <row r="19">
      <c r="A19" s="43">
        <f t="shared" si="0"/>
      </c>
      <c r="B19" s="44" t="n"/>
      <c r="C19" s="45" t="n"/>
      <c r="D19" s="45" t="n"/>
      <c r="E19" s="45" t="n"/>
      <c r="F19" s="47" t="n"/>
      <c r="G19" s="50" t="n"/>
      <c r="H19" s="53">
        <f t="shared" si="1"/>
      </c>
      <c r="I19" s="53">
        <f t="shared" si="2"/>
      </c>
      <c r="J19" s="49">
        <f t="shared" si="3"/>
      </c>
      <c r="K19" s="2">
        <f t="shared" si="4"/>
        <v>0</v>
      </c>
      <c r="L19" s="2">
        <f t="shared" si="5"/>
      </c>
    </row>
    <row r="20">
      <c r="A20" s="43">
        <f t="shared" si="0"/>
      </c>
      <c r="B20" s="44" t="n"/>
      <c r="C20" s="45" t="n"/>
      <c r="D20" s="45" t="n"/>
      <c r="E20" s="45" t="n"/>
      <c r="F20" s="47" t="n"/>
      <c r="G20" s="50" t="n"/>
      <c r="H20" s="53">
        <f t="shared" si="1"/>
      </c>
      <c r="I20" s="53">
        <f t="shared" si="2"/>
      </c>
      <c r="J20" s="49">
        <f t="shared" si="3"/>
      </c>
      <c r="K20" s="2">
        <f t="shared" si="4"/>
        <v>0</v>
      </c>
      <c r="L20" s="2">
        <f t="shared" si="5"/>
      </c>
    </row>
    <row r="21">
      <c r="A21" s="43">
        <f t="shared" si="0"/>
      </c>
      <c r="B21" s="44" t="n"/>
      <c r="C21" s="45" t="n"/>
      <c r="D21" s="45" t="n"/>
      <c r="E21" s="45" t="n"/>
      <c r="F21" s="47" t="n"/>
      <c r="G21" s="50" t="n"/>
      <c r="H21" s="53">
        <f t="shared" si="1"/>
      </c>
      <c r="I21" s="53">
        <f t="shared" si="2"/>
      </c>
      <c r="J21" s="49">
        <f t="shared" si="3"/>
      </c>
      <c r="K21" s="2">
        <f t="shared" si="4"/>
        <v>0</v>
      </c>
      <c r="L21" s="2">
        <f t="shared" si="5"/>
      </c>
    </row>
    <row r="22">
      <c r="A22" s="43">
        <f t="shared" si="0"/>
      </c>
      <c r="B22" s="44" t="n"/>
      <c r="C22" s="45" t="n"/>
      <c r="D22" s="45" t="n"/>
      <c r="E22" s="45" t="n"/>
      <c r="F22" s="47" t="n"/>
      <c r="G22" s="50" t="n"/>
      <c r="H22" s="53">
        <f t="shared" si="1"/>
      </c>
      <c r="I22" s="53">
        <f t="shared" si="2"/>
      </c>
      <c r="J22" s="49">
        <f t="shared" si="3"/>
      </c>
      <c r="K22" s="2">
        <f t="shared" si="4"/>
        <v>0</v>
      </c>
      <c r="L22" s="2">
        <f t="shared" si="5"/>
      </c>
    </row>
    <row r="23">
      <c r="A23" s="43">
        <f t="shared" si="0"/>
      </c>
      <c r="B23" s="44" t="n"/>
      <c r="C23" s="45" t="n"/>
      <c r="D23" s="45" t="n"/>
      <c r="E23" s="45" t="n"/>
      <c r="F23" s="47" t="n"/>
      <c r="G23" s="50" t="n"/>
      <c r="H23" s="53">
        <f t="shared" si="1"/>
      </c>
      <c r="I23" s="53">
        <f t="shared" si="2"/>
      </c>
      <c r="J23" s="49">
        <f t="shared" si="3"/>
      </c>
      <c r="K23" s="2">
        <f t="shared" si="4"/>
        <v>0</v>
      </c>
      <c r="L23" s="2">
        <f t="shared" si="5"/>
      </c>
    </row>
    <row r="24">
      <c r="A24" s="43">
        <f t="shared" si="0"/>
      </c>
      <c r="B24" s="44" t="n"/>
      <c r="C24" s="45" t="n"/>
      <c r="D24" s="45" t="n"/>
      <c r="E24" s="45" t="n"/>
      <c r="F24" s="47" t="n"/>
      <c r="G24" s="50" t="n"/>
      <c r="H24" s="53">
        <f t="shared" si="1"/>
      </c>
      <c r="I24" s="53">
        <f t="shared" si="2"/>
      </c>
      <c r="J24" s="49">
        <f t="shared" si="3"/>
      </c>
      <c r="K24" s="2">
        <f t="shared" si="4"/>
        <v>0</v>
      </c>
      <c r="L24" s="2">
        <f t="shared" si="5"/>
      </c>
    </row>
    <row r="25">
      <c r="A25" s="43">
        <f t="shared" si="0"/>
      </c>
      <c r="B25" s="44" t="n"/>
      <c r="C25" s="45" t="n"/>
      <c r="D25" s="45" t="n"/>
      <c r="E25" s="45" t="n"/>
      <c r="F25" s="47" t="n"/>
      <c r="G25" s="50" t="n"/>
      <c r="H25" s="53">
        <f t="shared" si="1"/>
      </c>
      <c r="I25" s="53">
        <f t="shared" si="2"/>
      </c>
      <c r="J25" s="49">
        <f t="shared" si="3"/>
      </c>
      <c r="K25" s="2">
        <f t="shared" si="4"/>
        <v>0</v>
      </c>
      <c r="L25" s="2">
        <f t="shared" si="5"/>
      </c>
    </row>
    <row r="26">
      <c r="A26" s="43">
        <f t="shared" si="0"/>
      </c>
      <c r="B26" s="44" t="n"/>
      <c r="C26" s="45" t="n"/>
      <c r="D26" s="45" t="n"/>
      <c r="E26" s="45" t="n"/>
      <c r="F26" s="47" t="n"/>
      <c r="G26" s="50" t="n"/>
      <c r="H26" s="53">
        <f t="shared" si="1"/>
      </c>
      <c r="I26" s="53">
        <f t="shared" si="2"/>
      </c>
      <c r="J26" s="49">
        <f t="shared" si="3"/>
      </c>
      <c r="K26" s="2">
        <f t="shared" si="4"/>
        <v>0</v>
      </c>
      <c r="L26" s="2">
        <f t="shared" si="5"/>
      </c>
    </row>
    <row r="27">
      <c r="A27" s="43">
        <f t="shared" si="0"/>
      </c>
      <c r="B27" s="44" t="n"/>
      <c r="C27" s="45" t="n"/>
      <c r="D27" s="45" t="n"/>
      <c r="E27" s="45" t="n"/>
      <c r="F27" s="47" t="n"/>
      <c r="G27" s="50" t="n"/>
      <c r="H27" s="53">
        <f t="shared" si="1"/>
      </c>
      <c r="I27" s="53">
        <f t="shared" si="2"/>
      </c>
      <c r="J27" s="49">
        <f t="shared" si="3"/>
      </c>
      <c r="K27" s="2">
        <f t="shared" si="4"/>
        <v>0</v>
      </c>
      <c r="L27" s="2">
        <f t="shared" si="5"/>
      </c>
    </row>
    <row r="28">
      <c r="A28" s="43">
        <f t="shared" si="0"/>
      </c>
      <c r="B28" s="44" t="n"/>
      <c r="C28" s="45" t="n"/>
      <c r="D28" s="45" t="n"/>
      <c r="E28" s="45" t="n"/>
      <c r="F28" s="47" t="n"/>
      <c r="G28" s="50" t="n"/>
      <c r="H28" s="53">
        <f t="shared" si="1"/>
      </c>
      <c r="I28" s="53">
        <f t="shared" si="2"/>
      </c>
      <c r="J28" s="49">
        <f t="shared" si="3"/>
      </c>
      <c r="K28" s="2">
        <f t="shared" si="4"/>
        <v>0</v>
      </c>
      <c r="L28" s="2">
        <f t="shared" si="5"/>
      </c>
    </row>
    <row r="29">
      <c r="A29" s="43">
        <f t="shared" si="0"/>
      </c>
      <c r="B29" s="44" t="n"/>
      <c r="C29" s="45" t="n"/>
      <c r="D29" s="45" t="n"/>
      <c r="E29" s="45" t="n"/>
      <c r="F29" s="47" t="n"/>
      <c r="G29" s="50" t="n"/>
      <c r="H29" s="53">
        <f t="shared" si="1"/>
      </c>
      <c r="I29" s="53">
        <f t="shared" si="2"/>
      </c>
      <c r="J29" s="49">
        <f t="shared" si="3"/>
      </c>
      <c r="K29" s="2">
        <f t="shared" si="4"/>
        <v>0</v>
      </c>
      <c r="L29" s="2">
        <f t="shared" si="5"/>
      </c>
    </row>
    <row r="30">
      <c r="A30" s="43">
        <f t="shared" si="0"/>
      </c>
      <c r="B30" s="44" t="n"/>
      <c r="C30" s="45" t="n"/>
      <c r="D30" s="45" t="n"/>
      <c r="E30" s="45" t="n"/>
      <c r="F30" s="47" t="n"/>
      <c r="G30" s="50" t="n"/>
      <c r="H30" s="53">
        <f t="shared" si="1"/>
      </c>
      <c r="I30" s="53">
        <f t="shared" si="2"/>
      </c>
      <c r="J30" s="49">
        <f t="shared" si="3"/>
      </c>
      <c r="K30" s="2">
        <f t="shared" si="4"/>
        <v>0</v>
      </c>
      <c r="L30" s="2">
        <f t="shared" si="5"/>
      </c>
    </row>
    <row r="31">
      <c r="A31" s="43">
        <f t="shared" si="0"/>
      </c>
      <c r="B31" s="44" t="n"/>
      <c r="C31" s="45" t="n"/>
      <c r="D31" s="45" t="n"/>
      <c r="E31" s="45" t="n"/>
      <c r="F31" s="47" t="n"/>
      <c r="G31" s="50" t="n"/>
      <c r="H31" s="53">
        <f t="shared" si="1"/>
      </c>
      <c r="I31" s="53">
        <f t="shared" si="2"/>
      </c>
      <c r="J31" s="49">
        <f t="shared" si="3"/>
      </c>
      <c r="K31" s="2">
        <f t="shared" si="4"/>
        <v>0</v>
      </c>
      <c r="L31" s="2">
        <f t="shared" si="5"/>
      </c>
    </row>
    <row r="32">
      <c r="A32" s="43">
        <f t="shared" si="0"/>
      </c>
      <c r="B32" s="44" t="n"/>
      <c r="C32" s="45" t="n"/>
      <c r="D32" s="45" t="n"/>
      <c r="E32" s="45" t="n"/>
      <c r="F32" s="47" t="n"/>
      <c r="G32" s="50" t="n"/>
      <c r="H32" s="53">
        <f t="shared" si="1"/>
      </c>
      <c r="I32" s="53">
        <f t="shared" si="2"/>
      </c>
      <c r="J32" s="49">
        <f t="shared" si="3"/>
      </c>
      <c r="K32" s="2">
        <f t="shared" si="4"/>
        <v>0</v>
      </c>
      <c r="L32" s="2">
        <f t="shared" si="5"/>
      </c>
    </row>
    <row r="33">
      <c r="A33" s="43">
        <f t="shared" si="0"/>
      </c>
      <c r="B33" s="44" t="n"/>
      <c r="C33" s="45" t="n"/>
      <c r="D33" s="45" t="n"/>
      <c r="E33" s="45" t="n"/>
      <c r="F33" s="47" t="n"/>
      <c r="G33" s="50" t="n"/>
      <c r="H33" s="53">
        <f t="shared" si="1"/>
      </c>
      <c r="I33" s="53">
        <f t="shared" si="2"/>
      </c>
      <c r="J33" s="49">
        <f t="shared" si="3"/>
      </c>
      <c r="K33" s="2">
        <f t="shared" si="4"/>
        <v>0</v>
      </c>
      <c r="L33" s="2">
        <f t="shared" si="5"/>
      </c>
    </row>
    <row r="34">
      <c r="A34" s="43">
        <f t="shared" si="0"/>
      </c>
      <c r="B34" s="44" t="n"/>
      <c r="C34" s="45" t="n"/>
      <c r="D34" s="45" t="n"/>
      <c r="E34" s="45" t="n"/>
      <c r="F34" s="47" t="n"/>
      <c r="G34" s="50" t="n"/>
      <c r="H34" s="53">
        <f t="shared" si="1"/>
      </c>
      <c r="I34" s="53">
        <f t="shared" si="2"/>
      </c>
      <c r="J34" s="49">
        <f t="shared" si="3"/>
      </c>
      <c r="K34" s="2">
        <f t="shared" si="4"/>
        <v>0</v>
      </c>
      <c r="L34" s="2">
        <f t="shared" si="5"/>
      </c>
    </row>
    <row r="35">
      <c r="A35" s="43">
        <f t="shared" si="0"/>
      </c>
      <c r="B35" s="44" t="n"/>
      <c r="C35" s="45" t="n"/>
      <c r="D35" s="45" t="n"/>
      <c r="E35" s="45" t="n"/>
      <c r="F35" s="47" t="n"/>
      <c r="G35" s="50" t="n"/>
      <c r="H35" s="53">
        <f t="shared" si="1"/>
      </c>
      <c r="I35" s="53">
        <f t="shared" si="2"/>
      </c>
      <c r="J35" s="49">
        <f t="shared" si="3"/>
      </c>
      <c r="K35" s="2">
        <f t="shared" si="4"/>
        <v>0</v>
      </c>
      <c r="L35" s="2">
        <f t="shared" si="5"/>
      </c>
    </row>
    <row r="36">
      <c r="A36" s="43">
        <f t="shared" si="0"/>
      </c>
      <c r="B36" s="44" t="n"/>
      <c r="C36" s="45" t="n"/>
      <c r="D36" s="45" t="n"/>
      <c r="E36" s="45" t="n"/>
      <c r="F36" s="47" t="n"/>
      <c r="G36" s="50" t="n"/>
      <c r="H36" s="53">
        <f t="shared" si="1"/>
      </c>
      <c r="I36" s="53">
        <f t="shared" si="2"/>
      </c>
      <c r="J36" s="49">
        <f t="shared" si="3"/>
      </c>
      <c r="K36" s="2">
        <f t="shared" si="4"/>
        <v>0</v>
      </c>
      <c r="L36" s="2">
        <f t="shared" si="5"/>
      </c>
    </row>
    <row r="37">
      <c r="A37" s="43">
        <f t="shared" si="0"/>
      </c>
      <c r="B37" s="44" t="n"/>
      <c r="C37" s="45" t="n"/>
      <c r="D37" s="45" t="n"/>
      <c r="E37" s="45" t="n"/>
      <c r="F37" s="47" t="n"/>
      <c r="G37" s="50" t="n"/>
      <c r="H37" s="53">
        <f t="shared" si="1"/>
      </c>
      <c r="I37" s="53">
        <f t="shared" si="2"/>
      </c>
      <c r="J37" s="49">
        <f t="shared" si="3"/>
      </c>
      <c r="K37" s="2">
        <f t="shared" si="4"/>
        <v>0</v>
      </c>
      <c r="L37" s="2">
        <f t="shared" si="5"/>
      </c>
    </row>
    <row r="38">
      <c r="A38" s="43">
        <f t="shared" si="0"/>
      </c>
      <c r="B38" s="44" t="n"/>
      <c r="C38" s="45" t="n"/>
      <c r="D38" s="45" t="n"/>
      <c r="E38" s="45" t="n"/>
      <c r="F38" s="47" t="n"/>
      <c r="G38" s="50" t="n"/>
      <c r="H38" s="53">
        <f t="shared" si="1"/>
      </c>
      <c r="I38" s="53">
        <f t="shared" si="2"/>
      </c>
      <c r="J38" s="49">
        <f t="shared" si="3"/>
      </c>
      <c r="K38" s="2">
        <f t="shared" si="4"/>
        <v>0</v>
      </c>
      <c r="L38" s="2">
        <f t="shared" si="5"/>
      </c>
    </row>
    <row r="39">
      <c r="A39" s="43">
        <f t="shared" si="0"/>
      </c>
      <c r="B39" s="44" t="n"/>
      <c r="C39" s="45" t="n"/>
      <c r="D39" s="45" t="n"/>
      <c r="E39" s="45" t="n"/>
      <c r="F39" s="47" t="n"/>
      <c r="G39" s="50" t="n"/>
      <c r="H39" s="53">
        <f t="shared" si="1"/>
      </c>
      <c r="I39" s="53">
        <f t="shared" si="2"/>
      </c>
      <c r="J39" s="49">
        <f t="shared" si="3"/>
      </c>
      <c r="K39" s="2">
        <f t="shared" si="4"/>
        <v>0</v>
      </c>
      <c r="L39" s="2">
        <f t="shared" si="5"/>
      </c>
    </row>
    <row r="40">
      <c r="A40" s="43">
        <f t="shared" si="0"/>
      </c>
      <c r="B40" s="44" t="n"/>
      <c r="C40" s="45" t="n"/>
      <c r="D40" s="45" t="n"/>
      <c r="E40" s="45" t="n"/>
      <c r="F40" s="47" t="n"/>
      <c r="G40" s="50" t="n"/>
      <c r="H40" s="53">
        <f t="shared" si="1"/>
      </c>
      <c r="I40" s="53">
        <f t="shared" si="2"/>
      </c>
      <c r="J40" s="49">
        <f t="shared" si="3"/>
      </c>
      <c r="K40" s="2">
        <f t="shared" si="4"/>
        <v>0</v>
      </c>
      <c r="L40" s="2">
        <f t="shared" si="5"/>
      </c>
    </row>
    <row r="41">
      <c r="A41" s="43">
        <f t="shared" si="0"/>
      </c>
      <c r="B41" s="44" t="n"/>
      <c r="C41" s="45" t="n"/>
      <c r="D41" s="45" t="n"/>
      <c r="E41" s="45" t="n"/>
      <c r="F41" s="47" t="n"/>
      <c r="G41" s="50" t="n"/>
      <c r="H41" s="53">
        <f t="shared" si="1"/>
      </c>
      <c r="I41" s="53">
        <f t="shared" si="2"/>
      </c>
      <c r="J41" s="49">
        <f t="shared" si="3"/>
      </c>
      <c r="K41" s="2">
        <f t="shared" si="4"/>
        <v>0</v>
      </c>
      <c r="L41" s="2">
        <f t="shared" si="5"/>
      </c>
    </row>
    <row r="42">
      <c r="A42" s="43">
        <f t="shared" si="0"/>
      </c>
      <c r="B42" s="44" t="n"/>
      <c r="C42" s="45" t="n"/>
      <c r="D42" s="45" t="n"/>
      <c r="E42" s="45" t="n"/>
      <c r="F42" s="47" t="n"/>
      <c r="G42" s="50" t="n"/>
      <c r="H42" s="53">
        <f t="shared" si="1"/>
      </c>
      <c r="I42" s="53">
        <f t="shared" si="2"/>
      </c>
      <c r="J42" s="49">
        <f t="shared" si="3"/>
      </c>
      <c r="K42" s="2">
        <f t="shared" si="4"/>
        <v>0</v>
      </c>
      <c r="L42" s="2">
        <f t="shared" si="5"/>
      </c>
    </row>
    <row r="43">
      <c r="A43" s="43">
        <f t="shared" si="0"/>
      </c>
      <c r="B43" s="44" t="n"/>
      <c r="C43" s="45" t="n"/>
      <c r="D43" s="45" t="n"/>
      <c r="E43" s="45" t="n"/>
      <c r="F43" s="47" t="n"/>
      <c r="G43" s="50" t="n"/>
      <c r="H43" s="53">
        <f t="shared" si="1"/>
      </c>
      <c r="I43" s="53">
        <f t="shared" si="2"/>
      </c>
      <c r="J43" s="49">
        <f t="shared" si="3"/>
      </c>
      <c r="K43" s="2">
        <f t="shared" si="4"/>
        <v>0</v>
      </c>
      <c r="L43" s="2">
        <f t="shared" si="5"/>
      </c>
    </row>
    <row r="44">
      <c r="A44" s="43">
        <f t="shared" si="0"/>
      </c>
      <c r="B44" s="44" t="n"/>
      <c r="C44" s="45" t="n"/>
      <c r="D44" s="45" t="n"/>
      <c r="E44" s="45" t="n"/>
      <c r="F44" s="47" t="n"/>
      <c r="G44" s="50" t="n"/>
      <c r="H44" s="53">
        <f t="shared" si="1"/>
      </c>
      <c r="I44" s="53">
        <f t="shared" si="2"/>
      </c>
      <c r="J44" s="49">
        <f t="shared" si="3"/>
      </c>
      <c r="K44" s="2">
        <f t="shared" si="4"/>
        <v>0</v>
      </c>
      <c r="L44" s="2">
        <f t="shared" si="5"/>
      </c>
    </row>
    <row r="45">
      <c r="A45" s="43">
        <f t="shared" si="0"/>
      </c>
      <c r="B45" s="44" t="n"/>
      <c r="C45" s="45" t="n"/>
      <c r="D45" s="45" t="n"/>
      <c r="E45" s="45" t="n"/>
      <c r="F45" s="47" t="n"/>
      <c r="G45" s="50" t="n"/>
      <c r="H45" s="53">
        <f t="shared" si="1"/>
      </c>
      <c r="I45" s="53">
        <f t="shared" si="2"/>
      </c>
      <c r="J45" s="49">
        <f t="shared" si="3"/>
      </c>
      <c r="K45" s="2">
        <f t="shared" si="4"/>
        <v>0</v>
      </c>
      <c r="L45" s="2">
        <f t="shared" si="5"/>
      </c>
    </row>
    <row r="46">
      <c r="A46" s="43">
        <f t="shared" si="0"/>
      </c>
      <c r="B46" s="44" t="n"/>
      <c r="C46" s="45" t="n"/>
      <c r="D46" s="45" t="n"/>
      <c r="E46" s="45" t="n"/>
      <c r="F46" s="47" t="n"/>
      <c r="G46" s="50" t="n"/>
      <c r="H46" s="53">
        <f t="shared" si="1"/>
      </c>
      <c r="I46" s="53">
        <f t="shared" si="2"/>
      </c>
      <c r="J46" s="49">
        <f t="shared" si="3"/>
      </c>
      <c r="K46" s="2">
        <f t="shared" si="4"/>
        <v>0</v>
      </c>
      <c r="L46" s="2">
        <f t="shared" si="5"/>
      </c>
    </row>
    <row r="47">
      <c r="A47" s="43">
        <f t="shared" si="0"/>
      </c>
      <c r="B47" s="44" t="n"/>
      <c r="C47" s="45" t="n"/>
      <c r="D47" s="45" t="n"/>
      <c r="E47" s="45" t="n"/>
      <c r="F47" s="47" t="n"/>
      <c r="G47" s="50" t="n"/>
      <c r="H47" s="53">
        <f t="shared" si="1"/>
      </c>
      <c r="I47" s="53">
        <f t="shared" si="2"/>
      </c>
      <c r="J47" s="49">
        <f t="shared" si="3"/>
      </c>
      <c r="K47" s="2">
        <f t="shared" si="4"/>
        <v>0</v>
      </c>
      <c r="L47" s="2">
        <f t="shared" si="5"/>
      </c>
    </row>
    <row r="48">
      <c r="A48" s="43">
        <f t="shared" si="0"/>
      </c>
      <c r="B48" s="44" t="n"/>
      <c r="C48" s="45" t="n"/>
      <c r="D48" s="45" t="n"/>
      <c r="E48" s="45" t="n"/>
      <c r="F48" s="47" t="n"/>
      <c r="G48" s="50" t="n"/>
      <c r="H48" s="53">
        <f t="shared" si="1"/>
      </c>
      <c r="I48" s="53">
        <f t="shared" si="2"/>
      </c>
      <c r="J48" s="49">
        <f t="shared" si="3"/>
      </c>
      <c r="K48" s="2">
        <f t="shared" si="4"/>
        <v>0</v>
      </c>
      <c r="L48" s="2">
        <f t="shared" si="5"/>
      </c>
    </row>
    <row r="49">
      <c r="A49" s="43">
        <f t="shared" si="0"/>
      </c>
      <c r="B49" s="44" t="n"/>
      <c r="C49" s="45" t="n"/>
      <c r="D49" s="45" t="n"/>
      <c r="E49" s="45" t="n"/>
      <c r="F49" s="47" t="n"/>
      <c r="G49" s="50" t="n"/>
      <c r="H49" s="53">
        <f t="shared" si="1"/>
      </c>
      <c r="I49" s="53">
        <f t="shared" si="2"/>
      </c>
      <c r="J49" s="49">
        <f t="shared" si="3"/>
      </c>
      <c r="K49" s="2">
        <f t="shared" si="4"/>
        <v>0</v>
      </c>
      <c r="L49" s="2">
        <f t="shared" si="5"/>
      </c>
    </row>
    <row r="50">
      <c r="A50" s="43">
        <f t="shared" si="0"/>
      </c>
      <c r="B50" s="44" t="n"/>
      <c r="C50" s="45" t="n"/>
      <c r="D50" s="45" t="n"/>
      <c r="E50" s="45" t="n"/>
      <c r="F50" s="47" t="n"/>
      <c r="G50" s="50" t="n"/>
      <c r="H50" s="53">
        <f t="shared" si="1"/>
      </c>
      <c r="I50" s="53">
        <f t="shared" si="2"/>
      </c>
      <c r="J50" s="49">
        <f t="shared" si="3"/>
      </c>
      <c r="K50" s="2">
        <f t="shared" si="4"/>
        <v>0</v>
      </c>
      <c r="L50" s="2">
        <f t="shared" si="5"/>
      </c>
    </row>
    <row r="51">
      <c r="A51" s="43">
        <f t="shared" si="0"/>
      </c>
      <c r="B51" s="44" t="n"/>
      <c r="C51" s="45" t="n"/>
      <c r="D51" s="45" t="n"/>
      <c r="E51" s="45" t="n"/>
      <c r="F51" s="47" t="n"/>
      <c r="G51" s="50" t="n"/>
      <c r="H51" s="53">
        <f t="shared" si="1"/>
      </c>
      <c r="I51" s="53">
        <f t="shared" si="2"/>
      </c>
      <c r="J51" s="49">
        <f t="shared" si="3"/>
      </c>
      <c r="K51" s="2">
        <f t="shared" si="4"/>
        <v>0</v>
      </c>
      <c r="L51" s="2">
        <f t="shared" si="5"/>
      </c>
    </row>
    <row r="52">
      <c r="A52" s="43">
        <f t="shared" si="0"/>
      </c>
      <c r="B52" s="44" t="n"/>
      <c r="C52" s="45" t="n"/>
      <c r="D52" s="45" t="n"/>
      <c r="E52" s="45" t="n"/>
      <c r="F52" s="47" t="n"/>
      <c r="G52" s="50" t="n"/>
      <c r="H52" s="53">
        <f t="shared" si="1"/>
      </c>
      <c r="I52" s="53">
        <f t="shared" si="2"/>
      </c>
      <c r="J52" s="49">
        <f t="shared" si="3"/>
      </c>
      <c r="K52" s="2">
        <f t="shared" si="4"/>
        <v>0</v>
      </c>
      <c r="L52" s="2">
        <f t="shared" si="5"/>
      </c>
    </row>
    <row r="53">
      <c r="A53" s="43">
        <f t="shared" si="0"/>
      </c>
      <c r="B53" s="44" t="n"/>
      <c r="C53" s="45" t="n"/>
      <c r="D53" s="45" t="n"/>
      <c r="E53" s="45" t="n"/>
      <c r="F53" s="47" t="n"/>
      <c r="G53" s="50" t="n"/>
      <c r="H53" s="53">
        <f t="shared" si="1"/>
      </c>
      <c r="I53" s="53">
        <f t="shared" si="2"/>
      </c>
      <c r="J53" s="49">
        <f t="shared" si="3"/>
      </c>
      <c r="K53" s="2">
        <f t="shared" si="4"/>
        <v>0</v>
      </c>
      <c r="L53" s="2">
        <f t="shared" si="5"/>
      </c>
    </row>
    <row r="54">
      <c r="A54" s="43">
        <f t="shared" si="0"/>
      </c>
      <c r="B54" s="44" t="n"/>
      <c r="C54" s="45" t="n"/>
      <c r="D54" s="45" t="n"/>
      <c r="E54" s="45" t="n"/>
      <c r="F54" s="47" t="n"/>
      <c r="G54" s="50" t="n"/>
      <c r="H54" s="53">
        <f t="shared" si="1"/>
      </c>
      <c r="I54" s="53">
        <f t="shared" si="2"/>
      </c>
      <c r="J54" s="49">
        <f t="shared" si="3"/>
      </c>
      <c r="K54" s="2">
        <f t="shared" si="4"/>
        <v>0</v>
      </c>
      <c r="L54" s="2">
        <f t="shared" si="5"/>
      </c>
    </row>
    <row r="55">
      <c r="A55" s="43">
        <f t="shared" si="0"/>
      </c>
      <c r="B55" s="44" t="n"/>
      <c r="C55" s="45" t="n"/>
      <c r="D55" s="45" t="n"/>
      <c r="E55" s="45" t="n"/>
      <c r="F55" s="47" t="n"/>
      <c r="G55" s="50" t="n"/>
      <c r="H55" s="53">
        <f t="shared" si="1"/>
      </c>
      <c r="I55" s="53">
        <f t="shared" si="2"/>
      </c>
      <c r="J55" s="49">
        <f t="shared" si="3"/>
      </c>
      <c r="K55" s="2">
        <f t="shared" si="4"/>
        <v>0</v>
      </c>
      <c r="L55" s="2">
        <f t="shared" si="5"/>
      </c>
    </row>
    <row r="56">
      <c r="A56" s="43">
        <f t="shared" si="0"/>
      </c>
      <c r="B56" s="44" t="n"/>
      <c r="C56" s="45" t="n"/>
      <c r="D56" s="45" t="n"/>
      <c r="E56" s="45" t="n"/>
      <c r="F56" s="47" t="n"/>
      <c r="G56" s="50" t="n"/>
      <c r="H56" s="53">
        <f t="shared" si="1"/>
      </c>
      <c r="I56" s="53">
        <f t="shared" si="2"/>
      </c>
      <c r="J56" s="49">
        <f t="shared" si="3"/>
      </c>
      <c r="K56" s="2">
        <f t="shared" si="4"/>
        <v>0</v>
      </c>
      <c r="L56" s="2">
        <f t="shared" si="5"/>
      </c>
    </row>
    <row r="57">
      <c r="A57" s="43">
        <f t="shared" si="0"/>
      </c>
      <c r="B57" s="44" t="n"/>
      <c r="C57" s="45" t="n"/>
      <c r="D57" s="45" t="n"/>
      <c r="E57" s="45" t="n"/>
      <c r="F57" s="47" t="n"/>
      <c r="G57" s="50" t="n"/>
      <c r="H57" s="53">
        <f t="shared" si="1"/>
      </c>
      <c r="I57" s="53">
        <f t="shared" si="2"/>
      </c>
      <c r="J57" s="49">
        <f t="shared" si="3"/>
      </c>
      <c r="K57" s="2">
        <f t="shared" si="4"/>
        <v>0</v>
      </c>
      <c r="L57" s="2">
        <f t="shared" si="5"/>
      </c>
    </row>
    <row r="58">
      <c r="A58" s="43">
        <f t="shared" si="0"/>
      </c>
      <c r="B58" s="44" t="n"/>
      <c r="C58" s="45" t="n"/>
      <c r="D58" s="45" t="n"/>
      <c r="E58" s="45" t="n"/>
      <c r="F58" s="47" t="n"/>
      <c r="G58" s="50" t="n"/>
      <c r="H58" s="53">
        <f t="shared" si="1"/>
      </c>
      <c r="I58" s="53">
        <f t="shared" si="2"/>
      </c>
      <c r="J58" s="49">
        <f t="shared" si="3"/>
      </c>
      <c r="K58" s="2">
        <f t="shared" si="4"/>
        <v>0</v>
      </c>
      <c r="L58" s="2">
        <f t="shared" si="5"/>
      </c>
    </row>
    <row r="59">
      <c r="A59" s="43">
        <f t="shared" si="0"/>
      </c>
      <c r="B59" s="44" t="n"/>
      <c r="C59" s="45" t="n"/>
      <c r="D59" s="45" t="n"/>
      <c r="E59" s="45" t="n"/>
      <c r="F59" s="47" t="n"/>
      <c r="G59" s="50" t="n"/>
      <c r="H59" s="53">
        <f t="shared" si="1"/>
      </c>
      <c r="I59" s="53">
        <f t="shared" si="2"/>
      </c>
      <c r="J59" s="49">
        <f t="shared" si="3"/>
      </c>
      <c r="K59" s="2">
        <f t="shared" si="4"/>
        <v>0</v>
      </c>
      <c r="L59" s="2">
        <f t="shared" si="5"/>
      </c>
    </row>
    <row r="60">
      <c r="A60" s="43">
        <f t="shared" si="0"/>
      </c>
      <c r="B60" s="44" t="n"/>
      <c r="C60" s="45" t="n"/>
      <c r="D60" s="45" t="n"/>
      <c r="E60" s="45" t="n"/>
      <c r="F60" s="47" t="n"/>
      <c r="G60" s="50" t="n"/>
      <c r="H60" s="53">
        <f t="shared" si="1"/>
      </c>
      <c r="I60" s="53">
        <f t="shared" si="2"/>
      </c>
      <c r="J60" s="49">
        <f t="shared" si="3"/>
      </c>
      <c r="K60" s="2">
        <f t="shared" si="4"/>
        <v>0</v>
      </c>
      <c r="L60" s="2">
        <f t="shared" si="5"/>
      </c>
    </row>
    <row r="61">
      <c r="A61" s="43">
        <f t="shared" si="0"/>
      </c>
      <c r="B61" s="44" t="n"/>
      <c r="C61" s="45" t="n"/>
      <c r="D61" s="45" t="n"/>
      <c r="E61" s="45" t="n"/>
      <c r="F61" s="47" t="n"/>
      <c r="G61" s="50" t="n"/>
      <c r="H61" s="53">
        <f t="shared" si="1"/>
      </c>
      <c r="I61" s="53">
        <f t="shared" si="2"/>
      </c>
      <c r="J61" s="49">
        <f t="shared" si="3"/>
      </c>
      <c r="K61" s="2">
        <f t="shared" si="4"/>
        <v>0</v>
      </c>
      <c r="L61" s="2">
        <f t="shared" si="5"/>
      </c>
    </row>
    <row r="62">
      <c r="A62" s="43">
        <f t="shared" si="0"/>
      </c>
      <c r="B62" s="44" t="n"/>
      <c r="C62" s="45" t="n"/>
      <c r="D62" s="45" t="n"/>
      <c r="E62" s="45" t="n"/>
      <c r="F62" s="47" t="n"/>
      <c r="G62" s="50" t="n"/>
      <c r="H62" s="53">
        <f t="shared" si="1"/>
      </c>
      <c r="I62" s="53">
        <f t="shared" si="2"/>
      </c>
      <c r="J62" s="49">
        <f t="shared" si="3"/>
      </c>
      <c r="K62" s="2">
        <f t="shared" si="4"/>
        <v>0</v>
      </c>
      <c r="L62" s="2">
        <f t="shared" si="5"/>
      </c>
    </row>
    <row r="63">
      <c r="A63" s="43">
        <f t="shared" si="0"/>
      </c>
      <c r="B63" s="44" t="n"/>
      <c r="C63" s="45" t="n"/>
      <c r="D63" s="45" t="n"/>
      <c r="E63" s="45" t="n"/>
      <c r="F63" s="47" t="n"/>
      <c r="G63" s="50" t="n"/>
      <c r="H63" s="53">
        <f t="shared" si="1"/>
      </c>
      <c r="I63" s="53">
        <f t="shared" si="2"/>
      </c>
      <c r="J63" s="49">
        <f t="shared" si="3"/>
      </c>
      <c r="K63" s="2">
        <f t="shared" si="4"/>
        <v>0</v>
      </c>
      <c r="L63" s="2">
        <f t="shared" si="5"/>
      </c>
    </row>
    <row r="64">
      <c r="A64" s="43">
        <f t="shared" si="0"/>
      </c>
      <c r="B64" s="44" t="n"/>
      <c r="C64" s="45" t="n"/>
      <c r="D64" s="45" t="n"/>
      <c r="E64" s="45" t="n"/>
      <c r="F64" s="47" t="n"/>
      <c r="G64" s="50" t="n"/>
      <c r="H64" s="53">
        <f t="shared" si="1"/>
      </c>
      <c r="I64" s="53">
        <f t="shared" si="2"/>
      </c>
      <c r="J64" s="49">
        <f t="shared" si="3"/>
      </c>
      <c r="K64" s="2">
        <f t="shared" si="4"/>
        <v>0</v>
      </c>
      <c r="L64" s="2">
        <f t="shared" si="5"/>
      </c>
    </row>
    <row r="65">
      <c r="A65" s="43">
        <f t="shared" si="0"/>
      </c>
      <c r="B65" s="44" t="n"/>
      <c r="C65" s="45" t="n"/>
      <c r="D65" s="45" t="n"/>
      <c r="E65" s="45" t="n"/>
      <c r="F65" s="47" t="n"/>
      <c r="G65" s="50" t="n"/>
      <c r="H65" s="53">
        <f t="shared" si="1"/>
      </c>
      <c r="I65" s="53">
        <f t="shared" si="2"/>
      </c>
      <c r="J65" s="49">
        <f t="shared" si="3"/>
      </c>
      <c r="K65" s="2">
        <f t="shared" si="4"/>
        <v>0</v>
      </c>
      <c r="L65" s="2">
        <f t="shared" si="5"/>
      </c>
    </row>
    <row r="66">
      <c r="A66" s="43">
        <f t="shared" si="0"/>
      </c>
      <c r="B66" s="44" t="n"/>
      <c r="C66" s="45" t="n"/>
      <c r="D66" s="45" t="n"/>
      <c r="E66" s="45" t="n"/>
      <c r="F66" s="47" t="n"/>
      <c r="G66" s="50" t="n"/>
      <c r="H66" s="53">
        <f t="shared" si="1"/>
      </c>
      <c r="I66" s="53">
        <f t="shared" si="2"/>
      </c>
      <c r="J66" s="49">
        <f t="shared" si="3"/>
      </c>
      <c r="K66" s="2">
        <f t="shared" si="4"/>
        <v>0</v>
      </c>
      <c r="L66" s="2">
        <f t="shared" si="5"/>
      </c>
    </row>
    <row r="67">
      <c r="A67" s="43">
        <f t="shared" si="0"/>
      </c>
      <c r="B67" s="44" t="n"/>
      <c r="C67" s="45" t="n"/>
      <c r="D67" s="45" t="n"/>
      <c r="E67" s="45" t="n"/>
      <c r="F67" s="47" t="n"/>
      <c r="G67" s="50" t="n"/>
      <c r="H67" s="53">
        <f t="shared" si="1"/>
      </c>
      <c r="I67" s="53">
        <f t="shared" si="2"/>
      </c>
      <c r="J67" s="49">
        <f t="shared" si="3"/>
      </c>
      <c r="K67" s="2">
        <f t="shared" si="4"/>
        <v>0</v>
      </c>
      <c r="L67" s="2">
        <f t="shared" si="5"/>
      </c>
    </row>
    <row r="68">
      <c r="A68" s="43">
        <f t="shared" si="0"/>
      </c>
      <c r="B68" s="44" t="n"/>
      <c r="C68" s="45" t="n"/>
      <c r="D68" s="45" t="n"/>
      <c r="E68" s="45" t="n"/>
      <c r="F68" s="47" t="n"/>
      <c r="G68" s="50" t="n"/>
      <c r="H68" s="53">
        <f t="shared" si="1"/>
      </c>
      <c r="I68" s="53">
        <f t="shared" si="2"/>
      </c>
      <c r="J68" s="49">
        <f t="shared" si="3"/>
      </c>
      <c r="K68" s="2">
        <f t="shared" si="4"/>
        <v>0</v>
      </c>
      <c r="L68" s="2">
        <f t="shared" si="5"/>
      </c>
    </row>
    <row r="69">
      <c r="A69" s="43">
        <f t="shared" si="0"/>
      </c>
      <c r="B69" s="44" t="n"/>
      <c r="C69" s="45" t="n"/>
      <c r="D69" s="45" t="n"/>
      <c r="E69" s="45" t="n"/>
      <c r="F69" s="47" t="n"/>
      <c r="G69" s="50" t="n"/>
      <c r="H69" s="53">
        <f t="shared" si="1"/>
      </c>
      <c r="I69" s="53">
        <f t="shared" si="2"/>
      </c>
      <c r="J69" s="49">
        <f t="shared" si="3"/>
      </c>
      <c r="K69" s="2">
        <f t="shared" si="4"/>
        <v>0</v>
      </c>
      <c r="L69" s="2">
        <f t="shared" si="5"/>
      </c>
    </row>
    <row r="70">
      <c r="A70" s="43">
        <f t="shared" si="0"/>
      </c>
      <c r="B70" s="44" t="n"/>
      <c r="C70" s="45" t="n"/>
      <c r="D70" s="45" t="n"/>
      <c r="E70" s="45" t="n"/>
      <c r="F70" s="47" t="n"/>
      <c r="G70" s="50" t="n"/>
      <c r="H70" s="53">
        <f t="shared" si="1"/>
      </c>
      <c r="I70" s="53">
        <f t="shared" si="2"/>
      </c>
      <c r="J70" s="49">
        <f t="shared" si="3"/>
      </c>
      <c r="K70" s="2">
        <f t="shared" si="4"/>
        <v>0</v>
      </c>
      <c r="L70" s="2">
        <f t="shared" si="5"/>
      </c>
    </row>
    <row r="71">
      <c r="A71" s="43">
        <f t="shared" si="0"/>
      </c>
      <c r="B71" s="44" t="n"/>
      <c r="C71" s="45" t="n"/>
      <c r="D71" s="45" t="n"/>
      <c r="E71" s="45" t="n"/>
      <c r="F71" s="47" t="n"/>
      <c r="G71" s="50" t="n"/>
      <c r="H71" s="53">
        <f t="shared" si="1"/>
      </c>
      <c r="I71" s="53">
        <f t="shared" si="2"/>
      </c>
      <c r="J71" s="49">
        <f t="shared" si="3"/>
      </c>
      <c r="K71" s="2">
        <f t="shared" si="4"/>
        <v>0</v>
      </c>
      <c r="L71" s="2">
        <f t="shared" si="5"/>
      </c>
    </row>
    <row r="72">
      <c r="A72" s="43">
        <f t="shared" si="0"/>
      </c>
      <c r="B72" s="44" t="n"/>
      <c r="C72" s="45" t="n"/>
      <c r="D72" s="45" t="n"/>
      <c r="E72" s="45" t="n"/>
      <c r="F72" s="47" t="n"/>
      <c r="G72" s="50" t="n"/>
      <c r="H72" s="53">
        <f t="shared" si="1"/>
      </c>
      <c r="I72" s="53">
        <f t="shared" si="2"/>
      </c>
      <c r="J72" s="49">
        <f t="shared" si="3"/>
      </c>
      <c r="K72" s="2">
        <f t="shared" si="4"/>
        <v>0</v>
      </c>
      <c r="L72" s="2">
        <f t="shared" si="5"/>
      </c>
    </row>
    <row r="73">
      <c r="A73" s="43">
        <f t="shared" si="0"/>
      </c>
      <c r="B73" s="44" t="n"/>
      <c r="C73" s="45" t="n"/>
      <c r="D73" s="45" t="n"/>
      <c r="E73" s="45" t="n"/>
      <c r="F73" s="47" t="n"/>
      <c r="G73" s="50" t="n"/>
      <c r="H73" s="53">
        <f t="shared" si="1"/>
      </c>
      <c r="I73" s="53">
        <f t="shared" si="2"/>
      </c>
      <c r="J73" s="49">
        <f t="shared" si="3"/>
      </c>
      <c r="K73" s="2">
        <f t="shared" si="4"/>
        <v>0</v>
      </c>
      <c r="L73" s="2">
        <f t="shared" si="5"/>
      </c>
    </row>
    <row r="74">
      <c r="A74" s="43">
        <f t="shared" si="0"/>
      </c>
      <c r="B74" s="44" t="n"/>
      <c r="C74" s="45" t="n"/>
      <c r="D74" s="45" t="n"/>
      <c r="E74" s="45" t="n"/>
      <c r="F74" s="47" t="n"/>
      <c r="G74" s="50" t="n"/>
      <c r="H74" s="53">
        <f t="shared" si="1"/>
      </c>
      <c r="I74" s="53">
        <f t="shared" si="2"/>
      </c>
      <c r="J74" s="49">
        <f t="shared" si="3"/>
      </c>
      <c r="K74" s="2">
        <f t="shared" si="4"/>
        <v>0</v>
      </c>
      <c r="L74" s="2">
        <f t="shared" si="5"/>
      </c>
    </row>
    <row r="75">
      <c r="A75" s="43">
        <f t="shared" si="0"/>
      </c>
      <c r="B75" s="44" t="n"/>
      <c r="C75" s="45" t="n"/>
      <c r="D75" s="45" t="n"/>
      <c r="E75" s="45" t="n"/>
      <c r="F75" s="47" t="n"/>
      <c r="G75" s="50" t="n"/>
      <c r="H75" s="53">
        <f t="shared" si="1"/>
      </c>
      <c r="I75" s="53">
        <f t="shared" si="2"/>
      </c>
      <c r="J75" s="49">
        <f t="shared" si="3"/>
      </c>
      <c r="K75" s="2">
        <f t="shared" si="4"/>
        <v>0</v>
      </c>
      <c r="L75" s="2">
        <f t="shared" si="5"/>
      </c>
    </row>
    <row r="76">
      <c r="A76" s="43">
        <f t="shared" si="0"/>
      </c>
      <c r="B76" s="44" t="n"/>
      <c r="C76" s="45" t="n"/>
      <c r="D76" s="45" t="n"/>
      <c r="E76" s="45" t="n"/>
      <c r="F76" s="47" t="n"/>
      <c r="G76" s="50" t="n"/>
      <c r="H76" s="53">
        <f t="shared" si="1"/>
      </c>
      <c r="I76" s="53">
        <f t="shared" si="2"/>
      </c>
      <c r="J76" s="49">
        <f t="shared" si="3"/>
      </c>
      <c r="K76" s="2">
        <f t="shared" si="4"/>
        <v>0</v>
      </c>
      <c r="L76" s="2">
        <f t="shared" si="5"/>
      </c>
    </row>
    <row r="77">
      <c r="A77" s="43">
        <f t="shared" si="0"/>
      </c>
      <c r="B77" s="44" t="n"/>
      <c r="C77" s="45" t="n"/>
      <c r="D77" s="45" t="n"/>
      <c r="E77" s="45" t="n"/>
      <c r="F77" s="47" t="n"/>
      <c r="G77" s="50" t="n"/>
      <c r="H77" s="53">
        <f t="shared" si="1"/>
      </c>
      <c r="I77" s="53">
        <f t="shared" si="2"/>
      </c>
      <c r="J77" s="49">
        <f t="shared" si="3"/>
      </c>
      <c r="K77" s="2">
        <f t="shared" si="4"/>
        <v>0</v>
      </c>
      <c r="L77" s="2">
        <f t="shared" si="5"/>
      </c>
    </row>
    <row r="78">
      <c r="A78" s="43">
        <f t="shared" si="0"/>
      </c>
      <c r="B78" s="44" t="n"/>
      <c r="C78" s="45" t="n"/>
      <c r="D78" s="45" t="n"/>
      <c r="E78" s="45" t="n"/>
      <c r="F78" s="47" t="n"/>
      <c r="G78" s="50" t="n"/>
      <c r="H78" s="53">
        <f t="shared" si="1"/>
      </c>
      <c r="I78" s="53">
        <f t="shared" si="2"/>
      </c>
      <c r="J78" s="49">
        <f t="shared" si="3"/>
      </c>
      <c r="K78" s="2">
        <f t="shared" si="4"/>
        <v>0</v>
      </c>
      <c r="L78" s="2">
        <f t="shared" si="5"/>
      </c>
    </row>
    <row r="79">
      <c r="A79" s="43">
        <f t="shared" si="0"/>
      </c>
      <c r="B79" s="44" t="n"/>
      <c r="C79" s="45" t="n"/>
      <c r="D79" s="45" t="n"/>
      <c r="E79" s="45" t="n"/>
      <c r="F79" s="47" t="n"/>
      <c r="G79" s="50" t="n"/>
      <c r="H79" s="53">
        <f t="shared" si="1"/>
      </c>
      <c r="I79" s="53">
        <f t="shared" si="2"/>
      </c>
      <c r="J79" s="49">
        <f t="shared" si="3"/>
      </c>
      <c r="K79" s="2">
        <f t="shared" si="4"/>
        <v>0</v>
      </c>
      <c r="L79" s="2">
        <f t="shared" si="5"/>
      </c>
    </row>
    <row r="80">
      <c r="A80" s="43">
        <f t="shared" si="0"/>
      </c>
      <c r="B80" s="44" t="n"/>
      <c r="C80" s="45" t="n"/>
      <c r="D80" s="45" t="n"/>
      <c r="E80" s="45" t="n"/>
      <c r="F80" s="47" t="n"/>
      <c r="G80" s="50" t="n"/>
      <c r="H80" s="53">
        <f t="shared" si="1"/>
      </c>
      <c r="I80" s="53">
        <f t="shared" si="2"/>
      </c>
      <c r="J80" s="49">
        <f t="shared" si="3"/>
      </c>
      <c r="K80" s="2">
        <f t="shared" si="4"/>
        <v>0</v>
      </c>
      <c r="L80" s="2">
        <f t="shared" si="5"/>
      </c>
    </row>
    <row r="81">
      <c r="A81" s="43">
        <f t="shared" si="0"/>
      </c>
      <c r="B81" s="44" t="n"/>
      <c r="C81" s="45" t="n"/>
      <c r="D81" s="45" t="n"/>
      <c r="E81" s="45" t="n"/>
      <c r="F81" s="47" t="n"/>
      <c r="G81" s="50" t="n"/>
      <c r="H81" s="53">
        <f t="shared" si="1"/>
      </c>
      <c r="I81" s="53">
        <f t="shared" si="2"/>
      </c>
      <c r="J81" s="49">
        <f t="shared" si="3"/>
      </c>
      <c r="K81" s="2">
        <f t="shared" si="4"/>
        <v>0</v>
      </c>
      <c r="L81" s="2">
        <f t="shared" si="5"/>
      </c>
    </row>
    <row r="82">
      <c r="A82" s="43">
        <f t="shared" si="0"/>
      </c>
      <c r="B82" s="44" t="n"/>
      <c r="C82" s="45" t="n"/>
      <c r="D82" s="45" t="n"/>
      <c r="E82" s="45" t="n"/>
      <c r="F82" s="47" t="n"/>
      <c r="G82" s="50" t="n"/>
      <c r="H82" s="53">
        <f t="shared" si="1"/>
      </c>
      <c r="I82" s="53">
        <f t="shared" si="2"/>
      </c>
      <c r="J82" s="49">
        <f t="shared" si="3"/>
      </c>
      <c r="K82" s="2">
        <f t="shared" si="4"/>
        <v>0</v>
      </c>
      <c r="L82" s="2">
        <f t="shared" si="5"/>
      </c>
    </row>
    <row r="83">
      <c r="A83" s="43">
        <f t="shared" si="0"/>
      </c>
      <c r="B83" s="44" t="n"/>
      <c r="C83" s="45" t="n"/>
      <c r="D83" s="45" t="n"/>
      <c r="E83" s="45" t="n"/>
      <c r="F83" s="47" t="n"/>
      <c r="G83" s="50" t="n"/>
      <c r="H83" s="53">
        <f t="shared" si="1"/>
      </c>
      <c r="I83" s="53">
        <f t="shared" si="2"/>
      </c>
      <c r="J83" s="49">
        <f t="shared" si="3"/>
      </c>
      <c r="K83" s="2">
        <f t="shared" si="4"/>
        <v>0</v>
      </c>
      <c r="L83" s="2">
        <f t="shared" si="5"/>
      </c>
    </row>
    <row r="84">
      <c r="A84" s="43">
        <f t="shared" si="0"/>
      </c>
      <c r="B84" s="44" t="n"/>
      <c r="C84" s="45" t="n"/>
      <c r="D84" s="45" t="n"/>
      <c r="E84" s="45" t="n"/>
      <c r="F84" s="47" t="n"/>
      <c r="G84" s="50" t="n"/>
      <c r="H84" s="53">
        <f t="shared" si="1"/>
      </c>
      <c r="I84" s="53">
        <f t="shared" si="2"/>
      </c>
      <c r="J84" s="49">
        <f t="shared" si="3"/>
      </c>
      <c r="K84" s="2">
        <f t="shared" si="4"/>
        <v>0</v>
      </c>
      <c r="L84" s="2">
        <f t="shared" si="5"/>
      </c>
    </row>
    <row r="85">
      <c r="A85" s="43">
        <f t="shared" si="0"/>
      </c>
      <c r="B85" s="44" t="n"/>
      <c r="C85" s="45" t="n"/>
      <c r="D85" s="45" t="n"/>
      <c r="E85" s="45" t="n"/>
      <c r="F85" s="47" t="n"/>
      <c r="G85" s="50" t="n"/>
      <c r="H85" s="53">
        <f t="shared" si="1"/>
      </c>
      <c r="I85" s="53">
        <f t="shared" si="2"/>
      </c>
      <c r="J85" s="49">
        <f t="shared" si="3"/>
      </c>
      <c r="K85" s="2">
        <f t="shared" si="4"/>
        <v>0</v>
      </c>
      <c r="L85" s="2">
        <f t="shared" si="5"/>
      </c>
    </row>
    <row r="86">
      <c r="A86" s="43">
        <f t="shared" si="0"/>
      </c>
      <c r="B86" s="44" t="n"/>
      <c r="C86" s="45" t="n"/>
      <c r="D86" s="45" t="n"/>
      <c r="E86" s="45" t="n"/>
      <c r="F86" s="47" t="n"/>
      <c r="G86" s="50" t="n"/>
      <c r="H86" s="53">
        <f t="shared" si="1"/>
      </c>
      <c r="I86" s="53">
        <f t="shared" si="2"/>
      </c>
      <c r="J86" s="49">
        <f t="shared" si="3"/>
      </c>
      <c r="K86" s="2">
        <f t="shared" si="4"/>
        <v>0</v>
      </c>
      <c r="L86" s="2">
        <f t="shared" si="5"/>
      </c>
    </row>
    <row r="87">
      <c r="A87" s="43">
        <f t="shared" si="0"/>
      </c>
      <c r="B87" s="44" t="n"/>
      <c r="C87" s="45" t="n"/>
      <c r="D87" s="45" t="n"/>
      <c r="E87" s="45" t="n"/>
      <c r="F87" s="47" t="n"/>
      <c r="G87" s="50" t="n"/>
      <c r="H87" s="53">
        <f t="shared" si="1"/>
      </c>
      <c r="I87" s="53">
        <f t="shared" si="2"/>
      </c>
      <c r="J87" s="49">
        <f t="shared" si="3"/>
      </c>
      <c r="K87" s="2">
        <f t="shared" si="4"/>
        <v>0</v>
      </c>
      <c r="L87" s="2">
        <f t="shared" si="5"/>
      </c>
    </row>
    <row r="88">
      <c r="A88" s="43">
        <f t="shared" si="0"/>
      </c>
      <c r="B88" s="44" t="n"/>
      <c r="C88" s="45" t="n"/>
      <c r="D88" s="45" t="n"/>
      <c r="E88" s="45" t="n"/>
      <c r="F88" s="47" t="n"/>
      <c r="G88" s="50" t="n"/>
      <c r="H88" s="53">
        <f t="shared" si="1"/>
      </c>
      <c r="I88" s="53">
        <f t="shared" si="2"/>
      </c>
      <c r="J88" s="49">
        <f t="shared" si="3"/>
      </c>
      <c r="K88" s="2">
        <f t="shared" si="4"/>
        <v>0</v>
      </c>
      <c r="L88" s="2">
        <f t="shared" si="5"/>
      </c>
    </row>
    <row r="89">
      <c r="A89" s="43">
        <f t="shared" si="0"/>
      </c>
      <c r="B89" s="44" t="n"/>
      <c r="C89" s="45" t="n"/>
      <c r="D89" s="45" t="n"/>
      <c r="E89" s="45" t="n"/>
      <c r="F89" s="47" t="n"/>
      <c r="G89" s="50" t="n"/>
      <c r="H89" s="53">
        <f t="shared" si="1"/>
      </c>
      <c r="I89" s="53">
        <f t="shared" si="2"/>
      </c>
      <c r="J89" s="49">
        <f t="shared" si="3"/>
      </c>
      <c r="K89" s="2">
        <f t="shared" si="4"/>
        <v>0</v>
      </c>
      <c r="L89" s="2">
        <f t="shared" si="5"/>
      </c>
    </row>
    <row r="90">
      <c r="A90" s="43">
        <f t="shared" si="0"/>
      </c>
      <c r="B90" s="44" t="n"/>
      <c r="C90" s="45" t="n"/>
      <c r="D90" s="45" t="n"/>
      <c r="E90" s="45" t="n"/>
      <c r="F90" s="47" t="n"/>
      <c r="G90" s="50" t="n"/>
      <c r="H90" s="53">
        <f t="shared" si="1"/>
      </c>
      <c r="I90" s="53">
        <f t="shared" si="2"/>
      </c>
      <c r="J90" s="49">
        <f t="shared" si="3"/>
      </c>
      <c r="K90" s="2">
        <f t="shared" si="4"/>
        <v>0</v>
      </c>
      <c r="L90" s="2">
        <f t="shared" si="5"/>
      </c>
    </row>
    <row r="91">
      <c r="A91" s="43">
        <f t="shared" si="0"/>
      </c>
      <c r="B91" s="44" t="n"/>
      <c r="C91" s="45" t="n"/>
      <c r="D91" s="45" t="n"/>
      <c r="E91" s="45" t="n"/>
      <c r="F91" s="47" t="n"/>
      <c r="G91" s="50" t="n"/>
      <c r="H91" s="53">
        <f t="shared" si="1"/>
      </c>
      <c r="I91" s="53">
        <f t="shared" si="2"/>
      </c>
      <c r="J91" s="49">
        <f t="shared" si="3"/>
      </c>
      <c r="K91" s="2">
        <f t="shared" si="4"/>
        <v>0</v>
      </c>
      <c r="L91" s="2">
        <f t="shared" si="5"/>
      </c>
    </row>
    <row r="92">
      <c r="A92" s="43">
        <f t="shared" si="0"/>
      </c>
      <c r="B92" s="44" t="n"/>
      <c r="C92" s="45" t="n"/>
      <c r="D92" s="45" t="n"/>
      <c r="E92" s="45" t="n"/>
      <c r="F92" s="47" t="n"/>
      <c r="G92" s="50" t="n"/>
      <c r="H92" s="53">
        <f t="shared" si="1"/>
      </c>
      <c r="I92" s="53">
        <f t="shared" si="2"/>
      </c>
      <c r="J92" s="49">
        <f t="shared" si="3"/>
      </c>
      <c r="K92" s="2">
        <f t="shared" si="4"/>
        <v>0</v>
      </c>
      <c r="L92" s="2">
        <f t="shared" si="5"/>
      </c>
    </row>
    <row r="93">
      <c r="A93" s="43">
        <f t="shared" si="0"/>
      </c>
      <c r="B93" s="44" t="n"/>
      <c r="C93" s="45" t="n"/>
      <c r="D93" s="45" t="n"/>
      <c r="E93" s="45" t="n"/>
      <c r="F93" s="47" t="n"/>
      <c r="G93" s="50" t="n"/>
      <c r="H93" s="53">
        <f t="shared" si="1"/>
      </c>
      <c r="I93" s="53">
        <f t="shared" si="2"/>
      </c>
      <c r="J93" s="49">
        <f t="shared" si="3"/>
      </c>
      <c r="K93" s="2">
        <f t="shared" si="4"/>
        <v>0</v>
      </c>
      <c r="L93" s="2">
        <f t="shared" si="5"/>
      </c>
    </row>
    <row r="94">
      <c r="A94" s="43">
        <f t="shared" si="0"/>
      </c>
      <c r="B94" s="44" t="n"/>
      <c r="C94" s="45" t="n"/>
      <c r="D94" s="45" t="n"/>
      <c r="E94" s="45" t="n"/>
      <c r="F94" s="47" t="n"/>
      <c r="G94" s="50" t="n"/>
      <c r="H94" s="53">
        <f t="shared" si="1"/>
      </c>
      <c r="I94" s="53">
        <f t="shared" si="2"/>
      </c>
      <c r="J94" s="49">
        <f t="shared" si="3"/>
      </c>
      <c r="K94" s="2">
        <f t="shared" si="4"/>
        <v>0</v>
      </c>
      <c r="L94" s="2">
        <f t="shared" si="5"/>
      </c>
    </row>
    <row r="95">
      <c r="A95" s="43">
        <f t="shared" si="0"/>
      </c>
      <c r="B95" s="44" t="n"/>
      <c r="C95" s="45" t="n"/>
      <c r="D95" s="45" t="n"/>
      <c r="E95" s="45" t="n"/>
      <c r="F95" s="47" t="n"/>
      <c r="G95" s="50" t="n"/>
      <c r="H95" s="53">
        <f t="shared" si="1"/>
      </c>
      <c r="I95" s="53">
        <f t="shared" si="2"/>
      </c>
      <c r="J95" s="49">
        <f t="shared" si="3"/>
      </c>
      <c r="K95" s="2">
        <f t="shared" si="4"/>
        <v>0</v>
      </c>
      <c r="L95" s="2">
        <f t="shared" si="5"/>
      </c>
    </row>
    <row r="96">
      <c r="A96" s="43">
        <f t="shared" si="0"/>
      </c>
      <c r="B96" s="44" t="n"/>
      <c r="C96" s="45" t="n"/>
      <c r="D96" s="45" t="n"/>
      <c r="E96" s="45" t="n"/>
      <c r="F96" s="47" t="n"/>
      <c r="G96" s="50" t="n"/>
      <c r="H96" s="53">
        <f t="shared" si="1"/>
      </c>
      <c r="I96" s="53">
        <f t="shared" si="2"/>
      </c>
      <c r="J96" s="49">
        <f t="shared" si="3"/>
      </c>
      <c r="K96" s="2">
        <f t="shared" si="4"/>
        <v>0</v>
      </c>
      <c r="L96" s="2">
        <f t="shared" si="5"/>
      </c>
    </row>
    <row r="97">
      <c r="A97" s="43">
        <f t="shared" si="0"/>
      </c>
      <c r="B97" s="44" t="n"/>
      <c r="C97" s="45" t="n"/>
      <c r="D97" s="45" t="n"/>
      <c r="E97" s="45" t="n"/>
      <c r="F97" s="47" t="n"/>
      <c r="G97" s="50" t="n"/>
      <c r="H97" s="53">
        <f t="shared" si="1"/>
      </c>
      <c r="I97" s="53">
        <f t="shared" si="2"/>
      </c>
      <c r="J97" s="49">
        <f t="shared" si="3"/>
      </c>
      <c r="K97" s="2">
        <f t="shared" si="4"/>
        <v>0</v>
      </c>
      <c r="L97" s="2">
        <f t="shared" si="5"/>
      </c>
    </row>
    <row r="98">
      <c r="A98" s="43">
        <f t="shared" si="0"/>
      </c>
      <c r="B98" s="44" t="n"/>
      <c r="C98" s="45" t="n"/>
      <c r="D98" s="45" t="n"/>
      <c r="E98" s="45" t="n"/>
      <c r="F98" s="47" t="n"/>
      <c r="G98" s="50" t="n"/>
      <c r="H98" s="53">
        <f t="shared" si="1"/>
      </c>
      <c r="I98" s="53">
        <f t="shared" si="2"/>
      </c>
      <c r="J98" s="49">
        <f t="shared" si="3"/>
      </c>
      <c r="K98" s="2">
        <f t="shared" si="4"/>
        <v>0</v>
      </c>
      <c r="L98" s="2">
        <f t="shared" si="5"/>
      </c>
    </row>
    <row r="99">
      <c r="A99" s="43">
        <f t="shared" si="0"/>
      </c>
      <c r="B99" s="44" t="n"/>
      <c r="C99" s="45" t="n"/>
      <c r="D99" s="45" t="n"/>
      <c r="E99" s="45" t="n"/>
      <c r="F99" s="47" t="n"/>
      <c r="G99" s="50" t="n"/>
      <c r="H99" s="53">
        <f t="shared" si="1"/>
      </c>
      <c r="I99" s="53">
        <f t="shared" si="2"/>
      </c>
      <c r="J99" s="49">
        <f t="shared" si="3"/>
      </c>
      <c r="K99" s="2">
        <f t="shared" si="4"/>
        <v>0</v>
      </c>
      <c r="L99" s="2">
        <f t="shared" si="5"/>
      </c>
    </row>
    <row r="100">
      <c r="A100" s="43">
        <f t="shared" si="0"/>
      </c>
      <c r="B100" s="44" t="n"/>
      <c r="C100" s="45" t="n"/>
      <c r="D100" s="45" t="n"/>
      <c r="E100" s="45" t="n"/>
      <c r="F100" s="47" t="n"/>
      <c r="G100" s="50" t="n"/>
      <c r="H100" s="53">
        <f t="shared" si="1"/>
      </c>
      <c r="I100" s="53">
        <f t="shared" si="2"/>
      </c>
      <c r="J100" s="49">
        <f t="shared" si="3"/>
      </c>
      <c r="K100" s="2">
        <f t="shared" si="4"/>
        <v>0</v>
      </c>
      <c r="L100" s="2">
        <f t="shared" si="5"/>
      </c>
    </row>
    <row r="101">
      <c r="A101" s="43">
        <f t="shared" si="0"/>
      </c>
      <c r="B101" s="44" t="n"/>
      <c r="C101" s="45" t="n"/>
      <c r="D101" s="45" t="n"/>
      <c r="E101" s="45" t="n"/>
      <c r="F101" s="47" t="n"/>
      <c r="G101" s="50" t="n"/>
      <c r="H101" s="53">
        <f t="shared" si="1"/>
      </c>
      <c r="I101" s="53">
        <f t="shared" si="2"/>
      </c>
      <c r="J101" s="49">
        <f t="shared" si="3"/>
      </c>
      <c r="K101" s="2">
        <f t="shared" si="4"/>
        <v>0</v>
      </c>
      <c r="L101" s="2">
        <f t="shared" si="5"/>
      </c>
    </row>
    <row r="102">
      <c r="A102" s="43">
        <f t="shared" si="0"/>
      </c>
      <c r="B102" s="44" t="n"/>
      <c r="C102" s="45" t="n"/>
      <c r="D102" s="45" t="n"/>
      <c r="E102" s="45" t="n"/>
      <c r="F102" s="47" t="n"/>
      <c r="G102" s="50" t="n"/>
      <c r="H102" s="53">
        <f t="shared" si="1"/>
      </c>
      <c r="I102" s="53">
        <f t="shared" si="2"/>
      </c>
      <c r="J102" s="49">
        <f t="shared" si="3"/>
      </c>
      <c r="K102" s="2">
        <f t="shared" si="4"/>
        <v>0</v>
      </c>
      <c r="L102" s="2">
        <f t="shared" si="5"/>
      </c>
    </row>
    <row r="103">
      <c r="A103" s="43">
        <f t="shared" si="0"/>
      </c>
      <c r="B103" s="44" t="n"/>
      <c r="C103" s="45" t="n"/>
      <c r="D103" s="45" t="n"/>
      <c r="E103" s="45" t="n"/>
      <c r="F103" s="47" t="n"/>
      <c r="G103" s="50" t="n"/>
      <c r="H103" s="53">
        <f t="shared" si="1"/>
      </c>
      <c r="I103" s="53">
        <f t="shared" si="2"/>
      </c>
      <c r="J103" s="49">
        <f t="shared" si="3"/>
      </c>
      <c r="K103" s="2">
        <f t="shared" si="4"/>
        <v>0</v>
      </c>
      <c r="L103" s="2">
        <f t="shared" si="5"/>
      </c>
    </row>
    <row r="104">
      <c r="A104" s="43">
        <f t="shared" si="0"/>
      </c>
      <c r="B104" s="44" t="n"/>
      <c r="C104" s="45" t="n"/>
      <c r="D104" s="45" t="n"/>
      <c r="E104" s="45" t="n"/>
      <c r="F104" s="47" t="n"/>
      <c r="G104" s="50" t="n"/>
      <c r="H104" s="53">
        <f t="shared" si="1"/>
      </c>
      <c r="I104" s="53">
        <f t="shared" si="2"/>
      </c>
      <c r="J104" s="49">
        <f t="shared" si="3"/>
      </c>
      <c r="K104" s="2">
        <f t="shared" si="4"/>
        <v>0</v>
      </c>
      <c r="L104" s="2">
        <f t="shared" si="5"/>
      </c>
    </row>
    <row r="105">
      <c r="A105" s="43">
        <f t="shared" si="0"/>
      </c>
      <c r="B105" s="44" t="n"/>
      <c r="C105" s="45" t="n"/>
      <c r="D105" s="45" t="n"/>
      <c r="E105" s="45" t="n"/>
      <c r="F105" s="47" t="n"/>
      <c r="G105" s="50" t="n"/>
      <c r="H105" s="53">
        <f t="shared" si="1"/>
      </c>
      <c r="I105" s="53">
        <f t="shared" si="2"/>
      </c>
      <c r="J105" s="49">
        <f t="shared" si="3"/>
      </c>
      <c r="K105" s="2">
        <f t="shared" si="4"/>
        <v>0</v>
      </c>
      <c r="L105" s="2">
        <f t="shared" si="5"/>
      </c>
    </row>
    <row r="106">
      <c r="A106" s="43">
        <f t="shared" si="0"/>
      </c>
      <c r="B106" s="44" t="n"/>
      <c r="C106" s="45" t="n"/>
      <c r="D106" s="45" t="n"/>
      <c r="E106" s="45" t="n"/>
      <c r="F106" s="47" t="n"/>
      <c r="G106" s="50" t="n"/>
      <c r="H106" s="53">
        <f t="shared" si="1"/>
      </c>
      <c r="I106" s="53">
        <f t="shared" si="2"/>
      </c>
      <c r="J106" s="49">
        <f t="shared" si="3"/>
      </c>
      <c r="K106" s="2">
        <f t="shared" si="4"/>
        <v>0</v>
      </c>
      <c r="L106" s="2">
        <f t="shared" si="5"/>
      </c>
    </row>
    <row r="107">
      <c r="A107" s="43">
        <f t="shared" si="0"/>
      </c>
      <c r="B107" s="44" t="n"/>
      <c r="C107" s="45" t="n"/>
      <c r="D107" s="45" t="n"/>
      <c r="E107" s="45" t="n"/>
      <c r="F107" s="47" t="n"/>
      <c r="G107" s="50" t="n"/>
      <c r="H107" s="53">
        <f t="shared" si="1"/>
      </c>
      <c r="I107" s="53">
        <f t="shared" si="2"/>
      </c>
      <c r="J107" s="49">
        <f t="shared" si="3"/>
      </c>
      <c r="K107" s="2">
        <f t="shared" si="4"/>
        <v>0</v>
      </c>
      <c r="L107" s="2">
        <f t="shared" si="5"/>
      </c>
    </row>
    <row r="108">
      <c r="A108" s="43">
        <f t="shared" si="0"/>
      </c>
      <c r="B108" s="44" t="n"/>
      <c r="C108" s="45" t="n"/>
      <c r="D108" s="45" t="n"/>
      <c r="E108" s="45" t="n"/>
      <c r="F108" s="47" t="n"/>
      <c r="G108" s="50" t="n"/>
      <c r="H108" s="53">
        <f t="shared" si="1"/>
      </c>
      <c r="I108" s="53">
        <f t="shared" si="2"/>
      </c>
      <c r="J108" s="49">
        <f t="shared" si="3"/>
      </c>
      <c r="K108" s="2">
        <f t="shared" si="4"/>
        <v>0</v>
      </c>
      <c r="L108" s="2">
        <f t="shared" si="5"/>
      </c>
    </row>
    <row r="109">
      <c r="A109" s="43">
        <f t="shared" si="0"/>
      </c>
      <c r="B109" s="44" t="n"/>
      <c r="C109" s="45" t="n"/>
      <c r="D109" s="45" t="n"/>
      <c r="E109" s="45" t="n"/>
      <c r="F109" s="47" t="n"/>
      <c r="G109" s="50" t="n"/>
      <c r="H109" s="53">
        <f t="shared" si="1"/>
      </c>
      <c r="I109" s="53">
        <f t="shared" si="2"/>
      </c>
      <c r="J109" s="49">
        <f t="shared" si="3"/>
      </c>
      <c r="K109" s="2">
        <f t="shared" si="4"/>
        <v>0</v>
      </c>
      <c r="L109" s="2">
        <f t="shared" si="5"/>
      </c>
    </row>
    <row r="110">
      <c r="A110" s="43">
        <f t="shared" si="0"/>
      </c>
      <c r="B110" s="44" t="n"/>
      <c r="C110" s="45" t="n"/>
      <c r="D110" s="45" t="n"/>
      <c r="E110" s="45" t="n"/>
      <c r="F110" s="47" t="n"/>
      <c r="G110" s="50" t="n"/>
      <c r="H110" s="53">
        <f t="shared" si="1"/>
      </c>
      <c r="I110" s="53">
        <f t="shared" si="2"/>
      </c>
      <c r="J110" s="49">
        <f t="shared" si="3"/>
      </c>
      <c r="K110" s="2">
        <f t="shared" si="4"/>
        <v>0</v>
      </c>
      <c r="L110" s="2">
        <f t="shared" si="5"/>
      </c>
    </row>
    <row r="111">
      <c r="A111" s="43">
        <f t="shared" si="0"/>
      </c>
      <c r="B111" s="44" t="n"/>
      <c r="C111" s="45" t="n"/>
      <c r="D111" s="45" t="n"/>
      <c r="E111" s="45" t="n"/>
      <c r="F111" s="47" t="n"/>
      <c r="G111" s="50" t="n"/>
      <c r="H111" s="53">
        <f t="shared" si="1"/>
      </c>
      <c r="I111" s="53">
        <f t="shared" si="2"/>
      </c>
      <c r="J111" s="49">
        <f t="shared" si="3"/>
      </c>
      <c r="K111" s="2">
        <f t="shared" si="4"/>
        <v>0</v>
      </c>
      <c r="L111" s="2">
        <f t="shared" si="5"/>
      </c>
    </row>
    <row r="112">
      <c r="A112" s="43">
        <f t="shared" si="0"/>
      </c>
      <c r="B112" s="44" t="n"/>
      <c r="C112" s="45" t="n"/>
      <c r="D112" s="45" t="n"/>
      <c r="E112" s="45" t="n"/>
      <c r="F112" s="47" t="n"/>
      <c r="G112" s="50" t="n"/>
      <c r="H112" s="53">
        <f t="shared" si="1"/>
      </c>
      <c r="I112" s="53">
        <f t="shared" si="2"/>
      </c>
      <c r="J112" s="49">
        <f t="shared" si="3"/>
      </c>
      <c r="K112" s="2">
        <f t="shared" si="4"/>
        <v>0</v>
      </c>
      <c r="L112" s="2">
        <f t="shared" si="5"/>
      </c>
    </row>
    <row r="113">
      <c r="A113" s="43">
        <f t="shared" si="0"/>
      </c>
      <c r="B113" s="44" t="n"/>
      <c r="C113" s="45" t="n"/>
      <c r="D113" s="45" t="n"/>
      <c r="E113" s="45" t="n"/>
      <c r="F113" s="47" t="n"/>
      <c r="G113" s="50" t="n"/>
      <c r="H113" s="53">
        <f t="shared" si="1"/>
      </c>
      <c r="I113" s="53">
        <f t="shared" si="2"/>
      </c>
      <c r="J113" s="49">
        <f t="shared" si="3"/>
      </c>
      <c r="K113" s="2">
        <f t="shared" si="4"/>
        <v>0</v>
      </c>
      <c r="L113" s="2">
        <f t="shared" si="5"/>
      </c>
    </row>
    <row r="114">
      <c r="A114" s="43">
        <f t="shared" si="0"/>
      </c>
      <c r="B114" s="44" t="n"/>
      <c r="C114" s="45" t="n"/>
      <c r="D114" s="45" t="n"/>
      <c r="E114" s="45" t="n"/>
      <c r="F114" s="47" t="n"/>
      <c r="G114" s="50" t="n"/>
      <c r="H114" s="53">
        <f t="shared" si="1"/>
      </c>
      <c r="I114" s="53">
        <f t="shared" si="2"/>
      </c>
      <c r="J114" s="49">
        <f t="shared" si="3"/>
      </c>
      <c r="K114" s="2">
        <f t="shared" si="4"/>
        <v>0</v>
      </c>
      <c r="L114" s="2">
        <f t="shared" si="5"/>
      </c>
    </row>
    <row r="115">
      <c r="A115" s="43">
        <f t="shared" si="0"/>
      </c>
      <c r="B115" s="44" t="n"/>
      <c r="C115" s="45" t="n"/>
      <c r="D115" s="45" t="n"/>
      <c r="E115" s="45" t="n"/>
      <c r="F115" s="47" t="n"/>
      <c r="G115" s="50" t="n"/>
      <c r="H115" s="53">
        <f t="shared" si="1"/>
      </c>
      <c r="I115" s="53">
        <f t="shared" si="2"/>
      </c>
      <c r="J115" s="49">
        <f t="shared" si="3"/>
      </c>
      <c r="K115" s="2">
        <f t="shared" si="4"/>
        <v>0</v>
      </c>
      <c r="L115" s="2">
        <f t="shared" si="5"/>
      </c>
    </row>
    <row r="116">
      <c r="A116" s="43">
        <f t="shared" si="0"/>
      </c>
      <c r="B116" s="44" t="n"/>
      <c r="C116" s="45" t="n"/>
      <c r="D116" s="45" t="n"/>
      <c r="E116" s="45" t="n"/>
      <c r="F116" s="47" t="n"/>
      <c r="G116" s="50" t="n"/>
      <c r="H116" s="53">
        <f t="shared" si="1"/>
      </c>
      <c r="I116" s="53">
        <f t="shared" si="2"/>
      </c>
      <c r="J116" s="49">
        <f t="shared" si="3"/>
      </c>
      <c r="K116" s="2">
        <f t="shared" si="4"/>
        <v>0</v>
      </c>
      <c r="L116" s="2">
        <f t="shared" si="5"/>
      </c>
    </row>
    <row r="117">
      <c r="A117" s="43">
        <f t="shared" si="0"/>
      </c>
      <c r="B117" s="44" t="n"/>
      <c r="C117" s="45" t="n"/>
      <c r="D117" s="45" t="n"/>
      <c r="E117" s="45" t="n"/>
      <c r="F117" s="47" t="n"/>
      <c r="G117" s="50" t="n"/>
      <c r="H117" s="53">
        <f t="shared" si="1"/>
      </c>
      <c r="I117" s="53">
        <f t="shared" si="2"/>
      </c>
      <c r="J117" s="49">
        <f t="shared" si="3"/>
      </c>
      <c r="K117" s="2">
        <f t="shared" si="4"/>
        <v>0</v>
      </c>
      <c r="L117" s="2">
        <f t="shared" si="5"/>
      </c>
    </row>
    <row r="118">
      <c r="A118" s="43">
        <f t="shared" si="0"/>
      </c>
      <c r="B118" s="44" t="n"/>
      <c r="C118" s="45" t="n"/>
      <c r="D118" s="45" t="n"/>
      <c r="E118" s="45" t="n"/>
      <c r="F118" s="47" t="n"/>
      <c r="G118" s="50" t="n"/>
      <c r="H118" s="53">
        <f t="shared" si="1"/>
      </c>
      <c r="I118" s="53">
        <f t="shared" si="2"/>
      </c>
      <c r="J118" s="49">
        <f t="shared" si="3"/>
      </c>
      <c r="K118" s="2">
        <f t="shared" si="4"/>
        <v>0</v>
      </c>
      <c r="L118" s="2">
        <f t="shared" si="5"/>
      </c>
    </row>
    <row r="119">
      <c r="A119" s="43">
        <f t="shared" si="0"/>
      </c>
      <c r="B119" s="44" t="n"/>
      <c r="C119" s="45" t="n"/>
      <c r="D119" s="45" t="n"/>
      <c r="E119" s="45" t="n"/>
      <c r="F119" s="47" t="n"/>
      <c r="G119" s="50" t="n"/>
      <c r="H119" s="53">
        <f t="shared" si="1"/>
      </c>
      <c r="I119" s="53">
        <f t="shared" si="2"/>
      </c>
      <c r="J119" s="49">
        <f t="shared" si="3"/>
      </c>
      <c r="K119" s="2">
        <f t="shared" si="4"/>
        <v>0</v>
      </c>
      <c r="L119" s="2">
        <f t="shared" si="5"/>
      </c>
    </row>
    <row r="120">
      <c r="A120" s="43">
        <f t="shared" si="0"/>
      </c>
      <c r="B120" s="44" t="n"/>
      <c r="C120" s="45" t="n"/>
      <c r="D120" s="45" t="n"/>
      <c r="E120" s="45" t="n"/>
      <c r="F120" s="47" t="n"/>
      <c r="G120" s="50" t="n"/>
      <c r="H120" s="53">
        <f t="shared" si="1"/>
      </c>
      <c r="I120" s="53">
        <f t="shared" si="2"/>
      </c>
      <c r="J120" s="49">
        <f t="shared" si="3"/>
      </c>
      <c r="K120" s="2">
        <f t="shared" si="4"/>
        <v>0</v>
      </c>
      <c r="L120" s="2">
        <f t="shared" si="5"/>
      </c>
    </row>
    <row r="121">
      <c r="A121" s="43">
        <f t="shared" si="0"/>
      </c>
      <c r="B121" s="44" t="n"/>
      <c r="C121" s="45" t="n"/>
      <c r="D121" s="45" t="n"/>
      <c r="E121" s="45" t="n"/>
      <c r="F121" s="47" t="n"/>
      <c r="G121" s="50" t="n"/>
      <c r="H121" s="53">
        <f t="shared" si="1"/>
      </c>
      <c r="I121" s="53">
        <f t="shared" si="2"/>
      </c>
      <c r="J121" s="49">
        <f t="shared" si="3"/>
      </c>
      <c r="K121" s="2">
        <f t="shared" si="4"/>
        <v>0</v>
      </c>
      <c r="L121" s="2">
        <f t="shared" si="5"/>
      </c>
    </row>
    <row r="122">
      <c r="A122" s="43">
        <f t="shared" si="0"/>
      </c>
      <c r="B122" s="44" t="n"/>
      <c r="C122" s="45" t="n"/>
      <c r="D122" s="45" t="n"/>
      <c r="E122" s="45" t="n"/>
      <c r="F122" s="47" t="n"/>
      <c r="G122" s="50" t="n"/>
      <c r="H122" s="53">
        <f t="shared" si="1"/>
      </c>
      <c r="I122" s="53">
        <f t="shared" si="2"/>
      </c>
      <c r="J122" s="49">
        <f t="shared" si="3"/>
      </c>
      <c r="K122" s="2">
        <f t="shared" si="4"/>
        <v>0</v>
      </c>
      <c r="L122" s="2">
        <f t="shared" si="5"/>
      </c>
    </row>
    <row r="123">
      <c r="A123" s="43">
        <f t="shared" si="0"/>
      </c>
      <c r="B123" s="44" t="n"/>
      <c r="C123" s="45" t="n"/>
      <c r="D123" s="45" t="n"/>
      <c r="E123" s="45" t="n"/>
      <c r="F123" s="47" t="n"/>
      <c r="G123" s="50" t="n"/>
      <c r="H123" s="53">
        <f t="shared" si="1"/>
      </c>
      <c r="I123" s="53">
        <f t="shared" si="2"/>
      </c>
      <c r="J123" s="49">
        <f t="shared" si="3"/>
      </c>
      <c r="K123" s="2">
        <f t="shared" si="4"/>
        <v>0</v>
      </c>
      <c r="L123" s="2">
        <f t="shared" si="5"/>
      </c>
    </row>
    <row r="124">
      <c r="A124" s="43">
        <f t="shared" si="0"/>
      </c>
      <c r="B124" s="44" t="n"/>
      <c r="C124" s="45" t="n"/>
      <c r="D124" s="45" t="n"/>
      <c r="E124" s="45" t="n"/>
      <c r="F124" s="47" t="n"/>
      <c r="G124" s="50" t="n"/>
      <c r="H124" s="53">
        <f t="shared" si="1"/>
      </c>
      <c r="I124" s="53">
        <f t="shared" si="2"/>
      </c>
      <c r="J124" s="49">
        <f t="shared" si="3"/>
      </c>
      <c r="K124" s="2">
        <f t="shared" si="4"/>
        <v>0</v>
      </c>
      <c r="L124" s="2">
        <f t="shared" si="5"/>
      </c>
    </row>
    <row r="125">
      <c r="A125" s="43">
        <f t="shared" si="0"/>
      </c>
      <c r="B125" s="44" t="n"/>
      <c r="C125" s="45" t="n"/>
      <c r="D125" s="45" t="n"/>
      <c r="E125" s="45" t="n"/>
      <c r="F125" s="47" t="n"/>
      <c r="G125" s="50" t="n"/>
      <c r="H125" s="53">
        <f t="shared" si="1"/>
      </c>
      <c r="I125" s="53">
        <f t="shared" si="2"/>
      </c>
      <c r="J125" s="49">
        <f t="shared" si="3"/>
      </c>
      <c r="K125" s="2">
        <f t="shared" si="4"/>
        <v>0</v>
      </c>
      <c r="L125" s="2">
        <f t="shared" si="5"/>
      </c>
    </row>
    <row r="126">
      <c r="A126" s="43">
        <f t="shared" si="0"/>
      </c>
      <c r="B126" s="44" t="n"/>
      <c r="C126" s="45" t="n"/>
      <c r="D126" s="45" t="n"/>
      <c r="E126" s="45" t="n"/>
      <c r="F126" s="47" t="n"/>
      <c r="G126" s="50" t="n"/>
      <c r="H126" s="53">
        <f t="shared" si="1"/>
      </c>
      <c r="I126" s="53">
        <f t="shared" si="2"/>
      </c>
      <c r="J126" s="49">
        <f t="shared" si="3"/>
      </c>
      <c r="K126" s="2">
        <f t="shared" si="4"/>
        <v>0</v>
      </c>
      <c r="L126" s="2">
        <f t="shared" si="5"/>
      </c>
    </row>
    <row r="127">
      <c r="A127" s="43">
        <f t="shared" si="0"/>
      </c>
      <c r="B127" s="44" t="n"/>
      <c r="C127" s="45" t="n"/>
      <c r="D127" s="45" t="n"/>
      <c r="E127" s="45" t="n"/>
      <c r="F127" s="47" t="n"/>
      <c r="G127" s="50" t="n"/>
      <c r="H127" s="53">
        <f t="shared" si="1"/>
      </c>
      <c r="I127" s="53">
        <f t="shared" si="2"/>
      </c>
      <c r="J127" s="49">
        <f t="shared" si="3"/>
      </c>
      <c r="K127" s="2">
        <f t="shared" si="4"/>
        <v>0</v>
      </c>
      <c r="L127" s="2">
        <f t="shared" si="5"/>
      </c>
    </row>
    <row r="128">
      <c r="A128" s="43">
        <f t="shared" si="0"/>
      </c>
      <c r="B128" s="44" t="n"/>
      <c r="C128" s="45" t="n"/>
      <c r="D128" s="45" t="n"/>
      <c r="E128" s="45" t="n"/>
      <c r="F128" s="47" t="n"/>
      <c r="G128" s="50" t="n"/>
      <c r="H128" s="53">
        <f t="shared" si="1"/>
      </c>
      <c r="I128" s="53">
        <f t="shared" si="2"/>
      </c>
      <c r="J128" s="49">
        <f t="shared" si="3"/>
      </c>
      <c r="K128" s="2">
        <f t="shared" si="4"/>
        <v>0</v>
      </c>
      <c r="L128" s="2">
        <f t="shared" si="5"/>
      </c>
    </row>
    <row r="129">
      <c r="A129" s="43">
        <f t="shared" si="0"/>
      </c>
      <c r="B129" s="44" t="n"/>
      <c r="C129" s="45" t="n"/>
      <c r="D129" s="45" t="n"/>
      <c r="E129" s="45" t="n"/>
      <c r="F129" s="47" t="n"/>
      <c r="G129" s="50" t="n"/>
      <c r="H129" s="53">
        <f t="shared" si="1"/>
      </c>
      <c r="I129" s="53">
        <f t="shared" si="2"/>
      </c>
      <c r="J129" s="49">
        <f t="shared" si="3"/>
      </c>
      <c r="K129" s="2">
        <f t="shared" si="4"/>
        <v>0</v>
      </c>
      <c r="L129" s="2">
        <f t="shared" si="5"/>
      </c>
    </row>
    <row r="130">
      <c r="A130" s="43">
        <f t="shared" si="0"/>
      </c>
      <c r="B130" s="44" t="n"/>
      <c r="C130" s="45" t="n"/>
      <c r="D130" s="45" t="n"/>
      <c r="E130" s="45" t="n"/>
      <c r="F130" s="47" t="n"/>
      <c r="G130" s="50" t="n"/>
      <c r="H130" s="53">
        <f t="shared" si="1"/>
      </c>
      <c r="I130" s="53">
        <f t="shared" si="2"/>
      </c>
      <c r="J130" s="49">
        <f t="shared" si="3"/>
      </c>
      <c r="K130" s="2">
        <f t="shared" si="4"/>
        <v>0</v>
      </c>
      <c r="L130" s="2">
        <f t="shared" si="5"/>
      </c>
    </row>
    <row r="131">
      <c r="A131" s="43">
        <f t="shared" si="0"/>
      </c>
      <c r="B131" s="44" t="n"/>
      <c r="C131" s="45" t="n"/>
      <c r="D131" s="45" t="n"/>
      <c r="E131" s="45" t="n"/>
      <c r="F131" s="47" t="n"/>
      <c r="G131" s="50" t="n"/>
      <c r="H131" s="53">
        <f t="shared" si="1"/>
      </c>
      <c r="I131" s="53">
        <f t="shared" si="2"/>
      </c>
      <c r="J131" s="49">
        <f t="shared" si="3"/>
      </c>
      <c r="K131" s="2">
        <f t="shared" si="4"/>
        <v>0</v>
      </c>
      <c r="L131" s="2">
        <f t="shared" si="5"/>
      </c>
    </row>
    <row r="132">
      <c r="A132" s="43">
        <f t="shared" si="0"/>
      </c>
      <c r="B132" s="44" t="n"/>
      <c r="C132" s="45" t="n"/>
      <c r="D132" s="45" t="n"/>
      <c r="E132" s="45" t="n"/>
      <c r="F132" s="47" t="n"/>
      <c r="G132" s="50" t="n"/>
      <c r="H132" s="53">
        <f t="shared" si="1"/>
      </c>
      <c r="I132" s="53">
        <f t="shared" si="2"/>
      </c>
      <c r="J132" s="49">
        <f t="shared" si="3"/>
      </c>
      <c r="K132" s="2">
        <f t="shared" si="4"/>
        <v>0</v>
      </c>
      <c r="L132" s="2">
        <f t="shared" si="5"/>
      </c>
    </row>
    <row r="133">
      <c r="A133" s="43">
        <f t="shared" si="0"/>
      </c>
      <c r="B133" s="44" t="n"/>
      <c r="C133" s="45" t="n"/>
      <c r="D133" s="45" t="n"/>
      <c r="E133" s="45" t="n"/>
      <c r="F133" s="47" t="n"/>
      <c r="G133" s="50" t="n"/>
      <c r="H133" s="53">
        <f t="shared" si="1"/>
      </c>
      <c r="I133" s="53">
        <f t="shared" si="2"/>
      </c>
      <c r="J133" s="49">
        <f t="shared" si="3"/>
      </c>
      <c r="K133" s="2">
        <f t="shared" si="4"/>
        <v>0</v>
      </c>
      <c r="L133" s="2">
        <f t="shared" si="5"/>
      </c>
    </row>
    <row r="134">
      <c r="A134" s="43">
        <f t="shared" si="0"/>
      </c>
      <c r="B134" s="44" t="n"/>
      <c r="C134" s="45" t="n"/>
      <c r="D134" s="45" t="n"/>
      <c r="E134" s="45" t="n"/>
      <c r="F134" s="47" t="n"/>
      <c r="G134" s="50" t="n"/>
      <c r="H134" s="53">
        <f t="shared" si="1"/>
      </c>
      <c r="I134" s="53">
        <f t="shared" si="2"/>
      </c>
      <c r="J134" s="49">
        <f t="shared" si="3"/>
      </c>
      <c r="K134" s="2">
        <f t="shared" si="4"/>
        <v>0</v>
      </c>
      <c r="L134" s="2">
        <f t="shared" si="5"/>
      </c>
    </row>
    <row r="135">
      <c r="A135" s="43">
        <f t="shared" si="0"/>
      </c>
      <c r="B135" s="44" t="n"/>
      <c r="C135" s="45" t="n"/>
      <c r="D135" s="45" t="n"/>
      <c r="E135" s="45" t="n"/>
      <c r="F135" s="47" t="n"/>
      <c r="G135" s="50" t="n"/>
      <c r="H135" s="53">
        <f t="shared" si="1"/>
      </c>
      <c r="I135" s="53">
        <f t="shared" si="2"/>
      </c>
      <c r="J135" s="49">
        <f t="shared" si="3"/>
      </c>
      <c r="K135" s="2">
        <f t="shared" si="4"/>
        <v>0</v>
      </c>
      <c r="L135" s="2">
        <f t="shared" si="5"/>
      </c>
    </row>
    <row r="136">
      <c r="A136" s="43">
        <f t="shared" si="0"/>
      </c>
      <c r="B136" s="44" t="n"/>
      <c r="C136" s="45" t="n"/>
      <c r="D136" s="45" t="n"/>
      <c r="E136" s="45" t="n"/>
      <c r="F136" s="47" t="n"/>
      <c r="G136" s="50" t="n"/>
      <c r="H136" s="53">
        <f t="shared" si="1"/>
      </c>
      <c r="I136" s="53">
        <f t="shared" si="2"/>
      </c>
      <c r="J136" s="49">
        <f t="shared" si="3"/>
      </c>
      <c r="K136" s="2">
        <f t="shared" si="4"/>
        <v>0</v>
      </c>
      <c r="L136" s="2">
        <f t="shared" si="5"/>
      </c>
    </row>
    <row r="137">
      <c r="A137" s="43">
        <f t="shared" si="0"/>
      </c>
      <c r="B137" s="44" t="n"/>
      <c r="C137" s="45" t="n"/>
      <c r="D137" s="45" t="n"/>
      <c r="E137" s="45" t="n"/>
      <c r="F137" s="47" t="n"/>
      <c r="G137" s="50" t="n"/>
      <c r="H137" s="53">
        <f t="shared" si="1"/>
      </c>
      <c r="I137" s="53">
        <f t="shared" si="2"/>
      </c>
      <c r="J137" s="49">
        <f t="shared" si="3"/>
      </c>
      <c r="K137" s="2">
        <f t="shared" si="4"/>
        <v>0</v>
      </c>
      <c r="L137" s="2">
        <f t="shared" si="5"/>
      </c>
    </row>
    <row r="138">
      <c r="A138" s="43">
        <f t="shared" si="0"/>
      </c>
      <c r="B138" s="44" t="n"/>
      <c r="C138" s="45" t="n"/>
      <c r="D138" s="45" t="n"/>
      <c r="E138" s="45" t="n"/>
      <c r="F138" s="47" t="n"/>
      <c r="G138" s="50" t="n"/>
      <c r="H138" s="53">
        <f t="shared" si="1"/>
      </c>
      <c r="I138" s="53">
        <f t="shared" si="2"/>
      </c>
      <c r="J138" s="49">
        <f t="shared" si="3"/>
      </c>
      <c r="K138" s="2">
        <f t="shared" si="4"/>
        <v>0</v>
      </c>
      <c r="L138" s="2">
        <f t="shared" si="5"/>
      </c>
    </row>
    <row r="139">
      <c r="A139" s="43">
        <f t="shared" si="0"/>
      </c>
      <c r="B139" s="44" t="n"/>
      <c r="C139" s="45" t="n"/>
      <c r="D139" s="45" t="n"/>
      <c r="E139" s="45" t="n"/>
      <c r="F139" s="47" t="n"/>
      <c r="G139" s="50" t="n"/>
      <c r="H139" s="53">
        <f t="shared" si="1"/>
      </c>
      <c r="I139" s="53">
        <f t="shared" si="2"/>
      </c>
      <c r="J139" s="49">
        <f t="shared" si="3"/>
      </c>
      <c r="K139" s="2">
        <f t="shared" si="4"/>
        <v>0</v>
      </c>
      <c r="L139" s="2">
        <f t="shared" si="5"/>
      </c>
    </row>
    <row r="140">
      <c r="A140" s="43">
        <f t="shared" si="0"/>
      </c>
      <c r="B140" s="44" t="n"/>
      <c r="C140" s="45" t="n"/>
      <c r="D140" s="45" t="n"/>
      <c r="E140" s="45" t="n"/>
      <c r="F140" s="47" t="n"/>
      <c r="G140" s="50" t="n"/>
      <c r="H140" s="53">
        <f t="shared" si="1"/>
      </c>
      <c r="I140" s="53">
        <f t="shared" si="2"/>
      </c>
      <c r="J140" s="49">
        <f t="shared" si="3"/>
      </c>
      <c r="K140" s="2">
        <f t="shared" si="4"/>
        <v>0</v>
      </c>
      <c r="L140" s="2">
        <f t="shared" si="5"/>
      </c>
    </row>
    <row r="141">
      <c r="A141" s="43">
        <f t="shared" si="0"/>
      </c>
      <c r="B141" s="44" t="n"/>
      <c r="C141" s="45" t="n"/>
      <c r="D141" s="45" t="n"/>
      <c r="E141" s="45" t="n"/>
      <c r="F141" s="47" t="n"/>
      <c r="G141" s="50" t="n"/>
      <c r="H141" s="53">
        <f t="shared" si="1"/>
      </c>
      <c r="I141" s="53">
        <f t="shared" si="2"/>
      </c>
      <c r="J141" s="49">
        <f t="shared" si="3"/>
      </c>
      <c r="K141" s="2">
        <f t="shared" si="4"/>
        <v>0</v>
      </c>
      <c r="L141" s="2">
        <f t="shared" si="5"/>
      </c>
    </row>
    <row r="142">
      <c r="A142" s="43">
        <f t="shared" si="0"/>
      </c>
      <c r="B142" s="44" t="n"/>
      <c r="C142" s="45" t="n"/>
      <c r="D142" s="45" t="n"/>
      <c r="E142" s="45" t="n"/>
      <c r="F142" s="47" t="n"/>
      <c r="G142" s="50" t="n"/>
      <c r="H142" s="53">
        <f t="shared" si="1"/>
      </c>
      <c r="I142" s="53">
        <f t="shared" si="2"/>
      </c>
      <c r="J142" s="49">
        <f t="shared" si="3"/>
      </c>
      <c r="K142" s="2">
        <f t="shared" si="4"/>
        <v>0</v>
      </c>
      <c r="L142" s="2">
        <f t="shared" si="5"/>
      </c>
    </row>
    <row r="143">
      <c r="A143" s="43">
        <f t="shared" si="0"/>
      </c>
      <c r="B143" s="44" t="n"/>
      <c r="C143" s="45" t="n"/>
      <c r="D143" s="45" t="n"/>
      <c r="E143" s="45" t="n"/>
      <c r="F143" s="47" t="n"/>
      <c r="G143" s="50" t="n"/>
      <c r="H143" s="53">
        <f t="shared" si="1"/>
      </c>
      <c r="I143" s="53">
        <f t="shared" si="2"/>
      </c>
      <c r="J143" s="49">
        <f t="shared" si="3"/>
      </c>
      <c r="K143" s="2">
        <f t="shared" si="4"/>
        <v>0</v>
      </c>
      <c r="L143" s="2">
        <f t="shared" si="5"/>
      </c>
    </row>
    <row r="144">
      <c r="A144" s="43">
        <f t="shared" si="0"/>
      </c>
      <c r="B144" s="44" t="n"/>
      <c r="C144" s="45" t="n"/>
      <c r="D144" s="45" t="n"/>
      <c r="E144" s="45" t="n"/>
      <c r="F144" s="47" t="n"/>
      <c r="G144" s="50" t="n"/>
      <c r="H144" s="53">
        <f t="shared" si="1"/>
      </c>
      <c r="I144" s="53">
        <f t="shared" si="2"/>
      </c>
      <c r="J144" s="49">
        <f t="shared" si="3"/>
      </c>
      <c r="K144" s="2">
        <f t="shared" si="4"/>
        <v>0</v>
      </c>
      <c r="L144" s="2">
        <f t="shared" si="5"/>
      </c>
    </row>
    <row r="145">
      <c r="A145" s="43">
        <f t="shared" si="0"/>
      </c>
      <c r="B145" s="44" t="n"/>
      <c r="C145" s="45" t="n"/>
      <c r="D145" s="45" t="n"/>
      <c r="E145" s="45" t="n"/>
      <c r="F145" s="47" t="n"/>
      <c r="G145" s="50" t="n"/>
      <c r="H145" s="53">
        <f t="shared" si="1"/>
      </c>
      <c r="I145" s="53">
        <f t="shared" si="2"/>
      </c>
      <c r="J145" s="49">
        <f t="shared" si="3"/>
      </c>
      <c r="K145" s="2">
        <f t="shared" si="4"/>
        <v>0</v>
      </c>
      <c r="L145" s="2">
        <f t="shared" si="5"/>
      </c>
    </row>
    <row r="146">
      <c r="A146" s="43">
        <f t="shared" si="0"/>
      </c>
      <c r="B146" s="44" t="n"/>
      <c r="C146" s="45" t="n"/>
      <c r="D146" s="45" t="n"/>
      <c r="E146" s="45" t="n"/>
      <c r="F146" s="47" t="n"/>
      <c r="G146" s="50" t="n"/>
      <c r="H146" s="53">
        <f t="shared" si="1"/>
      </c>
      <c r="I146" s="53">
        <f t="shared" si="2"/>
      </c>
      <c r="J146" s="49">
        <f t="shared" si="3"/>
      </c>
      <c r="K146" s="2">
        <f t="shared" si="4"/>
        <v>0</v>
      </c>
      <c r="L146" s="2">
        <f t="shared" si="5"/>
      </c>
    </row>
    <row r="147">
      <c r="A147" s="43">
        <f t="shared" si="0"/>
      </c>
      <c r="B147" s="44" t="n"/>
      <c r="C147" s="45" t="n"/>
      <c r="D147" s="45" t="n"/>
      <c r="E147" s="45" t="n"/>
      <c r="F147" s="47" t="n"/>
      <c r="G147" s="50" t="n"/>
      <c r="H147" s="53">
        <f t="shared" si="1"/>
      </c>
      <c r="I147" s="53">
        <f t="shared" si="2"/>
      </c>
      <c r="J147" s="49">
        <f t="shared" si="3"/>
      </c>
      <c r="K147" s="2">
        <f t="shared" si="4"/>
        <v>0</v>
      </c>
      <c r="L147" s="2">
        <f t="shared" si="5"/>
      </c>
    </row>
    <row r="148">
      <c r="A148" s="43">
        <f t="shared" si="0"/>
      </c>
      <c r="B148" s="44" t="n"/>
      <c r="C148" s="45" t="n"/>
      <c r="D148" s="45" t="n"/>
      <c r="E148" s="45" t="n"/>
      <c r="F148" s="47" t="n"/>
      <c r="G148" s="50" t="n"/>
      <c r="H148" s="53">
        <f t="shared" si="1"/>
      </c>
      <c r="I148" s="53">
        <f t="shared" si="2"/>
      </c>
      <c r="J148" s="49">
        <f t="shared" si="3"/>
      </c>
      <c r="K148" s="2">
        <f t="shared" si="4"/>
        <v>0</v>
      </c>
      <c r="L148" s="2">
        <f t="shared" si="5"/>
      </c>
    </row>
    <row r="149">
      <c r="A149" s="43">
        <f t="shared" si="0"/>
      </c>
      <c r="B149" s="44" t="n"/>
      <c r="C149" s="45" t="n"/>
      <c r="D149" s="45" t="n"/>
      <c r="E149" s="45" t="n"/>
      <c r="F149" s="47" t="n"/>
      <c r="G149" s="50" t="n"/>
      <c r="H149" s="53">
        <f t="shared" si="1"/>
      </c>
      <c r="I149" s="53">
        <f t="shared" si="2"/>
      </c>
      <c r="J149" s="49">
        <f t="shared" si="3"/>
      </c>
      <c r="K149" s="2">
        <f t="shared" si="4"/>
        <v>0</v>
      </c>
      <c r="L149" s="2">
        <f t="shared" si="5"/>
      </c>
    </row>
    <row r="150">
      <c r="A150" s="43">
        <f t="shared" si="0"/>
      </c>
      <c r="B150" s="44" t="n"/>
      <c r="C150" s="45" t="n"/>
      <c r="D150" s="45" t="n"/>
      <c r="E150" s="45" t="n"/>
      <c r="F150" s="47" t="n"/>
      <c r="G150" s="50" t="n"/>
      <c r="H150" s="53">
        <f t="shared" si="1"/>
      </c>
      <c r="I150" s="53">
        <f t="shared" si="2"/>
      </c>
      <c r="J150" s="49">
        <f t="shared" si="3"/>
      </c>
      <c r="K150" s="2">
        <f t="shared" si="4"/>
        <v>0</v>
      </c>
      <c r="L150" s="2">
        <f t="shared" si="5"/>
      </c>
    </row>
    <row r="151">
      <c r="A151" s="43">
        <f t="shared" si="0"/>
      </c>
      <c r="B151" s="44" t="n"/>
      <c r="C151" s="45" t="n"/>
      <c r="D151" s="45" t="n"/>
      <c r="E151" s="45" t="n"/>
      <c r="F151" s="47" t="n"/>
      <c r="G151" s="50" t="n"/>
      <c r="H151" s="53">
        <f t="shared" si="1"/>
      </c>
      <c r="I151" s="53">
        <f t="shared" si="2"/>
      </c>
      <c r="J151" s="49">
        <f t="shared" si="3"/>
      </c>
      <c r="K151" s="2">
        <f t="shared" si="4"/>
        <v>0</v>
      </c>
      <c r="L151" s="2">
        <f t="shared" si="5"/>
      </c>
    </row>
    <row r="152">
      <c r="A152" s="43">
        <f t="shared" si="0"/>
      </c>
      <c r="B152" s="44" t="n"/>
      <c r="C152" s="45" t="n"/>
      <c r="D152" s="45" t="n"/>
      <c r="E152" s="45" t="n"/>
      <c r="F152" s="47" t="n"/>
      <c r="G152" s="50" t="n"/>
      <c r="H152" s="53">
        <f t="shared" si="1"/>
      </c>
      <c r="I152" s="53">
        <f t="shared" si="2"/>
      </c>
      <c r="J152" s="49">
        <f t="shared" si="3"/>
      </c>
      <c r="K152" s="2">
        <f t="shared" si="4"/>
        <v>0</v>
      </c>
      <c r="L152" s="2">
        <f t="shared" si="5"/>
      </c>
    </row>
    <row r="153">
      <c r="A153" s="43">
        <f t="shared" si="0"/>
      </c>
      <c r="B153" s="44" t="n"/>
      <c r="C153" s="45" t="n"/>
      <c r="D153" s="45" t="n"/>
      <c r="E153" s="45" t="n"/>
      <c r="F153" s="47" t="n"/>
      <c r="G153" s="50" t="n"/>
      <c r="H153" s="53">
        <f t="shared" si="1"/>
      </c>
      <c r="I153" s="53">
        <f t="shared" si="2"/>
      </c>
      <c r="J153" s="49">
        <f t="shared" si="3"/>
      </c>
      <c r="K153" s="2">
        <f t="shared" si="4"/>
        <v>0</v>
      </c>
      <c r="L153" s="2">
        <f t="shared" si="5"/>
      </c>
    </row>
    <row r="154">
      <c r="A154" s="43">
        <f t="shared" si="0"/>
      </c>
      <c r="B154" s="44" t="n"/>
      <c r="C154" s="45" t="n"/>
      <c r="D154" s="45" t="n"/>
      <c r="E154" s="45" t="n"/>
      <c r="F154" s="47" t="n"/>
      <c r="G154" s="50" t="n"/>
      <c r="H154" s="53">
        <f t="shared" si="1"/>
      </c>
      <c r="I154" s="53">
        <f t="shared" si="2"/>
      </c>
      <c r="J154" s="49">
        <f t="shared" si="3"/>
      </c>
      <c r="K154" s="2">
        <f t="shared" si="4"/>
        <v>0</v>
      </c>
      <c r="L154" s="2">
        <f t="shared" si="5"/>
      </c>
    </row>
    <row r="155">
      <c r="A155" s="43">
        <f t="shared" si="0"/>
      </c>
      <c r="B155" s="44" t="n"/>
      <c r="C155" s="45" t="n"/>
      <c r="D155" s="45" t="n"/>
      <c r="E155" s="45" t="n"/>
      <c r="F155" s="47" t="n"/>
      <c r="G155" s="50" t="n"/>
      <c r="H155" s="53">
        <f t="shared" si="1"/>
      </c>
      <c r="I155" s="53">
        <f t="shared" si="2"/>
      </c>
      <c r="J155" s="49">
        <f t="shared" si="3"/>
      </c>
      <c r="K155" s="2">
        <f t="shared" si="4"/>
        <v>0</v>
      </c>
      <c r="L155" s="2">
        <f t="shared" si="5"/>
      </c>
    </row>
    <row r="156">
      <c r="A156" s="43">
        <f t="shared" si="0"/>
      </c>
      <c r="B156" s="44" t="n"/>
      <c r="C156" s="45" t="n"/>
      <c r="D156" s="45" t="n"/>
      <c r="E156" s="45" t="n"/>
      <c r="F156" s="47" t="n"/>
      <c r="G156" s="50" t="n"/>
      <c r="H156" s="53">
        <f t="shared" si="1"/>
      </c>
      <c r="I156" s="53">
        <f t="shared" si="2"/>
      </c>
      <c r="J156" s="49">
        <f t="shared" si="3"/>
      </c>
      <c r="K156" s="2">
        <f t="shared" si="4"/>
        <v>0</v>
      </c>
      <c r="L156" s="2">
        <f t="shared" si="5"/>
      </c>
    </row>
    <row r="157">
      <c r="A157" s="43">
        <f t="shared" si="0"/>
      </c>
      <c r="B157" s="44" t="n"/>
      <c r="C157" s="45" t="n"/>
      <c r="D157" s="45" t="n"/>
      <c r="E157" s="45" t="n"/>
      <c r="F157" s="47" t="n"/>
      <c r="G157" s="50" t="n"/>
      <c r="H157" s="53">
        <f t="shared" si="1"/>
      </c>
      <c r="I157" s="53">
        <f t="shared" si="2"/>
      </c>
      <c r="J157" s="49">
        <f t="shared" si="3"/>
      </c>
      <c r="K157" s="2">
        <f t="shared" si="4"/>
        <v>0</v>
      </c>
      <c r="L157" s="2">
        <f t="shared" si="5"/>
      </c>
    </row>
    <row r="158">
      <c r="A158" s="43">
        <f t="shared" si="0"/>
      </c>
      <c r="B158" s="44" t="n"/>
      <c r="C158" s="45" t="n"/>
      <c r="D158" s="45" t="n"/>
      <c r="E158" s="45" t="n"/>
      <c r="F158" s="47" t="n"/>
      <c r="G158" s="50" t="n"/>
      <c r="H158" s="53">
        <f t="shared" si="1"/>
      </c>
      <c r="I158" s="53">
        <f t="shared" si="2"/>
      </c>
      <c r="J158" s="49">
        <f t="shared" si="3"/>
      </c>
      <c r="K158" s="2">
        <f t="shared" si="4"/>
        <v>0</v>
      </c>
      <c r="L158" s="2">
        <f t="shared" si="5"/>
      </c>
    </row>
    <row r="159">
      <c r="A159" s="43">
        <f t="shared" si="0"/>
      </c>
      <c r="B159" s="44" t="n"/>
      <c r="C159" s="45" t="n"/>
      <c r="D159" s="45" t="n"/>
      <c r="E159" s="45" t="n"/>
      <c r="F159" s="47" t="n"/>
      <c r="G159" s="50" t="n"/>
      <c r="H159" s="53">
        <f t="shared" si="1"/>
      </c>
      <c r="I159" s="53">
        <f t="shared" si="2"/>
      </c>
      <c r="J159" s="49">
        <f t="shared" si="3"/>
      </c>
      <c r="K159" s="2">
        <f t="shared" si="4"/>
        <v>0</v>
      </c>
      <c r="L159" s="2">
        <f t="shared" si="5"/>
      </c>
    </row>
    <row r="160">
      <c r="A160" s="43">
        <f t="shared" si="0"/>
      </c>
      <c r="B160" s="44" t="n"/>
      <c r="C160" s="45" t="n"/>
      <c r="D160" s="45" t="n"/>
      <c r="E160" s="45" t="n"/>
      <c r="F160" s="47" t="n"/>
      <c r="G160" s="50" t="n"/>
      <c r="H160" s="53">
        <f t="shared" si="1"/>
      </c>
      <c r="I160" s="53">
        <f t="shared" si="2"/>
      </c>
      <c r="J160" s="49">
        <f t="shared" si="3"/>
      </c>
      <c r="K160" s="2">
        <f t="shared" si="4"/>
        <v>0</v>
      </c>
      <c r="L160" s="2">
        <f t="shared" si="5"/>
      </c>
    </row>
    <row r="161">
      <c r="A161" s="43">
        <f t="shared" si="0"/>
      </c>
      <c r="B161" s="44" t="n"/>
      <c r="C161" s="45" t="n"/>
      <c r="D161" s="45" t="n"/>
      <c r="E161" s="45" t="n"/>
      <c r="F161" s="47" t="n"/>
      <c r="G161" s="50" t="n"/>
      <c r="H161" s="53">
        <f t="shared" si="1"/>
      </c>
      <c r="I161" s="53">
        <f t="shared" si="2"/>
      </c>
      <c r="J161" s="49">
        <f t="shared" si="3"/>
      </c>
      <c r="K161" s="2">
        <f t="shared" si="4"/>
        <v>0</v>
      </c>
      <c r="L161" s="2">
        <f t="shared" si="5"/>
      </c>
    </row>
    <row r="162">
      <c r="A162" s="43">
        <f t="shared" si="0"/>
      </c>
      <c r="B162" s="44" t="n"/>
      <c r="C162" s="45" t="n"/>
      <c r="D162" s="45" t="n"/>
      <c r="E162" s="45" t="n"/>
      <c r="F162" s="47" t="n"/>
      <c r="G162" s="50" t="n"/>
      <c r="H162" s="53">
        <f t="shared" si="1"/>
      </c>
      <c r="I162" s="53">
        <f t="shared" si="2"/>
      </c>
      <c r="J162" s="49">
        <f t="shared" si="3"/>
      </c>
      <c r="K162" s="2">
        <f t="shared" si="4"/>
        <v>0</v>
      </c>
      <c r="L162" s="2">
        <f t="shared" si="5"/>
      </c>
    </row>
    <row r="163">
      <c r="A163" s="43">
        <f t="shared" si="0"/>
      </c>
      <c r="B163" s="44" t="n"/>
      <c r="C163" s="45" t="n"/>
      <c r="D163" s="45" t="n"/>
      <c r="E163" s="45" t="n"/>
      <c r="F163" s="47" t="n"/>
      <c r="G163" s="50" t="n"/>
      <c r="H163" s="53">
        <f t="shared" si="1"/>
      </c>
      <c r="I163" s="53">
        <f t="shared" si="2"/>
      </c>
      <c r="J163" s="49">
        <f t="shared" si="3"/>
      </c>
      <c r="K163" s="2">
        <f t="shared" si="4"/>
        <v>0</v>
      </c>
      <c r="L163" s="2">
        <f t="shared" si="5"/>
      </c>
    </row>
    <row r="164">
      <c r="A164" s="43">
        <f t="shared" si="0"/>
      </c>
      <c r="B164" s="44" t="n"/>
      <c r="C164" s="45" t="n"/>
      <c r="D164" s="45" t="n"/>
      <c r="E164" s="45" t="n"/>
      <c r="F164" s="47" t="n"/>
      <c r="G164" s="50" t="n"/>
      <c r="H164" s="53">
        <f t="shared" si="1"/>
      </c>
      <c r="I164" s="53">
        <f t="shared" si="2"/>
      </c>
      <c r="J164" s="49">
        <f t="shared" si="3"/>
      </c>
      <c r="K164" s="2">
        <f t="shared" si="4"/>
        <v>0</v>
      </c>
      <c r="L164" s="2">
        <f t="shared" si="5"/>
      </c>
    </row>
    <row r="165">
      <c r="A165" s="43">
        <f t="shared" si="0"/>
      </c>
      <c r="B165" s="44" t="n"/>
      <c r="C165" s="45" t="n"/>
      <c r="D165" s="45" t="n"/>
      <c r="E165" s="45" t="n"/>
      <c r="F165" s="47" t="n"/>
      <c r="G165" s="50" t="n"/>
      <c r="H165" s="53">
        <f t="shared" si="1"/>
      </c>
      <c r="I165" s="53">
        <f t="shared" si="2"/>
      </c>
      <c r="J165" s="49">
        <f t="shared" si="3"/>
      </c>
      <c r="K165" s="2">
        <f t="shared" si="4"/>
        <v>0</v>
      </c>
      <c r="L165" s="2">
        <f t="shared" si="5"/>
      </c>
    </row>
    <row r="166">
      <c r="A166" s="43">
        <f t="shared" si="0"/>
      </c>
      <c r="B166" s="44" t="n"/>
      <c r="C166" s="45" t="n"/>
      <c r="D166" s="45" t="n"/>
      <c r="E166" s="45" t="n"/>
      <c r="F166" s="47" t="n"/>
      <c r="G166" s="50" t="n"/>
      <c r="H166" s="53">
        <f t="shared" si="1"/>
      </c>
      <c r="I166" s="53">
        <f t="shared" si="2"/>
      </c>
      <c r="J166" s="49">
        <f t="shared" si="3"/>
      </c>
      <c r="K166" s="2">
        <f t="shared" si="4"/>
        <v>0</v>
      </c>
      <c r="L166" s="2">
        <f t="shared" si="5"/>
      </c>
    </row>
    <row r="167">
      <c r="A167" s="43">
        <f t="shared" si="0"/>
      </c>
      <c r="B167" s="44" t="n"/>
      <c r="C167" s="45" t="n"/>
      <c r="D167" s="45" t="n"/>
      <c r="E167" s="45" t="n"/>
      <c r="F167" s="47" t="n"/>
      <c r="G167" s="50" t="n"/>
      <c r="H167" s="53">
        <f t="shared" si="1"/>
      </c>
      <c r="I167" s="53">
        <f t="shared" si="2"/>
      </c>
      <c r="J167" s="49">
        <f t="shared" si="3"/>
      </c>
      <c r="K167" s="2">
        <f t="shared" si="4"/>
        <v>0</v>
      </c>
      <c r="L167" s="2">
        <f t="shared" si="5"/>
      </c>
    </row>
    <row r="168">
      <c r="A168" s="43">
        <f t="shared" si="0"/>
      </c>
      <c r="B168" s="44" t="n"/>
      <c r="C168" s="45" t="n"/>
      <c r="D168" s="45" t="n"/>
      <c r="E168" s="45" t="n"/>
      <c r="F168" s="47" t="n"/>
      <c r="G168" s="50" t="n"/>
      <c r="H168" s="53">
        <f t="shared" si="1"/>
      </c>
      <c r="I168" s="53">
        <f t="shared" si="2"/>
      </c>
      <c r="J168" s="49">
        <f t="shared" si="3"/>
      </c>
      <c r="K168" s="2">
        <f t="shared" si="4"/>
        <v>0</v>
      </c>
      <c r="L168" s="2">
        <f t="shared" si="5"/>
      </c>
    </row>
    <row r="169">
      <c r="A169" s="43">
        <f t="shared" si="0"/>
      </c>
      <c r="B169" s="44" t="n"/>
      <c r="C169" s="45" t="n"/>
      <c r="D169" s="45" t="n"/>
      <c r="E169" s="45" t="n"/>
      <c r="F169" s="47" t="n"/>
      <c r="G169" s="50" t="n"/>
      <c r="H169" s="53">
        <f t="shared" si="1"/>
      </c>
      <c r="I169" s="53">
        <f t="shared" si="2"/>
      </c>
      <c r="J169" s="49">
        <f t="shared" si="3"/>
      </c>
      <c r="K169" s="2">
        <f t="shared" si="4"/>
        <v>0</v>
      </c>
      <c r="L169" s="2">
        <f t="shared" si="5"/>
      </c>
    </row>
    <row r="170">
      <c r="A170" s="43">
        <f t="shared" si="0"/>
      </c>
      <c r="B170" s="44" t="n"/>
      <c r="C170" s="45" t="n"/>
      <c r="D170" s="45" t="n"/>
      <c r="E170" s="45" t="n"/>
      <c r="F170" s="47" t="n"/>
      <c r="G170" s="50" t="n"/>
      <c r="H170" s="53">
        <f t="shared" si="1"/>
      </c>
      <c r="I170" s="53">
        <f t="shared" si="2"/>
      </c>
      <c r="J170" s="49">
        <f t="shared" si="3"/>
      </c>
      <c r="K170" s="2">
        <f t="shared" si="4"/>
        <v>0</v>
      </c>
      <c r="L170" s="2">
        <f t="shared" si="5"/>
      </c>
    </row>
    <row r="171">
      <c r="A171" s="43">
        <f t="shared" si="0"/>
      </c>
      <c r="B171" s="44" t="n"/>
      <c r="C171" s="45" t="n"/>
      <c r="D171" s="45" t="n"/>
      <c r="E171" s="45" t="n"/>
      <c r="F171" s="47" t="n"/>
      <c r="G171" s="50" t="n"/>
      <c r="H171" s="53">
        <f t="shared" si="1"/>
      </c>
      <c r="I171" s="53">
        <f t="shared" si="2"/>
      </c>
      <c r="J171" s="49">
        <f t="shared" si="3"/>
      </c>
      <c r="K171" s="2">
        <f t="shared" si="4"/>
        <v>0</v>
      </c>
      <c r="L171" s="2">
        <f t="shared" si="5"/>
      </c>
    </row>
    <row r="172">
      <c r="A172" s="43">
        <f t="shared" si="0"/>
      </c>
      <c r="B172" s="44" t="n"/>
      <c r="C172" s="45" t="n"/>
      <c r="D172" s="45" t="n"/>
      <c r="E172" s="45" t="n"/>
      <c r="F172" s="47" t="n"/>
      <c r="G172" s="50" t="n"/>
      <c r="H172" s="53">
        <f t="shared" si="1"/>
      </c>
      <c r="I172" s="53">
        <f t="shared" si="2"/>
      </c>
      <c r="J172" s="49">
        <f t="shared" si="3"/>
      </c>
      <c r="K172" s="2">
        <f t="shared" si="4"/>
        <v>0</v>
      </c>
      <c r="L172" s="2">
        <f t="shared" si="5"/>
      </c>
    </row>
    <row r="173">
      <c r="A173" s="43">
        <f t="shared" si="0"/>
      </c>
      <c r="B173" s="44" t="n"/>
      <c r="C173" s="45" t="n"/>
      <c r="D173" s="45" t="n"/>
      <c r="E173" s="45" t="n"/>
      <c r="F173" s="47" t="n"/>
      <c r="G173" s="50" t="n"/>
      <c r="H173" s="53">
        <f t="shared" si="1"/>
      </c>
      <c r="I173" s="53">
        <f t="shared" si="2"/>
      </c>
      <c r="J173" s="49">
        <f t="shared" si="3"/>
      </c>
      <c r="K173" s="2">
        <f t="shared" si="4"/>
        <v>0</v>
      </c>
      <c r="L173" s="2">
        <f t="shared" si="5"/>
      </c>
    </row>
    <row r="174">
      <c r="A174" s="43">
        <f t="shared" si="0"/>
      </c>
      <c r="B174" s="44" t="n"/>
      <c r="C174" s="45" t="n"/>
      <c r="D174" s="45" t="n"/>
      <c r="E174" s="45" t="n"/>
      <c r="F174" s="47" t="n"/>
      <c r="G174" s="50" t="n"/>
      <c r="H174" s="53">
        <f t="shared" si="1"/>
      </c>
      <c r="I174" s="53">
        <f t="shared" si="2"/>
      </c>
      <c r="J174" s="49">
        <f t="shared" si="3"/>
      </c>
      <c r="K174" s="2">
        <f t="shared" si="4"/>
        <v>0</v>
      </c>
      <c r="L174" s="2">
        <f t="shared" si="5"/>
      </c>
    </row>
    <row r="175">
      <c r="A175" s="43">
        <f t="shared" si="0"/>
      </c>
      <c r="B175" s="44" t="n"/>
      <c r="C175" s="45" t="n"/>
      <c r="D175" s="45" t="n"/>
      <c r="E175" s="45" t="n"/>
      <c r="F175" s="47" t="n"/>
      <c r="G175" s="50" t="n"/>
      <c r="H175" s="53">
        <f t="shared" si="1"/>
      </c>
      <c r="I175" s="53">
        <f t="shared" si="2"/>
      </c>
      <c r="J175" s="49">
        <f t="shared" si="3"/>
      </c>
      <c r="K175" s="2">
        <f t="shared" si="4"/>
        <v>0</v>
      </c>
      <c r="L175" s="2">
        <f t="shared" si="5"/>
      </c>
    </row>
    <row r="176">
      <c r="A176" s="43">
        <f t="shared" si="0"/>
      </c>
      <c r="B176" s="44" t="n"/>
      <c r="C176" s="45" t="n"/>
      <c r="D176" s="45" t="n"/>
      <c r="E176" s="45" t="n"/>
      <c r="F176" s="47" t="n"/>
      <c r="G176" s="50" t="n"/>
      <c r="H176" s="53">
        <f t="shared" si="1"/>
      </c>
      <c r="I176" s="53">
        <f t="shared" si="2"/>
      </c>
      <c r="J176" s="49">
        <f t="shared" si="3"/>
      </c>
      <c r="K176" s="2">
        <f t="shared" si="4"/>
        <v>0</v>
      </c>
      <c r="L176" s="2">
        <f t="shared" si="5"/>
      </c>
    </row>
    <row r="177">
      <c r="A177" s="43">
        <f t="shared" si="0"/>
      </c>
      <c r="B177" s="44" t="n"/>
      <c r="C177" s="45" t="n"/>
      <c r="D177" s="45" t="n"/>
      <c r="E177" s="45" t="n"/>
      <c r="F177" s="47" t="n"/>
      <c r="G177" s="50" t="n"/>
      <c r="H177" s="53">
        <f t="shared" si="1"/>
      </c>
      <c r="I177" s="53">
        <f t="shared" si="2"/>
      </c>
      <c r="J177" s="49">
        <f t="shared" si="3"/>
      </c>
      <c r="K177" s="2">
        <f t="shared" si="4"/>
        <v>0</v>
      </c>
      <c r="L177" s="2">
        <f t="shared" si="5"/>
      </c>
    </row>
    <row r="178">
      <c r="A178" s="43">
        <f t="shared" si="0"/>
      </c>
      <c r="B178" s="44" t="n"/>
      <c r="C178" s="45" t="n"/>
      <c r="D178" s="45" t="n"/>
      <c r="E178" s="45" t="n"/>
      <c r="F178" s="47" t="n"/>
      <c r="G178" s="50" t="n"/>
      <c r="H178" s="53">
        <f t="shared" si="1"/>
      </c>
      <c r="I178" s="53">
        <f t="shared" si="2"/>
      </c>
      <c r="J178" s="49">
        <f t="shared" si="3"/>
      </c>
      <c r="K178" s="2">
        <f t="shared" si="4"/>
        <v>0</v>
      </c>
      <c r="L178" s="2">
        <f t="shared" si="5"/>
      </c>
    </row>
    <row r="179">
      <c r="A179" s="43">
        <f t="shared" si="0"/>
      </c>
      <c r="B179" s="44" t="n"/>
      <c r="C179" s="45" t="n"/>
      <c r="D179" s="45" t="n"/>
      <c r="E179" s="45" t="n"/>
      <c r="F179" s="47" t="n"/>
      <c r="G179" s="50" t="n"/>
      <c r="H179" s="53">
        <f t="shared" si="1"/>
      </c>
      <c r="I179" s="53">
        <f t="shared" si="2"/>
      </c>
      <c r="J179" s="49">
        <f t="shared" si="3"/>
      </c>
      <c r="K179" s="2">
        <f t="shared" si="4"/>
        <v>0</v>
      </c>
      <c r="L179" s="2">
        <f t="shared" si="5"/>
      </c>
    </row>
    <row r="180">
      <c r="A180" s="43">
        <f t="shared" si="0"/>
      </c>
      <c r="B180" s="44" t="n"/>
      <c r="C180" s="45" t="n"/>
      <c r="D180" s="45" t="n"/>
      <c r="E180" s="45" t="n"/>
      <c r="F180" s="47" t="n"/>
      <c r="G180" s="50" t="n"/>
      <c r="H180" s="53">
        <f t="shared" si="1"/>
      </c>
      <c r="I180" s="53">
        <f t="shared" si="2"/>
      </c>
      <c r="J180" s="49">
        <f t="shared" si="3"/>
      </c>
      <c r="K180" s="2">
        <f t="shared" si="4"/>
        <v>0</v>
      </c>
      <c r="L180" s="2">
        <f t="shared" si="5"/>
      </c>
    </row>
    <row r="181">
      <c r="A181" s="43">
        <f t="shared" si="0"/>
      </c>
      <c r="B181" s="44" t="n"/>
      <c r="C181" s="45" t="n"/>
      <c r="D181" s="45" t="n"/>
      <c r="E181" s="45" t="n"/>
      <c r="F181" s="47" t="n"/>
      <c r="G181" s="50" t="n"/>
      <c r="H181" s="53">
        <f t="shared" si="1"/>
      </c>
      <c r="I181" s="53">
        <f t="shared" si="2"/>
      </c>
      <c r="J181" s="49">
        <f t="shared" si="3"/>
      </c>
      <c r="K181" s="2">
        <f t="shared" si="4"/>
        <v>0</v>
      </c>
      <c r="L181" s="2">
        <f t="shared" si="5"/>
      </c>
    </row>
    <row r="182">
      <c r="A182" s="43">
        <f t="shared" si="0"/>
      </c>
      <c r="B182" s="44" t="n"/>
      <c r="C182" s="45" t="n"/>
      <c r="D182" s="45" t="n"/>
      <c r="E182" s="45" t="n"/>
      <c r="F182" s="47" t="n"/>
      <c r="G182" s="50" t="n"/>
      <c r="H182" s="53">
        <f t="shared" si="1"/>
      </c>
      <c r="I182" s="53">
        <f t="shared" si="2"/>
      </c>
      <c r="J182" s="49">
        <f t="shared" si="3"/>
      </c>
      <c r="K182" s="2">
        <f t="shared" si="4"/>
        <v>0</v>
      </c>
      <c r="L182" s="2">
        <f t="shared" si="5"/>
      </c>
    </row>
    <row r="183">
      <c r="A183" s="43">
        <f t="shared" si="0"/>
      </c>
      <c r="B183" s="44" t="n"/>
      <c r="C183" s="45" t="n"/>
      <c r="D183" s="45" t="n"/>
      <c r="E183" s="45" t="n"/>
      <c r="F183" s="47" t="n"/>
      <c r="G183" s="50" t="n"/>
      <c r="H183" s="53">
        <f t="shared" si="1"/>
      </c>
      <c r="I183" s="53">
        <f t="shared" si="2"/>
      </c>
      <c r="J183" s="49">
        <f t="shared" si="3"/>
      </c>
      <c r="K183" s="2">
        <f t="shared" si="4"/>
        <v>0</v>
      </c>
      <c r="L183" s="2">
        <f t="shared" si="5"/>
      </c>
    </row>
    <row r="184">
      <c r="A184" s="43">
        <f t="shared" si="0"/>
      </c>
      <c r="B184" s="44" t="n"/>
      <c r="C184" s="45" t="n"/>
      <c r="D184" s="45" t="n"/>
      <c r="E184" s="45" t="n"/>
      <c r="F184" s="47" t="n"/>
      <c r="G184" s="50" t="n"/>
      <c r="H184" s="53">
        <f t="shared" si="1"/>
      </c>
      <c r="I184" s="53">
        <f t="shared" si="2"/>
      </c>
      <c r="J184" s="49">
        <f t="shared" si="3"/>
      </c>
      <c r="K184" s="2">
        <f t="shared" si="4"/>
        <v>0</v>
      </c>
      <c r="L184" s="2">
        <f t="shared" si="5"/>
      </c>
    </row>
    <row r="185">
      <c r="A185" s="43">
        <f t="shared" si="0"/>
      </c>
      <c r="B185" s="44" t="n"/>
      <c r="C185" s="45" t="n"/>
      <c r="D185" s="45" t="n"/>
      <c r="E185" s="45" t="n"/>
      <c r="F185" s="47" t="n"/>
      <c r="G185" s="50" t="n"/>
      <c r="H185" s="53">
        <f t="shared" si="1"/>
      </c>
      <c r="I185" s="53">
        <f t="shared" si="2"/>
      </c>
      <c r="J185" s="49">
        <f t="shared" si="3"/>
      </c>
      <c r="K185" s="2">
        <f t="shared" si="4"/>
        <v>0</v>
      </c>
      <c r="L185" s="2">
        <f t="shared" si="5"/>
      </c>
    </row>
    <row r="186">
      <c r="A186" s="43">
        <f t="shared" si="0"/>
      </c>
      <c r="B186" s="44" t="n"/>
      <c r="C186" s="45" t="n"/>
      <c r="D186" s="45" t="n"/>
      <c r="E186" s="45" t="n"/>
      <c r="F186" s="47" t="n"/>
      <c r="G186" s="50" t="n"/>
      <c r="H186" s="53">
        <f t="shared" si="1"/>
      </c>
      <c r="I186" s="53">
        <f t="shared" si="2"/>
      </c>
      <c r="J186" s="49">
        <f t="shared" si="3"/>
      </c>
      <c r="K186" s="2">
        <f t="shared" si="4"/>
        <v>0</v>
      </c>
      <c r="L186" s="2">
        <f t="shared" si="5"/>
      </c>
    </row>
    <row r="187">
      <c r="A187" s="43">
        <f t="shared" si="0"/>
      </c>
      <c r="B187" s="44" t="n"/>
      <c r="C187" s="45" t="n"/>
      <c r="D187" s="45" t="n"/>
      <c r="E187" s="45" t="n"/>
      <c r="F187" s="47" t="n"/>
      <c r="G187" s="50" t="n"/>
      <c r="H187" s="53">
        <f t="shared" si="1"/>
      </c>
      <c r="I187" s="53">
        <f t="shared" si="2"/>
      </c>
      <c r="J187" s="49">
        <f t="shared" si="3"/>
      </c>
      <c r="K187" s="2">
        <f t="shared" si="4"/>
        <v>0</v>
      </c>
      <c r="L187" s="2">
        <f t="shared" si="5"/>
      </c>
    </row>
    <row r="188">
      <c r="A188" s="43">
        <f t="shared" si="0"/>
      </c>
      <c r="B188" s="44" t="n"/>
      <c r="C188" s="45" t="n"/>
      <c r="D188" s="45" t="n"/>
      <c r="E188" s="45" t="n"/>
      <c r="F188" s="47" t="n"/>
      <c r="G188" s="50" t="n"/>
      <c r="H188" s="53">
        <f t="shared" si="1"/>
      </c>
      <c r="I188" s="53">
        <f t="shared" si="2"/>
      </c>
      <c r="J188" s="49">
        <f t="shared" si="3"/>
      </c>
      <c r="K188" s="2">
        <f t="shared" si="4"/>
        <v>0</v>
      </c>
      <c r="L188" s="2">
        <f t="shared" si="5"/>
      </c>
    </row>
    <row r="189">
      <c r="A189" s="43">
        <f t="shared" si="0"/>
      </c>
      <c r="B189" s="44" t="n"/>
      <c r="C189" s="45" t="n"/>
      <c r="D189" s="45" t="n"/>
      <c r="E189" s="45" t="n"/>
      <c r="F189" s="47" t="n"/>
      <c r="G189" s="50" t="n"/>
      <c r="H189" s="53">
        <f t="shared" si="1"/>
      </c>
      <c r="I189" s="53">
        <f t="shared" si="2"/>
      </c>
      <c r="J189" s="49">
        <f t="shared" si="3"/>
      </c>
      <c r="K189" s="2">
        <f t="shared" si="4"/>
        <v>0</v>
      </c>
      <c r="L189" s="2">
        <f t="shared" si="5"/>
      </c>
    </row>
    <row r="190">
      <c r="A190" s="43">
        <f t="shared" si="0"/>
      </c>
      <c r="B190" s="44" t="n"/>
      <c r="C190" s="45" t="n"/>
      <c r="D190" s="45" t="n"/>
      <c r="E190" s="45" t="n"/>
      <c r="F190" s="47" t="n"/>
      <c r="G190" s="50" t="n"/>
      <c r="H190" s="53">
        <f t="shared" si="1"/>
      </c>
      <c r="I190" s="53">
        <f t="shared" si="2"/>
      </c>
      <c r="J190" s="49">
        <f t="shared" si="3"/>
      </c>
      <c r="K190" s="2">
        <f t="shared" si="4"/>
        <v>0</v>
      </c>
      <c r="L190" s="2">
        <f t="shared" si="5"/>
      </c>
    </row>
    <row r="191">
      <c r="A191" s="43">
        <f t="shared" si="0"/>
      </c>
      <c r="B191" s="44" t="n"/>
      <c r="C191" s="45" t="n"/>
      <c r="D191" s="45" t="n"/>
      <c r="E191" s="45" t="n"/>
      <c r="F191" s="47" t="n"/>
      <c r="G191" s="50" t="n"/>
      <c r="H191" s="53">
        <f t="shared" si="1"/>
      </c>
      <c r="I191" s="53">
        <f t="shared" si="2"/>
      </c>
      <c r="J191" s="49">
        <f t="shared" si="3"/>
      </c>
      <c r="K191" s="2">
        <f t="shared" si="4"/>
        <v>0</v>
      </c>
      <c r="L191" s="2">
        <f t="shared" si="5"/>
      </c>
    </row>
    <row r="192">
      <c r="A192" s="43">
        <f t="shared" si="0"/>
      </c>
      <c r="B192" s="44" t="n"/>
      <c r="C192" s="45" t="n"/>
      <c r="D192" s="45" t="n"/>
      <c r="E192" s="45" t="n"/>
      <c r="F192" s="47" t="n"/>
      <c r="G192" s="50" t="n"/>
      <c r="H192" s="53">
        <f t="shared" si="1"/>
      </c>
      <c r="I192" s="53">
        <f t="shared" si="2"/>
      </c>
      <c r="J192" s="49">
        <f t="shared" si="3"/>
      </c>
      <c r="K192" s="2">
        <f t="shared" si="4"/>
        <v>0</v>
      </c>
      <c r="L192" s="2">
        <f t="shared" si="5"/>
      </c>
    </row>
    <row r="193">
      <c r="A193" s="43">
        <f t="shared" si="0"/>
      </c>
      <c r="B193" s="44" t="n"/>
      <c r="C193" s="45" t="n"/>
      <c r="D193" s="45" t="n"/>
      <c r="E193" s="45" t="n"/>
      <c r="F193" s="47" t="n"/>
      <c r="G193" s="50" t="n"/>
      <c r="H193" s="53">
        <f t="shared" si="1"/>
      </c>
      <c r="I193" s="53">
        <f t="shared" si="2"/>
      </c>
      <c r="J193" s="49">
        <f t="shared" si="3"/>
      </c>
      <c r="K193" s="2">
        <f t="shared" si="4"/>
        <v>0</v>
      </c>
      <c r="L193" s="2">
        <f t="shared" si="5"/>
      </c>
    </row>
    <row r="194">
      <c r="A194" s="43">
        <f t="shared" si="0"/>
      </c>
      <c r="B194" s="44" t="n"/>
      <c r="C194" s="45" t="n"/>
      <c r="D194" s="45" t="n"/>
      <c r="E194" s="45" t="n"/>
      <c r="F194" s="47" t="n"/>
      <c r="G194" s="50" t="n"/>
      <c r="H194" s="53">
        <f t="shared" si="1"/>
      </c>
      <c r="I194" s="53">
        <f t="shared" si="2"/>
      </c>
      <c r="J194" s="49">
        <f t="shared" si="3"/>
      </c>
      <c r="K194" s="2">
        <f t="shared" si="4"/>
        <v>0</v>
      </c>
      <c r="L194" s="2">
        <f t="shared" si="5"/>
      </c>
    </row>
    <row r="195">
      <c r="A195" s="43">
        <f t="shared" si="0"/>
      </c>
      <c r="B195" s="44" t="n"/>
      <c r="C195" s="45" t="n"/>
      <c r="D195" s="45" t="n"/>
      <c r="E195" s="45" t="n"/>
      <c r="F195" s="47" t="n"/>
      <c r="G195" s="50" t="n"/>
      <c r="H195" s="53">
        <f t="shared" si="1"/>
      </c>
      <c r="I195" s="53">
        <f t="shared" si="2"/>
      </c>
      <c r="J195" s="49">
        <f t="shared" si="3"/>
      </c>
      <c r="K195" s="2">
        <f t="shared" si="4"/>
        <v>0</v>
      </c>
      <c r="L195" s="2">
        <f t="shared" si="5"/>
      </c>
    </row>
    <row r="196">
      <c r="A196" s="43">
        <f t="shared" si="0"/>
      </c>
      <c r="B196" s="44" t="n"/>
      <c r="C196" s="45" t="n"/>
      <c r="D196" s="45" t="n"/>
      <c r="E196" s="45" t="n"/>
      <c r="F196" s="47" t="n"/>
      <c r="G196" s="50" t="n"/>
      <c r="H196" s="53">
        <f t="shared" si="1"/>
      </c>
      <c r="I196" s="53">
        <f t="shared" si="2"/>
      </c>
      <c r="J196" s="49">
        <f t="shared" si="3"/>
      </c>
      <c r="K196" s="2">
        <f t="shared" si="4"/>
        <v>0</v>
      </c>
      <c r="L196" s="2">
        <f t="shared" si="5"/>
      </c>
    </row>
    <row r="197">
      <c r="A197" s="43">
        <f t="shared" si="0"/>
      </c>
      <c r="B197" s="44" t="n"/>
      <c r="C197" s="45" t="n"/>
      <c r="D197" s="45" t="n"/>
      <c r="E197" s="45" t="n"/>
      <c r="F197" s="47" t="n"/>
      <c r="G197" s="50" t="n"/>
      <c r="H197" s="53">
        <f t="shared" si="1"/>
      </c>
      <c r="I197" s="53">
        <f t="shared" si="2"/>
      </c>
      <c r="J197" s="49">
        <f t="shared" si="3"/>
      </c>
      <c r="K197" s="2">
        <f t="shared" si="4"/>
        <v>0</v>
      </c>
      <c r="L197" s="2">
        <f t="shared" si="5"/>
      </c>
    </row>
    <row r="198">
      <c r="A198" s="43">
        <f t="shared" si="0"/>
      </c>
      <c r="B198" s="44" t="n"/>
      <c r="C198" s="45" t="n"/>
      <c r="D198" s="45" t="n"/>
      <c r="E198" s="45" t="n"/>
      <c r="F198" s="47" t="n"/>
      <c r="G198" s="50" t="n"/>
      <c r="H198" s="53">
        <f t="shared" si="1"/>
      </c>
      <c r="I198" s="53">
        <f t="shared" si="2"/>
      </c>
      <c r="J198" s="49">
        <f t="shared" si="3"/>
      </c>
      <c r="K198" s="2">
        <f t="shared" si="4"/>
        <v>0</v>
      </c>
      <c r="L198" s="2">
        <f t="shared" si="5"/>
      </c>
    </row>
    <row r="199">
      <c r="A199" s="43">
        <f t="shared" si="0"/>
      </c>
      <c r="B199" s="44" t="n"/>
      <c r="C199" s="45" t="n"/>
      <c r="D199" s="45" t="n"/>
      <c r="E199" s="45" t="n"/>
      <c r="F199" s="47" t="n"/>
      <c r="G199" s="50" t="n"/>
      <c r="H199" s="53">
        <f t="shared" si="1"/>
      </c>
      <c r="I199" s="53">
        <f t="shared" si="2"/>
      </c>
      <c r="J199" s="49">
        <f t="shared" si="3"/>
      </c>
      <c r="K199" s="2">
        <f t="shared" si="4"/>
        <v>0</v>
      </c>
      <c r="L199" s="2">
        <f t="shared" si="5"/>
      </c>
    </row>
    <row r="200">
      <c r="A200" s="43">
        <f t="shared" si="0"/>
      </c>
      <c r="B200" s="44" t="n"/>
      <c r="C200" s="45" t="n"/>
      <c r="D200" s="45" t="n"/>
      <c r="E200" s="45" t="n"/>
      <c r="F200" s="47" t="n"/>
      <c r="G200" s="50" t="n"/>
      <c r="H200" s="53">
        <f t="shared" si="1"/>
      </c>
      <c r="I200" s="53">
        <f t="shared" si="2"/>
      </c>
      <c r="J200" s="49">
        <f t="shared" si="3"/>
      </c>
      <c r="K200" s="2">
        <f t="shared" si="4"/>
        <v>0</v>
      </c>
      <c r="L200" s="2">
        <f t="shared" si="5"/>
      </c>
    </row>
    <row r="201">
      <c r="A201" s="43">
        <f t="shared" si="0"/>
      </c>
      <c r="B201" s="44" t="n"/>
      <c r="C201" s="45" t="n"/>
      <c r="D201" s="45" t="n"/>
      <c r="E201" s="45" t="n"/>
      <c r="F201" s="47" t="n"/>
      <c r="G201" s="50" t="n"/>
      <c r="H201" s="53">
        <f t="shared" si="1"/>
      </c>
      <c r="I201" s="53">
        <f t="shared" si="2"/>
      </c>
      <c r="J201" s="49">
        <f t="shared" si="3"/>
      </c>
      <c r="K201" s="2">
        <f t="shared" si="4"/>
        <v>0</v>
      </c>
      <c r="L201" s="2">
        <f t="shared" si="5"/>
      </c>
    </row>
    <row r="202">
      <c r="A202" s="43">
        <f t="shared" si="0"/>
      </c>
      <c r="B202" s="44" t="n"/>
      <c r="C202" s="45" t="n"/>
      <c r="D202" s="45" t="n"/>
      <c r="E202" s="45" t="n"/>
      <c r="F202" s="47" t="n"/>
      <c r="G202" s="50" t="n"/>
      <c r="H202" s="53">
        <f t="shared" si="1"/>
      </c>
      <c r="I202" s="53">
        <f t="shared" si="2"/>
      </c>
      <c r="J202" s="49">
        <f t="shared" si="3"/>
      </c>
      <c r="K202" s="2">
        <f t="shared" si="4"/>
        <v>0</v>
      </c>
      <c r="L202" s="2">
        <f t="shared" si="5"/>
      </c>
    </row>
    <row r="203">
      <c r="A203" s="43">
        <f t="shared" si="0"/>
      </c>
      <c r="B203" s="44" t="n"/>
      <c r="C203" s="45" t="n"/>
      <c r="D203" s="45" t="n"/>
      <c r="E203" s="45" t="n"/>
      <c r="F203" s="47" t="n"/>
      <c r="G203" s="50" t="n"/>
      <c r="H203" s="53">
        <f t="shared" si="1"/>
      </c>
      <c r="I203" s="53">
        <f t="shared" si="2"/>
      </c>
      <c r="J203" s="49">
        <f t="shared" si="3"/>
      </c>
      <c r="K203" s="2">
        <f t="shared" si="4"/>
        <v>0</v>
      </c>
      <c r="L203" s="2">
        <f t="shared" si="5"/>
      </c>
    </row>
    <row r="204">
      <c r="A204" s="43">
        <f t="shared" si="0"/>
      </c>
      <c r="B204" s="44" t="n"/>
      <c r="C204" s="45" t="n"/>
      <c r="D204" s="45" t="n"/>
      <c r="E204" s="45" t="n"/>
      <c r="F204" s="47" t="n"/>
      <c r="G204" s="50" t="n"/>
      <c r="H204" s="53">
        <f t="shared" si="1"/>
      </c>
      <c r="I204" s="53">
        <f t="shared" si="2"/>
      </c>
      <c r="J204" s="49">
        <f t="shared" si="3"/>
      </c>
      <c r="K204" s="2">
        <f t="shared" si="4"/>
        <v>0</v>
      </c>
      <c r="L204" s="2">
        <f t="shared" si="5"/>
      </c>
    </row>
    <row r="205">
      <c r="A205" s="43">
        <f t="shared" si="0"/>
      </c>
      <c r="B205" s="44" t="n"/>
      <c r="C205" s="45" t="n"/>
      <c r="D205" s="45" t="n"/>
      <c r="E205" s="45" t="n"/>
      <c r="F205" s="47" t="n"/>
      <c r="G205" s="50" t="n"/>
      <c r="H205" s="53">
        <f t="shared" si="1"/>
      </c>
      <c r="I205" s="53">
        <f t="shared" si="2"/>
      </c>
      <c r="J205" s="49">
        <f t="shared" si="3"/>
      </c>
      <c r="K205" s="2">
        <f t="shared" si="4"/>
        <v>0</v>
      </c>
      <c r="L205" s="2">
        <f t="shared" si="5"/>
      </c>
    </row>
    <row r="206">
      <c r="A206" s="43">
        <f t="shared" si="0"/>
      </c>
      <c r="B206" s="44" t="n"/>
      <c r="C206" s="45" t="n"/>
      <c r="D206" s="45" t="n"/>
      <c r="E206" s="45" t="n"/>
      <c r="F206" s="47" t="n"/>
      <c r="G206" s="50" t="n"/>
      <c r="H206" s="53">
        <f t="shared" si="1"/>
      </c>
      <c r="I206" s="53">
        <f t="shared" si="2"/>
      </c>
      <c r="J206" s="49">
        <f t="shared" si="3"/>
      </c>
      <c r="K206" s="2">
        <f t="shared" si="4"/>
        <v>0</v>
      </c>
      <c r="L206" s="2">
        <f t="shared" si="5"/>
      </c>
    </row>
    <row r="207">
      <c r="A207" s="43">
        <f t="shared" si="0"/>
      </c>
      <c r="B207" s="44" t="n"/>
      <c r="C207" s="45" t="n"/>
      <c r="D207" s="45" t="n"/>
      <c r="E207" s="45" t="n"/>
      <c r="F207" s="47" t="n"/>
      <c r="G207" s="50" t="n"/>
      <c r="H207" s="53">
        <f t="shared" si="1"/>
      </c>
      <c r="I207" s="53">
        <f t="shared" si="2"/>
      </c>
      <c r="J207" s="49">
        <f t="shared" si="3"/>
      </c>
      <c r="K207" s="2">
        <f t="shared" si="4"/>
        <v>0</v>
      </c>
      <c r="L207" s="2">
        <f t="shared" si="5"/>
      </c>
    </row>
    <row r="208">
      <c r="A208" s="43">
        <f t="shared" si="0"/>
      </c>
      <c r="B208" s="44" t="n"/>
      <c r="C208" s="45" t="n"/>
      <c r="D208" s="45" t="n"/>
      <c r="E208" s="45" t="n"/>
      <c r="F208" s="47" t="n"/>
      <c r="G208" s="50" t="n"/>
      <c r="H208" s="53">
        <f t="shared" si="1"/>
      </c>
      <c r="I208" s="53">
        <f t="shared" si="2"/>
      </c>
      <c r="J208" s="49">
        <f t="shared" si="3"/>
      </c>
      <c r="K208" s="2">
        <f t="shared" si="4"/>
        <v>0</v>
      </c>
      <c r="L208" s="2">
        <f t="shared" si="5"/>
      </c>
    </row>
    <row r="209">
      <c r="A209" s="43">
        <f t="shared" si="0"/>
      </c>
      <c r="B209" s="44" t="n"/>
      <c r="C209" s="45" t="n"/>
      <c r="D209" s="45" t="n"/>
      <c r="E209" s="45" t="n"/>
      <c r="F209" s="47" t="n"/>
      <c r="G209" s="50" t="n"/>
      <c r="H209" s="53">
        <f t="shared" si="1"/>
      </c>
      <c r="I209" s="53">
        <f t="shared" si="2"/>
      </c>
      <c r="J209" s="49">
        <f t="shared" si="3"/>
      </c>
      <c r="K209" s="2">
        <f t="shared" si="4"/>
        <v>0</v>
      </c>
      <c r="L209" s="2">
        <f t="shared" si="5"/>
      </c>
    </row>
    <row r="210">
      <c r="A210" s="43">
        <f t="shared" si="0"/>
      </c>
      <c r="B210" s="44" t="n"/>
      <c r="C210" s="45" t="n"/>
      <c r="D210" s="45" t="n"/>
      <c r="E210" s="45" t="n"/>
      <c r="F210" s="47" t="n"/>
      <c r="G210" s="50" t="n"/>
      <c r="H210" s="53">
        <f t="shared" si="1"/>
      </c>
      <c r="I210" s="53">
        <f t="shared" si="2"/>
      </c>
      <c r="J210" s="49">
        <f t="shared" si="3"/>
      </c>
      <c r="K210" s="2">
        <f t="shared" si="4"/>
        <v>0</v>
      </c>
      <c r="L210" s="2">
        <f t="shared" si="5"/>
      </c>
    </row>
    <row r="211">
      <c r="A211" s="43">
        <f t="shared" si="0"/>
      </c>
      <c r="B211" s="44" t="n"/>
      <c r="C211" s="45" t="n"/>
      <c r="D211" s="45" t="n"/>
      <c r="E211" s="45" t="n"/>
      <c r="F211" s="47" t="n"/>
      <c r="G211" s="50" t="n"/>
      <c r="H211" s="53">
        <f t="shared" si="1"/>
      </c>
      <c r="I211" s="53">
        <f t="shared" si="2"/>
      </c>
      <c r="J211" s="49">
        <f t="shared" si="3"/>
      </c>
      <c r="K211" s="2">
        <f t="shared" si="4"/>
        <v>0</v>
      </c>
      <c r="L211" s="2">
        <f t="shared" si="5"/>
      </c>
    </row>
    <row r="212">
      <c r="A212" s="43">
        <f t="shared" si="0"/>
      </c>
      <c r="B212" s="44" t="n"/>
      <c r="C212" s="45" t="n"/>
      <c r="D212" s="45" t="n"/>
      <c r="E212" s="45" t="n"/>
      <c r="F212" s="47" t="n"/>
      <c r="G212" s="50" t="n"/>
      <c r="H212" s="53">
        <f t="shared" si="1"/>
      </c>
      <c r="I212" s="53">
        <f t="shared" si="2"/>
      </c>
      <c r="J212" s="49">
        <f t="shared" si="3"/>
      </c>
      <c r="K212" s="2">
        <f t="shared" si="4"/>
        <v>0</v>
      </c>
      <c r="L212" s="2">
        <f t="shared" si="5"/>
      </c>
    </row>
    <row r="213">
      <c r="A213" s="43">
        <f t="shared" si="0"/>
      </c>
      <c r="B213" s="44" t="n"/>
      <c r="C213" s="45" t="n"/>
      <c r="D213" s="45" t="n"/>
      <c r="E213" s="45" t="n"/>
      <c r="F213" s="47" t="n"/>
      <c r="G213" s="50" t="n"/>
      <c r="H213" s="53">
        <f t="shared" si="1"/>
      </c>
      <c r="I213" s="53">
        <f t="shared" si="2"/>
      </c>
      <c r="J213" s="49">
        <f t="shared" si="3"/>
      </c>
      <c r="K213" s="2">
        <f t="shared" si="4"/>
        <v>0</v>
      </c>
      <c r="L213" s="2">
        <f t="shared" si="5"/>
      </c>
    </row>
    <row r="214">
      <c r="A214" s="43">
        <f t="shared" si="0"/>
      </c>
      <c r="B214" s="44" t="n"/>
      <c r="C214" s="45" t="n"/>
      <c r="D214" s="45" t="n"/>
      <c r="E214" s="45" t="n"/>
      <c r="F214" s="47" t="n"/>
      <c r="G214" s="50" t="n"/>
      <c r="H214" s="53">
        <f t="shared" si="1"/>
      </c>
      <c r="I214" s="53">
        <f t="shared" si="2"/>
      </c>
      <c r="J214" s="49">
        <f t="shared" si="3"/>
      </c>
      <c r="K214" s="2">
        <f t="shared" si="4"/>
        <v>0</v>
      </c>
      <c r="L214" s="2">
        <f t="shared" si="5"/>
      </c>
    </row>
    <row r="215">
      <c r="A215" s="43">
        <f t="shared" si="0"/>
      </c>
      <c r="B215" s="44" t="n"/>
      <c r="C215" s="45" t="n"/>
      <c r="D215" s="45" t="n"/>
      <c r="E215" s="45" t="n"/>
      <c r="F215" s="47" t="n"/>
      <c r="G215" s="50" t="n"/>
      <c r="H215" s="53">
        <f t="shared" si="1"/>
      </c>
      <c r="I215" s="53">
        <f t="shared" si="2"/>
      </c>
      <c r="J215" s="49">
        <f t="shared" si="3"/>
      </c>
      <c r="K215" s="2">
        <f t="shared" si="4"/>
        <v>0</v>
      </c>
      <c r="L215" s="2">
        <f t="shared" si="5"/>
      </c>
    </row>
    <row r="216">
      <c r="A216" s="43">
        <f t="shared" si="0"/>
      </c>
      <c r="B216" s="44" t="n"/>
      <c r="C216" s="45" t="n"/>
      <c r="D216" s="45" t="n"/>
      <c r="E216" s="45" t="n"/>
      <c r="F216" s="47" t="n"/>
      <c r="G216" s="50" t="n"/>
      <c r="H216" s="53">
        <f t="shared" si="1"/>
      </c>
      <c r="I216" s="53">
        <f t="shared" si="2"/>
      </c>
      <c r="J216" s="49">
        <f t="shared" si="3"/>
      </c>
      <c r="K216" s="2">
        <f t="shared" si="4"/>
        <v>0</v>
      </c>
      <c r="L216" s="2">
        <f t="shared" si="5"/>
      </c>
    </row>
    <row r="217">
      <c r="A217" s="43">
        <f t="shared" si="0"/>
      </c>
      <c r="B217" s="44" t="n"/>
      <c r="C217" s="45" t="n"/>
      <c r="D217" s="45" t="n"/>
      <c r="E217" s="45" t="n"/>
      <c r="F217" s="47" t="n"/>
      <c r="G217" s="50" t="n"/>
      <c r="H217" s="53">
        <f t="shared" si="1"/>
      </c>
      <c r="I217" s="53">
        <f t="shared" si="2"/>
      </c>
      <c r="J217" s="49">
        <f t="shared" si="3"/>
      </c>
      <c r="K217" s="2">
        <f t="shared" si="4"/>
        <v>0</v>
      </c>
      <c r="L217" s="2">
        <f t="shared" si="5"/>
      </c>
    </row>
    <row r="218">
      <c r="A218" s="43">
        <f t="shared" si="0"/>
      </c>
      <c r="B218" s="44" t="n"/>
      <c r="C218" s="45" t="n"/>
      <c r="D218" s="45" t="n"/>
      <c r="E218" s="45" t="n"/>
      <c r="F218" s="47" t="n"/>
      <c r="G218" s="50" t="n"/>
      <c r="H218" s="53">
        <f t="shared" si="1"/>
      </c>
      <c r="I218" s="53">
        <f t="shared" si="2"/>
      </c>
      <c r="J218" s="49">
        <f t="shared" si="3"/>
      </c>
      <c r="K218" s="2">
        <f t="shared" si="4"/>
        <v>0</v>
      </c>
      <c r="L218" s="2">
        <f t="shared" si="5"/>
      </c>
    </row>
    <row r="219">
      <c r="A219" s="43">
        <f t="shared" si="0"/>
      </c>
      <c r="B219" s="44" t="n"/>
      <c r="C219" s="45" t="n"/>
      <c r="D219" s="45" t="n"/>
      <c r="E219" s="45" t="n"/>
      <c r="F219" s="47" t="n"/>
      <c r="G219" s="50" t="n"/>
      <c r="H219" s="53">
        <f t="shared" si="1"/>
      </c>
      <c r="I219" s="53">
        <f t="shared" si="2"/>
      </c>
      <c r="J219" s="49">
        <f t="shared" si="3"/>
      </c>
      <c r="K219" s="2">
        <f t="shared" si="4"/>
        <v>0</v>
      </c>
      <c r="L219" s="2">
        <f t="shared" si="5"/>
      </c>
    </row>
    <row r="220">
      <c r="A220" s="43">
        <f t="shared" si="0"/>
      </c>
      <c r="B220" s="44" t="n"/>
      <c r="C220" s="45" t="n"/>
      <c r="D220" s="45" t="n"/>
      <c r="E220" s="45" t="n"/>
      <c r="F220" s="47" t="n"/>
      <c r="G220" s="50" t="n"/>
      <c r="H220" s="53">
        <f t="shared" si="1"/>
      </c>
      <c r="I220" s="53">
        <f t="shared" si="2"/>
      </c>
      <c r="J220" s="49">
        <f t="shared" si="3"/>
      </c>
      <c r="K220" s="2">
        <f t="shared" si="4"/>
        <v>0</v>
      </c>
      <c r="L220" s="2">
        <f t="shared" si="5"/>
      </c>
    </row>
    <row r="221">
      <c r="A221" s="43">
        <f t="shared" si="0"/>
      </c>
      <c r="B221" s="44" t="n"/>
      <c r="C221" s="45" t="n"/>
      <c r="D221" s="45" t="n"/>
      <c r="E221" s="45" t="n"/>
      <c r="F221" s="47" t="n"/>
      <c r="G221" s="50" t="n"/>
      <c r="H221" s="53">
        <f t="shared" si="1"/>
      </c>
      <c r="I221" s="53">
        <f t="shared" si="2"/>
      </c>
      <c r="J221" s="49">
        <f t="shared" si="3"/>
      </c>
      <c r="K221" s="2">
        <f t="shared" si="4"/>
        <v>0</v>
      </c>
      <c r="L221" s="2">
        <f t="shared" si="5"/>
      </c>
    </row>
    <row r="222">
      <c r="A222" s="43">
        <f t="shared" si="0"/>
      </c>
      <c r="B222" s="44" t="n"/>
      <c r="C222" s="45" t="n"/>
      <c r="D222" s="45" t="n"/>
      <c r="E222" s="45" t="n"/>
      <c r="F222" s="47" t="n"/>
      <c r="G222" s="50" t="n"/>
      <c r="H222" s="53">
        <f t="shared" si="1"/>
      </c>
      <c r="I222" s="53">
        <f t="shared" si="2"/>
      </c>
      <c r="J222" s="49">
        <f t="shared" si="3"/>
      </c>
      <c r="K222" s="2">
        <f t="shared" si="4"/>
        <v>0</v>
      </c>
      <c r="L222" s="2">
        <f t="shared" si="5"/>
      </c>
    </row>
    <row r="223">
      <c r="A223" s="43">
        <f t="shared" si="0"/>
      </c>
      <c r="B223" s="44" t="n"/>
      <c r="C223" s="45" t="n"/>
      <c r="D223" s="45" t="n"/>
      <c r="E223" s="45" t="n"/>
      <c r="F223" s="47" t="n"/>
      <c r="G223" s="50" t="n"/>
      <c r="H223" s="53">
        <f t="shared" si="1"/>
      </c>
      <c r="I223" s="53">
        <f t="shared" si="2"/>
      </c>
      <c r="J223" s="49">
        <f t="shared" si="3"/>
      </c>
      <c r="K223" s="2">
        <f t="shared" si="4"/>
        <v>0</v>
      </c>
      <c r="L223" s="2">
        <f t="shared" si="5"/>
      </c>
    </row>
    <row r="224">
      <c r="A224" s="43">
        <f t="shared" si="0"/>
      </c>
      <c r="B224" s="44" t="n"/>
      <c r="C224" s="45" t="n"/>
      <c r="D224" s="45" t="n"/>
      <c r="E224" s="45" t="n"/>
      <c r="F224" s="47" t="n"/>
      <c r="G224" s="50" t="n"/>
      <c r="H224" s="53">
        <f t="shared" si="1"/>
      </c>
      <c r="I224" s="53">
        <f t="shared" si="2"/>
      </c>
      <c r="J224" s="49">
        <f t="shared" si="3"/>
      </c>
      <c r="K224" s="2">
        <f t="shared" si="4"/>
        <v>0</v>
      </c>
      <c r="L224" s="2">
        <f t="shared" si="5"/>
      </c>
    </row>
    <row r="225">
      <c r="A225" s="43">
        <f t="shared" si="0"/>
      </c>
      <c r="B225" s="44" t="n"/>
      <c r="C225" s="45" t="n"/>
      <c r="D225" s="45" t="n"/>
      <c r="E225" s="45" t="n"/>
      <c r="F225" s="47" t="n"/>
      <c r="G225" s="50" t="n"/>
      <c r="H225" s="53">
        <f t="shared" si="1"/>
      </c>
      <c r="I225" s="53">
        <f t="shared" si="2"/>
      </c>
      <c r="J225" s="49">
        <f t="shared" si="3"/>
      </c>
      <c r="K225" s="2">
        <f t="shared" si="4"/>
        <v>0</v>
      </c>
      <c r="L225" s="2">
        <f t="shared" si="5"/>
      </c>
    </row>
    <row r="226">
      <c r="A226" s="43">
        <f t="shared" si="0"/>
      </c>
      <c r="B226" s="44" t="n"/>
      <c r="C226" s="45" t="n"/>
      <c r="D226" s="45" t="n"/>
      <c r="E226" s="45" t="n"/>
      <c r="F226" s="47" t="n"/>
      <c r="G226" s="50" t="n"/>
      <c r="H226" s="53">
        <f t="shared" si="1"/>
      </c>
      <c r="I226" s="53">
        <f t="shared" si="2"/>
      </c>
      <c r="J226" s="49">
        <f t="shared" si="3"/>
      </c>
      <c r="K226" s="2">
        <f t="shared" si="4"/>
        <v>0</v>
      </c>
      <c r="L226" s="2">
        <f t="shared" si="5"/>
      </c>
    </row>
    <row r="227">
      <c r="A227" s="43">
        <f t="shared" si="0"/>
      </c>
      <c r="B227" s="44" t="n"/>
      <c r="C227" s="45" t="n"/>
      <c r="D227" s="45" t="n"/>
      <c r="E227" s="45" t="n"/>
      <c r="F227" s="47" t="n"/>
      <c r="G227" s="50" t="n"/>
      <c r="H227" s="53">
        <f t="shared" si="1"/>
      </c>
      <c r="I227" s="53">
        <f t="shared" si="2"/>
      </c>
      <c r="J227" s="49">
        <f t="shared" si="3"/>
      </c>
      <c r="K227" s="2">
        <f t="shared" si="4"/>
        <v>0</v>
      </c>
      <c r="L227" s="2">
        <f t="shared" si="5"/>
      </c>
    </row>
    <row r="228">
      <c r="A228" s="43">
        <f t="shared" si="0"/>
      </c>
      <c r="B228" s="44" t="n"/>
      <c r="C228" s="45" t="n"/>
      <c r="D228" s="45" t="n"/>
      <c r="E228" s="45" t="n"/>
      <c r="F228" s="47" t="n"/>
      <c r="G228" s="50" t="n"/>
      <c r="H228" s="53">
        <f t="shared" si="1"/>
      </c>
      <c r="I228" s="53">
        <f t="shared" si="2"/>
      </c>
      <c r="J228" s="49">
        <f t="shared" si="3"/>
      </c>
      <c r="K228" s="2">
        <f t="shared" si="4"/>
        <v>0</v>
      </c>
      <c r="L228" s="2">
        <f t="shared" si="5"/>
      </c>
    </row>
    <row r="229">
      <c r="A229" s="43">
        <f t="shared" si="0"/>
      </c>
      <c r="B229" s="44" t="n"/>
      <c r="C229" s="45" t="n"/>
      <c r="D229" s="45" t="n"/>
      <c r="E229" s="45" t="n"/>
      <c r="F229" s="47" t="n"/>
      <c r="G229" s="50" t="n"/>
      <c r="H229" s="53">
        <f t="shared" si="1"/>
      </c>
      <c r="I229" s="53">
        <f t="shared" si="2"/>
      </c>
      <c r="J229" s="49">
        <f t="shared" si="3"/>
      </c>
      <c r="K229" s="2">
        <f t="shared" si="4"/>
        <v>0</v>
      </c>
      <c r="L229" s="2">
        <f t="shared" si="5"/>
      </c>
    </row>
    <row r="230">
      <c r="A230" s="43">
        <f t="shared" si="0"/>
      </c>
      <c r="B230" s="44" t="n"/>
      <c r="C230" s="45" t="n"/>
      <c r="D230" s="45" t="n"/>
      <c r="E230" s="45" t="n"/>
      <c r="F230" s="47" t="n"/>
      <c r="G230" s="50" t="n"/>
      <c r="H230" s="53">
        <f t="shared" si="1"/>
      </c>
      <c r="I230" s="53">
        <f t="shared" si="2"/>
      </c>
      <c r="J230" s="49">
        <f t="shared" si="3"/>
      </c>
      <c r="K230" s="2">
        <f t="shared" si="4"/>
        <v>0</v>
      </c>
      <c r="L230" s="2">
        <f t="shared" si="5"/>
      </c>
    </row>
    <row r="231">
      <c r="A231" s="43">
        <f t="shared" si="0"/>
      </c>
      <c r="B231" s="44" t="n"/>
      <c r="C231" s="45" t="n"/>
      <c r="D231" s="45" t="n"/>
      <c r="E231" s="45" t="n"/>
      <c r="F231" s="47" t="n"/>
      <c r="G231" s="50" t="n"/>
      <c r="H231" s="53">
        <f t="shared" si="1"/>
      </c>
      <c r="I231" s="53">
        <f t="shared" si="2"/>
      </c>
      <c r="J231" s="49">
        <f t="shared" si="3"/>
      </c>
      <c r="K231" s="2">
        <f t="shared" si="4"/>
        <v>0</v>
      </c>
      <c r="L231" s="2">
        <f t="shared" si="5"/>
      </c>
    </row>
    <row r="232">
      <c r="A232" s="43">
        <f t="shared" si="0"/>
      </c>
      <c r="B232" s="44" t="n"/>
      <c r="C232" s="45" t="n"/>
      <c r="D232" s="45" t="n"/>
      <c r="E232" s="45" t="n"/>
      <c r="F232" s="47" t="n"/>
      <c r="G232" s="50" t="n"/>
      <c r="H232" s="53">
        <f t="shared" si="1"/>
      </c>
      <c r="I232" s="53">
        <f t="shared" si="2"/>
      </c>
      <c r="J232" s="49">
        <f t="shared" si="3"/>
      </c>
      <c r="K232" s="2">
        <f t="shared" si="4"/>
        <v>0</v>
      </c>
      <c r="L232" s="2">
        <f t="shared" si="5"/>
      </c>
    </row>
    <row r="233">
      <c r="A233" s="43">
        <f t="shared" si="0"/>
      </c>
      <c r="B233" s="44" t="n"/>
      <c r="C233" s="45" t="n"/>
      <c r="D233" s="45" t="n"/>
      <c r="E233" s="45" t="n"/>
      <c r="F233" s="47" t="n"/>
      <c r="G233" s="50" t="n"/>
      <c r="H233" s="53">
        <f t="shared" si="1"/>
      </c>
      <c r="I233" s="53">
        <f t="shared" si="2"/>
      </c>
      <c r="J233" s="49">
        <f t="shared" si="3"/>
      </c>
      <c r="K233" s="2">
        <f t="shared" si="4"/>
        <v>0</v>
      </c>
      <c r="L233" s="2">
        <f t="shared" si="5"/>
      </c>
    </row>
    <row r="234">
      <c r="A234" s="43">
        <f t="shared" si="0"/>
      </c>
      <c r="B234" s="44" t="n"/>
      <c r="C234" s="45" t="n"/>
      <c r="D234" s="45" t="n"/>
      <c r="E234" s="45" t="n"/>
      <c r="F234" s="47" t="n"/>
      <c r="G234" s="50" t="n"/>
      <c r="H234" s="53">
        <f t="shared" si="1"/>
      </c>
      <c r="I234" s="53">
        <f t="shared" si="2"/>
      </c>
      <c r="J234" s="49">
        <f t="shared" si="3"/>
      </c>
      <c r="K234" s="2">
        <f t="shared" si="4"/>
        <v>0</v>
      </c>
      <c r="L234" s="2">
        <f t="shared" si="5"/>
      </c>
    </row>
    <row r="235">
      <c r="A235" s="43">
        <f t="shared" si="0"/>
      </c>
      <c r="B235" s="44" t="n"/>
      <c r="C235" s="45" t="n"/>
      <c r="D235" s="45" t="n"/>
      <c r="E235" s="45" t="n"/>
      <c r="F235" s="47" t="n"/>
      <c r="G235" s="50" t="n"/>
      <c r="H235" s="53">
        <f t="shared" si="1"/>
      </c>
      <c r="I235" s="53">
        <f t="shared" si="2"/>
      </c>
      <c r="J235" s="49">
        <f t="shared" si="3"/>
      </c>
      <c r="K235" s="2">
        <f t="shared" si="4"/>
        <v>0</v>
      </c>
      <c r="L235" s="2">
        <f t="shared" si="5"/>
      </c>
    </row>
    <row r="236">
      <c r="A236" s="43">
        <f t="shared" si="0"/>
      </c>
      <c r="B236" s="44" t="n"/>
      <c r="C236" s="45" t="n"/>
      <c r="D236" s="45" t="n"/>
      <c r="E236" s="45" t="n"/>
      <c r="F236" s="47" t="n"/>
      <c r="G236" s="50" t="n"/>
      <c r="H236" s="53">
        <f t="shared" si="1"/>
      </c>
      <c r="I236" s="53">
        <f t="shared" si="2"/>
      </c>
      <c r="J236" s="49">
        <f t="shared" si="3"/>
      </c>
      <c r="K236" s="2">
        <f t="shared" si="4"/>
        <v>0</v>
      </c>
      <c r="L236" s="2">
        <f t="shared" si="5"/>
      </c>
    </row>
    <row r="237">
      <c r="A237" s="43">
        <f t="shared" si="0"/>
      </c>
      <c r="B237" s="44" t="n"/>
      <c r="C237" s="45" t="n"/>
      <c r="D237" s="45" t="n"/>
      <c r="E237" s="45" t="n"/>
      <c r="F237" s="47" t="n"/>
      <c r="G237" s="50" t="n"/>
      <c r="H237" s="53">
        <f t="shared" si="1"/>
      </c>
      <c r="I237" s="53">
        <f t="shared" si="2"/>
      </c>
      <c r="J237" s="49">
        <f t="shared" si="3"/>
      </c>
      <c r="K237" s="2">
        <f t="shared" si="4"/>
        <v>0</v>
      </c>
      <c r="L237" s="2">
        <f t="shared" si="5"/>
      </c>
    </row>
    <row r="238">
      <c r="A238" s="43">
        <f t="shared" si="0"/>
      </c>
      <c r="B238" s="44" t="n"/>
      <c r="C238" s="45" t="n"/>
      <c r="D238" s="45" t="n"/>
      <c r="E238" s="45" t="n"/>
      <c r="F238" s="47" t="n"/>
      <c r="G238" s="50" t="n"/>
      <c r="H238" s="53">
        <f t="shared" si="1"/>
      </c>
      <c r="I238" s="53">
        <f t="shared" si="2"/>
      </c>
      <c r="J238" s="49">
        <f t="shared" si="3"/>
      </c>
      <c r="K238" s="2">
        <f t="shared" si="4"/>
        <v>0</v>
      </c>
      <c r="L238" s="2">
        <f t="shared" si="5"/>
      </c>
    </row>
    <row r="239">
      <c r="A239" s="43">
        <f t="shared" si="0"/>
      </c>
      <c r="B239" s="44" t="n"/>
      <c r="C239" s="45" t="n"/>
      <c r="D239" s="45" t="n"/>
      <c r="E239" s="45" t="n"/>
      <c r="F239" s="47" t="n"/>
      <c r="G239" s="50" t="n"/>
      <c r="H239" s="53">
        <f t="shared" si="1"/>
      </c>
      <c r="I239" s="53">
        <f t="shared" si="2"/>
      </c>
      <c r="J239" s="49">
        <f t="shared" si="3"/>
      </c>
      <c r="K239" s="2">
        <f t="shared" si="4"/>
        <v>0</v>
      </c>
      <c r="L239" s="2">
        <f t="shared" si="5"/>
      </c>
    </row>
    <row r="240">
      <c r="A240" s="43">
        <f t="shared" si="0"/>
      </c>
      <c r="B240" s="44" t="n"/>
      <c r="C240" s="45" t="n"/>
      <c r="D240" s="45" t="n"/>
      <c r="E240" s="45" t="n"/>
      <c r="F240" s="47" t="n"/>
      <c r="G240" s="50" t="n"/>
      <c r="H240" s="53">
        <f t="shared" si="1"/>
      </c>
      <c r="I240" s="53">
        <f t="shared" si="2"/>
      </c>
      <c r="J240" s="49">
        <f t="shared" si="3"/>
      </c>
      <c r="K240" s="2">
        <f t="shared" si="4"/>
        <v>0</v>
      </c>
      <c r="L240" s="2">
        <f t="shared" si="5"/>
      </c>
    </row>
    <row r="241">
      <c r="A241" s="43">
        <f t="shared" si="0"/>
      </c>
      <c r="B241" s="44" t="n"/>
      <c r="C241" s="45" t="n"/>
      <c r="D241" s="45" t="n"/>
      <c r="E241" s="45" t="n"/>
      <c r="F241" s="47" t="n"/>
      <c r="G241" s="50" t="n"/>
      <c r="H241" s="53">
        <f t="shared" si="1"/>
      </c>
      <c r="I241" s="53">
        <f t="shared" si="2"/>
      </c>
      <c r="J241" s="49">
        <f t="shared" si="3"/>
      </c>
      <c r="K241" s="2">
        <f t="shared" si="4"/>
        <v>0</v>
      </c>
      <c r="L241" s="2">
        <f t="shared" si="5"/>
      </c>
    </row>
    <row r="242">
      <c r="A242" s="43">
        <f t="shared" si="0"/>
      </c>
      <c r="B242" s="44" t="n"/>
      <c r="C242" s="45" t="n"/>
      <c r="D242" s="45" t="n"/>
      <c r="E242" s="45" t="n"/>
      <c r="F242" s="47" t="n"/>
      <c r="G242" s="50" t="n"/>
      <c r="H242" s="53">
        <f t="shared" si="1"/>
      </c>
      <c r="I242" s="53">
        <f t="shared" si="2"/>
      </c>
      <c r="J242" s="49">
        <f t="shared" si="3"/>
      </c>
      <c r="K242" s="2">
        <f t="shared" si="4"/>
        <v>0</v>
      </c>
      <c r="L242" s="2">
        <f t="shared" si="5"/>
      </c>
    </row>
    <row r="243">
      <c r="A243" s="43">
        <f t="shared" si="0"/>
      </c>
      <c r="B243" s="44" t="n"/>
      <c r="C243" s="45" t="n"/>
      <c r="D243" s="45" t="n"/>
      <c r="E243" s="45" t="n"/>
      <c r="F243" s="47" t="n"/>
      <c r="G243" s="50" t="n"/>
      <c r="H243" s="53">
        <f t="shared" si="1"/>
      </c>
      <c r="I243" s="53">
        <f t="shared" si="2"/>
      </c>
      <c r="J243" s="49">
        <f t="shared" si="3"/>
      </c>
      <c r="K243" s="2">
        <f t="shared" si="4"/>
        <v>0</v>
      </c>
      <c r="L243" s="2">
        <f t="shared" si="5"/>
      </c>
    </row>
    <row r="244">
      <c r="A244" s="43">
        <f t="shared" si="0"/>
      </c>
      <c r="B244" s="44" t="n"/>
      <c r="C244" s="45" t="n"/>
      <c r="D244" s="45" t="n"/>
      <c r="E244" s="45" t="n"/>
      <c r="F244" s="47" t="n"/>
      <c r="G244" s="50" t="n"/>
      <c r="H244" s="53">
        <f t="shared" si="1"/>
      </c>
      <c r="I244" s="53">
        <f t="shared" si="2"/>
      </c>
      <c r="J244" s="49">
        <f t="shared" si="3"/>
      </c>
      <c r="K244" s="2">
        <f t="shared" si="4"/>
        <v>0</v>
      </c>
      <c r="L244" s="2">
        <f t="shared" si="5"/>
      </c>
    </row>
    <row r="245">
      <c r="A245" s="43">
        <f t="shared" si="0"/>
      </c>
      <c r="B245" s="44" t="n"/>
      <c r="C245" s="45" t="n"/>
      <c r="D245" s="45" t="n"/>
      <c r="E245" s="45" t="n"/>
      <c r="F245" s="47" t="n"/>
      <c r="G245" s="50" t="n"/>
      <c r="H245" s="53">
        <f t="shared" si="1"/>
      </c>
      <c r="I245" s="53">
        <f t="shared" si="2"/>
      </c>
      <c r="J245" s="49">
        <f t="shared" si="3"/>
      </c>
      <c r="K245" s="2">
        <f t="shared" si="4"/>
        <v>0</v>
      </c>
      <c r="L245" s="2">
        <f t="shared" si="5"/>
      </c>
    </row>
    <row r="246">
      <c r="A246" s="43">
        <f t="shared" si="0"/>
      </c>
      <c r="B246" s="44" t="n"/>
      <c r="C246" s="45" t="n"/>
      <c r="D246" s="45" t="n"/>
      <c r="E246" s="45" t="n"/>
      <c r="F246" s="47" t="n"/>
      <c r="G246" s="50" t="n"/>
      <c r="H246" s="53">
        <f t="shared" si="1"/>
      </c>
      <c r="I246" s="53">
        <f t="shared" si="2"/>
      </c>
      <c r="J246" s="49">
        <f t="shared" si="3"/>
      </c>
      <c r="K246" s="2">
        <f t="shared" si="4"/>
        <v>0</v>
      </c>
      <c r="L246" s="2">
        <f t="shared" si="5"/>
      </c>
    </row>
    <row r="247">
      <c r="A247" s="43">
        <f t="shared" si="0"/>
      </c>
      <c r="B247" s="44" t="n"/>
      <c r="C247" s="45" t="n"/>
      <c r="D247" s="45" t="n"/>
      <c r="E247" s="45" t="n"/>
      <c r="F247" s="47" t="n"/>
      <c r="G247" s="50" t="n"/>
      <c r="H247" s="53">
        <f t="shared" si="1"/>
      </c>
      <c r="I247" s="53">
        <f t="shared" si="2"/>
      </c>
      <c r="J247" s="49">
        <f t="shared" si="3"/>
      </c>
      <c r="K247" s="2">
        <f t="shared" si="4"/>
        <v>0</v>
      </c>
      <c r="L247" s="2">
        <f t="shared" si="5"/>
      </c>
    </row>
    <row r="248">
      <c r="A248" s="43">
        <f t="shared" si="0"/>
      </c>
      <c r="B248" s="44" t="n"/>
      <c r="C248" s="45" t="n"/>
      <c r="D248" s="45" t="n"/>
      <c r="E248" s="45" t="n"/>
      <c r="F248" s="47" t="n"/>
      <c r="G248" s="50" t="n"/>
      <c r="H248" s="53">
        <f t="shared" si="1"/>
      </c>
      <c r="I248" s="53">
        <f t="shared" si="2"/>
      </c>
      <c r="J248" s="49">
        <f t="shared" si="3"/>
      </c>
      <c r="K248" s="2">
        <f t="shared" si="4"/>
        <v>0</v>
      </c>
      <c r="L248" s="2">
        <f t="shared" si="5"/>
      </c>
    </row>
    <row r="249">
      <c r="A249" s="43">
        <f t="shared" si="0"/>
      </c>
      <c r="B249" s="44" t="n"/>
      <c r="C249" s="45" t="n"/>
      <c r="D249" s="45" t="n"/>
      <c r="E249" s="45" t="n"/>
      <c r="F249" s="47" t="n"/>
      <c r="G249" s="50" t="n"/>
      <c r="H249" s="53">
        <f t="shared" si="1"/>
      </c>
      <c r="I249" s="53">
        <f t="shared" si="2"/>
      </c>
      <c r="J249" s="49">
        <f t="shared" si="3"/>
      </c>
      <c r="K249" s="2">
        <f t="shared" si="4"/>
        <v>0</v>
      </c>
      <c r="L249" s="2">
        <f t="shared" si="5"/>
      </c>
    </row>
    <row r="250">
      <c r="A250" s="43">
        <f t="shared" si="0"/>
      </c>
      <c r="B250" s="44" t="n"/>
      <c r="C250" s="45" t="n"/>
      <c r="D250" s="45" t="n"/>
      <c r="E250" s="45" t="n"/>
      <c r="F250" s="47" t="n"/>
      <c r="G250" s="50" t="n"/>
      <c r="H250" s="53">
        <f t="shared" si="1"/>
      </c>
      <c r="I250" s="53">
        <f t="shared" si="2"/>
      </c>
      <c r="J250" s="49">
        <f t="shared" si="3"/>
      </c>
      <c r="K250" s="2">
        <f t="shared" si="4"/>
        <v>0</v>
      </c>
      <c r="L250" s="2">
        <f t="shared" si="5"/>
      </c>
    </row>
    <row r="251">
      <c r="A251" s="43">
        <f t="shared" si="0"/>
      </c>
      <c r="B251" s="44" t="n"/>
      <c r="C251" s="45" t="n"/>
      <c r="D251" s="45" t="n"/>
      <c r="E251" s="45" t="n"/>
      <c r="F251" s="47" t="n"/>
      <c r="G251" s="50" t="n"/>
      <c r="H251" s="53">
        <f t="shared" si="1"/>
      </c>
      <c r="I251" s="53">
        <f t="shared" si="2"/>
      </c>
      <c r="J251" s="49">
        <f t="shared" si="3"/>
      </c>
      <c r="K251" s="2">
        <f t="shared" si="4"/>
        <v>0</v>
      </c>
      <c r="L251" s="2">
        <f t="shared" si="5"/>
      </c>
    </row>
    <row r="252">
      <c r="A252" s="43">
        <f t="shared" si="0"/>
      </c>
      <c r="B252" s="44" t="n"/>
      <c r="C252" s="45" t="n"/>
      <c r="D252" s="45" t="n"/>
      <c r="E252" s="45" t="n"/>
      <c r="F252" s="47" t="n"/>
      <c r="G252" s="50" t="n"/>
      <c r="H252" s="53">
        <f t="shared" si="1"/>
      </c>
      <c r="I252" s="53">
        <f t="shared" si="2"/>
      </c>
      <c r="J252" s="49">
        <f t="shared" si="3"/>
      </c>
      <c r="K252" s="2">
        <f t="shared" si="4"/>
        <v>0</v>
      </c>
      <c r="L252" s="2">
        <f t="shared" si="5"/>
      </c>
    </row>
    <row r="253">
      <c r="A253" s="43">
        <f t="shared" si="0"/>
      </c>
      <c r="B253" s="44" t="n"/>
      <c r="C253" s="45" t="n"/>
      <c r="D253" s="45" t="n"/>
      <c r="E253" s="45" t="n"/>
      <c r="F253" s="47" t="n"/>
      <c r="G253" s="50" t="n"/>
      <c r="H253" s="53">
        <f t="shared" si="1"/>
      </c>
      <c r="I253" s="53">
        <f t="shared" si="2"/>
      </c>
      <c r="J253" s="49">
        <f t="shared" si="3"/>
      </c>
      <c r="K253" s="2">
        <f t="shared" si="4"/>
        <v>0</v>
      </c>
      <c r="L253" s="2">
        <f t="shared" si="5"/>
      </c>
    </row>
    <row r="254">
      <c r="A254" s="43">
        <f t="shared" si="0"/>
      </c>
      <c r="B254" s="44" t="n"/>
      <c r="C254" s="45" t="n"/>
      <c r="D254" s="45" t="n"/>
      <c r="E254" s="45" t="n"/>
      <c r="F254" s="47" t="n"/>
      <c r="G254" s="50" t="n"/>
      <c r="H254" s="53">
        <f t="shared" si="1"/>
      </c>
      <c r="I254" s="53">
        <f t="shared" si="2"/>
      </c>
      <c r="J254" s="49">
        <f t="shared" si="3"/>
      </c>
      <c r="K254" s="2">
        <f t="shared" si="4"/>
        <v>0</v>
      </c>
      <c r="L254" s="2">
        <f t="shared" si="5"/>
      </c>
    </row>
    <row r="255">
      <c r="A255" s="43">
        <f t="shared" si="0"/>
      </c>
      <c r="B255" s="44" t="n"/>
      <c r="C255" s="45" t="n"/>
      <c r="D255" s="45" t="n"/>
      <c r="E255" s="45" t="n"/>
      <c r="F255" s="47" t="n"/>
      <c r="G255" s="50" t="n"/>
      <c r="H255" s="53">
        <f t="shared" si="1"/>
      </c>
      <c r="I255" s="53">
        <f t="shared" si="2"/>
      </c>
      <c r="J255" s="49">
        <f t="shared" si="3"/>
      </c>
      <c r="K255" s="2">
        <f t="shared" si="4"/>
        <v>0</v>
      </c>
      <c r="L255" s="2">
        <f t="shared" si="5"/>
      </c>
    </row>
    <row r="256">
      <c r="A256" s="43">
        <f t="shared" si="0"/>
      </c>
      <c r="B256" s="44" t="n"/>
      <c r="C256" s="45" t="n"/>
      <c r="D256" s="45" t="n"/>
      <c r="E256" s="45" t="n"/>
      <c r="F256" s="47" t="n"/>
      <c r="G256" s="50" t="n"/>
      <c r="H256" s="53">
        <f t="shared" si="1"/>
      </c>
      <c r="I256" s="53">
        <f t="shared" si="2"/>
      </c>
      <c r="J256" s="49">
        <f t="shared" si="3"/>
      </c>
      <c r="K256" s="2">
        <f t="shared" si="4"/>
        <v>0</v>
      </c>
      <c r="L256" s="2">
        <f t="shared" si="5"/>
      </c>
    </row>
    <row r="257">
      <c r="A257" s="43">
        <f t="shared" si="0"/>
      </c>
      <c r="B257" s="44" t="n"/>
      <c r="C257" s="45" t="n"/>
      <c r="D257" s="45" t="n"/>
      <c r="E257" s="45" t="n"/>
      <c r="F257" s="47" t="n"/>
      <c r="G257" s="50" t="n"/>
      <c r="H257" s="53">
        <f t="shared" si="1"/>
      </c>
      <c r="I257" s="53">
        <f t="shared" si="2"/>
      </c>
      <c r="J257" s="49">
        <f t="shared" si="3"/>
      </c>
      <c r="K257" s="2">
        <f t="shared" si="4"/>
        <v>0</v>
      </c>
      <c r="L257" s="2">
        <f t="shared" si="5"/>
      </c>
    </row>
    <row r="258">
      <c r="A258" s="43">
        <f t="shared" si="0"/>
      </c>
      <c r="B258" s="44" t="n"/>
      <c r="C258" s="45" t="n"/>
      <c r="D258" s="45" t="n"/>
      <c r="E258" s="45" t="n"/>
      <c r="F258" s="47" t="n"/>
      <c r="G258" s="50" t="n"/>
      <c r="H258" s="53">
        <f t="shared" si="1"/>
      </c>
      <c r="I258" s="53">
        <f t="shared" si="2"/>
      </c>
      <c r="J258" s="49">
        <f t="shared" si="3"/>
      </c>
      <c r="K258" s="2">
        <f t="shared" si="4"/>
        <v>0</v>
      </c>
      <c r="L258" s="2">
        <f t="shared" si="5"/>
      </c>
    </row>
    <row r="259">
      <c r="A259" s="43">
        <f t="shared" si="0"/>
      </c>
      <c r="B259" s="44" t="n"/>
      <c r="C259" s="45" t="n"/>
      <c r="D259" s="45" t="n"/>
      <c r="E259" s="45" t="n"/>
      <c r="F259" s="47" t="n"/>
      <c r="G259" s="50" t="n"/>
      <c r="H259" s="53">
        <f t="shared" si="1"/>
      </c>
      <c r="I259" s="53">
        <f t="shared" si="2"/>
      </c>
      <c r="J259" s="49">
        <f t="shared" si="3"/>
      </c>
      <c r="K259" s="2">
        <f t="shared" si="4"/>
        <v>0</v>
      </c>
      <c r="L259" s="2">
        <f t="shared" si="5"/>
      </c>
    </row>
    <row r="260">
      <c r="A260" s="43">
        <f t="shared" si="0"/>
      </c>
      <c r="B260" s="44" t="n"/>
      <c r="C260" s="45" t="n"/>
      <c r="D260" s="45" t="n"/>
      <c r="E260" s="45" t="n"/>
      <c r="F260" s="47" t="n"/>
      <c r="G260" s="50" t="n"/>
      <c r="H260" s="53">
        <f t="shared" si="1"/>
      </c>
      <c r="I260" s="53">
        <f t="shared" si="2"/>
      </c>
      <c r="J260" s="49">
        <f t="shared" si="3"/>
      </c>
      <c r="K260" s="2">
        <f t="shared" si="4"/>
        <v>0</v>
      </c>
      <c r="L260" s="2">
        <f t="shared" si="5"/>
      </c>
    </row>
    <row r="261">
      <c r="A261" s="43">
        <f t="shared" si="0"/>
      </c>
      <c r="B261" s="44" t="n"/>
      <c r="C261" s="45" t="n"/>
      <c r="D261" s="45" t="n"/>
      <c r="E261" s="45" t="n"/>
      <c r="F261" s="47" t="n"/>
      <c r="G261" s="50" t="n"/>
      <c r="H261" s="53">
        <f t="shared" si="1"/>
      </c>
      <c r="I261" s="53">
        <f t="shared" si="2"/>
      </c>
      <c r="J261" s="49">
        <f t="shared" si="3"/>
      </c>
      <c r="K261" s="2">
        <f t="shared" si="4"/>
        <v>0</v>
      </c>
      <c r="L261" s="2">
        <f t="shared" si="5"/>
      </c>
    </row>
    <row r="262">
      <c r="A262" s="43">
        <f t="shared" si="0"/>
      </c>
      <c r="B262" s="44" t="n"/>
      <c r="C262" s="45" t="n"/>
      <c r="D262" s="45" t="n"/>
      <c r="E262" s="45" t="n"/>
      <c r="F262" s="47" t="n"/>
      <c r="G262" s="50" t="n"/>
      <c r="H262" s="53">
        <f t="shared" si="1"/>
      </c>
      <c r="I262" s="53">
        <f t="shared" si="2"/>
      </c>
      <c r="J262" s="49">
        <f t="shared" si="3"/>
      </c>
      <c r="K262" s="2">
        <f t="shared" si="4"/>
        <v>0</v>
      </c>
      <c r="L262" s="2">
        <f t="shared" si="5"/>
      </c>
    </row>
    <row r="263">
      <c r="A263" s="43">
        <f t="shared" si="0"/>
      </c>
      <c r="B263" s="44" t="n"/>
      <c r="C263" s="45" t="n"/>
      <c r="D263" s="45" t="n"/>
      <c r="E263" s="45" t="n"/>
      <c r="F263" s="47" t="n"/>
      <c r="G263" s="50" t="n"/>
      <c r="H263" s="53">
        <f t="shared" si="1"/>
      </c>
      <c r="I263" s="53">
        <f t="shared" si="2"/>
      </c>
      <c r="J263" s="49">
        <f t="shared" si="3"/>
      </c>
      <c r="K263" s="2">
        <f t="shared" si="4"/>
        <v>0</v>
      </c>
      <c r="L263" s="2">
        <f t="shared" si="5"/>
      </c>
    </row>
    <row r="264">
      <c r="A264" s="43">
        <f t="shared" si="0"/>
      </c>
      <c r="B264" s="44" t="n"/>
      <c r="C264" s="45" t="n"/>
      <c r="D264" s="45" t="n"/>
      <c r="E264" s="45" t="n"/>
      <c r="F264" s="47" t="n"/>
      <c r="G264" s="50" t="n"/>
      <c r="H264" s="53">
        <f t="shared" si="1"/>
      </c>
      <c r="I264" s="53">
        <f t="shared" si="2"/>
      </c>
      <c r="J264" s="49">
        <f t="shared" si="3"/>
      </c>
      <c r="K264" s="2">
        <f t="shared" si="4"/>
        <v>0</v>
      </c>
      <c r="L264" s="2">
        <f t="shared" si="5"/>
      </c>
    </row>
    <row r="265">
      <c r="A265" s="43">
        <f t="shared" si="0"/>
      </c>
      <c r="B265" s="44" t="n"/>
      <c r="C265" s="45" t="n"/>
      <c r="D265" s="45" t="n"/>
      <c r="E265" s="45" t="n"/>
      <c r="F265" s="47" t="n"/>
      <c r="G265" s="50" t="n"/>
      <c r="H265" s="53">
        <f t="shared" si="1"/>
      </c>
      <c r="I265" s="53">
        <f t="shared" si="2"/>
      </c>
      <c r="J265" s="49">
        <f t="shared" si="3"/>
      </c>
      <c r="K265" s="2">
        <f t="shared" si="4"/>
        <v>0</v>
      </c>
      <c r="L265" s="2">
        <f t="shared" si="5"/>
      </c>
    </row>
    <row r="266">
      <c r="A266" s="43">
        <f t="shared" si="0"/>
      </c>
      <c r="B266" s="44" t="n"/>
      <c r="C266" s="45" t="n"/>
      <c r="D266" s="45" t="n"/>
      <c r="E266" s="45" t="n"/>
      <c r="F266" s="47" t="n"/>
      <c r="G266" s="50" t="n"/>
      <c r="H266" s="53">
        <f t="shared" si="1"/>
      </c>
      <c r="I266" s="53">
        <f t="shared" si="2"/>
      </c>
      <c r="J266" s="49">
        <f t="shared" si="3"/>
      </c>
      <c r="K266" s="2">
        <f t="shared" si="4"/>
        <v>0</v>
      </c>
      <c r="L266" s="2">
        <f t="shared" si="5"/>
      </c>
    </row>
    <row r="267">
      <c r="A267" s="43">
        <f t="shared" si="0"/>
      </c>
      <c r="B267" s="44" t="n"/>
      <c r="C267" s="45" t="n"/>
      <c r="D267" s="45" t="n"/>
      <c r="E267" s="45" t="n"/>
      <c r="F267" s="47" t="n"/>
      <c r="G267" s="50" t="n"/>
      <c r="H267" s="53">
        <f t="shared" si="1"/>
      </c>
      <c r="I267" s="53">
        <f t="shared" si="2"/>
      </c>
      <c r="J267" s="49">
        <f t="shared" si="3"/>
      </c>
      <c r="K267" s="2">
        <f t="shared" si="4"/>
        <v>0</v>
      </c>
      <c r="L267" s="2">
        <f t="shared" si="5"/>
      </c>
    </row>
    <row r="268">
      <c r="A268" s="43">
        <f t="shared" si="0"/>
      </c>
      <c r="B268" s="44" t="n"/>
      <c r="C268" s="45" t="n"/>
      <c r="D268" s="45" t="n"/>
      <c r="E268" s="45" t="n"/>
      <c r="F268" s="47" t="n"/>
      <c r="G268" s="50" t="n"/>
      <c r="H268" s="53">
        <f t="shared" si="1"/>
      </c>
      <c r="I268" s="53">
        <f t="shared" si="2"/>
      </c>
      <c r="J268" s="49">
        <f t="shared" si="3"/>
      </c>
      <c r="K268" s="2">
        <f t="shared" si="4"/>
        <v>0</v>
      </c>
      <c r="L268" s="2">
        <f t="shared" si="5"/>
      </c>
    </row>
    <row r="269">
      <c r="A269" s="43">
        <f t="shared" si="0"/>
      </c>
      <c r="B269" s="44" t="n"/>
      <c r="C269" s="45" t="n"/>
      <c r="D269" s="45" t="n"/>
      <c r="E269" s="45" t="n"/>
      <c r="F269" s="47" t="n"/>
      <c r="G269" s="50" t="n"/>
      <c r="H269" s="53">
        <f t="shared" si="1"/>
      </c>
      <c r="I269" s="53">
        <f t="shared" si="2"/>
      </c>
      <c r="J269" s="49">
        <f t="shared" si="3"/>
      </c>
      <c r="K269" s="2">
        <f t="shared" si="4"/>
        <v>0</v>
      </c>
      <c r="L269" s="2">
        <f t="shared" si="5"/>
      </c>
    </row>
    <row r="270">
      <c r="A270" s="43">
        <f t="shared" si="0"/>
      </c>
      <c r="B270" s="44" t="n"/>
      <c r="C270" s="45" t="n"/>
      <c r="D270" s="45" t="n"/>
      <c r="E270" s="45" t="n"/>
      <c r="F270" s="47" t="n"/>
      <c r="G270" s="50" t="n"/>
      <c r="H270" s="53">
        <f t="shared" si="1"/>
      </c>
      <c r="I270" s="53">
        <f t="shared" si="2"/>
      </c>
      <c r="J270" s="49">
        <f t="shared" si="3"/>
      </c>
      <c r="K270" s="2">
        <f t="shared" si="4"/>
        <v>0</v>
      </c>
      <c r="L270" s="2">
        <f t="shared" si="5"/>
      </c>
    </row>
    <row r="271">
      <c r="A271" s="43">
        <f t="shared" si="0"/>
      </c>
      <c r="B271" s="44" t="n"/>
      <c r="C271" s="45" t="n"/>
      <c r="D271" s="45" t="n"/>
      <c r="E271" s="45" t="n"/>
      <c r="F271" s="47" t="n"/>
      <c r="G271" s="50" t="n"/>
      <c r="H271" s="53">
        <f t="shared" si="1"/>
      </c>
      <c r="I271" s="53">
        <f t="shared" si="2"/>
      </c>
      <c r="J271" s="49">
        <f t="shared" si="3"/>
      </c>
      <c r="K271" s="2">
        <f t="shared" si="4"/>
        <v>0</v>
      </c>
      <c r="L271" s="2">
        <f t="shared" si="5"/>
      </c>
    </row>
    <row r="272">
      <c r="A272" s="43">
        <f t="shared" si="0"/>
      </c>
      <c r="B272" s="44" t="n"/>
      <c r="C272" s="45" t="n"/>
      <c r="D272" s="45" t="n"/>
      <c r="E272" s="45" t="n"/>
      <c r="F272" s="47" t="n"/>
      <c r="G272" s="50" t="n"/>
      <c r="H272" s="53">
        <f t="shared" si="1"/>
      </c>
      <c r="I272" s="53">
        <f t="shared" si="2"/>
      </c>
      <c r="J272" s="49">
        <f t="shared" si="3"/>
      </c>
      <c r="K272" s="2">
        <f t="shared" si="4"/>
        <v>0</v>
      </c>
      <c r="L272" s="2">
        <f t="shared" si="5"/>
      </c>
    </row>
    <row r="273">
      <c r="A273" s="43">
        <f t="shared" si="0"/>
      </c>
      <c r="B273" s="44" t="n"/>
      <c r="C273" s="45" t="n"/>
      <c r="D273" s="45" t="n"/>
      <c r="E273" s="45" t="n"/>
      <c r="F273" s="47" t="n"/>
      <c r="G273" s="50" t="n"/>
      <c r="H273" s="53">
        <f t="shared" si="1"/>
      </c>
      <c r="I273" s="53">
        <f t="shared" si="2"/>
      </c>
      <c r="J273" s="49">
        <f t="shared" si="3"/>
      </c>
      <c r="K273" s="2">
        <f t="shared" si="4"/>
        <v>0</v>
      </c>
      <c r="L273" s="2">
        <f t="shared" si="5"/>
      </c>
    </row>
    <row r="274">
      <c r="A274" s="43">
        <f t="shared" si="0"/>
      </c>
      <c r="B274" s="44" t="n"/>
      <c r="C274" s="45" t="n"/>
      <c r="D274" s="45" t="n"/>
      <c r="E274" s="45" t="n"/>
      <c r="F274" s="47" t="n"/>
      <c r="G274" s="50" t="n"/>
      <c r="H274" s="53">
        <f t="shared" si="1"/>
      </c>
      <c r="I274" s="53">
        <f t="shared" si="2"/>
      </c>
      <c r="J274" s="49">
        <f t="shared" si="3"/>
      </c>
      <c r="K274" s="2">
        <f t="shared" si="4"/>
        <v>0</v>
      </c>
      <c r="L274" s="2">
        <f t="shared" si="5"/>
      </c>
    </row>
    <row r="275">
      <c r="A275" s="43">
        <f t="shared" si="0"/>
      </c>
      <c r="B275" s="44" t="n"/>
      <c r="C275" s="45" t="n"/>
      <c r="D275" s="45" t="n"/>
      <c r="E275" s="45" t="n"/>
      <c r="F275" s="47" t="n"/>
      <c r="G275" s="50" t="n"/>
      <c r="H275" s="53">
        <f t="shared" si="1"/>
      </c>
      <c r="I275" s="53">
        <f t="shared" si="2"/>
      </c>
      <c r="J275" s="49">
        <f t="shared" si="3"/>
      </c>
      <c r="K275" s="2">
        <f t="shared" si="4"/>
        <v>0</v>
      </c>
      <c r="L275" s="2">
        <f t="shared" si="5"/>
      </c>
    </row>
    <row r="276">
      <c r="A276" s="43">
        <f t="shared" si="0"/>
      </c>
      <c r="B276" s="44" t="n"/>
      <c r="C276" s="45" t="n"/>
      <c r="D276" s="45" t="n"/>
      <c r="E276" s="45" t="n"/>
      <c r="F276" s="47" t="n"/>
      <c r="G276" s="50" t="n"/>
      <c r="H276" s="53">
        <f t="shared" si="1"/>
      </c>
      <c r="I276" s="53">
        <f t="shared" si="2"/>
      </c>
      <c r="J276" s="49">
        <f t="shared" si="3"/>
      </c>
      <c r="K276" s="2">
        <f t="shared" si="4"/>
        <v>0</v>
      </c>
      <c r="L276" s="2">
        <f t="shared" si="5"/>
      </c>
    </row>
    <row r="277">
      <c r="A277" s="43">
        <f t="shared" si="0"/>
      </c>
      <c r="B277" s="44" t="n"/>
      <c r="C277" s="45" t="n"/>
      <c r="D277" s="45" t="n"/>
      <c r="E277" s="45" t="n"/>
      <c r="F277" s="47" t="n"/>
      <c r="G277" s="50" t="n"/>
      <c r="H277" s="53">
        <f t="shared" si="1"/>
      </c>
      <c r="I277" s="53">
        <f t="shared" si="2"/>
      </c>
      <c r="J277" s="49">
        <f t="shared" si="3"/>
      </c>
      <c r="K277" s="2">
        <f t="shared" si="4"/>
        <v>0</v>
      </c>
      <c r="L277" s="2">
        <f t="shared" si="5"/>
      </c>
    </row>
    <row r="278">
      <c r="A278" s="43">
        <f t="shared" si="0"/>
      </c>
      <c r="B278" s="44" t="n"/>
      <c r="C278" s="45" t="n"/>
      <c r="D278" s="45" t="n"/>
      <c r="E278" s="45" t="n"/>
      <c r="F278" s="47" t="n"/>
      <c r="G278" s="50" t="n"/>
      <c r="H278" s="53">
        <f t="shared" si="1"/>
      </c>
      <c r="I278" s="53">
        <f t="shared" si="2"/>
      </c>
      <c r="J278" s="49">
        <f t="shared" si="3"/>
      </c>
      <c r="K278" s="2">
        <f t="shared" si="4"/>
        <v>0</v>
      </c>
      <c r="L278" s="2">
        <f t="shared" si="5"/>
      </c>
    </row>
    <row r="279">
      <c r="A279" s="43">
        <f t="shared" si="0"/>
      </c>
      <c r="B279" s="44" t="n"/>
      <c r="C279" s="45" t="n"/>
      <c r="D279" s="45" t="n"/>
      <c r="E279" s="45" t="n"/>
      <c r="F279" s="47" t="n"/>
      <c r="G279" s="50" t="n"/>
      <c r="H279" s="53">
        <f t="shared" si="1"/>
      </c>
      <c r="I279" s="53">
        <f t="shared" si="2"/>
      </c>
      <c r="J279" s="49">
        <f t="shared" si="3"/>
      </c>
      <c r="K279" s="2">
        <f t="shared" si="4"/>
        <v>0</v>
      </c>
      <c r="L279" s="2">
        <f t="shared" si="5"/>
      </c>
    </row>
    <row r="280">
      <c r="A280" s="43">
        <f t="shared" si="0"/>
      </c>
      <c r="B280" s="44" t="n"/>
      <c r="C280" s="45" t="n"/>
      <c r="D280" s="45" t="n"/>
      <c r="E280" s="45" t="n"/>
      <c r="F280" s="47" t="n"/>
      <c r="G280" s="50" t="n"/>
      <c r="H280" s="53">
        <f t="shared" si="1"/>
      </c>
      <c r="I280" s="53">
        <f t="shared" si="2"/>
      </c>
      <c r="J280" s="49">
        <f t="shared" si="3"/>
      </c>
      <c r="K280" s="2">
        <f t="shared" si="4"/>
        <v>0</v>
      </c>
      <c r="L280" s="2">
        <f t="shared" si="5"/>
      </c>
    </row>
    <row r="281">
      <c r="A281" s="43">
        <f t="shared" si="0"/>
      </c>
      <c r="B281" s="44" t="n"/>
      <c r="C281" s="45" t="n"/>
      <c r="D281" s="45" t="n"/>
      <c r="E281" s="45" t="n"/>
      <c r="F281" s="47" t="n"/>
      <c r="G281" s="50" t="n"/>
      <c r="H281" s="53">
        <f t="shared" si="1"/>
      </c>
      <c r="I281" s="53">
        <f t="shared" si="2"/>
      </c>
      <c r="J281" s="49">
        <f t="shared" si="3"/>
      </c>
      <c r="K281" s="2">
        <f t="shared" si="4"/>
        <v>0</v>
      </c>
      <c r="L281" s="2">
        <f t="shared" si="5"/>
      </c>
    </row>
    <row r="282">
      <c r="A282" s="43">
        <f t="shared" si="0"/>
      </c>
      <c r="B282" s="44" t="n"/>
      <c r="C282" s="45" t="n"/>
      <c r="D282" s="45" t="n"/>
      <c r="E282" s="45" t="n"/>
      <c r="F282" s="47" t="n"/>
      <c r="G282" s="50" t="n"/>
      <c r="H282" s="53">
        <f t="shared" si="1"/>
      </c>
      <c r="I282" s="53">
        <f t="shared" si="2"/>
      </c>
      <c r="J282" s="49">
        <f t="shared" si="3"/>
      </c>
      <c r="K282" s="2">
        <f t="shared" si="4"/>
        <v>0</v>
      </c>
      <c r="L282" s="2">
        <f t="shared" si="5"/>
      </c>
    </row>
    <row r="283">
      <c r="A283" s="43">
        <f t="shared" si="0"/>
      </c>
      <c r="B283" s="44" t="n"/>
      <c r="C283" s="45" t="n"/>
      <c r="D283" s="45" t="n"/>
      <c r="E283" s="45" t="n"/>
      <c r="F283" s="47" t="n"/>
      <c r="G283" s="50" t="n"/>
      <c r="H283" s="53">
        <f t="shared" si="1"/>
      </c>
      <c r="I283" s="53">
        <f t="shared" si="2"/>
      </c>
      <c r="J283" s="49">
        <f t="shared" si="3"/>
      </c>
      <c r="K283" s="2">
        <f t="shared" si="4"/>
        <v>0</v>
      </c>
      <c r="L283" s="2">
        <f t="shared" si="5"/>
      </c>
    </row>
    <row r="284">
      <c r="A284" s="43">
        <f t="shared" si="0"/>
      </c>
      <c r="B284" s="44" t="n"/>
      <c r="C284" s="45" t="n"/>
      <c r="D284" s="45" t="n"/>
      <c r="E284" s="45" t="n"/>
      <c r="F284" s="47" t="n"/>
      <c r="G284" s="50" t="n"/>
      <c r="H284" s="53">
        <f t="shared" si="1"/>
      </c>
      <c r="I284" s="53">
        <f t="shared" si="2"/>
      </c>
      <c r="J284" s="49">
        <f t="shared" si="3"/>
      </c>
      <c r="K284" s="2">
        <f t="shared" si="4"/>
        <v>0</v>
      </c>
      <c r="L284" s="2">
        <f t="shared" si="5"/>
      </c>
    </row>
    <row r="285">
      <c r="A285" s="43">
        <f t="shared" si="0"/>
      </c>
      <c r="B285" s="44" t="n"/>
      <c r="C285" s="45" t="n"/>
      <c r="D285" s="45" t="n"/>
      <c r="E285" s="45" t="n"/>
      <c r="F285" s="47" t="n"/>
      <c r="G285" s="50" t="n"/>
      <c r="H285" s="53">
        <f t="shared" si="1"/>
      </c>
      <c r="I285" s="53">
        <f t="shared" si="2"/>
      </c>
      <c r="J285" s="49">
        <f t="shared" si="3"/>
      </c>
      <c r="K285" s="2">
        <f t="shared" si="4"/>
        <v>0</v>
      </c>
      <c r="L285" s="2">
        <f t="shared" si="5"/>
      </c>
    </row>
    <row r="286">
      <c r="A286" s="43">
        <f t="shared" si="0"/>
      </c>
      <c r="B286" s="44" t="n"/>
      <c r="C286" s="45" t="n"/>
      <c r="D286" s="45" t="n"/>
      <c r="E286" s="45" t="n"/>
      <c r="F286" s="47" t="n"/>
      <c r="G286" s="50" t="n"/>
      <c r="H286" s="53">
        <f t="shared" si="1"/>
      </c>
      <c r="I286" s="53">
        <f t="shared" si="2"/>
      </c>
      <c r="J286" s="49">
        <f t="shared" si="3"/>
      </c>
      <c r="K286" s="2">
        <f t="shared" si="4"/>
        <v>0</v>
      </c>
      <c r="L286" s="2">
        <f t="shared" si="5"/>
      </c>
    </row>
    <row r="287">
      <c r="A287" s="43">
        <f t="shared" si="0"/>
      </c>
      <c r="B287" s="44" t="n"/>
      <c r="C287" s="45" t="n"/>
      <c r="D287" s="45" t="n"/>
      <c r="E287" s="45" t="n"/>
      <c r="F287" s="47" t="n"/>
      <c r="G287" s="50" t="n"/>
      <c r="H287" s="53">
        <f t="shared" si="1"/>
      </c>
      <c r="I287" s="53">
        <f t="shared" si="2"/>
      </c>
      <c r="J287" s="49">
        <f t="shared" si="3"/>
      </c>
      <c r="K287" s="2">
        <f t="shared" si="4"/>
        <v>0</v>
      </c>
      <c r="L287" s="2">
        <f t="shared" si="5"/>
      </c>
    </row>
    <row r="288">
      <c r="A288" s="43">
        <f t="shared" si="0"/>
      </c>
      <c r="B288" s="44" t="n"/>
      <c r="C288" s="45" t="n"/>
      <c r="D288" s="45" t="n"/>
      <c r="E288" s="45" t="n"/>
      <c r="F288" s="47" t="n"/>
      <c r="G288" s="50" t="n"/>
      <c r="H288" s="53">
        <f t="shared" si="1"/>
      </c>
      <c r="I288" s="53">
        <f t="shared" si="2"/>
      </c>
      <c r="J288" s="49">
        <f t="shared" si="3"/>
      </c>
      <c r="K288" s="2">
        <f t="shared" si="4"/>
        <v>0</v>
      </c>
      <c r="L288" s="2">
        <f t="shared" si="5"/>
      </c>
    </row>
    <row r="289">
      <c r="A289" s="43">
        <f t="shared" si="0"/>
      </c>
      <c r="B289" s="44" t="n"/>
      <c r="C289" s="45" t="n"/>
      <c r="D289" s="45" t="n"/>
      <c r="E289" s="45" t="n"/>
      <c r="F289" s="47" t="n"/>
      <c r="G289" s="50" t="n"/>
      <c r="H289" s="53">
        <f t="shared" si="1"/>
      </c>
      <c r="I289" s="53">
        <f t="shared" si="2"/>
      </c>
      <c r="J289" s="49">
        <f t="shared" si="3"/>
      </c>
      <c r="K289" s="2">
        <f t="shared" si="4"/>
        <v>0</v>
      </c>
      <c r="L289" s="2">
        <f t="shared" si="5"/>
      </c>
    </row>
    <row r="290">
      <c r="A290" s="43">
        <f t="shared" si="0"/>
      </c>
      <c r="B290" s="44" t="n"/>
      <c r="C290" s="45" t="n"/>
      <c r="D290" s="45" t="n"/>
      <c r="E290" s="45" t="n"/>
      <c r="F290" s="47" t="n"/>
      <c r="G290" s="50" t="n"/>
      <c r="H290" s="53">
        <f t="shared" si="1"/>
      </c>
      <c r="I290" s="53">
        <f t="shared" si="2"/>
      </c>
      <c r="J290" s="49">
        <f t="shared" si="3"/>
      </c>
      <c r="K290" s="2">
        <f t="shared" si="4"/>
        <v>0</v>
      </c>
      <c r="L290" s="2">
        <f t="shared" si="5"/>
      </c>
    </row>
    <row r="291">
      <c r="A291" s="43">
        <f t="shared" si="0"/>
      </c>
      <c r="B291" s="44" t="n"/>
      <c r="C291" s="45" t="n"/>
      <c r="D291" s="45" t="n"/>
      <c r="E291" s="45" t="n"/>
      <c r="F291" s="47" t="n"/>
      <c r="G291" s="50" t="n"/>
      <c r="H291" s="53">
        <f t="shared" si="1"/>
      </c>
      <c r="I291" s="53">
        <f t="shared" si="2"/>
      </c>
      <c r="J291" s="49">
        <f t="shared" si="3"/>
      </c>
      <c r="K291" s="2">
        <f t="shared" si="4"/>
        <v>0</v>
      </c>
      <c r="L291" s="2">
        <f t="shared" si="5"/>
      </c>
    </row>
    <row r="292">
      <c r="A292" s="43">
        <f t="shared" si="0"/>
      </c>
      <c r="B292" s="44" t="n"/>
      <c r="C292" s="45" t="n"/>
      <c r="D292" s="45" t="n"/>
      <c r="E292" s="45" t="n"/>
      <c r="F292" s="47" t="n"/>
      <c r="G292" s="50" t="n"/>
      <c r="H292" s="53">
        <f t="shared" si="1"/>
      </c>
      <c r="I292" s="53">
        <f t="shared" si="2"/>
      </c>
      <c r="J292" s="49">
        <f t="shared" si="3"/>
      </c>
      <c r="K292" s="2">
        <f t="shared" si="4"/>
        <v>0</v>
      </c>
      <c r="L292" s="2">
        <f t="shared" si="5"/>
      </c>
    </row>
    <row r="293">
      <c r="A293" s="43">
        <f t="shared" si="0"/>
      </c>
      <c r="B293" s="44" t="n"/>
      <c r="C293" s="45" t="n"/>
      <c r="D293" s="45" t="n"/>
      <c r="E293" s="45" t="n"/>
      <c r="F293" s="47" t="n"/>
      <c r="G293" s="50" t="n"/>
      <c r="H293" s="53">
        <f t="shared" si="1"/>
      </c>
      <c r="I293" s="53">
        <f t="shared" si="2"/>
      </c>
      <c r="J293" s="49">
        <f t="shared" si="3"/>
      </c>
      <c r="K293" s="2">
        <f t="shared" si="4"/>
        <v>0</v>
      </c>
      <c r="L293" s="2">
        <f t="shared" si="5"/>
      </c>
    </row>
    <row r="294">
      <c r="A294" s="43">
        <f t="shared" si="0"/>
      </c>
      <c r="B294" s="44" t="n"/>
      <c r="C294" s="45" t="n"/>
      <c r="D294" s="45" t="n"/>
      <c r="E294" s="45" t="n"/>
      <c r="F294" s="47" t="n"/>
      <c r="G294" s="50" t="n"/>
      <c r="H294" s="53">
        <f t="shared" si="1"/>
      </c>
      <c r="I294" s="53">
        <f t="shared" si="2"/>
      </c>
      <c r="J294" s="49">
        <f t="shared" si="3"/>
      </c>
      <c r="K294" s="2">
        <f t="shared" si="4"/>
        <v>0</v>
      </c>
      <c r="L294" s="2">
        <f t="shared" si="5"/>
      </c>
    </row>
    <row r="295">
      <c r="A295" s="43">
        <f t="shared" si="0"/>
      </c>
      <c r="B295" s="44" t="n"/>
      <c r="C295" s="45" t="n"/>
      <c r="D295" s="45" t="n"/>
      <c r="E295" s="45" t="n"/>
      <c r="F295" s="47" t="n"/>
      <c r="G295" s="50" t="n"/>
      <c r="H295" s="53">
        <f t="shared" si="1"/>
      </c>
      <c r="I295" s="53">
        <f t="shared" si="2"/>
      </c>
      <c r="J295" s="49">
        <f t="shared" si="3"/>
      </c>
      <c r="K295" s="2">
        <f t="shared" si="4"/>
        <v>0</v>
      </c>
      <c r="L295" s="2">
        <f t="shared" si="5"/>
      </c>
    </row>
    <row r="296">
      <c r="A296" s="43">
        <f t="shared" si="0"/>
      </c>
      <c r="B296" s="44" t="n"/>
      <c r="C296" s="45" t="n"/>
      <c r="D296" s="45" t="n"/>
      <c r="E296" s="45" t="n"/>
      <c r="F296" s="47" t="n"/>
      <c r="G296" s="50" t="n"/>
      <c r="H296" s="53">
        <f t="shared" si="1"/>
      </c>
      <c r="I296" s="53">
        <f t="shared" si="2"/>
      </c>
      <c r="J296" s="49">
        <f t="shared" si="3"/>
      </c>
      <c r="K296" s="2">
        <f t="shared" si="4"/>
        <v>0</v>
      </c>
      <c r="L296" s="2">
        <f t="shared" si="5"/>
      </c>
    </row>
    <row r="297">
      <c r="A297" s="43">
        <f t="shared" si="0"/>
      </c>
      <c r="B297" s="44" t="n"/>
      <c r="C297" s="45" t="n"/>
      <c r="D297" s="45" t="n"/>
      <c r="E297" s="45" t="n"/>
      <c r="F297" s="47" t="n"/>
      <c r="G297" s="50" t="n"/>
      <c r="H297" s="53">
        <f t="shared" si="1"/>
      </c>
      <c r="I297" s="53">
        <f t="shared" si="2"/>
      </c>
      <c r="J297" s="49">
        <f t="shared" si="3"/>
      </c>
      <c r="K297" s="2">
        <f t="shared" si="4"/>
        <v>0</v>
      </c>
      <c r="L297" s="2">
        <f t="shared" si="5"/>
      </c>
    </row>
    <row r="298">
      <c r="A298" s="43">
        <f t="shared" si="0"/>
      </c>
      <c r="B298" s="44" t="n"/>
      <c r="C298" s="45" t="n"/>
      <c r="D298" s="45" t="n"/>
      <c r="E298" s="45" t="n"/>
      <c r="F298" s="47" t="n"/>
      <c r="G298" s="50" t="n"/>
      <c r="H298" s="53">
        <f t="shared" si="1"/>
      </c>
      <c r="I298" s="53">
        <f t="shared" si="2"/>
      </c>
      <c r="J298" s="49">
        <f t="shared" si="3"/>
      </c>
      <c r="K298" s="2">
        <f t="shared" si="4"/>
        <v>0</v>
      </c>
      <c r="L298" s="2">
        <f t="shared" si="5"/>
      </c>
    </row>
    <row r="299">
      <c r="A299" s="43">
        <f t="shared" si="0"/>
      </c>
      <c r="B299" s="44" t="n"/>
      <c r="C299" s="45" t="n"/>
      <c r="D299" s="45" t="n"/>
      <c r="E299" s="45" t="n"/>
      <c r="F299" s="47" t="n"/>
      <c r="G299" s="50" t="n"/>
      <c r="H299" s="53">
        <f t="shared" si="1"/>
      </c>
      <c r="I299" s="53">
        <f t="shared" si="2"/>
      </c>
      <c r="J299" s="49">
        <f t="shared" si="3"/>
      </c>
      <c r="K299" s="2">
        <f t="shared" si="4"/>
        <v>0</v>
      </c>
      <c r="L299" s="2">
        <f t="shared" si="5"/>
      </c>
    </row>
    <row r="300">
      <c r="A300" s="43">
        <f t="shared" si="0"/>
      </c>
      <c r="B300" s="44" t="n"/>
      <c r="C300" s="45" t="n"/>
      <c r="D300" s="45" t="n"/>
      <c r="E300" s="45" t="n"/>
      <c r="F300" s="47" t="n"/>
      <c r="G300" s="50" t="n"/>
      <c r="H300" s="53">
        <f t="shared" si="1"/>
      </c>
      <c r="I300" s="53">
        <f t="shared" si="2"/>
      </c>
      <c r="J300" s="49">
        <f t="shared" si="3"/>
      </c>
      <c r="K300" s="2">
        <f t="shared" si="4"/>
        <v>0</v>
      </c>
      <c r="L300" s="2">
        <f t="shared" si="5"/>
      </c>
    </row>
    <row r="301">
      <c r="A301" s="43">
        <f t="shared" si="0"/>
      </c>
      <c r="B301" s="44" t="n"/>
      <c r="C301" s="45" t="n"/>
      <c r="D301" s="45" t="n"/>
      <c r="E301" s="45" t="n"/>
      <c r="F301" s="47" t="n"/>
      <c r="G301" s="50" t="n"/>
      <c r="H301" s="53">
        <f t="shared" si="1"/>
      </c>
      <c r="I301" s="53">
        <f t="shared" si="2"/>
      </c>
      <c r="J301" s="49">
        <f t="shared" si="3"/>
      </c>
      <c r="K301" s="2">
        <f t="shared" si="4"/>
        <v>0</v>
      </c>
      <c r="L301" s="2">
        <f t="shared" si="5"/>
      </c>
    </row>
    <row r="302">
      <c r="A302" s="43">
        <f t="shared" si="0"/>
      </c>
      <c r="B302" s="44" t="n"/>
      <c r="C302" s="45" t="n"/>
      <c r="D302" s="45" t="n"/>
      <c r="E302" s="45" t="n"/>
      <c r="F302" s="47" t="n"/>
      <c r="G302" s="50" t="n"/>
      <c r="H302" s="53">
        <f t="shared" si="1"/>
      </c>
      <c r="I302" s="53">
        <f t="shared" si="2"/>
      </c>
      <c r="J302" s="49">
        <f t="shared" si="3"/>
      </c>
      <c r="K302" s="2">
        <f t="shared" si="4"/>
        <v>0</v>
      </c>
      <c r="L302" s="2">
        <f t="shared" si="5"/>
      </c>
    </row>
    <row r="303">
      <c r="A303" s="43">
        <f t="shared" si="0"/>
      </c>
      <c r="B303" s="44" t="n"/>
      <c r="C303" s="45" t="n"/>
      <c r="D303" s="45" t="n"/>
      <c r="E303" s="45" t="n"/>
      <c r="F303" s="47" t="n"/>
      <c r="G303" s="50" t="n"/>
      <c r="H303" s="53">
        <f t="shared" si="1"/>
      </c>
      <c r="I303" s="53">
        <f t="shared" si="2"/>
      </c>
      <c r="J303" s="49">
        <f t="shared" si="3"/>
      </c>
      <c r="K303" s="2">
        <f t="shared" si="4"/>
        <v>0</v>
      </c>
      <c r="L303" s="2">
        <f t="shared" si="5"/>
      </c>
    </row>
    <row r="304">
      <c r="A304" s="43">
        <f t="shared" si="0"/>
      </c>
      <c r="B304" s="44" t="n"/>
      <c r="C304" s="45" t="n"/>
      <c r="D304" s="45" t="n"/>
      <c r="E304" s="45" t="n"/>
      <c r="F304" s="47" t="n"/>
      <c r="G304" s="50" t="n"/>
      <c r="H304" s="53">
        <f t="shared" si="1"/>
      </c>
      <c r="I304" s="53">
        <f t="shared" si="2"/>
      </c>
      <c r="J304" s="49">
        <f t="shared" si="3"/>
      </c>
      <c r="K304" s="2">
        <f t="shared" si="4"/>
        <v>0</v>
      </c>
      <c r="L304" s="2">
        <f t="shared" si="5"/>
      </c>
    </row>
  </sheetData>
  <mergeCells count="2">
    <mergeCell ref="A1:J1"/>
    <mergeCell ref="A2:J2"/>
  </mergeCells>
  <conditionalFormatting sqref="J5:J304">
    <cfRule type="expression" priority="1" dxfId="2">
      <formula>LEFT($J5,1)="✗"</formula>
    </cfRule>
    <cfRule type="expression" priority="2" dxfId="3">
      <formula>LEFT($J5,1)="⚠"</formula>
    </cfRule>
    <cfRule type="expression" priority="3" dxfId="4">
      <formula>$J5="√"</formula>
    </cfRule>
  </conditionalFormatting>
  <dataValidations count="4">
    <dataValidation sqref="B5:B304" showDropDown="0" showInputMessage="0" showErrorMessage="1" allowBlank="1" errorTitle="日期" error="要像 2026/9/1 这样填日期" type="date" errorStyle="warning" operator="between">
      <formula1>36526</formula1>
      <formula2>73050</formula2>
    </dataValidation>
    <dataValidation sqref="C5:C304" showDropDown="0" showInputMessage="0" showErrorMessage="1" allowBlank="1" errorTitle="不在清单里" error="请从下拉里选；清单里没有的，先到【基础资料】/【往来单位】里登记" type="list" errorStyle="stop">
      <formula1>=项目档案!$B$4:$B$63</formula1>
    </dataValidation>
    <dataValidation sqref="D5:D304" showDropDown="0" showInputMessage="0" showErrorMessage="1" allowBlank="1" errorTitle="不在清单里" error="请从下拉里选；清单里没有的，先到【基础资料】/【往来单位】里登记" type="list" errorStyle="stop">
      <formula1>"总包代发工资,总包代付材料分包款,甲供材扣款,甲方扣款"</formula1>
    </dataValidation>
    <dataValidation sqref="E5:E304" showDropDown="0" showInputMessage="0" showErrorMessage="0" allowBlank="1" errorTitle="不在清单里" error="请从下拉里选；清单里没有的，先到【基础资料】/【往来单位】里登记" type="list" errorStyle="warning">
      <formula1>=往来单位!$B$4:$B$303</formula1>
    </dataValidation>
  </dataValidations>
  <hyperlinks>
    <hyperlink ref="K1" location="'首页'!A1" display="← 回首页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A1:U63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26" customWidth="1" min="4" max="4"/>
    <col width="13.5" customWidth="1" min="5" max="5"/>
    <col width="11" customWidth="1" min="6" max="6"/>
    <col width="13" customWidth="1" min="7" max="7"/>
    <col width="8" customWidth="1" min="8" max="8"/>
    <col width="11" customWidth="1" min="9" max="9"/>
    <col width="7" customWidth="1" min="10" max="10"/>
    <col width="11" customWidth="1" min="11" max="11"/>
    <col width="11" customWidth="1" min="12" max="12"/>
    <col width="10" customWidth="1" min="13" max="13"/>
    <col width="9" customWidth="1" min="14" max="14"/>
    <col width="12" customWidth="1" min="15" max="15"/>
    <col width="12" customWidth="1" min="16" max="16"/>
    <col width="12" customWidth="1" min="17" max="17"/>
    <col width="13.5" customWidth="1" min="18" max="18"/>
    <col width="34" customWidth="1" min="19" max="19"/>
    <col width="15" customWidth="1" min="20" max="20"/>
    <col width="13" customWidth="1" min="21" max="21"/>
  </cols>
  <sheetData>
    <row r="1" ht="33" customHeight="1">
      <c r="A1" s="71" t="inlineStr">
        <is>
          <t>项 目 档 案（一个工地一行 · 项目简称全表通用）</t>
        </is>
      </c>
      <c r="U1" s="33" t="inlineStr">
        <is>
          <t>← 回首页</t>
        </is>
      </c>
    </row>
    <row r="2" ht="38" customHeight="1">
      <c r="A2" s="3" t="inlineStr">
        <is>
          <t>💡 每接一个工地就在下面加一行。「项目简称」是全表通用的名字（流水、应付、工资、报表都用它），起短一点、别重名。「摘要关键词」：流水摘要里出现这几个词就自动认成这个项目（比如「德养」「养老中心」都是德安养老中心）；项目简称本身不用再填。合同额、变更签证、结算额都填含税价；结算了填结算额，没结算空着（按合同＋变更算）。项目不要删整行，完结了把状态改成「已完结」。建账前的累计产值、收款在【期初余额】① 填；「已收工程款」自动算到截止日（期初＋流水＋总包代发抵账）。</t>
        </is>
      </c>
    </row>
    <row r="3" ht="34" customHeight="1">
      <c r="A3" s="72" t="inlineStr">
        <is>
          <t>序号</t>
        </is>
      </c>
      <c r="B3" s="72" t="inlineStr">
        <is>
          <t>项目简称</t>
        </is>
      </c>
      <c r="C3" s="72" t="inlineStr">
        <is>
          <t>项目全称（合同上的）</t>
        </is>
      </c>
      <c r="D3" s="72" t="inlineStr">
        <is>
          <t>甲方 / 总包</t>
        </is>
      </c>
      <c r="E3" s="72" t="inlineStr">
        <is>
          <t>合同额
（含税）</t>
        </is>
      </c>
      <c r="F3" s="72" t="inlineStr">
        <is>
          <t>变更签证</t>
        </is>
      </c>
      <c r="G3" s="72" t="inlineStr">
        <is>
          <t>结算额
（结算了才填）</t>
        </is>
      </c>
      <c r="H3" s="72" t="inlineStr">
        <is>
          <t>质保金
比例</t>
        </is>
      </c>
      <c r="I3" s="72" t="inlineStr">
        <is>
          <t>质保
到期日</t>
        </is>
      </c>
      <c r="J3" s="72" t="inlineStr">
        <is>
          <t>税率</t>
        </is>
      </c>
      <c r="K3" s="72" t="inlineStr">
        <is>
          <t>开工日期</t>
        </is>
      </c>
      <c r="L3" s="72" t="inlineStr">
        <is>
          <t>完工日期</t>
        </is>
      </c>
      <c r="M3" s="72" t="inlineStr">
        <is>
          <t>状态</t>
        </is>
      </c>
      <c r="N3" s="72" t="inlineStr">
        <is>
          <t>负责人</t>
        </is>
      </c>
      <c r="O3" s="72" t="inlineStr">
        <is>
          <t>摘要关键词1</t>
        </is>
      </c>
      <c r="P3" s="72" t="inlineStr">
        <is>
          <t>摘要关键词2</t>
        </is>
      </c>
      <c r="Q3" s="72" t="inlineStr">
        <is>
          <t>摘要关键词3</t>
        </is>
      </c>
      <c r="R3" s="72" t="inlineStr">
        <is>
          <t>已收工程款
（自动）</t>
        </is>
      </c>
      <c r="S3" s="72" t="inlineStr">
        <is>
          <t>备注</t>
        </is>
      </c>
      <c r="T3" s="72" t="inlineStr">
        <is>
          <t>总价
（自动）</t>
        </is>
      </c>
    </row>
    <row r="4">
      <c r="A4" s="43" t="n">
        <v>1</v>
      </c>
      <c r="B4" s="45" t="inlineStr">
        <is>
          <t>德安养老中心</t>
        </is>
      </c>
      <c r="C4" s="50" t="inlineStr">
        <is>
          <t>德安养老中心</t>
        </is>
      </c>
      <c r="D4" s="50" t="inlineStr">
        <is>
          <t>九江浔辉建筑工程有限公司</t>
        </is>
      </c>
      <c r="E4" s="57" t="n">
        <v>4362576.49</v>
      </c>
      <c r="F4" s="57" t="n"/>
      <c r="G4" s="57" t="n"/>
      <c r="H4" s="52" t="n"/>
      <c r="I4" s="44" t="n"/>
      <c r="J4" s="52" t="n">
        <v>0.09</v>
      </c>
      <c r="K4" s="44" t="n"/>
      <c r="L4" s="44" t="n"/>
      <c r="M4" s="45" t="inlineStr">
        <is>
          <t>在建</t>
        </is>
      </c>
      <c r="N4" s="45" t="n"/>
      <c r="O4" s="45" t="inlineStr">
        <is>
          <t>德养</t>
        </is>
      </c>
      <c r="P4" s="45" t="inlineStr">
        <is>
          <t>养老中心</t>
        </is>
      </c>
      <c r="Q4" s="45" t="n"/>
      <c r="R4" s="48">
        <f>IF(B4="","",SUMIFS(期初余额!$D$5:$D$64,期初余额!$B$5:$B$64,B4)+_项目汇总!$D$3+_项目汇总!$E$3+_项目汇总!$F$3+_项目汇总!$G$3)</f>
        <v>2658453.36</v>
      </c>
      <c r="S4" s="50" t="n"/>
      <c r="T4" s="73">
        <f t="shared" ref="T4:T63" si="0">IF(B4="","",IF(N(G4)&lt;&gt;0,G4,N(E4)+N(F4)))</f>
        <v>4362576.49</v>
      </c>
    </row>
    <row r="5">
      <c r="A5" s="43" t="n">
        <v>2</v>
      </c>
      <c r="B5" s="45" t="inlineStr">
        <is>
          <t>科创中心</t>
        </is>
      </c>
      <c r="C5" s="50" t="inlineStr">
        <is>
          <t>科创中心</t>
        </is>
      </c>
      <c r="D5" s="50" t="inlineStr">
        <is>
          <t>德安县市政工程公司</t>
        </is>
      </c>
      <c r="E5" s="57" t="n">
        <v>1641809</v>
      </c>
      <c r="F5" s="57" t="n"/>
      <c r="G5" s="57" t="n"/>
      <c r="H5" s="52" t="n"/>
      <c r="I5" s="44" t="n"/>
      <c r="J5" s="52" t="n">
        <v>0.09</v>
      </c>
      <c r="K5" s="44" t="n"/>
      <c r="L5" s="44" t="n"/>
      <c r="M5" s="45" t="inlineStr">
        <is>
          <t>在建</t>
        </is>
      </c>
      <c r="N5" s="45" t="n"/>
      <c r="O5" s="45" t="inlineStr">
        <is>
          <t>科创</t>
        </is>
      </c>
      <c r="P5" s="45" t="n"/>
      <c r="Q5" s="45" t="n"/>
      <c r="R5" s="48">
        <f>IF(B5="","",SUMIFS(期初余额!$D$5:$D$64,期初余额!$B$5:$B$64,B5)+_项目汇总!$D$4+_项目汇总!$E$4+_项目汇总!$F$4+_项目汇总!$G$4)</f>
        <v>1148361.8</v>
      </c>
      <c r="S5" s="50" t="n"/>
      <c r="T5" s="73">
        <f t="shared" si="0"/>
        <v>1641809</v>
      </c>
    </row>
    <row r="6">
      <c r="A6" s="43" t="n">
        <v>3</v>
      </c>
      <c r="B6" s="45" t="inlineStr">
        <is>
          <t>九安架空层</t>
        </is>
      </c>
      <c r="C6" s="50" t="inlineStr">
        <is>
          <t>九安架空层</t>
        </is>
      </c>
      <c r="D6" s="50" t="inlineStr">
        <is>
          <t>九江浔辉建筑工程有限公司</t>
        </is>
      </c>
      <c r="E6" s="57" t="n">
        <v>1500000</v>
      </c>
      <c r="F6" s="57" t="n"/>
      <c r="G6" s="57" t="n"/>
      <c r="H6" s="52" t="n"/>
      <c r="I6" s="44" t="n"/>
      <c r="J6" s="52" t="n">
        <v>0.09</v>
      </c>
      <c r="K6" s="44" t="n"/>
      <c r="L6" s="44" t="n"/>
      <c r="M6" s="45" t="inlineStr">
        <is>
          <t>在建</t>
        </is>
      </c>
      <c r="N6" s="45" t="n"/>
      <c r="O6" s="45" t="inlineStr">
        <is>
          <t>架空层</t>
        </is>
      </c>
      <c r="P6" s="45" t="inlineStr">
        <is>
          <t>九安</t>
        </is>
      </c>
      <c r="Q6" s="45" t="n"/>
      <c r="R6" s="48">
        <f>IF(B6="","",SUMIFS(期初余额!$D$5:$D$64,期初余额!$B$5:$B$64,B6)+_项目汇总!$D$5+_项目汇总!$E$5+_项目汇总!$F$5+_项目汇总!$G$5)</f>
        <v>670000</v>
      </c>
      <c r="S6" s="50" t="n"/>
      <c r="T6" s="73">
        <f t="shared" si="0"/>
        <v>1500000</v>
      </c>
    </row>
    <row r="7">
      <c r="A7" s="43" t="n">
        <v>4</v>
      </c>
      <c r="B7" s="45" t="inlineStr">
        <is>
          <t>数字产业园</t>
        </is>
      </c>
      <c r="C7" s="50" t="inlineStr">
        <is>
          <t>数字产业园</t>
        </is>
      </c>
      <c r="D7" s="50" t="n"/>
      <c r="E7" s="57" t="n">
        <v>325612.18</v>
      </c>
      <c r="F7" s="57" t="n"/>
      <c r="G7" s="57" t="n"/>
      <c r="H7" s="52" t="n"/>
      <c r="I7" s="44" t="n"/>
      <c r="J7" s="52" t="n">
        <v>0.09</v>
      </c>
      <c r="K7" s="44" t="n"/>
      <c r="L7" s="44" t="n"/>
      <c r="M7" s="45" t="inlineStr">
        <is>
          <t>在建</t>
        </is>
      </c>
      <c r="N7" s="45" t="n"/>
      <c r="O7" s="45" t="inlineStr">
        <is>
          <t>产业园</t>
        </is>
      </c>
      <c r="P7" s="45" t="n"/>
      <c r="Q7" s="45" t="n"/>
      <c r="R7" s="48">
        <f>IF(B7="","",SUMIFS(期初余额!$D$5:$D$64,期初余额!$B$5:$B$64,B7)+_项目汇总!$D$6+_项目汇总!$E$6+_项目汇总!$F$6+_项目汇总!$G$6)</f>
        <v>227000</v>
      </c>
      <c r="S7" s="50" t="inlineStr">
        <is>
          <t>甲方截图里看不全；已收 227,000 是按应收总表合计倒推的，请核对</t>
        </is>
      </c>
      <c r="T7" s="73">
        <f t="shared" si="0"/>
        <v>325612.18</v>
      </c>
    </row>
    <row r="8">
      <c r="A8" s="43" t="n">
        <v>5</v>
      </c>
      <c r="B8" s="45" t="inlineStr">
        <is>
          <t>邹桥派出所</t>
        </is>
      </c>
      <c r="C8" s="50" t="inlineStr">
        <is>
          <t>邹桥派出所</t>
        </is>
      </c>
      <c r="D8" s="50" t="inlineStr">
        <is>
          <t>德安县水利水电建筑工程公司</t>
        </is>
      </c>
      <c r="E8" s="57" t="n">
        <v>95560.56</v>
      </c>
      <c r="F8" s="57" t="n"/>
      <c r="G8" s="57" t="n"/>
      <c r="H8" s="52" t="n"/>
      <c r="I8" s="44" t="n"/>
      <c r="J8" s="52" t="n">
        <v>0.09</v>
      </c>
      <c r="K8" s="44" t="n"/>
      <c r="L8" s="44" t="n"/>
      <c r="M8" s="45" t="inlineStr">
        <is>
          <t>在建</t>
        </is>
      </c>
      <c r="N8" s="45" t="n"/>
      <c r="O8" s="45" t="inlineStr">
        <is>
          <t>邹桥</t>
        </is>
      </c>
      <c r="P8" s="45" t="n"/>
      <c r="Q8" s="45" t="n"/>
      <c r="R8" s="48">
        <f>IF(B8="","",SUMIFS(期初余额!$D$5:$D$64,期初余额!$B$5:$B$64,B8)+_项目汇总!$D$7+_项目汇总!$E$7+_项目汇总!$F$7+_项目汇总!$G$7)</f>
        <v>63746.59</v>
      </c>
      <c r="S8" s="50" t="n"/>
      <c r="T8" s="73">
        <f t="shared" si="0"/>
        <v>95560.56</v>
      </c>
    </row>
    <row r="9">
      <c r="A9" s="43" t="n">
        <v>6</v>
      </c>
      <c r="B9" s="45" t="inlineStr">
        <is>
          <t>抚州1号楼</t>
        </is>
      </c>
      <c r="C9" s="50" t="inlineStr">
        <is>
          <t>抚州1号楼</t>
        </is>
      </c>
      <c r="D9" s="50" t="inlineStr">
        <is>
          <t>江西揽之建设工程有限公司</t>
        </is>
      </c>
      <c r="E9" s="57" t="n">
        <v>695372.72</v>
      </c>
      <c r="F9" s="57" t="n"/>
      <c r="G9" s="57" t="n"/>
      <c r="H9" s="52" t="n"/>
      <c r="I9" s="44" t="n"/>
      <c r="J9" s="52" t="n">
        <v>0.09</v>
      </c>
      <c r="K9" s="44" t="n"/>
      <c r="L9" s="44" t="n"/>
      <c r="M9" s="45" t="inlineStr">
        <is>
          <t>在建</t>
        </is>
      </c>
      <c r="N9" s="45" t="n"/>
      <c r="O9" s="45" t="inlineStr">
        <is>
          <t>抚州1#</t>
        </is>
      </c>
      <c r="P9" s="45" t="n"/>
      <c r="Q9" s="45" t="n"/>
      <c r="R9" s="48">
        <f>IF(B9="","",SUMIFS(期初余额!$D$5:$D$64,期初余额!$B$5:$B$64,B9)+_项目汇总!$D$8+_项目汇总!$E$8+_项目汇总!$F$8+_项目汇总!$G$8)</f>
        <v>562296</v>
      </c>
      <c r="S9" s="50" t="n"/>
      <c r="T9" s="73">
        <f t="shared" si="0"/>
        <v>695372.72</v>
      </c>
    </row>
    <row r="10">
      <c r="A10" s="43" t="n">
        <v>7</v>
      </c>
      <c r="B10" s="45" t="inlineStr">
        <is>
          <t>抚州8号楼</t>
        </is>
      </c>
      <c r="C10" s="50" t="inlineStr">
        <is>
          <t>抚州8号楼</t>
        </is>
      </c>
      <c r="D10" s="50" t="inlineStr">
        <is>
          <t>江西揽之建设工程有限公司</t>
        </is>
      </c>
      <c r="E10" s="57" t="n">
        <v>960000</v>
      </c>
      <c r="F10" s="57" t="n"/>
      <c r="G10" s="57" t="n"/>
      <c r="H10" s="52" t="n"/>
      <c r="I10" s="44" t="n"/>
      <c r="J10" s="52" t="n">
        <v>0.09</v>
      </c>
      <c r="K10" s="44" t="n"/>
      <c r="L10" s="44" t="n"/>
      <c r="M10" s="45" t="inlineStr">
        <is>
          <t>在建</t>
        </is>
      </c>
      <c r="N10" s="45" t="n"/>
      <c r="O10" s="45" t="inlineStr">
        <is>
          <t>抚州8#</t>
        </is>
      </c>
      <c r="P10" s="45" t="n"/>
      <c r="Q10" s="45" t="n"/>
      <c r="R10" s="48">
        <f>IF(B10="","",SUMIFS(期初余额!$D$5:$D$64,期初余额!$B$5:$B$64,B10)+_项目汇总!$D$9+_项目汇总!$E$9+_项目汇总!$F$9+_项目汇总!$G$9)</f>
        <v>670593.83</v>
      </c>
      <c r="S10" s="50" t="n"/>
      <c r="T10" s="73">
        <f t="shared" si="0"/>
        <v>960000</v>
      </c>
    </row>
    <row r="11">
      <c r="A11" s="43" t="n">
        <v>8</v>
      </c>
      <c r="B11" s="45" t="inlineStr">
        <is>
          <t>抚州2号楼</t>
        </is>
      </c>
      <c r="C11" s="50" t="inlineStr">
        <is>
          <t>抚州2号楼</t>
        </is>
      </c>
      <c r="D11" s="50" t="inlineStr">
        <is>
          <t>江西揽之建设工程有限公司</t>
        </is>
      </c>
      <c r="E11" s="57" t="n">
        <v>64000</v>
      </c>
      <c r="F11" s="57" t="n"/>
      <c r="G11" s="57" t="n"/>
      <c r="H11" s="52" t="n"/>
      <c r="I11" s="44" t="n"/>
      <c r="J11" s="52" t="n">
        <v>0.09</v>
      </c>
      <c r="K11" s="44" t="n"/>
      <c r="L11" s="44" t="n"/>
      <c r="M11" s="45" t="inlineStr">
        <is>
          <t>在建</t>
        </is>
      </c>
      <c r="N11" s="45" t="n"/>
      <c r="O11" s="45" t="inlineStr">
        <is>
          <t>抚州2#</t>
        </is>
      </c>
      <c r="P11" s="45" t="n"/>
      <c r="Q11" s="45" t="n"/>
      <c r="R11" s="48">
        <f>IF(B11="","",SUMIFS(期初余额!$D$5:$D$64,期初余额!$B$5:$B$64,B11)+_项目汇总!$D$10+_项目汇总!$E$10+_项目汇总!$F$10+_项目汇总!$G$10)</f>
        <v>51200</v>
      </c>
      <c r="S11" s="50" t="n"/>
      <c r="T11" s="73">
        <f t="shared" si="0"/>
        <v>64000</v>
      </c>
    </row>
    <row r="12">
      <c r="A12" s="43" t="n">
        <v>9</v>
      </c>
      <c r="B12" s="45" t="inlineStr">
        <is>
          <t>博河科创中心</t>
        </is>
      </c>
      <c r="C12" s="50" t="inlineStr">
        <is>
          <t>博河科创中心</t>
        </is>
      </c>
      <c r="D12" s="50" t="inlineStr">
        <is>
          <t>德安县博河产业控股集团有限公司</t>
        </is>
      </c>
      <c r="E12" s="57" t="n">
        <v>510758.96</v>
      </c>
      <c r="F12" s="57" t="n"/>
      <c r="G12" s="57" t="n"/>
      <c r="H12" s="52" t="n"/>
      <c r="I12" s="44" t="n"/>
      <c r="J12" s="52" t="n">
        <v>0.09</v>
      </c>
      <c r="K12" s="44" t="n"/>
      <c r="L12" s="44" t="n"/>
      <c r="M12" s="45" t="inlineStr">
        <is>
          <t>在建</t>
        </is>
      </c>
      <c r="N12" s="45" t="n"/>
      <c r="O12" s="45" t="inlineStr">
        <is>
          <t>博河</t>
        </is>
      </c>
      <c r="P12" s="45" t="n"/>
      <c r="Q12" s="45" t="n"/>
      <c r="R12" s="48">
        <f>IF(B12="","",SUMIFS(期初余额!$D$5:$D$64,期初余额!$B$5:$B$64,B12)+_项目汇总!$D$11+_项目汇总!$E$11+_项目汇总!$F$11+_项目汇总!$G$11)</f>
        <v>0</v>
      </c>
      <c r="S12" s="50" t="n"/>
      <c r="T12" s="73">
        <f t="shared" si="0"/>
        <v>510758.96</v>
      </c>
    </row>
    <row r="13">
      <c r="A13" s="43" t="n">
        <v>10</v>
      </c>
      <c r="B13" s="45" t="inlineStr">
        <is>
          <t>德安农商行总部</t>
        </is>
      </c>
      <c r="C13" s="50" t="inlineStr">
        <is>
          <t>农村商业银行股份有限公司德安县总部室外消防栓改造</t>
        </is>
      </c>
      <c r="D13" s="50" t="inlineStr">
        <is>
          <t>德安农商银行</t>
        </is>
      </c>
      <c r="E13" s="57" t="n">
        <v>8992</v>
      </c>
      <c r="F13" s="57" t="n"/>
      <c r="G13" s="57" t="n"/>
      <c r="H13" s="52" t="n"/>
      <c r="I13" s="44" t="n"/>
      <c r="J13" s="52" t="n">
        <v>0.09</v>
      </c>
      <c r="K13" s="44" t="n"/>
      <c r="L13" s="44" t="n"/>
      <c r="M13" s="45" t="inlineStr">
        <is>
          <t>在建</t>
        </is>
      </c>
      <c r="N13" s="45" t="n"/>
      <c r="O13" s="45" t="inlineStr">
        <is>
          <t>农商行</t>
        </is>
      </c>
      <c r="P13" s="45" t="inlineStr">
        <is>
          <t>德安农商</t>
        </is>
      </c>
      <c r="Q13" s="45" t="n"/>
      <c r="R13" s="48">
        <f>IF(B13="","",SUMIFS(期初余额!$D$5:$D$64,期初余额!$B$5:$B$64,B13)+_项目汇总!$D$12+_项目汇总!$E$12+_项目汇总!$F$12+_项目汇总!$G$12)</f>
        <v>0</v>
      </c>
      <c r="S13" s="50" t="inlineStr">
        <is>
          <t>原表2 项目账样例这个项目；待摊费用表里的「共青农商行 8,992」看着是同一个，请核对</t>
        </is>
      </c>
      <c r="T13" s="73">
        <f t="shared" si="0"/>
        <v>8992</v>
      </c>
    </row>
    <row r="14">
      <c r="A14" s="43" t="n">
        <v>11</v>
      </c>
      <c r="B14" s="45" t="inlineStr">
        <is>
          <t>示范园</t>
        </is>
      </c>
      <c r="C14" s="50" t="inlineStr">
        <is>
          <t>示范园</t>
        </is>
      </c>
      <c r="D14" s="50" t="n"/>
      <c r="E14" s="57" t="n"/>
      <c r="F14" s="57" t="n"/>
      <c r="G14" s="57" t="n"/>
      <c r="H14" s="52" t="n"/>
      <c r="I14" s="44" t="n"/>
      <c r="J14" s="52" t="n">
        <v>0.09</v>
      </c>
      <c r="K14" s="44" t="n"/>
      <c r="L14" s="44" t="n"/>
      <c r="M14" s="45" t="inlineStr">
        <is>
          <t>在建</t>
        </is>
      </c>
      <c r="N14" s="45" t="n"/>
      <c r="O14" s="45" t="n"/>
      <c r="P14" s="45" t="n"/>
      <c r="Q14" s="45" t="n"/>
      <c r="R14" s="48">
        <f>IF(B14="","",SUMIFS(期初余额!$D$5:$D$64,期初余额!$B$5:$B$64,B14)+_项目汇总!$D$13+_项目汇总!$E$13+_项目汇总!$F$13+_项目汇总!$G$13)</f>
        <v>0</v>
      </c>
      <c r="S14" s="50" t="inlineStr">
        <is>
          <t>工资表里有，合同信息请补</t>
        </is>
      </c>
      <c r="T14" s="73">
        <f t="shared" si="0"/>
        <v>0</v>
      </c>
    </row>
    <row r="15">
      <c r="A15" s="43" t="n">
        <v>12</v>
      </c>
      <c r="B15" s="45" t="inlineStr">
        <is>
          <t>恒科华府</t>
        </is>
      </c>
      <c r="C15" s="50" t="inlineStr">
        <is>
          <t>恒科华府</t>
        </is>
      </c>
      <c r="D15" s="50" t="n"/>
      <c r="E15" s="57" t="n"/>
      <c r="F15" s="57" t="n"/>
      <c r="G15" s="57" t="n"/>
      <c r="H15" s="52" t="n"/>
      <c r="I15" s="44" t="n"/>
      <c r="J15" s="52" t="n">
        <v>0.09</v>
      </c>
      <c r="K15" s="44" t="n"/>
      <c r="L15" s="44" t="n"/>
      <c r="M15" s="45" t="inlineStr">
        <is>
          <t>在建</t>
        </is>
      </c>
      <c r="N15" s="45" t="n"/>
      <c r="O15" s="45" t="n"/>
      <c r="P15" s="45" t="n"/>
      <c r="Q15" s="45" t="n"/>
      <c r="R15" s="48">
        <f>IF(B15="","",SUMIFS(期初余额!$D$5:$D$64,期初余额!$B$5:$B$64,B15)+_项目汇总!$D$14+_项目汇总!$E$14+_项目汇总!$F$14+_项目汇总!$G$14)</f>
        <v>0</v>
      </c>
      <c r="S15" s="50" t="inlineStr">
        <is>
          <t>用工成本表 8 月有，合同信息请补</t>
        </is>
      </c>
      <c r="T15" s="73">
        <f t="shared" si="0"/>
        <v>0</v>
      </c>
    </row>
    <row r="16">
      <c r="A16" s="43" t="n">
        <v>13</v>
      </c>
      <c r="B16" s="45" t="inlineStr">
        <is>
          <t>赣粤高速</t>
        </is>
      </c>
      <c r="C16" s="50" t="inlineStr">
        <is>
          <t>江西赣粤高速公路项目</t>
        </is>
      </c>
      <c r="D16" s="50" t="inlineStr">
        <is>
          <t>江西赣粤高速公路</t>
        </is>
      </c>
      <c r="E16" s="57" t="n"/>
      <c r="F16" s="57" t="n"/>
      <c r="G16" s="57" t="n"/>
      <c r="H16" s="52" t="n"/>
      <c r="I16" s="44" t="n"/>
      <c r="J16" s="52" t="n">
        <v>0.09</v>
      </c>
      <c r="K16" s="44" t="n"/>
      <c r="L16" s="44" t="n"/>
      <c r="M16" s="45" t="inlineStr">
        <is>
          <t>在建</t>
        </is>
      </c>
      <c r="N16" s="45" t="n"/>
      <c r="O16" s="45" t="n"/>
      <c r="P16" s="45" t="n"/>
      <c r="Q16" s="45" t="n"/>
      <c r="R16" s="48">
        <f>IF(B16="","",SUMIFS(期初余额!$D$5:$D$64,期初余额!$B$5:$B$64,B16)+_项目汇总!$D$15+_项目汇总!$E$15+_项目汇总!$F$15+_项目汇总!$G$15)</f>
        <v>14502.87</v>
      </c>
      <c r="S16" s="50" t="inlineStr">
        <is>
          <t>流水 5/21 收工程款 14,502.87，合同信息请补</t>
        </is>
      </c>
      <c r="T16" s="73">
        <f t="shared" si="0"/>
        <v>0</v>
      </c>
    </row>
    <row r="17">
      <c r="A17" s="43" t="n">
        <v>14</v>
      </c>
      <c r="B17" s="45" t="inlineStr">
        <is>
          <t>隆世光伏</t>
        </is>
      </c>
      <c r="C17" s="50" t="inlineStr">
        <is>
          <t>隆世光伏</t>
        </is>
      </c>
      <c r="D17" s="50" t="n"/>
      <c r="E17" s="57" t="n"/>
      <c r="F17" s="57" t="n"/>
      <c r="G17" s="57" t="n"/>
      <c r="H17" s="52" t="n"/>
      <c r="I17" s="44" t="n"/>
      <c r="J17" s="52" t="n">
        <v>0.09</v>
      </c>
      <c r="K17" s="44" t="n"/>
      <c r="L17" s="44" t="n"/>
      <c r="M17" s="45" t="inlineStr">
        <is>
          <t>在建</t>
        </is>
      </c>
      <c r="N17" s="45" t="n"/>
      <c r="O17" s="45" t="inlineStr">
        <is>
          <t>德祥工地</t>
        </is>
      </c>
      <c r="P17" s="45" t="inlineStr">
        <is>
          <t>共青办公楼</t>
        </is>
      </c>
      <c r="Q17" s="45" t="n"/>
      <c r="R17" s="48">
        <f>IF(B17="","",SUMIFS(期初余额!$D$5:$D$64,期初余额!$B$5:$B$64,B17)+_项目汇总!$D$16+_项目汇总!$E$16+_项目汇总!$F$16+_项目汇总!$G$16)</f>
        <v>120000</v>
      </c>
      <c r="S17" s="50" t="inlineStr">
        <is>
          <t>流水 7/23「隆世光伏/共青办公楼/德祥工地工程款 120,000」三个工地一起收的，要分开就各建一个项目</t>
        </is>
      </c>
      <c r="T17" s="73">
        <f t="shared" si="0"/>
        <v>0</v>
      </c>
    </row>
    <row r="18">
      <c r="A18" s="43" t="n">
        <v>15</v>
      </c>
      <c r="B18" s="45" t="inlineStr">
        <is>
          <t>中国联项目</t>
        </is>
      </c>
      <c r="C18" s="50" t="inlineStr">
        <is>
          <t>中国联项目</t>
        </is>
      </c>
      <c r="D18" s="50" t="n"/>
      <c r="E18" s="57" t="n"/>
      <c r="F18" s="57" t="n"/>
      <c r="G18" s="57" t="n"/>
      <c r="H18" s="52" t="n"/>
      <c r="I18" s="44" t="n"/>
      <c r="J18" s="52" t="n">
        <v>0.09</v>
      </c>
      <c r="K18" s="44" t="n"/>
      <c r="L18" s="44" t="n"/>
      <c r="M18" s="45" t="inlineStr">
        <is>
          <t>在建</t>
        </is>
      </c>
      <c r="N18" s="45" t="n"/>
      <c r="O18" s="45" t="inlineStr">
        <is>
          <t>中国联</t>
        </is>
      </c>
      <c r="P18" s="45" t="n"/>
      <c r="Q18" s="45" t="n"/>
      <c r="R18" s="48">
        <f>IF(B18="","",SUMIFS(期初余额!$D$5:$D$64,期初余额!$B$5:$B$64,B18)+_项目汇总!$D$17+_项目汇总!$E$17+_项目汇总!$F$17+_项目汇总!$G$17)</f>
        <v>650862.4</v>
      </c>
      <c r="S18" s="50" t="inlineStr">
        <is>
          <t>流水 8/28 收 650,862.40，合同信息请补</t>
        </is>
      </c>
      <c r="T18" s="73">
        <f t="shared" si="0"/>
        <v>0</v>
      </c>
    </row>
    <row r="19">
      <c r="A19" s="43" t="n">
        <v>16</v>
      </c>
      <c r="B19" s="45" t="inlineStr">
        <is>
          <t>吴山政府项目</t>
        </is>
      </c>
      <c r="C19" s="50" t="inlineStr">
        <is>
          <t>吴山政府项目</t>
        </is>
      </c>
      <c r="D19" s="50" t="n"/>
      <c r="E19" s="57" t="n"/>
      <c r="F19" s="57" t="n"/>
      <c r="G19" s="57" t="n"/>
      <c r="H19" s="52" t="n"/>
      <c r="I19" s="44" t="n"/>
      <c r="J19" s="52" t="n">
        <v>0.09</v>
      </c>
      <c r="K19" s="44" t="n"/>
      <c r="L19" s="44" t="n"/>
      <c r="M19" s="45" t="inlineStr">
        <is>
          <t>在建</t>
        </is>
      </c>
      <c r="N19" s="45" t="n"/>
      <c r="O19" s="45" t="inlineStr">
        <is>
          <t>吴山</t>
        </is>
      </c>
      <c r="P19" s="45" t="n"/>
      <c r="Q19" s="45" t="n"/>
      <c r="R19" s="48">
        <f>IF(B19="","",SUMIFS(期初余额!$D$5:$D$64,期初余额!$B$5:$B$64,B19)+_项目汇总!$D$18+_项目汇总!$E$18+_项目汇总!$F$18+_项目汇总!$G$18)</f>
        <v>0</v>
      </c>
      <c r="S19" s="50" t="inlineStr">
        <is>
          <t>流水 7/28 两笔材料费，合同信息请补</t>
        </is>
      </c>
      <c r="T19" s="73">
        <f t="shared" si="0"/>
        <v>0</v>
      </c>
    </row>
    <row r="20">
      <c r="A20" s="43" t="n">
        <v>17</v>
      </c>
      <c r="B20" s="45" t="n"/>
      <c r="C20" s="50" t="n"/>
      <c r="D20" s="50" t="n"/>
      <c r="E20" s="57" t="n"/>
      <c r="F20" s="57" t="n"/>
      <c r="G20" s="57" t="n"/>
      <c r="H20" s="52" t="n"/>
      <c r="I20" s="44" t="n"/>
      <c r="J20" s="52" t="n"/>
      <c r="K20" s="44" t="n"/>
      <c r="L20" s="44" t="n"/>
      <c r="M20" s="45" t="n"/>
      <c r="N20" s="45" t="n"/>
      <c r="O20" s="45" t="n"/>
      <c r="P20" s="45" t="n"/>
      <c r="Q20" s="45" t="n"/>
      <c r="R20" s="48">
        <f>IF(B20="","",SUMIFS(期初余额!$D$5:$D$64,期初余额!$B$5:$B$64,B20)+_项目汇总!$D$19+_项目汇总!$E$19+_项目汇总!$F$19+_项目汇总!$G$19)</f>
      </c>
      <c r="S20" s="50" t="n"/>
      <c r="T20" s="73">
        <f t="shared" si="0"/>
      </c>
    </row>
    <row r="21">
      <c r="A21" s="43" t="n">
        <v>18</v>
      </c>
      <c r="B21" s="45" t="n"/>
      <c r="C21" s="50" t="n"/>
      <c r="D21" s="50" t="n"/>
      <c r="E21" s="57" t="n"/>
      <c r="F21" s="57" t="n"/>
      <c r="G21" s="57" t="n"/>
      <c r="H21" s="52" t="n"/>
      <c r="I21" s="44" t="n"/>
      <c r="J21" s="52" t="n"/>
      <c r="K21" s="44" t="n"/>
      <c r="L21" s="44" t="n"/>
      <c r="M21" s="45" t="n"/>
      <c r="N21" s="45" t="n"/>
      <c r="O21" s="45" t="n"/>
      <c r="P21" s="45" t="n"/>
      <c r="Q21" s="45" t="n"/>
      <c r="R21" s="48">
        <f>IF(B21="","",SUMIFS(期初余额!$D$5:$D$64,期初余额!$B$5:$B$64,B21)+_项目汇总!$D$20+_项目汇总!$E$20+_项目汇总!$F$20+_项目汇总!$G$20)</f>
      </c>
      <c r="S21" s="50" t="n"/>
      <c r="T21" s="73">
        <f t="shared" si="0"/>
      </c>
    </row>
    <row r="22">
      <c r="A22" s="43" t="n">
        <v>19</v>
      </c>
      <c r="B22" s="45" t="n"/>
      <c r="C22" s="50" t="n"/>
      <c r="D22" s="50" t="n"/>
      <c r="E22" s="57" t="n"/>
      <c r="F22" s="57" t="n"/>
      <c r="G22" s="57" t="n"/>
      <c r="H22" s="52" t="n"/>
      <c r="I22" s="44" t="n"/>
      <c r="J22" s="52" t="n"/>
      <c r="K22" s="44" t="n"/>
      <c r="L22" s="44" t="n"/>
      <c r="M22" s="45" t="n"/>
      <c r="N22" s="45" t="n"/>
      <c r="O22" s="45" t="n"/>
      <c r="P22" s="45" t="n"/>
      <c r="Q22" s="45" t="n"/>
      <c r="R22" s="48">
        <f>IF(B22="","",SUMIFS(期初余额!$D$5:$D$64,期初余额!$B$5:$B$64,B22)+_项目汇总!$D$21+_项目汇总!$E$21+_项目汇总!$F$21+_项目汇总!$G$21)</f>
      </c>
      <c r="S22" s="50" t="n"/>
      <c r="T22" s="73">
        <f t="shared" si="0"/>
      </c>
    </row>
    <row r="23">
      <c r="A23" s="43" t="n">
        <v>20</v>
      </c>
      <c r="B23" s="45" t="n"/>
      <c r="C23" s="50" t="n"/>
      <c r="D23" s="50" t="n"/>
      <c r="E23" s="57" t="n"/>
      <c r="F23" s="57" t="n"/>
      <c r="G23" s="57" t="n"/>
      <c r="H23" s="52" t="n"/>
      <c r="I23" s="44" t="n"/>
      <c r="J23" s="52" t="n"/>
      <c r="K23" s="44" t="n"/>
      <c r="L23" s="44" t="n"/>
      <c r="M23" s="45" t="n"/>
      <c r="N23" s="45" t="n"/>
      <c r="O23" s="45" t="n"/>
      <c r="P23" s="45" t="n"/>
      <c r="Q23" s="45" t="n"/>
      <c r="R23" s="48">
        <f>IF(B23="","",SUMIFS(期初余额!$D$5:$D$64,期初余额!$B$5:$B$64,B23)+_项目汇总!$D$22+_项目汇总!$E$22+_项目汇总!$F$22+_项目汇总!$G$22)</f>
      </c>
      <c r="S23" s="50" t="n"/>
      <c r="T23" s="73">
        <f t="shared" si="0"/>
      </c>
    </row>
    <row r="24">
      <c r="A24" s="43" t="n">
        <v>21</v>
      </c>
      <c r="B24" s="45" t="n"/>
      <c r="C24" s="50" t="n"/>
      <c r="D24" s="50" t="n"/>
      <c r="E24" s="57" t="n"/>
      <c r="F24" s="57" t="n"/>
      <c r="G24" s="57" t="n"/>
      <c r="H24" s="52" t="n"/>
      <c r="I24" s="44" t="n"/>
      <c r="J24" s="52" t="n"/>
      <c r="K24" s="44" t="n"/>
      <c r="L24" s="44" t="n"/>
      <c r="M24" s="45" t="n"/>
      <c r="N24" s="45" t="n"/>
      <c r="O24" s="45" t="n"/>
      <c r="P24" s="45" t="n"/>
      <c r="Q24" s="45" t="n"/>
      <c r="R24" s="48">
        <f>IF(B24="","",SUMIFS(期初余额!$D$5:$D$64,期初余额!$B$5:$B$64,B24)+_项目汇总!$D$23+_项目汇总!$E$23+_项目汇总!$F$23+_项目汇总!$G$23)</f>
      </c>
      <c r="S24" s="50" t="n"/>
      <c r="T24" s="73">
        <f t="shared" si="0"/>
      </c>
    </row>
    <row r="25">
      <c r="A25" s="43" t="n">
        <v>22</v>
      </c>
      <c r="B25" s="45" t="n"/>
      <c r="C25" s="50" t="n"/>
      <c r="D25" s="50" t="n"/>
      <c r="E25" s="57" t="n"/>
      <c r="F25" s="57" t="n"/>
      <c r="G25" s="57" t="n"/>
      <c r="H25" s="52" t="n"/>
      <c r="I25" s="44" t="n"/>
      <c r="J25" s="52" t="n"/>
      <c r="K25" s="44" t="n"/>
      <c r="L25" s="44" t="n"/>
      <c r="M25" s="45" t="n"/>
      <c r="N25" s="45" t="n"/>
      <c r="O25" s="45" t="n"/>
      <c r="P25" s="45" t="n"/>
      <c r="Q25" s="45" t="n"/>
      <c r="R25" s="48">
        <f>IF(B25="","",SUMIFS(期初余额!$D$5:$D$64,期初余额!$B$5:$B$64,B25)+_项目汇总!$D$24+_项目汇总!$E$24+_项目汇总!$F$24+_项目汇总!$G$24)</f>
      </c>
      <c r="S25" s="50" t="n"/>
      <c r="T25" s="73">
        <f t="shared" si="0"/>
      </c>
    </row>
    <row r="26">
      <c r="A26" s="43" t="n">
        <v>23</v>
      </c>
      <c r="B26" s="45" t="n"/>
      <c r="C26" s="50" t="n"/>
      <c r="D26" s="50" t="n"/>
      <c r="E26" s="57" t="n"/>
      <c r="F26" s="57" t="n"/>
      <c r="G26" s="57" t="n"/>
      <c r="H26" s="52" t="n"/>
      <c r="I26" s="44" t="n"/>
      <c r="J26" s="52" t="n"/>
      <c r="K26" s="44" t="n"/>
      <c r="L26" s="44" t="n"/>
      <c r="M26" s="45" t="n"/>
      <c r="N26" s="45" t="n"/>
      <c r="O26" s="45" t="n"/>
      <c r="P26" s="45" t="n"/>
      <c r="Q26" s="45" t="n"/>
      <c r="R26" s="48">
        <f>IF(B26="","",SUMIFS(期初余额!$D$5:$D$64,期初余额!$B$5:$B$64,B26)+_项目汇总!$D$25+_项目汇总!$E$25+_项目汇总!$F$25+_项目汇总!$G$25)</f>
      </c>
      <c r="S26" s="50" t="n"/>
      <c r="T26" s="73">
        <f t="shared" si="0"/>
      </c>
    </row>
    <row r="27">
      <c r="A27" s="43" t="n">
        <v>24</v>
      </c>
      <c r="B27" s="45" t="n"/>
      <c r="C27" s="50" t="n"/>
      <c r="D27" s="50" t="n"/>
      <c r="E27" s="57" t="n"/>
      <c r="F27" s="57" t="n"/>
      <c r="G27" s="57" t="n"/>
      <c r="H27" s="52" t="n"/>
      <c r="I27" s="44" t="n"/>
      <c r="J27" s="52" t="n"/>
      <c r="K27" s="44" t="n"/>
      <c r="L27" s="44" t="n"/>
      <c r="M27" s="45" t="n"/>
      <c r="N27" s="45" t="n"/>
      <c r="O27" s="45" t="n"/>
      <c r="P27" s="45" t="n"/>
      <c r="Q27" s="45" t="n"/>
      <c r="R27" s="48">
        <f>IF(B27="","",SUMIFS(期初余额!$D$5:$D$64,期初余额!$B$5:$B$64,B27)+_项目汇总!$D$26+_项目汇总!$E$26+_项目汇总!$F$26+_项目汇总!$G$26)</f>
      </c>
      <c r="S27" s="50" t="n"/>
      <c r="T27" s="73">
        <f t="shared" si="0"/>
      </c>
    </row>
    <row r="28">
      <c r="A28" s="43" t="n">
        <v>25</v>
      </c>
      <c r="B28" s="45" t="n"/>
      <c r="C28" s="50" t="n"/>
      <c r="D28" s="50" t="n"/>
      <c r="E28" s="57" t="n"/>
      <c r="F28" s="57" t="n"/>
      <c r="G28" s="57" t="n"/>
      <c r="H28" s="52" t="n"/>
      <c r="I28" s="44" t="n"/>
      <c r="J28" s="52" t="n"/>
      <c r="K28" s="44" t="n"/>
      <c r="L28" s="44" t="n"/>
      <c r="M28" s="45" t="n"/>
      <c r="N28" s="45" t="n"/>
      <c r="O28" s="45" t="n"/>
      <c r="P28" s="45" t="n"/>
      <c r="Q28" s="45" t="n"/>
      <c r="R28" s="48">
        <f>IF(B28="","",SUMIFS(期初余额!$D$5:$D$64,期初余额!$B$5:$B$64,B28)+_项目汇总!$D$27+_项目汇总!$E$27+_项目汇总!$F$27+_项目汇总!$G$27)</f>
      </c>
      <c r="S28" s="50" t="n"/>
      <c r="T28" s="73">
        <f t="shared" si="0"/>
      </c>
    </row>
    <row r="29">
      <c r="A29" s="43" t="n">
        <v>26</v>
      </c>
      <c r="B29" s="45" t="n"/>
      <c r="C29" s="50" t="n"/>
      <c r="D29" s="50" t="n"/>
      <c r="E29" s="57" t="n"/>
      <c r="F29" s="57" t="n"/>
      <c r="G29" s="57" t="n"/>
      <c r="H29" s="52" t="n"/>
      <c r="I29" s="44" t="n"/>
      <c r="J29" s="52" t="n"/>
      <c r="K29" s="44" t="n"/>
      <c r="L29" s="44" t="n"/>
      <c r="M29" s="45" t="n"/>
      <c r="N29" s="45" t="n"/>
      <c r="O29" s="45" t="n"/>
      <c r="P29" s="45" t="n"/>
      <c r="Q29" s="45" t="n"/>
      <c r="R29" s="48">
        <f>IF(B29="","",SUMIFS(期初余额!$D$5:$D$64,期初余额!$B$5:$B$64,B29)+_项目汇总!$D$28+_项目汇总!$E$28+_项目汇总!$F$28+_项目汇总!$G$28)</f>
      </c>
      <c r="S29" s="50" t="n"/>
      <c r="T29" s="73">
        <f t="shared" si="0"/>
      </c>
    </row>
    <row r="30">
      <c r="A30" s="43" t="n">
        <v>27</v>
      </c>
      <c r="B30" s="45" t="n"/>
      <c r="C30" s="50" t="n"/>
      <c r="D30" s="50" t="n"/>
      <c r="E30" s="57" t="n"/>
      <c r="F30" s="57" t="n"/>
      <c r="G30" s="57" t="n"/>
      <c r="H30" s="52" t="n"/>
      <c r="I30" s="44" t="n"/>
      <c r="J30" s="52" t="n"/>
      <c r="K30" s="44" t="n"/>
      <c r="L30" s="44" t="n"/>
      <c r="M30" s="45" t="n"/>
      <c r="N30" s="45" t="n"/>
      <c r="O30" s="45" t="n"/>
      <c r="P30" s="45" t="n"/>
      <c r="Q30" s="45" t="n"/>
      <c r="R30" s="48">
        <f>IF(B30="","",SUMIFS(期初余额!$D$5:$D$64,期初余额!$B$5:$B$64,B30)+_项目汇总!$D$29+_项目汇总!$E$29+_项目汇总!$F$29+_项目汇总!$G$29)</f>
      </c>
      <c r="S30" s="50" t="n"/>
      <c r="T30" s="73">
        <f t="shared" si="0"/>
      </c>
    </row>
    <row r="31">
      <c r="A31" s="43" t="n">
        <v>28</v>
      </c>
      <c r="B31" s="45" t="n"/>
      <c r="C31" s="50" t="n"/>
      <c r="D31" s="50" t="n"/>
      <c r="E31" s="57" t="n"/>
      <c r="F31" s="57" t="n"/>
      <c r="G31" s="57" t="n"/>
      <c r="H31" s="52" t="n"/>
      <c r="I31" s="44" t="n"/>
      <c r="J31" s="52" t="n"/>
      <c r="K31" s="44" t="n"/>
      <c r="L31" s="44" t="n"/>
      <c r="M31" s="45" t="n"/>
      <c r="N31" s="45" t="n"/>
      <c r="O31" s="45" t="n"/>
      <c r="P31" s="45" t="n"/>
      <c r="Q31" s="45" t="n"/>
      <c r="R31" s="48">
        <f>IF(B31="","",SUMIFS(期初余额!$D$5:$D$64,期初余额!$B$5:$B$64,B31)+_项目汇总!$D$30+_项目汇总!$E$30+_项目汇总!$F$30+_项目汇总!$G$30)</f>
      </c>
      <c r="S31" s="50" t="n"/>
      <c r="T31" s="73">
        <f t="shared" si="0"/>
      </c>
    </row>
    <row r="32">
      <c r="A32" s="43" t="n">
        <v>29</v>
      </c>
      <c r="B32" s="45" t="n"/>
      <c r="C32" s="50" t="n"/>
      <c r="D32" s="50" t="n"/>
      <c r="E32" s="57" t="n"/>
      <c r="F32" s="57" t="n"/>
      <c r="G32" s="57" t="n"/>
      <c r="H32" s="52" t="n"/>
      <c r="I32" s="44" t="n"/>
      <c r="J32" s="52" t="n"/>
      <c r="K32" s="44" t="n"/>
      <c r="L32" s="44" t="n"/>
      <c r="M32" s="45" t="n"/>
      <c r="N32" s="45" t="n"/>
      <c r="O32" s="45" t="n"/>
      <c r="P32" s="45" t="n"/>
      <c r="Q32" s="45" t="n"/>
      <c r="R32" s="48">
        <f>IF(B32="","",SUMIFS(期初余额!$D$5:$D$64,期初余额!$B$5:$B$64,B32)+_项目汇总!$D$31+_项目汇总!$E$31+_项目汇总!$F$31+_项目汇总!$G$31)</f>
      </c>
      <c r="S32" s="50" t="n"/>
      <c r="T32" s="73">
        <f t="shared" si="0"/>
      </c>
    </row>
    <row r="33">
      <c r="A33" s="43" t="n">
        <v>30</v>
      </c>
      <c r="B33" s="45" t="n"/>
      <c r="C33" s="50" t="n"/>
      <c r="D33" s="50" t="n"/>
      <c r="E33" s="57" t="n"/>
      <c r="F33" s="57" t="n"/>
      <c r="G33" s="57" t="n"/>
      <c r="H33" s="52" t="n"/>
      <c r="I33" s="44" t="n"/>
      <c r="J33" s="52" t="n"/>
      <c r="K33" s="44" t="n"/>
      <c r="L33" s="44" t="n"/>
      <c r="M33" s="45" t="n"/>
      <c r="N33" s="45" t="n"/>
      <c r="O33" s="45" t="n"/>
      <c r="P33" s="45" t="n"/>
      <c r="Q33" s="45" t="n"/>
      <c r="R33" s="48">
        <f>IF(B33="","",SUMIFS(期初余额!$D$5:$D$64,期初余额!$B$5:$B$64,B33)+_项目汇总!$D$32+_项目汇总!$E$32+_项目汇总!$F$32+_项目汇总!$G$32)</f>
      </c>
      <c r="S33" s="50" t="n"/>
      <c r="T33" s="73">
        <f t="shared" si="0"/>
      </c>
    </row>
    <row r="34">
      <c r="A34" s="43" t="n">
        <v>31</v>
      </c>
      <c r="B34" s="45" t="n"/>
      <c r="C34" s="50" t="n"/>
      <c r="D34" s="50" t="n"/>
      <c r="E34" s="57" t="n"/>
      <c r="F34" s="57" t="n"/>
      <c r="G34" s="57" t="n"/>
      <c r="H34" s="52" t="n"/>
      <c r="I34" s="44" t="n"/>
      <c r="J34" s="52" t="n"/>
      <c r="K34" s="44" t="n"/>
      <c r="L34" s="44" t="n"/>
      <c r="M34" s="45" t="n"/>
      <c r="N34" s="45" t="n"/>
      <c r="O34" s="45" t="n"/>
      <c r="P34" s="45" t="n"/>
      <c r="Q34" s="45" t="n"/>
      <c r="R34" s="48">
        <f>IF(B34="","",SUMIFS(期初余额!$D$5:$D$64,期初余额!$B$5:$B$64,B34)+_项目汇总!$D$33+_项目汇总!$E$33+_项目汇总!$F$33+_项目汇总!$G$33)</f>
      </c>
      <c r="S34" s="50" t="n"/>
      <c r="T34" s="73">
        <f t="shared" si="0"/>
      </c>
    </row>
    <row r="35">
      <c r="A35" s="43" t="n">
        <v>32</v>
      </c>
      <c r="B35" s="45" t="n"/>
      <c r="C35" s="50" t="n"/>
      <c r="D35" s="50" t="n"/>
      <c r="E35" s="57" t="n"/>
      <c r="F35" s="57" t="n"/>
      <c r="G35" s="57" t="n"/>
      <c r="H35" s="52" t="n"/>
      <c r="I35" s="44" t="n"/>
      <c r="J35" s="52" t="n"/>
      <c r="K35" s="44" t="n"/>
      <c r="L35" s="44" t="n"/>
      <c r="M35" s="45" t="n"/>
      <c r="N35" s="45" t="n"/>
      <c r="O35" s="45" t="n"/>
      <c r="P35" s="45" t="n"/>
      <c r="Q35" s="45" t="n"/>
      <c r="R35" s="48">
        <f>IF(B35="","",SUMIFS(期初余额!$D$5:$D$64,期初余额!$B$5:$B$64,B35)+_项目汇总!$D$34+_项目汇总!$E$34+_项目汇总!$F$34+_项目汇总!$G$34)</f>
      </c>
      <c r="S35" s="50" t="n"/>
      <c r="T35" s="73">
        <f t="shared" si="0"/>
      </c>
    </row>
    <row r="36">
      <c r="A36" s="43" t="n">
        <v>33</v>
      </c>
      <c r="B36" s="45" t="n"/>
      <c r="C36" s="50" t="n"/>
      <c r="D36" s="50" t="n"/>
      <c r="E36" s="57" t="n"/>
      <c r="F36" s="57" t="n"/>
      <c r="G36" s="57" t="n"/>
      <c r="H36" s="52" t="n"/>
      <c r="I36" s="44" t="n"/>
      <c r="J36" s="52" t="n"/>
      <c r="K36" s="44" t="n"/>
      <c r="L36" s="44" t="n"/>
      <c r="M36" s="45" t="n"/>
      <c r="N36" s="45" t="n"/>
      <c r="O36" s="45" t="n"/>
      <c r="P36" s="45" t="n"/>
      <c r="Q36" s="45" t="n"/>
      <c r="R36" s="48">
        <f>IF(B36="","",SUMIFS(期初余额!$D$5:$D$64,期初余额!$B$5:$B$64,B36)+_项目汇总!$D$35+_项目汇总!$E$35+_项目汇总!$F$35+_项目汇总!$G$35)</f>
      </c>
      <c r="S36" s="50" t="n"/>
      <c r="T36" s="73">
        <f t="shared" si="0"/>
      </c>
    </row>
    <row r="37">
      <c r="A37" s="43" t="n">
        <v>34</v>
      </c>
      <c r="B37" s="45" t="n"/>
      <c r="C37" s="50" t="n"/>
      <c r="D37" s="50" t="n"/>
      <c r="E37" s="57" t="n"/>
      <c r="F37" s="57" t="n"/>
      <c r="G37" s="57" t="n"/>
      <c r="H37" s="52" t="n"/>
      <c r="I37" s="44" t="n"/>
      <c r="J37" s="52" t="n"/>
      <c r="K37" s="44" t="n"/>
      <c r="L37" s="44" t="n"/>
      <c r="M37" s="45" t="n"/>
      <c r="N37" s="45" t="n"/>
      <c r="O37" s="45" t="n"/>
      <c r="P37" s="45" t="n"/>
      <c r="Q37" s="45" t="n"/>
      <c r="R37" s="48">
        <f>IF(B37="","",SUMIFS(期初余额!$D$5:$D$64,期初余额!$B$5:$B$64,B37)+_项目汇总!$D$36+_项目汇总!$E$36+_项目汇总!$F$36+_项目汇总!$G$36)</f>
      </c>
      <c r="S37" s="50" t="n"/>
      <c r="T37" s="73">
        <f t="shared" si="0"/>
      </c>
    </row>
    <row r="38">
      <c r="A38" s="43" t="n">
        <v>35</v>
      </c>
      <c r="B38" s="45" t="n"/>
      <c r="C38" s="50" t="n"/>
      <c r="D38" s="50" t="n"/>
      <c r="E38" s="57" t="n"/>
      <c r="F38" s="57" t="n"/>
      <c r="G38" s="57" t="n"/>
      <c r="H38" s="52" t="n"/>
      <c r="I38" s="44" t="n"/>
      <c r="J38" s="52" t="n"/>
      <c r="K38" s="44" t="n"/>
      <c r="L38" s="44" t="n"/>
      <c r="M38" s="45" t="n"/>
      <c r="N38" s="45" t="n"/>
      <c r="O38" s="45" t="n"/>
      <c r="P38" s="45" t="n"/>
      <c r="Q38" s="45" t="n"/>
      <c r="R38" s="48">
        <f>IF(B38="","",SUMIFS(期初余额!$D$5:$D$64,期初余额!$B$5:$B$64,B38)+_项目汇总!$D$37+_项目汇总!$E$37+_项目汇总!$F$37+_项目汇总!$G$37)</f>
      </c>
      <c r="S38" s="50" t="n"/>
      <c r="T38" s="73">
        <f t="shared" si="0"/>
      </c>
    </row>
    <row r="39">
      <c r="A39" s="43" t="n">
        <v>36</v>
      </c>
      <c r="B39" s="45" t="n"/>
      <c r="C39" s="50" t="n"/>
      <c r="D39" s="50" t="n"/>
      <c r="E39" s="57" t="n"/>
      <c r="F39" s="57" t="n"/>
      <c r="G39" s="57" t="n"/>
      <c r="H39" s="52" t="n"/>
      <c r="I39" s="44" t="n"/>
      <c r="J39" s="52" t="n"/>
      <c r="K39" s="44" t="n"/>
      <c r="L39" s="44" t="n"/>
      <c r="M39" s="45" t="n"/>
      <c r="N39" s="45" t="n"/>
      <c r="O39" s="45" t="n"/>
      <c r="P39" s="45" t="n"/>
      <c r="Q39" s="45" t="n"/>
      <c r="R39" s="48">
        <f>IF(B39="","",SUMIFS(期初余额!$D$5:$D$64,期初余额!$B$5:$B$64,B39)+_项目汇总!$D$38+_项目汇总!$E$38+_项目汇总!$F$38+_项目汇总!$G$38)</f>
      </c>
      <c r="S39" s="50" t="n"/>
      <c r="T39" s="73">
        <f t="shared" si="0"/>
      </c>
    </row>
    <row r="40">
      <c r="A40" s="43" t="n">
        <v>37</v>
      </c>
      <c r="B40" s="45" t="n"/>
      <c r="C40" s="50" t="n"/>
      <c r="D40" s="50" t="n"/>
      <c r="E40" s="57" t="n"/>
      <c r="F40" s="57" t="n"/>
      <c r="G40" s="57" t="n"/>
      <c r="H40" s="52" t="n"/>
      <c r="I40" s="44" t="n"/>
      <c r="J40" s="52" t="n"/>
      <c r="K40" s="44" t="n"/>
      <c r="L40" s="44" t="n"/>
      <c r="M40" s="45" t="n"/>
      <c r="N40" s="45" t="n"/>
      <c r="O40" s="45" t="n"/>
      <c r="P40" s="45" t="n"/>
      <c r="Q40" s="45" t="n"/>
      <c r="R40" s="48">
        <f>IF(B40="","",SUMIFS(期初余额!$D$5:$D$64,期初余额!$B$5:$B$64,B40)+_项目汇总!$D$39+_项目汇总!$E$39+_项目汇总!$F$39+_项目汇总!$G$39)</f>
      </c>
      <c r="S40" s="50" t="n"/>
      <c r="T40" s="73">
        <f t="shared" si="0"/>
      </c>
    </row>
    <row r="41">
      <c r="A41" s="43" t="n">
        <v>38</v>
      </c>
      <c r="B41" s="45" t="n"/>
      <c r="C41" s="50" t="n"/>
      <c r="D41" s="50" t="n"/>
      <c r="E41" s="57" t="n"/>
      <c r="F41" s="57" t="n"/>
      <c r="G41" s="57" t="n"/>
      <c r="H41" s="52" t="n"/>
      <c r="I41" s="44" t="n"/>
      <c r="J41" s="52" t="n"/>
      <c r="K41" s="44" t="n"/>
      <c r="L41" s="44" t="n"/>
      <c r="M41" s="45" t="n"/>
      <c r="N41" s="45" t="n"/>
      <c r="O41" s="45" t="n"/>
      <c r="P41" s="45" t="n"/>
      <c r="Q41" s="45" t="n"/>
      <c r="R41" s="48">
        <f>IF(B41="","",SUMIFS(期初余额!$D$5:$D$64,期初余额!$B$5:$B$64,B41)+_项目汇总!$D$40+_项目汇总!$E$40+_项目汇总!$F$40+_项目汇总!$G$40)</f>
      </c>
      <c r="S41" s="50" t="n"/>
      <c r="T41" s="73">
        <f t="shared" si="0"/>
      </c>
    </row>
    <row r="42">
      <c r="A42" s="43" t="n">
        <v>39</v>
      </c>
      <c r="B42" s="45" t="n"/>
      <c r="C42" s="50" t="n"/>
      <c r="D42" s="50" t="n"/>
      <c r="E42" s="57" t="n"/>
      <c r="F42" s="57" t="n"/>
      <c r="G42" s="57" t="n"/>
      <c r="H42" s="52" t="n"/>
      <c r="I42" s="44" t="n"/>
      <c r="J42" s="52" t="n"/>
      <c r="K42" s="44" t="n"/>
      <c r="L42" s="44" t="n"/>
      <c r="M42" s="45" t="n"/>
      <c r="N42" s="45" t="n"/>
      <c r="O42" s="45" t="n"/>
      <c r="P42" s="45" t="n"/>
      <c r="Q42" s="45" t="n"/>
      <c r="R42" s="48">
        <f>IF(B42="","",SUMIFS(期初余额!$D$5:$D$64,期初余额!$B$5:$B$64,B42)+_项目汇总!$D$41+_项目汇总!$E$41+_项目汇总!$F$41+_项目汇总!$G$41)</f>
      </c>
      <c r="S42" s="50" t="n"/>
      <c r="T42" s="73">
        <f t="shared" si="0"/>
      </c>
    </row>
    <row r="43">
      <c r="A43" s="43" t="n">
        <v>40</v>
      </c>
      <c r="B43" s="45" t="n"/>
      <c r="C43" s="50" t="n"/>
      <c r="D43" s="50" t="n"/>
      <c r="E43" s="57" t="n"/>
      <c r="F43" s="57" t="n"/>
      <c r="G43" s="57" t="n"/>
      <c r="H43" s="52" t="n"/>
      <c r="I43" s="44" t="n"/>
      <c r="J43" s="52" t="n"/>
      <c r="K43" s="44" t="n"/>
      <c r="L43" s="44" t="n"/>
      <c r="M43" s="45" t="n"/>
      <c r="N43" s="45" t="n"/>
      <c r="O43" s="45" t="n"/>
      <c r="P43" s="45" t="n"/>
      <c r="Q43" s="45" t="n"/>
      <c r="R43" s="48">
        <f>IF(B43="","",SUMIFS(期初余额!$D$5:$D$64,期初余额!$B$5:$B$64,B43)+_项目汇总!$D$42+_项目汇总!$E$42+_项目汇总!$F$42+_项目汇总!$G$42)</f>
      </c>
      <c r="S43" s="50" t="n"/>
      <c r="T43" s="73">
        <f t="shared" si="0"/>
      </c>
    </row>
    <row r="44">
      <c r="A44" s="43" t="n">
        <v>41</v>
      </c>
      <c r="B44" s="45" t="n"/>
      <c r="C44" s="50" t="n"/>
      <c r="D44" s="50" t="n"/>
      <c r="E44" s="57" t="n"/>
      <c r="F44" s="57" t="n"/>
      <c r="G44" s="57" t="n"/>
      <c r="H44" s="52" t="n"/>
      <c r="I44" s="44" t="n"/>
      <c r="J44" s="52" t="n"/>
      <c r="K44" s="44" t="n"/>
      <c r="L44" s="44" t="n"/>
      <c r="M44" s="45" t="n"/>
      <c r="N44" s="45" t="n"/>
      <c r="O44" s="45" t="n"/>
      <c r="P44" s="45" t="n"/>
      <c r="Q44" s="45" t="n"/>
      <c r="R44" s="48">
        <f>IF(B44="","",SUMIFS(期初余额!$D$5:$D$64,期初余额!$B$5:$B$64,B44)+_项目汇总!$D$43+_项目汇总!$E$43+_项目汇总!$F$43+_项目汇总!$G$43)</f>
      </c>
      <c r="S44" s="50" t="n"/>
      <c r="T44" s="73">
        <f t="shared" si="0"/>
      </c>
    </row>
    <row r="45">
      <c r="A45" s="43" t="n">
        <v>42</v>
      </c>
      <c r="B45" s="45" t="n"/>
      <c r="C45" s="50" t="n"/>
      <c r="D45" s="50" t="n"/>
      <c r="E45" s="57" t="n"/>
      <c r="F45" s="57" t="n"/>
      <c r="G45" s="57" t="n"/>
      <c r="H45" s="52" t="n"/>
      <c r="I45" s="44" t="n"/>
      <c r="J45" s="52" t="n"/>
      <c r="K45" s="44" t="n"/>
      <c r="L45" s="44" t="n"/>
      <c r="M45" s="45" t="n"/>
      <c r="N45" s="45" t="n"/>
      <c r="O45" s="45" t="n"/>
      <c r="P45" s="45" t="n"/>
      <c r="Q45" s="45" t="n"/>
      <c r="R45" s="48">
        <f>IF(B45="","",SUMIFS(期初余额!$D$5:$D$64,期初余额!$B$5:$B$64,B45)+_项目汇总!$D$44+_项目汇总!$E$44+_项目汇总!$F$44+_项目汇总!$G$44)</f>
      </c>
      <c r="S45" s="50" t="n"/>
      <c r="T45" s="73">
        <f t="shared" si="0"/>
      </c>
    </row>
    <row r="46">
      <c r="A46" s="43" t="n">
        <v>43</v>
      </c>
      <c r="B46" s="45" t="n"/>
      <c r="C46" s="50" t="n"/>
      <c r="D46" s="50" t="n"/>
      <c r="E46" s="57" t="n"/>
      <c r="F46" s="57" t="n"/>
      <c r="G46" s="57" t="n"/>
      <c r="H46" s="52" t="n"/>
      <c r="I46" s="44" t="n"/>
      <c r="J46" s="52" t="n"/>
      <c r="K46" s="44" t="n"/>
      <c r="L46" s="44" t="n"/>
      <c r="M46" s="45" t="n"/>
      <c r="N46" s="45" t="n"/>
      <c r="O46" s="45" t="n"/>
      <c r="P46" s="45" t="n"/>
      <c r="Q46" s="45" t="n"/>
      <c r="R46" s="48">
        <f>IF(B46="","",SUMIFS(期初余额!$D$5:$D$64,期初余额!$B$5:$B$64,B46)+_项目汇总!$D$45+_项目汇总!$E$45+_项目汇总!$F$45+_项目汇总!$G$45)</f>
      </c>
      <c r="S46" s="50" t="n"/>
      <c r="T46" s="73">
        <f t="shared" si="0"/>
      </c>
    </row>
    <row r="47">
      <c r="A47" s="43" t="n">
        <v>44</v>
      </c>
      <c r="B47" s="45" t="n"/>
      <c r="C47" s="50" t="n"/>
      <c r="D47" s="50" t="n"/>
      <c r="E47" s="57" t="n"/>
      <c r="F47" s="57" t="n"/>
      <c r="G47" s="57" t="n"/>
      <c r="H47" s="52" t="n"/>
      <c r="I47" s="44" t="n"/>
      <c r="J47" s="52" t="n"/>
      <c r="K47" s="44" t="n"/>
      <c r="L47" s="44" t="n"/>
      <c r="M47" s="45" t="n"/>
      <c r="N47" s="45" t="n"/>
      <c r="O47" s="45" t="n"/>
      <c r="P47" s="45" t="n"/>
      <c r="Q47" s="45" t="n"/>
      <c r="R47" s="48">
        <f>IF(B47="","",SUMIFS(期初余额!$D$5:$D$64,期初余额!$B$5:$B$64,B47)+_项目汇总!$D$46+_项目汇总!$E$46+_项目汇总!$F$46+_项目汇总!$G$46)</f>
      </c>
      <c r="S47" s="50" t="n"/>
      <c r="T47" s="73">
        <f t="shared" si="0"/>
      </c>
    </row>
    <row r="48">
      <c r="A48" s="43" t="n">
        <v>45</v>
      </c>
      <c r="B48" s="45" t="n"/>
      <c r="C48" s="50" t="n"/>
      <c r="D48" s="50" t="n"/>
      <c r="E48" s="57" t="n"/>
      <c r="F48" s="57" t="n"/>
      <c r="G48" s="57" t="n"/>
      <c r="H48" s="52" t="n"/>
      <c r="I48" s="44" t="n"/>
      <c r="J48" s="52" t="n"/>
      <c r="K48" s="44" t="n"/>
      <c r="L48" s="44" t="n"/>
      <c r="M48" s="45" t="n"/>
      <c r="N48" s="45" t="n"/>
      <c r="O48" s="45" t="n"/>
      <c r="P48" s="45" t="n"/>
      <c r="Q48" s="45" t="n"/>
      <c r="R48" s="48">
        <f>IF(B48="","",SUMIFS(期初余额!$D$5:$D$64,期初余额!$B$5:$B$64,B48)+_项目汇总!$D$47+_项目汇总!$E$47+_项目汇总!$F$47+_项目汇总!$G$47)</f>
      </c>
      <c r="S48" s="50" t="n"/>
      <c r="T48" s="73">
        <f t="shared" si="0"/>
      </c>
    </row>
    <row r="49">
      <c r="A49" s="43" t="n">
        <v>46</v>
      </c>
      <c r="B49" s="45" t="n"/>
      <c r="C49" s="50" t="n"/>
      <c r="D49" s="50" t="n"/>
      <c r="E49" s="57" t="n"/>
      <c r="F49" s="57" t="n"/>
      <c r="G49" s="57" t="n"/>
      <c r="H49" s="52" t="n"/>
      <c r="I49" s="44" t="n"/>
      <c r="J49" s="52" t="n"/>
      <c r="K49" s="44" t="n"/>
      <c r="L49" s="44" t="n"/>
      <c r="M49" s="45" t="n"/>
      <c r="N49" s="45" t="n"/>
      <c r="O49" s="45" t="n"/>
      <c r="P49" s="45" t="n"/>
      <c r="Q49" s="45" t="n"/>
      <c r="R49" s="48">
        <f>IF(B49="","",SUMIFS(期初余额!$D$5:$D$64,期初余额!$B$5:$B$64,B49)+_项目汇总!$D$48+_项目汇总!$E$48+_项目汇总!$F$48+_项目汇总!$G$48)</f>
      </c>
      <c r="S49" s="50" t="n"/>
      <c r="T49" s="73">
        <f t="shared" si="0"/>
      </c>
    </row>
    <row r="50">
      <c r="A50" s="43" t="n">
        <v>47</v>
      </c>
      <c r="B50" s="45" t="n"/>
      <c r="C50" s="50" t="n"/>
      <c r="D50" s="50" t="n"/>
      <c r="E50" s="57" t="n"/>
      <c r="F50" s="57" t="n"/>
      <c r="G50" s="57" t="n"/>
      <c r="H50" s="52" t="n"/>
      <c r="I50" s="44" t="n"/>
      <c r="J50" s="52" t="n"/>
      <c r="K50" s="44" t="n"/>
      <c r="L50" s="44" t="n"/>
      <c r="M50" s="45" t="n"/>
      <c r="N50" s="45" t="n"/>
      <c r="O50" s="45" t="n"/>
      <c r="P50" s="45" t="n"/>
      <c r="Q50" s="45" t="n"/>
      <c r="R50" s="48">
        <f>IF(B50="","",SUMIFS(期初余额!$D$5:$D$64,期初余额!$B$5:$B$64,B50)+_项目汇总!$D$49+_项目汇总!$E$49+_项目汇总!$F$49+_项目汇总!$G$49)</f>
      </c>
      <c r="S50" s="50" t="n"/>
      <c r="T50" s="73">
        <f t="shared" si="0"/>
      </c>
    </row>
    <row r="51">
      <c r="A51" s="43" t="n">
        <v>48</v>
      </c>
      <c r="B51" s="45" t="n"/>
      <c r="C51" s="50" t="n"/>
      <c r="D51" s="50" t="n"/>
      <c r="E51" s="57" t="n"/>
      <c r="F51" s="57" t="n"/>
      <c r="G51" s="57" t="n"/>
      <c r="H51" s="52" t="n"/>
      <c r="I51" s="44" t="n"/>
      <c r="J51" s="52" t="n"/>
      <c r="K51" s="44" t="n"/>
      <c r="L51" s="44" t="n"/>
      <c r="M51" s="45" t="n"/>
      <c r="N51" s="45" t="n"/>
      <c r="O51" s="45" t="n"/>
      <c r="P51" s="45" t="n"/>
      <c r="Q51" s="45" t="n"/>
      <c r="R51" s="48">
        <f>IF(B51="","",SUMIFS(期初余额!$D$5:$D$64,期初余额!$B$5:$B$64,B51)+_项目汇总!$D$50+_项目汇总!$E$50+_项目汇总!$F$50+_项目汇总!$G$50)</f>
      </c>
      <c r="S51" s="50" t="n"/>
      <c r="T51" s="73">
        <f t="shared" si="0"/>
      </c>
    </row>
    <row r="52">
      <c r="A52" s="43" t="n">
        <v>49</v>
      </c>
      <c r="B52" s="45" t="n"/>
      <c r="C52" s="50" t="n"/>
      <c r="D52" s="50" t="n"/>
      <c r="E52" s="57" t="n"/>
      <c r="F52" s="57" t="n"/>
      <c r="G52" s="57" t="n"/>
      <c r="H52" s="52" t="n"/>
      <c r="I52" s="44" t="n"/>
      <c r="J52" s="52" t="n"/>
      <c r="K52" s="44" t="n"/>
      <c r="L52" s="44" t="n"/>
      <c r="M52" s="45" t="n"/>
      <c r="N52" s="45" t="n"/>
      <c r="O52" s="45" t="n"/>
      <c r="P52" s="45" t="n"/>
      <c r="Q52" s="45" t="n"/>
      <c r="R52" s="48">
        <f>IF(B52="","",SUMIFS(期初余额!$D$5:$D$64,期初余额!$B$5:$B$64,B52)+_项目汇总!$D$51+_项目汇总!$E$51+_项目汇总!$F$51+_项目汇总!$G$51)</f>
      </c>
      <c r="S52" s="50" t="n"/>
      <c r="T52" s="73">
        <f t="shared" si="0"/>
      </c>
    </row>
    <row r="53">
      <c r="A53" s="43" t="n">
        <v>50</v>
      </c>
      <c r="B53" s="45" t="n"/>
      <c r="C53" s="50" t="n"/>
      <c r="D53" s="50" t="n"/>
      <c r="E53" s="57" t="n"/>
      <c r="F53" s="57" t="n"/>
      <c r="G53" s="57" t="n"/>
      <c r="H53" s="52" t="n"/>
      <c r="I53" s="44" t="n"/>
      <c r="J53" s="52" t="n"/>
      <c r="K53" s="44" t="n"/>
      <c r="L53" s="44" t="n"/>
      <c r="M53" s="45" t="n"/>
      <c r="N53" s="45" t="n"/>
      <c r="O53" s="45" t="n"/>
      <c r="P53" s="45" t="n"/>
      <c r="Q53" s="45" t="n"/>
      <c r="R53" s="48">
        <f>IF(B53="","",SUMIFS(期初余额!$D$5:$D$64,期初余额!$B$5:$B$64,B53)+_项目汇总!$D$52+_项目汇总!$E$52+_项目汇总!$F$52+_项目汇总!$G$52)</f>
      </c>
      <c r="S53" s="50" t="n"/>
      <c r="T53" s="73">
        <f t="shared" si="0"/>
      </c>
    </row>
    <row r="54">
      <c r="A54" s="43" t="n">
        <v>51</v>
      </c>
      <c r="B54" s="45" t="n"/>
      <c r="C54" s="50" t="n"/>
      <c r="D54" s="50" t="n"/>
      <c r="E54" s="57" t="n"/>
      <c r="F54" s="57" t="n"/>
      <c r="G54" s="57" t="n"/>
      <c r="H54" s="52" t="n"/>
      <c r="I54" s="44" t="n"/>
      <c r="J54" s="52" t="n"/>
      <c r="K54" s="44" t="n"/>
      <c r="L54" s="44" t="n"/>
      <c r="M54" s="45" t="n"/>
      <c r="N54" s="45" t="n"/>
      <c r="O54" s="45" t="n"/>
      <c r="P54" s="45" t="n"/>
      <c r="Q54" s="45" t="n"/>
      <c r="R54" s="48">
        <f>IF(B54="","",SUMIFS(期初余额!$D$5:$D$64,期初余额!$B$5:$B$64,B54)+_项目汇总!$D$53+_项目汇总!$E$53+_项目汇总!$F$53+_项目汇总!$G$53)</f>
      </c>
      <c r="S54" s="50" t="n"/>
      <c r="T54" s="73">
        <f t="shared" si="0"/>
      </c>
    </row>
    <row r="55">
      <c r="A55" s="43" t="n">
        <v>52</v>
      </c>
      <c r="B55" s="45" t="n"/>
      <c r="C55" s="50" t="n"/>
      <c r="D55" s="50" t="n"/>
      <c r="E55" s="57" t="n"/>
      <c r="F55" s="57" t="n"/>
      <c r="G55" s="57" t="n"/>
      <c r="H55" s="52" t="n"/>
      <c r="I55" s="44" t="n"/>
      <c r="J55" s="52" t="n"/>
      <c r="K55" s="44" t="n"/>
      <c r="L55" s="44" t="n"/>
      <c r="M55" s="45" t="n"/>
      <c r="N55" s="45" t="n"/>
      <c r="O55" s="45" t="n"/>
      <c r="P55" s="45" t="n"/>
      <c r="Q55" s="45" t="n"/>
      <c r="R55" s="48">
        <f>IF(B55="","",SUMIFS(期初余额!$D$5:$D$64,期初余额!$B$5:$B$64,B55)+_项目汇总!$D$54+_项目汇总!$E$54+_项目汇总!$F$54+_项目汇总!$G$54)</f>
      </c>
      <c r="S55" s="50" t="n"/>
      <c r="T55" s="73">
        <f t="shared" si="0"/>
      </c>
    </row>
    <row r="56">
      <c r="A56" s="43" t="n">
        <v>53</v>
      </c>
      <c r="B56" s="45" t="n"/>
      <c r="C56" s="50" t="n"/>
      <c r="D56" s="50" t="n"/>
      <c r="E56" s="57" t="n"/>
      <c r="F56" s="57" t="n"/>
      <c r="G56" s="57" t="n"/>
      <c r="H56" s="52" t="n"/>
      <c r="I56" s="44" t="n"/>
      <c r="J56" s="52" t="n"/>
      <c r="K56" s="44" t="n"/>
      <c r="L56" s="44" t="n"/>
      <c r="M56" s="45" t="n"/>
      <c r="N56" s="45" t="n"/>
      <c r="O56" s="45" t="n"/>
      <c r="P56" s="45" t="n"/>
      <c r="Q56" s="45" t="n"/>
      <c r="R56" s="48">
        <f>IF(B56="","",SUMIFS(期初余额!$D$5:$D$64,期初余额!$B$5:$B$64,B56)+_项目汇总!$D$55+_项目汇总!$E$55+_项目汇总!$F$55+_项目汇总!$G$55)</f>
      </c>
      <c r="S56" s="50" t="n"/>
      <c r="T56" s="73">
        <f t="shared" si="0"/>
      </c>
    </row>
    <row r="57">
      <c r="A57" s="43" t="n">
        <v>54</v>
      </c>
      <c r="B57" s="45" t="n"/>
      <c r="C57" s="50" t="n"/>
      <c r="D57" s="50" t="n"/>
      <c r="E57" s="57" t="n"/>
      <c r="F57" s="57" t="n"/>
      <c r="G57" s="57" t="n"/>
      <c r="H57" s="52" t="n"/>
      <c r="I57" s="44" t="n"/>
      <c r="J57" s="52" t="n"/>
      <c r="K57" s="44" t="n"/>
      <c r="L57" s="44" t="n"/>
      <c r="M57" s="45" t="n"/>
      <c r="N57" s="45" t="n"/>
      <c r="O57" s="45" t="n"/>
      <c r="P57" s="45" t="n"/>
      <c r="Q57" s="45" t="n"/>
      <c r="R57" s="48">
        <f>IF(B57="","",SUMIFS(期初余额!$D$5:$D$64,期初余额!$B$5:$B$64,B57)+_项目汇总!$D$56+_项目汇总!$E$56+_项目汇总!$F$56+_项目汇总!$G$56)</f>
      </c>
      <c r="S57" s="50" t="n"/>
      <c r="T57" s="73">
        <f t="shared" si="0"/>
      </c>
    </row>
    <row r="58">
      <c r="A58" s="43" t="n">
        <v>55</v>
      </c>
      <c r="B58" s="45" t="n"/>
      <c r="C58" s="50" t="n"/>
      <c r="D58" s="50" t="n"/>
      <c r="E58" s="57" t="n"/>
      <c r="F58" s="57" t="n"/>
      <c r="G58" s="57" t="n"/>
      <c r="H58" s="52" t="n"/>
      <c r="I58" s="44" t="n"/>
      <c r="J58" s="52" t="n"/>
      <c r="K58" s="44" t="n"/>
      <c r="L58" s="44" t="n"/>
      <c r="M58" s="45" t="n"/>
      <c r="N58" s="45" t="n"/>
      <c r="O58" s="45" t="n"/>
      <c r="P58" s="45" t="n"/>
      <c r="Q58" s="45" t="n"/>
      <c r="R58" s="48">
        <f>IF(B58="","",SUMIFS(期初余额!$D$5:$D$64,期初余额!$B$5:$B$64,B58)+_项目汇总!$D$57+_项目汇总!$E$57+_项目汇总!$F$57+_项目汇总!$G$57)</f>
      </c>
      <c r="S58" s="50" t="n"/>
      <c r="T58" s="73">
        <f t="shared" si="0"/>
      </c>
    </row>
    <row r="59">
      <c r="A59" s="43" t="n">
        <v>56</v>
      </c>
      <c r="B59" s="45" t="n"/>
      <c r="C59" s="50" t="n"/>
      <c r="D59" s="50" t="n"/>
      <c r="E59" s="57" t="n"/>
      <c r="F59" s="57" t="n"/>
      <c r="G59" s="57" t="n"/>
      <c r="H59" s="52" t="n"/>
      <c r="I59" s="44" t="n"/>
      <c r="J59" s="52" t="n"/>
      <c r="K59" s="44" t="n"/>
      <c r="L59" s="44" t="n"/>
      <c r="M59" s="45" t="n"/>
      <c r="N59" s="45" t="n"/>
      <c r="O59" s="45" t="n"/>
      <c r="P59" s="45" t="n"/>
      <c r="Q59" s="45" t="n"/>
      <c r="R59" s="48">
        <f>IF(B59="","",SUMIFS(期初余额!$D$5:$D$64,期初余额!$B$5:$B$64,B59)+_项目汇总!$D$58+_项目汇总!$E$58+_项目汇总!$F$58+_项目汇总!$G$58)</f>
      </c>
      <c r="S59" s="50" t="n"/>
      <c r="T59" s="73">
        <f t="shared" si="0"/>
      </c>
    </row>
    <row r="60">
      <c r="A60" s="43" t="n">
        <v>57</v>
      </c>
      <c r="B60" s="45" t="n"/>
      <c r="C60" s="50" t="n"/>
      <c r="D60" s="50" t="n"/>
      <c r="E60" s="57" t="n"/>
      <c r="F60" s="57" t="n"/>
      <c r="G60" s="57" t="n"/>
      <c r="H60" s="52" t="n"/>
      <c r="I60" s="44" t="n"/>
      <c r="J60" s="52" t="n"/>
      <c r="K60" s="44" t="n"/>
      <c r="L60" s="44" t="n"/>
      <c r="M60" s="45" t="n"/>
      <c r="N60" s="45" t="n"/>
      <c r="O60" s="45" t="n"/>
      <c r="P60" s="45" t="n"/>
      <c r="Q60" s="45" t="n"/>
      <c r="R60" s="48">
        <f>IF(B60="","",SUMIFS(期初余额!$D$5:$D$64,期初余额!$B$5:$B$64,B60)+_项目汇总!$D$59+_项目汇总!$E$59+_项目汇总!$F$59+_项目汇总!$G$59)</f>
      </c>
      <c r="S60" s="50" t="n"/>
      <c r="T60" s="73">
        <f t="shared" si="0"/>
      </c>
    </row>
    <row r="61">
      <c r="A61" s="43" t="n">
        <v>58</v>
      </c>
      <c r="B61" s="45" t="n"/>
      <c r="C61" s="50" t="n"/>
      <c r="D61" s="50" t="n"/>
      <c r="E61" s="57" t="n"/>
      <c r="F61" s="57" t="n"/>
      <c r="G61" s="57" t="n"/>
      <c r="H61" s="52" t="n"/>
      <c r="I61" s="44" t="n"/>
      <c r="J61" s="52" t="n"/>
      <c r="K61" s="44" t="n"/>
      <c r="L61" s="44" t="n"/>
      <c r="M61" s="45" t="n"/>
      <c r="N61" s="45" t="n"/>
      <c r="O61" s="45" t="n"/>
      <c r="P61" s="45" t="n"/>
      <c r="Q61" s="45" t="n"/>
      <c r="R61" s="48">
        <f>IF(B61="","",SUMIFS(期初余额!$D$5:$D$64,期初余额!$B$5:$B$64,B61)+_项目汇总!$D$60+_项目汇总!$E$60+_项目汇总!$F$60+_项目汇总!$G$60)</f>
      </c>
      <c r="S61" s="50" t="n"/>
      <c r="T61" s="73">
        <f t="shared" si="0"/>
      </c>
    </row>
    <row r="62">
      <c r="A62" s="43" t="n">
        <v>59</v>
      </c>
      <c r="B62" s="45" t="n"/>
      <c r="C62" s="50" t="n"/>
      <c r="D62" s="50" t="n"/>
      <c r="E62" s="57" t="n"/>
      <c r="F62" s="57" t="n"/>
      <c r="G62" s="57" t="n"/>
      <c r="H62" s="52" t="n"/>
      <c r="I62" s="44" t="n"/>
      <c r="J62" s="52" t="n"/>
      <c r="K62" s="44" t="n"/>
      <c r="L62" s="44" t="n"/>
      <c r="M62" s="45" t="n"/>
      <c r="N62" s="45" t="n"/>
      <c r="O62" s="45" t="n"/>
      <c r="P62" s="45" t="n"/>
      <c r="Q62" s="45" t="n"/>
      <c r="R62" s="48">
        <f>IF(B62="","",SUMIFS(期初余额!$D$5:$D$64,期初余额!$B$5:$B$64,B62)+_项目汇总!$D$61+_项目汇总!$E$61+_项目汇总!$F$61+_项目汇总!$G$61)</f>
      </c>
      <c r="S62" s="50" t="n"/>
      <c r="T62" s="73">
        <f t="shared" si="0"/>
      </c>
    </row>
    <row r="63">
      <c r="A63" s="43" t="n">
        <v>60</v>
      </c>
      <c r="B63" s="45" t="n"/>
      <c r="C63" s="50" t="n"/>
      <c r="D63" s="50" t="n"/>
      <c r="E63" s="57" t="n"/>
      <c r="F63" s="57" t="n"/>
      <c r="G63" s="57" t="n"/>
      <c r="H63" s="52" t="n"/>
      <c r="I63" s="44" t="n"/>
      <c r="J63" s="52" t="n"/>
      <c r="K63" s="44" t="n"/>
      <c r="L63" s="44" t="n"/>
      <c r="M63" s="45" t="n"/>
      <c r="N63" s="45" t="n"/>
      <c r="O63" s="45" t="n"/>
      <c r="P63" s="45" t="n"/>
      <c r="Q63" s="45" t="n"/>
      <c r="R63" s="48">
        <f>IF(B63="","",SUMIFS(期初余额!$D$5:$D$64,期初余额!$B$5:$B$64,B63)+_项目汇总!$D$62+_项目汇总!$E$62+_项目汇总!$F$62+_项目汇总!$G$62)</f>
      </c>
      <c r="S63" s="50" t="n"/>
      <c r="T63" s="73">
        <f t="shared" si="0"/>
      </c>
    </row>
  </sheetData>
  <autoFilter ref="A3:T63"/>
  <mergeCells count="2">
    <mergeCell ref="A1:T1"/>
    <mergeCell ref="A2:T2"/>
  </mergeCells>
  <dataValidations count="4">
    <dataValidation sqref="M4:M63" showDropDown="0" showInputMessage="0" showErrorMessage="1" allowBlank="1" errorTitle="不在清单里" error="请从下拉里选；清单里没有的，先到【基础资料】/【往来单位】里登记" type="list" errorStyle="stop">
      <formula1>"在建,完工未结算,已结算,质保期,已完结,投标中"</formula1>
    </dataValidation>
    <dataValidation sqref="D4:D63" showDropDown="0" showInputMessage="1" showErrorMessage="0" allowBlank="1" errorTitle="不在清单里" error="请从下拉里选；清单里没有的，先到【基础资料】/【往来单位】里登记" promptTitle="提示" prompt="从【往来单位】类型是「甲方/总包」的里选，也可以直接打" type="list" errorStyle="warning">
      <formula1>=_辅助!$L$1:$L$100</formula1>
    </dataValidation>
    <dataValidation sqref="K4:K63" showDropDown="0" showInputMessage="0" showErrorMessage="1" allowBlank="1" errorTitle="日期" error="要像 2026/9/1 这样填日期" type="date" errorStyle="warning" operator="between">
      <formula1>36526</formula1>
      <formula2>73050</formula2>
    </dataValidation>
    <dataValidation sqref="L4:L63" showDropDown="0" showInputMessage="0" showErrorMessage="1" allowBlank="1" errorTitle="日期" error="要像 2026/9/1 这样填日期" type="date" errorStyle="warning" operator="between">
      <formula1>36526</formula1>
      <formula2>73050</formula2>
    </dataValidation>
  </dataValidations>
  <hyperlinks>
    <hyperlink ref="U1" location="'首页'!A1" display="← 回首页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F7F7F"/>
    <outlinePr summaryBelow="1" summaryRight="1"/>
    <pageSetUpPr/>
  </sheetPr>
  <dimension ref="A1:O303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2" customWidth="1" min="4" max="4"/>
    <col width="12" customWidth="1" min="5" max="5"/>
    <col width="28" customWidth="1" min="6" max="6"/>
    <col width="20" customWidth="1" min="7" max="7"/>
    <col width="13" customWidth="1" min="8" max="8"/>
    <col width="21" customWidth="1" min="9" max="9"/>
    <col width="18" customWidth="1" min="10" max="10"/>
    <col width="11" customWidth="1" min="11" max="11"/>
    <col width="11" customWidth="1" min="12" max="12"/>
    <col width="12" customWidth="1" min="13" max="13"/>
    <col width="34" customWidth="1" min="14" max="14"/>
    <col width="13" customWidth="1" min="15" max="15"/>
  </cols>
  <sheetData>
    <row r="1" ht="33" customHeight="1">
      <c r="A1" s="71" t="inlineStr">
        <is>
          <t>往 来 单 位 及 人 员（甲方 · 材料商 · 分包 · 机械运输 · 股东 · 管理人员 · 工人，一个名字一行）</t>
        </is>
      </c>
      <c r="O1" s="33" t="inlineStr">
        <is>
          <t>← 回首页</t>
        </is>
      </c>
    </row>
    <row r="2" ht="54" customHeight="1">
      <c r="A2" s="3" t="inlineStr">
        <is>
          <t>💡 所有跟公司有钱来往的单位和人都在这一张：名称用你平时叫的（筑强、恩旗老叶、邓泽贵），流水摘要里出现名称、别名1、别名2 任何一个就自动认出来。「类型」很要紧：材料供应商、分包、机械运输（欠他们的钱在【应付登记】记）；管理人员、工人（工资在【考勤工资】算）；临时工（现结工资，不走考勤）；股东（借钱给公司的，每人在【基础资料】② 开一个个人户）。「期初欠薪」＝建账那天公司还欠他的工资（多发了、预支了填负数）。同名的人名字后面加个括号区分，比如 张伟(电工)。不用的单位不要删整行（别的表按行取数），清空内容或者在备注写「不用了」。</t>
        </is>
      </c>
    </row>
    <row r="3" ht="34" customHeight="1">
      <c r="A3" s="72" t="inlineStr">
        <is>
          <t>序号</t>
        </is>
      </c>
      <c r="B3" s="72" t="inlineStr">
        <is>
          <t>名称 / 姓名</t>
        </is>
      </c>
      <c r="C3" s="72" t="inlineStr">
        <is>
          <t>类型</t>
        </is>
      </c>
      <c r="D3" s="72" t="inlineStr">
        <is>
          <t>别名1</t>
        </is>
      </c>
      <c r="E3" s="72" t="inlineStr">
        <is>
          <t>别名2</t>
        </is>
      </c>
      <c r="F3" s="72" t="inlineStr">
        <is>
          <t>全称</t>
        </is>
      </c>
      <c r="G3" s="72" t="inlineStr">
        <is>
          <t>税号 / 身份证号</t>
        </is>
      </c>
      <c r="H3" s="72" t="inlineStr">
        <is>
          <t>手机</t>
        </is>
      </c>
      <c r="I3" s="72" t="inlineStr">
        <is>
          <t>银行账号</t>
        </is>
      </c>
      <c r="J3" s="72" t="inlineStr">
        <is>
          <t>开户行</t>
        </is>
      </c>
      <c r="K3" s="72" t="inlineStr">
        <is>
          <t>入职</t>
        </is>
      </c>
      <c r="L3" s="72" t="inlineStr">
        <is>
          <t>离职</t>
        </is>
      </c>
      <c r="M3" s="72" t="inlineStr">
        <is>
          <t>期初欠薪
（建账日）</t>
        </is>
      </c>
      <c r="N3" s="72" t="inlineStr">
        <is>
          <t>备注</t>
        </is>
      </c>
    </row>
    <row r="4">
      <c r="A4" s="43" t="n">
        <v>1</v>
      </c>
      <c r="B4" s="50" t="inlineStr">
        <is>
          <t>九江浔辉建筑工程有限公司</t>
        </is>
      </c>
      <c r="C4" s="45" t="inlineStr">
        <is>
          <t>甲方/总包</t>
        </is>
      </c>
      <c r="D4" s="45" t="n"/>
      <c r="E4" s="45" t="n"/>
      <c r="F4" s="50" t="inlineStr">
        <is>
          <t>九江浔辉建筑工程有限公司</t>
        </is>
      </c>
      <c r="G4" s="74" t="n"/>
      <c r="H4" s="74" t="n"/>
      <c r="I4" s="74" t="n"/>
      <c r="J4" s="50" t="n"/>
      <c r="K4" s="44" t="n"/>
      <c r="L4" s="44" t="n"/>
      <c r="M4" s="57" t="n"/>
      <c r="N4" s="50" t="n"/>
    </row>
    <row r="5">
      <c r="A5" s="43" t="n">
        <v>2</v>
      </c>
      <c r="B5" s="50" t="inlineStr">
        <is>
          <t>德安县市政工程公司</t>
        </is>
      </c>
      <c r="C5" s="45" t="inlineStr">
        <is>
          <t>甲方/总包</t>
        </is>
      </c>
      <c r="D5" s="45" t="n"/>
      <c r="E5" s="45" t="n"/>
      <c r="F5" s="50" t="inlineStr">
        <is>
          <t>德安县市政工程公司</t>
        </is>
      </c>
      <c r="G5" s="74" t="n"/>
      <c r="H5" s="74" t="n"/>
      <c r="I5" s="74" t="n"/>
      <c r="J5" s="50" t="n"/>
      <c r="K5" s="44" t="n"/>
      <c r="L5" s="44" t="n"/>
      <c r="M5" s="57" t="n"/>
      <c r="N5" s="50" t="n"/>
    </row>
    <row r="6">
      <c r="A6" s="43" t="n">
        <v>3</v>
      </c>
      <c r="B6" s="50" t="inlineStr">
        <is>
          <t>德安县水利水电建筑工程公司</t>
        </is>
      </c>
      <c r="C6" s="45" t="inlineStr">
        <is>
          <t>甲方/总包</t>
        </is>
      </c>
      <c r="D6" s="45" t="n"/>
      <c r="E6" s="45" t="n"/>
      <c r="F6" s="50" t="inlineStr">
        <is>
          <t>德安县水利水电建筑工程公司</t>
        </is>
      </c>
      <c r="G6" s="74" t="n"/>
      <c r="H6" s="74" t="n"/>
      <c r="I6" s="74" t="n"/>
      <c r="J6" s="50" t="n"/>
      <c r="K6" s="44" t="n"/>
      <c r="L6" s="44" t="n"/>
      <c r="M6" s="57" t="n"/>
      <c r="N6" s="50" t="n"/>
    </row>
    <row r="7">
      <c r="A7" s="43" t="n">
        <v>4</v>
      </c>
      <c r="B7" s="50" t="inlineStr">
        <is>
          <t>江西揽之建设工程有限公司</t>
        </is>
      </c>
      <c r="C7" s="45" t="inlineStr">
        <is>
          <t>甲方/总包</t>
        </is>
      </c>
      <c r="D7" s="45" t="n"/>
      <c r="E7" s="45" t="n"/>
      <c r="F7" s="50" t="inlineStr">
        <is>
          <t>江西揽之建设工程有限公司</t>
        </is>
      </c>
      <c r="G7" s="74" t="n"/>
      <c r="H7" s="74" t="n"/>
      <c r="I7" s="74" t="n"/>
      <c r="J7" s="50" t="n"/>
      <c r="K7" s="44" t="n"/>
      <c r="L7" s="44" t="n"/>
      <c r="M7" s="57" t="n"/>
      <c r="N7" s="50" t="n"/>
    </row>
    <row r="8">
      <c r="A8" s="43" t="n">
        <v>5</v>
      </c>
      <c r="B8" s="50" t="inlineStr">
        <is>
          <t>德安县博河产业控股集团有限公司</t>
        </is>
      </c>
      <c r="C8" s="45" t="inlineStr">
        <is>
          <t>甲方/总包</t>
        </is>
      </c>
      <c r="D8" s="45" t="n"/>
      <c r="E8" s="45" t="n"/>
      <c r="F8" s="50" t="inlineStr">
        <is>
          <t>德安县博河产业控股集团有限公司</t>
        </is>
      </c>
      <c r="G8" s="74" t="n"/>
      <c r="H8" s="74" t="n"/>
      <c r="I8" s="74" t="n"/>
      <c r="J8" s="50" t="n"/>
      <c r="K8" s="44" t="n"/>
      <c r="L8" s="44" t="n"/>
      <c r="M8" s="57" t="n"/>
      <c r="N8" s="50" t="n"/>
    </row>
    <row r="9">
      <c r="A9" s="43" t="n">
        <v>6</v>
      </c>
      <c r="B9" s="50" t="inlineStr">
        <is>
          <t>德安农商银行</t>
        </is>
      </c>
      <c r="C9" s="45" t="inlineStr">
        <is>
          <t>甲方/总包</t>
        </is>
      </c>
      <c r="D9" s="45" t="inlineStr">
        <is>
          <t>农商银行</t>
        </is>
      </c>
      <c r="E9" s="45" t="n"/>
      <c r="F9" s="50" t="inlineStr">
        <is>
          <t>农村商业银行股份有限公司德安县总部</t>
        </is>
      </c>
      <c r="G9" s="74" t="n"/>
      <c r="H9" s="74" t="n"/>
      <c r="I9" s="74" t="n"/>
      <c r="J9" s="50" t="n"/>
      <c r="K9" s="44" t="n"/>
      <c r="L9" s="44" t="n"/>
      <c r="M9" s="57" t="n"/>
      <c r="N9" s="50" t="n"/>
    </row>
    <row r="10">
      <c r="A10" s="43" t="n">
        <v>7</v>
      </c>
      <c r="B10" s="50" t="inlineStr">
        <is>
          <t>江西赣粤高速</t>
        </is>
      </c>
      <c r="C10" s="45" t="inlineStr">
        <is>
          <t>甲方/总包</t>
        </is>
      </c>
      <c r="D10" s="45" t="inlineStr">
        <is>
          <t>赣粤高速公路</t>
        </is>
      </c>
      <c r="E10" s="45" t="n"/>
      <c r="F10" s="50" t="n"/>
      <c r="G10" s="74" t="n"/>
      <c r="H10" s="74" t="n"/>
      <c r="I10" s="74" t="n"/>
      <c r="J10" s="50" t="n"/>
      <c r="K10" s="44" t="n"/>
      <c r="L10" s="44" t="n"/>
      <c r="M10" s="57" t="n"/>
      <c r="N10" s="50" t="inlineStr">
        <is>
          <t>流水 5/21 付过工程款，全称请补</t>
        </is>
      </c>
    </row>
    <row r="11">
      <c r="A11" s="43" t="n">
        <v>8</v>
      </c>
      <c r="B11" s="50" t="inlineStr">
        <is>
          <t>筑强</t>
        </is>
      </c>
      <c r="C11" s="45" t="inlineStr">
        <is>
          <t>材料供应商</t>
        </is>
      </c>
      <c r="D11" s="45" t="inlineStr">
        <is>
          <t>筑强建材</t>
        </is>
      </c>
      <c r="E11" s="45" t="n"/>
      <c r="F11" s="50" t="inlineStr">
        <is>
          <t>江西筑强建材有限公司</t>
        </is>
      </c>
      <c r="G11" s="74" t="n"/>
      <c r="H11" s="74" t="n"/>
      <c r="I11" s="74" t="n"/>
      <c r="J11" s="50" t="n"/>
      <c r="K11" s="44" t="n"/>
      <c r="L11" s="44" t="n"/>
      <c r="M11" s="57" t="n"/>
      <c r="N11" s="50" t="n"/>
    </row>
    <row r="12">
      <c r="A12" s="43" t="n">
        <v>9</v>
      </c>
      <c r="B12" s="50" t="inlineStr">
        <is>
          <t>九江安洋钢材熊总</t>
        </is>
      </c>
      <c r="C12" s="45" t="inlineStr">
        <is>
          <t>材料供应商</t>
        </is>
      </c>
      <c r="D12" s="45" t="inlineStr">
        <is>
          <t>安洋</t>
        </is>
      </c>
      <c r="E12" s="45" t="n"/>
      <c r="F12" s="50" t="n"/>
      <c r="G12" s="74" t="n"/>
      <c r="H12" s="74" t="n"/>
      <c r="I12" s="74" t="n"/>
      <c r="J12" s="50" t="n"/>
      <c r="K12" s="44" t="n"/>
      <c r="L12" s="44" t="n"/>
      <c r="M12" s="57" t="n"/>
      <c r="N12" s="50" t="n"/>
    </row>
    <row r="13">
      <c r="A13" s="43" t="n">
        <v>10</v>
      </c>
      <c r="B13" s="50" t="inlineStr">
        <is>
          <t>鑫城五金庄总</t>
        </is>
      </c>
      <c r="C13" s="45" t="inlineStr">
        <is>
          <t>材料供应商</t>
        </is>
      </c>
      <c r="D13" s="45" t="inlineStr">
        <is>
          <t>鑫城五金</t>
        </is>
      </c>
      <c r="E13" s="45" t="n"/>
      <c r="F13" s="50" t="n"/>
      <c r="G13" s="74" t="n"/>
      <c r="H13" s="74" t="n"/>
      <c r="I13" s="74" t="n"/>
      <c r="J13" s="50" t="n"/>
      <c r="K13" s="44" t="n"/>
      <c r="L13" s="44" t="n"/>
      <c r="M13" s="57" t="n"/>
      <c r="N13" s="50" t="n"/>
    </row>
    <row r="14">
      <c r="A14" s="43" t="n">
        <v>11</v>
      </c>
      <c r="B14" s="50" t="inlineStr">
        <is>
          <t>浔阳楼电缆</t>
        </is>
      </c>
      <c r="C14" s="45" t="inlineStr">
        <is>
          <t>材料供应商</t>
        </is>
      </c>
      <c r="D14" s="45" t="inlineStr">
        <is>
          <t>浔阳楼</t>
        </is>
      </c>
      <c r="E14" s="45" t="n"/>
      <c r="F14" s="50" t="n"/>
      <c r="G14" s="74" t="n"/>
      <c r="H14" s="74" t="n"/>
      <c r="I14" s="74" t="n"/>
      <c r="J14" s="50" t="n"/>
      <c r="K14" s="44" t="n"/>
      <c r="L14" s="44" t="n"/>
      <c r="M14" s="57" t="n"/>
      <c r="N14" s="50" t="n"/>
    </row>
    <row r="15">
      <c r="A15" s="43" t="n">
        <v>12</v>
      </c>
      <c r="B15" s="50" t="inlineStr">
        <is>
          <t>启航五金</t>
        </is>
      </c>
      <c r="C15" s="45" t="inlineStr">
        <is>
          <t>材料供应商</t>
        </is>
      </c>
      <c r="D15" s="45" t="inlineStr">
        <is>
          <t>启航</t>
        </is>
      </c>
      <c r="E15" s="45" t="n"/>
      <c r="F15" s="50" t="n"/>
      <c r="G15" s="74" t="n"/>
      <c r="H15" s="74" t="n"/>
      <c r="I15" s="74" t="n"/>
      <c r="J15" s="50" t="n"/>
      <c r="K15" s="44" t="n"/>
      <c r="L15" s="44" t="n"/>
      <c r="M15" s="57" t="n"/>
      <c r="N15" s="50" t="n"/>
    </row>
    <row r="16">
      <c r="A16" s="43" t="n">
        <v>13</v>
      </c>
      <c r="B16" s="50" t="inlineStr">
        <is>
          <t>杭州行消物资贸易</t>
        </is>
      </c>
      <c r="C16" s="45" t="inlineStr">
        <is>
          <t>材料供应商</t>
        </is>
      </c>
      <c r="D16" s="45" t="inlineStr">
        <is>
          <t>杭州行消</t>
        </is>
      </c>
      <c r="E16" s="45" t="inlineStr">
        <is>
          <t>行消</t>
        </is>
      </c>
      <c r="F16" s="50" t="n"/>
      <c r="G16" s="74" t="n"/>
      <c r="H16" s="74" t="n"/>
      <c r="I16" s="74" t="n"/>
      <c r="J16" s="50" t="n"/>
      <c r="K16" s="44" t="n"/>
      <c r="L16" s="44" t="n"/>
      <c r="M16" s="57" t="n"/>
      <c r="N16" s="50" t="n"/>
    </row>
    <row r="17">
      <c r="A17" s="43" t="n">
        <v>14</v>
      </c>
      <c r="B17" s="50" t="inlineStr">
        <is>
          <t>南昌盈厚建材</t>
        </is>
      </c>
      <c r="C17" s="45" t="inlineStr">
        <is>
          <t>材料供应商</t>
        </is>
      </c>
      <c r="D17" s="45" t="inlineStr">
        <is>
          <t>盈厚</t>
        </is>
      </c>
      <c r="E17" s="45" t="n"/>
      <c r="F17" s="50" t="n"/>
      <c r="G17" s="74" t="n"/>
      <c r="H17" s="74" t="n"/>
      <c r="I17" s="74" t="n"/>
      <c r="J17" s="50" t="n"/>
      <c r="K17" s="44" t="n"/>
      <c r="L17" s="44" t="n"/>
      <c r="M17" s="57" t="n"/>
      <c r="N17" s="50" t="n"/>
    </row>
    <row r="18">
      <c r="A18" s="43" t="n">
        <v>15</v>
      </c>
      <c r="B18" s="50" t="inlineStr">
        <is>
          <t>浙缆元通电缆</t>
        </is>
      </c>
      <c r="C18" s="45" t="inlineStr">
        <is>
          <t>材料供应商</t>
        </is>
      </c>
      <c r="D18" s="45" t="inlineStr">
        <is>
          <t>浙缆</t>
        </is>
      </c>
      <c r="E18" s="45" t="inlineStr">
        <is>
          <t>元通</t>
        </is>
      </c>
      <c r="F18" s="50" t="n"/>
      <c r="G18" s="74" t="n"/>
      <c r="H18" s="74" t="n"/>
      <c r="I18" s="74" t="n"/>
      <c r="J18" s="50" t="n"/>
      <c r="K18" s="44" t="n"/>
      <c r="L18" s="44" t="n"/>
      <c r="M18" s="57" t="n"/>
      <c r="N18" s="50" t="n"/>
    </row>
    <row r="19">
      <c r="A19" s="43" t="n">
        <v>16</v>
      </c>
      <c r="B19" s="50" t="inlineStr">
        <is>
          <t>江西允诺消防</t>
        </is>
      </c>
      <c r="C19" s="45" t="inlineStr">
        <is>
          <t>材料供应商</t>
        </is>
      </c>
      <c r="D19" s="45" t="inlineStr">
        <is>
          <t>允诺</t>
        </is>
      </c>
      <c r="E19" s="45" t="n"/>
      <c r="F19" s="50" t="n"/>
      <c r="G19" s="74" t="n"/>
      <c r="H19" s="74" t="n"/>
      <c r="I19" s="74" t="n"/>
      <c r="J19" s="50" t="n"/>
      <c r="K19" s="44" t="n"/>
      <c r="L19" s="44" t="n"/>
      <c r="M19" s="57" t="n"/>
      <c r="N19" s="50" t="n"/>
    </row>
    <row r="20">
      <c r="A20" s="43" t="n">
        <v>17</v>
      </c>
      <c r="B20" s="50" t="inlineStr">
        <is>
          <t>江西沐丰水箱</t>
        </is>
      </c>
      <c r="C20" s="45" t="inlineStr">
        <is>
          <t>材料供应商</t>
        </is>
      </c>
      <c r="D20" s="45" t="inlineStr">
        <is>
          <t>沐丰</t>
        </is>
      </c>
      <c r="E20" s="45" t="n"/>
      <c r="F20" s="50" t="n"/>
      <c r="G20" s="74" t="n"/>
      <c r="H20" s="74" t="n"/>
      <c r="I20" s="74" t="n"/>
      <c r="J20" s="50" t="n"/>
      <c r="K20" s="44" t="n"/>
      <c r="L20" s="44" t="n"/>
      <c r="M20" s="57" t="n"/>
      <c r="N20" s="50" t="n"/>
    </row>
    <row r="21">
      <c r="A21" s="43" t="n">
        <v>18</v>
      </c>
      <c r="B21" s="50" t="inlineStr">
        <is>
          <t>上海诚果泵阀</t>
        </is>
      </c>
      <c r="C21" s="45" t="inlineStr">
        <is>
          <t>材料供应商</t>
        </is>
      </c>
      <c r="D21" s="45" t="inlineStr">
        <is>
          <t>上海诚果</t>
        </is>
      </c>
      <c r="E21" s="45" t="inlineStr">
        <is>
          <t>诚果</t>
        </is>
      </c>
      <c r="F21" s="50" t="n"/>
      <c r="G21" s="74" t="n"/>
      <c r="H21" s="74" t="n"/>
      <c r="I21" s="74" t="n"/>
      <c r="J21" s="50" t="n"/>
      <c r="K21" s="44" t="n"/>
      <c r="L21" s="44" t="n"/>
      <c r="M21" s="57" t="n"/>
      <c r="N21" s="50" t="n"/>
    </row>
    <row r="22">
      <c r="A22" s="43" t="n">
        <v>19</v>
      </c>
      <c r="B22" s="50" t="inlineStr">
        <is>
          <t>佩力通风</t>
        </is>
      </c>
      <c r="C22" s="45" t="inlineStr">
        <is>
          <t>材料供应商</t>
        </is>
      </c>
      <c r="D22" s="45" t="inlineStr">
        <is>
          <t>佩力</t>
        </is>
      </c>
      <c r="E22" s="45" t="n"/>
      <c r="F22" s="50" t="inlineStr">
        <is>
          <t>江西佩力通风</t>
        </is>
      </c>
      <c r="G22" s="74" t="n"/>
      <c r="H22" s="74" t="n"/>
      <c r="I22" s="74" t="n"/>
      <c r="J22" s="50" t="n"/>
      <c r="K22" s="44" t="n"/>
      <c r="L22" s="44" t="n"/>
      <c r="M22" s="57" t="n"/>
      <c r="N22" s="50" t="n"/>
    </row>
    <row r="23">
      <c r="A23" s="43" t="n">
        <v>20</v>
      </c>
      <c r="B23" s="50" t="inlineStr">
        <is>
          <t>浙江寅盾智能</t>
        </is>
      </c>
      <c r="C23" s="45" t="inlineStr">
        <is>
          <t>材料供应商</t>
        </is>
      </c>
      <c r="D23" s="45" t="inlineStr">
        <is>
          <t>寅盾</t>
        </is>
      </c>
      <c r="E23" s="45" t="n"/>
      <c r="F23" s="50" t="n"/>
      <c r="G23" s="74" t="n"/>
      <c r="H23" s="74" t="n"/>
      <c r="I23" s="74" t="n"/>
      <c r="J23" s="50" t="n"/>
      <c r="K23" s="44" t="n"/>
      <c r="L23" s="44" t="n"/>
      <c r="M23" s="57" t="n"/>
      <c r="N23" s="50" t="n"/>
    </row>
    <row r="24">
      <c r="A24" s="43" t="n">
        <v>21</v>
      </c>
      <c r="B24" s="50" t="inlineStr">
        <is>
          <t>华翔桥架</t>
        </is>
      </c>
      <c r="C24" s="45" t="inlineStr">
        <is>
          <t>材料供应商</t>
        </is>
      </c>
      <c r="D24" s="45" t="inlineStr">
        <is>
          <t>华翔</t>
        </is>
      </c>
      <c r="E24" s="45" t="n"/>
      <c r="F24" s="50" t="n"/>
      <c r="G24" s="74" t="n"/>
      <c r="H24" s="74" t="n"/>
      <c r="I24" s="74" t="n"/>
      <c r="J24" s="50" t="n"/>
      <c r="K24" s="44" t="n"/>
      <c r="L24" s="44" t="n"/>
      <c r="M24" s="57" t="n"/>
      <c r="N24" s="50" t="inlineStr">
        <is>
          <t>流水 3/14 付过德养材料款</t>
        </is>
      </c>
    </row>
    <row r="25">
      <c r="A25" s="43" t="n">
        <v>22</v>
      </c>
      <c r="B25" s="50" t="inlineStr">
        <is>
          <t>拓齐</t>
        </is>
      </c>
      <c r="C25" s="45" t="inlineStr">
        <is>
          <t>材料供应商</t>
        </is>
      </c>
      <c r="D25" s="45" t="n"/>
      <c r="E25" s="45" t="n"/>
      <c r="F25" s="50" t="n"/>
      <c r="G25" s="74" t="n"/>
      <c r="H25" s="74" t="n"/>
      <c r="I25" s="74" t="n"/>
      <c r="J25" s="50" t="n"/>
      <c r="K25" s="44" t="n"/>
      <c r="L25" s="44" t="n"/>
      <c r="M25" s="57" t="n"/>
      <c r="N25" s="50" t="inlineStr">
        <is>
          <t>流水 3/11「支付拓齐-老叶-德养材料款」</t>
        </is>
      </c>
    </row>
    <row r="26">
      <c r="A26" s="43" t="n">
        <v>23</v>
      </c>
      <c r="B26" s="50" t="inlineStr">
        <is>
          <t>四川久远智能消防</t>
        </is>
      </c>
      <c r="C26" s="45" t="inlineStr">
        <is>
          <t>材料供应商</t>
        </is>
      </c>
      <c r="D26" s="45" t="inlineStr">
        <is>
          <t>久远</t>
        </is>
      </c>
      <c r="E26" s="45" t="n"/>
      <c r="F26" s="50" t="n"/>
      <c r="G26" s="74" t="n"/>
      <c r="H26" s="74" t="n"/>
      <c r="I26" s="74" t="n"/>
      <c r="J26" s="50" t="n"/>
      <c r="K26" s="44" t="n"/>
      <c r="L26" s="44" t="n"/>
      <c r="M26" s="57" t="n"/>
      <c r="N26" s="50" t="inlineStr">
        <is>
          <t>流水 6/25、6/30 付设备款</t>
        </is>
      </c>
    </row>
    <row r="27">
      <c r="A27" s="43" t="n">
        <v>24</v>
      </c>
      <c r="B27" s="50" t="inlineStr">
        <is>
          <t>九江恒讯消防</t>
        </is>
      </c>
      <c r="C27" s="45" t="inlineStr">
        <is>
          <t>材料供应商</t>
        </is>
      </c>
      <c r="D27" s="45" t="inlineStr">
        <is>
          <t>恒讯</t>
        </is>
      </c>
      <c r="E27" s="45" t="n"/>
      <c r="F27" s="50" t="n"/>
      <c r="G27" s="74" t="n"/>
      <c r="H27" s="74" t="n"/>
      <c r="I27" s="74" t="n"/>
      <c r="J27" s="50" t="n"/>
      <c r="K27" s="44" t="n"/>
      <c r="L27" s="44" t="n"/>
      <c r="M27" s="57" t="n"/>
      <c r="N27" s="50" t="inlineStr">
        <is>
          <t>流水 7/31 付设备款</t>
        </is>
      </c>
    </row>
    <row r="28">
      <c r="A28" s="43" t="n">
        <v>25</v>
      </c>
      <c r="B28" s="50" t="inlineStr">
        <is>
          <t>恩旗老叶</t>
        </is>
      </c>
      <c r="C28" s="45" t="inlineStr">
        <is>
          <t>分包</t>
        </is>
      </c>
      <c r="D28" s="45" t="inlineStr">
        <is>
          <t>老叶</t>
        </is>
      </c>
      <c r="E28" s="45" t="n"/>
      <c r="F28" s="50" t="n"/>
      <c r="G28" s="74" t="n"/>
      <c r="H28" s="74" t="n"/>
      <c r="I28" s="74" t="n"/>
      <c r="J28" s="50" t="n"/>
      <c r="K28" s="44" t="n"/>
      <c r="L28" s="44" t="n"/>
      <c r="M28" s="57" t="n"/>
      <c r="N28" s="50" t="n"/>
    </row>
    <row r="29">
      <c r="A29" s="43" t="n">
        <v>26</v>
      </c>
      <c r="B29" s="50" t="inlineStr">
        <is>
          <t>吴群</t>
        </is>
      </c>
      <c r="C29" s="45" t="inlineStr">
        <is>
          <t>分包</t>
        </is>
      </c>
      <c r="D29" s="45" t="n"/>
      <c r="E29" s="45" t="n"/>
      <c r="F29" s="50" t="n"/>
      <c r="G29" s="74" t="n"/>
      <c r="H29" s="74" t="n"/>
      <c r="I29" s="74" t="n"/>
      <c r="J29" s="50" t="n"/>
      <c r="K29" s="44" t="n"/>
      <c r="L29" s="44" t="n"/>
      <c r="M29" s="57" t="n"/>
      <c r="N29" s="50" t="n"/>
    </row>
    <row r="30">
      <c r="A30" s="43" t="n">
        <v>27</v>
      </c>
      <c r="B30" s="50" t="inlineStr">
        <is>
          <t>吴聪</t>
        </is>
      </c>
      <c r="C30" s="45" t="inlineStr">
        <is>
          <t>分包</t>
        </is>
      </c>
      <c r="D30" s="45" t="n"/>
      <c r="E30" s="45" t="n"/>
      <c r="F30" s="50" t="n"/>
      <c r="G30" s="74" t="n"/>
      <c r="H30" s="74" t="n"/>
      <c r="I30" s="74" t="n"/>
      <c r="J30" s="50" t="n"/>
      <c r="K30" s="44" t="n"/>
      <c r="L30" s="44" t="n"/>
      <c r="M30" s="57" t="n"/>
      <c r="N30" s="50" t="n"/>
    </row>
    <row r="31">
      <c r="A31" s="43" t="n">
        <v>28</v>
      </c>
      <c r="B31" s="50" t="inlineStr">
        <is>
          <t>九江朱总</t>
        </is>
      </c>
      <c r="C31" s="45" t="inlineStr">
        <is>
          <t>分包</t>
        </is>
      </c>
      <c r="D31" s="45" t="inlineStr">
        <is>
          <t>朱总</t>
        </is>
      </c>
      <c r="E31" s="45" t="n"/>
      <c r="F31" s="50" t="n"/>
      <c r="G31" s="74" t="n"/>
      <c r="H31" s="74" t="n"/>
      <c r="I31" s="74" t="n"/>
      <c r="J31" s="50" t="n"/>
      <c r="K31" s="44" t="n"/>
      <c r="L31" s="44" t="n"/>
      <c r="M31" s="57" t="n"/>
      <c r="N31" s="50" t="n"/>
    </row>
    <row r="32">
      <c r="A32" s="43" t="n">
        <v>29</v>
      </c>
      <c r="B32" s="50" t="inlineStr">
        <is>
          <t>共安门业</t>
        </is>
      </c>
      <c r="C32" s="45" t="inlineStr">
        <is>
          <t>分包</t>
        </is>
      </c>
      <c r="D32" s="45" t="inlineStr">
        <is>
          <t>共安</t>
        </is>
      </c>
      <c r="E32" s="45" t="n"/>
      <c r="F32" s="50" t="n"/>
      <c r="G32" s="74" t="n"/>
      <c r="H32" s="74" t="n"/>
      <c r="I32" s="74" t="n"/>
      <c r="J32" s="50" t="n"/>
      <c r="K32" s="44" t="n"/>
      <c r="L32" s="44" t="n"/>
      <c r="M32" s="57" t="n"/>
      <c r="N32" s="50" t="n"/>
    </row>
    <row r="33">
      <c r="A33" s="43" t="n">
        <v>30</v>
      </c>
      <c r="B33" s="50" t="inlineStr">
        <is>
          <t>图揽成善</t>
        </is>
      </c>
      <c r="C33" s="45" t="inlineStr">
        <is>
          <t>分包</t>
        </is>
      </c>
      <c r="D33" s="45" t="inlineStr">
        <is>
          <t>图揽</t>
        </is>
      </c>
      <c r="E33" s="45" t="n"/>
      <c r="F33" s="50" t="n"/>
      <c r="G33" s="74" t="n"/>
      <c r="H33" s="74" t="n"/>
      <c r="I33" s="74" t="n"/>
      <c r="J33" s="50" t="n"/>
      <c r="K33" s="44" t="n"/>
      <c r="L33" s="44" t="n"/>
      <c r="M33" s="57" t="n"/>
      <c r="N33" s="50" t="n"/>
    </row>
    <row r="34">
      <c r="A34" s="43" t="n">
        <v>31</v>
      </c>
      <c r="B34" s="50" t="inlineStr">
        <is>
          <t>祝冬冬</t>
        </is>
      </c>
      <c r="C34" s="45" t="inlineStr">
        <is>
          <t>分包</t>
        </is>
      </c>
      <c r="D34" s="45" t="n"/>
      <c r="E34" s="45" t="n"/>
      <c r="F34" s="50" t="n"/>
      <c r="G34" s="74" t="n"/>
      <c r="H34" s="74" t="n"/>
      <c r="I34" s="74" t="n"/>
      <c r="J34" s="50" t="n"/>
      <c r="K34" s="44" t="n"/>
      <c r="L34" s="44" t="n"/>
      <c r="M34" s="57" t="n"/>
      <c r="N34" s="50" t="n"/>
    </row>
    <row r="35">
      <c r="A35" s="43" t="n">
        <v>32</v>
      </c>
      <c r="B35" s="50" t="inlineStr">
        <is>
          <t>张小朋（分包）</t>
        </is>
      </c>
      <c r="C35" s="45" t="inlineStr">
        <is>
          <t>分包</t>
        </is>
      </c>
      <c r="D35" s="45" t="inlineStr">
        <is>
          <t>张小朋分包</t>
        </is>
      </c>
      <c r="E35" s="45" t="n"/>
      <c r="F35" s="50" t="n"/>
      <c r="G35" s="74" t="n"/>
      <c r="H35" s="74" t="n"/>
      <c r="I35" s="74" t="n"/>
      <c r="J35" s="50" t="n"/>
      <c r="K35" s="44" t="n"/>
      <c r="L35" s="44" t="n"/>
      <c r="M35" s="57" t="n"/>
      <c r="N35" s="50" t="n"/>
    </row>
    <row r="36">
      <c r="A36" s="43" t="n">
        <v>33</v>
      </c>
      <c r="B36" s="50" t="inlineStr">
        <is>
          <t>徐怀生</t>
        </is>
      </c>
      <c r="C36" s="45" t="inlineStr">
        <is>
          <t>分包</t>
        </is>
      </c>
      <c r="D36" s="45" t="n"/>
      <c r="E36" s="45" t="n"/>
      <c r="F36" s="50" t="n"/>
      <c r="G36" s="74" t="n"/>
      <c r="H36" s="74" t="n"/>
      <c r="I36" s="74" t="n"/>
      <c r="J36" s="50" t="n"/>
      <c r="K36" s="44" t="n"/>
      <c r="L36" s="44" t="n"/>
      <c r="M36" s="57" t="n"/>
      <c r="N36" s="50" t="n"/>
    </row>
    <row r="37">
      <c r="A37" s="43" t="n">
        <v>34</v>
      </c>
      <c r="B37" s="50" t="inlineStr">
        <is>
          <t>龚文坚</t>
        </is>
      </c>
      <c r="C37" s="45" t="inlineStr">
        <is>
          <t>分包</t>
        </is>
      </c>
      <c r="D37" s="45" t="n"/>
      <c r="E37" s="45" t="n"/>
      <c r="F37" s="50" t="n"/>
      <c r="G37" s="74" t="n"/>
      <c r="H37" s="74" t="n"/>
      <c r="I37" s="74" t="n"/>
      <c r="J37" s="50" t="n"/>
      <c r="K37" s="44" t="n"/>
      <c r="L37" s="44" t="n"/>
      <c r="M37" s="57" t="n"/>
      <c r="N37" s="50" t="n"/>
    </row>
    <row r="38">
      <c r="A38" s="43" t="n">
        <v>35</v>
      </c>
      <c r="B38" s="50" t="inlineStr">
        <is>
          <t>程章赐（分包）</t>
        </is>
      </c>
      <c r="C38" s="45" t="inlineStr">
        <is>
          <t>分包</t>
        </is>
      </c>
      <c r="D38" s="45" t="inlineStr">
        <is>
          <t>程章赐分包</t>
        </is>
      </c>
      <c r="E38" s="45" t="n"/>
      <c r="F38" s="50" t="n"/>
      <c r="G38" s="74" t="n"/>
      <c r="H38" s="74" t="n"/>
      <c r="I38" s="74" t="n"/>
      <c r="J38" s="50" t="n"/>
      <c r="K38" s="44" t="n"/>
      <c r="L38" s="44" t="n"/>
      <c r="M38" s="57" t="n"/>
      <c r="N38" s="50" t="n"/>
    </row>
    <row r="39">
      <c r="A39" s="43" t="n">
        <v>36</v>
      </c>
      <c r="B39" s="50" t="inlineStr">
        <is>
          <t>杨工</t>
        </is>
      </c>
      <c r="C39" s="45" t="inlineStr">
        <is>
          <t>机械运输</t>
        </is>
      </c>
      <c r="D39" s="45" t="n"/>
      <c r="E39" s="45" t="n"/>
      <c r="F39" s="50" t="n"/>
      <c r="G39" s="74" t="n"/>
      <c r="H39" s="74" t="n"/>
      <c r="I39" s="74" t="n"/>
      <c r="J39" s="50" t="n"/>
      <c r="K39" s="44" t="n"/>
      <c r="L39" s="44" t="n"/>
      <c r="M39" s="57" t="n"/>
      <c r="N39" s="50" t="n"/>
    </row>
    <row r="40">
      <c r="A40" s="43" t="n">
        <v>37</v>
      </c>
      <c r="B40" s="50" t="inlineStr">
        <is>
          <t>徐工</t>
        </is>
      </c>
      <c r="C40" s="45" t="inlineStr">
        <is>
          <t>机械运输</t>
        </is>
      </c>
      <c r="D40" s="45" t="n"/>
      <c r="E40" s="45" t="n"/>
      <c r="F40" s="50" t="inlineStr">
        <is>
          <t>九江翌年行建筑工程劳务有限公司</t>
        </is>
      </c>
      <c r="G40" s="74" t="n"/>
      <c r="H40" s="74" t="n"/>
      <c r="I40" s="74" t="n"/>
      <c r="J40" s="50" t="n"/>
      <c r="K40" s="44" t="n"/>
      <c r="L40" s="44" t="n"/>
      <c r="M40" s="57" t="n"/>
      <c r="N40" s="50" t="n"/>
    </row>
    <row r="41">
      <c r="A41" s="43" t="n">
        <v>38</v>
      </c>
      <c r="B41" s="50" t="inlineStr">
        <is>
          <t>德安县恒建工程部</t>
        </is>
      </c>
      <c r="C41" s="45" t="inlineStr">
        <is>
          <t>机械运输</t>
        </is>
      </c>
      <c r="D41" s="45" t="inlineStr">
        <is>
          <t>恒建</t>
        </is>
      </c>
      <c r="E41" s="45" t="n"/>
      <c r="F41" s="50" t="n"/>
      <c r="G41" s="74" t="n"/>
      <c r="H41" s="74" t="n"/>
      <c r="I41" s="74" t="n"/>
      <c r="J41" s="50" t="n"/>
      <c r="K41" s="44" t="n"/>
      <c r="L41" s="44" t="n"/>
      <c r="M41" s="57" t="n"/>
      <c r="N41" s="50" t="n"/>
    </row>
    <row r="42">
      <c r="A42" s="43" t="n">
        <v>39</v>
      </c>
      <c r="B42" s="50" t="inlineStr">
        <is>
          <t>航帆增辉</t>
        </is>
      </c>
      <c r="C42" s="45" t="inlineStr">
        <is>
          <t>机械运输</t>
        </is>
      </c>
      <c r="D42" s="45" t="n"/>
      <c r="E42" s="45" t="n"/>
      <c r="F42" s="50" t="n"/>
      <c r="G42" s="74" t="n"/>
      <c r="H42" s="74" t="n"/>
      <c r="I42" s="74" t="n"/>
      <c r="J42" s="50" t="n"/>
      <c r="K42" s="44" t="n"/>
      <c r="L42" s="44" t="n"/>
      <c r="M42" s="57" t="n"/>
      <c r="N42" s="50" t="n"/>
    </row>
    <row r="43">
      <c r="A43" s="43" t="n">
        <v>40</v>
      </c>
      <c r="B43" s="50" t="inlineStr">
        <is>
          <t>章德吉货运</t>
        </is>
      </c>
      <c r="C43" s="45" t="inlineStr">
        <is>
          <t>机械运输</t>
        </is>
      </c>
      <c r="D43" s="45" t="inlineStr">
        <is>
          <t>章德吉</t>
        </is>
      </c>
      <c r="E43" s="45" t="n"/>
      <c r="F43" s="50" t="n"/>
      <c r="G43" s="74" t="n"/>
      <c r="H43" s="74" t="n"/>
      <c r="I43" s="74" t="n"/>
      <c r="J43" s="50" t="n"/>
      <c r="K43" s="44" t="n"/>
      <c r="L43" s="44" t="n"/>
      <c r="M43" s="57" t="n"/>
      <c r="N43" s="50" t="n"/>
    </row>
    <row r="44">
      <c r="A44" s="43" t="n">
        <v>41</v>
      </c>
      <c r="B44" s="50" t="inlineStr">
        <is>
          <t>聂峰</t>
        </is>
      </c>
      <c r="C44" s="45" t="inlineStr">
        <is>
          <t>工人</t>
        </is>
      </c>
      <c r="D44" s="45" t="n"/>
      <c r="E44" s="45" t="n"/>
      <c r="F44" s="50" t="n"/>
      <c r="G44" s="74" t="n"/>
      <c r="H44" s="74" t="n"/>
      <c r="I44" s="74" t="n"/>
      <c r="J44" s="50" t="inlineStr">
        <is>
          <t>共青农商行</t>
        </is>
      </c>
      <c r="K44" s="44" t="n"/>
      <c r="L44" s="44" t="n"/>
      <c r="M44" s="57" t="n"/>
      <c r="N44" s="50" t="n"/>
    </row>
    <row r="45">
      <c r="A45" s="43" t="n">
        <v>42</v>
      </c>
      <c r="B45" s="50" t="inlineStr">
        <is>
          <t>袁斌财</t>
        </is>
      </c>
      <c r="C45" s="45" t="inlineStr">
        <is>
          <t>工人</t>
        </is>
      </c>
      <c r="D45" s="45" t="n"/>
      <c r="E45" s="45" t="n"/>
      <c r="F45" s="50" t="n"/>
      <c r="G45" s="74" t="n"/>
      <c r="H45" s="74" t="n"/>
      <c r="I45" s="74" t="n"/>
      <c r="J45" s="50" t="inlineStr">
        <is>
          <t>建行</t>
        </is>
      </c>
      <c r="K45" s="44" t="n"/>
      <c r="L45" s="44" t="n"/>
      <c r="M45" s="57" t="n"/>
      <c r="N45" s="50" t="n"/>
    </row>
    <row r="46">
      <c r="A46" s="43" t="n">
        <v>43</v>
      </c>
      <c r="B46" s="50" t="inlineStr">
        <is>
          <t>胡家新</t>
        </is>
      </c>
      <c r="C46" s="45" t="inlineStr">
        <is>
          <t>工人</t>
        </is>
      </c>
      <c r="D46" s="45" t="n"/>
      <c r="E46" s="45" t="n"/>
      <c r="F46" s="50" t="n"/>
      <c r="G46" s="74" t="n"/>
      <c r="H46" s="74" t="n"/>
      <c r="I46" s="74" t="n"/>
      <c r="J46" s="50" t="inlineStr">
        <is>
          <t>建行</t>
        </is>
      </c>
      <c r="K46" s="44" t="n"/>
      <c r="L46" s="44" t="n"/>
      <c r="M46" s="57" t="n"/>
      <c r="N46" s="50" t="n"/>
    </row>
    <row r="47">
      <c r="A47" s="43" t="n">
        <v>44</v>
      </c>
      <c r="B47" s="50" t="inlineStr">
        <is>
          <t>刘海</t>
        </is>
      </c>
      <c r="C47" s="45" t="inlineStr">
        <is>
          <t>工人</t>
        </is>
      </c>
      <c r="D47" s="45" t="n"/>
      <c r="E47" s="45" t="n"/>
      <c r="F47" s="50" t="n"/>
      <c r="G47" s="74" t="n"/>
      <c r="H47" s="74" t="n"/>
      <c r="I47" s="74" t="n"/>
      <c r="J47" s="50" t="inlineStr">
        <is>
          <t>建行</t>
        </is>
      </c>
      <c r="K47" s="44" t="n"/>
      <c r="L47" s="44" t="n"/>
      <c r="M47" s="57" t="n"/>
      <c r="N47" s="50" t="n"/>
    </row>
    <row r="48">
      <c r="A48" s="43" t="n">
        <v>45</v>
      </c>
      <c r="B48" s="50" t="inlineStr">
        <is>
          <t>程章赐</t>
        </is>
      </c>
      <c r="C48" s="45" t="inlineStr">
        <is>
          <t>工人</t>
        </is>
      </c>
      <c r="D48" s="45" t="n"/>
      <c r="E48" s="45" t="n"/>
      <c r="F48" s="50" t="n"/>
      <c r="G48" s="74" t="n"/>
      <c r="H48" s="74" t="n"/>
      <c r="I48" s="74" t="n"/>
      <c r="J48" s="50" t="inlineStr">
        <is>
          <t>工行宁波奉化大桥支行</t>
        </is>
      </c>
      <c r="K48" s="44" t="n"/>
      <c r="L48" s="44" t="n"/>
      <c r="M48" s="57" t="n"/>
      <c r="N48" s="50" t="n"/>
    </row>
    <row r="49">
      <c r="A49" s="43" t="n">
        <v>46</v>
      </c>
      <c r="B49" s="50" t="inlineStr">
        <is>
          <t>程章材</t>
        </is>
      </c>
      <c r="C49" s="45" t="inlineStr">
        <is>
          <t>工人</t>
        </is>
      </c>
      <c r="D49" s="45" t="n"/>
      <c r="E49" s="45" t="n"/>
      <c r="F49" s="50" t="n"/>
      <c r="G49" s="74" t="n"/>
      <c r="H49" s="74" t="n"/>
      <c r="I49" s="74" t="n"/>
      <c r="J49" s="50" t="inlineStr">
        <is>
          <t>工行德安支行营业室</t>
        </is>
      </c>
      <c r="K49" s="44" t="n"/>
      <c r="L49" s="44" t="n"/>
      <c r="M49" s="57" t="n"/>
      <c r="N49" s="50" t="n"/>
    </row>
    <row r="50">
      <c r="A50" s="43" t="n">
        <v>47</v>
      </c>
      <c r="B50" s="50" t="inlineStr">
        <is>
          <t>叶炳南</t>
        </is>
      </c>
      <c r="C50" s="45" t="inlineStr">
        <is>
          <t>工人</t>
        </is>
      </c>
      <c r="D50" s="45" t="n"/>
      <c r="E50" s="45" t="n"/>
      <c r="F50" s="50" t="n"/>
      <c r="G50" s="74" t="n"/>
      <c r="H50" s="74" t="n"/>
      <c r="I50" s="74" t="n"/>
      <c r="J50" s="50" t="inlineStr">
        <is>
          <t>建行</t>
        </is>
      </c>
      <c r="K50" s="44" t="n"/>
      <c r="L50" s="44" t="n"/>
      <c r="M50" s="57" t="n"/>
      <c r="N50" s="50" t="n"/>
    </row>
    <row r="51">
      <c r="A51" s="43" t="n">
        <v>48</v>
      </c>
      <c r="B51" s="50" t="inlineStr">
        <is>
          <t>万焕和</t>
        </is>
      </c>
      <c r="C51" s="45" t="inlineStr">
        <is>
          <t>工人</t>
        </is>
      </c>
      <c r="D51" s="45" t="n"/>
      <c r="E51" s="45" t="n"/>
      <c r="F51" s="50" t="n"/>
      <c r="G51" s="74" t="n"/>
      <c r="H51" s="74" t="n"/>
      <c r="I51" s="74" t="n"/>
      <c r="J51" s="50" t="inlineStr">
        <is>
          <t>建行</t>
        </is>
      </c>
      <c r="K51" s="44" t="n"/>
      <c r="L51" s="44" t="n"/>
      <c r="M51" s="57" t="n"/>
      <c r="N51" s="50" t="n"/>
    </row>
    <row r="52">
      <c r="A52" s="43" t="n">
        <v>49</v>
      </c>
      <c r="B52" s="50" t="inlineStr">
        <is>
          <t>邓泽贵</t>
        </is>
      </c>
      <c r="C52" s="45" t="inlineStr">
        <is>
          <t>工人</t>
        </is>
      </c>
      <c r="D52" s="45" t="n"/>
      <c r="E52" s="45" t="n"/>
      <c r="F52" s="50" t="n"/>
      <c r="G52" s="74" t="n"/>
      <c r="H52" s="74" t="n"/>
      <c r="I52" s="74" t="n"/>
      <c r="J52" s="50" t="inlineStr">
        <is>
          <t>建行</t>
        </is>
      </c>
      <c r="K52" s="44" t="n"/>
      <c r="L52" s="44" t="n"/>
      <c r="M52" s="57" t="n"/>
      <c r="N52" s="50" t="n"/>
    </row>
    <row r="53">
      <c r="A53" s="43" t="n">
        <v>50</v>
      </c>
      <c r="B53" s="50" t="inlineStr">
        <is>
          <t>吴长友</t>
        </is>
      </c>
      <c r="C53" s="45" t="inlineStr">
        <is>
          <t>工人</t>
        </is>
      </c>
      <c r="D53" s="45" t="n"/>
      <c r="E53" s="45" t="n"/>
      <c r="F53" s="50" t="n"/>
      <c r="G53" s="74" t="n"/>
      <c r="H53" s="74" t="n"/>
      <c r="I53" s="74" t="n"/>
      <c r="J53" s="50" t="inlineStr">
        <is>
          <t>农行</t>
        </is>
      </c>
      <c r="K53" s="44" t="n"/>
      <c r="L53" s="44" t="n"/>
      <c r="M53" s="57" t="n"/>
      <c r="N53" s="50" t="n"/>
    </row>
    <row r="54">
      <c r="A54" s="43" t="n">
        <v>51</v>
      </c>
      <c r="B54" s="50" t="inlineStr">
        <is>
          <t>闵清林</t>
        </is>
      </c>
      <c r="C54" s="45" t="inlineStr">
        <is>
          <t>工人</t>
        </is>
      </c>
      <c r="D54" s="45" t="n"/>
      <c r="E54" s="45" t="n"/>
      <c r="F54" s="50" t="n"/>
      <c r="G54" s="74" t="n"/>
      <c r="H54" s="74" t="n"/>
      <c r="I54" s="74" t="n"/>
      <c r="J54" s="50" t="inlineStr">
        <is>
          <t>建行</t>
        </is>
      </c>
      <c r="K54" s="44" t="n"/>
      <c r="L54" s="44" t="n"/>
      <c r="M54" s="57" t="n"/>
      <c r="N54" s="50" t="n"/>
    </row>
    <row r="55">
      <c r="A55" s="43" t="n">
        <v>52</v>
      </c>
      <c r="B55" s="50" t="inlineStr">
        <is>
          <t>徐从国</t>
        </is>
      </c>
      <c r="C55" s="45" t="inlineStr">
        <is>
          <t>工人</t>
        </is>
      </c>
      <c r="D55" s="45" t="n"/>
      <c r="E55" s="45" t="n"/>
      <c r="F55" s="50" t="n"/>
      <c r="G55" s="74" t="n"/>
      <c r="H55" s="74" t="n"/>
      <c r="I55" s="74" t="n"/>
      <c r="J55" s="50" t="inlineStr">
        <is>
          <t>建行</t>
        </is>
      </c>
      <c r="K55" s="44" t="n"/>
      <c r="L55" s="44" t="n"/>
      <c r="M55" s="57" t="n"/>
      <c r="N55" s="50" t="n"/>
    </row>
    <row r="56">
      <c r="A56" s="43" t="n">
        <v>53</v>
      </c>
      <c r="B56" s="50" t="inlineStr">
        <is>
          <t>梅秀刚</t>
        </is>
      </c>
      <c r="C56" s="45" t="inlineStr">
        <is>
          <t>工人</t>
        </is>
      </c>
      <c r="D56" s="45" t="n"/>
      <c r="E56" s="45" t="n"/>
      <c r="F56" s="50" t="n"/>
      <c r="G56" s="74" t="n"/>
      <c r="H56" s="74" t="n"/>
      <c r="I56" s="74" t="n"/>
      <c r="J56" s="50" t="inlineStr">
        <is>
          <t>建行</t>
        </is>
      </c>
      <c r="K56" s="44" t="n"/>
      <c r="L56" s="44" t="n"/>
      <c r="M56" s="57" t="n"/>
      <c r="N56" s="50" t="n"/>
    </row>
    <row r="57">
      <c r="A57" s="43" t="n">
        <v>54</v>
      </c>
      <c r="B57" s="50" t="inlineStr">
        <is>
          <t>金南水</t>
        </is>
      </c>
      <c r="C57" s="45" t="inlineStr">
        <is>
          <t>工人</t>
        </is>
      </c>
      <c r="D57" s="45" t="n"/>
      <c r="E57" s="45" t="n"/>
      <c r="F57" s="50" t="n"/>
      <c r="G57" s="74" t="n"/>
      <c r="H57" s="74" t="n"/>
      <c r="I57" s="74" t="n"/>
      <c r="J57" s="50" t="inlineStr">
        <is>
          <t>建行</t>
        </is>
      </c>
      <c r="K57" s="44" t="n"/>
      <c r="L57" s="44" t="n"/>
      <c r="M57" s="57" t="n"/>
      <c r="N57" s="50" t="n"/>
    </row>
    <row r="58">
      <c r="A58" s="43" t="n">
        <v>55</v>
      </c>
      <c r="B58" s="50" t="inlineStr">
        <is>
          <t>金李平</t>
        </is>
      </c>
      <c r="C58" s="45" t="inlineStr">
        <is>
          <t>工人</t>
        </is>
      </c>
      <c r="D58" s="45" t="n"/>
      <c r="E58" s="45" t="n"/>
      <c r="F58" s="50" t="n"/>
      <c r="G58" s="74" t="n"/>
      <c r="H58" s="74" t="n"/>
      <c r="I58" s="74" t="n"/>
      <c r="J58" s="50" t="inlineStr">
        <is>
          <t>温州银行</t>
        </is>
      </c>
      <c r="K58" s="44" t="n"/>
      <c r="L58" s="44" t="n"/>
      <c r="M58" s="57" t="n"/>
      <c r="N58" s="50" t="n"/>
    </row>
    <row r="59">
      <c r="A59" s="43" t="n">
        <v>56</v>
      </c>
      <c r="B59" s="50" t="inlineStr">
        <is>
          <t>杨明定</t>
        </is>
      </c>
      <c r="C59" s="45" t="inlineStr">
        <is>
          <t>工人</t>
        </is>
      </c>
      <c r="D59" s="45" t="n"/>
      <c r="E59" s="45" t="n"/>
      <c r="F59" s="50" t="n"/>
      <c r="G59" s="74" t="n"/>
      <c r="H59" s="74" t="n"/>
      <c r="I59" s="74" t="n"/>
      <c r="J59" s="50" t="inlineStr">
        <is>
          <t>建行</t>
        </is>
      </c>
      <c r="K59" s="44" t="n"/>
      <c r="L59" s="44" t="n"/>
      <c r="M59" s="57" t="n"/>
      <c r="N59" s="50" t="n"/>
    </row>
    <row r="60">
      <c r="A60" s="43" t="n">
        <v>57</v>
      </c>
      <c r="B60" s="50" t="inlineStr">
        <is>
          <t>王兴蛟</t>
        </is>
      </c>
      <c r="C60" s="45" t="inlineStr">
        <is>
          <t>工人</t>
        </is>
      </c>
      <c r="D60" s="45" t="inlineStr">
        <is>
          <t>王兴姣</t>
        </is>
      </c>
      <c r="E60" s="45" t="n"/>
      <c r="F60" s="50" t="n"/>
      <c r="G60" s="74" t="n"/>
      <c r="H60" s="74" t="n"/>
      <c r="I60" s="74" t="n"/>
      <c r="J60" s="50" t="inlineStr">
        <is>
          <t>农行</t>
        </is>
      </c>
      <c r="K60" s="44" t="n"/>
      <c r="L60" s="44" t="n"/>
      <c r="M60" s="57" t="n"/>
      <c r="N60" s="50" t="n"/>
    </row>
    <row r="61">
      <c r="A61" s="43" t="n">
        <v>58</v>
      </c>
      <c r="B61" s="50" t="inlineStr">
        <is>
          <t>高征坤</t>
        </is>
      </c>
      <c r="C61" s="45" t="inlineStr">
        <is>
          <t>工人</t>
        </is>
      </c>
      <c r="D61" s="45" t="n"/>
      <c r="E61" s="45" t="n"/>
      <c r="F61" s="50" t="n"/>
      <c r="G61" s="74" t="n"/>
      <c r="H61" s="74" t="n"/>
      <c r="I61" s="74" t="n"/>
      <c r="J61" s="50" t="inlineStr">
        <is>
          <t>建行</t>
        </is>
      </c>
      <c r="K61" s="44" t="n"/>
      <c r="L61" s="44" t="n"/>
      <c r="M61" s="57" t="n"/>
      <c r="N61" s="50" t="n"/>
    </row>
    <row r="62">
      <c r="A62" s="43" t="n">
        <v>59</v>
      </c>
      <c r="B62" s="50" t="inlineStr">
        <is>
          <t>张亮亮</t>
        </is>
      </c>
      <c r="C62" s="45" t="inlineStr">
        <is>
          <t>工人</t>
        </is>
      </c>
      <c r="D62" s="45" t="n"/>
      <c r="E62" s="45" t="n"/>
      <c r="F62" s="50" t="n"/>
      <c r="G62" s="74" t="n"/>
      <c r="H62" s="74" t="n"/>
      <c r="I62" s="74" t="n"/>
      <c r="J62" s="50" t="inlineStr">
        <is>
          <t>温州银行</t>
        </is>
      </c>
      <c r="K62" s="44" t="n"/>
      <c r="L62" s="44" t="n"/>
      <c r="M62" s="57" t="n"/>
      <c r="N62" s="50" t="n"/>
    </row>
    <row r="63">
      <c r="A63" s="43" t="n">
        <v>60</v>
      </c>
      <c r="B63" s="50" t="inlineStr">
        <is>
          <t>成峰</t>
        </is>
      </c>
      <c r="C63" s="45" t="inlineStr">
        <is>
          <t>工人</t>
        </is>
      </c>
      <c r="D63" s="45" t="n"/>
      <c r="E63" s="45" t="n"/>
      <c r="F63" s="50" t="n"/>
      <c r="G63" s="74" t="n"/>
      <c r="H63" s="74" t="n"/>
      <c r="I63" s="74" t="n"/>
      <c r="J63" s="50" t="inlineStr">
        <is>
          <t>建行</t>
        </is>
      </c>
      <c r="K63" s="44" t="n"/>
      <c r="L63" s="44" t="n"/>
      <c r="M63" s="57" t="n"/>
      <c r="N63" s="50" t="n"/>
    </row>
    <row r="64">
      <c r="A64" s="43" t="n">
        <v>61</v>
      </c>
      <c r="B64" s="50" t="inlineStr">
        <is>
          <t>何正新</t>
        </is>
      </c>
      <c r="C64" s="45" t="inlineStr">
        <is>
          <t>工人</t>
        </is>
      </c>
      <c r="D64" s="45" t="n"/>
      <c r="E64" s="45" t="n"/>
      <c r="F64" s="50" t="n"/>
      <c r="G64" s="74" t="n"/>
      <c r="H64" s="74" t="n"/>
      <c r="I64" s="74" t="n"/>
      <c r="J64" s="50" t="inlineStr">
        <is>
          <t>中国银行</t>
        </is>
      </c>
      <c r="K64" s="44" t="n"/>
      <c r="L64" s="44" t="n"/>
      <c r="M64" s="57" t="n"/>
      <c r="N64" s="50" t="n"/>
    </row>
    <row r="65">
      <c r="A65" s="43" t="n">
        <v>62</v>
      </c>
      <c r="B65" s="50" t="inlineStr">
        <is>
          <t>吴志刚</t>
        </is>
      </c>
      <c r="C65" s="45" t="inlineStr">
        <is>
          <t>工人</t>
        </is>
      </c>
      <c r="D65" s="45" t="n"/>
      <c r="E65" s="45" t="n"/>
      <c r="F65" s="50" t="n"/>
      <c r="G65" s="74" t="n"/>
      <c r="H65" s="74" t="n"/>
      <c r="I65" s="74" t="n"/>
      <c r="J65" s="50" t="inlineStr">
        <is>
          <t>建行</t>
        </is>
      </c>
      <c r="K65" s="44" t="n"/>
      <c r="L65" s="44" t="n"/>
      <c r="M65" s="57" t="n"/>
      <c r="N65" s="50" t="n"/>
    </row>
    <row r="66">
      <c r="A66" s="43" t="n">
        <v>63</v>
      </c>
      <c r="B66" s="50" t="inlineStr">
        <is>
          <t>张小友</t>
        </is>
      </c>
      <c r="C66" s="45" t="inlineStr">
        <is>
          <t>工人</t>
        </is>
      </c>
      <c r="D66" s="45" t="n"/>
      <c r="E66" s="45" t="n"/>
      <c r="F66" s="50" t="n"/>
      <c r="G66" s="74" t="n"/>
      <c r="H66" s="74" t="n"/>
      <c r="I66" s="74" t="n"/>
      <c r="J66" s="50" t="inlineStr">
        <is>
          <t>江西农村信用社</t>
        </is>
      </c>
      <c r="K66" s="44" t="n"/>
      <c r="L66" s="44" t="n"/>
      <c r="M66" s="57" t="n"/>
      <c r="N66" s="50" t="n"/>
    </row>
    <row r="67">
      <c r="A67" s="43" t="n">
        <v>64</v>
      </c>
      <c r="B67" s="50" t="inlineStr">
        <is>
          <t>曹买生</t>
        </is>
      </c>
      <c r="C67" s="45" t="inlineStr">
        <is>
          <t>工人</t>
        </is>
      </c>
      <c r="D67" s="45" t="n"/>
      <c r="E67" s="45" t="n"/>
      <c r="F67" s="50" t="n"/>
      <c r="G67" s="74" t="n"/>
      <c r="H67" s="74" t="n"/>
      <c r="I67" s="74" t="n"/>
      <c r="J67" s="50" t="inlineStr">
        <is>
          <t>中国工商银行</t>
        </is>
      </c>
      <c r="K67" s="44" t="n"/>
      <c r="L67" s="44" t="n"/>
      <c r="M67" s="57" t="n"/>
      <c r="N67" s="50" t="n"/>
    </row>
    <row r="68">
      <c r="A68" s="43" t="n">
        <v>65</v>
      </c>
      <c r="B68" s="50" t="inlineStr">
        <is>
          <t>刘桂水</t>
        </is>
      </c>
      <c r="C68" s="45" t="inlineStr">
        <is>
          <t>工人</t>
        </is>
      </c>
      <c r="D68" s="45" t="n"/>
      <c r="E68" s="45" t="n"/>
      <c r="F68" s="50" t="n"/>
      <c r="G68" s="74" t="n"/>
      <c r="H68" s="74" t="n"/>
      <c r="I68" s="74" t="n"/>
      <c r="J68" s="50" t="inlineStr">
        <is>
          <t>建行</t>
        </is>
      </c>
      <c r="K68" s="44" t="n"/>
      <c r="L68" s="44" t="n"/>
      <c r="M68" s="57" t="n"/>
      <c r="N68" s="50" t="n"/>
    </row>
    <row r="69">
      <c r="A69" s="43" t="n">
        <v>66</v>
      </c>
      <c r="B69" s="50" t="inlineStr">
        <is>
          <t>张小朋</t>
        </is>
      </c>
      <c r="C69" s="45" t="inlineStr">
        <is>
          <t>工人</t>
        </is>
      </c>
      <c r="D69" s="45" t="n"/>
      <c r="E69" s="45" t="n"/>
      <c r="F69" s="50" t="n"/>
      <c r="G69" s="74" t="n"/>
      <c r="H69" s="74" t="n"/>
      <c r="I69" s="74" t="n"/>
      <c r="J69" s="50" t="inlineStr">
        <is>
          <t>温州银行</t>
        </is>
      </c>
      <c r="K69" s="44" t="n"/>
      <c r="L69" s="44" t="n"/>
      <c r="M69" s="57" t="n"/>
      <c r="N69" s="50" t="n"/>
    </row>
    <row r="70">
      <c r="A70" s="43" t="n">
        <v>67</v>
      </c>
      <c r="B70" s="50" t="inlineStr">
        <is>
          <t>叶焰平</t>
        </is>
      </c>
      <c r="C70" s="45" t="inlineStr">
        <is>
          <t>工人</t>
        </is>
      </c>
      <c r="D70" s="45" t="n"/>
      <c r="E70" s="45" t="n"/>
      <c r="F70" s="50" t="n"/>
      <c r="G70" s="74" t="n"/>
      <c r="H70" s="74" t="n"/>
      <c r="I70" s="74" t="n"/>
      <c r="J70" s="50" t="inlineStr">
        <is>
          <t>建行</t>
        </is>
      </c>
      <c r="K70" s="44" t="n"/>
      <c r="L70" s="44" t="n"/>
      <c r="M70" s="57" t="n"/>
      <c r="N70" s="50" t="n"/>
    </row>
    <row r="71">
      <c r="A71" s="43" t="n">
        <v>68</v>
      </c>
      <c r="B71" s="50" t="inlineStr">
        <is>
          <t>张滨</t>
        </is>
      </c>
      <c r="C71" s="45" t="inlineStr">
        <is>
          <t>管理人员</t>
        </is>
      </c>
      <c r="D71" s="45" t="n"/>
      <c r="E71" s="45" t="n"/>
      <c r="F71" s="50" t="n"/>
      <c r="G71" s="74" t="n"/>
      <c r="H71" s="74" t="n"/>
      <c r="I71" s="74" t="n"/>
      <c r="J71" s="50" t="n"/>
      <c r="K71" s="44" t="n"/>
      <c r="L71" s="44" t="n"/>
      <c r="M71" s="57" t="n"/>
      <c r="N71" s="50" t="inlineStr">
        <is>
          <t>项目部负责人（月薪）</t>
        </is>
      </c>
    </row>
    <row r="72">
      <c r="A72" s="43" t="n">
        <v>69</v>
      </c>
      <c r="B72" s="50" t="inlineStr">
        <is>
          <t>张淑平</t>
        </is>
      </c>
      <c r="C72" s="45" t="inlineStr">
        <is>
          <t>管理人员</t>
        </is>
      </c>
      <c r="D72" s="45" t="n"/>
      <c r="E72" s="45" t="n"/>
      <c r="F72" s="50" t="n"/>
      <c r="G72" s="74" t="n"/>
      <c r="H72" s="74" t="n"/>
      <c r="I72" s="74" t="n"/>
      <c r="J72" s="50" t="n"/>
      <c r="K72" s="44" t="n"/>
      <c r="L72" s="44" t="n"/>
      <c r="M72" s="57" t="n"/>
      <c r="N72" s="50" t="inlineStr">
        <is>
          <t>办公室（月薪）</t>
        </is>
      </c>
    </row>
    <row r="73">
      <c r="A73" s="43" t="n">
        <v>70</v>
      </c>
      <c r="B73" s="50" t="inlineStr">
        <is>
          <t>聂辉</t>
        </is>
      </c>
      <c r="C73" s="45" t="inlineStr">
        <is>
          <t>管理人员</t>
        </is>
      </c>
      <c r="D73" s="45" t="n"/>
      <c r="E73" s="45" t="n"/>
      <c r="F73" s="50" t="n"/>
      <c r="G73" s="74" t="n"/>
      <c r="H73" s="74" t="n"/>
      <c r="I73" s="74" t="n"/>
      <c r="J73" s="50" t="n"/>
      <c r="K73" s="44" t="n"/>
      <c r="L73" s="44" t="n"/>
      <c r="M73" s="57" t="n"/>
      <c r="N73" s="50" t="inlineStr">
        <is>
          <t>老板（月薪）</t>
        </is>
      </c>
    </row>
    <row r="74">
      <c r="A74" s="43" t="n">
        <v>71</v>
      </c>
      <c r="B74" s="50" t="inlineStr">
        <is>
          <t>王伟</t>
        </is>
      </c>
      <c r="C74" s="45" t="inlineStr">
        <is>
          <t>管理人员</t>
        </is>
      </c>
      <c r="D74" s="45" t="n"/>
      <c r="E74" s="45" t="n"/>
      <c r="F74" s="50" t="n"/>
      <c r="G74" s="74" t="n"/>
      <c r="H74" s="74" t="n"/>
      <c r="I74" s="74" t="n"/>
      <c r="J74" s="50" t="n"/>
      <c r="K74" s="44" t="n"/>
      <c r="L74" s="44" t="n"/>
      <c r="M74" s="57" t="n"/>
      <c r="N74" s="50" t="inlineStr">
        <is>
          <t>老板（月薪）</t>
        </is>
      </c>
    </row>
    <row r="75">
      <c r="A75" s="43" t="n">
        <v>72</v>
      </c>
      <c r="B75" s="50" t="inlineStr">
        <is>
          <t>姚俊强</t>
        </is>
      </c>
      <c r="C75" s="45" t="inlineStr">
        <is>
          <t>管理人员</t>
        </is>
      </c>
      <c r="D75" s="45" t="n"/>
      <c r="E75" s="45" t="n"/>
      <c r="F75" s="50" t="n"/>
      <c r="G75" s="74" t="n"/>
      <c r="H75" s="74" t="n"/>
      <c r="I75" s="74" t="n"/>
      <c r="J75" s="50" t="n"/>
      <c r="K75" s="44" t="n"/>
      <c r="L75" s="44" t="n"/>
      <c r="M75" s="57" t="n"/>
      <c r="N75" s="50" t="inlineStr">
        <is>
          <t>办公室（月薪）</t>
        </is>
      </c>
    </row>
    <row r="76">
      <c r="A76" s="43" t="n">
        <v>73</v>
      </c>
      <c r="B76" s="50" t="inlineStr">
        <is>
          <t>陈德银</t>
        </is>
      </c>
      <c r="C76" s="45" t="inlineStr">
        <is>
          <t>工人</t>
        </is>
      </c>
      <c r="D76" s="45" t="n"/>
      <c r="E76" s="45" t="n"/>
      <c r="F76" s="50" t="n"/>
      <c r="G76" s="74" t="n"/>
      <c r="H76" s="74" t="n"/>
      <c r="I76" s="74" t="n"/>
      <c r="J76" s="50" t="n"/>
      <c r="K76" s="44" t="n"/>
      <c r="L76" s="44" t="n"/>
      <c r="M76" s="57" t="n"/>
      <c r="N76" s="50" t="n"/>
    </row>
    <row r="77">
      <c r="A77" s="43" t="n">
        <v>74</v>
      </c>
      <c r="B77" s="50" t="inlineStr">
        <is>
          <t>邓付贞</t>
        </is>
      </c>
      <c r="C77" s="45" t="inlineStr">
        <is>
          <t>工人</t>
        </is>
      </c>
      <c r="D77" s="45" t="n"/>
      <c r="E77" s="45" t="n"/>
      <c r="F77" s="50" t="n"/>
      <c r="G77" s="74" t="n"/>
      <c r="H77" s="74" t="n"/>
      <c r="I77" s="74" t="n"/>
      <c r="J77" s="50" t="n"/>
      <c r="K77" s="44" t="n"/>
      <c r="L77" s="44" t="n"/>
      <c r="M77" s="57" t="n"/>
      <c r="N77" s="50" t="n"/>
    </row>
    <row r="78">
      <c r="A78" s="43" t="n">
        <v>75</v>
      </c>
      <c r="B78" s="50" t="inlineStr">
        <is>
          <t>桂木生</t>
        </is>
      </c>
      <c r="C78" s="45" t="inlineStr">
        <is>
          <t>工人</t>
        </is>
      </c>
      <c r="D78" s="45" t="n"/>
      <c r="E78" s="45" t="n"/>
      <c r="F78" s="50" t="n"/>
      <c r="G78" s="74" t="n"/>
      <c r="H78" s="74" t="n"/>
      <c r="I78" s="74" t="n"/>
      <c r="J78" s="50" t="n"/>
      <c r="K78" s="44" t="n"/>
      <c r="L78" s="44" t="n"/>
      <c r="M78" s="57" t="n"/>
      <c r="N78" s="50" t="n"/>
    </row>
    <row r="79">
      <c r="A79" s="43" t="n">
        <v>76</v>
      </c>
      <c r="B79" s="50" t="inlineStr">
        <is>
          <t>徐平</t>
        </is>
      </c>
      <c r="C79" s="45" t="inlineStr">
        <is>
          <t>工人</t>
        </is>
      </c>
      <c r="D79" s="45" t="n"/>
      <c r="E79" s="45" t="n"/>
      <c r="F79" s="50" t="n"/>
      <c r="G79" s="74" t="n"/>
      <c r="H79" s="74" t="n"/>
      <c r="I79" s="74" t="n"/>
      <c r="J79" s="50" t="n"/>
      <c r="K79" s="44" t="n"/>
      <c r="L79" s="44" t="n"/>
      <c r="M79" s="57" t="n"/>
      <c r="N79" s="50" t="n"/>
    </row>
    <row r="80">
      <c r="A80" s="43" t="n">
        <v>77</v>
      </c>
      <c r="B80" s="50" t="inlineStr">
        <is>
          <t>朱俊英</t>
        </is>
      </c>
      <c r="C80" s="45" t="inlineStr">
        <is>
          <t>工人</t>
        </is>
      </c>
      <c r="D80" s="45" t="n"/>
      <c r="E80" s="45" t="n"/>
      <c r="F80" s="50" t="n"/>
      <c r="G80" s="74" t="n"/>
      <c r="H80" s="74" t="n"/>
      <c r="I80" s="74" t="n"/>
      <c r="J80" s="50" t="n"/>
      <c r="K80" s="44" t="n"/>
      <c r="L80" s="44" t="n"/>
      <c r="M80" s="57" t="n"/>
      <c r="N80" s="50" t="n"/>
    </row>
    <row r="81">
      <c r="A81" s="43" t="n">
        <v>78</v>
      </c>
      <c r="B81" s="50" t="inlineStr">
        <is>
          <t>彭海飞</t>
        </is>
      </c>
      <c r="C81" s="45" t="inlineStr">
        <is>
          <t>工人</t>
        </is>
      </c>
      <c r="D81" s="45" t="n"/>
      <c r="E81" s="45" t="n"/>
      <c r="F81" s="50" t="n"/>
      <c r="G81" s="74" t="n"/>
      <c r="H81" s="74" t="n"/>
      <c r="I81" s="74" t="n"/>
      <c r="J81" s="50" t="n"/>
      <c r="K81" s="44" t="n"/>
      <c r="L81" s="44" t="n"/>
      <c r="M81" s="57" t="n"/>
      <c r="N81" s="50" t="n"/>
    </row>
    <row r="82">
      <c r="A82" s="43" t="n">
        <v>79</v>
      </c>
      <c r="B82" s="50" t="inlineStr">
        <is>
          <t>钟磊</t>
        </is>
      </c>
      <c r="C82" s="45" t="inlineStr">
        <is>
          <t>工人</t>
        </is>
      </c>
      <c r="D82" s="45" t="n"/>
      <c r="E82" s="45" t="n"/>
      <c r="F82" s="50" t="n"/>
      <c r="G82" s="74" t="n"/>
      <c r="H82" s="74" t="n"/>
      <c r="I82" s="74" t="n"/>
      <c r="J82" s="50" t="n"/>
      <c r="K82" s="44" t="n"/>
      <c r="L82" s="44" t="n"/>
      <c r="M82" s="57" t="n"/>
      <c r="N82" s="50" t="n"/>
    </row>
    <row r="83">
      <c r="A83" s="43" t="n">
        <v>80</v>
      </c>
      <c r="B83" s="50" t="inlineStr">
        <is>
          <t>朱博文</t>
        </is>
      </c>
      <c r="C83" s="45" t="inlineStr">
        <is>
          <t>管理人员</t>
        </is>
      </c>
      <c r="D83" s="45" t="n"/>
      <c r="E83" s="45" t="n"/>
      <c r="F83" s="50" t="n"/>
      <c r="G83" s="74" t="n"/>
      <c r="H83" s="74" t="n"/>
      <c r="I83" s="74" t="n"/>
      <c r="J83" s="50" t="n"/>
      <c r="K83" s="44" t="n"/>
      <c r="L83" s="44" t="n"/>
      <c r="M83" s="57" t="n"/>
      <c r="N83" s="50" t="inlineStr">
        <is>
          <t>办公室（流水里有 4、5 月工资和社保）</t>
        </is>
      </c>
    </row>
    <row r="84">
      <c r="A84" s="43" t="n">
        <v>81</v>
      </c>
      <c r="B84" s="50" t="inlineStr">
        <is>
          <t>雷友才</t>
        </is>
      </c>
      <c r="C84" s="45" t="inlineStr">
        <is>
          <t>工人</t>
        </is>
      </c>
      <c r="D84" s="45" t="n"/>
      <c r="E84" s="45" t="n"/>
      <c r="F84" s="50" t="n"/>
      <c r="G84" s="74" t="n"/>
      <c r="H84" s="74" t="n"/>
      <c r="I84" s="74" t="n"/>
      <c r="J84" s="50" t="n"/>
      <c r="K84" s="44" t="n"/>
      <c r="L84" s="44" t="n"/>
      <c r="M84" s="57" t="n"/>
      <c r="N84" s="50" t="inlineStr">
        <is>
          <t>流水/工资汇总里有，日工资请补</t>
        </is>
      </c>
    </row>
    <row r="85">
      <c r="A85" s="43" t="n">
        <v>82</v>
      </c>
      <c r="B85" s="50" t="inlineStr">
        <is>
          <t>占善庆</t>
        </is>
      </c>
      <c r="C85" s="45" t="inlineStr">
        <is>
          <t>工人</t>
        </is>
      </c>
      <c r="D85" s="45" t="n"/>
      <c r="E85" s="45" t="n"/>
      <c r="F85" s="50" t="n"/>
      <c r="G85" s="74" t="n"/>
      <c r="H85" s="74" t="n"/>
      <c r="I85" s="74" t="n"/>
      <c r="J85" s="50" t="n"/>
      <c r="K85" s="44" t="n"/>
      <c r="L85" s="44" t="n"/>
      <c r="M85" s="57" t="n"/>
      <c r="N85" s="50" t="inlineStr">
        <is>
          <t>流水/工资汇总里有，日工资请补</t>
        </is>
      </c>
    </row>
    <row r="86">
      <c r="A86" s="43" t="n">
        <v>83</v>
      </c>
      <c r="B86" s="50" t="inlineStr">
        <is>
          <t>张洪林</t>
        </is>
      </c>
      <c r="C86" s="45" t="inlineStr">
        <is>
          <t>工人</t>
        </is>
      </c>
      <c r="D86" s="45" t="n"/>
      <c r="E86" s="45" t="n"/>
      <c r="F86" s="50" t="n"/>
      <c r="G86" s="74" t="n"/>
      <c r="H86" s="74" t="n"/>
      <c r="I86" s="74" t="n"/>
      <c r="J86" s="50" t="n"/>
      <c r="K86" s="44" t="n"/>
      <c r="L86" s="44" t="n"/>
      <c r="M86" s="57" t="n"/>
      <c r="N86" s="50" t="inlineStr">
        <is>
          <t>7/31 邹桥屋面保温棉搬运 1 天 1,200（代扣个税 80，实发 1,120）：要代扣个税的走考勤</t>
        </is>
      </c>
    </row>
    <row r="87">
      <c r="A87" s="43" t="n">
        <v>84</v>
      </c>
      <c r="B87" s="50" t="inlineStr">
        <is>
          <t>九江财小保</t>
        </is>
      </c>
      <c r="C87" s="45" t="inlineStr">
        <is>
          <t>其他</t>
        </is>
      </c>
      <c r="D87" s="45" t="n"/>
      <c r="E87" s="45" t="n"/>
      <c r="F87" s="50" t="n"/>
      <c r="G87" s="74" t="n"/>
      <c r="H87" s="74" t="n"/>
      <c r="I87" s="74" t="n"/>
      <c r="J87" s="50" t="n"/>
      <c r="K87" s="44" t="n"/>
      <c r="L87" s="44" t="n"/>
      <c r="M87" s="57" t="n"/>
      <c r="N87" s="50" t="inlineStr">
        <is>
          <t>代账公司</t>
        </is>
      </c>
    </row>
    <row r="88">
      <c r="A88" s="43" t="n">
        <v>85</v>
      </c>
      <c r="B88" s="50" t="n"/>
      <c r="C88" s="45" t="n"/>
      <c r="D88" s="45" t="n"/>
      <c r="E88" s="45" t="n"/>
      <c r="F88" s="50" t="n"/>
      <c r="G88" s="74" t="n"/>
      <c r="H88" s="74" t="n"/>
      <c r="I88" s="74" t="n"/>
      <c r="J88" s="50" t="n"/>
      <c r="K88" s="44" t="n"/>
      <c r="L88" s="44" t="n"/>
      <c r="M88" s="57" t="n"/>
      <c r="N88" s="50" t="n"/>
    </row>
    <row r="89">
      <c r="A89" s="43" t="n">
        <v>86</v>
      </c>
      <c r="B89" s="50" t="n"/>
      <c r="C89" s="45" t="n"/>
      <c r="D89" s="45" t="n"/>
      <c r="E89" s="45" t="n"/>
      <c r="F89" s="50" t="n"/>
      <c r="G89" s="74" t="n"/>
      <c r="H89" s="74" t="n"/>
      <c r="I89" s="74" t="n"/>
      <c r="J89" s="50" t="n"/>
      <c r="K89" s="44" t="n"/>
      <c r="L89" s="44" t="n"/>
      <c r="M89" s="57" t="n"/>
      <c r="N89" s="50" t="n"/>
    </row>
    <row r="90">
      <c r="A90" s="43" t="n">
        <v>87</v>
      </c>
      <c r="B90" s="50" t="n"/>
      <c r="C90" s="45" t="n"/>
      <c r="D90" s="45" t="n"/>
      <c r="E90" s="45" t="n"/>
      <c r="F90" s="50" t="n"/>
      <c r="G90" s="74" t="n"/>
      <c r="H90" s="74" t="n"/>
      <c r="I90" s="74" t="n"/>
      <c r="J90" s="50" t="n"/>
      <c r="K90" s="44" t="n"/>
      <c r="L90" s="44" t="n"/>
      <c r="M90" s="57" t="n"/>
      <c r="N90" s="50" t="n"/>
    </row>
    <row r="91">
      <c r="A91" s="43" t="n">
        <v>88</v>
      </c>
      <c r="B91" s="50" t="n"/>
      <c r="C91" s="45" t="n"/>
      <c r="D91" s="45" t="n"/>
      <c r="E91" s="45" t="n"/>
      <c r="F91" s="50" t="n"/>
      <c r="G91" s="74" t="n"/>
      <c r="H91" s="74" t="n"/>
      <c r="I91" s="74" t="n"/>
      <c r="J91" s="50" t="n"/>
      <c r="K91" s="44" t="n"/>
      <c r="L91" s="44" t="n"/>
      <c r="M91" s="57" t="n"/>
      <c r="N91" s="50" t="n"/>
    </row>
    <row r="92">
      <c r="A92" s="43" t="n">
        <v>89</v>
      </c>
      <c r="B92" s="50" t="n"/>
      <c r="C92" s="45" t="n"/>
      <c r="D92" s="45" t="n"/>
      <c r="E92" s="45" t="n"/>
      <c r="F92" s="50" t="n"/>
      <c r="G92" s="74" t="n"/>
      <c r="H92" s="74" t="n"/>
      <c r="I92" s="74" t="n"/>
      <c r="J92" s="50" t="n"/>
      <c r="K92" s="44" t="n"/>
      <c r="L92" s="44" t="n"/>
      <c r="M92" s="57" t="n"/>
      <c r="N92" s="50" t="n"/>
    </row>
    <row r="93">
      <c r="A93" s="43" t="n">
        <v>90</v>
      </c>
      <c r="B93" s="50" t="n"/>
      <c r="C93" s="45" t="n"/>
      <c r="D93" s="45" t="n"/>
      <c r="E93" s="45" t="n"/>
      <c r="F93" s="50" t="n"/>
      <c r="G93" s="74" t="n"/>
      <c r="H93" s="74" t="n"/>
      <c r="I93" s="74" t="n"/>
      <c r="J93" s="50" t="n"/>
      <c r="K93" s="44" t="n"/>
      <c r="L93" s="44" t="n"/>
      <c r="M93" s="57" t="n"/>
      <c r="N93" s="50" t="n"/>
    </row>
    <row r="94">
      <c r="A94" s="43" t="n">
        <v>91</v>
      </c>
      <c r="B94" s="50" t="n"/>
      <c r="C94" s="45" t="n"/>
      <c r="D94" s="45" t="n"/>
      <c r="E94" s="45" t="n"/>
      <c r="F94" s="50" t="n"/>
      <c r="G94" s="74" t="n"/>
      <c r="H94" s="74" t="n"/>
      <c r="I94" s="74" t="n"/>
      <c r="J94" s="50" t="n"/>
      <c r="K94" s="44" t="n"/>
      <c r="L94" s="44" t="n"/>
      <c r="M94" s="57" t="n"/>
      <c r="N94" s="50" t="n"/>
    </row>
    <row r="95">
      <c r="A95" s="43" t="n">
        <v>92</v>
      </c>
      <c r="B95" s="50" t="n"/>
      <c r="C95" s="45" t="n"/>
      <c r="D95" s="45" t="n"/>
      <c r="E95" s="45" t="n"/>
      <c r="F95" s="50" t="n"/>
      <c r="G95" s="74" t="n"/>
      <c r="H95" s="74" t="n"/>
      <c r="I95" s="74" t="n"/>
      <c r="J95" s="50" t="n"/>
      <c r="K95" s="44" t="n"/>
      <c r="L95" s="44" t="n"/>
      <c r="M95" s="57" t="n"/>
      <c r="N95" s="50" t="n"/>
    </row>
    <row r="96">
      <c r="A96" s="43" t="n">
        <v>93</v>
      </c>
      <c r="B96" s="50" t="n"/>
      <c r="C96" s="45" t="n"/>
      <c r="D96" s="45" t="n"/>
      <c r="E96" s="45" t="n"/>
      <c r="F96" s="50" t="n"/>
      <c r="G96" s="74" t="n"/>
      <c r="H96" s="74" t="n"/>
      <c r="I96" s="74" t="n"/>
      <c r="J96" s="50" t="n"/>
      <c r="K96" s="44" t="n"/>
      <c r="L96" s="44" t="n"/>
      <c r="M96" s="57" t="n"/>
      <c r="N96" s="50" t="n"/>
    </row>
    <row r="97">
      <c r="A97" s="43" t="n">
        <v>94</v>
      </c>
      <c r="B97" s="50" t="n"/>
      <c r="C97" s="45" t="n"/>
      <c r="D97" s="45" t="n"/>
      <c r="E97" s="45" t="n"/>
      <c r="F97" s="50" t="n"/>
      <c r="G97" s="74" t="n"/>
      <c r="H97" s="74" t="n"/>
      <c r="I97" s="74" t="n"/>
      <c r="J97" s="50" t="n"/>
      <c r="K97" s="44" t="n"/>
      <c r="L97" s="44" t="n"/>
      <c r="M97" s="57" t="n"/>
      <c r="N97" s="50" t="n"/>
    </row>
    <row r="98">
      <c r="A98" s="43" t="n">
        <v>95</v>
      </c>
      <c r="B98" s="50" t="n"/>
      <c r="C98" s="45" t="n"/>
      <c r="D98" s="45" t="n"/>
      <c r="E98" s="45" t="n"/>
      <c r="F98" s="50" t="n"/>
      <c r="G98" s="74" t="n"/>
      <c r="H98" s="74" t="n"/>
      <c r="I98" s="74" t="n"/>
      <c r="J98" s="50" t="n"/>
      <c r="K98" s="44" t="n"/>
      <c r="L98" s="44" t="n"/>
      <c r="M98" s="57" t="n"/>
      <c r="N98" s="50" t="n"/>
    </row>
    <row r="99">
      <c r="A99" s="43" t="n">
        <v>96</v>
      </c>
      <c r="B99" s="50" t="n"/>
      <c r="C99" s="45" t="n"/>
      <c r="D99" s="45" t="n"/>
      <c r="E99" s="45" t="n"/>
      <c r="F99" s="50" t="n"/>
      <c r="G99" s="74" t="n"/>
      <c r="H99" s="74" t="n"/>
      <c r="I99" s="74" t="n"/>
      <c r="J99" s="50" t="n"/>
      <c r="K99" s="44" t="n"/>
      <c r="L99" s="44" t="n"/>
      <c r="M99" s="57" t="n"/>
      <c r="N99" s="50" t="n"/>
    </row>
    <row r="100">
      <c r="A100" s="43" t="n">
        <v>97</v>
      </c>
      <c r="B100" s="50" t="n"/>
      <c r="C100" s="45" t="n"/>
      <c r="D100" s="45" t="n"/>
      <c r="E100" s="45" t="n"/>
      <c r="F100" s="50" t="n"/>
      <c r="G100" s="74" t="n"/>
      <c r="H100" s="74" t="n"/>
      <c r="I100" s="74" t="n"/>
      <c r="J100" s="50" t="n"/>
      <c r="K100" s="44" t="n"/>
      <c r="L100" s="44" t="n"/>
      <c r="M100" s="57" t="n"/>
      <c r="N100" s="50" t="n"/>
    </row>
    <row r="101">
      <c r="A101" s="43" t="n">
        <v>98</v>
      </c>
      <c r="B101" s="50" t="n"/>
      <c r="C101" s="45" t="n"/>
      <c r="D101" s="45" t="n"/>
      <c r="E101" s="45" t="n"/>
      <c r="F101" s="50" t="n"/>
      <c r="G101" s="74" t="n"/>
      <c r="H101" s="74" t="n"/>
      <c r="I101" s="74" t="n"/>
      <c r="J101" s="50" t="n"/>
      <c r="K101" s="44" t="n"/>
      <c r="L101" s="44" t="n"/>
      <c r="M101" s="57" t="n"/>
      <c r="N101" s="50" t="n"/>
    </row>
    <row r="102">
      <c r="A102" s="43" t="n">
        <v>99</v>
      </c>
      <c r="B102" s="50" t="n"/>
      <c r="C102" s="45" t="n"/>
      <c r="D102" s="45" t="n"/>
      <c r="E102" s="45" t="n"/>
      <c r="F102" s="50" t="n"/>
      <c r="G102" s="74" t="n"/>
      <c r="H102" s="74" t="n"/>
      <c r="I102" s="74" t="n"/>
      <c r="J102" s="50" t="n"/>
      <c r="K102" s="44" t="n"/>
      <c r="L102" s="44" t="n"/>
      <c r="M102" s="57" t="n"/>
      <c r="N102" s="50" t="n"/>
    </row>
    <row r="103">
      <c r="A103" s="43" t="n">
        <v>100</v>
      </c>
      <c r="B103" s="50" t="n"/>
      <c r="C103" s="45" t="n"/>
      <c r="D103" s="45" t="n"/>
      <c r="E103" s="45" t="n"/>
      <c r="F103" s="50" t="n"/>
      <c r="G103" s="74" t="n"/>
      <c r="H103" s="74" t="n"/>
      <c r="I103" s="74" t="n"/>
      <c r="J103" s="50" t="n"/>
      <c r="K103" s="44" t="n"/>
      <c r="L103" s="44" t="n"/>
      <c r="M103" s="57" t="n"/>
      <c r="N103" s="50" t="n"/>
    </row>
    <row r="104">
      <c r="A104" s="43" t="n">
        <v>101</v>
      </c>
      <c r="B104" s="50" t="n"/>
      <c r="C104" s="45" t="n"/>
      <c r="D104" s="45" t="n"/>
      <c r="E104" s="45" t="n"/>
      <c r="F104" s="50" t="n"/>
      <c r="G104" s="74" t="n"/>
      <c r="H104" s="74" t="n"/>
      <c r="I104" s="74" t="n"/>
      <c r="J104" s="50" t="n"/>
      <c r="K104" s="44" t="n"/>
      <c r="L104" s="44" t="n"/>
      <c r="M104" s="57" t="n"/>
      <c r="N104" s="50" t="n"/>
    </row>
    <row r="105">
      <c r="A105" s="43" t="n">
        <v>102</v>
      </c>
      <c r="B105" s="50" t="n"/>
      <c r="C105" s="45" t="n"/>
      <c r="D105" s="45" t="n"/>
      <c r="E105" s="45" t="n"/>
      <c r="F105" s="50" t="n"/>
      <c r="G105" s="74" t="n"/>
      <c r="H105" s="74" t="n"/>
      <c r="I105" s="74" t="n"/>
      <c r="J105" s="50" t="n"/>
      <c r="K105" s="44" t="n"/>
      <c r="L105" s="44" t="n"/>
      <c r="M105" s="57" t="n"/>
      <c r="N105" s="50" t="n"/>
    </row>
    <row r="106">
      <c r="A106" s="43" t="n">
        <v>103</v>
      </c>
      <c r="B106" s="50" t="n"/>
      <c r="C106" s="45" t="n"/>
      <c r="D106" s="45" t="n"/>
      <c r="E106" s="45" t="n"/>
      <c r="F106" s="50" t="n"/>
      <c r="G106" s="74" t="n"/>
      <c r="H106" s="74" t="n"/>
      <c r="I106" s="74" t="n"/>
      <c r="J106" s="50" t="n"/>
      <c r="K106" s="44" t="n"/>
      <c r="L106" s="44" t="n"/>
      <c r="M106" s="57" t="n"/>
      <c r="N106" s="50" t="n"/>
    </row>
    <row r="107">
      <c r="A107" s="43" t="n">
        <v>104</v>
      </c>
      <c r="B107" s="50" t="n"/>
      <c r="C107" s="45" t="n"/>
      <c r="D107" s="45" t="n"/>
      <c r="E107" s="45" t="n"/>
      <c r="F107" s="50" t="n"/>
      <c r="G107" s="74" t="n"/>
      <c r="H107" s="74" t="n"/>
      <c r="I107" s="74" t="n"/>
      <c r="J107" s="50" t="n"/>
      <c r="K107" s="44" t="n"/>
      <c r="L107" s="44" t="n"/>
      <c r="M107" s="57" t="n"/>
      <c r="N107" s="50" t="n"/>
    </row>
    <row r="108">
      <c r="A108" s="43" t="n">
        <v>105</v>
      </c>
      <c r="B108" s="50" t="n"/>
      <c r="C108" s="45" t="n"/>
      <c r="D108" s="45" t="n"/>
      <c r="E108" s="45" t="n"/>
      <c r="F108" s="50" t="n"/>
      <c r="G108" s="74" t="n"/>
      <c r="H108" s="74" t="n"/>
      <c r="I108" s="74" t="n"/>
      <c r="J108" s="50" t="n"/>
      <c r="K108" s="44" t="n"/>
      <c r="L108" s="44" t="n"/>
      <c r="M108" s="57" t="n"/>
      <c r="N108" s="50" t="n"/>
    </row>
    <row r="109">
      <c r="A109" s="43" t="n">
        <v>106</v>
      </c>
      <c r="B109" s="50" t="n"/>
      <c r="C109" s="45" t="n"/>
      <c r="D109" s="45" t="n"/>
      <c r="E109" s="45" t="n"/>
      <c r="F109" s="50" t="n"/>
      <c r="G109" s="74" t="n"/>
      <c r="H109" s="74" t="n"/>
      <c r="I109" s="74" t="n"/>
      <c r="J109" s="50" t="n"/>
      <c r="K109" s="44" t="n"/>
      <c r="L109" s="44" t="n"/>
      <c r="M109" s="57" t="n"/>
      <c r="N109" s="50" t="n"/>
    </row>
    <row r="110">
      <c r="A110" s="43" t="n">
        <v>107</v>
      </c>
      <c r="B110" s="50" t="n"/>
      <c r="C110" s="45" t="n"/>
      <c r="D110" s="45" t="n"/>
      <c r="E110" s="45" t="n"/>
      <c r="F110" s="50" t="n"/>
      <c r="G110" s="74" t="n"/>
      <c r="H110" s="74" t="n"/>
      <c r="I110" s="74" t="n"/>
      <c r="J110" s="50" t="n"/>
      <c r="K110" s="44" t="n"/>
      <c r="L110" s="44" t="n"/>
      <c r="M110" s="57" t="n"/>
      <c r="N110" s="50" t="n"/>
    </row>
    <row r="111">
      <c r="A111" s="43" t="n">
        <v>108</v>
      </c>
      <c r="B111" s="50" t="n"/>
      <c r="C111" s="45" t="n"/>
      <c r="D111" s="45" t="n"/>
      <c r="E111" s="45" t="n"/>
      <c r="F111" s="50" t="n"/>
      <c r="G111" s="74" t="n"/>
      <c r="H111" s="74" t="n"/>
      <c r="I111" s="74" t="n"/>
      <c r="J111" s="50" t="n"/>
      <c r="K111" s="44" t="n"/>
      <c r="L111" s="44" t="n"/>
      <c r="M111" s="57" t="n"/>
      <c r="N111" s="50" t="n"/>
    </row>
    <row r="112">
      <c r="A112" s="43" t="n">
        <v>109</v>
      </c>
      <c r="B112" s="50" t="n"/>
      <c r="C112" s="45" t="n"/>
      <c r="D112" s="45" t="n"/>
      <c r="E112" s="45" t="n"/>
      <c r="F112" s="50" t="n"/>
      <c r="G112" s="74" t="n"/>
      <c r="H112" s="74" t="n"/>
      <c r="I112" s="74" t="n"/>
      <c r="J112" s="50" t="n"/>
      <c r="K112" s="44" t="n"/>
      <c r="L112" s="44" t="n"/>
      <c r="M112" s="57" t="n"/>
      <c r="N112" s="50" t="n"/>
    </row>
    <row r="113">
      <c r="A113" s="43" t="n">
        <v>110</v>
      </c>
      <c r="B113" s="50" t="n"/>
      <c r="C113" s="45" t="n"/>
      <c r="D113" s="45" t="n"/>
      <c r="E113" s="45" t="n"/>
      <c r="F113" s="50" t="n"/>
      <c r="G113" s="74" t="n"/>
      <c r="H113" s="74" t="n"/>
      <c r="I113" s="74" t="n"/>
      <c r="J113" s="50" t="n"/>
      <c r="K113" s="44" t="n"/>
      <c r="L113" s="44" t="n"/>
      <c r="M113" s="57" t="n"/>
      <c r="N113" s="50" t="n"/>
    </row>
    <row r="114">
      <c r="A114" s="43" t="n">
        <v>111</v>
      </c>
      <c r="B114" s="50" t="n"/>
      <c r="C114" s="45" t="n"/>
      <c r="D114" s="45" t="n"/>
      <c r="E114" s="45" t="n"/>
      <c r="F114" s="50" t="n"/>
      <c r="G114" s="74" t="n"/>
      <c r="H114" s="74" t="n"/>
      <c r="I114" s="74" t="n"/>
      <c r="J114" s="50" t="n"/>
      <c r="K114" s="44" t="n"/>
      <c r="L114" s="44" t="n"/>
      <c r="M114" s="57" t="n"/>
      <c r="N114" s="50" t="n"/>
    </row>
    <row r="115">
      <c r="A115" s="43" t="n">
        <v>112</v>
      </c>
      <c r="B115" s="50" t="n"/>
      <c r="C115" s="45" t="n"/>
      <c r="D115" s="45" t="n"/>
      <c r="E115" s="45" t="n"/>
      <c r="F115" s="50" t="n"/>
      <c r="G115" s="74" t="n"/>
      <c r="H115" s="74" t="n"/>
      <c r="I115" s="74" t="n"/>
      <c r="J115" s="50" t="n"/>
      <c r="K115" s="44" t="n"/>
      <c r="L115" s="44" t="n"/>
      <c r="M115" s="57" t="n"/>
      <c r="N115" s="50" t="n"/>
    </row>
    <row r="116">
      <c r="A116" s="43" t="n">
        <v>113</v>
      </c>
      <c r="B116" s="50" t="n"/>
      <c r="C116" s="45" t="n"/>
      <c r="D116" s="45" t="n"/>
      <c r="E116" s="45" t="n"/>
      <c r="F116" s="50" t="n"/>
      <c r="G116" s="74" t="n"/>
      <c r="H116" s="74" t="n"/>
      <c r="I116" s="74" t="n"/>
      <c r="J116" s="50" t="n"/>
      <c r="K116" s="44" t="n"/>
      <c r="L116" s="44" t="n"/>
      <c r="M116" s="57" t="n"/>
      <c r="N116" s="50" t="n"/>
    </row>
    <row r="117">
      <c r="A117" s="43" t="n">
        <v>114</v>
      </c>
      <c r="B117" s="50" t="n"/>
      <c r="C117" s="45" t="n"/>
      <c r="D117" s="45" t="n"/>
      <c r="E117" s="45" t="n"/>
      <c r="F117" s="50" t="n"/>
      <c r="G117" s="74" t="n"/>
      <c r="H117" s="74" t="n"/>
      <c r="I117" s="74" t="n"/>
      <c r="J117" s="50" t="n"/>
      <c r="K117" s="44" t="n"/>
      <c r="L117" s="44" t="n"/>
      <c r="M117" s="57" t="n"/>
      <c r="N117" s="50" t="n"/>
    </row>
    <row r="118">
      <c r="A118" s="43" t="n">
        <v>115</v>
      </c>
      <c r="B118" s="50" t="n"/>
      <c r="C118" s="45" t="n"/>
      <c r="D118" s="45" t="n"/>
      <c r="E118" s="45" t="n"/>
      <c r="F118" s="50" t="n"/>
      <c r="G118" s="74" t="n"/>
      <c r="H118" s="74" t="n"/>
      <c r="I118" s="74" t="n"/>
      <c r="J118" s="50" t="n"/>
      <c r="K118" s="44" t="n"/>
      <c r="L118" s="44" t="n"/>
      <c r="M118" s="57" t="n"/>
      <c r="N118" s="50" t="n"/>
    </row>
    <row r="119">
      <c r="A119" s="43" t="n">
        <v>116</v>
      </c>
      <c r="B119" s="50" t="n"/>
      <c r="C119" s="45" t="n"/>
      <c r="D119" s="45" t="n"/>
      <c r="E119" s="45" t="n"/>
      <c r="F119" s="50" t="n"/>
      <c r="G119" s="74" t="n"/>
      <c r="H119" s="74" t="n"/>
      <c r="I119" s="74" t="n"/>
      <c r="J119" s="50" t="n"/>
      <c r="K119" s="44" t="n"/>
      <c r="L119" s="44" t="n"/>
      <c r="M119" s="57" t="n"/>
      <c r="N119" s="50" t="n"/>
    </row>
    <row r="120">
      <c r="A120" s="43" t="n">
        <v>117</v>
      </c>
      <c r="B120" s="50" t="n"/>
      <c r="C120" s="45" t="n"/>
      <c r="D120" s="45" t="n"/>
      <c r="E120" s="45" t="n"/>
      <c r="F120" s="50" t="n"/>
      <c r="G120" s="74" t="n"/>
      <c r="H120" s="74" t="n"/>
      <c r="I120" s="74" t="n"/>
      <c r="J120" s="50" t="n"/>
      <c r="K120" s="44" t="n"/>
      <c r="L120" s="44" t="n"/>
      <c r="M120" s="57" t="n"/>
      <c r="N120" s="50" t="n"/>
    </row>
    <row r="121">
      <c r="A121" s="43" t="n">
        <v>118</v>
      </c>
      <c r="B121" s="50" t="n"/>
      <c r="C121" s="45" t="n"/>
      <c r="D121" s="45" t="n"/>
      <c r="E121" s="45" t="n"/>
      <c r="F121" s="50" t="n"/>
      <c r="G121" s="74" t="n"/>
      <c r="H121" s="74" t="n"/>
      <c r="I121" s="74" t="n"/>
      <c r="J121" s="50" t="n"/>
      <c r="K121" s="44" t="n"/>
      <c r="L121" s="44" t="n"/>
      <c r="M121" s="57" t="n"/>
      <c r="N121" s="50" t="n"/>
    </row>
    <row r="122">
      <c r="A122" s="43" t="n">
        <v>119</v>
      </c>
      <c r="B122" s="50" t="n"/>
      <c r="C122" s="45" t="n"/>
      <c r="D122" s="45" t="n"/>
      <c r="E122" s="45" t="n"/>
      <c r="F122" s="50" t="n"/>
      <c r="G122" s="74" t="n"/>
      <c r="H122" s="74" t="n"/>
      <c r="I122" s="74" t="n"/>
      <c r="J122" s="50" t="n"/>
      <c r="K122" s="44" t="n"/>
      <c r="L122" s="44" t="n"/>
      <c r="M122" s="57" t="n"/>
      <c r="N122" s="50" t="n"/>
    </row>
    <row r="123">
      <c r="A123" s="43" t="n">
        <v>120</v>
      </c>
      <c r="B123" s="50" t="n"/>
      <c r="C123" s="45" t="n"/>
      <c r="D123" s="45" t="n"/>
      <c r="E123" s="45" t="n"/>
      <c r="F123" s="50" t="n"/>
      <c r="G123" s="74" t="n"/>
      <c r="H123" s="74" t="n"/>
      <c r="I123" s="74" t="n"/>
      <c r="J123" s="50" t="n"/>
      <c r="K123" s="44" t="n"/>
      <c r="L123" s="44" t="n"/>
      <c r="M123" s="57" t="n"/>
      <c r="N123" s="50" t="n"/>
    </row>
    <row r="124">
      <c r="A124" s="43" t="n">
        <v>121</v>
      </c>
      <c r="B124" s="50" t="n"/>
      <c r="C124" s="45" t="n"/>
      <c r="D124" s="45" t="n"/>
      <c r="E124" s="45" t="n"/>
      <c r="F124" s="50" t="n"/>
      <c r="G124" s="74" t="n"/>
      <c r="H124" s="74" t="n"/>
      <c r="I124" s="74" t="n"/>
      <c r="J124" s="50" t="n"/>
      <c r="K124" s="44" t="n"/>
      <c r="L124" s="44" t="n"/>
      <c r="M124" s="57" t="n"/>
      <c r="N124" s="50" t="n"/>
    </row>
    <row r="125">
      <c r="A125" s="43" t="n">
        <v>122</v>
      </c>
      <c r="B125" s="50" t="n"/>
      <c r="C125" s="45" t="n"/>
      <c r="D125" s="45" t="n"/>
      <c r="E125" s="45" t="n"/>
      <c r="F125" s="50" t="n"/>
      <c r="G125" s="74" t="n"/>
      <c r="H125" s="74" t="n"/>
      <c r="I125" s="74" t="n"/>
      <c r="J125" s="50" t="n"/>
      <c r="K125" s="44" t="n"/>
      <c r="L125" s="44" t="n"/>
      <c r="M125" s="57" t="n"/>
      <c r="N125" s="50" t="n"/>
    </row>
    <row r="126">
      <c r="A126" s="43" t="n">
        <v>123</v>
      </c>
      <c r="B126" s="50" t="n"/>
      <c r="C126" s="45" t="n"/>
      <c r="D126" s="45" t="n"/>
      <c r="E126" s="45" t="n"/>
      <c r="F126" s="50" t="n"/>
      <c r="G126" s="74" t="n"/>
      <c r="H126" s="74" t="n"/>
      <c r="I126" s="74" t="n"/>
      <c r="J126" s="50" t="n"/>
      <c r="K126" s="44" t="n"/>
      <c r="L126" s="44" t="n"/>
      <c r="M126" s="57" t="n"/>
      <c r="N126" s="50" t="n"/>
    </row>
    <row r="127">
      <c r="A127" s="43" t="n">
        <v>124</v>
      </c>
      <c r="B127" s="50" t="n"/>
      <c r="C127" s="45" t="n"/>
      <c r="D127" s="45" t="n"/>
      <c r="E127" s="45" t="n"/>
      <c r="F127" s="50" t="n"/>
      <c r="G127" s="74" t="n"/>
      <c r="H127" s="74" t="n"/>
      <c r="I127" s="74" t="n"/>
      <c r="J127" s="50" t="n"/>
      <c r="K127" s="44" t="n"/>
      <c r="L127" s="44" t="n"/>
      <c r="M127" s="57" t="n"/>
      <c r="N127" s="50" t="n"/>
    </row>
    <row r="128">
      <c r="A128" s="43" t="n">
        <v>125</v>
      </c>
      <c r="B128" s="50" t="n"/>
      <c r="C128" s="45" t="n"/>
      <c r="D128" s="45" t="n"/>
      <c r="E128" s="45" t="n"/>
      <c r="F128" s="50" t="n"/>
      <c r="G128" s="74" t="n"/>
      <c r="H128" s="74" t="n"/>
      <c r="I128" s="74" t="n"/>
      <c r="J128" s="50" t="n"/>
      <c r="K128" s="44" t="n"/>
      <c r="L128" s="44" t="n"/>
      <c r="M128" s="57" t="n"/>
      <c r="N128" s="50" t="n"/>
    </row>
    <row r="129">
      <c r="A129" s="43" t="n">
        <v>126</v>
      </c>
      <c r="B129" s="50" t="n"/>
      <c r="C129" s="45" t="n"/>
      <c r="D129" s="45" t="n"/>
      <c r="E129" s="45" t="n"/>
      <c r="F129" s="50" t="n"/>
      <c r="G129" s="74" t="n"/>
      <c r="H129" s="74" t="n"/>
      <c r="I129" s="74" t="n"/>
      <c r="J129" s="50" t="n"/>
      <c r="K129" s="44" t="n"/>
      <c r="L129" s="44" t="n"/>
      <c r="M129" s="57" t="n"/>
      <c r="N129" s="50" t="n"/>
    </row>
    <row r="130">
      <c r="A130" s="43" t="n">
        <v>127</v>
      </c>
      <c r="B130" s="50" t="n"/>
      <c r="C130" s="45" t="n"/>
      <c r="D130" s="45" t="n"/>
      <c r="E130" s="45" t="n"/>
      <c r="F130" s="50" t="n"/>
      <c r="G130" s="74" t="n"/>
      <c r="H130" s="74" t="n"/>
      <c r="I130" s="74" t="n"/>
      <c r="J130" s="50" t="n"/>
      <c r="K130" s="44" t="n"/>
      <c r="L130" s="44" t="n"/>
      <c r="M130" s="57" t="n"/>
      <c r="N130" s="50" t="n"/>
    </row>
    <row r="131">
      <c r="A131" s="43" t="n">
        <v>128</v>
      </c>
      <c r="B131" s="50" t="n"/>
      <c r="C131" s="45" t="n"/>
      <c r="D131" s="45" t="n"/>
      <c r="E131" s="45" t="n"/>
      <c r="F131" s="50" t="n"/>
      <c r="G131" s="74" t="n"/>
      <c r="H131" s="74" t="n"/>
      <c r="I131" s="74" t="n"/>
      <c r="J131" s="50" t="n"/>
      <c r="K131" s="44" t="n"/>
      <c r="L131" s="44" t="n"/>
      <c r="M131" s="57" t="n"/>
      <c r="N131" s="50" t="n"/>
    </row>
    <row r="132">
      <c r="A132" s="43" t="n">
        <v>129</v>
      </c>
      <c r="B132" s="50" t="n"/>
      <c r="C132" s="45" t="n"/>
      <c r="D132" s="45" t="n"/>
      <c r="E132" s="45" t="n"/>
      <c r="F132" s="50" t="n"/>
      <c r="G132" s="74" t="n"/>
      <c r="H132" s="74" t="n"/>
      <c r="I132" s="74" t="n"/>
      <c r="J132" s="50" t="n"/>
      <c r="K132" s="44" t="n"/>
      <c r="L132" s="44" t="n"/>
      <c r="M132" s="57" t="n"/>
      <c r="N132" s="50" t="n"/>
    </row>
    <row r="133">
      <c r="A133" s="43" t="n">
        <v>130</v>
      </c>
      <c r="B133" s="50" t="n"/>
      <c r="C133" s="45" t="n"/>
      <c r="D133" s="45" t="n"/>
      <c r="E133" s="45" t="n"/>
      <c r="F133" s="50" t="n"/>
      <c r="G133" s="74" t="n"/>
      <c r="H133" s="74" t="n"/>
      <c r="I133" s="74" t="n"/>
      <c r="J133" s="50" t="n"/>
      <c r="K133" s="44" t="n"/>
      <c r="L133" s="44" t="n"/>
      <c r="M133" s="57" t="n"/>
      <c r="N133" s="50" t="n"/>
    </row>
    <row r="134">
      <c r="A134" s="43" t="n">
        <v>131</v>
      </c>
      <c r="B134" s="50" t="n"/>
      <c r="C134" s="45" t="n"/>
      <c r="D134" s="45" t="n"/>
      <c r="E134" s="45" t="n"/>
      <c r="F134" s="50" t="n"/>
      <c r="G134" s="74" t="n"/>
      <c r="H134" s="74" t="n"/>
      <c r="I134" s="74" t="n"/>
      <c r="J134" s="50" t="n"/>
      <c r="K134" s="44" t="n"/>
      <c r="L134" s="44" t="n"/>
      <c r="M134" s="57" t="n"/>
      <c r="N134" s="50" t="n"/>
    </row>
    <row r="135">
      <c r="A135" s="43" t="n">
        <v>132</v>
      </c>
      <c r="B135" s="50" t="n"/>
      <c r="C135" s="45" t="n"/>
      <c r="D135" s="45" t="n"/>
      <c r="E135" s="45" t="n"/>
      <c r="F135" s="50" t="n"/>
      <c r="G135" s="74" t="n"/>
      <c r="H135" s="74" t="n"/>
      <c r="I135" s="74" t="n"/>
      <c r="J135" s="50" t="n"/>
      <c r="K135" s="44" t="n"/>
      <c r="L135" s="44" t="n"/>
      <c r="M135" s="57" t="n"/>
      <c r="N135" s="50" t="n"/>
    </row>
    <row r="136">
      <c r="A136" s="43" t="n">
        <v>133</v>
      </c>
      <c r="B136" s="50" t="n"/>
      <c r="C136" s="45" t="n"/>
      <c r="D136" s="45" t="n"/>
      <c r="E136" s="45" t="n"/>
      <c r="F136" s="50" t="n"/>
      <c r="G136" s="74" t="n"/>
      <c r="H136" s="74" t="n"/>
      <c r="I136" s="74" t="n"/>
      <c r="J136" s="50" t="n"/>
      <c r="K136" s="44" t="n"/>
      <c r="L136" s="44" t="n"/>
      <c r="M136" s="57" t="n"/>
      <c r="N136" s="50" t="n"/>
    </row>
    <row r="137">
      <c r="A137" s="43" t="n">
        <v>134</v>
      </c>
      <c r="B137" s="50" t="n"/>
      <c r="C137" s="45" t="n"/>
      <c r="D137" s="45" t="n"/>
      <c r="E137" s="45" t="n"/>
      <c r="F137" s="50" t="n"/>
      <c r="G137" s="74" t="n"/>
      <c r="H137" s="74" t="n"/>
      <c r="I137" s="74" t="n"/>
      <c r="J137" s="50" t="n"/>
      <c r="K137" s="44" t="n"/>
      <c r="L137" s="44" t="n"/>
      <c r="M137" s="57" t="n"/>
      <c r="N137" s="50" t="n"/>
    </row>
    <row r="138">
      <c r="A138" s="43" t="n">
        <v>135</v>
      </c>
      <c r="B138" s="50" t="n"/>
      <c r="C138" s="45" t="n"/>
      <c r="D138" s="45" t="n"/>
      <c r="E138" s="45" t="n"/>
      <c r="F138" s="50" t="n"/>
      <c r="G138" s="74" t="n"/>
      <c r="H138" s="74" t="n"/>
      <c r="I138" s="74" t="n"/>
      <c r="J138" s="50" t="n"/>
      <c r="K138" s="44" t="n"/>
      <c r="L138" s="44" t="n"/>
      <c r="M138" s="57" t="n"/>
      <c r="N138" s="50" t="n"/>
    </row>
    <row r="139">
      <c r="A139" s="43" t="n">
        <v>136</v>
      </c>
      <c r="B139" s="50" t="n"/>
      <c r="C139" s="45" t="n"/>
      <c r="D139" s="45" t="n"/>
      <c r="E139" s="45" t="n"/>
      <c r="F139" s="50" t="n"/>
      <c r="G139" s="74" t="n"/>
      <c r="H139" s="74" t="n"/>
      <c r="I139" s="74" t="n"/>
      <c r="J139" s="50" t="n"/>
      <c r="K139" s="44" t="n"/>
      <c r="L139" s="44" t="n"/>
      <c r="M139" s="57" t="n"/>
      <c r="N139" s="50" t="n"/>
    </row>
    <row r="140">
      <c r="A140" s="43" t="n">
        <v>137</v>
      </c>
      <c r="B140" s="50" t="n"/>
      <c r="C140" s="45" t="n"/>
      <c r="D140" s="45" t="n"/>
      <c r="E140" s="45" t="n"/>
      <c r="F140" s="50" t="n"/>
      <c r="G140" s="74" t="n"/>
      <c r="H140" s="74" t="n"/>
      <c r="I140" s="74" t="n"/>
      <c r="J140" s="50" t="n"/>
      <c r="K140" s="44" t="n"/>
      <c r="L140" s="44" t="n"/>
      <c r="M140" s="57" t="n"/>
      <c r="N140" s="50" t="n"/>
    </row>
    <row r="141">
      <c r="A141" s="43" t="n">
        <v>138</v>
      </c>
      <c r="B141" s="50" t="n"/>
      <c r="C141" s="45" t="n"/>
      <c r="D141" s="45" t="n"/>
      <c r="E141" s="45" t="n"/>
      <c r="F141" s="50" t="n"/>
      <c r="G141" s="74" t="n"/>
      <c r="H141" s="74" t="n"/>
      <c r="I141" s="74" t="n"/>
      <c r="J141" s="50" t="n"/>
      <c r="K141" s="44" t="n"/>
      <c r="L141" s="44" t="n"/>
      <c r="M141" s="57" t="n"/>
      <c r="N141" s="50" t="n"/>
    </row>
    <row r="142">
      <c r="A142" s="43" t="n">
        <v>139</v>
      </c>
      <c r="B142" s="50" t="n"/>
      <c r="C142" s="45" t="n"/>
      <c r="D142" s="45" t="n"/>
      <c r="E142" s="45" t="n"/>
      <c r="F142" s="50" t="n"/>
      <c r="G142" s="74" t="n"/>
      <c r="H142" s="74" t="n"/>
      <c r="I142" s="74" t="n"/>
      <c r="J142" s="50" t="n"/>
      <c r="K142" s="44" t="n"/>
      <c r="L142" s="44" t="n"/>
      <c r="M142" s="57" t="n"/>
      <c r="N142" s="50" t="n"/>
    </row>
    <row r="143">
      <c r="A143" s="43" t="n">
        <v>140</v>
      </c>
      <c r="B143" s="50" t="n"/>
      <c r="C143" s="45" t="n"/>
      <c r="D143" s="45" t="n"/>
      <c r="E143" s="45" t="n"/>
      <c r="F143" s="50" t="n"/>
      <c r="G143" s="74" t="n"/>
      <c r="H143" s="74" t="n"/>
      <c r="I143" s="74" t="n"/>
      <c r="J143" s="50" t="n"/>
      <c r="K143" s="44" t="n"/>
      <c r="L143" s="44" t="n"/>
      <c r="M143" s="57" t="n"/>
      <c r="N143" s="50" t="n"/>
    </row>
    <row r="144">
      <c r="A144" s="43" t="n">
        <v>141</v>
      </c>
      <c r="B144" s="50" t="n"/>
      <c r="C144" s="45" t="n"/>
      <c r="D144" s="45" t="n"/>
      <c r="E144" s="45" t="n"/>
      <c r="F144" s="50" t="n"/>
      <c r="G144" s="74" t="n"/>
      <c r="H144" s="74" t="n"/>
      <c r="I144" s="74" t="n"/>
      <c r="J144" s="50" t="n"/>
      <c r="K144" s="44" t="n"/>
      <c r="L144" s="44" t="n"/>
      <c r="M144" s="57" t="n"/>
      <c r="N144" s="50" t="n"/>
    </row>
    <row r="145">
      <c r="A145" s="43" t="n">
        <v>142</v>
      </c>
      <c r="B145" s="50" t="n"/>
      <c r="C145" s="45" t="n"/>
      <c r="D145" s="45" t="n"/>
      <c r="E145" s="45" t="n"/>
      <c r="F145" s="50" t="n"/>
      <c r="G145" s="74" t="n"/>
      <c r="H145" s="74" t="n"/>
      <c r="I145" s="74" t="n"/>
      <c r="J145" s="50" t="n"/>
      <c r="K145" s="44" t="n"/>
      <c r="L145" s="44" t="n"/>
      <c r="M145" s="57" t="n"/>
      <c r="N145" s="50" t="n"/>
    </row>
    <row r="146">
      <c r="A146" s="43" t="n">
        <v>143</v>
      </c>
      <c r="B146" s="50" t="n"/>
      <c r="C146" s="45" t="n"/>
      <c r="D146" s="45" t="n"/>
      <c r="E146" s="45" t="n"/>
      <c r="F146" s="50" t="n"/>
      <c r="G146" s="74" t="n"/>
      <c r="H146" s="74" t="n"/>
      <c r="I146" s="74" t="n"/>
      <c r="J146" s="50" t="n"/>
      <c r="K146" s="44" t="n"/>
      <c r="L146" s="44" t="n"/>
      <c r="M146" s="57" t="n"/>
      <c r="N146" s="50" t="n"/>
    </row>
    <row r="147">
      <c r="A147" s="43" t="n">
        <v>144</v>
      </c>
      <c r="B147" s="50" t="n"/>
      <c r="C147" s="45" t="n"/>
      <c r="D147" s="45" t="n"/>
      <c r="E147" s="45" t="n"/>
      <c r="F147" s="50" t="n"/>
      <c r="G147" s="74" t="n"/>
      <c r="H147" s="74" t="n"/>
      <c r="I147" s="74" t="n"/>
      <c r="J147" s="50" t="n"/>
      <c r="K147" s="44" t="n"/>
      <c r="L147" s="44" t="n"/>
      <c r="M147" s="57" t="n"/>
      <c r="N147" s="50" t="n"/>
    </row>
    <row r="148">
      <c r="A148" s="43" t="n">
        <v>145</v>
      </c>
      <c r="B148" s="50" t="n"/>
      <c r="C148" s="45" t="n"/>
      <c r="D148" s="45" t="n"/>
      <c r="E148" s="45" t="n"/>
      <c r="F148" s="50" t="n"/>
      <c r="G148" s="74" t="n"/>
      <c r="H148" s="74" t="n"/>
      <c r="I148" s="74" t="n"/>
      <c r="J148" s="50" t="n"/>
      <c r="K148" s="44" t="n"/>
      <c r="L148" s="44" t="n"/>
      <c r="M148" s="57" t="n"/>
      <c r="N148" s="50" t="n"/>
    </row>
    <row r="149">
      <c r="A149" s="43" t="n">
        <v>146</v>
      </c>
      <c r="B149" s="50" t="n"/>
      <c r="C149" s="45" t="n"/>
      <c r="D149" s="45" t="n"/>
      <c r="E149" s="45" t="n"/>
      <c r="F149" s="50" t="n"/>
      <c r="G149" s="74" t="n"/>
      <c r="H149" s="74" t="n"/>
      <c r="I149" s="74" t="n"/>
      <c r="J149" s="50" t="n"/>
      <c r="K149" s="44" t="n"/>
      <c r="L149" s="44" t="n"/>
      <c r="M149" s="57" t="n"/>
      <c r="N149" s="50" t="n"/>
    </row>
    <row r="150">
      <c r="A150" s="43" t="n">
        <v>147</v>
      </c>
      <c r="B150" s="50" t="n"/>
      <c r="C150" s="45" t="n"/>
      <c r="D150" s="45" t="n"/>
      <c r="E150" s="45" t="n"/>
      <c r="F150" s="50" t="n"/>
      <c r="G150" s="74" t="n"/>
      <c r="H150" s="74" t="n"/>
      <c r="I150" s="74" t="n"/>
      <c r="J150" s="50" t="n"/>
      <c r="K150" s="44" t="n"/>
      <c r="L150" s="44" t="n"/>
      <c r="M150" s="57" t="n"/>
      <c r="N150" s="50" t="n"/>
    </row>
    <row r="151">
      <c r="A151" s="43" t="n">
        <v>148</v>
      </c>
      <c r="B151" s="50" t="n"/>
      <c r="C151" s="45" t="n"/>
      <c r="D151" s="45" t="n"/>
      <c r="E151" s="45" t="n"/>
      <c r="F151" s="50" t="n"/>
      <c r="G151" s="74" t="n"/>
      <c r="H151" s="74" t="n"/>
      <c r="I151" s="74" t="n"/>
      <c r="J151" s="50" t="n"/>
      <c r="K151" s="44" t="n"/>
      <c r="L151" s="44" t="n"/>
      <c r="M151" s="57" t="n"/>
      <c r="N151" s="50" t="n"/>
    </row>
    <row r="152">
      <c r="A152" s="43" t="n">
        <v>149</v>
      </c>
      <c r="B152" s="50" t="n"/>
      <c r="C152" s="45" t="n"/>
      <c r="D152" s="45" t="n"/>
      <c r="E152" s="45" t="n"/>
      <c r="F152" s="50" t="n"/>
      <c r="G152" s="74" t="n"/>
      <c r="H152" s="74" t="n"/>
      <c r="I152" s="74" t="n"/>
      <c r="J152" s="50" t="n"/>
      <c r="K152" s="44" t="n"/>
      <c r="L152" s="44" t="n"/>
      <c r="M152" s="57" t="n"/>
      <c r="N152" s="50" t="n"/>
    </row>
    <row r="153">
      <c r="A153" s="43" t="n">
        <v>150</v>
      </c>
      <c r="B153" s="50" t="n"/>
      <c r="C153" s="45" t="n"/>
      <c r="D153" s="45" t="n"/>
      <c r="E153" s="45" t="n"/>
      <c r="F153" s="50" t="n"/>
      <c r="G153" s="74" t="n"/>
      <c r="H153" s="74" t="n"/>
      <c r="I153" s="74" t="n"/>
      <c r="J153" s="50" t="n"/>
      <c r="K153" s="44" t="n"/>
      <c r="L153" s="44" t="n"/>
      <c r="M153" s="57" t="n"/>
      <c r="N153" s="50" t="n"/>
    </row>
    <row r="154">
      <c r="A154" s="43" t="n">
        <v>151</v>
      </c>
      <c r="B154" s="50" t="n"/>
      <c r="C154" s="45" t="n"/>
      <c r="D154" s="45" t="n"/>
      <c r="E154" s="45" t="n"/>
      <c r="F154" s="50" t="n"/>
      <c r="G154" s="74" t="n"/>
      <c r="H154" s="74" t="n"/>
      <c r="I154" s="74" t="n"/>
      <c r="J154" s="50" t="n"/>
      <c r="K154" s="44" t="n"/>
      <c r="L154" s="44" t="n"/>
      <c r="M154" s="57" t="n"/>
      <c r="N154" s="50" t="n"/>
    </row>
    <row r="155">
      <c r="A155" s="43" t="n">
        <v>152</v>
      </c>
      <c r="B155" s="50" t="n"/>
      <c r="C155" s="45" t="n"/>
      <c r="D155" s="45" t="n"/>
      <c r="E155" s="45" t="n"/>
      <c r="F155" s="50" t="n"/>
      <c r="G155" s="74" t="n"/>
      <c r="H155" s="74" t="n"/>
      <c r="I155" s="74" t="n"/>
      <c r="J155" s="50" t="n"/>
      <c r="K155" s="44" t="n"/>
      <c r="L155" s="44" t="n"/>
      <c r="M155" s="57" t="n"/>
      <c r="N155" s="50" t="n"/>
    </row>
    <row r="156">
      <c r="A156" s="43" t="n">
        <v>153</v>
      </c>
      <c r="B156" s="50" t="n"/>
      <c r="C156" s="45" t="n"/>
      <c r="D156" s="45" t="n"/>
      <c r="E156" s="45" t="n"/>
      <c r="F156" s="50" t="n"/>
      <c r="G156" s="74" t="n"/>
      <c r="H156" s="74" t="n"/>
      <c r="I156" s="74" t="n"/>
      <c r="J156" s="50" t="n"/>
      <c r="K156" s="44" t="n"/>
      <c r="L156" s="44" t="n"/>
      <c r="M156" s="57" t="n"/>
      <c r="N156" s="50" t="n"/>
    </row>
    <row r="157">
      <c r="A157" s="43" t="n">
        <v>154</v>
      </c>
      <c r="B157" s="50" t="n"/>
      <c r="C157" s="45" t="n"/>
      <c r="D157" s="45" t="n"/>
      <c r="E157" s="45" t="n"/>
      <c r="F157" s="50" t="n"/>
      <c r="G157" s="74" t="n"/>
      <c r="H157" s="74" t="n"/>
      <c r="I157" s="74" t="n"/>
      <c r="J157" s="50" t="n"/>
      <c r="K157" s="44" t="n"/>
      <c r="L157" s="44" t="n"/>
      <c r="M157" s="57" t="n"/>
      <c r="N157" s="50" t="n"/>
    </row>
    <row r="158">
      <c r="A158" s="43" t="n">
        <v>155</v>
      </c>
      <c r="B158" s="50" t="n"/>
      <c r="C158" s="45" t="n"/>
      <c r="D158" s="45" t="n"/>
      <c r="E158" s="45" t="n"/>
      <c r="F158" s="50" t="n"/>
      <c r="G158" s="74" t="n"/>
      <c r="H158" s="74" t="n"/>
      <c r="I158" s="74" t="n"/>
      <c r="J158" s="50" t="n"/>
      <c r="K158" s="44" t="n"/>
      <c r="L158" s="44" t="n"/>
      <c r="M158" s="57" t="n"/>
      <c r="N158" s="50" t="n"/>
    </row>
    <row r="159">
      <c r="A159" s="43" t="n">
        <v>156</v>
      </c>
      <c r="B159" s="50" t="n"/>
      <c r="C159" s="45" t="n"/>
      <c r="D159" s="45" t="n"/>
      <c r="E159" s="45" t="n"/>
      <c r="F159" s="50" t="n"/>
      <c r="G159" s="74" t="n"/>
      <c r="H159" s="74" t="n"/>
      <c r="I159" s="74" t="n"/>
      <c r="J159" s="50" t="n"/>
      <c r="K159" s="44" t="n"/>
      <c r="L159" s="44" t="n"/>
      <c r="M159" s="57" t="n"/>
      <c r="N159" s="50" t="n"/>
    </row>
    <row r="160">
      <c r="A160" s="43" t="n">
        <v>157</v>
      </c>
      <c r="B160" s="50" t="n"/>
      <c r="C160" s="45" t="n"/>
      <c r="D160" s="45" t="n"/>
      <c r="E160" s="45" t="n"/>
      <c r="F160" s="50" t="n"/>
      <c r="G160" s="74" t="n"/>
      <c r="H160" s="74" t="n"/>
      <c r="I160" s="74" t="n"/>
      <c r="J160" s="50" t="n"/>
      <c r="K160" s="44" t="n"/>
      <c r="L160" s="44" t="n"/>
      <c r="M160" s="57" t="n"/>
      <c r="N160" s="50" t="n"/>
    </row>
    <row r="161">
      <c r="A161" s="43" t="n">
        <v>158</v>
      </c>
      <c r="B161" s="50" t="n"/>
      <c r="C161" s="45" t="n"/>
      <c r="D161" s="45" t="n"/>
      <c r="E161" s="45" t="n"/>
      <c r="F161" s="50" t="n"/>
      <c r="G161" s="74" t="n"/>
      <c r="H161" s="74" t="n"/>
      <c r="I161" s="74" t="n"/>
      <c r="J161" s="50" t="n"/>
      <c r="K161" s="44" t="n"/>
      <c r="L161" s="44" t="n"/>
      <c r="M161" s="57" t="n"/>
      <c r="N161" s="50" t="n"/>
    </row>
    <row r="162">
      <c r="A162" s="43" t="n">
        <v>159</v>
      </c>
      <c r="B162" s="50" t="n"/>
      <c r="C162" s="45" t="n"/>
      <c r="D162" s="45" t="n"/>
      <c r="E162" s="45" t="n"/>
      <c r="F162" s="50" t="n"/>
      <c r="G162" s="74" t="n"/>
      <c r="H162" s="74" t="n"/>
      <c r="I162" s="74" t="n"/>
      <c r="J162" s="50" t="n"/>
      <c r="K162" s="44" t="n"/>
      <c r="L162" s="44" t="n"/>
      <c r="M162" s="57" t="n"/>
      <c r="N162" s="50" t="n"/>
    </row>
    <row r="163">
      <c r="A163" s="43" t="n">
        <v>160</v>
      </c>
      <c r="B163" s="50" t="n"/>
      <c r="C163" s="45" t="n"/>
      <c r="D163" s="45" t="n"/>
      <c r="E163" s="45" t="n"/>
      <c r="F163" s="50" t="n"/>
      <c r="G163" s="74" t="n"/>
      <c r="H163" s="74" t="n"/>
      <c r="I163" s="74" t="n"/>
      <c r="J163" s="50" t="n"/>
      <c r="K163" s="44" t="n"/>
      <c r="L163" s="44" t="n"/>
      <c r="M163" s="57" t="n"/>
      <c r="N163" s="50" t="n"/>
    </row>
    <row r="164">
      <c r="A164" s="43" t="n">
        <v>161</v>
      </c>
      <c r="B164" s="50" t="n"/>
      <c r="C164" s="45" t="n"/>
      <c r="D164" s="45" t="n"/>
      <c r="E164" s="45" t="n"/>
      <c r="F164" s="50" t="n"/>
      <c r="G164" s="74" t="n"/>
      <c r="H164" s="74" t="n"/>
      <c r="I164" s="74" t="n"/>
      <c r="J164" s="50" t="n"/>
      <c r="K164" s="44" t="n"/>
      <c r="L164" s="44" t="n"/>
      <c r="M164" s="57" t="n"/>
      <c r="N164" s="50" t="n"/>
    </row>
    <row r="165">
      <c r="A165" s="43" t="n">
        <v>162</v>
      </c>
      <c r="B165" s="50" t="n"/>
      <c r="C165" s="45" t="n"/>
      <c r="D165" s="45" t="n"/>
      <c r="E165" s="45" t="n"/>
      <c r="F165" s="50" t="n"/>
      <c r="G165" s="74" t="n"/>
      <c r="H165" s="74" t="n"/>
      <c r="I165" s="74" t="n"/>
      <c r="J165" s="50" t="n"/>
      <c r="K165" s="44" t="n"/>
      <c r="L165" s="44" t="n"/>
      <c r="M165" s="57" t="n"/>
      <c r="N165" s="50" t="n"/>
    </row>
    <row r="166">
      <c r="A166" s="43" t="n">
        <v>163</v>
      </c>
      <c r="B166" s="50" t="n"/>
      <c r="C166" s="45" t="n"/>
      <c r="D166" s="45" t="n"/>
      <c r="E166" s="45" t="n"/>
      <c r="F166" s="50" t="n"/>
      <c r="G166" s="74" t="n"/>
      <c r="H166" s="74" t="n"/>
      <c r="I166" s="74" t="n"/>
      <c r="J166" s="50" t="n"/>
      <c r="K166" s="44" t="n"/>
      <c r="L166" s="44" t="n"/>
      <c r="M166" s="57" t="n"/>
      <c r="N166" s="50" t="n"/>
    </row>
    <row r="167">
      <c r="A167" s="43" t="n">
        <v>164</v>
      </c>
      <c r="B167" s="50" t="n"/>
      <c r="C167" s="45" t="n"/>
      <c r="D167" s="45" t="n"/>
      <c r="E167" s="45" t="n"/>
      <c r="F167" s="50" t="n"/>
      <c r="G167" s="74" t="n"/>
      <c r="H167" s="74" t="n"/>
      <c r="I167" s="74" t="n"/>
      <c r="J167" s="50" t="n"/>
      <c r="K167" s="44" t="n"/>
      <c r="L167" s="44" t="n"/>
      <c r="M167" s="57" t="n"/>
      <c r="N167" s="50" t="n"/>
    </row>
    <row r="168">
      <c r="A168" s="43" t="n">
        <v>165</v>
      </c>
      <c r="B168" s="50" t="n"/>
      <c r="C168" s="45" t="n"/>
      <c r="D168" s="45" t="n"/>
      <c r="E168" s="45" t="n"/>
      <c r="F168" s="50" t="n"/>
      <c r="G168" s="74" t="n"/>
      <c r="H168" s="74" t="n"/>
      <c r="I168" s="74" t="n"/>
      <c r="J168" s="50" t="n"/>
      <c r="K168" s="44" t="n"/>
      <c r="L168" s="44" t="n"/>
      <c r="M168" s="57" t="n"/>
      <c r="N168" s="50" t="n"/>
    </row>
    <row r="169">
      <c r="A169" s="43" t="n">
        <v>166</v>
      </c>
      <c r="B169" s="50" t="n"/>
      <c r="C169" s="45" t="n"/>
      <c r="D169" s="45" t="n"/>
      <c r="E169" s="45" t="n"/>
      <c r="F169" s="50" t="n"/>
      <c r="G169" s="74" t="n"/>
      <c r="H169" s="74" t="n"/>
      <c r="I169" s="74" t="n"/>
      <c r="J169" s="50" t="n"/>
      <c r="K169" s="44" t="n"/>
      <c r="L169" s="44" t="n"/>
      <c r="M169" s="57" t="n"/>
      <c r="N169" s="50" t="n"/>
    </row>
    <row r="170">
      <c r="A170" s="43" t="n">
        <v>167</v>
      </c>
      <c r="B170" s="50" t="n"/>
      <c r="C170" s="45" t="n"/>
      <c r="D170" s="45" t="n"/>
      <c r="E170" s="45" t="n"/>
      <c r="F170" s="50" t="n"/>
      <c r="G170" s="74" t="n"/>
      <c r="H170" s="74" t="n"/>
      <c r="I170" s="74" t="n"/>
      <c r="J170" s="50" t="n"/>
      <c r="K170" s="44" t="n"/>
      <c r="L170" s="44" t="n"/>
      <c r="M170" s="57" t="n"/>
      <c r="N170" s="50" t="n"/>
    </row>
    <row r="171">
      <c r="A171" s="43" t="n">
        <v>168</v>
      </c>
      <c r="B171" s="50" t="n"/>
      <c r="C171" s="45" t="n"/>
      <c r="D171" s="45" t="n"/>
      <c r="E171" s="45" t="n"/>
      <c r="F171" s="50" t="n"/>
      <c r="G171" s="74" t="n"/>
      <c r="H171" s="74" t="n"/>
      <c r="I171" s="74" t="n"/>
      <c r="J171" s="50" t="n"/>
      <c r="K171" s="44" t="n"/>
      <c r="L171" s="44" t="n"/>
      <c r="M171" s="57" t="n"/>
      <c r="N171" s="50" t="n"/>
    </row>
    <row r="172">
      <c r="A172" s="43" t="n">
        <v>169</v>
      </c>
      <c r="B172" s="50" t="n"/>
      <c r="C172" s="45" t="n"/>
      <c r="D172" s="45" t="n"/>
      <c r="E172" s="45" t="n"/>
      <c r="F172" s="50" t="n"/>
      <c r="G172" s="74" t="n"/>
      <c r="H172" s="74" t="n"/>
      <c r="I172" s="74" t="n"/>
      <c r="J172" s="50" t="n"/>
      <c r="K172" s="44" t="n"/>
      <c r="L172" s="44" t="n"/>
      <c r="M172" s="57" t="n"/>
      <c r="N172" s="50" t="n"/>
    </row>
    <row r="173">
      <c r="A173" s="43" t="n">
        <v>170</v>
      </c>
      <c r="B173" s="50" t="n"/>
      <c r="C173" s="45" t="n"/>
      <c r="D173" s="45" t="n"/>
      <c r="E173" s="45" t="n"/>
      <c r="F173" s="50" t="n"/>
      <c r="G173" s="74" t="n"/>
      <c r="H173" s="74" t="n"/>
      <c r="I173" s="74" t="n"/>
      <c r="J173" s="50" t="n"/>
      <c r="K173" s="44" t="n"/>
      <c r="L173" s="44" t="n"/>
      <c r="M173" s="57" t="n"/>
      <c r="N173" s="50" t="n"/>
    </row>
    <row r="174">
      <c r="A174" s="43" t="n">
        <v>171</v>
      </c>
      <c r="B174" s="50" t="n"/>
      <c r="C174" s="45" t="n"/>
      <c r="D174" s="45" t="n"/>
      <c r="E174" s="45" t="n"/>
      <c r="F174" s="50" t="n"/>
      <c r="G174" s="74" t="n"/>
      <c r="H174" s="74" t="n"/>
      <c r="I174" s="74" t="n"/>
      <c r="J174" s="50" t="n"/>
      <c r="K174" s="44" t="n"/>
      <c r="L174" s="44" t="n"/>
      <c r="M174" s="57" t="n"/>
      <c r="N174" s="50" t="n"/>
    </row>
    <row r="175">
      <c r="A175" s="43" t="n">
        <v>172</v>
      </c>
      <c r="B175" s="50" t="n"/>
      <c r="C175" s="45" t="n"/>
      <c r="D175" s="45" t="n"/>
      <c r="E175" s="45" t="n"/>
      <c r="F175" s="50" t="n"/>
      <c r="G175" s="74" t="n"/>
      <c r="H175" s="74" t="n"/>
      <c r="I175" s="74" t="n"/>
      <c r="J175" s="50" t="n"/>
      <c r="K175" s="44" t="n"/>
      <c r="L175" s="44" t="n"/>
      <c r="M175" s="57" t="n"/>
      <c r="N175" s="50" t="n"/>
    </row>
    <row r="176">
      <c r="A176" s="43" t="n">
        <v>173</v>
      </c>
      <c r="B176" s="50" t="n"/>
      <c r="C176" s="45" t="n"/>
      <c r="D176" s="45" t="n"/>
      <c r="E176" s="45" t="n"/>
      <c r="F176" s="50" t="n"/>
      <c r="G176" s="74" t="n"/>
      <c r="H176" s="74" t="n"/>
      <c r="I176" s="74" t="n"/>
      <c r="J176" s="50" t="n"/>
      <c r="K176" s="44" t="n"/>
      <c r="L176" s="44" t="n"/>
      <c r="M176" s="57" t="n"/>
      <c r="N176" s="50" t="n"/>
    </row>
    <row r="177">
      <c r="A177" s="43" t="n">
        <v>174</v>
      </c>
      <c r="B177" s="50" t="n"/>
      <c r="C177" s="45" t="n"/>
      <c r="D177" s="45" t="n"/>
      <c r="E177" s="45" t="n"/>
      <c r="F177" s="50" t="n"/>
      <c r="G177" s="74" t="n"/>
      <c r="H177" s="74" t="n"/>
      <c r="I177" s="74" t="n"/>
      <c r="J177" s="50" t="n"/>
      <c r="K177" s="44" t="n"/>
      <c r="L177" s="44" t="n"/>
      <c r="M177" s="57" t="n"/>
      <c r="N177" s="50" t="n"/>
    </row>
    <row r="178">
      <c r="A178" s="43" t="n">
        <v>175</v>
      </c>
      <c r="B178" s="50" t="n"/>
      <c r="C178" s="45" t="n"/>
      <c r="D178" s="45" t="n"/>
      <c r="E178" s="45" t="n"/>
      <c r="F178" s="50" t="n"/>
      <c r="G178" s="74" t="n"/>
      <c r="H178" s="74" t="n"/>
      <c r="I178" s="74" t="n"/>
      <c r="J178" s="50" t="n"/>
      <c r="K178" s="44" t="n"/>
      <c r="L178" s="44" t="n"/>
      <c r="M178" s="57" t="n"/>
      <c r="N178" s="50" t="n"/>
    </row>
    <row r="179">
      <c r="A179" s="43" t="n">
        <v>176</v>
      </c>
      <c r="B179" s="50" t="n"/>
      <c r="C179" s="45" t="n"/>
      <c r="D179" s="45" t="n"/>
      <c r="E179" s="45" t="n"/>
      <c r="F179" s="50" t="n"/>
      <c r="G179" s="74" t="n"/>
      <c r="H179" s="74" t="n"/>
      <c r="I179" s="74" t="n"/>
      <c r="J179" s="50" t="n"/>
      <c r="K179" s="44" t="n"/>
      <c r="L179" s="44" t="n"/>
      <c r="M179" s="57" t="n"/>
      <c r="N179" s="50" t="n"/>
    </row>
    <row r="180">
      <c r="A180" s="43" t="n">
        <v>177</v>
      </c>
      <c r="B180" s="50" t="n"/>
      <c r="C180" s="45" t="n"/>
      <c r="D180" s="45" t="n"/>
      <c r="E180" s="45" t="n"/>
      <c r="F180" s="50" t="n"/>
      <c r="G180" s="74" t="n"/>
      <c r="H180" s="74" t="n"/>
      <c r="I180" s="74" t="n"/>
      <c r="J180" s="50" t="n"/>
      <c r="K180" s="44" t="n"/>
      <c r="L180" s="44" t="n"/>
      <c r="M180" s="57" t="n"/>
      <c r="N180" s="50" t="n"/>
    </row>
    <row r="181">
      <c r="A181" s="43" t="n">
        <v>178</v>
      </c>
      <c r="B181" s="50" t="n"/>
      <c r="C181" s="45" t="n"/>
      <c r="D181" s="45" t="n"/>
      <c r="E181" s="45" t="n"/>
      <c r="F181" s="50" t="n"/>
      <c r="G181" s="74" t="n"/>
      <c r="H181" s="74" t="n"/>
      <c r="I181" s="74" t="n"/>
      <c r="J181" s="50" t="n"/>
      <c r="K181" s="44" t="n"/>
      <c r="L181" s="44" t="n"/>
      <c r="M181" s="57" t="n"/>
      <c r="N181" s="50" t="n"/>
    </row>
    <row r="182">
      <c r="A182" s="43" t="n">
        <v>179</v>
      </c>
      <c r="B182" s="50" t="n"/>
      <c r="C182" s="45" t="n"/>
      <c r="D182" s="45" t="n"/>
      <c r="E182" s="45" t="n"/>
      <c r="F182" s="50" t="n"/>
      <c r="G182" s="74" t="n"/>
      <c r="H182" s="74" t="n"/>
      <c r="I182" s="74" t="n"/>
      <c r="J182" s="50" t="n"/>
      <c r="K182" s="44" t="n"/>
      <c r="L182" s="44" t="n"/>
      <c r="M182" s="57" t="n"/>
      <c r="N182" s="50" t="n"/>
    </row>
    <row r="183">
      <c r="A183" s="43" t="n">
        <v>180</v>
      </c>
      <c r="B183" s="50" t="n"/>
      <c r="C183" s="45" t="n"/>
      <c r="D183" s="45" t="n"/>
      <c r="E183" s="45" t="n"/>
      <c r="F183" s="50" t="n"/>
      <c r="G183" s="74" t="n"/>
      <c r="H183" s="74" t="n"/>
      <c r="I183" s="74" t="n"/>
      <c r="J183" s="50" t="n"/>
      <c r="K183" s="44" t="n"/>
      <c r="L183" s="44" t="n"/>
      <c r="M183" s="57" t="n"/>
      <c r="N183" s="50" t="n"/>
    </row>
    <row r="184">
      <c r="A184" s="43" t="n">
        <v>181</v>
      </c>
      <c r="B184" s="50" t="n"/>
      <c r="C184" s="45" t="n"/>
      <c r="D184" s="45" t="n"/>
      <c r="E184" s="45" t="n"/>
      <c r="F184" s="50" t="n"/>
      <c r="G184" s="74" t="n"/>
      <c r="H184" s="74" t="n"/>
      <c r="I184" s="74" t="n"/>
      <c r="J184" s="50" t="n"/>
      <c r="K184" s="44" t="n"/>
      <c r="L184" s="44" t="n"/>
      <c r="M184" s="57" t="n"/>
      <c r="N184" s="50" t="n"/>
    </row>
    <row r="185">
      <c r="A185" s="43" t="n">
        <v>182</v>
      </c>
      <c r="B185" s="50" t="n"/>
      <c r="C185" s="45" t="n"/>
      <c r="D185" s="45" t="n"/>
      <c r="E185" s="45" t="n"/>
      <c r="F185" s="50" t="n"/>
      <c r="G185" s="74" t="n"/>
      <c r="H185" s="74" t="n"/>
      <c r="I185" s="74" t="n"/>
      <c r="J185" s="50" t="n"/>
      <c r="K185" s="44" t="n"/>
      <c r="L185" s="44" t="n"/>
      <c r="M185" s="57" t="n"/>
      <c r="N185" s="50" t="n"/>
    </row>
    <row r="186">
      <c r="A186" s="43" t="n">
        <v>183</v>
      </c>
      <c r="B186" s="50" t="n"/>
      <c r="C186" s="45" t="n"/>
      <c r="D186" s="45" t="n"/>
      <c r="E186" s="45" t="n"/>
      <c r="F186" s="50" t="n"/>
      <c r="G186" s="74" t="n"/>
      <c r="H186" s="74" t="n"/>
      <c r="I186" s="74" t="n"/>
      <c r="J186" s="50" t="n"/>
      <c r="K186" s="44" t="n"/>
      <c r="L186" s="44" t="n"/>
      <c r="M186" s="57" t="n"/>
      <c r="N186" s="50" t="n"/>
    </row>
    <row r="187">
      <c r="A187" s="43" t="n">
        <v>184</v>
      </c>
      <c r="B187" s="50" t="n"/>
      <c r="C187" s="45" t="n"/>
      <c r="D187" s="45" t="n"/>
      <c r="E187" s="45" t="n"/>
      <c r="F187" s="50" t="n"/>
      <c r="G187" s="74" t="n"/>
      <c r="H187" s="74" t="n"/>
      <c r="I187" s="74" t="n"/>
      <c r="J187" s="50" t="n"/>
      <c r="K187" s="44" t="n"/>
      <c r="L187" s="44" t="n"/>
      <c r="M187" s="57" t="n"/>
      <c r="N187" s="50" t="n"/>
    </row>
    <row r="188">
      <c r="A188" s="43" t="n">
        <v>185</v>
      </c>
      <c r="B188" s="50" t="n"/>
      <c r="C188" s="45" t="n"/>
      <c r="D188" s="45" t="n"/>
      <c r="E188" s="45" t="n"/>
      <c r="F188" s="50" t="n"/>
      <c r="G188" s="74" t="n"/>
      <c r="H188" s="74" t="n"/>
      <c r="I188" s="74" t="n"/>
      <c r="J188" s="50" t="n"/>
      <c r="K188" s="44" t="n"/>
      <c r="L188" s="44" t="n"/>
      <c r="M188" s="57" t="n"/>
      <c r="N188" s="50" t="n"/>
    </row>
    <row r="189">
      <c r="A189" s="43" t="n">
        <v>186</v>
      </c>
      <c r="B189" s="50" t="n"/>
      <c r="C189" s="45" t="n"/>
      <c r="D189" s="45" t="n"/>
      <c r="E189" s="45" t="n"/>
      <c r="F189" s="50" t="n"/>
      <c r="G189" s="74" t="n"/>
      <c r="H189" s="74" t="n"/>
      <c r="I189" s="74" t="n"/>
      <c r="J189" s="50" t="n"/>
      <c r="K189" s="44" t="n"/>
      <c r="L189" s="44" t="n"/>
      <c r="M189" s="57" t="n"/>
      <c r="N189" s="50" t="n"/>
    </row>
    <row r="190">
      <c r="A190" s="43" t="n">
        <v>187</v>
      </c>
      <c r="B190" s="50" t="n"/>
      <c r="C190" s="45" t="n"/>
      <c r="D190" s="45" t="n"/>
      <c r="E190" s="45" t="n"/>
      <c r="F190" s="50" t="n"/>
      <c r="G190" s="74" t="n"/>
      <c r="H190" s="74" t="n"/>
      <c r="I190" s="74" t="n"/>
      <c r="J190" s="50" t="n"/>
      <c r="K190" s="44" t="n"/>
      <c r="L190" s="44" t="n"/>
      <c r="M190" s="57" t="n"/>
      <c r="N190" s="50" t="n"/>
    </row>
    <row r="191">
      <c r="A191" s="43" t="n">
        <v>188</v>
      </c>
      <c r="B191" s="50" t="n"/>
      <c r="C191" s="45" t="n"/>
      <c r="D191" s="45" t="n"/>
      <c r="E191" s="45" t="n"/>
      <c r="F191" s="50" t="n"/>
      <c r="G191" s="74" t="n"/>
      <c r="H191" s="74" t="n"/>
      <c r="I191" s="74" t="n"/>
      <c r="J191" s="50" t="n"/>
      <c r="K191" s="44" t="n"/>
      <c r="L191" s="44" t="n"/>
      <c r="M191" s="57" t="n"/>
      <c r="N191" s="50" t="n"/>
    </row>
    <row r="192">
      <c r="A192" s="43" t="n">
        <v>189</v>
      </c>
      <c r="B192" s="50" t="n"/>
      <c r="C192" s="45" t="n"/>
      <c r="D192" s="45" t="n"/>
      <c r="E192" s="45" t="n"/>
      <c r="F192" s="50" t="n"/>
      <c r="G192" s="74" t="n"/>
      <c r="H192" s="74" t="n"/>
      <c r="I192" s="74" t="n"/>
      <c r="J192" s="50" t="n"/>
      <c r="K192" s="44" t="n"/>
      <c r="L192" s="44" t="n"/>
      <c r="M192" s="57" t="n"/>
      <c r="N192" s="50" t="n"/>
    </row>
    <row r="193">
      <c r="A193" s="43" t="n">
        <v>190</v>
      </c>
      <c r="B193" s="50" t="n"/>
      <c r="C193" s="45" t="n"/>
      <c r="D193" s="45" t="n"/>
      <c r="E193" s="45" t="n"/>
      <c r="F193" s="50" t="n"/>
      <c r="G193" s="74" t="n"/>
      <c r="H193" s="74" t="n"/>
      <c r="I193" s="74" t="n"/>
      <c r="J193" s="50" t="n"/>
      <c r="K193" s="44" t="n"/>
      <c r="L193" s="44" t="n"/>
      <c r="M193" s="57" t="n"/>
      <c r="N193" s="50" t="n"/>
    </row>
    <row r="194">
      <c r="A194" s="43" t="n">
        <v>191</v>
      </c>
      <c r="B194" s="50" t="n"/>
      <c r="C194" s="45" t="n"/>
      <c r="D194" s="45" t="n"/>
      <c r="E194" s="45" t="n"/>
      <c r="F194" s="50" t="n"/>
      <c r="G194" s="74" t="n"/>
      <c r="H194" s="74" t="n"/>
      <c r="I194" s="74" t="n"/>
      <c r="J194" s="50" t="n"/>
      <c r="K194" s="44" t="n"/>
      <c r="L194" s="44" t="n"/>
      <c r="M194" s="57" t="n"/>
      <c r="N194" s="50" t="n"/>
    </row>
    <row r="195">
      <c r="A195" s="43" t="n">
        <v>192</v>
      </c>
      <c r="B195" s="50" t="n"/>
      <c r="C195" s="45" t="n"/>
      <c r="D195" s="45" t="n"/>
      <c r="E195" s="45" t="n"/>
      <c r="F195" s="50" t="n"/>
      <c r="G195" s="74" t="n"/>
      <c r="H195" s="74" t="n"/>
      <c r="I195" s="74" t="n"/>
      <c r="J195" s="50" t="n"/>
      <c r="K195" s="44" t="n"/>
      <c r="L195" s="44" t="n"/>
      <c r="M195" s="57" t="n"/>
      <c r="N195" s="50" t="n"/>
    </row>
    <row r="196">
      <c r="A196" s="43" t="n">
        <v>193</v>
      </c>
      <c r="B196" s="50" t="n"/>
      <c r="C196" s="45" t="n"/>
      <c r="D196" s="45" t="n"/>
      <c r="E196" s="45" t="n"/>
      <c r="F196" s="50" t="n"/>
      <c r="G196" s="74" t="n"/>
      <c r="H196" s="74" t="n"/>
      <c r="I196" s="74" t="n"/>
      <c r="J196" s="50" t="n"/>
      <c r="K196" s="44" t="n"/>
      <c r="L196" s="44" t="n"/>
      <c r="M196" s="57" t="n"/>
      <c r="N196" s="50" t="n"/>
    </row>
    <row r="197">
      <c r="A197" s="43" t="n">
        <v>194</v>
      </c>
      <c r="B197" s="50" t="n"/>
      <c r="C197" s="45" t="n"/>
      <c r="D197" s="45" t="n"/>
      <c r="E197" s="45" t="n"/>
      <c r="F197" s="50" t="n"/>
      <c r="G197" s="74" t="n"/>
      <c r="H197" s="74" t="n"/>
      <c r="I197" s="74" t="n"/>
      <c r="J197" s="50" t="n"/>
      <c r="K197" s="44" t="n"/>
      <c r="L197" s="44" t="n"/>
      <c r="M197" s="57" t="n"/>
      <c r="N197" s="50" t="n"/>
    </row>
    <row r="198">
      <c r="A198" s="43" t="n">
        <v>195</v>
      </c>
      <c r="B198" s="50" t="n"/>
      <c r="C198" s="45" t="n"/>
      <c r="D198" s="45" t="n"/>
      <c r="E198" s="45" t="n"/>
      <c r="F198" s="50" t="n"/>
      <c r="G198" s="74" t="n"/>
      <c r="H198" s="74" t="n"/>
      <c r="I198" s="74" t="n"/>
      <c r="J198" s="50" t="n"/>
      <c r="K198" s="44" t="n"/>
      <c r="L198" s="44" t="n"/>
      <c r="M198" s="57" t="n"/>
      <c r="N198" s="50" t="n"/>
    </row>
    <row r="199">
      <c r="A199" s="43" t="n">
        <v>196</v>
      </c>
      <c r="B199" s="50" t="n"/>
      <c r="C199" s="45" t="n"/>
      <c r="D199" s="45" t="n"/>
      <c r="E199" s="45" t="n"/>
      <c r="F199" s="50" t="n"/>
      <c r="G199" s="74" t="n"/>
      <c r="H199" s="74" t="n"/>
      <c r="I199" s="74" t="n"/>
      <c r="J199" s="50" t="n"/>
      <c r="K199" s="44" t="n"/>
      <c r="L199" s="44" t="n"/>
      <c r="M199" s="57" t="n"/>
      <c r="N199" s="50" t="n"/>
    </row>
    <row r="200">
      <c r="A200" s="43" t="n">
        <v>197</v>
      </c>
      <c r="B200" s="50" t="n"/>
      <c r="C200" s="45" t="n"/>
      <c r="D200" s="45" t="n"/>
      <c r="E200" s="45" t="n"/>
      <c r="F200" s="50" t="n"/>
      <c r="G200" s="74" t="n"/>
      <c r="H200" s="74" t="n"/>
      <c r="I200" s="74" t="n"/>
      <c r="J200" s="50" t="n"/>
      <c r="K200" s="44" t="n"/>
      <c r="L200" s="44" t="n"/>
      <c r="M200" s="57" t="n"/>
      <c r="N200" s="50" t="n"/>
    </row>
    <row r="201">
      <c r="A201" s="43" t="n">
        <v>198</v>
      </c>
      <c r="B201" s="50" t="n"/>
      <c r="C201" s="45" t="n"/>
      <c r="D201" s="45" t="n"/>
      <c r="E201" s="45" t="n"/>
      <c r="F201" s="50" t="n"/>
      <c r="G201" s="74" t="n"/>
      <c r="H201" s="74" t="n"/>
      <c r="I201" s="74" t="n"/>
      <c r="J201" s="50" t="n"/>
      <c r="K201" s="44" t="n"/>
      <c r="L201" s="44" t="n"/>
      <c r="M201" s="57" t="n"/>
      <c r="N201" s="50" t="n"/>
    </row>
    <row r="202">
      <c r="A202" s="43" t="n">
        <v>199</v>
      </c>
      <c r="B202" s="50" t="n"/>
      <c r="C202" s="45" t="n"/>
      <c r="D202" s="45" t="n"/>
      <c r="E202" s="45" t="n"/>
      <c r="F202" s="50" t="n"/>
      <c r="G202" s="74" t="n"/>
      <c r="H202" s="74" t="n"/>
      <c r="I202" s="74" t="n"/>
      <c r="J202" s="50" t="n"/>
      <c r="K202" s="44" t="n"/>
      <c r="L202" s="44" t="n"/>
      <c r="M202" s="57" t="n"/>
      <c r="N202" s="50" t="n"/>
    </row>
    <row r="203">
      <c r="A203" s="43" t="n">
        <v>200</v>
      </c>
      <c r="B203" s="50" t="n"/>
      <c r="C203" s="45" t="n"/>
      <c r="D203" s="45" t="n"/>
      <c r="E203" s="45" t="n"/>
      <c r="F203" s="50" t="n"/>
      <c r="G203" s="74" t="n"/>
      <c r="H203" s="74" t="n"/>
      <c r="I203" s="74" t="n"/>
      <c r="J203" s="50" t="n"/>
      <c r="K203" s="44" t="n"/>
      <c r="L203" s="44" t="n"/>
      <c r="M203" s="57" t="n"/>
      <c r="N203" s="50" t="n"/>
    </row>
    <row r="204">
      <c r="A204" s="43" t="n">
        <v>201</v>
      </c>
      <c r="B204" s="50" t="n"/>
      <c r="C204" s="45" t="n"/>
      <c r="D204" s="45" t="n"/>
      <c r="E204" s="45" t="n"/>
      <c r="F204" s="50" t="n"/>
      <c r="G204" s="74" t="n"/>
      <c r="H204" s="74" t="n"/>
      <c r="I204" s="74" t="n"/>
      <c r="J204" s="50" t="n"/>
      <c r="K204" s="44" t="n"/>
      <c r="L204" s="44" t="n"/>
      <c r="M204" s="57" t="n"/>
      <c r="N204" s="50" t="n"/>
    </row>
    <row r="205">
      <c r="A205" s="43" t="n">
        <v>202</v>
      </c>
      <c r="B205" s="50" t="n"/>
      <c r="C205" s="45" t="n"/>
      <c r="D205" s="45" t="n"/>
      <c r="E205" s="45" t="n"/>
      <c r="F205" s="50" t="n"/>
      <c r="G205" s="74" t="n"/>
      <c r="H205" s="74" t="n"/>
      <c r="I205" s="74" t="n"/>
      <c r="J205" s="50" t="n"/>
      <c r="K205" s="44" t="n"/>
      <c r="L205" s="44" t="n"/>
      <c r="M205" s="57" t="n"/>
      <c r="N205" s="50" t="n"/>
    </row>
    <row r="206">
      <c r="A206" s="43" t="n">
        <v>203</v>
      </c>
      <c r="B206" s="50" t="n"/>
      <c r="C206" s="45" t="n"/>
      <c r="D206" s="45" t="n"/>
      <c r="E206" s="45" t="n"/>
      <c r="F206" s="50" t="n"/>
      <c r="G206" s="74" t="n"/>
      <c r="H206" s="74" t="n"/>
      <c r="I206" s="74" t="n"/>
      <c r="J206" s="50" t="n"/>
      <c r="K206" s="44" t="n"/>
      <c r="L206" s="44" t="n"/>
      <c r="M206" s="57" t="n"/>
      <c r="N206" s="50" t="n"/>
    </row>
    <row r="207">
      <c r="A207" s="43" t="n">
        <v>204</v>
      </c>
      <c r="B207" s="50" t="n"/>
      <c r="C207" s="45" t="n"/>
      <c r="D207" s="45" t="n"/>
      <c r="E207" s="45" t="n"/>
      <c r="F207" s="50" t="n"/>
      <c r="G207" s="74" t="n"/>
      <c r="H207" s="74" t="n"/>
      <c r="I207" s="74" t="n"/>
      <c r="J207" s="50" t="n"/>
      <c r="K207" s="44" t="n"/>
      <c r="L207" s="44" t="n"/>
      <c r="M207" s="57" t="n"/>
      <c r="N207" s="50" t="n"/>
    </row>
    <row r="208">
      <c r="A208" s="43" t="n">
        <v>205</v>
      </c>
      <c r="B208" s="50" t="n"/>
      <c r="C208" s="45" t="n"/>
      <c r="D208" s="45" t="n"/>
      <c r="E208" s="45" t="n"/>
      <c r="F208" s="50" t="n"/>
      <c r="G208" s="74" t="n"/>
      <c r="H208" s="74" t="n"/>
      <c r="I208" s="74" t="n"/>
      <c r="J208" s="50" t="n"/>
      <c r="K208" s="44" t="n"/>
      <c r="L208" s="44" t="n"/>
      <c r="M208" s="57" t="n"/>
      <c r="N208" s="50" t="n"/>
    </row>
    <row r="209">
      <c r="A209" s="43" t="n">
        <v>206</v>
      </c>
      <c r="B209" s="50" t="n"/>
      <c r="C209" s="45" t="n"/>
      <c r="D209" s="45" t="n"/>
      <c r="E209" s="45" t="n"/>
      <c r="F209" s="50" t="n"/>
      <c r="G209" s="74" t="n"/>
      <c r="H209" s="74" t="n"/>
      <c r="I209" s="74" t="n"/>
      <c r="J209" s="50" t="n"/>
      <c r="K209" s="44" t="n"/>
      <c r="L209" s="44" t="n"/>
      <c r="M209" s="57" t="n"/>
      <c r="N209" s="50" t="n"/>
    </row>
    <row r="210">
      <c r="A210" s="43" t="n">
        <v>207</v>
      </c>
      <c r="B210" s="50" t="n"/>
      <c r="C210" s="45" t="n"/>
      <c r="D210" s="45" t="n"/>
      <c r="E210" s="45" t="n"/>
      <c r="F210" s="50" t="n"/>
      <c r="G210" s="74" t="n"/>
      <c r="H210" s="74" t="n"/>
      <c r="I210" s="74" t="n"/>
      <c r="J210" s="50" t="n"/>
      <c r="K210" s="44" t="n"/>
      <c r="L210" s="44" t="n"/>
      <c r="M210" s="57" t="n"/>
      <c r="N210" s="50" t="n"/>
    </row>
    <row r="211">
      <c r="A211" s="43" t="n">
        <v>208</v>
      </c>
      <c r="B211" s="50" t="n"/>
      <c r="C211" s="45" t="n"/>
      <c r="D211" s="45" t="n"/>
      <c r="E211" s="45" t="n"/>
      <c r="F211" s="50" t="n"/>
      <c r="G211" s="74" t="n"/>
      <c r="H211" s="74" t="n"/>
      <c r="I211" s="74" t="n"/>
      <c r="J211" s="50" t="n"/>
      <c r="K211" s="44" t="n"/>
      <c r="L211" s="44" t="n"/>
      <c r="M211" s="57" t="n"/>
      <c r="N211" s="50" t="n"/>
    </row>
    <row r="212">
      <c r="A212" s="43" t="n">
        <v>209</v>
      </c>
      <c r="B212" s="50" t="n"/>
      <c r="C212" s="45" t="n"/>
      <c r="D212" s="45" t="n"/>
      <c r="E212" s="45" t="n"/>
      <c r="F212" s="50" t="n"/>
      <c r="G212" s="74" t="n"/>
      <c r="H212" s="74" t="n"/>
      <c r="I212" s="74" t="n"/>
      <c r="J212" s="50" t="n"/>
      <c r="K212" s="44" t="n"/>
      <c r="L212" s="44" t="n"/>
      <c r="M212" s="57" t="n"/>
      <c r="N212" s="50" t="n"/>
    </row>
    <row r="213">
      <c r="A213" s="43" t="n">
        <v>210</v>
      </c>
      <c r="B213" s="50" t="n"/>
      <c r="C213" s="45" t="n"/>
      <c r="D213" s="45" t="n"/>
      <c r="E213" s="45" t="n"/>
      <c r="F213" s="50" t="n"/>
      <c r="G213" s="74" t="n"/>
      <c r="H213" s="74" t="n"/>
      <c r="I213" s="74" t="n"/>
      <c r="J213" s="50" t="n"/>
      <c r="K213" s="44" t="n"/>
      <c r="L213" s="44" t="n"/>
      <c r="M213" s="57" t="n"/>
      <c r="N213" s="50" t="n"/>
    </row>
    <row r="214">
      <c r="A214" s="43" t="n">
        <v>211</v>
      </c>
      <c r="B214" s="50" t="n"/>
      <c r="C214" s="45" t="n"/>
      <c r="D214" s="45" t="n"/>
      <c r="E214" s="45" t="n"/>
      <c r="F214" s="50" t="n"/>
      <c r="G214" s="74" t="n"/>
      <c r="H214" s="74" t="n"/>
      <c r="I214" s="74" t="n"/>
      <c r="J214" s="50" t="n"/>
      <c r="K214" s="44" t="n"/>
      <c r="L214" s="44" t="n"/>
      <c r="M214" s="57" t="n"/>
      <c r="N214" s="50" t="n"/>
    </row>
    <row r="215">
      <c r="A215" s="43" t="n">
        <v>212</v>
      </c>
      <c r="B215" s="50" t="n"/>
      <c r="C215" s="45" t="n"/>
      <c r="D215" s="45" t="n"/>
      <c r="E215" s="45" t="n"/>
      <c r="F215" s="50" t="n"/>
      <c r="G215" s="74" t="n"/>
      <c r="H215" s="74" t="n"/>
      <c r="I215" s="74" t="n"/>
      <c r="J215" s="50" t="n"/>
      <c r="K215" s="44" t="n"/>
      <c r="L215" s="44" t="n"/>
      <c r="M215" s="57" t="n"/>
      <c r="N215" s="50" t="n"/>
    </row>
    <row r="216">
      <c r="A216" s="43" t="n">
        <v>213</v>
      </c>
      <c r="B216" s="50" t="n"/>
      <c r="C216" s="45" t="n"/>
      <c r="D216" s="45" t="n"/>
      <c r="E216" s="45" t="n"/>
      <c r="F216" s="50" t="n"/>
      <c r="G216" s="74" t="n"/>
      <c r="H216" s="74" t="n"/>
      <c r="I216" s="74" t="n"/>
      <c r="J216" s="50" t="n"/>
      <c r="K216" s="44" t="n"/>
      <c r="L216" s="44" t="n"/>
      <c r="M216" s="57" t="n"/>
      <c r="N216" s="50" t="n"/>
    </row>
    <row r="217">
      <c r="A217" s="43" t="n">
        <v>214</v>
      </c>
      <c r="B217" s="50" t="n"/>
      <c r="C217" s="45" t="n"/>
      <c r="D217" s="45" t="n"/>
      <c r="E217" s="45" t="n"/>
      <c r="F217" s="50" t="n"/>
      <c r="G217" s="74" t="n"/>
      <c r="H217" s="74" t="n"/>
      <c r="I217" s="74" t="n"/>
      <c r="J217" s="50" t="n"/>
      <c r="K217" s="44" t="n"/>
      <c r="L217" s="44" t="n"/>
      <c r="M217" s="57" t="n"/>
      <c r="N217" s="50" t="n"/>
    </row>
    <row r="218">
      <c r="A218" s="43" t="n">
        <v>215</v>
      </c>
      <c r="B218" s="50" t="n"/>
      <c r="C218" s="45" t="n"/>
      <c r="D218" s="45" t="n"/>
      <c r="E218" s="45" t="n"/>
      <c r="F218" s="50" t="n"/>
      <c r="G218" s="74" t="n"/>
      <c r="H218" s="74" t="n"/>
      <c r="I218" s="74" t="n"/>
      <c r="J218" s="50" t="n"/>
      <c r="K218" s="44" t="n"/>
      <c r="L218" s="44" t="n"/>
      <c r="M218" s="57" t="n"/>
      <c r="N218" s="50" t="n"/>
    </row>
    <row r="219">
      <c r="A219" s="43" t="n">
        <v>216</v>
      </c>
      <c r="B219" s="50" t="n"/>
      <c r="C219" s="45" t="n"/>
      <c r="D219" s="45" t="n"/>
      <c r="E219" s="45" t="n"/>
      <c r="F219" s="50" t="n"/>
      <c r="G219" s="74" t="n"/>
      <c r="H219" s="74" t="n"/>
      <c r="I219" s="74" t="n"/>
      <c r="J219" s="50" t="n"/>
      <c r="K219" s="44" t="n"/>
      <c r="L219" s="44" t="n"/>
      <c r="M219" s="57" t="n"/>
      <c r="N219" s="50" t="n"/>
    </row>
    <row r="220">
      <c r="A220" s="43" t="n">
        <v>217</v>
      </c>
      <c r="B220" s="50" t="n"/>
      <c r="C220" s="45" t="n"/>
      <c r="D220" s="45" t="n"/>
      <c r="E220" s="45" t="n"/>
      <c r="F220" s="50" t="n"/>
      <c r="G220" s="74" t="n"/>
      <c r="H220" s="74" t="n"/>
      <c r="I220" s="74" t="n"/>
      <c r="J220" s="50" t="n"/>
      <c r="K220" s="44" t="n"/>
      <c r="L220" s="44" t="n"/>
      <c r="M220" s="57" t="n"/>
      <c r="N220" s="50" t="n"/>
    </row>
    <row r="221">
      <c r="A221" s="43" t="n">
        <v>218</v>
      </c>
      <c r="B221" s="50" t="n"/>
      <c r="C221" s="45" t="n"/>
      <c r="D221" s="45" t="n"/>
      <c r="E221" s="45" t="n"/>
      <c r="F221" s="50" t="n"/>
      <c r="G221" s="74" t="n"/>
      <c r="H221" s="74" t="n"/>
      <c r="I221" s="74" t="n"/>
      <c r="J221" s="50" t="n"/>
      <c r="K221" s="44" t="n"/>
      <c r="L221" s="44" t="n"/>
      <c r="M221" s="57" t="n"/>
      <c r="N221" s="50" t="n"/>
    </row>
    <row r="222">
      <c r="A222" s="43" t="n">
        <v>219</v>
      </c>
      <c r="B222" s="50" t="n"/>
      <c r="C222" s="45" t="n"/>
      <c r="D222" s="45" t="n"/>
      <c r="E222" s="45" t="n"/>
      <c r="F222" s="50" t="n"/>
      <c r="G222" s="74" t="n"/>
      <c r="H222" s="74" t="n"/>
      <c r="I222" s="74" t="n"/>
      <c r="J222" s="50" t="n"/>
      <c r="K222" s="44" t="n"/>
      <c r="L222" s="44" t="n"/>
      <c r="M222" s="57" t="n"/>
      <c r="N222" s="50" t="n"/>
    </row>
    <row r="223">
      <c r="A223" s="43" t="n">
        <v>220</v>
      </c>
      <c r="B223" s="50" t="n"/>
      <c r="C223" s="45" t="n"/>
      <c r="D223" s="45" t="n"/>
      <c r="E223" s="45" t="n"/>
      <c r="F223" s="50" t="n"/>
      <c r="G223" s="74" t="n"/>
      <c r="H223" s="74" t="n"/>
      <c r="I223" s="74" t="n"/>
      <c r="J223" s="50" t="n"/>
      <c r="K223" s="44" t="n"/>
      <c r="L223" s="44" t="n"/>
      <c r="M223" s="57" t="n"/>
      <c r="N223" s="50" t="n"/>
    </row>
    <row r="224">
      <c r="A224" s="43" t="n">
        <v>221</v>
      </c>
      <c r="B224" s="50" t="n"/>
      <c r="C224" s="45" t="n"/>
      <c r="D224" s="45" t="n"/>
      <c r="E224" s="45" t="n"/>
      <c r="F224" s="50" t="n"/>
      <c r="G224" s="74" t="n"/>
      <c r="H224" s="74" t="n"/>
      <c r="I224" s="74" t="n"/>
      <c r="J224" s="50" t="n"/>
      <c r="K224" s="44" t="n"/>
      <c r="L224" s="44" t="n"/>
      <c r="M224" s="57" t="n"/>
      <c r="N224" s="50" t="n"/>
    </row>
    <row r="225">
      <c r="A225" s="43" t="n">
        <v>222</v>
      </c>
      <c r="B225" s="50" t="n"/>
      <c r="C225" s="45" t="n"/>
      <c r="D225" s="45" t="n"/>
      <c r="E225" s="45" t="n"/>
      <c r="F225" s="50" t="n"/>
      <c r="G225" s="74" t="n"/>
      <c r="H225" s="74" t="n"/>
      <c r="I225" s="74" t="n"/>
      <c r="J225" s="50" t="n"/>
      <c r="K225" s="44" t="n"/>
      <c r="L225" s="44" t="n"/>
      <c r="M225" s="57" t="n"/>
      <c r="N225" s="50" t="n"/>
    </row>
    <row r="226">
      <c r="A226" s="43" t="n">
        <v>223</v>
      </c>
      <c r="B226" s="50" t="n"/>
      <c r="C226" s="45" t="n"/>
      <c r="D226" s="45" t="n"/>
      <c r="E226" s="45" t="n"/>
      <c r="F226" s="50" t="n"/>
      <c r="G226" s="74" t="n"/>
      <c r="H226" s="74" t="n"/>
      <c r="I226" s="74" t="n"/>
      <c r="J226" s="50" t="n"/>
      <c r="K226" s="44" t="n"/>
      <c r="L226" s="44" t="n"/>
      <c r="M226" s="57" t="n"/>
      <c r="N226" s="50" t="n"/>
    </row>
    <row r="227">
      <c r="A227" s="43" t="n">
        <v>224</v>
      </c>
      <c r="B227" s="50" t="n"/>
      <c r="C227" s="45" t="n"/>
      <c r="D227" s="45" t="n"/>
      <c r="E227" s="45" t="n"/>
      <c r="F227" s="50" t="n"/>
      <c r="G227" s="74" t="n"/>
      <c r="H227" s="74" t="n"/>
      <c r="I227" s="74" t="n"/>
      <c r="J227" s="50" t="n"/>
      <c r="K227" s="44" t="n"/>
      <c r="L227" s="44" t="n"/>
      <c r="M227" s="57" t="n"/>
      <c r="N227" s="50" t="n"/>
    </row>
    <row r="228">
      <c r="A228" s="43" t="n">
        <v>225</v>
      </c>
      <c r="B228" s="50" t="n"/>
      <c r="C228" s="45" t="n"/>
      <c r="D228" s="45" t="n"/>
      <c r="E228" s="45" t="n"/>
      <c r="F228" s="50" t="n"/>
      <c r="G228" s="74" t="n"/>
      <c r="H228" s="74" t="n"/>
      <c r="I228" s="74" t="n"/>
      <c r="J228" s="50" t="n"/>
      <c r="K228" s="44" t="n"/>
      <c r="L228" s="44" t="n"/>
      <c r="M228" s="57" t="n"/>
      <c r="N228" s="50" t="n"/>
    </row>
    <row r="229">
      <c r="A229" s="43" t="n">
        <v>226</v>
      </c>
      <c r="B229" s="50" t="n"/>
      <c r="C229" s="45" t="n"/>
      <c r="D229" s="45" t="n"/>
      <c r="E229" s="45" t="n"/>
      <c r="F229" s="50" t="n"/>
      <c r="G229" s="74" t="n"/>
      <c r="H229" s="74" t="n"/>
      <c r="I229" s="74" t="n"/>
      <c r="J229" s="50" t="n"/>
      <c r="K229" s="44" t="n"/>
      <c r="L229" s="44" t="n"/>
      <c r="M229" s="57" t="n"/>
      <c r="N229" s="50" t="n"/>
    </row>
    <row r="230">
      <c r="A230" s="43" t="n">
        <v>227</v>
      </c>
      <c r="B230" s="50" t="n"/>
      <c r="C230" s="45" t="n"/>
      <c r="D230" s="45" t="n"/>
      <c r="E230" s="45" t="n"/>
      <c r="F230" s="50" t="n"/>
      <c r="G230" s="74" t="n"/>
      <c r="H230" s="74" t="n"/>
      <c r="I230" s="74" t="n"/>
      <c r="J230" s="50" t="n"/>
      <c r="K230" s="44" t="n"/>
      <c r="L230" s="44" t="n"/>
      <c r="M230" s="57" t="n"/>
      <c r="N230" s="50" t="n"/>
    </row>
    <row r="231">
      <c r="A231" s="43" t="n">
        <v>228</v>
      </c>
      <c r="B231" s="50" t="n"/>
      <c r="C231" s="45" t="n"/>
      <c r="D231" s="45" t="n"/>
      <c r="E231" s="45" t="n"/>
      <c r="F231" s="50" t="n"/>
      <c r="G231" s="74" t="n"/>
      <c r="H231" s="74" t="n"/>
      <c r="I231" s="74" t="n"/>
      <c r="J231" s="50" t="n"/>
      <c r="K231" s="44" t="n"/>
      <c r="L231" s="44" t="n"/>
      <c r="M231" s="57" t="n"/>
      <c r="N231" s="50" t="n"/>
    </row>
    <row r="232">
      <c r="A232" s="43" t="n">
        <v>229</v>
      </c>
      <c r="B232" s="50" t="n"/>
      <c r="C232" s="45" t="n"/>
      <c r="D232" s="45" t="n"/>
      <c r="E232" s="45" t="n"/>
      <c r="F232" s="50" t="n"/>
      <c r="G232" s="74" t="n"/>
      <c r="H232" s="74" t="n"/>
      <c r="I232" s="74" t="n"/>
      <c r="J232" s="50" t="n"/>
      <c r="K232" s="44" t="n"/>
      <c r="L232" s="44" t="n"/>
      <c r="M232" s="57" t="n"/>
      <c r="N232" s="50" t="n"/>
    </row>
    <row r="233">
      <c r="A233" s="43" t="n">
        <v>230</v>
      </c>
      <c r="B233" s="50" t="n"/>
      <c r="C233" s="45" t="n"/>
      <c r="D233" s="45" t="n"/>
      <c r="E233" s="45" t="n"/>
      <c r="F233" s="50" t="n"/>
      <c r="G233" s="74" t="n"/>
      <c r="H233" s="74" t="n"/>
      <c r="I233" s="74" t="n"/>
      <c r="J233" s="50" t="n"/>
      <c r="K233" s="44" t="n"/>
      <c r="L233" s="44" t="n"/>
      <c r="M233" s="57" t="n"/>
      <c r="N233" s="50" t="n"/>
    </row>
    <row r="234">
      <c r="A234" s="43" t="n">
        <v>231</v>
      </c>
      <c r="B234" s="50" t="n"/>
      <c r="C234" s="45" t="n"/>
      <c r="D234" s="45" t="n"/>
      <c r="E234" s="45" t="n"/>
      <c r="F234" s="50" t="n"/>
      <c r="G234" s="74" t="n"/>
      <c r="H234" s="74" t="n"/>
      <c r="I234" s="74" t="n"/>
      <c r="J234" s="50" t="n"/>
      <c r="K234" s="44" t="n"/>
      <c r="L234" s="44" t="n"/>
      <c r="M234" s="57" t="n"/>
      <c r="N234" s="50" t="n"/>
    </row>
    <row r="235">
      <c r="A235" s="43" t="n">
        <v>232</v>
      </c>
      <c r="B235" s="50" t="n"/>
      <c r="C235" s="45" t="n"/>
      <c r="D235" s="45" t="n"/>
      <c r="E235" s="45" t="n"/>
      <c r="F235" s="50" t="n"/>
      <c r="G235" s="74" t="n"/>
      <c r="H235" s="74" t="n"/>
      <c r="I235" s="74" t="n"/>
      <c r="J235" s="50" t="n"/>
      <c r="K235" s="44" t="n"/>
      <c r="L235" s="44" t="n"/>
      <c r="M235" s="57" t="n"/>
      <c r="N235" s="50" t="n"/>
    </row>
    <row r="236">
      <c r="A236" s="43" t="n">
        <v>233</v>
      </c>
      <c r="B236" s="50" t="n"/>
      <c r="C236" s="45" t="n"/>
      <c r="D236" s="45" t="n"/>
      <c r="E236" s="45" t="n"/>
      <c r="F236" s="50" t="n"/>
      <c r="G236" s="74" t="n"/>
      <c r="H236" s="74" t="n"/>
      <c r="I236" s="74" t="n"/>
      <c r="J236" s="50" t="n"/>
      <c r="K236" s="44" t="n"/>
      <c r="L236" s="44" t="n"/>
      <c r="M236" s="57" t="n"/>
      <c r="N236" s="50" t="n"/>
    </row>
    <row r="237">
      <c r="A237" s="43" t="n">
        <v>234</v>
      </c>
      <c r="B237" s="50" t="n"/>
      <c r="C237" s="45" t="n"/>
      <c r="D237" s="45" t="n"/>
      <c r="E237" s="45" t="n"/>
      <c r="F237" s="50" t="n"/>
      <c r="G237" s="74" t="n"/>
      <c r="H237" s="74" t="n"/>
      <c r="I237" s="74" t="n"/>
      <c r="J237" s="50" t="n"/>
      <c r="K237" s="44" t="n"/>
      <c r="L237" s="44" t="n"/>
      <c r="M237" s="57" t="n"/>
      <c r="N237" s="50" t="n"/>
    </row>
    <row r="238">
      <c r="A238" s="43" t="n">
        <v>235</v>
      </c>
      <c r="B238" s="50" t="n"/>
      <c r="C238" s="45" t="n"/>
      <c r="D238" s="45" t="n"/>
      <c r="E238" s="45" t="n"/>
      <c r="F238" s="50" t="n"/>
      <c r="G238" s="74" t="n"/>
      <c r="H238" s="74" t="n"/>
      <c r="I238" s="74" t="n"/>
      <c r="J238" s="50" t="n"/>
      <c r="K238" s="44" t="n"/>
      <c r="L238" s="44" t="n"/>
      <c r="M238" s="57" t="n"/>
      <c r="N238" s="50" t="n"/>
    </row>
    <row r="239">
      <c r="A239" s="43" t="n">
        <v>236</v>
      </c>
      <c r="B239" s="50" t="n"/>
      <c r="C239" s="45" t="n"/>
      <c r="D239" s="45" t="n"/>
      <c r="E239" s="45" t="n"/>
      <c r="F239" s="50" t="n"/>
      <c r="G239" s="74" t="n"/>
      <c r="H239" s="74" t="n"/>
      <c r="I239" s="74" t="n"/>
      <c r="J239" s="50" t="n"/>
      <c r="K239" s="44" t="n"/>
      <c r="L239" s="44" t="n"/>
      <c r="M239" s="57" t="n"/>
      <c r="N239" s="50" t="n"/>
    </row>
    <row r="240">
      <c r="A240" s="43" t="n">
        <v>237</v>
      </c>
      <c r="B240" s="50" t="n"/>
      <c r="C240" s="45" t="n"/>
      <c r="D240" s="45" t="n"/>
      <c r="E240" s="45" t="n"/>
      <c r="F240" s="50" t="n"/>
      <c r="G240" s="74" t="n"/>
      <c r="H240" s="74" t="n"/>
      <c r="I240" s="74" t="n"/>
      <c r="J240" s="50" t="n"/>
      <c r="K240" s="44" t="n"/>
      <c r="L240" s="44" t="n"/>
      <c r="M240" s="57" t="n"/>
      <c r="N240" s="50" t="n"/>
    </row>
    <row r="241">
      <c r="A241" s="43" t="n">
        <v>238</v>
      </c>
      <c r="B241" s="50" t="n"/>
      <c r="C241" s="45" t="n"/>
      <c r="D241" s="45" t="n"/>
      <c r="E241" s="45" t="n"/>
      <c r="F241" s="50" t="n"/>
      <c r="G241" s="74" t="n"/>
      <c r="H241" s="74" t="n"/>
      <c r="I241" s="74" t="n"/>
      <c r="J241" s="50" t="n"/>
      <c r="K241" s="44" t="n"/>
      <c r="L241" s="44" t="n"/>
      <c r="M241" s="57" t="n"/>
      <c r="N241" s="50" t="n"/>
    </row>
    <row r="242">
      <c r="A242" s="43" t="n">
        <v>239</v>
      </c>
      <c r="B242" s="50" t="n"/>
      <c r="C242" s="45" t="n"/>
      <c r="D242" s="45" t="n"/>
      <c r="E242" s="45" t="n"/>
      <c r="F242" s="50" t="n"/>
      <c r="G242" s="74" t="n"/>
      <c r="H242" s="74" t="n"/>
      <c r="I242" s="74" t="n"/>
      <c r="J242" s="50" t="n"/>
      <c r="K242" s="44" t="n"/>
      <c r="L242" s="44" t="n"/>
      <c r="M242" s="57" t="n"/>
      <c r="N242" s="50" t="n"/>
    </row>
    <row r="243">
      <c r="A243" s="43" t="n">
        <v>240</v>
      </c>
      <c r="B243" s="50" t="n"/>
      <c r="C243" s="45" t="n"/>
      <c r="D243" s="45" t="n"/>
      <c r="E243" s="45" t="n"/>
      <c r="F243" s="50" t="n"/>
      <c r="G243" s="74" t="n"/>
      <c r="H243" s="74" t="n"/>
      <c r="I243" s="74" t="n"/>
      <c r="J243" s="50" t="n"/>
      <c r="K243" s="44" t="n"/>
      <c r="L243" s="44" t="n"/>
      <c r="M243" s="57" t="n"/>
      <c r="N243" s="50" t="n"/>
    </row>
    <row r="244">
      <c r="A244" s="43" t="n">
        <v>241</v>
      </c>
      <c r="B244" s="50" t="n"/>
      <c r="C244" s="45" t="n"/>
      <c r="D244" s="45" t="n"/>
      <c r="E244" s="45" t="n"/>
      <c r="F244" s="50" t="n"/>
      <c r="G244" s="74" t="n"/>
      <c r="H244" s="74" t="n"/>
      <c r="I244" s="74" t="n"/>
      <c r="J244" s="50" t="n"/>
      <c r="K244" s="44" t="n"/>
      <c r="L244" s="44" t="n"/>
      <c r="M244" s="57" t="n"/>
      <c r="N244" s="50" t="n"/>
    </row>
    <row r="245">
      <c r="A245" s="43" t="n">
        <v>242</v>
      </c>
      <c r="B245" s="50" t="n"/>
      <c r="C245" s="45" t="n"/>
      <c r="D245" s="45" t="n"/>
      <c r="E245" s="45" t="n"/>
      <c r="F245" s="50" t="n"/>
      <c r="G245" s="74" t="n"/>
      <c r="H245" s="74" t="n"/>
      <c r="I245" s="74" t="n"/>
      <c r="J245" s="50" t="n"/>
      <c r="K245" s="44" t="n"/>
      <c r="L245" s="44" t="n"/>
      <c r="M245" s="57" t="n"/>
      <c r="N245" s="50" t="n"/>
    </row>
    <row r="246">
      <c r="A246" s="43" t="n">
        <v>243</v>
      </c>
      <c r="B246" s="50" t="n"/>
      <c r="C246" s="45" t="n"/>
      <c r="D246" s="45" t="n"/>
      <c r="E246" s="45" t="n"/>
      <c r="F246" s="50" t="n"/>
      <c r="G246" s="74" t="n"/>
      <c r="H246" s="74" t="n"/>
      <c r="I246" s="74" t="n"/>
      <c r="J246" s="50" t="n"/>
      <c r="K246" s="44" t="n"/>
      <c r="L246" s="44" t="n"/>
      <c r="M246" s="57" t="n"/>
      <c r="N246" s="50" t="n"/>
    </row>
    <row r="247">
      <c r="A247" s="43" t="n">
        <v>244</v>
      </c>
      <c r="B247" s="50" t="n"/>
      <c r="C247" s="45" t="n"/>
      <c r="D247" s="45" t="n"/>
      <c r="E247" s="45" t="n"/>
      <c r="F247" s="50" t="n"/>
      <c r="G247" s="74" t="n"/>
      <c r="H247" s="74" t="n"/>
      <c r="I247" s="74" t="n"/>
      <c r="J247" s="50" t="n"/>
      <c r="K247" s="44" t="n"/>
      <c r="L247" s="44" t="n"/>
      <c r="M247" s="57" t="n"/>
      <c r="N247" s="50" t="n"/>
    </row>
    <row r="248">
      <c r="A248" s="43" t="n">
        <v>245</v>
      </c>
      <c r="B248" s="50" t="n"/>
      <c r="C248" s="45" t="n"/>
      <c r="D248" s="45" t="n"/>
      <c r="E248" s="45" t="n"/>
      <c r="F248" s="50" t="n"/>
      <c r="G248" s="74" t="n"/>
      <c r="H248" s="74" t="n"/>
      <c r="I248" s="74" t="n"/>
      <c r="J248" s="50" t="n"/>
      <c r="K248" s="44" t="n"/>
      <c r="L248" s="44" t="n"/>
      <c r="M248" s="57" t="n"/>
      <c r="N248" s="50" t="n"/>
    </row>
    <row r="249">
      <c r="A249" s="43" t="n">
        <v>246</v>
      </c>
      <c r="B249" s="50" t="n"/>
      <c r="C249" s="45" t="n"/>
      <c r="D249" s="45" t="n"/>
      <c r="E249" s="45" t="n"/>
      <c r="F249" s="50" t="n"/>
      <c r="G249" s="74" t="n"/>
      <c r="H249" s="74" t="n"/>
      <c r="I249" s="74" t="n"/>
      <c r="J249" s="50" t="n"/>
      <c r="K249" s="44" t="n"/>
      <c r="L249" s="44" t="n"/>
      <c r="M249" s="57" t="n"/>
      <c r="N249" s="50" t="n"/>
    </row>
    <row r="250">
      <c r="A250" s="43" t="n">
        <v>247</v>
      </c>
      <c r="B250" s="50" t="n"/>
      <c r="C250" s="45" t="n"/>
      <c r="D250" s="45" t="n"/>
      <c r="E250" s="45" t="n"/>
      <c r="F250" s="50" t="n"/>
      <c r="G250" s="74" t="n"/>
      <c r="H250" s="74" t="n"/>
      <c r="I250" s="74" t="n"/>
      <c r="J250" s="50" t="n"/>
      <c r="K250" s="44" t="n"/>
      <c r="L250" s="44" t="n"/>
      <c r="M250" s="57" t="n"/>
      <c r="N250" s="50" t="n"/>
    </row>
    <row r="251">
      <c r="A251" s="43" t="n">
        <v>248</v>
      </c>
      <c r="B251" s="50" t="n"/>
      <c r="C251" s="45" t="n"/>
      <c r="D251" s="45" t="n"/>
      <c r="E251" s="45" t="n"/>
      <c r="F251" s="50" t="n"/>
      <c r="G251" s="74" t="n"/>
      <c r="H251" s="74" t="n"/>
      <c r="I251" s="74" t="n"/>
      <c r="J251" s="50" t="n"/>
      <c r="K251" s="44" t="n"/>
      <c r="L251" s="44" t="n"/>
      <c r="M251" s="57" t="n"/>
      <c r="N251" s="50" t="n"/>
    </row>
    <row r="252">
      <c r="A252" s="43" t="n">
        <v>249</v>
      </c>
      <c r="B252" s="50" t="n"/>
      <c r="C252" s="45" t="n"/>
      <c r="D252" s="45" t="n"/>
      <c r="E252" s="45" t="n"/>
      <c r="F252" s="50" t="n"/>
      <c r="G252" s="74" t="n"/>
      <c r="H252" s="74" t="n"/>
      <c r="I252" s="74" t="n"/>
      <c r="J252" s="50" t="n"/>
      <c r="K252" s="44" t="n"/>
      <c r="L252" s="44" t="n"/>
      <c r="M252" s="57" t="n"/>
      <c r="N252" s="50" t="n"/>
    </row>
    <row r="253">
      <c r="A253" s="43" t="n">
        <v>250</v>
      </c>
      <c r="B253" s="50" t="n"/>
      <c r="C253" s="45" t="n"/>
      <c r="D253" s="45" t="n"/>
      <c r="E253" s="45" t="n"/>
      <c r="F253" s="50" t="n"/>
      <c r="G253" s="74" t="n"/>
      <c r="H253" s="74" t="n"/>
      <c r="I253" s="74" t="n"/>
      <c r="J253" s="50" t="n"/>
      <c r="K253" s="44" t="n"/>
      <c r="L253" s="44" t="n"/>
      <c r="M253" s="57" t="n"/>
      <c r="N253" s="50" t="n"/>
    </row>
    <row r="254">
      <c r="A254" s="43" t="n">
        <v>251</v>
      </c>
      <c r="B254" s="50" t="n"/>
      <c r="C254" s="45" t="n"/>
      <c r="D254" s="45" t="n"/>
      <c r="E254" s="45" t="n"/>
      <c r="F254" s="50" t="n"/>
      <c r="G254" s="74" t="n"/>
      <c r="H254" s="74" t="n"/>
      <c r="I254" s="74" t="n"/>
      <c r="J254" s="50" t="n"/>
      <c r="K254" s="44" t="n"/>
      <c r="L254" s="44" t="n"/>
      <c r="M254" s="57" t="n"/>
      <c r="N254" s="50" t="n"/>
    </row>
    <row r="255">
      <c r="A255" s="43" t="n">
        <v>252</v>
      </c>
      <c r="B255" s="50" t="n"/>
      <c r="C255" s="45" t="n"/>
      <c r="D255" s="45" t="n"/>
      <c r="E255" s="45" t="n"/>
      <c r="F255" s="50" t="n"/>
      <c r="G255" s="74" t="n"/>
      <c r="H255" s="74" t="n"/>
      <c r="I255" s="74" t="n"/>
      <c r="J255" s="50" t="n"/>
      <c r="K255" s="44" t="n"/>
      <c r="L255" s="44" t="n"/>
      <c r="M255" s="57" t="n"/>
      <c r="N255" s="50" t="n"/>
    </row>
    <row r="256">
      <c r="A256" s="43" t="n">
        <v>253</v>
      </c>
      <c r="B256" s="50" t="n"/>
      <c r="C256" s="45" t="n"/>
      <c r="D256" s="45" t="n"/>
      <c r="E256" s="45" t="n"/>
      <c r="F256" s="50" t="n"/>
      <c r="G256" s="74" t="n"/>
      <c r="H256" s="74" t="n"/>
      <c r="I256" s="74" t="n"/>
      <c r="J256" s="50" t="n"/>
      <c r="K256" s="44" t="n"/>
      <c r="L256" s="44" t="n"/>
      <c r="M256" s="57" t="n"/>
      <c r="N256" s="50" t="n"/>
    </row>
    <row r="257">
      <c r="A257" s="43" t="n">
        <v>254</v>
      </c>
      <c r="B257" s="50" t="n"/>
      <c r="C257" s="45" t="n"/>
      <c r="D257" s="45" t="n"/>
      <c r="E257" s="45" t="n"/>
      <c r="F257" s="50" t="n"/>
      <c r="G257" s="74" t="n"/>
      <c r="H257" s="74" t="n"/>
      <c r="I257" s="74" t="n"/>
      <c r="J257" s="50" t="n"/>
      <c r="K257" s="44" t="n"/>
      <c r="L257" s="44" t="n"/>
      <c r="M257" s="57" t="n"/>
      <c r="N257" s="50" t="n"/>
    </row>
    <row r="258">
      <c r="A258" s="43" t="n">
        <v>255</v>
      </c>
      <c r="B258" s="50" t="n"/>
      <c r="C258" s="45" t="n"/>
      <c r="D258" s="45" t="n"/>
      <c r="E258" s="45" t="n"/>
      <c r="F258" s="50" t="n"/>
      <c r="G258" s="74" t="n"/>
      <c r="H258" s="74" t="n"/>
      <c r="I258" s="74" t="n"/>
      <c r="J258" s="50" t="n"/>
      <c r="K258" s="44" t="n"/>
      <c r="L258" s="44" t="n"/>
      <c r="M258" s="57" t="n"/>
      <c r="N258" s="50" t="n"/>
    </row>
    <row r="259">
      <c r="A259" s="43" t="n">
        <v>256</v>
      </c>
      <c r="B259" s="50" t="n"/>
      <c r="C259" s="45" t="n"/>
      <c r="D259" s="45" t="n"/>
      <c r="E259" s="45" t="n"/>
      <c r="F259" s="50" t="n"/>
      <c r="G259" s="74" t="n"/>
      <c r="H259" s="74" t="n"/>
      <c r="I259" s="74" t="n"/>
      <c r="J259" s="50" t="n"/>
      <c r="K259" s="44" t="n"/>
      <c r="L259" s="44" t="n"/>
      <c r="M259" s="57" t="n"/>
      <c r="N259" s="50" t="n"/>
    </row>
    <row r="260">
      <c r="A260" s="43" t="n">
        <v>257</v>
      </c>
      <c r="B260" s="50" t="n"/>
      <c r="C260" s="45" t="n"/>
      <c r="D260" s="45" t="n"/>
      <c r="E260" s="45" t="n"/>
      <c r="F260" s="50" t="n"/>
      <c r="G260" s="74" t="n"/>
      <c r="H260" s="74" t="n"/>
      <c r="I260" s="74" t="n"/>
      <c r="J260" s="50" t="n"/>
      <c r="K260" s="44" t="n"/>
      <c r="L260" s="44" t="n"/>
      <c r="M260" s="57" t="n"/>
      <c r="N260" s="50" t="n"/>
    </row>
    <row r="261">
      <c r="A261" s="43" t="n">
        <v>258</v>
      </c>
      <c r="B261" s="50" t="n"/>
      <c r="C261" s="45" t="n"/>
      <c r="D261" s="45" t="n"/>
      <c r="E261" s="45" t="n"/>
      <c r="F261" s="50" t="n"/>
      <c r="G261" s="74" t="n"/>
      <c r="H261" s="74" t="n"/>
      <c r="I261" s="74" t="n"/>
      <c r="J261" s="50" t="n"/>
      <c r="K261" s="44" t="n"/>
      <c r="L261" s="44" t="n"/>
      <c r="M261" s="57" t="n"/>
      <c r="N261" s="50" t="n"/>
    </row>
    <row r="262">
      <c r="A262" s="43" t="n">
        <v>259</v>
      </c>
      <c r="B262" s="50" t="n"/>
      <c r="C262" s="45" t="n"/>
      <c r="D262" s="45" t="n"/>
      <c r="E262" s="45" t="n"/>
      <c r="F262" s="50" t="n"/>
      <c r="G262" s="74" t="n"/>
      <c r="H262" s="74" t="n"/>
      <c r="I262" s="74" t="n"/>
      <c r="J262" s="50" t="n"/>
      <c r="K262" s="44" t="n"/>
      <c r="L262" s="44" t="n"/>
      <c r="M262" s="57" t="n"/>
      <c r="N262" s="50" t="n"/>
    </row>
    <row r="263">
      <c r="A263" s="43" t="n">
        <v>260</v>
      </c>
      <c r="B263" s="50" t="n"/>
      <c r="C263" s="45" t="n"/>
      <c r="D263" s="45" t="n"/>
      <c r="E263" s="45" t="n"/>
      <c r="F263" s="50" t="n"/>
      <c r="G263" s="74" t="n"/>
      <c r="H263" s="74" t="n"/>
      <c r="I263" s="74" t="n"/>
      <c r="J263" s="50" t="n"/>
      <c r="K263" s="44" t="n"/>
      <c r="L263" s="44" t="n"/>
      <c r="M263" s="57" t="n"/>
      <c r="N263" s="50" t="n"/>
    </row>
    <row r="264">
      <c r="A264" s="43" t="n">
        <v>261</v>
      </c>
      <c r="B264" s="50" t="n"/>
      <c r="C264" s="45" t="n"/>
      <c r="D264" s="45" t="n"/>
      <c r="E264" s="45" t="n"/>
      <c r="F264" s="50" t="n"/>
      <c r="G264" s="74" t="n"/>
      <c r="H264" s="74" t="n"/>
      <c r="I264" s="74" t="n"/>
      <c r="J264" s="50" t="n"/>
      <c r="K264" s="44" t="n"/>
      <c r="L264" s="44" t="n"/>
      <c r="M264" s="57" t="n"/>
      <c r="N264" s="50" t="n"/>
    </row>
    <row r="265">
      <c r="A265" s="43" t="n">
        <v>262</v>
      </c>
      <c r="B265" s="50" t="n"/>
      <c r="C265" s="45" t="n"/>
      <c r="D265" s="45" t="n"/>
      <c r="E265" s="45" t="n"/>
      <c r="F265" s="50" t="n"/>
      <c r="G265" s="74" t="n"/>
      <c r="H265" s="74" t="n"/>
      <c r="I265" s="74" t="n"/>
      <c r="J265" s="50" t="n"/>
      <c r="K265" s="44" t="n"/>
      <c r="L265" s="44" t="n"/>
      <c r="M265" s="57" t="n"/>
      <c r="N265" s="50" t="n"/>
    </row>
    <row r="266">
      <c r="A266" s="43" t="n">
        <v>263</v>
      </c>
      <c r="B266" s="50" t="n"/>
      <c r="C266" s="45" t="n"/>
      <c r="D266" s="45" t="n"/>
      <c r="E266" s="45" t="n"/>
      <c r="F266" s="50" t="n"/>
      <c r="G266" s="74" t="n"/>
      <c r="H266" s="74" t="n"/>
      <c r="I266" s="74" t="n"/>
      <c r="J266" s="50" t="n"/>
      <c r="K266" s="44" t="n"/>
      <c r="L266" s="44" t="n"/>
      <c r="M266" s="57" t="n"/>
      <c r="N266" s="50" t="n"/>
    </row>
    <row r="267">
      <c r="A267" s="43" t="n">
        <v>264</v>
      </c>
      <c r="B267" s="50" t="n"/>
      <c r="C267" s="45" t="n"/>
      <c r="D267" s="45" t="n"/>
      <c r="E267" s="45" t="n"/>
      <c r="F267" s="50" t="n"/>
      <c r="G267" s="74" t="n"/>
      <c r="H267" s="74" t="n"/>
      <c r="I267" s="74" t="n"/>
      <c r="J267" s="50" t="n"/>
      <c r="K267" s="44" t="n"/>
      <c r="L267" s="44" t="n"/>
      <c r="M267" s="57" t="n"/>
      <c r="N267" s="50" t="n"/>
    </row>
    <row r="268">
      <c r="A268" s="43" t="n">
        <v>265</v>
      </c>
      <c r="B268" s="50" t="n"/>
      <c r="C268" s="45" t="n"/>
      <c r="D268" s="45" t="n"/>
      <c r="E268" s="45" t="n"/>
      <c r="F268" s="50" t="n"/>
      <c r="G268" s="74" t="n"/>
      <c r="H268" s="74" t="n"/>
      <c r="I268" s="74" t="n"/>
      <c r="J268" s="50" t="n"/>
      <c r="K268" s="44" t="n"/>
      <c r="L268" s="44" t="n"/>
      <c r="M268" s="57" t="n"/>
      <c r="N268" s="50" t="n"/>
    </row>
    <row r="269">
      <c r="A269" s="43" t="n">
        <v>266</v>
      </c>
      <c r="B269" s="50" t="n"/>
      <c r="C269" s="45" t="n"/>
      <c r="D269" s="45" t="n"/>
      <c r="E269" s="45" t="n"/>
      <c r="F269" s="50" t="n"/>
      <c r="G269" s="74" t="n"/>
      <c r="H269" s="74" t="n"/>
      <c r="I269" s="74" t="n"/>
      <c r="J269" s="50" t="n"/>
      <c r="K269" s="44" t="n"/>
      <c r="L269" s="44" t="n"/>
      <c r="M269" s="57" t="n"/>
      <c r="N269" s="50" t="n"/>
    </row>
    <row r="270">
      <c r="A270" s="43" t="n">
        <v>267</v>
      </c>
      <c r="B270" s="50" t="n"/>
      <c r="C270" s="45" t="n"/>
      <c r="D270" s="45" t="n"/>
      <c r="E270" s="45" t="n"/>
      <c r="F270" s="50" t="n"/>
      <c r="G270" s="74" t="n"/>
      <c r="H270" s="74" t="n"/>
      <c r="I270" s="74" t="n"/>
      <c r="J270" s="50" t="n"/>
      <c r="K270" s="44" t="n"/>
      <c r="L270" s="44" t="n"/>
      <c r="M270" s="57" t="n"/>
      <c r="N270" s="50" t="n"/>
    </row>
    <row r="271">
      <c r="A271" s="43" t="n">
        <v>268</v>
      </c>
      <c r="B271" s="50" t="n"/>
      <c r="C271" s="45" t="n"/>
      <c r="D271" s="45" t="n"/>
      <c r="E271" s="45" t="n"/>
      <c r="F271" s="50" t="n"/>
      <c r="G271" s="74" t="n"/>
      <c r="H271" s="74" t="n"/>
      <c r="I271" s="74" t="n"/>
      <c r="J271" s="50" t="n"/>
      <c r="K271" s="44" t="n"/>
      <c r="L271" s="44" t="n"/>
      <c r="M271" s="57" t="n"/>
      <c r="N271" s="50" t="n"/>
    </row>
    <row r="272">
      <c r="A272" s="43" t="n">
        <v>269</v>
      </c>
      <c r="B272" s="50" t="n"/>
      <c r="C272" s="45" t="n"/>
      <c r="D272" s="45" t="n"/>
      <c r="E272" s="45" t="n"/>
      <c r="F272" s="50" t="n"/>
      <c r="G272" s="74" t="n"/>
      <c r="H272" s="74" t="n"/>
      <c r="I272" s="74" t="n"/>
      <c r="J272" s="50" t="n"/>
      <c r="K272" s="44" t="n"/>
      <c r="L272" s="44" t="n"/>
      <c r="M272" s="57" t="n"/>
      <c r="N272" s="50" t="n"/>
    </row>
    <row r="273">
      <c r="A273" s="43" t="n">
        <v>270</v>
      </c>
      <c r="B273" s="50" t="n"/>
      <c r="C273" s="45" t="n"/>
      <c r="D273" s="45" t="n"/>
      <c r="E273" s="45" t="n"/>
      <c r="F273" s="50" t="n"/>
      <c r="G273" s="74" t="n"/>
      <c r="H273" s="74" t="n"/>
      <c r="I273" s="74" t="n"/>
      <c r="J273" s="50" t="n"/>
      <c r="K273" s="44" t="n"/>
      <c r="L273" s="44" t="n"/>
      <c r="M273" s="57" t="n"/>
      <c r="N273" s="50" t="n"/>
    </row>
    <row r="274">
      <c r="A274" s="43" t="n">
        <v>271</v>
      </c>
      <c r="B274" s="50" t="n"/>
      <c r="C274" s="45" t="n"/>
      <c r="D274" s="45" t="n"/>
      <c r="E274" s="45" t="n"/>
      <c r="F274" s="50" t="n"/>
      <c r="G274" s="74" t="n"/>
      <c r="H274" s="74" t="n"/>
      <c r="I274" s="74" t="n"/>
      <c r="J274" s="50" t="n"/>
      <c r="K274" s="44" t="n"/>
      <c r="L274" s="44" t="n"/>
      <c r="M274" s="57" t="n"/>
      <c r="N274" s="50" t="n"/>
    </row>
    <row r="275">
      <c r="A275" s="43" t="n">
        <v>272</v>
      </c>
      <c r="B275" s="50" t="n"/>
      <c r="C275" s="45" t="n"/>
      <c r="D275" s="45" t="n"/>
      <c r="E275" s="45" t="n"/>
      <c r="F275" s="50" t="n"/>
      <c r="G275" s="74" t="n"/>
      <c r="H275" s="74" t="n"/>
      <c r="I275" s="74" t="n"/>
      <c r="J275" s="50" t="n"/>
      <c r="K275" s="44" t="n"/>
      <c r="L275" s="44" t="n"/>
      <c r="M275" s="57" t="n"/>
      <c r="N275" s="50" t="n"/>
    </row>
    <row r="276">
      <c r="A276" s="43" t="n">
        <v>273</v>
      </c>
      <c r="B276" s="50" t="n"/>
      <c r="C276" s="45" t="n"/>
      <c r="D276" s="45" t="n"/>
      <c r="E276" s="45" t="n"/>
      <c r="F276" s="50" t="n"/>
      <c r="G276" s="74" t="n"/>
      <c r="H276" s="74" t="n"/>
      <c r="I276" s="74" t="n"/>
      <c r="J276" s="50" t="n"/>
      <c r="K276" s="44" t="n"/>
      <c r="L276" s="44" t="n"/>
      <c r="M276" s="57" t="n"/>
      <c r="N276" s="50" t="n"/>
    </row>
    <row r="277">
      <c r="A277" s="43" t="n">
        <v>274</v>
      </c>
      <c r="B277" s="50" t="n"/>
      <c r="C277" s="45" t="n"/>
      <c r="D277" s="45" t="n"/>
      <c r="E277" s="45" t="n"/>
      <c r="F277" s="50" t="n"/>
      <c r="G277" s="74" t="n"/>
      <c r="H277" s="74" t="n"/>
      <c r="I277" s="74" t="n"/>
      <c r="J277" s="50" t="n"/>
      <c r="K277" s="44" t="n"/>
      <c r="L277" s="44" t="n"/>
      <c r="M277" s="57" t="n"/>
      <c r="N277" s="50" t="n"/>
    </row>
    <row r="278">
      <c r="A278" s="43" t="n">
        <v>275</v>
      </c>
      <c r="B278" s="50" t="n"/>
      <c r="C278" s="45" t="n"/>
      <c r="D278" s="45" t="n"/>
      <c r="E278" s="45" t="n"/>
      <c r="F278" s="50" t="n"/>
      <c r="G278" s="74" t="n"/>
      <c r="H278" s="74" t="n"/>
      <c r="I278" s="74" t="n"/>
      <c r="J278" s="50" t="n"/>
      <c r="K278" s="44" t="n"/>
      <c r="L278" s="44" t="n"/>
      <c r="M278" s="57" t="n"/>
      <c r="N278" s="50" t="n"/>
    </row>
    <row r="279">
      <c r="A279" s="43" t="n">
        <v>276</v>
      </c>
      <c r="B279" s="50" t="n"/>
      <c r="C279" s="45" t="n"/>
      <c r="D279" s="45" t="n"/>
      <c r="E279" s="45" t="n"/>
      <c r="F279" s="50" t="n"/>
      <c r="G279" s="74" t="n"/>
      <c r="H279" s="74" t="n"/>
      <c r="I279" s="74" t="n"/>
      <c r="J279" s="50" t="n"/>
      <c r="K279" s="44" t="n"/>
      <c r="L279" s="44" t="n"/>
      <c r="M279" s="57" t="n"/>
      <c r="N279" s="50" t="n"/>
    </row>
    <row r="280">
      <c r="A280" s="43" t="n">
        <v>277</v>
      </c>
      <c r="B280" s="50" t="n"/>
      <c r="C280" s="45" t="n"/>
      <c r="D280" s="45" t="n"/>
      <c r="E280" s="45" t="n"/>
      <c r="F280" s="50" t="n"/>
      <c r="G280" s="74" t="n"/>
      <c r="H280" s="74" t="n"/>
      <c r="I280" s="74" t="n"/>
      <c r="J280" s="50" t="n"/>
      <c r="K280" s="44" t="n"/>
      <c r="L280" s="44" t="n"/>
      <c r="M280" s="57" t="n"/>
      <c r="N280" s="50" t="n"/>
    </row>
    <row r="281">
      <c r="A281" s="43" t="n">
        <v>278</v>
      </c>
      <c r="B281" s="50" t="n"/>
      <c r="C281" s="45" t="n"/>
      <c r="D281" s="45" t="n"/>
      <c r="E281" s="45" t="n"/>
      <c r="F281" s="50" t="n"/>
      <c r="G281" s="74" t="n"/>
      <c r="H281" s="74" t="n"/>
      <c r="I281" s="74" t="n"/>
      <c r="J281" s="50" t="n"/>
      <c r="K281" s="44" t="n"/>
      <c r="L281" s="44" t="n"/>
      <c r="M281" s="57" t="n"/>
      <c r="N281" s="50" t="n"/>
    </row>
    <row r="282">
      <c r="A282" s="43" t="n">
        <v>279</v>
      </c>
      <c r="B282" s="50" t="n"/>
      <c r="C282" s="45" t="n"/>
      <c r="D282" s="45" t="n"/>
      <c r="E282" s="45" t="n"/>
      <c r="F282" s="50" t="n"/>
      <c r="G282" s="74" t="n"/>
      <c r="H282" s="74" t="n"/>
      <c r="I282" s="74" t="n"/>
      <c r="J282" s="50" t="n"/>
      <c r="K282" s="44" t="n"/>
      <c r="L282" s="44" t="n"/>
      <c r="M282" s="57" t="n"/>
      <c r="N282" s="50" t="n"/>
    </row>
    <row r="283">
      <c r="A283" s="43" t="n">
        <v>280</v>
      </c>
      <c r="B283" s="50" t="n"/>
      <c r="C283" s="45" t="n"/>
      <c r="D283" s="45" t="n"/>
      <c r="E283" s="45" t="n"/>
      <c r="F283" s="50" t="n"/>
      <c r="G283" s="74" t="n"/>
      <c r="H283" s="74" t="n"/>
      <c r="I283" s="74" t="n"/>
      <c r="J283" s="50" t="n"/>
      <c r="K283" s="44" t="n"/>
      <c r="L283" s="44" t="n"/>
      <c r="M283" s="57" t="n"/>
      <c r="N283" s="50" t="n"/>
    </row>
    <row r="284">
      <c r="A284" s="43" t="n">
        <v>281</v>
      </c>
      <c r="B284" s="50" t="n"/>
      <c r="C284" s="45" t="n"/>
      <c r="D284" s="45" t="n"/>
      <c r="E284" s="45" t="n"/>
      <c r="F284" s="50" t="n"/>
      <c r="G284" s="74" t="n"/>
      <c r="H284" s="74" t="n"/>
      <c r="I284" s="74" t="n"/>
      <c r="J284" s="50" t="n"/>
      <c r="K284" s="44" t="n"/>
      <c r="L284" s="44" t="n"/>
      <c r="M284" s="57" t="n"/>
      <c r="N284" s="50" t="n"/>
    </row>
    <row r="285">
      <c r="A285" s="43" t="n">
        <v>282</v>
      </c>
      <c r="B285" s="50" t="n"/>
      <c r="C285" s="45" t="n"/>
      <c r="D285" s="45" t="n"/>
      <c r="E285" s="45" t="n"/>
      <c r="F285" s="50" t="n"/>
      <c r="G285" s="74" t="n"/>
      <c r="H285" s="74" t="n"/>
      <c r="I285" s="74" t="n"/>
      <c r="J285" s="50" t="n"/>
      <c r="K285" s="44" t="n"/>
      <c r="L285" s="44" t="n"/>
      <c r="M285" s="57" t="n"/>
      <c r="N285" s="50" t="n"/>
    </row>
    <row r="286">
      <c r="A286" s="43" t="n">
        <v>283</v>
      </c>
      <c r="B286" s="50" t="n"/>
      <c r="C286" s="45" t="n"/>
      <c r="D286" s="45" t="n"/>
      <c r="E286" s="45" t="n"/>
      <c r="F286" s="50" t="n"/>
      <c r="G286" s="74" t="n"/>
      <c r="H286" s="74" t="n"/>
      <c r="I286" s="74" t="n"/>
      <c r="J286" s="50" t="n"/>
      <c r="K286" s="44" t="n"/>
      <c r="L286" s="44" t="n"/>
      <c r="M286" s="57" t="n"/>
      <c r="N286" s="50" t="n"/>
    </row>
    <row r="287">
      <c r="A287" s="43" t="n">
        <v>284</v>
      </c>
      <c r="B287" s="50" t="n"/>
      <c r="C287" s="45" t="n"/>
      <c r="D287" s="45" t="n"/>
      <c r="E287" s="45" t="n"/>
      <c r="F287" s="50" t="n"/>
      <c r="G287" s="74" t="n"/>
      <c r="H287" s="74" t="n"/>
      <c r="I287" s="74" t="n"/>
      <c r="J287" s="50" t="n"/>
      <c r="K287" s="44" t="n"/>
      <c r="L287" s="44" t="n"/>
      <c r="M287" s="57" t="n"/>
      <c r="N287" s="50" t="n"/>
    </row>
    <row r="288">
      <c r="A288" s="43" t="n">
        <v>285</v>
      </c>
      <c r="B288" s="50" t="n"/>
      <c r="C288" s="45" t="n"/>
      <c r="D288" s="45" t="n"/>
      <c r="E288" s="45" t="n"/>
      <c r="F288" s="50" t="n"/>
      <c r="G288" s="74" t="n"/>
      <c r="H288" s="74" t="n"/>
      <c r="I288" s="74" t="n"/>
      <c r="J288" s="50" t="n"/>
      <c r="K288" s="44" t="n"/>
      <c r="L288" s="44" t="n"/>
      <c r="M288" s="57" t="n"/>
      <c r="N288" s="50" t="n"/>
    </row>
    <row r="289">
      <c r="A289" s="43" t="n">
        <v>286</v>
      </c>
      <c r="B289" s="50" t="n"/>
      <c r="C289" s="45" t="n"/>
      <c r="D289" s="45" t="n"/>
      <c r="E289" s="45" t="n"/>
      <c r="F289" s="50" t="n"/>
      <c r="G289" s="74" t="n"/>
      <c r="H289" s="74" t="n"/>
      <c r="I289" s="74" t="n"/>
      <c r="J289" s="50" t="n"/>
      <c r="K289" s="44" t="n"/>
      <c r="L289" s="44" t="n"/>
      <c r="M289" s="57" t="n"/>
      <c r="N289" s="50" t="n"/>
    </row>
    <row r="290">
      <c r="A290" s="43" t="n">
        <v>287</v>
      </c>
      <c r="B290" s="50" t="n"/>
      <c r="C290" s="45" t="n"/>
      <c r="D290" s="45" t="n"/>
      <c r="E290" s="45" t="n"/>
      <c r="F290" s="50" t="n"/>
      <c r="G290" s="74" t="n"/>
      <c r="H290" s="74" t="n"/>
      <c r="I290" s="74" t="n"/>
      <c r="J290" s="50" t="n"/>
      <c r="K290" s="44" t="n"/>
      <c r="L290" s="44" t="n"/>
      <c r="M290" s="57" t="n"/>
      <c r="N290" s="50" t="n"/>
    </row>
    <row r="291">
      <c r="A291" s="43" t="n">
        <v>288</v>
      </c>
      <c r="B291" s="50" t="n"/>
      <c r="C291" s="45" t="n"/>
      <c r="D291" s="45" t="n"/>
      <c r="E291" s="45" t="n"/>
      <c r="F291" s="50" t="n"/>
      <c r="G291" s="74" t="n"/>
      <c r="H291" s="74" t="n"/>
      <c r="I291" s="74" t="n"/>
      <c r="J291" s="50" t="n"/>
      <c r="K291" s="44" t="n"/>
      <c r="L291" s="44" t="n"/>
      <c r="M291" s="57" t="n"/>
      <c r="N291" s="50" t="n"/>
    </row>
    <row r="292">
      <c r="A292" s="43" t="n">
        <v>289</v>
      </c>
      <c r="B292" s="50" t="n"/>
      <c r="C292" s="45" t="n"/>
      <c r="D292" s="45" t="n"/>
      <c r="E292" s="45" t="n"/>
      <c r="F292" s="50" t="n"/>
      <c r="G292" s="74" t="n"/>
      <c r="H292" s="74" t="n"/>
      <c r="I292" s="74" t="n"/>
      <c r="J292" s="50" t="n"/>
      <c r="K292" s="44" t="n"/>
      <c r="L292" s="44" t="n"/>
      <c r="M292" s="57" t="n"/>
      <c r="N292" s="50" t="n"/>
    </row>
    <row r="293">
      <c r="A293" s="43" t="n">
        <v>290</v>
      </c>
      <c r="B293" s="50" t="n"/>
      <c r="C293" s="45" t="n"/>
      <c r="D293" s="45" t="n"/>
      <c r="E293" s="45" t="n"/>
      <c r="F293" s="50" t="n"/>
      <c r="G293" s="74" t="n"/>
      <c r="H293" s="74" t="n"/>
      <c r="I293" s="74" t="n"/>
      <c r="J293" s="50" t="n"/>
      <c r="K293" s="44" t="n"/>
      <c r="L293" s="44" t="n"/>
      <c r="M293" s="57" t="n"/>
      <c r="N293" s="50" t="n"/>
    </row>
    <row r="294">
      <c r="A294" s="43" t="n">
        <v>291</v>
      </c>
      <c r="B294" s="50" t="n"/>
      <c r="C294" s="45" t="n"/>
      <c r="D294" s="45" t="n"/>
      <c r="E294" s="45" t="n"/>
      <c r="F294" s="50" t="n"/>
      <c r="G294" s="74" t="n"/>
      <c r="H294" s="74" t="n"/>
      <c r="I294" s="74" t="n"/>
      <c r="J294" s="50" t="n"/>
      <c r="K294" s="44" t="n"/>
      <c r="L294" s="44" t="n"/>
      <c r="M294" s="57" t="n"/>
      <c r="N294" s="50" t="n"/>
    </row>
    <row r="295">
      <c r="A295" s="43" t="n">
        <v>292</v>
      </c>
      <c r="B295" s="50" t="n"/>
      <c r="C295" s="45" t="n"/>
      <c r="D295" s="45" t="n"/>
      <c r="E295" s="45" t="n"/>
      <c r="F295" s="50" t="n"/>
      <c r="G295" s="74" t="n"/>
      <c r="H295" s="74" t="n"/>
      <c r="I295" s="74" t="n"/>
      <c r="J295" s="50" t="n"/>
      <c r="K295" s="44" t="n"/>
      <c r="L295" s="44" t="n"/>
      <c r="M295" s="57" t="n"/>
      <c r="N295" s="50" t="n"/>
    </row>
    <row r="296">
      <c r="A296" s="43" t="n">
        <v>293</v>
      </c>
      <c r="B296" s="50" t="n"/>
      <c r="C296" s="45" t="n"/>
      <c r="D296" s="45" t="n"/>
      <c r="E296" s="45" t="n"/>
      <c r="F296" s="50" t="n"/>
      <c r="G296" s="74" t="n"/>
      <c r="H296" s="74" t="n"/>
      <c r="I296" s="74" t="n"/>
      <c r="J296" s="50" t="n"/>
      <c r="K296" s="44" t="n"/>
      <c r="L296" s="44" t="n"/>
      <c r="M296" s="57" t="n"/>
      <c r="N296" s="50" t="n"/>
    </row>
    <row r="297">
      <c r="A297" s="43" t="n">
        <v>294</v>
      </c>
      <c r="B297" s="50" t="n"/>
      <c r="C297" s="45" t="n"/>
      <c r="D297" s="45" t="n"/>
      <c r="E297" s="45" t="n"/>
      <c r="F297" s="50" t="n"/>
      <c r="G297" s="74" t="n"/>
      <c r="H297" s="74" t="n"/>
      <c r="I297" s="74" t="n"/>
      <c r="J297" s="50" t="n"/>
      <c r="K297" s="44" t="n"/>
      <c r="L297" s="44" t="n"/>
      <c r="M297" s="57" t="n"/>
      <c r="N297" s="50" t="n"/>
    </row>
    <row r="298">
      <c r="A298" s="43" t="n">
        <v>295</v>
      </c>
      <c r="B298" s="50" t="n"/>
      <c r="C298" s="45" t="n"/>
      <c r="D298" s="45" t="n"/>
      <c r="E298" s="45" t="n"/>
      <c r="F298" s="50" t="n"/>
      <c r="G298" s="74" t="n"/>
      <c r="H298" s="74" t="n"/>
      <c r="I298" s="74" t="n"/>
      <c r="J298" s="50" t="n"/>
      <c r="K298" s="44" t="n"/>
      <c r="L298" s="44" t="n"/>
      <c r="M298" s="57" t="n"/>
      <c r="N298" s="50" t="n"/>
    </row>
    <row r="299">
      <c r="A299" s="43" t="n">
        <v>296</v>
      </c>
      <c r="B299" s="50" t="n"/>
      <c r="C299" s="45" t="n"/>
      <c r="D299" s="45" t="n"/>
      <c r="E299" s="45" t="n"/>
      <c r="F299" s="50" t="n"/>
      <c r="G299" s="74" t="n"/>
      <c r="H299" s="74" t="n"/>
      <c r="I299" s="74" t="n"/>
      <c r="J299" s="50" t="n"/>
      <c r="K299" s="44" t="n"/>
      <c r="L299" s="44" t="n"/>
      <c r="M299" s="57" t="n"/>
      <c r="N299" s="50" t="n"/>
    </row>
    <row r="300">
      <c r="A300" s="43" t="n">
        <v>297</v>
      </c>
      <c r="B300" s="50" t="n"/>
      <c r="C300" s="45" t="n"/>
      <c r="D300" s="45" t="n"/>
      <c r="E300" s="45" t="n"/>
      <c r="F300" s="50" t="n"/>
      <c r="G300" s="74" t="n"/>
      <c r="H300" s="74" t="n"/>
      <c r="I300" s="74" t="n"/>
      <c r="J300" s="50" t="n"/>
      <c r="K300" s="44" t="n"/>
      <c r="L300" s="44" t="n"/>
      <c r="M300" s="57" t="n"/>
      <c r="N300" s="50" t="n"/>
    </row>
    <row r="301">
      <c r="A301" s="43" t="n">
        <v>298</v>
      </c>
      <c r="B301" s="50" t="n"/>
      <c r="C301" s="45" t="n"/>
      <c r="D301" s="45" t="n"/>
      <c r="E301" s="45" t="n"/>
      <c r="F301" s="50" t="n"/>
      <c r="G301" s="74" t="n"/>
      <c r="H301" s="74" t="n"/>
      <c r="I301" s="74" t="n"/>
      <c r="J301" s="50" t="n"/>
      <c r="K301" s="44" t="n"/>
      <c r="L301" s="44" t="n"/>
      <c r="M301" s="57" t="n"/>
      <c r="N301" s="50" t="n"/>
    </row>
    <row r="302">
      <c r="A302" s="43" t="n">
        <v>299</v>
      </c>
      <c r="B302" s="50" t="n"/>
      <c r="C302" s="45" t="n"/>
      <c r="D302" s="45" t="n"/>
      <c r="E302" s="45" t="n"/>
      <c r="F302" s="50" t="n"/>
      <c r="G302" s="74" t="n"/>
      <c r="H302" s="74" t="n"/>
      <c r="I302" s="74" t="n"/>
      <c r="J302" s="50" t="n"/>
      <c r="K302" s="44" t="n"/>
      <c r="L302" s="44" t="n"/>
      <c r="M302" s="57" t="n"/>
      <c r="N302" s="50" t="n"/>
    </row>
    <row r="303">
      <c r="A303" s="43" t="n">
        <v>300</v>
      </c>
      <c r="B303" s="50" t="n"/>
      <c r="C303" s="45" t="n"/>
      <c r="D303" s="45" t="n"/>
      <c r="E303" s="45" t="n"/>
      <c r="F303" s="50" t="n"/>
      <c r="G303" s="74" t="n"/>
      <c r="H303" s="74" t="n"/>
      <c r="I303" s="74" t="n"/>
      <c r="J303" s="50" t="n"/>
      <c r="K303" s="44" t="n"/>
      <c r="L303" s="44" t="n"/>
      <c r="M303" s="57" t="n"/>
      <c r="N303" s="50" t="n"/>
    </row>
  </sheetData>
  <autoFilter ref="A3:N303"/>
  <mergeCells count="2">
    <mergeCell ref="A2:N2"/>
    <mergeCell ref="A1:N1"/>
  </mergeCells>
  <dataValidations count="3">
    <dataValidation sqref="C4:C303" showDropDown="0" showInputMessage="1" showErrorMessage="1" allowBlank="1" errorTitle="不在清单里" error="请从下拉里选；清单里没有的，先到【基础资料】/【往来单位】里登记" promptTitle="提示" prompt="材料供应商/分包/机械运输：欠钱记应付登记；管理人员/工人：工资走考勤；临时工：现结；股东：开个人户" type="list" errorStyle="stop">
      <formula1>"甲方/总包,材料供应商,分包,机械运输,管理人员,工人,临时工,股东,税务/银行,其他"</formula1>
    </dataValidation>
    <dataValidation sqref="K4:K303" showDropDown="0" showInputMessage="0" showErrorMessage="1" allowBlank="1" errorTitle="日期" error="要像 2026/9/1 这样填日期" type="date" errorStyle="warning" operator="between">
      <formula1>36526</formula1>
      <formula2>73050</formula2>
    </dataValidation>
    <dataValidation sqref="L4:L303" showDropDown="0" showInputMessage="0" showErrorMessage="1" allowBlank="1" errorTitle="日期" error="要像 2026/9/1 这样填日期" type="date" errorStyle="warning" operator="between">
      <formula1>36526</formula1>
      <formula2>73050</formula2>
    </dataValidation>
  </dataValidations>
  <hyperlinks>
    <hyperlink ref="O1" location="'首页'!A1" display="← 回首页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/>
  </sheetPr>
  <dimension ref="A1:I303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.5" customWidth="1" min="3" max="3"/>
    <col width="13.5" customWidth="1" min="4" max="4"/>
    <col width="13.5" customWidth="1" min="5" max="5"/>
    <col width="30" customWidth="1" min="6" max="6"/>
    <col width="30" customWidth="1" min="7" max="7"/>
    <col hidden="1" width="13" customWidth="1" min="8" max="8"/>
    <col hidden="1" width="13" customWidth="1" min="9" max="9"/>
  </cols>
  <sheetData>
    <row r="1" ht="33" customHeight="1">
      <c r="A1" s="71" t="inlineStr">
        <is>
          <t>工 资 标 准（日薪 / 月薪 · 涨工资加一行，旧的不改）</t>
        </is>
      </c>
      <c r="H1" s="33" t="inlineStr">
        <is>
          <t>← 回首页</t>
        </is>
      </c>
    </row>
    <row r="2" ht="70" customHeight="1">
      <c r="A2" s="3" t="inlineStr">
        <is>
          <t>💡 每人一行：从哪天起、日薪或月薪（只填一个）。涨工资不要改原来那行，在下面加一行新的「从哪天起」和新单价：比如 胡家新 2026-01-01 起日薪 270，2026-07-01 起日薪 300 —— 考勤工资里 6 月及以前按 270 算，7 月起按 300 算，以前的工资不会变。按月查：用这个月最后一天有效的单价；月中涨薪的，考勤工资里这个人这个月拆两行，涨薪前那行在「单价手填」填旧单价。老板、负责人、办公室按月薪填。</t>
        </is>
      </c>
    </row>
    <row r="3" ht="34" customHeight="1">
      <c r="A3" s="72" t="inlineStr">
        <is>
          <t>序号</t>
        </is>
      </c>
      <c r="B3" s="72" t="inlineStr">
        <is>
          <t>姓名</t>
        </is>
      </c>
      <c r="C3" s="72" t="inlineStr">
        <is>
          <t>从哪天起</t>
        </is>
      </c>
      <c r="D3" s="72" t="inlineStr">
        <is>
          <t>日薪</t>
        </is>
      </c>
      <c r="E3" s="72" t="inlineStr">
        <is>
          <t>月薪</t>
        </is>
      </c>
      <c r="F3" s="72" t="inlineStr">
        <is>
          <t>说明</t>
        </is>
      </c>
      <c r="G3" s="72" t="inlineStr">
        <is>
          <t>校验</t>
        </is>
      </c>
    </row>
    <row r="4">
      <c r="A4" s="43" t="n">
        <v>1</v>
      </c>
      <c r="B4" s="45" t="inlineStr">
        <is>
          <t>聂峰</t>
        </is>
      </c>
      <c r="C4" s="44" t="n">
        <v>45658</v>
      </c>
      <c r="D4" s="57" t="n">
        <v>500</v>
      </c>
      <c r="E4" s="57" t="n"/>
      <c r="F4" s="50" t="inlineStr">
        <is>
          <t>4 月工资表的日工资</t>
        </is>
      </c>
      <c r="G4" s="49" t="str">
        <f t="shared" ref="G4:G303" si="0">IF(AND(B4="",C4=""),"",IF(COUNTIF(往来单位!$B$4:$B$303,B4)=0,"✗ 没在【往来单位】登记",IF(NOT(ISNUMBER(C4)),"✗ 从哪天起要填日期",IF((N(D4)&lt;&gt;0)=(N(E4)&lt;&gt;0),"✗ 日薪、月薪只填一个",IF(COUNTIFS(工资标准!$B$4:$B$303,B4,工资标准!$H$4:$H$303,H4)&gt;1,"✗ 同一天有两条，单价会算重","√")))))</f>
        <v>√</v>
      </c>
      <c r="H4" s="2">
        <f t="shared" ref="H4:H303" si="1">IF(ISNUMBER(C4),INT(C4),0)</f>
        <v>45658</v>
      </c>
      <c r="I4" s="2" t="str">
        <f t="shared" ref="I4:I303" si="2">IF(OR(B4="",H4=0),"",B4&amp;"|"&amp;(COUNTIFS(工资标准!$B$4:$B$303,B4,工资标准!$H$4:$H$303,"&gt;0",工资标准!$H$4:$H$303,"&lt;"&amp;H4)+COUNTIFS($B$4:B4,B4,$H$4:H4,H4)))</f>
        <v>聂峰|1</v>
      </c>
    </row>
    <row r="5">
      <c r="A5" s="43" t="n">
        <v>2</v>
      </c>
      <c r="B5" s="45" t="inlineStr">
        <is>
          <t>袁斌财</t>
        </is>
      </c>
      <c r="C5" s="44" t="n">
        <v>45658</v>
      </c>
      <c r="D5" s="57" t="n">
        <v>330</v>
      </c>
      <c r="E5" s="57" t="n"/>
      <c r="F5" s="50" t="inlineStr">
        <is>
          <t>4 月工资表的日工资</t>
        </is>
      </c>
      <c r="G5" s="49" t="str">
        <f t="shared" si="0"/>
        <v>√</v>
      </c>
      <c r="H5" s="2">
        <f t="shared" si="1"/>
        <v>45658</v>
      </c>
      <c r="I5" s="2" t="str">
        <f t="shared" si="2"/>
        <v>袁斌财|1</v>
      </c>
    </row>
    <row r="6">
      <c r="A6" s="43" t="n">
        <v>3</v>
      </c>
      <c r="B6" s="45" t="inlineStr">
        <is>
          <t>胡家新</t>
        </is>
      </c>
      <c r="C6" s="44" t="n">
        <v>45658</v>
      </c>
      <c r="D6" s="57" t="n">
        <v>270</v>
      </c>
      <c r="E6" s="57" t="n"/>
      <c r="F6" s="50" t="inlineStr">
        <is>
          <t>4 月工资表的日工资</t>
        </is>
      </c>
      <c r="G6" s="49" t="str">
        <f t="shared" si="0"/>
        <v>√</v>
      </c>
      <c r="H6" s="2">
        <f t="shared" si="1"/>
        <v>45658</v>
      </c>
      <c r="I6" s="2" t="str">
        <f t="shared" si="2"/>
        <v>胡家新|1</v>
      </c>
    </row>
    <row r="7">
      <c r="A7" s="43" t="n">
        <v>4</v>
      </c>
      <c r="B7" s="45" t="inlineStr">
        <is>
          <t>刘海</t>
        </is>
      </c>
      <c r="C7" s="44" t="n">
        <v>45658</v>
      </c>
      <c r="D7" s="57" t="n">
        <v>250</v>
      </c>
      <c r="E7" s="57" t="n"/>
      <c r="F7" s="50" t="inlineStr">
        <is>
          <t>4 月工资表的日工资</t>
        </is>
      </c>
      <c r="G7" s="49" t="str">
        <f t="shared" si="0"/>
        <v>√</v>
      </c>
      <c r="H7" s="2">
        <f t="shared" si="1"/>
        <v>45658</v>
      </c>
      <c r="I7" s="2" t="str">
        <f t="shared" si="2"/>
        <v>刘海|1</v>
      </c>
    </row>
    <row r="8">
      <c r="A8" s="43" t="n">
        <v>5</v>
      </c>
      <c r="B8" s="45" t="inlineStr">
        <is>
          <t>程章赐</t>
        </is>
      </c>
      <c r="C8" s="44" t="n">
        <v>45658</v>
      </c>
      <c r="D8" s="57" t="n">
        <v>350</v>
      </c>
      <c r="E8" s="57" t="n"/>
      <c r="F8" s="50" t="inlineStr">
        <is>
          <t>4 月工资表的日工资</t>
        </is>
      </c>
      <c r="G8" s="49" t="str">
        <f t="shared" si="0"/>
        <v>√</v>
      </c>
      <c r="H8" s="2">
        <f t="shared" si="1"/>
        <v>45658</v>
      </c>
      <c r="I8" s="2" t="str">
        <f t="shared" si="2"/>
        <v>程章赐|1</v>
      </c>
    </row>
    <row r="9">
      <c r="A9" s="43" t="n">
        <v>6</v>
      </c>
      <c r="B9" s="45" t="inlineStr">
        <is>
          <t>程章材</t>
        </is>
      </c>
      <c r="C9" s="44" t="n">
        <v>45658</v>
      </c>
      <c r="D9" s="57" t="n">
        <v>200</v>
      </c>
      <c r="E9" s="57" t="n"/>
      <c r="F9" s="50" t="inlineStr">
        <is>
          <t>4 月工资表的日工资</t>
        </is>
      </c>
      <c r="G9" s="49" t="str">
        <f t="shared" si="0"/>
        <v>√</v>
      </c>
      <c r="H9" s="2">
        <f t="shared" si="1"/>
        <v>45658</v>
      </c>
      <c r="I9" s="2" t="str">
        <f t="shared" si="2"/>
        <v>程章材|1</v>
      </c>
    </row>
    <row r="10">
      <c r="A10" s="43" t="n">
        <v>7</v>
      </c>
      <c r="B10" s="45" t="inlineStr">
        <is>
          <t>叶炳南</t>
        </is>
      </c>
      <c r="C10" s="44" t="n">
        <v>45658</v>
      </c>
      <c r="D10" s="57" t="n">
        <v>330</v>
      </c>
      <c r="E10" s="57" t="n"/>
      <c r="F10" s="50" t="inlineStr">
        <is>
          <t>4 月工资表的日工资</t>
        </is>
      </c>
      <c r="G10" s="49" t="str">
        <f t="shared" si="0"/>
        <v>√</v>
      </c>
      <c r="H10" s="2">
        <f t="shared" si="1"/>
        <v>45658</v>
      </c>
      <c r="I10" s="2" t="str">
        <f t="shared" si="2"/>
        <v>叶炳南|1</v>
      </c>
    </row>
    <row r="11">
      <c r="A11" s="43" t="n">
        <v>8</v>
      </c>
      <c r="B11" s="45" t="inlineStr">
        <is>
          <t>万焕和</t>
        </is>
      </c>
      <c r="C11" s="44" t="n">
        <v>45658</v>
      </c>
      <c r="D11" s="57" t="n">
        <v>320</v>
      </c>
      <c r="E11" s="57" t="n"/>
      <c r="F11" s="50" t="inlineStr">
        <is>
          <t>4 月工资表的日工资</t>
        </is>
      </c>
      <c r="G11" s="49" t="str">
        <f t="shared" si="0"/>
        <v>√</v>
      </c>
      <c r="H11" s="2">
        <f t="shared" si="1"/>
        <v>45658</v>
      </c>
      <c r="I11" s="2" t="str">
        <f t="shared" si="2"/>
        <v>万焕和|1</v>
      </c>
    </row>
    <row r="12">
      <c r="A12" s="43" t="n">
        <v>9</v>
      </c>
      <c r="B12" s="45" t="inlineStr">
        <is>
          <t>邓泽贵</t>
        </is>
      </c>
      <c r="C12" s="44" t="n">
        <v>45658</v>
      </c>
      <c r="D12" s="57" t="n">
        <v>350</v>
      </c>
      <c r="E12" s="57" t="n"/>
      <c r="F12" s="50" t="inlineStr">
        <is>
          <t>4 月工资表的日工资</t>
        </is>
      </c>
      <c r="G12" s="49" t="str">
        <f t="shared" si="0"/>
        <v>√</v>
      </c>
      <c r="H12" s="2">
        <f t="shared" si="1"/>
        <v>45658</v>
      </c>
      <c r="I12" s="2" t="str">
        <f t="shared" si="2"/>
        <v>邓泽贵|1</v>
      </c>
    </row>
    <row r="13">
      <c r="A13" s="43" t="n">
        <v>10</v>
      </c>
      <c r="B13" s="45" t="inlineStr">
        <is>
          <t>吴长友</t>
        </is>
      </c>
      <c r="C13" s="44" t="n">
        <v>45658</v>
      </c>
      <c r="D13" s="57" t="n">
        <v>330</v>
      </c>
      <c r="E13" s="57" t="n"/>
      <c r="F13" s="50" t="inlineStr">
        <is>
          <t>4 月工资表的日工资</t>
        </is>
      </c>
      <c r="G13" s="49" t="str">
        <f t="shared" si="0"/>
        <v>√</v>
      </c>
      <c r="H13" s="2">
        <f t="shared" si="1"/>
        <v>45658</v>
      </c>
      <c r="I13" s="2" t="str">
        <f t="shared" si="2"/>
        <v>吴长友|1</v>
      </c>
    </row>
    <row r="14">
      <c r="A14" s="43" t="n">
        <v>11</v>
      </c>
      <c r="B14" s="45" t="inlineStr">
        <is>
          <t>闵清林</t>
        </is>
      </c>
      <c r="C14" s="44" t="n">
        <v>45658</v>
      </c>
      <c r="D14" s="57" t="n">
        <v>300</v>
      </c>
      <c r="E14" s="57" t="n"/>
      <c r="F14" s="50" t="inlineStr">
        <is>
          <t>4 月工资表的日工资</t>
        </is>
      </c>
      <c r="G14" s="49" t="str">
        <f t="shared" si="0"/>
        <v>√</v>
      </c>
      <c r="H14" s="2">
        <f t="shared" si="1"/>
        <v>45658</v>
      </c>
      <c r="I14" s="2" t="str">
        <f t="shared" si="2"/>
        <v>闵清林|1</v>
      </c>
    </row>
    <row r="15">
      <c r="A15" s="43" t="n">
        <v>12</v>
      </c>
      <c r="B15" s="45" t="inlineStr">
        <is>
          <t>徐从国</t>
        </is>
      </c>
      <c r="C15" s="44" t="n">
        <v>45658</v>
      </c>
      <c r="D15" s="57" t="n">
        <v>280</v>
      </c>
      <c r="E15" s="57" t="n"/>
      <c r="F15" s="50" t="inlineStr">
        <is>
          <t>4 月工资表的日工资</t>
        </is>
      </c>
      <c r="G15" s="49" t="str">
        <f t="shared" si="0"/>
        <v>√</v>
      </c>
      <c r="H15" s="2">
        <f t="shared" si="1"/>
        <v>45658</v>
      </c>
      <c r="I15" s="2" t="str">
        <f t="shared" si="2"/>
        <v>徐从国|1</v>
      </c>
    </row>
    <row r="16">
      <c r="A16" s="43" t="n">
        <v>13</v>
      </c>
      <c r="B16" s="45" t="inlineStr">
        <is>
          <t>梅秀刚</t>
        </is>
      </c>
      <c r="C16" s="44" t="n">
        <v>45658</v>
      </c>
      <c r="D16" s="57" t="n">
        <v>340</v>
      </c>
      <c r="E16" s="57" t="n"/>
      <c r="F16" s="50" t="inlineStr">
        <is>
          <t>4 月工资表的日工资</t>
        </is>
      </c>
      <c r="G16" s="49" t="str">
        <f t="shared" si="0"/>
        <v>√</v>
      </c>
      <c r="H16" s="2">
        <f t="shared" si="1"/>
        <v>45658</v>
      </c>
      <c r="I16" s="2" t="str">
        <f t="shared" si="2"/>
        <v>梅秀刚|1</v>
      </c>
    </row>
    <row r="17">
      <c r="A17" s="43" t="n">
        <v>14</v>
      </c>
      <c r="B17" s="45" t="inlineStr">
        <is>
          <t>金南水</t>
        </is>
      </c>
      <c r="C17" s="44" t="n">
        <v>45658</v>
      </c>
      <c r="D17" s="57" t="n">
        <v>290</v>
      </c>
      <c r="E17" s="57" t="n"/>
      <c r="F17" s="50" t="inlineStr">
        <is>
          <t>4 月工资表的日工资</t>
        </is>
      </c>
      <c r="G17" s="49" t="str">
        <f t="shared" si="0"/>
        <v>√</v>
      </c>
      <c r="H17" s="2">
        <f t="shared" si="1"/>
        <v>45658</v>
      </c>
      <c r="I17" s="2" t="str">
        <f t="shared" si="2"/>
        <v>金南水|1</v>
      </c>
    </row>
    <row r="18">
      <c r="A18" s="43" t="n">
        <v>15</v>
      </c>
      <c r="B18" s="45" t="inlineStr">
        <is>
          <t>金李平</t>
        </is>
      </c>
      <c r="C18" s="44" t="n">
        <v>45658</v>
      </c>
      <c r="D18" s="57" t="n">
        <v>270</v>
      </c>
      <c r="E18" s="57" t="n"/>
      <c r="F18" s="50" t="inlineStr">
        <is>
          <t>4 月工资表的日工资</t>
        </is>
      </c>
      <c r="G18" s="49" t="str">
        <f t="shared" si="0"/>
        <v>√</v>
      </c>
      <c r="H18" s="2">
        <f t="shared" si="1"/>
        <v>45658</v>
      </c>
      <c r="I18" s="2" t="str">
        <f t="shared" si="2"/>
        <v>金李平|1</v>
      </c>
    </row>
    <row r="19">
      <c r="A19" s="43" t="n">
        <v>16</v>
      </c>
      <c r="B19" s="45" t="inlineStr">
        <is>
          <t>杨明定</t>
        </is>
      </c>
      <c r="C19" s="44" t="n">
        <v>45658</v>
      </c>
      <c r="D19" s="57" t="n">
        <v>310</v>
      </c>
      <c r="E19" s="57" t="n"/>
      <c r="F19" s="50" t="inlineStr">
        <is>
          <t>4 月工资表的日工资</t>
        </is>
      </c>
      <c r="G19" s="49" t="str">
        <f t="shared" si="0"/>
        <v>√</v>
      </c>
      <c r="H19" s="2">
        <f t="shared" si="1"/>
        <v>45658</v>
      </c>
      <c r="I19" s="2" t="str">
        <f t="shared" si="2"/>
        <v>杨明定|1</v>
      </c>
    </row>
    <row r="20">
      <c r="A20" s="43" t="n">
        <v>17</v>
      </c>
      <c r="B20" s="45" t="inlineStr">
        <is>
          <t>王兴蛟</t>
        </is>
      </c>
      <c r="C20" s="44" t="n">
        <v>45658</v>
      </c>
      <c r="D20" s="57" t="n">
        <v>320</v>
      </c>
      <c r="E20" s="57" t="n"/>
      <c r="F20" s="50" t="inlineStr">
        <is>
          <t>4 月工资表的日工资</t>
        </is>
      </c>
      <c r="G20" s="49" t="str">
        <f t="shared" si="0"/>
        <v>√</v>
      </c>
      <c r="H20" s="2">
        <f t="shared" si="1"/>
        <v>45658</v>
      </c>
      <c r="I20" s="2" t="str">
        <f t="shared" si="2"/>
        <v>王兴蛟|1</v>
      </c>
    </row>
    <row r="21">
      <c r="A21" s="43" t="n">
        <v>18</v>
      </c>
      <c r="B21" s="45" t="inlineStr">
        <is>
          <t>高征坤</t>
        </is>
      </c>
      <c r="C21" s="44" t="n">
        <v>45658</v>
      </c>
      <c r="D21" s="57" t="n">
        <v>290</v>
      </c>
      <c r="E21" s="57" t="n"/>
      <c r="F21" s="50" t="inlineStr">
        <is>
          <t>4 月工资表的日工资</t>
        </is>
      </c>
      <c r="G21" s="49" t="str">
        <f t="shared" si="0"/>
        <v>√</v>
      </c>
      <c r="H21" s="2">
        <f t="shared" si="1"/>
        <v>45658</v>
      </c>
      <c r="I21" s="2" t="str">
        <f t="shared" si="2"/>
        <v>高征坤|1</v>
      </c>
    </row>
    <row r="22">
      <c r="A22" s="43" t="n">
        <v>19</v>
      </c>
      <c r="B22" s="45" t="inlineStr">
        <is>
          <t>张亮亮</t>
        </is>
      </c>
      <c r="C22" s="44" t="n">
        <v>45658</v>
      </c>
      <c r="D22" s="57" t="n">
        <v>390</v>
      </c>
      <c r="E22" s="57" t="n"/>
      <c r="F22" s="50" t="inlineStr">
        <is>
          <t>4 月工资表的日工资</t>
        </is>
      </c>
      <c r="G22" s="49" t="str">
        <f t="shared" si="0"/>
        <v>√</v>
      </c>
      <c r="H22" s="2">
        <f t="shared" si="1"/>
        <v>45658</v>
      </c>
      <c r="I22" s="2" t="str">
        <f t="shared" si="2"/>
        <v>张亮亮|1</v>
      </c>
    </row>
    <row r="23">
      <c r="A23" s="43" t="n">
        <v>20</v>
      </c>
      <c r="B23" s="45" t="inlineStr">
        <is>
          <t>成峰</t>
        </is>
      </c>
      <c r="C23" s="44" t="n">
        <v>45658</v>
      </c>
      <c r="D23" s="57" t="n">
        <v>370</v>
      </c>
      <c r="E23" s="57" t="n"/>
      <c r="F23" s="50" t="inlineStr">
        <is>
          <t>4 月工资表的日工资</t>
        </is>
      </c>
      <c r="G23" s="49" t="str">
        <f t="shared" si="0"/>
        <v>√</v>
      </c>
      <c r="H23" s="2">
        <f t="shared" si="1"/>
        <v>45658</v>
      </c>
      <c r="I23" s="2" t="str">
        <f t="shared" si="2"/>
        <v>成峰|1</v>
      </c>
    </row>
    <row r="24">
      <c r="A24" s="43" t="n">
        <v>21</v>
      </c>
      <c r="B24" s="45" t="inlineStr">
        <is>
          <t>何正新</t>
        </is>
      </c>
      <c r="C24" s="44" t="n">
        <v>45658</v>
      </c>
      <c r="D24" s="57" t="n">
        <v>320</v>
      </c>
      <c r="E24" s="57" t="n"/>
      <c r="F24" s="50" t="inlineStr">
        <is>
          <t>4 月工资表的日工资</t>
        </is>
      </c>
      <c r="G24" s="49" t="str">
        <f t="shared" si="0"/>
        <v>√</v>
      </c>
      <c r="H24" s="2">
        <f t="shared" si="1"/>
        <v>45658</v>
      </c>
      <c r="I24" s="2" t="str">
        <f t="shared" si="2"/>
        <v>何正新|1</v>
      </c>
    </row>
    <row r="25">
      <c r="A25" s="43" t="n">
        <v>22</v>
      </c>
      <c r="B25" s="45" t="inlineStr">
        <is>
          <t>吴志刚</t>
        </is>
      </c>
      <c r="C25" s="44" t="n">
        <v>45658</v>
      </c>
      <c r="D25" s="57" t="n">
        <v>350</v>
      </c>
      <c r="E25" s="57" t="n"/>
      <c r="F25" s="50" t="inlineStr">
        <is>
          <t>4 月工资表的日工资</t>
        </is>
      </c>
      <c r="G25" s="49" t="str">
        <f t="shared" si="0"/>
        <v>√</v>
      </c>
      <c r="H25" s="2">
        <f t="shared" si="1"/>
        <v>45658</v>
      </c>
      <c r="I25" s="2" t="str">
        <f t="shared" si="2"/>
        <v>吴志刚|1</v>
      </c>
    </row>
    <row r="26">
      <c r="A26" s="43" t="n">
        <v>23</v>
      </c>
      <c r="B26" s="45" t="inlineStr">
        <is>
          <t>张小友</t>
        </is>
      </c>
      <c r="C26" s="44" t="n">
        <v>45658</v>
      </c>
      <c r="D26" s="57" t="n">
        <v>370</v>
      </c>
      <c r="E26" s="57" t="n"/>
      <c r="F26" s="50" t="inlineStr">
        <is>
          <t>4 月工资表的日工资</t>
        </is>
      </c>
      <c r="G26" s="49" t="str">
        <f t="shared" si="0"/>
        <v>√</v>
      </c>
      <c r="H26" s="2">
        <f t="shared" si="1"/>
        <v>45658</v>
      </c>
      <c r="I26" s="2" t="str">
        <f t="shared" si="2"/>
        <v>张小友|1</v>
      </c>
    </row>
    <row r="27">
      <c r="A27" s="43" t="n">
        <v>24</v>
      </c>
      <c r="B27" s="45" t="inlineStr">
        <is>
          <t>曹买生</t>
        </is>
      </c>
      <c r="C27" s="44" t="n">
        <v>45658</v>
      </c>
      <c r="D27" s="57" t="n">
        <v>360</v>
      </c>
      <c r="E27" s="57" t="n"/>
      <c r="F27" s="50" t="inlineStr">
        <is>
          <t>4 月工资表的日工资</t>
        </is>
      </c>
      <c r="G27" s="49" t="str">
        <f t="shared" si="0"/>
        <v>√</v>
      </c>
      <c r="H27" s="2">
        <f t="shared" si="1"/>
        <v>45658</v>
      </c>
      <c r="I27" s="2" t="str">
        <f t="shared" si="2"/>
        <v>曹买生|1</v>
      </c>
    </row>
    <row r="28">
      <c r="A28" s="43" t="n">
        <v>25</v>
      </c>
      <c r="B28" s="45" t="inlineStr">
        <is>
          <t>刘桂水</t>
        </is>
      </c>
      <c r="C28" s="44" t="n">
        <v>45658</v>
      </c>
      <c r="D28" s="57" t="n">
        <v>270</v>
      </c>
      <c r="E28" s="57" t="n"/>
      <c r="F28" s="50" t="inlineStr">
        <is>
          <t>4 月工资表的日工资</t>
        </is>
      </c>
      <c r="G28" s="49" t="str">
        <f t="shared" si="0"/>
        <v>√</v>
      </c>
      <c r="H28" s="2">
        <f t="shared" si="1"/>
        <v>45658</v>
      </c>
      <c r="I28" s="2" t="str">
        <f t="shared" si="2"/>
        <v>刘桂水|1</v>
      </c>
    </row>
    <row r="29">
      <c r="A29" s="43" t="n">
        <v>26</v>
      </c>
      <c r="B29" s="45" t="inlineStr">
        <is>
          <t>张小朋</t>
        </is>
      </c>
      <c r="C29" s="44" t="n">
        <v>45658</v>
      </c>
      <c r="D29" s="57" t="n">
        <v>400</v>
      </c>
      <c r="E29" s="57" t="n"/>
      <c r="F29" s="50" t="inlineStr">
        <is>
          <t>4 月工资表的日工资</t>
        </is>
      </c>
      <c r="G29" s="49" t="str">
        <f t="shared" si="0"/>
        <v>√</v>
      </c>
      <c r="H29" s="2">
        <f t="shared" si="1"/>
        <v>45658</v>
      </c>
      <c r="I29" s="2" t="str">
        <f t="shared" si="2"/>
        <v>张小朋|1</v>
      </c>
    </row>
    <row r="30">
      <c r="A30" s="43" t="n">
        <v>27</v>
      </c>
      <c r="B30" s="45" t="inlineStr">
        <is>
          <t>叶焰平</t>
        </is>
      </c>
      <c r="C30" s="44" t="n">
        <v>45658</v>
      </c>
      <c r="D30" s="57" t="n">
        <v>500</v>
      </c>
      <c r="E30" s="57" t="n"/>
      <c r="F30" s="50" t="inlineStr">
        <is>
          <t>4 月工资表的日工资</t>
        </is>
      </c>
      <c r="G30" s="49" t="str">
        <f t="shared" si="0"/>
        <v>√</v>
      </c>
      <c r="H30" s="2">
        <f t="shared" si="1"/>
        <v>45658</v>
      </c>
      <c r="I30" s="2" t="str">
        <f t="shared" si="2"/>
        <v>叶焰平|1</v>
      </c>
    </row>
    <row r="31">
      <c r="A31" s="43" t="n">
        <v>28</v>
      </c>
      <c r="B31" s="45" t="inlineStr">
        <is>
          <t>张滨</t>
        </is>
      </c>
      <c r="C31" s="44" t="n">
        <v>45658</v>
      </c>
      <c r="D31" s="57" t="n"/>
      <c r="E31" s="57" t="n">
        <v>8000</v>
      </c>
      <c r="F31" s="50" t="inlineStr">
        <is>
          <t>月薪（4 月工资表）</t>
        </is>
      </c>
      <c r="G31" s="49" t="str">
        <f t="shared" si="0"/>
        <v>√</v>
      </c>
      <c r="H31" s="2">
        <f t="shared" si="1"/>
        <v>45658</v>
      </c>
      <c r="I31" s="2" t="str">
        <f t="shared" si="2"/>
        <v>张滨|1</v>
      </c>
    </row>
    <row r="32">
      <c r="A32" s="43" t="n">
        <v>29</v>
      </c>
      <c r="B32" s="45" t="inlineStr">
        <is>
          <t>张淑平</t>
        </is>
      </c>
      <c r="C32" s="44" t="n">
        <v>45658</v>
      </c>
      <c r="D32" s="57" t="n"/>
      <c r="E32" s="57" t="n">
        <v>5000</v>
      </c>
      <c r="F32" s="50" t="inlineStr">
        <is>
          <t>月薪（4 月工资表）</t>
        </is>
      </c>
      <c r="G32" s="49" t="str">
        <f t="shared" si="0"/>
        <v>√</v>
      </c>
      <c r="H32" s="2">
        <f t="shared" si="1"/>
        <v>45658</v>
      </c>
      <c r="I32" s="2" t="str">
        <f t="shared" si="2"/>
        <v>张淑平|1</v>
      </c>
    </row>
    <row r="33">
      <c r="A33" s="43" t="n">
        <v>30</v>
      </c>
      <c r="B33" s="45" t="inlineStr">
        <is>
          <t>聂辉</t>
        </is>
      </c>
      <c r="C33" s="44" t="n">
        <v>45658</v>
      </c>
      <c r="D33" s="57" t="n"/>
      <c r="E33" s="57" t="n">
        <v>10000</v>
      </c>
      <c r="F33" s="50" t="inlineStr">
        <is>
          <t>月薪（4 月工资表）</t>
        </is>
      </c>
      <c r="G33" s="49" t="str">
        <f t="shared" si="0"/>
        <v>√</v>
      </c>
      <c r="H33" s="2">
        <f t="shared" si="1"/>
        <v>45658</v>
      </c>
      <c r="I33" s="2" t="str">
        <f t="shared" si="2"/>
        <v>聂辉|1</v>
      </c>
    </row>
    <row r="34">
      <c r="A34" s="43" t="n">
        <v>31</v>
      </c>
      <c r="B34" s="45" t="inlineStr">
        <is>
          <t>王伟</t>
        </is>
      </c>
      <c r="C34" s="44" t="n">
        <v>45658</v>
      </c>
      <c r="D34" s="57" t="n"/>
      <c r="E34" s="57" t="n">
        <v>10000</v>
      </c>
      <c r="F34" s="50" t="inlineStr">
        <is>
          <t>月薪（4 月工资表）</t>
        </is>
      </c>
      <c r="G34" s="49" t="str">
        <f t="shared" si="0"/>
        <v>√</v>
      </c>
      <c r="H34" s="2">
        <f t="shared" si="1"/>
        <v>45658</v>
      </c>
      <c r="I34" s="2" t="str">
        <f t="shared" si="2"/>
        <v>王伟|1</v>
      </c>
    </row>
    <row r="35">
      <c r="A35" s="43" t="n">
        <v>32</v>
      </c>
      <c r="B35" s="45" t="inlineStr">
        <is>
          <t>姚俊强</t>
        </is>
      </c>
      <c r="C35" s="44" t="n">
        <v>45658</v>
      </c>
      <c r="D35" s="57" t="n"/>
      <c r="E35" s="57" t="n">
        <v>4500</v>
      </c>
      <c r="F35" s="50" t="inlineStr">
        <is>
          <t>月薪（4 月工资表）</t>
        </is>
      </c>
      <c r="G35" s="49" t="str">
        <f t="shared" si="0"/>
        <v>√</v>
      </c>
      <c r="H35" s="2">
        <f t="shared" si="1"/>
        <v>45658</v>
      </c>
      <c r="I35" s="2" t="str">
        <f t="shared" si="2"/>
        <v>姚俊强|1</v>
      </c>
    </row>
    <row r="36">
      <c r="A36" s="43" t="n">
        <v>33</v>
      </c>
      <c r="B36" s="45" t="inlineStr">
        <is>
          <t>陈德银</t>
        </is>
      </c>
      <c r="C36" s="44" t="n">
        <v>45658</v>
      </c>
      <c r="D36" s="57" t="n">
        <v>260</v>
      </c>
      <c r="E36" s="57" t="n"/>
      <c r="F36" s="50" t="inlineStr">
        <is>
          <t>工资汇总表</t>
        </is>
      </c>
      <c r="G36" s="49" t="str">
        <f t="shared" si="0"/>
        <v>√</v>
      </c>
      <c r="H36" s="2">
        <f t="shared" si="1"/>
        <v>45658</v>
      </c>
      <c r="I36" s="2" t="str">
        <f t="shared" si="2"/>
        <v>陈德银|1</v>
      </c>
    </row>
    <row r="37">
      <c r="A37" s="43" t="n">
        <v>34</v>
      </c>
      <c r="B37" s="45" t="inlineStr">
        <is>
          <t>邓付贞</t>
        </is>
      </c>
      <c r="C37" s="44" t="n">
        <v>45658</v>
      </c>
      <c r="D37" s="57" t="n">
        <v>400</v>
      </c>
      <c r="E37" s="57" t="n"/>
      <c r="F37" s="50" t="inlineStr">
        <is>
          <t>工资汇总表</t>
        </is>
      </c>
      <c r="G37" s="49" t="str">
        <f t="shared" si="0"/>
        <v>√</v>
      </c>
      <c r="H37" s="2">
        <f t="shared" si="1"/>
        <v>45658</v>
      </c>
      <c r="I37" s="2" t="str">
        <f t="shared" si="2"/>
        <v>邓付贞|1</v>
      </c>
    </row>
    <row r="38">
      <c r="A38" s="43" t="n">
        <v>35</v>
      </c>
      <c r="B38" s="45" t="inlineStr">
        <is>
          <t>桂木生</t>
        </is>
      </c>
      <c r="C38" s="44" t="n">
        <v>45658</v>
      </c>
      <c r="D38" s="57" t="n">
        <v>300</v>
      </c>
      <c r="E38" s="57" t="n"/>
      <c r="F38" s="50" t="inlineStr">
        <is>
          <t>工资汇总表</t>
        </is>
      </c>
      <c r="G38" s="49" t="str">
        <f t="shared" si="0"/>
        <v>√</v>
      </c>
      <c r="H38" s="2">
        <f t="shared" si="1"/>
        <v>45658</v>
      </c>
      <c r="I38" s="2" t="str">
        <f t="shared" si="2"/>
        <v>桂木生|1</v>
      </c>
    </row>
    <row r="39">
      <c r="A39" s="43" t="n">
        <v>36</v>
      </c>
      <c r="B39" s="45" t="inlineStr">
        <is>
          <t>徐平</t>
        </is>
      </c>
      <c r="C39" s="44" t="n">
        <v>45658</v>
      </c>
      <c r="D39" s="57" t="n">
        <v>350</v>
      </c>
      <c r="E39" s="57" t="n"/>
      <c r="F39" s="50" t="inlineStr">
        <is>
          <t>工资汇总表</t>
        </is>
      </c>
      <c r="G39" s="49" t="str">
        <f t="shared" si="0"/>
        <v>√</v>
      </c>
      <c r="H39" s="2">
        <f t="shared" si="1"/>
        <v>45658</v>
      </c>
      <c r="I39" s="2" t="str">
        <f t="shared" si="2"/>
        <v>徐平|1</v>
      </c>
    </row>
    <row r="40">
      <c r="A40" s="43" t="n">
        <v>37</v>
      </c>
      <c r="B40" s="45" t="inlineStr">
        <is>
          <t>朱俊英</t>
        </is>
      </c>
      <c r="C40" s="44" t="n">
        <v>45658</v>
      </c>
      <c r="D40" s="57" t="n">
        <v>240</v>
      </c>
      <c r="E40" s="57" t="n"/>
      <c r="F40" s="50" t="inlineStr">
        <is>
          <t>工资汇总表</t>
        </is>
      </c>
      <c r="G40" s="49" t="str">
        <f t="shared" si="0"/>
        <v>√</v>
      </c>
      <c r="H40" s="2">
        <f t="shared" si="1"/>
        <v>45658</v>
      </c>
      <c r="I40" s="2" t="str">
        <f t="shared" si="2"/>
        <v>朱俊英|1</v>
      </c>
    </row>
    <row r="41">
      <c r="A41" s="43" t="n">
        <v>38</v>
      </c>
      <c r="B41" s="45" t="inlineStr">
        <is>
          <t>彭海飞</t>
        </is>
      </c>
      <c r="C41" s="44" t="n">
        <v>45658</v>
      </c>
      <c r="D41" s="57" t="n">
        <v>350</v>
      </c>
      <c r="E41" s="57" t="n"/>
      <c r="F41" s="50" t="inlineStr">
        <is>
          <t>工资汇总表</t>
        </is>
      </c>
      <c r="G41" s="49" t="str">
        <f t="shared" si="0"/>
        <v>√</v>
      </c>
      <c r="H41" s="2">
        <f t="shared" si="1"/>
        <v>45658</v>
      </c>
      <c r="I41" s="2" t="str">
        <f t="shared" si="2"/>
        <v>彭海飞|1</v>
      </c>
    </row>
    <row r="42">
      <c r="A42" s="43" t="n">
        <v>39</v>
      </c>
      <c r="B42" s="45" t="inlineStr">
        <is>
          <t>钟磊</t>
        </is>
      </c>
      <c r="C42" s="44" t="n">
        <v>45658</v>
      </c>
      <c r="D42" s="57" t="n">
        <v>300</v>
      </c>
      <c r="E42" s="57" t="n"/>
      <c r="F42" s="50" t="inlineStr">
        <is>
          <t>工资汇总表</t>
        </is>
      </c>
      <c r="G42" s="49" t="str">
        <f t="shared" si="0"/>
        <v>√</v>
      </c>
      <c r="H42" s="2">
        <f t="shared" si="1"/>
        <v>45658</v>
      </c>
      <c r="I42" s="2" t="str">
        <f t="shared" si="2"/>
        <v>钟磊|1</v>
      </c>
    </row>
    <row r="43">
      <c r="A43" s="43" t="n">
        <v>40</v>
      </c>
      <c r="B43" s="45" t="n"/>
      <c r="C43" s="44" t="n"/>
      <c r="D43" s="57" t="n"/>
      <c r="E43" s="57" t="n"/>
      <c r="F43" s="50" t="n"/>
      <c r="G43" s="49">
        <f t="shared" si="0"/>
      </c>
      <c r="H43" s="2">
        <f t="shared" si="1"/>
        <v>0</v>
      </c>
      <c r="I43" s="2">
        <f t="shared" si="2"/>
      </c>
    </row>
    <row r="44">
      <c r="A44" s="43" t="n">
        <v>41</v>
      </c>
      <c r="B44" s="45" t="n"/>
      <c r="C44" s="44" t="n"/>
      <c r="D44" s="57" t="n"/>
      <c r="E44" s="57" t="n"/>
      <c r="F44" s="50" t="n"/>
      <c r="G44" s="49">
        <f t="shared" si="0"/>
      </c>
      <c r="H44" s="2">
        <f t="shared" si="1"/>
        <v>0</v>
      </c>
      <c r="I44" s="2">
        <f t="shared" si="2"/>
      </c>
    </row>
    <row r="45">
      <c r="A45" s="43" t="n">
        <v>42</v>
      </c>
      <c r="B45" s="45" t="n"/>
      <c r="C45" s="44" t="n"/>
      <c r="D45" s="57" t="n"/>
      <c r="E45" s="57" t="n"/>
      <c r="F45" s="50" t="n"/>
      <c r="G45" s="49">
        <f t="shared" si="0"/>
      </c>
      <c r="H45" s="2">
        <f t="shared" si="1"/>
        <v>0</v>
      </c>
      <c r="I45" s="2">
        <f t="shared" si="2"/>
      </c>
    </row>
    <row r="46">
      <c r="A46" s="43" t="n">
        <v>43</v>
      </c>
      <c r="B46" s="45" t="n"/>
      <c r="C46" s="44" t="n"/>
      <c r="D46" s="57" t="n"/>
      <c r="E46" s="57" t="n"/>
      <c r="F46" s="50" t="n"/>
      <c r="G46" s="49">
        <f t="shared" si="0"/>
      </c>
      <c r="H46" s="2">
        <f t="shared" si="1"/>
        <v>0</v>
      </c>
      <c r="I46" s="2">
        <f t="shared" si="2"/>
      </c>
    </row>
    <row r="47">
      <c r="A47" s="43" t="n">
        <v>44</v>
      </c>
      <c r="B47" s="45" t="n"/>
      <c r="C47" s="44" t="n"/>
      <c r="D47" s="57" t="n"/>
      <c r="E47" s="57" t="n"/>
      <c r="F47" s="50" t="n"/>
      <c r="G47" s="49">
        <f t="shared" si="0"/>
      </c>
      <c r="H47" s="2">
        <f t="shared" si="1"/>
        <v>0</v>
      </c>
      <c r="I47" s="2">
        <f t="shared" si="2"/>
      </c>
    </row>
    <row r="48">
      <c r="A48" s="43" t="n">
        <v>45</v>
      </c>
      <c r="B48" s="45" t="n"/>
      <c r="C48" s="44" t="n"/>
      <c r="D48" s="57" t="n"/>
      <c r="E48" s="57" t="n"/>
      <c r="F48" s="50" t="n"/>
      <c r="G48" s="49">
        <f t="shared" si="0"/>
      </c>
      <c r="H48" s="2">
        <f t="shared" si="1"/>
        <v>0</v>
      </c>
      <c r="I48" s="2">
        <f t="shared" si="2"/>
      </c>
    </row>
    <row r="49">
      <c r="A49" s="43" t="n">
        <v>46</v>
      </c>
      <c r="B49" s="45" t="n"/>
      <c r="C49" s="44" t="n"/>
      <c r="D49" s="57" t="n"/>
      <c r="E49" s="57" t="n"/>
      <c r="F49" s="50" t="n"/>
      <c r="G49" s="49">
        <f t="shared" si="0"/>
      </c>
      <c r="H49" s="2">
        <f t="shared" si="1"/>
        <v>0</v>
      </c>
      <c r="I49" s="2">
        <f t="shared" si="2"/>
      </c>
    </row>
    <row r="50">
      <c r="A50" s="43" t="n">
        <v>47</v>
      </c>
      <c r="B50" s="45" t="n"/>
      <c r="C50" s="44" t="n"/>
      <c r="D50" s="57" t="n"/>
      <c r="E50" s="57" t="n"/>
      <c r="F50" s="50" t="n"/>
      <c r="G50" s="49">
        <f t="shared" si="0"/>
      </c>
      <c r="H50" s="2">
        <f t="shared" si="1"/>
        <v>0</v>
      </c>
      <c r="I50" s="2">
        <f t="shared" si="2"/>
      </c>
    </row>
    <row r="51">
      <c r="A51" s="43" t="n">
        <v>48</v>
      </c>
      <c r="B51" s="45" t="n"/>
      <c r="C51" s="44" t="n"/>
      <c r="D51" s="57" t="n"/>
      <c r="E51" s="57" t="n"/>
      <c r="F51" s="50" t="n"/>
      <c r="G51" s="49">
        <f t="shared" si="0"/>
      </c>
      <c r="H51" s="2">
        <f t="shared" si="1"/>
        <v>0</v>
      </c>
      <c r="I51" s="2">
        <f t="shared" si="2"/>
      </c>
    </row>
    <row r="52">
      <c r="A52" s="43" t="n">
        <v>49</v>
      </c>
      <c r="B52" s="45" t="n"/>
      <c r="C52" s="44" t="n"/>
      <c r="D52" s="57" t="n"/>
      <c r="E52" s="57" t="n"/>
      <c r="F52" s="50" t="n"/>
      <c r="G52" s="49">
        <f t="shared" si="0"/>
      </c>
      <c r="H52" s="2">
        <f t="shared" si="1"/>
        <v>0</v>
      </c>
      <c r="I52" s="2">
        <f t="shared" si="2"/>
      </c>
    </row>
    <row r="53">
      <c r="A53" s="43" t="n">
        <v>50</v>
      </c>
      <c r="B53" s="45" t="n"/>
      <c r="C53" s="44" t="n"/>
      <c r="D53" s="57" t="n"/>
      <c r="E53" s="57" t="n"/>
      <c r="F53" s="50" t="n"/>
      <c r="G53" s="49">
        <f t="shared" si="0"/>
      </c>
      <c r="H53" s="2">
        <f t="shared" si="1"/>
        <v>0</v>
      </c>
      <c r="I53" s="2">
        <f t="shared" si="2"/>
      </c>
    </row>
    <row r="54">
      <c r="A54" s="43" t="n">
        <v>51</v>
      </c>
      <c r="B54" s="45" t="n"/>
      <c r="C54" s="44" t="n"/>
      <c r="D54" s="57" t="n"/>
      <c r="E54" s="57" t="n"/>
      <c r="F54" s="50" t="n"/>
      <c r="G54" s="49">
        <f t="shared" si="0"/>
      </c>
      <c r="H54" s="2">
        <f t="shared" si="1"/>
        <v>0</v>
      </c>
      <c r="I54" s="2">
        <f t="shared" si="2"/>
      </c>
    </row>
    <row r="55">
      <c r="A55" s="43" t="n">
        <v>52</v>
      </c>
      <c r="B55" s="45" t="n"/>
      <c r="C55" s="44" t="n"/>
      <c r="D55" s="57" t="n"/>
      <c r="E55" s="57" t="n"/>
      <c r="F55" s="50" t="n"/>
      <c r="G55" s="49">
        <f t="shared" si="0"/>
      </c>
      <c r="H55" s="2">
        <f t="shared" si="1"/>
        <v>0</v>
      </c>
      <c r="I55" s="2">
        <f t="shared" si="2"/>
      </c>
    </row>
    <row r="56">
      <c r="A56" s="43" t="n">
        <v>53</v>
      </c>
      <c r="B56" s="45" t="n"/>
      <c r="C56" s="44" t="n"/>
      <c r="D56" s="57" t="n"/>
      <c r="E56" s="57" t="n"/>
      <c r="F56" s="50" t="n"/>
      <c r="G56" s="49">
        <f t="shared" si="0"/>
      </c>
      <c r="H56" s="2">
        <f t="shared" si="1"/>
        <v>0</v>
      </c>
      <c r="I56" s="2">
        <f t="shared" si="2"/>
      </c>
    </row>
    <row r="57">
      <c r="A57" s="43" t="n">
        <v>54</v>
      </c>
      <c r="B57" s="45" t="n"/>
      <c r="C57" s="44" t="n"/>
      <c r="D57" s="57" t="n"/>
      <c r="E57" s="57" t="n"/>
      <c r="F57" s="50" t="n"/>
      <c r="G57" s="49">
        <f t="shared" si="0"/>
      </c>
      <c r="H57" s="2">
        <f t="shared" si="1"/>
        <v>0</v>
      </c>
      <c r="I57" s="2">
        <f t="shared" si="2"/>
      </c>
    </row>
    <row r="58">
      <c r="A58" s="43" t="n">
        <v>55</v>
      </c>
      <c r="B58" s="45" t="n"/>
      <c r="C58" s="44" t="n"/>
      <c r="D58" s="57" t="n"/>
      <c r="E58" s="57" t="n"/>
      <c r="F58" s="50" t="n"/>
      <c r="G58" s="49">
        <f t="shared" si="0"/>
      </c>
      <c r="H58" s="2">
        <f t="shared" si="1"/>
        <v>0</v>
      </c>
      <c r="I58" s="2">
        <f t="shared" si="2"/>
      </c>
    </row>
    <row r="59">
      <c r="A59" s="43" t="n">
        <v>56</v>
      </c>
      <c r="B59" s="45" t="n"/>
      <c r="C59" s="44" t="n"/>
      <c r="D59" s="57" t="n"/>
      <c r="E59" s="57" t="n"/>
      <c r="F59" s="50" t="n"/>
      <c r="G59" s="49">
        <f t="shared" si="0"/>
      </c>
      <c r="H59" s="2">
        <f t="shared" si="1"/>
        <v>0</v>
      </c>
      <c r="I59" s="2">
        <f t="shared" si="2"/>
      </c>
    </row>
    <row r="60">
      <c r="A60" s="43" t="n">
        <v>57</v>
      </c>
      <c r="B60" s="45" t="n"/>
      <c r="C60" s="44" t="n"/>
      <c r="D60" s="57" t="n"/>
      <c r="E60" s="57" t="n"/>
      <c r="F60" s="50" t="n"/>
      <c r="G60" s="49">
        <f t="shared" si="0"/>
      </c>
      <c r="H60" s="2">
        <f t="shared" si="1"/>
        <v>0</v>
      </c>
      <c r="I60" s="2">
        <f t="shared" si="2"/>
      </c>
    </row>
    <row r="61">
      <c r="A61" s="43" t="n">
        <v>58</v>
      </c>
      <c r="B61" s="45" t="n"/>
      <c r="C61" s="44" t="n"/>
      <c r="D61" s="57" t="n"/>
      <c r="E61" s="57" t="n"/>
      <c r="F61" s="50" t="n"/>
      <c r="G61" s="49">
        <f t="shared" si="0"/>
      </c>
      <c r="H61" s="2">
        <f t="shared" si="1"/>
        <v>0</v>
      </c>
      <c r="I61" s="2">
        <f t="shared" si="2"/>
      </c>
    </row>
    <row r="62">
      <c r="A62" s="43" t="n">
        <v>59</v>
      </c>
      <c r="B62" s="45" t="n"/>
      <c r="C62" s="44" t="n"/>
      <c r="D62" s="57" t="n"/>
      <c r="E62" s="57" t="n"/>
      <c r="F62" s="50" t="n"/>
      <c r="G62" s="49">
        <f t="shared" si="0"/>
      </c>
      <c r="H62" s="2">
        <f t="shared" si="1"/>
        <v>0</v>
      </c>
      <c r="I62" s="2">
        <f t="shared" si="2"/>
      </c>
    </row>
    <row r="63">
      <c r="A63" s="43" t="n">
        <v>60</v>
      </c>
      <c r="B63" s="45" t="n"/>
      <c r="C63" s="44" t="n"/>
      <c r="D63" s="57" t="n"/>
      <c r="E63" s="57" t="n"/>
      <c r="F63" s="50" t="n"/>
      <c r="G63" s="49">
        <f t="shared" si="0"/>
      </c>
      <c r="H63" s="2">
        <f t="shared" si="1"/>
        <v>0</v>
      </c>
      <c r="I63" s="2">
        <f t="shared" si="2"/>
      </c>
    </row>
    <row r="64">
      <c r="A64" s="43" t="n">
        <v>61</v>
      </c>
      <c r="B64" s="45" t="n"/>
      <c r="C64" s="44" t="n"/>
      <c r="D64" s="57" t="n"/>
      <c r="E64" s="57" t="n"/>
      <c r="F64" s="50" t="n"/>
      <c r="G64" s="49">
        <f t="shared" si="0"/>
      </c>
      <c r="H64" s="2">
        <f t="shared" si="1"/>
        <v>0</v>
      </c>
      <c r="I64" s="2">
        <f t="shared" si="2"/>
      </c>
    </row>
    <row r="65">
      <c r="A65" s="43" t="n">
        <v>62</v>
      </c>
      <c r="B65" s="45" t="n"/>
      <c r="C65" s="44" t="n"/>
      <c r="D65" s="57" t="n"/>
      <c r="E65" s="57" t="n"/>
      <c r="F65" s="50" t="n"/>
      <c r="G65" s="49">
        <f t="shared" si="0"/>
      </c>
      <c r="H65" s="2">
        <f t="shared" si="1"/>
        <v>0</v>
      </c>
      <c r="I65" s="2">
        <f t="shared" si="2"/>
      </c>
    </row>
    <row r="66">
      <c r="A66" s="43" t="n">
        <v>63</v>
      </c>
      <c r="B66" s="45" t="n"/>
      <c r="C66" s="44" t="n"/>
      <c r="D66" s="57" t="n"/>
      <c r="E66" s="57" t="n"/>
      <c r="F66" s="50" t="n"/>
      <c r="G66" s="49">
        <f t="shared" si="0"/>
      </c>
      <c r="H66" s="2">
        <f t="shared" si="1"/>
        <v>0</v>
      </c>
      <c r="I66" s="2">
        <f t="shared" si="2"/>
      </c>
    </row>
    <row r="67">
      <c r="A67" s="43" t="n">
        <v>64</v>
      </c>
      <c r="B67" s="45" t="n"/>
      <c r="C67" s="44" t="n"/>
      <c r="D67" s="57" t="n"/>
      <c r="E67" s="57" t="n"/>
      <c r="F67" s="50" t="n"/>
      <c r="G67" s="49">
        <f t="shared" si="0"/>
      </c>
      <c r="H67" s="2">
        <f t="shared" si="1"/>
        <v>0</v>
      </c>
      <c r="I67" s="2">
        <f t="shared" si="2"/>
      </c>
    </row>
    <row r="68">
      <c r="A68" s="43" t="n">
        <v>65</v>
      </c>
      <c r="B68" s="45" t="n"/>
      <c r="C68" s="44" t="n"/>
      <c r="D68" s="57" t="n"/>
      <c r="E68" s="57" t="n"/>
      <c r="F68" s="50" t="n"/>
      <c r="G68" s="49">
        <f t="shared" si="0"/>
      </c>
      <c r="H68" s="2">
        <f t="shared" si="1"/>
        <v>0</v>
      </c>
      <c r="I68" s="2">
        <f t="shared" si="2"/>
      </c>
    </row>
    <row r="69">
      <c r="A69" s="43" t="n">
        <v>66</v>
      </c>
      <c r="B69" s="45" t="n"/>
      <c r="C69" s="44" t="n"/>
      <c r="D69" s="57" t="n"/>
      <c r="E69" s="57" t="n"/>
      <c r="F69" s="50" t="n"/>
      <c r="G69" s="49">
        <f t="shared" si="0"/>
      </c>
      <c r="H69" s="2">
        <f t="shared" si="1"/>
        <v>0</v>
      </c>
      <c r="I69" s="2">
        <f t="shared" si="2"/>
      </c>
    </row>
    <row r="70">
      <c r="A70" s="43" t="n">
        <v>67</v>
      </c>
      <c r="B70" s="45" t="n"/>
      <c r="C70" s="44" t="n"/>
      <c r="D70" s="57" t="n"/>
      <c r="E70" s="57" t="n"/>
      <c r="F70" s="50" t="n"/>
      <c r="G70" s="49">
        <f t="shared" si="0"/>
      </c>
      <c r="H70" s="2">
        <f t="shared" si="1"/>
        <v>0</v>
      </c>
      <c r="I70" s="2">
        <f t="shared" si="2"/>
      </c>
    </row>
    <row r="71">
      <c r="A71" s="43" t="n">
        <v>68</v>
      </c>
      <c r="B71" s="45" t="n"/>
      <c r="C71" s="44" t="n"/>
      <c r="D71" s="57" t="n"/>
      <c r="E71" s="57" t="n"/>
      <c r="F71" s="50" t="n"/>
      <c r="G71" s="49">
        <f t="shared" si="0"/>
      </c>
      <c r="H71" s="2">
        <f t="shared" si="1"/>
        <v>0</v>
      </c>
      <c r="I71" s="2">
        <f t="shared" si="2"/>
      </c>
    </row>
    <row r="72">
      <c r="A72" s="43" t="n">
        <v>69</v>
      </c>
      <c r="B72" s="45" t="n"/>
      <c r="C72" s="44" t="n"/>
      <c r="D72" s="57" t="n"/>
      <c r="E72" s="57" t="n"/>
      <c r="F72" s="50" t="n"/>
      <c r="G72" s="49">
        <f t="shared" si="0"/>
      </c>
      <c r="H72" s="2">
        <f t="shared" si="1"/>
        <v>0</v>
      </c>
      <c r="I72" s="2">
        <f t="shared" si="2"/>
      </c>
    </row>
    <row r="73">
      <c r="A73" s="43" t="n">
        <v>70</v>
      </c>
      <c r="B73" s="45" t="n"/>
      <c r="C73" s="44" t="n"/>
      <c r="D73" s="57" t="n"/>
      <c r="E73" s="57" t="n"/>
      <c r="F73" s="50" t="n"/>
      <c r="G73" s="49">
        <f t="shared" si="0"/>
      </c>
      <c r="H73" s="2">
        <f t="shared" si="1"/>
        <v>0</v>
      </c>
      <c r="I73" s="2">
        <f t="shared" si="2"/>
      </c>
    </row>
    <row r="74">
      <c r="A74" s="43" t="n">
        <v>71</v>
      </c>
      <c r="B74" s="45" t="n"/>
      <c r="C74" s="44" t="n"/>
      <c r="D74" s="57" t="n"/>
      <c r="E74" s="57" t="n"/>
      <c r="F74" s="50" t="n"/>
      <c r="G74" s="49">
        <f t="shared" si="0"/>
      </c>
      <c r="H74" s="2">
        <f t="shared" si="1"/>
        <v>0</v>
      </c>
      <c r="I74" s="2">
        <f t="shared" si="2"/>
      </c>
    </row>
    <row r="75">
      <c r="A75" s="43" t="n">
        <v>72</v>
      </c>
      <c r="B75" s="45" t="n"/>
      <c r="C75" s="44" t="n"/>
      <c r="D75" s="57" t="n"/>
      <c r="E75" s="57" t="n"/>
      <c r="F75" s="50" t="n"/>
      <c r="G75" s="49">
        <f t="shared" si="0"/>
      </c>
      <c r="H75" s="2">
        <f t="shared" si="1"/>
        <v>0</v>
      </c>
      <c r="I75" s="2">
        <f t="shared" si="2"/>
      </c>
    </row>
    <row r="76">
      <c r="A76" s="43" t="n">
        <v>73</v>
      </c>
      <c r="B76" s="45" t="n"/>
      <c r="C76" s="44" t="n"/>
      <c r="D76" s="57" t="n"/>
      <c r="E76" s="57" t="n"/>
      <c r="F76" s="50" t="n"/>
      <c r="G76" s="49">
        <f t="shared" si="0"/>
      </c>
      <c r="H76" s="2">
        <f t="shared" si="1"/>
        <v>0</v>
      </c>
      <c r="I76" s="2">
        <f t="shared" si="2"/>
      </c>
    </row>
    <row r="77">
      <c r="A77" s="43" t="n">
        <v>74</v>
      </c>
      <c r="B77" s="45" t="n"/>
      <c r="C77" s="44" t="n"/>
      <c r="D77" s="57" t="n"/>
      <c r="E77" s="57" t="n"/>
      <c r="F77" s="50" t="n"/>
      <c r="G77" s="49">
        <f t="shared" si="0"/>
      </c>
      <c r="H77" s="2">
        <f t="shared" si="1"/>
        <v>0</v>
      </c>
      <c r="I77" s="2">
        <f t="shared" si="2"/>
      </c>
    </row>
    <row r="78">
      <c r="A78" s="43" t="n">
        <v>75</v>
      </c>
      <c r="B78" s="45" t="n"/>
      <c r="C78" s="44" t="n"/>
      <c r="D78" s="57" t="n"/>
      <c r="E78" s="57" t="n"/>
      <c r="F78" s="50" t="n"/>
      <c r="G78" s="49">
        <f t="shared" si="0"/>
      </c>
      <c r="H78" s="2">
        <f t="shared" si="1"/>
        <v>0</v>
      </c>
      <c r="I78" s="2">
        <f t="shared" si="2"/>
      </c>
    </row>
    <row r="79">
      <c r="A79" s="43" t="n">
        <v>76</v>
      </c>
      <c r="B79" s="45" t="n"/>
      <c r="C79" s="44" t="n"/>
      <c r="D79" s="57" t="n"/>
      <c r="E79" s="57" t="n"/>
      <c r="F79" s="50" t="n"/>
      <c r="G79" s="49">
        <f t="shared" si="0"/>
      </c>
      <c r="H79" s="2">
        <f t="shared" si="1"/>
        <v>0</v>
      </c>
      <c r="I79" s="2">
        <f t="shared" si="2"/>
      </c>
    </row>
    <row r="80">
      <c r="A80" s="43" t="n">
        <v>77</v>
      </c>
      <c r="B80" s="45" t="n"/>
      <c r="C80" s="44" t="n"/>
      <c r="D80" s="57" t="n"/>
      <c r="E80" s="57" t="n"/>
      <c r="F80" s="50" t="n"/>
      <c r="G80" s="49">
        <f t="shared" si="0"/>
      </c>
      <c r="H80" s="2">
        <f t="shared" si="1"/>
        <v>0</v>
      </c>
      <c r="I80" s="2">
        <f t="shared" si="2"/>
      </c>
    </row>
    <row r="81">
      <c r="A81" s="43" t="n">
        <v>78</v>
      </c>
      <c r="B81" s="45" t="n"/>
      <c r="C81" s="44" t="n"/>
      <c r="D81" s="57" t="n"/>
      <c r="E81" s="57" t="n"/>
      <c r="F81" s="50" t="n"/>
      <c r="G81" s="49">
        <f t="shared" si="0"/>
      </c>
      <c r="H81" s="2">
        <f t="shared" si="1"/>
        <v>0</v>
      </c>
      <c r="I81" s="2">
        <f t="shared" si="2"/>
      </c>
    </row>
    <row r="82">
      <c r="A82" s="43" t="n">
        <v>79</v>
      </c>
      <c r="B82" s="45" t="n"/>
      <c r="C82" s="44" t="n"/>
      <c r="D82" s="57" t="n"/>
      <c r="E82" s="57" t="n"/>
      <c r="F82" s="50" t="n"/>
      <c r="G82" s="49">
        <f t="shared" si="0"/>
      </c>
      <c r="H82" s="2">
        <f t="shared" si="1"/>
        <v>0</v>
      </c>
      <c r="I82" s="2">
        <f t="shared" si="2"/>
      </c>
    </row>
    <row r="83">
      <c r="A83" s="43" t="n">
        <v>80</v>
      </c>
      <c r="B83" s="45" t="n"/>
      <c r="C83" s="44" t="n"/>
      <c r="D83" s="57" t="n"/>
      <c r="E83" s="57" t="n"/>
      <c r="F83" s="50" t="n"/>
      <c r="G83" s="49">
        <f t="shared" si="0"/>
      </c>
      <c r="H83" s="2">
        <f t="shared" si="1"/>
        <v>0</v>
      </c>
      <c r="I83" s="2">
        <f t="shared" si="2"/>
      </c>
    </row>
    <row r="84">
      <c r="A84" s="43" t="n">
        <v>81</v>
      </c>
      <c r="B84" s="45" t="n"/>
      <c r="C84" s="44" t="n"/>
      <c r="D84" s="57" t="n"/>
      <c r="E84" s="57" t="n"/>
      <c r="F84" s="50" t="n"/>
      <c r="G84" s="49">
        <f t="shared" si="0"/>
      </c>
      <c r="H84" s="2">
        <f t="shared" si="1"/>
        <v>0</v>
      </c>
      <c r="I84" s="2">
        <f t="shared" si="2"/>
      </c>
    </row>
    <row r="85">
      <c r="A85" s="43" t="n">
        <v>82</v>
      </c>
      <c r="B85" s="45" t="n"/>
      <c r="C85" s="44" t="n"/>
      <c r="D85" s="57" t="n"/>
      <c r="E85" s="57" t="n"/>
      <c r="F85" s="50" t="n"/>
      <c r="G85" s="49">
        <f t="shared" si="0"/>
      </c>
      <c r="H85" s="2">
        <f t="shared" si="1"/>
        <v>0</v>
      </c>
      <c r="I85" s="2">
        <f t="shared" si="2"/>
      </c>
    </row>
    <row r="86">
      <c r="A86" s="43" t="n">
        <v>83</v>
      </c>
      <c r="B86" s="45" t="n"/>
      <c r="C86" s="44" t="n"/>
      <c r="D86" s="57" t="n"/>
      <c r="E86" s="57" t="n"/>
      <c r="F86" s="50" t="n"/>
      <c r="G86" s="49">
        <f t="shared" si="0"/>
      </c>
      <c r="H86" s="2">
        <f t="shared" si="1"/>
        <v>0</v>
      </c>
      <c r="I86" s="2">
        <f t="shared" si="2"/>
      </c>
    </row>
    <row r="87">
      <c r="A87" s="43" t="n">
        <v>84</v>
      </c>
      <c r="B87" s="45" t="n"/>
      <c r="C87" s="44" t="n"/>
      <c r="D87" s="57" t="n"/>
      <c r="E87" s="57" t="n"/>
      <c r="F87" s="50" t="n"/>
      <c r="G87" s="49">
        <f t="shared" si="0"/>
      </c>
      <c r="H87" s="2">
        <f t="shared" si="1"/>
        <v>0</v>
      </c>
      <c r="I87" s="2">
        <f t="shared" si="2"/>
      </c>
    </row>
    <row r="88">
      <c r="A88" s="43" t="n">
        <v>85</v>
      </c>
      <c r="B88" s="45" t="n"/>
      <c r="C88" s="44" t="n"/>
      <c r="D88" s="57" t="n"/>
      <c r="E88" s="57" t="n"/>
      <c r="F88" s="50" t="n"/>
      <c r="G88" s="49">
        <f t="shared" si="0"/>
      </c>
      <c r="H88" s="2">
        <f t="shared" si="1"/>
        <v>0</v>
      </c>
      <c r="I88" s="2">
        <f t="shared" si="2"/>
      </c>
    </row>
    <row r="89">
      <c r="A89" s="43" t="n">
        <v>86</v>
      </c>
      <c r="B89" s="45" t="n"/>
      <c r="C89" s="44" t="n"/>
      <c r="D89" s="57" t="n"/>
      <c r="E89" s="57" t="n"/>
      <c r="F89" s="50" t="n"/>
      <c r="G89" s="49">
        <f t="shared" si="0"/>
      </c>
      <c r="H89" s="2">
        <f t="shared" si="1"/>
        <v>0</v>
      </c>
      <c r="I89" s="2">
        <f t="shared" si="2"/>
      </c>
    </row>
    <row r="90">
      <c r="A90" s="43" t="n">
        <v>87</v>
      </c>
      <c r="B90" s="45" t="n"/>
      <c r="C90" s="44" t="n"/>
      <c r="D90" s="57" t="n"/>
      <c r="E90" s="57" t="n"/>
      <c r="F90" s="50" t="n"/>
      <c r="G90" s="49">
        <f t="shared" si="0"/>
      </c>
      <c r="H90" s="2">
        <f t="shared" si="1"/>
        <v>0</v>
      </c>
      <c r="I90" s="2">
        <f t="shared" si="2"/>
      </c>
    </row>
    <row r="91">
      <c r="A91" s="43" t="n">
        <v>88</v>
      </c>
      <c r="B91" s="45" t="n"/>
      <c r="C91" s="44" t="n"/>
      <c r="D91" s="57" t="n"/>
      <c r="E91" s="57" t="n"/>
      <c r="F91" s="50" t="n"/>
      <c r="G91" s="49">
        <f t="shared" si="0"/>
      </c>
      <c r="H91" s="2">
        <f t="shared" si="1"/>
        <v>0</v>
      </c>
      <c r="I91" s="2">
        <f t="shared" si="2"/>
      </c>
    </row>
    <row r="92">
      <c r="A92" s="43" t="n">
        <v>89</v>
      </c>
      <c r="B92" s="45" t="n"/>
      <c r="C92" s="44" t="n"/>
      <c r="D92" s="57" t="n"/>
      <c r="E92" s="57" t="n"/>
      <c r="F92" s="50" t="n"/>
      <c r="G92" s="49">
        <f t="shared" si="0"/>
      </c>
      <c r="H92" s="2">
        <f t="shared" si="1"/>
        <v>0</v>
      </c>
      <c r="I92" s="2">
        <f t="shared" si="2"/>
      </c>
    </row>
    <row r="93">
      <c r="A93" s="43" t="n">
        <v>90</v>
      </c>
      <c r="B93" s="45" t="n"/>
      <c r="C93" s="44" t="n"/>
      <c r="D93" s="57" t="n"/>
      <c r="E93" s="57" t="n"/>
      <c r="F93" s="50" t="n"/>
      <c r="G93" s="49">
        <f t="shared" si="0"/>
      </c>
      <c r="H93" s="2">
        <f t="shared" si="1"/>
        <v>0</v>
      </c>
      <c r="I93" s="2">
        <f t="shared" si="2"/>
      </c>
    </row>
    <row r="94">
      <c r="A94" s="43" t="n">
        <v>91</v>
      </c>
      <c r="B94" s="45" t="n"/>
      <c r="C94" s="44" t="n"/>
      <c r="D94" s="57" t="n"/>
      <c r="E94" s="57" t="n"/>
      <c r="F94" s="50" t="n"/>
      <c r="G94" s="49">
        <f t="shared" si="0"/>
      </c>
      <c r="H94" s="2">
        <f t="shared" si="1"/>
        <v>0</v>
      </c>
      <c r="I94" s="2">
        <f t="shared" si="2"/>
      </c>
    </row>
    <row r="95">
      <c r="A95" s="43" t="n">
        <v>92</v>
      </c>
      <c r="B95" s="45" t="n"/>
      <c r="C95" s="44" t="n"/>
      <c r="D95" s="57" t="n"/>
      <c r="E95" s="57" t="n"/>
      <c r="F95" s="50" t="n"/>
      <c r="G95" s="49">
        <f t="shared" si="0"/>
      </c>
      <c r="H95" s="2">
        <f t="shared" si="1"/>
        <v>0</v>
      </c>
      <c r="I95" s="2">
        <f t="shared" si="2"/>
      </c>
    </row>
    <row r="96">
      <c r="A96" s="43" t="n">
        <v>93</v>
      </c>
      <c r="B96" s="45" t="n"/>
      <c r="C96" s="44" t="n"/>
      <c r="D96" s="57" t="n"/>
      <c r="E96" s="57" t="n"/>
      <c r="F96" s="50" t="n"/>
      <c r="G96" s="49">
        <f t="shared" si="0"/>
      </c>
      <c r="H96" s="2">
        <f t="shared" si="1"/>
        <v>0</v>
      </c>
      <c r="I96" s="2">
        <f t="shared" si="2"/>
      </c>
    </row>
    <row r="97">
      <c r="A97" s="43" t="n">
        <v>94</v>
      </c>
      <c r="B97" s="45" t="n"/>
      <c r="C97" s="44" t="n"/>
      <c r="D97" s="57" t="n"/>
      <c r="E97" s="57" t="n"/>
      <c r="F97" s="50" t="n"/>
      <c r="G97" s="49">
        <f t="shared" si="0"/>
      </c>
      <c r="H97" s="2">
        <f t="shared" si="1"/>
        <v>0</v>
      </c>
      <c r="I97" s="2">
        <f t="shared" si="2"/>
      </c>
    </row>
    <row r="98">
      <c r="A98" s="43" t="n">
        <v>95</v>
      </c>
      <c r="B98" s="45" t="n"/>
      <c r="C98" s="44" t="n"/>
      <c r="D98" s="57" t="n"/>
      <c r="E98" s="57" t="n"/>
      <c r="F98" s="50" t="n"/>
      <c r="G98" s="49">
        <f t="shared" si="0"/>
      </c>
      <c r="H98" s="2">
        <f t="shared" si="1"/>
        <v>0</v>
      </c>
      <c r="I98" s="2">
        <f t="shared" si="2"/>
      </c>
    </row>
    <row r="99">
      <c r="A99" s="43" t="n">
        <v>96</v>
      </c>
      <c r="B99" s="45" t="n"/>
      <c r="C99" s="44" t="n"/>
      <c r="D99" s="57" t="n"/>
      <c r="E99" s="57" t="n"/>
      <c r="F99" s="50" t="n"/>
      <c r="G99" s="49">
        <f t="shared" si="0"/>
      </c>
      <c r="H99" s="2">
        <f t="shared" si="1"/>
        <v>0</v>
      </c>
      <c r="I99" s="2">
        <f t="shared" si="2"/>
      </c>
    </row>
    <row r="100">
      <c r="A100" s="43" t="n">
        <v>97</v>
      </c>
      <c r="B100" s="45" t="n"/>
      <c r="C100" s="44" t="n"/>
      <c r="D100" s="57" t="n"/>
      <c r="E100" s="57" t="n"/>
      <c r="F100" s="50" t="n"/>
      <c r="G100" s="49">
        <f t="shared" si="0"/>
      </c>
      <c r="H100" s="2">
        <f t="shared" si="1"/>
        <v>0</v>
      </c>
      <c r="I100" s="2">
        <f t="shared" si="2"/>
      </c>
    </row>
    <row r="101">
      <c r="A101" s="43" t="n">
        <v>98</v>
      </c>
      <c r="B101" s="45" t="n"/>
      <c r="C101" s="44" t="n"/>
      <c r="D101" s="57" t="n"/>
      <c r="E101" s="57" t="n"/>
      <c r="F101" s="50" t="n"/>
      <c r="G101" s="49">
        <f t="shared" si="0"/>
      </c>
      <c r="H101" s="2">
        <f t="shared" si="1"/>
        <v>0</v>
      </c>
      <c r="I101" s="2">
        <f t="shared" si="2"/>
      </c>
    </row>
    <row r="102">
      <c r="A102" s="43" t="n">
        <v>99</v>
      </c>
      <c r="B102" s="45" t="n"/>
      <c r="C102" s="44" t="n"/>
      <c r="D102" s="57" t="n"/>
      <c r="E102" s="57" t="n"/>
      <c r="F102" s="50" t="n"/>
      <c r="G102" s="49">
        <f t="shared" si="0"/>
      </c>
      <c r="H102" s="2">
        <f t="shared" si="1"/>
        <v>0</v>
      </c>
      <c r="I102" s="2">
        <f t="shared" si="2"/>
      </c>
    </row>
    <row r="103">
      <c r="A103" s="43" t="n">
        <v>100</v>
      </c>
      <c r="B103" s="45" t="n"/>
      <c r="C103" s="44" t="n"/>
      <c r="D103" s="57" t="n"/>
      <c r="E103" s="57" t="n"/>
      <c r="F103" s="50" t="n"/>
      <c r="G103" s="49">
        <f t="shared" si="0"/>
      </c>
      <c r="H103" s="2">
        <f t="shared" si="1"/>
        <v>0</v>
      </c>
      <c r="I103" s="2">
        <f t="shared" si="2"/>
      </c>
    </row>
    <row r="104">
      <c r="A104" s="43" t="n">
        <v>101</v>
      </c>
      <c r="B104" s="45" t="n"/>
      <c r="C104" s="44" t="n"/>
      <c r="D104" s="57" t="n"/>
      <c r="E104" s="57" t="n"/>
      <c r="F104" s="50" t="n"/>
      <c r="G104" s="49">
        <f t="shared" si="0"/>
      </c>
      <c r="H104" s="2">
        <f t="shared" si="1"/>
        <v>0</v>
      </c>
      <c r="I104" s="2">
        <f t="shared" si="2"/>
      </c>
    </row>
    <row r="105">
      <c r="A105" s="43" t="n">
        <v>102</v>
      </c>
      <c r="B105" s="45" t="n"/>
      <c r="C105" s="44" t="n"/>
      <c r="D105" s="57" t="n"/>
      <c r="E105" s="57" t="n"/>
      <c r="F105" s="50" t="n"/>
      <c r="G105" s="49">
        <f t="shared" si="0"/>
      </c>
      <c r="H105" s="2">
        <f t="shared" si="1"/>
        <v>0</v>
      </c>
      <c r="I105" s="2">
        <f t="shared" si="2"/>
      </c>
    </row>
    <row r="106">
      <c r="A106" s="43" t="n">
        <v>103</v>
      </c>
      <c r="B106" s="45" t="n"/>
      <c r="C106" s="44" t="n"/>
      <c r="D106" s="57" t="n"/>
      <c r="E106" s="57" t="n"/>
      <c r="F106" s="50" t="n"/>
      <c r="G106" s="49">
        <f t="shared" si="0"/>
      </c>
      <c r="H106" s="2">
        <f t="shared" si="1"/>
        <v>0</v>
      </c>
      <c r="I106" s="2">
        <f t="shared" si="2"/>
      </c>
    </row>
    <row r="107">
      <c r="A107" s="43" t="n">
        <v>104</v>
      </c>
      <c r="B107" s="45" t="n"/>
      <c r="C107" s="44" t="n"/>
      <c r="D107" s="57" t="n"/>
      <c r="E107" s="57" t="n"/>
      <c r="F107" s="50" t="n"/>
      <c r="G107" s="49">
        <f t="shared" si="0"/>
      </c>
      <c r="H107" s="2">
        <f t="shared" si="1"/>
        <v>0</v>
      </c>
      <c r="I107" s="2">
        <f t="shared" si="2"/>
      </c>
    </row>
    <row r="108">
      <c r="A108" s="43" t="n">
        <v>105</v>
      </c>
      <c r="B108" s="45" t="n"/>
      <c r="C108" s="44" t="n"/>
      <c r="D108" s="57" t="n"/>
      <c r="E108" s="57" t="n"/>
      <c r="F108" s="50" t="n"/>
      <c r="G108" s="49">
        <f t="shared" si="0"/>
      </c>
      <c r="H108" s="2">
        <f t="shared" si="1"/>
        <v>0</v>
      </c>
      <c r="I108" s="2">
        <f t="shared" si="2"/>
      </c>
    </row>
    <row r="109">
      <c r="A109" s="43" t="n">
        <v>106</v>
      </c>
      <c r="B109" s="45" t="n"/>
      <c r="C109" s="44" t="n"/>
      <c r="D109" s="57" t="n"/>
      <c r="E109" s="57" t="n"/>
      <c r="F109" s="50" t="n"/>
      <c r="G109" s="49">
        <f t="shared" si="0"/>
      </c>
      <c r="H109" s="2">
        <f t="shared" si="1"/>
        <v>0</v>
      </c>
      <c r="I109" s="2">
        <f t="shared" si="2"/>
      </c>
    </row>
    <row r="110">
      <c r="A110" s="43" t="n">
        <v>107</v>
      </c>
      <c r="B110" s="45" t="n"/>
      <c r="C110" s="44" t="n"/>
      <c r="D110" s="57" t="n"/>
      <c r="E110" s="57" t="n"/>
      <c r="F110" s="50" t="n"/>
      <c r="G110" s="49">
        <f t="shared" si="0"/>
      </c>
      <c r="H110" s="2">
        <f t="shared" si="1"/>
        <v>0</v>
      </c>
      <c r="I110" s="2">
        <f t="shared" si="2"/>
      </c>
    </row>
    <row r="111">
      <c r="A111" s="43" t="n">
        <v>108</v>
      </c>
      <c r="B111" s="45" t="n"/>
      <c r="C111" s="44" t="n"/>
      <c r="D111" s="57" t="n"/>
      <c r="E111" s="57" t="n"/>
      <c r="F111" s="50" t="n"/>
      <c r="G111" s="49">
        <f t="shared" si="0"/>
      </c>
      <c r="H111" s="2">
        <f t="shared" si="1"/>
        <v>0</v>
      </c>
      <c r="I111" s="2">
        <f t="shared" si="2"/>
      </c>
    </row>
    <row r="112">
      <c r="A112" s="43" t="n">
        <v>109</v>
      </c>
      <c r="B112" s="45" t="n"/>
      <c r="C112" s="44" t="n"/>
      <c r="D112" s="57" t="n"/>
      <c r="E112" s="57" t="n"/>
      <c r="F112" s="50" t="n"/>
      <c r="G112" s="49">
        <f t="shared" si="0"/>
      </c>
      <c r="H112" s="2">
        <f t="shared" si="1"/>
        <v>0</v>
      </c>
      <c r="I112" s="2">
        <f t="shared" si="2"/>
      </c>
    </row>
    <row r="113">
      <c r="A113" s="43" t="n">
        <v>110</v>
      </c>
      <c r="B113" s="45" t="n"/>
      <c r="C113" s="44" t="n"/>
      <c r="D113" s="57" t="n"/>
      <c r="E113" s="57" t="n"/>
      <c r="F113" s="50" t="n"/>
      <c r="G113" s="49">
        <f t="shared" si="0"/>
      </c>
      <c r="H113" s="2">
        <f t="shared" si="1"/>
        <v>0</v>
      </c>
      <c r="I113" s="2">
        <f t="shared" si="2"/>
      </c>
    </row>
    <row r="114">
      <c r="A114" s="43" t="n">
        <v>111</v>
      </c>
      <c r="B114" s="45" t="n"/>
      <c r="C114" s="44" t="n"/>
      <c r="D114" s="57" t="n"/>
      <c r="E114" s="57" t="n"/>
      <c r="F114" s="50" t="n"/>
      <c r="G114" s="49">
        <f t="shared" si="0"/>
      </c>
      <c r="H114" s="2">
        <f t="shared" si="1"/>
        <v>0</v>
      </c>
      <c r="I114" s="2">
        <f t="shared" si="2"/>
      </c>
    </row>
    <row r="115">
      <c r="A115" s="43" t="n">
        <v>112</v>
      </c>
      <c r="B115" s="45" t="n"/>
      <c r="C115" s="44" t="n"/>
      <c r="D115" s="57" t="n"/>
      <c r="E115" s="57" t="n"/>
      <c r="F115" s="50" t="n"/>
      <c r="G115" s="49">
        <f t="shared" si="0"/>
      </c>
      <c r="H115" s="2">
        <f t="shared" si="1"/>
        <v>0</v>
      </c>
      <c r="I115" s="2">
        <f t="shared" si="2"/>
      </c>
    </row>
    <row r="116">
      <c r="A116" s="43" t="n">
        <v>113</v>
      </c>
      <c r="B116" s="45" t="n"/>
      <c r="C116" s="44" t="n"/>
      <c r="D116" s="57" t="n"/>
      <c r="E116" s="57" t="n"/>
      <c r="F116" s="50" t="n"/>
      <c r="G116" s="49">
        <f t="shared" si="0"/>
      </c>
      <c r="H116" s="2">
        <f t="shared" si="1"/>
        <v>0</v>
      </c>
      <c r="I116" s="2">
        <f t="shared" si="2"/>
      </c>
    </row>
    <row r="117">
      <c r="A117" s="43" t="n">
        <v>114</v>
      </c>
      <c r="B117" s="45" t="n"/>
      <c r="C117" s="44" t="n"/>
      <c r="D117" s="57" t="n"/>
      <c r="E117" s="57" t="n"/>
      <c r="F117" s="50" t="n"/>
      <c r="G117" s="49">
        <f t="shared" si="0"/>
      </c>
      <c r="H117" s="2">
        <f t="shared" si="1"/>
        <v>0</v>
      </c>
      <c r="I117" s="2">
        <f t="shared" si="2"/>
      </c>
    </row>
    <row r="118">
      <c r="A118" s="43" t="n">
        <v>115</v>
      </c>
      <c r="B118" s="45" t="n"/>
      <c r="C118" s="44" t="n"/>
      <c r="D118" s="57" t="n"/>
      <c r="E118" s="57" t="n"/>
      <c r="F118" s="50" t="n"/>
      <c r="G118" s="49">
        <f t="shared" si="0"/>
      </c>
      <c r="H118" s="2">
        <f t="shared" si="1"/>
        <v>0</v>
      </c>
      <c r="I118" s="2">
        <f t="shared" si="2"/>
      </c>
    </row>
    <row r="119">
      <c r="A119" s="43" t="n">
        <v>116</v>
      </c>
      <c r="B119" s="45" t="n"/>
      <c r="C119" s="44" t="n"/>
      <c r="D119" s="57" t="n"/>
      <c r="E119" s="57" t="n"/>
      <c r="F119" s="50" t="n"/>
      <c r="G119" s="49">
        <f t="shared" si="0"/>
      </c>
      <c r="H119" s="2">
        <f t="shared" si="1"/>
        <v>0</v>
      </c>
      <c r="I119" s="2">
        <f t="shared" si="2"/>
      </c>
    </row>
    <row r="120">
      <c r="A120" s="43" t="n">
        <v>117</v>
      </c>
      <c r="B120" s="45" t="n"/>
      <c r="C120" s="44" t="n"/>
      <c r="D120" s="57" t="n"/>
      <c r="E120" s="57" t="n"/>
      <c r="F120" s="50" t="n"/>
      <c r="G120" s="49">
        <f t="shared" si="0"/>
      </c>
      <c r="H120" s="2">
        <f t="shared" si="1"/>
        <v>0</v>
      </c>
      <c r="I120" s="2">
        <f t="shared" si="2"/>
      </c>
    </row>
    <row r="121">
      <c r="A121" s="43" t="n">
        <v>118</v>
      </c>
      <c r="B121" s="45" t="n"/>
      <c r="C121" s="44" t="n"/>
      <c r="D121" s="57" t="n"/>
      <c r="E121" s="57" t="n"/>
      <c r="F121" s="50" t="n"/>
      <c r="G121" s="49">
        <f t="shared" si="0"/>
      </c>
      <c r="H121" s="2">
        <f t="shared" si="1"/>
        <v>0</v>
      </c>
      <c r="I121" s="2">
        <f t="shared" si="2"/>
      </c>
    </row>
    <row r="122">
      <c r="A122" s="43" t="n">
        <v>119</v>
      </c>
      <c r="B122" s="45" t="n"/>
      <c r="C122" s="44" t="n"/>
      <c r="D122" s="57" t="n"/>
      <c r="E122" s="57" t="n"/>
      <c r="F122" s="50" t="n"/>
      <c r="G122" s="49">
        <f t="shared" si="0"/>
      </c>
      <c r="H122" s="2">
        <f t="shared" si="1"/>
        <v>0</v>
      </c>
      <c r="I122" s="2">
        <f t="shared" si="2"/>
      </c>
    </row>
    <row r="123">
      <c r="A123" s="43" t="n">
        <v>120</v>
      </c>
      <c r="B123" s="45" t="n"/>
      <c r="C123" s="44" t="n"/>
      <c r="D123" s="57" t="n"/>
      <c r="E123" s="57" t="n"/>
      <c r="F123" s="50" t="n"/>
      <c r="G123" s="49">
        <f t="shared" si="0"/>
      </c>
      <c r="H123" s="2">
        <f t="shared" si="1"/>
        <v>0</v>
      </c>
      <c r="I123" s="2">
        <f t="shared" si="2"/>
      </c>
    </row>
    <row r="124">
      <c r="A124" s="43" t="n">
        <v>121</v>
      </c>
      <c r="B124" s="45" t="n"/>
      <c r="C124" s="44" t="n"/>
      <c r="D124" s="57" t="n"/>
      <c r="E124" s="57" t="n"/>
      <c r="F124" s="50" t="n"/>
      <c r="G124" s="49">
        <f t="shared" si="0"/>
      </c>
      <c r="H124" s="2">
        <f t="shared" si="1"/>
        <v>0</v>
      </c>
      <c r="I124" s="2">
        <f t="shared" si="2"/>
      </c>
    </row>
    <row r="125">
      <c r="A125" s="43" t="n">
        <v>122</v>
      </c>
      <c r="B125" s="45" t="n"/>
      <c r="C125" s="44" t="n"/>
      <c r="D125" s="57" t="n"/>
      <c r="E125" s="57" t="n"/>
      <c r="F125" s="50" t="n"/>
      <c r="G125" s="49">
        <f t="shared" si="0"/>
      </c>
      <c r="H125" s="2">
        <f t="shared" si="1"/>
        <v>0</v>
      </c>
      <c r="I125" s="2">
        <f t="shared" si="2"/>
      </c>
    </row>
    <row r="126">
      <c r="A126" s="43" t="n">
        <v>123</v>
      </c>
      <c r="B126" s="45" t="n"/>
      <c r="C126" s="44" t="n"/>
      <c r="D126" s="57" t="n"/>
      <c r="E126" s="57" t="n"/>
      <c r="F126" s="50" t="n"/>
      <c r="G126" s="49">
        <f t="shared" si="0"/>
      </c>
      <c r="H126" s="2">
        <f t="shared" si="1"/>
        <v>0</v>
      </c>
      <c r="I126" s="2">
        <f t="shared" si="2"/>
      </c>
    </row>
    <row r="127">
      <c r="A127" s="43" t="n">
        <v>124</v>
      </c>
      <c r="B127" s="45" t="n"/>
      <c r="C127" s="44" t="n"/>
      <c r="D127" s="57" t="n"/>
      <c r="E127" s="57" t="n"/>
      <c r="F127" s="50" t="n"/>
      <c r="G127" s="49">
        <f t="shared" si="0"/>
      </c>
      <c r="H127" s="2">
        <f t="shared" si="1"/>
        <v>0</v>
      </c>
      <c r="I127" s="2">
        <f t="shared" si="2"/>
      </c>
    </row>
    <row r="128">
      <c r="A128" s="43" t="n">
        <v>125</v>
      </c>
      <c r="B128" s="45" t="n"/>
      <c r="C128" s="44" t="n"/>
      <c r="D128" s="57" t="n"/>
      <c r="E128" s="57" t="n"/>
      <c r="F128" s="50" t="n"/>
      <c r="G128" s="49">
        <f t="shared" si="0"/>
      </c>
      <c r="H128" s="2">
        <f t="shared" si="1"/>
        <v>0</v>
      </c>
      <c r="I128" s="2">
        <f t="shared" si="2"/>
      </c>
    </row>
    <row r="129">
      <c r="A129" s="43" t="n">
        <v>126</v>
      </c>
      <c r="B129" s="45" t="n"/>
      <c r="C129" s="44" t="n"/>
      <c r="D129" s="57" t="n"/>
      <c r="E129" s="57" t="n"/>
      <c r="F129" s="50" t="n"/>
      <c r="G129" s="49">
        <f t="shared" si="0"/>
      </c>
      <c r="H129" s="2">
        <f t="shared" si="1"/>
        <v>0</v>
      </c>
      <c r="I129" s="2">
        <f t="shared" si="2"/>
      </c>
    </row>
    <row r="130">
      <c r="A130" s="43" t="n">
        <v>127</v>
      </c>
      <c r="B130" s="45" t="n"/>
      <c r="C130" s="44" t="n"/>
      <c r="D130" s="57" t="n"/>
      <c r="E130" s="57" t="n"/>
      <c r="F130" s="50" t="n"/>
      <c r="G130" s="49">
        <f t="shared" si="0"/>
      </c>
      <c r="H130" s="2">
        <f t="shared" si="1"/>
        <v>0</v>
      </c>
      <c r="I130" s="2">
        <f t="shared" si="2"/>
      </c>
    </row>
    <row r="131">
      <c r="A131" s="43" t="n">
        <v>128</v>
      </c>
      <c r="B131" s="45" t="n"/>
      <c r="C131" s="44" t="n"/>
      <c r="D131" s="57" t="n"/>
      <c r="E131" s="57" t="n"/>
      <c r="F131" s="50" t="n"/>
      <c r="G131" s="49">
        <f t="shared" si="0"/>
      </c>
      <c r="H131" s="2">
        <f t="shared" si="1"/>
        <v>0</v>
      </c>
      <c r="I131" s="2">
        <f t="shared" si="2"/>
      </c>
    </row>
    <row r="132">
      <c r="A132" s="43" t="n">
        <v>129</v>
      </c>
      <c r="B132" s="45" t="n"/>
      <c r="C132" s="44" t="n"/>
      <c r="D132" s="57" t="n"/>
      <c r="E132" s="57" t="n"/>
      <c r="F132" s="50" t="n"/>
      <c r="G132" s="49">
        <f t="shared" si="0"/>
      </c>
      <c r="H132" s="2">
        <f t="shared" si="1"/>
        <v>0</v>
      </c>
      <c r="I132" s="2">
        <f t="shared" si="2"/>
      </c>
    </row>
    <row r="133">
      <c r="A133" s="43" t="n">
        <v>130</v>
      </c>
      <c r="B133" s="45" t="n"/>
      <c r="C133" s="44" t="n"/>
      <c r="D133" s="57" t="n"/>
      <c r="E133" s="57" t="n"/>
      <c r="F133" s="50" t="n"/>
      <c r="G133" s="49">
        <f t="shared" si="0"/>
      </c>
      <c r="H133" s="2">
        <f t="shared" si="1"/>
        <v>0</v>
      </c>
      <c r="I133" s="2">
        <f t="shared" si="2"/>
      </c>
    </row>
    <row r="134">
      <c r="A134" s="43" t="n">
        <v>131</v>
      </c>
      <c r="B134" s="45" t="n"/>
      <c r="C134" s="44" t="n"/>
      <c r="D134" s="57" t="n"/>
      <c r="E134" s="57" t="n"/>
      <c r="F134" s="50" t="n"/>
      <c r="G134" s="49">
        <f t="shared" si="0"/>
      </c>
      <c r="H134" s="2">
        <f t="shared" si="1"/>
        <v>0</v>
      </c>
      <c r="I134" s="2">
        <f t="shared" si="2"/>
      </c>
    </row>
    <row r="135">
      <c r="A135" s="43" t="n">
        <v>132</v>
      </c>
      <c r="B135" s="45" t="n"/>
      <c r="C135" s="44" t="n"/>
      <c r="D135" s="57" t="n"/>
      <c r="E135" s="57" t="n"/>
      <c r="F135" s="50" t="n"/>
      <c r="G135" s="49">
        <f t="shared" si="0"/>
      </c>
      <c r="H135" s="2">
        <f t="shared" si="1"/>
        <v>0</v>
      </c>
      <c r="I135" s="2">
        <f t="shared" si="2"/>
      </c>
    </row>
    <row r="136">
      <c r="A136" s="43" t="n">
        <v>133</v>
      </c>
      <c r="B136" s="45" t="n"/>
      <c r="C136" s="44" t="n"/>
      <c r="D136" s="57" t="n"/>
      <c r="E136" s="57" t="n"/>
      <c r="F136" s="50" t="n"/>
      <c r="G136" s="49">
        <f t="shared" si="0"/>
      </c>
      <c r="H136" s="2">
        <f t="shared" si="1"/>
        <v>0</v>
      </c>
      <c r="I136" s="2">
        <f t="shared" si="2"/>
      </c>
    </row>
    <row r="137">
      <c r="A137" s="43" t="n">
        <v>134</v>
      </c>
      <c r="B137" s="45" t="n"/>
      <c r="C137" s="44" t="n"/>
      <c r="D137" s="57" t="n"/>
      <c r="E137" s="57" t="n"/>
      <c r="F137" s="50" t="n"/>
      <c r="G137" s="49">
        <f t="shared" si="0"/>
      </c>
      <c r="H137" s="2">
        <f t="shared" si="1"/>
        <v>0</v>
      </c>
      <c r="I137" s="2">
        <f t="shared" si="2"/>
      </c>
    </row>
    <row r="138">
      <c r="A138" s="43" t="n">
        <v>135</v>
      </c>
      <c r="B138" s="45" t="n"/>
      <c r="C138" s="44" t="n"/>
      <c r="D138" s="57" t="n"/>
      <c r="E138" s="57" t="n"/>
      <c r="F138" s="50" t="n"/>
      <c r="G138" s="49">
        <f t="shared" si="0"/>
      </c>
      <c r="H138" s="2">
        <f t="shared" si="1"/>
        <v>0</v>
      </c>
      <c r="I138" s="2">
        <f t="shared" si="2"/>
      </c>
    </row>
    <row r="139">
      <c r="A139" s="43" t="n">
        <v>136</v>
      </c>
      <c r="B139" s="45" t="n"/>
      <c r="C139" s="44" t="n"/>
      <c r="D139" s="57" t="n"/>
      <c r="E139" s="57" t="n"/>
      <c r="F139" s="50" t="n"/>
      <c r="G139" s="49">
        <f t="shared" si="0"/>
      </c>
      <c r="H139" s="2">
        <f t="shared" si="1"/>
        <v>0</v>
      </c>
      <c r="I139" s="2">
        <f t="shared" si="2"/>
      </c>
    </row>
    <row r="140">
      <c r="A140" s="43" t="n">
        <v>137</v>
      </c>
      <c r="B140" s="45" t="n"/>
      <c r="C140" s="44" t="n"/>
      <c r="D140" s="57" t="n"/>
      <c r="E140" s="57" t="n"/>
      <c r="F140" s="50" t="n"/>
      <c r="G140" s="49">
        <f t="shared" si="0"/>
      </c>
      <c r="H140" s="2">
        <f t="shared" si="1"/>
        <v>0</v>
      </c>
      <c r="I140" s="2">
        <f t="shared" si="2"/>
      </c>
    </row>
    <row r="141">
      <c r="A141" s="43" t="n">
        <v>138</v>
      </c>
      <c r="B141" s="45" t="n"/>
      <c r="C141" s="44" t="n"/>
      <c r="D141" s="57" t="n"/>
      <c r="E141" s="57" t="n"/>
      <c r="F141" s="50" t="n"/>
      <c r="G141" s="49">
        <f t="shared" si="0"/>
      </c>
      <c r="H141" s="2">
        <f t="shared" si="1"/>
        <v>0</v>
      </c>
      <c r="I141" s="2">
        <f t="shared" si="2"/>
      </c>
    </row>
    <row r="142">
      <c r="A142" s="43" t="n">
        <v>139</v>
      </c>
      <c r="B142" s="45" t="n"/>
      <c r="C142" s="44" t="n"/>
      <c r="D142" s="57" t="n"/>
      <c r="E142" s="57" t="n"/>
      <c r="F142" s="50" t="n"/>
      <c r="G142" s="49">
        <f t="shared" si="0"/>
      </c>
      <c r="H142" s="2">
        <f t="shared" si="1"/>
        <v>0</v>
      </c>
      <c r="I142" s="2">
        <f t="shared" si="2"/>
      </c>
    </row>
    <row r="143">
      <c r="A143" s="43" t="n">
        <v>140</v>
      </c>
      <c r="B143" s="45" t="n"/>
      <c r="C143" s="44" t="n"/>
      <c r="D143" s="57" t="n"/>
      <c r="E143" s="57" t="n"/>
      <c r="F143" s="50" t="n"/>
      <c r="G143" s="49">
        <f t="shared" si="0"/>
      </c>
      <c r="H143" s="2">
        <f t="shared" si="1"/>
        <v>0</v>
      </c>
      <c r="I143" s="2">
        <f t="shared" si="2"/>
      </c>
    </row>
    <row r="144">
      <c r="A144" s="43" t="n">
        <v>141</v>
      </c>
      <c r="B144" s="45" t="n"/>
      <c r="C144" s="44" t="n"/>
      <c r="D144" s="57" t="n"/>
      <c r="E144" s="57" t="n"/>
      <c r="F144" s="50" t="n"/>
      <c r="G144" s="49">
        <f t="shared" si="0"/>
      </c>
      <c r="H144" s="2">
        <f t="shared" si="1"/>
        <v>0</v>
      </c>
      <c r="I144" s="2">
        <f t="shared" si="2"/>
      </c>
    </row>
    <row r="145">
      <c r="A145" s="43" t="n">
        <v>142</v>
      </c>
      <c r="B145" s="45" t="n"/>
      <c r="C145" s="44" t="n"/>
      <c r="D145" s="57" t="n"/>
      <c r="E145" s="57" t="n"/>
      <c r="F145" s="50" t="n"/>
      <c r="G145" s="49">
        <f t="shared" si="0"/>
      </c>
      <c r="H145" s="2">
        <f t="shared" si="1"/>
        <v>0</v>
      </c>
      <c r="I145" s="2">
        <f t="shared" si="2"/>
      </c>
    </row>
    <row r="146">
      <c r="A146" s="43" t="n">
        <v>143</v>
      </c>
      <c r="B146" s="45" t="n"/>
      <c r="C146" s="44" t="n"/>
      <c r="D146" s="57" t="n"/>
      <c r="E146" s="57" t="n"/>
      <c r="F146" s="50" t="n"/>
      <c r="G146" s="49">
        <f t="shared" si="0"/>
      </c>
      <c r="H146" s="2">
        <f t="shared" si="1"/>
        <v>0</v>
      </c>
      <c r="I146" s="2">
        <f t="shared" si="2"/>
      </c>
    </row>
    <row r="147">
      <c r="A147" s="43" t="n">
        <v>144</v>
      </c>
      <c r="B147" s="45" t="n"/>
      <c r="C147" s="44" t="n"/>
      <c r="D147" s="57" t="n"/>
      <c r="E147" s="57" t="n"/>
      <c r="F147" s="50" t="n"/>
      <c r="G147" s="49">
        <f t="shared" si="0"/>
      </c>
      <c r="H147" s="2">
        <f t="shared" si="1"/>
        <v>0</v>
      </c>
      <c r="I147" s="2">
        <f t="shared" si="2"/>
      </c>
    </row>
    <row r="148">
      <c r="A148" s="43" t="n">
        <v>145</v>
      </c>
      <c r="B148" s="45" t="n"/>
      <c r="C148" s="44" t="n"/>
      <c r="D148" s="57" t="n"/>
      <c r="E148" s="57" t="n"/>
      <c r="F148" s="50" t="n"/>
      <c r="G148" s="49">
        <f t="shared" si="0"/>
      </c>
      <c r="H148" s="2">
        <f t="shared" si="1"/>
        <v>0</v>
      </c>
      <c r="I148" s="2">
        <f t="shared" si="2"/>
      </c>
    </row>
    <row r="149">
      <c r="A149" s="43" t="n">
        <v>146</v>
      </c>
      <c r="B149" s="45" t="n"/>
      <c r="C149" s="44" t="n"/>
      <c r="D149" s="57" t="n"/>
      <c r="E149" s="57" t="n"/>
      <c r="F149" s="50" t="n"/>
      <c r="G149" s="49">
        <f t="shared" si="0"/>
      </c>
      <c r="H149" s="2">
        <f t="shared" si="1"/>
        <v>0</v>
      </c>
      <c r="I149" s="2">
        <f t="shared" si="2"/>
      </c>
    </row>
    <row r="150">
      <c r="A150" s="43" t="n">
        <v>147</v>
      </c>
      <c r="B150" s="45" t="n"/>
      <c r="C150" s="44" t="n"/>
      <c r="D150" s="57" t="n"/>
      <c r="E150" s="57" t="n"/>
      <c r="F150" s="50" t="n"/>
      <c r="G150" s="49">
        <f t="shared" si="0"/>
      </c>
      <c r="H150" s="2">
        <f t="shared" si="1"/>
        <v>0</v>
      </c>
      <c r="I150" s="2">
        <f t="shared" si="2"/>
      </c>
    </row>
    <row r="151">
      <c r="A151" s="43" t="n">
        <v>148</v>
      </c>
      <c r="B151" s="45" t="n"/>
      <c r="C151" s="44" t="n"/>
      <c r="D151" s="57" t="n"/>
      <c r="E151" s="57" t="n"/>
      <c r="F151" s="50" t="n"/>
      <c r="G151" s="49">
        <f t="shared" si="0"/>
      </c>
      <c r="H151" s="2">
        <f t="shared" si="1"/>
        <v>0</v>
      </c>
      <c r="I151" s="2">
        <f t="shared" si="2"/>
      </c>
    </row>
    <row r="152">
      <c r="A152" s="43" t="n">
        <v>149</v>
      </c>
      <c r="B152" s="45" t="n"/>
      <c r="C152" s="44" t="n"/>
      <c r="D152" s="57" t="n"/>
      <c r="E152" s="57" t="n"/>
      <c r="F152" s="50" t="n"/>
      <c r="G152" s="49">
        <f t="shared" si="0"/>
      </c>
      <c r="H152" s="2">
        <f t="shared" si="1"/>
        <v>0</v>
      </c>
      <c r="I152" s="2">
        <f t="shared" si="2"/>
      </c>
    </row>
    <row r="153">
      <c r="A153" s="43" t="n">
        <v>150</v>
      </c>
      <c r="B153" s="45" t="n"/>
      <c r="C153" s="44" t="n"/>
      <c r="D153" s="57" t="n"/>
      <c r="E153" s="57" t="n"/>
      <c r="F153" s="50" t="n"/>
      <c r="G153" s="49">
        <f t="shared" si="0"/>
      </c>
      <c r="H153" s="2">
        <f t="shared" si="1"/>
        <v>0</v>
      </c>
      <c r="I153" s="2">
        <f t="shared" si="2"/>
      </c>
    </row>
    <row r="154">
      <c r="A154" s="43" t="n">
        <v>151</v>
      </c>
      <c r="B154" s="45" t="n"/>
      <c r="C154" s="44" t="n"/>
      <c r="D154" s="57" t="n"/>
      <c r="E154" s="57" t="n"/>
      <c r="F154" s="50" t="n"/>
      <c r="G154" s="49">
        <f t="shared" si="0"/>
      </c>
      <c r="H154" s="2">
        <f t="shared" si="1"/>
        <v>0</v>
      </c>
      <c r="I154" s="2">
        <f t="shared" si="2"/>
      </c>
    </row>
    <row r="155">
      <c r="A155" s="43" t="n">
        <v>152</v>
      </c>
      <c r="B155" s="45" t="n"/>
      <c r="C155" s="44" t="n"/>
      <c r="D155" s="57" t="n"/>
      <c r="E155" s="57" t="n"/>
      <c r="F155" s="50" t="n"/>
      <c r="G155" s="49">
        <f t="shared" si="0"/>
      </c>
      <c r="H155" s="2">
        <f t="shared" si="1"/>
        <v>0</v>
      </c>
      <c r="I155" s="2">
        <f t="shared" si="2"/>
      </c>
    </row>
    <row r="156">
      <c r="A156" s="43" t="n">
        <v>153</v>
      </c>
      <c r="B156" s="45" t="n"/>
      <c r="C156" s="44" t="n"/>
      <c r="D156" s="57" t="n"/>
      <c r="E156" s="57" t="n"/>
      <c r="F156" s="50" t="n"/>
      <c r="G156" s="49">
        <f t="shared" si="0"/>
      </c>
      <c r="H156" s="2">
        <f t="shared" si="1"/>
        <v>0</v>
      </c>
      <c r="I156" s="2">
        <f t="shared" si="2"/>
      </c>
    </row>
    <row r="157">
      <c r="A157" s="43" t="n">
        <v>154</v>
      </c>
      <c r="B157" s="45" t="n"/>
      <c r="C157" s="44" t="n"/>
      <c r="D157" s="57" t="n"/>
      <c r="E157" s="57" t="n"/>
      <c r="F157" s="50" t="n"/>
      <c r="G157" s="49">
        <f t="shared" si="0"/>
      </c>
      <c r="H157" s="2">
        <f t="shared" si="1"/>
        <v>0</v>
      </c>
      <c r="I157" s="2">
        <f t="shared" si="2"/>
      </c>
    </row>
    <row r="158">
      <c r="A158" s="43" t="n">
        <v>155</v>
      </c>
      <c r="B158" s="45" t="n"/>
      <c r="C158" s="44" t="n"/>
      <c r="D158" s="57" t="n"/>
      <c r="E158" s="57" t="n"/>
      <c r="F158" s="50" t="n"/>
      <c r="G158" s="49">
        <f t="shared" si="0"/>
      </c>
      <c r="H158" s="2">
        <f t="shared" si="1"/>
        <v>0</v>
      </c>
      <c r="I158" s="2">
        <f t="shared" si="2"/>
      </c>
    </row>
    <row r="159">
      <c r="A159" s="43" t="n">
        <v>156</v>
      </c>
      <c r="B159" s="45" t="n"/>
      <c r="C159" s="44" t="n"/>
      <c r="D159" s="57" t="n"/>
      <c r="E159" s="57" t="n"/>
      <c r="F159" s="50" t="n"/>
      <c r="G159" s="49">
        <f t="shared" si="0"/>
      </c>
      <c r="H159" s="2">
        <f t="shared" si="1"/>
        <v>0</v>
      </c>
      <c r="I159" s="2">
        <f t="shared" si="2"/>
      </c>
    </row>
    <row r="160">
      <c r="A160" s="43" t="n">
        <v>157</v>
      </c>
      <c r="B160" s="45" t="n"/>
      <c r="C160" s="44" t="n"/>
      <c r="D160" s="57" t="n"/>
      <c r="E160" s="57" t="n"/>
      <c r="F160" s="50" t="n"/>
      <c r="G160" s="49">
        <f t="shared" si="0"/>
      </c>
      <c r="H160" s="2">
        <f t="shared" si="1"/>
        <v>0</v>
      </c>
      <c r="I160" s="2">
        <f t="shared" si="2"/>
      </c>
    </row>
    <row r="161">
      <c r="A161" s="43" t="n">
        <v>158</v>
      </c>
      <c r="B161" s="45" t="n"/>
      <c r="C161" s="44" t="n"/>
      <c r="D161" s="57" t="n"/>
      <c r="E161" s="57" t="n"/>
      <c r="F161" s="50" t="n"/>
      <c r="G161" s="49">
        <f t="shared" si="0"/>
      </c>
      <c r="H161" s="2">
        <f t="shared" si="1"/>
        <v>0</v>
      </c>
      <c r="I161" s="2">
        <f t="shared" si="2"/>
      </c>
    </row>
    <row r="162">
      <c r="A162" s="43" t="n">
        <v>159</v>
      </c>
      <c r="B162" s="45" t="n"/>
      <c r="C162" s="44" t="n"/>
      <c r="D162" s="57" t="n"/>
      <c r="E162" s="57" t="n"/>
      <c r="F162" s="50" t="n"/>
      <c r="G162" s="49">
        <f t="shared" si="0"/>
      </c>
      <c r="H162" s="2">
        <f t="shared" si="1"/>
        <v>0</v>
      </c>
      <c r="I162" s="2">
        <f t="shared" si="2"/>
      </c>
    </row>
    <row r="163">
      <c r="A163" s="43" t="n">
        <v>160</v>
      </c>
      <c r="B163" s="45" t="n"/>
      <c r="C163" s="44" t="n"/>
      <c r="D163" s="57" t="n"/>
      <c r="E163" s="57" t="n"/>
      <c r="F163" s="50" t="n"/>
      <c r="G163" s="49">
        <f t="shared" si="0"/>
      </c>
      <c r="H163" s="2">
        <f t="shared" si="1"/>
        <v>0</v>
      </c>
      <c r="I163" s="2">
        <f t="shared" si="2"/>
      </c>
    </row>
    <row r="164">
      <c r="A164" s="43" t="n">
        <v>161</v>
      </c>
      <c r="B164" s="45" t="n"/>
      <c r="C164" s="44" t="n"/>
      <c r="D164" s="57" t="n"/>
      <c r="E164" s="57" t="n"/>
      <c r="F164" s="50" t="n"/>
      <c r="G164" s="49">
        <f t="shared" si="0"/>
      </c>
      <c r="H164" s="2">
        <f t="shared" si="1"/>
        <v>0</v>
      </c>
      <c r="I164" s="2">
        <f t="shared" si="2"/>
      </c>
    </row>
    <row r="165">
      <c r="A165" s="43" t="n">
        <v>162</v>
      </c>
      <c r="B165" s="45" t="n"/>
      <c r="C165" s="44" t="n"/>
      <c r="D165" s="57" t="n"/>
      <c r="E165" s="57" t="n"/>
      <c r="F165" s="50" t="n"/>
      <c r="G165" s="49">
        <f t="shared" si="0"/>
      </c>
      <c r="H165" s="2">
        <f t="shared" si="1"/>
        <v>0</v>
      </c>
      <c r="I165" s="2">
        <f t="shared" si="2"/>
      </c>
    </row>
    <row r="166">
      <c r="A166" s="43" t="n">
        <v>163</v>
      </c>
      <c r="B166" s="45" t="n"/>
      <c r="C166" s="44" t="n"/>
      <c r="D166" s="57" t="n"/>
      <c r="E166" s="57" t="n"/>
      <c r="F166" s="50" t="n"/>
      <c r="G166" s="49">
        <f t="shared" si="0"/>
      </c>
      <c r="H166" s="2">
        <f t="shared" si="1"/>
        <v>0</v>
      </c>
      <c r="I166" s="2">
        <f t="shared" si="2"/>
      </c>
    </row>
    <row r="167">
      <c r="A167" s="43" t="n">
        <v>164</v>
      </c>
      <c r="B167" s="45" t="n"/>
      <c r="C167" s="44" t="n"/>
      <c r="D167" s="57" t="n"/>
      <c r="E167" s="57" t="n"/>
      <c r="F167" s="50" t="n"/>
      <c r="G167" s="49">
        <f t="shared" si="0"/>
      </c>
      <c r="H167" s="2">
        <f t="shared" si="1"/>
        <v>0</v>
      </c>
      <c r="I167" s="2">
        <f t="shared" si="2"/>
      </c>
    </row>
    <row r="168">
      <c r="A168" s="43" t="n">
        <v>165</v>
      </c>
      <c r="B168" s="45" t="n"/>
      <c r="C168" s="44" t="n"/>
      <c r="D168" s="57" t="n"/>
      <c r="E168" s="57" t="n"/>
      <c r="F168" s="50" t="n"/>
      <c r="G168" s="49">
        <f t="shared" si="0"/>
      </c>
      <c r="H168" s="2">
        <f t="shared" si="1"/>
        <v>0</v>
      </c>
      <c r="I168" s="2">
        <f t="shared" si="2"/>
      </c>
    </row>
    <row r="169">
      <c r="A169" s="43" t="n">
        <v>166</v>
      </c>
      <c r="B169" s="45" t="n"/>
      <c r="C169" s="44" t="n"/>
      <c r="D169" s="57" t="n"/>
      <c r="E169" s="57" t="n"/>
      <c r="F169" s="50" t="n"/>
      <c r="G169" s="49">
        <f t="shared" si="0"/>
      </c>
      <c r="H169" s="2">
        <f t="shared" si="1"/>
        <v>0</v>
      </c>
      <c r="I169" s="2">
        <f t="shared" si="2"/>
      </c>
    </row>
    <row r="170">
      <c r="A170" s="43" t="n">
        <v>167</v>
      </c>
      <c r="B170" s="45" t="n"/>
      <c r="C170" s="44" t="n"/>
      <c r="D170" s="57" t="n"/>
      <c r="E170" s="57" t="n"/>
      <c r="F170" s="50" t="n"/>
      <c r="G170" s="49">
        <f t="shared" si="0"/>
      </c>
      <c r="H170" s="2">
        <f t="shared" si="1"/>
        <v>0</v>
      </c>
      <c r="I170" s="2">
        <f t="shared" si="2"/>
      </c>
    </row>
    <row r="171">
      <c r="A171" s="43" t="n">
        <v>168</v>
      </c>
      <c r="B171" s="45" t="n"/>
      <c r="C171" s="44" t="n"/>
      <c r="D171" s="57" t="n"/>
      <c r="E171" s="57" t="n"/>
      <c r="F171" s="50" t="n"/>
      <c r="G171" s="49">
        <f t="shared" si="0"/>
      </c>
      <c r="H171" s="2">
        <f t="shared" si="1"/>
        <v>0</v>
      </c>
      <c r="I171" s="2">
        <f t="shared" si="2"/>
      </c>
    </row>
    <row r="172">
      <c r="A172" s="43" t="n">
        <v>169</v>
      </c>
      <c r="B172" s="45" t="n"/>
      <c r="C172" s="44" t="n"/>
      <c r="D172" s="57" t="n"/>
      <c r="E172" s="57" t="n"/>
      <c r="F172" s="50" t="n"/>
      <c r="G172" s="49">
        <f t="shared" si="0"/>
      </c>
      <c r="H172" s="2">
        <f t="shared" si="1"/>
        <v>0</v>
      </c>
      <c r="I172" s="2">
        <f t="shared" si="2"/>
      </c>
    </row>
    <row r="173">
      <c r="A173" s="43" t="n">
        <v>170</v>
      </c>
      <c r="B173" s="45" t="n"/>
      <c r="C173" s="44" t="n"/>
      <c r="D173" s="57" t="n"/>
      <c r="E173" s="57" t="n"/>
      <c r="F173" s="50" t="n"/>
      <c r="G173" s="49">
        <f t="shared" si="0"/>
      </c>
      <c r="H173" s="2">
        <f t="shared" si="1"/>
        <v>0</v>
      </c>
      <c r="I173" s="2">
        <f t="shared" si="2"/>
      </c>
    </row>
    <row r="174">
      <c r="A174" s="43" t="n">
        <v>171</v>
      </c>
      <c r="B174" s="45" t="n"/>
      <c r="C174" s="44" t="n"/>
      <c r="D174" s="57" t="n"/>
      <c r="E174" s="57" t="n"/>
      <c r="F174" s="50" t="n"/>
      <c r="G174" s="49">
        <f t="shared" si="0"/>
      </c>
      <c r="H174" s="2">
        <f t="shared" si="1"/>
        <v>0</v>
      </c>
      <c r="I174" s="2">
        <f t="shared" si="2"/>
      </c>
    </row>
    <row r="175">
      <c r="A175" s="43" t="n">
        <v>172</v>
      </c>
      <c r="B175" s="45" t="n"/>
      <c r="C175" s="44" t="n"/>
      <c r="D175" s="57" t="n"/>
      <c r="E175" s="57" t="n"/>
      <c r="F175" s="50" t="n"/>
      <c r="G175" s="49">
        <f t="shared" si="0"/>
      </c>
      <c r="H175" s="2">
        <f t="shared" si="1"/>
        <v>0</v>
      </c>
      <c r="I175" s="2">
        <f t="shared" si="2"/>
      </c>
    </row>
    <row r="176">
      <c r="A176" s="43" t="n">
        <v>173</v>
      </c>
      <c r="B176" s="45" t="n"/>
      <c r="C176" s="44" t="n"/>
      <c r="D176" s="57" t="n"/>
      <c r="E176" s="57" t="n"/>
      <c r="F176" s="50" t="n"/>
      <c r="G176" s="49">
        <f t="shared" si="0"/>
      </c>
      <c r="H176" s="2">
        <f t="shared" si="1"/>
        <v>0</v>
      </c>
      <c r="I176" s="2">
        <f t="shared" si="2"/>
      </c>
    </row>
    <row r="177">
      <c r="A177" s="43" t="n">
        <v>174</v>
      </c>
      <c r="B177" s="45" t="n"/>
      <c r="C177" s="44" t="n"/>
      <c r="D177" s="57" t="n"/>
      <c r="E177" s="57" t="n"/>
      <c r="F177" s="50" t="n"/>
      <c r="G177" s="49">
        <f t="shared" si="0"/>
      </c>
      <c r="H177" s="2">
        <f t="shared" si="1"/>
        <v>0</v>
      </c>
      <c r="I177" s="2">
        <f t="shared" si="2"/>
      </c>
    </row>
    <row r="178">
      <c r="A178" s="43" t="n">
        <v>175</v>
      </c>
      <c r="B178" s="45" t="n"/>
      <c r="C178" s="44" t="n"/>
      <c r="D178" s="57" t="n"/>
      <c r="E178" s="57" t="n"/>
      <c r="F178" s="50" t="n"/>
      <c r="G178" s="49">
        <f t="shared" si="0"/>
      </c>
      <c r="H178" s="2">
        <f t="shared" si="1"/>
        <v>0</v>
      </c>
      <c r="I178" s="2">
        <f t="shared" si="2"/>
      </c>
    </row>
    <row r="179">
      <c r="A179" s="43" t="n">
        <v>176</v>
      </c>
      <c r="B179" s="45" t="n"/>
      <c r="C179" s="44" t="n"/>
      <c r="D179" s="57" t="n"/>
      <c r="E179" s="57" t="n"/>
      <c r="F179" s="50" t="n"/>
      <c r="G179" s="49">
        <f t="shared" si="0"/>
      </c>
      <c r="H179" s="2">
        <f t="shared" si="1"/>
        <v>0</v>
      </c>
      <c r="I179" s="2">
        <f t="shared" si="2"/>
      </c>
    </row>
    <row r="180">
      <c r="A180" s="43" t="n">
        <v>177</v>
      </c>
      <c r="B180" s="45" t="n"/>
      <c r="C180" s="44" t="n"/>
      <c r="D180" s="57" t="n"/>
      <c r="E180" s="57" t="n"/>
      <c r="F180" s="50" t="n"/>
      <c r="G180" s="49">
        <f t="shared" si="0"/>
      </c>
      <c r="H180" s="2">
        <f t="shared" si="1"/>
        <v>0</v>
      </c>
      <c r="I180" s="2">
        <f t="shared" si="2"/>
      </c>
    </row>
    <row r="181">
      <c r="A181" s="43" t="n">
        <v>178</v>
      </c>
      <c r="B181" s="45" t="n"/>
      <c r="C181" s="44" t="n"/>
      <c r="D181" s="57" t="n"/>
      <c r="E181" s="57" t="n"/>
      <c r="F181" s="50" t="n"/>
      <c r="G181" s="49">
        <f t="shared" si="0"/>
      </c>
      <c r="H181" s="2">
        <f t="shared" si="1"/>
        <v>0</v>
      </c>
      <c r="I181" s="2">
        <f t="shared" si="2"/>
      </c>
    </row>
    <row r="182">
      <c r="A182" s="43" t="n">
        <v>179</v>
      </c>
      <c r="B182" s="45" t="n"/>
      <c r="C182" s="44" t="n"/>
      <c r="D182" s="57" t="n"/>
      <c r="E182" s="57" t="n"/>
      <c r="F182" s="50" t="n"/>
      <c r="G182" s="49">
        <f t="shared" si="0"/>
      </c>
      <c r="H182" s="2">
        <f t="shared" si="1"/>
        <v>0</v>
      </c>
      <c r="I182" s="2">
        <f t="shared" si="2"/>
      </c>
    </row>
    <row r="183">
      <c r="A183" s="43" t="n">
        <v>180</v>
      </c>
      <c r="B183" s="45" t="n"/>
      <c r="C183" s="44" t="n"/>
      <c r="D183" s="57" t="n"/>
      <c r="E183" s="57" t="n"/>
      <c r="F183" s="50" t="n"/>
      <c r="G183" s="49">
        <f t="shared" si="0"/>
      </c>
      <c r="H183" s="2">
        <f t="shared" si="1"/>
        <v>0</v>
      </c>
      <c r="I183" s="2">
        <f t="shared" si="2"/>
      </c>
    </row>
    <row r="184">
      <c r="A184" s="43" t="n">
        <v>181</v>
      </c>
      <c r="B184" s="45" t="n"/>
      <c r="C184" s="44" t="n"/>
      <c r="D184" s="57" t="n"/>
      <c r="E184" s="57" t="n"/>
      <c r="F184" s="50" t="n"/>
      <c r="G184" s="49">
        <f t="shared" si="0"/>
      </c>
      <c r="H184" s="2">
        <f t="shared" si="1"/>
        <v>0</v>
      </c>
      <c r="I184" s="2">
        <f t="shared" si="2"/>
      </c>
    </row>
    <row r="185">
      <c r="A185" s="43" t="n">
        <v>182</v>
      </c>
      <c r="B185" s="45" t="n"/>
      <c r="C185" s="44" t="n"/>
      <c r="D185" s="57" t="n"/>
      <c r="E185" s="57" t="n"/>
      <c r="F185" s="50" t="n"/>
      <c r="G185" s="49">
        <f t="shared" si="0"/>
      </c>
      <c r="H185" s="2">
        <f t="shared" si="1"/>
        <v>0</v>
      </c>
      <c r="I185" s="2">
        <f t="shared" si="2"/>
      </c>
    </row>
    <row r="186">
      <c r="A186" s="43" t="n">
        <v>183</v>
      </c>
      <c r="B186" s="45" t="n"/>
      <c r="C186" s="44" t="n"/>
      <c r="D186" s="57" t="n"/>
      <c r="E186" s="57" t="n"/>
      <c r="F186" s="50" t="n"/>
      <c r="G186" s="49">
        <f t="shared" si="0"/>
      </c>
      <c r="H186" s="2">
        <f t="shared" si="1"/>
        <v>0</v>
      </c>
      <c r="I186" s="2">
        <f t="shared" si="2"/>
      </c>
    </row>
    <row r="187">
      <c r="A187" s="43" t="n">
        <v>184</v>
      </c>
      <c r="B187" s="45" t="n"/>
      <c r="C187" s="44" t="n"/>
      <c r="D187" s="57" t="n"/>
      <c r="E187" s="57" t="n"/>
      <c r="F187" s="50" t="n"/>
      <c r="G187" s="49">
        <f t="shared" si="0"/>
      </c>
      <c r="H187" s="2">
        <f t="shared" si="1"/>
        <v>0</v>
      </c>
      <c r="I187" s="2">
        <f t="shared" si="2"/>
      </c>
    </row>
    <row r="188">
      <c r="A188" s="43" t="n">
        <v>185</v>
      </c>
      <c r="B188" s="45" t="n"/>
      <c r="C188" s="44" t="n"/>
      <c r="D188" s="57" t="n"/>
      <c r="E188" s="57" t="n"/>
      <c r="F188" s="50" t="n"/>
      <c r="G188" s="49">
        <f t="shared" si="0"/>
      </c>
      <c r="H188" s="2">
        <f t="shared" si="1"/>
        <v>0</v>
      </c>
      <c r="I188" s="2">
        <f t="shared" si="2"/>
      </c>
    </row>
    <row r="189">
      <c r="A189" s="43" t="n">
        <v>186</v>
      </c>
      <c r="B189" s="45" t="n"/>
      <c r="C189" s="44" t="n"/>
      <c r="D189" s="57" t="n"/>
      <c r="E189" s="57" t="n"/>
      <c r="F189" s="50" t="n"/>
      <c r="G189" s="49">
        <f t="shared" si="0"/>
      </c>
      <c r="H189" s="2">
        <f t="shared" si="1"/>
        <v>0</v>
      </c>
      <c r="I189" s="2">
        <f t="shared" si="2"/>
      </c>
    </row>
    <row r="190">
      <c r="A190" s="43" t="n">
        <v>187</v>
      </c>
      <c r="B190" s="45" t="n"/>
      <c r="C190" s="44" t="n"/>
      <c r="D190" s="57" t="n"/>
      <c r="E190" s="57" t="n"/>
      <c r="F190" s="50" t="n"/>
      <c r="G190" s="49">
        <f t="shared" si="0"/>
      </c>
      <c r="H190" s="2">
        <f t="shared" si="1"/>
        <v>0</v>
      </c>
      <c r="I190" s="2">
        <f t="shared" si="2"/>
      </c>
    </row>
    <row r="191">
      <c r="A191" s="43" t="n">
        <v>188</v>
      </c>
      <c r="B191" s="45" t="n"/>
      <c r="C191" s="44" t="n"/>
      <c r="D191" s="57" t="n"/>
      <c r="E191" s="57" t="n"/>
      <c r="F191" s="50" t="n"/>
      <c r="G191" s="49">
        <f t="shared" si="0"/>
      </c>
      <c r="H191" s="2">
        <f t="shared" si="1"/>
        <v>0</v>
      </c>
      <c r="I191" s="2">
        <f t="shared" si="2"/>
      </c>
    </row>
    <row r="192">
      <c r="A192" s="43" t="n">
        <v>189</v>
      </c>
      <c r="B192" s="45" t="n"/>
      <c r="C192" s="44" t="n"/>
      <c r="D192" s="57" t="n"/>
      <c r="E192" s="57" t="n"/>
      <c r="F192" s="50" t="n"/>
      <c r="G192" s="49">
        <f t="shared" si="0"/>
      </c>
      <c r="H192" s="2">
        <f t="shared" si="1"/>
        <v>0</v>
      </c>
      <c r="I192" s="2">
        <f t="shared" si="2"/>
      </c>
    </row>
    <row r="193">
      <c r="A193" s="43" t="n">
        <v>190</v>
      </c>
      <c r="B193" s="45" t="n"/>
      <c r="C193" s="44" t="n"/>
      <c r="D193" s="57" t="n"/>
      <c r="E193" s="57" t="n"/>
      <c r="F193" s="50" t="n"/>
      <c r="G193" s="49">
        <f t="shared" si="0"/>
      </c>
      <c r="H193" s="2">
        <f t="shared" si="1"/>
        <v>0</v>
      </c>
      <c r="I193" s="2">
        <f t="shared" si="2"/>
      </c>
    </row>
    <row r="194">
      <c r="A194" s="43" t="n">
        <v>191</v>
      </c>
      <c r="B194" s="45" t="n"/>
      <c r="C194" s="44" t="n"/>
      <c r="D194" s="57" t="n"/>
      <c r="E194" s="57" t="n"/>
      <c r="F194" s="50" t="n"/>
      <c r="G194" s="49">
        <f t="shared" si="0"/>
      </c>
      <c r="H194" s="2">
        <f t="shared" si="1"/>
        <v>0</v>
      </c>
      <c r="I194" s="2">
        <f t="shared" si="2"/>
      </c>
    </row>
    <row r="195">
      <c r="A195" s="43" t="n">
        <v>192</v>
      </c>
      <c r="B195" s="45" t="n"/>
      <c r="C195" s="44" t="n"/>
      <c r="D195" s="57" t="n"/>
      <c r="E195" s="57" t="n"/>
      <c r="F195" s="50" t="n"/>
      <c r="G195" s="49">
        <f t="shared" si="0"/>
      </c>
      <c r="H195" s="2">
        <f t="shared" si="1"/>
        <v>0</v>
      </c>
      <c r="I195" s="2">
        <f t="shared" si="2"/>
      </c>
    </row>
    <row r="196">
      <c r="A196" s="43" t="n">
        <v>193</v>
      </c>
      <c r="B196" s="45" t="n"/>
      <c r="C196" s="44" t="n"/>
      <c r="D196" s="57" t="n"/>
      <c r="E196" s="57" t="n"/>
      <c r="F196" s="50" t="n"/>
      <c r="G196" s="49">
        <f t="shared" si="0"/>
      </c>
      <c r="H196" s="2">
        <f t="shared" si="1"/>
        <v>0</v>
      </c>
      <c r="I196" s="2">
        <f t="shared" si="2"/>
      </c>
    </row>
    <row r="197">
      <c r="A197" s="43" t="n">
        <v>194</v>
      </c>
      <c r="B197" s="45" t="n"/>
      <c r="C197" s="44" t="n"/>
      <c r="D197" s="57" t="n"/>
      <c r="E197" s="57" t="n"/>
      <c r="F197" s="50" t="n"/>
      <c r="G197" s="49">
        <f t="shared" si="0"/>
      </c>
      <c r="H197" s="2">
        <f t="shared" si="1"/>
        <v>0</v>
      </c>
      <c r="I197" s="2">
        <f t="shared" si="2"/>
      </c>
    </row>
    <row r="198">
      <c r="A198" s="43" t="n">
        <v>195</v>
      </c>
      <c r="B198" s="45" t="n"/>
      <c r="C198" s="44" t="n"/>
      <c r="D198" s="57" t="n"/>
      <c r="E198" s="57" t="n"/>
      <c r="F198" s="50" t="n"/>
      <c r="G198" s="49">
        <f t="shared" si="0"/>
      </c>
      <c r="H198" s="2">
        <f t="shared" si="1"/>
        <v>0</v>
      </c>
      <c r="I198" s="2">
        <f t="shared" si="2"/>
      </c>
    </row>
    <row r="199">
      <c r="A199" s="43" t="n">
        <v>196</v>
      </c>
      <c r="B199" s="45" t="n"/>
      <c r="C199" s="44" t="n"/>
      <c r="D199" s="57" t="n"/>
      <c r="E199" s="57" t="n"/>
      <c r="F199" s="50" t="n"/>
      <c r="G199" s="49">
        <f t="shared" si="0"/>
      </c>
      <c r="H199" s="2">
        <f t="shared" si="1"/>
        <v>0</v>
      </c>
      <c r="I199" s="2">
        <f t="shared" si="2"/>
      </c>
    </row>
    <row r="200">
      <c r="A200" s="43" t="n">
        <v>197</v>
      </c>
      <c r="B200" s="45" t="n"/>
      <c r="C200" s="44" t="n"/>
      <c r="D200" s="57" t="n"/>
      <c r="E200" s="57" t="n"/>
      <c r="F200" s="50" t="n"/>
      <c r="G200" s="49">
        <f t="shared" si="0"/>
      </c>
      <c r="H200" s="2">
        <f t="shared" si="1"/>
        <v>0</v>
      </c>
      <c r="I200" s="2">
        <f t="shared" si="2"/>
      </c>
    </row>
    <row r="201">
      <c r="A201" s="43" t="n">
        <v>198</v>
      </c>
      <c r="B201" s="45" t="n"/>
      <c r="C201" s="44" t="n"/>
      <c r="D201" s="57" t="n"/>
      <c r="E201" s="57" t="n"/>
      <c r="F201" s="50" t="n"/>
      <c r="G201" s="49">
        <f t="shared" si="0"/>
      </c>
      <c r="H201" s="2">
        <f t="shared" si="1"/>
        <v>0</v>
      </c>
      <c r="I201" s="2">
        <f t="shared" si="2"/>
      </c>
    </row>
    <row r="202">
      <c r="A202" s="43" t="n">
        <v>199</v>
      </c>
      <c r="B202" s="45" t="n"/>
      <c r="C202" s="44" t="n"/>
      <c r="D202" s="57" t="n"/>
      <c r="E202" s="57" t="n"/>
      <c r="F202" s="50" t="n"/>
      <c r="G202" s="49">
        <f t="shared" si="0"/>
      </c>
      <c r="H202" s="2">
        <f t="shared" si="1"/>
        <v>0</v>
      </c>
      <c r="I202" s="2">
        <f t="shared" si="2"/>
      </c>
    </row>
    <row r="203">
      <c r="A203" s="43" t="n">
        <v>200</v>
      </c>
      <c r="B203" s="45" t="n"/>
      <c r="C203" s="44" t="n"/>
      <c r="D203" s="57" t="n"/>
      <c r="E203" s="57" t="n"/>
      <c r="F203" s="50" t="n"/>
      <c r="G203" s="49">
        <f t="shared" si="0"/>
      </c>
      <c r="H203" s="2">
        <f t="shared" si="1"/>
        <v>0</v>
      </c>
      <c r="I203" s="2">
        <f t="shared" si="2"/>
      </c>
    </row>
    <row r="204">
      <c r="A204" s="43" t="n">
        <v>201</v>
      </c>
      <c r="B204" s="45" t="n"/>
      <c r="C204" s="44" t="n"/>
      <c r="D204" s="57" t="n"/>
      <c r="E204" s="57" t="n"/>
      <c r="F204" s="50" t="n"/>
      <c r="G204" s="49">
        <f t="shared" si="0"/>
      </c>
      <c r="H204" s="2">
        <f t="shared" si="1"/>
        <v>0</v>
      </c>
      <c r="I204" s="2">
        <f t="shared" si="2"/>
      </c>
    </row>
    <row r="205">
      <c r="A205" s="43" t="n">
        <v>202</v>
      </c>
      <c r="B205" s="45" t="n"/>
      <c r="C205" s="44" t="n"/>
      <c r="D205" s="57" t="n"/>
      <c r="E205" s="57" t="n"/>
      <c r="F205" s="50" t="n"/>
      <c r="G205" s="49">
        <f t="shared" si="0"/>
      </c>
      <c r="H205" s="2">
        <f t="shared" si="1"/>
        <v>0</v>
      </c>
      <c r="I205" s="2">
        <f t="shared" si="2"/>
      </c>
    </row>
    <row r="206">
      <c r="A206" s="43" t="n">
        <v>203</v>
      </c>
      <c r="B206" s="45" t="n"/>
      <c r="C206" s="44" t="n"/>
      <c r="D206" s="57" t="n"/>
      <c r="E206" s="57" t="n"/>
      <c r="F206" s="50" t="n"/>
      <c r="G206" s="49">
        <f t="shared" si="0"/>
      </c>
      <c r="H206" s="2">
        <f t="shared" si="1"/>
        <v>0</v>
      </c>
      <c r="I206" s="2">
        <f t="shared" si="2"/>
      </c>
    </row>
    <row r="207">
      <c r="A207" s="43" t="n">
        <v>204</v>
      </c>
      <c r="B207" s="45" t="n"/>
      <c r="C207" s="44" t="n"/>
      <c r="D207" s="57" t="n"/>
      <c r="E207" s="57" t="n"/>
      <c r="F207" s="50" t="n"/>
      <c r="G207" s="49">
        <f t="shared" si="0"/>
      </c>
      <c r="H207" s="2">
        <f t="shared" si="1"/>
        <v>0</v>
      </c>
      <c r="I207" s="2">
        <f t="shared" si="2"/>
      </c>
    </row>
    <row r="208">
      <c r="A208" s="43" t="n">
        <v>205</v>
      </c>
      <c r="B208" s="45" t="n"/>
      <c r="C208" s="44" t="n"/>
      <c r="D208" s="57" t="n"/>
      <c r="E208" s="57" t="n"/>
      <c r="F208" s="50" t="n"/>
      <c r="G208" s="49">
        <f t="shared" si="0"/>
      </c>
      <c r="H208" s="2">
        <f t="shared" si="1"/>
        <v>0</v>
      </c>
      <c r="I208" s="2">
        <f t="shared" si="2"/>
      </c>
    </row>
    <row r="209">
      <c r="A209" s="43" t="n">
        <v>206</v>
      </c>
      <c r="B209" s="45" t="n"/>
      <c r="C209" s="44" t="n"/>
      <c r="D209" s="57" t="n"/>
      <c r="E209" s="57" t="n"/>
      <c r="F209" s="50" t="n"/>
      <c r="G209" s="49">
        <f t="shared" si="0"/>
      </c>
      <c r="H209" s="2">
        <f t="shared" si="1"/>
        <v>0</v>
      </c>
      <c r="I209" s="2">
        <f t="shared" si="2"/>
      </c>
    </row>
    <row r="210">
      <c r="A210" s="43" t="n">
        <v>207</v>
      </c>
      <c r="B210" s="45" t="n"/>
      <c r="C210" s="44" t="n"/>
      <c r="D210" s="57" t="n"/>
      <c r="E210" s="57" t="n"/>
      <c r="F210" s="50" t="n"/>
      <c r="G210" s="49">
        <f t="shared" si="0"/>
      </c>
      <c r="H210" s="2">
        <f t="shared" si="1"/>
        <v>0</v>
      </c>
      <c r="I210" s="2">
        <f t="shared" si="2"/>
      </c>
    </row>
    <row r="211">
      <c r="A211" s="43" t="n">
        <v>208</v>
      </c>
      <c r="B211" s="45" t="n"/>
      <c r="C211" s="44" t="n"/>
      <c r="D211" s="57" t="n"/>
      <c r="E211" s="57" t="n"/>
      <c r="F211" s="50" t="n"/>
      <c r="G211" s="49">
        <f t="shared" si="0"/>
      </c>
      <c r="H211" s="2">
        <f t="shared" si="1"/>
        <v>0</v>
      </c>
      <c r="I211" s="2">
        <f t="shared" si="2"/>
      </c>
    </row>
    <row r="212">
      <c r="A212" s="43" t="n">
        <v>209</v>
      </c>
      <c r="B212" s="45" t="n"/>
      <c r="C212" s="44" t="n"/>
      <c r="D212" s="57" t="n"/>
      <c r="E212" s="57" t="n"/>
      <c r="F212" s="50" t="n"/>
      <c r="G212" s="49">
        <f t="shared" si="0"/>
      </c>
      <c r="H212" s="2">
        <f t="shared" si="1"/>
        <v>0</v>
      </c>
      <c r="I212" s="2">
        <f t="shared" si="2"/>
      </c>
    </row>
    <row r="213">
      <c r="A213" s="43" t="n">
        <v>210</v>
      </c>
      <c r="B213" s="45" t="n"/>
      <c r="C213" s="44" t="n"/>
      <c r="D213" s="57" t="n"/>
      <c r="E213" s="57" t="n"/>
      <c r="F213" s="50" t="n"/>
      <c r="G213" s="49">
        <f t="shared" si="0"/>
      </c>
      <c r="H213" s="2">
        <f t="shared" si="1"/>
        <v>0</v>
      </c>
      <c r="I213" s="2">
        <f t="shared" si="2"/>
      </c>
    </row>
    <row r="214">
      <c r="A214" s="43" t="n">
        <v>211</v>
      </c>
      <c r="B214" s="45" t="n"/>
      <c r="C214" s="44" t="n"/>
      <c r="D214" s="57" t="n"/>
      <c r="E214" s="57" t="n"/>
      <c r="F214" s="50" t="n"/>
      <c r="G214" s="49">
        <f t="shared" si="0"/>
      </c>
      <c r="H214" s="2">
        <f t="shared" si="1"/>
        <v>0</v>
      </c>
      <c r="I214" s="2">
        <f t="shared" si="2"/>
      </c>
    </row>
    <row r="215">
      <c r="A215" s="43" t="n">
        <v>212</v>
      </c>
      <c r="B215" s="45" t="n"/>
      <c r="C215" s="44" t="n"/>
      <c r="D215" s="57" t="n"/>
      <c r="E215" s="57" t="n"/>
      <c r="F215" s="50" t="n"/>
      <c r="G215" s="49">
        <f t="shared" si="0"/>
      </c>
      <c r="H215" s="2">
        <f t="shared" si="1"/>
        <v>0</v>
      </c>
      <c r="I215" s="2">
        <f t="shared" si="2"/>
      </c>
    </row>
    <row r="216">
      <c r="A216" s="43" t="n">
        <v>213</v>
      </c>
      <c r="B216" s="45" t="n"/>
      <c r="C216" s="44" t="n"/>
      <c r="D216" s="57" t="n"/>
      <c r="E216" s="57" t="n"/>
      <c r="F216" s="50" t="n"/>
      <c r="G216" s="49">
        <f t="shared" si="0"/>
      </c>
      <c r="H216" s="2">
        <f t="shared" si="1"/>
        <v>0</v>
      </c>
      <c r="I216" s="2">
        <f t="shared" si="2"/>
      </c>
    </row>
    <row r="217">
      <c r="A217" s="43" t="n">
        <v>214</v>
      </c>
      <c r="B217" s="45" t="n"/>
      <c r="C217" s="44" t="n"/>
      <c r="D217" s="57" t="n"/>
      <c r="E217" s="57" t="n"/>
      <c r="F217" s="50" t="n"/>
      <c r="G217" s="49">
        <f t="shared" si="0"/>
      </c>
      <c r="H217" s="2">
        <f t="shared" si="1"/>
        <v>0</v>
      </c>
      <c r="I217" s="2">
        <f t="shared" si="2"/>
      </c>
    </row>
    <row r="218">
      <c r="A218" s="43" t="n">
        <v>215</v>
      </c>
      <c r="B218" s="45" t="n"/>
      <c r="C218" s="44" t="n"/>
      <c r="D218" s="57" t="n"/>
      <c r="E218" s="57" t="n"/>
      <c r="F218" s="50" t="n"/>
      <c r="G218" s="49">
        <f t="shared" si="0"/>
      </c>
      <c r="H218" s="2">
        <f t="shared" si="1"/>
        <v>0</v>
      </c>
      <c r="I218" s="2">
        <f t="shared" si="2"/>
      </c>
    </row>
    <row r="219">
      <c r="A219" s="43" t="n">
        <v>216</v>
      </c>
      <c r="B219" s="45" t="n"/>
      <c r="C219" s="44" t="n"/>
      <c r="D219" s="57" t="n"/>
      <c r="E219" s="57" t="n"/>
      <c r="F219" s="50" t="n"/>
      <c r="G219" s="49">
        <f t="shared" si="0"/>
      </c>
      <c r="H219" s="2">
        <f t="shared" si="1"/>
        <v>0</v>
      </c>
      <c r="I219" s="2">
        <f t="shared" si="2"/>
      </c>
    </row>
    <row r="220">
      <c r="A220" s="43" t="n">
        <v>217</v>
      </c>
      <c r="B220" s="45" t="n"/>
      <c r="C220" s="44" t="n"/>
      <c r="D220" s="57" t="n"/>
      <c r="E220" s="57" t="n"/>
      <c r="F220" s="50" t="n"/>
      <c r="G220" s="49">
        <f t="shared" si="0"/>
      </c>
      <c r="H220" s="2">
        <f t="shared" si="1"/>
        <v>0</v>
      </c>
      <c r="I220" s="2">
        <f t="shared" si="2"/>
      </c>
    </row>
    <row r="221">
      <c r="A221" s="43" t="n">
        <v>218</v>
      </c>
      <c r="B221" s="45" t="n"/>
      <c r="C221" s="44" t="n"/>
      <c r="D221" s="57" t="n"/>
      <c r="E221" s="57" t="n"/>
      <c r="F221" s="50" t="n"/>
      <c r="G221" s="49">
        <f t="shared" si="0"/>
      </c>
      <c r="H221" s="2">
        <f t="shared" si="1"/>
        <v>0</v>
      </c>
      <c r="I221" s="2">
        <f t="shared" si="2"/>
      </c>
    </row>
    <row r="222">
      <c r="A222" s="43" t="n">
        <v>219</v>
      </c>
      <c r="B222" s="45" t="n"/>
      <c r="C222" s="44" t="n"/>
      <c r="D222" s="57" t="n"/>
      <c r="E222" s="57" t="n"/>
      <c r="F222" s="50" t="n"/>
      <c r="G222" s="49">
        <f t="shared" si="0"/>
      </c>
      <c r="H222" s="2">
        <f t="shared" si="1"/>
        <v>0</v>
      </c>
      <c r="I222" s="2">
        <f t="shared" si="2"/>
      </c>
    </row>
    <row r="223">
      <c r="A223" s="43" t="n">
        <v>220</v>
      </c>
      <c r="B223" s="45" t="n"/>
      <c r="C223" s="44" t="n"/>
      <c r="D223" s="57" t="n"/>
      <c r="E223" s="57" t="n"/>
      <c r="F223" s="50" t="n"/>
      <c r="G223" s="49">
        <f t="shared" si="0"/>
      </c>
      <c r="H223" s="2">
        <f t="shared" si="1"/>
        <v>0</v>
      </c>
      <c r="I223" s="2">
        <f t="shared" si="2"/>
      </c>
    </row>
    <row r="224">
      <c r="A224" s="43" t="n">
        <v>221</v>
      </c>
      <c r="B224" s="45" t="n"/>
      <c r="C224" s="44" t="n"/>
      <c r="D224" s="57" t="n"/>
      <c r="E224" s="57" t="n"/>
      <c r="F224" s="50" t="n"/>
      <c r="G224" s="49">
        <f t="shared" si="0"/>
      </c>
      <c r="H224" s="2">
        <f t="shared" si="1"/>
        <v>0</v>
      </c>
      <c r="I224" s="2">
        <f t="shared" si="2"/>
      </c>
    </row>
    <row r="225">
      <c r="A225" s="43" t="n">
        <v>222</v>
      </c>
      <c r="B225" s="45" t="n"/>
      <c r="C225" s="44" t="n"/>
      <c r="D225" s="57" t="n"/>
      <c r="E225" s="57" t="n"/>
      <c r="F225" s="50" t="n"/>
      <c r="G225" s="49">
        <f t="shared" si="0"/>
      </c>
      <c r="H225" s="2">
        <f t="shared" si="1"/>
        <v>0</v>
      </c>
      <c r="I225" s="2">
        <f t="shared" si="2"/>
      </c>
    </row>
    <row r="226">
      <c r="A226" s="43" t="n">
        <v>223</v>
      </c>
      <c r="B226" s="45" t="n"/>
      <c r="C226" s="44" t="n"/>
      <c r="D226" s="57" t="n"/>
      <c r="E226" s="57" t="n"/>
      <c r="F226" s="50" t="n"/>
      <c r="G226" s="49">
        <f t="shared" si="0"/>
      </c>
      <c r="H226" s="2">
        <f t="shared" si="1"/>
        <v>0</v>
      </c>
      <c r="I226" s="2">
        <f t="shared" si="2"/>
      </c>
    </row>
    <row r="227">
      <c r="A227" s="43" t="n">
        <v>224</v>
      </c>
      <c r="B227" s="45" t="n"/>
      <c r="C227" s="44" t="n"/>
      <c r="D227" s="57" t="n"/>
      <c r="E227" s="57" t="n"/>
      <c r="F227" s="50" t="n"/>
      <c r="G227" s="49">
        <f t="shared" si="0"/>
      </c>
      <c r="H227" s="2">
        <f t="shared" si="1"/>
        <v>0</v>
      </c>
      <c r="I227" s="2">
        <f t="shared" si="2"/>
      </c>
    </row>
    <row r="228">
      <c r="A228" s="43" t="n">
        <v>225</v>
      </c>
      <c r="B228" s="45" t="n"/>
      <c r="C228" s="44" t="n"/>
      <c r="D228" s="57" t="n"/>
      <c r="E228" s="57" t="n"/>
      <c r="F228" s="50" t="n"/>
      <c r="G228" s="49">
        <f t="shared" si="0"/>
      </c>
      <c r="H228" s="2">
        <f t="shared" si="1"/>
        <v>0</v>
      </c>
      <c r="I228" s="2">
        <f t="shared" si="2"/>
      </c>
    </row>
    <row r="229">
      <c r="A229" s="43" t="n">
        <v>226</v>
      </c>
      <c r="B229" s="45" t="n"/>
      <c r="C229" s="44" t="n"/>
      <c r="D229" s="57" t="n"/>
      <c r="E229" s="57" t="n"/>
      <c r="F229" s="50" t="n"/>
      <c r="G229" s="49">
        <f t="shared" si="0"/>
      </c>
      <c r="H229" s="2">
        <f t="shared" si="1"/>
        <v>0</v>
      </c>
      <c r="I229" s="2">
        <f t="shared" si="2"/>
      </c>
    </row>
    <row r="230">
      <c r="A230" s="43" t="n">
        <v>227</v>
      </c>
      <c r="B230" s="45" t="n"/>
      <c r="C230" s="44" t="n"/>
      <c r="D230" s="57" t="n"/>
      <c r="E230" s="57" t="n"/>
      <c r="F230" s="50" t="n"/>
      <c r="G230" s="49">
        <f t="shared" si="0"/>
      </c>
      <c r="H230" s="2">
        <f t="shared" si="1"/>
        <v>0</v>
      </c>
      <c r="I230" s="2">
        <f t="shared" si="2"/>
      </c>
    </row>
    <row r="231">
      <c r="A231" s="43" t="n">
        <v>228</v>
      </c>
      <c r="B231" s="45" t="n"/>
      <c r="C231" s="44" t="n"/>
      <c r="D231" s="57" t="n"/>
      <c r="E231" s="57" t="n"/>
      <c r="F231" s="50" t="n"/>
      <c r="G231" s="49">
        <f t="shared" si="0"/>
      </c>
      <c r="H231" s="2">
        <f t="shared" si="1"/>
        <v>0</v>
      </c>
      <c r="I231" s="2">
        <f t="shared" si="2"/>
      </c>
    </row>
    <row r="232">
      <c r="A232" s="43" t="n">
        <v>229</v>
      </c>
      <c r="B232" s="45" t="n"/>
      <c r="C232" s="44" t="n"/>
      <c r="D232" s="57" t="n"/>
      <c r="E232" s="57" t="n"/>
      <c r="F232" s="50" t="n"/>
      <c r="G232" s="49">
        <f t="shared" si="0"/>
      </c>
      <c r="H232" s="2">
        <f t="shared" si="1"/>
        <v>0</v>
      </c>
      <c r="I232" s="2">
        <f t="shared" si="2"/>
      </c>
    </row>
    <row r="233">
      <c r="A233" s="43" t="n">
        <v>230</v>
      </c>
      <c r="B233" s="45" t="n"/>
      <c r="C233" s="44" t="n"/>
      <c r="D233" s="57" t="n"/>
      <c r="E233" s="57" t="n"/>
      <c r="F233" s="50" t="n"/>
      <c r="G233" s="49">
        <f t="shared" si="0"/>
      </c>
      <c r="H233" s="2">
        <f t="shared" si="1"/>
        <v>0</v>
      </c>
      <c r="I233" s="2">
        <f t="shared" si="2"/>
      </c>
    </row>
    <row r="234">
      <c r="A234" s="43" t="n">
        <v>231</v>
      </c>
      <c r="B234" s="45" t="n"/>
      <c r="C234" s="44" t="n"/>
      <c r="D234" s="57" t="n"/>
      <c r="E234" s="57" t="n"/>
      <c r="F234" s="50" t="n"/>
      <c r="G234" s="49">
        <f t="shared" si="0"/>
      </c>
      <c r="H234" s="2">
        <f t="shared" si="1"/>
        <v>0</v>
      </c>
      <c r="I234" s="2">
        <f t="shared" si="2"/>
      </c>
    </row>
    <row r="235">
      <c r="A235" s="43" t="n">
        <v>232</v>
      </c>
      <c r="B235" s="45" t="n"/>
      <c r="C235" s="44" t="n"/>
      <c r="D235" s="57" t="n"/>
      <c r="E235" s="57" t="n"/>
      <c r="F235" s="50" t="n"/>
      <c r="G235" s="49">
        <f t="shared" si="0"/>
      </c>
      <c r="H235" s="2">
        <f t="shared" si="1"/>
        <v>0</v>
      </c>
      <c r="I235" s="2">
        <f t="shared" si="2"/>
      </c>
    </row>
    <row r="236">
      <c r="A236" s="43" t="n">
        <v>233</v>
      </c>
      <c r="B236" s="45" t="n"/>
      <c r="C236" s="44" t="n"/>
      <c r="D236" s="57" t="n"/>
      <c r="E236" s="57" t="n"/>
      <c r="F236" s="50" t="n"/>
      <c r="G236" s="49">
        <f t="shared" si="0"/>
      </c>
      <c r="H236" s="2">
        <f t="shared" si="1"/>
        <v>0</v>
      </c>
      <c r="I236" s="2">
        <f t="shared" si="2"/>
      </c>
    </row>
    <row r="237">
      <c r="A237" s="43" t="n">
        <v>234</v>
      </c>
      <c r="B237" s="45" t="n"/>
      <c r="C237" s="44" t="n"/>
      <c r="D237" s="57" t="n"/>
      <c r="E237" s="57" t="n"/>
      <c r="F237" s="50" t="n"/>
      <c r="G237" s="49">
        <f t="shared" si="0"/>
      </c>
      <c r="H237" s="2">
        <f t="shared" si="1"/>
        <v>0</v>
      </c>
      <c r="I237" s="2">
        <f t="shared" si="2"/>
      </c>
    </row>
    <row r="238">
      <c r="A238" s="43" t="n">
        <v>235</v>
      </c>
      <c r="B238" s="45" t="n"/>
      <c r="C238" s="44" t="n"/>
      <c r="D238" s="57" t="n"/>
      <c r="E238" s="57" t="n"/>
      <c r="F238" s="50" t="n"/>
      <c r="G238" s="49">
        <f t="shared" si="0"/>
      </c>
      <c r="H238" s="2">
        <f t="shared" si="1"/>
        <v>0</v>
      </c>
      <c r="I238" s="2">
        <f t="shared" si="2"/>
      </c>
    </row>
    <row r="239">
      <c r="A239" s="43" t="n">
        <v>236</v>
      </c>
      <c r="B239" s="45" t="n"/>
      <c r="C239" s="44" t="n"/>
      <c r="D239" s="57" t="n"/>
      <c r="E239" s="57" t="n"/>
      <c r="F239" s="50" t="n"/>
      <c r="G239" s="49">
        <f t="shared" si="0"/>
      </c>
      <c r="H239" s="2">
        <f t="shared" si="1"/>
        <v>0</v>
      </c>
      <c r="I239" s="2">
        <f t="shared" si="2"/>
      </c>
    </row>
    <row r="240">
      <c r="A240" s="43" t="n">
        <v>237</v>
      </c>
      <c r="B240" s="45" t="n"/>
      <c r="C240" s="44" t="n"/>
      <c r="D240" s="57" t="n"/>
      <c r="E240" s="57" t="n"/>
      <c r="F240" s="50" t="n"/>
      <c r="G240" s="49">
        <f t="shared" si="0"/>
      </c>
      <c r="H240" s="2">
        <f t="shared" si="1"/>
        <v>0</v>
      </c>
      <c r="I240" s="2">
        <f t="shared" si="2"/>
      </c>
    </row>
    <row r="241">
      <c r="A241" s="43" t="n">
        <v>238</v>
      </c>
      <c r="B241" s="45" t="n"/>
      <c r="C241" s="44" t="n"/>
      <c r="D241" s="57" t="n"/>
      <c r="E241" s="57" t="n"/>
      <c r="F241" s="50" t="n"/>
      <c r="G241" s="49">
        <f t="shared" si="0"/>
      </c>
      <c r="H241" s="2">
        <f t="shared" si="1"/>
        <v>0</v>
      </c>
      <c r="I241" s="2">
        <f t="shared" si="2"/>
      </c>
    </row>
    <row r="242">
      <c r="A242" s="43" t="n">
        <v>239</v>
      </c>
      <c r="B242" s="45" t="n"/>
      <c r="C242" s="44" t="n"/>
      <c r="D242" s="57" t="n"/>
      <c r="E242" s="57" t="n"/>
      <c r="F242" s="50" t="n"/>
      <c r="G242" s="49">
        <f t="shared" si="0"/>
      </c>
      <c r="H242" s="2">
        <f t="shared" si="1"/>
        <v>0</v>
      </c>
      <c r="I242" s="2">
        <f t="shared" si="2"/>
      </c>
    </row>
    <row r="243">
      <c r="A243" s="43" t="n">
        <v>240</v>
      </c>
      <c r="B243" s="45" t="n"/>
      <c r="C243" s="44" t="n"/>
      <c r="D243" s="57" t="n"/>
      <c r="E243" s="57" t="n"/>
      <c r="F243" s="50" t="n"/>
      <c r="G243" s="49">
        <f t="shared" si="0"/>
      </c>
      <c r="H243" s="2">
        <f t="shared" si="1"/>
        <v>0</v>
      </c>
      <c r="I243" s="2">
        <f t="shared" si="2"/>
      </c>
    </row>
    <row r="244">
      <c r="A244" s="43" t="n">
        <v>241</v>
      </c>
      <c r="B244" s="45" t="n"/>
      <c r="C244" s="44" t="n"/>
      <c r="D244" s="57" t="n"/>
      <c r="E244" s="57" t="n"/>
      <c r="F244" s="50" t="n"/>
      <c r="G244" s="49">
        <f t="shared" si="0"/>
      </c>
      <c r="H244" s="2">
        <f t="shared" si="1"/>
        <v>0</v>
      </c>
      <c r="I244" s="2">
        <f t="shared" si="2"/>
      </c>
    </row>
    <row r="245">
      <c r="A245" s="43" t="n">
        <v>242</v>
      </c>
      <c r="B245" s="45" t="n"/>
      <c r="C245" s="44" t="n"/>
      <c r="D245" s="57" t="n"/>
      <c r="E245" s="57" t="n"/>
      <c r="F245" s="50" t="n"/>
      <c r="G245" s="49">
        <f t="shared" si="0"/>
      </c>
      <c r="H245" s="2">
        <f t="shared" si="1"/>
        <v>0</v>
      </c>
      <c r="I245" s="2">
        <f t="shared" si="2"/>
      </c>
    </row>
    <row r="246">
      <c r="A246" s="43" t="n">
        <v>243</v>
      </c>
      <c r="B246" s="45" t="n"/>
      <c r="C246" s="44" t="n"/>
      <c r="D246" s="57" t="n"/>
      <c r="E246" s="57" t="n"/>
      <c r="F246" s="50" t="n"/>
      <c r="G246" s="49">
        <f t="shared" si="0"/>
      </c>
      <c r="H246" s="2">
        <f t="shared" si="1"/>
        <v>0</v>
      </c>
      <c r="I246" s="2">
        <f t="shared" si="2"/>
      </c>
    </row>
    <row r="247">
      <c r="A247" s="43" t="n">
        <v>244</v>
      </c>
      <c r="B247" s="45" t="n"/>
      <c r="C247" s="44" t="n"/>
      <c r="D247" s="57" t="n"/>
      <c r="E247" s="57" t="n"/>
      <c r="F247" s="50" t="n"/>
      <c r="G247" s="49">
        <f t="shared" si="0"/>
      </c>
      <c r="H247" s="2">
        <f t="shared" si="1"/>
        <v>0</v>
      </c>
      <c r="I247" s="2">
        <f t="shared" si="2"/>
      </c>
    </row>
    <row r="248">
      <c r="A248" s="43" t="n">
        <v>245</v>
      </c>
      <c r="B248" s="45" t="n"/>
      <c r="C248" s="44" t="n"/>
      <c r="D248" s="57" t="n"/>
      <c r="E248" s="57" t="n"/>
      <c r="F248" s="50" t="n"/>
      <c r="G248" s="49">
        <f t="shared" si="0"/>
      </c>
      <c r="H248" s="2">
        <f t="shared" si="1"/>
        <v>0</v>
      </c>
      <c r="I248" s="2">
        <f t="shared" si="2"/>
      </c>
    </row>
    <row r="249">
      <c r="A249" s="43" t="n">
        <v>246</v>
      </c>
      <c r="B249" s="45" t="n"/>
      <c r="C249" s="44" t="n"/>
      <c r="D249" s="57" t="n"/>
      <c r="E249" s="57" t="n"/>
      <c r="F249" s="50" t="n"/>
      <c r="G249" s="49">
        <f t="shared" si="0"/>
      </c>
      <c r="H249" s="2">
        <f t="shared" si="1"/>
        <v>0</v>
      </c>
      <c r="I249" s="2">
        <f t="shared" si="2"/>
      </c>
    </row>
    <row r="250">
      <c r="A250" s="43" t="n">
        <v>247</v>
      </c>
      <c r="B250" s="45" t="n"/>
      <c r="C250" s="44" t="n"/>
      <c r="D250" s="57" t="n"/>
      <c r="E250" s="57" t="n"/>
      <c r="F250" s="50" t="n"/>
      <c r="G250" s="49">
        <f t="shared" si="0"/>
      </c>
      <c r="H250" s="2">
        <f t="shared" si="1"/>
        <v>0</v>
      </c>
      <c r="I250" s="2">
        <f t="shared" si="2"/>
      </c>
    </row>
    <row r="251">
      <c r="A251" s="43" t="n">
        <v>248</v>
      </c>
      <c r="B251" s="45" t="n"/>
      <c r="C251" s="44" t="n"/>
      <c r="D251" s="57" t="n"/>
      <c r="E251" s="57" t="n"/>
      <c r="F251" s="50" t="n"/>
      <c r="G251" s="49">
        <f t="shared" si="0"/>
      </c>
      <c r="H251" s="2">
        <f t="shared" si="1"/>
        <v>0</v>
      </c>
      <c r="I251" s="2">
        <f t="shared" si="2"/>
      </c>
    </row>
    <row r="252">
      <c r="A252" s="43" t="n">
        <v>249</v>
      </c>
      <c r="B252" s="45" t="n"/>
      <c r="C252" s="44" t="n"/>
      <c r="D252" s="57" t="n"/>
      <c r="E252" s="57" t="n"/>
      <c r="F252" s="50" t="n"/>
      <c r="G252" s="49">
        <f t="shared" si="0"/>
      </c>
      <c r="H252" s="2">
        <f t="shared" si="1"/>
        <v>0</v>
      </c>
      <c r="I252" s="2">
        <f t="shared" si="2"/>
      </c>
    </row>
    <row r="253">
      <c r="A253" s="43" t="n">
        <v>250</v>
      </c>
      <c r="B253" s="45" t="n"/>
      <c r="C253" s="44" t="n"/>
      <c r="D253" s="57" t="n"/>
      <c r="E253" s="57" t="n"/>
      <c r="F253" s="50" t="n"/>
      <c r="G253" s="49">
        <f t="shared" si="0"/>
      </c>
      <c r="H253" s="2">
        <f t="shared" si="1"/>
        <v>0</v>
      </c>
      <c r="I253" s="2">
        <f t="shared" si="2"/>
      </c>
    </row>
    <row r="254">
      <c r="A254" s="43" t="n">
        <v>251</v>
      </c>
      <c r="B254" s="45" t="n"/>
      <c r="C254" s="44" t="n"/>
      <c r="D254" s="57" t="n"/>
      <c r="E254" s="57" t="n"/>
      <c r="F254" s="50" t="n"/>
      <c r="G254" s="49">
        <f t="shared" si="0"/>
      </c>
      <c r="H254" s="2">
        <f t="shared" si="1"/>
        <v>0</v>
      </c>
      <c r="I254" s="2">
        <f t="shared" si="2"/>
      </c>
    </row>
    <row r="255">
      <c r="A255" s="43" t="n">
        <v>252</v>
      </c>
      <c r="B255" s="45" t="n"/>
      <c r="C255" s="44" t="n"/>
      <c r="D255" s="57" t="n"/>
      <c r="E255" s="57" t="n"/>
      <c r="F255" s="50" t="n"/>
      <c r="G255" s="49">
        <f t="shared" si="0"/>
      </c>
      <c r="H255" s="2">
        <f t="shared" si="1"/>
        <v>0</v>
      </c>
      <c r="I255" s="2">
        <f t="shared" si="2"/>
      </c>
    </row>
    <row r="256">
      <c r="A256" s="43" t="n">
        <v>253</v>
      </c>
      <c r="B256" s="45" t="n"/>
      <c r="C256" s="44" t="n"/>
      <c r="D256" s="57" t="n"/>
      <c r="E256" s="57" t="n"/>
      <c r="F256" s="50" t="n"/>
      <c r="G256" s="49">
        <f t="shared" si="0"/>
      </c>
      <c r="H256" s="2">
        <f t="shared" si="1"/>
        <v>0</v>
      </c>
      <c r="I256" s="2">
        <f t="shared" si="2"/>
      </c>
    </row>
    <row r="257">
      <c r="A257" s="43" t="n">
        <v>254</v>
      </c>
      <c r="B257" s="45" t="n"/>
      <c r="C257" s="44" t="n"/>
      <c r="D257" s="57" t="n"/>
      <c r="E257" s="57" t="n"/>
      <c r="F257" s="50" t="n"/>
      <c r="G257" s="49">
        <f t="shared" si="0"/>
      </c>
      <c r="H257" s="2">
        <f t="shared" si="1"/>
        <v>0</v>
      </c>
      <c r="I257" s="2">
        <f t="shared" si="2"/>
      </c>
    </row>
    <row r="258">
      <c r="A258" s="43" t="n">
        <v>255</v>
      </c>
      <c r="B258" s="45" t="n"/>
      <c r="C258" s="44" t="n"/>
      <c r="D258" s="57" t="n"/>
      <c r="E258" s="57" t="n"/>
      <c r="F258" s="50" t="n"/>
      <c r="G258" s="49">
        <f t="shared" si="0"/>
      </c>
      <c r="H258" s="2">
        <f t="shared" si="1"/>
        <v>0</v>
      </c>
      <c r="I258" s="2">
        <f t="shared" si="2"/>
      </c>
    </row>
    <row r="259">
      <c r="A259" s="43" t="n">
        <v>256</v>
      </c>
      <c r="B259" s="45" t="n"/>
      <c r="C259" s="44" t="n"/>
      <c r="D259" s="57" t="n"/>
      <c r="E259" s="57" t="n"/>
      <c r="F259" s="50" t="n"/>
      <c r="G259" s="49">
        <f t="shared" si="0"/>
      </c>
      <c r="H259" s="2">
        <f t="shared" si="1"/>
        <v>0</v>
      </c>
      <c r="I259" s="2">
        <f t="shared" si="2"/>
      </c>
    </row>
    <row r="260">
      <c r="A260" s="43" t="n">
        <v>257</v>
      </c>
      <c r="B260" s="45" t="n"/>
      <c r="C260" s="44" t="n"/>
      <c r="D260" s="57" t="n"/>
      <c r="E260" s="57" t="n"/>
      <c r="F260" s="50" t="n"/>
      <c r="G260" s="49">
        <f t="shared" si="0"/>
      </c>
      <c r="H260" s="2">
        <f t="shared" si="1"/>
        <v>0</v>
      </c>
      <c r="I260" s="2">
        <f t="shared" si="2"/>
      </c>
    </row>
    <row r="261">
      <c r="A261" s="43" t="n">
        <v>258</v>
      </c>
      <c r="B261" s="45" t="n"/>
      <c r="C261" s="44" t="n"/>
      <c r="D261" s="57" t="n"/>
      <c r="E261" s="57" t="n"/>
      <c r="F261" s="50" t="n"/>
      <c r="G261" s="49">
        <f t="shared" si="0"/>
      </c>
      <c r="H261" s="2">
        <f t="shared" si="1"/>
        <v>0</v>
      </c>
      <c r="I261" s="2">
        <f t="shared" si="2"/>
      </c>
    </row>
    <row r="262">
      <c r="A262" s="43" t="n">
        <v>259</v>
      </c>
      <c r="B262" s="45" t="n"/>
      <c r="C262" s="44" t="n"/>
      <c r="D262" s="57" t="n"/>
      <c r="E262" s="57" t="n"/>
      <c r="F262" s="50" t="n"/>
      <c r="G262" s="49">
        <f t="shared" si="0"/>
      </c>
      <c r="H262" s="2">
        <f t="shared" si="1"/>
        <v>0</v>
      </c>
      <c r="I262" s="2">
        <f t="shared" si="2"/>
      </c>
    </row>
    <row r="263">
      <c r="A263" s="43" t="n">
        <v>260</v>
      </c>
      <c r="B263" s="45" t="n"/>
      <c r="C263" s="44" t="n"/>
      <c r="D263" s="57" t="n"/>
      <c r="E263" s="57" t="n"/>
      <c r="F263" s="50" t="n"/>
      <c r="G263" s="49">
        <f t="shared" si="0"/>
      </c>
      <c r="H263" s="2">
        <f t="shared" si="1"/>
        <v>0</v>
      </c>
      <c r="I263" s="2">
        <f t="shared" si="2"/>
      </c>
    </row>
    <row r="264">
      <c r="A264" s="43" t="n">
        <v>261</v>
      </c>
      <c r="B264" s="45" t="n"/>
      <c r="C264" s="44" t="n"/>
      <c r="D264" s="57" t="n"/>
      <c r="E264" s="57" t="n"/>
      <c r="F264" s="50" t="n"/>
      <c r="G264" s="49">
        <f t="shared" si="0"/>
      </c>
      <c r="H264" s="2">
        <f t="shared" si="1"/>
        <v>0</v>
      </c>
      <c r="I264" s="2">
        <f t="shared" si="2"/>
      </c>
    </row>
    <row r="265">
      <c r="A265" s="43" t="n">
        <v>262</v>
      </c>
      <c r="B265" s="45" t="n"/>
      <c r="C265" s="44" t="n"/>
      <c r="D265" s="57" t="n"/>
      <c r="E265" s="57" t="n"/>
      <c r="F265" s="50" t="n"/>
      <c r="G265" s="49">
        <f t="shared" si="0"/>
      </c>
      <c r="H265" s="2">
        <f t="shared" si="1"/>
        <v>0</v>
      </c>
      <c r="I265" s="2">
        <f t="shared" si="2"/>
      </c>
    </row>
    <row r="266">
      <c r="A266" s="43" t="n">
        <v>263</v>
      </c>
      <c r="B266" s="45" t="n"/>
      <c r="C266" s="44" t="n"/>
      <c r="D266" s="57" t="n"/>
      <c r="E266" s="57" t="n"/>
      <c r="F266" s="50" t="n"/>
      <c r="G266" s="49">
        <f t="shared" si="0"/>
      </c>
      <c r="H266" s="2">
        <f t="shared" si="1"/>
        <v>0</v>
      </c>
      <c r="I266" s="2">
        <f t="shared" si="2"/>
      </c>
    </row>
    <row r="267">
      <c r="A267" s="43" t="n">
        <v>264</v>
      </c>
      <c r="B267" s="45" t="n"/>
      <c r="C267" s="44" t="n"/>
      <c r="D267" s="57" t="n"/>
      <c r="E267" s="57" t="n"/>
      <c r="F267" s="50" t="n"/>
      <c r="G267" s="49">
        <f t="shared" si="0"/>
      </c>
      <c r="H267" s="2">
        <f t="shared" si="1"/>
        <v>0</v>
      </c>
      <c r="I267" s="2">
        <f t="shared" si="2"/>
      </c>
    </row>
    <row r="268">
      <c r="A268" s="43" t="n">
        <v>265</v>
      </c>
      <c r="B268" s="45" t="n"/>
      <c r="C268" s="44" t="n"/>
      <c r="D268" s="57" t="n"/>
      <c r="E268" s="57" t="n"/>
      <c r="F268" s="50" t="n"/>
      <c r="G268" s="49">
        <f t="shared" si="0"/>
      </c>
      <c r="H268" s="2">
        <f t="shared" si="1"/>
        <v>0</v>
      </c>
      <c r="I268" s="2">
        <f t="shared" si="2"/>
      </c>
    </row>
    <row r="269">
      <c r="A269" s="43" t="n">
        <v>266</v>
      </c>
      <c r="B269" s="45" t="n"/>
      <c r="C269" s="44" t="n"/>
      <c r="D269" s="57" t="n"/>
      <c r="E269" s="57" t="n"/>
      <c r="F269" s="50" t="n"/>
      <c r="G269" s="49">
        <f t="shared" si="0"/>
      </c>
      <c r="H269" s="2">
        <f t="shared" si="1"/>
        <v>0</v>
      </c>
      <c r="I269" s="2">
        <f t="shared" si="2"/>
      </c>
    </row>
    <row r="270">
      <c r="A270" s="43" t="n">
        <v>267</v>
      </c>
      <c r="B270" s="45" t="n"/>
      <c r="C270" s="44" t="n"/>
      <c r="D270" s="57" t="n"/>
      <c r="E270" s="57" t="n"/>
      <c r="F270" s="50" t="n"/>
      <c r="G270" s="49">
        <f t="shared" si="0"/>
      </c>
      <c r="H270" s="2">
        <f t="shared" si="1"/>
        <v>0</v>
      </c>
      <c r="I270" s="2">
        <f t="shared" si="2"/>
      </c>
    </row>
    <row r="271">
      <c r="A271" s="43" t="n">
        <v>268</v>
      </c>
      <c r="B271" s="45" t="n"/>
      <c r="C271" s="44" t="n"/>
      <c r="D271" s="57" t="n"/>
      <c r="E271" s="57" t="n"/>
      <c r="F271" s="50" t="n"/>
      <c r="G271" s="49">
        <f t="shared" si="0"/>
      </c>
      <c r="H271" s="2">
        <f t="shared" si="1"/>
        <v>0</v>
      </c>
      <c r="I271" s="2">
        <f t="shared" si="2"/>
      </c>
    </row>
    <row r="272">
      <c r="A272" s="43" t="n">
        <v>269</v>
      </c>
      <c r="B272" s="45" t="n"/>
      <c r="C272" s="44" t="n"/>
      <c r="D272" s="57" t="n"/>
      <c r="E272" s="57" t="n"/>
      <c r="F272" s="50" t="n"/>
      <c r="G272" s="49">
        <f t="shared" si="0"/>
      </c>
      <c r="H272" s="2">
        <f t="shared" si="1"/>
        <v>0</v>
      </c>
      <c r="I272" s="2">
        <f t="shared" si="2"/>
      </c>
    </row>
    <row r="273">
      <c r="A273" s="43" t="n">
        <v>270</v>
      </c>
      <c r="B273" s="45" t="n"/>
      <c r="C273" s="44" t="n"/>
      <c r="D273" s="57" t="n"/>
      <c r="E273" s="57" t="n"/>
      <c r="F273" s="50" t="n"/>
      <c r="G273" s="49">
        <f t="shared" si="0"/>
      </c>
      <c r="H273" s="2">
        <f t="shared" si="1"/>
        <v>0</v>
      </c>
      <c r="I273" s="2">
        <f t="shared" si="2"/>
      </c>
    </row>
    <row r="274">
      <c r="A274" s="43" t="n">
        <v>271</v>
      </c>
      <c r="B274" s="45" t="n"/>
      <c r="C274" s="44" t="n"/>
      <c r="D274" s="57" t="n"/>
      <c r="E274" s="57" t="n"/>
      <c r="F274" s="50" t="n"/>
      <c r="G274" s="49">
        <f t="shared" si="0"/>
      </c>
      <c r="H274" s="2">
        <f t="shared" si="1"/>
        <v>0</v>
      </c>
      <c r="I274" s="2">
        <f t="shared" si="2"/>
      </c>
    </row>
    <row r="275">
      <c r="A275" s="43" t="n">
        <v>272</v>
      </c>
      <c r="B275" s="45" t="n"/>
      <c r="C275" s="44" t="n"/>
      <c r="D275" s="57" t="n"/>
      <c r="E275" s="57" t="n"/>
      <c r="F275" s="50" t="n"/>
      <c r="G275" s="49">
        <f t="shared" si="0"/>
      </c>
      <c r="H275" s="2">
        <f t="shared" si="1"/>
        <v>0</v>
      </c>
      <c r="I275" s="2">
        <f t="shared" si="2"/>
      </c>
    </row>
    <row r="276">
      <c r="A276" s="43" t="n">
        <v>273</v>
      </c>
      <c r="B276" s="45" t="n"/>
      <c r="C276" s="44" t="n"/>
      <c r="D276" s="57" t="n"/>
      <c r="E276" s="57" t="n"/>
      <c r="F276" s="50" t="n"/>
      <c r="G276" s="49">
        <f t="shared" si="0"/>
      </c>
      <c r="H276" s="2">
        <f t="shared" si="1"/>
        <v>0</v>
      </c>
      <c r="I276" s="2">
        <f t="shared" si="2"/>
      </c>
    </row>
    <row r="277">
      <c r="A277" s="43" t="n">
        <v>274</v>
      </c>
      <c r="B277" s="45" t="n"/>
      <c r="C277" s="44" t="n"/>
      <c r="D277" s="57" t="n"/>
      <c r="E277" s="57" t="n"/>
      <c r="F277" s="50" t="n"/>
      <c r="G277" s="49">
        <f t="shared" si="0"/>
      </c>
      <c r="H277" s="2">
        <f t="shared" si="1"/>
        <v>0</v>
      </c>
      <c r="I277" s="2">
        <f t="shared" si="2"/>
      </c>
    </row>
    <row r="278">
      <c r="A278" s="43" t="n">
        <v>275</v>
      </c>
      <c r="B278" s="45" t="n"/>
      <c r="C278" s="44" t="n"/>
      <c r="D278" s="57" t="n"/>
      <c r="E278" s="57" t="n"/>
      <c r="F278" s="50" t="n"/>
      <c r="G278" s="49">
        <f t="shared" si="0"/>
      </c>
      <c r="H278" s="2">
        <f t="shared" si="1"/>
        <v>0</v>
      </c>
      <c r="I278" s="2">
        <f t="shared" si="2"/>
      </c>
    </row>
    <row r="279">
      <c r="A279" s="43" t="n">
        <v>276</v>
      </c>
      <c r="B279" s="45" t="n"/>
      <c r="C279" s="44" t="n"/>
      <c r="D279" s="57" t="n"/>
      <c r="E279" s="57" t="n"/>
      <c r="F279" s="50" t="n"/>
      <c r="G279" s="49">
        <f t="shared" si="0"/>
      </c>
      <c r="H279" s="2">
        <f t="shared" si="1"/>
        <v>0</v>
      </c>
      <c r="I279" s="2">
        <f t="shared" si="2"/>
      </c>
    </row>
    <row r="280">
      <c r="A280" s="43" t="n">
        <v>277</v>
      </c>
      <c r="B280" s="45" t="n"/>
      <c r="C280" s="44" t="n"/>
      <c r="D280" s="57" t="n"/>
      <c r="E280" s="57" t="n"/>
      <c r="F280" s="50" t="n"/>
      <c r="G280" s="49">
        <f t="shared" si="0"/>
      </c>
      <c r="H280" s="2">
        <f t="shared" si="1"/>
        <v>0</v>
      </c>
      <c r="I280" s="2">
        <f t="shared" si="2"/>
      </c>
    </row>
    <row r="281">
      <c r="A281" s="43" t="n">
        <v>278</v>
      </c>
      <c r="B281" s="45" t="n"/>
      <c r="C281" s="44" t="n"/>
      <c r="D281" s="57" t="n"/>
      <c r="E281" s="57" t="n"/>
      <c r="F281" s="50" t="n"/>
      <c r="G281" s="49">
        <f t="shared" si="0"/>
      </c>
      <c r="H281" s="2">
        <f t="shared" si="1"/>
        <v>0</v>
      </c>
      <c r="I281" s="2">
        <f t="shared" si="2"/>
      </c>
    </row>
    <row r="282">
      <c r="A282" s="43" t="n">
        <v>279</v>
      </c>
      <c r="B282" s="45" t="n"/>
      <c r="C282" s="44" t="n"/>
      <c r="D282" s="57" t="n"/>
      <c r="E282" s="57" t="n"/>
      <c r="F282" s="50" t="n"/>
      <c r="G282" s="49">
        <f t="shared" si="0"/>
      </c>
      <c r="H282" s="2">
        <f t="shared" si="1"/>
        <v>0</v>
      </c>
      <c r="I282" s="2">
        <f t="shared" si="2"/>
      </c>
    </row>
    <row r="283">
      <c r="A283" s="43" t="n">
        <v>280</v>
      </c>
      <c r="B283" s="45" t="n"/>
      <c r="C283" s="44" t="n"/>
      <c r="D283" s="57" t="n"/>
      <c r="E283" s="57" t="n"/>
      <c r="F283" s="50" t="n"/>
      <c r="G283" s="49">
        <f t="shared" si="0"/>
      </c>
      <c r="H283" s="2">
        <f t="shared" si="1"/>
        <v>0</v>
      </c>
      <c r="I283" s="2">
        <f t="shared" si="2"/>
      </c>
    </row>
    <row r="284">
      <c r="A284" s="43" t="n">
        <v>281</v>
      </c>
      <c r="B284" s="45" t="n"/>
      <c r="C284" s="44" t="n"/>
      <c r="D284" s="57" t="n"/>
      <c r="E284" s="57" t="n"/>
      <c r="F284" s="50" t="n"/>
      <c r="G284" s="49">
        <f t="shared" si="0"/>
      </c>
      <c r="H284" s="2">
        <f t="shared" si="1"/>
        <v>0</v>
      </c>
      <c r="I284" s="2">
        <f t="shared" si="2"/>
      </c>
    </row>
    <row r="285">
      <c r="A285" s="43" t="n">
        <v>282</v>
      </c>
      <c r="B285" s="45" t="n"/>
      <c r="C285" s="44" t="n"/>
      <c r="D285" s="57" t="n"/>
      <c r="E285" s="57" t="n"/>
      <c r="F285" s="50" t="n"/>
      <c r="G285" s="49">
        <f t="shared" si="0"/>
      </c>
      <c r="H285" s="2">
        <f t="shared" si="1"/>
        <v>0</v>
      </c>
      <c r="I285" s="2">
        <f t="shared" si="2"/>
      </c>
    </row>
    <row r="286">
      <c r="A286" s="43" t="n">
        <v>283</v>
      </c>
      <c r="B286" s="45" t="n"/>
      <c r="C286" s="44" t="n"/>
      <c r="D286" s="57" t="n"/>
      <c r="E286" s="57" t="n"/>
      <c r="F286" s="50" t="n"/>
      <c r="G286" s="49">
        <f t="shared" si="0"/>
      </c>
      <c r="H286" s="2">
        <f t="shared" si="1"/>
        <v>0</v>
      </c>
      <c r="I286" s="2">
        <f t="shared" si="2"/>
      </c>
    </row>
    <row r="287">
      <c r="A287" s="43" t="n">
        <v>284</v>
      </c>
      <c r="B287" s="45" t="n"/>
      <c r="C287" s="44" t="n"/>
      <c r="D287" s="57" t="n"/>
      <c r="E287" s="57" t="n"/>
      <c r="F287" s="50" t="n"/>
      <c r="G287" s="49">
        <f t="shared" si="0"/>
      </c>
      <c r="H287" s="2">
        <f t="shared" si="1"/>
        <v>0</v>
      </c>
      <c r="I287" s="2">
        <f t="shared" si="2"/>
      </c>
    </row>
    <row r="288">
      <c r="A288" s="43" t="n">
        <v>285</v>
      </c>
      <c r="B288" s="45" t="n"/>
      <c r="C288" s="44" t="n"/>
      <c r="D288" s="57" t="n"/>
      <c r="E288" s="57" t="n"/>
      <c r="F288" s="50" t="n"/>
      <c r="G288" s="49">
        <f t="shared" si="0"/>
      </c>
      <c r="H288" s="2">
        <f t="shared" si="1"/>
        <v>0</v>
      </c>
      <c r="I288" s="2">
        <f t="shared" si="2"/>
      </c>
    </row>
    <row r="289">
      <c r="A289" s="43" t="n">
        <v>286</v>
      </c>
      <c r="B289" s="45" t="n"/>
      <c r="C289" s="44" t="n"/>
      <c r="D289" s="57" t="n"/>
      <c r="E289" s="57" t="n"/>
      <c r="F289" s="50" t="n"/>
      <c r="G289" s="49">
        <f t="shared" si="0"/>
      </c>
      <c r="H289" s="2">
        <f t="shared" si="1"/>
        <v>0</v>
      </c>
      <c r="I289" s="2">
        <f t="shared" si="2"/>
      </c>
    </row>
    <row r="290">
      <c r="A290" s="43" t="n">
        <v>287</v>
      </c>
      <c r="B290" s="45" t="n"/>
      <c r="C290" s="44" t="n"/>
      <c r="D290" s="57" t="n"/>
      <c r="E290" s="57" t="n"/>
      <c r="F290" s="50" t="n"/>
      <c r="G290" s="49">
        <f t="shared" si="0"/>
      </c>
      <c r="H290" s="2">
        <f t="shared" si="1"/>
        <v>0</v>
      </c>
      <c r="I290" s="2">
        <f t="shared" si="2"/>
      </c>
    </row>
    <row r="291">
      <c r="A291" s="43" t="n">
        <v>288</v>
      </c>
      <c r="B291" s="45" t="n"/>
      <c r="C291" s="44" t="n"/>
      <c r="D291" s="57" t="n"/>
      <c r="E291" s="57" t="n"/>
      <c r="F291" s="50" t="n"/>
      <c r="G291" s="49">
        <f t="shared" si="0"/>
      </c>
      <c r="H291" s="2">
        <f t="shared" si="1"/>
        <v>0</v>
      </c>
      <c r="I291" s="2">
        <f t="shared" si="2"/>
      </c>
    </row>
    <row r="292">
      <c r="A292" s="43" t="n">
        <v>289</v>
      </c>
      <c r="B292" s="45" t="n"/>
      <c r="C292" s="44" t="n"/>
      <c r="D292" s="57" t="n"/>
      <c r="E292" s="57" t="n"/>
      <c r="F292" s="50" t="n"/>
      <c r="G292" s="49">
        <f t="shared" si="0"/>
      </c>
      <c r="H292" s="2">
        <f t="shared" si="1"/>
        <v>0</v>
      </c>
      <c r="I292" s="2">
        <f t="shared" si="2"/>
      </c>
    </row>
    <row r="293">
      <c r="A293" s="43" t="n">
        <v>290</v>
      </c>
      <c r="B293" s="45" t="n"/>
      <c r="C293" s="44" t="n"/>
      <c r="D293" s="57" t="n"/>
      <c r="E293" s="57" t="n"/>
      <c r="F293" s="50" t="n"/>
      <c r="G293" s="49">
        <f t="shared" si="0"/>
      </c>
      <c r="H293" s="2">
        <f t="shared" si="1"/>
        <v>0</v>
      </c>
      <c r="I293" s="2">
        <f t="shared" si="2"/>
      </c>
    </row>
    <row r="294">
      <c r="A294" s="43" t="n">
        <v>291</v>
      </c>
      <c r="B294" s="45" t="n"/>
      <c r="C294" s="44" t="n"/>
      <c r="D294" s="57" t="n"/>
      <c r="E294" s="57" t="n"/>
      <c r="F294" s="50" t="n"/>
      <c r="G294" s="49">
        <f t="shared" si="0"/>
      </c>
      <c r="H294" s="2">
        <f t="shared" si="1"/>
        <v>0</v>
      </c>
      <c r="I294" s="2">
        <f t="shared" si="2"/>
      </c>
    </row>
    <row r="295">
      <c r="A295" s="43" t="n">
        <v>292</v>
      </c>
      <c r="B295" s="45" t="n"/>
      <c r="C295" s="44" t="n"/>
      <c r="D295" s="57" t="n"/>
      <c r="E295" s="57" t="n"/>
      <c r="F295" s="50" t="n"/>
      <c r="G295" s="49">
        <f t="shared" si="0"/>
      </c>
      <c r="H295" s="2">
        <f t="shared" si="1"/>
        <v>0</v>
      </c>
      <c r="I295" s="2">
        <f t="shared" si="2"/>
      </c>
    </row>
    <row r="296">
      <c r="A296" s="43" t="n">
        <v>293</v>
      </c>
      <c r="B296" s="45" t="n"/>
      <c r="C296" s="44" t="n"/>
      <c r="D296" s="57" t="n"/>
      <c r="E296" s="57" t="n"/>
      <c r="F296" s="50" t="n"/>
      <c r="G296" s="49">
        <f t="shared" si="0"/>
      </c>
      <c r="H296" s="2">
        <f t="shared" si="1"/>
        <v>0</v>
      </c>
      <c r="I296" s="2">
        <f t="shared" si="2"/>
      </c>
    </row>
    <row r="297">
      <c r="A297" s="43" t="n">
        <v>294</v>
      </c>
      <c r="B297" s="45" t="n"/>
      <c r="C297" s="44" t="n"/>
      <c r="D297" s="57" t="n"/>
      <c r="E297" s="57" t="n"/>
      <c r="F297" s="50" t="n"/>
      <c r="G297" s="49">
        <f t="shared" si="0"/>
      </c>
      <c r="H297" s="2">
        <f t="shared" si="1"/>
        <v>0</v>
      </c>
      <c r="I297" s="2">
        <f t="shared" si="2"/>
      </c>
    </row>
    <row r="298">
      <c r="A298" s="43" t="n">
        <v>295</v>
      </c>
      <c r="B298" s="45" t="n"/>
      <c r="C298" s="44" t="n"/>
      <c r="D298" s="57" t="n"/>
      <c r="E298" s="57" t="n"/>
      <c r="F298" s="50" t="n"/>
      <c r="G298" s="49">
        <f t="shared" si="0"/>
      </c>
      <c r="H298" s="2">
        <f t="shared" si="1"/>
        <v>0</v>
      </c>
      <c r="I298" s="2">
        <f t="shared" si="2"/>
      </c>
    </row>
    <row r="299">
      <c r="A299" s="43" t="n">
        <v>296</v>
      </c>
      <c r="B299" s="45" t="n"/>
      <c r="C299" s="44" t="n"/>
      <c r="D299" s="57" t="n"/>
      <c r="E299" s="57" t="n"/>
      <c r="F299" s="50" t="n"/>
      <c r="G299" s="49">
        <f t="shared" si="0"/>
      </c>
      <c r="H299" s="2">
        <f t="shared" si="1"/>
        <v>0</v>
      </c>
      <c r="I299" s="2">
        <f t="shared" si="2"/>
      </c>
    </row>
    <row r="300">
      <c r="A300" s="43" t="n">
        <v>297</v>
      </c>
      <c r="B300" s="45" t="n"/>
      <c r="C300" s="44" t="n"/>
      <c r="D300" s="57" t="n"/>
      <c r="E300" s="57" t="n"/>
      <c r="F300" s="50" t="n"/>
      <c r="G300" s="49">
        <f t="shared" si="0"/>
      </c>
      <c r="H300" s="2">
        <f t="shared" si="1"/>
        <v>0</v>
      </c>
      <c r="I300" s="2">
        <f t="shared" si="2"/>
      </c>
    </row>
    <row r="301">
      <c r="A301" s="43" t="n">
        <v>298</v>
      </c>
      <c r="B301" s="45" t="n"/>
      <c r="C301" s="44" t="n"/>
      <c r="D301" s="57" t="n"/>
      <c r="E301" s="57" t="n"/>
      <c r="F301" s="50" t="n"/>
      <c r="G301" s="49">
        <f t="shared" si="0"/>
      </c>
      <c r="H301" s="2">
        <f t="shared" si="1"/>
        <v>0</v>
      </c>
      <c r="I301" s="2">
        <f t="shared" si="2"/>
      </c>
    </row>
    <row r="302">
      <c r="A302" s="43" t="n">
        <v>299</v>
      </c>
      <c r="B302" s="45" t="n"/>
      <c r="C302" s="44" t="n"/>
      <c r="D302" s="57" t="n"/>
      <c r="E302" s="57" t="n"/>
      <c r="F302" s="50" t="n"/>
      <c r="G302" s="49">
        <f t="shared" si="0"/>
      </c>
      <c r="H302" s="2">
        <f t="shared" si="1"/>
        <v>0</v>
      </c>
      <c r="I302" s="2">
        <f t="shared" si="2"/>
      </c>
    </row>
    <row r="303">
      <c r="A303" s="43" t="n">
        <v>300</v>
      </c>
      <c r="B303" s="45" t="n"/>
      <c r="C303" s="44" t="n"/>
      <c r="D303" s="57" t="n"/>
      <c r="E303" s="57" t="n"/>
      <c r="F303" s="50" t="n"/>
      <c r="G303" s="49">
        <f t="shared" si="0"/>
      </c>
      <c r="H303" s="2">
        <f t="shared" si="1"/>
        <v>0</v>
      </c>
      <c r="I303" s="2">
        <f t="shared" si="2"/>
      </c>
    </row>
  </sheetData>
  <autoFilter ref="A3:G303"/>
  <mergeCells count="2">
    <mergeCell ref="A2:G2"/>
    <mergeCell ref="A1:G1"/>
  </mergeCells>
  <dataValidations count="2">
    <dataValidation sqref="B4:B303" showDropDown="0" showInputMessage="1" showErrorMessage="0" allowBlank="1" errorTitle="不在清单里" error="请从下拉里选；清单里没有的，先到【基础资料】/【往来单位】里登记" promptTitle="提示" prompt="【往来单位】登记过的人" type="list" errorStyle="warning">
      <formula1>=往来单位!$B$4:$B$303</formula1>
    </dataValidation>
    <dataValidation sqref="C4:C303" showDropDown="0" showInputMessage="0" showErrorMessage="1" allowBlank="1" errorTitle="日期" error="要像 2026/9/1 这样填日期" type="date" errorStyle="warning" operator="between">
      <formula1>36526</formula1>
      <formula2>73050</formula2>
    </dataValidation>
  </dataValidations>
  <hyperlinks>
    <hyperlink ref="H1" location="'首页'!A1" display="← 回首页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F7F7F"/>
    <outlinePr summaryBelow="1" summaryRight="1"/>
    <pageSetUpPr/>
  </sheetPr>
  <dimension ref="A1:W204"/>
  <sheetViews>
    <sheetView showGridLines="0"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4" customWidth="1" min="13" max="13"/>
    <col width="2" customWidth="1" min="14" max="14"/>
    <col width="5" customWidth="1" min="15" max="15"/>
    <col width="16" customWidth="1" min="16" max="16"/>
    <col width="14" customWidth="1" min="17" max="17"/>
    <col width="13.5" customWidth="1" min="18" max="18"/>
    <col width="13.5" customWidth="1" min="19" max="19"/>
    <col width="13.5" customWidth="1" min="20" max="20"/>
    <col width="24" customWidth="1" min="21" max="21"/>
    <col width="10" customWidth="1" min="22" max="22"/>
    <col width="13" customWidth="1" min="23" max="23"/>
  </cols>
  <sheetData>
    <row r="1" ht="33" customHeight="1">
      <c r="A1" s="71" t="inlineStr">
        <is>
          <t>期 初 余 额（建账日那天，以前的账一次性录进来）</t>
        </is>
      </c>
      <c r="W1" s="33" t="inlineStr">
        <is>
          <t>← 回首页</t>
        </is>
      </c>
    </row>
    <row r="2" ht="38" customHeight="1">
      <c r="A2" s="3" t="inlineStr">
        <is>
          <t>💡 建账日期在【基础资料】① 里（现在是 2026-03-01）。以后的收付款、应付、产值确认都按实际日期在各表录，建账日之前的只在这里填累计数。左边「项目期初」：每个老项目一行，建账前累计确认的产值、累计收到的工程款、累计开的票、人工、其他直接费、税金（实交或估算）、已摊管理费（材料、分包、机械从右边自动汇总）。右边「应付期初」：每家材料商、分包、机械，每个项目一行：累计应付、累计已付、累计收到的票（跟你原来的应付总表一样）。下面「其他期初」：贷款、保证金、欠的税、实收资本等。填完看【资产负债表】的年初数平不平。</t>
        </is>
      </c>
    </row>
    <row r="3">
      <c r="A3" s="75" t="inlineStr">
        <is>
          <t>① 项目期初（建账前累计）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O3" s="39" t="inlineStr">
        <is>
          <t>② 应付期初（单位 × 项目，建账前累计）</t>
        </is>
      </c>
      <c r="P3" s="12" t="n"/>
      <c r="Q3" s="12" t="n"/>
      <c r="R3" s="12" t="n"/>
      <c r="S3" s="12" t="n"/>
      <c r="T3" s="12" t="n"/>
      <c r="U3" s="12" t="n"/>
      <c r="V3" s="12" t="n"/>
    </row>
    <row r="4" ht="34" customHeight="1">
      <c r="A4" s="70" t="inlineStr">
        <is>
          <t>序号</t>
        </is>
      </c>
      <c r="B4" s="70" t="inlineStr">
        <is>
          <t>项目</t>
        </is>
      </c>
      <c r="C4" s="70" t="inlineStr">
        <is>
          <t>累计确认产值
（含税）</t>
        </is>
      </c>
      <c r="D4" s="70" t="inlineStr">
        <is>
          <t>累计收到
工程款</t>
        </is>
      </c>
      <c r="E4" s="70" t="inlineStr">
        <is>
          <t>累计开票</t>
        </is>
      </c>
      <c r="F4" s="70" t="inlineStr">
        <is>
          <t>人工费</t>
        </is>
      </c>
      <c r="G4" s="70" t="inlineStr">
        <is>
          <t>其他直接费</t>
        </is>
      </c>
      <c r="H4" s="70" t="inlineStr">
        <is>
          <t>税金
（估算）</t>
        </is>
      </c>
      <c r="I4" s="70" t="inlineStr">
        <is>
          <t>已摊管理费</t>
        </is>
      </c>
      <c r="J4" s="70" t="inlineStr">
        <is>
          <t>材料
（自动）</t>
        </is>
      </c>
      <c r="K4" s="70" t="inlineStr">
        <is>
          <t>分包
（自动）</t>
        </is>
      </c>
      <c r="L4" s="70" t="inlineStr">
        <is>
          <t>机械
（自动）</t>
        </is>
      </c>
      <c r="M4" s="70" t="inlineStr">
        <is>
          <t>备注</t>
        </is>
      </c>
      <c r="O4" s="42" t="inlineStr">
        <is>
          <t>序号</t>
        </is>
      </c>
      <c r="P4" s="42" t="inlineStr">
        <is>
          <t>单位</t>
        </is>
      </c>
      <c r="Q4" s="42" t="inlineStr">
        <is>
          <t>项目</t>
        </is>
      </c>
      <c r="R4" s="42" t="inlineStr">
        <is>
          <t>累计应付</t>
        </is>
      </c>
      <c r="S4" s="42" t="inlineStr">
        <is>
          <t>累计已付</t>
        </is>
      </c>
      <c r="T4" s="42" t="inlineStr">
        <is>
          <t>累计收票</t>
        </is>
      </c>
      <c r="U4" s="42" t="inlineStr">
        <is>
          <t>备注</t>
        </is>
      </c>
      <c r="V4" s="42" t="inlineStr">
        <is>
          <t>类型
（自动）</t>
        </is>
      </c>
    </row>
    <row r="5">
      <c r="A5" s="43" t="n">
        <v>1</v>
      </c>
      <c r="B5" s="50" t="inlineStr">
        <is>
          <t>德安养老中心</t>
        </is>
      </c>
      <c r="C5" s="47" t="n">
        <v>4362576.49</v>
      </c>
      <c r="D5" s="47" t="n">
        <v>2377633.57</v>
      </c>
      <c r="E5" s="47" t="n">
        <v>2658453.36</v>
      </c>
      <c r="F5" s="47" t="n">
        <v>1073656.4</v>
      </c>
      <c r="G5" s="47" t="n"/>
      <c r="H5" s="47" t="n"/>
      <c r="I5" s="47" t="n">
        <v>124396.07</v>
      </c>
      <c r="J5" s="48">
        <f t="shared" ref="J5:J64" si="0">IF(B5="","",SUMIFS(期初余额!$R$5:$R$204,期初余额!$Q$5:$Q$204,B5,期初余额!$V$5:$V$204,"材料供应商"))</f>
        <v>1488103.29</v>
      </c>
      <c r="K5" s="48">
        <f t="shared" ref="K5:K64" si="1">IF(B5="","",SUMIFS(期初余额!$R$5:$R$204,期初余额!$Q$5:$Q$204,B5,期初余额!$V$5:$V$204,"分包"))</f>
        <v>903907.03</v>
      </c>
      <c r="L5" s="48">
        <f t="shared" ref="L5:L64" si="2">IF(B5="","",SUMIFS(期初余额!$R$5:$R$204,期初余额!$Q$5:$Q$204,B5,期初余额!$V$5:$V$204,"机械运输"))</f>
        <v>0</v>
      </c>
      <c r="M5" s="50" t="inlineStr">
        <is>
          <t>按应收账款总表；累计收到＝已收 − 2026 年流水里收的（280,819.79）；人工＝用工成本表 25年~26年2月合计；已摊＝你原来待摊费用表 2025 年那部分按工程款比例</t>
        </is>
      </c>
      <c r="O5" s="43" t="n">
        <v>1</v>
      </c>
      <c r="P5" s="50" t="inlineStr">
        <is>
          <t>筑强</t>
        </is>
      </c>
      <c r="Q5" s="50" t="inlineStr">
        <is>
          <t>德安养老中心</t>
        </is>
      </c>
      <c r="R5" s="47" t="n">
        <v>604482.11</v>
      </c>
      <c r="S5" s="47" t="n">
        <v>496418.9</v>
      </c>
      <c r="T5" s="47" t="n"/>
      <c r="U5" s="50" t="inlineStr">
        <is>
          <t>累计已付（按各项目应付比例分）− 2026 年 3 月起流水付的（50,000.00）</t>
        </is>
      </c>
      <c r="V5" s="43" t="str">
        <f t="shared" ref="V5:V204" si="3">IF(P5="","",IFERROR(INDEX(往来单位!$C$4:$C$303,MATCH(P5,往来单位!$B$4:$B$303,0))&amp;"","？"))</f>
        <v>材料供应商</v>
      </c>
    </row>
    <row r="6">
      <c r="A6" s="43" t="n">
        <v>2</v>
      </c>
      <c r="B6" s="50" t="inlineStr">
        <is>
          <t>科创中心</t>
        </is>
      </c>
      <c r="C6" s="47" t="n">
        <v>1641809</v>
      </c>
      <c r="D6" s="47" t="n">
        <v>1148361.8</v>
      </c>
      <c r="E6" s="47" t="n">
        <v>1148361.8</v>
      </c>
      <c r="F6" s="47" t="n">
        <v>402775</v>
      </c>
      <c r="G6" s="47" t="n"/>
      <c r="H6" s="47" t="n"/>
      <c r="I6" s="47" t="n">
        <v>46815.13</v>
      </c>
      <c r="J6" s="48">
        <f t="shared" si="0"/>
        <v>523267.88</v>
      </c>
      <c r="K6" s="48">
        <f t="shared" si="1"/>
        <v>0</v>
      </c>
      <c r="L6" s="48">
        <f t="shared" si="2"/>
        <v>105775</v>
      </c>
      <c r="M6" s="50" t="inlineStr">
        <is>
          <t>按应收账款总表；累计收到＝已收 − 2026 年流水里收的；人工＝用工成本表 25年~26年2月合计；已摊＝你原来待摊费用表 2025 年那部分按工程款比例</t>
        </is>
      </c>
      <c r="O6" s="43" t="n">
        <v>2</v>
      </c>
      <c r="P6" s="50" t="inlineStr">
        <is>
          <t>筑强</t>
        </is>
      </c>
      <c r="Q6" s="50" t="inlineStr">
        <is>
          <t>科创中心</t>
        </is>
      </c>
      <c r="R6" s="47" t="n">
        <v>446419.88</v>
      </c>
      <c r="S6" s="47" t="n">
        <v>366613.44</v>
      </c>
      <c r="T6" s="47" t="n"/>
      <c r="U6" s="50" t="n"/>
      <c r="V6" s="43" t="str">
        <f t="shared" si="3"/>
        <v>材料供应商</v>
      </c>
    </row>
    <row r="7">
      <c r="A7" s="43" t="n">
        <v>3</v>
      </c>
      <c r="B7" s="50" t="inlineStr">
        <is>
          <t>九安架空层</t>
        </is>
      </c>
      <c r="C7" s="47" t="n">
        <v>1500000</v>
      </c>
      <c r="D7" s="47" t="n">
        <v>670000</v>
      </c>
      <c r="E7" s="47" t="n"/>
      <c r="F7" s="47" t="n">
        <v>96985</v>
      </c>
      <c r="G7" s="47" t="n"/>
      <c r="H7" s="47" t="n"/>
      <c r="I7" s="47" t="n">
        <v>42771.54</v>
      </c>
      <c r="J7" s="48">
        <f t="shared" si="0"/>
        <v>216998.97</v>
      </c>
      <c r="K7" s="48">
        <f t="shared" si="1"/>
        <v>35960</v>
      </c>
      <c r="L7" s="48">
        <f t="shared" si="2"/>
        <v>0</v>
      </c>
      <c r="M7" s="50" t="inlineStr">
        <is>
          <t>按应收账款总表；累计收到＝已收 − 2026 年流水里收的；人工＝用工成本表 25年~26年2月合计；已摊＝你原来待摊费用表 2025 年那部分按工程款比例</t>
        </is>
      </c>
      <c r="O7" s="43" t="n">
        <v>3</v>
      </c>
      <c r="P7" s="50" t="inlineStr">
        <is>
          <t>筑强</t>
        </is>
      </c>
      <c r="Q7" s="50" t="inlineStr">
        <is>
          <t>九安架空层</t>
        </is>
      </c>
      <c r="R7" s="47" t="n">
        <v>44610.37</v>
      </c>
      <c r="S7" s="47" t="n">
        <v>36635.38</v>
      </c>
      <c r="T7" s="47" t="n"/>
      <c r="U7" s="50" t="n"/>
      <c r="V7" s="43" t="str">
        <f t="shared" si="3"/>
        <v>材料供应商</v>
      </c>
    </row>
    <row r="8">
      <c r="A8" s="43" t="n">
        <v>4</v>
      </c>
      <c r="B8" s="50" t="inlineStr">
        <is>
          <t>数字产业园</t>
        </is>
      </c>
      <c r="C8" s="47" t="n">
        <v>325612.18</v>
      </c>
      <c r="D8" s="47" t="n">
        <v>227000</v>
      </c>
      <c r="E8" s="47" t="n"/>
      <c r="F8" s="47" t="n"/>
      <c r="G8" s="47" t="n"/>
      <c r="H8" s="47" t="n"/>
      <c r="I8" s="47" t="n">
        <v>9284.620000000001</v>
      </c>
      <c r="J8" s="48">
        <f t="shared" si="0"/>
        <v>34875.01</v>
      </c>
      <c r="K8" s="48">
        <f t="shared" si="1"/>
        <v>70410</v>
      </c>
      <c r="L8" s="48">
        <f t="shared" si="2"/>
        <v>0</v>
      </c>
      <c r="M8" s="50" t="inlineStr">
        <is>
          <t>按应收账款总表；累计收到＝已收 − 2026 年流水里收的；已摊＝你原来待摊费用表 2025 年那部分按工程款比例</t>
        </is>
      </c>
      <c r="O8" s="43" t="n">
        <v>4</v>
      </c>
      <c r="P8" s="50" t="inlineStr">
        <is>
          <t>筑强</t>
        </is>
      </c>
      <c r="Q8" s="50" t="inlineStr">
        <is>
          <t>数字产业园</t>
        </is>
      </c>
      <c r="R8" s="47" t="n">
        <v>33897.01</v>
      </c>
      <c r="S8" s="47" t="n">
        <v>27837.24</v>
      </c>
      <c r="T8" s="47" t="n"/>
      <c r="U8" s="50" t="n"/>
      <c r="V8" s="43" t="str">
        <f t="shared" si="3"/>
        <v>材料供应商</v>
      </c>
    </row>
    <row r="9">
      <c r="A9" s="43" t="n">
        <v>5</v>
      </c>
      <c r="B9" s="50" t="inlineStr">
        <is>
          <t>邹桥派出所</t>
        </is>
      </c>
      <c r="C9" s="47" t="n">
        <v>95560.56</v>
      </c>
      <c r="D9" s="47" t="n">
        <v>12750</v>
      </c>
      <c r="E9" s="47" t="n">
        <v>88334.56</v>
      </c>
      <c r="F9" s="47" t="n"/>
      <c r="G9" s="47" t="n"/>
      <c r="H9" s="47" t="n"/>
      <c r="I9" s="47" t="n">
        <v>2594.99</v>
      </c>
      <c r="J9" s="48">
        <f t="shared" si="0"/>
        <v>35300</v>
      </c>
      <c r="K9" s="48">
        <f t="shared" si="1"/>
        <v>0</v>
      </c>
      <c r="L9" s="48">
        <f t="shared" si="2"/>
        <v>0</v>
      </c>
      <c r="M9" s="50" t="inlineStr">
        <is>
          <t>按应收账款总表；累计收到＝已收 − 2026 年流水里收的（50,996.59）；已摊＝你原来待摊费用表 2025 年那部分按工程款比例</t>
        </is>
      </c>
      <c r="O9" s="43" t="n">
        <v>5</v>
      </c>
      <c r="P9" s="50" t="inlineStr">
        <is>
          <t>筑强</t>
        </is>
      </c>
      <c r="Q9" s="50" t="inlineStr">
        <is>
          <t>德安农商行总部</t>
        </is>
      </c>
      <c r="R9" s="47" t="n">
        <v>546.9400000000001</v>
      </c>
      <c r="S9" s="47" t="n">
        <v>449.16</v>
      </c>
      <c r="T9" s="47" t="n"/>
      <c r="U9" s="50" t="n"/>
      <c r="V9" s="43" t="str">
        <f t="shared" si="3"/>
        <v>材料供应商</v>
      </c>
    </row>
    <row r="10">
      <c r="A10" s="43" t="n">
        <v>6</v>
      </c>
      <c r="B10" s="50" t="inlineStr">
        <is>
          <t>抚州1号楼</t>
        </is>
      </c>
      <c r="C10" s="47" t="n">
        <v>695372.72</v>
      </c>
      <c r="D10" s="47" t="n">
        <v>562296</v>
      </c>
      <c r="E10" s="47" t="n">
        <v>562296</v>
      </c>
      <c r="F10" s="47" t="n"/>
      <c r="G10" s="47" t="n"/>
      <c r="H10" s="47" t="n"/>
      <c r="I10" s="47" t="n">
        <v>19828.11</v>
      </c>
      <c r="J10" s="48">
        <f t="shared" si="0"/>
        <v>259035.17</v>
      </c>
      <c r="K10" s="48">
        <f t="shared" si="1"/>
        <v>304727</v>
      </c>
      <c r="L10" s="48">
        <f t="shared" si="2"/>
        <v>0</v>
      </c>
      <c r="M10" s="50" t="inlineStr">
        <is>
          <t>按应收账款总表；累计收到＝已收 − 2026 年流水里收的；已摊＝你原来待摊费用表 2025 年那部分按工程款比例</t>
        </is>
      </c>
      <c r="O10" s="43" t="n">
        <v>6</v>
      </c>
      <c r="P10" s="50" t="inlineStr">
        <is>
          <t>筑强</t>
        </is>
      </c>
      <c r="Q10" s="50" t="inlineStr">
        <is>
          <t>抚州1号楼</t>
        </is>
      </c>
      <c r="R10" s="47" t="n">
        <v>196807.17</v>
      </c>
      <c r="S10" s="47" t="n">
        <v>161623.97</v>
      </c>
      <c r="T10" s="47" t="n"/>
      <c r="U10" s="50" t="n"/>
      <c r="V10" s="43" t="str">
        <f t="shared" si="3"/>
        <v>材料供应商</v>
      </c>
    </row>
    <row r="11">
      <c r="A11" s="43" t="n">
        <v>7</v>
      </c>
      <c r="B11" s="50" t="inlineStr">
        <is>
          <t>抚州8号楼</t>
        </is>
      </c>
      <c r="C11" s="47" t="n">
        <v>960000</v>
      </c>
      <c r="D11" s="47" t="n">
        <v>616077.6</v>
      </c>
      <c r="E11" s="47" t="n">
        <v>670593.83</v>
      </c>
      <c r="F11" s="47" t="n"/>
      <c r="G11" s="47" t="n"/>
      <c r="H11" s="47" t="n"/>
      <c r="I11" s="47" t="n">
        <v>27373.78</v>
      </c>
      <c r="J11" s="48">
        <f t="shared" si="0"/>
        <v>231643.94</v>
      </c>
      <c r="K11" s="48">
        <f t="shared" si="1"/>
        <v>458180</v>
      </c>
      <c r="L11" s="48">
        <f t="shared" si="2"/>
        <v>0</v>
      </c>
      <c r="M11" s="50" t="inlineStr">
        <is>
          <t>按应收账款总表；累计收到＝已收 − 2026 年流水里收的（54,516.23）；已摊＝你原来待摊费用表 2025 年那部分按工程款比例</t>
        </is>
      </c>
      <c r="O11" s="43" t="n">
        <v>7</v>
      </c>
      <c r="P11" s="50" t="inlineStr">
        <is>
          <t>筑强</t>
        </is>
      </c>
      <c r="Q11" s="50" t="inlineStr">
        <is>
          <t>抚州8号楼</t>
        </is>
      </c>
      <c r="R11" s="47" t="n">
        <v>165801.94</v>
      </c>
      <c r="S11" s="47" t="n">
        <v>136161.54</v>
      </c>
      <c r="T11" s="47" t="n"/>
      <c r="U11" s="50" t="n"/>
      <c r="V11" s="43" t="str">
        <f t="shared" si="3"/>
        <v>材料供应商</v>
      </c>
    </row>
    <row r="12">
      <c r="A12" s="43" t="n">
        <v>8</v>
      </c>
      <c r="B12" s="50" t="inlineStr">
        <is>
          <t>抚州2号楼</t>
        </is>
      </c>
      <c r="C12" s="47" t="n">
        <v>64000</v>
      </c>
      <c r="D12" s="47" t="n">
        <v>0</v>
      </c>
      <c r="E12" s="47" t="n">
        <v>51200</v>
      </c>
      <c r="F12" s="47" t="n"/>
      <c r="G12" s="47" t="n"/>
      <c r="H12" s="47" t="n"/>
      <c r="I12" s="47" t="n">
        <v>1824.92</v>
      </c>
      <c r="J12" s="48">
        <f t="shared" si="0"/>
        <v>0</v>
      </c>
      <c r="K12" s="48">
        <f t="shared" si="1"/>
        <v>0</v>
      </c>
      <c r="L12" s="48">
        <f t="shared" si="2"/>
        <v>0</v>
      </c>
      <c r="M12" s="50" t="inlineStr">
        <is>
          <t>按应收账款总表；累计收到＝已收 − 2026 年流水里收的（51,200.00）；已摊＝你原来待摊费用表 2025 年那部分按工程款比例</t>
        </is>
      </c>
      <c r="O12" s="43" t="n">
        <v>8</v>
      </c>
      <c r="P12" s="50" t="inlineStr">
        <is>
          <t>筑强</t>
        </is>
      </c>
      <c r="Q12" s="50" t="n"/>
      <c r="R12" s="47" t="n">
        <v>40426.61</v>
      </c>
      <c r="S12" s="47" t="n">
        <v>33199.55</v>
      </c>
      <c r="T12" s="47" t="n"/>
      <c r="U12" s="50" t="inlineStr">
        <is>
          <t>应付总表里各项目栏合计比应付总额少的部分，项目请补</t>
        </is>
      </c>
      <c r="V12" s="43" t="str">
        <f t="shared" si="3"/>
        <v>材料供应商</v>
      </c>
    </row>
    <row r="13">
      <c r="A13" s="43" t="n">
        <v>9</v>
      </c>
      <c r="B13" s="50" t="inlineStr">
        <is>
          <t>博河科创中心</t>
        </is>
      </c>
      <c r="C13" s="47" t="n">
        <v>510758.96</v>
      </c>
      <c r="D13" s="47" t="n">
        <v>0</v>
      </c>
      <c r="E13" s="47" t="n">
        <v>102151.79</v>
      </c>
      <c r="F13" s="47" t="n"/>
      <c r="G13" s="47" t="n"/>
      <c r="H13" s="47" t="n"/>
      <c r="I13" s="47" t="n"/>
      <c r="J13" s="48">
        <f t="shared" si="0"/>
        <v>0</v>
      </c>
      <c r="K13" s="48">
        <f t="shared" si="1"/>
        <v>0</v>
      </c>
      <c r="L13" s="48">
        <f t="shared" si="2"/>
        <v>0</v>
      </c>
      <c r="M13" s="50" t="inlineStr">
        <is>
          <t>按应收账款总表；累计收到＝已收 − 2026 年流水里收的</t>
        </is>
      </c>
      <c r="O13" s="43" t="n">
        <v>9</v>
      </c>
      <c r="P13" s="50" t="inlineStr">
        <is>
          <t>九江安洋钢材熊总</t>
        </is>
      </c>
      <c r="Q13" s="50" t="inlineStr">
        <is>
          <t>德安养老中心</t>
        </is>
      </c>
      <c r="R13" s="47" t="n">
        <v>331446.38</v>
      </c>
      <c r="S13" s="47" t="n">
        <v>331446.38</v>
      </c>
      <c r="T13" s="47" t="n"/>
      <c r="U13" s="50" t="inlineStr">
        <is>
          <t>累计已付（按各项目应付比例分）− 2026 年 3 月起流水付的</t>
        </is>
      </c>
      <c r="V13" s="43" t="str">
        <f t="shared" si="3"/>
        <v>材料供应商</v>
      </c>
    </row>
    <row r="14">
      <c r="A14" s="43" t="n">
        <v>10</v>
      </c>
      <c r="B14" s="50" t="n"/>
      <c r="C14" s="47" t="n"/>
      <c r="D14" s="47" t="n"/>
      <c r="E14" s="47" t="n"/>
      <c r="F14" s="47" t="n"/>
      <c r="G14" s="47" t="n"/>
      <c r="H14" s="47" t="n"/>
      <c r="I14" s="47" t="n"/>
      <c r="J14" s="48">
        <f t="shared" si="0"/>
      </c>
      <c r="K14" s="48">
        <f t="shared" si="1"/>
      </c>
      <c r="L14" s="48">
        <f t="shared" si="2"/>
      </c>
      <c r="M14" s="50" t="n"/>
      <c r="O14" s="43" t="n">
        <v>10</v>
      </c>
      <c r="P14" s="50" t="inlineStr">
        <is>
          <t>鑫城五金庄总</t>
        </is>
      </c>
      <c r="Q14" s="50" t="inlineStr">
        <is>
          <t>德安养老中心</t>
        </is>
      </c>
      <c r="R14" s="47" t="n">
        <v>64938.4</v>
      </c>
      <c r="S14" s="47" t="n">
        <v>64938.4</v>
      </c>
      <c r="T14" s="47" t="n"/>
      <c r="U14" s="50" t="inlineStr">
        <is>
          <t>累计已付（按各项目应付比例分）− 2026 年 3 月起流水付的</t>
        </is>
      </c>
      <c r="V14" s="43" t="str">
        <f t="shared" si="3"/>
        <v>材料供应商</v>
      </c>
    </row>
    <row r="15">
      <c r="A15" s="43" t="n">
        <v>11</v>
      </c>
      <c r="B15" s="50" t="n"/>
      <c r="C15" s="47" t="n"/>
      <c r="D15" s="47" t="n"/>
      <c r="E15" s="47" t="n"/>
      <c r="F15" s="47" t="n"/>
      <c r="G15" s="47" t="n"/>
      <c r="H15" s="47" t="n"/>
      <c r="I15" s="47" t="n"/>
      <c r="J15" s="48">
        <f t="shared" si="0"/>
      </c>
      <c r="K15" s="48">
        <f t="shared" si="1"/>
      </c>
      <c r="L15" s="48">
        <f t="shared" si="2"/>
      </c>
      <c r="M15" s="50" t="n"/>
      <c r="O15" s="43" t="n">
        <v>11</v>
      </c>
      <c r="P15" s="50" t="inlineStr">
        <is>
          <t>鑫城五金庄总</t>
        </is>
      </c>
      <c r="Q15" s="50" t="inlineStr">
        <is>
          <t>九安架空层</t>
        </is>
      </c>
      <c r="R15" s="47" t="n">
        <v>172061.6</v>
      </c>
      <c r="S15" s="47" t="n">
        <v>172061.6</v>
      </c>
      <c r="T15" s="47" t="n"/>
      <c r="U15" s="50" t="n"/>
      <c r="V15" s="43" t="str">
        <f t="shared" si="3"/>
        <v>材料供应商</v>
      </c>
    </row>
    <row r="16">
      <c r="A16" s="43" t="n">
        <v>12</v>
      </c>
      <c r="B16" s="50" t="n"/>
      <c r="C16" s="47" t="n"/>
      <c r="D16" s="47" t="n"/>
      <c r="E16" s="47" t="n"/>
      <c r="F16" s="47" t="n"/>
      <c r="G16" s="47" t="n"/>
      <c r="H16" s="47" t="n"/>
      <c r="I16" s="47" t="n"/>
      <c r="J16" s="48">
        <f t="shared" si="0"/>
      </c>
      <c r="K16" s="48">
        <f t="shared" si="1"/>
      </c>
      <c r="L16" s="48">
        <f t="shared" si="2"/>
      </c>
      <c r="M16" s="50" t="n"/>
      <c r="O16" s="43" t="n">
        <v>12</v>
      </c>
      <c r="P16" s="50" t="inlineStr">
        <is>
          <t>鑫城五金庄总</t>
        </is>
      </c>
      <c r="Q16" s="50" t="n"/>
      <c r="R16" s="47" t="n">
        <v>19240</v>
      </c>
      <c r="S16" s="47" t="n">
        <v>19240</v>
      </c>
      <c r="T16" s="47" t="n"/>
      <c r="U16" s="50" t="inlineStr">
        <is>
          <t>应付总表里各项目栏合计比应付总额少的部分，项目请补</t>
        </is>
      </c>
      <c r="V16" s="43" t="str">
        <f t="shared" si="3"/>
        <v>材料供应商</v>
      </c>
    </row>
    <row r="17">
      <c r="A17" s="43" t="n">
        <v>13</v>
      </c>
      <c r="B17" s="50" t="n"/>
      <c r="C17" s="47" t="n"/>
      <c r="D17" s="47" t="n"/>
      <c r="E17" s="47" t="n"/>
      <c r="F17" s="47" t="n"/>
      <c r="G17" s="47" t="n"/>
      <c r="H17" s="47" t="n"/>
      <c r="I17" s="47" t="n"/>
      <c r="J17" s="48">
        <f t="shared" si="0"/>
      </c>
      <c r="K17" s="48">
        <f t="shared" si="1"/>
      </c>
      <c r="L17" s="48">
        <f t="shared" si="2"/>
      </c>
      <c r="M17" s="50" t="n"/>
      <c r="O17" s="43" t="n">
        <v>13</v>
      </c>
      <c r="P17" s="50" t="inlineStr">
        <is>
          <t>浔阳楼电缆</t>
        </is>
      </c>
      <c r="Q17" s="50" t="inlineStr">
        <is>
          <t>德安养老中心</t>
        </is>
      </c>
      <c r="R17" s="47" t="n">
        <v>128958</v>
      </c>
      <c r="S17" s="47" t="n">
        <v>83619.07000000001</v>
      </c>
      <c r="T17" s="47" t="n"/>
      <c r="U17" s="50" t="inlineStr">
        <is>
          <t>累计已付（按各项目应付比例分）− 2026 年 3 月起流水付的（43,516.00）</t>
        </is>
      </c>
      <c r="V17" s="43" t="str">
        <f t="shared" si="3"/>
        <v>材料供应商</v>
      </c>
    </row>
    <row r="18">
      <c r="A18" s="43" t="n">
        <v>14</v>
      </c>
      <c r="B18" s="50" t="n"/>
      <c r="C18" s="47" t="n"/>
      <c r="D18" s="47" t="n"/>
      <c r="E18" s="47" t="n"/>
      <c r="F18" s="47" t="n"/>
      <c r="G18" s="47" t="n"/>
      <c r="H18" s="47" t="n"/>
      <c r="I18" s="47" t="n"/>
      <c r="J18" s="48">
        <f t="shared" si="0"/>
      </c>
      <c r="K18" s="48">
        <f t="shared" si="1"/>
      </c>
      <c r="L18" s="48">
        <f t="shared" si="2"/>
      </c>
      <c r="M18" s="50" t="n"/>
      <c r="O18" s="43" t="n">
        <v>14</v>
      </c>
      <c r="P18" s="50" t="inlineStr">
        <is>
          <t>浔阳楼电缆</t>
        </is>
      </c>
      <c r="Q18" s="50" t="inlineStr">
        <is>
          <t>科创中心</t>
        </is>
      </c>
      <c r="R18" s="47" t="n">
        <v>11971</v>
      </c>
      <c r="S18" s="47" t="n">
        <v>7762.25</v>
      </c>
      <c r="T18" s="47" t="n"/>
      <c r="U18" s="50" t="n"/>
      <c r="V18" s="43" t="str">
        <f t="shared" si="3"/>
        <v>材料供应商</v>
      </c>
    </row>
    <row r="19">
      <c r="A19" s="43" t="n">
        <v>15</v>
      </c>
      <c r="B19" s="50" t="n"/>
      <c r="C19" s="47" t="n"/>
      <c r="D19" s="47" t="n"/>
      <c r="E19" s="47" t="n"/>
      <c r="F19" s="47" t="n"/>
      <c r="G19" s="47" t="n"/>
      <c r="H19" s="47" t="n"/>
      <c r="I19" s="47" t="n"/>
      <c r="J19" s="48">
        <f t="shared" si="0"/>
      </c>
      <c r="K19" s="48">
        <f t="shared" si="1"/>
      </c>
      <c r="L19" s="48">
        <f t="shared" si="2"/>
      </c>
      <c r="M19" s="50" t="n"/>
      <c r="O19" s="43" t="n">
        <v>15</v>
      </c>
      <c r="P19" s="50" t="inlineStr">
        <is>
          <t>浔阳楼电缆</t>
        </is>
      </c>
      <c r="Q19" s="50" t="inlineStr">
        <is>
          <t>抚州1号楼</t>
        </is>
      </c>
      <c r="R19" s="47" t="n">
        <v>5808</v>
      </c>
      <c r="S19" s="47" t="n">
        <v>3766.03</v>
      </c>
      <c r="T19" s="47" t="n"/>
      <c r="U19" s="50" t="n"/>
      <c r="V19" s="43" t="str">
        <f t="shared" si="3"/>
        <v>材料供应商</v>
      </c>
    </row>
    <row r="20">
      <c r="A20" s="43" t="n">
        <v>16</v>
      </c>
      <c r="B20" s="50" t="n"/>
      <c r="C20" s="47" t="n"/>
      <c r="D20" s="47" t="n"/>
      <c r="E20" s="47" t="n"/>
      <c r="F20" s="47" t="n"/>
      <c r="G20" s="47" t="n"/>
      <c r="H20" s="47" t="n"/>
      <c r="I20" s="47" t="n"/>
      <c r="J20" s="48">
        <f t="shared" si="0"/>
      </c>
      <c r="K20" s="48">
        <f t="shared" si="1"/>
      </c>
      <c r="L20" s="48">
        <f t="shared" si="2"/>
      </c>
      <c r="M20" s="50" t="n"/>
      <c r="O20" s="43" t="n">
        <v>16</v>
      </c>
      <c r="P20" s="50" t="inlineStr">
        <is>
          <t>浔阳楼电缆</t>
        </is>
      </c>
      <c r="Q20" s="50" t="inlineStr">
        <is>
          <t>抚州8号楼</t>
        </is>
      </c>
      <c r="R20" s="47" t="n">
        <v>59858</v>
      </c>
      <c r="S20" s="47" t="n">
        <v>38813.18</v>
      </c>
      <c r="T20" s="47" t="n"/>
      <c r="U20" s="50" t="n"/>
      <c r="V20" s="43" t="str">
        <f t="shared" si="3"/>
        <v>材料供应商</v>
      </c>
    </row>
    <row r="21">
      <c r="A21" s="43" t="n">
        <v>17</v>
      </c>
      <c r="B21" s="50" t="n"/>
      <c r="C21" s="47" t="n"/>
      <c r="D21" s="47" t="n"/>
      <c r="E21" s="47" t="n"/>
      <c r="F21" s="47" t="n"/>
      <c r="G21" s="47" t="n"/>
      <c r="H21" s="47" t="n"/>
      <c r="I21" s="47" t="n"/>
      <c r="J21" s="48">
        <f t="shared" si="0"/>
      </c>
      <c r="K21" s="48">
        <f t="shared" si="1"/>
      </c>
      <c r="L21" s="48">
        <f t="shared" si="2"/>
      </c>
      <c r="M21" s="50" t="n"/>
      <c r="O21" s="43" t="n">
        <v>17</v>
      </c>
      <c r="P21" s="50" t="inlineStr">
        <is>
          <t>浔阳楼电缆</t>
        </is>
      </c>
      <c r="Q21" s="50" t="n"/>
      <c r="R21" s="47" t="n">
        <v>15412</v>
      </c>
      <c r="S21" s="47" t="n">
        <v>9993.469999999999</v>
      </c>
      <c r="T21" s="47" t="n"/>
      <c r="U21" s="50" t="inlineStr">
        <is>
          <t>应付总表里各项目栏合计比应付总额少的部分，项目请补</t>
        </is>
      </c>
      <c r="V21" s="43" t="str">
        <f t="shared" si="3"/>
        <v>材料供应商</v>
      </c>
    </row>
    <row r="22">
      <c r="A22" s="43" t="n">
        <v>18</v>
      </c>
      <c r="B22" s="50" t="n"/>
      <c r="C22" s="47" t="n"/>
      <c r="D22" s="47" t="n"/>
      <c r="E22" s="47" t="n"/>
      <c r="F22" s="47" t="n"/>
      <c r="G22" s="47" t="n"/>
      <c r="H22" s="47" t="n"/>
      <c r="I22" s="47" t="n"/>
      <c r="J22" s="48">
        <f t="shared" si="0"/>
      </c>
      <c r="K22" s="48">
        <f t="shared" si="1"/>
      </c>
      <c r="L22" s="48">
        <f t="shared" si="2"/>
      </c>
      <c r="M22" s="50" t="n"/>
      <c r="O22" s="43" t="n">
        <v>18</v>
      </c>
      <c r="P22" s="50" t="inlineStr">
        <is>
          <t>启航五金</t>
        </is>
      </c>
      <c r="Q22" s="50" t="inlineStr">
        <is>
          <t>德安养老中心</t>
        </is>
      </c>
      <c r="R22" s="47" t="n">
        <v>19835</v>
      </c>
      <c r="S22" s="47" t="n">
        <v>7775.31</v>
      </c>
      <c r="T22" s="47" t="n"/>
      <c r="U22" s="50" t="inlineStr">
        <is>
          <t>累计已付（按各项目应付比例分）− 2026 年 3 月起流水付的（10,358.00）</t>
        </is>
      </c>
      <c r="V22" s="43" t="str">
        <f t="shared" si="3"/>
        <v>材料供应商</v>
      </c>
    </row>
    <row r="23">
      <c r="A23" s="43" t="n">
        <v>19</v>
      </c>
      <c r="B23" s="50" t="n"/>
      <c r="C23" s="47" t="n"/>
      <c r="D23" s="47" t="n"/>
      <c r="E23" s="47" t="n"/>
      <c r="F23" s="47" t="n"/>
      <c r="G23" s="47" t="n"/>
      <c r="H23" s="47" t="n"/>
      <c r="I23" s="47" t="n"/>
      <c r="J23" s="48">
        <f t="shared" si="0"/>
      </c>
      <c r="K23" s="48">
        <f t="shared" si="1"/>
      </c>
      <c r="L23" s="48">
        <f t="shared" si="2"/>
      </c>
      <c r="M23" s="50" t="n"/>
      <c r="O23" s="43" t="n">
        <v>19</v>
      </c>
      <c r="P23" s="50" t="inlineStr">
        <is>
          <t>启航五金</t>
        </is>
      </c>
      <c r="Q23" s="50" t="inlineStr">
        <is>
          <t>科创中心</t>
        </is>
      </c>
      <c r="R23" s="47" t="n">
        <v>8112</v>
      </c>
      <c r="S23" s="47" t="n">
        <v>3179.9</v>
      </c>
      <c r="T23" s="47" t="n"/>
      <c r="U23" s="50" t="n"/>
      <c r="V23" s="43" t="str">
        <f t="shared" si="3"/>
        <v>材料供应商</v>
      </c>
    </row>
    <row r="24">
      <c r="A24" s="43" t="n">
        <v>20</v>
      </c>
      <c r="B24" s="50" t="n"/>
      <c r="C24" s="47" t="n"/>
      <c r="D24" s="47" t="n"/>
      <c r="E24" s="47" t="n"/>
      <c r="F24" s="47" t="n"/>
      <c r="G24" s="47" t="n"/>
      <c r="H24" s="47" t="n"/>
      <c r="I24" s="47" t="n"/>
      <c r="J24" s="48">
        <f t="shared" si="0"/>
      </c>
      <c r="K24" s="48">
        <f t="shared" si="1"/>
      </c>
      <c r="L24" s="48">
        <f t="shared" si="2"/>
      </c>
      <c r="M24" s="50" t="n"/>
      <c r="O24" s="43" t="n">
        <v>20</v>
      </c>
      <c r="P24" s="50" t="inlineStr">
        <is>
          <t>启航五金</t>
        </is>
      </c>
      <c r="Q24" s="50" t="inlineStr">
        <is>
          <t>九安架空层</t>
        </is>
      </c>
      <c r="R24" s="47" t="n">
        <v>327</v>
      </c>
      <c r="S24" s="47" t="n">
        <v>128.18</v>
      </c>
      <c r="T24" s="47" t="n"/>
      <c r="U24" s="50" t="n"/>
      <c r="V24" s="43" t="str">
        <f t="shared" si="3"/>
        <v>材料供应商</v>
      </c>
    </row>
    <row r="25">
      <c r="A25" s="43" t="n">
        <v>21</v>
      </c>
      <c r="B25" s="50" t="n"/>
      <c r="C25" s="47" t="n"/>
      <c r="D25" s="47" t="n"/>
      <c r="E25" s="47" t="n"/>
      <c r="F25" s="47" t="n"/>
      <c r="G25" s="47" t="n"/>
      <c r="H25" s="47" t="n"/>
      <c r="I25" s="47" t="n"/>
      <c r="J25" s="48">
        <f t="shared" si="0"/>
      </c>
      <c r="K25" s="48">
        <f t="shared" si="1"/>
      </c>
      <c r="L25" s="48">
        <f t="shared" si="2"/>
      </c>
      <c r="M25" s="50" t="n"/>
      <c r="O25" s="43" t="n">
        <v>21</v>
      </c>
      <c r="P25" s="50" t="inlineStr">
        <is>
          <t>启航五金</t>
        </is>
      </c>
      <c r="Q25" s="50" t="inlineStr">
        <is>
          <t>数字产业园</t>
        </is>
      </c>
      <c r="R25" s="47" t="n">
        <v>978</v>
      </c>
      <c r="S25" s="47" t="n">
        <v>383.38</v>
      </c>
      <c r="T25" s="47" t="n"/>
      <c r="U25" s="50" t="n"/>
      <c r="V25" s="43" t="str">
        <f t="shared" si="3"/>
        <v>材料供应商</v>
      </c>
    </row>
    <row r="26">
      <c r="A26" s="43" t="n">
        <v>22</v>
      </c>
      <c r="B26" s="50" t="n"/>
      <c r="C26" s="47" t="n"/>
      <c r="D26" s="47" t="n"/>
      <c r="E26" s="47" t="n"/>
      <c r="F26" s="47" t="n"/>
      <c r="G26" s="47" t="n"/>
      <c r="H26" s="47" t="n"/>
      <c r="I26" s="47" t="n"/>
      <c r="J26" s="48">
        <f t="shared" si="0"/>
      </c>
      <c r="K26" s="48">
        <f t="shared" si="1"/>
      </c>
      <c r="L26" s="48">
        <f t="shared" si="2"/>
      </c>
      <c r="M26" s="50" t="n"/>
      <c r="O26" s="43" t="n">
        <v>22</v>
      </c>
      <c r="P26" s="50" t="inlineStr">
        <is>
          <t>启航五金</t>
        </is>
      </c>
      <c r="Q26" s="50" t="n"/>
      <c r="R26" s="47" t="n">
        <v>1697</v>
      </c>
      <c r="S26" s="47" t="n">
        <v>665.23</v>
      </c>
      <c r="T26" s="47" t="n"/>
      <c r="U26" s="50" t="inlineStr">
        <is>
          <t>应付总表里各项目栏合计比应付总额少的部分，项目请补</t>
        </is>
      </c>
      <c r="V26" s="43" t="str">
        <f t="shared" si="3"/>
        <v>材料供应商</v>
      </c>
    </row>
    <row r="27">
      <c r="A27" s="43" t="n">
        <v>23</v>
      </c>
      <c r="B27" s="50" t="n"/>
      <c r="C27" s="47" t="n"/>
      <c r="D27" s="47" t="n"/>
      <c r="E27" s="47" t="n"/>
      <c r="F27" s="47" t="n"/>
      <c r="G27" s="47" t="n"/>
      <c r="H27" s="47" t="n"/>
      <c r="I27" s="47" t="n"/>
      <c r="J27" s="48">
        <f t="shared" si="0"/>
      </c>
      <c r="K27" s="48">
        <f t="shared" si="1"/>
      </c>
      <c r="L27" s="48">
        <f t="shared" si="2"/>
      </c>
      <c r="M27" s="50" t="n"/>
      <c r="O27" s="43" t="n">
        <v>23</v>
      </c>
      <c r="P27" s="50" t="inlineStr">
        <is>
          <t>杭州行消物资贸易</t>
        </is>
      </c>
      <c r="Q27" s="50" t="inlineStr">
        <is>
          <t>德安养老中心</t>
        </is>
      </c>
      <c r="R27" s="47" t="n">
        <v>10338</v>
      </c>
      <c r="S27" s="47" t="n">
        <v>10338</v>
      </c>
      <c r="T27" s="47" t="n"/>
      <c r="U27" s="50" t="inlineStr">
        <is>
          <t>累计已付（按各项目应付比例分）− 2026 年 3 月起流水付的</t>
        </is>
      </c>
      <c r="V27" s="43" t="str">
        <f t="shared" si="3"/>
        <v>材料供应商</v>
      </c>
    </row>
    <row r="28">
      <c r="A28" s="43" t="n">
        <v>24</v>
      </c>
      <c r="B28" s="50" t="n"/>
      <c r="C28" s="47" t="n"/>
      <c r="D28" s="47" t="n"/>
      <c r="E28" s="47" t="n"/>
      <c r="F28" s="47" t="n"/>
      <c r="G28" s="47" t="n"/>
      <c r="H28" s="47" t="n"/>
      <c r="I28" s="47" t="n"/>
      <c r="J28" s="48">
        <f t="shared" si="0"/>
      </c>
      <c r="K28" s="48">
        <f t="shared" si="1"/>
      </c>
      <c r="L28" s="48">
        <f t="shared" si="2"/>
      </c>
      <c r="M28" s="50" t="n"/>
      <c r="O28" s="43" t="n">
        <v>24</v>
      </c>
      <c r="P28" s="50" t="inlineStr">
        <is>
          <t>杭州行消物资贸易</t>
        </is>
      </c>
      <c r="Q28" s="50" t="inlineStr">
        <is>
          <t>科创中心</t>
        </is>
      </c>
      <c r="R28" s="47" t="n">
        <v>10121</v>
      </c>
      <c r="S28" s="47" t="n">
        <v>10121</v>
      </c>
      <c r="T28" s="47" t="n"/>
      <c r="U28" s="50" t="n"/>
      <c r="V28" s="43" t="str">
        <f t="shared" si="3"/>
        <v>材料供应商</v>
      </c>
    </row>
    <row r="29">
      <c r="A29" s="43" t="n">
        <v>25</v>
      </c>
      <c r="B29" s="50" t="n"/>
      <c r="C29" s="47" t="n"/>
      <c r="D29" s="47" t="n"/>
      <c r="E29" s="47" t="n"/>
      <c r="F29" s="47" t="n"/>
      <c r="G29" s="47" t="n"/>
      <c r="H29" s="47" t="n"/>
      <c r="I29" s="47" t="n"/>
      <c r="J29" s="48">
        <f t="shared" si="0"/>
      </c>
      <c r="K29" s="48">
        <f t="shared" si="1"/>
      </c>
      <c r="L29" s="48">
        <f t="shared" si="2"/>
      </c>
      <c r="M29" s="50" t="n"/>
      <c r="O29" s="43" t="n">
        <v>25</v>
      </c>
      <c r="P29" s="50" t="inlineStr">
        <is>
          <t>杭州行消物资贸易</t>
        </is>
      </c>
      <c r="Q29" s="50" t="inlineStr">
        <is>
          <t>抚州1号楼</t>
        </is>
      </c>
      <c r="R29" s="47" t="n">
        <v>10068</v>
      </c>
      <c r="S29" s="47" t="n">
        <v>10068</v>
      </c>
      <c r="T29" s="47" t="n"/>
      <c r="U29" s="50" t="n"/>
      <c r="V29" s="43" t="str">
        <f t="shared" si="3"/>
        <v>材料供应商</v>
      </c>
    </row>
    <row r="30">
      <c r="A30" s="43" t="n">
        <v>26</v>
      </c>
      <c r="B30" s="50" t="n"/>
      <c r="C30" s="47" t="n"/>
      <c r="D30" s="47" t="n"/>
      <c r="E30" s="47" t="n"/>
      <c r="F30" s="47" t="n"/>
      <c r="G30" s="47" t="n"/>
      <c r="H30" s="47" t="n"/>
      <c r="I30" s="47" t="n"/>
      <c r="J30" s="48">
        <f t="shared" si="0"/>
      </c>
      <c r="K30" s="48">
        <f t="shared" si="1"/>
      </c>
      <c r="L30" s="48">
        <f t="shared" si="2"/>
      </c>
      <c r="M30" s="50" t="n"/>
      <c r="O30" s="43" t="n">
        <v>26</v>
      </c>
      <c r="P30" s="50" t="inlineStr">
        <is>
          <t>杭州行消物资贸易</t>
        </is>
      </c>
      <c r="Q30" s="50" t="inlineStr">
        <is>
          <t>抚州8号楼</t>
        </is>
      </c>
      <c r="R30" s="47" t="n">
        <v>5984</v>
      </c>
      <c r="S30" s="47" t="n">
        <v>5984</v>
      </c>
      <c r="T30" s="47" t="n"/>
      <c r="U30" s="50" t="n"/>
      <c r="V30" s="43" t="str">
        <f t="shared" si="3"/>
        <v>材料供应商</v>
      </c>
    </row>
    <row r="31">
      <c r="A31" s="43" t="n">
        <v>27</v>
      </c>
      <c r="B31" s="50" t="n"/>
      <c r="C31" s="47" t="n"/>
      <c r="D31" s="47" t="n"/>
      <c r="E31" s="47" t="n"/>
      <c r="F31" s="47" t="n"/>
      <c r="G31" s="47" t="n"/>
      <c r="H31" s="47" t="n"/>
      <c r="I31" s="47" t="n"/>
      <c r="J31" s="48">
        <f t="shared" si="0"/>
      </c>
      <c r="K31" s="48">
        <f t="shared" si="1"/>
      </c>
      <c r="L31" s="48">
        <f t="shared" si="2"/>
      </c>
      <c r="M31" s="50" t="n"/>
      <c r="O31" s="43" t="n">
        <v>27</v>
      </c>
      <c r="P31" s="50" t="inlineStr">
        <is>
          <t>南昌盈厚建材</t>
        </is>
      </c>
      <c r="Q31" s="50" t="inlineStr">
        <is>
          <t>德安养老中心</t>
        </is>
      </c>
      <c r="R31" s="47" t="n">
        <v>24954</v>
      </c>
      <c r="S31" s="47" t="n">
        <v>24954</v>
      </c>
      <c r="T31" s="47" t="n"/>
      <c r="U31" s="50" t="inlineStr">
        <is>
          <t>累计已付（按各项目应付比例分）− 2026 年 3 月起流水付的</t>
        </is>
      </c>
      <c r="V31" s="43" t="str">
        <f t="shared" si="3"/>
        <v>材料供应商</v>
      </c>
    </row>
    <row r="32">
      <c r="A32" s="43" t="n">
        <v>28</v>
      </c>
      <c r="B32" s="50" t="n"/>
      <c r="C32" s="47" t="n"/>
      <c r="D32" s="47" t="n"/>
      <c r="E32" s="47" t="n"/>
      <c r="F32" s="47" t="n"/>
      <c r="G32" s="47" t="n"/>
      <c r="H32" s="47" t="n"/>
      <c r="I32" s="47" t="n"/>
      <c r="J32" s="48">
        <f t="shared" si="0"/>
      </c>
      <c r="K32" s="48">
        <f t="shared" si="1"/>
      </c>
      <c r="L32" s="48">
        <f t="shared" si="2"/>
      </c>
      <c r="M32" s="50" t="n"/>
      <c r="O32" s="43" t="n">
        <v>28</v>
      </c>
      <c r="P32" s="50" t="inlineStr">
        <is>
          <t>南昌盈厚建材</t>
        </is>
      </c>
      <c r="Q32" s="50" t="inlineStr">
        <is>
          <t>抚州1号楼</t>
        </is>
      </c>
      <c r="R32" s="47" t="n">
        <v>9720</v>
      </c>
      <c r="S32" s="47" t="n">
        <v>9720</v>
      </c>
      <c r="T32" s="47" t="n"/>
      <c r="U32" s="50" t="n"/>
      <c r="V32" s="43" t="str">
        <f t="shared" si="3"/>
        <v>材料供应商</v>
      </c>
    </row>
    <row r="33">
      <c r="A33" s="43" t="n">
        <v>29</v>
      </c>
      <c r="B33" s="50" t="n"/>
      <c r="C33" s="47" t="n"/>
      <c r="D33" s="47" t="n"/>
      <c r="E33" s="47" t="n"/>
      <c r="F33" s="47" t="n"/>
      <c r="G33" s="47" t="n"/>
      <c r="H33" s="47" t="n"/>
      <c r="I33" s="47" t="n"/>
      <c r="J33" s="48">
        <f t="shared" si="0"/>
      </c>
      <c r="K33" s="48">
        <f t="shared" si="1"/>
      </c>
      <c r="L33" s="48">
        <f t="shared" si="2"/>
      </c>
      <c r="M33" s="50" t="n"/>
      <c r="O33" s="43" t="n">
        <v>29</v>
      </c>
      <c r="P33" s="50" t="inlineStr">
        <is>
          <t>浙缆元通电缆</t>
        </is>
      </c>
      <c r="Q33" s="50" t="inlineStr">
        <is>
          <t>德安养老中心</t>
        </is>
      </c>
      <c r="R33" s="47" t="n">
        <v>38175.4</v>
      </c>
      <c r="S33" s="47" t="n">
        <v>38175.4</v>
      </c>
      <c r="T33" s="47" t="n"/>
      <c r="U33" s="50" t="inlineStr">
        <is>
          <t>累计已付（按各项目应付比例分）− 2026 年 3 月起流水付的</t>
        </is>
      </c>
      <c r="V33" s="43" t="str">
        <f t="shared" si="3"/>
        <v>材料供应商</v>
      </c>
    </row>
    <row r="34">
      <c r="A34" s="43" t="n">
        <v>30</v>
      </c>
      <c r="B34" s="50" t="n"/>
      <c r="C34" s="47" t="n"/>
      <c r="D34" s="47" t="n"/>
      <c r="E34" s="47" t="n"/>
      <c r="F34" s="47" t="n"/>
      <c r="G34" s="47" t="n"/>
      <c r="H34" s="47" t="n"/>
      <c r="I34" s="47" t="n"/>
      <c r="J34" s="48">
        <f t="shared" si="0"/>
      </c>
      <c r="K34" s="48">
        <f t="shared" si="1"/>
      </c>
      <c r="L34" s="48">
        <f t="shared" si="2"/>
      </c>
      <c r="M34" s="50" t="n"/>
      <c r="O34" s="43" t="n">
        <v>30</v>
      </c>
      <c r="P34" s="50" t="inlineStr">
        <is>
          <t>浙缆元通电缆</t>
        </is>
      </c>
      <c r="Q34" s="50" t="inlineStr">
        <is>
          <t>抚州1号楼</t>
        </is>
      </c>
      <c r="R34" s="47" t="n">
        <v>36632</v>
      </c>
      <c r="S34" s="47" t="n">
        <v>36632</v>
      </c>
      <c r="T34" s="47" t="n"/>
      <c r="U34" s="50" t="n"/>
      <c r="V34" s="43" t="str">
        <f t="shared" si="3"/>
        <v>材料供应商</v>
      </c>
    </row>
    <row r="35">
      <c r="A35" s="43" t="n">
        <v>31</v>
      </c>
      <c r="B35" s="50" t="n"/>
      <c r="C35" s="47" t="n"/>
      <c r="D35" s="47" t="n"/>
      <c r="E35" s="47" t="n"/>
      <c r="F35" s="47" t="n"/>
      <c r="G35" s="47" t="n"/>
      <c r="H35" s="47" t="n"/>
      <c r="I35" s="47" t="n"/>
      <c r="J35" s="48">
        <f t="shared" si="0"/>
      </c>
      <c r="K35" s="48">
        <f t="shared" si="1"/>
      </c>
      <c r="L35" s="48">
        <f t="shared" si="2"/>
      </c>
      <c r="M35" s="50" t="n"/>
      <c r="O35" s="43" t="n">
        <v>31</v>
      </c>
      <c r="P35" s="50" t="inlineStr">
        <is>
          <t>江西允诺消防</t>
        </is>
      </c>
      <c r="Q35" s="50" t="inlineStr">
        <is>
          <t>德安养老中心</t>
        </is>
      </c>
      <c r="R35" s="47" t="n">
        <v>45881</v>
      </c>
      <c r="S35" s="47" t="n">
        <v>45881</v>
      </c>
      <c r="T35" s="47" t="n"/>
      <c r="U35" s="50" t="inlineStr">
        <is>
          <t>累计已付（按各项目应付比例分）− 2026 年 3 月起流水付的</t>
        </is>
      </c>
      <c r="V35" s="43" t="str">
        <f t="shared" si="3"/>
        <v>材料供应商</v>
      </c>
    </row>
    <row r="36">
      <c r="A36" s="43" t="n">
        <v>32</v>
      </c>
      <c r="B36" s="50" t="n"/>
      <c r="C36" s="47" t="n"/>
      <c r="D36" s="47" t="n"/>
      <c r="E36" s="47" t="n"/>
      <c r="F36" s="47" t="n"/>
      <c r="G36" s="47" t="n"/>
      <c r="H36" s="47" t="n"/>
      <c r="I36" s="47" t="n"/>
      <c r="J36" s="48">
        <f t="shared" si="0"/>
      </c>
      <c r="K36" s="48">
        <f t="shared" si="1"/>
      </c>
      <c r="L36" s="48">
        <f t="shared" si="2"/>
      </c>
      <c r="M36" s="50" t="n"/>
      <c r="O36" s="43" t="n">
        <v>32</v>
      </c>
      <c r="P36" s="50" t="inlineStr">
        <is>
          <t>江西沐丰水箱</t>
        </is>
      </c>
      <c r="Q36" s="50" t="inlineStr">
        <is>
          <t>科创中心</t>
        </is>
      </c>
      <c r="R36" s="47" t="n">
        <v>31500</v>
      </c>
      <c r="S36" s="47" t="n">
        <v>18040.91</v>
      </c>
      <c r="T36" s="47" t="n"/>
      <c r="U36" s="50" t="inlineStr">
        <is>
          <t>累计已付（按各项目应付比例分）− 2026 年 3 月起流水付的（22,000.00）</t>
        </is>
      </c>
      <c r="V36" s="43" t="str">
        <f t="shared" si="3"/>
        <v>材料供应商</v>
      </c>
    </row>
    <row r="37">
      <c r="A37" s="43" t="n">
        <v>33</v>
      </c>
      <c r="B37" s="50" t="n"/>
      <c r="C37" s="47" t="n"/>
      <c r="D37" s="47" t="n"/>
      <c r="E37" s="47" t="n"/>
      <c r="F37" s="47" t="n"/>
      <c r="G37" s="47" t="n"/>
      <c r="H37" s="47" t="n"/>
      <c r="I37" s="47" t="n"/>
      <c r="J37" s="48">
        <f t="shared" si="0"/>
      </c>
      <c r="K37" s="48">
        <f t="shared" si="1"/>
      </c>
      <c r="L37" s="48">
        <f t="shared" si="2"/>
      </c>
      <c r="M37" s="50" t="n"/>
      <c r="O37" s="43" t="n">
        <v>33</v>
      </c>
      <c r="P37" s="50" t="inlineStr">
        <is>
          <t>江西沐丰水箱</t>
        </is>
      </c>
      <c r="Q37" s="50" t="inlineStr">
        <is>
          <t>邹桥派出所</t>
        </is>
      </c>
      <c r="R37" s="47" t="n">
        <v>23500</v>
      </c>
      <c r="S37" s="47" t="n">
        <v>13459.09</v>
      </c>
      <c r="T37" s="47" t="n"/>
      <c r="U37" s="50" t="n"/>
      <c r="V37" s="43" t="str">
        <f t="shared" si="3"/>
        <v>材料供应商</v>
      </c>
    </row>
    <row r="38">
      <c r="A38" s="43" t="n">
        <v>34</v>
      </c>
      <c r="B38" s="50" t="n"/>
      <c r="C38" s="47" t="n"/>
      <c r="D38" s="47" t="n"/>
      <c r="E38" s="47" t="n"/>
      <c r="F38" s="47" t="n"/>
      <c r="G38" s="47" t="n"/>
      <c r="H38" s="47" t="n"/>
      <c r="I38" s="47" t="n"/>
      <c r="J38" s="48">
        <f t="shared" si="0"/>
      </c>
      <c r="K38" s="48">
        <f t="shared" si="1"/>
      </c>
      <c r="L38" s="48">
        <f t="shared" si="2"/>
      </c>
      <c r="M38" s="50" t="n"/>
      <c r="O38" s="43" t="n">
        <v>34</v>
      </c>
      <c r="P38" s="50" t="inlineStr">
        <is>
          <t>上海诚果泵阀</t>
        </is>
      </c>
      <c r="Q38" s="50" t="inlineStr">
        <is>
          <t>德安养老中心</t>
        </is>
      </c>
      <c r="R38" s="47" t="n">
        <v>63800</v>
      </c>
      <c r="S38" s="47" t="n">
        <v>55503.69</v>
      </c>
      <c r="T38" s="47" t="n"/>
      <c r="U38" s="50" t="inlineStr">
        <is>
          <t>累计已付（按各项目应付比例分）− 2026 年 3 月起流水付的（11,800.00）</t>
        </is>
      </c>
      <c r="V38" s="43" t="str">
        <f t="shared" si="3"/>
        <v>材料供应商</v>
      </c>
    </row>
    <row r="39">
      <c r="A39" s="43" t="n">
        <v>35</v>
      </c>
      <c r="B39" s="50" t="n"/>
      <c r="C39" s="47" t="n"/>
      <c r="D39" s="47" t="n"/>
      <c r="E39" s="47" t="n"/>
      <c r="F39" s="47" t="n"/>
      <c r="G39" s="47" t="n"/>
      <c r="H39" s="47" t="n"/>
      <c r="I39" s="47" t="n"/>
      <c r="J39" s="48">
        <f t="shared" si="0"/>
      </c>
      <c r="K39" s="48">
        <f t="shared" si="1"/>
      </c>
      <c r="L39" s="48">
        <f t="shared" si="2"/>
      </c>
      <c r="M39" s="50" t="n"/>
      <c r="O39" s="43" t="n">
        <v>35</v>
      </c>
      <c r="P39" s="50" t="inlineStr">
        <is>
          <t>上海诚果泵阀</t>
        </is>
      </c>
      <c r="Q39" s="50" t="inlineStr">
        <is>
          <t>科创中心</t>
        </is>
      </c>
      <c r="R39" s="47" t="n">
        <v>15144</v>
      </c>
      <c r="S39" s="47" t="n">
        <v>13174.73</v>
      </c>
      <c r="T39" s="47" t="n"/>
      <c r="U39" s="50" t="n"/>
      <c r="V39" s="43" t="str">
        <f t="shared" si="3"/>
        <v>材料供应商</v>
      </c>
    </row>
    <row r="40">
      <c r="A40" s="43" t="n">
        <v>36</v>
      </c>
      <c r="B40" s="50" t="n"/>
      <c r="C40" s="47" t="n"/>
      <c r="D40" s="47" t="n"/>
      <c r="E40" s="47" t="n"/>
      <c r="F40" s="47" t="n"/>
      <c r="G40" s="47" t="n"/>
      <c r="H40" s="47" t="n"/>
      <c r="I40" s="47" t="n"/>
      <c r="J40" s="48">
        <f t="shared" si="0"/>
      </c>
      <c r="K40" s="48">
        <f t="shared" si="1"/>
      </c>
      <c r="L40" s="48">
        <f t="shared" si="2"/>
      </c>
      <c r="M40" s="50" t="n"/>
      <c r="O40" s="43" t="n">
        <v>36</v>
      </c>
      <c r="P40" s="50" t="inlineStr">
        <is>
          <t>上海诚果泵阀</t>
        </is>
      </c>
      <c r="Q40" s="50" t="inlineStr">
        <is>
          <t>邹桥派出所</t>
        </is>
      </c>
      <c r="R40" s="47" t="n">
        <v>11800</v>
      </c>
      <c r="S40" s="47" t="n">
        <v>10265.58</v>
      </c>
      <c r="T40" s="47" t="n"/>
      <c r="U40" s="50" t="n"/>
      <c r="V40" s="43" t="str">
        <f t="shared" si="3"/>
        <v>材料供应商</v>
      </c>
    </row>
    <row r="41">
      <c r="A41" s="43" t="n">
        <v>37</v>
      </c>
      <c r="B41" s="50" t="n"/>
      <c r="C41" s="47" t="n"/>
      <c r="D41" s="47" t="n"/>
      <c r="E41" s="47" t="n"/>
      <c r="F41" s="47" t="n"/>
      <c r="G41" s="47" t="n"/>
      <c r="H41" s="47" t="n"/>
      <c r="I41" s="47" t="n"/>
      <c r="J41" s="48">
        <f t="shared" si="0"/>
      </c>
      <c r="K41" s="48">
        <f t="shared" si="1"/>
      </c>
      <c r="L41" s="48">
        <f t="shared" si="2"/>
      </c>
      <c r="M41" s="50" t="n"/>
      <c r="O41" s="43" t="n">
        <v>37</v>
      </c>
      <c r="P41" s="50" t="inlineStr">
        <is>
          <t>佩力通风</t>
        </is>
      </c>
      <c r="Q41" s="50" t="inlineStr">
        <is>
          <t>德安养老中心</t>
        </is>
      </c>
      <c r="R41" s="47" t="n">
        <v>112695</v>
      </c>
      <c r="S41" s="47" t="n">
        <v>105298</v>
      </c>
      <c r="T41" s="47" t="n"/>
      <c r="U41" s="50" t="inlineStr">
        <is>
          <t>累计已付（按各项目应付比例分）− 2026 年 3 月起流水付的（9,070.00）</t>
        </is>
      </c>
      <c r="V41" s="43" t="str">
        <f t="shared" si="3"/>
        <v>材料供应商</v>
      </c>
    </row>
    <row r="42">
      <c r="A42" s="43" t="n">
        <v>38</v>
      </c>
      <c r="B42" s="50" t="n"/>
      <c r="C42" s="47" t="n"/>
      <c r="D42" s="47" t="n"/>
      <c r="E42" s="47" t="n"/>
      <c r="F42" s="47" t="n"/>
      <c r="G42" s="47" t="n"/>
      <c r="H42" s="47" t="n"/>
      <c r="I42" s="47" t="n"/>
      <c r="J42" s="48">
        <f t="shared" si="0"/>
      </c>
      <c r="K42" s="48">
        <f t="shared" si="1"/>
      </c>
      <c r="L42" s="48">
        <f t="shared" si="2"/>
      </c>
      <c r="M42" s="50" t="n"/>
      <c r="O42" s="43" t="n">
        <v>38</v>
      </c>
      <c r="P42" s="50" t="inlineStr">
        <is>
          <t>浙江寅盾智能</t>
        </is>
      </c>
      <c r="Q42" s="50" t="inlineStr">
        <is>
          <t>德安养老中心</t>
        </is>
      </c>
      <c r="R42" s="47" t="n">
        <v>42600</v>
      </c>
      <c r="S42" s="47" t="n">
        <v>42600</v>
      </c>
      <c r="T42" s="47" t="n"/>
      <c r="U42" s="50" t="inlineStr">
        <is>
          <t>累计已付（按各项目应付比例分）− 2026 年 3 月起流水付的</t>
        </is>
      </c>
      <c r="V42" s="43" t="str">
        <f t="shared" si="3"/>
        <v>材料供应商</v>
      </c>
    </row>
    <row r="43">
      <c r="A43" s="43" t="n">
        <v>39</v>
      </c>
      <c r="B43" s="50" t="n"/>
      <c r="C43" s="47" t="n"/>
      <c r="D43" s="47" t="n"/>
      <c r="E43" s="47" t="n"/>
      <c r="F43" s="47" t="n"/>
      <c r="G43" s="47" t="n"/>
      <c r="H43" s="47" t="n"/>
      <c r="I43" s="47" t="n"/>
      <c r="J43" s="48">
        <f t="shared" si="0"/>
      </c>
      <c r="K43" s="48">
        <f t="shared" si="1"/>
      </c>
      <c r="L43" s="48">
        <f t="shared" si="2"/>
      </c>
      <c r="M43" s="50" t="n"/>
      <c r="O43" s="43" t="n">
        <v>39</v>
      </c>
      <c r="P43" s="50" t="inlineStr">
        <is>
          <t>恩旗老叶</t>
        </is>
      </c>
      <c r="Q43" s="50" t="inlineStr">
        <is>
          <t>德安养老中心</t>
        </is>
      </c>
      <c r="R43" s="47" t="n">
        <v>520437.5</v>
      </c>
      <c r="S43" s="47" t="n">
        <v>508322.11</v>
      </c>
      <c r="T43" s="47" t="n"/>
      <c r="U43" s="50" t="inlineStr">
        <is>
          <t>累计已付（按各项目应付比例分）− 2026 年 3 月起流水付的（13,000.00）</t>
        </is>
      </c>
      <c r="V43" s="43" t="str">
        <f t="shared" si="3"/>
        <v>分包</v>
      </c>
    </row>
    <row r="44">
      <c r="A44" s="43" t="n">
        <v>40</v>
      </c>
      <c r="B44" s="50" t="n"/>
      <c r="C44" s="47" t="n"/>
      <c r="D44" s="47" t="n"/>
      <c r="E44" s="47" t="n"/>
      <c r="F44" s="47" t="n"/>
      <c r="G44" s="47" t="n"/>
      <c r="H44" s="47" t="n"/>
      <c r="I44" s="47" t="n"/>
      <c r="J44" s="48">
        <f t="shared" si="0"/>
      </c>
      <c r="K44" s="48">
        <f t="shared" si="1"/>
      </c>
      <c r="L44" s="48">
        <f t="shared" si="2"/>
      </c>
      <c r="M44" s="50" t="n"/>
      <c r="O44" s="43" t="n">
        <v>40</v>
      </c>
      <c r="P44" s="50" t="inlineStr">
        <is>
          <t>恩旗老叶</t>
        </is>
      </c>
      <c r="Q44" s="50" t="inlineStr">
        <is>
          <t>抚州1号楼</t>
        </is>
      </c>
      <c r="R44" s="47" t="n">
        <v>38000</v>
      </c>
      <c r="S44" s="47" t="n">
        <v>37115.39</v>
      </c>
      <c r="T44" s="47" t="n"/>
      <c r="U44" s="50" t="n"/>
      <c r="V44" s="43" t="str">
        <f t="shared" si="3"/>
        <v>分包</v>
      </c>
    </row>
    <row r="45">
      <c r="A45" s="43" t="n">
        <v>41</v>
      </c>
      <c r="B45" s="50" t="n"/>
      <c r="C45" s="47" t="n"/>
      <c r="D45" s="47" t="n"/>
      <c r="E45" s="47" t="n"/>
      <c r="F45" s="47" t="n"/>
      <c r="G45" s="47" t="n"/>
      <c r="H45" s="47" t="n"/>
      <c r="I45" s="47" t="n"/>
      <c r="J45" s="48">
        <f t="shared" si="0"/>
      </c>
      <c r="K45" s="48">
        <f t="shared" si="1"/>
      </c>
      <c r="L45" s="48">
        <f t="shared" si="2"/>
      </c>
      <c r="M45" s="50" t="n"/>
      <c r="O45" s="43" t="n">
        <v>41</v>
      </c>
      <c r="P45" s="50" t="inlineStr">
        <is>
          <t>吴群</t>
        </is>
      </c>
      <c r="Q45" s="50" t="inlineStr">
        <is>
          <t>德安养老中心</t>
        </is>
      </c>
      <c r="R45" s="47" t="n">
        <v>78100</v>
      </c>
      <c r="S45" s="47" t="n">
        <v>63100</v>
      </c>
      <c r="T45" s="47" t="n"/>
      <c r="U45" s="50" t="inlineStr">
        <is>
          <t>累计已付（按各项目应付比例分）− 2026 年 3 月起流水付的（15,000.00）</t>
        </is>
      </c>
      <c r="V45" s="43" t="str">
        <f t="shared" si="3"/>
        <v>分包</v>
      </c>
    </row>
    <row r="46">
      <c r="A46" s="43" t="n">
        <v>42</v>
      </c>
      <c r="B46" s="50" t="n"/>
      <c r="C46" s="47" t="n"/>
      <c r="D46" s="47" t="n"/>
      <c r="E46" s="47" t="n"/>
      <c r="F46" s="47" t="n"/>
      <c r="G46" s="47" t="n"/>
      <c r="H46" s="47" t="n"/>
      <c r="I46" s="47" t="n"/>
      <c r="J46" s="48">
        <f t="shared" si="0"/>
      </c>
      <c r="K46" s="48">
        <f t="shared" si="1"/>
      </c>
      <c r="L46" s="48">
        <f t="shared" si="2"/>
      </c>
      <c r="M46" s="50" t="n"/>
      <c r="O46" s="43" t="n">
        <v>42</v>
      </c>
      <c r="P46" s="50" t="inlineStr">
        <is>
          <t>吴聪</t>
        </is>
      </c>
      <c r="Q46" s="50" t="inlineStr">
        <is>
          <t>德安养老中心</t>
        </is>
      </c>
      <c r="R46" s="47" t="n">
        <v>28000</v>
      </c>
      <c r="S46" s="47" t="n">
        <v>28000</v>
      </c>
      <c r="T46" s="47" t="n"/>
      <c r="U46" s="50" t="inlineStr">
        <is>
          <t>累计已付（按各项目应付比例分）− 2026 年 3 月起流水付的</t>
        </is>
      </c>
      <c r="V46" s="43" t="str">
        <f t="shared" si="3"/>
        <v>分包</v>
      </c>
    </row>
    <row r="47">
      <c r="A47" s="43" t="n">
        <v>43</v>
      </c>
      <c r="B47" s="50" t="n"/>
      <c r="C47" s="47" t="n"/>
      <c r="D47" s="47" t="n"/>
      <c r="E47" s="47" t="n"/>
      <c r="F47" s="47" t="n"/>
      <c r="G47" s="47" t="n"/>
      <c r="H47" s="47" t="n"/>
      <c r="I47" s="47" t="n"/>
      <c r="J47" s="48">
        <f t="shared" si="0"/>
      </c>
      <c r="K47" s="48">
        <f t="shared" si="1"/>
      </c>
      <c r="L47" s="48">
        <f t="shared" si="2"/>
      </c>
      <c r="M47" s="50" t="n"/>
      <c r="O47" s="43" t="n">
        <v>43</v>
      </c>
      <c r="P47" s="50" t="inlineStr">
        <is>
          <t>九江朱总</t>
        </is>
      </c>
      <c r="Q47" s="50" t="inlineStr">
        <is>
          <t>德安养老中心</t>
        </is>
      </c>
      <c r="R47" s="47" t="n">
        <v>55000</v>
      </c>
      <c r="S47" s="47" t="n">
        <v>55400</v>
      </c>
      <c r="T47" s="47" t="n"/>
      <c r="U47" s="50" t="inlineStr">
        <is>
          <t>累计已付（按各项目应付比例分）− 2026 年 3 月起流水付的</t>
        </is>
      </c>
      <c r="V47" s="43" t="str">
        <f t="shared" si="3"/>
        <v>分包</v>
      </c>
    </row>
    <row r="48">
      <c r="A48" s="43" t="n">
        <v>44</v>
      </c>
      <c r="B48" s="50" t="n"/>
      <c r="C48" s="47" t="n"/>
      <c r="D48" s="47" t="n"/>
      <c r="E48" s="47" t="n"/>
      <c r="F48" s="47" t="n"/>
      <c r="G48" s="47" t="n"/>
      <c r="H48" s="47" t="n"/>
      <c r="I48" s="47" t="n"/>
      <c r="J48" s="48">
        <f t="shared" si="0"/>
      </c>
      <c r="K48" s="48">
        <f t="shared" si="1"/>
      </c>
      <c r="L48" s="48">
        <f t="shared" si="2"/>
      </c>
      <c r="M48" s="50" t="n"/>
      <c r="O48" s="43" t="n">
        <v>44</v>
      </c>
      <c r="P48" s="50" t="inlineStr">
        <is>
          <t>共安门业</t>
        </is>
      </c>
      <c r="Q48" s="50" t="inlineStr">
        <is>
          <t>德安养老中心</t>
        </is>
      </c>
      <c r="R48" s="47" t="n">
        <v>101842.53</v>
      </c>
      <c r="S48" s="47" t="n">
        <v>91936.12</v>
      </c>
      <c r="T48" s="47" t="n"/>
      <c r="U48" s="50" t="inlineStr">
        <is>
          <t>累计已付（按各项目应付比例分）− 2026 年 3 月起流水付的（12,540.00）</t>
        </is>
      </c>
      <c r="V48" s="43" t="str">
        <f t="shared" si="3"/>
        <v>分包</v>
      </c>
    </row>
    <row r="49">
      <c r="A49" s="43" t="n">
        <v>45</v>
      </c>
      <c r="B49" s="50" t="n"/>
      <c r="C49" s="47" t="n"/>
      <c r="D49" s="47" t="n"/>
      <c r="E49" s="47" t="n"/>
      <c r="F49" s="47" t="n"/>
      <c r="G49" s="47" t="n"/>
      <c r="H49" s="47" t="n"/>
      <c r="I49" s="47" t="n"/>
      <c r="J49" s="48">
        <f t="shared" si="0"/>
      </c>
      <c r="K49" s="48">
        <f t="shared" si="1"/>
      </c>
      <c r="L49" s="48">
        <f t="shared" si="2"/>
      </c>
      <c r="M49" s="50" t="n"/>
      <c r="O49" s="43" t="n">
        <v>45</v>
      </c>
      <c r="P49" s="50" t="inlineStr">
        <is>
          <t>共安门业</t>
        </is>
      </c>
      <c r="Q49" s="50" t="inlineStr">
        <is>
          <t>抚州1号楼</t>
        </is>
      </c>
      <c r="R49" s="47" t="n">
        <v>14680</v>
      </c>
      <c r="S49" s="47" t="n">
        <v>13252.05</v>
      </c>
      <c r="T49" s="47" t="n"/>
      <c r="U49" s="50" t="n"/>
      <c r="V49" s="43" t="str">
        <f t="shared" si="3"/>
        <v>分包</v>
      </c>
    </row>
    <row r="50">
      <c r="A50" s="43" t="n">
        <v>46</v>
      </c>
      <c r="B50" s="50" t="n"/>
      <c r="C50" s="47" t="n"/>
      <c r="D50" s="47" t="n"/>
      <c r="E50" s="47" t="n"/>
      <c r="F50" s="47" t="n"/>
      <c r="G50" s="47" t="n"/>
      <c r="H50" s="47" t="n"/>
      <c r="I50" s="47" t="n"/>
      <c r="J50" s="48">
        <f t="shared" si="0"/>
      </c>
      <c r="K50" s="48">
        <f t="shared" si="1"/>
      </c>
      <c r="L50" s="48">
        <f t="shared" si="2"/>
      </c>
      <c r="M50" s="50" t="n"/>
      <c r="O50" s="43" t="n">
        <v>46</v>
      </c>
      <c r="P50" s="50" t="inlineStr">
        <is>
          <t>共安门业</t>
        </is>
      </c>
      <c r="Q50" s="50" t="inlineStr">
        <is>
          <t>抚州8号楼</t>
        </is>
      </c>
      <c r="R50" s="47" t="n">
        <v>12400</v>
      </c>
      <c r="S50" s="47" t="n">
        <v>11193.83</v>
      </c>
      <c r="T50" s="47" t="n"/>
      <c r="U50" s="50" t="n"/>
      <c r="V50" s="43" t="str">
        <f t="shared" si="3"/>
        <v>分包</v>
      </c>
    </row>
    <row r="51">
      <c r="A51" s="43" t="n">
        <v>47</v>
      </c>
      <c r="B51" s="50" t="n"/>
      <c r="C51" s="47" t="n"/>
      <c r="D51" s="47" t="n"/>
      <c r="E51" s="47" t="n"/>
      <c r="F51" s="47" t="n"/>
      <c r="G51" s="47" t="n"/>
      <c r="H51" s="47" t="n"/>
      <c r="I51" s="47" t="n"/>
      <c r="J51" s="48">
        <f t="shared" si="0"/>
      </c>
      <c r="K51" s="48">
        <f t="shared" si="1"/>
      </c>
      <c r="L51" s="48">
        <f t="shared" si="2"/>
      </c>
      <c r="M51" s="50" t="n"/>
      <c r="O51" s="43" t="n">
        <v>47</v>
      </c>
      <c r="P51" s="50" t="inlineStr">
        <is>
          <t>图揽成善</t>
        </is>
      </c>
      <c r="Q51" s="50" t="inlineStr">
        <is>
          <t>德安养老中心</t>
        </is>
      </c>
      <c r="R51" s="47" t="n">
        <v>120527</v>
      </c>
      <c r="S51" s="47" t="n">
        <v>62987.84</v>
      </c>
      <c r="T51" s="47" t="n"/>
      <c r="U51" s="50" t="inlineStr">
        <is>
          <t>累计已付（按各项目应付比例分）− 2026 年 3 月起流水付的（20,000.00）</t>
        </is>
      </c>
      <c r="V51" s="43" t="str">
        <f t="shared" si="3"/>
        <v>分包</v>
      </c>
    </row>
    <row r="52">
      <c r="A52" s="43" t="n">
        <v>48</v>
      </c>
      <c r="B52" s="50" t="n"/>
      <c r="C52" s="47" t="n"/>
      <c r="D52" s="47" t="n"/>
      <c r="E52" s="47" t="n"/>
      <c r="F52" s="47" t="n"/>
      <c r="G52" s="47" t="n"/>
      <c r="H52" s="47" t="n"/>
      <c r="I52" s="47" t="n"/>
      <c r="J52" s="48">
        <f t="shared" si="0"/>
      </c>
      <c r="K52" s="48">
        <f t="shared" si="1"/>
      </c>
      <c r="L52" s="48">
        <f t="shared" si="2"/>
      </c>
      <c r="M52" s="50" t="n"/>
      <c r="O52" s="43" t="n">
        <v>48</v>
      </c>
      <c r="P52" s="50" t="inlineStr">
        <is>
          <t>图揽成善</t>
        </is>
      </c>
      <c r="Q52" s="50" t="inlineStr">
        <is>
          <t>抚州1号楼</t>
        </is>
      </c>
      <c r="R52" s="47" t="n">
        <v>22812</v>
      </c>
      <c r="S52" s="47" t="n">
        <v>11921.63</v>
      </c>
      <c r="T52" s="47" t="n"/>
      <c r="U52" s="50" t="n"/>
      <c r="V52" s="43" t="str">
        <f t="shared" si="3"/>
        <v>分包</v>
      </c>
    </row>
    <row r="53">
      <c r="A53" s="43" t="n">
        <v>49</v>
      </c>
      <c r="B53" s="50" t="n"/>
      <c r="C53" s="47" t="n"/>
      <c r="D53" s="47" t="n"/>
      <c r="E53" s="47" t="n"/>
      <c r="F53" s="47" t="n"/>
      <c r="G53" s="47" t="n"/>
      <c r="H53" s="47" t="n"/>
      <c r="I53" s="47" t="n"/>
      <c r="J53" s="48">
        <f t="shared" si="0"/>
      </c>
      <c r="K53" s="48">
        <f t="shared" si="1"/>
      </c>
      <c r="L53" s="48">
        <f t="shared" si="2"/>
      </c>
      <c r="M53" s="50" t="n"/>
      <c r="O53" s="43" t="n">
        <v>49</v>
      </c>
      <c r="P53" s="50" t="inlineStr">
        <is>
          <t>图揽成善</t>
        </is>
      </c>
      <c r="Q53" s="50" t="inlineStr">
        <is>
          <t>抚州8号楼</t>
        </is>
      </c>
      <c r="R53" s="47" t="n">
        <v>10855</v>
      </c>
      <c r="S53" s="47" t="n">
        <v>5672.86</v>
      </c>
      <c r="T53" s="47" t="n"/>
      <c r="U53" s="50" t="n"/>
      <c r="V53" s="43" t="str">
        <f t="shared" si="3"/>
        <v>分包</v>
      </c>
    </row>
    <row r="54">
      <c r="A54" s="43" t="n">
        <v>50</v>
      </c>
      <c r="B54" s="50" t="n"/>
      <c r="C54" s="47" t="n"/>
      <c r="D54" s="47" t="n"/>
      <c r="E54" s="47" t="n"/>
      <c r="F54" s="47" t="n"/>
      <c r="G54" s="47" t="n"/>
      <c r="H54" s="47" t="n"/>
      <c r="I54" s="47" t="n"/>
      <c r="J54" s="48">
        <f t="shared" si="0"/>
      </c>
      <c r="K54" s="48">
        <f t="shared" si="1"/>
      </c>
      <c r="L54" s="48">
        <f t="shared" si="2"/>
      </c>
      <c r="M54" s="50" t="n"/>
      <c r="O54" s="43" t="n">
        <v>50</v>
      </c>
      <c r="P54" s="50" t="inlineStr">
        <is>
          <t>图揽成善</t>
        </is>
      </c>
      <c r="Q54" s="50" t="n"/>
      <c r="R54" s="47" t="n">
        <v>1268</v>
      </c>
      <c r="S54" s="47" t="n">
        <v>662.67</v>
      </c>
      <c r="T54" s="47" t="n"/>
      <c r="U54" s="50" t="inlineStr">
        <is>
          <t>分包表里各项目栏合计比应付总额少的部分，项目请补</t>
        </is>
      </c>
      <c r="V54" s="43" t="str">
        <f t="shared" si="3"/>
        <v>分包</v>
      </c>
    </row>
    <row r="55">
      <c r="A55" s="43" t="n">
        <v>51</v>
      </c>
      <c r="B55" s="50" t="n"/>
      <c r="C55" s="47" t="n"/>
      <c r="D55" s="47" t="n"/>
      <c r="E55" s="47" t="n"/>
      <c r="F55" s="47" t="n"/>
      <c r="G55" s="47" t="n"/>
      <c r="H55" s="47" t="n"/>
      <c r="I55" s="47" t="n"/>
      <c r="J55" s="48">
        <f t="shared" si="0"/>
      </c>
      <c r="K55" s="48">
        <f t="shared" si="1"/>
      </c>
      <c r="L55" s="48">
        <f t="shared" si="2"/>
      </c>
      <c r="M55" s="50" t="n"/>
      <c r="O55" s="43" t="n">
        <v>51</v>
      </c>
      <c r="P55" s="50" t="inlineStr">
        <is>
          <t>祝冬冬</t>
        </is>
      </c>
      <c r="Q55" s="50" t="inlineStr">
        <is>
          <t>抚州8号楼</t>
        </is>
      </c>
      <c r="R55" s="47" t="n">
        <v>140000</v>
      </c>
      <c r="S55" s="47" t="n">
        <v>112000</v>
      </c>
      <c r="T55" s="47" t="n"/>
      <c r="U55" s="50" t="inlineStr">
        <is>
          <t>累计已付（按各项目应付比例分）− 2026 年 3 月起流水付的（20,000.00）</t>
        </is>
      </c>
      <c r="V55" s="43" t="str">
        <f t="shared" si="3"/>
        <v>分包</v>
      </c>
    </row>
    <row r="56">
      <c r="A56" s="43" t="n">
        <v>52</v>
      </c>
      <c r="B56" s="50" t="n"/>
      <c r="C56" s="47" t="n"/>
      <c r="D56" s="47" t="n"/>
      <c r="E56" s="47" t="n"/>
      <c r="F56" s="47" t="n"/>
      <c r="G56" s="47" t="n"/>
      <c r="H56" s="47" t="n"/>
      <c r="I56" s="47" t="n"/>
      <c r="J56" s="48">
        <f t="shared" si="0"/>
      </c>
      <c r="K56" s="48">
        <f t="shared" si="1"/>
      </c>
      <c r="L56" s="48">
        <f t="shared" si="2"/>
      </c>
      <c r="M56" s="50" t="n"/>
      <c r="O56" s="43" t="n">
        <v>52</v>
      </c>
      <c r="P56" s="50" t="inlineStr">
        <is>
          <t>张小朋（分包）</t>
        </is>
      </c>
      <c r="Q56" s="50" t="inlineStr">
        <is>
          <t>数字产业园</t>
        </is>
      </c>
      <c r="R56" s="47" t="n">
        <v>52410</v>
      </c>
      <c r="S56" s="47" t="n">
        <v>50260</v>
      </c>
      <c r="T56" s="47" t="n"/>
      <c r="U56" s="50" t="inlineStr">
        <is>
          <t>累计已付（按各项目应付比例分）− 2026 年 3 月起流水付的</t>
        </is>
      </c>
      <c r="V56" s="43" t="str">
        <f t="shared" si="3"/>
        <v>分包</v>
      </c>
    </row>
    <row r="57">
      <c r="A57" s="43" t="n">
        <v>53</v>
      </c>
      <c r="B57" s="50" t="n"/>
      <c r="C57" s="47" t="n"/>
      <c r="D57" s="47" t="n"/>
      <c r="E57" s="47" t="n"/>
      <c r="F57" s="47" t="n"/>
      <c r="G57" s="47" t="n"/>
      <c r="H57" s="47" t="n"/>
      <c r="I57" s="47" t="n"/>
      <c r="J57" s="48">
        <f t="shared" si="0"/>
      </c>
      <c r="K57" s="48">
        <f t="shared" si="1"/>
      </c>
      <c r="L57" s="48">
        <f t="shared" si="2"/>
      </c>
      <c r="M57" s="50" t="n"/>
      <c r="O57" s="43" t="n">
        <v>53</v>
      </c>
      <c r="P57" s="50" t="inlineStr">
        <is>
          <t>徐怀生</t>
        </is>
      </c>
      <c r="Q57" s="50" t="inlineStr">
        <is>
          <t>九安架空层</t>
        </is>
      </c>
      <c r="R57" s="47" t="n">
        <v>35960</v>
      </c>
      <c r="S57" s="47" t="n">
        <v>35960</v>
      </c>
      <c r="T57" s="47" t="n"/>
      <c r="U57" s="50" t="inlineStr">
        <is>
          <t>累计已付（按各项目应付比例分）− 2026 年 3 月起流水付的</t>
        </is>
      </c>
      <c r="V57" s="43" t="str">
        <f t="shared" si="3"/>
        <v>分包</v>
      </c>
    </row>
    <row r="58">
      <c r="A58" s="43" t="n">
        <v>54</v>
      </c>
      <c r="B58" s="50" t="n"/>
      <c r="C58" s="47" t="n"/>
      <c r="D58" s="47" t="n"/>
      <c r="E58" s="47" t="n"/>
      <c r="F58" s="47" t="n"/>
      <c r="G58" s="47" t="n"/>
      <c r="H58" s="47" t="n"/>
      <c r="I58" s="47" t="n"/>
      <c r="J58" s="48">
        <f t="shared" si="0"/>
      </c>
      <c r="K58" s="48">
        <f t="shared" si="1"/>
      </c>
      <c r="L58" s="48">
        <f t="shared" si="2"/>
      </c>
      <c r="M58" s="50" t="n"/>
      <c r="O58" s="43" t="n">
        <v>54</v>
      </c>
      <c r="P58" s="50" t="inlineStr">
        <is>
          <t>龚文坚</t>
        </is>
      </c>
      <c r="Q58" s="50" t="inlineStr">
        <is>
          <t>抚州1号楼</t>
        </is>
      </c>
      <c r="R58" s="47" t="n">
        <v>229235</v>
      </c>
      <c r="S58" s="47" t="n">
        <v>230861.59</v>
      </c>
      <c r="T58" s="47" t="n"/>
      <c r="U58" s="50" t="inlineStr">
        <is>
          <t>累计已付（按各项目应付比例分）− 2026 年 3 月起流水付的</t>
        </is>
      </c>
      <c r="V58" s="43" t="str">
        <f t="shared" si="3"/>
        <v>分包</v>
      </c>
    </row>
    <row r="59">
      <c r="A59" s="43" t="n">
        <v>55</v>
      </c>
      <c r="B59" s="50" t="n"/>
      <c r="C59" s="47" t="n"/>
      <c r="D59" s="47" t="n"/>
      <c r="E59" s="47" t="n"/>
      <c r="F59" s="47" t="n"/>
      <c r="G59" s="47" t="n"/>
      <c r="H59" s="47" t="n"/>
      <c r="I59" s="47" t="n"/>
      <c r="J59" s="48">
        <f t="shared" si="0"/>
      </c>
      <c r="K59" s="48">
        <f t="shared" si="1"/>
      </c>
      <c r="L59" s="48">
        <f t="shared" si="2"/>
      </c>
      <c r="M59" s="50" t="n"/>
      <c r="O59" s="43" t="n">
        <v>55</v>
      </c>
      <c r="P59" s="50" t="inlineStr">
        <is>
          <t>龚文坚</t>
        </is>
      </c>
      <c r="Q59" s="50" t="inlineStr">
        <is>
          <t>抚州8号楼</t>
        </is>
      </c>
      <c r="R59" s="47" t="n">
        <v>294925</v>
      </c>
      <c r="S59" s="47" t="n">
        <v>297017.71</v>
      </c>
      <c r="T59" s="47" t="n"/>
      <c r="U59" s="50" t="n"/>
      <c r="V59" s="43" t="str">
        <f t="shared" si="3"/>
        <v>分包</v>
      </c>
    </row>
    <row r="60">
      <c r="A60" s="43" t="n">
        <v>56</v>
      </c>
      <c r="B60" s="50" t="n"/>
      <c r="C60" s="47" t="n"/>
      <c r="D60" s="47" t="n"/>
      <c r="E60" s="47" t="n"/>
      <c r="F60" s="47" t="n"/>
      <c r="G60" s="47" t="n"/>
      <c r="H60" s="47" t="n"/>
      <c r="I60" s="47" t="n"/>
      <c r="J60" s="48">
        <f t="shared" si="0"/>
      </c>
      <c r="K60" s="48">
        <f t="shared" si="1"/>
      </c>
      <c r="L60" s="48">
        <f t="shared" si="2"/>
      </c>
      <c r="M60" s="50" t="n"/>
      <c r="O60" s="43" t="n">
        <v>56</v>
      </c>
      <c r="P60" s="50" t="inlineStr">
        <is>
          <t>龚文坚</t>
        </is>
      </c>
      <c r="Q60" s="50" t="n"/>
      <c r="R60" s="47" t="n">
        <v>17715</v>
      </c>
      <c r="S60" s="47" t="n">
        <v>17840.7</v>
      </c>
      <c r="T60" s="47" t="n"/>
      <c r="U60" s="50" t="inlineStr">
        <is>
          <t>分包表里各项目栏合计比应付总额少的部分，项目请补</t>
        </is>
      </c>
      <c r="V60" s="43" t="str">
        <f t="shared" si="3"/>
        <v>分包</v>
      </c>
    </row>
    <row r="61">
      <c r="A61" s="43" t="n">
        <v>57</v>
      </c>
      <c r="B61" s="50" t="n"/>
      <c r="C61" s="47" t="n"/>
      <c r="D61" s="47" t="n"/>
      <c r="E61" s="47" t="n"/>
      <c r="F61" s="47" t="n"/>
      <c r="G61" s="47" t="n"/>
      <c r="H61" s="47" t="n"/>
      <c r="I61" s="47" t="n"/>
      <c r="J61" s="48">
        <f t="shared" si="0"/>
      </c>
      <c r="K61" s="48">
        <f t="shared" si="1"/>
      </c>
      <c r="L61" s="48">
        <f t="shared" si="2"/>
      </c>
      <c r="M61" s="50" t="n"/>
      <c r="O61" s="43" t="n">
        <v>57</v>
      </c>
      <c r="P61" s="50" t="inlineStr">
        <is>
          <t>程章赐（分包）</t>
        </is>
      </c>
      <c r="Q61" s="50" t="inlineStr">
        <is>
          <t>数字产业园</t>
        </is>
      </c>
      <c r="R61" s="47" t="n">
        <v>18000</v>
      </c>
      <c r="S61" s="47" t="n">
        <v>12000</v>
      </c>
      <c r="T61" s="47" t="n"/>
      <c r="U61" s="50" t="inlineStr">
        <is>
          <t>累计已付（按各项目应付比例分）− 2026 年 3 月起流水付的</t>
        </is>
      </c>
      <c r="V61" s="43" t="str">
        <f t="shared" si="3"/>
        <v>分包</v>
      </c>
    </row>
    <row r="62">
      <c r="A62" s="43" t="n">
        <v>58</v>
      </c>
      <c r="B62" s="50" t="n"/>
      <c r="C62" s="47" t="n"/>
      <c r="D62" s="47" t="n"/>
      <c r="E62" s="47" t="n"/>
      <c r="F62" s="47" t="n"/>
      <c r="G62" s="47" t="n"/>
      <c r="H62" s="47" t="n"/>
      <c r="I62" s="47" t="n"/>
      <c r="J62" s="48">
        <f t="shared" si="0"/>
      </c>
      <c r="K62" s="48">
        <f t="shared" si="1"/>
      </c>
      <c r="L62" s="48">
        <f t="shared" si="2"/>
      </c>
      <c r="M62" s="50" t="n"/>
      <c r="O62" s="43" t="n">
        <v>58</v>
      </c>
      <c r="P62" s="50" t="inlineStr">
        <is>
          <t>杨工</t>
        </is>
      </c>
      <c r="Q62" s="50" t="inlineStr">
        <is>
          <t>科创中心</t>
        </is>
      </c>
      <c r="R62" s="47" t="n">
        <v>98875</v>
      </c>
      <c r="S62" s="47" t="n">
        <v>30000</v>
      </c>
      <c r="T62" s="47" t="n"/>
      <c r="U62" s="50" t="inlineStr">
        <is>
          <t>机械费表 25/11-26/1；已付 30,000 王伟垫付</t>
        </is>
      </c>
      <c r="V62" s="43" t="str">
        <f t="shared" si="3"/>
        <v>机械运输</v>
      </c>
    </row>
    <row r="63">
      <c r="A63" s="43" t="n">
        <v>59</v>
      </c>
      <c r="B63" s="50" t="n"/>
      <c r="C63" s="47" t="n"/>
      <c r="D63" s="47" t="n"/>
      <c r="E63" s="47" t="n"/>
      <c r="F63" s="47" t="n"/>
      <c r="G63" s="47" t="n"/>
      <c r="H63" s="47" t="n"/>
      <c r="I63" s="47" t="n"/>
      <c r="J63" s="48">
        <f t="shared" si="0"/>
      </c>
      <c r="K63" s="48">
        <f t="shared" si="1"/>
      </c>
      <c r="L63" s="48">
        <f t="shared" si="2"/>
      </c>
      <c r="M63" s="50" t="n"/>
      <c r="O63" s="43" t="n">
        <v>59</v>
      </c>
      <c r="P63" s="50" t="inlineStr">
        <is>
          <t>徐工</t>
        </is>
      </c>
      <c r="Q63" s="50" t="inlineStr">
        <is>
          <t>科创中心</t>
        </is>
      </c>
      <c r="R63" s="47" t="n">
        <v>6900</v>
      </c>
      <c r="S63" s="47" t="n">
        <v>5000</v>
      </c>
      <c r="T63" s="47" t="n">
        <v>5000</v>
      </c>
      <c r="U63" s="50" t="inlineStr">
        <is>
          <t>机械费表 25/11-26/1；2025-11-10 九江银行付 5,000</t>
        </is>
      </c>
      <c r="V63" s="43" t="str">
        <f t="shared" si="3"/>
        <v>机械运输</v>
      </c>
    </row>
    <row r="64">
      <c r="A64" s="43" t="n">
        <v>60</v>
      </c>
      <c r="B64" s="50" t="n"/>
      <c r="C64" s="47" t="n"/>
      <c r="D64" s="47" t="n"/>
      <c r="E64" s="47" t="n"/>
      <c r="F64" s="47" t="n"/>
      <c r="G64" s="47" t="n"/>
      <c r="H64" s="47" t="n"/>
      <c r="I64" s="47" t="n"/>
      <c r="J64" s="48">
        <f t="shared" si="0"/>
      </c>
      <c r="K64" s="48">
        <f t="shared" si="1"/>
      </c>
      <c r="L64" s="48">
        <f t="shared" si="2"/>
      </c>
      <c r="M64" s="50" t="n"/>
      <c r="O64" s="43" t="n">
        <v>60</v>
      </c>
      <c r="P64" s="50" t="n"/>
      <c r="Q64" s="50" t="n"/>
      <c r="R64" s="47" t="n"/>
      <c r="S64" s="47" t="n"/>
      <c r="T64" s="47" t="n"/>
      <c r="U64" s="50" t="n"/>
      <c r="V64" s="43">
        <f t="shared" si="3"/>
      </c>
    </row>
    <row r="65">
      <c r="B65" s="76" t="inlineStr">
        <is>
          <t>合计</t>
        </is>
      </c>
      <c r="C65" s="77">
        <f>SUM(C5:C64)</f>
        <v>10155689.91</v>
      </c>
      <c r="D65" s="77">
        <f>SUM(D5:D64)</f>
        <v>5614118.97</v>
      </c>
      <c r="E65" s="77">
        <f>SUM(E5:E64)</f>
        <v>5281391.34</v>
      </c>
      <c r="F65" s="77">
        <f>SUM(F5:F64)</f>
        <v>1573416.4</v>
      </c>
      <c r="G65" s="77">
        <f>SUM(G5:G64)</f>
        <v>0</v>
      </c>
      <c r="H65" s="77">
        <f>SUM(H5:H64)</f>
        <v>0</v>
      </c>
      <c r="I65" s="77">
        <f>SUM(I5:I64)</f>
        <v>274889.16</v>
      </c>
      <c r="J65" s="77">
        <f>SUM(J5:J64)</f>
        <v>2789224.26</v>
      </c>
      <c r="K65" s="77">
        <f>SUM(K5:K64)</f>
        <v>1773184.03</v>
      </c>
      <c r="L65" s="77">
        <f>SUM(L5:L64)</f>
        <v>105775</v>
      </c>
      <c r="O65" s="43" t="n">
        <v>61</v>
      </c>
      <c r="P65" s="50" t="n"/>
      <c r="Q65" s="50" t="n"/>
      <c r="R65" s="47" t="n"/>
      <c r="S65" s="47" t="n"/>
      <c r="T65" s="47" t="n"/>
      <c r="U65" s="50" t="n"/>
      <c r="V65" s="43">
        <f t="shared" si="3"/>
      </c>
    </row>
    <row r="66">
      <c r="A66" s="78" t="inlineStr">
        <is>
          <t>③ 其他期初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O66" s="43" t="n">
        <v>62</v>
      </c>
      <c r="P66" s="50" t="n"/>
      <c r="Q66" s="50" t="n"/>
      <c r="R66" s="47" t="n"/>
      <c r="S66" s="47" t="n"/>
      <c r="T66" s="47" t="n"/>
      <c r="U66" s="50" t="n"/>
      <c r="V66" s="43">
        <f t="shared" si="3"/>
      </c>
    </row>
    <row r="67" ht="34" customHeight="1">
      <c r="A67" s="72" t="inlineStr">
        <is>
          <t>序号</t>
        </is>
      </c>
      <c r="B67" s="72" t="inlineStr">
        <is>
          <t>项目</t>
        </is>
      </c>
      <c r="C67" s="72" t="inlineStr">
        <is>
          <t>金额</t>
        </is>
      </c>
      <c r="D67" s="72" t="inlineStr">
        <is>
          <t>说明</t>
        </is>
      </c>
      <c r="E67" s="9" t="n"/>
      <c r="F67" s="9" t="n"/>
      <c r="G67" s="9" t="n"/>
      <c r="H67" s="9" t="n"/>
      <c r="I67" s="9" t="n"/>
      <c r="J67" s="9" t="n"/>
      <c r="K67" s="9" t="n"/>
      <c r="L67" s="9" t="n"/>
      <c r="M67" s="10" t="n"/>
      <c r="O67" s="43" t="n">
        <v>63</v>
      </c>
      <c r="P67" s="50" t="n"/>
      <c r="Q67" s="50" t="n"/>
      <c r="R67" s="47" t="n"/>
      <c r="S67" s="47" t="n"/>
      <c r="T67" s="47" t="n"/>
      <c r="U67" s="50" t="n"/>
      <c r="V67" s="43">
        <f t="shared" si="3"/>
      </c>
    </row>
    <row r="68" ht="22" customHeight="1">
      <c r="A68" s="43" t="n">
        <v>1</v>
      </c>
      <c r="B68" s="19" t="inlineStr">
        <is>
          <t>短期借款</t>
        </is>
      </c>
      <c r="C68" s="47" t="n">
        <v>281148</v>
      </c>
      <c r="D68" s="28" t="inlineStr">
        <is>
          <t>建账那天欠银行的本金</t>
        </is>
      </c>
      <c r="O68" s="43" t="n">
        <v>64</v>
      </c>
      <c r="P68" s="50" t="n"/>
      <c r="Q68" s="50" t="n"/>
      <c r="R68" s="47" t="n"/>
      <c r="S68" s="47" t="n"/>
      <c r="T68" s="47" t="n"/>
      <c r="U68" s="50" t="n"/>
      <c r="V68" s="43">
        <f t="shared" si="3"/>
      </c>
    </row>
    <row r="69" ht="22" customHeight="1">
      <c r="A69" s="43" t="n">
        <v>2</v>
      </c>
      <c r="B69" s="19" t="inlineStr">
        <is>
          <t>保证金押金（付出去还没退的）</t>
        </is>
      </c>
      <c r="C69" s="47" t="n"/>
      <c r="D69" s="28" t="inlineStr">
        <is>
          <t>投标、履约保证金、押金还没退回的</t>
        </is>
      </c>
      <c r="O69" s="43" t="n">
        <v>65</v>
      </c>
      <c r="P69" s="50" t="n"/>
      <c r="Q69" s="50" t="n"/>
      <c r="R69" s="47" t="n"/>
      <c r="S69" s="47" t="n"/>
      <c r="T69" s="47" t="n"/>
      <c r="U69" s="50" t="n"/>
      <c r="V69" s="43">
        <f t="shared" si="3"/>
      </c>
    </row>
    <row r="70" ht="22" customHeight="1">
      <c r="A70" s="43" t="n">
        <v>3</v>
      </c>
      <c r="B70" s="19" t="inlineStr">
        <is>
          <t>其他应收款（别的）</t>
        </is>
      </c>
      <c r="C70" s="47" t="n"/>
      <c r="D70" s="28" t="inlineStr">
        <is>
          <t>上面没有的其他应收（员工借款请在【往来单位】填负的期初欠薪）</t>
        </is>
      </c>
      <c r="O70" s="43" t="n">
        <v>66</v>
      </c>
      <c r="P70" s="50" t="n"/>
      <c r="Q70" s="50" t="n"/>
      <c r="R70" s="47" t="n"/>
      <c r="S70" s="47" t="n"/>
      <c r="T70" s="47" t="n"/>
      <c r="U70" s="50" t="n"/>
      <c r="V70" s="43">
        <f t="shared" si="3"/>
      </c>
    </row>
    <row r="71" ht="22" customHeight="1">
      <c r="A71" s="43" t="n">
        <v>4</v>
      </c>
      <c r="B71" s="19" t="inlineStr">
        <is>
          <t>应交税费（欠税为正、多交为负）</t>
        </is>
      </c>
      <c r="C71" s="47" t="n"/>
      <c r="D71" s="28" t="inlineStr">
        <is>
          <t>建账那天还欠税务局的税（多交了填负数）</t>
        </is>
      </c>
      <c r="O71" s="43" t="n">
        <v>67</v>
      </c>
      <c r="P71" s="50" t="n"/>
      <c r="Q71" s="50" t="n"/>
      <c r="R71" s="47" t="n"/>
      <c r="S71" s="47" t="n"/>
      <c r="T71" s="47" t="n"/>
      <c r="U71" s="50" t="n"/>
      <c r="V71" s="43">
        <f t="shared" si="3"/>
      </c>
    </row>
    <row r="72" ht="22" customHeight="1">
      <c r="A72" s="43" t="n">
        <v>5</v>
      </c>
      <c r="B72" s="19" t="inlineStr">
        <is>
          <t>其他应付款（别的）</t>
        </is>
      </c>
      <c r="C72" s="47" t="n"/>
      <c r="D72" s="28" t="inlineStr">
        <is>
          <t>上面没有的其他应付（老板个人借款请填在【基础资料】② 他的个人户期初里，填负数）</t>
        </is>
      </c>
      <c r="O72" s="43" t="n">
        <v>68</v>
      </c>
      <c r="P72" s="50" t="n"/>
      <c r="Q72" s="50" t="n"/>
      <c r="R72" s="47" t="n"/>
      <c r="S72" s="47" t="n"/>
      <c r="T72" s="47" t="n"/>
      <c r="U72" s="50" t="n"/>
      <c r="V72" s="43">
        <f t="shared" si="3"/>
      </c>
    </row>
    <row r="73" ht="22" customHeight="1">
      <c r="A73" s="43" t="n">
        <v>6</v>
      </c>
      <c r="B73" s="19" t="inlineStr">
        <is>
          <t>实收资本（实缴）</t>
        </is>
      </c>
      <c r="C73" s="47" t="n"/>
      <c r="D73" s="28" t="inlineStr">
        <is>
          <t>股东实际缴进来的注册资本</t>
        </is>
      </c>
      <c r="O73" s="43" t="n">
        <v>69</v>
      </c>
      <c r="P73" s="50" t="n"/>
      <c r="Q73" s="50" t="n"/>
      <c r="R73" s="47" t="n"/>
      <c r="S73" s="47" t="n"/>
      <c r="T73" s="47" t="n"/>
      <c r="U73" s="50" t="n"/>
      <c r="V73" s="43">
        <f t="shared" si="3"/>
      </c>
    </row>
    <row r="74" ht="22" customHeight="1">
      <c r="A74" s="43" t="n">
        <v>7</v>
      </c>
      <c r="B74" s="19" t="inlineStr">
        <is>
          <t>应付设备款（建账前赊购、还没付完的）</t>
        </is>
      </c>
      <c r="C74" s="47" t="n"/>
      <c r="D74" s="28" t="inlineStr">
        <is>
          <t>建账前赊购的车、设备还欠多少（车、设备本身在【基础资料】⑥ 登记）</t>
        </is>
      </c>
      <c r="O74" s="43" t="n">
        <v>70</v>
      </c>
      <c r="P74" s="50" t="n"/>
      <c r="Q74" s="50" t="n"/>
      <c r="R74" s="47" t="n"/>
      <c r="S74" s="47" t="n"/>
      <c r="T74" s="47" t="n"/>
      <c r="U74" s="50" t="n"/>
      <c r="V74" s="43">
        <f t="shared" si="3"/>
      </c>
    </row>
    <row r="75" ht="22" customHeight="1">
      <c r="A75" s="43" t="n">
        <v>8</v>
      </c>
      <c r="B75" s="19" t="inlineStr">
        <is>
          <t>老板确认的期初未分配利润（可不填）</t>
        </is>
      </c>
      <c r="C75" s="47" t="n"/>
      <c r="D75" s="28" t="inlineStr">
        <is>
          <t>会计或老板认定的数；不填也行，【资产负债表】自动倒算并对比</t>
        </is>
      </c>
      <c r="O75" s="43" t="n">
        <v>71</v>
      </c>
      <c r="P75" s="50" t="n"/>
      <c r="Q75" s="50" t="n"/>
      <c r="R75" s="47" t="n"/>
      <c r="S75" s="47" t="n"/>
      <c r="T75" s="47" t="n"/>
      <c r="U75" s="50" t="n"/>
      <c r="V75" s="43">
        <f t="shared" si="3"/>
      </c>
    </row>
    <row r="76">
      <c r="O76" s="43" t="n">
        <v>72</v>
      </c>
      <c r="P76" s="50" t="n"/>
      <c r="Q76" s="50" t="n"/>
      <c r="R76" s="47" t="n"/>
      <c r="S76" s="47" t="n"/>
      <c r="T76" s="47" t="n"/>
      <c r="U76" s="50" t="n"/>
      <c r="V76" s="43">
        <f t="shared" si="3"/>
      </c>
    </row>
    <row r="77">
      <c r="O77" s="43" t="n">
        <v>73</v>
      </c>
      <c r="P77" s="50" t="n"/>
      <c r="Q77" s="50" t="n"/>
      <c r="R77" s="47" t="n"/>
      <c r="S77" s="47" t="n"/>
      <c r="T77" s="47" t="n"/>
      <c r="U77" s="50" t="n"/>
      <c r="V77" s="43">
        <f t="shared" si="3"/>
      </c>
    </row>
    <row r="78">
      <c r="O78" s="43" t="n">
        <v>74</v>
      </c>
      <c r="P78" s="50" t="n"/>
      <c r="Q78" s="50" t="n"/>
      <c r="R78" s="47" t="n"/>
      <c r="S78" s="47" t="n"/>
      <c r="T78" s="47" t="n"/>
      <c r="U78" s="50" t="n"/>
      <c r="V78" s="43">
        <f t="shared" si="3"/>
      </c>
    </row>
    <row r="79">
      <c r="O79" s="43" t="n">
        <v>75</v>
      </c>
      <c r="P79" s="50" t="n"/>
      <c r="Q79" s="50" t="n"/>
      <c r="R79" s="47" t="n"/>
      <c r="S79" s="47" t="n"/>
      <c r="T79" s="47" t="n"/>
      <c r="U79" s="50" t="n"/>
      <c r="V79" s="43">
        <f t="shared" si="3"/>
      </c>
    </row>
    <row r="80">
      <c r="O80" s="43" t="n">
        <v>76</v>
      </c>
      <c r="P80" s="50" t="n"/>
      <c r="Q80" s="50" t="n"/>
      <c r="R80" s="47" t="n"/>
      <c r="S80" s="47" t="n"/>
      <c r="T80" s="47" t="n"/>
      <c r="U80" s="50" t="n"/>
      <c r="V80" s="43">
        <f t="shared" si="3"/>
      </c>
    </row>
    <row r="81">
      <c r="O81" s="43" t="n">
        <v>77</v>
      </c>
      <c r="P81" s="50" t="n"/>
      <c r="Q81" s="50" t="n"/>
      <c r="R81" s="47" t="n"/>
      <c r="S81" s="47" t="n"/>
      <c r="T81" s="47" t="n"/>
      <c r="U81" s="50" t="n"/>
      <c r="V81" s="43">
        <f t="shared" si="3"/>
      </c>
    </row>
    <row r="82">
      <c r="O82" s="43" t="n">
        <v>78</v>
      </c>
      <c r="P82" s="50" t="n"/>
      <c r="Q82" s="50" t="n"/>
      <c r="R82" s="47" t="n"/>
      <c r="S82" s="47" t="n"/>
      <c r="T82" s="47" t="n"/>
      <c r="U82" s="50" t="n"/>
      <c r="V82" s="43">
        <f t="shared" si="3"/>
      </c>
    </row>
    <row r="83">
      <c r="O83" s="43" t="n">
        <v>79</v>
      </c>
      <c r="P83" s="50" t="n"/>
      <c r="Q83" s="50" t="n"/>
      <c r="R83" s="47" t="n"/>
      <c r="S83" s="47" t="n"/>
      <c r="T83" s="47" t="n"/>
      <c r="U83" s="50" t="n"/>
      <c r="V83" s="43">
        <f t="shared" si="3"/>
      </c>
    </row>
    <row r="84">
      <c r="O84" s="43" t="n">
        <v>80</v>
      </c>
      <c r="P84" s="50" t="n"/>
      <c r="Q84" s="50" t="n"/>
      <c r="R84" s="47" t="n"/>
      <c r="S84" s="47" t="n"/>
      <c r="T84" s="47" t="n"/>
      <c r="U84" s="50" t="n"/>
      <c r="V84" s="43">
        <f t="shared" si="3"/>
      </c>
    </row>
    <row r="85">
      <c r="O85" s="43" t="n">
        <v>81</v>
      </c>
      <c r="P85" s="50" t="n"/>
      <c r="Q85" s="50" t="n"/>
      <c r="R85" s="47" t="n"/>
      <c r="S85" s="47" t="n"/>
      <c r="T85" s="47" t="n"/>
      <c r="U85" s="50" t="n"/>
      <c r="V85" s="43">
        <f t="shared" si="3"/>
      </c>
    </row>
    <row r="86">
      <c r="O86" s="43" t="n">
        <v>82</v>
      </c>
      <c r="P86" s="50" t="n"/>
      <c r="Q86" s="50" t="n"/>
      <c r="R86" s="47" t="n"/>
      <c r="S86" s="47" t="n"/>
      <c r="T86" s="47" t="n"/>
      <c r="U86" s="50" t="n"/>
      <c r="V86" s="43">
        <f t="shared" si="3"/>
      </c>
    </row>
    <row r="87">
      <c r="O87" s="43" t="n">
        <v>83</v>
      </c>
      <c r="P87" s="50" t="n"/>
      <c r="Q87" s="50" t="n"/>
      <c r="R87" s="47" t="n"/>
      <c r="S87" s="47" t="n"/>
      <c r="T87" s="47" t="n"/>
      <c r="U87" s="50" t="n"/>
      <c r="V87" s="43">
        <f t="shared" si="3"/>
      </c>
    </row>
    <row r="88">
      <c r="O88" s="43" t="n">
        <v>84</v>
      </c>
      <c r="P88" s="50" t="n"/>
      <c r="Q88" s="50" t="n"/>
      <c r="R88" s="47" t="n"/>
      <c r="S88" s="47" t="n"/>
      <c r="T88" s="47" t="n"/>
      <c r="U88" s="50" t="n"/>
      <c r="V88" s="43">
        <f t="shared" si="3"/>
      </c>
    </row>
    <row r="89">
      <c r="O89" s="43" t="n">
        <v>85</v>
      </c>
      <c r="P89" s="50" t="n"/>
      <c r="Q89" s="50" t="n"/>
      <c r="R89" s="47" t="n"/>
      <c r="S89" s="47" t="n"/>
      <c r="T89" s="47" t="n"/>
      <c r="U89" s="50" t="n"/>
      <c r="V89" s="43">
        <f t="shared" si="3"/>
      </c>
    </row>
    <row r="90">
      <c r="O90" s="43" t="n">
        <v>86</v>
      </c>
      <c r="P90" s="50" t="n"/>
      <c r="Q90" s="50" t="n"/>
      <c r="R90" s="47" t="n"/>
      <c r="S90" s="47" t="n"/>
      <c r="T90" s="47" t="n"/>
      <c r="U90" s="50" t="n"/>
      <c r="V90" s="43">
        <f t="shared" si="3"/>
      </c>
    </row>
    <row r="91">
      <c r="O91" s="43" t="n">
        <v>87</v>
      </c>
      <c r="P91" s="50" t="n"/>
      <c r="Q91" s="50" t="n"/>
      <c r="R91" s="47" t="n"/>
      <c r="S91" s="47" t="n"/>
      <c r="T91" s="47" t="n"/>
      <c r="U91" s="50" t="n"/>
      <c r="V91" s="43">
        <f t="shared" si="3"/>
      </c>
    </row>
    <row r="92">
      <c r="O92" s="43" t="n">
        <v>88</v>
      </c>
      <c r="P92" s="50" t="n"/>
      <c r="Q92" s="50" t="n"/>
      <c r="R92" s="47" t="n"/>
      <c r="S92" s="47" t="n"/>
      <c r="T92" s="47" t="n"/>
      <c r="U92" s="50" t="n"/>
      <c r="V92" s="43">
        <f t="shared" si="3"/>
      </c>
    </row>
    <row r="93">
      <c r="O93" s="43" t="n">
        <v>89</v>
      </c>
      <c r="P93" s="50" t="n"/>
      <c r="Q93" s="50" t="n"/>
      <c r="R93" s="47" t="n"/>
      <c r="S93" s="47" t="n"/>
      <c r="T93" s="47" t="n"/>
      <c r="U93" s="50" t="n"/>
      <c r="V93" s="43">
        <f t="shared" si="3"/>
      </c>
    </row>
    <row r="94">
      <c r="O94" s="43" t="n">
        <v>90</v>
      </c>
      <c r="P94" s="50" t="n"/>
      <c r="Q94" s="50" t="n"/>
      <c r="R94" s="47" t="n"/>
      <c r="S94" s="47" t="n"/>
      <c r="T94" s="47" t="n"/>
      <c r="U94" s="50" t="n"/>
      <c r="V94" s="43">
        <f t="shared" si="3"/>
      </c>
    </row>
    <row r="95">
      <c r="O95" s="43" t="n">
        <v>91</v>
      </c>
      <c r="P95" s="50" t="n"/>
      <c r="Q95" s="50" t="n"/>
      <c r="R95" s="47" t="n"/>
      <c r="S95" s="47" t="n"/>
      <c r="T95" s="47" t="n"/>
      <c r="U95" s="50" t="n"/>
      <c r="V95" s="43">
        <f t="shared" si="3"/>
      </c>
    </row>
    <row r="96">
      <c r="O96" s="43" t="n">
        <v>92</v>
      </c>
      <c r="P96" s="50" t="n"/>
      <c r="Q96" s="50" t="n"/>
      <c r="R96" s="47" t="n"/>
      <c r="S96" s="47" t="n"/>
      <c r="T96" s="47" t="n"/>
      <c r="U96" s="50" t="n"/>
      <c r="V96" s="43">
        <f t="shared" si="3"/>
      </c>
    </row>
    <row r="97">
      <c r="O97" s="43" t="n">
        <v>93</v>
      </c>
      <c r="P97" s="50" t="n"/>
      <c r="Q97" s="50" t="n"/>
      <c r="R97" s="47" t="n"/>
      <c r="S97" s="47" t="n"/>
      <c r="T97" s="47" t="n"/>
      <c r="U97" s="50" t="n"/>
      <c r="V97" s="43">
        <f t="shared" si="3"/>
      </c>
    </row>
    <row r="98">
      <c r="O98" s="43" t="n">
        <v>94</v>
      </c>
      <c r="P98" s="50" t="n"/>
      <c r="Q98" s="50" t="n"/>
      <c r="R98" s="47" t="n"/>
      <c r="S98" s="47" t="n"/>
      <c r="T98" s="47" t="n"/>
      <c r="U98" s="50" t="n"/>
      <c r="V98" s="43">
        <f t="shared" si="3"/>
      </c>
    </row>
    <row r="99">
      <c r="O99" s="43" t="n">
        <v>95</v>
      </c>
      <c r="P99" s="50" t="n"/>
      <c r="Q99" s="50" t="n"/>
      <c r="R99" s="47" t="n"/>
      <c r="S99" s="47" t="n"/>
      <c r="T99" s="47" t="n"/>
      <c r="U99" s="50" t="n"/>
      <c r="V99" s="43">
        <f t="shared" si="3"/>
      </c>
    </row>
    <row r="100">
      <c r="O100" s="43" t="n">
        <v>96</v>
      </c>
      <c r="P100" s="50" t="n"/>
      <c r="Q100" s="50" t="n"/>
      <c r="R100" s="47" t="n"/>
      <c r="S100" s="47" t="n"/>
      <c r="T100" s="47" t="n"/>
      <c r="U100" s="50" t="n"/>
      <c r="V100" s="43">
        <f t="shared" si="3"/>
      </c>
    </row>
    <row r="101">
      <c r="O101" s="43" t="n">
        <v>97</v>
      </c>
      <c r="P101" s="50" t="n"/>
      <c r="Q101" s="50" t="n"/>
      <c r="R101" s="47" t="n"/>
      <c r="S101" s="47" t="n"/>
      <c r="T101" s="47" t="n"/>
      <c r="U101" s="50" t="n"/>
      <c r="V101" s="43">
        <f t="shared" si="3"/>
      </c>
    </row>
    <row r="102">
      <c r="O102" s="43" t="n">
        <v>98</v>
      </c>
      <c r="P102" s="50" t="n"/>
      <c r="Q102" s="50" t="n"/>
      <c r="R102" s="47" t="n"/>
      <c r="S102" s="47" t="n"/>
      <c r="T102" s="47" t="n"/>
      <c r="U102" s="50" t="n"/>
      <c r="V102" s="43">
        <f t="shared" si="3"/>
      </c>
    </row>
    <row r="103">
      <c r="O103" s="43" t="n">
        <v>99</v>
      </c>
      <c r="P103" s="50" t="n"/>
      <c r="Q103" s="50" t="n"/>
      <c r="R103" s="47" t="n"/>
      <c r="S103" s="47" t="n"/>
      <c r="T103" s="47" t="n"/>
      <c r="U103" s="50" t="n"/>
      <c r="V103" s="43">
        <f t="shared" si="3"/>
      </c>
    </row>
    <row r="104">
      <c r="O104" s="43" t="n">
        <v>100</v>
      </c>
      <c r="P104" s="50" t="n"/>
      <c r="Q104" s="50" t="n"/>
      <c r="R104" s="47" t="n"/>
      <c r="S104" s="47" t="n"/>
      <c r="T104" s="47" t="n"/>
      <c r="U104" s="50" t="n"/>
      <c r="V104" s="43">
        <f t="shared" si="3"/>
      </c>
    </row>
    <row r="105">
      <c r="O105" s="43" t="n">
        <v>101</v>
      </c>
      <c r="P105" s="50" t="n"/>
      <c r="Q105" s="50" t="n"/>
      <c r="R105" s="47" t="n"/>
      <c r="S105" s="47" t="n"/>
      <c r="T105" s="47" t="n"/>
      <c r="U105" s="50" t="n"/>
      <c r="V105" s="43">
        <f t="shared" si="3"/>
      </c>
    </row>
    <row r="106">
      <c r="O106" s="43" t="n">
        <v>102</v>
      </c>
      <c r="P106" s="50" t="n"/>
      <c r="Q106" s="50" t="n"/>
      <c r="R106" s="47" t="n"/>
      <c r="S106" s="47" t="n"/>
      <c r="T106" s="47" t="n"/>
      <c r="U106" s="50" t="n"/>
      <c r="V106" s="43">
        <f t="shared" si="3"/>
      </c>
    </row>
    <row r="107">
      <c r="O107" s="43" t="n">
        <v>103</v>
      </c>
      <c r="P107" s="50" t="n"/>
      <c r="Q107" s="50" t="n"/>
      <c r="R107" s="47" t="n"/>
      <c r="S107" s="47" t="n"/>
      <c r="T107" s="47" t="n"/>
      <c r="U107" s="50" t="n"/>
      <c r="V107" s="43">
        <f t="shared" si="3"/>
      </c>
    </row>
    <row r="108">
      <c r="O108" s="43" t="n">
        <v>104</v>
      </c>
      <c r="P108" s="50" t="n"/>
      <c r="Q108" s="50" t="n"/>
      <c r="R108" s="47" t="n"/>
      <c r="S108" s="47" t="n"/>
      <c r="T108" s="47" t="n"/>
      <c r="U108" s="50" t="n"/>
      <c r="V108" s="43">
        <f t="shared" si="3"/>
      </c>
    </row>
    <row r="109">
      <c r="O109" s="43" t="n">
        <v>105</v>
      </c>
      <c r="P109" s="50" t="n"/>
      <c r="Q109" s="50" t="n"/>
      <c r="R109" s="47" t="n"/>
      <c r="S109" s="47" t="n"/>
      <c r="T109" s="47" t="n"/>
      <c r="U109" s="50" t="n"/>
      <c r="V109" s="43">
        <f t="shared" si="3"/>
      </c>
    </row>
    <row r="110">
      <c r="O110" s="43" t="n">
        <v>106</v>
      </c>
      <c r="P110" s="50" t="n"/>
      <c r="Q110" s="50" t="n"/>
      <c r="R110" s="47" t="n"/>
      <c r="S110" s="47" t="n"/>
      <c r="T110" s="47" t="n"/>
      <c r="U110" s="50" t="n"/>
      <c r="V110" s="43">
        <f t="shared" si="3"/>
      </c>
    </row>
    <row r="111">
      <c r="O111" s="43" t="n">
        <v>107</v>
      </c>
      <c r="P111" s="50" t="n"/>
      <c r="Q111" s="50" t="n"/>
      <c r="R111" s="47" t="n"/>
      <c r="S111" s="47" t="n"/>
      <c r="T111" s="47" t="n"/>
      <c r="U111" s="50" t="n"/>
      <c r="V111" s="43">
        <f t="shared" si="3"/>
      </c>
    </row>
    <row r="112">
      <c r="O112" s="43" t="n">
        <v>108</v>
      </c>
      <c r="P112" s="50" t="n"/>
      <c r="Q112" s="50" t="n"/>
      <c r="R112" s="47" t="n"/>
      <c r="S112" s="47" t="n"/>
      <c r="T112" s="47" t="n"/>
      <c r="U112" s="50" t="n"/>
      <c r="V112" s="43">
        <f t="shared" si="3"/>
      </c>
    </row>
    <row r="113">
      <c r="O113" s="43" t="n">
        <v>109</v>
      </c>
      <c r="P113" s="50" t="n"/>
      <c r="Q113" s="50" t="n"/>
      <c r="R113" s="47" t="n"/>
      <c r="S113" s="47" t="n"/>
      <c r="T113" s="47" t="n"/>
      <c r="U113" s="50" t="n"/>
      <c r="V113" s="43">
        <f t="shared" si="3"/>
      </c>
    </row>
    <row r="114">
      <c r="O114" s="43" t="n">
        <v>110</v>
      </c>
      <c r="P114" s="50" t="n"/>
      <c r="Q114" s="50" t="n"/>
      <c r="R114" s="47" t="n"/>
      <c r="S114" s="47" t="n"/>
      <c r="T114" s="47" t="n"/>
      <c r="U114" s="50" t="n"/>
      <c r="V114" s="43">
        <f t="shared" si="3"/>
      </c>
    </row>
    <row r="115">
      <c r="O115" s="43" t="n">
        <v>111</v>
      </c>
      <c r="P115" s="50" t="n"/>
      <c r="Q115" s="50" t="n"/>
      <c r="R115" s="47" t="n"/>
      <c r="S115" s="47" t="n"/>
      <c r="T115" s="47" t="n"/>
      <c r="U115" s="50" t="n"/>
      <c r="V115" s="43">
        <f t="shared" si="3"/>
      </c>
    </row>
    <row r="116">
      <c r="O116" s="43" t="n">
        <v>112</v>
      </c>
      <c r="P116" s="50" t="n"/>
      <c r="Q116" s="50" t="n"/>
      <c r="R116" s="47" t="n"/>
      <c r="S116" s="47" t="n"/>
      <c r="T116" s="47" t="n"/>
      <c r="U116" s="50" t="n"/>
      <c r="V116" s="43">
        <f t="shared" si="3"/>
      </c>
    </row>
    <row r="117">
      <c r="O117" s="43" t="n">
        <v>113</v>
      </c>
      <c r="P117" s="50" t="n"/>
      <c r="Q117" s="50" t="n"/>
      <c r="R117" s="47" t="n"/>
      <c r="S117" s="47" t="n"/>
      <c r="T117" s="47" t="n"/>
      <c r="U117" s="50" t="n"/>
      <c r="V117" s="43">
        <f t="shared" si="3"/>
      </c>
    </row>
    <row r="118">
      <c r="O118" s="43" t="n">
        <v>114</v>
      </c>
      <c r="P118" s="50" t="n"/>
      <c r="Q118" s="50" t="n"/>
      <c r="R118" s="47" t="n"/>
      <c r="S118" s="47" t="n"/>
      <c r="T118" s="47" t="n"/>
      <c r="U118" s="50" t="n"/>
      <c r="V118" s="43">
        <f t="shared" si="3"/>
      </c>
    </row>
    <row r="119">
      <c r="O119" s="43" t="n">
        <v>115</v>
      </c>
      <c r="P119" s="50" t="n"/>
      <c r="Q119" s="50" t="n"/>
      <c r="R119" s="47" t="n"/>
      <c r="S119" s="47" t="n"/>
      <c r="T119" s="47" t="n"/>
      <c r="U119" s="50" t="n"/>
      <c r="V119" s="43">
        <f t="shared" si="3"/>
      </c>
    </row>
    <row r="120">
      <c r="O120" s="43" t="n">
        <v>116</v>
      </c>
      <c r="P120" s="50" t="n"/>
      <c r="Q120" s="50" t="n"/>
      <c r="R120" s="47" t="n"/>
      <c r="S120" s="47" t="n"/>
      <c r="T120" s="47" t="n"/>
      <c r="U120" s="50" t="n"/>
      <c r="V120" s="43">
        <f t="shared" si="3"/>
      </c>
    </row>
    <row r="121">
      <c r="O121" s="43" t="n">
        <v>117</v>
      </c>
      <c r="P121" s="50" t="n"/>
      <c r="Q121" s="50" t="n"/>
      <c r="R121" s="47" t="n"/>
      <c r="S121" s="47" t="n"/>
      <c r="T121" s="47" t="n"/>
      <c r="U121" s="50" t="n"/>
      <c r="V121" s="43">
        <f t="shared" si="3"/>
      </c>
    </row>
    <row r="122">
      <c r="O122" s="43" t="n">
        <v>118</v>
      </c>
      <c r="P122" s="50" t="n"/>
      <c r="Q122" s="50" t="n"/>
      <c r="R122" s="47" t="n"/>
      <c r="S122" s="47" t="n"/>
      <c r="T122" s="47" t="n"/>
      <c r="U122" s="50" t="n"/>
      <c r="V122" s="43">
        <f t="shared" si="3"/>
      </c>
    </row>
    <row r="123">
      <c r="O123" s="43" t="n">
        <v>119</v>
      </c>
      <c r="P123" s="50" t="n"/>
      <c r="Q123" s="50" t="n"/>
      <c r="R123" s="47" t="n"/>
      <c r="S123" s="47" t="n"/>
      <c r="T123" s="47" t="n"/>
      <c r="U123" s="50" t="n"/>
      <c r="V123" s="43">
        <f t="shared" si="3"/>
      </c>
    </row>
    <row r="124">
      <c r="O124" s="43" t="n">
        <v>120</v>
      </c>
      <c r="P124" s="50" t="n"/>
      <c r="Q124" s="50" t="n"/>
      <c r="R124" s="47" t="n"/>
      <c r="S124" s="47" t="n"/>
      <c r="T124" s="47" t="n"/>
      <c r="U124" s="50" t="n"/>
      <c r="V124" s="43">
        <f t="shared" si="3"/>
      </c>
    </row>
    <row r="125">
      <c r="O125" s="43" t="n">
        <v>121</v>
      </c>
      <c r="P125" s="50" t="n"/>
      <c r="Q125" s="50" t="n"/>
      <c r="R125" s="47" t="n"/>
      <c r="S125" s="47" t="n"/>
      <c r="T125" s="47" t="n"/>
      <c r="U125" s="50" t="n"/>
      <c r="V125" s="43">
        <f t="shared" si="3"/>
      </c>
    </row>
    <row r="126">
      <c r="O126" s="43" t="n">
        <v>122</v>
      </c>
      <c r="P126" s="50" t="n"/>
      <c r="Q126" s="50" t="n"/>
      <c r="R126" s="47" t="n"/>
      <c r="S126" s="47" t="n"/>
      <c r="T126" s="47" t="n"/>
      <c r="U126" s="50" t="n"/>
      <c r="V126" s="43">
        <f t="shared" si="3"/>
      </c>
    </row>
    <row r="127">
      <c r="O127" s="43" t="n">
        <v>123</v>
      </c>
      <c r="P127" s="50" t="n"/>
      <c r="Q127" s="50" t="n"/>
      <c r="R127" s="47" t="n"/>
      <c r="S127" s="47" t="n"/>
      <c r="T127" s="47" t="n"/>
      <c r="U127" s="50" t="n"/>
      <c r="V127" s="43">
        <f t="shared" si="3"/>
      </c>
    </row>
    <row r="128">
      <c r="O128" s="43" t="n">
        <v>124</v>
      </c>
      <c r="P128" s="50" t="n"/>
      <c r="Q128" s="50" t="n"/>
      <c r="R128" s="47" t="n"/>
      <c r="S128" s="47" t="n"/>
      <c r="T128" s="47" t="n"/>
      <c r="U128" s="50" t="n"/>
      <c r="V128" s="43">
        <f t="shared" si="3"/>
      </c>
    </row>
    <row r="129">
      <c r="O129" s="43" t="n">
        <v>125</v>
      </c>
      <c r="P129" s="50" t="n"/>
      <c r="Q129" s="50" t="n"/>
      <c r="R129" s="47" t="n"/>
      <c r="S129" s="47" t="n"/>
      <c r="T129" s="47" t="n"/>
      <c r="U129" s="50" t="n"/>
      <c r="V129" s="43">
        <f t="shared" si="3"/>
      </c>
    </row>
    <row r="130">
      <c r="O130" s="43" t="n">
        <v>126</v>
      </c>
      <c r="P130" s="50" t="n"/>
      <c r="Q130" s="50" t="n"/>
      <c r="R130" s="47" t="n"/>
      <c r="S130" s="47" t="n"/>
      <c r="T130" s="47" t="n"/>
      <c r="U130" s="50" t="n"/>
      <c r="V130" s="43">
        <f t="shared" si="3"/>
      </c>
    </row>
    <row r="131">
      <c r="O131" s="43" t="n">
        <v>127</v>
      </c>
      <c r="P131" s="50" t="n"/>
      <c r="Q131" s="50" t="n"/>
      <c r="R131" s="47" t="n"/>
      <c r="S131" s="47" t="n"/>
      <c r="T131" s="47" t="n"/>
      <c r="U131" s="50" t="n"/>
      <c r="V131" s="43">
        <f t="shared" si="3"/>
      </c>
    </row>
    <row r="132">
      <c r="O132" s="43" t="n">
        <v>128</v>
      </c>
      <c r="P132" s="50" t="n"/>
      <c r="Q132" s="50" t="n"/>
      <c r="R132" s="47" t="n"/>
      <c r="S132" s="47" t="n"/>
      <c r="T132" s="47" t="n"/>
      <c r="U132" s="50" t="n"/>
      <c r="V132" s="43">
        <f t="shared" si="3"/>
      </c>
    </row>
    <row r="133">
      <c r="O133" s="43" t="n">
        <v>129</v>
      </c>
      <c r="P133" s="50" t="n"/>
      <c r="Q133" s="50" t="n"/>
      <c r="R133" s="47" t="n"/>
      <c r="S133" s="47" t="n"/>
      <c r="T133" s="47" t="n"/>
      <c r="U133" s="50" t="n"/>
      <c r="V133" s="43">
        <f t="shared" si="3"/>
      </c>
    </row>
    <row r="134">
      <c r="O134" s="43" t="n">
        <v>130</v>
      </c>
      <c r="P134" s="50" t="n"/>
      <c r="Q134" s="50" t="n"/>
      <c r="R134" s="47" t="n"/>
      <c r="S134" s="47" t="n"/>
      <c r="T134" s="47" t="n"/>
      <c r="U134" s="50" t="n"/>
      <c r="V134" s="43">
        <f t="shared" si="3"/>
      </c>
    </row>
    <row r="135">
      <c r="O135" s="43" t="n">
        <v>131</v>
      </c>
      <c r="P135" s="50" t="n"/>
      <c r="Q135" s="50" t="n"/>
      <c r="R135" s="47" t="n"/>
      <c r="S135" s="47" t="n"/>
      <c r="T135" s="47" t="n"/>
      <c r="U135" s="50" t="n"/>
      <c r="V135" s="43">
        <f t="shared" si="3"/>
      </c>
    </row>
    <row r="136">
      <c r="O136" s="43" t="n">
        <v>132</v>
      </c>
      <c r="P136" s="50" t="n"/>
      <c r="Q136" s="50" t="n"/>
      <c r="R136" s="47" t="n"/>
      <c r="S136" s="47" t="n"/>
      <c r="T136" s="47" t="n"/>
      <c r="U136" s="50" t="n"/>
      <c r="V136" s="43">
        <f t="shared" si="3"/>
      </c>
    </row>
    <row r="137">
      <c r="O137" s="43" t="n">
        <v>133</v>
      </c>
      <c r="P137" s="50" t="n"/>
      <c r="Q137" s="50" t="n"/>
      <c r="R137" s="47" t="n"/>
      <c r="S137" s="47" t="n"/>
      <c r="T137" s="47" t="n"/>
      <c r="U137" s="50" t="n"/>
      <c r="V137" s="43">
        <f t="shared" si="3"/>
      </c>
    </row>
    <row r="138">
      <c r="O138" s="43" t="n">
        <v>134</v>
      </c>
      <c r="P138" s="50" t="n"/>
      <c r="Q138" s="50" t="n"/>
      <c r="R138" s="47" t="n"/>
      <c r="S138" s="47" t="n"/>
      <c r="T138" s="47" t="n"/>
      <c r="U138" s="50" t="n"/>
      <c r="V138" s="43">
        <f t="shared" si="3"/>
      </c>
    </row>
    <row r="139">
      <c r="O139" s="43" t="n">
        <v>135</v>
      </c>
      <c r="P139" s="50" t="n"/>
      <c r="Q139" s="50" t="n"/>
      <c r="R139" s="47" t="n"/>
      <c r="S139" s="47" t="n"/>
      <c r="T139" s="47" t="n"/>
      <c r="U139" s="50" t="n"/>
      <c r="V139" s="43">
        <f t="shared" si="3"/>
      </c>
    </row>
    <row r="140">
      <c r="O140" s="43" t="n">
        <v>136</v>
      </c>
      <c r="P140" s="50" t="n"/>
      <c r="Q140" s="50" t="n"/>
      <c r="R140" s="47" t="n"/>
      <c r="S140" s="47" t="n"/>
      <c r="T140" s="47" t="n"/>
      <c r="U140" s="50" t="n"/>
      <c r="V140" s="43">
        <f t="shared" si="3"/>
      </c>
    </row>
    <row r="141">
      <c r="O141" s="43" t="n">
        <v>137</v>
      </c>
      <c r="P141" s="50" t="n"/>
      <c r="Q141" s="50" t="n"/>
      <c r="R141" s="47" t="n"/>
      <c r="S141" s="47" t="n"/>
      <c r="T141" s="47" t="n"/>
      <c r="U141" s="50" t="n"/>
      <c r="V141" s="43">
        <f t="shared" si="3"/>
      </c>
    </row>
    <row r="142">
      <c r="O142" s="43" t="n">
        <v>138</v>
      </c>
      <c r="P142" s="50" t="n"/>
      <c r="Q142" s="50" t="n"/>
      <c r="R142" s="47" t="n"/>
      <c r="S142" s="47" t="n"/>
      <c r="T142" s="47" t="n"/>
      <c r="U142" s="50" t="n"/>
      <c r="V142" s="43">
        <f t="shared" si="3"/>
      </c>
    </row>
    <row r="143">
      <c r="O143" s="43" t="n">
        <v>139</v>
      </c>
      <c r="P143" s="50" t="n"/>
      <c r="Q143" s="50" t="n"/>
      <c r="R143" s="47" t="n"/>
      <c r="S143" s="47" t="n"/>
      <c r="T143" s="47" t="n"/>
      <c r="U143" s="50" t="n"/>
      <c r="V143" s="43">
        <f t="shared" si="3"/>
      </c>
    </row>
    <row r="144">
      <c r="O144" s="43" t="n">
        <v>140</v>
      </c>
      <c r="P144" s="50" t="n"/>
      <c r="Q144" s="50" t="n"/>
      <c r="R144" s="47" t="n"/>
      <c r="S144" s="47" t="n"/>
      <c r="T144" s="47" t="n"/>
      <c r="U144" s="50" t="n"/>
      <c r="V144" s="43">
        <f t="shared" si="3"/>
      </c>
    </row>
    <row r="145">
      <c r="O145" s="43" t="n">
        <v>141</v>
      </c>
      <c r="P145" s="50" t="n"/>
      <c r="Q145" s="50" t="n"/>
      <c r="R145" s="47" t="n"/>
      <c r="S145" s="47" t="n"/>
      <c r="T145" s="47" t="n"/>
      <c r="U145" s="50" t="n"/>
      <c r="V145" s="43">
        <f t="shared" si="3"/>
      </c>
    </row>
    <row r="146">
      <c r="O146" s="43" t="n">
        <v>142</v>
      </c>
      <c r="P146" s="50" t="n"/>
      <c r="Q146" s="50" t="n"/>
      <c r="R146" s="47" t="n"/>
      <c r="S146" s="47" t="n"/>
      <c r="T146" s="47" t="n"/>
      <c r="U146" s="50" t="n"/>
      <c r="V146" s="43">
        <f t="shared" si="3"/>
      </c>
    </row>
    <row r="147">
      <c r="O147" s="43" t="n">
        <v>143</v>
      </c>
      <c r="P147" s="50" t="n"/>
      <c r="Q147" s="50" t="n"/>
      <c r="R147" s="47" t="n"/>
      <c r="S147" s="47" t="n"/>
      <c r="T147" s="47" t="n"/>
      <c r="U147" s="50" t="n"/>
      <c r="V147" s="43">
        <f t="shared" si="3"/>
      </c>
    </row>
    <row r="148">
      <c r="O148" s="43" t="n">
        <v>144</v>
      </c>
      <c r="P148" s="50" t="n"/>
      <c r="Q148" s="50" t="n"/>
      <c r="R148" s="47" t="n"/>
      <c r="S148" s="47" t="n"/>
      <c r="T148" s="47" t="n"/>
      <c r="U148" s="50" t="n"/>
      <c r="V148" s="43">
        <f t="shared" si="3"/>
      </c>
    </row>
    <row r="149">
      <c r="O149" s="43" t="n">
        <v>145</v>
      </c>
      <c r="P149" s="50" t="n"/>
      <c r="Q149" s="50" t="n"/>
      <c r="R149" s="47" t="n"/>
      <c r="S149" s="47" t="n"/>
      <c r="T149" s="47" t="n"/>
      <c r="U149" s="50" t="n"/>
      <c r="V149" s="43">
        <f t="shared" si="3"/>
      </c>
    </row>
    <row r="150">
      <c r="O150" s="43" t="n">
        <v>146</v>
      </c>
      <c r="P150" s="50" t="n"/>
      <c r="Q150" s="50" t="n"/>
      <c r="R150" s="47" t="n"/>
      <c r="S150" s="47" t="n"/>
      <c r="T150" s="47" t="n"/>
      <c r="U150" s="50" t="n"/>
      <c r="V150" s="43">
        <f t="shared" si="3"/>
      </c>
    </row>
    <row r="151">
      <c r="O151" s="43" t="n">
        <v>147</v>
      </c>
      <c r="P151" s="50" t="n"/>
      <c r="Q151" s="50" t="n"/>
      <c r="R151" s="47" t="n"/>
      <c r="S151" s="47" t="n"/>
      <c r="T151" s="47" t="n"/>
      <c r="U151" s="50" t="n"/>
      <c r="V151" s="43">
        <f t="shared" si="3"/>
      </c>
    </row>
    <row r="152">
      <c r="O152" s="43" t="n">
        <v>148</v>
      </c>
      <c r="P152" s="50" t="n"/>
      <c r="Q152" s="50" t="n"/>
      <c r="R152" s="47" t="n"/>
      <c r="S152" s="47" t="n"/>
      <c r="T152" s="47" t="n"/>
      <c r="U152" s="50" t="n"/>
      <c r="V152" s="43">
        <f t="shared" si="3"/>
      </c>
    </row>
    <row r="153">
      <c r="O153" s="43" t="n">
        <v>149</v>
      </c>
      <c r="P153" s="50" t="n"/>
      <c r="Q153" s="50" t="n"/>
      <c r="R153" s="47" t="n"/>
      <c r="S153" s="47" t="n"/>
      <c r="T153" s="47" t="n"/>
      <c r="U153" s="50" t="n"/>
      <c r="V153" s="43">
        <f t="shared" si="3"/>
      </c>
    </row>
    <row r="154">
      <c r="O154" s="43" t="n">
        <v>150</v>
      </c>
      <c r="P154" s="50" t="n"/>
      <c r="Q154" s="50" t="n"/>
      <c r="R154" s="47" t="n"/>
      <c r="S154" s="47" t="n"/>
      <c r="T154" s="47" t="n"/>
      <c r="U154" s="50" t="n"/>
      <c r="V154" s="43">
        <f t="shared" si="3"/>
      </c>
    </row>
    <row r="155">
      <c r="O155" s="43" t="n">
        <v>151</v>
      </c>
      <c r="P155" s="50" t="n"/>
      <c r="Q155" s="50" t="n"/>
      <c r="R155" s="47" t="n"/>
      <c r="S155" s="47" t="n"/>
      <c r="T155" s="47" t="n"/>
      <c r="U155" s="50" t="n"/>
      <c r="V155" s="43">
        <f t="shared" si="3"/>
      </c>
    </row>
    <row r="156">
      <c r="O156" s="43" t="n">
        <v>152</v>
      </c>
      <c r="P156" s="50" t="n"/>
      <c r="Q156" s="50" t="n"/>
      <c r="R156" s="47" t="n"/>
      <c r="S156" s="47" t="n"/>
      <c r="T156" s="47" t="n"/>
      <c r="U156" s="50" t="n"/>
      <c r="V156" s="43">
        <f t="shared" si="3"/>
      </c>
    </row>
    <row r="157">
      <c r="O157" s="43" t="n">
        <v>153</v>
      </c>
      <c r="P157" s="50" t="n"/>
      <c r="Q157" s="50" t="n"/>
      <c r="R157" s="47" t="n"/>
      <c r="S157" s="47" t="n"/>
      <c r="T157" s="47" t="n"/>
      <c r="U157" s="50" t="n"/>
      <c r="V157" s="43">
        <f t="shared" si="3"/>
      </c>
    </row>
    <row r="158">
      <c r="O158" s="43" t="n">
        <v>154</v>
      </c>
      <c r="P158" s="50" t="n"/>
      <c r="Q158" s="50" t="n"/>
      <c r="R158" s="47" t="n"/>
      <c r="S158" s="47" t="n"/>
      <c r="T158" s="47" t="n"/>
      <c r="U158" s="50" t="n"/>
      <c r="V158" s="43">
        <f t="shared" si="3"/>
      </c>
    </row>
    <row r="159">
      <c r="O159" s="43" t="n">
        <v>155</v>
      </c>
      <c r="P159" s="50" t="n"/>
      <c r="Q159" s="50" t="n"/>
      <c r="R159" s="47" t="n"/>
      <c r="S159" s="47" t="n"/>
      <c r="T159" s="47" t="n"/>
      <c r="U159" s="50" t="n"/>
      <c r="V159" s="43">
        <f t="shared" si="3"/>
      </c>
    </row>
    <row r="160">
      <c r="O160" s="43" t="n">
        <v>156</v>
      </c>
      <c r="P160" s="50" t="n"/>
      <c r="Q160" s="50" t="n"/>
      <c r="R160" s="47" t="n"/>
      <c r="S160" s="47" t="n"/>
      <c r="T160" s="47" t="n"/>
      <c r="U160" s="50" t="n"/>
      <c r="V160" s="43">
        <f t="shared" si="3"/>
      </c>
    </row>
    <row r="161">
      <c r="O161" s="43" t="n">
        <v>157</v>
      </c>
      <c r="P161" s="50" t="n"/>
      <c r="Q161" s="50" t="n"/>
      <c r="R161" s="47" t="n"/>
      <c r="S161" s="47" t="n"/>
      <c r="T161" s="47" t="n"/>
      <c r="U161" s="50" t="n"/>
      <c r="V161" s="43">
        <f t="shared" si="3"/>
      </c>
    </row>
    <row r="162">
      <c r="O162" s="43" t="n">
        <v>158</v>
      </c>
      <c r="P162" s="50" t="n"/>
      <c r="Q162" s="50" t="n"/>
      <c r="R162" s="47" t="n"/>
      <c r="S162" s="47" t="n"/>
      <c r="T162" s="47" t="n"/>
      <c r="U162" s="50" t="n"/>
      <c r="V162" s="43">
        <f t="shared" si="3"/>
      </c>
    </row>
    <row r="163">
      <c r="O163" s="43" t="n">
        <v>159</v>
      </c>
      <c r="P163" s="50" t="n"/>
      <c r="Q163" s="50" t="n"/>
      <c r="R163" s="47" t="n"/>
      <c r="S163" s="47" t="n"/>
      <c r="T163" s="47" t="n"/>
      <c r="U163" s="50" t="n"/>
      <c r="V163" s="43">
        <f t="shared" si="3"/>
      </c>
    </row>
    <row r="164">
      <c r="O164" s="43" t="n">
        <v>160</v>
      </c>
      <c r="P164" s="50" t="n"/>
      <c r="Q164" s="50" t="n"/>
      <c r="R164" s="47" t="n"/>
      <c r="S164" s="47" t="n"/>
      <c r="T164" s="47" t="n"/>
      <c r="U164" s="50" t="n"/>
      <c r="V164" s="43">
        <f t="shared" si="3"/>
      </c>
    </row>
    <row r="165">
      <c r="O165" s="43" t="n">
        <v>161</v>
      </c>
      <c r="P165" s="50" t="n"/>
      <c r="Q165" s="50" t="n"/>
      <c r="R165" s="47" t="n"/>
      <c r="S165" s="47" t="n"/>
      <c r="T165" s="47" t="n"/>
      <c r="U165" s="50" t="n"/>
      <c r="V165" s="43">
        <f t="shared" si="3"/>
      </c>
    </row>
    <row r="166">
      <c r="O166" s="43" t="n">
        <v>162</v>
      </c>
      <c r="P166" s="50" t="n"/>
      <c r="Q166" s="50" t="n"/>
      <c r="R166" s="47" t="n"/>
      <c r="S166" s="47" t="n"/>
      <c r="T166" s="47" t="n"/>
      <c r="U166" s="50" t="n"/>
      <c r="V166" s="43">
        <f t="shared" si="3"/>
      </c>
    </row>
    <row r="167">
      <c r="O167" s="43" t="n">
        <v>163</v>
      </c>
      <c r="P167" s="50" t="n"/>
      <c r="Q167" s="50" t="n"/>
      <c r="R167" s="47" t="n"/>
      <c r="S167" s="47" t="n"/>
      <c r="T167" s="47" t="n"/>
      <c r="U167" s="50" t="n"/>
      <c r="V167" s="43">
        <f t="shared" si="3"/>
      </c>
    </row>
    <row r="168">
      <c r="O168" s="43" t="n">
        <v>164</v>
      </c>
      <c r="P168" s="50" t="n"/>
      <c r="Q168" s="50" t="n"/>
      <c r="R168" s="47" t="n"/>
      <c r="S168" s="47" t="n"/>
      <c r="T168" s="47" t="n"/>
      <c r="U168" s="50" t="n"/>
      <c r="V168" s="43">
        <f t="shared" si="3"/>
      </c>
    </row>
    <row r="169">
      <c r="O169" s="43" t="n">
        <v>165</v>
      </c>
      <c r="P169" s="50" t="n"/>
      <c r="Q169" s="50" t="n"/>
      <c r="R169" s="47" t="n"/>
      <c r="S169" s="47" t="n"/>
      <c r="T169" s="47" t="n"/>
      <c r="U169" s="50" t="n"/>
      <c r="V169" s="43">
        <f t="shared" si="3"/>
      </c>
    </row>
    <row r="170">
      <c r="O170" s="43" t="n">
        <v>166</v>
      </c>
      <c r="P170" s="50" t="n"/>
      <c r="Q170" s="50" t="n"/>
      <c r="R170" s="47" t="n"/>
      <c r="S170" s="47" t="n"/>
      <c r="T170" s="47" t="n"/>
      <c r="U170" s="50" t="n"/>
      <c r="V170" s="43">
        <f t="shared" si="3"/>
      </c>
    </row>
    <row r="171">
      <c r="O171" s="43" t="n">
        <v>167</v>
      </c>
      <c r="P171" s="50" t="n"/>
      <c r="Q171" s="50" t="n"/>
      <c r="R171" s="47" t="n"/>
      <c r="S171" s="47" t="n"/>
      <c r="T171" s="47" t="n"/>
      <c r="U171" s="50" t="n"/>
      <c r="V171" s="43">
        <f t="shared" si="3"/>
      </c>
    </row>
    <row r="172">
      <c r="O172" s="43" t="n">
        <v>168</v>
      </c>
      <c r="P172" s="50" t="n"/>
      <c r="Q172" s="50" t="n"/>
      <c r="R172" s="47" t="n"/>
      <c r="S172" s="47" t="n"/>
      <c r="T172" s="47" t="n"/>
      <c r="U172" s="50" t="n"/>
      <c r="V172" s="43">
        <f t="shared" si="3"/>
      </c>
    </row>
    <row r="173">
      <c r="O173" s="43" t="n">
        <v>169</v>
      </c>
      <c r="P173" s="50" t="n"/>
      <c r="Q173" s="50" t="n"/>
      <c r="R173" s="47" t="n"/>
      <c r="S173" s="47" t="n"/>
      <c r="T173" s="47" t="n"/>
      <c r="U173" s="50" t="n"/>
      <c r="V173" s="43">
        <f t="shared" si="3"/>
      </c>
    </row>
    <row r="174">
      <c r="O174" s="43" t="n">
        <v>170</v>
      </c>
      <c r="P174" s="50" t="n"/>
      <c r="Q174" s="50" t="n"/>
      <c r="R174" s="47" t="n"/>
      <c r="S174" s="47" t="n"/>
      <c r="T174" s="47" t="n"/>
      <c r="U174" s="50" t="n"/>
      <c r="V174" s="43">
        <f t="shared" si="3"/>
      </c>
    </row>
    <row r="175">
      <c r="O175" s="43" t="n">
        <v>171</v>
      </c>
      <c r="P175" s="50" t="n"/>
      <c r="Q175" s="50" t="n"/>
      <c r="R175" s="47" t="n"/>
      <c r="S175" s="47" t="n"/>
      <c r="T175" s="47" t="n"/>
      <c r="U175" s="50" t="n"/>
      <c r="V175" s="43">
        <f t="shared" si="3"/>
      </c>
    </row>
    <row r="176">
      <c r="O176" s="43" t="n">
        <v>172</v>
      </c>
      <c r="P176" s="50" t="n"/>
      <c r="Q176" s="50" t="n"/>
      <c r="R176" s="47" t="n"/>
      <c r="S176" s="47" t="n"/>
      <c r="T176" s="47" t="n"/>
      <c r="U176" s="50" t="n"/>
      <c r="V176" s="43">
        <f t="shared" si="3"/>
      </c>
    </row>
    <row r="177">
      <c r="O177" s="43" t="n">
        <v>173</v>
      </c>
      <c r="P177" s="50" t="n"/>
      <c r="Q177" s="50" t="n"/>
      <c r="R177" s="47" t="n"/>
      <c r="S177" s="47" t="n"/>
      <c r="T177" s="47" t="n"/>
      <c r="U177" s="50" t="n"/>
      <c r="V177" s="43">
        <f t="shared" si="3"/>
      </c>
    </row>
    <row r="178">
      <c r="O178" s="43" t="n">
        <v>174</v>
      </c>
      <c r="P178" s="50" t="n"/>
      <c r="Q178" s="50" t="n"/>
      <c r="R178" s="47" t="n"/>
      <c r="S178" s="47" t="n"/>
      <c r="T178" s="47" t="n"/>
      <c r="U178" s="50" t="n"/>
      <c r="V178" s="43">
        <f t="shared" si="3"/>
      </c>
    </row>
    <row r="179">
      <c r="O179" s="43" t="n">
        <v>175</v>
      </c>
      <c r="P179" s="50" t="n"/>
      <c r="Q179" s="50" t="n"/>
      <c r="R179" s="47" t="n"/>
      <c r="S179" s="47" t="n"/>
      <c r="T179" s="47" t="n"/>
      <c r="U179" s="50" t="n"/>
      <c r="V179" s="43">
        <f t="shared" si="3"/>
      </c>
    </row>
    <row r="180">
      <c r="O180" s="43" t="n">
        <v>176</v>
      </c>
      <c r="P180" s="50" t="n"/>
      <c r="Q180" s="50" t="n"/>
      <c r="R180" s="47" t="n"/>
      <c r="S180" s="47" t="n"/>
      <c r="T180" s="47" t="n"/>
      <c r="U180" s="50" t="n"/>
      <c r="V180" s="43">
        <f t="shared" si="3"/>
      </c>
    </row>
    <row r="181">
      <c r="O181" s="43" t="n">
        <v>177</v>
      </c>
      <c r="P181" s="50" t="n"/>
      <c r="Q181" s="50" t="n"/>
      <c r="R181" s="47" t="n"/>
      <c r="S181" s="47" t="n"/>
      <c r="T181" s="47" t="n"/>
      <c r="U181" s="50" t="n"/>
      <c r="V181" s="43">
        <f t="shared" si="3"/>
      </c>
    </row>
    <row r="182">
      <c r="O182" s="43" t="n">
        <v>178</v>
      </c>
      <c r="P182" s="50" t="n"/>
      <c r="Q182" s="50" t="n"/>
      <c r="R182" s="47" t="n"/>
      <c r="S182" s="47" t="n"/>
      <c r="T182" s="47" t="n"/>
      <c r="U182" s="50" t="n"/>
      <c r="V182" s="43">
        <f t="shared" si="3"/>
      </c>
    </row>
    <row r="183">
      <c r="O183" s="43" t="n">
        <v>179</v>
      </c>
      <c r="P183" s="50" t="n"/>
      <c r="Q183" s="50" t="n"/>
      <c r="R183" s="47" t="n"/>
      <c r="S183" s="47" t="n"/>
      <c r="T183" s="47" t="n"/>
      <c r="U183" s="50" t="n"/>
      <c r="V183" s="43">
        <f t="shared" si="3"/>
      </c>
    </row>
    <row r="184">
      <c r="O184" s="43" t="n">
        <v>180</v>
      </c>
      <c r="P184" s="50" t="n"/>
      <c r="Q184" s="50" t="n"/>
      <c r="R184" s="47" t="n"/>
      <c r="S184" s="47" t="n"/>
      <c r="T184" s="47" t="n"/>
      <c r="U184" s="50" t="n"/>
      <c r="V184" s="43">
        <f t="shared" si="3"/>
      </c>
    </row>
    <row r="185">
      <c r="O185" s="43" t="n">
        <v>181</v>
      </c>
      <c r="P185" s="50" t="n"/>
      <c r="Q185" s="50" t="n"/>
      <c r="R185" s="47" t="n"/>
      <c r="S185" s="47" t="n"/>
      <c r="T185" s="47" t="n"/>
      <c r="U185" s="50" t="n"/>
      <c r="V185" s="43">
        <f t="shared" si="3"/>
      </c>
    </row>
    <row r="186">
      <c r="O186" s="43" t="n">
        <v>182</v>
      </c>
      <c r="P186" s="50" t="n"/>
      <c r="Q186" s="50" t="n"/>
      <c r="R186" s="47" t="n"/>
      <c r="S186" s="47" t="n"/>
      <c r="T186" s="47" t="n"/>
      <c r="U186" s="50" t="n"/>
      <c r="V186" s="43">
        <f t="shared" si="3"/>
      </c>
    </row>
    <row r="187">
      <c r="O187" s="43" t="n">
        <v>183</v>
      </c>
      <c r="P187" s="50" t="n"/>
      <c r="Q187" s="50" t="n"/>
      <c r="R187" s="47" t="n"/>
      <c r="S187" s="47" t="n"/>
      <c r="T187" s="47" t="n"/>
      <c r="U187" s="50" t="n"/>
      <c r="V187" s="43">
        <f t="shared" si="3"/>
      </c>
    </row>
    <row r="188">
      <c r="O188" s="43" t="n">
        <v>184</v>
      </c>
      <c r="P188" s="50" t="n"/>
      <c r="Q188" s="50" t="n"/>
      <c r="R188" s="47" t="n"/>
      <c r="S188" s="47" t="n"/>
      <c r="T188" s="47" t="n"/>
      <c r="U188" s="50" t="n"/>
      <c r="V188" s="43">
        <f t="shared" si="3"/>
      </c>
    </row>
    <row r="189">
      <c r="O189" s="43" t="n">
        <v>185</v>
      </c>
      <c r="P189" s="50" t="n"/>
      <c r="Q189" s="50" t="n"/>
      <c r="R189" s="47" t="n"/>
      <c r="S189" s="47" t="n"/>
      <c r="T189" s="47" t="n"/>
      <c r="U189" s="50" t="n"/>
      <c r="V189" s="43">
        <f t="shared" si="3"/>
      </c>
    </row>
    <row r="190">
      <c r="O190" s="43" t="n">
        <v>186</v>
      </c>
      <c r="P190" s="50" t="n"/>
      <c r="Q190" s="50" t="n"/>
      <c r="R190" s="47" t="n"/>
      <c r="S190" s="47" t="n"/>
      <c r="T190" s="47" t="n"/>
      <c r="U190" s="50" t="n"/>
      <c r="V190" s="43">
        <f t="shared" si="3"/>
      </c>
    </row>
    <row r="191">
      <c r="O191" s="43" t="n">
        <v>187</v>
      </c>
      <c r="P191" s="50" t="n"/>
      <c r="Q191" s="50" t="n"/>
      <c r="R191" s="47" t="n"/>
      <c r="S191" s="47" t="n"/>
      <c r="T191" s="47" t="n"/>
      <c r="U191" s="50" t="n"/>
      <c r="V191" s="43">
        <f t="shared" si="3"/>
      </c>
    </row>
    <row r="192">
      <c r="O192" s="43" t="n">
        <v>188</v>
      </c>
      <c r="P192" s="50" t="n"/>
      <c r="Q192" s="50" t="n"/>
      <c r="R192" s="47" t="n"/>
      <c r="S192" s="47" t="n"/>
      <c r="T192" s="47" t="n"/>
      <c r="U192" s="50" t="n"/>
      <c r="V192" s="43">
        <f t="shared" si="3"/>
      </c>
    </row>
    <row r="193">
      <c r="O193" s="43" t="n">
        <v>189</v>
      </c>
      <c r="P193" s="50" t="n"/>
      <c r="Q193" s="50" t="n"/>
      <c r="R193" s="47" t="n"/>
      <c r="S193" s="47" t="n"/>
      <c r="T193" s="47" t="n"/>
      <c r="U193" s="50" t="n"/>
      <c r="V193" s="43">
        <f t="shared" si="3"/>
      </c>
    </row>
    <row r="194">
      <c r="O194" s="43" t="n">
        <v>190</v>
      </c>
      <c r="P194" s="50" t="n"/>
      <c r="Q194" s="50" t="n"/>
      <c r="R194" s="47" t="n"/>
      <c r="S194" s="47" t="n"/>
      <c r="T194" s="47" t="n"/>
      <c r="U194" s="50" t="n"/>
      <c r="V194" s="43">
        <f t="shared" si="3"/>
      </c>
    </row>
    <row r="195">
      <c r="O195" s="43" t="n">
        <v>191</v>
      </c>
      <c r="P195" s="50" t="n"/>
      <c r="Q195" s="50" t="n"/>
      <c r="R195" s="47" t="n"/>
      <c r="S195" s="47" t="n"/>
      <c r="T195" s="47" t="n"/>
      <c r="U195" s="50" t="n"/>
      <c r="V195" s="43">
        <f t="shared" si="3"/>
      </c>
    </row>
    <row r="196">
      <c r="O196" s="43" t="n">
        <v>192</v>
      </c>
      <c r="P196" s="50" t="n"/>
      <c r="Q196" s="50" t="n"/>
      <c r="R196" s="47" t="n"/>
      <c r="S196" s="47" t="n"/>
      <c r="T196" s="47" t="n"/>
      <c r="U196" s="50" t="n"/>
      <c r="V196" s="43">
        <f t="shared" si="3"/>
      </c>
    </row>
    <row r="197">
      <c r="O197" s="43" t="n">
        <v>193</v>
      </c>
      <c r="P197" s="50" t="n"/>
      <c r="Q197" s="50" t="n"/>
      <c r="R197" s="47" t="n"/>
      <c r="S197" s="47" t="n"/>
      <c r="T197" s="47" t="n"/>
      <c r="U197" s="50" t="n"/>
      <c r="V197" s="43">
        <f t="shared" si="3"/>
      </c>
    </row>
    <row r="198">
      <c r="O198" s="43" t="n">
        <v>194</v>
      </c>
      <c r="P198" s="50" t="n"/>
      <c r="Q198" s="50" t="n"/>
      <c r="R198" s="47" t="n"/>
      <c r="S198" s="47" t="n"/>
      <c r="T198" s="47" t="n"/>
      <c r="U198" s="50" t="n"/>
      <c r="V198" s="43">
        <f t="shared" si="3"/>
      </c>
    </row>
    <row r="199">
      <c r="O199" s="43" t="n">
        <v>195</v>
      </c>
      <c r="P199" s="50" t="n"/>
      <c r="Q199" s="50" t="n"/>
      <c r="R199" s="47" t="n"/>
      <c r="S199" s="47" t="n"/>
      <c r="T199" s="47" t="n"/>
      <c r="U199" s="50" t="n"/>
      <c r="V199" s="43">
        <f t="shared" si="3"/>
      </c>
    </row>
    <row r="200">
      <c r="O200" s="43" t="n">
        <v>196</v>
      </c>
      <c r="P200" s="50" t="n"/>
      <c r="Q200" s="50" t="n"/>
      <c r="R200" s="47" t="n"/>
      <c r="S200" s="47" t="n"/>
      <c r="T200" s="47" t="n"/>
      <c r="U200" s="50" t="n"/>
      <c r="V200" s="43">
        <f t="shared" si="3"/>
      </c>
    </row>
    <row r="201">
      <c r="O201" s="43" t="n">
        <v>197</v>
      </c>
      <c r="P201" s="50" t="n"/>
      <c r="Q201" s="50" t="n"/>
      <c r="R201" s="47" t="n"/>
      <c r="S201" s="47" t="n"/>
      <c r="T201" s="47" t="n"/>
      <c r="U201" s="50" t="n"/>
      <c r="V201" s="43">
        <f t="shared" si="3"/>
      </c>
    </row>
    <row r="202">
      <c r="O202" s="43" t="n">
        <v>198</v>
      </c>
      <c r="P202" s="50" t="n"/>
      <c r="Q202" s="50" t="n"/>
      <c r="R202" s="47" t="n"/>
      <c r="S202" s="47" t="n"/>
      <c r="T202" s="47" t="n"/>
      <c r="U202" s="50" t="n"/>
      <c r="V202" s="43">
        <f t="shared" si="3"/>
      </c>
    </row>
    <row r="203">
      <c r="O203" s="43" t="n">
        <v>199</v>
      </c>
      <c r="P203" s="50" t="n"/>
      <c r="Q203" s="50" t="n"/>
      <c r="R203" s="47" t="n"/>
      <c r="S203" s="47" t="n"/>
      <c r="T203" s="47" t="n"/>
      <c r="U203" s="50" t="n"/>
      <c r="V203" s="43">
        <f t="shared" si="3"/>
      </c>
    </row>
    <row r="204">
      <c r="O204" s="43" t="n">
        <v>200</v>
      </c>
      <c r="P204" s="50" t="n"/>
      <c r="Q204" s="50" t="n"/>
      <c r="R204" s="47" t="n"/>
      <c r="S204" s="47" t="n"/>
      <c r="T204" s="47" t="n"/>
      <c r="U204" s="50" t="n"/>
      <c r="V204" s="43">
        <f t="shared" si="3"/>
      </c>
    </row>
  </sheetData>
  <mergeCells count="14">
    <mergeCell ref="A2:V2"/>
    <mergeCell ref="A66:M66"/>
    <mergeCell ref="O3:V3"/>
    <mergeCell ref="D71:M71"/>
    <mergeCell ref="D70:M70"/>
    <mergeCell ref="A1:V1"/>
    <mergeCell ref="D74:M74"/>
    <mergeCell ref="D75:M75"/>
    <mergeCell ref="A3:M3"/>
    <mergeCell ref="D68:M68"/>
    <mergeCell ref="D69:M69"/>
    <mergeCell ref="D73:M73"/>
    <mergeCell ref="D72:M72"/>
    <mergeCell ref="D67:M67"/>
  </mergeCells>
  <dataValidations count="3">
    <dataValidation sqref="B5:B64" showDropDown="0" showInputMessage="0" showErrorMessage="1" allowBlank="1" errorTitle="不在清单里" error="请从下拉里选；清单里没有的，先到【基础资料】/【往来单位】里登记" type="list" errorStyle="stop">
      <formula1>=项目档案!$B$4:$B$63</formula1>
    </dataValidation>
    <dataValidation sqref="Q5:Q204" showDropDown="0" showInputMessage="0" showErrorMessage="0" allowBlank="1" errorTitle="不在清单里" error="请从下拉里选；清单里没有的，先到【基础资料】/【往来单位】里登记" type="list" errorStyle="warning">
      <formula1>=项目档案!$B$4:$B$63</formula1>
    </dataValidation>
    <dataValidation sqref="P5:P204" showDropDown="0" showInputMessage="0" showErrorMessage="0" allowBlank="1" errorTitle="不在清单里" error="请从下拉里选；清单里没有的，先到【基础资料】/【往来单位】里登记" type="list" errorStyle="warning">
      <formula1>=往来单位!$B$4:$B$303</formula1>
    </dataValidation>
  </dataValidations>
  <hyperlinks>
    <hyperlink ref="W1" location="'首页'!A1" display="← 回首页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F7F7F"/>
    <outlinePr summaryBelow="1" summaryRight="1"/>
    <pageSetUpPr/>
  </sheetPr>
  <dimension ref="A1:AS164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2" customWidth="1" min="4" max="4"/>
    <col width="2" customWidth="1" min="5" max="5"/>
    <col width="5" customWidth="1" min="6" max="6"/>
    <col width="13" customWidth="1" min="7" max="7"/>
    <col width="9" customWidth="1" min="8" max="8"/>
    <col width="8" customWidth="1" min="9" max="9"/>
    <col width="20" customWidth="1" min="10" max="10"/>
    <col width="13.5" customWidth="1" min="11" max="11"/>
    <col width="15" customWidth="1" min="12" max="12"/>
    <col width="13" customWidth="1" min="13" max="13"/>
    <col width="11" customWidth="1" min="14" max="14"/>
    <col width="15" customWidth="1" min="15" max="15"/>
    <col width="24" customWidth="1" min="16" max="16"/>
    <col width="2" customWidth="1" min="17" max="17"/>
    <col width="5" customWidth="1" min="18" max="18"/>
    <col width="13" customWidth="1" min="19" max="19"/>
    <col width="6" customWidth="1" min="20" max="20"/>
    <col width="12" customWidth="1" min="21" max="21"/>
    <col width="12" customWidth="1" min="22" max="22"/>
    <col width="8" customWidth="1" min="23" max="23"/>
    <col width="40" customWidth="1" min="24" max="24"/>
    <col width="2" customWidth="1" min="25" max="25"/>
    <col width="5" customWidth="1" min="26" max="26"/>
    <col width="12" customWidth="1" min="27" max="27"/>
    <col width="6" customWidth="1" min="28" max="28"/>
    <col width="13" customWidth="1" min="29" max="29"/>
    <col width="2" customWidth="1" min="30" max="30"/>
    <col width="22" customWidth="1" min="31" max="31"/>
    <col width="11" customWidth="1" min="32" max="32"/>
    <col width="44" customWidth="1" min="33" max="33"/>
    <col width="2" customWidth="1" min="34" max="34"/>
    <col width="5" customWidth="1" min="35" max="35"/>
    <col width="14" customWidth="1" min="36" max="36"/>
    <col width="11" customWidth="1" min="37" max="37"/>
    <col width="12" customWidth="1" min="38" max="38"/>
    <col width="7" customWidth="1" min="39" max="39"/>
    <col width="7" customWidth="1" min="40" max="40"/>
    <col width="12" customWidth="1" min="41" max="41"/>
    <col width="13.5" customWidth="1" min="42" max="42"/>
    <col width="18" customWidth="1" min="43" max="43"/>
    <col hidden="1" width="13" customWidth="1" min="44" max="44"/>
    <col hidden="1" width="13" customWidth="1" min="45" max="45"/>
  </cols>
  <sheetData>
    <row r="1" ht="33" customHeight="1">
      <c r="A1" s="71" t="inlineStr">
        <is>
          <t>基 础 资 料（公司 · 资金账户 · 收支类别 · 摘要关键词 · 参数 · 固定资产）</t>
        </is>
      </c>
      <c r="AR1" s="33" t="inlineStr">
        <is>
          <t>← 回首页</t>
        </is>
      </c>
    </row>
    <row r="2" ht="24" customHeight="1">
      <c r="A2" s="3" t="inlineStr">
        <is>
          <t>💡 淡黄格子手填，灰格子自动。① 公司和建账日期；② 资金账户：银行、现金，还有老板、负责人每人一个「个人户」（他替公司花的钱记在他的个人户，借给公司、公司还他、报销、备用金都是银行和他个人户之间的互转），承兑汇票在手的记「票据」户；③ 收支类别：每一类决定钱记到报表哪一行、要不要摊到项目（一般不用改，要加类别往下加）；④ 摘要关键词：流水摘要里出现这个词就自动认成这一类（按从上到下的顺序，具体的放上面）；⑤ 税率、分摊方法；⑥ 车、设备等固定资产（自动提折旧）。</t>
        </is>
      </c>
    </row>
    <row r="3">
      <c r="B3" s="11" t="inlineStr">
        <is>
          <t>① 公司</t>
        </is>
      </c>
      <c r="C3" s="12" t="n"/>
      <c r="F3" s="26" t="inlineStr">
        <is>
          <t>② 资金账户（银行 · 现金 · 个人户 · 票据）</t>
        </is>
      </c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R3" s="75" t="inlineStr">
        <is>
          <t>③ 收支类别（每一类记到报表哪一行、要不要摊到项目）</t>
        </is>
      </c>
      <c r="S3" s="12" t="n"/>
      <c r="T3" s="12" t="n"/>
      <c r="U3" s="12" t="n"/>
      <c r="V3" s="12" t="n"/>
      <c r="W3" s="12" t="n"/>
      <c r="X3" s="12" t="n"/>
      <c r="Z3" s="79" t="inlineStr">
        <is>
          <t>④ 摘要关键词 → 收支类别</t>
        </is>
      </c>
      <c r="AA3" s="12" t="n"/>
      <c r="AB3" s="12" t="n"/>
      <c r="AC3" s="12" t="n"/>
      <c r="AE3" s="23" t="inlineStr">
        <is>
          <t>⑤ 参数</t>
        </is>
      </c>
      <c r="AF3" s="12" t="n"/>
      <c r="AG3" s="12" t="n"/>
      <c r="AI3" s="39" t="inlineStr">
        <is>
          <t>⑥ 固定资产（车、设备，5000 元以下直接算费用；购入次月起按月提折旧）</t>
        </is>
      </c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34" customHeight="1">
      <c r="F4" s="80" t="inlineStr">
        <is>
          <t>序号</t>
        </is>
      </c>
      <c r="G4" s="80" t="inlineStr">
        <is>
          <t>账户名称</t>
        </is>
      </c>
      <c r="H4" s="80" t="inlineStr">
        <is>
          <t>类型</t>
        </is>
      </c>
      <c r="I4" s="80" t="inlineStr">
        <is>
          <t>个人户
是谁的</t>
        </is>
      </c>
      <c r="J4" s="80" t="inlineStr">
        <is>
          <t>账号</t>
        </is>
      </c>
      <c r="K4" s="80" t="inlineStr">
        <is>
          <t>期初余额
（建账日）</t>
        </is>
      </c>
      <c r="L4" s="80" t="inlineStr">
        <is>
          <t>表里余额
（自动）</t>
        </is>
      </c>
      <c r="M4" s="80" t="inlineStr">
        <is>
          <t>实际余额
（银行App）</t>
        </is>
      </c>
      <c r="N4" s="80" t="inlineStr">
        <is>
          <t>核对日期</t>
        </is>
      </c>
      <c r="O4" s="80" t="inlineStr">
        <is>
          <t>差额
（自动）</t>
        </is>
      </c>
      <c r="P4" s="80" t="inlineStr">
        <is>
          <t>备注</t>
        </is>
      </c>
      <c r="R4" s="70" t="inlineStr">
        <is>
          <t>序号</t>
        </is>
      </c>
      <c r="S4" s="70" t="inlineStr">
        <is>
          <t>收支类别</t>
        </is>
      </c>
      <c r="T4" s="70" t="inlineStr">
        <is>
          <t>方向</t>
        </is>
      </c>
      <c r="U4" s="70" t="inlineStr">
        <is>
          <t>报表项目</t>
        </is>
      </c>
      <c r="V4" s="70" t="inlineStr">
        <is>
          <t>分摊归类
（自动）</t>
        </is>
      </c>
      <c r="W4" s="70" t="inlineStr">
        <is>
          <t>要选</t>
        </is>
      </c>
      <c r="X4" s="70" t="inlineStr">
        <is>
          <t>什么钱记这一类</t>
        </is>
      </c>
      <c r="Z4" s="62" t="inlineStr">
        <is>
          <t>序号</t>
        </is>
      </c>
      <c r="AA4" s="62" t="inlineStr">
        <is>
          <t>关键词</t>
        </is>
      </c>
      <c r="AB4" s="62" t="inlineStr">
        <is>
          <t>收/支</t>
        </is>
      </c>
      <c r="AC4" s="62" t="inlineStr">
        <is>
          <t>收支类别</t>
        </is>
      </c>
      <c r="AE4" s="81" t="inlineStr">
        <is>
          <t>参数</t>
        </is>
      </c>
      <c r="AF4" s="81" t="inlineStr">
        <is>
          <t>值</t>
        </is>
      </c>
      <c r="AG4" s="81" t="inlineStr">
        <is>
          <t>说明</t>
        </is>
      </c>
      <c r="AI4" s="42" t="inlineStr">
        <is>
          <t>序号</t>
        </is>
      </c>
      <c r="AJ4" s="42" t="inlineStr">
        <is>
          <t>名称</t>
        </is>
      </c>
      <c r="AK4" s="42" t="inlineStr">
        <is>
          <t>购入日期</t>
        </is>
      </c>
      <c r="AL4" s="42" t="inlineStr">
        <is>
          <t>原值</t>
        </is>
      </c>
      <c r="AM4" s="42" t="inlineStr">
        <is>
          <t>用几个月</t>
        </is>
      </c>
      <c r="AN4" s="42" t="inlineStr">
        <is>
          <t>残值率</t>
        </is>
      </c>
      <c r="AO4" s="42" t="inlineStr">
        <is>
          <t>使用项目
（空＝公司）</t>
        </is>
      </c>
      <c r="AP4" s="42" t="inlineStr">
        <is>
          <t>月折旧</t>
        </is>
      </c>
      <c r="AQ4" s="42" t="inlineStr">
        <is>
          <t>备注</t>
        </is>
      </c>
    </row>
    <row r="5" ht="28" customHeight="1">
      <c r="B5" s="4" t="inlineStr">
        <is>
          <t>公司简称</t>
        </is>
      </c>
      <c r="C5" s="45" t="inlineStr">
        <is>
          <t>竣辉</t>
        </is>
      </c>
      <c r="F5" s="43" t="n">
        <v>1</v>
      </c>
      <c r="G5" s="45" t="inlineStr">
        <is>
          <t>九江银行</t>
        </is>
      </c>
      <c r="H5" s="45" t="inlineStr">
        <is>
          <t>银行</t>
        </is>
      </c>
      <c r="I5" s="45" t="n"/>
      <c r="J5" s="82" t="n"/>
      <c r="K5" s="57" t="n">
        <v>0</v>
      </c>
      <c r="L5" s="73">
        <f t="shared" ref="L5:L24" si="0">IF(G5="","",ROUND(N(K5)+SUMIFS(资金流水!$R$6:$R$2005,资金流水!$C$6:$C$2005,G5)-SUMIFS(资金流水!$R$6:$R$2005,资金流水!$AD$6:$AD$2005,G5,资金流水!$X$6:$X$2005,"账户互转"),2))</f>
        <v>690216.43</v>
      </c>
      <c r="M5" s="57" t="n"/>
      <c r="N5" s="44" t="n"/>
      <c r="O5" s="73">
        <f t="shared" ref="O5:O24" si="1">IF(OR(G5="",M5="",NOT(ISNUMBER(N5))),"",ROUND(N(K5)+SUMIFS(资金流水!$R$6:$R$2005,资金流水!$C$6:$C$2005,G5,资金流水!$B$6:$B$2005,"&lt;="&amp;N5)-SUMIFS(资金流水!$R$6:$R$2005,资金流水!$AD$6:$AD$2005,G5,资金流水!$X$6:$X$2005,"账户互转",资金流水!$B$6:$B$2005,"&lt;="&amp;N5)-M5,2))</f>
      </c>
      <c r="P5" s="50" t="inlineStr">
        <is>
          <t>对公基本户。1~4 月流水原表没有，期初余额请按银行对账单填</t>
        </is>
      </c>
      <c r="R5" s="43" t="n">
        <v>1</v>
      </c>
      <c r="S5" s="45" t="inlineStr">
        <is>
          <t>工程款</t>
        </is>
      </c>
      <c r="T5" s="45" t="inlineStr">
        <is>
          <t>收</t>
        </is>
      </c>
      <c r="U5" s="45" t="inlineStr">
        <is>
          <t>应收账款</t>
        </is>
      </c>
      <c r="V5" s="43" t="str">
        <f t="shared" ref="V5:V64" si="2">IF(S5="","",IF(OR(U5="材料费",U5="人工费",U5="分包费",U5="机械运输费",U5="其他直接费",U5="票据贴息"),"项目直接成本",IF(OR(U5="管理人员工资",U5="社保费",U5="办公费",U5="食堂伙食",U5="业务招待费",U5="车辆差旅",U5="折旧费",U5="其他管理费"),"公司间接费",IF(OR(U5="利息支出",U5="手续费",U5="利息收入",U5="其他收入",U5="其他支出",U5="其他税费",U5="所得税"),"公司不分摊","不进利润"))))</f>
        <v>不进利润</v>
      </c>
      <c r="W5" s="45" t="inlineStr">
        <is>
          <t>项目</t>
        </is>
      </c>
      <c r="X5" s="50" t="inlineStr">
        <is>
          <t>甲方/总包付的工程款（承兑汇票收到也记这个）</t>
        </is>
      </c>
      <c r="Z5" s="43" t="n">
        <v>1</v>
      </c>
      <c r="AA5" s="45" t="inlineStr">
        <is>
          <t>购置</t>
        </is>
      </c>
      <c r="AB5" s="45" t="inlineStr">
        <is>
          <t>支</t>
        </is>
      </c>
      <c r="AC5" s="45" t="inlineStr">
        <is>
          <t>固定资产购置</t>
        </is>
      </c>
      <c r="AE5" s="19" t="inlineStr">
        <is>
          <t>销项税率（工程款）</t>
        </is>
      </c>
      <c r="AF5" s="52" t="n">
        <v>0.09</v>
      </c>
      <c r="AG5" s="83" t="inlineStr">
        <is>
          <t>一般计税 9%；简易计税的项目在【项目档案】税率填 3%</t>
        </is>
      </c>
      <c r="AI5" s="43" t="n">
        <v>1</v>
      </c>
      <c r="AJ5" s="50" t="n"/>
      <c r="AK5" s="44" t="n"/>
      <c r="AL5" s="57" t="n"/>
      <c r="AM5" s="45" t="n"/>
      <c r="AN5" s="52" t="n"/>
      <c r="AO5" s="45" t="n"/>
      <c r="AP5" s="48">
        <f t="shared" ref="AP5:AP34" si="3">IF(OR(N(AL5)=0,N(AM5)=0,NOT(ISNUMBER(AK5))),0,ROUND(AL5*(1-N(AN5))/AM5,2))</f>
        <v>0</v>
      </c>
      <c r="AQ5" s="50" t="n"/>
      <c r="AR5" s="2">
        <f t="shared" ref="AR5:AR34" si="4">IF(ISNUMBER(AK5),YEAR(AK5)*12+MONTH(AK5)+1,0)</f>
        <v>0</v>
      </c>
      <c r="AS5" s="2">
        <f t="shared" ref="AS5:AS34" si="5">IF(ISNUMBER(AK5),AR5+N(AM5)-1,-1)</f>
        <v>-1</v>
      </c>
    </row>
    <row r="6" ht="28" customHeight="1">
      <c r="B6" s="4" t="inlineStr">
        <is>
          <t>公司全称</t>
        </is>
      </c>
      <c r="C6" s="45" t="inlineStr">
        <is>
          <t>（请填营业执照上的全称）</t>
        </is>
      </c>
      <c r="F6" s="43" t="n">
        <v>2</v>
      </c>
      <c r="G6" s="45" t="inlineStr">
        <is>
          <t>农业银行</t>
        </is>
      </c>
      <c r="H6" s="45" t="inlineStr">
        <is>
          <t>银行</t>
        </is>
      </c>
      <c r="I6" s="45" t="n"/>
      <c r="J6" s="82" t="n"/>
      <c r="K6" s="57" t="n">
        <v>0</v>
      </c>
      <c r="L6" s="73">
        <f t="shared" si="0"/>
        <v>80.03</v>
      </c>
      <c r="M6" s="57" t="n"/>
      <c r="N6" s="44" t="n"/>
      <c r="O6" s="73">
        <f t="shared" si="1"/>
      </c>
      <c r="P6" s="50" t="inlineStr">
        <is>
          <t>贷款户。期初余额请按对账单填</t>
        </is>
      </c>
      <c r="R6" s="43" t="n">
        <v>2</v>
      </c>
      <c r="S6" s="45" t="inlineStr">
        <is>
          <t>付应付款</t>
        </is>
      </c>
      <c r="T6" s="45" t="inlineStr">
        <is>
          <t>支</t>
        </is>
      </c>
      <c r="U6" s="45" t="inlineStr">
        <is>
          <t>应付款</t>
        </is>
      </c>
      <c r="V6" s="43" t="str">
        <f t="shared" si="2"/>
        <v>不进利润</v>
      </c>
      <c r="W6" s="45" t="inlineStr">
        <is>
          <t>单位</t>
        </is>
      </c>
      <c r="X6" s="50" t="inlineStr">
        <is>
          <t>付给挂账的材料商、分包、机械（冲它的应付；【应付登记】登记过的）</t>
        </is>
      </c>
      <c r="Z6" s="43" t="n">
        <v>2</v>
      </c>
      <c r="AA6" s="45" t="inlineStr">
        <is>
          <t>购车</t>
        </is>
      </c>
      <c r="AB6" s="45" t="inlineStr">
        <is>
          <t>支</t>
        </is>
      </c>
      <c r="AC6" s="45" t="inlineStr">
        <is>
          <t>固定资产购置</t>
        </is>
      </c>
      <c r="AE6" s="19" t="inlineStr">
        <is>
          <t>附加税费率（按增值税）</t>
        </is>
      </c>
      <c r="AF6" s="52" t="n">
        <v>0.12</v>
      </c>
      <c r="AG6" s="83" t="inlineStr">
        <is>
          <t>城建 7%＋教育 3%＋地方教育 2%；小微企业减半的按实际填（比如 6%）</t>
        </is>
      </c>
      <c r="AI6" s="43" t="n">
        <v>2</v>
      </c>
      <c r="AJ6" s="50" t="n"/>
      <c r="AK6" s="44" t="n"/>
      <c r="AL6" s="57" t="n"/>
      <c r="AM6" s="45" t="n"/>
      <c r="AN6" s="52" t="n"/>
      <c r="AO6" s="45" t="n"/>
      <c r="AP6" s="48">
        <f t="shared" si="3"/>
        <v>0</v>
      </c>
      <c r="AQ6" s="50" t="n"/>
      <c r="AR6" s="2">
        <f t="shared" si="4"/>
        <v>0</v>
      </c>
      <c r="AS6" s="2">
        <f t="shared" si="5"/>
        <v>-1</v>
      </c>
    </row>
    <row r="7" ht="28" customHeight="1">
      <c r="B7" s="4" t="inlineStr">
        <is>
          <t>税号</t>
        </is>
      </c>
      <c r="C7" s="74" t="inlineStr">
        <is>
          <t>（请填税号）</t>
        </is>
      </c>
      <c r="F7" s="43" t="n">
        <v>3</v>
      </c>
      <c r="G7" s="45" t="inlineStr">
        <is>
          <t>工商银行</t>
        </is>
      </c>
      <c r="H7" s="45" t="inlineStr">
        <is>
          <t>银行</t>
        </is>
      </c>
      <c r="I7" s="45" t="n"/>
      <c r="J7" s="82" t="n"/>
      <c r="K7" s="57" t="n">
        <v>148</v>
      </c>
      <c r="L7" s="73">
        <f t="shared" si="0"/>
        <v>148</v>
      </c>
      <c r="M7" s="57" t="n"/>
      <c r="N7" s="44" t="n"/>
      <c r="O7" s="73">
        <f t="shared" si="1"/>
      </c>
      <c r="P7" s="50" t="inlineStr">
        <is>
          <t>贷款户（含 1～2 月流水 148.00：1/12 对公贷款 281,148、1/14 付筑强 281,000 等）</t>
        </is>
      </c>
      <c r="R7" s="43" t="n">
        <v>3</v>
      </c>
      <c r="S7" s="45" t="inlineStr">
        <is>
          <t>工资</t>
        </is>
      </c>
      <c r="T7" s="45" t="inlineStr">
        <is>
          <t>支</t>
        </is>
      </c>
      <c r="U7" s="45" t="inlineStr">
        <is>
          <t>应付职工薪酬</t>
        </is>
      </c>
      <c r="V7" s="43" t="str">
        <f t="shared" si="2"/>
        <v>不进利润</v>
      </c>
      <c r="W7" s="45" t="inlineStr">
        <is>
          <t>人</t>
        </is>
      </c>
      <c r="X7" s="50" t="inlineStr">
        <is>
          <t>发工资、预支工资（冲这个人的应付工资；工资本身在【考勤工资】算）</t>
        </is>
      </c>
      <c r="Z7" s="43" t="n">
        <v>3</v>
      </c>
      <c r="AA7" s="45" t="inlineStr">
        <is>
          <t>买车</t>
        </is>
      </c>
      <c r="AB7" s="45" t="inlineStr">
        <is>
          <t>支</t>
        </is>
      </c>
      <c r="AC7" s="45" t="inlineStr">
        <is>
          <t>固定资产购置</t>
        </is>
      </c>
      <c r="AE7" s="19" t="inlineStr">
        <is>
          <t>印花税率（按确认产值）</t>
        </is>
      </c>
      <c r="AF7" s="84" t="n">
        <v>0.0003</v>
      </c>
      <c r="AG7" s="83" t="inlineStr">
        <is>
          <t>建筑安装合同万分之三</t>
        </is>
      </c>
      <c r="AI7" s="43" t="n">
        <v>3</v>
      </c>
      <c r="AJ7" s="50" t="n"/>
      <c r="AK7" s="44" t="n"/>
      <c r="AL7" s="57" t="n"/>
      <c r="AM7" s="45" t="n"/>
      <c r="AN7" s="52" t="n"/>
      <c r="AO7" s="45" t="n"/>
      <c r="AP7" s="48">
        <f t="shared" si="3"/>
        <v>0</v>
      </c>
      <c r="AQ7" s="50" t="n"/>
      <c r="AR7" s="2">
        <f t="shared" si="4"/>
        <v>0</v>
      </c>
      <c r="AS7" s="2">
        <f t="shared" si="5"/>
        <v>-1</v>
      </c>
    </row>
    <row r="8" ht="28" customHeight="1">
      <c r="B8" s="4" t="inlineStr">
        <is>
          <t>纳税人</t>
        </is>
      </c>
      <c r="C8" s="45" t="inlineStr">
        <is>
          <t>一般纳税人</t>
        </is>
      </c>
      <c r="F8" s="43" t="n">
        <v>4</v>
      </c>
      <c r="G8" s="45" t="inlineStr">
        <is>
          <t>现金</t>
        </is>
      </c>
      <c r="H8" s="45" t="inlineStr">
        <is>
          <t>现金</t>
        </is>
      </c>
      <c r="I8" s="45" t="n"/>
      <c r="J8" s="82" t="n"/>
      <c r="K8" s="57" t="n">
        <v>0</v>
      </c>
      <c r="L8" s="73">
        <f t="shared" si="0"/>
        <v>0</v>
      </c>
      <c r="M8" s="57" t="n"/>
      <c r="N8" s="44" t="n"/>
      <c r="O8" s="73">
        <f t="shared" si="1"/>
      </c>
      <c r="P8" s="50" t="n"/>
      <c r="R8" s="43" t="n">
        <v>4</v>
      </c>
      <c r="S8" s="45" t="inlineStr">
        <is>
          <t>临时工工资</t>
        </is>
      </c>
      <c r="T8" s="45" t="inlineStr">
        <is>
          <t>支</t>
        </is>
      </c>
      <c r="U8" s="45" t="inlineStr">
        <is>
          <t>人工费</t>
        </is>
      </c>
      <c r="V8" s="43" t="str">
        <f t="shared" si="2"/>
        <v>项目直接成本</v>
      </c>
      <c r="W8" s="45" t="inlineStr">
        <is>
          <t>项目</t>
        </is>
      </c>
      <c r="X8" s="50" t="inlineStr">
        <is>
          <t>现结的临时工、点工（不走考勤），直接算项目人工费</t>
        </is>
      </c>
      <c r="Z8" s="43" t="n">
        <v>4</v>
      </c>
      <c r="AA8" s="45" t="inlineStr">
        <is>
          <t>购买设备</t>
        </is>
      </c>
      <c r="AB8" s="45" t="inlineStr">
        <is>
          <t>支</t>
        </is>
      </c>
      <c r="AC8" s="45" t="inlineStr">
        <is>
          <t>固定资产购置</t>
        </is>
      </c>
      <c r="AE8" s="19" t="inlineStr">
        <is>
          <t>异地预缴增值税率</t>
        </is>
      </c>
      <c r="AF8" s="52" t="n">
        <v>0.02</v>
      </c>
      <c r="AG8" s="83" t="inlineStr">
        <is>
          <t>一般计税 2%、简易计税 3%（只在【项目账】税负测算里显示，预缴的钱冲应交税费）</t>
        </is>
      </c>
      <c r="AI8" s="43" t="n">
        <v>4</v>
      </c>
      <c r="AJ8" s="50" t="n"/>
      <c r="AK8" s="44" t="n"/>
      <c r="AL8" s="57" t="n"/>
      <c r="AM8" s="45" t="n"/>
      <c r="AN8" s="52" t="n"/>
      <c r="AO8" s="45" t="n"/>
      <c r="AP8" s="48">
        <f t="shared" si="3"/>
        <v>0</v>
      </c>
      <c r="AQ8" s="50" t="n"/>
      <c r="AR8" s="2">
        <f t="shared" si="4"/>
        <v>0</v>
      </c>
      <c r="AS8" s="2">
        <f t="shared" si="5"/>
        <v>-1</v>
      </c>
    </row>
    <row r="9" ht="28" customHeight="1">
      <c r="B9" s="4" t="inlineStr">
        <is>
          <t>建账日期</t>
        </is>
      </c>
      <c r="C9" s="44" t="n">
        <v>46082</v>
      </c>
      <c r="F9" s="43" t="n">
        <v>5</v>
      </c>
      <c r="G9" s="45" t="inlineStr">
        <is>
          <t>聂辉个人户</t>
        </is>
      </c>
      <c r="H9" s="45" t="inlineStr">
        <is>
          <t>个人户</t>
        </is>
      </c>
      <c r="I9" s="45" t="inlineStr">
        <is>
          <t>聂辉</t>
        </is>
      </c>
      <c r="J9" s="82" t="n"/>
      <c r="K9" s="57" t="n">
        <v>-237668</v>
      </c>
      <c r="L9" s="73">
        <f t="shared" si="0"/>
        <v>-112468</v>
      </c>
      <c r="M9" s="57" t="n"/>
      <c r="N9" s="44" t="n"/>
      <c r="O9" s="73">
        <f t="shared" si="1"/>
      </c>
      <c r="P9" s="50" t="inlineStr">
        <is>
          <t>原来的「聂辉微信」＋他个人替公司付的、借给公司的。期初 −237,668＝你原表聂总个人明细里借给公司的合计（到 2024-10），2025 年的请核对</t>
        </is>
      </c>
      <c r="R9" s="43" t="n">
        <v>5</v>
      </c>
      <c r="S9" s="45" t="inlineStr">
        <is>
          <t>工资退回</t>
        </is>
      </c>
      <c r="T9" s="45" t="inlineStr">
        <is>
          <t>收</t>
        </is>
      </c>
      <c r="U9" s="45" t="inlineStr">
        <is>
          <t>应付职工薪酬</t>
        </is>
      </c>
      <c r="V9" s="43" t="str">
        <f t="shared" si="2"/>
        <v>不进利润</v>
      </c>
      <c r="W9" s="45" t="inlineStr">
        <is>
          <t>人</t>
        </is>
      </c>
      <c r="X9" s="50" t="inlineStr">
        <is>
          <t>总包代发多了、工人退给我们的</t>
        </is>
      </c>
      <c r="Z9" s="43" t="n">
        <v>5</v>
      </c>
      <c r="AA9" s="45" t="inlineStr">
        <is>
          <t>车款</t>
        </is>
      </c>
      <c r="AB9" s="45" t="inlineStr">
        <is>
          <t>支</t>
        </is>
      </c>
      <c r="AC9" s="45" t="inlineStr">
        <is>
          <t>固定资产购置</t>
        </is>
      </c>
      <c r="AE9" s="19" t="inlineStr">
        <is>
          <t>管理费分摊依据</t>
        </is>
      </c>
      <c r="AF9" s="74" t="inlineStr">
        <is>
          <t>施工费</t>
        </is>
      </c>
      <c r="AG9" s="83" t="inlineStr">
        <is>
          <t>施工费＝人工＋分包＋机械（默认）；直接成本＝再加材料和其他直接费</t>
        </is>
      </c>
      <c r="AI9" s="43" t="n">
        <v>5</v>
      </c>
      <c r="AJ9" s="50" t="n"/>
      <c r="AK9" s="44" t="n"/>
      <c r="AL9" s="57" t="n"/>
      <c r="AM9" s="45" t="n"/>
      <c r="AN9" s="52" t="n"/>
      <c r="AO9" s="45" t="n"/>
      <c r="AP9" s="48">
        <f t="shared" si="3"/>
        <v>0</v>
      </c>
      <c r="AQ9" s="50" t="n"/>
      <c r="AR9" s="2">
        <f t="shared" si="4"/>
        <v>0</v>
      </c>
      <c r="AS9" s="2">
        <f t="shared" si="5"/>
        <v>-1</v>
      </c>
    </row>
    <row r="10" ht="28" customHeight="1">
      <c r="B10" s="85" t="inlineStr">
        <is>
          <t>建账日期填某个月的 1 号：这天以前的账在【期初余额】一次性录，这天起每一笔按实际日期录。小规模纳税人：⑤ 销项税率改成 3%（或 1%），项目里填的 9% 自动不算，进项票不抵扣（自动）。</t>
        </is>
      </c>
      <c r="F10" s="43" t="n">
        <v>6</v>
      </c>
      <c r="G10" s="45" t="inlineStr">
        <is>
          <t>王伟个人户</t>
        </is>
      </c>
      <c r="H10" s="45" t="inlineStr">
        <is>
          <t>个人户</t>
        </is>
      </c>
      <c r="I10" s="45" t="inlineStr">
        <is>
          <t>王伟</t>
        </is>
      </c>
      <c r="J10" s="82" t="n"/>
      <c r="K10" s="57" t="n">
        <v>-190000</v>
      </c>
      <c r="L10" s="73">
        <f t="shared" si="0"/>
        <v>-173359.6</v>
      </c>
      <c r="M10" s="57" t="n"/>
      <c r="N10" s="44" t="n"/>
      <c r="O10" s="73">
        <f t="shared" si="1"/>
      </c>
      <c r="P10" s="50" t="inlineStr">
        <is>
          <t>原来的「王伟微信」。期初 −190,000＝你原表王总个人往来里借给公司的合计，请核对</t>
        </is>
      </c>
      <c r="R10" s="43" t="n">
        <v>6</v>
      </c>
      <c r="S10" s="45" t="inlineStr">
        <is>
          <t>账户互转</t>
        </is>
      </c>
      <c r="T10" s="45" t="inlineStr">
        <is>
          <t>双向</t>
        </is>
      </c>
      <c r="U10" s="45" t="inlineStr">
        <is>
          <t>账户互转</t>
        </is>
      </c>
      <c r="V10" s="43" t="str">
        <f t="shared" si="2"/>
        <v>不进利润</v>
      </c>
      <c r="W10" s="45" t="inlineStr">
        <is>
          <t>对方账户</t>
        </is>
      </c>
      <c r="X10" s="50" t="inlineStr">
        <is>
          <t>自己账户之间：银行↔银行、银行↔老板个人户（借款、还款、报销、备用金都算这个）</t>
        </is>
      </c>
      <c r="Z10" s="43" t="n">
        <v>6</v>
      </c>
      <c r="AA10" s="45" t="inlineStr">
        <is>
          <t>印花</t>
        </is>
      </c>
      <c r="AB10" s="45" t="inlineStr">
        <is>
          <t>全</t>
        </is>
      </c>
      <c r="AC10" s="45" t="inlineStr">
        <is>
          <t>缴增值税及附加</t>
        </is>
      </c>
      <c r="AE10" s="19" t="inlineStr">
        <is>
          <t>收入确认落后提醒</t>
        </is>
      </c>
      <c r="AF10" s="52" t="n">
        <v>0.3</v>
      </c>
      <c r="AG10" s="83" t="inlineStr">
        <is>
          <t>直接成本占总价的比例比确认产值的比例高出这么多，就提醒补录产值确认</t>
        </is>
      </c>
      <c r="AI10" s="43" t="n">
        <v>6</v>
      </c>
      <c r="AJ10" s="50" t="n"/>
      <c r="AK10" s="44" t="n"/>
      <c r="AL10" s="57" t="n"/>
      <c r="AM10" s="45" t="n"/>
      <c r="AN10" s="52" t="n"/>
      <c r="AO10" s="45" t="n"/>
      <c r="AP10" s="48">
        <f t="shared" si="3"/>
        <v>0</v>
      </c>
      <c r="AQ10" s="50" t="n"/>
      <c r="AR10" s="2">
        <f t="shared" si="4"/>
        <v>0</v>
      </c>
      <c r="AS10" s="2">
        <f t="shared" si="5"/>
        <v>-1</v>
      </c>
    </row>
    <row r="11" ht="28" customHeight="1">
      <c r="F11" s="43" t="n">
        <v>7</v>
      </c>
      <c r="G11" s="45" t="inlineStr">
        <is>
          <t>张滨个人户</t>
        </is>
      </c>
      <c r="H11" s="45" t="inlineStr">
        <is>
          <t>个人户</t>
        </is>
      </c>
      <c r="I11" s="45" t="inlineStr">
        <is>
          <t>张滨</t>
        </is>
      </c>
      <c r="J11" s="82" t="n"/>
      <c r="K11" s="57" t="n">
        <v>0</v>
      </c>
      <c r="L11" s="73">
        <f t="shared" si="0"/>
        <v>2300</v>
      </c>
      <c r="M11" s="57" t="n"/>
      <c r="N11" s="44" t="n"/>
      <c r="O11" s="73">
        <f t="shared" si="1"/>
      </c>
      <c r="P11" s="50" t="inlineStr">
        <is>
          <t>原来的「张滨微信」。2025-07-01 领的备用金 60,000 还剩多少请核对后填</t>
        </is>
      </c>
      <c r="R11" s="43" t="n">
        <v>7</v>
      </c>
      <c r="S11" s="45" t="inlineStr">
        <is>
          <t>材料费</t>
        </is>
      </c>
      <c r="T11" s="45" t="inlineStr">
        <is>
          <t>支</t>
        </is>
      </c>
      <c r="U11" s="45" t="inlineStr">
        <is>
          <t>材料费</t>
        </is>
      </c>
      <c r="V11" s="43" t="str">
        <f t="shared" si="2"/>
        <v>项目直接成本</v>
      </c>
      <c r="W11" s="45" t="inlineStr">
        <is>
          <t>项目</t>
        </is>
      </c>
      <c r="X11" s="50" t="inlineStr">
        <is>
          <t>现买现付的材料（没挂账的）</t>
        </is>
      </c>
      <c r="Z11" s="43" t="n">
        <v>7</v>
      </c>
      <c r="AA11" s="45" t="inlineStr">
        <is>
          <t>转九江银行</t>
        </is>
      </c>
      <c r="AB11" s="45" t="inlineStr">
        <is>
          <t>全</t>
        </is>
      </c>
      <c r="AC11" s="45" t="inlineStr">
        <is>
          <t>账户互转</t>
        </is>
      </c>
      <c r="AE11" s="19" t="inlineStr">
        <is>
          <t>税金占产值（估，没数据时用）</t>
        </is>
      </c>
      <c r="AF11" s="86" t="n">
        <v>0.03</v>
      </c>
      <c r="AG11" s="83" t="inlineStr">
        <is>
          <t>【盈亏平衡表】【报价计算器】估税金用；有了项目数据就自动按实际比例算</t>
        </is>
      </c>
      <c r="AI11" s="43" t="n">
        <v>7</v>
      </c>
      <c r="AJ11" s="50" t="n"/>
      <c r="AK11" s="44" t="n"/>
      <c r="AL11" s="57" t="n"/>
      <c r="AM11" s="45" t="n"/>
      <c r="AN11" s="52" t="n"/>
      <c r="AO11" s="45" t="n"/>
      <c r="AP11" s="48">
        <f t="shared" si="3"/>
        <v>0</v>
      </c>
      <c r="AQ11" s="50" t="n"/>
      <c r="AR11" s="2">
        <f t="shared" si="4"/>
        <v>0</v>
      </c>
      <c r="AS11" s="2">
        <f t="shared" si="5"/>
        <v>-1</v>
      </c>
    </row>
    <row r="12">
      <c r="F12" s="43" t="n">
        <v>8</v>
      </c>
      <c r="G12" s="45" t="inlineStr">
        <is>
          <t>承兑汇票</t>
        </is>
      </c>
      <c r="H12" s="45" t="inlineStr">
        <is>
          <t>票据</t>
        </is>
      </c>
      <c r="I12" s="45" t="n"/>
      <c r="J12" s="82" t="n"/>
      <c r="K12" s="57" t="n">
        <v>0</v>
      </c>
      <c r="L12" s="73">
        <f t="shared" si="0"/>
        <v>0</v>
      </c>
      <c r="M12" s="57" t="n"/>
      <c r="N12" s="44" t="n"/>
      <c r="O12" s="73">
        <f t="shared" si="1"/>
      </c>
      <c r="P12" s="50" t="inlineStr">
        <is>
          <t>收到还没贴现、没背书的承兑汇票</t>
        </is>
      </c>
      <c r="R12" s="43" t="n">
        <v>8</v>
      </c>
      <c r="S12" s="45" t="inlineStr">
        <is>
          <t>分包费</t>
        </is>
      </c>
      <c r="T12" s="45" t="inlineStr">
        <is>
          <t>支</t>
        </is>
      </c>
      <c r="U12" s="45" t="inlineStr">
        <is>
          <t>分包费</t>
        </is>
      </c>
      <c r="V12" s="43" t="str">
        <f t="shared" si="2"/>
        <v>项目直接成本</v>
      </c>
      <c r="W12" s="45" t="inlineStr">
        <is>
          <t>项目</t>
        </is>
      </c>
      <c r="X12" s="50" t="inlineStr">
        <is>
          <t>现结的分包、劳务（没挂账的）</t>
        </is>
      </c>
      <c r="Z12" s="43" t="n">
        <v>8</v>
      </c>
      <c r="AA12" s="45" t="inlineStr">
        <is>
          <t>转农业银行</t>
        </is>
      </c>
      <c r="AB12" s="45" t="inlineStr">
        <is>
          <t>全</t>
        </is>
      </c>
      <c r="AC12" s="45" t="inlineStr">
        <is>
          <t>账户互转</t>
        </is>
      </c>
      <c r="AI12" s="43" t="n">
        <v>8</v>
      </c>
      <c r="AJ12" s="50" t="n"/>
      <c r="AK12" s="44" t="n"/>
      <c r="AL12" s="57" t="n"/>
      <c r="AM12" s="45" t="n"/>
      <c r="AN12" s="52" t="n"/>
      <c r="AO12" s="45" t="n"/>
      <c r="AP12" s="48">
        <f t="shared" si="3"/>
        <v>0</v>
      </c>
      <c r="AQ12" s="50" t="n"/>
      <c r="AR12" s="2">
        <f t="shared" si="4"/>
        <v>0</v>
      </c>
      <c r="AS12" s="2">
        <f t="shared" si="5"/>
        <v>-1</v>
      </c>
    </row>
    <row r="13">
      <c r="F13" s="43" t="n">
        <v>9</v>
      </c>
      <c r="G13" s="45" t="n"/>
      <c r="H13" s="45" t="n"/>
      <c r="I13" s="45" t="n"/>
      <c r="J13" s="82" t="n"/>
      <c r="K13" s="57" t="n"/>
      <c r="L13" s="73">
        <f t="shared" si="0"/>
      </c>
      <c r="M13" s="57" t="n"/>
      <c r="N13" s="44" t="n"/>
      <c r="O13" s="73">
        <f t="shared" si="1"/>
      </c>
      <c r="P13" s="50" t="n"/>
      <c r="R13" s="43" t="n">
        <v>9</v>
      </c>
      <c r="S13" s="45" t="inlineStr">
        <is>
          <t>机械运输费</t>
        </is>
      </c>
      <c r="T13" s="45" t="inlineStr">
        <is>
          <t>支</t>
        </is>
      </c>
      <c r="U13" s="45" t="inlineStr">
        <is>
          <t>机械运输费</t>
        </is>
      </c>
      <c r="V13" s="43" t="str">
        <f t="shared" si="2"/>
        <v>项目直接成本</v>
      </c>
      <c r="W13" s="45" t="inlineStr">
        <is>
          <t>项目</t>
        </is>
      </c>
      <c r="X13" s="50" t="inlineStr">
        <is>
          <t>挖机、吊车、运输、搬运（没挂账的）</t>
        </is>
      </c>
      <c r="Z13" s="43" t="n">
        <v>9</v>
      </c>
      <c r="AA13" s="45" t="inlineStr">
        <is>
          <t>转工商银行</t>
        </is>
      </c>
      <c r="AB13" s="45" t="inlineStr">
        <is>
          <t>全</t>
        </is>
      </c>
      <c r="AC13" s="45" t="inlineStr">
        <is>
          <t>账户互转</t>
        </is>
      </c>
      <c r="AI13" s="43" t="n">
        <v>9</v>
      </c>
      <c r="AJ13" s="50" t="n"/>
      <c r="AK13" s="44" t="n"/>
      <c r="AL13" s="57" t="n"/>
      <c r="AM13" s="45" t="n"/>
      <c r="AN13" s="52" t="n"/>
      <c r="AO13" s="45" t="n"/>
      <c r="AP13" s="48">
        <f t="shared" si="3"/>
        <v>0</v>
      </c>
      <c r="AQ13" s="50" t="n"/>
      <c r="AR13" s="2">
        <f t="shared" si="4"/>
        <v>0</v>
      </c>
      <c r="AS13" s="2">
        <f t="shared" si="5"/>
        <v>-1</v>
      </c>
    </row>
    <row r="14">
      <c r="F14" s="43" t="n">
        <v>10</v>
      </c>
      <c r="G14" s="45" t="n"/>
      <c r="H14" s="45" t="n"/>
      <c r="I14" s="45" t="n"/>
      <c r="J14" s="82" t="n"/>
      <c r="K14" s="57" t="n"/>
      <c r="L14" s="73">
        <f t="shared" si="0"/>
      </c>
      <c r="M14" s="57" t="n"/>
      <c r="N14" s="44" t="n"/>
      <c r="O14" s="73">
        <f t="shared" si="1"/>
      </c>
      <c r="P14" s="50" t="n"/>
      <c r="R14" s="43" t="n">
        <v>10</v>
      </c>
      <c r="S14" s="45" t="inlineStr">
        <is>
          <t>其他直接费</t>
        </is>
      </c>
      <c r="T14" s="45" t="inlineStr">
        <is>
          <t>支</t>
        </is>
      </c>
      <c r="U14" s="45" t="inlineStr">
        <is>
          <t>其他直接费</t>
        </is>
      </c>
      <c r="V14" s="43" t="str">
        <f t="shared" si="2"/>
        <v>项目直接成本</v>
      </c>
      <c r="W14" s="45" t="inlineStr">
        <is>
          <t>项目</t>
        </is>
      </c>
      <c r="X14" s="50" t="inlineStr">
        <is>
          <t>检测报告、项目期间费、工人餐、售后等，分得清是哪个项目的</t>
        </is>
      </c>
      <c r="Z14" s="43" t="n">
        <v>10</v>
      </c>
      <c r="AA14" s="45" t="inlineStr">
        <is>
          <t>转竣辉</t>
        </is>
      </c>
      <c r="AB14" s="45" t="inlineStr">
        <is>
          <t>全</t>
        </is>
      </c>
      <c r="AC14" s="45" t="inlineStr">
        <is>
          <t>账户互转</t>
        </is>
      </c>
      <c r="AI14" s="43" t="n">
        <v>10</v>
      </c>
      <c r="AJ14" s="50" t="n"/>
      <c r="AK14" s="44" t="n"/>
      <c r="AL14" s="57" t="n"/>
      <c r="AM14" s="45" t="n"/>
      <c r="AN14" s="52" t="n"/>
      <c r="AO14" s="45" t="n"/>
      <c r="AP14" s="48">
        <f t="shared" si="3"/>
        <v>0</v>
      </c>
      <c r="AQ14" s="50" t="n"/>
      <c r="AR14" s="2">
        <f t="shared" si="4"/>
        <v>0</v>
      </c>
      <c r="AS14" s="2">
        <f t="shared" si="5"/>
        <v>-1</v>
      </c>
    </row>
    <row r="15">
      <c r="F15" s="43" t="n">
        <v>11</v>
      </c>
      <c r="G15" s="45" t="n"/>
      <c r="H15" s="45" t="n"/>
      <c r="I15" s="45" t="n"/>
      <c r="J15" s="82" t="n"/>
      <c r="K15" s="57" t="n"/>
      <c r="L15" s="73">
        <f t="shared" si="0"/>
      </c>
      <c r="M15" s="57" t="n"/>
      <c r="N15" s="44" t="n"/>
      <c r="O15" s="73">
        <f t="shared" si="1"/>
      </c>
      <c r="P15" s="50" t="n"/>
      <c r="R15" s="43" t="n">
        <v>11</v>
      </c>
      <c r="S15" s="45" t="inlineStr">
        <is>
          <t>票据贴息</t>
        </is>
      </c>
      <c r="T15" s="45" t="inlineStr">
        <is>
          <t>支</t>
        </is>
      </c>
      <c r="U15" s="45" t="inlineStr">
        <is>
          <t>票据贴息</t>
        </is>
      </c>
      <c r="V15" s="43" t="str">
        <f t="shared" si="2"/>
        <v>项目直接成本</v>
      </c>
      <c r="W15" s="45" t="inlineStr">
        <is>
          <t>项目</t>
        </is>
      </c>
      <c r="X15" s="50" t="inlineStr">
        <is>
          <t>承兑汇票贴现的利息（算那个项目的财务费用）</t>
        </is>
      </c>
      <c r="Z15" s="43" t="n">
        <v>11</v>
      </c>
      <c r="AA15" s="45" t="inlineStr">
        <is>
          <t>互转</t>
        </is>
      </c>
      <c r="AB15" s="45" t="inlineStr">
        <is>
          <t>全</t>
        </is>
      </c>
      <c r="AC15" s="45" t="inlineStr">
        <is>
          <t>账户互转</t>
        </is>
      </c>
      <c r="AI15" s="43" t="n">
        <v>11</v>
      </c>
      <c r="AJ15" s="50" t="n"/>
      <c r="AK15" s="44" t="n"/>
      <c r="AL15" s="57" t="n"/>
      <c r="AM15" s="45" t="n"/>
      <c r="AN15" s="52" t="n"/>
      <c r="AO15" s="45" t="n"/>
      <c r="AP15" s="48">
        <f t="shared" si="3"/>
        <v>0</v>
      </c>
      <c r="AQ15" s="50" t="n"/>
      <c r="AR15" s="2">
        <f t="shared" si="4"/>
        <v>0</v>
      </c>
      <c r="AS15" s="2">
        <f t="shared" si="5"/>
        <v>-1</v>
      </c>
    </row>
    <row r="16">
      <c r="F16" s="43" t="n">
        <v>12</v>
      </c>
      <c r="G16" s="45" t="n"/>
      <c r="H16" s="45" t="n"/>
      <c r="I16" s="45" t="n"/>
      <c r="J16" s="82" t="n"/>
      <c r="K16" s="57" t="n"/>
      <c r="L16" s="73">
        <f t="shared" si="0"/>
      </c>
      <c r="M16" s="57" t="n"/>
      <c r="N16" s="44" t="n"/>
      <c r="O16" s="73">
        <f t="shared" si="1"/>
      </c>
      <c r="P16" s="50" t="n"/>
      <c r="R16" s="43" t="n">
        <v>12</v>
      </c>
      <c r="S16" s="45" t="inlineStr">
        <is>
          <t>办公费</t>
        </is>
      </c>
      <c r="T16" s="45" t="inlineStr">
        <is>
          <t>支</t>
        </is>
      </c>
      <c r="U16" s="45" t="inlineStr">
        <is>
          <t>办公费</t>
        </is>
      </c>
      <c r="V16" s="43" t="str">
        <f t="shared" si="2"/>
        <v>公司间接费</v>
      </c>
      <c r="W16" s="45" t="n"/>
      <c r="X16" s="50" t="inlineStr">
        <is>
          <t>快递、日用品、代账费、门头、平台费、办公室房租</t>
        </is>
      </c>
      <c r="Z16" s="43" t="n">
        <v>12</v>
      </c>
      <c r="AA16" s="45" t="inlineStr">
        <is>
          <t>转入</t>
        </is>
      </c>
      <c r="AB16" s="45" t="inlineStr">
        <is>
          <t>收</t>
        </is>
      </c>
      <c r="AC16" s="45" t="inlineStr">
        <is>
          <t>账户互转</t>
        </is>
      </c>
      <c r="AI16" s="43" t="n">
        <v>12</v>
      </c>
      <c r="AJ16" s="50" t="n"/>
      <c r="AK16" s="44" t="n"/>
      <c r="AL16" s="57" t="n"/>
      <c r="AM16" s="45" t="n"/>
      <c r="AN16" s="52" t="n"/>
      <c r="AO16" s="45" t="n"/>
      <c r="AP16" s="48">
        <f t="shared" si="3"/>
        <v>0</v>
      </c>
      <c r="AQ16" s="50" t="n"/>
      <c r="AR16" s="2">
        <f t="shared" si="4"/>
        <v>0</v>
      </c>
      <c r="AS16" s="2">
        <f t="shared" si="5"/>
        <v>-1</v>
      </c>
    </row>
    <row r="17">
      <c r="F17" s="43" t="n">
        <v>13</v>
      </c>
      <c r="G17" s="45" t="n"/>
      <c r="H17" s="45" t="n"/>
      <c r="I17" s="45" t="n"/>
      <c r="J17" s="82" t="n"/>
      <c r="K17" s="57" t="n"/>
      <c r="L17" s="73">
        <f t="shared" si="0"/>
      </c>
      <c r="M17" s="57" t="n"/>
      <c r="N17" s="44" t="n"/>
      <c r="O17" s="73">
        <f t="shared" si="1"/>
      </c>
      <c r="P17" s="50" t="n"/>
      <c r="R17" s="43" t="n">
        <v>13</v>
      </c>
      <c r="S17" s="45" t="inlineStr">
        <is>
          <t>食堂伙食</t>
        </is>
      </c>
      <c r="T17" s="45" t="inlineStr">
        <is>
          <t>支</t>
        </is>
      </c>
      <c r="U17" s="45" t="inlineStr">
        <is>
          <t>食堂伙食</t>
        </is>
      </c>
      <c r="V17" s="43" t="str">
        <f t="shared" si="2"/>
        <v>公司间接费</v>
      </c>
      <c r="W17" s="45" t="n"/>
      <c r="X17" s="50" t="inlineStr">
        <is>
          <t>买菜、大米、煤气</t>
        </is>
      </c>
      <c r="Z17" s="43" t="n">
        <v>13</v>
      </c>
      <c r="AA17" s="45" t="inlineStr">
        <is>
          <t>转出</t>
        </is>
      </c>
      <c r="AB17" s="45" t="inlineStr">
        <is>
          <t>支</t>
        </is>
      </c>
      <c r="AC17" s="45" t="inlineStr">
        <is>
          <t>账户互转</t>
        </is>
      </c>
      <c r="AI17" s="43" t="n">
        <v>13</v>
      </c>
      <c r="AJ17" s="50" t="n"/>
      <c r="AK17" s="44" t="n"/>
      <c r="AL17" s="57" t="n"/>
      <c r="AM17" s="45" t="n"/>
      <c r="AN17" s="52" t="n"/>
      <c r="AO17" s="45" t="n"/>
      <c r="AP17" s="48">
        <f t="shared" si="3"/>
        <v>0</v>
      </c>
      <c r="AQ17" s="50" t="n"/>
      <c r="AR17" s="2">
        <f t="shared" si="4"/>
        <v>0</v>
      </c>
      <c r="AS17" s="2">
        <f t="shared" si="5"/>
        <v>-1</v>
      </c>
    </row>
    <row r="18">
      <c r="F18" s="43" t="n">
        <v>14</v>
      </c>
      <c r="G18" s="45" t="n"/>
      <c r="H18" s="45" t="n"/>
      <c r="I18" s="45" t="n"/>
      <c r="J18" s="82" t="n"/>
      <c r="K18" s="57" t="n"/>
      <c r="L18" s="73">
        <f t="shared" si="0"/>
      </c>
      <c r="M18" s="57" t="n"/>
      <c r="N18" s="44" t="n"/>
      <c r="O18" s="73">
        <f t="shared" si="1"/>
      </c>
      <c r="P18" s="50" t="n"/>
      <c r="R18" s="43" t="n">
        <v>14</v>
      </c>
      <c r="S18" s="45" t="inlineStr">
        <is>
          <t>业务招待费</t>
        </is>
      </c>
      <c r="T18" s="45" t="inlineStr">
        <is>
          <t>支</t>
        </is>
      </c>
      <c r="U18" s="45" t="inlineStr">
        <is>
          <t>业务招待费</t>
        </is>
      </c>
      <c r="V18" s="43" t="str">
        <f t="shared" si="2"/>
        <v>公司间接费</v>
      </c>
      <c r="W18" s="45" t="n"/>
      <c r="X18" s="50" t="inlineStr">
        <is>
          <t>请客吃饭、烟酒、茶叶、客人住宿</t>
        </is>
      </c>
      <c r="Z18" s="43" t="n">
        <v>14</v>
      </c>
      <c r="AA18" s="45" t="inlineStr">
        <is>
          <t>工资退回</t>
        </is>
      </c>
      <c r="AB18" s="45" t="inlineStr">
        <is>
          <t>收</t>
        </is>
      </c>
      <c r="AC18" s="45" t="inlineStr">
        <is>
          <t>工资退回</t>
        </is>
      </c>
      <c r="AI18" s="43" t="n">
        <v>14</v>
      </c>
      <c r="AJ18" s="50" t="n"/>
      <c r="AK18" s="44" t="n"/>
      <c r="AL18" s="57" t="n"/>
      <c r="AM18" s="45" t="n"/>
      <c r="AN18" s="52" t="n"/>
      <c r="AO18" s="45" t="n"/>
      <c r="AP18" s="48">
        <f t="shared" si="3"/>
        <v>0</v>
      </c>
      <c r="AQ18" s="50" t="n"/>
      <c r="AR18" s="2">
        <f t="shared" si="4"/>
        <v>0</v>
      </c>
      <c r="AS18" s="2">
        <f t="shared" si="5"/>
        <v>-1</v>
      </c>
    </row>
    <row r="19">
      <c r="F19" s="43" t="n">
        <v>15</v>
      </c>
      <c r="G19" s="45" t="n"/>
      <c r="H19" s="45" t="n"/>
      <c r="I19" s="45" t="n"/>
      <c r="J19" s="82" t="n"/>
      <c r="K19" s="57" t="n"/>
      <c r="L19" s="73">
        <f t="shared" si="0"/>
      </c>
      <c r="M19" s="57" t="n"/>
      <c r="N19" s="44" t="n"/>
      <c r="O19" s="73">
        <f t="shared" si="1"/>
      </c>
      <c r="P19" s="50" t="n"/>
      <c r="R19" s="43" t="n">
        <v>15</v>
      </c>
      <c r="S19" s="45" t="inlineStr">
        <is>
          <t>车辆差旅</t>
        </is>
      </c>
      <c r="T19" s="45" t="inlineStr">
        <is>
          <t>支</t>
        </is>
      </c>
      <c r="U19" s="45" t="inlineStr">
        <is>
          <t>车辆差旅</t>
        </is>
      </c>
      <c r="V19" s="43" t="str">
        <f t="shared" si="2"/>
        <v>公司间接费</v>
      </c>
      <c r="W19" s="45" t="n"/>
      <c r="X19" s="50" t="inlineStr">
        <is>
          <t>加油、维修、保养、保险、过路停车、出差</t>
        </is>
      </c>
      <c r="Z19" s="43" t="n">
        <v>15</v>
      </c>
      <c r="AA19" s="45" t="inlineStr">
        <is>
          <t>退工资</t>
        </is>
      </c>
      <c r="AB19" s="45" t="inlineStr">
        <is>
          <t>收</t>
        </is>
      </c>
      <c r="AC19" s="45" t="inlineStr">
        <is>
          <t>工资退回</t>
        </is>
      </c>
      <c r="AI19" s="43" t="n">
        <v>15</v>
      </c>
      <c r="AJ19" s="50" t="n"/>
      <c r="AK19" s="44" t="n"/>
      <c r="AL19" s="57" t="n"/>
      <c r="AM19" s="45" t="n"/>
      <c r="AN19" s="52" t="n"/>
      <c r="AO19" s="45" t="n"/>
      <c r="AP19" s="48">
        <f t="shared" si="3"/>
        <v>0</v>
      </c>
      <c r="AQ19" s="50" t="n"/>
      <c r="AR19" s="2">
        <f t="shared" si="4"/>
        <v>0</v>
      </c>
      <c r="AS19" s="2">
        <f t="shared" si="5"/>
        <v>-1</v>
      </c>
    </row>
    <row r="20">
      <c r="F20" s="43" t="n">
        <v>16</v>
      </c>
      <c r="G20" s="45" t="n"/>
      <c r="H20" s="45" t="n"/>
      <c r="I20" s="45" t="n"/>
      <c r="J20" s="82" t="n"/>
      <c r="K20" s="57" t="n"/>
      <c r="L20" s="73">
        <f t="shared" si="0"/>
      </c>
      <c r="M20" s="57" t="n"/>
      <c r="N20" s="44" t="n"/>
      <c r="O20" s="73">
        <f t="shared" si="1"/>
      </c>
      <c r="P20" s="50" t="n"/>
      <c r="R20" s="43" t="n">
        <v>16</v>
      </c>
      <c r="S20" s="45" t="inlineStr">
        <is>
          <t>社保费</t>
        </is>
      </c>
      <c r="T20" s="45" t="inlineStr">
        <is>
          <t>支</t>
        </is>
      </c>
      <c r="U20" s="45" t="inlineStr">
        <is>
          <t>社保费</t>
        </is>
      </c>
      <c r="V20" s="43" t="str">
        <f t="shared" si="2"/>
        <v>公司间接费</v>
      </c>
      <c r="W20" s="45" t="n"/>
      <c r="X20" s="50" t="inlineStr">
        <is>
          <t>公司交的社保（工资表里代扣的个人部分自动冲回）</t>
        </is>
      </c>
      <c r="Z20" s="43" t="n">
        <v>16</v>
      </c>
      <c r="AA20" s="45" t="inlineStr">
        <is>
          <t>多发退回</t>
        </is>
      </c>
      <c r="AB20" s="45" t="inlineStr">
        <is>
          <t>收</t>
        </is>
      </c>
      <c r="AC20" s="45" t="inlineStr">
        <is>
          <t>工资退回</t>
        </is>
      </c>
      <c r="AI20" s="43" t="n">
        <v>16</v>
      </c>
      <c r="AJ20" s="50" t="n"/>
      <c r="AK20" s="44" t="n"/>
      <c r="AL20" s="57" t="n"/>
      <c r="AM20" s="45" t="n"/>
      <c r="AN20" s="52" t="n"/>
      <c r="AO20" s="45" t="n"/>
      <c r="AP20" s="48">
        <f t="shared" si="3"/>
        <v>0</v>
      </c>
      <c r="AQ20" s="50" t="n"/>
      <c r="AR20" s="2">
        <f t="shared" si="4"/>
        <v>0</v>
      </c>
      <c r="AS20" s="2">
        <f t="shared" si="5"/>
        <v>-1</v>
      </c>
    </row>
    <row r="21">
      <c r="F21" s="43" t="n">
        <v>17</v>
      </c>
      <c r="G21" s="45" t="n"/>
      <c r="H21" s="45" t="n"/>
      <c r="I21" s="45" t="n"/>
      <c r="J21" s="82" t="n"/>
      <c r="K21" s="57" t="n"/>
      <c r="L21" s="73">
        <f t="shared" si="0"/>
      </c>
      <c r="M21" s="57" t="n"/>
      <c r="N21" s="44" t="n"/>
      <c r="O21" s="73">
        <f t="shared" si="1"/>
      </c>
      <c r="P21" s="50" t="n"/>
      <c r="R21" s="43" t="n">
        <v>17</v>
      </c>
      <c r="S21" s="45" t="inlineStr">
        <is>
          <t>其他管理费</t>
        </is>
      </c>
      <c r="T21" s="45" t="inlineStr">
        <is>
          <t>支</t>
        </is>
      </c>
      <c r="U21" s="45" t="inlineStr">
        <is>
          <t>其他管理费</t>
        </is>
      </c>
      <c r="V21" s="43" t="str">
        <f t="shared" si="2"/>
        <v>公司间接费</v>
      </c>
      <c r="W21" s="45" t="n"/>
      <c r="X21" s="50" t="inlineStr">
        <is>
          <t>别的公司日常开支</t>
        </is>
      </c>
      <c r="Z21" s="43" t="n">
        <v>17</v>
      </c>
      <c r="AA21" s="45" t="inlineStr">
        <is>
          <t>股东借款</t>
        </is>
      </c>
      <c r="AB21" s="45" t="inlineStr">
        <is>
          <t>全</t>
        </is>
      </c>
      <c r="AC21" s="45" t="inlineStr">
        <is>
          <t>账户互转</t>
        </is>
      </c>
      <c r="AI21" s="43" t="n">
        <v>17</v>
      </c>
      <c r="AJ21" s="50" t="n"/>
      <c r="AK21" s="44" t="n"/>
      <c r="AL21" s="57" t="n"/>
      <c r="AM21" s="45" t="n"/>
      <c r="AN21" s="52" t="n"/>
      <c r="AO21" s="45" t="n"/>
      <c r="AP21" s="48">
        <f t="shared" si="3"/>
        <v>0</v>
      </c>
      <c r="AQ21" s="50" t="n"/>
      <c r="AR21" s="2">
        <f t="shared" si="4"/>
        <v>0</v>
      </c>
      <c r="AS21" s="2">
        <f t="shared" si="5"/>
        <v>-1</v>
      </c>
    </row>
    <row r="22">
      <c r="F22" s="43" t="n">
        <v>18</v>
      </c>
      <c r="G22" s="45" t="n"/>
      <c r="H22" s="45" t="n"/>
      <c r="I22" s="45" t="n"/>
      <c r="J22" s="82" t="n"/>
      <c r="K22" s="57" t="n"/>
      <c r="L22" s="73">
        <f t="shared" si="0"/>
      </c>
      <c r="M22" s="57" t="n"/>
      <c r="N22" s="44" t="n"/>
      <c r="O22" s="73">
        <f t="shared" si="1"/>
      </c>
      <c r="P22" s="50" t="n"/>
      <c r="R22" s="43" t="n">
        <v>18</v>
      </c>
      <c r="S22" s="45" t="inlineStr">
        <is>
          <t>利息支出</t>
        </is>
      </c>
      <c r="T22" s="45" t="inlineStr">
        <is>
          <t>支</t>
        </is>
      </c>
      <c r="U22" s="45" t="inlineStr">
        <is>
          <t>利息支出</t>
        </is>
      </c>
      <c r="V22" s="43" t="str">
        <f t="shared" si="2"/>
        <v>公司不分摊</v>
      </c>
      <c r="W22" s="45" t="n"/>
      <c r="X22" s="50" t="inlineStr">
        <is>
          <t>贷款利息</t>
        </is>
      </c>
      <c r="Z22" s="43" t="n">
        <v>18</v>
      </c>
      <c r="AA22" s="45" t="inlineStr">
        <is>
          <t>个人借款</t>
        </is>
      </c>
      <c r="AB22" s="45" t="inlineStr">
        <is>
          <t>全</t>
        </is>
      </c>
      <c r="AC22" s="45" t="inlineStr">
        <is>
          <t>账户互转</t>
        </is>
      </c>
      <c r="AI22" s="43" t="n">
        <v>18</v>
      </c>
      <c r="AJ22" s="50" t="n"/>
      <c r="AK22" s="44" t="n"/>
      <c r="AL22" s="57" t="n"/>
      <c r="AM22" s="45" t="n"/>
      <c r="AN22" s="52" t="n"/>
      <c r="AO22" s="45" t="n"/>
      <c r="AP22" s="48">
        <f t="shared" si="3"/>
        <v>0</v>
      </c>
      <c r="AQ22" s="50" t="n"/>
      <c r="AR22" s="2">
        <f t="shared" si="4"/>
        <v>0</v>
      </c>
      <c r="AS22" s="2">
        <f t="shared" si="5"/>
        <v>-1</v>
      </c>
    </row>
    <row r="23">
      <c r="F23" s="43" t="n">
        <v>19</v>
      </c>
      <c r="G23" s="45" t="n"/>
      <c r="H23" s="45" t="n"/>
      <c r="I23" s="45" t="n"/>
      <c r="J23" s="82" t="n"/>
      <c r="K23" s="57" t="n"/>
      <c r="L23" s="73">
        <f t="shared" si="0"/>
      </c>
      <c r="M23" s="57" t="n"/>
      <c r="N23" s="44" t="n"/>
      <c r="O23" s="73">
        <f t="shared" si="1"/>
      </c>
      <c r="P23" s="50" t="n"/>
      <c r="R23" s="43" t="n">
        <v>19</v>
      </c>
      <c r="S23" s="45" t="inlineStr">
        <is>
          <t>银行手续费</t>
        </is>
      </c>
      <c r="T23" s="45" t="inlineStr">
        <is>
          <t>支</t>
        </is>
      </c>
      <c r="U23" s="45" t="inlineStr">
        <is>
          <t>手续费</t>
        </is>
      </c>
      <c r="V23" s="43" t="str">
        <f t="shared" si="2"/>
        <v>公司不分摊</v>
      </c>
      <c r="W23" s="45" t="n"/>
      <c r="X23" s="50" t="inlineStr">
        <is>
          <t>手续费、网银年费、账户维护费</t>
        </is>
      </c>
      <c r="Z23" s="43" t="n">
        <v>19</v>
      </c>
      <c r="AA23" s="45" t="inlineStr">
        <is>
          <t>还聂辉</t>
        </is>
      </c>
      <c r="AB23" s="45" t="inlineStr">
        <is>
          <t>全</t>
        </is>
      </c>
      <c r="AC23" s="45" t="inlineStr">
        <is>
          <t>账户互转</t>
        </is>
      </c>
      <c r="AI23" s="43" t="n">
        <v>19</v>
      </c>
      <c r="AJ23" s="50" t="n"/>
      <c r="AK23" s="44" t="n"/>
      <c r="AL23" s="57" t="n"/>
      <c r="AM23" s="45" t="n"/>
      <c r="AN23" s="52" t="n"/>
      <c r="AO23" s="45" t="n"/>
      <c r="AP23" s="48">
        <f t="shared" si="3"/>
        <v>0</v>
      </c>
      <c r="AQ23" s="50" t="n"/>
      <c r="AR23" s="2">
        <f t="shared" si="4"/>
        <v>0</v>
      </c>
      <c r="AS23" s="2">
        <f t="shared" si="5"/>
        <v>-1</v>
      </c>
    </row>
    <row r="24">
      <c r="F24" s="43" t="n">
        <v>20</v>
      </c>
      <c r="G24" s="45" t="n"/>
      <c r="H24" s="45" t="n"/>
      <c r="I24" s="45" t="n"/>
      <c r="J24" s="82" t="n"/>
      <c r="K24" s="57" t="n"/>
      <c r="L24" s="73">
        <f t="shared" si="0"/>
      </c>
      <c r="M24" s="57" t="n"/>
      <c r="N24" s="44" t="n"/>
      <c r="O24" s="73">
        <f t="shared" si="1"/>
      </c>
      <c r="P24" s="50" t="n"/>
      <c r="R24" s="43" t="n">
        <v>20</v>
      </c>
      <c r="S24" s="45" t="inlineStr">
        <is>
          <t>利息收入</t>
        </is>
      </c>
      <c r="T24" s="45" t="inlineStr">
        <is>
          <t>收</t>
        </is>
      </c>
      <c r="U24" s="45" t="inlineStr">
        <is>
          <t>利息收入</t>
        </is>
      </c>
      <c r="V24" s="43" t="str">
        <f t="shared" si="2"/>
        <v>公司不分摊</v>
      </c>
      <c r="W24" s="45" t="n"/>
      <c r="X24" s="50" t="inlineStr">
        <is>
          <t>存款利息、结息</t>
        </is>
      </c>
      <c r="Z24" s="43" t="n">
        <v>20</v>
      </c>
      <c r="AA24" s="45" t="inlineStr">
        <is>
          <t>还王伟</t>
        </is>
      </c>
      <c r="AB24" s="45" t="inlineStr">
        <is>
          <t>全</t>
        </is>
      </c>
      <c r="AC24" s="45" t="inlineStr">
        <is>
          <t>账户互转</t>
        </is>
      </c>
      <c r="AI24" s="43" t="n">
        <v>20</v>
      </c>
      <c r="AJ24" s="50" t="n"/>
      <c r="AK24" s="44" t="n"/>
      <c r="AL24" s="57" t="n"/>
      <c r="AM24" s="45" t="n"/>
      <c r="AN24" s="52" t="n"/>
      <c r="AO24" s="45" t="n"/>
      <c r="AP24" s="48">
        <f t="shared" si="3"/>
        <v>0</v>
      </c>
      <c r="AQ24" s="50" t="n"/>
      <c r="AR24" s="2">
        <f t="shared" si="4"/>
        <v>0</v>
      </c>
      <c r="AS24" s="2">
        <f t="shared" si="5"/>
        <v>-1</v>
      </c>
    </row>
    <row r="25">
      <c r="R25" s="43" t="n">
        <v>21</v>
      </c>
      <c r="S25" s="45" t="inlineStr">
        <is>
          <t>其他收入</t>
        </is>
      </c>
      <c r="T25" s="45" t="inlineStr">
        <is>
          <t>收</t>
        </is>
      </c>
      <c r="U25" s="45" t="inlineStr">
        <is>
          <t>其他收入</t>
        </is>
      </c>
      <c r="V25" s="43" t="str">
        <f t="shared" si="2"/>
        <v>公司不分摊</v>
      </c>
      <c r="W25" s="45" t="n"/>
      <c r="X25" s="50" t="inlineStr">
        <is>
          <t>补贴、罚款收入等</t>
        </is>
      </c>
      <c r="Z25" s="43" t="n">
        <v>21</v>
      </c>
      <c r="AA25" s="45" t="inlineStr">
        <is>
          <t>还张滨</t>
        </is>
      </c>
      <c r="AB25" s="45" t="inlineStr">
        <is>
          <t>全</t>
        </is>
      </c>
      <c r="AC25" s="45" t="inlineStr">
        <is>
          <t>账户互转</t>
        </is>
      </c>
      <c r="AI25" s="43" t="n">
        <v>21</v>
      </c>
      <c r="AJ25" s="50" t="n"/>
      <c r="AK25" s="44" t="n"/>
      <c r="AL25" s="57" t="n"/>
      <c r="AM25" s="45" t="n"/>
      <c r="AN25" s="52" t="n"/>
      <c r="AO25" s="45" t="n"/>
      <c r="AP25" s="48">
        <f t="shared" si="3"/>
        <v>0</v>
      </c>
      <c r="AQ25" s="50" t="n"/>
      <c r="AR25" s="2">
        <f t="shared" si="4"/>
        <v>0</v>
      </c>
      <c r="AS25" s="2">
        <f t="shared" si="5"/>
        <v>-1</v>
      </c>
    </row>
    <row r="26">
      <c r="R26" s="43" t="n">
        <v>22</v>
      </c>
      <c r="S26" s="45" t="inlineStr">
        <is>
          <t>其他支出</t>
        </is>
      </c>
      <c r="T26" s="45" t="inlineStr">
        <is>
          <t>支</t>
        </is>
      </c>
      <c r="U26" s="45" t="inlineStr">
        <is>
          <t>其他支出</t>
        </is>
      </c>
      <c r="V26" s="43" t="str">
        <f t="shared" si="2"/>
        <v>公司不分摊</v>
      </c>
      <c r="W26" s="45" t="n"/>
      <c r="X26" s="50" t="inlineStr">
        <is>
          <t>罚款、滞纳金、捐赠等</t>
        </is>
      </c>
      <c r="Z26" s="43" t="n">
        <v>22</v>
      </c>
      <c r="AA26" s="45" t="inlineStr">
        <is>
          <t>借款</t>
        </is>
      </c>
      <c r="AB26" s="45" t="inlineStr">
        <is>
          <t>全</t>
        </is>
      </c>
      <c r="AC26" s="45" t="inlineStr">
        <is>
          <t>账户互转</t>
        </is>
      </c>
      <c r="AI26" s="43" t="n">
        <v>22</v>
      </c>
      <c r="AJ26" s="50" t="n"/>
      <c r="AK26" s="44" t="n"/>
      <c r="AL26" s="57" t="n"/>
      <c r="AM26" s="45" t="n"/>
      <c r="AN26" s="52" t="n"/>
      <c r="AO26" s="45" t="n"/>
      <c r="AP26" s="48">
        <f t="shared" si="3"/>
        <v>0</v>
      </c>
      <c r="AQ26" s="50" t="n"/>
      <c r="AR26" s="2">
        <f t="shared" si="4"/>
        <v>0</v>
      </c>
      <c r="AS26" s="2">
        <f t="shared" si="5"/>
        <v>-1</v>
      </c>
    </row>
    <row r="27">
      <c r="R27" s="43" t="n">
        <v>23</v>
      </c>
      <c r="S27" s="45" t="inlineStr">
        <is>
          <t>其他税费</t>
        </is>
      </c>
      <c r="T27" s="45" t="inlineStr">
        <is>
          <t>支</t>
        </is>
      </c>
      <c r="U27" s="45" t="inlineStr">
        <is>
          <t>其他税费</t>
        </is>
      </c>
      <c r="V27" s="43" t="str">
        <f t="shared" si="2"/>
        <v>公司不分摊</v>
      </c>
      <c r="W27" s="45" t="n"/>
      <c r="X27" s="50" t="inlineStr">
        <is>
          <t>房产税、土地使用税、车船税这类不跟项目走的（印花税记「缴增值税及附加」）</t>
        </is>
      </c>
      <c r="Z27" s="43" t="n">
        <v>23</v>
      </c>
      <c r="AA27" s="45" t="inlineStr">
        <is>
          <t>报销</t>
        </is>
      </c>
      <c r="AB27" s="45" t="inlineStr">
        <is>
          <t>全</t>
        </is>
      </c>
      <c r="AC27" s="45" t="inlineStr">
        <is>
          <t>账户互转</t>
        </is>
      </c>
      <c r="AI27" s="43" t="n">
        <v>23</v>
      </c>
      <c r="AJ27" s="50" t="n"/>
      <c r="AK27" s="44" t="n"/>
      <c r="AL27" s="57" t="n"/>
      <c r="AM27" s="45" t="n"/>
      <c r="AN27" s="52" t="n"/>
      <c r="AO27" s="45" t="n"/>
      <c r="AP27" s="48">
        <f t="shared" si="3"/>
        <v>0</v>
      </c>
      <c r="AQ27" s="50" t="n"/>
      <c r="AR27" s="2">
        <f t="shared" si="4"/>
        <v>0</v>
      </c>
      <c r="AS27" s="2">
        <f t="shared" si="5"/>
        <v>-1</v>
      </c>
    </row>
    <row r="28">
      <c r="R28" s="43" t="n">
        <v>24</v>
      </c>
      <c r="S28" s="45" t="inlineStr">
        <is>
          <t>所得税</t>
        </is>
      </c>
      <c r="T28" s="45" t="inlineStr">
        <is>
          <t>支</t>
        </is>
      </c>
      <c r="U28" s="45" t="inlineStr">
        <is>
          <t>所得税</t>
        </is>
      </c>
      <c r="V28" s="43" t="str">
        <f t="shared" si="2"/>
        <v>公司不分摊</v>
      </c>
      <c r="W28" s="45" t="n"/>
      <c r="X28" s="50" t="inlineStr">
        <is>
          <t>企业所得税（含异地预缴的）</t>
        </is>
      </c>
      <c r="Z28" s="43" t="n">
        <v>24</v>
      </c>
      <c r="AA28" s="45" t="inlineStr">
        <is>
          <t>备用金</t>
        </is>
      </c>
      <c r="AB28" s="45" t="inlineStr">
        <is>
          <t>全</t>
        </is>
      </c>
      <c r="AC28" s="45" t="inlineStr">
        <is>
          <t>账户互转</t>
        </is>
      </c>
      <c r="AI28" s="43" t="n">
        <v>24</v>
      </c>
      <c r="AJ28" s="50" t="n"/>
      <c r="AK28" s="44" t="n"/>
      <c r="AL28" s="57" t="n"/>
      <c r="AM28" s="45" t="n"/>
      <c r="AN28" s="52" t="n"/>
      <c r="AO28" s="45" t="n"/>
      <c r="AP28" s="48">
        <f t="shared" si="3"/>
        <v>0</v>
      </c>
      <c r="AQ28" s="50" t="n"/>
      <c r="AR28" s="2">
        <f t="shared" si="4"/>
        <v>0</v>
      </c>
      <c r="AS28" s="2">
        <f t="shared" si="5"/>
        <v>-1</v>
      </c>
    </row>
    <row r="29">
      <c r="R29" s="43" t="n">
        <v>25</v>
      </c>
      <c r="S29" s="45" t="inlineStr">
        <is>
          <t>缴增值税及附加</t>
        </is>
      </c>
      <c r="T29" s="45" t="inlineStr">
        <is>
          <t>支</t>
        </is>
      </c>
      <c r="U29" s="45" t="inlineStr">
        <is>
          <t>应交税费</t>
        </is>
      </c>
      <c r="V29" s="43" t="str">
        <f t="shared" si="2"/>
        <v>不进利润</v>
      </c>
      <c r="W29" s="45" t="n"/>
      <c r="X29" s="50" t="inlineStr">
        <is>
          <t>交增值税、异地预缴增值税、城建税、教育附加、印花税（税金成本按产值估算进了项目，交的钱冲应交税费，不重复算）</t>
        </is>
      </c>
      <c r="Z29" s="43" t="n">
        <v>25</v>
      </c>
      <c r="AA29" s="45" t="inlineStr">
        <is>
          <t>贷款利息</t>
        </is>
      </c>
      <c r="AB29" s="45" t="inlineStr">
        <is>
          <t>全</t>
        </is>
      </c>
      <c r="AC29" s="45" t="inlineStr">
        <is>
          <t>利息支出</t>
        </is>
      </c>
      <c r="AI29" s="43" t="n">
        <v>25</v>
      </c>
      <c r="AJ29" s="50" t="n"/>
      <c r="AK29" s="44" t="n"/>
      <c r="AL29" s="57" t="n"/>
      <c r="AM29" s="45" t="n"/>
      <c r="AN29" s="52" t="n"/>
      <c r="AO29" s="45" t="n"/>
      <c r="AP29" s="48">
        <f t="shared" si="3"/>
        <v>0</v>
      </c>
      <c r="AQ29" s="50" t="n"/>
      <c r="AR29" s="2">
        <f t="shared" si="4"/>
        <v>0</v>
      </c>
      <c r="AS29" s="2">
        <f t="shared" si="5"/>
        <v>-1</v>
      </c>
    </row>
    <row r="30">
      <c r="R30" s="43" t="n">
        <v>26</v>
      </c>
      <c r="S30" s="45" t="inlineStr">
        <is>
          <t>代缴个税</t>
        </is>
      </c>
      <c r="T30" s="45" t="inlineStr">
        <is>
          <t>支</t>
        </is>
      </c>
      <c r="U30" s="45" t="inlineStr">
        <is>
          <t>应交税费</t>
        </is>
      </c>
      <c r="V30" s="43" t="str">
        <f t="shared" si="2"/>
        <v>不进利润</v>
      </c>
      <c r="W30" s="45" t="n"/>
      <c r="X30" s="50" t="inlineStr">
        <is>
          <t>代扣代缴的员工个税</t>
        </is>
      </c>
      <c r="Z30" s="43" t="n">
        <v>26</v>
      </c>
      <c r="AA30" s="45" t="inlineStr">
        <is>
          <t>汇票利息</t>
        </is>
      </c>
      <c r="AB30" s="45" t="inlineStr">
        <is>
          <t>全</t>
        </is>
      </c>
      <c r="AC30" s="45" t="inlineStr">
        <is>
          <t>票据贴息</t>
        </is>
      </c>
      <c r="AI30" s="43" t="n">
        <v>26</v>
      </c>
      <c r="AJ30" s="50" t="n"/>
      <c r="AK30" s="44" t="n"/>
      <c r="AL30" s="57" t="n"/>
      <c r="AM30" s="45" t="n"/>
      <c r="AN30" s="52" t="n"/>
      <c r="AO30" s="45" t="n"/>
      <c r="AP30" s="48">
        <f t="shared" si="3"/>
        <v>0</v>
      </c>
      <c r="AQ30" s="50" t="n"/>
      <c r="AR30" s="2">
        <f t="shared" si="4"/>
        <v>0</v>
      </c>
      <c r="AS30" s="2">
        <f t="shared" si="5"/>
        <v>-1</v>
      </c>
    </row>
    <row r="31">
      <c r="R31" s="43" t="n">
        <v>27</v>
      </c>
      <c r="S31" s="45" t="inlineStr">
        <is>
          <t>银行贷款</t>
        </is>
      </c>
      <c r="T31" s="45" t="inlineStr">
        <is>
          <t>双向</t>
        </is>
      </c>
      <c r="U31" s="45" t="inlineStr">
        <is>
          <t>短期借款</t>
        </is>
      </c>
      <c r="V31" s="43" t="str">
        <f t="shared" si="2"/>
        <v>不进利润</v>
      </c>
      <c r="W31" s="45" t="n"/>
      <c r="X31" s="50" t="inlineStr">
        <is>
          <t>贷款到账（收）、还本金（付）；利息记「利息支出」</t>
        </is>
      </c>
      <c r="Z31" s="43" t="n">
        <v>27</v>
      </c>
      <c r="AA31" s="45" t="inlineStr">
        <is>
          <t>贴息</t>
        </is>
      </c>
      <c r="AB31" s="45" t="inlineStr">
        <is>
          <t>全</t>
        </is>
      </c>
      <c r="AC31" s="45" t="inlineStr">
        <is>
          <t>票据贴息</t>
        </is>
      </c>
      <c r="AI31" s="43" t="n">
        <v>27</v>
      </c>
      <c r="AJ31" s="50" t="n"/>
      <c r="AK31" s="44" t="n"/>
      <c r="AL31" s="57" t="n"/>
      <c r="AM31" s="45" t="n"/>
      <c r="AN31" s="52" t="n"/>
      <c r="AO31" s="45" t="n"/>
      <c r="AP31" s="48">
        <f t="shared" si="3"/>
        <v>0</v>
      </c>
      <c r="AQ31" s="50" t="n"/>
      <c r="AR31" s="2">
        <f t="shared" si="4"/>
        <v>0</v>
      </c>
      <c r="AS31" s="2">
        <f t="shared" si="5"/>
        <v>-1</v>
      </c>
    </row>
    <row r="32">
      <c r="R32" s="43" t="n">
        <v>28</v>
      </c>
      <c r="S32" s="45" t="inlineStr">
        <is>
          <t>保证金押金</t>
        </is>
      </c>
      <c r="T32" s="45" t="inlineStr">
        <is>
          <t>双向</t>
        </is>
      </c>
      <c r="U32" s="45" t="inlineStr">
        <is>
          <t>其他应收款</t>
        </is>
      </c>
      <c r="V32" s="43" t="str">
        <f t="shared" si="2"/>
        <v>不进利润</v>
      </c>
      <c r="W32" s="45" t="n"/>
      <c r="X32" s="50" t="inlineStr">
        <is>
          <t>投标保证金、履约保证金、押金：付出去、退回来</t>
        </is>
      </c>
      <c r="Z32" s="43" t="n">
        <v>28</v>
      </c>
      <c r="AA32" s="45" t="inlineStr">
        <is>
          <t>利息收入</t>
        </is>
      </c>
      <c r="AB32" s="45" t="inlineStr">
        <is>
          <t>全</t>
        </is>
      </c>
      <c r="AC32" s="45" t="inlineStr">
        <is>
          <t>利息收入</t>
        </is>
      </c>
      <c r="AI32" s="43" t="n">
        <v>28</v>
      </c>
      <c r="AJ32" s="50" t="n"/>
      <c r="AK32" s="44" t="n"/>
      <c r="AL32" s="57" t="n"/>
      <c r="AM32" s="45" t="n"/>
      <c r="AN32" s="52" t="n"/>
      <c r="AO32" s="45" t="n"/>
      <c r="AP32" s="48">
        <f t="shared" si="3"/>
        <v>0</v>
      </c>
      <c r="AQ32" s="50" t="n"/>
      <c r="AR32" s="2">
        <f t="shared" si="4"/>
        <v>0</v>
      </c>
      <c r="AS32" s="2">
        <f t="shared" si="5"/>
        <v>-1</v>
      </c>
    </row>
    <row r="33">
      <c r="R33" s="43" t="n">
        <v>29</v>
      </c>
      <c r="S33" s="45" t="inlineStr">
        <is>
          <t>固定资产购置</t>
        </is>
      </c>
      <c r="T33" s="45" t="inlineStr">
        <is>
          <t>支</t>
        </is>
      </c>
      <c r="U33" s="45" t="inlineStr">
        <is>
          <t>应付设备款</t>
        </is>
      </c>
      <c r="V33" s="43" t="str">
        <f t="shared" si="2"/>
        <v>不进利润</v>
      </c>
      <c r="W33" s="45" t="n"/>
      <c r="X33" s="50" t="inlineStr">
        <is>
          <t>买车、买设备（5000 元以上、用好几年的）的付款；车、设备本身要在【基础资料】⑥ 登记，每月自动提折旧</t>
        </is>
      </c>
      <c r="Z33" s="43" t="n">
        <v>29</v>
      </c>
      <c r="AA33" s="45" t="inlineStr">
        <is>
          <t>入息</t>
        </is>
      </c>
      <c r="AB33" s="45" t="inlineStr">
        <is>
          <t>全</t>
        </is>
      </c>
      <c r="AC33" s="45" t="inlineStr">
        <is>
          <t>利息收入</t>
        </is>
      </c>
      <c r="AI33" s="43" t="n">
        <v>29</v>
      </c>
      <c r="AJ33" s="50" t="n"/>
      <c r="AK33" s="44" t="n"/>
      <c r="AL33" s="57" t="n"/>
      <c r="AM33" s="45" t="n"/>
      <c r="AN33" s="52" t="n"/>
      <c r="AO33" s="45" t="n"/>
      <c r="AP33" s="48">
        <f t="shared" si="3"/>
        <v>0</v>
      </c>
      <c r="AQ33" s="50" t="n"/>
      <c r="AR33" s="2">
        <f t="shared" si="4"/>
        <v>0</v>
      </c>
      <c r="AS33" s="2">
        <f t="shared" si="5"/>
        <v>-1</v>
      </c>
    </row>
    <row r="34">
      <c r="R34" s="43" t="n">
        <v>30</v>
      </c>
      <c r="S34" s="45" t="inlineStr">
        <is>
          <t>实收资本</t>
        </is>
      </c>
      <c r="T34" s="45" t="inlineStr">
        <is>
          <t>收</t>
        </is>
      </c>
      <c r="U34" s="45" t="inlineStr">
        <is>
          <t>实收资本</t>
        </is>
      </c>
      <c r="V34" s="43" t="str">
        <f t="shared" si="2"/>
        <v>不进利润</v>
      </c>
      <c r="W34" s="45" t="n"/>
      <c r="X34" s="50" t="inlineStr">
        <is>
          <t>股东实缴的投资款</t>
        </is>
      </c>
      <c r="Z34" s="43" t="n">
        <v>30</v>
      </c>
      <c r="AA34" s="45" t="inlineStr">
        <is>
          <t>结息</t>
        </is>
      </c>
      <c r="AB34" s="45" t="inlineStr">
        <is>
          <t>全</t>
        </is>
      </c>
      <c r="AC34" s="45" t="inlineStr">
        <is>
          <t>利息收入</t>
        </is>
      </c>
      <c r="AI34" s="43" t="n">
        <v>30</v>
      </c>
      <c r="AJ34" s="50" t="n"/>
      <c r="AK34" s="44" t="n"/>
      <c r="AL34" s="57" t="n"/>
      <c r="AM34" s="45" t="n"/>
      <c r="AN34" s="52" t="n"/>
      <c r="AO34" s="45" t="n"/>
      <c r="AP34" s="48">
        <f t="shared" si="3"/>
        <v>0</v>
      </c>
      <c r="AQ34" s="50" t="n"/>
      <c r="AR34" s="2">
        <f t="shared" si="4"/>
        <v>0</v>
      </c>
      <c r="AS34" s="2">
        <f t="shared" si="5"/>
        <v>-1</v>
      </c>
    </row>
    <row r="35">
      <c r="R35" s="43" t="n">
        <v>31</v>
      </c>
      <c r="S35" s="87" t="inlineStr">
        <is>
          <t>管理人员工资</t>
        </is>
      </c>
      <c r="T35" s="87" t="inlineStr">
        <is>
          <t>支</t>
        </is>
      </c>
      <c r="U35" s="87" t="inlineStr">
        <is>
          <t>管理人员工资</t>
        </is>
      </c>
      <c r="V35" s="43" t="str">
        <f t="shared" si="2"/>
        <v>公司间接费</v>
      </c>
      <c r="W35" s="87" t="n"/>
      <c r="X35" s="50" t="inlineStr">
        <is>
          <t>【考勤工资】里管理人员在公司的那部分应发工资（自动）</t>
        </is>
      </c>
      <c r="Z35" s="43" t="n">
        <v>31</v>
      </c>
      <c r="AA35" s="45" t="inlineStr">
        <is>
          <t>利息</t>
        </is>
      </c>
      <c r="AB35" s="45" t="inlineStr">
        <is>
          <t>全</t>
        </is>
      </c>
      <c r="AC35" s="45" t="inlineStr">
        <is>
          <t>利息支出</t>
        </is>
      </c>
    </row>
    <row r="36">
      <c r="R36" s="43" t="n">
        <v>32</v>
      </c>
      <c r="S36" s="87" t="inlineStr">
        <is>
          <t>折旧费</t>
        </is>
      </c>
      <c r="T36" s="87" t="inlineStr">
        <is>
          <t>支</t>
        </is>
      </c>
      <c r="U36" s="87" t="inlineStr">
        <is>
          <t>折旧费</t>
        </is>
      </c>
      <c r="V36" s="43" t="str">
        <f t="shared" si="2"/>
        <v>公司间接费</v>
      </c>
      <c r="W36" s="87" t="n"/>
      <c r="X36" s="50" t="inlineStr">
        <is>
          <t>【基础资料】⑥ 公司用的固定资产每月自动提的折旧</t>
        </is>
      </c>
      <c r="Z36" s="43" t="n">
        <v>32</v>
      </c>
      <c r="AA36" s="45" t="inlineStr">
        <is>
          <t>贷款</t>
        </is>
      </c>
      <c r="AB36" s="45" t="inlineStr">
        <is>
          <t>全</t>
        </is>
      </c>
      <c r="AC36" s="45" t="inlineStr">
        <is>
          <t>银行贷款</t>
        </is>
      </c>
    </row>
    <row r="37">
      <c r="R37" s="43" t="n">
        <v>33</v>
      </c>
      <c r="S37" s="45" t="n"/>
      <c r="T37" s="45" t="n"/>
      <c r="U37" s="45" t="n"/>
      <c r="V37" s="43">
        <f t="shared" si="2"/>
      </c>
      <c r="W37" s="45" t="n"/>
      <c r="X37" s="50" t="n"/>
      <c r="Z37" s="43" t="n">
        <v>33</v>
      </c>
      <c r="AA37" s="45" t="inlineStr">
        <is>
          <t>手续费</t>
        </is>
      </c>
      <c r="AB37" s="45" t="inlineStr">
        <is>
          <t>全</t>
        </is>
      </c>
      <c r="AC37" s="45" t="inlineStr">
        <is>
          <t>银行手续费</t>
        </is>
      </c>
    </row>
    <row r="38">
      <c r="R38" s="43" t="n">
        <v>34</v>
      </c>
      <c r="S38" s="45" t="n"/>
      <c r="T38" s="45" t="n"/>
      <c r="U38" s="45" t="n"/>
      <c r="V38" s="43">
        <f t="shared" si="2"/>
      </c>
      <c r="W38" s="45" t="n"/>
      <c r="X38" s="50" t="n"/>
      <c r="Z38" s="43" t="n">
        <v>34</v>
      </c>
      <c r="AA38" s="45" t="inlineStr">
        <is>
          <t>年服务费</t>
        </is>
      </c>
      <c r="AB38" s="45" t="inlineStr">
        <is>
          <t>全</t>
        </is>
      </c>
      <c r="AC38" s="45" t="inlineStr">
        <is>
          <t>银行手续费</t>
        </is>
      </c>
    </row>
    <row r="39">
      <c r="R39" s="43" t="n">
        <v>35</v>
      </c>
      <c r="S39" s="45" t="n"/>
      <c r="T39" s="45" t="n"/>
      <c r="U39" s="45" t="n"/>
      <c r="V39" s="43">
        <f t="shared" si="2"/>
      </c>
      <c r="W39" s="45" t="n"/>
      <c r="X39" s="50" t="n"/>
      <c r="Z39" s="43" t="n">
        <v>35</v>
      </c>
      <c r="AA39" s="45" t="inlineStr">
        <is>
          <t>维护费</t>
        </is>
      </c>
      <c r="AB39" s="45" t="inlineStr">
        <is>
          <t>全</t>
        </is>
      </c>
      <c r="AC39" s="45" t="inlineStr">
        <is>
          <t>银行手续费</t>
        </is>
      </c>
    </row>
    <row r="40">
      <c r="R40" s="43" t="n">
        <v>36</v>
      </c>
      <c r="S40" s="45" t="n"/>
      <c r="T40" s="45" t="n"/>
      <c r="U40" s="45" t="n"/>
      <c r="V40" s="43">
        <f t="shared" si="2"/>
      </c>
      <c r="W40" s="45" t="n"/>
      <c r="X40" s="50" t="n"/>
      <c r="Z40" s="43" t="n">
        <v>36</v>
      </c>
      <c r="AA40" s="45" t="inlineStr">
        <is>
          <t>欠费补缴</t>
        </is>
      </c>
      <c r="AB40" s="45" t="inlineStr">
        <is>
          <t>全</t>
        </is>
      </c>
      <c r="AC40" s="45" t="inlineStr">
        <is>
          <t>银行手续费</t>
        </is>
      </c>
    </row>
    <row r="41">
      <c r="R41" s="43" t="n">
        <v>37</v>
      </c>
      <c r="S41" s="45" t="n"/>
      <c r="T41" s="45" t="n"/>
      <c r="U41" s="45" t="n"/>
      <c r="V41" s="43">
        <f t="shared" si="2"/>
      </c>
      <c r="W41" s="45" t="n"/>
      <c r="X41" s="50" t="n"/>
      <c r="Z41" s="43" t="n">
        <v>37</v>
      </c>
      <c r="AA41" s="45" t="inlineStr">
        <is>
          <t>保证金</t>
        </is>
      </c>
      <c r="AB41" s="45" t="inlineStr">
        <is>
          <t>全</t>
        </is>
      </c>
      <c r="AC41" s="45" t="inlineStr">
        <is>
          <t>保证金押金</t>
        </is>
      </c>
    </row>
    <row r="42">
      <c r="R42" s="43" t="n">
        <v>38</v>
      </c>
      <c r="S42" s="45" t="n"/>
      <c r="T42" s="45" t="n"/>
      <c r="U42" s="45" t="n"/>
      <c r="V42" s="43">
        <f t="shared" si="2"/>
      </c>
      <c r="W42" s="45" t="n"/>
      <c r="X42" s="50" t="n"/>
      <c r="Z42" s="43" t="n">
        <v>38</v>
      </c>
      <c r="AA42" s="45" t="inlineStr">
        <is>
          <t>押金</t>
        </is>
      </c>
      <c r="AB42" s="45" t="inlineStr">
        <is>
          <t>全</t>
        </is>
      </c>
      <c r="AC42" s="45" t="inlineStr">
        <is>
          <t>保证金押金</t>
        </is>
      </c>
    </row>
    <row r="43">
      <c r="R43" s="43" t="n">
        <v>39</v>
      </c>
      <c r="S43" s="45" t="n"/>
      <c r="T43" s="45" t="n"/>
      <c r="U43" s="45" t="n"/>
      <c r="V43" s="43">
        <f t="shared" si="2"/>
      </c>
      <c r="W43" s="45" t="n"/>
      <c r="X43" s="50" t="n"/>
      <c r="Z43" s="43" t="n">
        <v>39</v>
      </c>
      <c r="AA43" s="45" t="inlineStr">
        <is>
          <t>工程款</t>
        </is>
      </c>
      <c r="AB43" s="45" t="inlineStr">
        <is>
          <t>收</t>
        </is>
      </c>
      <c r="AC43" s="45" t="inlineStr">
        <is>
          <t>工程款</t>
        </is>
      </c>
    </row>
    <row r="44">
      <c r="R44" s="43" t="n">
        <v>40</v>
      </c>
      <c r="S44" s="45" t="n"/>
      <c r="T44" s="45" t="n"/>
      <c r="U44" s="45" t="n"/>
      <c r="V44" s="43">
        <f t="shared" si="2"/>
      </c>
      <c r="W44" s="45" t="n"/>
      <c r="X44" s="50" t="n"/>
      <c r="Z44" s="43" t="n">
        <v>40</v>
      </c>
      <c r="AA44" s="45" t="inlineStr">
        <is>
          <t>进度款</t>
        </is>
      </c>
      <c r="AB44" s="45" t="inlineStr">
        <is>
          <t>收</t>
        </is>
      </c>
      <c r="AC44" s="45" t="inlineStr">
        <is>
          <t>工程款</t>
        </is>
      </c>
    </row>
    <row r="45">
      <c r="R45" s="43" t="n">
        <v>41</v>
      </c>
      <c r="S45" s="45" t="n"/>
      <c r="T45" s="45" t="n"/>
      <c r="U45" s="45" t="n"/>
      <c r="V45" s="43">
        <f t="shared" si="2"/>
      </c>
      <c r="W45" s="45" t="n"/>
      <c r="X45" s="50" t="n"/>
      <c r="Z45" s="43" t="n">
        <v>41</v>
      </c>
      <c r="AA45" s="45" t="inlineStr">
        <is>
          <t>结算款</t>
        </is>
      </c>
      <c r="AB45" s="45" t="inlineStr">
        <is>
          <t>收</t>
        </is>
      </c>
      <c r="AC45" s="45" t="inlineStr">
        <is>
          <t>工程款</t>
        </is>
      </c>
    </row>
    <row r="46">
      <c r="R46" s="43" t="n">
        <v>42</v>
      </c>
      <c r="S46" s="45" t="n"/>
      <c r="T46" s="45" t="n"/>
      <c r="U46" s="45" t="n"/>
      <c r="V46" s="43">
        <f t="shared" si="2"/>
      </c>
      <c r="W46" s="45" t="n"/>
      <c r="X46" s="50" t="n"/>
      <c r="Z46" s="43" t="n">
        <v>42</v>
      </c>
      <c r="AA46" s="45" t="inlineStr">
        <is>
          <t>工程款</t>
        </is>
      </c>
      <c r="AB46" s="45" t="inlineStr">
        <is>
          <t>支</t>
        </is>
      </c>
      <c r="AC46" s="45" t="inlineStr">
        <is>
          <t>分包费</t>
        </is>
      </c>
    </row>
    <row r="47">
      <c r="R47" s="43" t="n">
        <v>43</v>
      </c>
      <c r="S47" s="45" t="n"/>
      <c r="T47" s="45" t="n"/>
      <c r="U47" s="45" t="n"/>
      <c r="V47" s="43">
        <f t="shared" si="2"/>
      </c>
      <c r="W47" s="45" t="n"/>
      <c r="X47" s="50" t="n"/>
      <c r="Z47" s="43" t="n">
        <v>43</v>
      </c>
      <c r="AA47" s="45" t="inlineStr">
        <is>
          <t>企业所得税</t>
        </is>
      </c>
      <c r="AB47" s="45" t="inlineStr">
        <is>
          <t>全</t>
        </is>
      </c>
      <c r="AC47" s="45" t="inlineStr">
        <is>
          <t>所得税</t>
        </is>
      </c>
    </row>
    <row r="48">
      <c r="R48" s="43" t="n">
        <v>44</v>
      </c>
      <c r="S48" s="45" t="n"/>
      <c r="T48" s="45" t="n"/>
      <c r="U48" s="45" t="n"/>
      <c r="V48" s="43">
        <f t="shared" si="2"/>
      </c>
      <c r="W48" s="45" t="n"/>
      <c r="X48" s="50" t="n"/>
      <c r="Z48" s="43" t="n">
        <v>44</v>
      </c>
      <c r="AA48" s="45" t="inlineStr">
        <is>
          <t>所得税</t>
        </is>
      </c>
      <c r="AB48" s="45" t="inlineStr">
        <is>
          <t>全</t>
        </is>
      </c>
      <c r="AC48" s="45" t="inlineStr">
        <is>
          <t>所得税</t>
        </is>
      </c>
    </row>
    <row r="49">
      <c r="R49" s="43" t="n">
        <v>45</v>
      </c>
      <c r="S49" s="45" t="n"/>
      <c r="T49" s="45" t="n"/>
      <c r="U49" s="45" t="n"/>
      <c r="V49" s="43">
        <f t="shared" si="2"/>
      </c>
      <c r="W49" s="45" t="n"/>
      <c r="X49" s="50" t="n"/>
      <c r="Z49" s="43" t="n">
        <v>45</v>
      </c>
      <c r="AA49" s="45" t="inlineStr">
        <is>
          <t>预缴</t>
        </is>
      </c>
      <c r="AB49" s="45" t="inlineStr">
        <is>
          <t>全</t>
        </is>
      </c>
      <c r="AC49" s="45" t="inlineStr">
        <is>
          <t>缴增值税及附加</t>
        </is>
      </c>
    </row>
    <row r="50">
      <c r="R50" s="43" t="n">
        <v>46</v>
      </c>
      <c r="S50" s="45" t="n"/>
      <c r="T50" s="45" t="n"/>
      <c r="U50" s="45" t="n"/>
      <c r="V50" s="43">
        <f t="shared" si="2"/>
      </c>
      <c r="W50" s="45" t="n"/>
      <c r="X50" s="50" t="n"/>
      <c r="Z50" s="43" t="n">
        <v>46</v>
      </c>
      <c r="AA50" s="45" t="inlineStr">
        <is>
          <t>增值税</t>
        </is>
      </c>
      <c r="AB50" s="45" t="inlineStr">
        <is>
          <t>全</t>
        </is>
      </c>
      <c r="AC50" s="45" t="inlineStr">
        <is>
          <t>缴增值税及附加</t>
        </is>
      </c>
    </row>
    <row r="51">
      <c r="R51" s="43" t="n">
        <v>47</v>
      </c>
      <c r="S51" s="45" t="n"/>
      <c r="T51" s="45" t="n"/>
      <c r="U51" s="45" t="n"/>
      <c r="V51" s="43">
        <f t="shared" si="2"/>
      </c>
      <c r="W51" s="45" t="n"/>
      <c r="X51" s="50" t="n"/>
      <c r="Z51" s="43" t="n">
        <v>47</v>
      </c>
      <c r="AA51" s="45" t="inlineStr">
        <is>
          <t>城市维护建设税</t>
        </is>
      </c>
      <c r="AB51" s="45" t="inlineStr">
        <is>
          <t>全</t>
        </is>
      </c>
      <c r="AC51" s="45" t="inlineStr">
        <is>
          <t>缴增值税及附加</t>
        </is>
      </c>
    </row>
    <row r="52">
      <c r="R52" s="43" t="n">
        <v>48</v>
      </c>
      <c r="S52" s="45" t="n"/>
      <c r="T52" s="45" t="n"/>
      <c r="U52" s="45" t="n"/>
      <c r="V52" s="43">
        <f t="shared" si="2"/>
      </c>
      <c r="W52" s="45" t="n"/>
      <c r="X52" s="50" t="n"/>
      <c r="Z52" s="43" t="n">
        <v>48</v>
      </c>
      <c r="AA52" s="45" t="inlineStr">
        <is>
          <t>附加</t>
        </is>
      </c>
      <c r="AB52" s="45" t="inlineStr">
        <is>
          <t>全</t>
        </is>
      </c>
      <c r="AC52" s="45" t="inlineStr">
        <is>
          <t>缴增值税及附加</t>
        </is>
      </c>
    </row>
    <row r="53">
      <c r="R53" s="43" t="n">
        <v>49</v>
      </c>
      <c r="S53" s="45" t="n"/>
      <c r="T53" s="45" t="n"/>
      <c r="U53" s="45" t="n"/>
      <c r="V53" s="43">
        <f t="shared" si="2"/>
      </c>
      <c r="W53" s="45" t="n"/>
      <c r="X53" s="50" t="n"/>
      <c r="Z53" s="43" t="n">
        <v>49</v>
      </c>
      <c r="AA53" s="45" t="inlineStr">
        <is>
          <t>缴税</t>
        </is>
      </c>
      <c r="AB53" s="45" t="inlineStr">
        <is>
          <t>全</t>
        </is>
      </c>
      <c r="AC53" s="45" t="inlineStr">
        <is>
          <t>缴增值税及附加</t>
        </is>
      </c>
    </row>
    <row r="54">
      <c r="R54" s="43" t="n">
        <v>50</v>
      </c>
      <c r="S54" s="45" t="n"/>
      <c r="T54" s="45" t="n"/>
      <c r="U54" s="45" t="n"/>
      <c r="V54" s="43">
        <f t="shared" si="2"/>
      </c>
      <c r="W54" s="45" t="n"/>
      <c r="X54" s="50" t="n"/>
      <c r="Z54" s="43" t="n">
        <v>50</v>
      </c>
      <c r="AA54" s="45" t="inlineStr">
        <is>
          <t>税款</t>
        </is>
      </c>
      <c r="AB54" s="45" t="inlineStr">
        <is>
          <t>全</t>
        </is>
      </c>
      <c r="AC54" s="45" t="inlineStr">
        <is>
          <t>缴增值税及附加</t>
        </is>
      </c>
    </row>
    <row r="55">
      <c r="R55" s="43" t="n">
        <v>51</v>
      </c>
      <c r="S55" s="45" t="n"/>
      <c r="T55" s="45" t="n"/>
      <c r="U55" s="45" t="n"/>
      <c r="V55" s="43">
        <f t="shared" si="2"/>
      </c>
      <c r="W55" s="45" t="n"/>
      <c r="X55" s="50" t="n"/>
      <c r="Z55" s="43" t="n">
        <v>51</v>
      </c>
      <c r="AA55" s="45" t="inlineStr">
        <is>
          <t>代扣个税</t>
        </is>
      </c>
      <c r="AB55" s="45" t="inlineStr">
        <is>
          <t>全</t>
        </is>
      </c>
      <c r="AC55" s="45" t="inlineStr">
        <is>
          <t>代缴个税</t>
        </is>
      </c>
    </row>
    <row r="56">
      <c r="R56" s="43" t="n">
        <v>52</v>
      </c>
      <c r="S56" s="45" t="n"/>
      <c r="T56" s="45" t="n"/>
      <c r="U56" s="45" t="n"/>
      <c r="V56" s="43">
        <f t="shared" si="2"/>
      </c>
      <c r="W56" s="45" t="n"/>
      <c r="X56" s="50" t="n"/>
      <c r="Z56" s="43" t="n">
        <v>52</v>
      </c>
      <c r="AA56" s="45" t="inlineStr">
        <is>
          <t>代缴员工个税</t>
        </is>
      </c>
      <c r="AB56" s="45" t="inlineStr">
        <is>
          <t>全</t>
        </is>
      </c>
      <c r="AC56" s="45" t="inlineStr">
        <is>
          <t>代缴个税</t>
        </is>
      </c>
    </row>
    <row r="57">
      <c r="R57" s="43" t="n">
        <v>53</v>
      </c>
      <c r="S57" s="45" t="n"/>
      <c r="T57" s="45" t="n"/>
      <c r="U57" s="45" t="n"/>
      <c r="V57" s="43">
        <f t="shared" si="2"/>
      </c>
      <c r="W57" s="45" t="n"/>
      <c r="X57" s="50" t="n"/>
      <c r="Z57" s="43" t="n">
        <v>53</v>
      </c>
      <c r="AA57" s="45" t="inlineStr">
        <is>
          <t>代缴个税</t>
        </is>
      </c>
      <c r="AB57" s="45" t="inlineStr">
        <is>
          <t>全</t>
        </is>
      </c>
      <c r="AC57" s="45" t="inlineStr">
        <is>
          <t>代缴个税</t>
        </is>
      </c>
    </row>
    <row r="58">
      <c r="R58" s="43" t="n">
        <v>54</v>
      </c>
      <c r="S58" s="45" t="n"/>
      <c r="T58" s="45" t="n"/>
      <c r="U58" s="45" t="n"/>
      <c r="V58" s="43">
        <f t="shared" si="2"/>
      </c>
      <c r="W58" s="45" t="n"/>
      <c r="X58" s="50" t="n"/>
      <c r="Z58" s="43" t="n">
        <v>54</v>
      </c>
      <c r="AA58" s="45" t="inlineStr">
        <is>
          <t>社保</t>
        </is>
      </c>
      <c r="AB58" s="45" t="inlineStr">
        <is>
          <t>全</t>
        </is>
      </c>
      <c r="AC58" s="45" t="inlineStr">
        <is>
          <t>社保费</t>
        </is>
      </c>
    </row>
    <row r="59">
      <c r="R59" s="43" t="n">
        <v>55</v>
      </c>
      <c r="S59" s="45" t="n"/>
      <c r="T59" s="45" t="n"/>
      <c r="U59" s="45" t="n"/>
      <c r="V59" s="43">
        <f t="shared" si="2"/>
      </c>
      <c r="W59" s="45" t="n"/>
      <c r="X59" s="50" t="n"/>
      <c r="Z59" s="43" t="n">
        <v>55</v>
      </c>
      <c r="AA59" s="45" t="inlineStr">
        <is>
          <t>公积金</t>
        </is>
      </c>
      <c r="AB59" s="45" t="inlineStr">
        <is>
          <t>全</t>
        </is>
      </c>
      <c r="AC59" s="45" t="inlineStr">
        <is>
          <t>社保费</t>
        </is>
      </c>
    </row>
    <row r="60">
      <c r="R60" s="43" t="n">
        <v>56</v>
      </c>
      <c r="S60" s="45" t="n"/>
      <c r="T60" s="45" t="n"/>
      <c r="U60" s="45" t="n"/>
      <c r="V60" s="43">
        <f t="shared" si="2"/>
      </c>
      <c r="W60" s="45" t="n"/>
      <c r="X60" s="50" t="n"/>
      <c r="Z60" s="43" t="n">
        <v>56</v>
      </c>
      <c r="AA60" s="45" t="inlineStr">
        <is>
          <t>分包</t>
        </is>
      </c>
      <c r="AB60" s="45" t="inlineStr">
        <is>
          <t>全</t>
        </is>
      </c>
      <c r="AC60" s="45" t="inlineStr">
        <is>
          <t>分包费</t>
        </is>
      </c>
    </row>
    <row r="61">
      <c r="R61" s="43" t="n">
        <v>57</v>
      </c>
      <c r="S61" s="45" t="n"/>
      <c r="T61" s="45" t="n"/>
      <c r="U61" s="45" t="n"/>
      <c r="V61" s="43">
        <f t="shared" si="2"/>
      </c>
      <c r="W61" s="45" t="n"/>
      <c r="X61" s="50" t="n"/>
      <c r="Z61" s="43" t="n">
        <v>57</v>
      </c>
      <c r="AA61" s="45" t="inlineStr">
        <is>
          <t>劳务费</t>
        </is>
      </c>
      <c r="AB61" s="45" t="inlineStr">
        <is>
          <t>全</t>
        </is>
      </c>
      <c r="AC61" s="45" t="inlineStr">
        <is>
          <t>分包费</t>
        </is>
      </c>
    </row>
    <row r="62">
      <c r="R62" s="43" t="n">
        <v>58</v>
      </c>
      <c r="S62" s="45" t="n"/>
      <c r="T62" s="45" t="n"/>
      <c r="U62" s="45" t="n"/>
      <c r="V62" s="43">
        <f t="shared" si="2"/>
      </c>
      <c r="W62" s="45" t="n"/>
      <c r="X62" s="50" t="n"/>
      <c r="Z62" s="43" t="n">
        <v>58</v>
      </c>
      <c r="AA62" s="45" t="inlineStr">
        <is>
          <t>挖机</t>
        </is>
      </c>
      <c r="AB62" s="45" t="inlineStr">
        <is>
          <t>全</t>
        </is>
      </c>
      <c r="AC62" s="45" t="inlineStr">
        <is>
          <t>机械运输费</t>
        </is>
      </c>
    </row>
    <row r="63">
      <c r="R63" s="43" t="n">
        <v>59</v>
      </c>
      <c r="S63" s="45" t="n"/>
      <c r="T63" s="45" t="n"/>
      <c r="U63" s="45" t="n"/>
      <c r="V63" s="43">
        <f t="shared" si="2"/>
      </c>
      <c r="W63" s="45" t="n"/>
      <c r="X63" s="50" t="n"/>
      <c r="Z63" s="43" t="n">
        <v>59</v>
      </c>
      <c r="AA63" s="45" t="inlineStr">
        <is>
          <t>机械</t>
        </is>
      </c>
      <c r="AB63" s="45" t="inlineStr">
        <is>
          <t>全</t>
        </is>
      </c>
      <c r="AC63" s="45" t="inlineStr">
        <is>
          <t>机械运输费</t>
        </is>
      </c>
    </row>
    <row r="64">
      <c r="R64" s="43" t="n">
        <v>60</v>
      </c>
      <c r="S64" s="45" t="n"/>
      <c r="T64" s="45" t="n"/>
      <c r="U64" s="45" t="n"/>
      <c r="V64" s="43">
        <f t="shared" si="2"/>
      </c>
      <c r="W64" s="45" t="n"/>
      <c r="X64" s="50" t="n"/>
      <c r="Z64" s="43" t="n">
        <v>60</v>
      </c>
      <c r="AA64" s="45" t="inlineStr">
        <is>
          <t>吊车</t>
        </is>
      </c>
      <c r="AB64" s="45" t="inlineStr">
        <is>
          <t>全</t>
        </is>
      </c>
      <c r="AC64" s="45" t="inlineStr">
        <is>
          <t>机械运输费</t>
        </is>
      </c>
    </row>
    <row r="65">
      <c r="Z65" s="43" t="n">
        <v>61</v>
      </c>
      <c r="AA65" s="45" t="inlineStr">
        <is>
          <t>运输</t>
        </is>
      </c>
      <c r="AB65" s="45" t="inlineStr">
        <is>
          <t>全</t>
        </is>
      </c>
      <c r="AC65" s="45" t="inlineStr">
        <is>
          <t>机械运输费</t>
        </is>
      </c>
    </row>
    <row r="66">
      <c r="Z66" s="43" t="n">
        <v>62</v>
      </c>
      <c r="AA66" s="45" t="inlineStr">
        <is>
          <t>搬运</t>
        </is>
      </c>
      <c r="AB66" s="45" t="inlineStr">
        <is>
          <t>全</t>
        </is>
      </c>
      <c r="AC66" s="45" t="inlineStr">
        <is>
          <t>机械运输费</t>
        </is>
      </c>
    </row>
    <row r="67">
      <c r="Z67" s="43" t="n">
        <v>63</v>
      </c>
      <c r="AA67" s="45" t="inlineStr">
        <is>
          <t>货运</t>
        </is>
      </c>
      <c r="AB67" s="45" t="inlineStr">
        <is>
          <t>全</t>
        </is>
      </c>
      <c r="AC67" s="45" t="inlineStr">
        <is>
          <t>机械运输费</t>
        </is>
      </c>
    </row>
    <row r="68">
      <c r="Z68" s="43" t="n">
        <v>64</v>
      </c>
      <c r="AA68" s="45" t="inlineStr">
        <is>
          <t>叉车</t>
        </is>
      </c>
      <c r="AB68" s="45" t="inlineStr">
        <is>
          <t>全</t>
        </is>
      </c>
      <c r="AC68" s="45" t="inlineStr">
        <is>
          <t>机械运输费</t>
        </is>
      </c>
    </row>
    <row r="69">
      <c r="Z69" s="43" t="n">
        <v>65</v>
      </c>
      <c r="AA69" s="45" t="inlineStr">
        <is>
          <t>检测</t>
        </is>
      </c>
      <c r="AB69" s="45" t="inlineStr">
        <is>
          <t>全</t>
        </is>
      </c>
      <c r="AC69" s="45" t="inlineStr">
        <is>
          <t>其他直接费</t>
        </is>
      </c>
    </row>
    <row r="70">
      <c r="Z70" s="43" t="n">
        <v>66</v>
      </c>
      <c r="AA70" s="45" t="inlineStr">
        <is>
          <t>期间费</t>
        </is>
      </c>
      <c r="AB70" s="45" t="inlineStr">
        <is>
          <t>全</t>
        </is>
      </c>
      <c r="AC70" s="45" t="inlineStr">
        <is>
          <t>其他直接费</t>
        </is>
      </c>
    </row>
    <row r="71">
      <c r="Z71" s="43" t="n">
        <v>67</v>
      </c>
      <c r="AA71" s="45" t="inlineStr">
        <is>
          <t>工人餐</t>
        </is>
      </c>
      <c r="AB71" s="45" t="inlineStr">
        <is>
          <t>全</t>
        </is>
      </c>
      <c r="AC71" s="45" t="inlineStr">
        <is>
          <t>其他直接费</t>
        </is>
      </c>
    </row>
    <row r="72">
      <c r="Z72" s="43" t="n">
        <v>68</v>
      </c>
      <c r="AA72" s="45" t="inlineStr">
        <is>
          <t>售后</t>
        </is>
      </c>
      <c r="AB72" s="45" t="inlineStr">
        <is>
          <t>全</t>
        </is>
      </c>
      <c r="AC72" s="45" t="inlineStr">
        <is>
          <t>其他直接费</t>
        </is>
      </c>
    </row>
    <row r="73">
      <c r="Z73" s="43" t="n">
        <v>69</v>
      </c>
      <c r="AA73" s="45" t="inlineStr">
        <is>
          <t>设计费</t>
        </is>
      </c>
      <c r="AB73" s="45" t="inlineStr">
        <is>
          <t>全</t>
        </is>
      </c>
      <c r="AC73" s="45" t="inlineStr">
        <is>
          <t>其他直接费</t>
        </is>
      </c>
    </row>
    <row r="74">
      <c r="Z74" s="43" t="n">
        <v>70</v>
      </c>
      <c r="AA74" s="45" t="inlineStr">
        <is>
          <t>图纸</t>
        </is>
      </c>
      <c r="AB74" s="45" t="inlineStr">
        <is>
          <t>全</t>
        </is>
      </c>
      <c r="AC74" s="45" t="inlineStr">
        <is>
          <t>其他直接费</t>
        </is>
      </c>
    </row>
    <row r="75">
      <c r="Z75" s="43" t="n">
        <v>71</v>
      </c>
      <c r="AA75" s="45" t="inlineStr">
        <is>
          <t>材料</t>
        </is>
      </c>
      <c r="AB75" s="45" t="inlineStr">
        <is>
          <t>全</t>
        </is>
      </c>
      <c r="AC75" s="45" t="inlineStr">
        <is>
          <t>材料费</t>
        </is>
      </c>
    </row>
    <row r="76">
      <c r="Z76" s="43" t="n">
        <v>72</v>
      </c>
      <c r="AA76" s="45" t="inlineStr">
        <is>
          <t>货款</t>
        </is>
      </c>
      <c r="AB76" s="45" t="inlineStr">
        <is>
          <t>全</t>
        </is>
      </c>
      <c r="AC76" s="45" t="inlineStr">
        <is>
          <t>材料费</t>
        </is>
      </c>
    </row>
    <row r="77">
      <c r="Z77" s="43" t="n">
        <v>73</v>
      </c>
      <c r="AA77" s="45" t="inlineStr">
        <is>
          <t>设备款</t>
        </is>
      </c>
      <c r="AB77" s="45" t="inlineStr">
        <is>
          <t>全</t>
        </is>
      </c>
      <c r="AC77" s="45" t="inlineStr">
        <is>
          <t>材料费</t>
        </is>
      </c>
    </row>
    <row r="78">
      <c r="Z78" s="43" t="n">
        <v>74</v>
      </c>
      <c r="AA78" s="45" t="inlineStr">
        <is>
          <t>电线</t>
        </is>
      </c>
      <c r="AB78" s="45" t="inlineStr">
        <is>
          <t>全</t>
        </is>
      </c>
      <c r="AC78" s="45" t="inlineStr">
        <is>
          <t>材料费</t>
        </is>
      </c>
    </row>
    <row r="79">
      <c r="Z79" s="43" t="n">
        <v>75</v>
      </c>
      <c r="AA79" s="45" t="inlineStr">
        <is>
          <t>电缆</t>
        </is>
      </c>
      <c r="AB79" s="45" t="inlineStr">
        <is>
          <t>全</t>
        </is>
      </c>
      <c r="AC79" s="45" t="inlineStr">
        <is>
          <t>材料费</t>
        </is>
      </c>
    </row>
    <row r="80">
      <c r="Z80" s="43" t="n">
        <v>76</v>
      </c>
      <c r="AA80" s="45" t="inlineStr">
        <is>
          <t>桥架</t>
        </is>
      </c>
      <c r="AB80" s="45" t="inlineStr">
        <is>
          <t>全</t>
        </is>
      </c>
      <c r="AC80" s="45" t="inlineStr">
        <is>
          <t>材料费</t>
        </is>
      </c>
    </row>
    <row r="81">
      <c r="Z81" s="43" t="n">
        <v>77</v>
      </c>
      <c r="AA81" s="45" t="inlineStr">
        <is>
          <t>水箱</t>
        </is>
      </c>
      <c r="AB81" s="45" t="inlineStr">
        <is>
          <t>全</t>
        </is>
      </c>
      <c r="AC81" s="45" t="inlineStr">
        <is>
          <t>材料费</t>
        </is>
      </c>
    </row>
    <row r="82">
      <c r="Z82" s="43" t="n">
        <v>78</v>
      </c>
      <c r="AA82" s="45" t="inlineStr">
        <is>
          <t>水泵</t>
        </is>
      </c>
      <c r="AB82" s="45" t="inlineStr">
        <is>
          <t>全</t>
        </is>
      </c>
      <c r="AC82" s="45" t="inlineStr">
        <is>
          <t>材料费</t>
        </is>
      </c>
    </row>
    <row r="83">
      <c r="Z83" s="43" t="n">
        <v>79</v>
      </c>
      <c r="AA83" s="45" t="inlineStr">
        <is>
          <t>阀</t>
        </is>
      </c>
      <c r="AB83" s="45" t="inlineStr">
        <is>
          <t>全</t>
        </is>
      </c>
      <c r="AC83" s="45" t="inlineStr">
        <is>
          <t>材料费</t>
        </is>
      </c>
    </row>
    <row r="84">
      <c r="Z84" s="43" t="n">
        <v>80</v>
      </c>
      <c r="AA84" s="45" t="inlineStr">
        <is>
          <t>五金</t>
        </is>
      </c>
      <c r="AB84" s="45" t="inlineStr">
        <is>
          <t>全</t>
        </is>
      </c>
      <c r="AC84" s="45" t="inlineStr">
        <is>
          <t>材料费</t>
        </is>
      </c>
    </row>
    <row r="85">
      <c r="Z85" s="43" t="n">
        <v>81</v>
      </c>
      <c r="AA85" s="45" t="inlineStr">
        <is>
          <t>钢材</t>
        </is>
      </c>
      <c r="AB85" s="45" t="inlineStr">
        <is>
          <t>全</t>
        </is>
      </c>
      <c r="AC85" s="45" t="inlineStr">
        <is>
          <t>材料费</t>
        </is>
      </c>
    </row>
    <row r="86">
      <c r="Z86" s="43" t="n">
        <v>82</v>
      </c>
      <c r="AA86" s="45" t="inlineStr">
        <is>
          <t>井盖</t>
        </is>
      </c>
      <c r="AB86" s="45" t="inlineStr">
        <is>
          <t>全</t>
        </is>
      </c>
      <c r="AC86" s="45" t="inlineStr">
        <is>
          <t>材料费</t>
        </is>
      </c>
    </row>
    <row r="87">
      <c r="Z87" s="43" t="n">
        <v>83</v>
      </c>
      <c r="AA87" s="45" t="inlineStr">
        <is>
          <t>油漆</t>
        </is>
      </c>
      <c r="AB87" s="45" t="inlineStr">
        <is>
          <t>全</t>
        </is>
      </c>
      <c r="AC87" s="45" t="inlineStr">
        <is>
          <t>材料费</t>
        </is>
      </c>
    </row>
    <row r="88">
      <c r="Z88" s="43" t="n">
        <v>84</v>
      </c>
      <c r="AA88" s="45" t="inlineStr">
        <is>
          <t>草皮</t>
        </is>
      </c>
      <c r="AB88" s="45" t="inlineStr">
        <is>
          <t>全</t>
        </is>
      </c>
      <c r="AC88" s="45" t="inlineStr">
        <is>
          <t>材料费</t>
        </is>
      </c>
    </row>
    <row r="89">
      <c r="Z89" s="43" t="n">
        <v>85</v>
      </c>
      <c r="AA89" s="45" t="inlineStr">
        <is>
          <t>树苗</t>
        </is>
      </c>
      <c r="AB89" s="45" t="inlineStr">
        <is>
          <t>全</t>
        </is>
      </c>
      <c r="AC89" s="45" t="inlineStr">
        <is>
          <t>材料费</t>
        </is>
      </c>
    </row>
    <row r="90">
      <c r="Z90" s="43" t="n">
        <v>86</v>
      </c>
      <c r="AA90" s="45" t="inlineStr">
        <is>
          <t>支架</t>
        </is>
      </c>
      <c r="AB90" s="45" t="inlineStr">
        <is>
          <t>全</t>
        </is>
      </c>
      <c r="AC90" s="45" t="inlineStr">
        <is>
          <t>材料费</t>
        </is>
      </c>
    </row>
    <row r="91">
      <c r="Z91" s="43" t="n">
        <v>87</v>
      </c>
      <c r="AA91" s="45" t="inlineStr">
        <is>
          <t>消防器材</t>
        </is>
      </c>
      <c r="AB91" s="45" t="inlineStr">
        <is>
          <t>全</t>
        </is>
      </c>
      <c r="AC91" s="45" t="inlineStr">
        <is>
          <t>材料费</t>
        </is>
      </c>
    </row>
    <row r="92">
      <c r="Z92" s="43" t="n">
        <v>88</v>
      </c>
      <c r="AA92" s="45" t="inlineStr">
        <is>
          <t>管材</t>
        </is>
      </c>
      <c r="AB92" s="45" t="inlineStr">
        <is>
          <t>全</t>
        </is>
      </c>
      <c r="AC92" s="45" t="inlineStr">
        <is>
          <t>材料费</t>
        </is>
      </c>
    </row>
    <row r="93">
      <c r="Z93" s="43" t="n">
        <v>89</v>
      </c>
      <c r="AA93" s="45" t="inlineStr">
        <is>
          <t>临时工</t>
        </is>
      </c>
      <c r="AB93" s="45" t="inlineStr">
        <is>
          <t>全</t>
        </is>
      </c>
      <c r="AC93" s="45" t="inlineStr">
        <is>
          <t>临时工工资</t>
        </is>
      </c>
    </row>
    <row r="94">
      <c r="Z94" s="43" t="n">
        <v>90</v>
      </c>
      <c r="AA94" s="45" t="inlineStr">
        <is>
          <t>点工</t>
        </is>
      </c>
      <c r="AB94" s="45" t="inlineStr">
        <is>
          <t>全</t>
        </is>
      </c>
      <c r="AC94" s="45" t="inlineStr">
        <is>
          <t>临时工工资</t>
        </is>
      </c>
    </row>
    <row r="95">
      <c r="Z95" s="43" t="n">
        <v>91</v>
      </c>
      <c r="AA95" s="45" t="inlineStr">
        <is>
          <t>工资</t>
        </is>
      </c>
      <c r="AB95" s="45" t="inlineStr">
        <is>
          <t>全</t>
        </is>
      </c>
      <c r="AC95" s="45" t="inlineStr">
        <is>
          <t>工资</t>
        </is>
      </c>
    </row>
    <row r="96">
      <c r="Z96" s="43" t="n">
        <v>92</v>
      </c>
      <c r="AA96" s="45" t="inlineStr">
        <is>
          <t>酒</t>
        </is>
      </c>
      <c r="AB96" s="45" t="inlineStr">
        <is>
          <t>全</t>
        </is>
      </c>
      <c r="AC96" s="45" t="inlineStr">
        <is>
          <t>业务招待费</t>
        </is>
      </c>
    </row>
    <row r="97">
      <c r="Z97" s="43" t="n">
        <v>93</v>
      </c>
      <c r="AA97" s="45" t="inlineStr">
        <is>
          <t>餐费</t>
        </is>
      </c>
      <c r="AB97" s="45" t="inlineStr">
        <is>
          <t>全</t>
        </is>
      </c>
      <c r="AC97" s="45" t="inlineStr">
        <is>
          <t>业务招待费</t>
        </is>
      </c>
    </row>
    <row r="98">
      <c r="Z98" s="43" t="n">
        <v>94</v>
      </c>
      <c r="AA98" s="45" t="inlineStr">
        <is>
          <t>工作餐</t>
        </is>
      </c>
      <c r="AB98" s="45" t="inlineStr">
        <is>
          <t>全</t>
        </is>
      </c>
      <c r="AC98" s="45" t="inlineStr">
        <is>
          <t>业务招待费</t>
        </is>
      </c>
    </row>
    <row r="99">
      <c r="Z99" s="43" t="n">
        <v>95</v>
      </c>
      <c r="AA99" s="45" t="inlineStr">
        <is>
          <t>聚餐</t>
        </is>
      </c>
      <c r="AB99" s="45" t="inlineStr">
        <is>
          <t>全</t>
        </is>
      </c>
      <c r="AC99" s="45" t="inlineStr">
        <is>
          <t>业务招待费</t>
        </is>
      </c>
    </row>
    <row r="100">
      <c r="Z100" s="43" t="n">
        <v>96</v>
      </c>
      <c r="AA100" s="45" t="inlineStr">
        <is>
          <t>海鲜</t>
        </is>
      </c>
      <c r="AB100" s="45" t="inlineStr">
        <is>
          <t>全</t>
        </is>
      </c>
      <c r="AC100" s="45" t="inlineStr">
        <is>
          <t>业务招待费</t>
        </is>
      </c>
    </row>
    <row r="101">
      <c r="Z101" s="43" t="n">
        <v>97</v>
      </c>
      <c r="AA101" s="45" t="inlineStr">
        <is>
          <t>水果</t>
        </is>
      </c>
      <c r="AB101" s="45" t="inlineStr">
        <is>
          <t>全</t>
        </is>
      </c>
      <c r="AC101" s="45" t="inlineStr">
        <is>
          <t>业务招待费</t>
        </is>
      </c>
    </row>
    <row r="102">
      <c r="Z102" s="43" t="n">
        <v>98</v>
      </c>
      <c r="AA102" s="45" t="inlineStr">
        <is>
          <t>茶叶</t>
        </is>
      </c>
      <c r="AB102" s="45" t="inlineStr">
        <is>
          <t>全</t>
        </is>
      </c>
      <c r="AC102" s="45" t="inlineStr">
        <is>
          <t>业务招待费</t>
        </is>
      </c>
    </row>
    <row r="103">
      <c r="Z103" s="43" t="n">
        <v>99</v>
      </c>
      <c r="AA103" s="45" t="inlineStr">
        <is>
          <t>住宿</t>
        </is>
      </c>
      <c r="AB103" s="45" t="inlineStr">
        <is>
          <t>全</t>
        </is>
      </c>
      <c r="AC103" s="45" t="inlineStr">
        <is>
          <t>业务招待费</t>
        </is>
      </c>
    </row>
    <row r="104">
      <c r="Z104" s="43" t="n">
        <v>100</v>
      </c>
      <c r="AA104" s="45" t="inlineStr">
        <is>
          <t>烟</t>
        </is>
      </c>
      <c r="AB104" s="45" t="inlineStr">
        <is>
          <t>全</t>
        </is>
      </c>
      <c r="AC104" s="45" t="inlineStr">
        <is>
          <t>业务招待费</t>
        </is>
      </c>
    </row>
    <row r="105">
      <c r="Z105" s="43" t="n">
        <v>101</v>
      </c>
      <c r="AA105" s="45" t="inlineStr">
        <is>
          <t>快餐</t>
        </is>
      </c>
      <c r="AB105" s="45" t="inlineStr">
        <is>
          <t>全</t>
        </is>
      </c>
      <c r="AC105" s="45" t="inlineStr">
        <is>
          <t>业务招待费</t>
        </is>
      </c>
    </row>
    <row r="106">
      <c r="Z106" s="43" t="n">
        <v>102</v>
      </c>
      <c r="AA106" s="45" t="inlineStr">
        <is>
          <t>买菜</t>
        </is>
      </c>
      <c r="AB106" s="45" t="inlineStr">
        <is>
          <t>全</t>
        </is>
      </c>
      <c r="AC106" s="45" t="inlineStr">
        <is>
          <t>食堂伙食</t>
        </is>
      </c>
    </row>
    <row r="107">
      <c r="Z107" s="43" t="n">
        <v>103</v>
      </c>
      <c r="AA107" s="45" t="inlineStr">
        <is>
          <t>大米</t>
        </is>
      </c>
      <c r="AB107" s="45" t="inlineStr">
        <is>
          <t>全</t>
        </is>
      </c>
      <c r="AC107" s="45" t="inlineStr">
        <is>
          <t>食堂伙食</t>
        </is>
      </c>
    </row>
    <row r="108">
      <c r="Z108" s="43" t="n">
        <v>104</v>
      </c>
      <c r="AA108" s="45" t="inlineStr">
        <is>
          <t>煤气</t>
        </is>
      </c>
      <c r="AB108" s="45" t="inlineStr">
        <is>
          <t>全</t>
        </is>
      </c>
      <c r="AC108" s="45" t="inlineStr">
        <is>
          <t>食堂伙食</t>
        </is>
      </c>
    </row>
    <row r="109">
      <c r="Z109" s="43" t="n">
        <v>105</v>
      </c>
      <c r="AA109" s="45" t="inlineStr">
        <is>
          <t>食堂</t>
        </is>
      </c>
      <c r="AB109" s="45" t="inlineStr">
        <is>
          <t>全</t>
        </is>
      </c>
      <c r="AC109" s="45" t="inlineStr">
        <is>
          <t>食堂伙食</t>
        </is>
      </c>
    </row>
    <row r="110">
      <c r="Z110" s="43" t="n">
        <v>106</v>
      </c>
      <c r="AA110" s="45" t="inlineStr">
        <is>
          <t>加油</t>
        </is>
      </c>
      <c r="AB110" s="45" t="inlineStr">
        <is>
          <t>全</t>
        </is>
      </c>
      <c r="AC110" s="45" t="inlineStr">
        <is>
          <t>车辆差旅</t>
        </is>
      </c>
    </row>
    <row r="111">
      <c r="Z111" s="43" t="n">
        <v>107</v>
      </c>
      <c r="AA111" s="45" t="inlineStr">
        <is>
          <t>维修</t>
        </is>
      </c>
      <c r="AB111" s="45" t="inlineStr">
        <is>
          <t>全</t>
        </is>
      </c>
      <c r="AC111" s="45" t="inlineStr">
        <is>
          <t>车辆差旅</t>
        </is>
      </c>
    </row>
    <row r="112">
      <c r="Z112" s="43" t="n">
        <v>108</v>
      </c>
      <c r="AA112" s="45" t="inlineStr">
        <is>
          <t>皮卡</t>
        </is>
      </c>
      <c r="AB112" s="45" t="inlineStr">
        <is>
          <t>全</t>
        </is>
      </c>
      <c r="AC112" s="45" t="inlineStr">
        <is>
          <t>车辆差旅</t>
        </is>
      </c>
    </row>
    <row r="113">
      <c r="Z113" s="43" t="n">
        <v>109</v>
      </c>
      <c r="AA113" s="45" t="inlineStr">
        <is>
          <t>汽车</t>
        </is>
      </c>
      <c r="AB113" s="45" t="inlineStr">
        <is>
          <t>全</t>
        </is>
      </c>
      <c r="AC113" s="45" t="inlineStr">
        <is>
          <t>车辆差旅</t>
        </is>
      </c>
    </row>
    <row r="114">
      <c r="Z114" s="43" t="n">
        <v>110</v>
      </c>
      <c r="AA114" s="45" t="inlineStr">
        <is>
          <t>油费</t>
        </is>
      </c>
      <c r="AB114" s="45" t="inlineStr">
        <is>
          <t>全</t>
        </is>
      </c>
      <c r="AC114" s="45" t="inlineStr">
        <is>
          <t>车辆差旅</t>
        </is>
      </c>
    </row>
    <row r="115">
      <c r="Z115" s="43" t="n">
        <v>111</v>
      </c>
      <c r="AA115" s="45" t="inlineStr">
        <is>
          <t>停车</t>
        </is>
      </c>
      <c r="AB115" s="45" t="inlineStr">
        <is>
          <t>全</t>
        </is>
      </c>
      <c r="AC115" s="45" t="inlineStr">
        <is>
          <t>车辆差旅</t>
        </is>
      </c>
    </row>
    <row r="116">
      <c r="Z116" s="43" t="n">
        <v>112</v>
      </c>
      <c r="AA116" s="45" t="inlineStr">
        <is>
          <t>过路</t>
        </is>
      </c>
      <c r="AB116" s="45" t="inlineStr">
        <is>
          <t>全</t>
        </is>
      </c>
      <c r="AC116" s="45" t="inlineStr">
        <is>
          <t>车辆差旅</t>
        </is>
      </c>
    </row>
    <row r="117">
      <c r="Z117" s="43" t="n">
        <v>113</v>
      </c>
      <c r="AA117" s="45" t="inlineStr">
        <is>
          <t>保险</t>
        </is>
      </c>
      <c r="AB117" s="45" t="inlineStr">
        <is>
          <t>全</t>
        </is>
      </c>
      <c r="AC117" s="45" t="inlineStr">
        <is>
          <t>车辆差旅</t>
        </is>
      </c>
    </row>
    <row r="118">
      <c r="Z118" s="43" t="n">
        <v>114</v>
      </c>
      <c r="AA118" s="45" t="inlineStr">
        <is>
          <t>出差</t>
        </is>
      </c>
      <c r="AB118" s="45" t="inlineStr">
        <is>
          <t>全</t>
        </is>
      </c>
      <c r="AC118" s="45" t="inlineStr">
        <is>
          <t>车辆差旅</t>
        </is>
      </c>
    </row>
    <row r="119">
      <c r="Z119" s="43" t="n">
        <v>115</v>
      </c>
      <c r="AA119" s="45" t="inlineStr">
        <is>
          <t>快递</t>
        </is>
      </c>
      <c r="AB119" s="45" t="inlineStr">
        <is>
          <t>全</t>
        </is>
      </c>
      <c r="AC119" s="45" t="inlineStr">
        <is>
          <t>办公费</t>
        </is>
      </c>
    </row>
    <row r="120">
      <c r="Z120" s="43" t="n">
        <v>116</v>
      </c>
      <c r="AA120" s="45" t="inlineStr">
        <is>
          <t>日用品</t>
        </is>
      </c>
      <c r="AB120" s="45" t="inlineStr">
        <is>
          <t>全</t>
        </is>
      </c>
      <c r="AC120" s="45" t="inlineStr">
        <is>
          <t>办公费</t>
        </is>
      </c>
    </row>
    <row r="121">
      <c r="Z121" s="43" t="n">
        <v>117</v>
      </c>
      <c r="AA121" s="45" t="inlineStr">
        <is>
          <t>抽纸</t>
        </is>
      </c>
      <c r="AB121" s="45" t="inlineStr">
        <is>
          <t>全</t>
        </is>
      </c>
      <c r="AC121" s="45" t="inlineStr">
        <is>
          <t>办公费</t>
        </is>
      </c>
    </row>
    <row r="122">
      <c r="Z122" s="43" t="n">
        <v>118</v>
      </c>
      <c r="AA122" s="45" t="inlineStr">
        <is>
          <t>洗洁精</t>
        </is>
      </c>
      <c r="AB122" s="45" t="inlineStr">
        <is>
          <t>全</t>
        </is>
      </c>
      <c r="AC122" s="45" t="inlineStr">
        <is>
          <t>办公费</t>
        </is>
      </c>
    </row>
    <row r="123">
      <c r="Z123" s="43" t="n">
        <v>119</v>
      </c>
      <c r="AA123" s="45" t="inlineStr">
        <is>
          <t>门头</t>
        </is>
      </c>
      <c r="AB123" s="45" t="inlineStr">
        <is>
          <t>全</t>
        </is>
      </c>
      <c r="AC123" s="45" t="inlineStr">
        <is>
          <t>办公费</t>
        </is>
      </c>
    </row>
    <row r="124">
      <c r="Z124" s="43" t="n">
        <v>120</v>
      </c>
      <c r="AA124" s="45" t="inlineStr">
        <is>
          <t>代账</t>
        </is>
      </c>
      <c r="AB124" s="45" t="inlineStr">
        <is>
          <t>全</t>
        </is>
      </c>
      <c r="AC124" s="45" t="inlineStr">
        <is>
          <t>办公费</t>
        </is>
      </c>
    </row>
    <row r="125">
      <c r="Z125" s="43" t="n">
        <v>121</v>
      </c>
      <c r="AA125" s="45" t="inlineStr">
        <is>
          <t>注册费</t>
        </is>
      </c>
      <c r="AB125" s="45" t="inlineStr">
        <is>
          <t>全</t>
        </is>
      </c>
      <c r="AC125" s="45" t="inlineStr">
        <is>
          <t>办公费</t>
        </is>
      </c>
    </row>
    <row r="126">
      <c r="Z126" s="43" t="n">
        <v>122</v>
      </c>
      <c r="AA126" s="45" t="inlineStr">
        <is>
          <t>办公</t>
        </is>
      </c>
      <c r="AB126" s="45" t="inlineStr">
        <is>
          <t>全</t>
        </is>
      </c>
      <c r="AC126" s="45" t="inlineStr">
        <is>
          <t>办公费</t>
        </is>
      </c>
    </row>
    <row r="127">
      <c r="Z127" s="43" t="n">
        <v>123</v>
      </c>
      <c r="AA127" s="45" t="inlineStr">
        <is>
          <t>服务费</t>
        </is>
      </c>
      <c r="AB127" s="45" t="inlineStr">
        <is>
          <t>全</t>
        </is>
      </c>
      <c r="AC127" s="45" t="inlineStr">
        <is>
          <t>办公费</t>
        </is>
      </c>
    </row>
    <row r="128">
      <c r="Z128" s="43" t="n">
        <v>124</v>
      </c>
      <c r="AA128" s="45" t="inlineStr">
        <is>
          <t>房租</t>
        </is>
      </c>
      <c r="AB128" s="45" t="inlineStr">
        <is>
          <t>全</t>
        </is>
      </c>
      <c r="AC128" s="45" t="inlineStr">
        <is>
          <t>办公费</t>
        </is>
      </c>
    </row>
    <row r="129">
      <c r="Z129" s="43" t="n">
        <v>125</v>
      </c>
      <c r="AA129" s="45" t="inlineStr">
        <is>
          <t>云链平台</t>
        </is>
      </c>
      <c r="AB129" s="45" t="inlineStr">
        <is>
          <t>全</t>
        </is>
      </c>
      <c r="AC129" s="45" t="inlineStr">
        <is>
          <t>其他收入</t>
        </is>
      </c>
    </row>
    <row r="130">
      <c r="Z130" s="43" t="n">
        <v>126</v>
      </c>
      <c r="AA130" s="45" t="inlineStr">
        <is>
          <t>汇款退回</t>
        </is>
      </c>
      <c r="AB130" s="45" t="inlineStr">
        <is>
          <t>全</t>
        </is>
      </c>
      <c r="AC130" s="45" t="inlineStr">
        <is>
          <t>付应付款</t>
        </is>
      </c>
    </row>
    <row r="131">
      <c r="Z131" s="43" t="n">
        <v>127</v>
      </c>
      <c r="AA131" s="45" t="n"/>
      <c r="AB131" s="45" t="n"/>
      <c r="AC131" s="45" t="n"/>
    </row>
    <row r="132">
      <c r="Z132" s="43" t="n">
        <v>128</v>
      </c>
      <c r="AA132" s="45" t="n"/>
      <c r="AB132" s="45" t="n"/>
      <c r="AC132" s="45" t="n"/>
    </row>
    <row r="133">
      <c r="Z133" s="43" t="n">
        <v>129</v>
      </c>
      <c r="AA133" s="45" t="n"/>
      <c r="AB133" s="45" t="n"/>
      <c r="AC133" s="45" t="n"/>
    </row>
    <row r="134">
      <c r="Z134" s="43" t="n">
        <v>130</v>
      </c>
      <c r="AA134" s="45" t="n"/>
      <c r="AB134" s="45" t="n"/>
      <c r="AC134" s="45" t="n"/>
    </row>
    <row r="135">
      <c r="Z135" s="43" t="n">
        <v>131</v>
      </c>
      <c r="AA135" s="45" t="n"/>
      <c r="AB135" s="45" t="n"/>
      <c r="AC135" s="45" t="n"/>
    </row>
    <row r="136">
      <c r="Z136" s="43" t="n">
        <v>132</v>
      </c>
      <c r="AA136" s="45" t="n"/>
      <c r="AB136" s="45" t="n"/>
      <c r="AC136" s="45" t="n"/>
    </row>
    <row r="137">
      <c r="Z137" s="43" t="n">
        <v>133</v>
      </c>
      <c r="AA137" s="45" t="n"/>
      <c r="AB137" s="45" t="n"/>
      <c r="AC137" s="45" t="n"/>
    </row>
    <row r="138">
      <c r="Z138" s="43" t="n">
        <v>134</v>
      </c>
      <c r="AA138" s="45" t="n"/>
      <c r="AB138" s="45" t="n"/>
      <c r="AC138" s="45" t="n"/>
    </row>
    <row r="139">
      <c r="Z139" s="43" t="n">
        <v>135</v>
      </c>
      <c r="AA139" s="45" t="n"/>
      <c r="AB139" s="45" t="n"/>
      <c r="AC139" s="45" t="n"/>
    </row>
    <row r="140">
      <c r="Z140" s="43" t="n">
        <v>136</v>
      </c>
      <c r="AA140" s="45" t="n"/>
      <c r="AB140" s="45" t="n"/>
      <c r="AC140" s="45" t="n"/>
    </row>
    <row r="141">
      <c r="Z141" s="43" t="n">
        <v>137</v>
      </c>
      <c r="AA141" s="45" t="n"/>
      <c r="AB141" s="45" t="n"/>
      <c r="AC141" s="45" t="n"/>
    </row>
    <row r="142">
      <c r="Z142" s="43" t="n">
        <v>138</v>
      </c>
      <c r="AA142" s="45" t="n"/>
      <c r="AB142" s="45" t="n"/>
      <c r="AC142" s="45" t="n"/>
    </row>
    <row r="143">
      <c r="Z143" s="43" t="n">
        <v>139</v>
      </c>
      <c r="AA143" s="45" t="n"/>
      <c r="AB143" s="45" t="n"/>
      <c r="AC143" s="45" t="n"/>
    </row>
    <row r="144">
      <c r="Z144" s="43" t="n">
        <v>140</v>
      </c>
      <c r="AA144" s="45" t="n"/>
      <c r="AB144" s="45" t="n"/>
      <c r="AC144" s="45" t="n"/>
    </row>
    <row r="145">
      <c r="Z145" s="43" t="n">
        <v>141</v>
      </c>
      <c r="AA145" s="45" t="n"/>
      <c r="AB145" s="45" t="n"/>
      <c r="AC145" s="45" t="n"/>
    </row>
    <row r="146">
      <c r="Z146" s="43" t="n">
        <v>142</v>
      </c>
      <c r="AA146" s="45" t="n"/>
      <c r="AB146" s="45" t="n"/>
      <c r="AC146" s="45" t="n"/>
    </row>
    <row r="147">
      <c r="Z147" s="43" t="n">
        <v>143</v>
      </c>
      <c r="AA147" s="45" t="n"/>
      <c r="AB147" s="45" t="n"/>
      <c r="AC147" s="45" t="n"/>
    </row>
    <row r="148">
      <c r="Z148" s="43" t="n">
        <v>144</v>
      </c>
      <c r="AA148" s="45" t="n"/>
      <c r="AB148" s="45" t="n"/>
      <c r="AC148" s="45" t="n"/>
    </row>
    <row r="149">
      <c r="Z149" s="43" t="n">
        <v>145</v>
      </c>
      <c r="AA149" s="45" t="n"/>
      <c r="AB149" s="45" t="n"/>
      <c r="AC149" s="45" t="n"/>
    </row>
    <row r="150">
      <c r="Z150" s="43" t="n">
        <v>146</v>
      </c>
      <c r="AA150" s="45" t="n"/>
      <c r="AB150" s="45" t="n"/>
      <c r="AC150" s="45" t="n"/>
    </row>
    <row r="151">
      <c r="Z151" s="43" t="n">
        <v>147</v>
      </c>
      <c r="AA151" s="45" t="n"/>
      <c r="AB151" s="45" t="n"/>
      <c r="AC151" s="45" t="n"/>
    </row>
    <row r="152">
      <c r="Z152" s="43" t="n">
        <v>148</v>
      </c>
      <c r="AA152" s="45" t="n"/>
      <c r="AB152" s="45" t="n"/>
      <c r="AC152" s="45" t="n"/>
    </row>
    <row r="153">
      <c r="Z153" s="43" t="n">
        <v>149</v>
      </c>
      <c r="AA153" s="45" t="n"/>
      <c r="AB153" s="45" t="n"/>
      <c r="AC153" s="45" t="n"/>
    </row>
    <row r="154">
      <c r="Z154" s="43" t="n">
        <v>150</v>
      </c>
      <c r="AA154" s="45" t="n"/>
      <c r="AB154" s="45" t="n"/>
      <c r="AC154" s="45" t="n"/>
    </row>
    <row r="155">
      <c r="Z155" s="43" t="n">
        <v>151</v>
      </c>
      <c r="AA155" s="45" t="n"/>
      <c r="AB155" s="45" t="n"/>
      <c r="AC155" s="45" t="n"/>
    </row>
    <row r="156">
      <c r="Z156" s="43" t="n">
        <v>152</v>
      </c>
      <c r="AA156" s="45" t="n"/>
      <c r="AB156" s="45" t="n"/>
      <c r="AC156" s="45" t="n"/>
    </row>
    <row r="157">
      <c r="Z157" s="43" t="n">
        <v>153</v>
      </c>
      <c r="AA157" s="45" t="n"/>
      <c r="AB157" s="45" t="n"/>
      <c r="AC157" s="45" t="n"/>
    </row>
    <row r="158">
      <c r="Z158" s="43" t="n">
        <v>154</v>
      </c>
      <c r="AA158" s="45" t="n"/>
      <c r="AB158" s="45" t="n"/>
      <c r="AC158" s="45" t="n"/>
    </row>
    <row r="159">
      <c r="Z159" s="43" t="n">
        <v>155</v>
      </c>
      <c r="AA159" s="45" t="n"/>
      <c r="AB159" s="45" t="n"/>
      <c r="AC159" s="45" t="n"/>
    </row>
    <row r="160">
      <c r="Z160" s="43" t="n">
        <v>156</v>
      </c>
      <c r="AA160" s="45" t="n"/>
      <c r="AB160" s="45" t="n"/>
      <c r="AC160" s="45" t="n"/>
    </row>
    <row r="161">
      <c r="Z161" s="43" t="n">
        <v>157</v>
      </c>
      <c r="AA161" s="45" t="n"/>
      <c r="AB161" s="45" t="n"/>
      <c r="AC161" s="45" t="n"/>
    </row>
    <row r="162">
      <c r="Z162" s="43" t="n">
        <v>158</v>
      </c>
      <c r="AA162" s="45" t="n"/>
      <c r="AB162" s="45" t="n"/>
      <c r="AC162" s="45" t="n"/>
    </row>
    <row r="163">
      <c r="Z163" s="43" t="n">
        <v>159</v>
      </c>
      <c r="AA163" s="45" t="n"/>
      <c r="AB163" s="45" t="n"/>
      <c r="AC163" s="45" t="n"/>
    </row>
    <row r="164">
      <c r="Z164" s="43" t="n">
        <v>160</v>
      </c>
      <c r="AA164" s="45" t="n"/>
      <c r="AB164" s="45" t="n"/>
      <c r="AC164" s="45" t="n"/>
    </row>
  </sheetData>
  <mergeCells count="9">
    <mergeCell ref="AI3:AQ3"/>
    <mergeCell ref="R3:X3"/>
    <mergeCell ref="B3:C3"/>
    <mergeCell ref="Z3:AC3"/>
    <mergeCell ref="F3:P3"/>
    <mergeCell ref="A2:AQ2"/>
    <mergeCell ref="B10:C14"/>
    <mergeCell ref="AE3:AG3"/>
    <mergeCell ref="A1:AQ1"/>
  </mergeCells>
  <dataValidations count="12">
    <dataValidation sqref="C8" showDropDown="0" showInputMessage="0" showErrorMessage="1" allowBlank="1" errorTitle="不在清单里" error="请从下拉里选；清单里没有的，先到【基础资料】/【往来单位】里登记" type="list" errorStyle="stop">
      <formula1>"一般纳税人,小规模纳税人"</formula1>
    </dataValidation>
    <dataValidation sqref="N5:N24" showDropDown="0" showInputMessage="0" showErrorMessage="1" allowBlank="1" errorTitle="日期" error="要像 2026/9/1 这样填日期" type="date" errorStyle="warning" operator="between">
      <formula1>36526</formula1>
      <formula2>73050</formula2>
    </dataValidation>
    <dataValidation sqref="H5:H24" showDropDown="0" showInputMessage="1" showErrorMessage="1" allowBlank="1" errorTitle="不在清单里" error="请从下拉里选；清单里没有的，先到【基础资料】/【往来单位】里登记" promptTitle="提示" prompt="个人户：老板/负责人替公司收付钱用的（余额为负＝公司欠他）；票据：在手的承兑汇票" type="list" errorStyle="stop">
      <formula1>"银行,现金,个人户,票据"</formula1>
    </dataValidation>
    <dataValidation sqref="I5:I24" showDropDown="0" showInputMessage="1" showErrorMessage="0" allowBlank="1" errorTitle="不在清单里" error="请从下拉里选；清单里没有的，先到【基础资料】/【往来单位】里登记" promptTitle="提示" prompt="个人户填是谁的（【往来单位】里的人）" type="list" errorStyle="warning">
      <formula1>=往来单位!$B$4:$B$303</formula1>
    </dataValidation>
    <dataValidation sqref="T5:T64" showDropDown="0" showInputMessage="1" showErrorMessage="1" allowBlank="1" errorTitle="不在清单里" error="请从下拉里选；清单里没有的，先到【基础资料】/【往来单位】里登记" promptTitle="提示" prompt="支：支出栏填负数＝冲回；双向：借进借出、互转、保证金" type="list" errorStyle="stop">
      <formula1>"收,支,双向"</formula1>
    </dataValidation>
    <dataValidation sqref="U5:U64" showDropDown="0" showInputMessage="1" showErrorMessage="1" allowBlank="1" errorTitle="不在清单里" error="请从下拉里选；清单里没有的，先到【基础资料】/【往来单位】里登记" promptTitle="提示" prompt="这一类记到报表哪一行。「分摊归类」跟着自动变：材料人工分包机械其他直接费＝项目直接成本（要选项目）；办公招待车辆等＝公司间接费（年底按费率摊到项目）；利息手续费其他收支＝公司不分摊；借还款、互转、交税、付应付款＝不进利润" type="list" errorStyle="stop">
      <formula1>=_辅助!$H$1:$H$60</formula1>
    </dataValidation>
    <dataValidation sqref="W5:W64" showDropDown="0" showInputMessage="0" showErrorMessage="1" allowBlank="1" errorTitle="不在清单里" error="请从下拉里选；清单里没有的，先到【基础资料】/【往来单位】里登记" type="list" errorStyle="stop">
      <formula1>"项目,人,单位,对方账户"</formula1>
    </dataValidation>
    <dataValidation sqref="AB5:AB164" showDropDown="0" showInputMessage="0" showErrorMessage="1" allowBlank="1" errorTitle="不在清单里" error="请从下拉里选；清单里没有的，先到【基础资料】/【往来单位】里登记" type="list" errorStyle="stop">
      <formula1>"收,支,全"</formula1>
    </dataValidation>
    <dataValidation sqref="AC5:AC164" showDropDown="0" showInputMessage="0" showErrorMessage="1" allowBlank="1" errorTitle="不在清单里" error="请从下拉里选；清单里没有的，先到【基础资料】/【往来单位】里登记" type="list" errorStyle="stop">
      <formula1>=基础资料!$S$5:$S$64</formula1>
    </dataValidation>
    <dataValidation sqref="AF9" showDropDown="0" showInputMessage="0" showErrorMessage="1" allowBlank="1" errorTitle="不在清单里" error="请从下拉里选；清单里没有的，先到【基础资料】/【往来单位】里登记" type="list" errorStyle="stop">
      <formula1>"施工费,直接成本"</formula1>
    </dataValidation>
    <dataValidation sqref="AK5:AK34" showDropDown="0" showInputMessage="0" showErrorMessage="1" allowBlank="1" errorTitle="日期" error="要像 2026/9/1 这样填日期" type="date" errorStyle="warning" operator="between">
      <formula1>36526</formula1>
      <formula2>73050</formula2>
    </dataValidation>
    <dataValidation sqref="AO5:AO34" showDropDown="0" showInputMessage="0" showErrorMessage="1" allowBlank="1" errorTitle="不在清单里" error="请从下拉里选；清单里没有的，先到【基础资料】/【往来单位】里登记" type="list" errorStyle="stop">
      <formula1>=项目档案!$B$4:$B$63</formula1>
    </dataValidation>
  </dataValidations>
  <hyperlinks>
    <hyperlink ref="AR1" location="'首页'!A1" display="← 回首页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Z2005"/>
  <sheetViews>
    <sheetView showGridLines="0" tabSelected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.5" customWidth="1" min="2" max="2"/>
    <col width="40" customWidth="1" min="3" max="3"/>
    <col width="13.5" customWidth="1" min="4" max="4"/>
    <col width="13.5" customWidth="1" min="5" max="5"/>
    <col width="14" customWidth="1" min="6" max="6"/>
    <col width="13" customWidth="1" min="7" max="7"/>
    <col width="19.05" customWidth="1" min="8" max="8"/>
    <col width="16" customWidth="1" min="9" max="9"/>
    <col width="15" customWidth="1" min="10" max="10"/>
    <col width="8" customWidth="1" min="11" max="11"/>
    <col width="20" customWidth="1" min="12" max="12"/>
    <col width="13" customWidth="1" min="13" max="13"/>
    <col hidden="1" width="13" customWidth="1" min="14" max="14"/>
    <col hidden="1" width="13" customWidth="1" min="15" max="15"/>
    <col hidden="1" width="13" customWidth="1" min="26" max="26"/>
  </cols>
  <sheetData>
    <row r="1" ht="33" customHeight="1">
      <c r="A1" s="32" t="inlineStr">
        <is>
          <t>账 户 明 细（选一个账户 · 看一段时间的每一笔和结存）</t>
        </is>
      </c>
      <c r="M1" s="33" t="inlineStr">
        <is>
          <t>← 回首页</t>
        </is>
      </c>
    </row>
    <row r="2" ht="38" customHeight="1">
      <c r="A2" s="3" t="inlineStr">
        <is>
          <t>💡 黄格子选账户（银行、现金、老板个人户、承兑汇票都行）和起止日期（空着＝本年 1 月 1 日到截止日）。下面自动列出这个账户这段时间的每一笔：自己记的，还有在别的账户记的「账户互转」（只记一边的那种，这里自动反过来显示）。期末余额跟银行 App 对不上，就在【基础资料】② 填实际余额和日期，看差额从哪天开始的。</t>
        </is>
      </c>
    </row>
    <row r="3">
      <c r="B3" s="4" t="inlineStr">
        <is>
          <t>账户</t>
        </is>
      </c>
      <c r="C3" s="88" t="inlineStr">
        <is>
          <t>九江银行</t>
        </is>
      </c>
      <c r="D3" s="4" t="inlineStr">
        <is>
          <t>起</t>
        </is>
      </c>
      <c r="E3" s="6" t="n"/>
      <c r="F3" s="4" t="inlineStr">
        <is>
          <t>止</t>
        </is>
      </c>
      <c r="G3" s="6" t="n"/>
      <c r="H3" s="89" t="inlineStr">
        <is>
          <t>（起止空着＝本年初到截止日）</t>
        </is>
      </c>
      <c r="I3" s="90">
        <f>IF($Z$5&gt;1000,"⚠ 这段时间有"&amp;$Z$5&amp;"笔，只列前1000笔，把日期缩短一点","")</f>
      </c>
    </row>
    <row r="4">
      <c r="B4" s="4" t="inlineStr">
        <is>
          <t>期间</t>
        </is>
      </c>
      <c r="C4" s="91">
        <f>MAX(IF(ISNUMBER(E3),E3,DATE(_辅助!$J$7,1,1)),基础资料!$C$9)</f>
        <v>46082.0</v>
      </c>
      <c r="D4" s="92" t="inlineStr">
        <is>
          <t>～</t>
        </is>
      </c>
      <c r="E4" s="91">
        <f>IF(ISNUMBER(G3),G3,_辅助!$J$9)</f>
        <v>46265.0</v>
      </c>
      <c r="G4" s="4" t="inlineStr">
        <is>
          <t>期初余额</t>
        </is>
      </c>
      <c r="H4" s="73">
        <f>ROUND(IFERROR(INDEX(基础资料!$K$5:$K$24,MATCH($C$3,基础资料!$G$5:$G$24,0)),0)+SUMIFS(资金流水!$R$6:$R$2005,资金流水!$C$6:$C$2005,$C$3,资金流水!$B$6:$B$2005,"&gt;="&amp;基础资料!$C$9,资金流水!$B$6:$B$2005,"&lt;"&amp;$C$4)-SUMIFS(资金流水!$R$6:$R$2005,资金流水!$AD$6:$AD$2005,$C$3,资金流水!$X$6:$X$2005,"账户互转",资金流水!$B$6:$B$2005,"&gt;="&amp;基础资料!$C$9,资金流水!$B$6:$B$2005,"&lt;"&amp;$C$4),2)</f>
        <v>0</v>
      </c>
      <c r="I4" s="4" t="inlineStr">
        <is>
          <t>本期收入</t>
        </is>
      </c>
      <c r="J4" s="73">
        <f>SUM(D8:D1007)</f>
        <v>1841477.04</v>
      </c>
      <c r="K4" s="4" t="inlineStr">
        <is>
          <t>本期支出</t>
        </is>
      </c>
      <c r="L4" s="73">
        <f>SUM(E8:E1007)</f>
        <v>1151260.61</v>
      </c>
    </row>
    <row r="5">
      <c r="G5" s="4" t="inlineStr">
        <is>
          <t>期末余额</t>
        </is>
      </c>
      <c r="H5" s="93">
        <f>ROUND(H4+J4-L4,2)</f>
        <v>690216.43</v>
      </c>
      <c r="I5" s="4" t="inlineStr">
        <is>
          <t>银行App余额</t>
        </is>
      </c>
      <c r="J5" s="73">
        <f>IF(IFERROR(INDEX(基础资料!$M$5:$M$24,MATCH($C$3,基础资料!$G$5:$G$24,0)),"")="","",IFERROR(INDEX(基础资料!$M$5:$M$24,MATCH($C$3,基础资料!$G$5:$G$24,0)),""))</f>
      </c>
      <c r="K5" s="4" t="inlineStr">
        <is>
          <t>核对差额</t>
        </is>
      </c>
      <c r="L5" s="73">
        <f>IF(IFERROR(INDEX(基础资料!$O$5:$O$24,MATCH($C$3,基础资料!$G$5:$G$24,0)),"")="","",IFERROR(INDEX(基础资料!$O$5:$O$24,MATCH($C$3,基础资料!$G$5:$G$24,0)),""))</f>
      </c>
      <c r="Z5" s="2">
        <f>COUNT(Z6:Z2005)</f>
        <v>160</v>
      </c>
    </row>
    <row r="6">
      <c r="Z6" s="2">
        <f>IF(AND(ISNUMBER(资金流水!$B$6),资金流水!$B$6&gt;=$C$4,资金流水!$B$6&lt;=$E$4,OR(资金流水!$C$6=$C$3,AND(资金流水!$AD$6=$C$3,资金流水!$X$6="账户互转"))),INT(资金流水!$B$6)*10000+1,"")</f>
        <v>461430001</v>
      </c>
    </row>
    <row r="7" ht="34" customHeight="1">
      <c r="A7" s="80" t="inlineStr">
        <is>
          <t>序号</t>
        </is>
      </c>
      <c r="B7" s="80" t="inlineStr">
        <is>
          <t>日期</t>
        </is>
      </c>
      <c r="C7" s="80" t="inlineStr">
        <is>
          <t>摘要</t>
        </is>
      </c>
      <c r="D7" s="80" t="inlineStr">
        <is>
          <t>收入</t>
        </is>
      </c>
      <c r="E7" s="80" t="inlineStr">
        <is>
          <t>支出</t>
        </is>
      </c>
      <c r="F7" s="80" t="inlineStr">
        <is>
          <t>结存</t>
        </is>
      </c>
      <c r="G7" s="80" t="inlineStr">
        <is>
          <t>项目</t>
        </is>
      </c>
      <c r="H7" s="80" t="inlineStr">
        <is>
          <t>收支类别</t>
        </is>
      </c>
      <c r="I7" s="80" t="inlineStr">
        <is>
          <t>单位 / 人</t>
        </is>
      </c>
      <c r="J7" s="80" t="inlineStr">
        <is>
          <t>对方账户</t>
        </is>
      </c>
      <c r="K7" s="80" t="inlineStr">
        <is>
          <t>流水
序号</t>
        </is>
      </c>
      <c r="L7" s="80" t="inlineStr">
        <is>
          <t>备注</t>
        </is>
      </c>
      <c r="Z7" s="2">
        <f>IF(AND(ISNUMBER(资金流水!$B$7),资金流水!$B$7&gt;=$C$4,资金流水!$B$7&lt;=$E$4,OR(资金流水!$C$7=$C$3,AND(资金流水!$AD$7=$C$3,资金流水!$X$7="账户互转"))),INT(资金流水!$B$7)*10000+2,"")</f>
        <v>461440002</v>
      </c>
    </row>
    <row r="8">
      <c r="A8" s="94">
        <f>IF($N8=0,"",1)</f>
        <v>1</v>
      </c>
      <c r="B8" s="95">
        <f t="shared" ref="B8:B1007" si="6">IF($N8=0,"",INDEX(资金流水!$B$6:$B$2005,$N8))</f>
        <v>46091.0</v>
      </c>
      <c r="C8" s="96" t="str">
        <f t="shared" ref="C8:C1007" si="1">IF($N8=0,"",INDEX(资金流水!$D$6:$D$2005,$N8)&amp;IF($O8=1,"（在【"&amp;INDEX(资金流水!$C$6:$C$2005,$N8)&amp;"】记的互转）",""))</f>
        <v>转竣辉九江银行（在【农业银行】记的互转）</v>
      </c>
      <c r="D8" s="21">
        <f t="shared" ref="D8:D1007" si="7">IF($N8=0,"",IF($O8=1,MAX(-INDEX(资金流水!$R$6:$R$2005,$N8),0),N(INDEX(资金流水!$E$6:$E$2005,$N8))))</f>
        <v>50000</v>
      </c>
      <c r="E8" s="21">
        <f t="shared" ref="E8:E1007" si="2">IF($N8=0,"",IF($O8=1,MAX(INDEX(资金流水!$R$6:$R$2005,$N8),0),N(INDEX(资金流水!$F$6:$F$2005,$N8))))</f>
        <v>0</v>
      </c>
      <c r="F8" s="48">
        <f>IF($N8=0,"",ROUND(N($H$4)+N(D8)-N(E8),2))</f>
        <v>50000</v>
      </c>
      <c r="G8" s="94">
        <f t="shared" ref="G8:G1007" si="9">IF($N8=0,"",INDEX(资金流水!$H$6:$H$2005,$N8)&amp;"")</f>
      </c>
      <c r="H8" s="94" t="str">
        <f t="shared" ref="H8:H1007" si="3">IF($N8=0,"",INDEX(资金流水!$I$6:$I$2005,$N8)&amp;"")</f>
        <v>账户互转</v>
      </c>
      <c r="I8" s="96">
        <f t="shared" ref="I8:I1007" si="0">IF($N8=0,"",INDEX(资金流水!$J$6:$J$2005,$N8)&amp;"")</f>
      </c>
      <c r="J8" s="94" t="str">
        <f t="shared" ref="J8:J1007" si="4">IF($N8=0,"",IF($O8=1,INDEX(资金流水!$C$6:$C$2005,$N8),INDEX(资金流水!$AD$6:$AD$2005,$N8))&amp;"")</f>
        <v>农业银行</v>
      </c>
      <c r="K8" s="94">
        <f t="shared" ref="K8:K1007" si="10">IF($N8=0,"",$N8)</f>
        <v>66</v>
      </c>
      <c r="L8" s="96">
        <f t="shared" ref="L8:L1007" si="5">IF($N8=0,"",INDEX(资金流水!$P$6:$P$2005,$N8)&amp;"")</f>
      </c>
      <c r="N8" s="2">
        <f>IF(1&gt;$Z$5,0,MOD(SMALL($Z$6:$Z$2005,1),10000))</f>
        <v>66</v>
      </c>
      <c r="O8" s="2">
        <f t="shared" ref="O8:O1007" si="11">IF($N8=0,0,IF(INDEX(资金流水!$C$6:$C$2005,$N8)=$C$3,0,1))</f>
        <v>1</v>
      </c>
      <c r="Z8" s="2">
        <f>IF(AND(ISNUMBER(资金流水!$B$8),资金流水!$B$8&gt;=$C$4,资金流水!$B$8&lt;=$E$4,OR(资金流水!$C$8=$C$3,AND(资金流水!$AD$8=$C$3,资金流水!$X$8="账户互转"))),INT(资金流水!$B$8)*10000+3,"")</f>
        <v>461440003</v>
      </c>
    </row>
    <row r="9">
      <c r="A9" s="94">
        <f>IF($N9=0,"",2)</f>
        <v>2</v>
      </c>
      <c r="B9" s="95">
        <f t="shared" si="6"/>
        <v>46091.0</v>
      </c>
      <c r="C9" s="96" t="str">
        <f t="shared" si="1"/>
        <v>转竣辉九江银行（在【农业银行】记的互转）</v>
      </c>
      <c r="D9" s="21">
        <f t="shared" si="7"/>
        <v>100000</v>
      </c>
      <c r="E9" s="21">
        <f t="shared" si="2"/>
        <v>0</v>
      </c>
      <c r="F9" s="48">
        <f t="shared" ref="F9:F1007" si="8">IF($N9=0,"",ROUND(N(F8)+N(D9)-N(E9),2))</f>
        <v>150000</v>
      </c>
      <c r="G9" s="94">
        <f t="shared" si="9"/>
      </c>
      <c r="H9" s="94" t="str">
        <f t="shared" si="3"/>
        <v>账户互转</v>
      </c>
      <c r="I9" s="96">
        <f t="shared" si="0"/>
      </c>
      <c r="J9" s="94" t="str">
        <f t="shared" si="4"/>
        <v>农业银行</v>
      </c>
      <c r="K9" s="94">
        <f t="shared" si="10"/>
        <v>67</v>
      </c>
      <c r="L9" s="96">
        <f t="shared" si="5"/>
      </c>
      <c r="N9" s="2">
        <f>IF(2&gt;$Z$5,0,MOD(SMALL($Z$6:$Z$2005,2),10000))</f>
        <v>67</v>
      </c>
      <c r="O9" s="2">
        <f t="shared" si="11"/>
        <v>1</v>
      </c>
      <c r="Z9" s="2">
        <f>IF(AND(ISNUMBER(资金流水!$B$9),资金流水!$B$9&gt;=$C$4,资金流水!$B$9&lt;=$E$4,OR(资金流水!$C$9=$C$3,AND(资金流水!$AD$9=$C$3,资金流水!$X$9="账户互转"))),INT(资金流水!$B$9)*10000+4,"")</f>
        <v>461440004</v>
      </c>
    </row>
    <row r="10">
      <c r="A10" s="94">
        <f>IF($N10=0,"",3)</f>
        <v>3</v>
      </c>
      <c r="B10" s="95">
        <f t="shared" si="6"/>
        <v>46093.0</v>
      </c>
      <c r="C10" s="96" t="str">
        <f t="shared" si="1"/>
        <v>转九江银行（在【农业银行】记的互转）</v>
      </c>
      <c r="D10" s="21">
        <f t="shared" si="7"/>
        <v>30000</v>
      </c>
      <c r="E10" s="21">
        <f t="shared" si="2"/>
        <v>0</v>
      </c>
      <c r="F10" s="48">
        <f t="shared" si="8"/>
        <v>180000</v>
      </c>
      <c r="G10" s="94">
        <f t="shared" si="9"/>
      </c>
      <c r="H10" s="94" t="str">
        <f t="shared" si="3"/>
        <v>账户互转</v>
      </c>
      <c r="I10" s="96">
        <f t="shared" si="0"/>
      </c>
      <c r="J10" s="94" t="str">
        <f t="shared" si="4"/>
        <v>农业银行</v>
      </c>
      <c r="K10" s="94">
        <f t="shared" si="10"/>
        <v>71</v>
      </c>
      <c r="L10" s="96">
        <f t="shared" si="5"/>
      </c>
      <c r="N10" s="2">
        <f>IF(3&gt;$Z$5,0,MOD(SMALL($Z$6:$Z$2005,3),10000))</f>
        <v>71</v>
      </c>
      <c r="O10" s="2">
        <f t="shared" si="11"/>
        <v>1</v>
      </c>
      <c r="Z10" s="2">
        <f>IF(AND(ISNUMBER(资金流水!$B$10),资金流水!$B$10&gt;=$C$4,资金流水!$B$10&lt;=$E$4,OR(资金流水!$C$10=$C$3,AND(资金流水!$AD$10=$C$3,资金流水!$X$10="账户互转"))),INT(资金流水!$B$10)*10000+5,"")</f>
        <v>461450005</v>
      </c>
    </row>
    <row r="11">
      <c r="A11" s="94">
        <f>IF($N11=0,"",4)</f>
        <v>4</v>
      </c>
      <c r="B11" s="95">
        <f t="shared" si="6"/>
        <v>46100.0</v>
      </c>
      <c r="C11" s="96" t="str">
        <f t="shared" si="1"/>
        <v>转九江银行（在【农业银行】记的互转）</v>
      </c>
      <c r="D11" s="21">
        <f t="shared" si="7"/>
        <v>100000</v>
      </c>
      <c r="E11" s="21">
        <f t="shared" si="2"/>
        <v>0</v>
      </c>
      <c r="F11" s="48">
        <f t="shared" si="8"/>
        <v>280000</v>
      </c>
      <c r="G11" s="94">
        <f t="shared" si="9"/>
      </c>
      <c r="H11" s="94" t="str">
        <f t="shared" si="3"/>
        <v>账户互转</v>
      </c>
      <c r="I11" s="96">
        <f t="shared" si="0"/>
      </c>
      <c r="J11" s="94" t="str">
        <f t="shared" si="4"/>
        <v>农业银行</v>
      </c>
      <c r="K11" s="94">
        <f t="shared" si="10"/>
        <v>73</v>
      </c>
      <c r="L11" s="96">
        <f t="shared" si="5"/>
      </c>
      <c r="N11" s="2">
        <f>IF(4&gt;$Z$5,0,MOD(SMALL($Z$6:$Z$2005,4),10000))</f>
        <v>73</v>
      </c>
      <c r="O11" s="2">
        <f t="shared" si="11"/>
        <v>1</v>
      </c>
      <c r="Z11" s="2">
        <f>IF(AND(ISNUMBER(资金流水!$B$11),资金流水!$B$11&gt;=$C$4,资金流水!$B$11&lt;=$E$4,OR(资金流水!$C$11=$C$3,AND(资金流水!$AD$11=$C$3,资金流水!$X$11="账户互转"))),INT(资金流水!$B$11)*10000+6,"")</f>
        <v>461480006</v>
      </c>
    </row>
    <row r="12">
      <c r="A12" s="94">
        <f>IF($N12=0,"",5)</f>
        <v>5</v>
      </c>
      <c r="B12" s="95">
        <f t="shared" si="6"/>
        <v>46143.0</v>
      </c>
      <c r="C12" s="96" t="str">
        <f t="shared" si="1"/>
        <v>代吴群付向勇工资</v>
      </c>
      <c r="D12" s="21">
        <f t="shared" si="7"/>
        <v>0</v>
      </c>
      <c r="E12" s="21">
        <f t="shared" si="2"/>
        <v>15000</v>
      </c>
      <c r="F12" s="48">
        <f t="shared" si="8"/>
        <v>265000</v>
      </c>
      <c r="G12" s="94">
        <f t="shared" si="9"/>
      </c>
      <c r="H12" s="94" t="str">
        <f t="shared" si="3"/>
        <v>付应付款</v>
      </c>
      <c r="I12" s="96" t="str">
        <f t="shared" si="0"/>
        <v>吴群</v>
      </c>
      <c r="J12" s="94">
        <f t="shared" si="4"/>
      </c>
      <c r="K12" s="94">
        <f t="shared" si="10"/>
        <v>1</v>
      </c>
      <c r="L12" s="96">
        <f t="shared" si="5"/>
      </c>
      <c r="N12" s="2">
        <f>IF(5&gt;$Z$5,0,MOD(SMALL($Z$6:$Z$2005,5),10000))</f>
        <v>1</v>
      </c>
      <c r="O12" s="2">
        <f t="shared" si="11"/>
        <v>0</v>
      </c>
      <c r="Z12" s="2">
        <f>IF(AND(ISNUMBER(资金流水!$B$12),资金流水!$B$12&gt;=$C$4,资金流水!$B$12&lt;=$E$4,OR(资金流水!$C$12=$C$3,AND(资金流水!$AD$12=$C$3,资金流水!$X$12="账户互转"))),INT(资金流水!$B$12)*10000+7,"")</f>
        <v>461500007</v>
      </c>
    </row>
    <row r="13">
      <c r="A13" s="94">
        <f>IF($N13=0,"",6)</f>
        <v>6</v>
      </c>
      <c r="B13" s="95">
        <f t="shared" si="6"/>
        <v>46144.0</v>
      </c>
      <c r="C13" s="96" t="str">
        <f t="shared" si="1"/>
        <v>付邓泽贵工资</v>
      </c>
      <c r="D13" s="21">
        <f t="shared" si="7"/>
        <v>0</v>
      </c>
      <c r="E13" s="21">
        <f t="shared" si="2"/>
        <v>3000</v>
      </c>
      <c r="F13" s="48">
        <f t="shared" si="8"/>
        <v>262000</v>
      </c>
      <c r="G13" s="94">
        <f t="shared" si="9"/>
      </c>
      <c r="H13" s="94" t="str">
        <f t="shared" si="3"/>
        <v>工资</v>
      </c>
      <c r="I13" s="96" t="str">
        <f t="shared" si="0"/>
        <v>邓泽贵</v>
      </c>
      <c r="J13" s="94">
        <f t="shared" si="4"/>
      </c>
      <c r="K13" s="94">
        <f t="shared" si="10"/>
        <v>2</v>
      </c>
      <c r="L13" s="96">
        <f t="shared" si="5"/>
      </c>
      <c r="N13" s="2">
        <f>IF(6&gt;$Z$5,0,MOD(SMALL($Z$6:$Z$2005,6),10000))</f>
        <v>2</v>
      </c>
      <c r="O13" s="2">
        <f t="shared" si="11"/>
        <v>0</v>
      </c>
      <c r="Z13" s="2">
        <f>IF(AND(ISNUMBER(资金流水!$B$13),资金流水!$B$13&gt;=$C$4,资金流水!$B$13&lt;=$E$4,OR(资金流水!$C$13=$C$3,AND(资金流水!$AD$13=$C$3,资金流水!$X$13="账户互转"))),INT(资金流水!$B$13)*10000+8,"")</f>
        <v>461500008</v>
      </c>
    </row>
    <row r="14">
      <c r="A14" s="94">
        <f>IF($N14=0,"",7)</f>
        <v>7</v>
      </c>
      <c r="B14" s="95">
        <f t="shared" si="6"/>
        <v>46144.0</v>
      </c>
      <c r="C14" s="96" t="str">
        <f t="shared" si="1"/>
        <v>付吴志刚工资</v>
      </c>
      <c r="D14" s="21">
        <f t="shared" si="7"/>
        <v>0</v>
      </c>
      <c r="E14" s="21">
        <f t="shared" si="2"/>
        <v>3000</v>
      </c>
      <c r="F14" s="48">
        <f t="shared" si="8"/>
        <v>259000</v>
      </c>
      <c r="G14" s="94">
        <f t="shared" si="9"/>
      </c>
      <c r="H14" s="94" t="str">
        <f t="shared" si="3"/>
        <v>工资</v>
      </c>
      <c r="I14" s="96" t="str">
        <f t="shared" si="0"/>
        <v>吴志刚</v>
      </c>
      <c r="J14" s="94">
        <f t="shared" si="4"/>
      </c>
      <c r="K14" s="94">
        <f t="shared" si="10"/>
        <v>3</v>
      </c>
      <c r="L14" s="96">
        <f t="shared" si="5"/>
      </c>
      <c r="N14" s="2">
        <f>IF(7&gt;$Z$5,0,MOD(SMALL($Z$6:$Z$2005,7),10000))</f>
        <v>3</v>
      </c>
      <c r="O14" s="2">
        <f t="shared" si="11"/>
        <v>0</v>
      </c>
      <c r="Z14" s="2">
        <f>IF(AND(ISNUMBER(资金流水!$B$14),资金流水!$B$14&gt;=$C$4,资金流水!$B$14&lt;=$E$4,OR(资金流水!$C$14=$C$3,AND(资金流水!$AD$14=$C$3,资金流水!$X$14="账户互转"))),INT(资金流水!$B$14)*10000+9,"")</f>
        <v>461500009</v>
      </c>
    </row>
    <row r="15">
      <c r="A15" s="94">
        <f>IF($N15=0,"",8)</f>
        <v>8</v>
      </c>
      <c r="B15" s="95">
        <f t="shared" si="6"/>
        <v>46144.0</v>
      </c>
      <c r="C15" s="96" t="str">
        <f t="shared" si="1"/>
        <v>付金南水工资</v>
      </c>
      <c r="D15" s="21">
        <f t="shared" si="7"/>
        <v>0</v>
      </c>
      <c r="E15" s="21">
        <f t="shared" si="2"/>
        <v>3000</v>
      </c>
      <c r="F15" s="48">
        <f t="shared" si="8"/>
        <v>256000</v>
      </c>
      <c r="G15" s="94">
        <f t="shared" si="9"/>
      </c>
      <c r="H15" s="94" t="str">
        <f t="shared" si="3"/>
        <v>工资</v>
      </c>
      <c r="I15" s="96" t="str">
        <f t="shared" si="0"/>
        <v>金南水</v>
      </c>
      <c r="J15" s="94">
        <f t="shared" si="4"/>
      </c>
      <c r="K15" s="94">
        <f t="shared" si="10"/>
        <v>4</v>
      </c>
      <c r="L15" s="96">
        <f t="shared" si="5"/>
      </c>
      <c r="N15" s="2">
        <f>IF(8&gt;$Z$5,0,MOD(SMALL($Z$6:$Z$2005,8),10000))</f>
        <v>4</v>
      </c>
      <c r="O15" s="2">
        <f t="shared" si="11"/>
        <v>0</v>
      </c>
      <c r="Z15" s="2">
        <f>IF(AND(ISNUMBER(资金流水!$B$15),资金流水!$B$15&gt;=$C$4,资金流水!$B$15&lt;=$E$4,OR(资金流水!$C$15=$C$3,AND(资金流水!$AD$15=$C$3,资金流水!$X$15="账户互转"))),INT(资金流水!$B$15)*10000+10,"")</f>
        <v>461550010</v>
      </c>
    </row>
    <row r="16">
      <c r="A16" s="94">
        <f>IF($N16=0,"",9)</f>
        <v>9</v>
      </c>
      <c r="B16" s="95">
        <f t="shared" si="6"/>
        <v>46145.0</v>
      </c>
      <c r="C16" s="96" t="str">
        <f t="shared" si="1"/>
        <v>付张亮亮工资</v>
      </c>
      <c r="D16" s="21">
        <f t="shared" si="7"/>
        <v>0</v>
      </c>
      <c r="E16" s="21">
        <f t="shared" si="2"/>
        <v>4000</v>
      </c>
      <c r="F16" s="48">
        <f t="shared" si="8"/>
        <v>252000</v>
      </c>
      <c r="G16" s="94">
        <f t="shared" si="9"/>
      </c>
      <c r="H16" s="94" t="str">
        <f t="shared" si="3"/>
        <v>工资</v>
      </c>
      <c r="I16" s="96" t="str">
        <f t="shared" si="0"/>
        <v>张亮亮</v>
      </c>
      <c r="J16" s="94">
        <f t="shared" si="4"/>
      </c>
      <c r="K16" s="94">
        <f t="shared" si="10"/>
        <v>5</v>
      </c>
      <c r="L16" s="96">
        <f t="shared" si="5"/>
      </c>
      <c r="N16" s="2">
        <f>IF(9&gt;$Z$5,0,MOD(SMALL($Z$6:$Z$2005,9),10000))</f>
        <v>5</v>
      </c>
      <c r="O16" s="2">
        <f t="shared" si="11"/>
        <v>0</v>
      </c>
      <c r="Z16" s="2">
        <f>IF(AND(ISNUMBER(资金流水!$B$16),资金流水!$B$16&gt;=$C$4,资金流水!$B$16&lt;=$E$4,OR(资金流水!$C$16=$C$3,AND(资金流水!$AD$16=$C$3,资金流水!$X$16="账户互转"))),INT(资金流水!$B$16)*10000+11,"")</f>
        <v>461550011</v>
      </c>
    </row>
    <row r="17">
      <c r="A17" s="94">
        <f>IF($N17=0,"",10)</f>
        <v>10</v>
      </c>
      <c r="B17" s="95">
        <f t="shared" si="6"/>
        <v>46148.0</v>
      </c>
      <c r="C17" s="96" t="str">
        <f t="shared" si="1"/>
        <v>付共安门业材料款</v>
      </c>
      <c r="D17" s="21">
        <f t="shared" si="7"/>
        <v>0</v>
      </c>
      <c r="E17" s="21">
        <f t="shared" si="2"/>
        <v>4940</v>
      </c>
      <c r="F17" s="48">
        <f t="shared" si="8"/>
        <v>247060</v>
      </c>
      <c r="G17" s="94">
        <f t="shared" si="9"/>
      </c>
      <c r="H17" s="94" t="str">
        <f t="shared" si="3"/>
        <v>付应付款</v>
      </c>
      <c r="I17" s="96" t="str">
        <f t="shared" si="0"/>
        <v>共安门业</v>
      </c>
      <c r="J17" s="94">
        <f t="shared" si="4"/>
      </c>
      <c r="K17" s="94">
        <f t="shared" si="10"/>
        <v>6</v>
      </c>
      <c r="L17" s="96">
        <f t="shared" si="5"/>
      </c>
      <c r="N17" s="2">
        <f>IF(10&gt;$Z$5,0,MOD(SMALL($Z$6:$Z$2005,10),10000))</f>
        <v>6</v>
      </c>
      <c r="O17" s="2">
        <f t="shared" si="11"/>
        <v>0</v>
      </c>
      <c r="Z17" s="2">
        <f>IF(AND(ISNUMBER(资金流水!$B$17),资金流水!$B$17&gt;=$C$4,资金流水!$B$17&lt;=$E$4,OR(资金流水!$C$17=$C$3,AND(资金流水!$AD$17=$C$3,资金流水!$X$17="账户互转"))),INT(资金流水!$B$17)*10000+12,"")</f>
        <v>461550012</v>
      </c>
    </row>
    <row r="18">
      <c r="A18" s="94">
        <f>IF($N18=0,"",11)</f>
        <v>11</v>
      </c>
      <c r="B18" s="95">
        <f t="shared" si="6"/>
        <v>46150.0</v>
      </c>
      <c r="C18" s="96" t="str">
        <f t="shared" si="1"/>
        <v>收到股东借款-聂辉</v>
      </c>
      <c r="D18" s="21">
        <f t="shared" si="7"/>
        <v>10000</v>
      </c>
      <c r="E18" s="21">
        <f t="shared" si="2"/>
        <v>0</v>
      </c>
      <c r="F18" s="48">
        <f t="shared" si="8"/>
        <v>257060</v>
      </c>
      <c r="G18" s="94">
        <f t="shared" si="9"/>
      </c>
      <c r="H18" s="94" t="str">
        <f t="shared" si="3"/>
        <v>账户互转</v>
      </c>
      <c r="I18" s="96" t="str">
        <f t="shared" si="0"/>
        <v>聂辉</v>
      </c>
      <c r="J18" s="94" t="str">
        <f t="shared" si="4"/>
        <v>聂辉个人户</v>
      </c>
      <c r="K18" s="94">
        <f t="shared" si="10"/>
        <v>7</v>
      </c>
      <c r="L18" s="96">
        <f t="shared" si="5"/>
      </c>
      <c r="N18" s="2">
        <f>IF(11&gt;$Z$5,0,MOD(SMALL($Z$6:$Z$2005,11),10000))</f>
        <v>7</v>
      </c>
      <c r="O18" s="2">
        <f t="shared" si="11"/>
        <v>0</v>
      </c>
      <c r="Z18" s="2">
        <f>IF(AND(ISNUMBER(资金流水!$B$18),资金流水!$B$18&gt;=$C$4,资金流水!$B$18&lt;=$E$4,OR(资金流水!$C$18=$C$3,AND(资金流水!$AD$18=$C$3,资金流水!$X$18="账户互转"))),INT(资金流水!$B$18)*10000+13,"")</f>
        <v>461550013</v>
      </c>
    </row>
    <row r="19">
      <c r="A19" s="94">
        <f>IF($N19=0,"",12)</f>
        <v>12</v>
      </c>
      <c r="B19" s="95">
        <f t="shared" si="6"/>
        <v>46150.0</v>
      </c>
      <c r="C19" s="96" t="str">
        <f t="shared" si="1"/>
        <v>收到股东借款-聂辉</v>
      </c>
      <c r="D19" s="21">
        <f t="shared" si="7"/>
        <v>2000</v>
      </c>
      <c r="E19" s="21">
        <f t="shared" si="2"/>
        <v>0</v>
      </c>
      <c r="F19" s="48">
        <f t="shared" si="8"/>
        <v>259060</v>
      </c>
      <c r="G19" s="94">
        <f t="shared" si="9"/>
      </c>
      <c r="H19" s="94" t="str">
        <f t="shared" si="3"/>
        <v>账户互转</v>
      </c>
      <c r="I19" s="96" t="str">
        <f t="shared" si="0"/>
        <v>聂辉</v>
      </c>
      <c r="J19" s="94" t="str">
        <f t="shared" si="4"/>
        <v>聂辉个人户</v>
      </c>
      <c r="K19" s="94">
        <f t="shared" si="10"/>
        <v>8</v>
      </c>
      <c r="L19" s="96">
        <f t="shared" si="5"/>
      </c>
      <c r="N19" s="2">
        <f>IF(12&gt;$Z$5,0,MOD(SMALL($Z$6:$Z$2005,12),10000))</f>
        <v>8</v>
      </c>
      <c r="O19" s="2">
        <f t="shared" si="11"/>
        <v>0</v>
      </c>
      <c r="Z19" s="2">
        <f>IF(AND(ISNUMBER(资金流水!$B$19),资金流水!$B$19&gt;=$C$4,资金流水!$B$19&lt;=$E$4,OR(资金流水!$C$19=$C$3,AND(资金流水!$AD$19=$C$3,资金流水!$X$19="账户互转"))),INT(资金流水!$B$19)*10000+14,"")</f>
        <v>461560014</v>
      </c>
    </row>
    <row r="20">
      <c r="A20" s="94">
        <f>IF($N20=0,"",13)</f>
        <v>13</v>
      </c>
      <c r="B20" s="95">
        <f t="shared" si="6"/>
        <v>46150.0</v>
      </c>
      <c r="C20" s="96" t="str">
        <f t="shared" si="1"/>
        <v>支付酒款</v>
      </c>
      <c r="D20" s="21">
        <f t="shared" si="7"/>
        <v>0</v>
      </c>
      <c r="E20" s="21">
        <f t="shared" si="2"/>
        <v>20000</v>
      </c>
      <c r="F20" s="48">
        <f t="shared" si="8"/>
        <v>239060</v>
      </c>
      <c r="G20" s="94">
        <f t="shared" si="9"/>
      </c>
      <c r="H20" s="94" t="str">
        <f t="shared" si="3"/>
        <v>业务招待费</v>
      </c>
      <c r="I20" s="96">
        <f t="shared" si="0"/>
      </c>
      <c r="J20" s="94">
        <f t="shared" si="4"/>
      </c>
      <c r="K20" s="94">
        <f t="shared" si="10"/>
        <v>9</v>
      </c>
      <c r="L20" s="96">
        <f t="shared" si="5"/>
      </c>
      <c r="N20" s="2">
        <f>IF(13&gt;$Z$5,0,MOD(SMALL($Z$6:$Z$2005,13),10000))</f>
        <v>9</v>
      </c>
      <c r="O20" s="2">
        <f t="shared" si="11"/>
        <v>0</v>
      </c>
      <c r="Z20" s="2">
        <f>IF(AND(ISNUMBER(资金流水!$B$20),资金流水!$B$20&gt;=$C$4,资金流水!$B$20&lt;=$E$4,OR(资金流水!$C$20=$C$3,AND(资金流水!$AD$20=$C$3,资金流水!$X$20="账户互转"))),INT(资金流水!$B$20)*10000+15,"")</f>
        <v>461560015</v>
      </c>
    </row>
    <row r="21">
      <c r="A21" s="94">
        <f>IF($N21=0,"",14)</f>
        <v>14</v>
      </c>
      <c r="B21" s="95">
        <f t="shared" si="6"/>
        <v>46155.0</v>
      </c>
      <c r="C21" s="96" t="str">
        <f t="shared" si="1"/>
        <v>收到股东借款-聂辉</v>
      </c>
      <c r="D21" s="21">
        <f t="shared" si="7"/>
        <v>10000</v>
      </c>
      <c r="E21" s="21">
        <f t="shared" si="2"/>
        <v>0</v>
      </c>
      <c r="F21" s="48">
        <f t="shared" si="8"/>
        <v>249060</v>
      </c>
      <c r="G21" s="94">
        <f t="shared" si="9"/>
      </c>
      <c r="H21" s="94" t="str">
        <f t="shared" si="3"/>
        <v>账户互转</v>
      </c>
      <c r="I21" s="96" t="str">
        <f t="shared" si="0"/>
        <v>聂辉</v>
      </c>
      <c r="J21" s="94" t="str">
        <f t="shared" si="4"/>
        <v>聂辉个人户</v>
      </c>
      <c r="K21" s="94">
        <f t="shared" si="10"/>
        <v>10</v>
      </c>
      <c r="L21" s="96">
        <f t="shared" si="5"/>
      </c>
      <c r="N21" s="2">
        <f>IF(14&gt;$Z$5,0,MOD(SMALL($Z$6:$Z$2005,14),10000))</f>
        <v>10</v>
      </c>
      <c r="O21" s="2">
        <f t="shared" si="11"/>
        <v>0</v>
      </c>
      <c r="Z21" s="2">
        <f>IF(AND(ISNUMBER(资金流水!$B$21),资金流水!$B$21&gt;=$C$4,资金流水!$B$21&lt;=$E$4,OR(资金流水!$C$21=$C$3,AND(资金流水!$AD$21=$C$3,资金流水!$X$21="账户互转"))),INT(资金流水!$B$21)*10000+16,"")</f>
        <v>461570016</v>
      </c>
    </row>
    <row r="22">
      <c r="A22" s="94">
        <f>IF($N22=0,"",15)</f>
        <v>15</v>
      </c>
      <c r="B22" s="95">
        <f t="shared" si="6"/>
        <v>46155.0</v>
      </c>
      <c r="C22" s="96" t="str">
        <f t="shared" si="1"/>
        <v>支付异地预缴税</v>
      </c>
      <c r="D22" s="21">
        <f t="shared" si="7"/>
        <v>0</v>
      </c>
      <c r="E22" s="21">
        <f t="shared" si="2"/>
        <v>6467.49</v>
      </c>
      <c r="F22" s="48">
        <f t="shared" si="8"/>
        <v>242592.51</v>
      </c>
      <c r="G22" s="94">
        <f t="shared" si="9"/>
      </c>
      <c r="H22" s="94" t="str">
        <f t="shared" si="3"/>
        <v>缴增值税及附加</v>
      </c>
      <c r="I22" s="96">
        <f t="shared" si="0"/>
      </c>
      <c r="J22" s="94">
        <f t="shared" si="4"/>
      </c>
      <c r="K22" s="94">
        <f t="shared" si="10"/>
        <v>11</v>
      </c>
      <c r="L22" s="96">
        <f t="shared" si="5"/>
      </c>
      <c r="N22" s="2">
        <f>IF(15&gt;$Z$5,0,MOD(SMALL($Z$6:$Z$2005,15),10000))</f>
        <v>11</v>
      </c>
      <c r="O22" s="2">
        <f t="shared" si="11"/>
        <v>0</v>
      </c>
      <c r="Z22" s="2">
        <f>IF(AND(ISNUMBER(资金流水!$B$22),资金流水!$B$22&gt;=$C$4,资金流水!$B$22&lt;=$E$4,OR(资金流水!$C$22=$C$3,AND(资金流水!$AD$22=$C$3,资金流水!$X$22="账户互转"))),INT(资金流水!$B$22)*10000+17,"")</f>
        <v>461580017</v>
      </c>
    </row>
    <row r="23">
      <c r="A23" s="94">
        <f>IF($N23=0,"",16)</f>
        <v>16</v>
      </c>
      <c r="B23" s="95">
        <f t="shared" si="6"/>
        <v>46155.0</v>
      </c>
      <c r="C23" s="96" t="str">
        <f t="shared" si="1"/>
        <v>支付异地预缴税</v>
      </c>
      <c r="D23" s="21">
        <f t="shared" si="7"/>
        <v>0</v>
      </c>
      <c r="E23" s="21">
        <f t="shared" si="2"/>
        <v>410.63</v>
      </c>
      <c r="F23" s="48">
        <f t="shared" si="8"/>
        <v>242181.88</v>
      </c>
      <c r="G23" s="94">
        <f t="shared" si="9"/>
      </c>
      <c r="H23" s="94" t="str">
        <f t="shared" si="3"/>
        <v>缴增值税及附加</v>
      </c>
      <c r="I23" s="96">
        <f t="shared" si="0"/>
      </c>
      <c r="J23" s="94">
        <f t="shared" si="4"/>
      </c>
      <c r="K23" s="94">
        <f t="shared" si="10"/>
        <v>12</v>
      </c>
      <c r="L23" s="96">
        <f t="shared" si="5"/>
      </c>
      <c r="N23" s="2">
        <f>IF(16&gt;$Z$5,0,MOD(SMALL($Z$6:$Z$2005,16),10000))</f>
        <v>12</v>
      </c>
      <c r="O23" s="2">
        <f t="shared" si="11"/>
        <v>0</v>
      </c>
      <c r="Z23" s="2">
        <f>IF(AND(ISNUMBER(资金流水!$B$23),资金流水!$B$23&gt;=$C$4,资金流水!$B$23&lt;=$E$4,OR(资金流水!$C$23=$C$3,AND(资金流水!$AD$23=$C$3,资金流水!$X$23="账户互转"))),INT(资金流水!$B$23)*10000+18,"")</f>
        <v>461610018</v>
      </c>
    </row>
    <row r="24">
      <c r="A24" s="94">
        <f>IF($N24=0,"",17)</f>
        <v>17</v>
      </c>
      <c r="B24" s="95">
        <f t="shared" si="6"/>
        <v>46155.0</v>
      </c>
      <c r="C24" s="96" t="str">
        <f t="shared" si="1"/>
        <v>代扣个税</v>
      </c>
      <c r="D24" s="21">
        <f t="shared" si="7"/>
        <v>0</v>
      </c>
      <c r="E24" s="21">
        <f t="shared" si="2"/>
        <v>1245.06</v>
      </c>
      <c r="F24" s="48">
        <f t="shared" si="8"/>
        <v>240936.82</v>
      </c>
      <c r="G24" s="94">
        <f t="shared" si="9"/>
      </c>
      <c r="H24" s="94" t="str">
        <f t="shared" si="3"/>
        <v>代缴个税</v>
      </c>
      <c r="I24" s="96">
        <f t="shared" si="0"/>
      </c>
      <c r="J24" s="94">
        <f t="shared" si="4"/>
      </c>
      <c r="K24" s="94">
        <f t="shared" si="10"/>
        <v>13</v>
      </c>
      <c r="L24" s="96">
        <f t="shared" si="5"/>
      </c>
      <c r="N24" s="2">
        <f>IF(17&gt;$Z$5,0,MOD(SMALL($Z$6:$Z$2005,17),10000))</f>
        <v>13</v>
      </c>
      <c r="O24" s="2">
        <f t="shared" si="11"/>
        <v>0</v>
      </c>
      <c r="Z24" s="2">
        <f>IF(AND(ISNUMBER(资金流水!$B$24),资金流水!$B$24&gt;=$C$4,资金流水!$B$24&lt;=$E$4,OR(资金流水!$C$24=$C$3,AND(资金流水!$AD$24=$C$3,资金流水!$X$24="账户互转"))),INT(资金流水!$B$24)*10000+19,"")</f>
        <v>461610019</v>
      </c>
    </row>
    <row r="25">
      <c r="A25" s="94">
        <f>IF($N25=0,"",18)</f>
        <v>18</v>
      </c>
      <c r="B25" s="95">
        <f t="shared" si="6"/>
        <v>46156.0</v>
      </c>
      <c r="C25" s="96" t="str">
        <f t="shared" si="1"/>
        <v>收到股东借款-聂辉</v>
      </c>
      <c r="D25" s="21">
        <f t="shared" si="7"/>
        <v>40000</v>
      </c>
      <c r="E25" s="21">
        <f t="shared" si="2"/>
        <v>0</v>
      </c>
      <c r="F25" s="48">
        <f t="shared" si="8"/>
        <v>280936.82</v>
      </c>
      <c r="G25" s="94">
        <f t="shared" si="9"/>
      </c>
      <c r="H25" s="94" t="str">
        <f t="shared" si="3"/>
        <v>账户互转</v>
      </c>
      <c r="I25" s="96" t="str">
        <f t="shared" si="0"/>
        <v>聂辉</v>
      </c>
      <c r="J25" s="94" t="str">
        <f t="shared" si="4"/>
        <v>聂辉个人户</v>
      </c>
      <c r="K25" s="94">
        <f t="shared" si="10"/>
        <v>14</v>
      </c>
      <c r="L25" s="96">
        <f t="shared" si="5"/>
      </c>
      <c r="N25" s="2">
        <f>IF(18&gt;$Z$5,0,MOD(SMALL($Z$6:$Z$2005,18),10000))</f>
        <v>14</v>
      </c>
      <c r="O25" s="2">
        <f t="shared" si="11"/>
        <v>0</v>
      </c>
      <c r="Z25" s="2">
        <f>IF(AND(ISNUMBER(资金流水!$B$25),资金流水!$B$25&gt;=$C$4,资金流水!$B$25&lt;=$E$4,OR(资金流水!$C$25=$C$3,AND(资金流水!$AD$25=$C$3,资金流水!$X$25="账户互转"))),INT(资金流水!$B$25)*10000+20,"")</f>
        <v>461630020</v>
      </c>
    </row>
    <row r="26">
      <c r="A26" s="94">
        <f>IF($N26=0,"",19)</f>
        <v>19</v>
      </c>
      <c r="B26" s="95">
        <f t="shared" si="6"/>
        <v>46156.0</v>
      </c>
      <c r="C26" s="96" t="str">
        <f t="shared" si="1"/>
        <v>付佩力通风材料款（德养）</v>
      </c>
      <c r="D26" s="21">
        <f t="shared" si="7"/>
        <v>0</v>
      </c>
      <c r="E26" s="21">
        <f t="shared" si="2"/>
        <v>7397</v>
      </c>
      <c r="F26" s="48">
        <f t="shared" si="8"/>
        <v>273539.82</v>
      </c>
      <c r="G26" s="94" t="str">
        <f t="shared" si="9"/>
        <v>德安养老中心</v>
      </c>
      <c r="H26" s="94" t="str">
        <f t="shared" si="3"/>
        <v>付应付款</v>
      </c>
      <c r="I26" s="96" t="str">
        <f t="shared" si="0"/>
        <v>佩力通风</v>
      </c>
      <c r="J26" s="94">
        <f t="shared" si="4"/>
      </c>
      <c r="K26" s="94">
        <f t="shared" si="10"/>
        <v>15</v>
      </c>
      <c r="L26" s="96">
        <f t="shared" si="5"/>
      </c>
      <c r="N26" s="2">
        <f>IF(19&gt;$Z$5,0,MOD(SMALL($Z$6:$Z$2005,19),10000))</f>
        <v>15</v>
      </c>
      <c r="O26" s="2">
        <f t="shared" si="11"/>
        <v>0</v>
      </c>
      <c r="Z26" s="2">
        <f>IF(AND(ISNUMBER(资金流水!$B$26),资金流水!$B$26&gt;=$C$4,资金流水!$B$26&lt;=$E$4,OR(资金流水!$C$26=$C$3,AND(资金流水!$AD$26=$C$3,资金流水!$X$26="账户互转"))),INT(资金流水!$B$26)*10000+21,"")</f>
        <v>461640021</v>
      </c>
    </row>
    <row r="27">
      <c r="A27" s="94">
        <f>IF($N27=0,"",20)</f>
        <v>20</v>
      </c>
      <c r="B27" s="95">
        <f t="shared" si="6"/>
        <v>46157.0</v>
      </c>
      <c r="C27" s="96" t="str">
        <f t="shared" si="1"/>
        <v>代老叶付佩力通风材料款（德养）</v>
      </c>
      <c r="D27" s="21">
        <f t="shared" si="7"/>
        <v>0</v>
      </c>
      <c r="E27" s="21">
        <f t="shared" si="2"/>
        <v>10000</v>
      </c>
      <c r="F27" s="48">
        <f t="shared" si="8"/>
        <v>263539.82</v>
      </c>
      <c r="G27" s="94" t="str">
        <f t="shared" si="9"/>
        <v>德安养老中心</v>
      </c>
      <c r="H27" s="94" t="str">
        <f t="shared" si="3"/>
        <v>付应付款</v>
      </c>
      <c r="I27" s="96" t="str">
        <f t="shared" si="0"/>
        <v>恩旗老叶</v>
      </c>
      <c r="J27" s="94">
        <f t="shared" si="4"/>
      </c>
      <c r="K27" s="94">
        <f t="shared" si="10"/>
        <v>16</v>
      </c>
      <c r="L27" s="96">
        <f t="shared" si="5"/>
      </c>
      <c r="N27" s="2">
        <f>IF(20&gt;$Z$5,0,MOD(SMALL($Z$6:$Z$2005,20),10000))</f>
        <v>16</v>
      </c>
      <c r="O27" s="2">
        <f t="shared" si="11"/>
        <v>0</v>
      </c>
      <c r="Z27" s="2">
        <f>IF(AND(ISNUMBER(资金流水!$B$27),资金流水!$B$27&gt;=$C$4,资金流水!$B$27&lt;=$E$4,OR(资金流水!$C$27=$C$3,AND(资金流水!$AD$27=$C$3,资金流水!$X$27="账户互转"))),INT(资金流水!$B$27)*10000+22,"")</f>
        <v>461650022</v>
      </c>
    </row>
    <row r="28">
      <c r="A28" s="94">
        <f>IF($N28=0,"",21)</f>
        <v>21</v>
      </c>
      <c r="B28" s="95">
        <f t="shared" si="6"/>
        <v>46158.0</v>
      </c>
      <c r="C28" s="96" t="str">
        <f t="shared" si="1"/>
        <v>付沐丰水箱款(邹桥派出所）</v>
      </c>
      <c r="D28" s="21">
        <f t="shared" si="7"/>
        <v>0</v>
      </c>
      <c r="E28" s="21">
        <f t="shared" si="2"/>
        <v>22000</v>
      </c>
      <c r="F28" s="48">
        <f t="shared" si="8"/>
        <v>241539.82</v>
      </c>
      <c r="G28" s="94" t="str">
        <f t="shared" si="9"/>
        <v>邹桥派出所</v>
      </c>
      <c r="H28" s="94" t="str">
        <f t="shared" si="3"/>
        <v>付应付款</v>
      </c>
      <c r="I28" s="96" t="str">
        <f t="shared" si="0"/>
        <v>江西沐丰水箱</v>
      </c>
      <c r="J28" s="94">
        <f t="shared" si="4"/>
      </c>
      <c r="K28" s="94">
        <f t="shared" si="10"/>
        <v>17</v>
      </c>
      <c r="L28" s="96">
        <f t="shared" si="5"/>
      </c>
      <c r="N28" s="2">
        <f>IF(21&gt;$Z$5,0,MOD(SMALL($Z$6:$Z$2005,21),10000))</f>
        <v>17</v>
      </c>
      <c r="O28" s="2">
        <f t="shared" si="11"/>
        <v>0</v>
      </c>
      <c r="Z28" s="2">
        <f>IF(AND(ISNUMBER(资金流水!$B$28),资金流水!$B$28&gt;=$C$4,资金流水!$B$28&lt;=$E$4,OR(资金流水!$C$28=$C$3,AND(资金流水!$AD$28=$C$3,资金流水!$X$28="账户互转"))),INT(资金流水!$B$28)*10000+23,"")</f>
        <v>461650023</v>
      </c>
    </row>
    <row r="29">
      <c r="A29" s="94">
        <f>IF($N29=0,"",22)</f>
        <v>22</v>
      </c>
      <c r="B29" s="95">
        <f t="shared" si="6"/>
        <v>46161.0</v>
      </c>
      <c r="C29" s="96" t="str">
        <f t="shared" si="1"/>
        <v>收到股东借款-聂辉</v>
      </c>
      <c r="D29" s="21">
        <f t="shared" si="7"/>
        <v>90000</v>
      </c>
      <c r="E29" s="21">
        <f t="shared" si="2"/>
        <v>0</v>
      </c>
      <c r="F29" s="48">
        <f t="shared" si="8"/>
        <v>331539.82</v>
      </c>
      <c r="G29" s="94">
        <f t="shared" si="9"/>
      </c>
      <c r="H29" s="94" t="str">
        <f t="shared" si="3"/>
        <v>账户互转</v>
      </c>
      <c r="I29" s="96" t="str">
        <f t="shared" si="0"/>
        <v>聂辉</v>
      </c>
      <c r="J29" s="94" t="str">
        <f t="shared" si="4"/>
        <v>聂辉个人户</v>
      </c>
      <c r="K29" s="94">
        <f t="shared" si="10"/>
        <v>18</v>
      </c>
      <c r="L29" s="96">
        <f t="shared" si="5"/>
      </c>
      <c r="N29" s="2">
        <f>IF(22&gt;$Z$5,0,MOD(SMALL($Z$6:$Z$2005,22),10000))</f>
        <v>18</v>
      </c>
      <c r="O29" s="2">
        <f t="shared" si="11"/>
        <v>0</v>
      </c>
      <c r="Z29" s="2">
        <f>IF(AND(ISNUMBER(资金流水!$B$29),资金流水!$B$29&gt;=$C$4,资金流水!$B$29&lt;=$E$4,OR(资金流水!$C$29=$C$3,AND(资金流水!$AD$29=$C$3,资金流水!$X$29="账户互转"))),INT(资金流水!$B$29)*10000+24,"")</f>
        <v>461670024</v>
      </c>
    </row>
    <row r="30">
      <c r="A30" s="94">
        <f>IF($N30=0,"",23)</f>
        <v>23</v>
      </c>
      <c r="B30" s="95">
        <f t="shared" si="6"/>
        <v>46161.0</v>
      </c>
      <c r="C30" s="96" t="str">
        <f t="shared" si="1"/>
        <v>支付食品厂投标保证金</v>
      </c>
      <c r="D30" s="21">
        <f t="shared" si="7"/>
        <v>0</v>
      </c>
      <c r="E30" s="21">
        <f t="shared" si="2"/>
        <v>90000</v>
      </c>
      <c r="F30" s="48">
        <f t="shared" si="8"/>
        <v>241539.82</v>
      </c>
      <c r="G30" s="94">
        <f t="shared" si="9"/>
      </c>
      <c r="H30" s="94" t="str">
        <f t="shared" si="3"/>
        <v>保证金押金</v>
      </c>
      <c r="I30" s="96">
        <f t="shared" si="0"/>
      </c>
      <c r="J30" s="94">
        <f t="shared" si="4"/>
      </c>
      <c r="K30" s="94">
        <f t="shared" si="10"/>
        <v>19</v>
      </c>
      <c r="L30" s="96">
        <f t="shared" si="5"/>
      </c>
      <c r="N30" s="2">
        <f>IF(23&gt;$Z$5,0,MOD(SMALL($Z$6:$Z$2005,23),10000))</f>
        <v>19</v>
      </c>
      <c r="O30" s="2">
        <f t="shared" si="11"/>
        <v>0</v>
      </c>
      <c r="Z30" s="2">
        <f>IF(AND(ISNUMBER(资金流水!$B$30),资金流水!$B$30&gt;=$C$4,资金流水!$B$30&lt;=$E$4,OR(资金流水!$C$30=$C$3,AND(资金流水!$AD$30=$C$3,资金流水!$X$30="账户互转"))),INT(资金流水!$B$30)*10000+25,"")</f>
        <v>461670025</v>
      </c>
    </row>
    <row r="31">
      <c r="A31" s="94">
        <f>IF($N31=0,"",24)</f>
        <v>24</v>
      </c>
      <c r="B31" s="95">
        <f t="shared" si="6"/>
        <v>46163.0</v>
      </c>
      <c r="C31" s="96" t="str">
        <f t="shared" si="1"/>
        <v>收江西赣粤高速公路工程款</v>
      </c>
      <c r="D31" s="21">
        <f t="shared" si="7"/>
        <v>14502.87</v>
      </c>
      <c r="E31" s="21">
        <f t="shared" si="2"/>
        <v>0</v>
      </c>
      <c r="F31" s="48">
        <f t="shared" si="8"/>
        <v>256042.69</v>
      </c>
      <c r="G31" s="94" t="str">
        <f t="shared" si="9"/>
        <v>赣粤高速</v>
      </c>
      <c r="H31" s="94" t="str">
        <f t="shared" si="3"/>
        <v>工程款</v>
      </c>
      <c r="I31" s="96" t="str">
        <f t="shared" si="0"/>
        <v>江西赣粤高速</v>
      </c>
      <c r="J31" s="94">
        <f t="shared" si="4"/>
      </c>
      <c r="K31" s="94">
        <f t="shared" si="10"/>
        <v>20</v>
      </c>
      <c r="L31" s="96">
        <f t="shared" si="5"/>
      </c>
      <c r="N31" s="2">
        <f>IF(24&gt;$Z$5,0,MOD(SMALL($Z$6:$Z$2005,24),10000))</f>
        <v>20</v>
      </c>
      <c r="O31" s="2">
        <f t="shared" si="11"/>
        <v>0</v>
      </c>
      <c r="Z31" s="2">
        <f>IF(AND(ISNUMBER(资金流水!$B$31),资金流水!$B$31&gt;=$C$4,资金流水!$B$31&lt;=$E$4,OR(资金流水!$C$31=$C$3,AND(资金流水!$AD$31=$C$3,资金流水!$X$31="账户互转"))),INT(资金流水!$B$31)*10000+26,"")</f>
        <v>461700026</v>
      </c>
    </row>
    <row r="32">
      <c r="A32" s="94">
        <f>IF($N32=0,"",25)</f>
        <v>25</v>
      </c>
      <c r="B32" s="95">
        <f t="shared" si="6"/>
        <v>46164.0</v>
      </c>
      <c r="C32" s="96" t="str">
        <f t="shared" si="1"/>
        <v>食品厂投标保证金退回</v>
      </c>
      <c r="D32" s="21">
        <f t="shared" si="7"/>
        <v>90000</v>
      </c>
      <c r="E32" s="21">
        <f t="shared" si="2"/>
        <v>0</v>
      </c>
      <c r="F32" s="48">
        <f t="shared" si="8"/>
        <v>346042.69</v>
      </c>
      <c r="G32" s="94">
        <f t="shared" si="9"/>
      </c>
      <c r="H32" s="94" t="str">
        <f t="shared" si="3"/>
        <v>保证金押金</v>
      </c>
      <c r="I32" s="96">
        <f t="shared" si="0"/>
      </c>
      <c r="J32" s="94">
        <f t="shared" si="4"/>
      </c>
      <c r="K32" s="94">
        <f t="shared" si="10"/>
        <v>21</v>
      </c>
      <c r="L32" s="96">
        <f t="shared" si="5"/>
      </c>
      <c r="N32" s="2">
        <f>IF(25&gt;$Z$5,0,MOD(SMALL($Z$6:$Z$2005,25),10000))</f>
        <v>21</v>
      </c>
      <c r="O32" s="2">
        <f t="shared" si="11"/>
        <v>0</v>
      </c>
      <c r="Z32" s="2">
        <f>IF(AND(ISNUMBER(资金流水!$B$32),资金流水!$B$32&gt;=$C$4,资金流水!$B$32&lt;=$E$4,OR(资金流水!$C$32=$C$3,AND(资金流水!$AD$32=$C$3,资金流水!$X$32="账户互转"))),INT(资金流水!$B$32)*10000+27,"")</f>
      </c>
    </row>
    <row r="33">
      <c r="A33" s="94">
        <f>IF($N33=0,"",26)</f>
        <v>26</v>
      </c>
      <c r="B33" s="95">
        <f t="shared" si="6"/>
        <v>46165.0</v>
      </c>
      <c r="C33" s="96" t="str">
        <f t="shared" si="1"/>
        <v>归还股东个人借款-聂辉</v>
      </c>
      <c r="D33" s="21">
        <f t="shared" si="7"/>
        <v>0</v>
      </c>
      <c r="E33" s="21">
        <f t="shared" si="2"/>
        <v>10000</v>
      </c>
      <c r="F33" s="48">
        <f t="shared" si="8"/>
        <v>336042.69</v>
      </c>
      <c r="G33" s="94">
        <f t="shared" si="9"/>
      </c>
      <c r="H33" s="94" t="str">
        <f t="shared" si="3"/>
        <v>账户互转</v>
      </c>
      <c r="I33" s="96" t="str">
        <f t="shared" si="0"/>
        <v>聂辉</v>
      </c>
      <c r="J33" s="94" t="str">
        <f t="shared" si="4"/>
        <v>聂辉个人户</v>
      </c>
      <c r="K33" s="94">
        <f t="shared" si="10"/>
        <v>22</v>
      </c>
      <c r="L33" s="96">
        <f t="shared" si="5"/>
      </c>
      <c r="N33" s="2">
        <f>IF(26&gt;$Z$5,0,MOD(SMALL($Z$6:$Z$2005,26),10000))</f>
        <v>22</v>
      </c>
      <c r="O33" s="2">
        <f t="shared" si="11"/>
        <v>0</v>
      </c>
      <c r="Z33" s="2">
        <f>IF(AND(ISNUMBER(资金流水!$B$33),资金流水!$B$33&gt;=$C$4,资金流水!$B$33&lt;=$E$4,OR(资金流水!$C$33=$C$3,AND(资金流水!$AD$33=$C$3,资金流水!$X$33="账户互转"))),INT(资金流水!$B$33)*10000+28,"")</f>
      </c>
    </row>
    <row r="34">
      <c r="A34" s="94">
        <f>IF($N34=0,"",27)</f>
        <v>27</v>
      </c>
      <c r="B34" s="95">
        <f t="shared" si="6"/>
        <v>46165.0</v>
      </c>
      <c r="C34" s="96" t="str">
        <f t="shared" si="1"/>
        <v>归还股东个人借款-聂辉</v>
      </c>
      <c r="D34" s="21">
        <f t="shared" si="7"/>
        <v>0</v>
      </c>
      <c r="E34" s="21">
        <f t="shared" si="2"/>
        <v>80000</v>
      </c>
      <c r="F34" s="48">
        <f t="shared" si="8"/>
        <v>256042.69</v>
      </c>
      <c r="G34" s="94">
        <f t="shared" si="9"/>
      </c>
      <c r="H34" s="94" t="str">
        <f t="shared" si="3"/>
        <v>账户互转</v>
      </c>
      <c r="I34" s="96" t="str">
        <f t="shared" si="0"/>
        <v>聂辉</v>
      </c>
      <c r="J34" s="94" t="str">
        <f t="shared" si="4"/>
        <v>聂辉个人户</v>
      </c>
      <c r="K34" s="94">
        <f t="shared" si="10"/>
        <v>23</v>
      </c>
      <c r="L34" s="96">
        <f t="shared" si="5"/>
      </c>
      <c r="N34" s="2">
        <f>IF(27&gt;$Z$5,0,MOD(SMALL($Z$6:$Z$2005,27),10000))</f>
        <v>23</v>
      </c>
      <c r="O34" s="2">
        <f t="shared" si="11"/>
        <v>0</v>
      </c>
      <c r="Z34" s="2">
        <f>IF(AND(ISNUMBER(资金流水!$B$34),资金流水!$B$34&gt;=$C$4,资金流水!$B$34&lt;=$E$4,OR(资金流水!$C$34=$C$3,AND(资金流水!$AD$34=$C$3,资金流水!$X$34="账户互转"))),INT(资金流水!$B$34)*10000+29,"")</f>
      </c>
    </row>
    <row r="35">
      <c r="A35" s="94">
        <f>IF($N35=0,"",28)</f>
        <v>28</v>
      </c>
      <c r="B35" s="95">
        <f t="shared" si="6"/>
        <v>46167.0</v>
      </c>
      <c r="C35" s="96" t="str">
        <f t="shared" si="1"/>
        <v>支付社保费</v>
      </c>
      <c r="D35" s="21">
        <f t="shared" si="7"/>
        <v>0</v>
      </c>
      <c r="E35" s="21">
        <f t="shared" si="2"/>
        <v>30.54</v>
      </c>
      <c r="F35" s="48">
        <f t="shared" si="8"/>
        <v>256012.15</v>
      </c>
      <c r="G35" s="94">
        <f t="shared" si="9"/>
      </c>
      <c r="H35" s="94" t="str">
        <f t="shared" si="3"/>
        <v>社保费</v>
      </c>
      <c r="I35" s="96">
        <f t="shared" si="0"/>
      </c>
      <c r="J35" s="94">
        <f t="shared" si="4"/>
      </c>
      <c r="K35" s="94">
        <f t="shared" si="10"/>
        <v>24</v>
      </c>
      <c r="L35" s="96">
        <f t="shared" si="5"/>
      </c>
      <c r="N35" s="2">
        <f>IF(28&gt;$Z$5,0,MOD(SMALL($Z$6:$Z$2005,28),10000))</f>
        <v>24</v>
      </c>
      <c r="O35" s="2">
        <f t="shared" si="11"/>
        <v>0</v>
      </c>
      <c r="Z35" s="2">
        <f>IF(AND(ISNUMBER(资金流水!$B$35),资金流水!$B$35&gt;=$C$4,资金流水!$B$35&lt;=$E$4,OR(资金流水!$C$35=$C$3,AND(资金流水!$AD$35=$C$3,资金流水!$X$35="账户互转"))),INT(资金流水!$B$35)*10000+30,"")</f>
      </c>
    </row>
    <row r="36">
      <c r="A36" s="94">
        <f>IF($N36=0,"",29)</f>
        <v>29</v>
      </c>
      <c r="B36" s="95">
        <f t="shared" si="6"/>
        <v>46167.0</v>
      </c>
      <c r="C36" s="96" t="str">
        <f t="shared" si="1"/>
        <v>支付社保费</v>
      </c>
      <c r="D36" s="21">
        <f t="shared" si="7"/>
        <v>0</v>
      </c>
      <c r="E36" s="21">
        <f t="shared" si="2"/>
        <v>2008.42</v>
      </c>
      <c r="F36" s="48">
        <f t="shared" si="8"/>
        <v>254003.73</v>
      </c>
      <c r="G36" s="94">
        <f t="shared" si="9"/>
      </c>
      <c r="H36" s="94" t="str">
        <f t="shared" si="3"/>
        <v>社保费</v>
      </c>
      <c r="I36" s="96">
        <f t="shared" si="0"/>
      </c>
      <c r="J36" s="94">
        <f t="shared" si="4"/>
      </c>
      <c r="K36" s="94">
        <f t="shared" si="10"/>
        <v>25</v>
      </c>
      <c r="L36" s="96">
        <f t="shared" si="5"/>
      </c>
      <c r="N36" s="2">
        <f>IF(29&gt;$Z$5,0,MOD(SMALL($Z$6:$Z$2005,29),10000))</f>
        <v>25</v>
      </c>
      <c r="O36" s="2">
        <f t="shared" si="11"/>
        <v>0</v>
      </c>
      <c r="Z36" s="2">
        <f>IF(AND(ISNUMBER(资金流水!$B$36),资金流水!$B$36&gt;=$C$4,资金流水!$B$36&lt;=$E$4,OR(资金流水!$C$36=$C$3,AND(资金流水!$AD$36=$C$3,资金流水!$X$36="账户互转"))),INT(资金流水!$B$36)*10000+31,"")</f>
      </c>
    </row>
    <row r="37">
      <c r="A37" s="94">
        <f>IF($N37=0,"",30)</f>
        <v>30</v>
      </c>
      <c r="B37" s="95">
        <f t="shared" si="6"/>
        <v>46170.0</v>
      </c>
      <c r="C37" s="96" t="str">
        <f t="shared" si="1"/>
        <v>付代账公司费用</v>
      </c>
      <c r="D37" s="21">
        <f t="shared" si="7"/>
        <v>0</v>
      </c>
      <c r="E37" s="21">
        <f t="shared" si="2"/>
        <v>1000</v>
      </c>
      <c r="F37" s="48">
        <f t="shared" si="8"/>
        <v>253003.73</v>
      </c>
      <c r="G37" s="94">
        <f t="shared" si="9"/>
      </c>
      <c r="H37" s="94" t="str">
        <f t="shared" si="3"/>
        <v>办公费</v>
      </c>
      <c r="I37" s="96">
        <f t="shared" si="0"/>
      </c>
      <c r="J37" s="94">
        <f t="shared" si="4"/>
      </c>
      <c r="K37" s="94">
        <f t="shared" si="10"/>
        <v>26</v>
      </c>
      <c r="L37" s="96">
        <f t="shared" si="5"/>
      </c>
      <c r="N37" s="2">
        <f>IF(30&gt;$Z$5,0,MOD(SMALL($Z$6:$Z$2005,30),10000))</f>
        <v>26</v>
      </c>
      <c r="O37" s="2">
        <f t="shared" si="11"/>
        <v>0</v>
      </c>
      <c r="Z37" s="2">
        <f>IF(AND(ISNUMBER(资金流水!$B$37),资金流水!$B$37&gt;=$C$4,资金流水!$B$37&lt;=$E$4,OR(资金流水!$C$37=$C$3,AND(资金流水!$AD$37=$C$3,资金流水!$X$37="账户互转"))),INT(资金流水!$B$37)*10000+32,"")</f>
      </c>
    </row>
    <row r="38">
      <c r="A38" s="94">
        <f>IF($N38=0,"",31)</f>
        <v>31</v>
      </c>
      <c r="B38" s="95">
        <f t="shared" si="6"/>
        <v>46177.0</v>
      </c>
      <c r="C38" s="96" t="str">
        <f t="shared" si="1"/>
        <v>闵清林工资</v>
      </c>
      <c r="D38" s="21">
        <f t="shared" si="7"/>
        <v>0</v>
      </c>
      <c r="E38" s="21">
        <f t="shared" si="2"/>
        <v>2000</v>
      </c>
      <c r="F38" s="48">
        <f t="shared" si="8"/>
        <v>251003.73</v>
      </c>
      <c r="G38" s="94">
        <f t="shared" si="9"/>
      </c>
      <c r="H38" s="94" t="str">
        <f t="shared" si="3"/>
        <v>工资</v>
      </c>
      <c r="I38" s="96" t="str">
        <f t="shared" si="0"/>
        <v>闵清林</v>
      </c>
      <c r="J38" s="94">
        <f t="shared" si="4"/>
      </c>
      <c r="K38" s="94">
        <f t="shared" si="10"/>
        <v>84</v>
      </c>
      <c r="L38" s="96">
        <f t="shared" si="5"/>
      </c>
      <c r="N38" s="2">
        <f>IF(31&gt;$Z$5,0,MOD(SMALL($Z$6:$Z$2005,31),10000))</f>
        <v>84</v>
      </c>
      <c r="O38" s="2">
        <f t="shared" si="11"/>
        <v>0</v>
      </c>
      <c r="Z38" s="2">
        <f>IF(AND(ISNUMBER(资金流水!$B$38),资金流水!$B$38&gt;=$C$4,资金流水!$B$38&lt;=$E$4,OR(资金流水!$C$38=$C$3,AND(资金流水!$AD$38=$C$3,资金流水!$X$38="账户互转"))),INT(资金流水!$B$38)*10000+33,"")</f>
      </c>
    </row>
    <row r="39">
      <c r="A39" s="94">
        <f>IF($N39=0,"",32)</f>
        <v>32</v>
      </c>
      <c r="B39" s="95">
        <f t="shared" si="6"/>
        <v>46177.0</v>
      </c>
      <c r="C39" s="96" t="str">
        <f t="shared" si="1"/>
        <v>梅秀刚工资</v>
      </c>
      <c r="D39" s="21">
        <f t="shared" si="7"/>
        <v>0</v>
      </c>
      <c r="E39" s="21">
        <f t="shared" si="2"/>
        <v>2000</v>
      </c>
      <c r="F39" s="48">
        <f t="shared" si="8"/>
        <v>249003.73</v>
      </c>
      <c r="G39" s="94">
        <f t="shared" si="9"/>
      </c>
      <c r="H39" s="94" t="str">
        <f t="shared" si="3"/>
        <v>工资</v>
      </c>
      <c r="I39" s="96" t="str">
        <f t="shared" si="0"/>
        <v>梅秀刚</v>
      </c>
      <c r="J39" s="94">
        <f t="shared" si="4"/>
      </c>
      <c r="K39" s="94">
        <f t="shared" si="10"/>
        <v>85</v>
      </c>
      <c r="L39" s="96">
        <f t="shared" si="5"/>
      </c>
      <c r="N39" s="2">
        <f>IF(32&gt;$Z$5,0,MOD(SMALL($Z$6:$Z$2005,32),10000))</f>
        <v>85</v>
      </c>
      <c r="O39" s="2">
        <f t="shared" si="11"/>
        <v>0</v>
      </c>
      <c r="Z39" s="2">
        <f>IF(AND(ISNUMBER(资金流水!$B$39),资金流水!$B$39&gt;=$C$4,资金流水!$B$39&lt;=$E$4,OR(资金流水!$C$39=$C$3,AND(资金流水!$AD$39=$C$3,资金流水!$X$39="账户互转"))),INT(资金流水!$B$39)*10000+34,"")</f>
      </c>
    </row>
    <row r="40">
      <c r="A40" s="94">
        <f>IF($N40=0,"",33)</f>
        <v>33</v>
      </c>
      <c r="B40" s="95">
        <f t="shared" si="6"/>
        <v>46178.0</v>
      </c>
      <c r="C40" s="96" t="str">
        <f t="shared" si="1"/>
        <v>汽车空调压缩机维修费</v>
      </c>
      <c r="D40" s="21">
        <f t="shared" si="7"/>
        <v>0</v>
      </c>
      <c r="E40" s="21">
        <f t="shared" si="2"/>
        <v>1100</v>
      </c>
      <c r="F40" s="48">
        <f t="shared" si="8"/>
        <v>247903.73</v>
      </c>
      <c r="G40" s="94">
        <f t="shared" si="9"/>
      </c>
      <c r="H40" s="94" t="str">
        <f t="shared" si="3"/>
        <v>车辆差旅</v>
      </c>
      <c r="I40" s="96">
        <f t="shared" si="0"/>
      </c>
      <c r="J40" s="94">
        <f t="shared" si="4"/>
      </c>
      <c r="K40" s="94">
        <f t="shared" si="10"/>
        <v>86</v>
      </c>
      <c r="L40" s="96">
        <f t="shared" si="5"/>
      </c>
      <c r="N40" s="2">
        <f>IF(33&gt;$Z$5,0,MOD(SMALL($Z$6:$Z$2005,33),10000))</f>
        <v>86</v>
      </c>
      <c r="O40" s="2">
        <f t="shared" si="11"/>
        <v>0</v>
      </c>
      <c r="Z40" s="2">
        <f>IF(AND(ISNUMBER(资金流水!$B$40),资金流水!$B$40&gt;=$C$4,资金流水!$B$40&lt;=$E$4,OR(资金流水!$C$40=$C$3,AND(资金流水!$AD$40=$C$3,资金流水!$X$40="账户互转"))),INT(资金流水!$B$40)*10000+35,"")</f>
      </c>
    </row>
    <row r="41">
      <c r="A41" s="94">
        <f>IF($N41=0,"",34)</f>
        <v>34</v>
      </c>
      <c r="B41" s="95">
        <f t="shared" si="6"/>
        <v>46178.0</v>
      </c>
      <c r="C41" s="96" t="str">
        <f t="shared" si="1"/>
        <v>朱博文4月份工资</v>
      </c>
      <c r="D41" s="21">
        <f t="shared" si="7"/>
        <v>0</v>
      </c>
      <c r="E41" s="21">
        <f t="shared" si="2"/>
        <v>2000</v>
      </c>
      <c r="F41" s="48">
        <f t="shared" si="8"/>
        <v>245903.73</v>
      </c>
      <c r="G41" s="94">
        <f t="shared" si="9"/>
      </c>
      <c r="H41" s="94" t="str">
        <f t="shared" si="3"/>
        <v>工资</v>
      </c>
      <c r="I41" s="96" t="str">
        <f t="shared" si="0"/>
        <v>朱博文</v>
      </c>
      <c r="J41" s="94">
        <f t="shared" si="4"/>
      </c>
      <c r="K41" s="94">
        <f t="shared" si="10"/>
        <v>87</v>
      </c>
      <c r="L41" s="96">
        <f t="shared" si="5"/>
      </c>
      <c r="N41" s="2">
        <f>IF(34&gt;$Z$5,0,MOD(SMALL($Z$6:$Z$2005,34),10000))</f>
        <v>87</v>
      </c>
      <c r="O41" s="2">
        <f t="shared" si="11"/>
        <v>0</v>
      </c>
      <c r="Z41" s="2">
        <f>IF(AND(ISNUMBER(资金流水!$B$41),资金流水!$B$41&gt;=$C$4,资金流水!$B$41&lt;=$E$4,OR(资金流水!$C$41=$C$3,AND(资金流水!$AD$41=$C$3,资金流水!$X$41="账户互转"))),INT(资金流水!$B$41)*10000+36,"")</f>
      </c>
    </row>
    <row r="42">
      <c r="A42" s="94">
        <f>IF($N42=0,"",35)</f>
        <v>35</v>
      </c>
      <c r="B42" s="95">
        <f t="shared" si="6"/>
        <v>46178.0</v>
      </c>
      <c r="C42" s="96" t="str">
        <f t="shared" si="1"/>
        <v>朱博文5月份工资</v>
      </c>
      <c r="D42" s="21">
        <f t="shared" si="7"/>
        <v>0</v>
      </c>
      <c r="E42" s="21">
        <f t="shared" si="2"/>
        <v>3500</v>
      </c>
      <c r="F42" s="48">
        <f t="shared" si="8"/>
        <v>242403.73</v>
      </c>
      <c r="G42" s="94">
        <f t="shared" si="9"/>
      </c>
      <c r="H42" s="94" t="str">
        <f t="shared" si="3"/>
        <v>工资</v>
      </c>
      <c r="I42" s="96" t="str">
        <f t="shared" si="0"/>
        <v>朱博文</v>
      </c>
      <c r="J42" s="94">
        <f t="shared" si="4"/>
      </c>
      <c r="K42" s="94">
        <f t="shared" si="10"/>
        <v>88</v>
      </c>
      <c r="L42" s="96">
        <f t="shared" si="5"/>
      </c>
      <c r="N42" s="2">
        <f>IF(35&gt;$Z$5,0,MOD(SMALL($Z$6:$Z$2005,35),10000))</f>
        <v>88</v>
      </c>
      <c r="O42" s="2">
        <f t="shared" si="11"/>
        <v>0</v>
      </c>
      <c r="Z42" s="2">
        <f>IF(AND(ISNUMBER(资金流水!$B$42),资金流水!$B$42&gt;=$C$4,资金流水!$B$42&lt;=$E$4,OR(资金流水!$C$42=$C$3,AND(资金流水!$AD$42=$C$3,资金流水!$X$42="账户互转"))),INT(资金流水!$B$42)*10000+37,"")</f>
      </c>
    </row>
    <row r="43">
      <c r="A43" s="94">
        <f>IF($N43=0,"",36)</f>
        <v>36</v>
      </c>
      <c r="B43" s="95">
        <f t="shared" si="6"/>
        <v>46181.0</v>
      </c>
      <c r="C43" s="96" t="str">
        <f t="shared" si="1"/>
        <v>邹桥派出所桥架款</v>
      </c>
      <c r="D43" s="21">
        <f t="shared" si="7"/>
        <v>0</v>
      </c>
      <c r="E43" s="21">
        <f t="shared" si="2"/>
        <v>303.2</v>
      </c>
      <c r="F43" s="48">
        <f t="shared" si="8"/>
        <v>242100.53</v>
      </c>
      <c r="G43" s="94" t="str">
        <f t="shared" si="9"/>
        <v>邹桥派出所</v>
      </c>
      <c r="H43" s="94" t="str">
        <f t="shared" si="3"/>
        <v>材料费</v>
      </c>
      <c r="I43" s="96">
        <f t="shared" si="0"/>
      </c>
      <c r="J43" s="94">
        <f t="shared" si="4"/>
      </c>
      <c r="K43" s="94">
        <f t="shared" si="10"/>
        <v>89</v>
      </c>
      <c r="L43" s="96">
        <f t="shared" si="5"/>
      </c>
      <c r="N43" s="2">
        <f>IF(36&gt;$Z$5,0,MOD(SMALL($Z$6:$Z$2005,36),10000))</f>
        <v>89</v>
      </c>
      <c r="O43" s="2">
        <f t="shared" si="11"/>
        <v>0</v>
      </c>
      <c r="Z43" s="2">
        <f>IF(AND(ISNUMBER(资金流水!$B$43),资金流水!$B$43&gt;=$C$4,资金流水!$B$43&lt;=$E$4,OR(资金流水!$C$43=$C$3,AND(资金流水!$AD$43=$C$3,资金流水!$X$43="账户互转"))),INT(资金流水!$B$43)*10000+38,"")</f>
      </c>
    </row>
    <row r="44">
      <c r="A44" s="94">
        <f>IF($N44=0,"",37)</f>
        <v>37</v>
      </c>
      <c r="B44" s="95">
        <f t="shared" si="6"/>
        <v>46181.0</v>
      </c>
      <c r="C44" s="96" t="str">
        <f t="shared" si="1"/>
        <v>邹桥派出所桥架款</v>
      </c>
      <c r="D44" s="21">
        <f t="shared" si="7"/>
        <v>303.2</v>
      </c>
      <c r="E44" s="21">
        <f t="shared" si="2"/>
        <v>0</v>
      </c>
      <c r="F44" s="48">
        <f t="shared" si="8"/>
        <v>242403.73</v>
      </c>
      <c r="G44" s="94" t="str">
        <f t="shared" si="9"/>
        <v>邹桥派出所</v>
      </c>
      <c r="H44" s="94" t="str">
        <f t="shared" si="3"/>
        <v>材料费</v>
      </c>
      <c r="I44" s="96">
        <f t="shared" si="0"/>
      </c>
      <c r="J44" s="94">
        <f t="shared" si="4"/>
      </c>
      <c r="K44" s="94">
        <f t="shared" si="10"/>
        <v>90</v>
      </c>
      <c r="L44" s="96">
        <f t="shared" si="5"/>
      </c>
      <c r="N44" s="2">
        <f>IF(37&gt;$Z$5,0,MOD(SMALL($Z$6:$Z$2005,37),10000))</f>
        <v>90</v>
      </c>
      <c r="O44" s="2">
        <f t="shared" si="11"/>
        <v>0</v>
      </c>
      <c r="Z44" s="2">
        <f>IF(AND(ISNUMBER(资金流水!$B$44),资金流水!$B$44&gt;=$C$4,资金流水!$B$44&lt;=$E$4,OR(资金流水!$C$44=$C$3,AND(资金流水!$AD$44=$C$3,资金流水!$X$44="账户互转"))),INT(资金流水!$B$44)*10000+39,"")</f>
      </c>
    </row>
    <row r="45">
      <c r="A45" s="94">
        <f>IF($N45=0,"",38)</f>
        <v>38</v>
      </c>
      <c r="B45" s="95">
        <f t="shared" si="6"/>
        <v>46181.0</v>
      </c>
      <c r="C45" s="96" t="str">
        <f t="shared" si="1"/>
        <v>员工聚餐</v>
      </c>
      <c r="D45" s="21">
        <f t="shared" si="7"/>
        <v>0</v>
      </c>
      <c r="E45" s="21">
        <f t="shared" si="2"/>
        <v>1098</v>
      </c>
      <c r="F45" s="48">
        <f t="shared" si="8"/>
        <v>241305.73</v>
      </c>
      <c r="G45" s="94">
        <f t="shared" si="9"/>
      </c>
      <c r="H45" s="94" t="str">
        <f t="shared" si="3"/>
        <v>业务招待费</v>
      </c>
      <c r="I45" s="96">
        <f t="shared" si="0"/>
      </c>
      <c r="J45" s="94">
        <f t="shared" si="4"/>
      </c>
      <c r="K45" s="94">
        <f t="shared" si="10"/>
        <v>91</v>
      </c>
      <c r="L45" s="96">
        <f t="shared" si="5"/>
      </c>
      <c r="N45" s="2">
        <f>IF(38&gt;$Z$5,0,MOD(SMALL($Z$6:$Z$2005,38),10000))</f>
        <v>91</v>
      </c>
      <c r="O45" s="2">
        <f t="shared" si="11"/>
        <v>0</v>
      </c>
      <c r="Z45" s="2">
        <f>IF(AND(ISNUMBER(资金流水!$B$45),资金流水!$B$45&gt;=$C$4,资金流水!$B$45&lt;=$E$4,OR(资金流水!$C$45=$C$3,AND(资金流水!$AD$45=$C$3,资金流水!$X$45="账户互转"))),INT(资金流水!$B$45)*10000+40,"")</f>
      </c>
    </row>
    <row r="46">
      <c r="A46" s="94">
        <f>IF($N46=0,"",39)</f>
        <v>39</v>
      </c>
      <c r="B46" s="95">
        <f t="shared" si="6"/>
        <v>46181.0</v>
      </c>
      <c r="C46" s="96" t="str">
        <f t="shared" si="1"/>
        <v>员工聚餐</v>
      </c>
      <c r="D46" s="21">
        <f t="shared" si="7"/>
        <v>1098</v>
      </c>
      <c r="E46" s="21">
        <f t="shared" si="2"/>
        <v>0</v>
      </c>
      <c r="F46" s="48">
        <f t="shared" si="8"/>
        <v>242403.73</v>
      </c>
      <c r="G46" s="94">
        <f t="shared" si="9"/>
      </c>
      <c r="H46" s="94" t="str">
        <f t="shared" si="3"/>
        <v>业务招待费</v>
      </c>
      <c r="I46" s="96">
        <f t="shared" si="0"/>
      </c>
      <c r="J46" s="94">
        <f t="shared" si="4"/>
      </c>
      <c r="K46" s="94">
        <f t="shared" si="10"/>
        <v>92</v>
      </c>
      <c r="L46" s="96">
        <f t="shared" si="5"/>
      </c>
      <c r="N46" s="2">
        <f>IF(39&gt;$Z$5,0,MOD(SMALL($Z$6:$Z$2005,39),10000))</f>
        <v>92</v>
      </c>
      <c r="O46" s="2">
        <f t="shared" si="11"/>
        <v>0</v>
      </c>
      <c r="Z46" s="2">
        <f>IF(AND(ISNUMBER(资金流水!$B$46),资金流水!$B$46&gt;=$C$4,资金流水!$B$46&lt;=$E$4,OR(资金流水!$C$46=$C$3,AND(资金流水!$AD$46=$C$3,资金流水!$X$46="账户互转"))),INT(资金流水!$B$46)*10000+41,"")</f>
      </c>
    </row>
    <row r="47">
      <c r="A47" s="94">
        <f>IF($N47=0,"",40)</f>
        <v>40</v>
      </c>
      <c r="B47" s="95">
        <f t="shared" si="6"/>
        <v>46181.0</v>
      </c>
      <c r="C47" s="96" t="str">
        <f t="shared" si="1"/>
        <v>员工聚餐</v>
      </c>
      <c r="D47" s="21">
        <f t="shared" si="7"/>
        <v>0</v>
      </c>
      <c r="E47" s="21">
        <f t="shared" si="2"/>
        <v>1098</v>
      </c>
      <c r="F47" s="48">
        <f t="shared" si="8"/>
        <v>241305.73</v>
      </c>
      <c r="G47" s="94">
        <f t="shared" si="9"/>
      </c>
      <c r="H47" s="94" t="str">
        <f t="shared" si="3"/>
        <v>业务招待费</v>
      </c>
      <c r="I47" s="96">
        <f t="shared" si="0"/>
      </c>
      <c r="J47" s="94">
        <f t="shared" si="4"/>
      </c>
      <c r="K47" s="94">
        <f t="shared" si="10"/>
        <v>93</v>
      </c>
      <c r="L47" s="96">
        <f t="shared" si="5"/>
      </c>
      <c r="N47" s="2">
        <f>IF(40&gt;$Z$5,0,MOD(SMALL($Z$6:$Z$2005,40),10000))</f>
        <v>93</v>
      </c>
      <c r="O47" s="2">
        <f t="shared" si="11"/>
        <v>0</v>
      </c>
      <c r="Z47" s="2">
        <f>IF(AND(ISNUMBER(资金流水!$B$47),资金流水!$B$47&gt;=$C$4,资金流水!$B$47&lt;=$E$4,OR(资金流水!$C$47=$C$3,AND(资金流水!$AD$47=$C$3,资金流水!$X$47="账户互转"))),INT(资金流水!$B$47)*10000+42,"")</f>
      </c>
    </row>
    <row r="48">
      <c r="A48" s="94">
        <f>IF($N48=0,"",41)</f>
        <v>41</v>
      </c>
      <c r="B48" s="95">
        <f t="shared" si="6"/>
        <v>46181.0</v>
      </c>
      <c r="C48" s="96" t="str">
        <f t="shared" si="1"/>
        <v>员工聚餐</v>
      </c>
      <c r="D48" s="21">
        <f t="shared" si="7"/>
        <v>1098</v>
      </c>
      <c r="E48" s="21">
        <f t="shared" si="2"/>
        <v>0</v>
      </c>
      <c r="F48" s="48">
        <f t="shared" si="8"/>
        <v>242403.73</v>
      </c>
      <c r="G48" s="94">
        <f t="shared" si="9"/>
      </c>
      <c r="H48" s="94" t="str">
        <f t="shared" si="3"/>
        <v>业务招待费</v>
      </c>
      <c r="I48" s="96">
        <f t="shared" si="0"/>
      </c>
      <c r="J48" s="94">
        <f t="shared" si="4"/>
      </c>
      <c r="K48" s="94">
        <f t="shared" si="10"/>
        <v>94</v>
      </c>
      <c r="L48" s="96">
        <f t="shared" si="5"/>
      </c>
      <c r="N48" s="2">
        <f>IF(41&gt;$Z$5,0,MOD(SMALL($Z$6:$Z$2005,41),10000))</f>
        <v>94</v>
      </c>
      <c r="O48" s="2">
        <f t="shared" si="11"/>
        <v>0</v>
      </c>
      <c r="Z48" s="2">
        <f>IF(AND(ISNUMBER(资金流水!$B$48),资金流水!$B$48&gt;=$C$4,资金流水!$B$48&lt;=$E$4,OR(资金流水!$C$48=$C$3,AND(资金流水!$AD$48=$C$3,资金流水!$X$48="账户互转"))),INT(资金流水!$B$48)*10000+43,"")</f>
      </c>
    </row>
    <row r="49">
      <c r="A49" s="94">
        <f>IF($N49=0,"",42)</f>
        <v>42</v>
      </c>
      <c r="B49" s="95">
        <f t="shared" si="6"/>
        <v>46181.0</v>
      </c>
      <c r="C49" s="96" t="str">
        <f t="shared" si="1"/>
        <v>邹桥派出所桥架款</v>
      </c>
      <c r="D49" s="21">
        <f t="shared" si="7"/>
        <v>0</v>
      </c>
      <c r="E49" s="21">
        <f t="shared" si="2"/>
        <v>303.2</v>
      </c>
      <c r="F49" s="48">
        <f t="shared" si="8"/>
        <v>242100.53</v>
      </c>
      <c r="G49" s="94" t="str">
        <f t="shared" si="9"/>
        <v>邹桥派出所</v>
      </c>
      <c r="H49" s="94" t="str">
        <f t="shared" si="3"/>
        <v>材料费</v>
      </c>
      <c r="I49" s="96">
        <f t="shared" si="0"/>
      </c>
      <c r="J49" s="94">
        <f t="shared" si="4"/>
      </c>
      <c r="K49" s="94">
        <f t="shared" si="10"/>
        <v>95</v>
      </c>
      <c r="L49" s="96">
        <f t="shared" si="5"/>
      </c>
      <c r="N49" s="2">
        <f>IF(42&gt;$Z$5,0,MOD(SMALL($Z$6:$Z$2005,42),10000))</f>
        <v>95</v>
      </c>
      <c r="O49" s="2">
        <f t="shared" si="11"/>
        <v>0</v>
      </c>
      <c r="Z49" s="2">
        <f>IF(AND(ISNUMBER(资金流水!$B$49),资金流水!$B$49&gt;=$C$4,资金流水!$B$49&lt;=$E$4,OR(资金流水!$C$49=$C$3,AND(资金流水!$AD$49=$C$3,资金流水!$X$49="账户互转"))),INT(资金流水!$B$49)*10000+44,"")</f>
      </c>
    </row>
    <row r="50">
      <c r="A50" s="94">
        <f>IF($N50=0,"",43)</f>
        <v>43</v>
      </c>
      <c r="B50" s="95">
        <f t="shared" si="6"/>
        <v>46181.0</v>
      </c>
      <c r="C50" s="96" t="str">
        <f t="shared" si="1"/>
        <v>员工聚餐</v>
      </c>
      <c r="D50" s="21">
        <f t="shared" si="7"/>
        <v>0</v>
      </c>
      <c r="E50" s="21">
        <f t="shared" si="2"/>
        <v>1098</v>
      </c>
      <c r="F50" s="48">
        <f t="shared" si="8"/>
        <v>241002.53</v>
      </c>
      <c r="G50" s="94">
        <f t="shared" si="9"/>
      </c>
      <c r="H50" s="94" t="str">
        <f t="shared" si="3"/>
        <v>业务招待费</v>
      </c>
      <c r="I50" s="96">
        <f t="shared" si="0"/>
      </c>
      <c r="J50" s="94">
        <f t="shared" si="4"/>
      </c>
      <c r="K50" s="94">
        <f t="shared" si="10"/>
        <v>96</v>
      </c>
      <c r="L50" s="96">
        <f t="shared" si="5"/>
      </c>
      <c r="N50" s="2">
        <f>IF(43&gt;$Z$5,0,MOD(SMALL($Z$6:$Z$2005,43),10000))</f>
        <v>96</v>
      </c>
      <c r="O50" s="2">
        <f t="shared" si="11"/>
        <v>0</v>
      </c>
      <c r="Z50" s="2">
        <f>IF(AND(ISNUMBER(资金流水!$B$50),资金流水!$B$50&gt;=$C$4,资金流水!$B$50&lt;=$E$4,OR(资金流水!$C$50=$C$3,AND(资金流水!$AD$50=$C$3,资金流水!$X$50="账户互转"))),INT(资金流水!$B$50)*10000+45,"")</f>
      </c>
    </row>
    <row r="51">
      <c r="A51" s="94">
        <f>IF($N51=0,"",44)</f>
        <v>44</v>
      </c>
      <c r="B51" s="95">
        <f t="shared" si="6"/>
        <v>46181.0</v>
      </c>
      <c r="C51" s="96" t="str">
        <f t="shared" si="1"/>
        <v>员工聚餐</v>
      </c>
      <c r="D51" s="21">
        <f t="shared" si="7"/>
        <v>1098</v>
      </c>
      <c r="E51" s="21">
        <f t="shared" si="2"/>
        <v>0</v>
      </c>
      <c r="F51" s="48">
        <f t="shared" si="8"/>
        <v>242100.53</v>
      </c>
      <c r="G51" s="94">
        <f t="shared" si="9"/>
      </c>
      <c r="H51" s="94" t="str">
        <f t="shared" si="3"/>
        <v>业务招待费</v>
      </c>
      <c r="I51" s="96">
        <f t="shared" si="0"/>
      </c>
      <c r="J51" s="94">
        <f t="shared" si="4"/>
      </c>
      <c r="K51" s="94">
        <f t="shared" si="10"/>
        <v>97</v>
      </c>
      <c r="L51" s="96">
        <f t="shared" si="5"/>
      </c>
      <c r="N51" s="2">
        <f>IF(44&gt;$Z$5,0,MOD(SMALL($Z$6:$Z$2005,44),10000))</f>
        <v>97</v>
      </c>
      <c r="O51" s="2">
        <f t="shared" si="11"/>
        <v>0</v>
      </c>
      <c r="Z51" s="2">
        <f>IF(AND(ISNUMBER(资金流水!$B$51),资金流水!$B$51&gt;=$C$4,资金流水!$B$51&lt;=$E$4,OR(资金流水!$C$51=$C$3,AND(资金流水!$AD$51=$C$3,资金流水!$X$51="账户互转"))),INT(资金流水!$B$51)*10000+46,"")</f>
      </c>
    </row>
    <row r="52">
      <c r="A52" s="94">
        <f>IF($N52=0,"",45)</f>
        <v>45</v>
      </c>
      <c r="B52" s="95">
        <f t="shared" si="6"/>
        <v>46183.0</v>
      </c>
      <c r="C52" s="96" t="str">
        <f t="shared" si="1"/>
        <v>邹桥派出所检测报告</v>
      </c>
      <c r="D52" s="21">
        <f t="shared" si="7"/>
        <v>0</v>
      </c>
      <c r="E52" s="21">
        <f t="shared" si="2"/>
        <v>2500</v>
      </c>
      <c r="F52" s="48">
        <f t="shared" si="8"/>
        <v>239600.53</v>
      </c>
      <c r="G52" s="94" t="str">
        <f t="shared" si="9"/>
        <v>邹桥派出所</v>
      </c>
      <c r="H52" s="94" t="str">
        <f t="shared" si="3"/>
        <v>其他直接费</v>
      </c>
      <c r="I52" s="96">
        <f t="shared" si="0"/>
      </c>
      <c r="J52" s="94">
        <f t="shared" si="4"/>
      </c>
      <c r="K52" s="94">
        <f t="shared" si="10"/>
        <v>98</v>
      </c>
      <c r="L52" s="96">
        <f t="shared" si="5"/>
      </c>
      <c r="N52" s="2">
        <f>IF(45&gt;$Z$5,0,MOD(SMALL($Z$6:$Z$2005,45),10000))</f>
        <v>98</v>
      </c>
      <c r="O52" s="2">
        <f t="shared" si="11"/>
        <v>0</v>
      </c>
      <c r="Z52" s="2">
        <f>IF(AND(ISNUMBER(资金流水!$B$52),资金流水!$B$52&gt;=$C$4,资金流水!$B$52&lt;=$E$4,OR(资金流水!$C$52=$C$3,AND(资金流水!$AD$52=$C$3,资金流水!$X$52="账户互转"))),INT(资金流水!$B$52)*10000+47,"")</f>
      </c>
    </row>
    <row r="53">
      <c r="A53" s="94">
        <f>IF($N53=0,"",46)</f>
        <v>46</v>
      </c>
      <c r="B53" s="95">
        <f t="shared" si="6"/>
        <v>46183.0</v>
      </c>
      <c r="C53" s="96" t="str">
        <f t="shared" si="1"/>
        <v>邹桥派出所检测报告</v>
      </c>
      <c r="D53" s="21">
        <f t="shared" si="7"/>
        <v>2500</v>
      </c>
      <c r="E53" s="21">
        <f t="shared" si="2"/>
        <v>0</v>
      </c>
      <c r="F53" s="48">
        <f t="shared" si="8"/>
        <v>242100.53</v>
      </c>
      <c r="G53" s="94" t="str">
        <f t="shared" si="9"/>
        <v>邹桥派出所</v>
      </c>
      <c r="H53" s="94" t="str">
        <f t="shared" si="3"/>
        <v>其他直接费</v>
      </c>
      <c r="I53" s="96">
        <f t="shared" si="0"/>
      </c>
      <c r="J53" s="94">
        <f t="shared" si="4"/>
      </c>
      <c r="K53" s="94">
        <f t="shared" si="10"/>
        <v>99</v>
      </c>
      <c r="L53" s="96">
        <f t="shared" si="5"/>
      </c>
      <c r="N53" s="2">
        <f>IF(46&gt;$Z$5,0,MOD(SMALL($Z$6:$Z$2005,46),10000))</f>
        <v>99</v>
      </c>
      <c r="O53" s="2">
        <f t="shared" si="11"/>
        <v>0</v>
      </c>
      <c r="Z53" s="2">
        <f>IF(AND(ISNUMBER(资金流水!$B$53),资金流水!$B$53&gt;=$C$4,资金流水!$B$53&lt;=$E$4,OR(资金流水!$C$53=$C$3,AND(资金流水!$AD$53=$C$3,资金流水!$X$53="账户互转"))),INT(资金流水!$B$53)*10000+48,"")</f>
      </c>
    </row>
    <row r="54">
      <c r="A54" s="94">
        <f>IF($N54=0,"",47)</f>
        <v>47</v>
      </c>
      <c r="B54" s="95">
        <f t="shared" si="6"/>
        <v>46183.0</v>
      </c>
      <c r="C54" s="96" t="str">
        <f t="shared" si="1"/>
        <v>邹桥派出所检测报告</v>
      </c>
      <c r="D54" s="21">
        <f t="shared" si="7"/>
        <v>0</v>
      </c>
      <c r="E54" s="21">
        <f t="shared" si="2"/>
        <v>2500</v>
      </c>
      <c r="F54" s="48">
        <f t="shared" si="8"/>
        <v>239600.53</v>
      </c>
      <c r="G54" s="94" t="str">
        <f t="shared" si="9"/>
        <v>邹桥派出所</v>
      </c>
      <c r="H54" s="94" t="str">
        <f t="shared" si="3"/>
        <v>其他直接费</v>
      </c>
      <c r="I54" s="96">
        <f t="shared" si="0"/>
      </c>
      <c r="J54" s="94">
        <f t="shared" si="4"/>
      </c>
      <c r="K54" s="94">
        <f t="shared" si="10"/>
        <v>100</v>
      </c>
      <c r="L54" s="96">
        <f t="shared" si="5"/>
      </c>
      <c r="N54" s="2">
        <f>IF(47&gt;$Z$5,0,MOD(SMALL($Z$6:$Z$2005,47),10000))</f>
        <v>100</v>
      </c>
      <c r="O54" s="2">
        <f t="shared" si="11"/>
        <v>0</v>
      </c>
      <c r="Z54" s="2">
        <f>IF(AND(ISNUMBER(资金流水!$B$54),资金流水!$B$54&gt;=$C$4,资金流水!$B$54&lt;=$E$4,OR(资金流水!$C$54=$C$3,AND(资金流水!$AD$54=$C$3,资金流水!$X$54="账户互转"))),INT(资金流水!$B$54)*10000+49,"")</f>
      </c>
    </row>
    <row r="55">
      <c r="A55" s="94">
        <f>IF($N55=0,"",48)</f>
        <v>48</v>
      </c>
      <c r="B55" s="95">
        <f t="shared" si="6"/>
        <v>46184.0</v>
      </c>
      <c r="C55" s="96" t="str">
        <f t="shared" si="1"/>
        <v>聂辉个人借款</v>
      </c>
      <c r="D55" s="21">
        <f t="shared" si="7"/>
        <v>2000</v>
      </c>
      <c r="E55" s="21">
        <f t="shared" si="2"/>
        <v>0</v>
      </c>
      <c r="F55" s="48">
        <f t="shared" si="8"/>
        <v>241600.53</v>
      </c>
      <c r="G55" s="94">
        <f t="shared" si="9"/>
      </c>
      <c r="H55" s="94" t="str">
        <f t="shared" si="3"/>
        <v>账户互转</v>
      </c>
      <c r="I55" s="96" t="str">
        <f t="shared" si="0"/>
        <v>聂辉</v>
      </c>
      <c r="J55" s="94" t="str">
        <f t="shared" si="4"/>
        <v>聂辉个人户</v>
      </c>
      <c r="K55" s="94">
        <f t="shared" si="10"/>
        <v>101</v>
      </c>
      <c r="L55" s="96">
        <f t="shared" si="5"/>
      </c>
      <c r="N55" s="2">
        <f>IF(48&gt;$Z$5,0,MOD(SMALL($Z$6:$Z$2005,48),10000))</f>
        <v>101</v>
      </c>
      <c r="O55" s="2">
        <f t="shared" si="11"/>
        <v>0</v>
      </c>
      <c r="Z55" s="2">
        <f>IF(AND(ISNUMBER(资金流水!$B$55),资金流水!$B$55&gt;=$C$4,资金流水!$B$55&lt;=$E$4,OR(资金流水!$C$55=$C$3,AND(资金流水!$AD$55=$C$3,资金流水!$X$55="账户互转"))),INT(资金流水!$B$55)*10000+50,"")</f>
      </c>
    </row>
    <row r="56">
      <c r="A56" s="94">
        <f>IF($N56=0,"",49)</f>
        <v>49</v>
      </c>
      <c r="B56" s="95">
        <f t="shared" si="6"/>
        <v>46184.0</v>
      </c>
      <c r="C56" s="96" t="str">
        <f t="shared" si="1"/>
        <v>室外消防阀门井盖</v>
      </c>
      <c r="D56" s="21">
        <f t="shared" si="7"/>
        <v>0</v>
      </c>
      <c r="E56" s="21">
        <f t="shared" si="2"/>
        <v>1140</v>
      </c>
      <c r="F56" s="48">
        <f t="shared" si="8"/>
        <v>240460.53</v>
      </c>
      <c r="G56" s="94">
        <f t="shared" si="9"/>
      </c>
      <c r="H56" s="94" t="str">
        <f t="shared" si="3"/>
        <v>材料费</v>
      </c>
      <c r="I56" s="96">
        <f t="shared" si="0"/>
      </c>
      <c r="J56" s="94">
        <f t="shared" si="4"/>
      </c>
      <c r="K56" s="94">
        <f t="shared" si="10"/>
        <v>102</v>
      </c>
      <c r="L56" s="96">
        <f t="shared" si="5"/>
      </c>
      <c r="N56" s="2">
        <f>IF(49&gt;$Z$5,0,MOD(SMALL($Z$6:$Z$2005,49),10000))</f>
        <v>102</v>
      </c>
      <c r="O56" s="2">
        <f t="shared" si="11"/>
        <v>0</v>
      </c>
      <c r="Z56" s="2">
        <f>IF(AND(ISNUMBER(资金流水!$B$56),资金流水!$B$56&gt;=$C$4,资金流水!$B$56&lt;=$E$4,OR(资金流水!$C$56=$C$3,AND(资金流水!$AD$56=$C$3,资金流水!$X$56="账户互转"))),INT(资金流水!$B$56)*10000+51,"")</f>
      </c>
    </row>
    <row r="57">
      <c r="A57" s="94">
        <f>IF($N57=0,"",50)</f>
        <v>50</v>
      </c>
      <c r="B57" s="95">
        <f t="shared" si="6"/>
        <v>46188.0</v>
      </c>
      <c r="C57" s="96" t="str">
        <f t="shared" si="1"/>
        <v>聂辉个人借款</v>
      </c>
      <c r="D57" s="21">
        <f t="shared" si="7"/>
        <v>2000</v>
      </c>
      <c r="E57" s="21">
        <f t="shared" si="2"/>
        <v>0</v>
      </c>
      <c r="F57" s="48">
        <f t="shared" si="8"/>
        <v>242460.53</v>
      </c>
      <c r="G57" s="94">
        <f t="shared" si="9"/>
      </c>
      <c r="H57" s="94" t="str">
        <f t="shared" si="3"/>
        <v>账户互转</v>
      </c>
      <c r="I57" s="96" t="str">
        <f t="shared" si="0"/>
        <v>聂辉</v>
      </c>
      <c r="J57" s="94" t="str">
        <f t="shared" si="4"/>
        <v>聂辉个人户</v>
      </c>
      <c r="K57" s="94">
        <f t="shared" si="10"/>
        <v>103</v>
      </c>
      <c r="L57" s="96">
        <f t="shared" si="5"/>
      </c>
      <c r="N57" s="2">
        <f>IF(50&gt;$Z$5,0,MOD(SMALL($Z$6:$Z$2005,50),10000))</f>
        <v>103</v>
      </c>
      <c r="O57" s="2">
        <f t="shared" si="11"/>
        <v>0</v>
      </c>
      <c r="Z57" s="2">
        <f>IF(AND(ISNUMBER(资金流水!$B$57),资金流水!$B$57&gt;=$C$4,资金流水!$B$57&lt;=$E$4,OR(资金流水!$C$57=$C$3,AND(资金流水!$AD$57=$C$3,资金流水!$X$57="账户互转"))),INT(资金流水!$B$57)*10000+52,"")</f>
      </c>
    </row>
    <row r="58">
      <c r="A58" s="94">
        <f>IF($N58=0,"",51)</f>
        <v>51</v>
      </c>
      <c r="B58" s="95">
        <f t="shared" si="6"/>
        <v>46188.0</v>
      </c>
      <c r="C58" s="96" t="str">
        <f t="shared" si="1"/>
        <v>隆世光伏检测报告</v>
      </c>
      <c r="D58" s="21">
        <f t="shared" si="7"/>
        <v>0</v>
      </c>
      <c r="E58" s="21">
        <f t="shared" si="2"/>
        <v>2500</v>
      </c>
      <c r="F58" s="48">
        <f t="shared" si="8"/>
        <v>239960.53</v>
      </c>
      <c r="G58" s="94" t="str">
        <f t="shared" si="9"/>
        <v>隆世光伏</v>
      </c>
      <c r="H58" s="94" t="str">
        <f t="shared" si="3"/>
        <v>其他直接费</v>
      </c>
      <c r="I58" s="96">
        <f t="shared" si="0"/>
      </c>
      <c r="J58" s="94">
        <f t="shared" si="4"/>
      </c>
      <c r="K58" s="94">
        <f t="shared" si="10"/>
        <v>104</v>
      </c>
      <c r="L58" s="96">
        <f t="shared" si="5"/>
      </c>
      <c r="N58" s="2">
        <f>IF(51&gt;$Z$5,0,MOD(SMALL($Z$6:$Z$2005,51),10000))</f>
        <v>104</v>
      </c>
      <c r="O58" s="2">
        <f t="shared" si="11"/>
        <v>0</v>
      </c>
      <c r="Z58" s="2">
        <f>IF(AND(ISNUMBER(资金流水!$B$58),资金流水!$B$58&gt;=$C$4,资金流水!$B$58&lt;=$E$4,OR(资金流水!$C$58=$C$3,AND(资金流水!$AD$58=$C$3,资金流水!$X$58="账户互转"))),INT(资金流水!$B$58)*10000+53,"")</f>
      </c>
    </row>
    <row r="59">
      <c r="A59" s="94">
        <f>IF($N59=0,"",52)</f>
        <v>52</v>
      </c>
      <c r="B59" s="95">
        <f t="shared" si="6"/>
        <v>46188.0</v>
      </c>
      <c r="C59" s="96" t="str">
        <f t="shared" si="1"/>
        <v>隆世光伏检测报告</v>
      </c>
      <c r="D59" s="21">
        <f t="shared" si="7"/>
        <v>2500</v>
      </c>
      <c r="E59" s="21">
        <f t="shared" si="2"/>
        <v>0</v>
      </c>
      <c r="F59" s="48">
        <f t="shared" si="8"/>
        <v>242460.53</v>
      </c>
      <c r="G59" s="94" t="str">
        <f t="shared" si="9"/>
        <v>隆世光伏</v>
      </c>
      <c r="H59" s="94" t="str">
        <f t="shared" si="3"/>
        <v>其他直接费</v>
      </c>
      <c r="I59" s="96">
        <f t="shared" si="0"/>
      </c>
      <c r="J59" s="94">
        <f t="shared" si="4"/>
      </c>
      <c r="K59" s="94">
        <f t="shared" si="10"/>
        <v>105</v>
      </c>
      <c r="L59" s="96">
        <f t="shared" si="5"/>
      </c>
      <c r="N59" s="2">
        <f>IF(52&gt;$Z$5,0,MOD(SMALL($Z$6:$Z$2005,52),10000))</f>
        <v>105</v>
      </c>
      <c r="O59" s="2">
        <f t="shared" si="11"/>
        <v>0</v>
      </c>
      <c r="Z59" s="2">
        <f>IF(AND(ISNUMBER(资金流水!$B$59),资金流水!$B$59&gt;=$C$4,资金流水!$B$59&lt;=$E$4,OR(资金流水!$C$59=$C$3,AND(资金流水!$AD$59=$C$3,资金流水!$X$59="账户互转"))),INT(资金流水!$B$59)*10000+54,"")</f>
      </c>
    </row>
    <row r="60">
      <c r="A60" s="94">
        <f>IF($N60=0,"",53)</f>
        <v>53</v>
      </c>
      <c r="B60" s="95">
        <f t="shared" si="6"/>
        <v>46188.0</v>
      </c>
      <c r="C60" s="96" t="str">
        <f t="shared" si="1"/>
        <v>隆世光伏检测报告</v>
      </c>
      <c r="D60" s="21">
        <f t="shared" si="7"/>
        <v>0</v>
      </c>
      <c r="E60" s="21">
        <f t="shared" si="2"/>
        <v>2500</v>
      </c>
      <c r="F60" s="48">
        <f t="shared" si="8"/>
        <v>239960.53</v>
      </c>
      <c r="G60" s="94" t="str">
        <f t="shared" si="9"/>
        <v>隆世光伏</v>
      </c>
      <c r="H60" s="94" t="str">
        <f t="shared" si="3"/>
        <v>其他直接费</v>
      </c>
      <c r="I60" s="96">
        <f t="shared" si="0"/>
      </c>
      <c r="J60" s="94">
        <f t="shared" si="4"/>
      </c>
      <c r="K60" s="94">
        <f t="shared" si="10"/>
        <v>106</v>
      </c>
      <c r="L60" s="96">
        <f t="shared" si="5"/>
      </c>
      <c r="N60" s="2">
        <f>IF(53&gt;$Z$5,0,MOD(SMALL($Z$6:$Z$2005,53),10000))</f>
        <v>106</v>
      </c>
      <c r="O60" s="2">
        <f t="shared" si="11"/>
        <v>0</v>
      </c>
      <c r="Z60" s="2">
        <f>IF(AND(ISNUMBER(资金流水!$B$60),资金流水!$B$60&gt;=$C$4,资金流水!$B$60&lt;=$E$4,OR(资金流水!$C$60=$C$3,AND(资金流水!$AD$60=$C$3,资金流水!$X$60="账户互转"))),INT(资金流水!$B$60)*10000+55,"")</f>
      </c>
    </row>
    <row r="61">
      <c r="A61" s="94">
        <f>IF($N61=0,"",54)</f>
        <v>54</v>
      </c>
      <c r="B61" s="95">
        <f t="shared" si="6"/>
        <v>46191.0</v>
      </c>
      <c r="C61" s="96" t="str">
        <f t="shared" si="1"/>
        <v>平安保险费退回</v>
      </c>
      <c r="D61" s="21">
        <f t="shared" si="7"/>
        <v>703.2</v>
      </c>
      <c r="E61" s="21">
        <f t="shared" si="2"/>
        <v>0</v>
      </c>
      <c r="F61" s="48">
        <f t="shared" si="8"/>
        <v>240663.73</v>
      </c>
      <c r="G61" s="94">
        <f t="shared" si="9"/>
      </c>
      <c r="H61" s="94" t="str">
        <f t="shared" si="3"/>
        <v>车辆差旅</v>
      </c>
      <c r="I61" s="96">
        <f t="shared" si="0"/>
      </c>
      <c r="J61" s="94">
        <f t="shared" si="4"/>
      </c>
      <c r="K61" s="94">
        <f t="shared" si="10"/>
        <v>107</v>
      </c>
      <c r="L61" s="96">
        <f t="shared" si="5"/>
      </c>
      <c r="N61" s="2">
        <f>IF(54&gt;$Z$5,0,MOD(SMALL($Z$6:$Z$2005,54),10000))</f>
        <v>107</v>
      </c>
      <c r="O61" s="2">
        <f t="shared" si="11"/>
        <v>0</v>
      </c>
      <c r="Z61" s="2">
        <f>IF(AND(ISNUMBER(资金流水!$B$61),资金流水!$B$61&gt;=$C$4,资金流水!$B$61&lt;=$E$4,OR(资金流水!$C$61=$C$3,AND(资金流水!$AD$61=$C$3,资金流水!$X$61="账户互转"))),INT(资金流水!$B$61)*10000+56,"")</f>
      </c>
    </row>
    <row r="62">
      <c r="A62" s="94">
        <f>IF($N62=0,"",55)</f>
        <v>55</v>
      </c>
      <c r="B62" s="95">
        <f t="shared" si="6"/>
        <v>46191.0</v>
      </c>
      <c r="C62" s="96" t="str">
        <f t="shared" si="1"/>
        <v>聂辉个人借款</v>
      </c>
      <c r="D62" s="21">
        <f t="shared" si="7"/>
        <v>5000</v>
      </c>
      <c r="E62" s="21">
        <f t="shared" si="2"/>
        <v>0</v>
      </c>
      <c r="F62" s="48">
        <f t="shared" si="8"/>
        <v>245663.73</v>
      </c>
      <c r="G62" s="94">
        <f t="shared" si="9"/>
      </c>
      <c r="H62" s="94" t="str">
        <f t="shared" si="3"/>
        <v>账户互转</v>
      </c>
      <c r="I62" s="96" t="str">
        <f t="shared" si="0"/>
        <v>聂辉</v>
      </c>
      <c r="J62" s="94" t="str">
        <f t="shared" si="4"/>
        <v>聂辉个人户</v>
      </c>
      <c r="K62" s="94">
        <f t="shared" si="10"/>
        <v>108</v>
      </c>
      <c r="L62" s="96">
        <f t="shared" si="5"/>
      </c>
      <c r="N62" s="2">
        <f>IF(55&gt;$Z$5,0,MOD(SMALL($Z$6:$Z$2005,55),10000))</f>
        <v>108</v>
      </c>
      <c r="O62" s="2">
        <f t="shared" si="11"/>
        <v>0</v>
      </c>
      <c r="Z62" s="2">
        <f>IF(AND(ISNUMBER(资金流水!$B$62),资金流水!$B$62&gt;=$C$4,资金流水!$B$62&lt;=$E$4,OR(资金流水!$C$62=$C$3,AND(资金流水!$AD$62=$C$3,资金流水!$X$62="账户互转"))),INT(资金流水!$B$62)*10000+57,"")</f>
      </c>
    </row>
    <row r="63">
      <c r="A63" s="94">
        <f>IF($N63=0,"",56)</f>
        <v>56</v>
      </c>
      <c r="B63" s="95">
        <f t="shared" si="6"/>
        <v>46191.0</v>
      </c>
      <c r="C63" s="96" t="str">
        <f t="shared" si="1"/>
        <v>付邓泽贵工资</v>
      </c>
      <c r="D63" s="21">
        <f t="shared" si="7"/>
        <v>0</v>
      </c>
      <c r="E63" s="21">
        <f t="shared" si="2"/>
        <v>3000</v>
      </c>
      <c r="F63" s="48">
        <f t="shared" si="8"/>
        <v>242663.73</v>
      </c>
      <c r="G63" s="94">
        <f t="shared" si="9"/>
      </c>
      <c r="H63" s="94" t="str">
        <f t="shared" si="3"/>
        <v>工资</v>
      </c>
      <c r="I63" s="96" t="str">
        <f t="shared" si="0"/>
        <v>邓泽贵</v>
      </c>
      <c r="J63" s="94">
        <f t="shared" si="4"/>
      </c>
      <c r="K63" s="94">
        <f t="shared" si="10"/>
        <v>109</v>
      </c>
      <c r="L63" s="96">
        <f t="shared" si="5"/>
      </c>
      <c r="N63" s="2">
        <f>IF(56&gt;$Z$5,0,MOD(SMALL($Z$6:$Z$2005,56),10000))</f>
        <v>109</v>
      </c>
      <c r="O63" s="2">
        <f t="shared" si="11"/>
        <v>0</v>
      </c>
      <c r="Z63" s="2">
        <f>IF(AND(ISNUMBER(资金流水!$B$63),资金流水!$B$63&gt;=$C$4,资金流水!$B$63&lt;=$E$4,OR(资金流水!$C$63=$C$3,AND(资金流水!$AD$63=$C$3,资金流水!$X$63="账户互转"))),INT(资金流水!$B$63)*10000+58,"")</f>
      </c>
    </row>
    <row r="64">
      <c r="A64" s="94">
        <f>IF($N64=0,"",57)</f>
        <v>57</v>
      </c>
      <c r="B64" s="95">
        <f t="shared" si="6"/>
        <v>46191.0</v>
      </c>
      <c r="C64" s="96" t="str">
        <f t="shared" si="1"/>
        <v>闵清林工资</v>
      </c>
      <c r="D64" s="21">
        <f t="shared" si="7"/>
        <v>0</v>
      </c>
      <c r="E64" s="21">
        <f t="shared" si="2"/>
        <v>2000</v>
      </c>
      <c r="F64" s="48">
        <f t="shared" si="8"/>
        <v>240663.73</v>
      </c>
      <c r="G64" s="94">
        <f t="shared" si="9"/>
      </c>
      <c r="H64" s="94" t="str">
        <f t="shared" si="3"/>
        <v>工资</v>
      </c>
      <c r="I64" s="96" t="str">
        <f t="shared" si="0"/>
        <v>闵清林</v>
      </c>
      <c r="J64" s="94">
        <f t="shared" si="4"/>
      </c>
      <c r="K64" s="94">
        <f t="shared" si="10"/>
        <v>110</v>
      </c>
      <c r="L64" s="96">
        <f t="shared" si="5"/>
      </c>
      <c r="N64" s="2">
        <f>IF(57&gt;$Z$5,0,MOD(SMALL($Z$6:$Z$2005,57),10000))</f>
        <v>110</v>
      </c>
      <c r="O64" s="2">
        <f t="shared" si="11"/>
        <v>0</v>
      </c>
      <c r="Z64" s="2">
        <f>IF(AND(ISNUMBER(资金流水!$B$64),资金流水!$B$64&gt;=$C$4,资金流水!$B$64&lt;=$E$4,OR(资金流水!$C$64=$C$3,AND(资金流水!$AD$64=$C$3,资金流水!$X$64="账户互转"))),INT(资金流水!$B$64)*10000+59,"")</f>
      </c>
    </row>
    <row r="65">
      <c r="A65" s="94">
        <f>IF($N65=0,"",58)</f>
        <v>58</v>
      </c>
      <c r="B65" s="95">
        <f t="shared" si="6"/>
        <v>46191.0</v>
      </c>
      <c r="C65" s="96" t="str">
        <f t="shared" si="1"/>
        <v>闵清林工资</v>
      </c>
      <c r="D65" s="21">
        <f t="shared" si="7"/>
        <v>0</v>
      </c>
      <c r="E65" s="21">
        <f t="shared" si="2"/>
        <v>700</v>
      </c>
      <c r="F65" s="48">
        <f t="shared" si="8"/>
        <v>239963.73</v>
      </c>
      <c r="G65" s="94">
        <f t="shared" si="9"/>
      </c>
      <c r="H65" s="94" t="str">
        <f t="shared" si="3"/>
        <v>工资</v>
      </c>
      <c r="I65" s="96" t="str">
        <f t="shared" si="0"/>
        <v>闵清林</v>
      </c>
      <c r="J65" s="94">
        <f t="shared" si="4"/>
      </c>
      <c r="K65" s="94">
        <f t="shared" si="10"/>
        <v>111</v>
      </c>
      <c r="L65" s="96">
        <f t="shared" si="5"/>
      </c>
      <c r="N65" s="2">
        <f>IF(58&gt;$Z$5,0,MOD(SMALL($Z$6:$Z$2005,58),10000))</f>
        <v>111</v>
      </c>
      <c r="O65" s="2">
        <f t="shared" si="11"/>
        <v>0</v>
      </c>
      <c r="Z65" s="2">
        <f>IF(AND(ISNUMBER(资金流水!$B$65),资金流水!$B$65&gt;=$C$4,资金流水!$B$65&lt;=$E$4,OR(资金流水!$C$65=$C$3,AND(资金流水!$AD$65=$C$3,资金流水!$X$65="账户互转"))),INT(资金流水!$B$65)*10000+60,"")</f>
      </c>
    </row>
    <row r="66">
      <c r="A66" s="94">
        <f>IF($N66=0,"",59)</f>
        <v>59</v>
      </c>
      <c r="B66" s="95">
        <f t="shared" si="6"/>
        <v>46193.0</v>
      </c>
      <c r="C66" s="96" t="str">
        <f t="shared" si="1"/>
        <v>支付贷款利息</v>
      </c>
      <c r="D66" s="21">
        <f t="shared" si="7"/>
        <v>0</v>
      </c>
      <c r="E66" s="21">
        <f t="shared" si="2"/>
        <v>588</v>
      </c>
      <c r="F66" s="48">
        <f t="shared" si="8"/>
        <v>239375.73</v>
      </c>
      <c r="G66" s="94">
        <f t="shared" si="9"/>
      </c>
      <c r="H66" s="94" t="str">
        <f t="shared" si="3"/>
        <v>利息支出</v>
      </c>
      <c r="I66" s="96">
        <f t="shared" si="0"/>
      </c>
      <c r="J66" s="94">
        <f t="shared" si="4"/>
      </c>
      <c r="K66" s="94">
        <f t="shared" si="10"/>
        <v>112</v>
      </c>
      <c r="L66" s="96">
        <f t="shared" si="5"/>
      </c>
      <c r="N66" s="2">
        <f>IF(59&gt;$Z$5,0,MOD(SMALL($Z$6:$Z$2005,59),10000))</f>
        <v>112</v>
      </c>
      <c r="O66" s="2">
        <f t="shared" si="11"/>
        <v>0</v>
      </c>
      <c r="Z66" s="2">
        <f>IF(AND(ISNUMBER(资金流水!$B$66),资金流水!$B$66&gt;=$C$4,资金流水!$B$66&lt;=$E$4,OR(资金流水!$C$66=$C$3,AND(资金流水!$AD$66=$C$3,资金流水!$X$66="账户互转"))),INT(资金流水!$B$66)*10000+61,"")</f>
      </c>
    </row>
    <row r="67">
      <c r="A67" s="94">
        <f>IF($N67=0,"",60)</f>
        <v>60</v>
      </c>
      <c r="B67" s="95">
        <f t="shared" si="6"/>
        <v>46193.0</v>
      </c>
      <c r="C67" s="96" t="str">
        <f t="shared" si="1"/>
        <v>支付贷款利息</v>
      </c>
      <c r="D67" s="21">
        <f t="shared" si="7"/>
        <v>588</v>
      </c>
      <c r="E67" s="21">
        <f t="shared" si="2"/>
        <v>0</v>
      </c>
      <c r="F67" s="48">
        <f t="shared" si="8"/>
        <v>239963.73</v>
      </c>
      <c r="G67" s="94">
        <f t="shared" si="9"/>
      </c>
      <c r="H67" s="94" t="str">
        <f t="shared" si="3"/>
        <v>利息支出</v>
      </c>
      <c r="I67" s="96">
        <f t="shared" si="0"/>
      </c>
      <c r="J67" s="94">
        <f t="shared" si="4"/>
      </c>
      <c r="K67" s="94">
        <f t="shared" si="10"/>
        <v>113</v>
      </c>
      <c r="L67" s="96">
        <f t="shared" si="5"/>
      </c>
      <c r="N67" s="2">
        <f>IF(60&gt;$Z$5,0,MOD(SMALL($Z$6:$Z$2005,60),10000))</f>
        <v>113</v>
      </c>
      <c r="O67" s="2">
        <f t="shared" si="11"/>
        <v>0</v>
      </c>
      <c r="Z67" s="2">
        <f>IF(AND(ISNUMBER(资金流水!$B$67),资金流水!$B$67&gt;=$C$4,资金流水!$B$67&lt;=$E$4,OR(资金流水!$C$67=$C$3,AND(资金流水!$AD$67=$C$3,资金流水!$X$67="账户互转"))),INT(资金流水!$B$67)*10000+62,"")</f>
      </c>
    </row>
    <row r="68">
      <c r="A68" s="94">
        <f>IF($N68=0,"",61)</f>
        <v>61</v>
      </c>
      <c r="B68" s="95">
        <f t="shared" si="6"/>
        <v>46193.0</v>
      </c>
      <c r="C68" s="96" t="str">
        <f t="shared" si="1"/>
        <v>支付贷款利息</v>
      </c>
      <c r="D68" s="21">
        <f t="shared" si="7"/>
        <v>0</v>
      </c>
      <c r="E68" s="21">
        <f t="shared" si="2"/>
        <v>588</v>
      </c>
      <c r="F68" s="48">
        <f t="shared" si="8"/>
        <v>239375.73</v>
      </c>
      <c r="G68" s="94">
        <f t="shared" si="9"/>
      </c>
      <c r="H68" s="94" t="str">
        <f t="shared" si="3"/>
        <v>利息支出</v>
      </c>
      <c r="I68" s="96">
        <f t="shared" si="0"/>
      </c>
      <c r="J68" s="94">
        <f t="shared" si="4"/>
      </c>
      <c r="K68" s="94">
        <f t="shared" si="10"/>
        <v>114</v>
      </c>
      <c r="L68" s="96">
        <f t="shared" si="5"/>
      </c>
      <c r="N68" s="2">
        <f>IF(61&gt;$Z$5,0,MOD(SMALL($Z$6:$Z$2005,61),10000))</f>
        <v>114</v>
      </c>
      <c r="O68" s="2">
        <f t="shared" si="11"/>
        <v>0</v>
      </c>
      <c r="Z68" s="2">
        <f>IF(AND(ISNUMBER(资金流水!$B$68),资金流水!$B$68&gt;=$C$4,资金流水!$B$68&lt;=$E$4,OR(资金流水!$C$68=$C$3,AND(资金流水!$AD$68=$C$3,资金流水!$X$68="账户互转"))),INT(资金流水!$B$68)*10000+63,"")</f>
      </c>
    </row>
    <row r="69">
      <c r="A69" s="94">
        <f>IF($N69=0,"",62)</f>
        <v>62</v>
      </c>
      <c r="B69" s="95">
        <f t="shared" si="6"/>
        <v>46193.0</v>
      </c>
      <c r="C69" s="96" t="str">
        <f t="shared" si="1"/>
        <v>支付贷款利息</v>
      </c>
      <c r="D69" s="21">
        <f t="shared" si="7"/>
        <v>588</v>
      </c>
      <c r="E69" s="21">
        <f t="shared" si="2"/>
        <v>0</v>
      </c>
      <c r="F69" s="48">
        <f t="shared" si="8"/>
        <v>239963.73</v>
      </c>
      <c r="G69" s="94">
        <f t="shared" si="9"/>
      </c>
      <c r="H69" s="94" t="str">
        <f t="shared" si="3"/>
        <v>利息支出</v>
      </c>
      <c r="I69" s="96">
        <f t="shared" si="0"/>
      </c>
      <c r="J69" s="94">
        <f t="shared" si="4"/>
      </c>
      <c r="K69" s="94">
        <f t="shared" si="10"/>
        <v>115</v>
      </c>
      <c r="L69" s="96">
        <f t="shared" si="5"/>
      </c>
      <c r="N69" s="2">
        <f>IF(62&gt;$Z$5,0,MOD(SMALL($Z$6:$Z$2005,62),10000))</f>
        <v>115</v>
      </c>
      <c r="O69" s="2">
        <f t="shared" si="11"/>
        <v>0</v>
      </c>
      <c r="Z69" s="2">
        <f>IF(AND(ISNUMBER(资金流水!$B$69),资金流水!$B$69&gt;=$C$4,资金流水!$B$69&lt;=$E$4,OR(资金流水!$C$69=$C$3,AND(资金流水!$AD$69=$C$3,资金流水!$X$69="账户互转"))),INT(资金流水!$B$69)*10000+64,"")</f>
      </c>
    </row>
    <row r="70">
      <c r="A70" s="94">
        <f>IF($N70=0,"",63)</f>
        <v>63</v>
      </c>
      <c r="B70" s="95">
        <f t="shared" si="6"/>
        <v>46194.0</v>
      </c>
      <c r="C70" s="96" t="str">
        <f t="shared" si="1"/>
        <v>入息</v>
      </c>
      <c r="D70" s="21">
        <f t="shared" si="7"/>
        <v>2.76</v>
      </c>
      <c r="E70" s="21">
        <f t="shared" si="2"/>
        <v>0</v>
      </c>
      <c r="F70" s="48">
        <f t="shared" si="8"/>
        <v>239966.49</v>
      </c>
      <c r="G70" s="94">
        <f t="shared" si="9"/>
      </c>
      <c r="H70" s="94" t="str">
        <f t="shared" si="3"/>
        <v>利息收入</v>
      </c>
      <c r="I70" s="96">
        <f t="shared" si="0"/>
      </c>
      <c r="J70" s="94">
        <f t="shared" si="4"/>
      </c>
      <c r="K70" s="94">
        <f t="shared" si="10"/>
        <v>116</v>
      </c>
      <c r="L70" s="96">
        <f t="shared" si="5"/>
      </c>
      <c r="N70" s="2">
        <f>IF(63&gt;$Z$5,0,MOD(SMALL($Z$6:$Z$2005,63),10000))</f>
        <v>116</v>
      </c>
      <c r="O70" s="2">
        <f t="shared" si="11"/>
        <v>0</v>
      </c>
      <c r="Z70" s="2">
        <f>IF(AND(ISNUMBER(资金流水!$B$70),资金流水!$B$70&gt;=$C$4,资金流水!$B$70&lt;=$E$4,OR(资金流水!$C$70=$C$3,AND(资金流水!$AD$70=$C$3,资金流水!$X$70="账户互转"))),INT(资金流水!$B$70)*10000+65,"")</f>
      </c>
    </row>
    <row r="71">
      <c r="A71" s="94">
        <f>IF($N71=0,"",64)</f>
        <v>64</v>
      </c>
      <c r="B71" s="95">
        <f t="shared" si="6"/>
        <v>46198.0</v>
      </c>
      <c r="C71" s="96" t="str">
        <f t="shared" si="1"/>
        <v>德养工程款-承兑汇票</v>
      </c>
      <c r="D71" s="21">
        <f t="shared" si="7"/>
        <v>280819.79</v>
      </c>
      <c r="E71" s="21">
        <f t="shared" si="2"/>
        <v>0</v>
      </c>
      <c r="F71" s="48">
        <f t="shared" si="8"/>
        <v>520786.28</v>
      </c>
      <c r="G71" s="94" t="str">
        <f t="shared" si="9"/>
        <v>德安养老中心</v>
      </c>
      <c r="H71" s="94" t="str">
        <f t="shared" si="3"/>
        <v>工程款</v>
      </c>
      <c r="I71" s="96">
        <f t="shared" si="0"/>
      </c>
      <c r="J71" s="94">
        <f t="shared" si="4"/>
      </c>
      <c r="K71" s="94">
        <f t="shared" si="10"/>
        <v>117</v>
      </c>
      <c r="L71" s="96">
        <f t="shared" si="5"/>
      </c>
      <c r="N71" s="2">
        <f>IF(64&gt;$Z$5,0,MOD(SMALL($Z$6:$Z$2005,64),10000))</f>
        <v>117</v>
      </c>
      <c r="O71" s="2">
        <f t="shared" si="11"/>
        <v>0</v>
      </c>
      <c r="Z71" s="2">
        <f>IF(AND(ISNUMBER(资金流水!$B$71),资金流水!$B$71&gt;=$C$4,资金流水!$B$71&lt;=$E$4,OR(资金流水!$C$71=$C$3,AND(资金流水!$AD$71=$C$3,资金流水!$X$71="账户互转"))),INT(资金流水!$B$71)*10000+66,"")</f>
        <v>460910066</v>
      </c>
    </row>
    <row r="72">
      <c r="A72" s="94">
        <f>IF($N72=0,"",65)</f>
        <v>65</v>
      </c>
      <c r="B72" s="95">
        <f t="shared" si="6"/>
        <v>46198.0</v>
      </c>
      <c r="C72" s="96" t="str">
        <f t="shared" si="1"/>
        <v>支付承兑汇票利息</v>
      </c>
      <c r="D72" s="21">
        <f t="shared" si="7"/>
        <v>0</v>
      </c>
      <c r="E72" s="21">
        <f t="shared" si="2"/>
        <v>1359.64</v>
      </c>
      <c r="F72" s="48">
        <f t="shared" si="8"/>
        <v>519426.64</v>
      </c>
      <c r="G72" s="94">
        <f t="shared" si="9"/>
      </c>
      <c r="H72" s="94" t="str">
        <f t="shared" si="3"/>
        <v>票据贴息</v>
      </c>
      <c r="I72" s="96">
        <f t="shared" si="0"/>
      </c>
      <c r="J72" s="94">
        <f t="shared" si="4"/>
      </c>
      <c r="K72" s="94">
        <f t="shared" si="10"/>
        <v>118</v>
      </c>
      <c r="L72" s="96">
        <f t="shared" si="5"/>
      </c>
      <c r="N72" s="2">
        <f>IF(65&gt;$Z$5,0,MOD(SMALL($Z$6:$Z$2005,65),10000))</f>
        <v>118</v>
      </c>
      <c r="O72" s="2">
        <f t="shared" si="11"/>
        <v>0</v>
      </c>
      <c r="Z72" s="2">
        <f>IF(AND(ISNUMBER(资金流水!$B$72),资金流水!$B$72&gt;=$C$4,资金流水!$B$72&lt;=$E$4,OR(资金流水!$C$72=$C$3,AND(资金流水!$AD$72=$C$3,资金流水!$X$72="账户互转"))),INT(资金流水!$B$72)*10000+67,"")</f>
        <v>460910067</v>
      </c>
    </row>
    <row r="73">
      <c r="A73" s="94">
        <f>IF($N73=0,"",66)</f>
        <v>66</v>
      </c>
      <c r="B73" s="95">
        <f t="shared" si="6"/>
        <v>46198.0</v>
      </c>
      <c r="C73" s="96" t="str">
        <f t="shared" si="1"/>
        <v>（朱博文，姚俊强）社保费</v>
      </c>
      <c r="D73" s="21">
        <f t="shared" si="7"/>
        <v>0</v>
      </c>
      <c r="E73" s="21">
        <f t="shared" si="2"/>
        <v>2008.42</v>
      </c>
      <c r="F73" s="48">
        <f t="shared" si="8"/>
        <v>517418.22</v>
      </c>
      <c r="G73" s="94">
        <f t="shared" si="9"/>
      </c>
      <c r="H73" s="94" t="str">
        <f t="shared" si="3"/>
        <v>社保费</v>
      </c>
      <c r="I73" s="96" t="str">
        <f t="shared" si="0"/>
        <v>姚俊强</v>
      </c>
      <c r="J73" s="94">
        <f t="shared" si="4"/>
      </c>
      <c r="K73" s="94">
        <f t="shared" si="10"/>
        <v>119</v>
      </c>
      <c r="L73" s="96">
        <f t="shared" si="5"/>
      </c>
      <c r="N73" s="2">
        <f>IF(66&gt;$Z$5,0,MOD(SMALL($Z$6:$Z$2005,66),10000))</f>
        <v>119</v>
      </c>
      <c r="O73" s="2">
        <f t="shared" si="11"/>
        <v>0</v>
      </c>
      <c r="Z73" s="2">
        <f>IF(AND(ISNUMBER(资金流水!$B$73),资金流水!$B$73&gt;=$C$4,资金流水!$B$73&lt;=$E$4,OR(资金流水!$C$73=$C$3,AND(资金流水!$AD$73=$C$3,资金流水!$X$73="账户互转"))),INT(资金流水!$B$73)*10000+68,"")</f>
      </c>
    </row>
    <row r="74">
      <c r="A74" s="94">
        <f>IF($N74=0,"",67)</f>
        <v>67</v>
      </c>
      <c r="B74" s="95">
        <f t="shared" si="6"/>
        <v>46198.0</v>
      </c>
      <c r="C74" s="96" t="str">
        <f t="shared" si="1"/>
        <v>（朱博文，姚俊强）社保费</v>
      </c>
      <c r="D74" s="21">
        <f t="shared" si="7"/>
        <v>0</v>
      </c>
      <c r="E74" s="21">
        <f t="shared" si="2"/>
        <v>30.54</v>
      </c>
      <c r="F74" s="48">
        <f t="shared" si="8"/>
        <v>517387.68</v>
      </c>
      <c r="G74" s="94">
        <f t="shared" si="9"/>
      </c>
      <c r="H74" s="94" t="str">
        <f t="shared" si="3"/>
        <v>社保费</v>
      </c>
      <c r="I74" s="96" t="str">
        <f t="shared" si="0"/>
        <v>姚俊强</v>
      </c>
      <c r="J74" s="94">
        <f t="shared" si="4"/>
      </c>
      <c r="K74" s="94">
        <f t="shared" si="10"/>
        <v>120</v>
      </c>
      <c r="L74" s="96">
        <f t="shared" si="5"/>
      </c>
      <c r="N74" s="2">
        <f>IF(67&gt;$Z$5,0,MOD(SMALL($Z$6:$Z$2005,67),10000))</f>
        <v>120</v>
      </c>
      <c r="O74" s="2">
        <f t="shared" si="11"/>
        <v>0</v>
      </c>
      <c r="Z74" s="2">
        <f>IF(AND(ISNUMBER(资金流水!$B$74),资金流水!$B$74&gt;=$C$4,资金流水!$B$74&lt;=$E$4,OR(资金流水!$C$74=$C$3,AND(资金流水!$AD$74=$C$3,资金流水!$X$74="账户互转"))),INT(资金流水!$B$74)*10000+69,"")</f>
      </c>
    </row>
    <row r="75">
      <c r="A75" s="94">
        <f>IF($N75=0,"",68)</f>
        <v>68</v>
      </c>
      <c r="B75" s="95">
        <f t="shared" si="6"/>
        <v>46198.0</v>
      </c>
      <c r="C75" s="96" t="str">
        <f t="shared" si="1"/>
        <v>付邓泽贵工资</v>
      </c>
      <c r="D75" s="21">
        <f t="shared" si="7"/>
        <v>0</v>
      </c>
      <c r="E75" s="21">
        <f t="shared" si="2"/>
        <v>19184.31</v>
      </c>
      <c r="F75" s="48">
        <f t="shared" si="8"/>
        <v>498203.37</v>
      </c>
      <c r="G75" s="94">
        <f t="shared" si="9"/>
      </c>
      <c r="H75" s="94" t="str">
        <f t="shared" si="3"/>
        <v>工资</v>
      </c>
      <c r="I75" s="96" t="str">
        <f t="shared" si="0"/>
        <v>邓泽贵</v>
      </c>
      <c r="J75" s="94">
        <f t="shared" si="4"/>
      </c>
      <c r="K75" s="94">
        <f t="shared" si="10"/>
        <v>121</v>
      </c>
      <c r="L75" s="96">
        <f t="shared" si="5"/>
      </c>
      <c r="N75" s="2">
        <f>IF(68&gt;$Z$5,0,MOD(SMALL($Z$6:$Z$2005,68),10000))</f>
        <v>121</v>
      </c>
      <c r="O75" s="2">
        <f t="shared" si="11"/>
        <v>0</v>
      </c>
      <c r="Z75" s="2">
        <f>IF(AND(ISNUMBER(资金流水!$B$75),资金流水!$B$75&gt;=$C$4,资金流水!$B$75&lt;=$E$4,OR(资金流水!$C$75=$C$3,AND(资金流水!$AD$75=$C$3,资金流水!$X$75="账户互转"))),INT(资金流水!$B$75)*10000+70,"")</f>
      </c>
    </row>
    <row r="76">
      <c r="A76" s="94">
        <f>IF($N76=0,"",69)</f>
        <v>69</v>
      </c>
      <c r="B76" s="95">
        <f t="shared" si="6"/>
        <v>46198.0</v>
      </c>
      <c r="C76" s="96" t="str">
        <f t="shared" si="1"/>
        <v>闵清林工资</v>
      </c>
      <c r="D76" s="21">
        <f t="shared" si="7"/>
        <v>0</v>
      </c>
      <c r="E76" s="21">
        <f t="shared" si="2"/>
        <v>8887</v>
      </c>
      <c r="F76" s="48">
        <f t="shared" si="8"/>
        <v>489316.37</v>
      </c>
      <c r="G76" s="94">
        <f t="shared" si="9"/>
      </c>
      <c r="H76" s="94" t="str">
        <f t="shared" si="3"/>
        <v>工资</v>
      </c>
      <c r="I76" s="96" t="str">
        <f t="shared" si="0"/>
        <v>闵清林</v>
      </c>
      <c r="J76" s="94">
        <f t="shared" si="4"/>
      </c>
      <c r="K76" s="94">
        <f t="shared" si="10"/>
        <v>122</v>
      </c>
      <c r="L76" s="96">
        <f t="shared" si="5"/>
      </c>
      <c r="N76" s="2">
        <f>IF(69&gt;$Z$5,0,MOD(SMALL($Z$6:$Z$2005,69),10000))</f>
        <v>122</v>
      </c>
      <c r="O76" s="2">
        <f t="shared" si="11"/>
        <v>0</v>
      </c>
      <c r="Z76" s="2">
        <f>IF(AND(ISNUMBER(资金流水!$B$76),资金流水!$B$76&gt;=$C$4,资金流水!$B$76&lt;=$E$4,OR(资金流水!$C$76=$C$3,AND(资金流水!$AD$76=$C$3,资金流水!$X$76="账户互转"))),INT(资金流水!$B$76)*10000+71,"")</f>
        <v>460930071</v>
      </c>
    </row>
    <row r="77">
      <c r="A77" s="94">
        <f>IF($N77=0,"",70)</f>
        <v>70</v>
      </c>
      <c r="B77" s="95">
        <f t="shared" si="6"/>
        <v>46198.0</v>
      </c>
      <c r="C77" s="96" t="str">
        <f t="shared" si="1"/>
        <v>支付启航材料费</v>
      </c>
      <c r="D77" s="21">
        <f t="shared" si="7"/>
        <v>0</v>
      </c>
      <c r="E77" s="21">
        <f t="shared" si="2"/>
        <v>10358</v>
      </c>
      <c r="F77" s="48">
        <f t="shared" si="8"/>
        <v>478958.37</v>
      </c>
      <c r="G77" s="94">
        <f t="shared" si="9"/>
      </c>
      <c r="H77" s="94" t="str">
        <f t="shared" si="3"/>
        <v>付应付款</v>
      </c>
      <c r="I77" s="96" t="str">
        <f t="shared" si="0"/>
        <v>启航五金</v>
      </c>
      <c r="J77" s="94">
        <f t="shared" si="4"/>
      </c>
      <c r="K77" s="94">
        <f t="shared" si="10"/>
        <v>123</v>
      </c>
      <c r="L77" s="96">
        <f t="shared" si="5"/>
      </c>
      <c r="N77" s="2">
        <f>IF(70&gt;$Z$5,0,MOD(SMALL($Z$6:$Z$2005,70),10000))</f>
        <v>123</v>
      </c>
      <c r="O77" s="2">
        <f t="shared" si="11"/>
        <v>0</v>
      </c>
      <c r="Z77" s="2">
        <f>IF(AND(ISNUMBER(资金流水!$B$77),资金流水!$B$77&gt;=$C$4,资金流水!$B$77&lt;=$E$4,OR(资金流水!$C$77=$C$3,AND(资金流水!$AD$77=$C$3,资金流水!$X$77="账户互转"))),INT(资金流水!$B$77)*10000+72,"")</f>
      </c>
    </row>
    <row r="78">
      <c r="A78" s="94">
        <f>IF($N78=0,"",71)</f>
        <v>71</v>
      </c>
      <c r="B78" s="95">
        <f t="shared" si="6"/>
        <v>46198.0</v>
      </c>
      <c r="C78" s="96" t="str">
        <f t="shared" si="1"/>
        <v>张滨工资</v>
      </c>
      <c r="D78" s="21">
        <f t="shared" si="7"/>
        <v>0</v>
      </c>
      <c r="E78" s="21">
        <f t="shared" si="2"/>
        <v>10000</v>
      </c>
      <c r="F78" s="48">
        <f t="shared" si="8"/>
        <v>468958.37</v>
      </c>
      <c r="G78" s="94">
        <f t="shared" si="9"/>
      </c>
      <c r="H78" s="94" t="str">
        <f t="shared" si="3"/>
        <v>工资</v>
      </c>
      <c r="I78" s="96" t="str">
        <f t="shared" si="0"/>
        <v>张滨</v>
      </c>
      <c r="J78" s="94">
        <f t="shared" si="4"/>
      </c>
      <c r="K78" s="94">
        <f t="shared" si="10"/>
        <v>124</v>
      </c>
      <c r="L78" s="96">
        <f t="shared" si="5"/>
      </c>
      <c r="N78" s="2">
        <f>IF(71&gt;$Z$5,0,MOD(SMALL($Z$6:$Z$2005,71),10000))</f>
        <v>124</v>
      </c>
      <c r="O78" s="2">
        <f t="shared" si="11"/>
        <v>0</v>
      </c>
      <c r="Z78" s="2">
        <f>IF(AND(ISNUMBER(资金流水!$B$78),资金流水!$B$78&gt;=$C$4,资金流水!$B$78&lt;=$E$4,OR(资金流水!$C$78=$C$3,AND(资金流水!$AD$78=$C$3,资金流水!$X$78="账户互转"))),INT(资金流水!$B$78)*10000+73,"")</f>
        <v>461000073</v>
      </c>
    </row>
    <row r="79">
      <c r="A79" s="94">
        <f>IF($N79=0,"",72)</f>
        <v>72</v>
      </c>
      <c r="B79" s="95">
        <f t="shared" si="6"/>
        <v>46198.0</v>
      </c>
      <c r="C79" s="96" t="str">
        <f t="shared" si="1"/>
        <v>公司门头装修费</v>
      </c>
      <c r="D79" s="21">
        <f t="shared" si="7"/>
        <v>0</v>
      </c>
      <c r="E79" s="21">
        <f t="shared" si="2"/>
        <v>1700</v>
      </c>
      <c r="F79" s="48">
        <f t="shared" si="8"/>
        <v>467258.37</v>
      </c>
      <c r="G79" s="94">
        <f t="shared" si="9"/>
      </c>
      <c r="H79" s="94" t="str">
        <f t="shared" si="3"/>
        <v>办公费</v>
      </c>
      <c r="I79" s="96">
        <f t="shared" si="0"/>
      </c>
      <c r="J79" s="94">
        <f t="shared" si="4"/>
      </c>
      <c r="K79" s="94">
        <f t="shared" si="10"/>
        <v>125</v>
      </c>
      <c r="L79" s="96">
        <f t="shared" si="5"/>
      </c>
      <c r="N79" s="2">
        <f>IF(72&gt;$Z$5,0,MOD(SMALL($Z$6:$Z$2005,72),10000))</f>
        <v>125</v>
      </c>
      <c r="O79" s="2">
        <f t="shared" si="11"/>
        <v>0</v>
      </c>
      <c r="Z79" s="2">
        <f>IF(AND(ISNUMBER(资金流水!$B$79),资金流水!$B$79&gt;=$C$4,资金流水!$B$79&lt;=$E$4,OR(资金流水!$C$79=$C$3,AND(资金流水!$AD$79=$C$3,资金流水!$X$79="账户互转"))),INT(资金流水!$B$79)*10000+74,"")</f>
      </c>
    </row>
    <row r="80">
      <c r="A80" s="94">
        <f>IF($N80=0,"",73)</f>
        <v>73</v>
      </c>
      <c r="B80" s="95">
        <f t="shared" si="6"/>
        <v>46198.0</v>
      </c>
      <c r="C80" s="96" t="str">
        <f t="shared" si="1"/>
        <v>江西图揽金属科技-抗震支架</v>
      </c>
      <c r="D80" s="21">
        <f t="shared" si="7"/>
        <v>0</v>
      </c>
      <c r="E80" s="21">
        <f t="shared" si="2"/>
        <v>20000</v>
      </c>
      <c r="F80" s="48">
        <f t="shared" si="8"/>
        <v>447258.37</v>
      </c>
      <c r="G80" s="94">
        <f t="shared" si="9"/>
      </c>
      <c r="H80" s="94" t="str">
        <f t="shared" si="3"/>
        <v>付应付款</v>
      </c>
      <c r="I80" s="96" t="str">
        <f t="shared" si="0"/>
        <v>图揽成善</v>
      </c>
      <c r="J80" s="94">
        <f t="shared" si="4"/>
      </c>
      <c r="K80" s="94">
        <f t="shared" si="10"/>
        <v>126</v>
      </c>
      <c r="L80" s="96">
        <f t="shared" si="5"/>
      </c>
      <c r="N80" s="2">
        <f>IF(73&gt;$Z$5,0,MOD(SMALL($Z$6:$Z$2005,73),10000))</f>
        <v>126</v>
      </c>
      <c r="O80" s="2">
        <f t="shared" si="11"/>
        <v>0</v>
      </c>
      <c r="Z80" s="2">
        <f>IF(AND(ISNUMBER(资金流水!$B$80),资金流水!$B$80&gt;=$C$4,资金流水!$B$80&lt;=$E$4,OR(资金流水!$C$80=$C$3,AND(资金流水!$AD$80=$C$3,资金流水!$X$80="账户互转"))),INT(资金流水!$B$80)*10000+75,"")</f>
      </c>
    </row>
    <row r="81">
      <c r="A81" s="94">
        <f>IF($N81=0,"",74)</f>
        <v>74</v>
      </c>
      <c r="B81" s="95">
        <f t="shared" si="6"/>
        <v>46198.0</v>
      </c>
      <c r="C81" s="96" t="str">
        <f t="shared" si="1"/>
        <v>浔阳楼电线款</v>
      </c>
      <c r="D81" s="21">
        <f t="shared" si="7"/>
        <v>0</v>
      </c>
      <c r="E81" s="21">
        <f t="shared" si="2"/>
        <v>9459</v>
      </c>
      <c r="F81" s="48">
        <f t="shared" si="8"/>
        <v>437799.37</v>
      </c>
      <c r="G81" s="94">
        <f t="shared" si="9"/>
      </c>
      <c r="H81" s="94" t="str">
        <f t="shared" si="3"/>
        <v>付应付款</v>
      </c>
      <c r="I81" s="96" t="str">
        <f t="shared" si="0"/>
        <v>浔阳楼电缆</v>
      </c>
      <c r="J81" s="94">
        <f t="shared" si="4"/>
      </c>
      <c r="K81" s="94">
        <f t="shared" si="10"/>
        <v>127</v>
      </c>
      <c r="L81" s="96">
        <f t="shared" si="5"/>
      </c>
      <c r="N81" s="2">
        <f>IF(74&gt;$Z$5,0,MOD(SMALL($Z$6:$Z$2005,74),10000))</f>
        <v>127</v>
      </c>
      <c r="O81" s="2">
        <f t="shared" si="11"/>
        <v>0</v>
      </c>
      <c r="Z81" s="2">
        <f>IF(AND(ISNUMBER(资金流水!$B$81),资金流水!$B$81&gt;=$C$4,资金流水!$B$81&lt;=$E$4,OR(资金流水!$C$81=$C$3,AND(资金流水!$AD$81=$C$3,资金流水!$X$81="账户互转"))),INT(资金流水!$B$81)*10000+76,"")</f>
      </c>
    </row>
    <row r="82">
      <c r="A82" s="94">
        <f>IF($N82=0,"",75)</f>
        <v>75</v>
      </c>
      <c r="B82" s="95">
        <f t="shared" si="6"/>
        <v>46198.0</v>
      </c>
      <c r="C82" s="96" t="str">
        <f t="shared" si="1"/>
        <v>浔阳楼电线款</v>
      </c>
      <c r="D82" s="21">
        <f t="shared" si="7"/>
        <v>0</v>
      </c>
      <c r="E82" s="21">
        <f t="shared" si="2"/>
        <v>34057</v>
      </c>
      <c r="F82" s="48">
        <f t="shared" si="8"/>
        <v>403742.37</v>
      </c>
      <c r="G82" s="94">
        <f t="shared" si="9"/>
      </c>
      <c r="H82" s="94" t="str">
        <f t="shared" si="3"/>
        <v>付应付款</v>
      </c>
      <c r="I82" s="96" t="str">
        <f t="shared" si="0"/>
        <v>浔阳楼电缆</v>
      </c>
      <c r="J82" s="94">
        <f t="shared" si="4"/>
      </c>
      <c r="K82" s="94">
        <f t="shared" si="10"/>
        <v>128</v>
      </c>
      <c r="L82" s="96">
        <f t="shared" si="5"/>
      </c>
      <c r="N82" s="2">
        <f>IF(75&gt;$Z$5,0,MOD(SMALL($Z$6:$Z$2005,75),10000))</f>
        <v>128</v>
      </c>
      <c r="O82" s="2">
        <f t="shared" si="11"/>
        <v>0</v>
      </c>
      <c r="Z82" s="2">
        <f>IF(AND(ISNUMBER(资金流水!$B$82),资金流水!$B$82&gt;=$C$4,资金流水!$B$82&lt;=$E$4,OR(资金流水!$C$82=$C$3,AND(资金流水!$AD$82=$C$3,资金流水!$X$82="账户互转"))),INT(资金流水!$B$82)*10000+77,"")</f>
      </c>
    </row>
    <row r="83">
      <c r="A83" s="94">
        <f>IF($N83=0,"",76)</f>
        <v>76</v>
      </c>
      <c r="B83" s="95">
        <f t="shared" si="6"/>
        <v>46198.0</v>
      </c>
      <c r="C83" s="96" t="str">
        <f t="shared" si="1"/>
        <v>四川久远智能消防-设备款</v>
      </c>
      <c r="D83" s="21">
        <f t="shared" si="7"/>
        <v>0</v>
      </c>
      <c r="E83" s="21">
        <f t="shared" si="2"/>
        <v>30551.22</v>
      </c>
      <c r="F83" s="48">
        <f t="shared" si="8"/>
        <v>373191.15</v>
      </c>
      <c r="G83" s="94">
        <f t="shared" si="9"/>
      </c>
      <c r="H83" s="94" t="str">
        <f t="shared" si="3"/>
        <v>材料费</v>
      </c>
      <c r="I83" s="96" t="str">
        <f t="shared" si="0"/>
        <v>四川久远智能消防</v>
      </c>
      <c r="J83" s="94">
        <f t="shared" si="4"/>
      </c>
      <c r="K83" s="94">
        <f t="shared" si="10"/>
        <v>129</v>
      </c>
      <c r="L83" s="96">
        <f t="shared" si="5"/>
      </c>
      <c r="N83" s="2">
        <f>IF(76&gt;$Z$5,0,MOD(SMALL($Z$6:$Z$2005,76),10000))</f>
        <v>129</v>
      </c>
      <c r="O83" s="2">
        <f t="shared" si="11"/>
        <v>0</v>
      </c>
      <c r="Z83" s="2">
        <f>IF(AND(ISNUMBER(资金流水!$B$83),资金流水!$B$83&gt;=$C$4,资金流水!$B$83&lt;=$E$4,OR(资金流水!$C$83=$C$3,AND(资金流水!$AD$83=$C$3,资金流水!$X$83="账户互转"))),INT(资金流水!$B$83)*10000+78,"")</f>
      </c>
    </row>
    <row r="84">
      <c r="A84" s="94">
        <f>IF($N84=0,"",77)</f>
        <v>77</v>
      </c>
      <c r="B84" s="95">
        <f t="shared" si="6"/>
        <v>46198.0</v>
      </c>
      <c r="C84" s="96" t="str">
        <f t="shared" si="1"/>
        <v>员工聚餐</v>
      </c>
      <c r="D84" s="21">
        <f t="shared" si="7"/>
        <v>0</v>
      </c>
      <c r="E84" s="21">
        <f t="shared" si="2"/>
        <v>1098</v>
      </c>
      <c r="F84" s="48">
        <f t="shared" si="8"/>
        <v>372093.15</v>
      </c>
      <c r="G84" s="94">
        <f t="shared" si="9"/>
      </c>
      <c r="H84" s="94" t="str">
        <f t="shared" si="3"/>
        <v>业务招待费</v>
      </c>
      <c r="I84" s="96">
        <f t="shared" si="0"/>
      </c>
      <c r="J84" s="94">
        <f t="shared" si="4"/>
      </c>
      <c r="K84" s="94">
        <f t="shared" si="10"/>
        <v>130</v>
      </c>
      <c r="L84" s="96">
        <f t="shared" si="5"/>
      </c>
      <c r="N84" s="2">
        <f>IF(77&gt;$Z$5,0,MOD(SMALL($Z$6:$Z$2005,77),10000))</f>
        <v>130</v>
      </c>
      <c r="O84" s="2">
        <f t="shared" si="11"/>
        <v>0</v>
      </c>
      <c r="Z84" s="2">
        <f>IF(AND(ISNUMBER(资金流水!$B$84),资金流水!$B$84&gt;=$C$4,资金流水!$B$84&lt;=$E$4,OR(资金流水!$C$84=$C$3,AND(资金流水!$AD$84=$C$3,资金流水!$X$84="账户互转"))),INT(资金流水!$B$84)*10000+79,"")</f>
      </c>
    </row>
    <row r="85">
      <c r="A85" s="94">
        <f>IF($N85=0,"",78)</f>
        <v>78</v>
      </c>
      <c r="B85" s="95">
        <f t="shared" si="6"/>
        <v>46198.0</v>
      </c>
      <c r="C85" s="96" t="str">
        <f t="shared" si="1"/>
        <v>皮卡车维修费</v>
      </c>
      <c r="D85" s="21">
        <f t="shared" si="7"/>
        <v>0</v>
      </c>
      <c r="E85" s="21">
        <f t="shared" si="2"/>
        <v>1200</v>
      </c>
      <c r="F85" s="48">
        <f t="shared" si="8"/>
        <v>370893.15</v>
      </c>
      <c r="G85" s="94">
        <f t="shared" si="9"/>
      </c>
      <c r="H85" s="94" t="str">
        <f t="shared" si="3"/>
        <v>车辆差旅</v>
      </c>
      <c r="I85" s="96">
        <f t="shared" si="0"/>
      </c>
      <c r="J85" s="94">
        <f t="shared" si="4"/>
      </c>
      <c r="K85" s="94">
        <f t="shared" si="10"/>
        <v>131</v>
      </c>
      <c r="L85" s="96">
        <f t="shared" si="5"/>
      </c>
      <c r="N85" s="2">
        <f>IF(78&gt;$Z$5,0,MOD(SMALL($Z$6:$Z$2005,78),10000))</f>
        <v>131</v>
      </c>
      <c r="O85" s="2">
        <f t="shared" si="11"/>
        <v>0</v>
      </c>
      <c r="Z85" s="2">
        <f>IF(AND(ISNUMBER(资金流水!$B$85),资金流水!$B$85&gt;=$C$4,资金流水!$B$85&lt;=$E$4,OR(资金流水!$C$85=$C$3,AND(资金流水!$AD$85=$C$3,资金流水!$X$85="账户互转"))),INT(资金流水!$B$85)*10000+80,"")</f>
      </c>
    </row>
    <row r="86">
      <c r="A86" s="94">
        <f>IF($N86=0,"",79)</f>
        <v>79</v>
      </c>
      <c r="B86" s="95">
        <f t="shared" si="6"/>
        <v>46199.0</v>
      </c>
      <c r="C86" s="96" t="str">
        <f t="shared" si="1"/>
        <v>付吴志刚工资</v>
      </c>
      <c r="D86" s="21">
        <f t="shared" si="7"/>
        <v>0</v>
      </c>
      <c r="E86" s="21">
        <f t="shared" si="2"/>
        <v>10000</v>
      </c>
      <c r="F86" s="48">
        <f t="shared" si="8"/>
        <v>360893.15</v>
      </c>
      <c r="G86" s="94">
        <f t="shared" si="9"/>
      </c>
      <c r="H86" s="94" t="str">
        <f t="shared" si="3"/>
        <v>工资</v>
      </c>
      <c r="I86" s="96" t="str">
        <f t="shared" si="0"/>
        <v>吴志刚</v>
      </c>
      <c r="J86" s="94">
        <f t="shared" si="4"/>
      </c>
      <c r="K86" s="94">
        <f t="shared" si="10"/>
        <v>132</v>
      </c>
      <c r="L86" s="96">
        <f t="shared" si="5"/>
      </c>
      <c r="N86" s="2">
        <f>IF(79&gt;$Z$5,0,MOD(SMALL($Z$6:$Z$2005,79),10000))</f>
        <v>132</v>
      </c>
      <c r="O86" s="2">
        <f t="shared" si="11"/>
        <v>0</v>
      </c>
      <c r="Z86" s="2">
        <f>IF(AND(ISNUMBER(资金流水!$B$86),资金流水!$B$86&gt;=$C$4,资金流水!$B$86&lt;=$E$4,OR(资金流水!$C$86=$C$3,AND(资金流水!$AD$86=$C$3,资金流水!$X$86="账户互转"))),INT(资金流水!$B$86)*10000+81,"")</f>
      </c>
    </row>
    <row r="87">
      <c r="A87" s="94">
        <f>IF($N87=0,"",80)</f>
        <v>80</v>
      </c>
      <c r="B87" s="95">
        <f t="shared" si="6"/>
        <v>46199.0</v>
      </c>
      <c r="C87" s="96" t="str">
        <f t="shared" si="1"/>
        <v>袁斌财工资</v>
      </c>
      <c r="D87" s="21">
        <f t="shared" si="7"/>
        <v>0</v>
      </c>
      <c r="E87" s="21">
        <f t="shared" si="2"/>
        <v>4000</v>
      </c>
      <c r="F87" s="48">
        <f t="shared" si="8"/>
        <v>356893.15</v>
      </c>
      <c r="G87" s="94">
        <f t="shared" si="9"/>
      </c>
      <c r="H87" s="94" t="str">
        <f t="shared" si="3"/>
        <v>工资</v>
      </c>
      <c r="I87" s="96" t="str">
        <f t="shared" si="0"/>
        <v>袁斌财</v>
      </c>
      <c r="J87" s="94">
        <f t="shared" si="4"/>
      </c>
      <c r="K87" s="94">
        <f t="shared" si="10"/>
        <v>133</v>
      </c>
      <c r="L87" s="96">
        <f t="shared" si="5"/>
      </c>
      <c r="N87" s="2">
        <f>IF(80&gt;$Z$5,0,MOD(SMALL($Z$6:$Z$2005,80),10000))</f>
        <v>133</v>
      </c>
      <c r="O87" s="2">
        <f t="shared" si="11"/>
        <v>0</v>
      </c>
      <c r="Z87" s="2">
        <f>IF(AND(ISNUMBER(资金流水!$B$87),资金流水!$B$87&gt;=$C$4,资金流水!$B$87&lt;=$E$4,OR(资金流水!$C$87=$C$3,AND(资金流水!$AD$87=$C$3,资金流水!$X$87="账户互转"))),INT(资金流水!$B$87)*10000+82,"")</f>
      </c>
    </row>
    <row r="88">
      <c r="A88" s="94">
        <f>IF($N88=0,"",81)</f>
        <v>81</v>
      </c>
      <c r="B88" s="95">
        <f t="shared" si="6"/>
        <v>46199.0</v>
      </c>
      <c r="C88" s="96" t="str">
        <f t="shared" si="1"/>
        <v>叶炳南工资</v>
      </c>
      <c r="D88" s="21">
        <f t="shared" si="7"/>
        <v>0</v>
      </c>
      <c r="E88" s="21">
        <f t="shared" si="2"/>
        <v>4000</v>
      </c>
      <c r="F88" s="48">
        <f t="shared" si="8"/>
        <v>352893.15</v>
      </c>
      <c r="G88" s="94">
        <f t="shared" si="9"/>
      </c>
      <c r="H88" s="94" t="str">
        <f t="shared" si="3"/>
        <v>工资</v>
      </c>
      <c r="I88" s="96" t="str">
        <f t="shared" si="0"/>
        <v>叶炳南</v>
      </c>
      <c r="J88" s="94">
        <f t="shared" si="4"/>
      </c>
      <c r="K88" s="94">
        <f t="shared" si="10"/>
        <v>134</v>
      </c>
      <c r="L88" s="96">
        <f t="shared" si="5"/>
      </c>
      <c r="N88" s="2">
        <f>IF(81&gt;$Z$5,0,MOD(SMALL($Z$6:$Z$2005,81),10000))</f>
        <v>134</v>
      </c>
      <c r="O88" s="2">
        <f t="shared" si="11"/>
        <v>0</v>
      </c>
      <c r="Z88" s="2">
        <f>IF(AND(ISNUMBER(资金流水!$B$88),资金流水!$B$88&gt;=$C$4,资金流水!$B$88&lt;=$E$4,OR(资金流水!$C$88=$C$3,AND(资金流水!$AD$88=$C$3,资金流水!$X$88="账户互转"))),INT(资金流水!$B$88)*10000+83,"")</f>
      </c>
    </row>
    <row r="89">
      <c r="A89" s="94">
        <f>IF($N89=0,"",82)</f>
        <v>82</v>
      </c>
      <c r="B89" s="95">
        <f t="shared" si="6"/>
        <v>46199.0</v>
      </c>
      <c r="C89" s="96" t="str">
        <f t="shared" si="1"/>
        <v>叶焰平工资</v>
      </c>
      <c r="D89" s="21">
        <f t="shared" si="7"/>
        <v>0</v>
      </c>
      <c r="E89" s="21">
        <f t="shared" si="2"/>
        <v>5000</v>
      </c>
      <c r="F89" s="48">
        <f t="shared" si="8"/>
        <v>347893.15</v>
      </c>
      <c r="G89" s="94">
        <f t="shared" si="9"/>
      </c>
      <c r="H89" s="94" t="str">
        <f t="shared" si="3"/>
        <v>工资</v>
      </c>
      <c r="I89" s="96" t="str">
        <f t="shared" si="0"/>
        <v>叶焰平</v>
      </c>
      <c r="J89" s="94">
        <f t="shared" si="4"/>
      </c>
      <c r="K89" s="94">
        <f t="shared" si="10"/>
        <v>135</v>
      </c>
      <c r="L89" s="96">
        <f t="shared" si="5"/>
      </c>
      <c r="N89" s="2">
        <f>IF(82&gt;$Z$5,0,MOD(SMALL($Z$6:$Z$2005,82),10000))</f>
        <v>135</v>
      </c>
      <c r="O89" s="2">
        <f t="shared" si="11"/>
        <v>0</v>
      </c>
      <c r="Z89" s="2">
        <f>IF(AND(ISNUMBER(资金流水!$B$89),资金流水!$B$89&gt;=$C$4,资金流水!$B$89&lt;=$E$4,OR(资金流水!$C$89=$C$3,AND(资金流水!$AD$89=$C$3,资金流水!$X$89="账户互转"))),INT(资金流水!$B$89)*10000+84,"")</f>
        <v>461770084</v>
      </c>
    </row>
    <row r="90">
      <c r="A90" s="94">
        <f>IF($N90=0,"",83)</f>
        <v>83</v>
      </c>
      <c r="B90" s="95">
        <f t="shared" si="6"/>
        <v>46199.0</v>
      </c>
      <c r="C90" s="96" t="str">
        <f t="shared" si="1"/>
        <v>梅秀刚工资</v>
      </c>
      <c r="D90" s="21">
        <f t="shared" si="7"/>
        <v>0</v>
      </c>
      <c r="E90" s="21">
        <f t="shared" si="2"/>
        <v>4000</v>
      </c>
      <c r="F90" s="48">
        <f t="shared" si="8"/>
        <v>343893.15</v>
      </c>
      <c r="G90" s="94">
        <f t="shared" si="9"/>
      </c>
      <c r="H90" s="94" t="str">
        <f t="shared" si="3"/>
        <v>工资</v>
      </c>
      <c r="I90" s="96" t="str">
        <f t="shared" si="0"/>
        <v>梅秀刚</v>
      </c>
      <c r="J90" s="94">
        <f t="shared" si="4"/>
      </c>
      <c r="K90" s="94">
        <f t="shared" si="10"/>
        <v>136</v>
      </c>
      <c r="L90" s="96">
        <f t="shared" si="5"/>
      </c>
      <c r="N90" s="2">
        <f>IF(83&gt;$Z$5,0,MOD(SMALL($Z$6:$Z$2005,83),10000))</f>
        <v>136</v>
      </c>
      <c r="O90" s="2">
        <f t="shared" si="11"/>
        <v>0</v>
      </c>
      <c r="Z90" s="2">
        <f>IF(AND(ISNUMBER(资金流水!$B$90),资金流水!$B$90&gt;=$C$4,资金流水!$B$90&lt;=$E$4,OR(资金流水!$C$90=$C$3,AND(资金流水!$AD$90=$C$3,资金流水!$X$90="账户互转"))),INT(资金流水!$B$90)*10000+85,"")</f>
        <v>461770085</v>
      </c>
    </row>
    <row r="91">
      <c r="A91" s="94">
        <f>IF($N91=0,"",84)</f>
        <v>84</v>
      </c>
      <c r="B91" s="95">
        <f t="shared" si="6"/>
        <v>46199.0</v>
      </c>
      <c r="C91" s="96" t="str">
        <f t="shared" si="1"/>
        <v>金李平工资</v>
      </c>
      <c r="D91" s="21">
        <f t="shared" si="7"/>
        <v>0</v>
      </c>
      <c r="E91" s="21">
        <f t="shared" si="2"/>
        <v>4000</v>
      </c>
      <c r="F91" s="48">
        <f t="shared" si="8"/>
        <v>339893.15</v>
      </c>
      <c r="G91" s="94">
        <f t="shared" si="9"/>
      </c>
      <c r="H91" s="94" t="str">
        <f t="shared" si="3"/>
        <v>工资</v>
      </c>
      <c r="I91" s="96" t="str">
        <f t="shared" si="0"/>
        <v>金李平</v>
      </c>
      <c r="J91" s="94">
        <f t="shared" si="4"/>
      </c>
      <c r="K91" s="94">
        <f t="shared" si="10"/>
        <v>137</v>
      </c>
      <c r="L91" s="96">
        <f t="shared" si="5"/>
      </c>
      <c r="N91" s="2">
        <f>IF(84&gt;$Z$5,0,MOD(SMALL($Z$6:$Z$2005,84),10000))</f>
        <v>137</v>
      </c>
      <c r="O91" s="2">
        <f t="shared" si="11"/>
        <v>0</v>
      </c>
      <c r="Z91" s="2">
        <f>IF(AND(ISNUMBER(资金流水!$B$91),资金流水!$B$91&gt;=$C$4,资金流水!$B$91&lt;=$E$4,OR(资金流水!$C$91=$C$3,AND(资金流水!$AD$91=$C$3,资金流水!$X$91="账户互转"))),INT(资金流水!$B$91)*10000+86,"")</f>
        <v>461780086</v>
      </c>
    </row>
    <row r="92">
      <c r="A92" s="94">
        <f>IF($N92=0,"",85)</f>
        <v>85</v>
      </c>
      <c r="B92" s="95">
        <f t="shared" si="6"/>
        <v>46199.0</v>
      </c>
      <c r="C92" s="96" t="str">
        <f t="shared" si="1"/>
        <v>胡家新工资</v>
      </c>
      <c r="D92" s="21">
        <f t="shared" si="7"/>
        <v>0</v>
      </c>
      <c r="E92" s="21">
        <f t="shared" si="2"/>
        <v>4000</v>
      </c>
      <c r="F92" s="48">
        <f t="shared" si="8"/>
        <v>335893.15</v>
      </c>
      <c r="G92" s="94">
        <f t="shared" si="9"/>
      </c>
      <c r="H92" s="94" t="str">
        <f t="shared" si="3"/>
        <v>工资</v>
      </c>
      <c r="I92" s="96" t="str">
        <f t="shared" si="0"/>
        <v>胡家新</v>
      </c>
      <c r="J92" s="94">
        <f t="shared" si="4"/>
      </c>
      <c r="K92" s="94">
        <f t="shared" si="10"/>
        <v>138</v>
      </c>
      <c r="L92" s="96">
        <f t="shared" si="5"/>
      </c>
      <c r="N92" s="2">
        <f>IF(85&gt;$Z$5,0,MOD(SMALL($Z$6:$Z$2005,85),10000))</f>
        <v>138</v>
      </c>
      <c r="O92" s="2">
        <f t="shared" si="11"/>
        <v>0</v>
      </c>
      <c r="Z92" s="2">
        <f>IF(AND(ISNUMBER(资金流水!$B$92),资金流水!$B$92&gt;=$C$4,资金流水!$B$92&lt;=$E$4,OR(资金流水!$C$92=$C$3,AND(资金流水!$AD$92=$C$3,资金流水!$X$92="账户互转"))),INT(资金流水!$B$92)*10000+87,"")</f>
        <v>461780087</v>
      </c>
    </row>
    <row r="93">
      <c r="A93" s="94">
        <f>IF($N93=0,"",86)</f>
        <v>86</v>
      </c>
      <c r="B93" s="95">
        <f t="shared" si="6"/>
        <v>46199.0</v>
      </c>
      <c r="C93" s="96" t="str">
        <f t="shared" si="1"/>
        <v>万焕和工资</v>
      </c>
      <c r="D93" s="21">
        <f t="shared" si="7"/>
        <v>0</v>
      </c>
      <c r="E93" s="21">
        <f t="shared" si="2"/>
        <v>4000</v>
      </c>
      <c r="F93" s="48">
        <f t="shared" si="8"/>
        <v>331893.15</v>
      </c>
      <c r="G93" s="94">
        <f t="shared" si="9"/>
      </c>
      <c r="H93" s="94" t="str">
        <f t="shared" si="3"/>
        <v>工资</v>
      </c>
      <c r="I93" s="96" t="str">
        <f t="shared" si="0"/>
        <v>万焕和</v>
      </c>
      <c r="J93" s="94">
        <f t="shared" si="4"/>
      </c>
      <c r="K93" s="94">
        <f t="shared" si="10"/>
        <v>139</v>
      </c>
      <c r="L93" s="96">
        <f t="shared" si="5"/>
      </c>
      <c r="N93" s="2">
        <f>IF(86&gt;$Z$5,0,MOD(SMALL($Z$6:$Z$2005,86),10000))</f>
        <v>139</v>
      </c>
      <c r="O93" s="2">
        <f t="shared" si="11"/>
        <v>0</v>
      </c>
      <c r="Z93" s="2">
        <f>IF(AND(ISNUMBER(资金流水!$B$93),资金流水!$B$93&gt;=$C$4,资金流水!$B$93&lt;=$E$4,OR(资金流水!$C$93=$C$3,AND(资金流水!$AD$93=$C$3,资金流水!$X$93="账户互转"))),INT(资金流水!$B$93)*10000+88,"")</f>
        <v>461780088</v>
      </c>
    </row>
    <row r="94">
      <c r="A94" s="94">
        <f>IF($N94=0,"",87)</f>
        <v>87</v>
      </c>
      <c r="B94" s="95">
        <f t="shared" si="6"/>
        <v>46199.0</v>
      </c>
      <c r="C94" s="96" t="str">
        <f t="shared" si="1"/>
        <v>徐从国工资</v>
      </c>
      <c r="D94" s="21">
        <f t="shared" si="7"/>
        <v>0</v>
      </c>
      <c r="E94" s="21">
        <f t="shared" si="2"/>
        <v>4000</v>
      </c>
      <c r="F94" s="48">
        <f t="shared" si="8"/>
        <v>327893.15</v>
      </c>
      <c r="G94" s="94">
        <f t="shared" si="9"/>
      </c>
      <c r="H94" s="94" t="str">
        <f t="shared" si="3"/>
        <v>工资</v>
      </c>
      <c r="I94" s="96" t="str">
        <f t="shared" si="0"/>
        <v>徐从国</v>
      </c>
      <c r="J94" s="94">
        <f t="shared" si="4"/>
      </c>
      <c r="K94" s="94">
        <f t="shared" si="10"/>
        <v>140</v>
      </c>
      <c r="L94" s="96">
        <f t="shared" si="5"/>
      </c>
      <c r="N94" s="2">
        <f>IF(87&gt;$Z$5,0,MOD(SMALL($Z$6:$Z$2005,87),10000))</f>
        <v>140</v>
      </c>
      <c r="O94" s="2">
        <f t="shared" si="11"/>
        <v>0</v>
      </c>
      <c r="Z94" s="2">
        <f>IF(AND(ISNUMBER(资金流水!$B$94),资金流水!$B$94&gt;=$C$4,资金流水!$B$94&lt;=$E$4,OR(资金流水!$C$94=$C$3,AND(资金流水!$AD$94=$C$3,资金流水!$X$94="账户互转"))),INT(资金流水!$B$94)*10000+89,"")</f>
        <v>461810089</v>
      </c>
    </row>
    <row r="95">
      <c r="A95" s="94">
        <f>IF($N95=0,"",88)</f>
        <v>88</v>
      </c>
      <c r="B95" s="95">
        <f t="shared" si="6"/>
        <v>46199.0</v>
      </c>
      <c r="C95" s="96" t="str">
        <f t="shared" si="1"/>
        <v>杨明定工资</v>
      </c>
      <c r="D95" s="21">
        <f t="shared" si="7"/>
        <v>0</v>
      </c>
      <c r="E95" s="21">
        <f t="shared" si="2"/>
        <v>4000</v>
      </c>
      <c r="F95" s="48">
        <f t="shared" si="8"/>
        <v>323893.15</v>
      </c>
      <c r="G95" s="94">
        <f t="shared" si="9"/>
      </c>
      <c r="H95" s="94" t="str">
        <f t="shared" si="3"/>
        <v>工资</v>
      </c>
      <c r="I95" s="96" t="str">
        <f t="shared" si="0"/>
        <v>杨明定</v>
      </c>
      <c r="J95" s="94">
        <f t="shared" si="4"/>
      </c>
      <c r="K95" s="94">
        <f t="shared" si="10"/>
        <v>141</v>
      </c>
      <c r="L95" s="96">
        <f t="shared" si="5"/>
      </c>
      <c r="N95" s="2">
        <f>IF(88&gt;$Z$5,0,MOD(SMALL($Z$6:$Z$2005,88),10000))</f>
        <v>141</v>
      </c>
      <c r="O95" s="2">
        <f t="shared" si="11"/>
        <v>0</v>
      </c>
      <c r="Z95" s="2">
        <f>IF(AND(ISNUMBER(资金流水!$B$95),资金流水!$B$95&gt;=$C$4,资金流水!$B$95&lt;=$E$4,OR(资金流水!$C$95=$C$3,AND(资金流水!$AD$95=$C$3,资金流水!$X$95="账户互转"))),INT(资金流水!$B$95)*10000+90,"")</f>
        <v>461810090</v>
      </c>
    </row>
    <row r="96">
      <c r="A96" s="94">
        <f>IF($N96=0,"",89)</f>
        <v>89</v>
      </c>
      <c r="B96" s="95">
        <f t="shared" si="6"/>
        <v>46199.0</v>
      </c>
      <c r="C96" s="96" t="str">
        <f t="shared" si="1"/>
        <v>张亮亮工资</v>
      </c>
      <c r="D96" s="21">
        <f t="shared" si="7"/>
        <v>0</v>
      </c>
      <c r="E96" s="21">
        <f t="shared" si="2"/>
        <v>5000</v>
      </c>
      <c r="F96" s="48">
        <f t="shared" si="8"/>
        <v>318893.15</v>
      </c>
      <c r="G96" s="94">
        <f t="shared" si="9"/>
      </c>
      <c r="H96" s="94" t="str">
        <f t="shared" si="3"/>
        <v>工资</v>
      </c>
      <c r="I96" s="96" t="str">
        <f t="shared" si="0"/>
        <v>张亮亮</v>
      </c>
      <c r="J96" s="94">
        <f t="shared" si="4"/>
      </c>
      <c r="K96" s="94">
        <f t="shared" si="10"/>
        <v>142</v>
      </c>
      <c r="L96" s="96">
        <f t="shared" si="5"/>
      </c>
      <c r="N96" s="2">
        <f>IF(89&gt;$Z$5,0,MOD(SMALL($Z$6:$Z$2005,89),10000))</f>
        <v>142</v>
      </c>
      <c r="O96" s="2">
        <f t="shared" si="11"/>
        <v>0</v>
      </c>
      <c r="Z96" s="2">
        <f>IF(AND(ISNUMBER(资金流水!$B$96),资金流水!$B$96&gt;=$C$4,资金流水!$B$96&lt;=$E$4,OR(资金流水!$C$96=$C$3,AND(资金流水!$AD$96=$C$3,资金流水!$X$96="账户互转"))),INT(资金流水!$B$96)*10000+91,"")</f>
        <v>461810091</v>
      </c>
    </row>
    <row r="97">
      <c r="A97" s="94">
        <f>IF($N97=0,"",90)</f>
        <v>90</v>
      </c>
      <c r="B97" s="95">
        <f t="shared" si="6"/>
        <v>46199.0</v>
      </c>
      <c r="C97" s="96" t="str">
        <f t="shared" si="1"/>
        <v>程章赐工资</v>
      </c>
      <c r="D97" s="21">
        <f t="shared" si="7"/>
        <v>0</v>
      </c>
      <c r="E97" s="21">
        <f t="shared" si="2"/>
        <v>4000</v>
      </c>
      <c r="F97" s="48">
        <f t="shared" si="8"/>
        <v>314893.15</v>
      </c>
      <c r="G97" s="94">
        <f t="shared" si="9"/>
      </c>
      <c r="H97" s="94" t="str">
        <f t="shared" si="3"/>
        <v>工资</v>
      </c>
      <c r="I97" s="96" t="str">
        <f t="shared" si="0"/>
        <v>程章赐</v>
      </c>
      <c r="J97" s="94">
        <f t="shared" si="4"/>
      </c>
      <c r="K97" s="94">
        <f t="shared" si="10"/>
        <v>143</v>
      </c>
      <c r="L97" s="96">
        <f t="shared" si="5"/>
      </c>
      <c r="N97" s="2">
        <f>IF(90&gt;$Z$5,0,MOD(SMALL($Z$6:$Z$2005,90),10000))</f>
        <v>143</v>
      </c>
      <c r="O97" s="2">
        <f t="shared" si="11"/>
        <v>0</v>
      </c>
      <c r="Z97" s="2">
        <f>IF(AND(ISNUMBER(资金流水!$B$97),资金流水!$B$97&gt;=$C$4,资金流水!$B$97&lt;=$E$4,OR(资金流水!$C$97=$C$3,AND(资金流水!$AD$97=$C$3,资金流水!$X$97="账户互转"))),INT(资金流水!$B$97)*10000+92,"")</f>
        <v>461810092</v>
      </c>
    </row>
    <row r="98">
      <c r="A98" s="94">
        <f>IF($N98=0,"",91)</f>
        <v>91</v>
      </c>
      <c r="B98" s="95">
        <f t="shared" si="6"/>
        <v>46199.0</v>
      </c>
      <c r="C98" s="96" t="str">
        <f t="shared" si="1"/>
        <v>程章材工资</v>
      </c>
      <c r="D98" s="21">
        <f t="shared" si="7"/>
        <v>0</v>
      </c>
      <c r="E98" s="21">
        <f t="shared" si="2"/>
        <v>4000</v>
      </c>
      <c r="F98" s="48">
        <f t="shared" si="8"/>
        <v>310893.15</v>
      </c>
      <c r="G98" s="94">
        <f t="shared" si="9"/>
      </c>
      <c r="H98" s="94" t="str">
        <f t="shared" si="3"/>
        <v>工资</v>
      </c>
      <c r="I98" s="96" t="str">
        <f t="shared" si="0"/>
        <v>程章材</v>
      </c>
      <c r="J98" s="94">
        <f t="shared" si="4"/>
      </c>
      <c r="K98" s="94">
        <f t="shared" si="10"/>
        <v>144</v>
      </c>
      <c r="L98" s="96">
        <f t="shared" si="5"/>
      </c>
      <c r="N98" s="2">
        <f>IF(91&gt;$Z$5,0,MOD(SMALL($Z$6:$Z$2005,91),10000))</f>
        <v>144</v>
      </c>
      <c r="O98" s="2">
        <f t="shared" si="11"/>
        <v>0</v>
      </c>
      <c r="Z98" s="2">
        <f>IF(AND(ISNUMBER(资金流水!$B$98),资金流水!$B$98&gt;=$C$4,资金流水!$B$98&lt;=$E$4,OR(资金流水!$C$98=$C$3,AND(资金流水!$AD$98=$C$3,资金流水!$X$98="账户互转"))),INT(资金流水!$B$98)*10000+93,"")</f>
        <v>461810093</v>
      </c>
    </row>
    <row r="99">
      <c r="A99" s="94">
        <f>IF($N99=0,"",92)</f>
        <v>92</v>
      </c>
      <c r="B99" s="95">
        <f t="shared" si="6"/>
        <v>46199.0</v>
      </c>
      <c r="C99" s="96" t="str">
        <f t="shared" si="1"/>
        <v>成峰工资</v>
      </c>
      <c r="D99" s="21">
        <f t="shared" si="7"/>
        <v>0</v>
      </c>
      <c r="E99" s="21">
        <f t="shared" si="2"/>
        <v>4000</v>
      </c>
      <c r="F99" s="48">
        <f t="shared" si="8"/>
        <v>306893.15</v>
      </c>
      <c r="G99" s="94">
        <f t="shared" si="9"/>
      </c>
      <c r="H99" s="94" t="str">
        <f t="shared" si="3"/>
        <v>工资</v>
      </c>
      <c r="I99" s="96" t="str">
        <f t="shared" si="0"/>
        <v>成峰</v>
      </c>
      <c r="J99" s="94">
        <f t="shared" si="4"/>
      </c>
      <c r="K99" s="94">
        <f t="shared" si="10"/>
        <v>145</v>
      </c>
      <c r="L99" s="96">
        <f t="shared" si="5"/>
      </c>
      <c r="N99" s="2">
        <f>IF(92&gt;$Z$5,0,MOD(SMALL($Z$6:$Z$2005,92),10000))</f>
        <v>145</v>
      </c>
      <c r="O99" s="2">
        <f t="shared" si="11"/>
        <v>0</v>
      </c>
      <c r="Z99" s="2">
        <f>IF(AND(ISNUMBER(资金流水!$B$99),资金流水!$B$99&gt;=$C$4,资金流水!$B$99&lt;=$E$4,OR(资金流水!$C$99=$C$3,AND(资金流水!$AD$99=$C$3,资金流水!$X$99="账户互转"))),INT(资金流水!$B$99)*10000+94,"")</f>
        <v>461810094</v>
      </c>
    </row>
    <row r="100">
      <c r="A100" s="94">
        <f>IF($N100=0,"",93)</f>
        <v>93</v>
      </c>
      <c r="B100" s="95">
        <f t="shared" si="6"/>
        <v>46199.0</v>
      </c>
      <c r="C100" s="96" t="str">
        <f t="shared" si="1"/>
        <v>金南水工资</v>
      </c>
      <c r="D100" s="21">
        <f t="shared" si="7"/>
        <v>0</v>
      </c>
      <c r="E100" s="21">
        <f t="shared" si="2"/>
        <v>10000</v>
      </c>
      <c r="F100" s="48">
        <f t="shared" si="8"/>
        <v>296893.15</v>
      </c>
      <c r="G100" s="94">
        <f t="shared" si="9"/>
      </c>
      <c r="H100" s="94" t="str">
        <f t="shared" si="3"/>
        <v>工资</v>
      </c>
      <c r="I100" s="96" t="str">
        <f t="shared" si="0"/>
        <v>金南水</v>
      </c>
      <c r="J100" s="94">
        <f t="shared" si="4"/>
      </c>
      <c r="K100" s="94">
        <f t="shared" si="10"/>
        <v>146</v>
      </c>
      <c r="L100" s="96">
        <f t="shared" si="5"/>
      </c>
      <c r="N100" s="2">
        <f>IF(93&gt;$Z$5,0,MOD(SMALL($Z$6:$Z$2005,93),10000))</f>
        <v>146</v>
      </c>
      <c r="O100" s="2">
        <f t="shared" si="11"/>
        <v>0</v>
      </c>
      <c r="Z100" s="2">
        <f>IF(AND(ISNUMBER(资金流水!$B$100),资金流水!$B$100&gt;=$C$4,资金流水!$B$100&lt;=$E$4,OR(资金流水!$C$100=$C$3,AND(资金流水!$AD$100=$C$3,资金流水!$X$100="账户互转"))),INT(资金流水!$B$100)*10000+95,"")</f>
        <v>461810095</v>
      </c>
    </row>
    <row r="101">
      <c r="A101" s="94">
        <f>IF($N101=0,"",94)</f>
        <v>94</v>
      </c>
      <c r="B101" s="95">
        <f t="shared" si="6"/>
        <v>46200.0</v>
      </c>
      <c r="C101" s="96" t="str">
        <f t="shared" si="1"/>
        <v>还聂辉个人借款</v>
      </c>
      <c r="D101" s="21">
        <f t="shared" si="7"/>
        <v>0</v>
      </c>
      <c r="E101" s="21">
        <f t="shared" si="2"/>
        <v>50000</v>
      </c>
      <c r="F101" s="48">
        <f t="shared" si="8"/>
        <v>246893.15</v>
      </c>
      <c r="G101" s="94">
        <f t="shared" si="9"/>
      </c>
      <c r="H101" s="94" t="str">
        <f t="shared" si="3"/>
        <v>账户互转</v>
      </c>
      <c r="I101" s="96" t="str">
        <f t="shared" si="0"/>
        <v>聂辉</v>
      </c>
      <c r="J101" s="94" t="str">
        <f t="shared" si="4"/>
        <v>聂辉个人户</v>
      </c>
      <c r="K101" s="94">
        <f t="shared" si="10"/>
        <v>147</v>
      </c>
      <c r="L101" s="96">
        <f t="shared" si="5"/>
      </c>
      <c r="N101" s="2">
        <f>IF(94&gt;$Z$5,0,MOD(SMALL($Z$6:$Z$2005,94),10000))</f>
        <v>147</v>
      </c>
      <c r="O101" s="2">
        <f t="shared" si="11"/>
        <v>0</v>
      </c>
      <c r="Z101" s="2">
        <f>IF(AND(ISNUMBER(资金流水!$B$101),资金流水!$B$101&gt;=$C$4,资金流水!$B$101&lt;=$E$4,OR(资金流水!$C$101=$C$3,AND(资金流水!$AD$101=$C$3,资金流水!$X$101="账户互转"))),INT(资金流水!$B$101)*10000+96,"")</f>
        <v>461810096</v>
      </c>
    </row>
    <row r="102">
      <c r="A102" s="94">
        <f>IF($N102=0,"",95)</f>
        <v>95</v>
      </c>
      <c r="B102" s="95">
        <f t="shared" si="6"/>
        <v>46202.0</v>
      </c>
      <c r="C102" s="96" t="str">
        <f t="shared" si="1"/>
        <v>邹桥工程款-承兑汇票</v>
      </c>
      <c r="D102" s="21">
        <f t="shared" si="7"/>
        <v>50996.59</v>
      </c>
      <c r="E102" s="21">
        <f t="shared" si="2"/>
        <v>0</v>
      </c>
      <c r="F102" s="48">
        <f t="shared" si="8"/>
        <v>297889.74</v>
      </c>
      <c r="G102" s="94" t="str">
        <f t="shared" si="9"/>
        <v>邹桥派出所</v>
      </c>
      <c r="H102" s="94" t="str">
        <f t="shared" si="3"/>
        <v>工程款</v>
      </c>
      <c r="I102" s="96">
        <f t="shared" si="0"/>
      </c>
      <c r="J102" s="94">
        <f t="shared" si="4"/>
      </c>
      <c r="K102" s="94">
        <f t="shared" si="10"/>
        <v>148</v>
      </c>
      <c r="L102" s="96">
        <f t="shared" si="5"/>
      </c>
      <c r="N102" s="2">
        <f>IF(95&gt;$Z$5,0,MOD(SMALL($Z$6:$Z$2005,95),10000))</f>
        <v>148</v>
      </c>
      <c r="O102" s="2">
        <f t="shared" si="11"/>
        <v>0</v>
      </c>
      <c r="Z102" s="2">
        <f>IF(AND(ISNUMBER(资金流水!$B$102),资金流水!$B$102&gt;=$C$4,资金流水!$B$102&lt;=$E$4,OR(资金流水!$C$102=$C$3,AND(资金流水!$AD$102=$C$3,资金流水!$X$102="账户互转"))),INT(资金流水!$B$102)*10000+97,"")</f>
        <v>461810097</v>
      </c>
    </row>
    <row r="103">
      <c r="A103" s="94">
        <f>IF($N103=0,"",96)</f>
        <v>96</v>
      </c>
      <c r="B103" s="95">
        <f t="shared" si="6"/>
        <v>46202.0</v>
      </c>
      <c r="C103" s="96" t="str">
        <f t="shared" si="1"/>
        <v>支付承兑汇票利息</v>
      </c>
      <c r="D103" s="21">
        <f t="shared" si="7"/>
        <v>0</v>
      </c>
      <c r="E103" s="21">
        <f t="shared" si="2"/>
        <v>229.48</v>
      </c>
      <c r="F103" s="48">
        <f t="shared" si="8"/>
        <v>297660.26</v>
      </c>
      <c r="G103" s="94">
        <f t="shared" si="9"/>
      </c>
      <c r="H103" s="94" t="str">
        <f t="shared" si="3"/>
        <v>票据贴息</v>
      </c>
      <c r="I103" s="96">
        <f t="shared" si="0"/>
      </c>
      <c r="J103" s="94">
        <f t="shared" si="4"/>
      </c>
      <c r="K103" s="94">
        <f t="shared" si="10"/>
        <v>149</v>
      </c>
      <c r="L103" s="96">
        <f t="shared" si="5"/>
      </c>
      <c r="N103" s="2">
        <f>IF(96&gt;$Z$5,0,MOD(SMALL($Z$6:$Z$2005,96),10000))</f>
        <v>149</v>
      </c>
      <c r="O103" s="2">
        <f t="shared" si="11"/>
        <v>0</v>
      </c>
      <c r="Z103" s="2">
        <f>IF(AND(ISNUMBER(资金流水!$B$103),资金流水!$B$103&gt;=$C$4,资金流水!$B$103&lt;=$E$4,OR(资金流水!$C$103=$C$3,AND(资金流水!$AD$103=$C$3,资金流水!$X$103="账户互转"))),INT(资金流水!$B$103)*10000+98,"")</f>
        <v>461830098</v>
      </c>
    </row>
    <row r="104">
      <c r="A104" s="94">
        <f>IF($N104=0,"",97)</f>
        <v>97</v>
      </c>
      <c r="B104" s="95">
        <f t="shared" si="6"/>
        <v>46203.0</v>
      </c>
      <c r="C104" s="96" t="str">
        <f t="shared" si="1"/>
        <v>四川久远智能消防-设备款</v>
      </c>
      <c r="D104" s="21">
        <f t="shared" si="7"/>
        <v>0</v>
      </c>
      <c r="E104" s="21">
        <f t="shared" si="2"/>
        <v>30000</v>
      </c>
      <c r="F104" s="48">
        <f t="shared" si="8"/>
        <v>267660.26</v>
      </c>
      <c r="G104" s="94">
        <f t="shared" si="9"/>
      </c>
      <c r="H104" s="94" t="str">
        <f t="shared" si="3"/>
        <v>材料费</v>
      </c>
      <c r="I104" s="96" t="str">
        <f t="shared" si="0"/>
        <v>四川久远智能消防</v>
      </c>
      <c r="J104" s="94">
        <f t="shared" si="4"/>
      </c>
      <c r="K104" s="94">
        <f t="shared" si="10"/>
        <v>150</v>
      </c>
      <c r="L104" s="96">
        <f t="shared" si="5"/>
      </c>
      <c r="N104" s="2">
        <f>IF(97&gt;$Z$5,0,MOD(SMALL($Z$6:$Z$2005,97),10000))</f>
        <v>150</v>
      </c>
      <c r="O104" s="2">
        <f t="shared" si="11"/>
        <v>0</v>
      </c>
      <c r="Z104" s="2">
        <f>IF(AND(ISNUMBER(资金流水!$B$104),资金流水!$B$104&gt;=$C$4,资金流水!$B$104&lt;=$E$4,OR(资金流水!$C$104=$C$3,AND(资金流水!$AD$104=$C$3,资金流水!$X$104="账户互转"))),INT(资金流水!$B$104)*10000+99,"")</f>
        <v>461830099</v>
      </c>
    </row>
    <row r="105">
      <c r="A105" s="94">
        <f>IF($N105=0,"",98)</f>
        <v>98</v>
      </c>
      <c r="B105" s="95">
        <f t="shared" si="6"/>
        <v>46203.0</v>
      </c>
      <c r="C105" s="96" t="str">
        <f t="shared" si="1"/>
        <v>九江财小保代账服务费</v>
      </c>
      <c r="D105" s="21">
        <f t="shared" si="7"/>
        <v>0</v>
      </c>
      <c r="E105" s="21">
        <f t="shared" si="2"/>
        <v>10000</v>
      </c>
      <c r="F105" s="48">
        <f t="shared" si="8"/>
        <v>257660.26</v>
      </c>
      <c r="G105" s="94">
        <f t="shared" si="9"/>
      </c>
      <c r="H105" s="94" t="str">
        <f t="shared" si="3"/>
        <v>办公费</v>
      </c>
      <c r="I105" s="96" t="str">
        <f t="shared" si="0"/>
        <v>九江财小保</v>
      </c>
      <c r="J105" s="94">
        <f t="shared" si="4"/>
      </c>
      <c r="K105" s="94">
        <f t="shared" si="10"/>
        <v>151</v>
      </c>
      <c r="L105" s="96">
        <f t="shared" si="5"/>
      </c>
      <c r="N105" s="2">
        <f>IF(98&gt;$Z$5,0,MOD(SMALL($Z$6:$Z$2005,98),10000))</f>
        <v>151</v>
      </c>
      <c r="O105" s="2">
        <f t="shared" si="11"/>
        <v>0</v>
      </c>
      <c r="Z105" s="2">
        <f>IF(AND(ISNUMBER(资金流水!$B$105),资金流水!$B$105&gt;=$C$4,资金流水!$B$105&lt;=$E$4,OR(资金流水!$C$105=$C$3,AND(资金流水!$AD$105=$C$3,资金流水!$X$105="账户互转"))),INT(资金流水!$B$105)*10000+100,"")</f>
        <v>461830100</v>
      </c>
    </row>
    <row r="106">
      <c r="A106" s="94">
        <f>IF($N106=0,"",99)</f>
        <v>99</v>
      </c>
      <c r="B106" s="95">
        <f t="shared" si="6"/>
        <v>46205.0</v>
      </c>
      <c r="C106" s="96" t="str">
        <f t="shared" si="1"/>
        <v>刘海工资</v>
      </c>
      <c r="D106" s="21">
        <f t="shared" si="7"/>
        <v>0</v>
      </c>
      <c r="E106" s="21">
        <f t="shared" si="2"/>
        <v>3000</v>
      </c>
      <c r="F106" s="48">
        <f t="shared" si="8"/>
        <v>254660.26</v>
      </c>
      <c r="G106" s="94">
        <f t="shared" si="9"/>
      </c>
      <c r="H106" s="94" t="str">
        <f t="shared" si="3"/>
        <v>工资</v>
      </c>
      <c r="I106" s="96" t="str">
        <f t="shared" si="0"/>
        <v>刘海</v>
      </c>
      <c r="J106" s="94">
        <f t="shared" si="4"/>
      </c>
      <c r="K106" s="94">
        <f t="shared" si="10"/>
        <v>152</v>
      </c>
      <c r="L106" s="96">
        <f t="shared" si="5"/>
      </c>
      <c r="N106" s="2">
        <f>IF(99&gt;$Z$5,0,MOD(SMALL($Z$6:$Z$2005,99),10000))</f>
        <v>152</v>
      </c>
      <c r="O106" s="2">
        <f t="shared" si="11"/>
        <v>0</v>
      </c>
      <c r="Z106" s="2">
        <f>IF(AND(ISNUMBER(资金流水!$B$106),资金流水!$B$106&gt;=$C$4,资金流水!$B$106&lt;=$E$4,OR(资金流水!$C$106=$C$3,AND(资金流水!$AD$106=$C$3,资金流水!$X$106="账户互转"))),INT(资金流水!$B$106)*10000+101,"")</f>
        <v>461840101</v>
      </c>
    </row>
    <row r="107">
      <c r="A107" s="94">
        <f>IF($N107=0,"",100)</f>
        <v>100</v>
      </c>
      <c r="B107" s="95">
        <f t="shared" si="6"/>
        <v>46205.0</v>
      </c>
      <c r="C107" s="96" t="str">
        <f t="shared" si="1"/>
        <v>高征坤工资</v>
      </c>
      <c r="D107" s="21">
        <f t="shared" si="7"/>
        <v>0</v>
      </c>
      <c r="E107" s="21">
        <f t="shared" si="2"/>
        <v>4000</v>
      </c>
      <c r="F107" s="48">
        <f t="shared" si="8"/>
        <v>250660.26</v>
      </c>
      <c r="G107" s="94">
        <f t="shared" si="9"/>
      </c>
      <c r="H107" s="94" t="str">
        <f t="shared" si="3"/>
        <v>工资</v>
      </c>
      <c r="I107" s="96" t="str">
        <f t="shared" si="0"/>
        <v>高征坤</v>
      </c>
      <c r="J107" s="94">
        <f t="shared" si="4"/>
      </c>
      <c r="K107" s="94">
        <f t="shared" si="10"/>
        <v>153</v>
      </c>
      <c r="L107" s="96">
        <f t="shared" si="5"/>
      </c>
      <c r="N107" s="2">
        <f>IF(100&gt;$Z$5,0,MOD(SMALL($Z$6:$Z$2005,100),10000))</f>
        <v>153</v>
      </c>
      <c r="O107" s="2">
        <f t="shared" si="11"/>
        <v>0</v>
      </c>
      <c r="Z107" s="2">
        <f>IF(AND(ISNUMBER(资金流水!$B$107),资金流水!$B$107&gt;=$C$4,资金流水!$B$107&lt;=$E$4,OR(资金流水!$C$107=$C$3,AND(资金流水!$AD$107=$C$3,资金流水!$X$107="账户互转"))),INT(资金流水!$B$107)*10000+102,"")</f>
        <v>461840102</v>
      </c>
    </row>
    <row r="108">
      <c r="A108" s="94">
        <f>IF($N108=0,"",101)</f>
        <v>101</v>
      </c>
      <c r="B108" s="95">
        <f t="shared" si="6"/>
        <v>46205.0</v>
      </c>
      <c r="C108" s="96" t="str">
        <f t="shared" si="1"/>
        <v>王兴姣工资</v>
      </c>
      <c r="D108" s="21">
        <f t="shared" si="7"/>
        <v>0</v>
      </c>
      <c r="E108" s="21">
        <f t="shared" si="2"/>
        <v>5000</v>
      </c>
      <c r="F108" s="48">
        <f t="shared" si="8"/>
        <v>245660.26</v>
      </c>
      <c r="G108" s="94">
        <f t="shared" si="9"/>
      </c>
      <c r="H108" s="94" t="str">
        <f t="shared" si="3"/>
        <v>工资</v>
      </c>
      <c r="I108" s="96" t="str">
        <f t="shared" si="0"/>
        <v>王兴蛟</v>
      </c>
      <c r="J108" s="94">
        <f t="shared" si="4"/>
      </c>
      <c r="K108" s="94">
        <f t="shared" si="10"/>
        <v>154</v>
      </c>
      <c r="L108" s="96">
        <f t="shared" si="5"/>
      </c>
      <c r="N108" s="2">
        <f>IF(101&gt;$Z$5,0,MOD(SMALL($Z$6:$Z$2005,101),10000))</f>
        <v>154</v>
      </c>
      <c r="O108" s="2">
        <f t="shared" si="11"/>
        <v>0</v>
      </c>
      <c r="Z108" s="2">
        <f>IF(AND(ISNUMBER(资金流水!$B$108),资金流水!$B$108&gt;=$C$4,资金流水!$B$108&lt;=$E$4,OR(资金流水!$C$108=$C$3,AND(资金流水!$AD$108=$C$3,资金流水!$X$108="账户互转"))),INT(资金流水!$B$108)*10000+103,"")</f>
        <v>461880103</v>
      </c>
    </row>
    <row r="109">
      <c r="A109" s="94">
        <f>IF($N109=0,"",102)</f>
        <v>102</v>
      </c>
      <c r="B109" s="95">
        <f t="shared" si="6"/>
        <v>46205.0</v>
      </c>
      <c r="C109" s="96" t="str">
        <f t="shared" si="1"/>
        <v>王兴姣工资</v>
      </c>
      <c r="D109" s="21">
        <f t="shared" si="7"/>
        <v>5000</v>
      </c>
      <c r="E109" s="21">
        <f t="shared" si="2"/>
        <v>0</v>
      </c>
      <c r="F109" s="48">
        <f t="shared" si="8"/>
        <v>250660.26</v>
      </c>
      <c r="G109" s="94">
        <f t="shared" si="9"/>
      </c>
      <c r="H109" s="94" t="str">
        <f t="shared" si="3"/>
        <v>工资</v>
      </c>
      <c r="I109" s="96" t="str">
        <f t="shared" si="0"/>
        <v>王兴蛟</v>
      </c>
      <c r="J109" s="94">
        <f t="shared" si="4"/>
      </c>
      <c r="K109" s="94">
        <f t="shared" si="10"/>
        <v>155</v>
      </c>
      <c r="L109" s="96">
        <f t="shared" si="5"/>
      </c>
      <c r="N109" s="2">
        <f>IF(102&gt;$Z$5,0,MOD(SMALL($Z$6:$Z$2005,102),10000))</f>
        <v>155</v>
      </c>
      <c r="O109" s="2">
        <f t="shared" si="11"/>
        <v>0</v>
      </c>
      <c r="Z109" s="2">
        <f>IF(AND(ISNUMBER(资金流水!$B$109),资金流水!$B$109&gt;=$C$4,资金流水!$B$109&lt;=$E$4,OR(资金流水!$C$109=$C$3,AND(资金流水!$AD$109=$C$3,资金流水!$X$109="账户互转"))),INT(资金流水!$B$109)*10000+104,"")</f>
        <v>461880104</v>
      </c>
    </row>
    <row r="110">
      <c r="A110" s="94">
        <f>IF($N110=0,"",103)</f>
        <v>103</v>
      </c>
      <c r="B110" s="95">
        <f t="shared" si="6"/>
        <v>46205.0</v>
      </c>
      <c r="C110" s="96" t="str">
        <f t="shared" si="1"/>
        <v>油漆费</v>
      </c>
      <c r="D110" s="21">
        <f t="shared" si="7"/>
        <v>0</v>
      </c>
      <c r="E110" s="21">
        <f t="shared" si="2"/>
        <v>574</v>
      </c>
      <c r="F110" s="48">
        <f t="shared" si="8"/>
        <v>250086.26</v>
      </c>
      <c r="G110" s="94">
        <f t="shared" si="9"/>
      </c>
      <c r="H110" s="94" t="str">
        <f t="shared" si="3"/>
        <v>材料费</v>
      </c>
      <c r="I110" s="96">
        <f t="shared" si="0"/>
      </c>
      <c r="J110" s="94">
        <f t="shared" si="4"/>
      </c>
      <c r="K110" s="94">
        <f t="shared" si="10"/>
        <v>156</v>
      </c>
      <c r="L110" s="96">
        <f t="shared" si="5"/>
      </c>
      <c r="N110" s="2">
        <f>IF(103&gt;$Z$5,0,MOD(SMALL($Z$6:$Z$2005,103),10000))</f>
        <v>156</v>
      </c>
      <c r="O110" s="2">
        <f t="shared" si="11"/>
        <v>0</v>
      </c>
      <c r="Z110" s="2">
        <f>IF(AND(ISNUMBER(资金流水!$B$110),资金流水!$B$110&gt;=$C$4,资金流水!$B$110&lt;=$E$4,OR(资金流水!$C$110=$C$3,AND(资金流水!$AD$110=$C$3,资金流水!$X$110="账户互转"))),INT(资金流水!$B$110)*10000+105,"")</f>
        <v>461880105</v>
      </c>
    </row>
    <row r="111">
      <c r="A111" s="94">
        <f>IF($N111=0,"",104)</f>
        <v>104</v>
      </c>
      <c r="B111" s="95">
        <f t="shared" si="6"/>
        <v>46205.0</v>
      </c>
      <c r="C111" s="96" t="str">
        <f t="shared" si="1"/>
        <v>德安农商行挖机费</v>
      </c>
      <c r="D111" s="21">
        <f t="shared" si="7"/>
        <v>0</v>
      </c>
      <c r="E111" s="21">
        <f t="shared" si="2"/>
        <v>800</v>
      </c>
      <c r="F111" s="48">
        <f t="shared" si="8"/>
        <v>249286.26</v>
      </c>
      <c r="G111" s="94" t="str">
        <f t="shared" si="9"/>
        <v>德安农商行总部</v>
      </c>
      <c r="H111" s="94" t="str">
        <f t="shared" si="3"/>
        <v>付应付款</v>
      </c>
      <c r="I111" s="96" t="str">
        <f t="shared" si="0"/>
        <v>德安县恒建工程部</v>
      </c>
      <c r="J111" s="94">
        <f t="shared" si="4"/>
      </c>
      <c r="K111" s="94">
        <f t="shared" si="10"/>
        <v>157</v>
      </c>
      <c r="L111" s="96">
        <f t="shared" si="5"/>
      </c>
      <c r="N111" s="2">
        <f>IF(104&gt;$Z$5,0,MOD(SMALL($Z$6:$Z$2005,104),10000))</f>
        <v>157</v>
      </c>
      <c r="O111" s="2">
        <f t="shared" si="11"/>
        <v>0</v>
      </c>
      <c r="Z111" s="2">
        <f>IF(AND(ISNUMBER(资金流水!$B$111),资金流水!$B$111&gt;=$C$4,资金流水!$B$111&lt;=$E$4,OR(资金流水!$C$111=$C$3,AND(资金流水!$AD$111=$C$3,资金流水!$X$111="账户互转"))),INT(资金流水!$B$111)*10000+106,"")</f>
        <v>461880106</v>
      </c>
    </row>
    <row r="112">
      <c r="A112" s="94">
        <f>IF($N112=0,"",105)</f>
        <v>105</v>
      </c>
      <c r="B112" s="95">
        <f t="shared" si="6"/>
        <v>46205.0</v>
      </c>
      <c r="C112" s="96" t="str">
        <f t="shared" si="1"/>
        <v>王兴蛟工资</v>
      </c>
      <c r="D112" s="21">
        <f t="shared" si="7"/>
        <v>0</v>
      </c>
      <c r="E112" s="21">
        <f t="shared" si="2"/>
        <v>5000</v>
      </c>
      <c r="F112" s="48">
        <f t="shared" si="8"/>
        <v>244286.26</v>
      </c>
      <c r="G112" s="94">
        <f t="shared" si="9"/>
      </c>
      <c r="H112" s="94" t="str">
        <f t="shared" si="3"/>
        <v>工资</v>
      </c>
      <c r="I112" s="96" t="str">
        <f t="shared" si="0"/>
        <v>王兴蛟</v>
      </c>
      <c r="J112" s="94">
        <f t="shared" si="4"/>
      </c>
      <c r="K112" s="94">
        <f t="shared" si="10"/>
        <v>158</v>
      </c>
      <c r="L112" s="96">
        <f t="shared" si="5"/>
      </c>
      <c r="N112" s="2">
        <f>IF(105&gt;$Z$5,0,MOD(SMALL($Z$6:$Z$2005,105),10000))</f>
        <v>158</v>
      </c>
      <c r="O112" s="2">
        <f t="shared" si="11"/>
        <v>0</v>
      </c>
      <c r="Z112" s="2">
        <f>IF(AND(ISNUMBER(资金流水!$B$112),资金流水!$B$112&gt;=$C$4,资金流水!$B$112&lt;=$E$4,OR(资金流水!$C$112=$C$3,AND(资金流水!$AD$112=$C$3,资金流水!$X$112="账户互转"))),INT(资金流水!$B$112)*10000+107,"")</f>
        <v>461910107</v>
      </c>
    </row>
    <row r="113">
      <c r="A113" s="94">
        <f>IF($N113=0,"",106)</f>
        <v>106</v>
      </c>
      <c r="B113" s="95">
        <f t="shared" si="6"/>
        <v>46207.0</v>
      </c>
      <c r="C113" s="96" t="str">
        <f t="shared" si="1"/>
        <v>代缴员工个税6月（闵清林，邓泽贵）</v>
      </c>
      <c r="D113" s="21">
        <f t="shared" si="7"/>
        <v>0</v>
      </c>
      <c r="E113" s="21">
        <f t="shared" si="2"/>
        <v>996.75</v>
      </c>
      <c r="F113" s="48">
        <f t="shared" si="8"/>
        <v>243289.51</v>
      </c>
      <c r="G113" s="94">
        <f t="shared" si="9"/>
      </c>
      <c r="H113" s="94" t="str">
        <f t="shared" si="3"/>
        <v>代缴个税</v>
      </c>
      <c r="I113" s="96" t="str">
        <f t="shared" si="0"/>
        <v>邓泽贵</v>
      </c>
      <c r="J113" s="94">
        <f t="shared" si="4"/>
      </c>
      <c r="K113" s="94">
        <f t="shared" si="10"/>
        <v>159</v>
      </c>
      <c r="L113" s="96">
        <f t="shared" si="5"/>
      </c>
      <c r="N113" s="2">
        <f>IF(106&gt;$Z$5,0,MOD(SMALL($Z$6:$Z$2005,106),10000))</f>
        <v>159</v>
      </c>
      <c r="O113" s="2">
        <f t="shared" si="11"/>
        <v>0</v>
      </c>
      <c r="Z113" s="2">
        <f>IF(AND(ISNUMBER(资金流水!$B$113),资金流水!$B$113&gt;=$C$4,资金流水!$B$113&lt;=$E$4,OR(资金流水!$C$113=$C$3,AND(资金流水!$AD$113=$C$3,资金流水!$X$113="账户互转"))),INT(资金流水!$B$113)*10000+108,"")</f>
        <v>461910108</v>
      </c>
    </row>
    <row r="114">
      <c r="A114" s="94">
        <f>IF($N114=0,"",107)</f>
        <v>107</v>
      </c>
      <c r="B114" s="95">
        <f t="shared" si="6"/>
        <v>46207.0</v>
      </c>
      <c r="C114" s="96" t="str">
        <f t="shared" si="1"/>
        <v>缴税款</v>
      </c>
      <c r="D114" s="21">
        <f t="shared" si="7"/>
        <v>0</v>
      </c>
      <c r="E114" s="21">
        <f t="shared" si="2"/>
        <v>2653.94</v>
      </c>
      <c r="F114" s="48">
        <f t="shared" si="8"/>
        <v>240635.57</v>
      </c>
      <c r="G114" s="94">
        <f t="shared" si="9"/>
      </c>
      <c r="H114" s="94" t="str">
        <f t="shared" si="3"/>
        <v>缴增值税及附加</v>
      </c>
      <c r="I114" s="96">
        <f t="shared" si="0"/>
      </c>
      <c r="J114" s="94">
        <f t="shared" si="4"/>
      </c>
      <c r="K114" s="94">
        <f t="shared" si="10"/>
        <v>160</v>
      </c>
      <c r="L114" s="96">
        <f t="shared" si="5"/>
      </c>
      <c r="N114" s="2">
        <f>IF(107&gt;$Z$5,0,MOD(SMALL($Z$6:$Z$2005,107),10000))</f>
        <v>160</v>
      </c>
      <c r="O114" s="2">
        <f t="shared" si="11"/>
        <v>0</v>
      </c>
      <c r="Z114" s="2">
        <f>IF(AND(ISNUMBER(资金流水!$B$114),资金流水!$B$114&gt;=$C$4,资金流水!$B$114&lt;=$E$4,OR(资金流水!$C$114=$C$3,AND(资金流水!$AD$114=$C$3,资金流水!$X$114="账户互转"))),INT(资金流水!$B$114)*10000+109,"")</f>
        <v>461910109</v>
      </c>
    </row>
    <row r="115">
      <c r="A115" s="94">
        <f>IF($N115=0,"",108)</f>
        <v>108</v>
      </c>
      <c r="B115" s="95">
        <f t="shared" si="6"/>
        <v>46217.0</v>
      </c>
      <c r="C115" s="96" t="str">
        <f t="shared" si="1"/>
        <v>江西佩力通风-消防设备款</v>
      </c>
      <c r="D115" s="21">
        <f t="shared" si="7"/>
        <v>0</v>
      </c>
      <c r="E115" s="21">
        <f t="shared" si="2"/>
        <v>1673</v>
      </c>
      <c r="F115" s="48">
        <f t="shared" si="8"/>
        <v>238962.57</v>
      </c>
      <c r="G115" s="94">
        <f t="shared" si="9"/>
      </c>
      <c r="H115" s="94" t="str">
        <f t="shared" si="3"/>
        <v>付应付款</v>
      </c>
      <c r="I115" s="96" t="str">
        <f t="shared" si="0"/>
        <v>佩力通风</v>
      </c>
      <c r="J115" s="94">
        <f t="shared" si="4"/>
      </c>
      <c r="K115" s="94">
        <f t="shared" si="10"/>
        <v>161</v>
      </c>
      <c r="L115" s="96">
        <f t="shared" si="5"/>
      </c>
      <c r="N115" s="2">
        <f>IF(108&gt;$Z$5,0,MOD(SMALL($Z$6:$Z$2005,108),10000))</f>
        <v>161</v>
      </c>
      <c r="O115" s="2">
        <f t="shared" si="11"/>
        <v>0</v>
      </c>
      <c r="Z115" s="2">
        <f>IF(AND(ISNUMBER(资金流水!$B$115),资金流水!$B$115&gt;=$C$4,资金流水!$B$115&lt;=$E$4,OR(资金流水!$C$115=$C$3,AND(资金流水!$AD$115=$C$3,资金流水!$X$115="账户互转"))),INT(资金流水!$B$115)*10000+110,"")</f>
        <v>461910110</v>
      </c>
    </row>
    <row r="116">
      <c r="A116" s="94">
        <f>IF($N116=0,"",109)</f>
        <v>109</v>
      </c>
      <c r="B116" s="95">
        <f t="shared" si="6"/>
        <v>46226.0</v>
      </c>
      <c r="C116" s="96" t="str">
        <f t="shared" si="1"/>
        <v>隆世光伏/共青办公楼/德祥工地工程款</v>
      </c>
      <c r="D116" s="21">
        <f t="shared" si="7"/>
        <v>120000</v>
      </c>
      <c r="E116" s="21">
        <f t="shared" si="2"/>
        <v>0</v>
      </c>
      <c r="F116" s="48">
        <f t="shared" si="8"/>
        <v>358962.57</v>
      </c>
      <c r="G116" s="94" t="str">
        <f t="shared" si="9"/>
        <v>隆世光伏</v>
      </c>
      <c r="H116" s="94" t="str">
        <f t="shared" si="3"/>
        <v>工程款</v>
      </c>
      <c r="I116" s="96">
        <f t="shared" si="0"/>
      </c>
      <c r="J116" s="94">
        <f t="shared" si="4"/>
      </c>
      <c r="K116" s="94">
        <f t="shared" si="10"/>
        <v>162</v>
      </c>
      <c r="L116" s="96">
        <f t="shared" si="5"/>
      </c>
      <c r="N116" s="2">
        <f>IF(109&gt;$Z$5,0,MOD(SMALL($Z$6:$Z$2005,109),10000))</f>
        <v>162</v>
      </c>
      <c r="O116" s="2">
        <f t="shared" si="11"/>
        <v>0</v>
      </c>
      <c r="Z116" s="2">
        <f>IF(AND(ISNUMBER(资金流水!$B$116),资金流水!$B$116&gt;=$C$4,资金流水!$B$116&lt;=$E$4,OR(资金流水!$C$116=$C$3,AND(资金流水!$AD$116=$C$3,资金流水!$X$116="账户互转"))),INT(资金流水!$B$116)*10000+111,"")</f>
        <v>461910111</v>
      </c>
    </row>
    <row r="117">
      <c r="A117" s="94">
        <f>IF($N117=0,"",110)</f>
        <v>110</v>
      </c>
      <c r="B117" s="95">
        <f t="shared" si="6"/>
        <v>46226.0</v>
      </c>
      <c r="C117" s="96" t="str">
        <f t="shared" si="1"/>
        <v>叶焰平工资</v>
      </c>
      <c r="D117" s="21">
        <f t="shared" si="7"/>
        <v>0</v>
      </c>
      <c r="E117" s="21">
        <f t="shared" si="2"/>
        <v>10000</v>
      </c>
      <c r="F117" s="48">
        <f t="shared" si="8"/>
        <v>348962.57</v>
      </c>
      <c r="G117" s="94">
        <f t="shared" si="9"/>
      </c>
      <c r="H117" s="94" t="str">
        <f t="shared" si="3"/>
        <v>工资</v>
      </c>
      <c r="I117" s="96" t="str">
        <f t="shared" si="0"/>
        <v>叶焰平</v>
      </c>
      <c r="J117" s="94">
        <f t="shared" si="4"/>
      </c>
      <c r="K117" s="94">
        <f t="shared" si="10"/>
        <v>163</v>
      </c>
      <c r="L117" s="96">
        <f t="shared" si="5"/>
      </c>
      <c r="N117" s="2">
        <f>IF(110&gt;$Z$5,0,MOD(SMALL($Z$6:$Z$2005,110),10000))</f>
        <v>163</v>
      </c>
      <c r="O117" s="2">
        <f t="shared" si="11"/>
        <v>0</v>
      </c>
      <c r="Z117" s="2">
        <f>IF(AND(ISNUMBER(资金流水!$B$117),资金流水!$B$117&gt;=$C$4,资金流水!$B$117&lt;=$E$4,OR(资金流水!$C$117=$C$3,AND(资金流水!$AD$117=$C$3,资金流水!$X$117="账户互转"))),INT(资金流水!$B$117)*10000+112,"")</f>
        <v>461930112</v>
      </c>
    </row>
    <row r="118">
      <c r="A118" s="94">
        <f>IF($N118=0,"",111)</f>
        <v>111</v>
      </c>
      <c r="B118" s="95">
        <f t="shared" si="6"/>
        <v>46227.0</v>
      </c>
      <c r="C118" s="96" t="str">
        <f t="shared" si="1"/>
        <v>（朱博文，姚俊强）社保费</v>
      </c>
      <c r="D118" s="21">
        <f t="shared" si="7"/>
        <v>0</v>
      </c>
      <c r="E118" s="21">
        <f t="shared" si="2"/>
        <v>2008.42</v>
      </c>
      <c r="F118" s="48">
        <f t="shared" si="8"/>
        <v>346954.15</v>
      </c>
      <c r="G118" s="94">
        <f t="shared" si="9"/>
      </c>
      <c r="H118" s="94" t="str">
        <f t="shared" si="3"/>
        <v>社保费</v>
      </c>
      <c r="I118" s="96" t="str">
        <f t="shared" si="0"/>
        <v>姚俊强</v>
      </c>
      <c r="J118" s="94">
        <f t="shared" si="4"/>
      </c>
      <c r="K118" s="94">
        <f t="shared" si="10"/>
        <v>164</v>
      </c>
      <c r="L118" s="96">
        <f t="shared" si="5"/>
      </c>
      <c r="N118" s="2">
        <f>IF(111&gt;$Z$5,0,MOD(SMALL($Z$6:$Z$2005,111),10000))</f>
        <v>164</v>
      </c>
      <c r="O118" s="2">
        <f t="shared" si="11"/>
        <v>0</v>
      </c>
      <c r="Z118" s="2">
        <f>IF(AND(ISNUMBER(资金流水!$B$118),资金流水!$B$118&gt;=$C$4,资金流水!$B$118&lt;=$E$4,OR(资金流水!$C$118=$C$3,AND(资金流水!$AD$118=$C$3,资金流水!$X$118="账户互转"))),INT(资金流水!$B$118)*10000+113,"")</f>
        <v>461930113</v>
      </c>
    </row>
    <row r="119">
      <c r="A119" s="94">
        <f>IF($N119=0,"",112)</f>
        <v>112</v>
      </c>
      <c r="B119" s="95">
        <f t="shared" si="6"/>
        <v>46227.0</v>
      </c>
      <c r="C119" s="96" t="str">
        <f t="shared" si="1"/>
        <v>（朱博文，姚俊强）社保费</v>
      </c>
      <c r="D119" s="21">
        <f t="shared" si="7"/>
        <v>0</v>
      </c>
      <c r="E119" s="21">
        <f t="shared" si="2"/>
        <v>30.54</v>
      </c>
      <c r="F119" s="48">
        <f t="shared" si="8"/>
        <v>346923.61</v>
      </c>
      <c r="G119" s="94">
        <f t="shared" si="9"/>
      </c>
      <c r="H119" s="94" t="str">
        <f t="shared" si="3"/>
        <v>社保费</v>
      </c>
      <c r="I119" s="96" t="str">
        <f t="shared" si="0"/>
        <v>姚俊强</v>
      </c>
      <c r="J119" s="94">
        <f t="shared" si="4"/>
      </c>
      <c r="K119" s="94">
        <f t="shared" si="10"/>
        <v>165</v>
      </c>
      <c r="L119" s="96">
        <f t="shared" si="5"/>
      </c>
      <c r="N119" s="2">
        <f>IF(112&gt;$Z$5,0,MOD(SMALL($Z$6:$Z$2005,112),10000))</f>
        <v>165</v>
      </c>
      <c r="O119" s="2">
        <f t="shared" si="11"/>
        <v>0</v>
      </c>
      <c r="Z119" s="2">
        <f>IF(AND(ISNUMBER(资金流水!$B$119),资金流水!$B$119&gt;=$C$4,资金流水!$B$119&lt;=$E$4,OR(资金流水!$C$119=$C$3,AND(资金流水!$AD$119=$C$3,资金流水!$X$119="账户互转"))),INT(资金流水!$B$119)*10000+114,"")</f>
        <v>461930114</v>
      </c>
    </row>
    <row r="120">
      <c r="A120" s="94">
        <f>IF($N120=0,"",113)</f>
        <v>113</v>
      </c>
      <c r="B120" s="95">
        <f t="shared" si="6"/>
        <v>46227.0</v>
      </c>
      <c r="C120" s="96" t="str">
        <f t="shared" si="1"/>
        <v>还王伟2025年11月9日借款</v>
      </c>
      <c r="D120" s="21">
        <f t="shared" si="7"/>
        <v>0</v>
      </c>
      <c r="E120" s="21">
        <f t="shared" si="2"/>
        <v>30000</v>
      </c>
      <c r="F120" s="48">
        <f t="shared" si="8"/>
        <v>316923.61</v>
      </c>
      <c r="G120" s="94">
        <f t="shared" si="9"/>
      </c>
      <c r="H120" s="94" t="str">
        <f t="shared" si="3"/>
        <v>账户互转</v>
      </c>
      <c r="I120" s="96" t="str">
        <f t="shared" si="0"/>
        <v>王伟</v>
      </c>
      <c r="J120" s="94" t="str">
        <f t="shared" si="4"/>
        <v>王伟个人户</v>
      </c>
      <c r="K120" s="94">
        <f t="shared" si="10"/>
        <v>166</v>
      </c>
      <c r="L120" s="96">
        <f t="shared" si="5"/>
      </c>
      <c r="N120" s="2">
        <f>IF(113&gt;$Z$5,0,MOD(SMALL($Z$6:$Z$2005,113),10000))</f>
        <v>166</v>
      </c>
      <c r="O120" s="2">
        <f t="shared" si="11"/>
        <v>0</v>
      </c>
      <c r="Z120" s="2">
        <f>IF(AND(ISNUMBER(资金流水!$B$120),资金流水!$B$120&gt;=$C$4,资金流水!$B$120&lt;=$E$4,OR(资金流水!$C$120=$C$3,AND(资金流水!$AD$120=$C$3,资金流水!$X$120="账户互转"))),INT(资金流水!$B$120)*10000+115,"")</f>
        <v>461930115</v>
      </c>
    </row>
    <row r="121">
      <c r="A121" s="94">
        <f>IF($N121=0,"",114)</f>
        <v>114</v>
      </c>
      <c r="B121" s="95">
        <f t="shared" si="6"/>
        <v>46227.0</v>
      </c>
      <c r="C121" s="96" t="str">
        <f t="shared" si="1"/>
        <v>张滨工资</v>
      </c>
      <c r="D121" s="21">
        <f t="shared" si="7"/>
        <v>0</v>
      </c>
      <c r="E121" s="21">
        <f t="shared" si="2"/>
        <v>5000</v>
      </c>
      <c r="F121" s="48">
        <f t="shared" si="8"/>
        <v>311923.61</v>
      </c>
      <c r="G121" s="94">
        <f t="shared" si="9"/>
      </c>
      <c r="H121" s="94" t="str">
        <f t="shared" si="3"/>
        <v>工资</v>
      </c>
      <c r="I121" s="96" t="str">
        <f t="shared" si="0"/>
        <v>张滨</v>
      </c>
      <c r="J121" s="94">
        <f t="shared" si="4"/>
      </c>
      <c r="K121" s="94">
        <f t="shared" si="10"/>
        <v>167</v>
      </c>
      <c r="L121" s="96">
        <f t="shared" si="5"/>
      </c>
      <c r="N121" s="2">
        <f>IF(114&gt;$Z$5,0,MOD(SMALL($Z$6:$Z$2005,114),10000))</f>
        <v>167</v>
      </c>
      <c r="O121" s="2">
        <f t="shared" si="11"/>
        <v>0</v>
      </c>
      <c r="Z121" s="2">
        <f>IF(AND(ISNUMBER(资金流水!$B$121),资金流水!$B$121&gt;=$C$4,资金流水!$B$121&lt;=$E$4,OR(资金流水!$C$121=$C$3,AND(资金流水!$AD$121=$C$3,资金流水!$X$121="账户互转"))),INT(资金流水!$B$121)*10000+116,"")</f>
        <v>461940116</v>
      </c>
    </row>
    <row r="122">
      <c r="A122" s="94">
        <f>IF($N122=0,"",115)</f>
        <v>115</v>
      </c>
      <c r="B122" s="95">
        <f t="shared" si="6"/>
        <v>46229.0</v>
      </c>
      <c r="C122" s="96" t="str">
        <f t="shared" si="1"/>
        <v>还聂辉2025年1月28日6万 还聂辉2025年11月2日1万</v>
      </c>
      <c r="D122" s="21">
        <f t="shared" si="7"/>
        <v>0</v>
      </c>
      <c r="E122" s="21">
        <f t="shared" si="2"/>
        <v>70000</v>
      </c>
      <c r="F122" s="48">
        <f t="shared" si="8"/>
        <v>241923.61</v>
      </c>
      <c r="G122" s="94">
        <f t="shared" si="9"/>
      </c>
      <c r="H122" s="94" t="str">
        <f t="shared" si="3"/>
        <v>账户互转</v>
      </c>
      <c r="I122" s="96" t="str">
        <f t="shared" si="0"/>
        <v>聂辉</v>
      </c>
      <c r="J122" s="94" t="str">
        <f t="shared" si="4"/>
        <v>聂辉个人户</v>
      </c>
      <c r="K122" s="94">
        <f t="shared" si="10"/>
        <v>168</v>
      </c>
      <c r="L122" s="96">
        <f t="shared" si="5"/>
      </c>
      <c r="N122" s="2">
        <f>IF(115&gt;$Z$5,0,MOD(SMALL($Z$6:$Z$2005,115),10000))</f>
        <v>168</v>
      </c>
      <c r="O122" s="2">
        <f t="shared" si="11"/>
        <v>0</v>
      </c>
      <c r="Z122" s="2">
        <f>IF(AND(ISNUMBER(资金流水!$B$122),资金流水!$B$122&gt;=$C$4,资金流水!$B$122&lt;=$E$4,OR(资金流水!$C$122=$C$3,AND(资金流水!$AD$122=$C$3,资金流水!$X$122="账户互转"))),INT(资金流水!$B$122)*10000+117,"")</f>
        <v>461980117</v>
      </c>
    </row>
    <row r="123">
      <c r="A123" s="94">
        <f>IF($N123=0,"",116)</f>
        <v>116</v>
      </c>
      <c r="B123" s="95">
        <f t="shared" si="6"/>
        <v>46231.0</v>
      </c>
      <c r="C123" s="96" t="str">
        <f t="shared" si="1"/>
        <v>聂辉个人借款</v>
      </c>
      <c r="D123" s="21">
        <f t="shared" si="7"/>
        <v>60000</v>
      </c>
      <c r="E123" s="21">
        <f t="shared" si="2"/>
        <v>0</v>
      </c>
      <c r="F123" s="48">
        <f t="shared" si="8"/>
        <v>301923.61</v>
      </c>
      <c r="G123" s="94">
        <f t="shared" si="9"/>
      </c>
      <c r="H123" s="94" t="str">
        <f t="shared" si="3"/>
        <v>账户互转</v>
      </c>
      <c r="I123" s="96" t="str">
        <f t="shared" si="0"/>
        <v>聂辉</v>
      </c>
      <c r="J123" s="94" t="str">
        <f t="shared" si="4"/>
        <v>聂辉个人户</v>
      </c>
      <c r="K123" s="94">
        <f t="shared" si="10"/>
        <v>169</v>
      </c>
      <c r="L123" s="96">
        <f t="shared" si="5"/>
      </c>
      <c r="N123" s="2">
        <f>IF(116&gt;$Z$5,0,MOD(SMALL($Z$6:$Z$2005,116),10000))</f>
        <v>169</v>
      </c>
      <c r="O123" s="2">
        <f t="shared" si="11"/>
        <v>0</v>
      </c>
      <c r="Z123" s="2">
        <f>IF(AND(ISNUMBER(资金流水!$B$123),资金流水!$B$123&gt;=$C$4,资金流水!$B$123&lt;=$E$4,OR(资金流水!$C$123=$C$3,AND(资金流水!$AD$123=$C$3,资金流水!$X$123="账户互转"))),INT(资金流水!$B$123)*10000+118,"")</f>
        <v>461980118</v>
      </c>
    </row>
    <row r="124">
      <c r="A124" s="94">
        <f>IF($N124=0,"",117)</f>
        <v>117</v>
      </c>
      <c r="B124" s="95">
        <f t="shared" si="6"/>
        <v>46231.0</v>
      </c>
      <c r="C124" s="96" t="str">
        <f t="shared" si="1"/>
        <v>吴山政府项目材料费</v>
      </c>
      <c r="D124" s="21">
        <f t="shared" si="7"/>
        <v>0</v>
      </c>
      <c r="E124" s="21">
        <f t="shared" si="2"/>
        <v>29040</v>
      </c>
      <c r="F124" s="48">
        <f t="shared" si="8"/>
        <v>272883.61</v>
      </c>
      <c r="G124" s="94" t="str">
        <f t="shared" si="9"/>
        <v>吴山政府项目</v>
      </c>
      <c r="H124" s="94" t="str">
        <f t="shared" si="3"/>
        <v>材料费</v>
      </c>
      <c r="I124" s="96">
        <f t="shared" si="0"/>
      </c>
      <c r="J124" s="94">
        <f t="shared" si="4"/>
      </c>
      <c r="K124" s="94">
        <f t="shared" si="10"/>
        <v>170</v>
      </c>
      <c r="L124" s="96">
        <f t="shared" si="5"/>
      </c>
      <c r="N124" s="2">
        <f>IF(117&gt;$Z$5,0,MOD(SMALL($Z$6:$Z$2005,117),10000))</f>
        <v>170</v>
      </c>
      <c r="O124" s="2">
        <f t="shared" si="11"/>
        <v>0</v>
      </c>
      <c r="Z124" s="2">
        <f>IF(AND(ISNUMBER(资金流水!$B$124),资金流水!$B$124&gt;=$C$4,资金流水!$B$124&lt;=$E$4,OR(资金流水!$C$124=$C$3,AND(资金流水!$AD$124=$C$3,资金流水!$X$124="账户互转"))),INT(资金流水!$B$124)*10000+119,"")</f>
        <v>461980119</v>
      </c>
    </row>
    <row r="125">
      <c r="A125" s="94">
        <f>IF($N125=0,"",118)</f>
        <v>118</v>
      </c>
      <c r="B125" s="95">
        <f t="shared" si="6"/>
        <v>46231.0</v>
      </c>
      <c r="C125" s="96" t="str">
        <f t="shared" si="1"/>
        <v>吴山政府项目材料费</v>
      </c>
      <c r="D125" s="21">
        <f t="shared" si="7"/>
        <v>0</v>
      </c>
      <c r="E125" s="21">
        <f t="shared" si="2"/>
        <v>27607.98</v>
      </c>
      <c r="F125" s="48">
        <f t="shared" si="8"/>
        <v>245275.63</v>
      </c>
      <c r="G125" s="94" t="str">
        <f t="shared" si="9"/>
        <v>吴山政府项目</v>
      </c>
      <c r="H125" s="94" t="str">
        <f t="shared" si="3"/>
        <v>材料费</v>
      </c>
      <c r="I125" s="96">
        <f t="shared" si="0"/>
      </c>
      <c r="J125" s="94">
        <f t="shared" si="4"/>
      </c>
      <c r="K125" s="94">
        <f t="shared" si="10"/>
        <v>171</v>
      </c>
      <c r="L125" s="96">
        <f t="shared" si="5"/>
      </c>
      <c r="N125" s="2">
        <f>IF(118&gt;$Z$5,0,MOD(SMALL($Z$6:$Z$2005,118),10000))</f>
        <v>171</v>
      </c>
      <c r="O125" s="2">
        <f t="shared" si="11"/>
        <v>0</v>
      </c>
      <c r="Z125" s="2">
        <f>IF(AND(ISNUMBER(资金流水!$B$125),资金流水!$B$125&gt;=$C$4,资金流水!$B$125&lt;=$E$4,OR(资金流水!$C$125=$C$3,AND(资金流水!$AD$125=$C$3,资金流水!$X$125="账户互转"))),INT(资金流水!$B$125)*10000+120,"")</f>
        <v>461980120</v>
      </c>
    </row>
    <row r="126">
      <c r="A126" s="94">
        <f>IF($N126=0,"",119)</f>
        <v>119</v>
      </c>
      <c r="B126" s="95">
        <f t="shared" si="6"/>
        <v>46232.0</v>
      </c>
      <c r="C126" s="96" t="str">
        <f t="shared" si="1"/>
        <v>抚州8号楼工程款</v>
      </c>
      <c r="D126" s="21">
        <f t="shared" si="7"/>
        <v>54516.23</v>
      </c>
      <c r="E126" s="21">
        <f t="shared" si="2"/>
        <v>0</v>
      </c>
      <c r="F126" s="48">
        <f t="shared" si="8"/>
        <v>299791.86</v>
      </c>
      <c r="G126" s="94" t="str">
        <f t="shared" si="9"/>
        <v>抚州8号楼</v>
      </c>
      <c r="H126" s="94" t="str">
        <f t="shared" si="3"/>
        <v>工程款</v>
      </c>
      <c r="I126" s="96">
        <f t="shared" si="0"/>
      </c>
      <c r="J126" s="94">
        <f t="shared" si="4"/>
      </c>
      <c r="K126" s="94">
        <f t="shared" si="10"/>
        <v>172</v>
      </c>
      <c r="L126" s="96">
        <f t="shared" si="5"/>
      </c>
      <c r="N126" s="2">
        <f>IF(119&gt;$Z$5,0,MOD(SMALL($Z$6:$Z$2005,119),10000))</f>
        <v>172</v>
      </c>
      <c r="O126" s="2">
        <f t="shared" si="11"/>
        <v>0</v>
      </c>
      <c r="Z126" s="2">
        <f>IF(AND(ISNUMBER(资金流水!$B$126),资金流水!$B$126&gt;=$C$4,资金流水!$B$126&lt;=$E$4,OR(资金流水!$C$126=$C$3,AND(资金流水!$AD$126=$C$3,资金流水!$X$126="账户互转"))),INT(资金流水!$B$126)*10000+121,"")</f>
        <v>461980121</v>
      </c>
    </row>
    <row r="127">
      <c r="A127" s="94">
        <f>IF($N127=0,"",120)</f>
        <v>120</v>
      </c>
      <c r="B127" s="95">
        <f t="shared" si="6"/>
        <v>46232.0</v>
      </c>
      <c r="C127" s="96" t="str">
        <f t="shared" si="1"/>
        <v>德养消防检测报告</v>
      </c>
      <c r="D127" s="21">
        <f t="shared" si="7"/>
        <v>0</v>
      </c>
      <c r="E127" s="21">
        <f t="shared" si="2"/>
        <v>8000</v>
      </c>
      <c r="F127" s="48">
        <f t="shared" si="8"/>
        <v>291791.86</v>
      </c>
      <c r="G127" s="94" t="str">
        <f t="shared" si="9"/>
        <v>德安养老中心</v>
      </c>
      <c r="H127" s="94" t="str">
        <f t="shared" si="3"/>
        <v>其他直接费</v>
      </c>
      <c r="I127" s="96">
        <f t="shared" si="0"/>
      </c>
      <c r="J127" s="94">
        <f t="shared" si="4"/>
      </c>
      <c r="K127" s="94">
        <f t="shared" si="10"/>
        <v>173</v>
      </c>
      <c r="L127" s="96">
        <f t="shared" si="5"/>
      </c>
      <c r="N127" s="2">
        <f>IF(120&gt;$Z$5,0,MOD(SMALL($Z$6:$Z$2005,120),10000))</f>
        <v>173</v>
      </c>
      <c r="O127" s="2">
        <f t="shared" si="11"/>
        <v>0</v>
      </c>
      <c r="Z127" s="2">
        <f>IF(AND(ISNUMBER(资金流水!$B$127),资金流水!$B$127&gt;=$C$4,资金流水!$B$127&lt;=$E$4,OR(资金流水!$C$127=$C$3,AND(资金流水!$AD$127=$C$3,资金流水!$X$127="账户互转"))),INT(资金流水!$B$127)*10000+122,"")</f>
        <v>461980122</v>
      </c>
    </row>
    <row r="128">
      <c r="A128" s="94">
        <f>IF($N128=0,"",121)</f>
        <v>121</v>
      </c>
      <c r="B128" s="95">
        <f t="shared" si="6"/>
        <v>46234.0</v>
      </c>
      <c r="C128" s="96" t="str">
        <f t="shared" si="1"/>
        <v>科创中心挖机费</v>
      </c>
      <c r="D128" s="21">
        <f t="shared" si="7"/>
        <v>0</v>
      </c>
      <c r="E128" s="21">
        <f t="shared" si="2"/>
        <v>8000</v>
      </c>
      <c r="F128" s="48">
        <f t="shared" si="8"/>
        <v>283791.86</v>
      </c>
      <c r="G128" s="94" t="str">
        <f t="shared" si="9"/>
        <v>科创中心</v>
      </c>
      <c r="H128" s="94" t="str">
        <f t="shared" si="3"/>
        <v>机械运输费</v>
      </c>
      <c r="I128" s="96">
        <f t="shared" si="0"/>
      </c>
      <c r="J128" s="94">
        <f t="shared" si="4"/>
      </c>
      <c r="K128" s="94">
        <f t="shared" si="10"/>
        <v>174</v>
      </c>
      <c r="L128" s="96">
        <f t="shared" si="5"/>
      </c>
      <c r="N128" s="2">
        <f>IF(121&gt;$Z$5,0,MOD(SMALL($Z$6:$Z$2005,121),10000))</f>
        <v>174</v>
      </c>
      <c r="O128" s="2">
        <f t="shared" si="11"/>
        <v>0</v>
      </c>
      <c r="Z128" s="2">
        <f>IF(AND(ISNUMBER(资金流水!$B$128),资金流水!$B$128&gt;=$C$4,资金流水!$B$128&lt;=$E$4,OR(资金流水!$C$128=$C$3,AND(资金流水!$AD$128=$C$3,资金流水!$X$128="账户互转"))),INT(资金流水!$B$128)*10000+123,"")</f>
        <v>461980123</v>
      </c>
    </row>
    <row r="129">
      <c r="A129" s="94">
        <f>IF($N129=0,"",122)</f>
        <v>122</v>
      </c>
      <c r="B129" s="95">
        <f t="shared" si="6"/>
        <v>46234.0</v>
      </c>
      <c r="C129" s="96" t="str">
        <f t="shared" si="1"/>
        <v>科创中心挖机费</v>
      </c>
      <c r="D129" s="21">
        <f t="shared" si="7"/>
        <v>8000</v>
      </c>
      <c r="E129" s="21">
        <f t="shared" si="2"/>
        <v>0</v>
      </c>
      <c r="F129" s="48">
        <f t="shared" si="8"/>
        <v>291791.86</v>
      </c>
      <c r="G129" s="94" t="str">
        <f t="shared" si="9"/>
        <v>科创中心</v>
      </c>
      <c r="H129" s="94" t="str">
        <f t="shared" si="3"/>
        <v>机械运输费</v>
      </c>
      <c r="I129" s="96">
        <f t="shared" si="0"/>
      </c>
      <c r="J129" s="94">
        <f t="shared" si="4"/>
      </c>
      <c r="K129" s="94">
        <f t="shared" si="10"/>
        <v>175</v>
      </c>
      <c r="L129" s="96">
        <f t="shared" si="5"/>
      </c>
      <c r="N129" s="2">
        <f>IF(122&gt;$Z$5,0,MOD(SMALL($Z$6:$Z$2005,122),10000))</f>
        <v>175</v>
      </c>
      <c r="O129" s="2">
        <f t="shared" si="11"/>
        <v>0</v>
      </c>
      <c r="Z129" s="2">
        <f>IF(AND(ISNUMBER(资金流水!$B$129),资金流水!$B$129&gt;=$C$4,资金流水!$B$129&lt;=$E$4,OR(资金流水!$C$129=$C$3,AND(资金流水!$AD$129=$C$3,资金流水!$X$129="账户互转"))),INT(资金流水!$B$129)*10000+124,"")</f>
        <v>461980124</v>
      </c>
    </row>
    <row r="130">
      <c r="A130" s="94">
        <f>IF($N130=0,"",123)</f>
        <v>123</v>
      </c>
      <c r="B130" s="95">
        <f t="shared" si="6"/>
        <v>46234.0</v>
      </c>
      <c r="C130" s="96" t="str">
        <f t="shared" si="1"/>
        <v>科创中心挖机费</v>
      </c>
      <c r="D130" s="21">
        <f t="shared" si="7"/>
        <v>0</v>
      </c>
      <c r="E130" s="21">
        <f t="shared" si="2"/>
        <v>8000</v>
      </c>
      <c r="F130" s="48">
        <f t="shared" si="8"/>
        <v>283791.86</v>
      </c>
      <c r="G130" s="94" t="str">
        <f t="shared" si="9"/>
        <v>科创中心</v>
      </c>
      <c r="H130" s="94" t="str">
        <f t="shared" si="3"/>
        <v>机械运输费</v>
      </c>
      <c r="I130" s="96">
        <f t="shared" si="0"/>
      </c>
      <c r="J130" s="94">
        <f t="shared" si="4"/>
      </c>
      <c r="K130" s="94">
        <f t="shared" si="10"/>
        <v>176</v>
      </c>
      <c r="L130" s="96">
        <f t="shared" si="5"/>
      </c>
      <c r="N130" s="2">
        <f>IF(123&gt;$Z$5,0,MOD(SMALL($Z$6:$Z$2005,123),10000))</f>
        <v>176</v>
      </c>
      <c r="O130" s="2">
        <f t="shared" si="11"/>
        <v>0</v>
      </c>
      <c r="Z130" s="2">
        <f>IF(AND(ISNUMBER(资金流水!$B$130),资金流水!$B$130&gt;=$C$4,资金流水!$B$130&lt;=$E$4,OR(资金流水!$C$130=$C$3,AND(资金流水!$AD$130=$C$3,资金流水!$X$130="账户互转"))),INT(资金流水!$B$130)*10000+125,"")</f>
        <v>461980125</v>
      </c>
    </row>
    <row r="131">
      <c r="A131" s="94">
        <f>IF($N131=0,"",124)</f>
        <v>124</v>
      </c>
      <c r="B131" s="95">
        <f t="shared" si="6"/>
        <v>46234.0</v>
      </c>
      <c r="C131" s="96" t="str">
        <f t="shared" si="1"/>
        <v>邹桥派出所屋面保温棉搬运费 张洪林（已扣80个税）</v>
      </c>
      <c r="D131" s="21">
        <f t="shared" si="7"/>
        <v>0</v>
      </c>
      <c r="E131" s="21">
        <f t="shared" si="2"/>
        <v>1120</v>
      </c>
      <c r="F131" s="48">
        <f t="shared" si="8"/>
        <v>282671.86</v>
      </c>
      <c r="G131" s="94" t="str">
        <f t="shared" si="9"/>
        <v>邹桥派出所</v>
      </c>
      <c r="H131" s="94" t="str">
        <f t="shared" si="3"/>
        <v>工资</v>
      </c>
      <c r="I131" s="96" t="str">
        <f t="shared" si="0"/>
        <v>张洪林</v>
      </c>
      <c r="J131" s="94">
        <f t="shared" si="4"/>
      </c>
      <c r="K131" s="94">
        <f t="shared" si="10"/>
        <v>177</v>
      </c>
      <c r="L131" s="96">
        <f t="shared" si="5"/>
      </c>
      <c r="N131" s="2">
        <f>IF(124&gt;$Z$5,0,MOD(SMALL($Z$6:$Z$2005,124),10000))</f>
        <v>177</v>
      </c>
      <c r="O131" s="2">
        <f t="shared" si="11"/>
        <v>0</v>
      </c>
      <c r="Z131" s="2">
        <f>IF(AND(ISNUMBER(资金流水!$B$131),资金流水!$B$131&gt;=$C$4,资金流水!$B$131&lt;=$E$4,OR(资金流水!$C$131=$C$3,AND(资金流水!$AD$131=$C$3,资金流水!$X$131="账户互转"))),INT(资金流水!$B$131)*10000+126,"")</f>
        <v>461980126</v>
      </c>
    </row>
    <row r="132">
      <c r="A132" s="94">
        <f>IF($N132=0,"",125)</f>
        <v>125</v>
      </c>
      <c r="B132" s="95">
        <f t="shared" si="6"/>
        <v>46234.0</v>
      </c>
      <c r="C132" s="96" t="str">
        <f t="shared" si="1"/>
        <v>茶叶款（陈先琴）</v>
      </c>
      <c r="D132" s="21">
        <f t="shared" si="7"/>
        <v>0</v>
      </c>
      <c r="E132" s="21">
        <f t="shared" si="2"/>
        <v>950</v>
      </c>
      <c r="F132" s="48">
        <f t="shared" si="8"/>
        <v>281721.86</v>
      </c>
      <c r="G132" s="94">
        <f t="shared" si="9"/>
      </c>
      <c r="H132" s="94" t="str">
        <f t="shared" si="3"/>
        <v>业务招待费</v>
      </c>
      <c r="I132" s="96">
        <f t="shared" si="0"/>
      </c>
      <c r="J132" s="94">
        <f t="shared" si="4"/>
      </c>
      <c r="K132" s="94">
        <f t="shared" si="10"/>
        <v>178</v>
      </c>
      <c r="L132" s="96">
        <f t="shared" si="5"/>
      </c>
      <c r="N132" s="2">
        <f>IF(125&gt;$Z$5,0,MOD(SMALL($Z$6:$Z$2005,125),10000))</f>
        <v>178</v>
      </c>
      <c r="O132" s="2">
        <f t="shared" si="11"/>
        <v>0</v>
      </c>
      <c r="Z132" s="2">
        <f>IF(AND(ISNUMBER(资金流水!$B$132),资金流水!$B$132&gt;=$C$4,资金流水!$B$132&lt;=$E$4,OR(资金流水!$C$132=$C$3,AND(资金流水!$AD$132=$C$3,资金流水!$X$132="账户互转"))),INT(资金流水!$B$132)*10000+127,"")</f>
        <v>461980127</v>
      </c>
    </row>
    <row r="133">
      <c r="A133" s="94">
        <f>IF($N133=0,"",126)</f>
        <v>126</v>
      </c>
      <c r="B133" s="95">
        <f t="shared" si="6"/>
        <v>46234.0</v>
      </c>
      <c r="C133" s="96" t="str">
        <f t="shared" si="1"/>
        <v>雷友才工资</v>
      </c>
      <c r="D133" s="21">
        <f t="shared" si="7"/>
        <v>0</v>
      </c>
      <c r="E133" s="21">
        <f t="shared" si="2"/>
        <v>2000</v>
      </c>
      <c r="F133" s="48">
        <f t="shared" si="8"/>
        <v>279721.86</v>
      </c>
      <c r="G133" s="94">
        <f t="shared" si="9"/>
      </c>
      <c r="H133" s="94" t="str">
        <f t="shared" si="3"/>
        <v>工资</v>
      </c>
      <c r="I133" s="96" t="str">
        <f t="shared" si="0"/>
        <v>雷友才</v>
      </c>
      <c r="J133" s="94">
        <f t="shared" si="4"/>
      </c>
      <c r="K133" s="94">
        <f t="shared" si="10"/>
        <v>179</v>
      </c>
      <c r="L133" s="96">
        <f t="shared" si="5"/>
      </c>
      <c r="N133" s="2">
        <f>IF(126&gt;$Z$5,0,MOD(SMALL($Z$6:$Z$2005,126),10000))</f>
        <v>179</v>
      </c>
      <c r="O133" s="2">
        <f t="shared" si="11"/>
        <v>0</v>
      </c>
      <c r="Z133" s="2">
        <f>IF(AND(ISNUMBER(资金流水!$B$133),资金流水!$B$133&gt;=$C$4,资金流水!$B$133&lt;=$E$4,OR(资金流水!$C$133=$C$3,AND(资金流水!$AD$133=$C$3,资金流水!$X$133="账户互转"))),INT(资金流水!$B$133)*10000+128,"")</f>
        <v>461980128</v>
      </c>
    </row>
    <row r="134">
      <c r="A134" s="94">
        <f>IF($N134=0,"",127)</f>
        <v>127</v>
      </c>
      <c r="B134" s="95">
        <f t="shared" si="6"/>
        <v>46234.0</v>
      </c>
      <c r="C134" s="96" t="str">
        <f t="shared" si="1"/>
        <v>还聂辉个人借款</v>
      </c>
      <c r="D134" s="21">
        <f t="shared" si="7"/>
        <v>0</v>
      </c>
      <c r="E134" s="21">
        <f t="shared" si="2"/>
        <v>40000</v>
      </c>
      <c r="F134" s="48">
        <f t="shared" si="8"/>
        <v>239721.86</v>
      </c>
      <c r="G134" s="94">
        <f t="shared" si="9"/>
      </c>
      <c r="H134" s="94" t="str">
        <f t="shared" si="3"/>
        <v>账户互转</v>
      </c>
      <c r="I134" s="96" t="str">
        <f t="shared" si="0"/>
        <v>聂辉</v>
      </c>
      <c r="J134" s="94" t="str">
        <f t="shared" si="4"/>
        <v>聂辉个人户</v>
      </c>
      <c r="K134" s="94">
        <f t="shared" si="10"/>
        <v>180</v>
      </c>
      <c r="L134" s="96">
        <f t="shared" si="5"/>
      </c>
      <c r="N134" s="2">
        <f>IF(127&gt;$Z$5,0,MOD(SMALL($Z$6:$Z$2005,127),10000))</f>
        <v>180</v>
      </c>
      <c r="O134" s="2">
        <f t="shared" si="11"/>
        <v>0</v>
      </c>
      <c r="Z134" s="2">
        <f>IF(AND(ISNUMBER(资金流水!$B$134),资金流水!$B$134&gt;=$C$4,资金流水!$B$134&lt;=$E$4,OR(资金流水!$C$134=$C$3,AND(资金流水!$AD$134=$C$3,资金流水!$X$134="账户互转"))),INT(资金流水!$B$134)*10000+129,"")</f>
        <v>461980129</v>
      </c>
    </row>
    <row r="135">
      <c r="A135" s="94">
        <f>IF($N135=0,"",128)</f>
        <v>128</v>
      </c>
      <c r="B135" s="95">
        <f t="shared" si="6"/>
        <v>46234.0</v>
      </c>
      <c r="C135" s="96" t="str">
        <f t="shared" si="1"/>
        <v>九江恒讯消防-设备款</v>
      </c>
      <c r="D135" s="21">
        <f t="shared" si="7"/>
        <v>0</v>
      </c>
      <c r="E135" s="21">
        <f t="shared" si="2"/>
        <v>462</v>
      </c>
      <c r="F135" s="48">
        <f t="shared" si="8"/>
        <v>239259.86</v>
      </c>
      <c r="G135" s="94">
        <f t="shared" si="9"/>
      </c>
      <c r="H135" s="94" t="str">
        <f t="shared" si="3"/>
        <v>材料费</v>
      </c>
      <c r="I135" s="96" t="str">
        <f t="shared" si="0"/>
        <v>九江恒讯消防</v>
      </c>
      <c r="J135" s="94">
        <f t="shared" si="4"/>
      </c>
      <c r="K135" s="94">
        <f t="shared" si="10"/>
        <v>181</v>
      </c>
      <c r="L135" s="96">
        <f t="shared" si="5"/>
      </c>
      <c r="N135" s="2">
        <f>IF(128&gt;$Z$5,0,MOD(SMALL($Z$6:$Z$2005,128),10000))</f>
        <v>181</v>
      </c>
      <c r="O135" s="2">
        <f t="shared" si="11"/>
        <v>0</v>
      </c>
      <c r="Z135" s="2">
        <f>IF(AND(ISNUMBER(资金流水!$B$135),资金流水!$B$135&gt;=$C$4,资金流水!$B$135&lt;=$E$4,OR(资金流水!$C$135=$C$3,AND(资金流水!$AD$135=$C$3,资金流水!$X$135="账户互转"))),INT(资金流水!$B$135)*10000+130,"")</f>
        <v>461980130</v>
      </c>
    </row>
    <row r="136">
      <c r="A136" s="94">
        <f>IF($N136=0,"",129)</f>
        <v>129</v>
      </c>
      <c r="B136" s="95">
        <f t="shared" si="6"/>
        <v>46242.0</v>
      </c>
      <c r="C136" s="96" t="str">
        <f t="shared" si="1"/>
        <v>聂辉个人借款</v>
      </c>
      <c r="D136" s="21">
        <f t="shared" si="7"/>
        <v>600</v>
      </c>
      <c r="E136" s="21">
        <f t="shared" si="2"/>
        <v>0</v>
      </c>
      <c r="F136" s="48">
        <f t="shared" si="8"/>
        <v>239859.86</v>
      </c>
      <c r="G136" s="94">
        <f t="shared" si="9"/>
      </c>
      <c r="H136" s="94" t="str">
        <f t="shared" si="3"/>
        <v>账户互转</v>
      </c>
      <c r="I136" s="96" t="str">
        <f t="shared" si="0"/>
        <v>聂辉</v>
      </c>
      <c r="J136" s="94" t="str">
        <f t="shared" si="4"/>
        <v>聂辉个人户</v>
      </c>
      <c r="K136" s="94">
        <f t="shared" si="10"/>
        <v>184</v>
      </c>
      <c r="L136" s="96">
        <f t="shared" si="5"/>
      </c>
      <c r="N136" s="2">
        <f>IF(129&gt;$Z$5,0,MOD(SMALL($Z$6:$Z$2005,129),10000))</f>
        <v>184</v>
      </c>
      <c r="O136" s="2">
        <f t="shared" si="11"/>
        <v>0</v>
      </c>
      <c r="Z136" s="2">
        <f>IF(AND(ISNUMBER(资金流水!$B$136),资金流水!$B$136&gt;=$C$4,资金流水!$B$136&lt;=$E$4,OR(资金流水!$C$136=$C$3,AND(资金流水!$AD$136=$C$3,资金流水!$X$136="账户互转"))),INT(资金流水!$B$136)*10000+131,"")</f>
        <v>461980131</v>
      </c>
    </row>
    <row r="137">
      <c r="A137" s="94">
        <f>IF($N137=0,"",130)</f>
        <v>130</v>
      </c>
      <c r="B137" s="95">
        <f t="shared" si="6"/>
        <v>46242.0</v>
      </c>
      <c r="C137" s="96" t="str">
        <f t="shared" si="1"/>
        <v>陈德银工资</v>
      </c>
      <c r="D137" s="21">
        <f t="shared" si="7"/>
        <v>0</v>
      </c>
      <c r="E137" s="21">
        <f t="shared" si="2"/>
        <v>1040</v>
      </c>
      <c r="F137" s="48">
        <f t="shared" si="8"/>
        <v>238819.86</v>
      </c>
      <c r="G137" s="94">
        <f t="shared" si="9"/>
      </c>
      <c r="H137" s="94" t="str">
        <f t="shared" si="3"/>
        <v>工资</v>
      </c>
      <c r="I137" s="96" t="str">
        <f t="shared" si="0"/>
        <v>陈德银</v>
      </c>
      <c r="J137" s="94">
        <f t="shared" si="4"/>
      </c>
      <c r="K137" s="94">
        <f t="shared" si="10"/>
        <v>185</v>
      </c>
      <c r="L137" s="96">
        <f t="shared" si="5"/>
      </c>
      <c r="N137" s="2">
        <f>IF(130&gt;$Z$5,0,MOD(SMALL($Z$6:$Z$2005,130),10000))</f>
        <v>185</v>
      </c>
      <c r="O137" s="2">
        <f t="shared" si="11"/>
        <v>0</v>
      </c>
      <c r="Z137" s="2">
        <f>IF(AND(ISNUMBER(资金流水!$B$137),资金流水!$B$137&gt;=$C$4,资金流水!$B$137&lt;=$E$4,OR(资金流水!$C$137=$C$3,AND(资金流水!$AD$137=$C$3,资金流水!$X$137="账户互转"))),INT(资金流水!$B$137)*10000+132,"")</f>
        <v>461990132</v>
      </c>
    </row>
    <row r="138">
      <c r="A138" s="94">
        <f>IF($N138=0,"",131)</f>
        <v>131</v>
      </c>
      <c r="B138" s="95">
        <f t="shared" si="6"/>
        <v>46254.0</v>
      </c>
      <c r="C138" s="96" t="str">
        <f t="shared" si="1"/>
        <v>王伟个人借款</v>
      </c>
      <c r="D138" s="21">
        <f t="shared" si="7"/>
        <v>1500</v>
      </c>
      <c r="E138" s="21">
        <f t="shared" si="2"/>
        <v>0</v>
      </c>
      <c r="F138" s="48">
        <f t="shared" si="8"/>
        <v>240319.86</v>
      </c>
      <c r="G138" s="94">
        <f t="shared" si="9"/>
      </c>
      <c r="H138" s="94" t="str">
        <f t="shared" si="3"/>
        <v>账户互转</v>
      </c>
      <c r="I138" s="96" t="str">
        <f t="shared" si="0"/>
        <v>王伟</v>
      </c>
      <c r="J138" s="94" t="str">
        <f t="shared" si="4"/>
        <v>王伟个人户</v>
      </c>
      <c r="K138" s="94">
        <f t="shared" si="10"/>
        <v>186</v>
      </c>
      <c r="L138" s="96">
        <f t="shared" si="5"/>
      </c>
      <c r="N138" s="2">
        <f>IF(131&gt;$Z$5,0,MOD(SMALL($Z$6:$Z$2005,131),10000))</f>
        <v>186</v>
      </c>
      <c r="O138" s="2">
        <f t="shared" si="11"/>
        <v>0</v>
      </c>
      <c r="Z138" s="2">
        <f>IF(AND(ISNUMBER(资金流水!$B$138),资金流水!$B$138&gt;=$C$4,资金流水!$B$138&lt;=$E$4,OR(资金流水!$C$138=$C$3,AND(资金流水!$AD$138=$C$3,资金流水!$X$138="账户互转"))),INT(资金流水!$B$138)*10000+133,"")</f>
        <v>461990133</v>
      </c>
    </row>
    <row r="139">
      <c r="A139" s="94">
        <f>IF($N139=0,"",132)</f>
        <v>132</v>
      </c>
      <c r="B139" s="95">
        <f t="shared" si="6"/>
        <v>46255.0</v>
      </c>
      <c r="C139" s="96" t="str">
        <f t="shared" si="1"/>
        <v>抚州8号楼购买售后产品</v>
      </c>
      <c r="D139" s="21">
        <f t="shared" si="7"/>
        <v>0</v>
      </c>
      <c r="E139" s="21">
        <f t="shared" si="2"/>
        <v>1470</v>
      </c>
      <c r="F139" s="48">
        <f t="shared" si="8"/>
        <v>238849.86</v>
      </c>
      <c r="G139" s="94" t="str">
        <f t="shared" si="9"/>
        <v>抚州8号楼</v>
      </c>
      <c r="H139" s="94" t="str">
        <f t="shared" si="3"/>
        <v>其他直接费</v>
      </c>
      <c r="I139" s="96">
        <f t="shared" si="0"/>
      </c>
      <c r="J139" s="94">
        <f t="shared" si="4"/>
      </c>
      <c r="K139" s="94">
        <f t="shared" si="10"/>
        <v>187</v>
      </c>
      <c r="L139" s="96">
        <f t="shared" si="5"/>
      </c>
      <c r="N139" s="2">
        <f>IF(132&gt;$Z$5,0,MOD(SMALL($Z$6:$Z$2005,132),10000))</f>
        <v>187</v>
      </c>
      <c r="O139" s="2">
        <f t="shared" si="11"/>
        <v>0</v>
      </c>
      <c r="Z139" s="2">
        <f>IF(AND(ISNUMBER(资金流水!$B$139),资金流水!$B$139&gt;=$C$4,资金流水!$B$139&lt;=$E$4,OR(资金流水!$C$139=$C$3,AND(资金流水!$AD$139=$C$3,资金流水!$X$139="账户互转"))),INT(资金流水!$B$139)*10000+134,"")</f>
        <v>461990134</v>
      </c>
    </row>
    <row r="140">
      <c r="A140" s="94">
        <f>IF($N140=0,"",133)</f>
        <v>133</v>
      </c>
      <c r="B140" s="95">
        <f t="shared" si="6"/>
        <v>46259.0</v>
      </c>
      <c r="C140" s="96" t="str">
        <f t="shared" si="1"/>
        <v>聂辉个人借款</v>
      </c>
      <c r="D140" s="21">
        <f t="shared" si="7"/>
        <v>2000</v>
      </c>
      <c r="E140" s="21">
        <f t="shared" si="2"/>
        <v>0</v>
      </c>
      <c r="F140" s="48">
        <f t="shared" si="8"/>
        <v>240849.86</v>
      </c>
      <c r="G140" s="94">
        <f t="shared" si="9"/>
      </c>
      <c r="H140" s="94" t="str">
        <f t="shared" si="3"/>
        <v>账户互转</v>
      </c>
      <c r="I140" s="96" t="str">
        <f t="shared" si="0"/>
        <v>聂辉</v>
      </c>
      <c r="J140" s="94" t="str">
        <f t="shared" si="4"/>
        <v>聂辉个人户</v>
      </c>
      <c r="K140" s="94">
        <f t="shared" si="10"/>
        <v>188</v>
      </c>
      <c r="L140" s="96">
        <f t="shared" si="5"/>
      </c>
      <c r="N140" s="2">
        <f>IF(133&gt;$Z$5,0,MOD(SMALL($Z$6:$Z$2005,133),10000))</f>
        <v>188</v>
      </c>
      <c r="O140" s="2">
        <f t="shared" si="11"/>
        <v>0</v>
      </c>
      <c r="Z140" s="2">
        <f>IF(AND(ISNUMBER(资金流水!$B$140),资金流水!$B$140&gt;=$C$4,资金流水!$B$140&lt;=$E$4,OR(资金流水!$C$140=$C$3,AND(资金流水!$AD$140=$C$3,资金流水!$X$140="账户互转"))),INT(资金流水!$B$140)*10000+135,"")</f>
        <v>461990135</v>
      </c>
    </row>
    <row r="141">
      <c r="A141" s="94">
        <f>IF($N141=0,"",134)</f>
        <v>134</v>
      </c>
      <c r="B141" s="95">
        <f t="shared" si="6"/>
        <v>46259.0</v>
      </c>
      <c r="C141" s="96" t="str">
        <f t="shared" si="1"/>
        <v>姚俊强社保费</v>
      </c>
      <c r="D141" s="21">
        <f t="shared" si="7"/>
        <v>0</v>
      </c>
      <c r="E141" s="21">
        <f t="shared" si="2"/>
        <v>1019.48</v>
      </c>
      <c r="F141" s="48">
        <f t="shared" si="8"/>
        <v>239830.38</v>
      </c>
      <c r="G141" s="94">
        <f t="shared" si="9"/>
      </c>
      <c r="H141" s="94" t="str">
        <f t="shared" si="3"/>
        <v>社保费</v>
      </c>
      <c r="I141" s="96" t="str">
        <f t="shared" si="0"/>
        <v>姚俊强</v>
      </c>
      <c r="J141" s="94">
        <f t="shared" si="4"/>
      </c>
      <c r="K141" s="94">
        <f t="shared" si="10"/>
        <v>189</v>
      </c>
      <c r="L141" s="96">
        <f t="shared" si="5"/>
      </c>
      <c r="N141" s="2">
        <f>IF(134&gt;$Z$5,0,MOD(SMALL($Z$6:$Z$2005,134),10000))</f>
        <v>189</v>
      </c>
      <c r="O141" s="2">
        <f t="shared" si="11"/>
        <v>0</v>
      </c>
      <c r="Z141" s="2">
        <f>IF(AND(ISNUMBER(资金流水!$B$141),资金流水!$B$141&gt;=$C$4,资金流水!$B$141&lt;=$E$4,OR(资金流水!$C$141=$C$3,AND(资金流水!$AD$141=$C$3,资金流水!$X$141="账户互转"))),INT(资金流水!$B$141)*10000+136,"")</f>
        <v>461990136</v>
      </c>
    </row>
    <row r="142">
      <c r="A142" s="94">
        <f>IF($N142=0,"",135)</f>
        <v>135</v>
      </c>
      <c r="B142" s="95">
        <f t="shared" si="6"/>
        <v>46259.0</v>
      </c>
      <c r="C142" s="96" t="str">
        <f t="shared" si="1"/>
        <v>朱博文社保费</v>
      </c>
      <c r="D142" s="21">
        <f t="shared" si="7"/>
        <v>0</v>
      </c>
      <c r="E142" s="21">
        <f t="shared" si="2"/>
        <v>1019.48</v>
      </c>
      <c r="F142" s="48">
        <f t="shared" si="8"/>
        <v>238810.9</v>
      </c>
      <c r="G142" s="94">
        <f t="shared" si="9"/>
      </c>
      <c r="H142" s="94" t="str">
        <f t="shared" si="3"/>
        <v>社保费</v>
      </c>
      <c r="I142" s="96" t="str">
        <f t="shared" si="0"/>
        <v>朱博文</v>
      </c>
      <c r="J142" s="94">
        <f t="shared" si="4"/>
      </c>
      <c r="K142" s="94">
        <f t="shared" si="10"/>
        <v>190</v>
      </c>
      <c r="L142" s="96">
        <f t="shared" si="5"/>
      </c>
      <c r="N142" s="2">
        <f>IF(135&gt;$Z$5,0,MOD(SMALL($Z$6:$Z$2005,135),10000))</f>
        <v>190</v>
      </c>
      <c r="O142" s="2">
        <f t="shared" si="11"/>
        <v>0</v>
      </c>
      <c r="Z142" s="2">
        <f>IF(AND(ISNUMBER(资金流水!$B$142),资金流水!$B$142&gt;=$C$4,资金流水!$B$142&lt;=$E$4,OR(资金流水!$C$142=$C$3,AND(资金流水!$AD$142=$C$3,资金流水!$X$142="账户互转"))),INT(资金流水!$B$142)*10000+137,"")</f>
        <v>461990137</v>
      </c>
    </row>
    <row r="143">
      <c r="A143" s="94">
        <f>IF($N143=0,"",136)</f>
        <v>136</v>
      </c>
      <c r="B143" s="95">
        <f t="shared" si="6"/>
        <v>46262.0</v>
      </c>
      <c r="C143" s="96" t="str">
        <f t="shared" si="1"/>
        <v>中国联项目工程款</v>
      </c>
      <c r="D143" s="21">
        <f t="shared" si="7"/>
        <v>650862.4</v>
      </c>
      <c r="E143" s="21">
        <f t="shared" si="2"/>
        <v>0</v>
      </c>
      <c r="F143" s="48">
        <f t="shared" si="8"/>
        <v>889673.3</v>
      </c>
      <c r="G143" s="94" t="str">
        <f t="shared" si="9"/>
        <v>中国联项目</v>
      </c>
      <c r="H143" s="94" t="str">
        <f t="shared" si="3"/>
        <v>工程款</v>
      </c>
      <c r="I143" s="96">
        <f t="shared" si="0"/>
      </c>
      <c r="J143" s="94">
        <f t="shared" si="4"/>
      </c>
      <c r="K143" s="94">
        <f t="shared" si="10"/>
        <v>191</v>
      </c>
      <c r="L143" s="96">
        <f t="shared" si="5"/>
      </c>
      <c r="N143" s="2">
        <f>IF(136&gt;$Z$5,0,MOD(SMALL($Z$6:$Z$2005,136),10000))</f>
        <v>191</v>
      </c>
      <c r="O143" s="2">
        <f t="shared" si="11"/>
        <v>0</v>
      </c>
      <c r="Z143" s="2">
        <f>IF(AND(ISNUMBER(资金流水!$B$143),资金流水!$B$143&gt;=$C$4,资金流水!$B$143&lt;=$E$4,OR(资金流水!$C$143=$C$3,AND(资金流水!$AD$143=$C$3,资金流水!$X$143="账户互转"))),INT(资金流水!$B$143)*10000+138,"")</f>
        <v>461990138</v>
      </c>
    </row>
    <row r="144">
      <c r="A144" s="94">
        <f>IF($N144=0,"",137)</f>
        <v>137</v>
      </c>
      <c r="B144" s="95">
        <f t="shared" si="6"/>
        <v>46262.0</v>
      </c>
      <c r="C144" s="96" t="str">
        <f t="shared" si="1"/>
        <v>抚州2号楼工程款</v>
      </c>
      <c r="D144" s="21">
        <f t="shared" si="7"/>
        <v>51200</v>
      </c>
      <c r="E144" s="21">
        <f t="shared" si="2"/>
        <v>0</v>
      </c>
      <c r="F144" s="48">
        <f t="shared" si="8"/>
        <v>940873.3</v>
      </c>
      <c r="G144" s="94" t="str">
        <f t="shared" si="9"/>
        <v>抚州2号楼</v>
      </c>
      <c r="H144" s="94" t="str">
        <f t="shared" si="3"/>
        <v>工程款</v>
      </c>
      <c r="I144" s="96">
        <f t="shared" si="0"/>
      </c>
      <c r="J144" s="94">
        <f t="shared" si="4"/>
      </c>
      <c r="K144" s="94">
        <f t="shared" si="10"/>
        <v>192</v>
      </c>
      <c r="L144" s="96">
        <f t="shared" si="5"/>
      </c>
      <c r="N144" s="2">
        <f>IF(137&gt;$Z$5,0,MOD(SMALL($Z$6:$Z$2005,137),10000))</f>
        <v>192</v>
      </c>
      <c r="O144" s="2">
        <f t="shared" si="11"/>
        <v>0</v>
      </c>
      <c r="Z144" s="2">
        <f>IF(AND(ISNUMBER(资金流水!$B$144),资金流水!$B$144&gt;=$C$4,资金流水!$B$144&lt;=$E$4,OR(资金流水!$C$144=$C$3,AND(资金流水!$AD$144=$C$3,资金流水!$X$144="账户互转"))),INT(资金流水!$B$144)*10000+139,"")</f>
        <v>461990139</v>
      </c>
    </row>
    <row r="145">
      <c r="A145" s="94">
        <f>IF($N145=0,"",138)</f>
        <v>138</v>
      </c>
      <c r="B145" s="95">
        <f t="shared" si="6"/>
        <v>46262.0</v>
      </c>
      <c r="C145" s="96" t="str">
        <f t="shared" si="1"/>
        <v>吴长友工资</v>
      </c>
      <c r="D145" s="21">
        <f t="shared" si="7"/>
        <v>0</v>
      </c>
      <c r="E145" s="21">
        <f t="shared" si="2"/>
        <v>6000</v>
      </c>
      <c r="F145" s="48">
        <f t="shared" si="8"/>
        <v>934873.3</v>
      </c>
      <c r="G145" s="94">
        <f t="shared" si="9"/>
      </c>
      <c r="H145" s="94" t="str">
        <f t="shared" si="3"/>
        <v>工资</v>
      </c>
      <c r="I145" s="96" t="str">
        <f t="shared" si="0"/>
        <v>吴长友</v>
      </c>
      <c r="J145" s="94">
        <f t="shared" si="4"/>
      </c>
      <c r="K145" s="94">
        <f t="shared" si="10"/>
        <v>193</v>
      </c>
      <c r="L145" s="96">
        <f t="shared" si="5"/>
      </c>
      <c r="N145" s="2">
        <f>IF(138&gt;$Z$5,0,MOD(SMALL($Z$6:$Z$2005,138),10000))</f>
        <v>193</v>
      </c>
      <c r="O145" s="2">
        <f t="shared" si="11"/>
        <v>0</v>
      </c>
      <c r="Z145" s="2">
        <f>IF(AND(ISNUMBER(资金流水!$B$145),资金流水!$B$145&gt;=$C$4,资金流水!$B$145&lt;=$E$4,OR(资金流水!$C$145=$C$3,AND(资金流水!$AD$145=$C$3,资金流水!$X$145="账户互转"))),INT(资金流水!$B$145)*10000+140,"")</f>
        <v>461990140</v>
      </c>
    </row>
    <row r="146">
      <c r="A146" s="94">
        <f>IF($N146=0,"",139)</f>
        <v>139</v>
      </c>
      <c r="B146" s="95">
        <f t="shared" si="6"/>
        <v>46262.0</v>
      </c>
      <c r="C146" s="96" t="str">
        <f t="shared" si="1"/>
        <v>梅秀刚工资</v>
      </c>
      <c r="D146" s="21">
        <f t="shared" si="7"/>
        <v>0</v>
      </c>
      <c r="E146" s="21">
        <f t="shared" si="2"/>
        <v>5000</v>
      </c>
      <c r="F146" s="48">
        <f t="shared" si="8"/>
        <v>929873.3</v>
      </c>
      <c r="G146" s="94">
        <f t="shared" si="9"/>
      </c>
      <c r="H146" s="94" t="str">
        <f t="shared" si="3"/>
        <v>工资</v>
      </c>
      <c r="I146" s="96" t="str">
        <f t="shared" si="0"/>
        <v>梅秀刚</v>
      </c>
      <c r="J146" s="94">
        <f t="shared" si="4"/>
      </c>
      <c r="K146" s="94">
        <f t="shared" si="10"/>
        <v>194</v>
      </c>
      <c r="L146" s="96">
        <f t="shared" si="5"/>
      </c>
      <c r="N146" s="2">
        <f>IF(139&gt;$Z$5,0,MOD(SMALL($Z$6:$Z$2005,139),10000))</f>
        <v>194</v>
      </c>
      <c r="O146" s="2">
        <f t="shared" si="11"/>
        <v>0</v>
      </c>
      <c r="Z146" s="2">
        <f>IF(AND(ISNUMBER(资金流水!$B$146),资金流水!$B$146&gt;=$C$4,资金流水!$B$146&lt;=$E$4,OR(资金流水!$C$146=$C$3,AND(资金流水!$AD$146=$C$3,资金流水!$X$146="账户互转"))),INT(资金流水!$B$146)*10000+141,"")</f>
        <v>461990141</v>
      </c>
    </row>
    <row r="147">
      <c r="A147" s="94">
        <f>IF($N147=0,"",140)</f>
        <v>140</v>
      </c>
      <c r="B147" s="95">
        <f t="shared" si="6"/>
        <v>46262.0</v>
      </c>
      <c r="C147" s="96" t="str">
        <f t="shared" si="1"/>
        <v>叶炳南工资</v>
      </c>
      <c r="D147" s="21">
        <f t="shared" si="7"/>
        <v>0</v>
      </c>
      <c r="E147" s="21">
        <f t="shared" si="2"/>
        <v>5000</v>
      </c>
      <c r="F147" s="48">
        <f t="shared" si="8"/>
        <v>924873.3</v>
      </c>
      <c r="G147" s="94">
        <f t="shared" si="9"/>
      </c>
      <c r="H147" s="94" t="str">
        <f t="shared" si="3"/>
        <v>工资</v>
      </c>
      <c r="I147" s="96" t="str">
        <f t="shared" si="0"/>
        <v>叶炳南</v>
      </c>
      <c r="J147" s="94">
        <f t="shared" si="4"/>
      </c>
      <c r="K147" s="94">
        <f t="shared" si="10"/>
        <v>195</v>
      </c>
      <c r="L147" s="96">
        <f t="shared" si="5"/>
      </c>
      <c r="N147" s="2">
        <f>IF(140&gt;$Z$5,0,MOD(SMALL($Z$6:$Z$2005,140),10000))</f>
        <v>195</v>
      </c>
      <c r="O147" s="2">
        <f t="shared" si="11"/>
        <v>0</v>
      </c>
      <c r="Z147" s="2">
        <f>IF(AND(ISNUMBER(资金流水!$B$147),资金流水!$B$147&gt;=$C$4,资金流水!$B$147&lt;=$E$4,OR(资金流水!$C$147=$C$3,AND(资金流水!$AD$147=$C$3,资金流水!$X$147="账户互转"))),INT(资金流水!$B$147)*10000+142,"")</f>
        <v>461990142</v>
      </c>
    </row>
    <row r="148">
      <c r="A148" s="94">
        <f>IF($N148=0,"",141)</f>
        <v>141</v>
      </c>
      <c r="B148" s="95">
        <f t="shared" si="6"/>
        <v>46262.0</v>
      </c>
      <c r="C148" s="96" t="str">
        <f t="shared" si="1"/>
        <v>袁斌财工资</v>
      </c>
      <c r="D148" s="21">
        <f t="shared" si="7"/>
        <v>0</v>
      </c>
      <c r="E148" s="21">
        <f t="shared" si="2"/>
        <v>5000</v>
      </c>
      <c r="F148" s="48">
        <f t="shared" si="8"/>
        <v>919873.3</v>
      </c>
      <c r="G148" s="94">
        <f t="shared" si="9"/>
      </c>
      <c r="H148" s="94" t="str">
        <f t="shared" si="3"/>
        <v>工资</v>
      </c>
      <c r="I148" s="96" t="str">
        <f t="shared" si="0"/>
        <v>袁斌财</v>
      </c>
      <c r="J148" s="94">
        <f t="shared" si="4"/>
      </c>
      <c r="K148" s="94">
        <f t="shared" si="10"/>
        <v>196</v>
      </c>
      <c r="L148" s="96">
        <f t="shared" si="5"/>
      </c>
      <c r="N148" s="2">
        <f>IF(141&gt;$Z$5,0,MOD(SMALL($Z$6:$Z$2005,141),10000))</f>
        <v>196</v>
      </c>
      <c r="O148" s="2">
        <f t="shared" si="11"/>
        <v>0</v>
      </c>
      <c r="Z148" s="2">
        <f>IF(AND(ISNUMBER(资金流水!$B$148),资金流水!$B$148&gt;=$C$4,资金流水!$B$148&lt;=$E$4,OR(资金流水!$C$148=$C$3,AND(资金流水!$AD$148=$C$3,资金流水!$X$148="账户互转"))),INT(资金流水!$B$148)*10000+143,"")</f>
        <v>461990143</v>
      </c>
    </row>
    <row r="149">
      <c r="A149" s="94">
        <f>IF($N149=0,"",142)</f>
        <v>142</v>
      </c>
      <c r="B149" s="95">
        <f t="shared" si="6"/>
        <v>46262.0</v>
      </c>
      <c r="C149" s="96" t="str">
        <f t="shared" si="1"/>
        <v>金南水工资</v>
      </c>
      <c r="D149" s="21">
        <f t="shared" si="7"/>
        <v>0</v>
      </c>
      <c r="E149" s="21">
        <f t="shared" si="2"/>
        <v>5000</v>
      </c>
      <c r="F149" s="48">
        <f t="shared" si="8"/>
        <v>914873.3</v>
      </c>
      <c r="G149" s="94">
        <f t="shared" si="9"/>
      </c>
      <c r="H149" s="94" t="str">
        <f t="shared" si="3"/>
        <v>工资</v>
      </c>
      <c r="I149" s="96" t="str">
        <f t="shared" si="0"/>
        <v>金南水</v>
      </c>
      <c r="J149" s="94">
        <f t="shared" si="4"/>
      </c>
      <c r="K149" s="94">
        <f t="shared" si="10"/>
        <v>197</v>
      </c>
      <c r="L149" s="96">
        <f t="shared" si="5"/>
      </c>
      <c r="N149" s="2">
        <f>IF(142&gt;$Z$5,0,MOD(SMALL($Z$6:$Z$2005,142),10000))</f>
        <v>197</v>
      </c>
      <c r="O149" s="2">
        <f t="shared" si="11"/>
        <v>0</v>
      </c>
      <c r="Z149" s="2">
        <f>IF(AND(ISNUMBER(资金流水!$B$149),资金流水!$B$149&gt;=$C$4,资金流水!$B$149&lt;=$E$4,OR(资金流水!$C$149=$C$3,AND(资金流水!$AD$149=$C$3,资金流水!$X$149="账户互转"))),INT(资金流水!$B$149)*10000+144,"")</f>
        <v>461990144</v>
      </c>
    </row>
    <row r="150">
      <c r="A150" s="94">
        <f>IF($N150=0,"",143)</f>
        <v>143</v>
      </c>
      <c r="B150" s="95">
        <f t="shared" si="6"/>
        <v>46262.0</v>
      </c>
      <c r="C150" s="96" t="str">
        <f t="shared" si="1"/>
        <v>胡家新工资</v>
      </c>
      <c r="D150" s="21">
        <f t="shared" si="7"/>
        <v>0</v>
      </c>
      <c r="E150" s="21">
        <f t="shared" si="2"/>
        <v>3000</v>
      </c>
      <c r="F150" s="48">
        <f t="shared" si="8"/>
        <v>911873.3</v>
      </c>
      <c r="G150" s="94">
        <f t="shared" si="9"/>
      </c>
      <c r="H150" s="94" t="str">
        <f t="shared" si="3"/>
        <v>工资</v>
      </c>
      <c r="I150" s="96" t="str">
        <f t="shared" si="0"/>
        <v>胡家新</v>
      </c>
      <c r="J150" s="94">
        <f t="shared" si="4"/>
      </c>
      <c r="K150" s="94">
        <f t="shared" si="10"/>
        <v>198</v>
      </c>
      <c r="L150" s="96">
        <f t="shared" si="5"/>
      </c>
      <c r="N150" s="2">
        <f>IF(143&gt;$Z$5,0,MOD(SMALL($Z$6:$Z$2005,143),10000))</f>
        <v>198</v>
      </c>
      <c r="O150" s="2">
        <f t="shared" si="11"/>
        <v>0</v>
      </c>
      <c r="Z150" s="2">
        <f>IF(AND(ISNUMBER(资金流水!$B$150),资金流水!$B$150&gt;=$C$4,资金流水!$B$150&lt;=$E$4,OR(资金流水!$C$150=$C$3,AND(资金流水!$AD$150=$C$3,资金流水!$X$150="账户互转"))),INT(资金流水!$B$150)*10000+145,"")</f>
        <v>461990145</v>
      </c>
    </row>
    <row r="151">
      <c r="A151" s="94">
        <f>IF($N151=0,"",144)</f>
        <v>144</v>
      </c>
      <c r="B151" s="95">
        <f t="shared" si="6"/>
        <v>46262.0</v>
      </c>
      <c r="C151" s="96" t="str">
        <f t="shared" si="1"/>
        <v>万焕和工资</v>
      </c>
      <c r="D151" s="21">
        <f t="shared" si="7"/>
        <v>0</v>
      </c>
      <c r="E151" s="21">
        <f t="shared" si="2"/>
        <v>3000</v>
      </c>
      <c r="F151" s="48">
        <f t="shared" si="8"/>
        <v>908873.3</v>
      </c>
      <c r="G151" s="94">
        <f t="shared" si="9"/>
      </c>
      <c r="H151" s="94" t="str">
        <f t="shared" si="3"/>
        <v>工资</v>
      </c>
      <c r="I151" s="96" t="str">
        <f t="shared" si="0"/>
        <v>万焕和</v>
      </c>
      <c r="J151" s="94">
        <f t="shared" si="4"/>
      </c>
      <c r="K151" s="94">
        <f t="shared" si="10"/>
        <v>199</v>
      </c>
      <c r="L151" s="96">
        <f t="shared" si="5"/>
      </c>
      <c r="N151" s="2">
        <f>IF(144&gt;$Z$5,0,MOD(SMALL($Z$6:$Z$2005,144),10000))</f>
        <v>199</v>
      </c>
      <c r="O151" s="2">
        <f t="shared" si="11"/>
        <v>0</v>
      </c>
      <c r="Z151" s="2">
        <f>IF(AND(ISNUMBER(资金流水!$B$151),资金流水!$B$151&gt;=$C$4,资金流水!$B$151&lt;=$E$4,OR(资金流水!$C$151=$C$3,AND(资金流水!$AD$151=$C$3,资金流水!$X$151="账户互转"))),INT(资金流水!$B$151)*10000+146,"")</f>
        <v>461990146</v>
      </c>
    </row>
    <row r="152">
      <c r="A152" s="94">
        <f>IF($N152=0,"",145)</f>
        <v>145</v>
      </c>
      <c r="B152" s="95">
        <f t="shared" si="6"/>
        <v>46262.0</v>
      </c>
      <c r="C152" s="96" t="str">
        <f t="shared" si="1"/>
        <v>邓付贞工资</v>
      </c>
      <c r="D152" s="21">
        <f t="shared" si="7"/>
        <v>0</v>
      </c>
      <c r="E152" s="21">
        <f t="shared" si="2"/>
        <v>5000</v>
      </c>
      <c r="F152" s="48">
        <f t="shared" si="8"/>
        <v>903873.3</v>
      </c>
      <c r="G152" s="94">
        <f t="shared" si="9"/>
      </c>
      <c r="H152" s="94" t="str">
        <f t="shared" si="3"/>
        <v>工资</v>
      </c>
      <c r="I152" s="96" t="str">
        <f t="shared" si="0"/>
        <v>邓付贞</v>
      </c>
      <c r="J152" s="94">
        <f t="shared" si="4"/>
      </c>
      <c r="K152" s="94">
        <f t="shared" si="10"/>
        <v>200</v>
      </c>
      <c r="L152" s="96">
        <f t="shared" si="5"/>
      </c>
      <c r="N152" s="2">
        <f>IF(145&gt;$Z$5,0,MOD(SMALL($Z$6:$Z$2005,145),10000))</f>
        <v>200</v>
      </c>
      <c r="O152" s="2">
        <f t="shared" si="11"/>
        <v>0</v>
      </c>
      <c r="Z152" s="2">
        <f>IF(AND(ISNUMBER(资金流水!$B$152),资金流水!$B$152&gt;=$C$4,资金流水!$B$152&lt;=$E$4,OR(资金流水!$C$152=$C$3,AND(资金流水!$AD$152=$C$3,资金流水!$X$152="账户互转"))),INT(资金流水!$B$152)*10000+147,"")</f>
        <v>462000147</v>
      </c>
    </row>
    <row r="153">
      <c r="A153" s="94">
        <f>IF($N153=0,"",146)</f>
        <v>146</v>
      </c>
      <c r="B153" s="95">
        <f t="shared" si="6"/>
        <v>46262.0</v>
      </c>
      <c r="C153" s="96" t="str">
        <f t="shared" si="1"/>
        <v>刘海工资</v>
      </c>
      <c r="D153" s="21">
        <f t="shared" si="7"/>
        <v>0</v>
      </c>
      <c r="E153" s="21">
        <f t="shared" si="2"/>
        <v>3000</v>
      </c>
      <c r="F153" s="48">
        <f t="shared" si="8"/>
        <v>900873.3</v>
      </c>
      <c r="G153" s="94">
        <f t="shared" si="9"/>
      </c>
      <c r="H153" s="94" t="str">
        <f t="shared" si="3"/>
        <v>工资</v>
      </c>
      <c r="I153" s="96" t="str">
        <f t="shared" si="0"/>
        <v>刘海</v>
      </c>
      <c r="J153" s="94">
        <f t="shared" si="4"/>
      </c>
      <c r="K153" s="94">
        <f t="shared" si="10"/>
        <v>201</v>
      </c>
      <c r="L153" s="96">
        <f t="shared" si="5"/>
      </c>
      <c r="N153" s="2">
        <f>IF(146&gt;$Z$5,0,MOD(SMALL($Z$6:$Z$2005,146),10000))</f>
        <v>201</v>
      </c>
      <c r="O153" s="2">
        <f t="shared" si="11"/>
        <v>0</v>
      </c>
      <c r="Z153" s="2">
        <f>IF(AND(ISNUMBER(资金流水!$B$153),资金流水!$B$153&gt;=$C$4,资金流水!$B$153&lt;=$E$4,OR(资金流水!$C$153=$C$3,AND(资金流水!$AD$153=$C$3,资金流水!$X$153="账户互转"))),INT(资金流水!$B$153)*10000+148,"")</f>
        <v>462020148</v>
      </c>
    </row>
    <row r="154">
      <c r="A154" s="94">
        <f>IF($N154=0,"",147)</f>
        <v>147</v>
      </c>
      <c r="B154" s="95">
        <f t="shared" si="6"/>
        <v>46262.0</v>
      </c>
      <c r="C154" s="96" t="str">
        <f t="shared" si="1"/>
        <v>徐从国工资</v>
      </c>
      <c r="D154" s="21">
        <f t="shared" si="7"/>
        <v>0</v>
      </c>
      <c r="E154" s="21">
        <f t="shared" si="2"/>
        <v>2000</v>
      </c>
      <c r="F154" s="48">
        <f t="shared" si="8"/>
        <v>898873.3</v>
      </c>
      <c r="G154" s="94">
        <f t="shared" si="9"/>
      </c>
      <c r="H154" s="94" t="str">
        <f t="shared" si="3"/>
        <v>工资</v>
      </c>
      <c r="I154" s="96" t="str">
        <f t="shared" si="0"/>
        <v>徐从国</v>
      </c>
      <c r="J154" s="94">
        <f t="shared" si="4"/>
      </c>
      <c r="K154" s="94">
        <f t="shared" si="10"/>
        <v>202</v>
      </c>
      <c r="L154" s="96">
        <f t="shared" si="5"/>
      </c>
      <c r="N154" s="2">
        <f>IF(147&gt;$Z$5,0,MOD(SMALL($Z$6:$Z$2005,147),10000))</f>
        <v>202</v>
      </c>
      <c r="O154" s="2">
        <f t="shared" si="11"/>
        <v>0</v>
      </c>
      <c r="Z154" s="2">
        <f>IF(AND(ISNUMBER(资金流水!$B$154),资金流水!$B$154&gt;=$C$4,资金流水!$B$154&lt;=$E$4,OR(资金流水!$C$154=$C$3,AND(资金流水!$AD$154=$C$3,资金流水!$X$154="账户互转"))),INT(资金流水!$B$154)*10000+149,"")</f>
        <v>462020149</v>
      </c>
    </row>
    <row r="155">
      <c r="A155" s="94">
        <f>IF($N155=0,"",148)</f>
        <v>148</v>
      </c>
      <c r="B155" s="95">
        <f t="shared" si="6"/>
        <v>46262.0</v>
      </c>
      <c r="C155" s="96" t="str">
        <f t="shared" si="1"/>
        <v>王兴蛟工资</v>
      </c>
      <c r="D155" s="21">
        <f t="shared" si="7"/>
        <v>0</v>
      </c>
      <c r="E155" s="21">
        <f t="shared" si="2"/>
        <v>2000</v>
      </c>
      <c r="F155" s="48">
        <f t="shared" si="8"/>
        <v>896873.3</v>
      </c>
      <c r="G155" s="94">
        <f t="shared" si="9"/>
      </c>
      <c r="H155" s="94" t="str">
        <f t="shared" si="3"/>
        <v>工资</v>
      </c>
      <c r="I155" s="96" t="str">
        <f t="shared" si="0"/>
        <v>王兴蛟</v>
      </c>
      <c r="J155" s="94">
        <f t="shared" si="4"/>
      </c>
      <c r="K155" s="94">
        <f t="shared" si="10"/>
        <v>203</v>
      </c>
      <c r="L155" s="96">
        <f t="shared" si="5"/>
      </c>
      <c r="N155" s="2">
        <f>IF(148&gt;$Z$5,0,MOD(SMALL($Z$6:$Z$2005,148),10000))</f>
        <v>203</v>
      </c>
      <c r="O155" s="2">
        <f t="shared" si="11"/>
        <v>0</v>
      </c>
      <c r="Z155" s="2">
        <f>IF(AND(ISNUMBER(资金流水!$B$155),资金流水!$B$155&gt;=$C$4,资金流水!$B$155&lt;=$E$4,OR(资金流水!$C$155=$C$3,AND(资金流水!$AD$155=$C$3,资金流水!$X$155="账户互转"))),INT(资金流水!$B$155)*10000+150,"")</f>
        <v>462030150</v>
      </c>
    </row>
    <row r="156">
      <c r="A156" s="94">
        <f>IF($N156=0,"",149)</f>
        <v>149</v>
      </c>
      <c r="B156" s="95">
        <f t="shared" si="6"/>
        <v>46262.0</v>
      </c>
      <c r="C156" s="96" t="str">
        <f t="shared" si="1"/>
        <v>叶焰平工资</v>
      </c>
      <c r="D156" s="21">
        <f t="shared" si="7"/>
        <v>0</v>
      </c>
      <c r="E156" s="21">
        <f t="shared" si="2"/>
        <v>10000</v>
      </c>
      <c r="F156" s="48">
        <f t="shared" si="8"/>
        <v>886873.3</v>
      </c>
      <c r="G156" s="94">
        <f t="shared" si="9"/>
      </c>
      <c r="H156" s="94" t="str">
        <f t="shared" si="3"/>
        <v>工资</v>
      </c>
      <c r="I156" s="96" t="str">
        <f t="shared" si="0"/>
        <v>叶焰平</v>
      </c>
      <c r="J156" s="94">
        <f t="shared" si="4"/>
      </c>
      <c r="K156" s="94">
        <f t="shared" si="10"/>
        <v>204</v>
      </c>
      <c r="L156" s="96">
        <f t="shared" si="5"/>
      </c>
      <c r="N156" s="2">
        <f>IF(149&gt;$Z$5,0,MOD(SMALL($Z$6:$Z$2005,149),10000))</f>
        <v>204</v>
      </c>
      <c r="O156" s="2">
        <f t="shared" si="11"/>
        <v>0</v>
      </c>
      <c r="Z156" s="2">
        <f>IF(AND(ISNUMBER(资金流水!$B$156),资金流水!$B$156&gt;=$C$4,资金流水!$B$156&lt;=$E$4,OR(资金流水!$C$156=$C$3,AND(资金流水!$AD$156=$C$3,资金流水!$X$156="账户互转"))),INT(资金流水!$B$156)*10000+151,"")</f>
        <v>462030151</v>
      </c>
    </row>
    <row r="157">
      <c r="A157" s="94">
        <f>IF($N157=0,"",150)</f>
        <v>150</v>
      </c>
      <c r="B157" s="95">
        <f t="shared" si="6"/>
        <v>46262.0</v>
      </c>
      <c r="C157" s="96" t="str">
        <f t="shared" si="1"/>
        <v>张亮亮工资</v>
      </c>
      <c r="D157" s="21">
        <f t="shared" si="7"/>
        <v>0</v>
      </c>
      <c r="E157" s="21">
        <f t="shared" si="2"/>
        <v>5000</v>
      </c>
      <c r="F157" s="48">
        <f t="shared" si="8"/>
        <v>881873.3</v>
      </c>
      <c r="G157" s="94">
        <f t="shared" si="9"/>
      </c>
      <c r="H157" s="94" t="str">
        <f t="shared" si="3"/>
        <v>工资</v>
      </c>
      <c r="I157" s="96" t="str">
        <f t="shared" si="0"/>
        <v>张亮亮</v>
      </c>
      <c r="J157" s="94">
        <f t="shared" si="4"/>
      </c>
      <c r="K157" s="94">
        <f t="shared" si="10"/>
        <v>205</v>
      </c>
      <c r="L157" s="96">
        <f t="shared" si="5"/>
      </c>
      <c r="N157" s="2">
        <f>IF(150&gt;$Z$5,0,MOD(SMALL($Z$6:$Z$2005,150),10000))</f>
        <v>205</v>
      </c>
      <c r="O157" s="2">
        <f t="shared" si="11"/>
        <v>0</v>
      </c>
      <c r="Z157" s="2">
        <f>IF(AND(ISNUMBER(资金流水!$B$157),资金流水!$B$157&gt;=$C$4,资金流水!$B$157&lt;=$E$4,OR(资金流水!$C$157=$C$3,AND(资金流水!$AD$157=$C$3,资金流水!$X$157="账户互转"))),INT(资金流水!$B$157)*10000+152,"")</f>
        <v>462050152</v>
      </c>
    </row>
    <row r="158">
      <c r="A158" s="94">
        <f>IF($N158=0,"",151)</f>
        <v>151</v>
      </c>
      <c r="B158" s="95">
        <f t="shared" si="6"/>
        <v>46262.0</v>
      </c>
      <c r="C158" s="96" t="str">
        <f t="shared" si="1"/>
        <v>抚州2号楼预缴企业所得税</v>
      </c>
      <c r="D158" s="21">
        <f t="shared" si="7"/>
        <v>0</v>
      </c>
      <c r="E158" s="21">
        <f t="shared" si="2"/>
        <v>93.94</v>
      </c>
      <c r="F158" s="48">
        <f t="shared" si="8"/>
        <v>881779.36</v>
      </c>
      <c r="G158" s="94" t="str">
        <f t="shared" si="9"/>
        <v>抚州2号楼</v>
      </c>
      <c r="H158" s="94" t="str">
        <f t="shared" si="3"/>
        <v>所得税</v>
      </c>
      <c r="I158" s="96">
        <f t="shared" si="0"/>
      </c>
      <c r="J158" s="94">
        <f t="shared" si="4"/>
      </c>
      <c r="K158" s="94">
        <f t="shared" si="10"/>
        <v>206</v>
      </c>
      <c r="L158" s="96">
        <f t="shared" si="5"/>
      </c>
      <c r="N158" s="2">
        <f>IF(151&gt;$Z$5,0,MOD(SMALL($Z$6:$Z$2005,151),10000))</f>
        <v>206</v>
      </c>
      <c r="O158" s="2">
        <f t="shared" si="11"/>
        <v>0</v>
      </c>
      <c r="Z158" s="2">
        <f>IF(AND(ISNUMBER(资金流水!$B$158),资金流水!$B$158&gt;=$C$4,资金流水!$B$158&lt;=$E$4,OR(资金流水!$C$158=$C$3,AND(资金流水!$AD$158=$C$3,资金流水!$X$158="账户互转"))),INT(资金流水!$B$158)*10000+153,"")</f>
        <v>462050153</v>
      </c>
    </row>
    <row r="159">
      <c r="A159" s="94">
        <f>IF($N159=0,"",152)</f>
        <v>152</v>
      </c>
      <c r="B159" s="95">
        <f t="shared" si="6"/>
        <v>46262.0</v>
      </c>
      <c r="C159" s="96" t="str">
        <f t="shared" si="1"/>
        <v>抚州2号楼预缴增值税939.45 城市维护建设税23.48</v>
      </c>
      <c r="D159" s="21">
        <f t="shared" si="7"/>
        <v>0</v>
      </c>
      <c r="E159" s="21">
        <f t="shared" si="2"/>
        <v>962.93</v>
      </c>
      <c r="F159" s="48">
        <f t="shared" si="8"/>
        <v>880816.43</v>
      </c>
      <c r="G159" s="94" t="str">
        <f t="shared" si="9"/>
        <v>抚州2号楼</v>
      </c>
      <c r="H159" s="94" t="str">
        <f t="shared" si="3"/>
        <v>缴增值税及附加</v>
      </c>
      <c r="I159" s="96">
        <f t="shared" si="0"/>
      </c>
      <c r="J159" s="94">
        <f t="shared" si="4"/>
      </c>
      <c r="K159" s="94">
        <f t="shared" si="10"/>
        <v>207</v>
      </c>
      <c r="L159" s="96">
        <f t="shared" si="5"/>
      </c>
      <c r="N159" s="2">
        <f>IF(152&gt;$Z$5,0,MOD(SMALL($Z$6:$Z$2005,152),10000))</f>
        <v>207</v>
      </c>
      <c r="O159" s="2">
        <f t="shared" si="11"/>
        <v>0</v>
      </c>
      <c r="Z159" s="2">
        <f>IF(AND(ISNUMBER(资金流水!$B$159),资金流水!$B$159&gt;=$C$4,资金流水!$B$159&lt;=$E$4,OR(资金流水!$C$159=$C$3,AND(资金流水!$AD$159=$C$3,资金流水!$X$159="账户互转"))),INT(资金流水!$B$159)*10000+154,"")</f>
        <v>462050154</v>
      </c>
    </row>
    <row r="160">
      <c r="A160" s="94">
        <f>IF($N160=0,"",153)</f>
        <v>153</v>
      </c>
      <c r="B160" s="95">
        <f t="shared" si="6"/>
        <v>46262.0</v>
      </c>
      <c r="C160" s="96" t="str">
        <f t="shared" si="1"/>
        <v>抚州8号楼祝冬冬分包-劳务费</v>
      </c>
      <c r="D160" s="21">
        <f t="shared" si="7"/>
        <v>0</v>
      </c>
      <c r="E160" s="21">
        <f t="shared" si="2"/>
        <v>20000</v>
      </c>
      <c r="F160" s="48">
        <f t="shared" si="8"/>
        <v>860816.43</v>
      </c>
      <c r="G160" s="94" t="str">
        <f t="shared" si="9"/>
        <v>抚州8号楼</v>
      </c>
      <c r="H160" s="94" t="str">
        <f t="shared" si="3"/>
        <v>付应付款</v>
      </c>
      <c r="I160" s="96" t="str">
        <f t="shared" si="0"/>
        <v>祝冬冬</v>
      </c>
      <c r="J160" s="94">
        <f t="shared" si="4"/>
      </c>
      <c r="K160" s="94">
        <f t="shared" si="10"/>
        <v>208</v>
      </c>
      <c r="L160" s="96">
        <f t="shared" si="5"/>
      </c>
      <c r="N160" s="2">
        <f>IF(153&gt;$Z$5,0,MOD(SMALL($Z$6:$Z$2005,153),10000))</f>
        <v>208</v>
      </c>
      <c r="O160" s="2">
        <f t="shared" si="11"/>
        <v>0</v>
      </c>
      <c r="Z160" s="2">
        <f>IF(AND(ISNUMBER(资金流水!$B$160),资金流水!$B$160&gt;=$C$4,资金流水!$B$160&lt;=$E$4,OR(资金流水!$C$160=$C$3,AND(资金流水!$AD$160=$C$3,资金流水!$X$160="账户互转"))),INT(资金流水!$B$160)*10000+155,"")</f>
        <v>462050155</v>
      </c>
    </row>
    <row r="161">
      <c r="A161" s="94">
        <f>IF($N161=0,"",154)</f>
        <v>154</v>
      </c>
      <c r="B161" s="95">
        <f t="shared" si="6"/>
        <v>46262.0</v>
      </c>
      <c r="C161" s="96" t="str">
        <f t="shared" si="1"/>
        <v>王伟工资</v>
      </c>
      <c r="D161" s="21">
        <f t="shared" si="7"/>
        <v>0</v>
      </c>
      <c r="E161" s="21">
        <f t="shared" si="2"/>
        <v>5000</v>
      </c>
      <c r="F161" s="48">
        <f t="shared" si="8"/>
        <v>855816.43</v>
      </c>
      <c r="G161" s="94">
        <f t="shared" si="9"/>
      </c>
      <c r="H161" s="94" t="str">
        <f t="shared" si="3"/>
        <v>工资</v>
      </c>
      <c r="I161" s="96" t="str">
        <f t="shared" si="0"/>
        <v>王伟</v>
      </c>
      <c r="J161" s="94">
        <f t="shared" si="4"/>
      </c>
      <c r="K161" s="94">
        <f t="shared" si="10"/>
        <v>209</v>
      </c>
      <c r="L161" s="96">
        <f t="shared" si="5"/>
      </c>
      <c r="N161" s="2">
        <f>IF(154&gt;$Z$5,0,MOD(SMALL($Z$6:$Z$2005,154),10000))</f>
        <v>209</v>
      </c>
      <c r="O161" s="2">
        <f t="shared" si="11"/>
        <v>0</v>
      </c>
      <c r="Z161" s="2">
        <f>IF(AND(ISNUMBER(资金流水!$B$161),资金流水!$B$161&gt;=$C$4,资金流水!$B$161&lt;=$E$4,OR(资金流水!$C$161=$C$3,AND(资金流水!$AD$161=$C$3,资金流水!$X$161="账户互转"))),INT(资金流水!$B$161)*10000+156,"")</f>
        <v>462050156</v>
      </c>
    </row>
    <row r="162">
      <c r="A162" s="94">
        <f>IF($N162=0,"",155)</f>
        <v>155</v>
      </c>
      <c r="B162" s="95">
        <f t="shared" si="6"/>
        <v>46262.0</v>
      </c>
      <c r="C162" s="96" t="str">
        <f t="shared" si="1"/>
        <v>还聂辉个人借款</v>
      </c>
      <c r="D162" s="21">
        <f t="shared" si="7"/>
        <v>0</v>
      </c>
      <c r="E162" s="21">
        <f t="shared" si="2"/>
        <v>100000</v>
      </c>
      <c r="F162" s="48">
        <f t="shared" si="8"/>
        <v>755816.43</v>
      </c>
      <c r="G162" s="94">
        <f t="shared" si="9"/>
      </c>
      <c r="H162" s="94" t="str">
        <f t="shared" si="3"/>
        <v>账户互转</v>
      </c>
      <c r="I162" s="96" t="str">
        <f t="shared" si="0"/>
        <v>聂辉</v>
      </c>
      <c r="J162" s="94" t="str">
        <f t="shared" si="4"/>
        <v>聂辉个人户</v>
      </c>
      <c r="K162" s="94">
        <f t="shared" si="10"/>
        <v>210</v>
      </c>
      <c r="L162" s="96">
        <f t="shared" si="5"/>
      </c>
      <c r="N162" s="2">
        <f>IF(155&gt;$Z$5,0,MOD(SMALL($Z$6:$Z$2005,155),10000))</f>
        <v>210</v>
      </c>
      <c r="O162" s="2">
        <f t="shared" si="11"/>
        <v>0</v>
      </c>
      <c r="Z162" s="2">
        <f>IF(AND(ISNUMBER(资金流水!$B$162),资金流水!$B$162&gt;=$C$4,资金流水!$B$162&lt;=$E$4,OR(资金流水!$C$162=$C$3,AND(资金流水!$AD$162=$C$3,资金流水!$X$162="账户互转"))),INT(资金流水!$B$162)*10000+157,"")</f>
        <v>462050157</v>
      </c>
    </row>
    <row r="163">
      <c r="A163" s="94">
        <f>IF($N163=0,"",156)</f>
        <v>156</v>
      </c>
      <c r="B163" s="95">
        <f t="shared" si="6"/>
        <v>46262.0</v>
      </c>
      <c r="C163" s="96" t="str">
        <f t="shared" si="1"/>
        <v>聂峰工资</v>
      </c>
      <c r="D163" s="21">
        <f t="shared" si="7"/>
        <v>0</v>
      </c>
      <c r="E163" s="21">
        <f t="shared" si="2"/>
        <v>6000</v>
      </c>
      <c r="F163" s="48">
        <f t="shared" si="8"/>
        <v>749816.43</v>
      </c>
      <c r="G163" s="94">
        <f t="shared" si="9"/>
      </c>
      <c r="H163" s="94" t="str">
        <f t="shared" si="3"/>
        <v>工资</v>
      </c>
      <c r="I163" s="96" t="str">
        <f t="shared" si="0"/>
        <v>聂峰</v>
      </c>
      <c r="J163" s="94">
        <f t="shared" si="4"/>
      </c>
      <c r="K163" s="94">
        <f t="shared" si="10"/>
        <v>211</v>
      </c>
      <c r="L163" s="96">
        <f t="shared" si="5"/>
      </c>
      <c r="N163" s="2">
        <f>IF(156&gt;$Z$5,0,MOD(SMALL($Z$6:$Z$2005,156),10000))</f>
        <v>211</v>
      </c>
      <c r="O163" s="2">
        <f t="shared" si="11"/>
        <v>0</v>
      </c>
      <c r="Z163" s="2">
        <f>IF(AND(ISNUMBER(资金流水!$B$163),资金流水!$B$163&gt;=$C$4,资金流水!$B$163&lt;=$E$4,OR(资金流水!$C$163=$C$3,AND(资金流水!$AD$163=$C$3,资金流水!$X$163="账户互转"))),INT(资金流水!$B$163)*10000+158,"")</f>
        <v>462050158</v>
      </c>
    </row>
    <row r="164">
      <c r="A164" s="94">
        <f>IF($N164=0,"",157)</f>
        <v>157</v>
      </c>
      <c r="B164" s="95">
        <f t="shared" si="6"/>
        <v>46262.0</v>
      </c>
      <c r="C164" s="96" t="str">
        <f t="shared" si="1"/>
        <v>金南水工资</v>
      </c>
      <c r="D164" s="21">
        <f t="shared" si="7"/>
        <v>0</v>
      </c>
      <c r="E164" s="21">
        <f t="shared" si="2"/>
        <v>3000</v>
      </c>
      <c r="F164" s="48">
        <f t="shared" si="8"/>
        <v>746816.43</v>
      </c>
      <c r="G164" s="94">
        <f t="shared" si="9"/>
      </c>
      <c r="H164" s="94" t="str">
        <f t="shared" si="3"/>
        <v>工资</v>
      </c>
      <c r="I164" s="96" t="str">
        <f t="shared" si="0"/>
        <v>金南水</v>
      </c>
      <c r="J164" s="94">
        <f t="shared" si="4"/>
      </c>
      <c r="K164" s="94">
        <f t="shared" si="10"/>
        <v>212</v>
      </c>
      <c r="L164" s="96">
        <f t="shared" si="5"/>
      </c>
      <c r="N164" s="2">
        <f>IF(157&gt;$Z$5,0,MOD(SMALL($Z$6:$Z$2005,157),10000))</f>
        <v>212</v>
      </c>
      <c r="O164" s="2">
        <f t="shared" si="11"/>
        <v>0</v>
      </c>
      <c r="Z164" s="2">
        <f>IF(AND(ISNUMBER(资金流水!$B$164),资金流水!$B$164&gt;=$C$4,资金流水!$B$164&lt;=$E$4,OR(资金流水!$C$164=$C$3,AND(资金流水!$AD$164=$C$3,资金流水!$X$164="账户互转"))),INT(资金流水!$B$164)*10000+159,"")</f>
        <v>462070159</v>
      </c>
    </row>
    <row r="165">
      <c r="A165" s="94">
        <f>IF($N165=0,"",158)</f>
        <v>158</v>
      </c>
      <c r="B165" s="95">
        <f t="shared" si="6"/>
        <v>46262.0</v>
      </c>
      <c r="C165" s="96" t="str">
        <f t="shared" si="1"/>
        <v>张滨工资</v>
      </c>
      <c r="D165" s="21">
        <f t="shared" si="7"/>
        <v>0</v>
      </c>
      <c r="E165" s="21">
        <f t="shared" si="2"/>
        <v>5000</v>
      </c>
      <c r="F165" s="48">
        <f t="shared" si="8"/>
        <v>741816.43</v>
      </c>
      <c r="G165" s="94">
        <f t="shared" si="9"/>
      </c>
      <c r="H165" s="94" t="str">
        <f t="shared" si="3"/>
        <v>工资</v>
      </c>
      <c r="I165" s="96" t="str">
        <f t="shared" si="0"/>
        <v>张滨</v>
      </c>
      <c r="J165" s="94">
        <f t="shared" si="4"/>
      </c>
      <c r="K165" s="94">
        <f t="shared" si="10"/>
        <v>213</v>
      </c>
      <c r="L165" s="96">
        <f t="shared" si="5"/>
      </c>
      <c r="N165" s="2">
        <f>IF(158&gt;$Z$5,0,MOD(SMALL($Z$6:$Z$2005,158),10000))</f>
        <v>213</v>
      </c>
      <c r="O165" s="2">
        <f t="shared" si="11"/>
        <v>0</v>
      </c>
      <c r="Z165" s="2">
        <f>IF(AND(ISNUMBER(资金流水!$B$165),资金流水!$B$165&gt;=$C$4,资金流水!$B$165&lt;=$E$4,OR(资金流水!$C$165=$C$3,AND(资金流水!$AD$165=$C$3,资金流水!$X$165="账户互转"))),INT(资金流水!$B$165)*10000+160,"")</f>
        <v>462070160</v>
      </c>
    </row>
    <row r="166">
      <c r="A166" s="94">
        <f>IF($N166=0,"",159)</f>
        <v>159</v>
      </c>
      <c r="B166" s="95">
        <f t="shared" si="6"/>
        <v>46262.0</v>
      </c>
      <c r="C166" s="96" t="str">
        <f t="shared" si="1"/>
        <v>占善庆工资</v>
      </c>
      <c r="D166" s="21">
        <f t="shared" si="7"/>
        <v>0</v>
      </c>
      <c r="E166" s="21">
        <f t="shared" si="2"/>
        <v>1600</v>
      </c>
      <c r="F166" s="48">
        <f t="shared" si="8"/>
        <v>740216.43</v>
      </c>
      <c r="G166" s="94">
        <f t="shared" si="9"/>
      </c>
      <c r="H166" s="94" t="str">
        <f t="shared" si="3"/>
        <v>工资</v>
      </c>
      <c r="I166" s="96" t="str">
        <f t="shared" si="0"/>
        <v>占善庆</v>
      </c>
      <c r="J166" s="94">
        <f t="shared" si="4"/>
      </c>
      <c r="K166" s="94">
        <f t="shared" si="10"/>
        <v>214</v>
      </c>
      <c r="L166" s="96">
        <f t="shared" si="5"/>
      </c>
      <c r="N166" s="2">
        <f>IF(159&gt;$Z$5,0,MOD(SMALL($Z$6:$Z$2005,159),10000))</f>
        <v>214</v>
      </c>
      <c r="O166" s="2">
        <f t="shared" si="11"/>
        <v>0</v>
      </c>
      <c r="Z166" s="2">
        <f>IF(AND(ISNUMBER(资金流水!$B$166),资金流水!$B$166&gt;=$C$4,资金流水!$B$166&lt;=$E$4,OR(资金流水!$C$166=$C$3,AND(资金流水!$AD$166=$C$3,资金流水!$X$166="账户互转"))),INT(资金流水!$B$166)*10000+161,"")</f>
        <v>462170161</v>
      </c>
    </row>
    <row r="167">
      <c r="A167" s="94">
        <f>IF($N167=0,"",160)</f>
        <v>160</v>
      </c>
      <c r="B167" s="95">
        <f t="shared" si="6"/>
        <v>46262.0</v>
      </c>
      <c r="C167" s="96" t="str">
        <f t="shared" si="1"/>
        <v>筑强材料款</v>
      </c>
      <c r="D167" s="21">
        <f t="shared" si="7"/>
        <v>0</v>
      </c>
      <c r="E167" s="21">
        <f t="shared" si="2"/>
        <v>50000</v>
      </c>
      <c r="F167" s="48">
        <f t="shared" si="8"/>
        <v>690216.43</v>
      </c>
      <c r="G167" s="94">
        <f t="shared" si="9"/>
      </c>
      <c r="H167" s="94" t="str">
        <f t="shared" si="3"/>
        <v>付应付款</v>
      </c>
      <c r="I167" s="96" t="str">
        <f t="shared" si="0"/>
        <v>筑强</v>
      </c>
      <c r="J167" s="94">
        <f t="shared" si="4"/>
      </c>
      <c r="K167" s="94">
        <f t="shared" si="10"/>
        <v>215</v>
      </c>
      <c r="L167" s="96">
        <f t="shared" si="5"/>
      </c>
      <c r="N167" s="2">
        <f>IF(160&gt;$Z$5,0,MOD(SMALL($Z$6:$Z$2005,160),10000))</f>
        <v>215</v>
      </c>
      <c r="O167" s="2">
        <f t="shared" si="11"/>
        <v>0</v>
      </c>
      <c r="Z167" s="2">
        <f>IF(AND(ISNUMBER(资金流水!$B$167),资金流水!$B$167&gt;=$C$4,资金流水!$B$167&lt;=$E$4,OR(资金流水!$C$167=$C$3,AND(资金流水!$AD$167=$C$3,资金流水!$X$167="账户互转"))),INT(资金流水!$B$167)*10000+162,"")</f>
        <v>462260162</v>
      </c>
    </row>
    <row r="168">
      <c r="A168" s="94">
        <f>IF($N168=0,"",161)</f>
      </c>
      <c r="B168" s="95">
        <f t="shared" si="6"/>
      </c>
      <c r="C168" s="96">
        <f t="shared" si="1"/>
      </c>
      <c r="D168" s="21">
        <f t="shared" si="7"/>
      </c>
      <c r="E168" s="21">
        <f t="shared" si="2"/>
      </c>
      <c r="F168" s="48">
        <f t="shared" si="8"/>
      </c>
      <c r="G168" s="94">
        <f t="shared" si="9"/>
      </c>
      <c r="H168" s="94">
        <f t="shared" si="3"/>
      </c>
      <c r="I168" s="96">
        <f t="shared" si="0"/>
      </c>
      <c r="J168" s="94">
        <f t="shared" si="4"/>
      </c>
      <c r="K168" s="94">
        <f t="shared" si="10"/>
      </c>
      <c r="L168" s="96">
        <f t="shared" si="5"/>
      </c>
      <c r="N168" s="2">
        <f>IF(161&gt;$Z$5,0,MOD(SMALL($Z$6:$Z$2005,161),10000))</f>
        <v>0</v>
      </c>
      <c r="O168" s="2">
        <f t="shared" si="11"/>
        <v>0</v>
      </c>
      <c r="Z168" s="2">
        <f>IF(AND(ISNUMBER(资金流水!$B$168),资金流水!$B$168&gt;=$C$4,资金流水!$B$168&lt;=$E$4,OR(资金流水!$C$168=$C$3,AND(资金流水!$AD$168=$C$3,资金流水!$X$168="账户互转"))),INT(资金流水!$B$168)*10000+163,"")</f>
        <v>462260163</v>
      </c>
    </row>
    <row r="169">
      <c r="A169" s="94">
        <f>IF($N169=0,"",162)</f>
      </c>
      <c r="B169" s="95">
        <f t="shared" si="6"/>
      </c>
      <c r="C169" s="96">
        <f t="shared" si="1"/>
      </c>
      <c r="D169" s="21">
        <f t="shared" si="7"/>
      </c>
      <c r="E169" s="21">
        <f t="shared" si="2"/>
      </c>
      <c r="F169" s="48">
        <f t="shared" si="8"/>
      </c>
      <c r="G169" s="94">
        <f t="shared" si="9"/>
      </c>
      <c r="H169" s="94">
        <f t="shared" si="3"/>
      </c>
      <c r="I169" s="96">
        <f t="shared" si="0"/>
      </c>
      <c r="J169" s="94">
        <f t="shared" si="4"/>
      </c>
      <c r="K169" s="94">
        <f t="shared" si="10"/>
      </c>
      <c r="L169" s="96">
        <f t="shared" si="5"/>
      </c>
      <c r="N169" s="2">
        <f>IF(162&gt;$Z$5,0,MOD(SMALL($Z$6:$Z$2005,162),10000))</f>
        <v>0</v>
      </c>
      <c r="O169" s="2">
        <f t="shared" si="11"/>
        <v>0</v>
      </c>
      <c r="Z169" s="2">
        <f>IF(AND(ISNUMBER(资金流水!$B$169),资金流水!$B$169&gt;=$C$4,资金流水!$B$169&lt;=$E$4,OR(资金流水!$C$169=$C$3,AND(资金流水!$AD$169=$C$3,资金流水!$X$169="账户互转"))),INT(资金流水!$B$169)*10000+164,"")</f>
        <v>462270164</v>
      </c>
    </row>
    <row r="170">
      <c r="A170" s="94">
        <f>IF($N170=0,"",163)</f>
      </c>
      <c r="B170" s="95">
        <f t="shared" si="6"/>
      </c>
      <c r="C170" s="96">
        <f t="shared" si="1"/>
      </c>
      <c r="D170" s="21">
        <f t="shared" si="7"/>
      </c>
      <c r="E170" s="21">
        <f t="shared" si="2"/>
      </c>
      <c r="F170" s="48">
        <f t="shared" si="8"/>
      </c>
      <c r="G170" s="94">
        <f t="shared" si="9"/>
      </c>
      <c r="H170" s="94">
        <f t="shared" si="3"/>
      </c>
      <c r="I170" s="96">
        <f t="shared" si="0"/>
      </c>
      <c r="J170" s="94">
        <f t="shared" si="4"/>
      </c>
      <c r="K170" s="94">
        <f t="shared" si="10"/>
      </c>
      <c r="L170" s="96">
        <f t="shared" si="5"/>
      </c>
      <c r="N170" s="2">
        <f>IF(163&gt;$Z$5,0,MOD(SMALL($Z$6:$Z$2005,163),10000))</f>
        <v>0</v>
      </c>
      <c r="O170" s="2">
        <f t="shared" si="11"/>
        <v>0</v>
      </c>
      <c r="Z170" s="2">
        <f>IF(AND(ISNUMBER(资金流水!$B$170),资金流水!$B$170&gt;=$C$4,资金流水!$B$170&lt;=$E$4,OR(资金流水!$C$170=$C$3,AND(资金流水!$AD$170=$C$3,资金流水!$X$170="账户互转"))),INT(资金流水!$B$170)*10000+165,"")</f>
        <v>462270165</v>
      </c>
    </row>
    <row r="171">
      <c r="A171" s="94">
        <f>IF($N171=0,"",164)</f>
      </c>
      <c r="B171" s="95">
        <f t="shared" si="6"/>
      </c>
      <c r="C171" s="96">
        <f t="shared" si="1"/>
      </c>
      <c r="D171" s="21">
        <f t="shared" si="7"/>
      </c>
      <c r="E171" s="21">
        <f t="shared" si="2"/>
      </c>
      <c r="F171" s="48">
        <f t="shared" si="8"/>
      </c>
      <c r="G171" s="94">
        <f t="shared" si="9"/>
      </c>
      <c r="H171" s="94">
        <f t="shared" si="3"/>
      </c>
      <c r="I171" s="96">
        <f t="shared" si="0"/>
      </c>
      <c r="J171" s="94">
        <f t="shared" si="4"/>
      </c>
      <c r="K171" s="94">
        <f t="shared" si="10"/>
      </c>
      <c r="L171" s="96">
        <f t="shared" si="5"/>
      </c>
      <c r="N171" s="2">
        <f>IF(164&gt;$Z$5,0,MOD(SMALL($Z$6:$Z$2005,164),10000))</f>
        <v>0</v>
      </c>
      <c r="O171" s="2">
        <f t="shared" si="11"/>
        <v>0</v>
      </c>
      <c r="Z171" s="2">
        <f>IF(AND(ISNUMBER(资金流水!$B$171),资金流水!$B$171&gt;=$C$4,资金流水!$B$171&lt;=$E$4,OR(资金流水!$C$171=$C$3,AND(资金流水!$AD$171=$C$3,资金流水!$X$171="账户互转"))),INT(资金流水!$B$171)*10000+166,"")</f>
        <v>462270166</v>
      </c>
    </row>
    <row r="172">
      <c r="A172" s="94">
        <f>IF($N172=0,"",165)</f>
      </c>
      <c r="B172" s="95">
        <f t="shared" si="6"/>
      </c>
      <c r="C172" s="96">
        <f t="shared" si="1"/>
      </c>
      <c r="D172" s="21">
        <f t="shared" si="7"/>
      </c>
      <c r="E172" s="21">
        <f t="shared" si="2"/>
      </c>
      <c r="F172" s="48">
        <f t="shared" si="8"/>
      </c>
      <c r="G172" s="94">
        <f t="shared" si="9"/>
      </c>
      <c r="H172" s="94">
        <f t="shared" si="3"/>
      </c>
      <c r="I172" s="96">
        <f t="shared" si="0"/>
      </c>
      <c r="J172" s="94">
        <f t="shared" si="4"/>
      </c>
      <c r="K172" s="94">
        <f t="shared" si="10"/>
      </c>
      <c r="L172" s="96">
        <f t="shared" si="5"/>
      </c>
      <c r="N172" s="2">
        <f>IF(165&gt;$Z$5,0,MOD(SMALL($Z$6:$Z$2005,165),10000))</f>
        <v>0</v>
      </c>
      <c r="O172" s="2">
        <f t="shared" si="11"/>
        <v>0</v>
      </c>
      <c r="Z172" s="2">
        <f>IF(AND(ISNUMBER(资金流水!$B$172),资金流水!$B$172&gt;=$C$4,资金流水!$B$172&lt;=$E$4,OR(资金流水!$C$172=$C$3,AND(资金流水!$AD$172=$C$3,资金流水!$X$172="账户互转"))),INT(资金流水!$B$172)*10000+167,"")</f>
        <v>462270167</v>
      </c>
    </row>
    <row r="173">
      <c r="A173" s="94">
        <f>IF($N173=0,"",166)</f>
      </c>
      <c r="B173" s="95">
        <f t="shared" si="6"/>
      </c>
      <c r="C173" s="96">
        <f t="shared" si="1"/>
      </c>
      <c r="D173" s="21">
        <f t="shared" si="7"/>
      </c>
      <c r="E173" s="21">
        <f t="shared" si="2"/>
      </c>
      <c r="F173" s="48">
        <f t="shared" si="8"/>
      </c>
      <c r="G173" s="94">
        <f t="shared" si="9"/>
      </c>
      <c r="H173" s="94">
        <f t="shared" si="3"/>
      </c>
      <c r="I173" s="96">
        <f t="shared" si="0"/>
      </c>
      <c r="J173" s="94">
        <f t="shared" si="4"/>
      </c>
      <c r="K173" s="94">
        <f t="shared" si="10"/>
      </c>
      <c r="L173" s="96">
        <f t="shared" si="5"/>
      </c>
      <c r="N173" s="2">
        <f>IF(166&gt;$Z$5,0,MOD(SMALL($Z$6:$Z$2005,166),10000))</f>
        <v>0</v>
      </c>
      <c r="O173" s="2">
        <f t="shared" si="11"/>
        <v>0</v>
      </c>
      <c r="Z173" s="2">
        <f>IF(AND(ISNUMBER(资金流水!$B$173),资金流水!$B$173&gt;=$C$4,资金流水!$B$173&lt;=$E$4,OR(资金流水!$C$173=$C$3,AND(资金流水!$AD$173=$C$3,资金流水!$X$173="账户互转"))),INT(资金流水!$B$173)*10000+168,"")</f>
        <v>462290168</v>
      </c>
    </row>
    <row r="174">
      <c r="A174" s="94">
        <f>IF($N174=0,"",167)</f>
      </c>
      <c r="B174" s="95">
        <f t="shared" si="6"/>
      </c>
      <c r="C174" s="96">
        <f t="shared" si="1"/>
      </c>
      <c r="D174" s="21">
        <f t="shared" si="7"/>
      </c>
      <c r="E174" s="21">
        <f t="shared" si="2"/>
      </c>
      <c r="F174" s="48">
        <f t="shared" si="8"/>
      </c>
      <c r="G174" s="94">
        <f t="shared" si="9"/>
      </c>
      <c r="H174" s="94">
        <f t="shared" si="3"/>
      </c>
      <c r="I174" s="96">
        <f t="shared" si="0"/>
      </c>
      <c r="J174" s="94">
        <f t="shared" si="4"/>
      </c>
      <c r="K174" s="94">
        <f t="shared" si="10"/>
      </c>
      <c r="L174" s="96">
        <f t="shared" si="5"/>
      </c>
      <c r="N174" s="2">
        <f>IF(167&gt;$Z$5,0,MOD(SMALL($Z$6:$Z$2005,167),10000))</f>
        <v>0</v>
      </c>
      <c r="O174" s="2">
        <f t="shared" si="11"/>
        <v>0</v>
      </c>
      <c r="Z174" s="2">
        <f>IF(AND(ISNUMBER(资金流水!$B$174),资金流水!$B$174&gt;=$C$4,资金流水!$B$174&lt;=$E$4,OR(资金流水!$C$174=$C$3,AND(资金流水!$AD$174=$C$3,资金流水!$X$174="账户互转"))),INT(资金流水!$B$174)*10000+169,"")</f>
        <v>462310169</v>
      </c>
    </row>
    <row r="175">
      <c r="A175" s="94">
        <f>IF($N175=0,"",168)</f>
      </c>
      <c r="B175" s="95">
        <f t="shared" si="6"/>
      </c>
      <c r="C175" s="96">
        <f t="shared" si="1"/>
      </c>
      <c r="D175" s="21">
        <f t="shared" si="7"/>
      </c>
      <c r="E175" s="21">
        <f t="shared" si="2"/>
      </c>
      <c r="F175" s="48">
        <f t="shared" si="8"/>
      </c>
      <c r="G175" s="94">
        <f t="shared" si="9"/>
      </c>
      <c r="H175" s="94">
        <f t="shared" si="3"/>
      </c>
      <c r="I175" s="96">
        <f t="shared" si="0"/>
      </c>
      <c r="J175" s="94">
        <f t="shared" si="4"/>
      </c>
      <c r="K175" s="94">
        <f t="shared" si="10"/>
      </c>
      <c r="L175" s="96">
        <f t="shared" si="5"/>
      </c>
      <c r="N175" s="2">
        <f>IF(168&gt;$Z$5,0,MOD(SMALL($Z$6:$Z$2005,168),10000))</f>
        <v>0</v>
      </c>
      <c r="O175" s="2">
        <f t="shared" si="11"/>
        <v>0</v>
      </c>
      <c r="Z175" s="2">
        <f>IF(AND(ISNUMBER(资金流水!$B$175),资金流水!$B$175&gt;=$C$4,资金流水!$B$175&lt;=$E$4,OR(资金流水!$C$175=$C$3,AND(资金流水!$AD$175=$C$3,资金流水!$X$175="账户互转"))),INT(资金流水!$B$175)*10000+170,"")</f>
        <v>462310170</v>
      </c>
    </row>
    <row r="176">
      <c r="A176" s="94">
        <f>IF($N176=0,"",169)</f>
      </c>
      <c r="B176" s="95">
        <f t="shared" si="6"/>
      </c>
      <c r="C176" s="96">
        <f t="shared" si="1"/>
      </c>
      <c r="D176" s="21">
        <f t="shared" si="7"/>
      </c>
      <c r="E176" s="21">
        <f t="shared" si="2"/>
      </c>
      <c r="F176" s="48">
        <f t="shared" si="8"/>
      </c>
      <c r="G176" s="94">
        <f t="shared" si="9"/>
      </c>
      <c r="H176" s="94">
        <f t="shared" si="3"/>
      </c>
      <c r="I176" s="96">
        <f t="shared" si="0"/>
      </c>
      <c r="J176" s="94">
        <f t="shared" si="4"/>
      </c>
      <c r="K176" s="94">
        <f t="shared" si="10"/>
      </c>
      <c r="L176" s="96">
        <f t="shared" si="5"/>
      </c>
      <c r="N176" s="2">
        <f>IF(169&gt;$Z$5,0,MOD(SMALL($Z$6:$Z$2005,169),10000))</f>
        <v>0</v>
      </c>
      <c r="O176" s="2">
        <f t="shared" si="11"/>
        <v>0</v>
      </c>
      <c r="Z176" s="2">
        <f>IF(AND(ISNUMBER(资金流水!$B$176),资金流水!$B$176&gt;=$C$4,资金流水!$B$176&lt;=$E$4,OR(资金流水!$C$176=$C$3,AND(资金流水!$AD$176=$C$3,资金流水!$X$176="账户互转"))),INT(资金流水!$B$176)*10000+171,"")</f>
        <v>462310171</v>
      </c>
    </row>
    <row r="177">
      <c r="A177" s="94">
        <f>IF($N177=0,"",170)</f>
      </c>
      <c r="B177" s="95">
        <f t="shared" si="6"/>
      </c>
      <c r="C177" s="96">
        <f t="shared" si="1"/>
      </c>
      <c r="D177" s="21">
        <f t="shared" si="7"/>
      </c>
      <c r="E177" s="21">
        <f t="shared" si="2"/>
      </c>
      <c r="F177" s="48">
        <f t="shared" si="8"/>
      </c>
      <c r="G177" s="94">
        <f t="shared" si="9"/>
      </c>
      <c r="H177" s="94">
        <f t="shared" si="3"/>
      </c>
      <c r="I177" s="96">
        <f t="shared" si="0"/>
      </c>
      <c r="J177" s="94">
        <f t="shared" si="4"/>
      </c>
      <c r="K177" s="94">
        <f t="shared" si="10"/>
      </c>
      <c r="L177" s="96">
        <f t="shared" si="5"/>
      </c>
      <c r="N177" s="2">
        <f>IF(170&gt;$Z$5,0,MOD(SMALL($Z$6:$Z$2005,170),10000))</f>
        <v>0</v>
      </c>
      <c r="O177" s="2">
        <f t="shared" si="11"/>
        <v>0</v>
      </c>
      <c r="Z177" s="2">
        <f>IF(AND(ISNUMBER(资金流水!$B$177),资金流水!$B$177&gt;=$C$4,资金流水!$B$177&lt;=$E$4,OR(资金流水!$C$177=$C$3,AND(资金流水!$AD$177=$C$3,资金流水!$X$177="账户互转"))),INT(资金流水!$B$177)*10000+172,"")</f>
        <v>462320172</v>
      </c>
    </row>
    <row r="178">
      <c r="A178" s="94">
        <f>IF($N178=0,"",171)</f>
      </c>
      <c r="B178" s="95">
        <f t="shared" si="6"/>
      </c>
      <c r="C178" s="96">
        <f t="shared" si="1"/>
      </c>
      <c r="D178" s="21">
        <f t="shared" si="7"/>
      </c>
      <c r="E178" s="21">
        <f t="shared" si="2"/>
      </c>
      <c r="F178" s="48">
        <f t="shared" si="8"/>
      </c>
      <c r="G178" s="94">
        <f t="shared" si="9"/>
      </c>
      <c r="H178" s="94">
        <f t="shared" si="3"/>
      </c>
      <c r="I178" s="96">
        <f t="shared" si="0"/>
      </c>
      <c r="J178" s="94">
        <f t="shared" si="4"/>
      </c>
      <c r="K178" s="94">
        <f t="shared" si="10"/>
      </c>
      <c r="L178" s="96">
        <f t="shared" si="5"/>
      </c>
      <c r="N178" s="2">
        <f>IF(171&gt;$Z$5,0,MOD(SMALL($Z$6:$Z$2005,171),10000))</f>
        <v>0</v>
      </c>
      <c r="O178" s="2">
        <f t="shared" si="11"/>
        <v>0</v>
      </c>
      <c r="Z178" s="2">
        <f>IF(AND(ISNUMBER(资金流水!$B$178),资金流水!$B$178&gt;=$C$4,资金流水!$B$178&lt;=$E$4,OR(资金流水!$C$178=$C$3,AND(资金流水!$AD$178=$C$3,资金流水!$X$178="账户互转"))),INT(资金流水!$B$178)*10000+173,"")</f>
        <v>462320173</v>
      </c>
    </row>
    <row r="179">
      <c r="A179" s="94">
        <f>IF($N179=0,"",172)</f>
      </c>
      <c r="B179" s="95">
        <f t="shared" si="6"/>
      </c>
      <c r="C179" s="96">
        <f t="shared" si="1"/>
      </c>
      <c r="D179" s="21">
        <f t="shared" si="7"/>
      </c>
      <c r="E179" s="21">
        <f t="shared" si="2"/>
      </c>
      <c r="F179" s="48">
        <f t="shared" si="8"/>
      </c>
      <c r="G179" s="94">
        <f t="shared" si="9"/>
      </c>
      <c r="H179" s="94">
        <f t="shared" si="3"/>
      </c>
      <c r="I179" s="96">
        <f t="shared" si="0"/>
      </c>
      <c r="J179" s="94">
        <f t="shared" si="4"/>
      </c>
      <c r="K179" s="94">
        <f t="shared" si="10"/>
      </c>
      <c r="L179" s="96">
        <f t="shared" si="5"/>
      </c>
      <c r="N179" s="2">
        <f>IF(172&gt;$Z$5,0,MOD(SMALL($Z$6:$Z$2005,172),10000))</f>
        <v>0</v>
      </c>
      <c r="O179" s="2">
        <f t="shared" si="11"/>
        <v>0</v>
      </c>
      <c r="Z179" s="2">
        <f>IF(AND(ISNUMBER(资金流水!$B$179),资金流水!$B$179&gt;=$C$4,资金流水!$B$179&lt;=$E$4,OR(资金流水!$C$179=$C$3,AND(资金流水!$AD$179=$C$3,资金流水!$X$179="账户互转"))),INT(资金流水!$B$179)*10000+174,"")</f>
        <v>462340174</v>
      </c>
    </row>
    <row r="180">
      <c r="A180" s="94">
        <f>IF($N180=0,"",173)</f>
      </c>
      <c r="B180" s="95">
        <f t="shared" si="6"/>
      </c>
      <c r="C180" s="96">
        <f t="shared" si="1"/>
      </c>
      <c r="D180" s="21">
        <f t="shared" si="7"/>
      </c>
      <c r="E180" s="21">
        <f t="shared" si="2"/>
      </c>
      <c r="F180" s="48">
        <f t="shared" si="8"/>
      </c>
      <c r="G180" s="94">
        <f t="shared" si="9"/>
      </c>
      <c r="H180" s="94">
        <f t="shared" si="3"/>
      </c>
      <c r="I180" s="96">
        <f t="shared" si="0"/>
      </c>
      <c r="J180" s="94">
        <f t="shared" si="4"/>
      </c>
      <c r="K180" s="94">
        <f t="shared" si="10"/>
      </c>
      <c r="L180" s="96">
        <f t="shared" si="5"/>
      </c>
      <c r="N180" s="2">
        <f>IF(173&gt;$Z$5,0,MOD(SMALL($Z$6:$Z$2005,173),10000))</f>
        <v>0</v>
      </c>
      <c r="O180" s="2">
        <f t="shared" si="11"/>
        <v>0</v>
      </c>
      <c r="Z180" s="2">
        <f>IF(AND(ISNUMBER(资金流水!$B$180),资金流水!$B$180&gt;=$C$4,资金流水!$B$180&lt;=$E$4,OR(资金流水!$C$180=$C$3,AND(资金流水!$AD$180=$C$3,资金流水!$X$180="账户互转"))),INT(资金流水!$B$180)*10000+175,"")</f>
        <v>462340175</v>
      </c>
    </row>
    <row r="181">
      <c r="A181" s="94">
        <f>IF($N181=0,"",174)</f>
      </c>
      <c r="B181" s="95">
        <f t="shared" si="6"/>
      </c>
      <c r="C181" s="96">
        <f t="shared" si="1"/>
      </c>
      <c r="D181" s="21">
        <f t="shared" si="7"/>
      </c>
      <c r="E181" s="21">
        <f t="shared" si="2"/>
      </c>
      <c r="F181" s="48">
        <f t="shared" si="8"/>
      </c>
      <c r="G181" s="94">
        <f t="shared" si="9"/>
      </c>
      <c r="H181" s="94">
        <f t="shared" si="3"/>
      </c>
      <c r="I181" s="96">
        <f t="shared" si="0"/>
      </c>
      <c r="J181" s="94">
        <f t="shared" si="4"/>
      </c>
      <c r="K181" s="94">
        <f t="shared" si="10"/>
      </c>
      <c r="L181" s="96">
        <f t="shared" si="5"/>
      </c>
      <c r="N181" s="2">
        <f>IF(174&gt;$Z$5,0,MOD(SMALL($Z$6:$Z$2005,174),10000))</f>
        <v>0</v>
      </c>
      <c r="O181" s="2">
        <f t="shared" si="11"/>
        <v>0</v>
      </c>
      <c r="Z181" s="2">
        <f>IF(AND(ISNUMBER(资金流水!$B$181),资金流水!$B$181&gt;=$C$4,资金流水!$B$181&lt;=$E$4,OR(资金流水!$C$181=$C$3,AND(资金流水!$AD$181=$C$3,资金流水!$X$181="账户互转"))),INT(资金流水!$B$181)*10000+176,"")</f>
        <v>462340176</v>
      </c>
    </row>
    <row r="182">
      <c r="A182" s="94">
        <f>IF($N182=0,"",175)</f>
      </c>
      <c r="B182" s="95">
        <f t="shared" si="6"/>
      </c>
      <c r="C182" s="96">
        <f t="shared" si="1"/>
      </c>
      <c r="D182" s="21">
        <f t="shared" si="7"/>
      </c>
      <c r="E182" s="21">
        <f t="shared" si="2"/>
      </c>
      <c r="F182" s="48">
        <f t="shared" si="8"/>
      </c>
      <c r="G182" s="94">
        <f t="shared" si="9"/>
      </c>
      <c r="H182" s="94">
        <f t="shared" si="3"/>
      </c>
      <c r="I182" s="96">
        <f t="shared" si="0"/>
      </c>
      <c r="J182" s="94">
        <f t="shared" si="4"/>
      </c>
      <c r="K182" s="94">
        <f t="shared" si="10"/>
      </c>
      <c r="L182" s="96">
        <f t="shared" si="5"/>
      </c>
      <c r="N182" s="2">
        <f>IF(175&gt;$Z$5,0,MOD(SMALL($Z$6:$Z$2005,175),10000))</f>
        <v>0</v>
      </c>
      <c r="O182" s="2">
        <f t="shared" si="11"/>
        <v>0</v>
      </c>
      <c r="Z182" s="2">
        <f>IF(AND(ISNUMBER(资金流水!$B$182),资金流水!$B$182&gt;=$C$4,资金流水!$B$182&lt;=$E$4,OR(资金流水!$C$182=$C$3,AND(资金流水!$AD$182=$C$3,资金流水!$X$182="账户互转"))),INT(资金流水!$B$182)*10000+177,"")</f>
        <v>462340177</v>
      </c>
    </row>
    <row r="183">
      <c r="A183" s="94">
        <f>IF($N183=0,"",176)</f>
      </c>
      <c r="B183" s="95">
        <f t="shared" si="6"/>
      </c>
      <c r="C183" s="96">
        <f t="shared" si="1"/>
      </c>
      <c r="D183" s="21">
        <f t="shared" si="7"/>
      </c>
      <c r="E183" s="21">
        <f t="shared" si="2"/>
      </c>
      <c r="F183" s="48">
        <f t="shared" si="8"/>
      </c>
      <c r="G183" s="94">
        <f t="shared" si="9"/>
      </c>
      <c r="H183" s="94">
        <f t="shared" si="3"/>
      </c>
      <c r="I183" s="96">
        <f t="shared" si="0"/>
      </c>
      <c r="J183" s="94">
        <f t="shared" si="4"/>
      </c>
      <c r="K183" s="94">
        <f t="shared" si="10"/>
      </c>
      <c r="L183" s="96">
        <f t="shared" si="5"/>
      </c>
      <c r="N183" s="2">
        <f>IF(176&gt;$Z$5,0,MOD(SMALL($Z$6:$Z$2005,176),10000))</f>
        <v>0</v>
      </c>
      <c r="O183" s="2">
        <f t="shared" si="11"/>
        <v>0</v>
      </c>
      <c r="Z183" s="2">
        <f>IF(AND(ISNUMBER(资金流水!$B$183),资金流水!$B$183&gt;=$C$4,资金流水!$B$183&lt;=$E$4,OR(资金流水!$C$183=$C$3,AND(资金流水!$AD$183=$C$3,资金流水!$X$183="账户互转"))),INT(资金流水!$B$183)*10000+178,"")</f>
        <v>462340178</v>
      </c>
    </row>
    <row r="184">
      <c r="A184" s="94">
        <f>IF($N184=0,"",177)</f>
      </c>
      <c r="B184" s="95">
        <f t="shared" si="6"/>
      </c>
      <c r="C184" s="96">
        <f t="shared" si="1"/>
      </c>
      <c r="D184" s="21">
        <f t="shared" si="7"/>
      </c>
      <c r="E184" s="21">
        <f t="shared" si="2"/>
      </c>
      <c r="F184" s="48">
        <f t="shared" si="8"/>
      </c>
      <c r="G184" s="94">
        <f t="shared" si="9"/>
      </c>
      <c r="H184" s="94">
        <f t="shared" si="3"/>
      </c>
      <c r="I184" s="96">
        <f t="shared" si="0"/>
      </c>
      <c r="J184" s="94">
        <f t="shared" si="4"/>
      </c>
      <c r="K184" s="94">
        <f t="shared" si="10"/>
      </c>
      <c r="L184" s="96">
        <f t="shared" si="5"/>
      </c>
      <c r="N184" s="2">
        <f>IF(177&gt;$Z$5,0,MOD(SMALL($Z$6:$Z$2005,177),10000))</f>
        <v>0</v>
      </c>
      <c r="O184" s="2">
        <f t="shared" si="11"/>
        <v>0</v>
      </c>
      <c r="Z184" s="2">
        <f>IF(AND(ISNUMBER(资金流水!$B$184),资金流水!$B$184&gt;=$C$4,资金流水!$B$184&lt;=$E$4,OR(资金流水!$C$184=$C$3,AND(资金流水!$AD$184=$C$3,资金流水!$X$184="账户互转"))),INT(资金流水!$B$184)*10000+179,"")</f>
        <v>462340179</v>
      </c>
    </row>
    <row r="185">
      <c r="A185" s="94">
        <f>IF($N185=0,"",178)</f>
      </c>
      <c r="B185" s="95">
        <f t="shared" si="6"/>
      </c>
      <c r="C185" s="96">
        <f t="shared" si="1"/>
      </c>
      <c r="D185" s="21">
        <f t="shared" si="7"/>
      </c>
      <c r="E185" s="21">
        <f t="shared" si="2"/>
      </c>
      <c r="F185" s="48">
        <f t="shared" si="8"/>
      </c>
      <c r="G185" s="94">
        <f t="shared" si="9"/>
      </c>
      <c r="H185" s="94">
        <f t="shared" si="3"/>
      </c>
      <c r="I185" s="96">
        <f t="shared" si="0"/>
      </c>
      <c r="J185" s="94">
        <f t="shared" si="4"/>
      </c>
      <c r="K185" s="94">
        <f t="shared" si="10"/>
      </c>
      <c r="L185" s="96">
        <f t="shared" si="5"/>
      </c>
      <c r="N185" s="2">
        <f>IF(178&gt;$Z$5,0,MOD(SMALL($Z$6:$Z$2005,178),10000))</f>
        <v>0</v>
      </c>
      <c r="O185" s="2">
        <f t="shared" si="11"/>
        <v>0</v>
      </c>
      <c r="Z185" s="2">
        <f>IF(AND(ISNUMBER(资金流水!$B$185),资金流水!$B$185&gt;=$C$4,资金流水!$B$185&lt;=$E$4,OR(资金流水!$C$185=$C$3,AND(资金流水!$AD$185=$C$3,资金流水!$X$185="账户互转"))),INT(资金流水!$B$185)*10000+180,"")</f>
        <v>462340180</v>
      </c>
    </row>
    <row r="186">
      <c r="A186" s="94">
        <f>IF($N186=0,"",179)</f>
      </c>
      <c r="B186" s="95">
        <f t="shared" si="6"/>
      </c>
      <c r="C186" s="96">
        <f t="shared" si="1"/>
      </c>
      <c r="D186" s="21">
        <f t="shared" si="7"/>
      </c>
      <c r="E186" s="21">
        <f t="shared" si="2"/>
      </c>
      <c r="F186" s="48">
        <f t="shared" si="8"/>
      </c>
      <c r="G186" s="94">
        <f t="shared" si="9"/>
      </c>
      <c r="H186" s="94">
        <f t="shared" si="3"/>
      </c>
      <c r="I186" s="96">
        <f t="shared" si="0"/>
      </c>
      <c r="J186" s="94">
        <f t="shared" si="4"/>
      </c>
      <c r="K186" s="94">
        <f t="shared" si="10"/>
      </c>
      <c r="L186" s="96">
        <f t="shared" si="5"/>
      </c>
      <c r="N186" s="2">
        <f>IF(179&gt;$Z$5,0,MOD(SMALL($Z$6:$Z$2005,179),10000))</f>
        <v>0</v>
      </c>
      <c r="O186" s="2">
        <f t="shared" si="11"/>
        <v>0</v>
      </c>
      <c r="Z186" s="2">
        <f>IF(AND(ISNUMBER(资金流水!$B$186),资金流水!$B$186&gt;=$C$4,资金流水!$B$186&lt;=$E$4,OR(资金流水!$C$186=$C$3,AND(资金流水!$AD$186=$C$3,资金流水!$X$186="账户互转"))),INT(资金流水!$B$186)*10000+181,"")</f>
        <v>462340181</v>
      </c>
    </row>
    <row r="187">
      <c r="A187" s="94">
        <f>IF($N187=0,"",180)</f>
      </c>
      <c r="B187" s="95">
        <f t="shared" si="6"/>
      </c>
      <c r="C187" s="96">
        <f t="shared" si="1"/>
      </c>
      <c r="D187" s="21">
        <f t="shared" si="7"/>
      </c>
      <c r="E187" s="21">
        <f t="shared" si="2"/>
      </c>
      <c r="F187" s="48">
        <f t="shared" si="8"/>
      </c>
      <c r="G187" s="94">
        <f t="shared" si="9"/>
      </c>
      <c r="H187" s="94">
        <f t="shared" si="3"/>
      </c>
      <c r="I187" s="96">
        <f t="shared" si="0"/>
      </c>
      <c r="J187" s="94">
        <f t="shared" si="4"/>
      </c>
      <c r="K187" s="94">
        <f t="shared" si="10"/>
      </c>
      <c r="L187" s="96">
        <f t="shared" si="5"/>
      </c>
      <c r="N187" s="2">
        <f>IF(180&gt;$Z$5,0,MOD(SMALL($Z$6:$Z$2005,180),10000))</f>
        <v>0</v>
      </c>
      <c r="O187" s="2">
        <f t="shared" si="11"/>
        <v>0</v>
      </c>
      <c r="Z187" s="2">
        <f>IF(AND(ISNUMBER(资金流水!$B$187),资金流水!$B$187&gt;=$C$4,资金流水!$B$187&lt;=$E$4,OR(资金流水!$C$187=$C$3,AND(资金流水!$AD$187=$C$3,资金流水!$X$187="账户互转"))),INT(资金流水!$B$187)*10000+182,"")</f>
      </c>
    </row>
    <row r="188">
      <c r="A188" s="94">
        <f>IF($N188=0,"",181)</f>
      </c>
      <c r="B188" s="95">
        <f t="shared" si="6"/>
      </c>
      <c r="C188" s="96">
        <f t="shared" si="1"/>
      </c>
      <c r="D188" s="21">
        <f t="shared" si="7"/>
      </c>
      <c r="E188" s="21">
        <f t="shared" si="2"/>
      </c>
      <c r="F188" s="48">
        <f t="shared" si="8"/>
      </c>
      <c r="G188" s="94">
        <f t="shared" si="9"/>
      </c>
      <c r="H188" s="94">
        <f t="shared" si="3"/>
      </c>
      <c r="I188" s="96">
        <f t="shared" si="0"/>
      </c>
      <c r="J188" s="94">
        <f t="shared" si="4"/>
      </c>
      <c r="K188" s="94">
        <f t="shared" si="10"/>
      </c>
      <c r="L188" s="96">
        <f t="shared" si="5"/>
      </c>
      <c r="N188" s="2">
        <f>IF(181&gt;$Z$5,0,MOD(SMALL($Z$6:$Z$2005,181),10000))</f>
        <v>0</v>
      </c>
      <c r="O188" s="2">
        <f t="shared" si="11"/>
        <v>0</v>
      </c>
      <c r="Z188" s="2">
        <f>IF(AND(ISNUMBER(资金流水!$B$188),资金流水!$B$188&gt;=$C$4,资金流水!$B$188&lt;=$E$4,OR(资金流水!$C$188=$C$3,AND(资金流水!$AD$188=$C$3,资金流水!$X$188="账户互转"))),INT(资金流水!$B$188)*10000+183,"")</f>
      </c>
    </row>
    <row r="189">
      <c r="A189" s="94">
        <f>IF($N189=0,"",182)</f>
      </c>
      <c r="B189" s="95">
        <f t="shared" si="6"/>
      </c>
      <c r="C189" s="96">
        <f t="shared" si="1"/>
      </c>
      <c r="D189" s="21">
        <f t="shared" si="7"/>
      </c>
      <c r="E189" s="21">
        <f t="shared" si="2"/>
      </c>
      <c r="F189" s="48">
        <f t="shared" si="8"/>
      </c>
      <c r="G189" s="94">
        <f t="shared" si="9"/>
      </c>
      <c r="H189" s="94">
        <f t="shared" si="3"/>
      </c>
      <c r="I189" s="96">
        <f t="shared" si="0"/>
      </c>
      <c r="J189" s="94">
        <f t="shared" si="4"/>
      </c>
      <c r="K189" s="94">
        <f t="shared" si="10"/>
      </c>
      <c r="L189" s="96">
        <f t="shared" si="5"/>
      </c>
      <c r="N189" s="2">
        <f>IF(182&gt;$Z$5,0,MOD(SMALL($Z$6:$Z$2005,182),10000))</f>
        <v>0</v>
      </c>
      <c r="O189" s="2">
        <f t="shared" si="11"/>
        <v>0</v>
      </c>
      <c r="Z189" s="2">
        <f>IF(AND(ISNUMBER(资金流水!$B$189),资金流水!$B$189&gt;=$C$4,资金流水!$B$189&lt;=$E$4,OR(资金流水!$C$189=$C$3,AND(资金流水!$AD$189=$C$3,资金流水!$X$189="账户互转"))),INT(资金流水!$B$189)*10000+184,"")</f>
        <v>462420184</v>
      </c>
    </row>
    <row r="190">
      <c r="A190" s="94">
        <f>IF($N190=0,"",183)</f>
      </c>
      <c r="B190" s="95">
        <f t="shared" si="6"/>
      </c>
      <c r="C190" s="96">
        <f t="shared" si="1"/>
      </c>
      <c r="D190" s="21">
        <f t="shared" si="7"/>
      </c>
      <c r="E190" s="21">
        <f t="shared" si="2"/>
      </c>
      <c r="F190" s="48">
        <f t="shared" si="8"/>
      </c>
      <c r="G190" s="94">
        <f t="shared" si="9"/>
      </c>
      <c r="H190" s="94">
        <f t="shared" si="3"/>
      </c>
      <c r="I190" s="96">
        <f t="shared" si="0"/>
      </c>
      <c r="J190" s="94">
        <f t="shared" si="4"/>
      </c>
      <c r="K190" s="94">
        <f t="shared" si="10"/>
      </c>
      <c r="L190" s="96">
        <f t="shared" si="5"/>
      </c>
      <c r="N190" s="2">
        <f>IF(183&gt;$Z$5,0,MOD(SMALL($Z$6:$Z$2005,183),10000))</f>
        <v>0</v>
      </c>
      <c r="O190" s="2">
        <f t="shared" si="11"/>
        <v>0</v>
      </c>
      <c r="Z190" s="2">
        <f>IF(AND(ISNUMBER(资金流水!$B$190),资金流水!$B$190&gt;=$C$4,资金流水!$B$190&lt;=$E$4,OR(资金流水!$C$190=$C$3,AND(资金流水!$AD$190=$C$3,资金流水!$X$190="账户互转"))),INT(资金流水!$B$190)*10000+185,"")</f>
        <v>462420185</v>
      </c>
    </row>
    <row r="191">
      <c r="A191" s="94">
        <f>IF($N191=0,"",184)</f>
      </c>
      <c r="B191" s="95">
        <f t="shared" si="6"/>
      </c>
      <c r="C191" s="96">
        <f t="shared" si="1"/>
      </c>
      <c r="D191" s="21">
        <f t="shared" si="7"/>
      </c>
      <c r="E191" s="21">
        <f t="shared" si="2"/>
      </c>
      <c r="F191" s="48">
        <f t="shared" si="8"/>
      </c>
      <c r="G191" s="94">
        <f t="shared" si="9"/>
      </c>
      <c r="H191" s="94">
        <f t="shared" si="3"/>
      </c>
      <c r="I191" s="96">
        <f t="shared" si="0"/>
      </c>
      <c r="J191" s="94">
        <f t="shared" si="4"/>
      </c>
      <c r="K191" s="94">
        <f t="shared" si="10"/>
      </c>
      <c r="L191" s="96">
        <f t="shared" si="5"/>
      </c>
      <c r="N191" s="2">
        <f>IF(184&gt;$Z$5,0,MOD(SMALL($Z$6:$Z$2005,184),10000))</f>
        <v>0</v>
      </c>
      <c r="O191" s="2">
        <f t="shared" si="11"/>
        <v>0</v>
      </c>
      <c r="Z191" s="2">
        <f>IF(AND(ISNUMBER(资金流水!$B$191),资金流水!$B$191&gt;=$C$4,资金流水!$B$191&lt;=$E$4,OR(资金流水!$C$191=$C$3,AND(资金流水!$AD$191=$C$3,资金流水!$X$191="账户互转"))),INT(资金流水!$B$191)*10000+186,"")</f>
        <v>462540186</v>
      </c>
    </row>
    <row r="192">
      <c r="A192" s="94">
        <f>IF($N192=0,"",185)</f>
      </c>
      <c r="B192" s="95">
        <f t="shared" si="6"/>
      </c>
      <c r="C192" s="96">
        <f t="shared" si="1"/>
      </c>
      <c r="D192" s="21">
        <f t="shared" si="7"/>
      </c>
      <c r="E192" s="21">
        <f t="shared" si="2"/>
      </c>
      <c r="F192" s="48">
        <f t="shared" si="8"/>
      </c>
      <c r="G192" s="94">
        <f t="shared" si="9"/>
      </c>
      <c r="H192" s="94">
        <f t="shared" si="3"/>
      </c>
      <c r="I192" s="96">
        <f t="shared" si="0"/>
      </c>
      <c r="J192" s="94">
        <f t="shared" si="4"/>
      </c>
      <c r="K192" s="94">
        <f t="shared" si="10"/>
      </c>
      <c r="L192" s="96">
        <f t="shared" si="5"/>
      </c>
      <c r="N192" s="2">
        <f>IF(185&gt;$Z$5,0,MOD(SMALL($Z$6:$Z$2005,185),10000))</f>
        <v>0</v>
      </c>
      <c r="O192" s="2">
        <f t="shared" si="11"/>
        <v>0</v>
      </c>
      <c r="Z192" s="2">
        <f>IF(AND(ISNUMBER(资金流水!$B$192),资金流水!$B$192&gt;=$C$4,资金流水!$B$192&lt;=$E$4,OR(资金流水!$C$192=$C$3,AND(资金流水!$AD$192=$C$3,资金流水!$X$192="账户互转"))),INT(资金流水!$B$192)*10000+187,"")</f>
        <v>462550187</v>
      </c>
    </row>
    <row r="193">
      <c r="A193" s="94">
        <f>IF($N193=0,"",186)</f>
      </c>
      <c r="B193" s="95">
        <f t="shared" si="6"/>
      </c>
      <c r="C193" s="96">
        <f t="shared" si="1"/>
      </c>
      <c r="D193" s="21">
        <f t="shared" si="7"/>
      </c>
      <c r="E193" s="21">
        <f t="shared" si="2"/>
      </c>
      <c r="F193" s="48">
        <f t="shared" si="8"/>
      </c>
      <c r="G193" s="94">
        <f t="shared" si="9"/>
      </c>
      <c r="H193" s="94">
        <f t="shared" si="3"/>
      </c>
      <c r="I193" s="96">
        <f t="shared" si="0"/>
      </c>
      <c r="J193" s="94">
        <f t="shared" si="4"/>
      </c>
      <c r="K193" s="94">
        <f t="shared" si="10"/>
      </c>
      <c r="L193" s="96">
        <f t="shared" si="5"/>
      </c>
      <c r="N193" s="2">
        <f>IF(186&gt;$Z$5,0,MOD(SMALL($Z$6:$Z$2005,186),10000))</f>
        <v>0</v>
      </c>
      <c r="O193" s="2">
        <f t="shared" si="11"/>
        <v>0</v>
      </c>
      <c r="Z193" s="2">
        <f>IF(AND(ISNUMBER(资金流水!$B$193),资金流水!$B$193&gt;=$C$4,资金流水!$B$193&lt;=$E$4,OR(资金流水!$C$193=$C$3,AND(资金流水!$AD$193=$C$3,资金流水!$X$193="账户互转"))),INT(资金流水!$B$193)*10000+188,"")</f>
        <v>462590188</v>
      </c>
    </row>
    <row r="194">
      <c r="A194" s="94">
        <f>IF($N194=0,"",187)</f>
      </c>
      <c r="B194" s="95">
        <f t="shared" si="6"/>
      </c>
      <c r="C194" s="96">
        <f t="shared" si="1"/>
      </c>
      <c r="D194" s="21">
        <f t="shared" si="7"/>
      </c>
      <c r="E194" s="21">
        <f t="shared" si="2"/>
      </c>
      <c r="F194" s="48">
        <f t="shared" si="8"/>
      </c>
      <c r="G194" s="94">
        <f t="shared" si="9"/>
      </c>
      <c r="H194" s="94">
        <f t="shared" si="3"/>
      </c>
      <c r="I194" s="96">
        <f t="shared" si="0"/>
      </c>
      <c r="J194" s="94">
        <f t="shared" si="4"/>
      </c>
      <c r="K194" s="94">
        <f t="shared" si="10"/>
      </c>
      <c r="L194" s="96">
        <f t="shared" si="5"/>
      </c>
      <c r="N194" s="2">
        <f>IF(187&gt;$Z$5,0,MOD(SMALL($Z$6:$Z$2005,187),10000))</f>
        <v>0</v>
      </c>
      <c r="O194" s="2">
        <f t="shared" si="11"/>
        <v>0</v>
      </c>
      <c r="Z194" s="2">
        <f>IF(AND(ISNUMBER(资金流水!$B$194),资金流水!$B$194&gt;=$C$4,资金流水!$B$194&lt;=$E$4,OR(资金流水!$C$194=$C$3,AND(资金流水!$AD$194=$C$3,资金流水!$X$194="账户互转"))),INT(资金流水!$B$194)*10000+189,"")</f>
        <v>462590189</v>
      </c>
    </row>
    <row r="195">
      <c r="A195" s="94">
        <f>IF($N195=0,"",188)</f>
      </c>
      <c r="B195" s="95">
        <f t="shared" si="6"/>
      </c>
      <c r="C195" s="96">
        <f t="shared" si="1"/>
      </c>
      <c r="D195" s="21">
        <f t="shared" si="7"/>
      </c>
      <c r="E195" s="21">
        <f t="shared" si="2"/>
      </c>
      <c r="F195" s="48">
        <f t="shared" si="8"/>
      </c>
      <c r="G195" s="94">
        <f t="shared" si="9"/>
      </c>
      <c r="H195" s="94">
        <f t="shared" si="3"/>
      </c>
      <c r="I195" s="96">
        <f t="shared" si="0"/>
      </c>
      <c r="J195" s="94">
        <f t="shared" si="4"/>
      </c>
      <c r="K195" s="94">
        <f t="shared" si="10"/>
      </c>
      <c r="L195" s="96">
        <f t="shared" si="5"/>
      </c>
      <c r="N195" s="2">
        <f>IF(188&gt;$Z$5,0,MOD(SMALL($Z$6:$Z$2005,188),10000))</f>
        <v>0</v>
      </c>
      <c r="O195" s="2">
        <f t="shared" si="11"/>
        <v>0</v>
      </c>
      <c r="Z195" s="2">
        <f>IF(AND(ISNUMBER(资金流水!$B$195),资金流水!$B$195&gt;=$C$4,资金流水!$B$195&lt;=$E$4,OR(资金流水!$C$195=$C$3,AND(资金流水!$AD$195=$C$3,资金流水!$X$195="账户互转"))),INT(资金流水!$B$195)*10000+190,"")</f>
        <v>462590190</v>
      </c>
    </row>
    <row r="196">
      <c r="A196" s="94">
        <f>IF($N196=0,"",189)</f>
      </c>
      <c r="B196" s="95">
        <f t="shared" si="6"/>
      </c>
      <c r="C196" s="96">
        <f t="shared" si="1"/>
      </c>
      <c r="D196" s="21">
        <f t="shared" si="7"/>
      </c>
      <c r="E196" s="21">
        <f t="shared" si="2"/>
      </c>
      <c r="F196" s="48">
        <f t="shared" si="8"/>
      </c>
      <c r="G196" s="94">
        <f t="shared" si="9"/>
      </c>
      <c r="H196" s="94">
        <f t="shared" si="3"/>
      </c>
      <c r="I196" s="96">
        <f t="shared" si="0"/>
      </c>
      <c r="J196" s="94">
        <f t="shared" si="4"/>
      </c>
      <c r="K196" s="94">
        <f t="shared" si="10"/>
      </c>
      <c r="L196" s="96">
        <f t="shared" si="5"/>
      </c>
      <c r="N196" s="2">
        <f>IF(189&gt;$Z$5,0,MOD(SMALL($Z$6:$Z$2005,189),10000))</f>
        <v>0</v>
      </c>
      <c r="O196" s="2">
        <f t="shared" si="11"/>
        <v>0</v>
      </c>
      <c r="Z196" s="2">
        <f>IF(AND(ISNUMBER(资金流水!$B$196),资金流水!$B$196&gt;=$C$4,资金流水!$B$196&lt;=$E$4,OR(资金流水!$C$196=$C$3,AND(资金流水!$AD$196=$C$3,资金流水!$X$196="账户互转"))),INT(资金流水!$B$196)*10000+191,"")</f>
        <v>462620191</v>
      </c>
    </row>
    <row r="197">
      <c r="A197" s="94">
        <f>IF($N197=0,"",190)</f>
      </c>
      <c r="B197" s="95">
        <f t="shared" si="6"/>
      </c>
      <c r="C197" s="96">
        <f t="shared" si="1"/>
      </c>
      <c r="D197" s="21">
        <f t="shared" si="7"/>
      </c>
      <c r="E197" s="21">
        <f t="shared" si="2"/>
      </c>
      <c r="F197" s="48">
        <f t="shared" si="8"/>
      </c>
      <c r="G197" s="94">
        <f t="shared" si="9"/>
      </c>
      <c r="H197" s="94">
        <f t="shared" si="3"/>
      </c>
      <c r="I197" s="96">
        <f t="shared" si="0"/>
      </c>
      <c r="J197" s="94">
        <f t="shared" si="4"/>
      </c>
      <c r="K197" s="94">
        <f t="shared" si="10"/>
      </c>
      <c r="L197" s="96">
        <f t="shared" si="5"/>
      </c>
      <c r="N197" s="2">
        <f>IF(190&gt;$Z$5,0,MOD(SMALL($Z$6:$Z$2005,190),10000))</f>
        <v>0</v>
      </c>
      <c r="O197" s="2">
        <f t="shared" si="11"/>
        <v>0</v>
      </c>
      <c r="Z197" s="2">
        <f>IF(AND(ISNUMBER(资金流水!$B$197),资金流水!$B$197&gt;=$C$4,资金流水!$B$197&lt;=$E$4,OR(资金流水!$C$197=$C$3,AND(资金流水!$AD$197=$C$3,资金流水!$X$197="账户互转"))),INT(资金流水!$B$197)*10000+192,"")</f>
        <v>462620192</v>
      </c>
    </row>
    <row r="198">
      <c r="A198" s="94">
        <f>IF($N198=0,"",191)</f>
      </c>
      <c r="B198" s="95">
        <f t="shared" si="6"/>
      </c>
      <c r="C198" s="96">
        <f t="shared" si="1"/>
      </c>
      <c r="D198" s="21">
        <f t="shared" si="7"/>
      </c>
      <c r="E198" s="21">
        <f t="shared" si="2"/>
      </c>
      <c r="F198" s="48">
        <f t="shared" si="8"/>
      </c>
      <c r="G198" s="94">
        <f t="shared" si="9"/>
      </c>
      <c r="H198" s="94">
        <f t="shared" si="3"/>
      </c>
      <c r="I198" s="96">
        <f t="shared" si="0"/>
      </c>
      <c r="J198" s="94">
        <f t="shared" si="4"/>
      </c>
      <c r="K198" s="94">
        <f t="shared" si="10"/>
      </c>
      <c r="L198" s="96">
        <f t="shared" si="5"/>
      </c>
      <c r="N198" s="2">
        <f>IF(191&gt;$Z$5,0,MOD(SMALL($Z$6:$Z$2005,191),10000))</f>
        <v>0</v>
      </c>
      <c r="O198" s="2">
        <f t="shared" si="11"/>
        <v>0</v>
      </c>
      <c r="Z198" s="2">
        <f>IF(AND(ISNUMBER(资金流水!$B$198),资金流水!$B$198&gt;=$C$4,资金流水!$B$198&lt;=$E$4,OR(资金流水!$C$198=$C$3,AND(资金流水!$AD$198=$C$3,资金流水!$X$198="账户互转"))),INT(资金流水!$B$198)*10000+193,"")</f>
        <v>462620193</v>
      </c>
    </row>
    <row r="199">
      <c r="A199" s="94">
        <f>IF($N199=0,"",192)</f>
      </c>
      <c r="B199" s="95">
        <f t="shared" si="6"/>
      </c>
      <c r="C199" s="96">
        <f t="shared" si="1"/>
      </c>
      <c r="D199" s="21">
        <f t="shared" si="7"/>
      </c>
      <c r="E199" s="21">
        <f t="shared" si="2"/>
      </c>
      <c r="F199" s="48">
        <f t="shared" si="8"/>
      </c>
      <c r="G199" s="94">
        <f t="shared" si="9"/>
      </c>
      <c r="H199" s="94">
        <f t="shared" si="3"/>
      </c>
      <c r="I199" s="96">
        <f t="shared" si="0"/>
      </c>
      <c r="J199" s="94">
        <f t="shared" si="4"/>
      </c>
      <c r="K199" s="94">
        <f t="shared" si="10"/>
      </c>
      <c r="L199" s="96">
        <f t="shared" si="5"/>
      </c>
      <c r="N199" s="2">
        <f>IF(192&gt;$Z$5,0,MOD(SMALL($Z$6:$Z$2005,192),10000))</f>
        <v>0</v>
      </c>
      <c r="O199" s="2">
        <f t="shared" si="11"/>
        <v>0</v>
      </c>
      <c r="Z199" s="2">
        <f>IF(AND(ISNUMBER(资金流水!$B$199),资金流水!$B$199&gt;=$C$4,资金流水!$B$199&lt;=$E$4,OR(资金流水!$C$199=$C$3,AND(资金流水!$AD$199=$C$3,资金流水!$X$199="账户互转"))),INT(资金流水!$B$199)*10000+194,"")</f>
        <v>462620194</v>
      </c>
    </row>
    <row r="200">
      <c r="A200" s="94">
        <f>IF($N200=0,"",193)</f>
      </c>
      <c r="B200" s="95">
        <f t="shared" si="6"/>
      </c>
      <c r="C200" s="96">
        <f t="shared" si="1"/>
      </c>
      <c r="D200" s="21">
        <f t="shared" si="7"/>
      </c>
      <c r="E200" s="21">
        <f t="shared" si="2"/>
      </c>
      <c r="F200" s="48">
        <f t="shared" si="8"/>
      </c>
      <c r="G200" s="94">
        <f t="shared" si="9"/>
      </c>
      <c r="H200" s="94">
        <f t="shared" si="3"/>
      </c>
      <c r="I200" s="96">
        <f t="shared" si="0"/>
      </c>
      <c r="J200" s="94">
        <f t="shared" si="4"/>
      </c>
      <c r="K200" s="94">
        <f t="shared" si="10"/>
      </c>
      <c r="L200" s="96">
        <f t="shared" si="5"/>
      </c>
      <c r="N200" s="2">
        <f>IF(193&gt;$Z$5,0,MOD(SMALL($Z$6:$Z$2005,193),10000))</f>
        <v>0</v>
      </c>
      <c r="O200" s="2">
        <f t="shared" si="11"/>
        <v>0</v>
      </c>
      <c r="Z200" s="2">
        <f>IF(AND(ISNUMBER(资金流水!$B$200),资金流水!$B$200&gt;=$C$4,资金流水!$B$200&lt;=$E$4,OR(资金流水!$C$200=$C$3,AND(资金流水!$AD$200=$C$3,资金流水!$X$200="账户互转"))),INT(资金流水!$B$200)*10000+195,"")</f>
        <v>462620195</v>
      </c>
    </row>
    <row r="201">
      <c r="A201" s="94">
        <f>IF($N201=0,"",194)</f>
      </c>
      <c r="B201" s="95">
        <f t="shared" si="6"/>
      </c>
      <c r="C201" s="96">
        <f t="shared" si="1"/>
      </c>
      <c r="D201" s="21">
        <f t="shared" si="7"/>
      </c>
      <c r="E201" s="21">
        <f t="shared" si="2"/>
      </c>
      <c r="F201" s="48">
        <f t="shared" si="8"/>
      </c>
      <c r="G201" s="94">
        <f t="shared" si="9"/>
      </c>
      <c r="H201" s="94">
        <f t="shared" si="3"/>
      </c>
      <c r="I201" s="96">
        <f t="shared" si="0"/>
      </c>
      <c r="J201" s="94">
        <f t="shared" si="4"/>
      </c>
      <c r="K201" s="94">
        <f t="shared" si="10"/>
      </c>
      <c r="L201" s="96">
        <f t="shared" si="5"/>
      </c>
      <c r="N201" s="2">
        <f>IF(194&gt;$Z$5,0,MOD(SMALL($Z$6:$Z$2005,194),10000))</f>
        <v>0</v>
      </c>
      <c r="O201" s="2">
        <f t="shared" si="11"/>
        <v>0</v>
      </c>
      <c r="Z201" s="2">
        <f>IF(AND(ISNUMBER(资金流水!$B$201),资金流水!$B$201&gt;=$C$4,资金流水!$B$201&lt;=$E$4,OR(资金流水!$C$201=$C$3,AND(资金流水!$AD$201=$C$3,资金流水!$X$201="账户互转"))),INT(资金流水!$B$201)*10000+196,"")</f>
        <v>462620196</v>
      </c>
    </row>
    <row r="202">
      <c r="A202" s="94">
        <f>IF($N202=0,"",195)</f>
      </c>
      <c r="B202" s="95">
        <f t="shared" si="6"/>
      </c>
      <c r="C202" s="96">
        <f t="shared" si="1"/>
      </c>
      <c r="D202" s="21">
        <f t="shared" si="7"/>
      </c>
      <c r="E202" s="21">
        <f t="shared" si="2"/>
      </c>
      <c r="F202" s="48">
        <f t="shared" si="8"/>
      </c>
      <c r="G202" s="94">
        <f t="shared" si="9"/>
      </c>
      <c r="H202" s="94">
        <f t="shared" si="3"/>
      </c>
      <c r="I202" s="96">
        <f t="shared" si="0"/>
      </c>
      <c r="J202" s="94">
        <f t="shared" si="4"/>
      </c>
      <c r="K202" s="94">
        <f t="shared" si="10"/>
      </c>
      <c r="L202" s="96">
        <f t="shared" si="5"/>
      </c>
      <c r="N202" s="2">
        <f>IF(195&gt;$Z$5,0,MOD(SMALL($Z$6:$Z$2005,195),10000))</f>
        <v>0</v>
      </c>
      <c r="O202" s="2">
        <f t="shared" si="11"/>
        <v>0</v>
      </c>
      <c r="Z202" s="2">
        <f>IF(AND(ISNUMBER(资金流水!$B$202),资金流水!$B$202&gt;=$C$4,资金流水!$B$202&lt;=$E$4,OR(资金流水!$C$202=$C$3,AND(资金流水!$AD$202=$C$3,资金流水!$X$202="账户互转"))),INT(资金流水!$B$202)*10000+197,"")</f>
        <v>462620197</v>
      </c>
    </row>
    <row r="203">
      <c r="A203" s="94">
        <f>IF($N203=0,"",196)</f>
      </c>
      <c r="B203" s="95">
        <f t="shared" si="6"/>
      </c>
      <c r="C203" s="96">
        <f t="shared" si="1"/>
      </c>
      <c r="D203" s="21">
        <f t="shared" si="7"/>
      </c>
      <c r="E203" s="21">
        <f t="shared" si="2"/>
      </c>
      <c r="F203" s="48">
        <f t="shared" si="8"/>
      </c>
      <c r="G203" s="94">
        <f t="shared" si="9"/>
      </c>
      <c r="H203" s="94">
        <f t="shared" si="3"/>
      </c>
      <c r="I203" s="96">
        <f t="shared" si="0"/>
      </c>
      <c r="J203" s="94">
        <f t="shared" si="4"/>
      </c>
      <c r="K203" s="94">
        <f t="shared" si="10"/>
      </c>
      <c r="L203" s="96">
        <f t="shared" si="5"/>
      </c>
      <c r="N203" s="2">
        <f>IF(196&gt;$Z$5,0,MOD(SMALL($Z$6:$Z$2005,196),10000))</f>
        <v>0</v>
      </c>
      <c r="O203" s="2">
        <f t="shared" si="11"/>
        <v>0</v>
      </c>
      <c r="Z203" s="2">
        <f>IF(AND(ISNUMBER(资金流水!$B$203),资金流水!$B$203&gt;=$C$4,资金流水!$B$203&lt;=$E$4,OR(资金流水!$C$203=$C$3,AND(资金流水!$AD$203=$C$3,资金流水!$X$203="账户互转"))),INT(资金流水!$B$203)*10000+198,"")</f>
        <v>462620198</v>
      </c>
    </row>
    <row r="204">
      <c r="A204" s="94">
        <f>IF($N204=0,"",197)</f>
      </c>
      <c r="B204" s="95">
        <f t="shared" si="6"/>
      </c>
      <c r="C204" s="96">
        <f t="shared" si="1"/>
      </c>
      <c r="D204" s="21">
        <f t="shared" si="7"/>
      </c>
      <c r="E204" s="21">
        <f t="shared" si="2"/>
      </c>
      <c r="F204" s="48">
        <f t="shared" si="8"/>
      </c>
      <c r="G204" s="94">
        <f t="shared" si="9"/>
      </c>
      <c r="H204" s="94">
        <f t="shared" si="3"/>
      </c>
      <c r="I204" s="96">
        <f t="shared" si="0"/>
      </c>
      <c r="J204" s="94">
        <f t="shared" si="4"/>
      </c>
      <c r="K204" s="94">
        <f t="shared" si="10"/>
      </c>
      <c r="L204" s="96">
        <f t="shared" si="5"/>
      </c>
      <c r="N204" s="2">
        <f>IF(197&gt;$Z$5,0,MOD(SMALL($Z$6:$Z$2005,197),10000))</f>
        <v>0</v>
      </c>
      <c r="O204" s="2">
        <f t="shared" si="11"/>
        <v>0</v>
      </c>
      <c r="Z204" s="2">
        <f>IF(AND(ISNUMBER(资金流水!$B$204),资金流水!$B$204&gt;=$C$4,资金流水!$B$204&lt;=$E$4,OR(资金流水!$C$204=$C$3,AND(资金流水!$AD$204=$C$3,资金流水!$X$204="账户互转"))),INT(资金流水!$B$204)*10000+199,"")</f>
        <v>462620199</v>
      </c>
    </row>
    <row r="205">
      <c r="A205" s="94">
        <f>IF($N205=0,"",198)</f>
      </c>
      <c r="B205" s="95">
        <f t="shared" si="6"/>
      </c>
      <c r="C205" s="96">
        <f t="shared" si="1"/>
      </c>
      <c r="D205" s="21">
        <f t="shared" si="7"/>
      </c>
      <c r="E205" s="21">
        <f t="shared" si="2"/>
      </c>
      <c r="F205" s="48">
        <f t="shared" si="8"/>
      </c>
      <c r="G205" s="94">
        <f t="shared" si="9"/>
      </c>
      <c r="H205" s="94">
        <f t="shared" si="3"/>
      </c>
      <c r="I205" s="96">
        <f t="shared" si="0"/>
      </c>
      <c r="J205" s="94">
        <f t="shared" si="4"/>
      </c>
      <c r="K205" s="94">
        <f t="shared" si="10"/>
      </c>
      <c r="L205" s="96">
        <f t="shared" si="5"/>
      </c>
      <c r="N205" s="2">
        <f>IF(198&gt;$Z$5,0,MOD(SMALL($Z$6:$Z$2005,198),10000))</f>
        <v>0</v>
      </c>
      <c r="O205" s="2">
        <f t="shared" si="11"/>
        <v>0</v>
      </c>
      <c r="Z205" s="2">
        <f>IF(AND(ISNUMBER(资金流水!$B$205),资金流水!$B$205&gt;=$C$4,资金流水!$B$205&lt;=$E$4,OR(资金流水!$C$205=$C$3,AND(资金流水!$AD$205=$C$3,资金流水!$X$205="账户互转"))),INT(资金流水!$B$205)*10000+200,"")</f>
        <v>462620200</v>
      </c>
    </row>
    <row r="206">
      <c r="A206" s="94">
        <f>IF($N206=0,"",199)</f>
      </c>
      <c r="B206" s="95">
        <f t="shared" si="6"/>
      </c>
      <c r="C206" s="96">
        <f t="shared" si="1"/>
      </c>
      <c r="D206" s="21">
        <f t="shared" si="7"/>
      </c>
      <c r="E206" s="21">
        <f t="shared" si="2"/>
      </c>
      <c r="F206" s="48">
        <f t="shared" si="8"/>
      </c>
      <c r="G206" s="94">
        <f t="shared" si="9"/>
      </c>
      <c r="H206" s="94">
        <f t="shared" si="3"/>
      </c>
      <c r="I206" s="96">
        <f t="shared" si="0"/>
      </c>
      <c r="J206" s="94">
        <f t="shared" si="4"/>
      </c>
      <c r="K206" s="94">
        <f t="shared" si="10"/>
      </c>
      <c r="L206" s="96">
        <f t="shared" si="5"/>
      </c>
      <c r="N206" s="2">
        <f>IF(199&gt;$Z$5,0,MOD(SMALL($Z$6:$Z$2005,199),10000))</f>
        <v>0</v>
      </c>
      <c r="O206" s="2">
        <f t="shared" si="11"/>
        <v>0</v>
      </c>
      <c r="Z206" s="2">
        <f>IF(AND(ISNUMBER(资金流水!$B$206),资金流水!$B$206&gt;=$C$4,资金流水!$B$206&lt;=$E$4,OR(资金流水!$C$206=$C$3,AND(资金流水!$AD$206=$C$3,资金流水!$X$206="账户互转"))),INT(资金流水!$B$206)*10000+201,"")</f>
        <v>462620201</v>
      </c>
    </row>
    <row r="207">
      <c r="A207" s="94">
        <f>IF($N207=0,"",200)</f>
      </c>
      <c r="B207" s="95">
        <f t="shared" si="6"/>
      </c>
      <c r="C207" s="96">
        <f t="shared" si="1"/>
      </c>
      <c r="D207" s="21">
        <f t="shared" si="7"/>
      </c>
      <c r="E207" s="21">
        <f t="shared" si="2"/>
      </c>
      <c r="F207" s="48">
        <f t="shared" si="8"/>
      </c>
      <c r="G207" s="94">
        <f t="shared" si="9"/>
      </c>
      <c r="H207" s="94">
        <f t="shared" si="3"/>
      </c>
      <c r="I207" s="96">
        <f t="shared" si="0"/>
      </c>
      <c r="J207" s="94">
        <f t="shared" si="4"/>
      </c>
      <c r="K207" s="94">
        <f t="shared" si="10"/>
      </c>
      <c r="L207" s="96">
        <f t="shared" si="5"/>
      </c>
      <c r="N207" s="2">
        <f>IF(200&gt;$Z$5,0,MOD(SMALL($Z$6:$Z$2005,200),10000))</f>
        <v>0</v>
      </c>
      <c r="O207" s="2">
        <f t="shared" si="11"/>
        <v>0</v>
      </c>
      <c r="Z207" s="2">
        <f>IF(AND(ISNUMBER(资金流水!$B$207),资金流水!$B$207&gt;=$C$4,资金流水!$B$207&lt;=$E$4,OR(资金流水!$C$207=$C$3,AND(资金流水!$AD$207=$C$3,资金流水!$X$207="账户互转"))),INT(资金流水!$B$207)*10000+202,"")</f>
        <v>462620202</v>
      </c>
    </row>
    <row r="208">
      <c r="A208" s="94">
        <f>IF($N208=0,"",201)</f>
      </c>
      <c r="B208" s="95">
        <f t="shared" si="6"/>
      </c>
      <c r="C208" s="96">
        <f t="shared" si="1"/>
      </c>
      <c r="D208" s="21">
        <f t="shared" si="7"/>
      </c>
      <c r="E208" s="21">
        <f t="shared" si="2"/>
      </c>
      <c r="F208" s="48">
        <f t="shared" si="8"/>
      </c>
      <c r="G208" s="94">
        <f t="shared" si="9"/>
      </c>
      <c r="H208" s="94">
        <f t="shared" si="3"/>
      </c>
      <c r="I208" s="96">
        <f t="shared" si="0"/>
      </c>
      <c r="J208" s="94">
        <f t="shared" si="4"/>
      </c>
      <c r="K208" s="94">
        <f t="shared" si="10"/>
      </c>
      <c r="L208" s="96">
        <f t="shared" si="5"/>
      </c>
      <c r="N208" s="2">
        <f>IF(201&gt;$Z$5,0,MOD(SMALL($Z$6:$Z$2005,201),10000))</f>
        <v>0</v>
      </c>
      <c r="O208" s="2">
        <f t="shared" si="11"/>
        <v>0</v>
      </c>
      <c r="Z208" s="2">
        <f>IF(AND(ISNUMBER(资金流水!$B$208),资金流水!$B$208&gt;=$C$4,资金流水!$B$208&lt;=$E$4,OR(资金流水!$C$208=$C$3,AND(资金流水!$AD$208=$C$3,资金流水!$X$208="账户互转"))),INT(资金流水!$B$208)*10000+203,"")</f>
        <v>462620203</v>
      </c>
    </row>
    <row r="209">
      <c r="A209" s="94">
        <f>IF($N209=0,"",202)</f>
      </c>
      <c r="B209" s="95">
        <f t="shared" si="6"/>
      </c>
      <c r="C209" s="96">
        <f t="shared" si="1"/>
      </c>
      <c r="D209" s="21">
        <f t="shared" si="7"/>
      </c>
      <c r="E209" s="21">
        <f t="shared" si="2"/>
      </c>
      <c r="F209" s="48">
        <f t="shared" si="8"/>
      </c>
      <c r="G209" s="94">
        <f t="shared" si="9"/>
      </c>
      <c r="H209" s="94">
        <f t="shared" si="3"/>
      </c>
      <c r="I209" s="96">
        <f t="shared" si="0"/>
      </c>
      <c r="J209" s="94">
        <f t="shared" si="4"/>
      </c>
      <c r="K209" s="94">
        <f t="shared" si="10"/>
      </c>
      <c r="L209" s="96">
        <f t="shared" si="5"/>
      </c>
      <c r="N209" s="2">
        <f>IF(202&gt;$Z$5,0,MOD(SMALL($Z$6:$Z$2005,202),10000))</f>
        <v>0</v>
      </c>
      <c r="O209" s="2">
        <f t="shared" si="11"/>
        <v>0</v>
      </c>
      <c r="Z209" s="2">
        <f>IF(AND(ISNUMBER(资金流水!$B$209),资金流水!$B$209&gt;=$C$4,资金流水!$B$209&lt;=$E$4,OR(资金流水!$C$209=$C$3,AND(资金流水!$AD$209=$C$3,资金流水!$X$209="账户互转"))),INT(资金流水!$B$209)*10000+204,"")</f>
        <v>462620204</v>
      </c>
    </row>
    <row r="210">
      <c r="A210" s="94">
        <f>IF($N210=0,"",203)</f>
      </c>
      <c r="B210" s="95">
        <f t="shared" si="6"/>
      </c>
      <c r="C210" s="96">
        <f t="shared" si="1"/>
      </c>
      <c r="D210" s="21">
        <f t="shared" si="7"/>
      </c>
      <c r="E210" s="21">
        <f t="shared" si="2"/>
      </c>
      <c r="F210" s="48">
        <f t="shared" si="8"/>
      </c>
      <c r="G210" s="94">
        <f t="shared" si="9"/>
      </c>
      <c r="H210" s="94">
        <f t="shared" si="3"/>
      </c>
      <c r="I210" s="96">
        <f t="shared" si="0"/>
      </c>
      <c r="J210" s="94">
        <f t="shared" si="4"/>
      </c>
      <c r="K210" s="94">
        <f t="shared" si="10"/>
      </c>
      <c r="L210" s="96">
        <f t="shared" si="5"/>
      </c>
      <c r="N210" s="2">
        <f>IF(203&gt;$Z$5,0,MOD(SMALL($Z$6:$Z$2005,203),10000))</f>
        <v>0</v>
      </c>
      <c r="O210" s="2">
        <f t="shared" si="11"/>
        <v>0</v>
      </c>
      <c r="Z210" s="2">
        <f>IF(AND(ISNUMBER(资金流水!$B$210),资金流水!$B$210&gt;=$C$4,资金流水!$B$210&lt;=$E$4,OR(资金流水!$C$210=$C$3,AND(资金流水!$AD$210=$C$3,资金流水!$X$210="账户互转"))),INT(资金流水!$B$210)*10000+205,"")</f>
        <v>462620205</v>
      </c>
    </row>
    <row r="211">
      <c r="A211" s="94">
        <f>IF($N211=0,"",204)</f>
      </c>
      <c r="B211" s="95">
        <f t="shared" si="6"/>
      </c>
      <c r="C211" s="96">
        <f t="shared" si="1"/>
      </c>
      <c r="D211" s="21">
        <f t="shared" si="7"/>
      </c>
      <c r="E211" s="21">
        <f t="shared" si="2"/>
      </c>
      <c r="F211" s="48">
        <f t="shared" si="8"/>
      </c>
      <c r="G211" s="94">
        <f t="shared" si="9"/>
      </c>
      <c r="H211" s="94">
        <f t="shared" si="3"/>
      </c>
      <c r="I211" s="96">
        <f t="shared" si="0"/>
      </c>
      <c r="J211" s="94">
        <f t="shared" si="4"/>
      </c>
      <c r="K211" s="94">
        <f t="shared" si="10"/>
      </c>
      <c r="L211" s="96">
        <f t="shared" si="5"/>
      </c>
      <c r="N211" s="2">
        <f>IF(204&gt;$Z$5,0,MOD(SMALL($Z$6:$Z$2005,204),10000))</f>
        <v>0</v>
      </c>
      <c r="O211" s="2">
        <f t="shared" si="11"/>
        <v>0</v>
      </c>
      <c r="Z211" s="2">
        <f>IF(AND(ISNUMBER(资金流水!$B$211),资金流水!$B$211&gt;=$C$4,资金流水!$B$211&lt;=$E$4,OR(资金流水!$C$211=$C$3,AND(资金流水!$AD$211=$C$3,资金流水!$X$211="账户互转"))),INT(资金流水!$B$211)*10000+206,"")</f>
        <v>462620206</v>
      </c>
    </row>
    <row r="212">
      <c r="A212" s="94">
        <f>IF($N212=0,"",205)</f>
      </c>
      <c r="B212" s="95">
        <f t="shared" si="6"/>
      </c>
      <c r="C212" s="96">
        <f t="shared" si="1"/>
      </c>
      <c r="D212" s="21">
        <f t="shared" si="7"/>
      </c>
      <c r="E212" s="21">
        <f t="shared" si="2"/>
      </c>
      <c r="F212" s="48">
        <f t="shared" si="8"/>
      </c>
      <c r="G212" s="94">
        <f t="shared" si="9"/>
      </c>
      <c r="H212" s="94">
        <f t="shared" si="3"/>
      </c>
      <c r="I212" s="96">
        <f t="shared" si="0"/>
      </c>
      <c r="J212" s="94">
        <f t="shared" si="4"/>
      </c>
      <c r="K212" s="94">
        <f t="shared" si="10"/>
      </c>
      <c r="L212" s="96">
        <f t="shared" si="5"/>
      </c>
      <c r="N212" s="2">
        <f>IF(205&gt;$Z$5,0,MOD(SMALL($Z$6:$Z$2005,205),10000))</f>
        <v>0</v>
      </c>
      <c r="O212" s="2">
        <f t="shared" si="11"/>
        <v>0</v>
      </c>
      <c r="Z212" s="2">
        <f>IF(AND(ISNUMBER(资金流水!$B$212),资金流水!$B$212&gt;=$C$4,资金流水!$B$212&lt;=$E$4,OR(资金流水!$C$212=$C$3,AND(资金流水!$AD$212=$C$3,资金流水!$X$212="账户互转"))),INT(资金流水!$B$212)*10000+207,"")</f>
        <v>462620207</v>
      </c>
    </row>
    <row r="213">
      <c r="A213" s="94">
        <f>IF($N213=0,"",206)</f>
      </c>
      <c r="B213" s="95">
        <f t="shared" si="6"/>
      </c>
      <c r="C213" s="96">
        <f t="shared" si="1"/>
      </c>
      <c r="D213" s="21">
        <f t="shared" si="7"/>
      </c>
      <c r="E213" s="21">
        <f t="shared" si="2"/>
      </c>
      <c r="F213" s="48">
        <f t="shared" si="8"/>
      </c>
      <c r="G213" s="94">
        <f t="shared" si="9"/>
      </c>
      <c r="H213" s="94">
        <f t="shared" si="3"/>
      </c>
      <c r="I213" s="96">
        <f t="shared" si="0"/>
      </c>
      <c r="J213" s="94">
        <f t="shared" si="4"/>
      </c>
      <c r="K213" s="94">
        <f t="shared" si="10"/>
      </c>
      <c r="L213" s="96">
        <f t="shared" si="5"/>
      </c>
      <c r="N213" s="2">
        <f>IF(206&gt;$Z$5,0,MOD(SMALL($Z$6:$Z$2005,206),10000))</f>
        <v>0</v>
      </c>
      <c r="O213" s="2">
        <f t="shared" si="11"/>
        <v>0</v>
      </c>
      <c r="Z213" s="2">
        <f>IF(AND(ISNUMBER(资金流水!$B$213),资金流水!$B$213&gt;=$C$4,资金流水!$B$213&lt;=$E$4,OR(资金流水!$C$213=$C$3,AND(资金流水!$AD$213=$C$3,资金流水!$X$213="账户互转"))),INT(资金流水!$B$213)*10000+208,"")</f>
        <v>462620208</v>
      </c>
    </row>
    <row r="214">
      <c r="A214" s="94">
        <f>IF($N214=0,"",207)</f>
      </c>
      <c r="B214" s="95">
        <f t="shared" si="6"/>
      </c>
      <c r="C214" s="96">
        <f t="shared" si="1"/>
      </c>
      <c r="D214" s="21">
        <f t="shared" si="7"/>
      </c>
      <c r="E214" s="21">
        <f t="shared" si="2"/>
      </c>
      <c r="F214" s="48">
        <f t="shared" si="8"/>
      </c>
      <c r="G214" s="94">
        <f t="shared" si="9"/>
      </c>
      <c r="H214" s="94">
        <f t="shared" si="3"/>
      </c>
      <c r="I214" s="96">
        <f t="shared" si="0"/>
      </c>
      <c r="J214" s="94">
        <f t="shared" si="4"/>
      </c>
      <c r="K214" s="94">
        <f t="shared" si="10"/>
      </c>
      <c r="L214" s="96">
        <f t="shared" si="5"/>
      </c>
      <c r="N214" s="2">
        <f>IF(207&gt;$Z$5,0,MOD(SMALL($Z$6:$Z$2005,207),10000))</f>
        <v>0</v>
      </c>
      <c r="O214" s="2">
        <f t="shared" si="11"/>
        <v>0</v>
      </c>
      <c r="Z214" s="2">
        <f>IF(AND(ISNUMBER(资金流水!$B$214),资金流水!$B$214&gt;=$C$4,资金流水!$B$214&lt;=$E$4,OR(资金流水!$C$214=$C$3,AND(资金流水!$AD$214=$C$3,资金流水!$X$214="账户互转"))),INT(资金流水!$B$214)*10000+209,"")</f>
        <v>462620209</v>
      </c>
    </row>
    <row r="215">
      <c r="A215" s="94">
        <f>IF($N215=0,"",208)</f>
      </c>
      <c r="B215" s="95">
        <f t="shared" si="6"/>
      </c>
      <c r="C215" s="96">
        <f t="shared" si="1"/>
      </c>
      <c r="D215" s="21">
        <f t="shared" si="7"/>
      </c>
      <c r="E215" s="21">
        <f t="shared" si="2"/>
      </c>
      <c r="F215" s="48">
        <f t="shared" si="8"/>
      </c>
      <c r="G215" s="94">
        <f t="shared" si="9"/>
      </c>
      <c r="H215" s="94">
        <f t="shared" si="3"/>
      </c>
      <c r="I215" s="96">
        <f t="shared" si="0"/>
      </c>
      <c r="J215" s="94">
        <f t="shared" si="4"/>
      </c>
      <c r="K215" s="94">
        <f t="shared" si="10"/>
      </c>
      <c r="L215" s="96">
        <f t="shared" si="5"/>
      </c>
      <c r="N215" s="2">
        <f>IF(208&gt;$Z$5,0,MOD(SMALL($Z$6:$Z$2005,208),10000))</f>
        <v>0</v>
      </c>
      <c r="O215" s="2">
        <f t="shared" si="11"/>
        <v>0</v>
      </c>
      <c r="Z215" s="2">
        <f>IF(AND(ISNUMBER(资金流水!$B$215),资金流水!$B$215&gt;=$C$4,资金流水!$B$215&lt;=$E$4,OR(资金流水!$C$215=$C$3,AND(资金流水!$AD$215=$C$3,资金流水!$X$215="账户互转"))),INT(资金流水!$B$215)*10000+210,"")</f>
        <v>462620210</v>
      </c>
    </row>
    <row r="216">
      <c r="A216" s="94">
        <f>IF($N216=0,"",209)</f>
      </c>
      <c r="B216" s="95">
        <f t="shared" si="6"/>
      </c>
      <c r="C216" s="96">
        <f t="shared" si="1"/>
      </c>
      <c r="D216" s="21">
        <f t="shared" si="7"/>
      </c>
      <c r="E216" s="21">
        <f t="shared" si="2"/>
      </c>
      <c r="F216" s="48">
        <f t="shared" si="8"/>
      </c>
      <c r="G216" s="94">
        <f t="shared" si="9"/>
      </c>
      <c r="H216" s="94">
        <f t="shared" si="3"/>
      </c>
      <c r="I216" s="96">
        <f t="shared" si="0"/>
      </c>
      <c r="J216" s="94">
        <f t="shared" si="4"/>
      </c>
      <c r="K216" s="94">
        <f t="shared" si="10"/>
      </c>
      <c r="L216" s="96">
        <f t="shared" si="5"/>
      </c>
      <c r="N216" s="2">
        <f>IF(209&gt;$Z$5,0,MOD(SMALL($Z$6:$Z$2005,209),10000))</f>
        <v>0</v>
      </c>
      <c r="O216" s="2">
        <f t="shared" si="11"/>
        <v>0</v>
      </c>
      <c r="Z216" s="2">
        <f>IF(AND(ISNUMBER(资金流水!$B$216),资金流水!$B$216&gt;=$C$4,资金流水!$B$216&lt;=$E$4,OR(资金流水!$C$216=$C$3,AND(资金流水!$AD$216=$C$3,资金流水!$X$216="账户互转"))),INT(资金流水!$B$216)*10000+211,"")</f>
        <v>462620211</v>
      </c>
    </row>
    <row r="217">
      <c r="A217" s="94">
        <f>IF($N217=0,"",210)</f>
      </c>
      <c r="B217" s="95">
        <f t="shared" si="6"/>
      </c>
      <c r="C217" s="96">
        <f t="shared" si="1"/>
      </c>
      <c r="D217" s="21">
        <f t="shared" si="7"/>
      </c>
      <c r="E217" s="21">
        <f t="shared" si="2"/>
      </c>
      <c r="F217" s="48">
        <f t="shared" si="8"/>
      </c>
      <c r="G217" s="94">
        <f t="shared" si="9"/>
      </c>
      <c r="H217" s="94">
        <f t="shared" si="3"/>
      </c>
      <c r="I217" s="96">
        <f t="shared" si="0"/>
      </c>
      <c r="J217" s="94">
        <f t="shared" si="4"/>
      </c>
      <c r="K217" s="94">
        <f t="shared" si="10"/>
      </c>
      <c r="L217" s="96">
        <f t="shared" si="5"/>
      </c>
      <c r="N217" s="2">
        <f>IF(210&gt;$Z$5,0,MOD(SMALL($Z$6:$Z$2005,210),10000))</f>
        <v>0</v>
      </c>
      <c r="O217" s="2">
        <f t="shared" si="11"/>
        <v>0</v>
      </c>
      <c r="Z217" s="2">
        <f>IF(AND(ISNUMBER(资金流水!$B$217),资金流水!$B$217&gt;=$C$4,资金流水!$B$217&lt;=$E$4,OR(资金流水!$C$217=$C$3,AND(资金流水!$AD$217=$C$3,资金流水!$X$217="账户互转"))),INT(资金流水!$B$217)*10000+212,"")</f>
        <v>462620212</v>
      </c>
    </row>
    <row r="218">
      <c r="A218" s="94">
        <f>IF($N218=0,"",211)</f>
      </c>
      <c r="B218" s="95">
        <f t="shared" si="6"/>
      </c>
      <c r="C218" s="96">
        <f t="shared" si="1"/>
      </c>
      <c r="D218" s="21">
        <f t="shared" si="7"/>
      </c>
      <c r="E218" s="21">
        <f t="shared" si="2"/>
      </c>
      <c r="F218" s="48">
        <f t="shared" si="8"/>
      </c>
      <c r="G218" s="94">
        <f t="shared" si="9"/>
      </c>
      <c r="H218" s="94">
        <f t="shared" si="3"/>
      </c>
      <c r="I218" s="96">
        <f t="shared" si="0"/>
      </c>
      <c r="J218" s="94">
        <f t="shared" si="4"/>
      </c>
      <c r="K218" s="94">
        <f t="shared" si="10"/>
      </c>
      <c r="L218" s="96">
        <f t="shared" si="5"/>
      </c>
      <c r="N218" s="2">
        <f>IF(211&gt;$Z$5,0,MOD(SMALL($Z$6:$Z$2005,211),10000))</f>
        <v>0</v>
      </c>
      <c r="O218" s="2">
        <f t="shared" si="11"/>
        <v>0</v>
      </c>
      <c r="Z218" s="2">
        <f>IF(AND(ISNUMBER(资金流水!$B$218),资金流水!$B$218&gt;=$C$4,资金流水!$B$218&lt;=$E$4,OR(资金流水!$C$218=$C$3,AND(资金流水!$AD$218=$C$3,资金流水!$X$218="账户互转"))),INT(资金流水!$B$218)*10000+213,"")</f>
        <v>462620213</v>
      </c>
    </row>
    <row r="219">
      <c r="A219" s="94">
        <f>IF($N219=0,"",212)</f>
      </c>
      <c r="B219" s="95">
        <f t="shared" si="6"/>
      </c>
      <c r="C219" s="96">
        <f t="shared" si="1"/>
      </c>
      <c r="D219" s="21">
        <f t="shared" si="7"/>
      </c>
      <c r="E219" s="21">
        <f t="shared" si="2"/>
      </c>
      <c r="F219" s="48">
        <f t="shared" si="8"/>
      </c>
      <c r="G219" s="94">
        <f t="shared" si="9"/>
      </c>
      <c r="H219" s="94">
        <f t="shared" si="3"/>
      </c>
      <c r="I219" s="96">
        <f t="shared" si="0"/>
      </c>
      <c r="J219" s="94">
        <f t="shared" si="4"/>
      </c>
      <c r="K219" s="94">
        <f t="shared" si="10"/>
      </c>
      <c r="L219" s="96">
        <f t="shared" si="5"/>
      </c>
      <c r="N219" s="2">
        <f>IF(212&gt;$Z$5,0,MOD(SMALL($Z$6:$Z$2005,212),10000))</f>
        <v>0</v>
      </c>
      <c r="O219" s="2">
        <f t="shared" si="11"/>
        <v>0</v>
      </c>
      <c r="Z219" s="2">
        <f>IF(AND(ISNUMBER(资金流水!$B$219),资金流水!$B$219&gt;=$C$4,资金流水!$B$219&lt;=$E$4,OR(资金流水!$C$219=$C$3,AND(资金流水!$AD$219=$C$3,资金流水!$X$219="账户互转"))),INT(资金流水!$B$219)*10000+214,"")</f>
        <v>462620214</v>
      </c>
    </row>
    <row r="220">
      <c r="A220" s="94">
        <f>IF($N220=0,"",213)</f>
      </c>
      <c r="B220" s="95">
        <f t="shared" si="6"/>
      </c>
      <c r="C220" s="96">
        <f t="shared" si="1"/>
      </c>
      <c r="D220" s="21">
        <f t="shared" si="7"/>
      </c>
      <c r="E220" s="21">
        <f t="shared" si="2"/>
      </c>
      <c r="F220" s="48">
        <f t="shared" si="8"/>
      </c>
      <c r="G220" s="94">
        <f t="shared" si="9"/>
      </c>
      <c r="H220" s="94">
        <f t="shared" si="3"/>
      </c>
      <c r="I220" s="96">
        <f t="shared" si="0"/>
      </c>
      <c r="J220" s="94">
        <f t="shared" si="4"/>
      </c>
      <c r="K220" s="94">
        <f t="shared" si="10"/>
      </c>
      <c r="L220" s="96">
        <f t="shared" si="5"/>
      </c>
      <c r="N220" s="2">
        <f>IF(213&gt;$Z$5,0,MOD(SMALL($Z$6:$Z$2005,213),10000))</f>
        <v>0</v>
      </c>
      <c r="O220" s="2">
        <f t="shared" si="11"/>
        <v>0</v>
      </c>
      <c r="Z220" s="2">
        <f>IF(AND(ISNUMBER(资金流水!$B$220),资金流水!$B$220&gt;=$C$4,资金流水!$B$220&lt;=$E$4,OR(资金流水!$C$220=$C$3,AND(资金流水!$AD$220=$C$3,资金流水!$X$220="账户互转"))),INT(资金流水!$B$220)*10000+215,"")</f>
        <v>462620215</v>
      </c>
    </row>
    <row r="221">
      <c r="A221" s="94">
        <f>IF($N221=0,"",214)</f>
      </c>
      <c r="B221" s="95">
        <f t="shared" si="6"/>
      </c>
      <c r="C221" s="96">
        <f t="shared" si="1"/>
      </c>
      <c r="D221" s="21">
        <f t="shared" si="7"/>
      </c>
      <c r="E221" s="21">
        <f t="shared" si="2"/>
      </c>
      <c r="F221" s="48">
        <f t="shared" si="8"/>
      </c>
      <c r="G221" s="94">
        <f t="shared" si="9"/>
      </c>
      <c r="H221" s="94">
        <f t="shared" si="3"/>
      </c>
      <c r="I221" s="96">
        <f t="shared" si="0"/>
      </c>
      <c r="J221" s="94">
        <f t="shared" si="4"/>
      </c>
      <c r="K221" s="94">
        <f t="shared" si="10"/>
      </c>
      <c r="L221" s="96">
        <f t="shared" si="5"/>
      </c>
      <c r="N221" s="2">
        <f>IF(214&gt;$Z$5,0,MOD(SMALL($Z$6:$Z$2005,214),10000))</f>
        <v>0</v>
      </c>
      <c r="O221" s="2">
        <f t="shared" si="11"/>
        <v>0</v>
      </c>
      <c r="Z221" s="2">
        <f>IF(AND(ISNUMBER(资金流水!$B$221),资金流水!$B$221&gt;=$C$4,资金流水!$B$221&lt;=$E$4,OR(资金流水!$C$221=$C$3,AND(资金流水!$AD$221=$C$3,资金流水!$X$221="账户互转"))),INT(资金流水!$B$221)*10000+216,"")</f>
      </c>
    </row>
    <row r="222">
      <c r="A222" s="94">
        <f>IF($N222=0,"",215)</f>
      </c>
      <c r="B222" s="95">
        <f t="shared" si="6"/>
      </c>
      <c r="C222" s="96">
        <f t="shared" si="1"/>
      </c>
      <c r="D222" s="21">
        <f t="shared" si="7"/>
      </c>
      <c r="E222" s="21">
        <f t="shared" si="2"/>
      </c>
      <c r="F222" s="48">
        <f t="shared" si="8"/>
      </c>
      <c r="G222" s="94">
        <f t="shared" si="9"/>
      </c>
      <c r="H222" s="94">
        <f t="shared" si="3"/>
      </c>
      <c r="I222" s="96">
        <f t="shared" si="0"/>
      </c>
      <c r="J222" s="94">
        <f t="shared" si="4"/>
      </c>
      <c r="K222" s="94">
        <f t="shared" si="10"/>
      </c>
      <c r="L222" s="96">
        <f t="shared" si="5"/>
      </c>
      <c r="N222" s="2">
        <f>IF(215&gt;$Z$5,0,MOD(SMALL($Z$6:$Z$2005,215),10000))</f>
        <v>0</v>
      </c>
      <c r="O222" s="2">
        <f t="shared" si="11"/>
        <v>0</v>
      </c>
      <c r="Z222" s="2">
        <f>IF(AND(ISNUMBER(资金流水!$B$222),资金流水!$B$222&gt;=$C$4,资金流水!$B$222&lt;=$E$4,OR(资金流水!$C$222=$C$3,AND(资金流水!$AD$222=$C$3,资金流水!$X$222="账户互转"))),INT(资金流水!$B$222)*10000+217,"")</f>
      </c>
    </row>
    <row r="223">
      <c r="A223" s="94">
        <f>IF($N223=0,"",216)</f>
      </c>
      <c r="B223" s="95">
        <f t="shared" si="6"/>
      </c>
      <c r="C223" s="96">
        <f t="shared" si="1"/>
      </c>
      <c r="D223" s="21">
        <f t="shared" si="7"/>
      </c>
      <c r="E223" s="21">
        <f t="shared" si="2"/>
      </c>
      <c r="F223" s="48">
        <f t="shared" si="8"/>
      </c>
      <c r="G223" s="94">
        <f t="shared" si="9"/>
      </c>
      <c r="H223" s="94">
        <f t="shared" si="3"/>
      </c>
      <c r="I223" s="96">
        <f t="shared" si="0"/>
      </c>
      <c r="J223" s="94">
        <f t="shared" si="4"/>
      </c>
      <c r="K223" s="94">
        <f t="shared" si="10"/>
      </c>
      <c r="L223" s="96">
        <f t="shared" si="5"/>
      </c>
      <c r="N223" s="2">
        <f>IF(216&gt;$Z$5,0,MOD(SMALL($Z$6:$Z$2005,216),10000))</f>
        <v>0</v>
      </c>
      <c r="O223" s="2">
        <f t="shared" si="11"/>
        <v>0</v>
      </c>
      <c r="Z223" s="2">
        <f>IF(AND(ISNUMBER(资金流水!$B$223),资金流水!$B$223&gt;=$C$4,资金流水!$B$223&lt;=$E$4,OR(资金流水!$C$223=$C$3,AND(资金流水!$AD$223=$C$3,资金流水!$X$223="账户互转"))),INT(资金流水!$B$223)*10000+218,"")</f>
      </c>
    </row>
    <row r="224">
      <c r="A224" s="94">
        <f>IF($N224=0,"",217)</f>
      </c>
      <c r="B224" s="95">
        <f t="shared" si="6"/>
      </c>
      <c r="C224" s="96">
        <f t="shared" si="1"/>
      </c>
      <c r="D224" s="21">
        <f t="shared" si="7"/>
      </c>
      <c r="E224" s="21">
        <f t="shared" si="2"/>
      </c>
      <c r="F224" s="48">
        <f t="shared" si="8"/>
      </c>
      <c r="G224" s="94">
        <f t="shared" si="9"/>
      </c>
      <c r="H224" s="94">
        <f t="shared" si="3"/>
      </c>
      <c r="I224" s="96">
        <f t="shared" si="0"/>
      </c>
      <c r="J224" s="94">
        <f t="shared" si="4"/>
      </c>
      <c r="K224" s="94">
        <f t="shared" si="10"/>
      </c>
      <c r="L224" s="96">
        <f t="shared" si="5"/>
      </c>
      <c r="N224" s="2">
        <f>IF(217&gt;$Z$5,0,MOD(SMALL($Z$6:$Z$2005,217),10000))</f>
        <v>0</v>
      </c>
      <c r="O224" s="2">
        <f t="shared" si="11"/>
        <v>0</v>
      </c>
      <c r="Z224" s="2">
        <f>IF(AND(ISNUMBER(资金流水!$B$224),资金流水!$B$224&gt;=$C$4,资金流水!$B$224&lt;=$E$4,OR(资金流水!$C$224=$C$3,AND(资金流水!$AD$224=$C$3,资金流水!$X$224="账户互转"))),INT(资金流水!$B$224)*10000+219,"")</f>
      </c>
    </row>
    <row r="225">
      <c r="A225" s="94">
        <f>IF($N225=0,"",218)</f>
      </c>
      <c r="B225" s="95">
        <f t="shared" si="6"/>
      </c>
      <c r="C225" s="96">
        <f t="shared" si="1"/>
      </c>
      <c r="D225" s="21">
        <f t="shared" si="7"/>
      </c>
      <c r="E225" s="21">
        <f t="shared" si="2"/>
      </c>
      <c r="F225" s="48">
        <f t="shared" si="8"/>
      </c>
      <c r="G225" s="94">
        <f t="shared" si="9"/>
      </c>
      <c r="H225" s="94">
        <f t="shared" si="3"/>
      </c>
      <c r="I225" s="96">
        <f t="shared" si="0"/>
      </c>
      <c r="J225" s="94">
        <f t="shared" si="4"/>
      </c>
      <c r="K225" s="94">
        <f t="shared" si="10"/>
      </c>
      <c r="L225" s="96">
        <f t="shared" si="5"/>
      </c>
      <c r="N225" s="2">
        <f>IF(218&gt;$Z$5,0,MOD(SMALL($Z$6:$Z$2005,218),10000))</f>
        <v>0</v>
      </c>
      <c r="O225" s="2">
        <f t="shared" si="11"/>
        <v>0</v>
      </c>
      <c r="Z225" s="2">
        <f>IF(AND(ISNUMBER(资金流水!$B$225),资金流水!$B$225&gt;=$C$4,资金流水!$B$225&lt;=$E$4,OR(资金流水!$C$225=$C$3,AND(资金流水!$AD$225=$C$3,资金流水!$X$225="账户互转"))),INT(资金流水!$B$225)*10000+220,"")</f>
      </c>
    </row>
    <row r="226">
      <c r="A226" s="94">
        <f>IF($N226=0,"",219)</f>
      </c>
      <c r="B226" s="95">
        <f t="shared" si="6"/>
      </c>
      <c r="C226" s="96">
        <f t="shared" si="1"/>
      </c>
      <c r="D226" s="21">
        <f t="shared" si="7"/>
      </c>
      <c r="E226" s="21">
        <f t="shared" si="2"/>
      </c>
      <c r="F226" s="48">
        <f t="shared" si="8"/>
      </c>
      <c r="G226" s="94">
        <f t="shared" si="9"/>
      </c>
      <c r="H226" s="94">
        <f t="shared" si="3"/>
      </c>
      <c r="I226" s="96">
        <f t="shared" si="0"/>
      </c>
      <c r="J226" s="94">
        <f t="shared" si="4"/>
      </c>
      <c r="K226" s="94">
        <f t="shared" si="10"/>
      </c>
      <c r="L226" s="96">
        <f t="shared" si="5"/>
      </c>
      <c r="N226" s="2">
        <f>IF(219&gt;$Z$5,0,MOD(SMALL($Z$6:$Z$2005,219),10000))</f>
        <v>0</v>
      </c>
      <c r="O226" s="2">
        <f t="shared" si="11"/>
        <v>0</v>
      </c>
      <c r="Z226" s="2">
        <f>IF(AND(ISNUMBER(资金流水!$B$226),资金流水!$B$226&gt;=$C$4,资金流水!$B$226&lt;=$E$4,OR(资金流水!$C$226=$C$3,AND(资金流水!$AD$226=$C$3,资金流水!$X$226="账户互转"))),INT(资金流水!$B$226)*10000+221,"")</f>
      </c>
    </row>
    <row r="227">
      <c r="A227" s="94">
        <f>IF($N227=0,"",220)</f>
      </c>
      <c r="B227" s="95">
        <f t="shared" si="6"/>
      </c>
      <c r="C227" s="96">
        <f t="shared" si="1"/>
      </c>
      <c r="D227" s="21">
        <f t="shared" si="7"/>
      </c>
      <c r="E227" s="21">
        <f t="shared" si="2"/>
      </c>
      <c r="F227" s="48">
        <f t="shared" si="8"/>
      </c>
      <c r="G227" s="94">
        <f t="shared" si="9"/>
      </c>
      <c r="H227" s="94">
        <f t="shared" si="3"/>
      </c>
      <c r="I227" s="96">
        <f t="shared" si="0"/>
      </c>
      <c r="J227" s="94">
        <f t="shared" si="4"/>
      </c>
      <c r="K227" s="94">
        <f t="shared" si="10"/>
      </c>
      <c r="L227" s="96">
        <f t="shared" si="5"/>
      </c>
      <c r="N227" s="2">
        <f>IF(220&gt;$Z$5,0,MOD(SMALL($Z$6:$Z$2005,220),10000))</f>
        <v>0</v>
      </c>
      <c r="O227" s="2">
        <f t="shared" si="11"/>
        <v>0</v>
      </c>
      <c r="Z227" s="2">
        <f>IF(AND(ISNUMBER(资金流水!$B$227),资金流水!$B$227&gt;=$C$4,资金流水!$B$227&lt;=$E$4,OR(资金流水!$C$227=$C$3,AND(资金流水!$AD$227=$C$3,资金流水!$X$227="账户互转"))),INT(资金流水!$B$227)*10000+222,"")</f>
      </c>
    </row>
    <row r="228">
      <c r="A228" s="94">
        <f>IF($N228=0,"",221)</f>
      </c>
      <c r="B228" s="95">
        <f t="shared" si="6"/>
      </c>
      <c r="C228" s="96">
        <f t="shared" si="1"/>
      </c>
      <c r="D228" s="21">
        <f t="shared" si="7"/>
      </c>
      <c r="E228" s="21">
        <f t="shared" si="2"/>
      </c>
      <c r="F228" s="48">
        <f t="shared" si="8"/>
      </c>
      <c r="G228" s="94">
        <f t="shared" si="9"/>
      </c>
      <c r="H228" s="94">
        <f t="shared" si="3"/>
      </c>
      <c r="I228" s="96">
        <f t="shared" si="0"/>
      </c>
      <c r="J228" s="94">
        <f t="shared" si="4"/>
      </c>
      <c r="K228" s="94">
        <f t="shared" si="10"/>
      </c>
      <c r="L228" s="96">
        <f t="shared" si="5"/>
      </c>
      <c r="N228" s="2">
        <f>IF(221&gt;$Z$5,0,MOD(SMALL($Z$6:$Z$2005,221),10000))</f>
        <v>0</v>
      </c>
      <c r="O228" s="2">
        <f t="shared" si="11"/>
        <v>0</v>
      </c>
      <c r="Z228" s="2">
        <f>IF(AND(ISNUMBER(资金流水!$B$228),资金流水!$B$228&gt;=$C$4,资金流水!$B$228&lt;=$E$4,OR(资金流水!$C$228=$C$3,AND(资金流水!$AD$228=$C$3,资金流水!$X$228="账户互转"))),INT(资金流水!$B$228)*10000+223,"")</f>
      </c>
    </row>
    <row r="229">
      <c r="A229" s="94">
        <f>IF($N229=0,"",222)</f>
      </c>
      <c r="B229" s="95">
        <f t="shared" si="6"/>
      </c>
      <c r="C229" s="96">
        <f t="shared" si="1"/>
      </c>
      <c r="D229" s="21">
        <f t="shared" si="7"/>
      </c>
      <c r="E229" s="21">
        <f t="shared" si="2"/>
      </c>
      <c r="F229" s="48">
        <f t="shared" si="8"/>
      </c>
      <c r="G229" s="94">
        <f t="shared" si="9"/>
      </c>
      <c r="H229" s="94">
        <f t="shared" si="3"/>
      </c>
      <c r="I229" s="96">
        <f t="shared" si="0"/>
      </c>
      <c r="J229" s="94">
        <f t="shared" si="4"/>
      </c>
      <c r="K229" s="94">
        <f t="shared" si="10"/>
      </c>
      <c r="L229" s="96">
        <f t="shared" si="5"/>
      </c>
      <c r="N229" s="2">
        <f>IF(222&gt;$Z$5,0,MOD(SMALL($Z$6:$Z$2005,222),10000))</f>
        <v>0</v>
      </c>
      <c r="O229" s="2">
        <f t="shared" si="11"/>
        <v>0</v>
      </c>
      <c r="Z229" s="2">
        <f>IF(AND(ISNUMBER(资金流水!$B$229),资金流水!$B$229&gt;=$C$4,资金流水!$B$229&lt;=$E$4,OR(资金流水!$C$229=$C$3,AND(资金流水!$AD$229=$C$3,资金流水!$X$229="账户互转"))),INT(资金流水!$B$229)*10000+224,"")</f>
      </c>
    </row>
    <row r="230">
      <c r="A230" s="94">
        <f>IF($N230=0,"",223)</f>
      </c>
      <c r="B230" s="95">
        <f t="shared" si="6"/>
      </c>
      <c r="C230" s="96">
        <f t="shared" si="1"/>
      </c>
      <c r="D230" s="21">
        <f t="shared" si="7"/>
      </c>
      <c r="E230" s="21">
        <f t="shared" si="2"/>
      </c>
      <c r="F230" s="48">
        <f t="shared" si="8"/>
      </c>
      <c r="G230" s="94">
        <f t="shared" si="9"/>
      </c>
      <c r="H230" s="94">
        <f t="shared" si="3"/>
      </c>
      <c r="I230" s="96">
        <f t="shared" si="0"/>
      </c>
      <c r="J230" s="94">
        <f t="shared" si="4"/>
      </c>
      <c r="K230" s="94">
        <f t="shared" si="10"/>
      </c>
      <c r="L230" s="96">
        <f t="shared" si="5"/>
      </c>
      <c r="N230" s="2">
        <f>IF(223&gt;$Z$5,0,MOD(SMALL($Z$6:$Z$2005,223),10000))</f>
        <v>0</v>
      </c>
      <c r="O230" s="2">
        <f t="shared" si="11"/>
        <v>0</v>
      </c>
      <c r="Z230" s="2">
        <f>IF(AND(ISNUMBER(资金流水!$B$230),资金流水!$B$230&gt;=$C$4,资金流水!$B$230&lt;=$E$4,OR(资金流水!$C$230=$C$3,AND(资金流水!$AD$230=$C$3,资金流水!$X$230="账户互转"))),INT(资金流水!$B$230)*10000+225,"")</f>
      </c>
    </row>
    <row r="231">
      <c r="A231" s="94">
        <f>IF($N231=0,"",224)</f>
      </c>
      <c r="B231" s="95">
        <f t="shared" si="6"/>
      </c>
      <c r="C231" s="96">
        <f t="shared" si="1"/>
      </c>
      <c r="D231" s="21">
        <f t="shared" si="7"/>
      </c>
      <c r="E231" s="21">
        <f t="shared" si="2"/>
      </c>
      <c r="F231" s="48">
        <f t="shared" si="8"/>
      </c>
      <c r="G231" s="94">
        <f t="shared" si="9"/>
      </c>
      <c r="H231" s="94">
        <f t="shared" si="3"/>
      </c>
      <c r="I231" s="96">
        <f t="shared" si="0"/>
      </c>
      <c r="J231" s="94">
        <f t="shared" si="4"/>
      </c>
      <c r="K231" s="94">
        <f t="shared" si="10"/>
      </c>
      <c r="L231" s="96">
        <f t="shared" si="5"/>
      </c>
      <c r="N231" s="2">
        <f>IF(224&gt;$Z$5,0,MOD(SMALL($Z$6:$Z$2005,224),10000))</f>
        <v>0</v>
      </c>
      <c r="O231" s="2">
        <f t="shared" si="11"/>
        <v>0</v>
      </c>
      <c r="Z231" s="2">
        <f>IF(AND(ISNUMBER(资金流水!$B$231),资金流水!$B$231&gt;=$C$4,资金流水!$B$231&lt;=$E$4,OR(资金流水!$C$231=$C$3,AND(资金流水!$AD$231=$C$3,资金流水!$X$231="账户互转"))),INT(资金流水!$B$231)*10000+226,"")</f>
      </c>
    </row>
    <row r="232">
      <c r="A232" s="94">
        <f>IF($N232=0,"",225)</f>
      </c>
      <c r="B232" s="95">
        <f t="shared" si="6"/>
      </c>
      <c r="C232" s="96">
        <f t="shared" si="1"/>
      </c>
      <c r="D232" s="21">
        <f t="shared" si="7"/>
      </c>
      <c r="E232" s="21">
        <f t="shared" si="2"/>
      </c>
      <c r="F232" s="48">
        <f t="shared" si="8"/>
      </c>
      <c r="G232" s="94">
        <f t="shared" si="9"/>
      </c>
      <c r="H232" s="94">
        <f t="shared" si="3"/>
      </c>
      <c r="I232" s="96">
        <f t="shared" si="0"/>
      </c>
      <c r="J232" s="94">
        <f t="shared" si="4"/>
      </c>
      <c r="K232" s="94">
        <f t="shared" si="10"/>
      </c>
      <c r="L232" s="96">
        <f t="shared" si="5"/>
      </c>
      <c r="N232" s="2">
        <f>IF(225&gt;$Z$5,0,MOD(SMALL($Z$6:$Z$2005,225),10000))</f>
        <v>0</v>
      </c>
      <c r="O232" s="2">
        <f t="shared" si="11"/>
        <v>0</v>
      </c>
      <c r="Z232" s="2">
        <f>IF(AND(ISNUMBER(资金流水!$B$232),资金流水!$B$232&gt;=$C$4,资金流水!$B$232&lt;=$E$4,OR(资金流水!$C$232=$C$3,AND(资金流水!$AD$232=$C$3,资金流水!$X$232="账户互转"))),INT(资金流水!$B$232)*10000+227,"")</f>
      </c>
    </row>
    <row r="233">
      <c r="A233" s="94">
        <f>IF($N233=0,"",226)</f>
      </c>
      <c r="B233" s="95">
        <f t="shared" si="6"/>
      </c>
      <c r="C233" s="96">
        <f t="shared" si="1"/>
      </c>
      <c r="D233" s="21">
        <f t="shared" si="7"/>
      </c>
      <c r="E233" s="21">
        <f t="shared" si="2"/>
      </c>
      <c r="F233" s="48">
        <f t="shared" si="8"/>
      </c>
      <c r="G233" s="94">
        <f t="shared" si="9"/>
      </c>
      <c r="H233" s="94">
        <f t="shared" si="3"/>
      </c>
      <c r="I233" s="96">
        <f t="shared" si="0"/>
      </c>
      <c r="J233" s="94">
        <f t="shared" si="4"/>
      </c>
      <c r="K233" s="94">
        <f t="shared" si="10"/>
      </c>
      <c r="L233" s="96">
        <f t="shared" si="5"/>
      </c>
      <c r="N233" s="2">
        <f>IF(226&gt;$Z$5,0,MOD(SMALL($Z$6:$Z$2005,226),10000))</f>
        <v>0</v>
      </c>
      <c r="O233" s="2">
        <f t="shared" si="11"/>
        <v>0</v>
      </c>
      <c r="Z233" s="2">
        <f>IF(AND(ISNUMBER(资金流水!$B$233),资金流水!$B$233&gt;=$C$4,资金流水!$B$233&lt;=$E$4,OR(资金流水!$C$233=$C$3,AND(资金流水!$AD$233=$C$3,资金流水!$X$233="账户互转"))),INT(资金流水!$B$233)*10000+228,"")</f>
      </c>
    </row>
    <row r="234">
      <c r="A234" s="94">
        <f>IF($N234=0,"",227)</f>
      </c>
      <c r="B234" s="95">
        <f t="shared" si="6"/>
      </c>
      <c r="C234" s="96">
        <f t="shared" si="1"/>
      </c>
      <c r="D234" s="21">
        <f t="shared" si="7"/>
      </c>
      <c r="E234" s="21">
        <f t="shared" si="2"/>
      </c>
      <c r="F234" s="48">
        <f t="shared" si="8"/>
      </c>
      <c r="G234" s="94">
        <f t="shared" si="9"/>
      </c>
      <c r="H234" s="94">
        <f t="shared" si="3"/>
      </c>
      <c r="I234" s="96">
        <f t="shared" si="0"/>
      </c>
      <c r="J234" s="94">
        <f t="shared" si="4"/>
      </c>
      <c r="K234" s="94">
        <f t="shared" si="10"/>
      </c>
      <c r="L234" s="96">
        <f t="shared" si="5"/>
      </c>
      <c r="N234" s="2">
        <f>IF(227&gt;$Z$5,0,MOD(SMALL($Z$6:$Z$2005,227),10000))</f>
        <v>0</v>
      </c>
      <c r="O234" s="2">
        <f t="shared" si="11"/>
        <v>0</v>
      </c>
      <c r="Z234" s="2">
        <f>IF(AND(ISNUMBER(资金流水!$B$234),资金流水!$B$234&gt;=$C$4,资金流水!$B$234&lt;=$E$4,OR(资金流水!$C$234=$C$3,AND(资金流水!$AD$234=$C$3,资金流水!$X$234="账户互转"))),INT(资金流水!$B$234)*10000+229,"")</f>
      </c>
    </row>
    <row r="235">
      <c r="A235" s="94">
        <f>IF($N235=0,"",228)</f>
      </c>
      <c r="B235" s="95">
        <f t="shared" si="6"/>
      </c>
      <c r="C235" s="96">
        <f t="shared" si="1"/>
      </c>
      <c r="D235" s="21">
        <f t="shared" si="7"/>
      </c>
      <c r="E235" s="21">
        <f t="shared" si="2"/>
      </c>
      <c r="F235" s="48">
        <f t="shared" si="8"/>
      </c>
      <c r="G235" s="94">
        <f t="shared" si="9"/>
      </c>
      <c r="H235" s="94">
        <f t="shared" si="3"/>
      </c>
      <c r="I235" s="96">
        <f t="shared" si="0"/>
      </c>
      <c r="J235" s="94">
        <f t="shared" si="4"/>
      </c>
      <c r="K235" s="94">
        <f t="shared" si="10"/>
      </c>
      <c r="L235" s="96">
        <f t="shared" si="5"/>
      </c>
      <c r="N235" s="2">
        <f>IF(228&gt;$Z$5,0,MOD(SMALL($Z$6:$Z$2005,228),10000))</f>
        <v>0</v>
      </c>
      <c r="O235" s="2">
        <f t="shared" si="11"/>
        <v>0</v>
      </c>
      <c r="Z235" s="2">
        <f>IF(AND(ISNUMBER(资金流水!$B$235),资金流水!$B$235&gt;=$C$4,资金流水!$B$235&lt;=$E$4,OR(资金流水!$C$235=$C$3,AND(资金流水!$AD$235=$C$3,资金流水!$X$235="账户互转"))),INT(资金流水!$B$235)*10000+230,"")</f>
      </c>
    </row>
    <row r="236">
      <c r="A236" s="94">
        <f>IF($N236=0,"",229)</f>
      </c>
      <c r="B236" s="95">
        <f t="shared" si="6"/>
      </c>
      <c r="C236" s="96">
        <f t="shared" si="1"/>
      </c>
      <c r="D236" s="21">
        <f t="shared" si="7"/>
      </c>
      <c r="E236" s="21">
        <f t="shared" si="2"/>
      </c>
      <c r="F236" s="48">
        <f t="shared" si="8"/>
      </c>
      <c r="G236" s="94">
        <f t="shared" si="9"/>
      </c>
      <c r="H236" s="94">
        <f t="shared" si="3"/>
      </c>
      <c r="I236" s="96">
        <f t="shared" si="0"/>
      </c>
      <c r="J236" s="94">
        <f t="shared" si="4"/>
      </c>
      <c r="K236" s="94">
        <f t="shared" si="10"/>
      </c>
      <c r="L236" s="96">
        <f t="shared" si="5"/>
      </c>
      <c r="N236" s="2">
        <f>IF(229&gt;$Z$5,0,MOD(SMALL($Z$6:$Z$2005,229),10000))</f>
        <v>0</v>
      </c>
      <c r="O236" s="2">
        <f t="shared" si="11"/>
        <v>0</v>
      </c>
      <c r="Z236" s="2">
        <f>IF(AND(ISNUMBER(资金流水!$B$236),资金流水!$B$236&gt;=$C$4,资金流水!$B$236&lt;=$E$4,OR(资金流水!$C$236=$C$3,AND(资金流水!$AD$236=$C$3,资金流水!$X$236="账户互转"))),INT(资金流水!$B$236)*10000+231,"")</f>
      </c>
    </row>
    <row r="237">
      <c r="A237" s="94">
        <f>IF($N237=0,"",230)</f>
      </c>
      <c r="B237" s="95">
        <f t="shared" si="6"/>
      </c>
      <c r="C237" s="96">
        <f t="shared" si="1"/>
      </c>
      <c r="D237" s="21">
        <f t="shared" si="7"/>
      </c>
      <c r="E237" s="21">
        <f t="shared" si="2"/>
      </c>
      <c r="F237" s="48">
        <f t="shared" si="8"/>
      </c>
      <c r="G237" s="94">
        <f t="shared" si="9"/>
      </c>
      <c r="H237" s="94">
        <f t="shared" si="3"/>
      </c>
      <c r="I237" s="96">
        <f t="shared" si="0"/>
      </c>
      <c r="J237" s="94">
        <f t="shared" si="4"/>
      </c>
      <c r="K237" s="94">
        <f t="shared" si="10"/>
      </c>
      <c r="L237" s="96">
        <f t="shared" si="5"/>
      </c>
      <c r="N237" s="2">
        <f>IF(230&gt;$Z$5,0,MOD(SMALL($Z$6:$Z$2005,230),10000))</f>
        <v>0</v>
      </c>
      <c r="O237" s="2">
        <f t="shared" si="11"/>
        <v>0</v>
      </c>
      <c r="Z237" s="2">
        <f>IF(AND(ISNUMBER(资金流水!$B$237),资金流水!$B$237&gt;=$C$4,资金流水!$B$237&lt;=$E$4,OR(资金流水!$C$237=$C$3,AND(资金流水!$AD$237=$C$3,资金流水!$X$237="账户互转"))),INT(资金流水!$B$237)*10000+232,"")</f>
      </c>
    </row>
    <row r="238">
      <c r="A238" s="94">
        <f>IF($N238=0,"",231)</f>
      </c>
      <c r="B238" s="95">
        <f t="shared" si="6"/>
      </c>
      <c r="C238" s="96">
        <f t="shared" si="1"/>
      </c>
      <c r="D238" s="21">
        <f t="shared" si="7"/>
      </c>
      <c r="E238" s="21">
        <f t="shared" si="2"/>
      </c>
      <c r="F238" s="48">
        <f t="shared" si="8"/>
      </c>
      <c r="G238" s="94">
        <f t="shared" si="9"/>
      </c>
      <c r="H238" s="94">
        <f t="shared" si="3"/>
      </c>
      <c r="I238" s="96">
        <f t="shared" si="0"/>
      </c>
      <c r="J238" s="94">
        <f t="shared" si="4"/>
      </c>
      <c r="K238" s="94">
        <f t="shared" si="10"/>
      </c>
      <c r="L238" s="96">
        <f t="shared" si="5"/>
      </c>
      <c r="N238" s="2">
        <f>IF(231&gt;$Z$5,0,MOD(SMALL($Z$6:$Z$2005,231),10000))</f>
        <v>0</v>
      </c>
      <c r="O238" s="2">
        <f t="shared" si="11"/>
        <v>0</v>
      </c>
      <c r="Z238" s="2">
        <f>IF(AND(ISNUMBER(资金流水!$B$238),资金流水!$B$238&gt;=$C$4,资金流水!$B$238&lt;=$E$4,OR(资金流水!$C$238=$C$3,AND(资金流水!$AD$238=$C$3,资金流水!$X$238="账户互转"))),INT(资金流水!$B$238)*10000+233,"")</f>
      </c>
    </row>
    <row r="239">
      <c r="A239" s="94">
        <f>IF($N239=0,"",232)</f>
      </c>
      <c r="B239" s="95">
        <f t="shared" si="6"/>
      </c>
      <c r="C239" s="96">
        <f t="shared" si="1"/>
      </c>
      <c r="D239" s="21">
        <f t="shared" si="7"/>
      </c>
      <c r="E239" s="21">
        <f t="shared" si="2"/>
      </c>
      <c r="F239" s="48">
        <f t="shared" si="8"/>
      </c>
      <c r="G239" s="94">
        <f t="shared" si="9"/>
      </c>
      <c r="H239" s="94">
        <f t="shared" si="3"/>
      </c>
      <c r="I239" s="96">
        <f t="shared" si="0"/>
      </c>
      <c r="J239" s="94">
        <f t="shared" si="4"/>
      </c>
      <c r="K239" s="94">
        <f t="shared" si="10"/>
      </c>
      <c r="L239" s="96">
        <f t="shared" si="5"/>
      </c>
      <c r="N239" s="2">
        <f>IF(232&gt;$Z$5,0,MOD(SMALL($Z$6:$Z$2005,232),10000))</f>
        <v>0</v>
      </c>
      <c r="O239" s="2">
        <f t="shared" si="11"/>
        <v>0</v>
      </c>
      <c r="Z239" s="2">
        <f>IF(AND(ISNUMBER(资金流水!$B$239),资金流水!$B$239&gt;=$C$4,资金流水!$B$239&lt;=$E$4,OR(资金流水!$C$239=$C$3,AND(资金流水!$AD$239=$C$3,资金流水!$X$239="账户互转"))),INT(资金流水!$B$239)*10000+234,"")</f>
      </c>
    </row>
    <row r="240">
      <c r="A240" s="94">
        <f>IF($N240=0,"",233)</f>
      </c>
      <c r="B240" s="95">
        <f t="shared" si="6"/>
      </c>
      <c r="C240" s="96">
        <f t="shared" si="1"/>
      </c>
      <c r="D240" s="21">
        <f t="shared" si="7"/>
      </c>
      <c r="E240" s="21">
        <f t="shared" si="2"/>
      </c>
      <c r="F240" s="48">
        <f t="shared" si="8"/>
      </c>
      <c r="G240" s="94">
        <f t="shared" si="9"/>
      </c>
      <c r="H240" s="94">
        <f t="shared" si="3"/>
      </c>
      <c r="I240" s="96">
        <f t="shared" si="0"/>
      </c>
      <c r="J240" s="94">
        <f t="shared" si="4"/>
      </c>
      <c r="K240" s="94">
        <f t="shared" si="10"/>
      </c>
      <c r="L240" s="96">
        <f t="shared" si="5"/>
      </c>
      <c r="N240" s="2">
        <f>IF(233&gt;$Z$5,0,MOD(SMALL($Z$6:$Z$2005,233),10000))</f>
        <v>0</v>
      </c>
      <c r="O240" s="2">
        <f t="shared" si="11"/>
        <v>0</v>
      </c>
      <c r="Z240" s="2">
        <f>IF(AND(ISNUMBER(资金流水!$B$240),资金流水!$B$240&gt;=$C$4,资金流水!$B$240&lt;=$E$4,OR(资金流水!$C$240=$C$3,AND(资金流水!$AD$240=$C$3,资金流水!$X$240="账户互转"))),INT(资金流水!$B$240)*10000+235,"")</f>
      </c>
    </row>
    <row r="241">
      <c r="A241" s="94">
        <f>IF($N241=0,"",234)</f>
      </c>
      <c r="B241" s="95">
        <f t="shared" si="6"/>
      </c>
      <c r="C241" s="96">
        <f t="shared" si="1"/>
      </c>
      <c r="D241" s="21">
        <f t="shared" si="7"/>
      </c>
      <c r="E241" s="21">
        <f t="shared" si="2"/>
      </c>
      <c r="F241" s="48">
        <f t="shared" si="8"/>
      </c>
      <c r="G241" s="94">
        <f t="shared" si="9"/>
      </c>
      <c r="H241" s="94">
        <f t="shared" si="3"/>
      </c>
      <c r="I241" s="96">
        <f t="shared" si="0"/>
      </c>
      <c r="J241" s="94">
        <f t="shared" si="4"/>
      </c>
      <c r="K241" s="94">
        <f t="shared" si="10"/>
      </c>
      <c r="L241" s="96">
        <f t="shared" si="5"/>
      </c>
      <c r="N241" s="2">
        <f>IF(234&gt;$Z$5,0,MOD(SMALL($Z$6:$Z$2005,234),10000))</f>
        <v>0</v>
      </c>
      <c r="O241" s="2">
        <f t="shared" si="11"/>
        <v>0</v>
      </c>
      <c r="Z241" s="2">
        <f>IF(AND(ISNUMBER(资金流水!$B$241),资金流水!$B$241&gt;=$C$4,资金流水!$B$241&lt;=$E$4,OR(资金流水!$C$241=$C$3,AND(资金流水!$AD$241=$C$3,资金流水!$X$241="账户互转"))),INT(资金流水!$B$241)*10000+236,"")</f>
      </c>
    </row>
    <row r="242">
      <c r="A242" s="94">
        <f>IF($N242=0,"",235)</f>
      </c>
      <c r="B242" s="95">
        <f t="shared" si="6"/>
      </c>
      <c r="C242" s="96">
        <f t="shared" si="1"/>
      </c>
      <c r="D242" s="21">
        <f t="shared" si="7"/>
      </c>
      <c r="E242" s="21">
        <f t="shared" si="2"/>
      </c>
      <c r="F242" s="48">
        <f t="shared" si="8"/>
      </c>
      <c r="G242" s="94">
        <f t="shared" si="9"/>
      </c>
      <c r="H242" s="94">
        <f t="shared" si="3"/>
      </c>
      <c r="I242" s="96">
        <f t="shared" si="0"/>
      </c>
      <c r="J242" s="94">
        <f t="shared" si="4"/>
      </c>
      <c r="K242" s="94">
        <f t="shared" si="10"/>
      </c>
      <c r="L242" s="96">
        <f t="shared" si="5"/>
      </c>
      <c r="N242" s="2">
        <f>IF(235&gt;$Z$5,0,MOD(SMALL($Z$6:$Z$2005,235),10000))</f>
        <v>0</v>
      </c>
      <c r="O242" s="2">
        <f t="shared" si="11"/>
        <v>0</v>
      </c>
      <c r="Z242" s="2">
        <f>IF(AND(ISNUMBER(资金流水!$B$242),资金流水!$B$242&gt;=$C$4,资金流水!$B$242&lt;=$E$4,OR(资金流水!$C$242=$C$3,AND(资金流水!$AD$242=$C$3,资金流水!$X$242="账户互转"))),INT(资金流水!$B$242)*10000+237,"")</f>
      </c>
    </row>
    <row r="243">
      <c r="A243" s="94">
        <f>IF($N243=0,"",236)</f>
      </c>
      <c r="B243" s="95">
        <f t="shared" si="6"/>
      </c>
      <c r="C243" s="96">
        <f t="shared" si="1"/>
      </c>
      <c r="D243" s="21">
        <f t="shared" si="7"/>
      </c>
      <c r="E243" s="21">
        <f t="shared" si="2"/>
      </c>
      <c r="F243" s="48">
        <f t="shared" si="8"/>
      </c>
      <c r="G243" s="94">
        <f t="shared" si="9"/>
      </c>
      <c r="H243" s="94">
        <f t="shared" si="3"/>
      </c>
      <c r="I243" s="96">
        <f t="shared" si="0"/>
      </c>
      <c r="J243" s="94">
        <f t="shared" si="4"/>
      </c>
      <c r="K243" s="94">
        <f t="shared" si="10"/>
      </c>
      <c r="L243" s="96">
        <f t="shared" si="5"/>
      </c>
      <c r="N243" s="2">
        <f>IF(236&gt;$Z$5,0,MOD(SMALL($Z$6:$Z$2005,236),10000))</f>
        <v>0</v>
      </c>
      <c r="O243" s="2">
        <f t="shared" si="11"/>
        <v>0</v>
      </c>
      <c r="Z243" s="2">
        <f>IF(AND(ISNUMBER(资金流水!$B$243),资金流水!$B$243&gt;=$C$4,资金流水!$B$243&lt;=$E$4,OR(资金流水!$C$243=$C$3,AND(资金流水!$AD$243=$C$3,资金流水!$X$243="账户互转"))),INT(资金流水!$B$243)*10000+238,"")</f>
      </c>
    </row>
    <row r="244">
      <c r="A244" s="94">
        <f>IF($N244=0,"",237)</f>
      </c>
      <c r="B244" s="95">
        <f t="shared" si="6"/>
      </c>
      <c r="C244" s="96">
        <f t="shared" si="1"/>
      </c>
      <c r="D244" s="21">
        <f t="shared" si="7"/>
      </c>
      <c r="E244" s="21">
        <f t="shared" si="2"/>
      </c>
      <c r="F244" s="48">
        <f t="shared" si="8"/>
      </c>
      <c r="G244" s="94">
        <f t="shared" si="9"/>
      </c>
      <c r="H244" s="94">
        <f t="shared" si="3"/>
      </c>
      <c r="I244" s="96">
        <f t="shared" si="0"/>
      </c>
      <c r="J244" s="94">
        <f t="shared" si="4"/>
      </c>
      <c r="K244" s="94">
        <f t="shared" si="10"/>
      </c>
      <c r="L244" s="96">
        <f t="shared" si="5"/>
      </c>
      <c r="N244" s="2">
        <f>IF(237&gt;$Z$5,0,MOD(SMALL($Z$6:$Z$2005,237),10000))</f>
        <v>0</v>
      </c>
      <c r="O244" s="2">
        <f t="shared" si="11"/>
        <v>0</v>
      </c>
      <c r="Z244" s="2">
        <f>IF(AND(ISNUMBER(资金流水!$B$244),资金流水!$B$244&gt;=$C$4,资金流水!$B$244&lt;=$E$4,OR(资金流水!$C$244=$C$3,AND(资金流水!$AD$244=$C$3,资金流水!$X$244="账户互转"))),INT(资金流水!$B$244)*10000+239,"")</f>
      </c>
    </row>
    <row r="245">
      <c r="A245" s="94">
        <f>IF($N245=0,"",238)</f>
      </c>
      <c r="B245" s="95">
        <f t="shared" si="6"/>
      </c>
      <c r="C245" s="96">
        <f t="shared" si="1"/>
      </c>
      <c r="D245" s="21">
        <f t="shared" si="7"/>
      </c>
      <c r="E245" s="21">
        <f t="shared" si="2"/>
      </c>
      <c r="F245" s="48">
        <f t="shared" si="8"/>
      </c>
      <c r="G245" s="94">
        <f t="shared" si="9"/>
      </c>
      <c r="H245" s="94">
        <f t="shared" si="3"/>
      </c>
      <c r="I245" s="96">
        <f t="shared" si="0"/>
      </c>
      <c r="J245" s="94">
        <f t="shared" si="4"/>
      </c>
      <c r="K245" s="94">
        <f t="shared" si="10"/>
      </c>
      <c r="L245" s="96">
        <f t="shared" si="5"/>
      </c>
      <c r="N245" s="2">
        <f>IF(238&gt;$Z$5,0,MOD(SMALL($Z$6:$Z$2005,238),10000))</f>
        <v>0</v>
      </c>
      <c r="O245" s="2">
        <f t="shared" si="11"/>
        <v>0</v>
      </c>
      <c r="Z245" s="2">
        <f>IF(AND(ISNUMBER(资金流水!$B$245),资金流水!$B$245&gt;=$C$4,资金流水!$B$245&lt;=$E$4,OR(资金流水!$C$245=$C$3,AND(资金流水!$AD$245=$C$3,资金流水!$X$245="账户互转"))),INT(资金流水!$B$245)*10000+240,"")</f>
      </c>
    </row>
    <row r="246">
      <c r="A246" s="94">
        <f>IF($N246=0,"",239)</f>
      </c>
      <c r="B246" s="95">
        <f t="shared" si="6"/>
      </c>
      <c r="C246" s="96">
        <f t="shared" si="1"/>
      </c>
      <c r="D246" s="21">
        <f t="shared" si="7"/>
      </c>
      <c r="E246" s="21">
        <f t="shared" si="2"/>
      </c>
      <c r="F246" s="48">
        <f t="shared" si="8"/>
      </c>
      <c r="G246" s="94">
        <f t="shared" si="9"/>
      </c>
      <c r="H246" s="94">
        <f t="shared" si="3"/>
      </c>
      <c r="I246" s="96">
        <f t="shared" si="0"/>
      </c>
      <c r="J246" s="94">
        <f t="shared" si="4"/>
      </c>
      <c r="K246" s="94">
        <f t="shared" si="10"/>
      </c>
      <c r="L246" s="96">
        <f t="shared" si="5"/>
      </c>
      <c r="N246" s="2">
        <f>IF(239&gt;$Z$5,0,MOD(SMALL($Z$6:$Z$2005,239),10000))</f>
        <v>0</v>
      </c>
      <c r="O246" s="2">
        <f t="shared" si="11"/>
        <v>0</v>
      </c>
      <c r="Z246" s="2">
        <f>IF(AND(ISNUMBER(资金流水!$B$246),资金流水!$B$246&gt;=$C$4,资金流水!$B$246&lt;=$E$4,OR(资金流水!$C$246=$C$3,AND(资金流水!$AD$246=$C$3,资金流水!$X$246="账户互转"))),INT(资金流水!$B$246)*10000+241,"")</f>
      </c>
    </row>
    <row r="247">
      <c r="A247" s="94">
        <f>IF($N247=0,"",240)</f>
      </c>
      <c r="B247" s="95">
        <f t="shared" si="6"/>
      </c>
      <c r="C247" s="96">
        <f t="shared" si="1"/>
      </c>
      <c r="D247" s="21">
        <f t="shared" si="7"/>
      </c>
      <c r="E247" s="21">
        <f t="shared" si="2"/>
      </c>
      <c r="F247" s="48">
        <f t="shared" si="8"/>
      </c>
      <c r="G247" s="94">
        <f t="shared" si="9"/>
      </c>
      <c r="H247" s="94">
        <f t="shared" si="3"/>
      </c>
      <c r="I247" s="96">
        <f t="shared" si="0"/>
      </c>
      <c r="J247" s="94">
        <f t="shared" si="4"/>
      </c>
      <c r="K247" s="94">
        <f t="shared" si="10"/>
      </c>
      <c r="L247" s="96">
        <f t="shared" si="5"/>
      </c>
      <c r="N247" s="2">
        <f>IF(240&gt;$Z$5,0,MOD(SMALL($Z$6:$Z$2005,240),10000))</f>
        <v>0</v>
      </c>
      <c r="O247" s="2">
        <f t="shared" si="11"/>
        <v>0</v>
      </c>
      <c r="Z247" s="2">
        <f>IF(AND(ISNUMBER(资金流水!$B$247),资金流水!$B$247&gt;=$C$4,资金流水!$B$247&lt;=$E$4,OR(资金流水!$C$247=$C$3,AND(资金流水!$AD$247=$C$3,资金流水!$X$247="账户互转"))),INT(资金流水!$B$247)*10000+242,"")</f>
      </c>
    </row>
    <row r="248">
      <c r="A248" s="94">
        <f>IF($N248=0,"",241)</f>
      </c>
      <c r="B248" s="95">
        <f t="shared" si="6"/>
      </c>
      <c r="C248" s="96">
        <f t="shared" si="1"/>
      </c>
      <c r="D248" s="21">
        <f t="shared" si="7"/>
      </c>
      <c r="E248" s="21">
        <f t="shared" si="2"/>
      </c>
      <c r="F248" s="48">
        <f t="shared" si="8"/>
      </c>
      <c r="G248" s="94">
        <f t="shared" si="9"/>
      </c>
      <c r="H248" s="94">
        <f t="shared" si="3"/>
      </c>
      <c r="I248" s="96">
        <f t="shared" si="0"/>
      </c>
      <c r="J248" s="94">
        <f t="shared" si="4"/>
      </c>
      <c r="K248" s="94">
        <f t="shared" si="10"/>
      </c>
      <c r="L248" s="96">
        <f t="shared" si="5"/>
      </c>
      <c r="N248" s="2">
        <f>IF(241&gt;$Z$5,0,MOD(SMALL($Z$6:$Z$2005,241),10000))</f>
        <v>0</v>
      </c>
      <c r="O248" s="2">
        <f t="shared" si="11"/>
        <v>0</v>
      </c>
      <c r="Z248" s="2">
        <f>IF(AND(ISNUMBER(资金流水!$B$248),资金流水!$B$248&gt;=$C$4,资金流水!$B$248&lt;=$E$4,OR(资金流水!$C$248=$C$3,AND(资金流水!$AD$248=$C$3,资金流水!$X$248="账户互转"))),INT(资金流水!$B$248)*10000+243,"")</f>
      </c>
    </row>
    <row r="249">
      <c r="A249" s="94">
        <f>IF($N249=0,"",242)</f>
      </c>
      <c r="B249" s="95">
        <f t="shared" si="6"/>
      </c>
      <c r="C249" s="96">
        <f t="shared" si="1"/>
      </c>
      <c r="D249" s="21">
        <f t="shared" si="7"/>
      </c>
      <c r="E249" s="21">
        <f t="shared" si="2"/>
      </c>
      <c r="F249" s="48">
        <f t="shared" si="8"/>
      </c>
      <c r="G249" s="94">
        <f t="shared" si="9"/>
      </c>
      <c r="H249" s="94">
        <f t="shared" si="3"/>
      </c>
      <c r="I249" s="96">
        <f t="shared" si="0"/>
      </c>
      <c r="J249" s="94">
        <f t="shared" si="4"/>
      </c>
      <c r="K249" s="94">
        <f t="shared" si="10"/>
      </c>
      <c r="L249" s="96">
        <f t="shared" si="5"/>
      </c>
      <c r="N249" s="2">
        <f>IF(242&gt;$Z$5,0,MOD(SMALL($Z$6:$Z$2005,242),10000))</f>
        <v>0</v>
      </c>
      <c r="O249" s="2">
        <f t="shared" si="11"/>
        <v>0</v>
      </c>
      <c r="Z249" s="2">
        <f>IF(AND(ISNUMBER(资金流水!$B$249),资金流水!$B$249&gt;=$C$4,资金流水!$B$249&lt;=$E$4,OR(资金流水!$C$249=$C$3,AND(资金流水!$AD$249=$C$3,资金流水!$X$249="账户互转"))),INT(资金流水!$B$249)*10000+244,"")</f>
      </c>
    </row>
    <row r="250">
      <c r="A250" s="94">
        <f>IF($N250=0,"",243)</f>
      </c>
      <c r="B250" s="95">
        <f t="shared" si="6"/>
      </c>
      <c r="C250" s="96">
        <f t="shared" si="1"/>
      </c>
      <c r="D250" s="21">
        <f t="shared" si="7"/>
      </c>
      <c r="E250" s="21">
        <f t="shared" si="2"/>
      </c>
      <c r="F250" s="48">
        <f t="shared" si="8"/>
      </c>
      <c r="G250" s="94">
        <f t="shared" si="9"/>
      </c>
      <c r="H250" s="94">
        <f t="shared" si="3"/>
      </c>
      <c r="I250" s="96">
        <f t="shared" si="0"/>
      </c>
      <c r="J250" s="94">
        <f t="shared" si="4"/>
      </c>
      <c r="K250" s="94">
        <f t="shared" si="10"/>
      </c>
      <c r="L250" s="96">
        <f t="shared" si="5"/>
      </c>
      <c r="N250" s="2">
        <f>IF(243&gt;$Z$5,0,MOD(SMALL($Z$6:$Z$2005,243),10000))</f>
        <v>0</v>
      </c>
      <c r="O250" s="2">
        <f t="shared" si="11"/>
        <v>0</v>
      </c>
      <c r="Z250" s="2">
        <f>IF(AND(ISNUMBER(资金流水!$B$250),资金流水!$B$250&gt;=$C$4,资金流水!$B$250&lt;=$E$4,OR(资金流水!$C$250=$C$3,AND(资金流水!$AD$250=$C$3,资金流水!$X$250="账户互转"))),INT(资金流水!$B$250)*10000+245,"")</f>
      </c>
    </row>
    <row r="251">
      <c r="A251" s="94">
        <f>IF($N251=0,"",244)</f>
      </c>
      <c r="B251" s="95">
        <f t="shared" si="6"/>
      </c>
      <c r="C251" s="96">
        <f t="shared" si="1"/>
      </c>
      <c r="D251" s="21">
        <f t="shared" si="7"/>
      </c>
      <c r="E251" s="21">
        <f t="shared" si="2"/>
      </c>
      <c r="F251" s="48">
        <f t="shared" si="8"/>
      </c>
      <c r="G251" s="94">
        <f t="shared" si="9"/>
      </c>
      <c r="H251" s="94">
        <f t="shared" si="3"/>
      </c>
      <c r="I251" s="96">
        <f t="shared" si="0"/>
      </c>
      <c r="J251" s="94">
        <f t="shared" si="4"/>
      </c>
      <c r="K251" s="94">
        <f t="shared" si="10"/>
      </c>
      <c r="L251" s="96">
        <f t="shared" si="5"/>
      </c>
      <c r="N251" s="2">
        <f>IF(244&gt;$Z$5,0,MOD(SMALL($Z$6:$Z$2005,244),10000))</f>
        <v>0</v>
      </c>
      <c r="O251" s="2">
        <f t="shared" si="11"/>
        <v>0</v>
      </c>
      <c r="Z251" s="2">
        <f>IF(AND(ISNUMBER(资金流水!$B$251),资金流水!$B$251&gt;=$C$4,资金流水!$B$251&lt;=$E$4,OR(资金流水!$C$251=$C$3,AND(资金流水!$AD$251=$C$3,资金流水!$X$251="账户互转"))),INT(资金流水!$B$251)*10000+246,"")</f>
      </c>
    </row>
    <row r="252">
      <c r="A252" s="94">
        <f>IF($N252=0,"",245)</f>
      </c>
      <c r="B252" s="95">
        <f t="shared" si="6"/>
      </c>
      <c r="C252" s="96">
        <f t="shared" si="1"/>
      </c>
      <c r="D252" s="21">
        <f t="shared" si="7"/>
      </c>
      <c r="E252" s="21">
        <f t="shared" si="2"/>
      </c>
      <c r="F252" s="48">
        <f t="shared" si="8"/>
      </c>
      <c r="G252" s="94">
        <f t="shared" si="9"/>
      </c>
      <c r="H252" s="94">
        <f t="shared" si="3"/>
      </c>
      <c r="I252" s="96">
        <f t="shared" si="0"/>
      </c>
      <c r="J252" s="94">
        <f t="shared" si="4"/>
      </c>
      <c r="K252" s="94">
        <f t="shared" si="10"/>
      </c>
      <c r="L252" s="96">
        <f t="shared" si="5"/>
      </c>
      <c r="N252" s="2">
        <f>IF(245&gt;$Z$5,0,MOD(SMALL($Z$6:$Z$2005,245),10000))</f>
        <v>0</v>
      </c>
      <c r="O252" s="2">
        <f t="shared" si="11"/>
        <v>0</v>
      </c>
      <c r="Z252" s="2">
        <f>IF(AND(ISNUMBER(资金流水!$B$252),资金流水!$B$252&gt;=$C$4,资金流水!$B$252&lt;=$E$4,OR(资金流水!$C$252=$C$3,AND(资金流水!$AD$252=$C$3,资金流水!$X$252="账户互转"))),INT(资金流水!$B$252)*10000+247,"")</f>
      </c>
    </row>
    <row r="253">
      <c r="A253" s="94">
        <f>IF($N253=0,"",246)</f>
      </c>
      <c r="B253" s="95">
        <f t="shared" si="6"/>
      </c>
      <c r="C253" s="96">
        <f t="shared" si="1"/>
      </c>
      <c r="D253" s="21">
        <f t="shared" si="7"/>
      </c>
      <c r="E253" s="21">
        <f t="shared" si="2"/>
      </c>
      <c r="F253" s="48">
        <f t="shared" si="8"/>
      </c>
      <c r="G253" s="94">
        <f t="shared" si="9"/>
      </c>
      <c r="H253" s="94">
        <f t="shared" si="3"/>
      </c>
      <c r="I253" s="96">
        <f t="shared" si="0"/>
      </c>
      <c r="J253" s="94">
        <f t="shared" si="4"/>
      </c>
      <c r="K253" s="94">
        <f t="shared" si="10"/>
      </c>
      <c r="L253" s="96">
        <f t="shared" si="5"/>
      </c>
      <c r="N253" s="2">
        <f>IF(246&gt;$Z$5,0,MOD(SMALL($Z$6:$Z$2005,246),10000))</f>
        <v>0</v>
      </c>
      <c r="O253" s="2">
        <f t="shared" si="11"/>
        <v>0</v>
      </c>
      <c r="Z253" s="2">
        <f>IF(AND(ISNUMBER(资金流水!$B$253),资金流水!$B$253&gt;=$C$4,资金流水!$B$253&lt;=$E$4,OR(资金流水!$C$253=$C$3,AND(资金流水!$AD$253=$C$3,资金流水!$X$253="账户互转"))),INT(资金流水!$B$253)*10000+248,"")</f>
      </c>
    </row>
    <row r="254">
      <c r="A254" s="94">
        <f>IF($N254=0,"",247)</f>
      </c>
      <c r="B254" s="95">
        <f t="shared" si="6"/>
      </c>
      <c r="C254" s="96">
        <f t="shared" si="1"/>
      </c>
      <c r="D254" s="21">
        <f t="shared" si="7"/>
      </c>
      <c r="E254" s="21">
        <f t="shared" si="2"/>
      </c>
      <c r="F254" s="48">
        <f t="shared" si="8"/>
      </c>
      <c r="G254" s="94">
        <f t="shared" si="9"/>
      </c>
      <c r="H254" s="94">
        <f t="shared" si="3"/>
      </c>
      <c r="I254" s="96">
        <f t="shared" si="0"/>
      </c>
      <c r="J254" s="94">
        <f t="shared" si="4"/>
      </c>
      <c r="K254" s="94">
        <f t="shared" si="10"/>
      </c>
      <c r="L254" s="96">
        <f t="shared" si="5"/>
      </c>
      <c r="N254" s="2">
        <f>IF(247&gt;$Z$5,0,MOD(SMALL($Z$6:$Z$2005,247),10000))</f>
        <v>0</v>
      </c>
      <c r="O254" s="2">
        <f t="shared" si="11"/>
        <v>0</v>
      </c>
      <c r="Z254" s="2">
        <f>IF(AND(ISNUMBER(资金流水!$B$254),资金流水!$B$254&gt;=$C$4,资金流水!$B$254&lt;=$E$4,OR(资金流水!$C$254=$C$3,AND(资金流水!$AD$254=$C$3,资金流水!$X$254="账户互转"))),INT(资金流水!$B$254)*10000+249,"")</f>
      </c>
    </row>
    <row r="255">
      <c r="A255" s="94">
        <f>IF($N255=0,"",248)</f>
      </c>
      <c r="B255" s="95">
        <f t="shared" si="6"/>
      </c>
      <c r="C255" s="96">
        <f t="shared" si="1"/>
      </c>
      <c r="D255" s="21">
        <f t="shared" si="7"/>
      </c>
      <c r="E255" s="21">
        <f t="shared" si="2"/>
      </c>
      <c r="F255" s="48">
        <f t="shared" si="8"/>
      </c>
      <c r="G255" s="94">
        <f t="shared" si="9"/>
      </c>
      <c r="H255" s="94">
        <f t="shared" si="3"/>
      </c>
      <c r="I255" s="96">
        <f t="shared" si="0"/>
      </c>
      <c r="J255" s="94">
        <f t="shared" si="4"/>
      </c>
      <c r="K255" s="94">
        <f t="shared" si="10"/>
      </c>
      <c r="L255" s="96">
        <f t="shared" si="5"/>
      </c>
      <c r="N255" s="2">
        <f>IF(248&gt;$Z$5,0,MOD(SMALL($Z$6:$Z$2005,248),10000))</f>
        <v>0</v>
      </c>
      <c r="O255" s="2">
        <f t="shared" si="11"/>
        <v>0</v>
      </c>
      <c r="Z255" s="2">
        <f>IF(AND(ISNUMBER(资金流水!$B$255),资金流水!$B$255&gt;=$C$4,资金流水!$B$255&lt;=$E$4,OR(资金流水!$C$255=$C$3,AND(资金流水!$AD$255=$C$3,资金流水!$X$255="账户互转"))),INT(资金流水!$B$255)*10000+250,"")</f>
      </c>
    </row>
    <row r="256">
      <c r="A256" s="94">
        <f>IF($N256=0,"",249)</f>
      </c>
      <c r="B256" s="95">
        <f t="shared" si="6"/>
      </c>
      <c r="C256" s="96">
        <f t="shared" si="1"/>
      </c>
      <c r="D256" s="21">
        <f t="shared" si="7"/>
      </c>
      <c r="E256" s="21">
        <f t="shared" si="2"/>
      </c>
      <c r="F256" s="48">
        <f t="shared" si="8"/>
      </c>
      <c r="G256" s="94">
        <f t="shared" si="9"/>
      </c>
      <c r="H256" s="94">
        <f t="shared" si="3"/>
      </c>
      <c r="I256" s="96">
        <f t="shared" si="0"/>
      </c>
      <c r="J256" s="94">
        <f t="shared" si="4"/>
      </c>
      <c r="K256" s="94">
        <f t="shared" si="10"/>
      </c>
      <c r="L256" s="96">
        <f t="shared" si="5"/>
      </c>
      <c r="N256" s="2">
        <f>IF(249&gt;$Z$5,0,MOD(SMALL($Z$6:$Z$2005,249),10000))</f>
        <v>0</v>
      </c>
      <c r="O256" s="2">
        <f t="shared" si="11"/>
        <v>0</v>
      </c>
      <c r="Z256" s="2">
        <f>IF(AND(ISNUMBER(资金流水!$B$256),资金流水!$B$256&gt;=$C$4,资金流水!$B$256&lt;=$E$4,OR(资金流水!$C$256=$C$3,AND(资金流水!$AD$256=$C$3,资金流水!$X$256="账户互转"))),INT(资金流水!$B$256)*10000+251,"")</f>
      </c>
    </row>
    <row r="257">
      <c r="A257" s="94">
        <f>IF($N257=0,"",250)</f>
      </c>
      <c r="B257" s="95">
        <f t="shared" si="6"/>
      </c>
      <c r="C257" s="96">
        <f t="shared" si="1"/>
      </c>
      <c r="D257" s="21">
        <f t="shared" si="7"/>
      </c>
      <c r="E257" s="21">
        <f t="shared" si="2"/>
      </c>
      <c r="F257" s="48">
        <f t="shared" si="8"/>
      </c>
      <c r="G257" s="94">
        <f t="shared" si="9"/>
      </c>
      <c r="H257" s="94">
        <f t="shared" si="3"/>
      </c>
      <c r="I257" s="96">
        <f t="shared" si="0"/>
      </c>
      <c r="J257" s="94">
        <f t="shared" si="4"/>
      </c>
      <c r="K257" s="94">
        <f t="shared" si="10"/>
      </c>
      <c r="L257" s="96">
        <f t="shared" si="5"/>
      </c>
      <c r="N257" s="2">
        <f>IF(250&gt;$Z$5,0,MOD(SMALL($Z$6:$Z$2005,250),10000))</f>
        <v>0</v>
      </c>
      <c r="O257" s="2">
        <f t="shared" si="11"/>
        <v>0</v>
      </c>
      <c r="Z257" s="2">
        <f>IF(AND(ISNUMBER(资金流水!$B$257),资金流水!$B$257&gt;=$C$4,资金流水!$B$257&lt;=$E$4,OR(资金流水!$C$257=$C$3,AND(资金流水!$AD$257=$C$3,资金流水!$X$257="账户互转"))),INT(资金流水!$B$257)*10000+252,"")</f>
      </c>
    </row>
    <row r="258">
      <c r="A258" s="94">
        <f>IF($N258=0,"",251)</f>
      </c>
      <c r="B258" s="95">
        <f t="shared" si="6"/>
      </c>
      <c r="C258" s="96">
        <f t="shared" si="1"/>
      </c>
      <c r="D258" s="21">
        <f t="shared" si="7"/>
      </c>
      <c r="E258" s="21">
        <f t="shared" si="2"/>
      </c>
      <c r="F258" s="48">
        <f t="shared" si="8"/>
      </c>
      <c r="G258" s="94">
        <f t="shared" si="9"/>
      </c>
      <c r="H258" s="94">
        <f t="shared" si="3"/>
      </c>
      <c r="I258" s="96">
        <f t="shared" si="0"/>
      </c>
      <c r="J258" s="94">
        <f t="shared" si="4"/>
      </c>
      <c r="K258" s="94">
        <f t="shared" si="10"/>
      </c>
      <c r="L258" s="96">
        <f t="shared" si="5"/>
      </c>
      <c r="N258" s="2">
        <f>IF(251&gt;$Z$5,0,MOD(SMALL($Z$6:$Z$2005,251),10000))</f>
        <v>0</v>
      </c>
      <c r="O258" s="2">
        <f t="shared" si="11"/>
        <v>0</v>
      </c>
      <c r="Z258" s="2">
        <f>IF(AND(ISNUMBER(资金流水!$B$258),资金流水!$B$258&gt;=$C$4,资金流水!$B$258&lt;=$E$4,OR(资金流水!$C$258=$C$3,AND(资金流水!$AD$258=$C$3,资金流水!$X$258="账户互转"))),INT(资金流水!$B$258)*10000+253,"")</f>
      </c>
    </row>
    <row r="259">
      <c r="A259" s="94">
        <f>IF($N259=0,"",252)</f>
      </c>
      <c r="B259" s="95">
        <f t="shared" si="6"/>
      </c>
      <c r="C259" s="96">
        <f t="shared" si="1"/>
      </c>
      <c r="D259" s="21">
        <f t="shared" si="7"/>
      </c>
      <c r="E259" s="21">
        <f t="shared" si="2"/>
      </c>
      <c r="F259" s="48">
        <f t="shared" si="8"/>
      </c>
      <c r="G259" s="94">
        <f t="shared" si="9"/>
      </c>
      <c r="H259" s="94">
        <f t="shared" si="3"/>
      </c>
      <c r="I259" s="96">
        <f t="shared" si="0"/>
      </c>
      <c r="J259" s="94">
        <f t="shared" si="4"/>
      </c>
      <c r="K259" s="94">
        <f t="shared" si="10"/>
      </c>
      <c r="L259" s="96">
        <f t="shared" si="5"/>
      </c>
      <c r="N259" s="2">
        <f>IF(252&gt;$Z$5,0,MOD(SMALL($Z$6:$Z$2005,252),10000))</f>
        <v>0</v>
      </c>
      <c r="O259" s="2">
        <f t="shared" si="11"/>
        <v>0</v>
      </c>
      <c r="Z259" s="2">
        <f>IF(AND(ISNUMBER(资金流水!$B$259),资金流水!$B$259&gt;=$C$4,资金流水!$B$259&lt;=$E$4,OR(资金流水!$C$259=$C$3,AND(资金流水!$AD$259=$C$3,资金流水!$X$259="账户互转"))),INT(资金流水!$B$259)*10000+254,"")</f>
      </c>
    </row>
    <row r="260">
      <c r="A260" s="94">
        <f>IF($N260=0,"",253)</f>
      </c>
      <c r="B260" s="95">
        <f t="shared" si="6"/>
      </c>
      <c r="C260" s="96">
        <f t="shared" si="1"/>
      </c>
      <c r="D260" s="21">
        <f t="shared" si="7"/>
      </c>
      <c r="E260" s="21">
        <f t="shared" si="2"/>
      </c>
      <c r="F260" s="48">
        <f t="shared" si="8"/>
      </c>
      <c r="G260" s="94">
        <f t="shared" si="9"/>
      </c>
      <c r="H260" s="94">
        <f t="shared" si="3"/>
      </c>
      <c r="I260" s="96">
        <f t="shared" si="0"/>
      </c>
      <c r="J260" s="94">
        <f t="shared" si="4"/>
      </c>
      <c r="K260" s="94">
        <f t="shared" si="10"/>
      </c>
      <c r="L260" s="96">
        <f t="shared" si="5"/>
      </c>
      <c r="N260" s="2">
        <f>IF(253&gt;$Z$5,0,MOD(SMALL($Z$6:$Z$2005,253),10000))</f>
        <v>0</v>
      </c>
      <c r="O260" s="2">
        <f t="shared" si="11"/>
        <v>0</v>
      </c>
      <c r="Z260" s="2">
        <f>IF(AND(ISNUMBER(资金流水!$B$260),资金流水!$B$260&gt;=$C$4,资金流水!$B$260&lt;=$E$4,OR(资金流水!$C$260=$C$3,AND(资金流水!$AD$260=$C$3,资金流水!$X$260="账户互转"))),INT(资金流水!$B$260)*10000+255,"")</f>
      </c>
    </row>
    <row r="261">
      <c r="A261" s="94">
        <f>IF($N261=0,"",254)</f>
      </c>
      <c r="B261" s="95">
        <f t="shared" si="6"/>
      </c>
      <c r="C261" s="96">
        <f t="shared" si="1"/>
      </c>
      <c r="D261" s="21">
        <f t="shared" si="7"/>
      </c>
      <c r="E261" s="21">
        <f t="shared" si="2"/>
      </c>
      <c r="F261" s="48">
        <f t="shared" si="8"/>
      </c>
      <c r="G261" s="94">
        <f t="shared" si="9"/>
      </c>
      <c r="H261" s="94">
        <f t="shared" si="3"/>
      </c>
      <c r="I261" s="96">
        <f t="shared" si="0"/>
      </c>
      <c r="J261" s="94">
        <f t="shared" si="4"/>
      </c>
      <c r="K261" s="94">
        <f t="shared" si="10"/>
      </c>
      <c r="L261" s="96">
        <f t="shared" si="5"/>
      </c>
      <c r="N261" s="2">
        <f>IF(254&gt;$Z$5,0,MOD(SMALL($Z$6:$Z$2005,254),10000))</f>
        <v>0</v>
      </c>
      <c r="O261" s="2">
        <f t="shared" si="11"/>
        <v>0</v>
      </c>
      <c r="Z261" s="2">
        <f>IF(AND(ISNUMBER(资金流水!$B$261),资金流水!$B$261&gt;=$C$4,资金流水!$B$261&lt;=$E$4,OR(资金流水!$C$261=$C$3,AND(资金流水!$AD$261=$C$3,资金流水!$X$261="账户互转"))),INT(资金流水!$B$261)*10000+256,"")</f>
      </c>
    </row>
    <row r="262">
      <c r="A262" s="94">
        <f>IF($N262=0,"",255)</f>
      </c>
      <c r="B262" s="95">
        <f t="shared" si="6"/>
      </c>
      <c r="C262" s="96">
        <f t="shared" si="1"/>
      </c>
      <c r="D262" s="21">
        <f t="shared" si="7"/>
      </c>
      <c r="E262" s="21">
        <f t="shared" si="2"/>
      </c>
      <c r="F262" s="48">
        <f t="shared" si="8"/>
      </c>
      <c r="G262" s="94">
        <f t="shared" si="9"/>
      </c>
      <c r="H262" s="94">
        <f t="shared" si="3"/>
      </c>
      <c r="I262" s="96">
        <f t="shared" si="0"/>
      </c>
      <c r="J262" s="94">
        <f t="shared" si="4"/>
      </c>
      <c r="K262" s="94">
        <f t="shared" si="10"/>
      </c>
      <c r="L262" s="96">
        <f t="shared" si="5"/>
      </c>
      <c r="N262" s="2">
        <f>IF(255&gt;$Z$5,0,MOD(SMALL($Z$6:$Z$2005,255),10000))</f>
        <v>0</v>
      </c>
      <c r="O262" s="2">
        <f t="shared" si="11"/>
        <v>0</v>
      </c>
      <c r="Z262" s="2">
        <f>IF(AND(ISNUMBER(资金流水!$B$262),资金流水!$B$262&gt;=$C$4,资金流水!$B$262&lt;=$E$4,OR(资金流水!$C$262=$C$3,AND(资金流水!$AD$262=$C$3,资金流水!$X$262="账户互转"))),INT(资金流水!$B$262)*10000+257,"")</f>
      </c>
    </row>
    <row r="263">
      <c r="A263" s="94">
        <f>IF($N263=0,"",256)</f>
      </c>
      <c r="B263" s="95">
        <f t="shared" si="6"/>
      </c>
      <c r="C263" s="96">
        <f t="shared" si="1"/>
      </c>
      <c r="D263" s="21">
        <f t="shared" si="7"/>
      </c>
      <c r="E263" s="21">
        <f t="shared" si="2"/>
      </c>
      <c r="F263" s="48">
        <f t="shared" si="8"/>
      </c>
      <c r="G263" s="94">
        <f t="shared" si="9"/>
      </c>
      <c r="H263" s="94">
        <f t="shared" si="3"/>
      </c>
      <c r="I263" s="96">
        <f t="shared" si="0"/>
      </c>
      <c r="J263" s="94">
        <f t="shared" si="4"/>
      </c>
      <c r="K263" s="94">
        <f t="shared" si="10"/>
      </c>
      <c r="L263" s="96">
        <f t="shared" si="5"/>
      </c>
      <c r="N263" s="2">
        <f>IF(256&gt;$Z$5,0,MOD(SMALL($Z$6:$Z$2005,256),10000))</f>
        <v>0</v>
      </c>
      <c r="O263" s="2">
        <f t="shared" si="11"/>
        <v>0</v>
      </c>
      <c r="Z263" s="2">
        <f>IF(AND(ISNUMBER(资金流水!$B$263),资金流水!$B$263&gt;=$C$4,资金流水!$B$263&lt;=$E$4,OR(资金流水!$C$263=$C$3,AND(资金流水!$AD$263=$C$3,资金流水!$X$263="账户互转"))),INT(资金流水!$B$263)*10000+258,"")</f>
      </c>
    </row>
    <row r="264">
      <c r="A264" s="94">
        <f>IF($N264=0,"",257)</f>
      </c>
      <c r="B264" s="95">
        <f t="shared" si="6"/>
      </c>
      <c r="C264" s="96">
        <f t="shared" si="1"/>
      </c>
      <c r="D264" s="21">
        <f t="shared" si="7"/>
      </c>
      <c r="E264" s="21">
        <f t="shared" si="2"/>
      </c>
      <c r="F264" s="48">
        <f t="shared" si="8"/>
      </c>
      <c r="G264" s="94">
        <f t="shared" si="9"/>
      </c>
      <c r="H264" s="94">
        <f t="shared" si="3"/>
      </c>
      <c r="I264" s="96">
        <f t="shared" si="0"/>
      </c>
      <c r="J264" s="94">
        <f t="shared" si="4"/>
      </c>
      <c r="K264" s="94">
        <f t="shared" si="10"/>
      </c>
      <c r="L264" s="96">
        <f t="shared" si="5"/>
      </c>
      <c r="N264" s="2">
        <f>IF(257&gt;$Z$5,0,MOD(SMALL($Z$6:$Z$2005,257),10000))</f>
        <v>0</v>
      </c>
      <c r="O264" s="2">
        <f t="shared" si="11"/>
        <v>0</v>
      </c>
      <c r="Z264" s="2">
        <f>IF(AND(ISNUMBER(资金流水!$B$264),资金流水!$B$264&gt;=$C$4,资金流水!$B$264&lt;=$E$4,OR(资金流水!$C$264=$C$3,AND(资金流水!$AD$264=$C$3,资金流水!$X$264="账户互转"))),INT(资金流水!$B$264)*10000+259,"")</f>
      </c>
    </row>
    <row r="265">
      <c r="A265" s="94">
        <f>IF($N265=0,"",258)</f>
      </c>
      <c r="B265" s="95">
        <f t="shared" si="6"/>
      </c>
      <c r="C265" s="96">
        <f t="shared" si="1"/>
      </c>
      <c r="D265" s="21">
        <f t="shared" si="7"/>
      </c>
      <c r="E265" s="21">
        <f t="shared" si="2"/>
      </c>
      <c r="F265" s="48">
        <f t="shared" si="8"/>
      </c>
      <c r="G265" s="94">
        <f t="shared" si="9"/>
      </c>
      <c r="H265" s="94">
        <f t="shared" si="3"/>
      </c>
      <c r="I265" s="96">
        <f t="shared" si="0"/>
      </c>
      <c r="J265" s="94">
        <f t="shared" si="4"/>
      </c>
      <c r="K265" s="94">
        <f t="shared" si="10"/>
      </c>
      <c r="L265" s="96">
        <f t="shared" si="5"/>
      </c>
      <c r="N265" s="2">
        <f>IF(258&gt;$Z$5,0,MOD(SMALL($Z$6:$Z$2005,258),10000))</f>
        <v>0</v>
      </c>
      <c r="O265" s="2">
        <f t="shared" si="11"/>
        <v>0</v>
      </c>
      <c r="Z265" s="2">
        <f>IF(AND(ISNUMBER(资金流水!$B$265),资金流水!$B$265&gt;=$C$4,资金流水!$B$265&lt;=$E$4,OR(资金流水!$C$265=$C$3,AND(资金流水!$AD$265=$C$3,资金流水!$X$265="账户互转"))),INT(资金流水!$B$265)*10000+260,"")</f>
      </c>
    </row>
    <row r="266">
      <c r="A266" s="94">
        <f>IF($N266=0,"",259)</f>
      </c>
      <c r="B266" s="95">
        <f t="shared" si="6"/>
      </c>
      <c r="C266" s="96">
        <f t="shared" si="1"/>
      </c>
      <c r="D266" s="21">
        <f t="shared" si="7"/>
      </c>
      <c r="E266" s="21">
        <f t="shared" si="2"/>
      </c>
      <c r="F266" s="48">
        <f t="shared" si="8"/>
      </c>
      <c r="G266" s="94">
        <f t="shared" si="9"/>
      </c>
      <c r="H266" s="94">
        <f t="shared" si="3"/>
      </c>
      <c r="I266" s="96">
        <f t="shared" si="0"/>
      </c>
      <c r="J266" s="94">
        <f t="shared" si="4"/>
      </c>
      <c r="K266" s="94">
        <f t="shared" si="10"/>
      </c>
      <c r="L266" s="96">
        <f t="shared" si="5"/>
      </c>
      <c r="N266" s="2">
        <f>IF(259&gt;$Z$5,0,MOD(SMALL($Z$6:$Z$2005,259),10000))</f>
        <v>0</v>
      </c>
      <c r="O266" s="2">
        <f t="shared" si="11"/>
        <v>0</v>
      </c>
      <c r="Z266" s="2">
        <f>IF(AND(ISNUMBER(资金流水!$B$266),资金流水!$B$266&gt;=$C$4,资金流水!$B$266&lt;=$E$4,OR(资金流水!$C$266=$C$3,AND(资金流水!$AD$266=$C$3,资金流水!$X$266="账户互转"))),INT(资金流水!$B$266)*10000+261,"")</f>
      </c>
    </row>
    <row r="267">
      <c r="A267" s="94">
        <f>IF($N267=0,"",260)</f>
      </c>
      <c r="B267" s="95">
        <f t="shared" si="6"/>
      </c>
      <c r="C267" s="96">
        <f t="shared" si="1"/>
      </c>
      <c r="D267" s="21">
        <f t="shared" si="7"/>
      </c>
      <c r="E267" s="21">
        <f t="shared" si="2"/>
      </c>
      <c r="F267" s="48">
        <f t="shared" si="8"/>
      </c>
      <c r="G267" s="94">
        <f t="shared" si="9"/>
      </c>
      <c r="H267" s="94">
        <f t="shared" si="3"/>
      </c>
      <c r="I267" s="96">
        <f t="shared" si="0"/>
      </c>
      <c r="J267" s="94">
        <f t="shared" si="4"/>
      </c>
      <c r="K267" s="94">
        <f t="shared" si="10"/>
      </c>
      <c r="L267" s="96">
        <f t="shared" si="5"/>
      </c>
      <c r="N267" s="2">
        <f>IF(260&gt;$Z$5,0,MOD(SMALL($Z$6:$Z$2005,260),10000))</f>
        <v>0</v>
      </c>
      <c r="O267" s="2">
        <f t="shared" si="11"/>
        <v>0</v>
      </c>
      <c r="Z267" s="2">
        <f>IF(AND(ISNUMBER(资金流水!$B$267),资金流水!$B$267&gt;=$C$4,资金流水!$B$267&lt;=$E$4,OR(资金流水!$C$267=$C$3,AND(资金流水!$AD$267=$C$3,资金流水!$X$267="账户互转"))),INT(资金流水!$B$267)*10000+262,"")</f>
      </c>
    </row>
    <row r="268">
      <c r="A268" s="94">
        <f>IF($N268=0,"",261)</f>
      </c>
      <c r="B268" s="95">
        <f t="shared" si="6"/>
      </c>
      <c r="C268" s="96">
        <f t="shared" si="1"/>
      </c>
      <c r="D268" s="21">
        <f t="shared" si="7"/>
      </c>
      <c r="E268" s="21">
        <f t="shared" si="2"/>
      </c>
      <c r="F268" s="48">
        <f t="shared" si="8"/>
      </c>
      <c r="G268" s="94">
        <f t="shared" si="9"/>
      </c>
      <c r="H268" s="94">
        <f t="shared" si="3"/>
      </c>
      <c r="I268" s="96">
        <f t="shared" si="0"/>
      </c>
      <c r="J268" s="94">
        <f t="shared" si="4"/>
      </c>
      <c r="K268" s="94">
        <f t="shared" si="10"/>
      </c>
      <c r="L268" s="96">
        <f t="shared" si="5"/>
      </c>
      <c r="N268" s="2">
        <f>IF(261&gt;$Z$5,0,MOD(SMALL($Z$6:$Z$2005,261),10000))</f>
        <v>0</v>
      </c>
      <c r="O268" s="2">
        <f t="shared" si="11"/>
        <v>0</v>
      </c>
      <c r="Z268" s="2">
        <f>IF(AND(ISNUMBER(资金流水!$B$268),资金流水!$B$268&gt;=$C$4,资金流水!$B$268&lt;=$E$4,OR(资金流水!$C$268=$C$3,AND(资金流水!$AD$268=$C$3,资金流水!$X$268="账户互转"))),INT(资金流水!$B$268)*10000+263,"")</f>
      </c>
    </row>
    <row r="269">
      <c r="A269" s="94">
        <f>IF($N269=0,"",262)</f>
      </c>
      <c r="B269" s="95">
        <f t="shared" si="6"/>
      </c>
      <c r="C269" s="96">
        <f t="shared" si="1"/>
      </c>
      <c r="D269" s="21">
        <f t="shared" si="7"/>
      </c>
      <c r="E269" s="21">
        <f t="shared" si="2"/>
      </c>
      <c r="F269" s="48">
        <f t="shared" si="8"/>
      </c>
      <c r="G269" s="94">
        <f t="shared" si="9"/>
      </c>
      <c r="H269" s="94">
        <f t="shared" si="3"/>
      </c>
      <c r="I269" s="96">
        <f t="shared" si="0"/>
      </c>
      <c r="J269" s="94">
        <f t="shared" si="4"/>
      </c>
      <c r="K269" s="94">
        <f t="shared" si="10"/>
      </c>
      <c r="L269" s="96">
        <f t="shared" si="5"/>
      </c>
      <c r="N269" s="2">
        <f>IF(262&gt;$Z$5,0,MOD(SMALL($Z$6:$Z$2005,262),10000))</f>
        <v>0</v>
      </c>
      <c r="O269" s="2">
        <f t="shared" si="11"/>
        <v>0</v>
      </c>
      <c r="Z269" s="2">
        <f>IF(AND(ISNUMBER(资金流水!$B$269),资金流水!$B$269&gt;=$C$4,资金流水!$B$269&lt;=$E$4,OR(资金流水!$C$269=$C$3,AND(资金流水!$AD$269=$C$3,资金流水!$X$269="账户互转"))),INT(资金流水!$B$269)*10000+264,"")</f>
      </c>
    </row>
    <row r="270">
      <c r="A270" s="94">
        <f>IF($N270=0,"",263)</f>
      </c>
      <c r="B270" s="95">
        <f t="shared" si="6"/>
      </c>
      <c r="C270" s="96">
        <f t="shared" si="1"/>
      </c>
      <c r="D270" s="21">
        <f t="shared" si="7"/>
      </c>
      <c r="E270" s="21">
        <f t="shared" si="2"/>
      </c>
      <c r="F270" s="48">
        <f t="shared" si="8"/>
      </c>
      <c r="G270" s="94">
        <f t="shared" si="9"/>
      </c>
      <c r="H270" s="94">
        <f t="shared" si="3"/>
      </c>
      <c r="I270" s="96">
        <f t="shared" si="0"/>
      </c>
      <c r="J270" s="94">
        <f t="shared" si="4"/>
      </c>
      <c r="K270" s="94">
        <f t="shared" si="10"/>
      </c>
      <c r="L270" s="96">
        <f t="shared" si="5"/>
      </c>
      <c r="N270" s="2">
        <f>IF(263&gt;$Z$5,0,MOD(SMALL($Z$6:$Z$2005,263),10000))</f>
        <v>0</v>
      </c>
      <c r="O270" s="2">
        <f t="shared" si="11"/>
        <v>0</v>
      </c>
      <c r="Z270" s="2">
        <f>IF(AND(ISNUMBER(资金流水!$B$270),资金流水!$B$270&gt;=$C$4,资金流水!$B$270&lt;=$E$4,OR(资金流水!$C$270=$C$3,AND(资金流水!$AD$270=$C$3,资金流水!$X$270="账户互转"))),INT(资金流水!$B$270)*10000+265,"")</f>
      </c>
    </row>
    <row r="271">
      <c r="A271" s="94">
        <f>IF($N271=0,"",264)</f>
      </c>
      <c r="B271" s="95">
        <f t="shared" si="6"/>
      </c>
      <c r="C271" s="96">
        <f t="shared" si="1"/>
      </c>
      <c r="D271" s="21">
        <f t="shared" si="7"/>
      </c>
      <c r="E271" s="21">
        <f t="shared" si="2"/>
      </c>
      <c r="F271" s="48">
        <f t="shared" si="8"/>
      </c>
      <c r="G271" s="94">
        <f t="shared" si="9"/>
      </c>
      <c r="H271" s="94">
        <f t="shared" si="3"/>
      </c>
      <c r="I271" s="96">
        <f t="shared" si="0"/>
      </c>
      <c r="J271" s="94">
        <f t="shared" si="4"/>
      </c>
      <c r="K271" s="94">
        <f t="shared" si="10"/>
      </c>
      <c r="L271" s="96">
        <f t="shared" si="5"/>
      </c>
      <c r="N271" s="2">
        <f>IF(264&gt;$Z$5,0,MOD(SMALL($Z$6:$Z$2005,264),10000))</f>
        <v>0</v>
      </c>
      <c r="O271" s="2">
        <f t="shared" si="11"/>
        <v>0</v>
      </c>
      <c r="Z271" s="2">
        <f>IF(AND(ISNUMBER(资金流水!$B$271),资金流水!$B$271&gt;=$C$4,资金流水!$B$271&lt;=$E$4,OR(资金流水!$C$271=$C$3,AND(资金流水!$AD$271=$C$3,资金流水!$X$271="账户互转"))),INT(资金流水!$B$271)*10000+266,"")</f>
      </c>
    </row>
    <row r="272">
      <c r="A272" s="94">
        <f>IF($N272=0,"",265)</f>
      </c>
      <c r="B272" s="95">
        <f t="shared" si="6"/>
      </c>
      <c r="C272" s="96">
        <f t="shared" si="1"/>
      </c>
      <c r="D272" s="21">
        <f t="shared" si="7"/>
      </c>
      <c r="E272" s="21">
        <f t="shared" si="2"/>
      </c>
      <c r="F272" s="48">
        <f t="shared" si="8"/>
      </c>
      <c r="G272" s="94">
        <f t="shared" si="9"/>
      </c>
      <c r="H272" s="94">
        <f t="shared" si="3"/>
      </c>
      <c r="I272" s="96">
        <f t="shared" si="0"/>
      </c>
      <c r="J272" s="94">
        <f t="shared" si="4"/>
      </c>
      <c r="K272" s="94">
        <f t="shared" si="10"/>
      </c>
      <c r="L272" s="96">
        <f t="shared" si="5"/>
      </c>
      <c r="N272" s="2">
        <f>IF(265&gt;$Z$5,0,MOD(SMALL($Z$6:$Z$2005,265),10000))</f>
        <v>0</v>
      </c>
      <c r="O272" s="2">
        <f t="shared" si="11"/>
        <v>0</v>
      </c>
      <c r="Z272" s="2">
        <f>IF(AND(ISNUMBER(资金流水!$B$272),资金流水!$B$272&gt;=$C$4,资金流水!$B$272&lt;=$E$4,OR(资金流水!$C$272=$C$3,AND(资金流水!$AD$272=$C$3,资金流水!$X$272="账户互转"))),INT(资金流水!$B$272)*10000+267,"")</f>
      </c>
    </row>
    <row r="273">
      <c r="A273" s="94">
        <f>IF($N273=0,"",266)</f>
      </c>
      <c r="B273" s="95">
        <f t="shared" si="6"/>
      </c>
      <c r="C273" s="96">
        <f t="shared" si="1"/>
      </c>
      <c r="D273" s="21">
        <f t="shared" si="7"/>
      </c>
      <c r="E273" s="21">
        <f t="shared" si="2"/>
      </c>
      <c r="F273" s="48">
        <f t="shared" si="8"/>
      </c>
      <c r="G273" s="94">
        <f t="shared" si="9"/>
      </c>
      <c r="H273" s="94">
        <f t="shared" si="3"/>
      </c>
      <c r="I273" s="96">
        <f t="shared" si="0"/>
      </c>
      <c r="J273" s="94">
        <f t="shared" si="4"/>
      </c>
      <c r="K273" s="94">
        <f t="shared" si="10"/>
      </c>
      <c r="L273" s="96">
        <f t="shared" si="5"/>
      </c>
      <c r="N273" s="2">
        <f>IF(266&gt;$Z$5,0,MOD(SMALL($Z$6:$Z$2005,266),10000))</f>
        <v>0</v>
      </c>
      <c r="O273" s="2">
        <f t="shared" si="11"/>
        <v>0</v>
      </c>
      <c r="Z273" s="2">
        <f>IF(AND(ISNUMBER(资金流水!$B$273),资金流水!$B$273&gt;=$C$4,资金流水!$B$273&lt;=$E$4,OR(资金流水!$C$273=$C$3,AND(资金流水!$AD$273=$C$3,资金流水!$X$273="账户互转"))),INT(资金流水!$B$273)*10000+268,"")</f>
      </c>
    </row>
    <row r="274">
      <c r="A274" s="94">
        <f>IF($N274=0,"",267)</f>
      </c>
      <c r="B274" s="95">
        <f t="shared" si="6"/>
      </c>
      <c r="C274" s="96">
        <f t="shared" si="1"/>
      </c>
      <c r="D274" s="21">
        <f t="shared" si="7"/>
      </c>
      <c r="E274" s="21">
        <f t="shared" si="2"/>
      </c>
      <c r="F274" s="48">
        <f t="shared" si="8"/>
      </c>
      <c r="G274" s="94">
        <f t="shared" si="9"/>
      </c>
      <c r="H274" s="94">
        <f t="shared" si="3"/>
      </c>
      <c r="I274" s="96">
        <f t="shared" si="0"/>
      </c>
      <c r="J274" s="94">
        <f t="shared" si="4"/>
      </c>
      <c r="K274" s="94">
        <f t="shared" si="10"/>
      </c>
      <c r="L274" s="96">
        <f t="shared" si="5"/>
      </c>
      <c r="N274" s="2">
        <f>IF(267&gt;$Z$5,0,MOD(SMALL($Z$6:$Z$2005,267),10000))</f>
        <v>0</v>
      </c>
      <c r="O274" s="2">
        <f t="shared" si="11"/>
        <v>0</v>
      </c>
      <c r="Z274" s="2">
        <f>IF(AND(ISNUMBER(资金流水!$B$274),资金流水!$B$274&gt;=$C$4,资金流水!$B$274&lt;=$E$4,OR(资金流水!$C$274=$C$3,AND(资金流水!$AD$274=$C$3,资金流水!$X$274="账户互转"))),INT(资金流水!$B$274)*10000+269,"")</f>
      </c>
    </row>
    <row r="275">
      <c r="A275" s="94">
        <f>IF($N275=0,"",268)</f>
      </c>
      <c r="B275" s="95">
        <f t="shared" si="6"/>
      </c>
      <c r="C275" s="96">
        <f t="shared" si="1"/>
      </c>
      <c r="D275" s="21">
        <f t="shared" si="7"/>
      </c>
      <c r="E275" s="21">
        <f t="shared" si="2"/>
      </c>
      <c r="F275" s="48">
        <f t="shared" si="8"/>
      </c>
      <c r="G275" s="94">
        <f t="shared" si="9"/>
      </c>
      <c r="H275" s="94">
        <f t="shared" si="3"/>
      </c>
      <c r="I275" s="96">
        <f t="shared" si="0"/>
      </c>
      <c r="J275" s="94">
        <f t="shared" si="4"/>
      </c>
      <c r="K275" s="94">
        <f t="shared" si="10"/>
      </c>
      <c r="L275" s="96">
        <f t="shared" si="5"/>
      </c>
      <c r="N275" s="2">
        <f>IF(268&gt;$Z$5,0,MOD(SMALL($Z$6:$Z$2005,268),10000))</f>
        <v>0</v>
      </c>
      <c r="O275" s="2">
        <f t="shared" si="11"/>
        <v>0</v>
      </c>
      <c r="Z275" s="2">
        <f>IF(AND(ISNUMBER(资金流水!$B$275),资金流水!$B$275&gt;=$C$4,资金流水!$B$275&lt;=$E$4,OR(资金流水!$C$275=$C$3,AND(资金流水!$AD$275=$C$3,资金流水!$X$275="账户互转"))),INT(资金流水!$B$275)*10000+270,"")</f>
      </c>
    </row>
    <row r="276">
      <c r="A276" s="94">
        <f>IF($N276=0,"",269)</f>
      </c>
      <c r="B276" s="95">
        <f t="shared" si="6"/>
      </c>
      <c r="C276" s="96">
        <f t="shared" si="1"/>
      </c>
      <c r="D276" s="21">
        <f t="shared" si="7"/>
      </c>
      <c r="E276" s="21">
        <f t="shared" si="2"/>
      </c>
      <c r="F276" s="48">
        <f t="shared" si="8"/>
      </c>
      <c r="G276" s="94">
        <f t="shared" si="9"/>
      </c>
      <c r="H276" s="94">
        <f t="shared" si="3"/>
      </c>
      <c r="I276" s="96">
        <f t="shared" si="0"/>
      </c>
      <c r="J276" s="94">
        <f t="shared" si="4"/>
      </c>
      <c r="K276" s="94">
        <f t="shared" si="10"/>
      </c>
      <c r="L276" s="96">
        <f t="shared" si="5"/>
      </c>
      <c r="N276" s="2">
        <f>IF(269&gt;$Z$5,0,MOD(SMALL($Z$6:$Z$2005,269),10000))</f>
        <v>0</v>
      </c>
      <c r="O276" s="2">
        <f t="shared" si="11"/>
        <v>0</v>
      </c>
      <c r="Z276" s="2">
        <f>IF(AND(ISNUMBER(资金流水!$B$276),资金流水!$B$276&gt;=$C$4,资金流水!$B$276&lt;=$E$4,OR(资金流水!$C$276=$C$3,AND(资金流水!$AD$276=$C$3,资金流水!$X$276="账户互转"))),INT(资金流水!$B$276)*10000+271,"")</f>
      </c>
    </row>
    <row r="277">
      <c r="A277" s="94">
        <f>IF($N277=0,"",270)</f>
      </c>
      <c r="B277" s="95">
        <f t="shared" si="6"/>
      </c>
      <c r="C277" s="96">
        <f t="shared" si="1"/>
      </c>
      <c r="D277" s="21">
        <f t="shared" si="7"/>
      </c>
      <c r="E277" s="21">
        <f t="shared" si="2"/>
      </c>
      <c r="F277" s="48">
        <f t="shared" si="8"/>
      </c>
      <c r="G277" s="94">
        <f t="shared" si="9"/>
      </c>
      <c r="H277" s="94">
        <f t="shared" si="3"/>
      </c>
      <c r="I277" s="96">
        <f t="shared" si="0"/>
      </c>
      <c r="J277" s="94">
        <f t="shared" si="4"/>
      </c>
      <c r="K277" s="94">
        <f t="shared" si="10"/>
      </c>
      <c r="L277" s="96">
        <f t="shared" si="5"/>
      </c>
      <c r="N277" s="2">
        <f>IF(270&gt;$Z$5,0,MOD(SMALL($Z$6:$Z$2005,270),10000))</f>
        <v>0</v>
      </c>
      <c r="O277" s="2">
        <f t="shared" si="11"/>
        <v>0</v>
      </c>
      <c r="Z277" s="2">
        <f>IF(AND(ISNUMBER(资金流水!$B$277),资金流水!$B$277&gt;=$C$4,资金流水!$B$277&lt;=$E$4,OR(资金流水!$C$277=$C$3,AND(资金流水!$AD$277=$C$3,资金流水!$X$277="账户互转"))),INT(资金流水!$B$277)*10000+272,"")</f>
      </c>
    </row>
    <row r="278">
      <c r="A278" s="94">
        <f>IF($N278=0,"",271)</f>
      </c>
      <c r="B278" s="95">
        <f t="shared" si="6"/>
      </c>
      <c r="C278" s="96">
        <f t="shared" si="1"/>
      </c>
      <c r="D278" s="21">
        <f t="shared" si="7"/>
      </c>
      <c r="E278" s="21">
        <f t="shared" si="2"/>
      </c>
      <c r="F278" s="48">
        <f t="shared" si="8"/>
      </c>
      <c r="G278" s="94">
        <f t="shared" si="9"/>
      </c>
      <c r="H278" s="94">
        <f t="shared" si="3"/>
      </c>
      <c r="I278" s="96">
        <f t="shared" si="0"/>
      </c>
      <c r="J278" s="94">
        <f t="shared" si="4"/>
      </c>
      <c r="K278" s="94">
        <f t="shared" si="10"/>
      </c>
      <c r="L278" s="96">
        <f t="shared" si="5"/>
      </c>
      <c r="N278" s="2">
        <f>IF(271&gt;$Z$5,0,MOD(SMALL($Z$6:$Z$2005,271),10000))</f>
        <v>0</v>
      </c>
      <c r="O278" s="2">
        <f t="shared" si="11"/>
        <v>0</v>
      </c>
      <c r="Z278" s="2">
        <f>IF(AND(ISNUMBER(资金流水!$B$278),资金流水!$B$278&gt;=$C$4,资金流水!$B$278&lt;=$E$4,OR(资金流水!$C$278=$C$3,AND(资金流水!$AD$278=$C$3,资金流水!$X$278="账户互转"))),INT(资金流水!$B$278)*10000+273,"")</f>
      </c>
    </row>
    <row r="279">
      <c r="A279" s="94">
        <f>IF($N279=0,"",272)</f>
      </c>
      <c r="B279" s="95">
        <f t="shared" si="6"/>
      </c>
      <c r="C279" s="96">
        <f t="shared" si="1"/>
      </c>
      <c r="D279" s="21">
        <f t="shared" si="7"/>
      </c>
      <c r="E279" s="21">
        <f t="shared" si="2"/>
      </c>
      <c r="F279" s="48">
        <f t="shared" si="8"/>
      </c>
      <c r="G279" s="94">
        <f t="shared" si="9"/>
      </c>
      <c r="H279" s="94">
        <f t="shared" si="3"/>
      </c>
      <c r="I279" s="96">
        <f t="shared" si="0"/>
      </c>
      <c r="J279" s="94">
        <f t="shared" si="4"/>
      </c>
      <c r="K279" s="94">
        <f t="shared" si="10"/>
      </c>
      <c r="L279" s="96">
        <f t="shared" si="5"/>
      </c>
      <c r="N279" s="2">
        <f>IF(272&gt;$Z$5,0,MOD(SMALL($Z$6:$Z$2005,272),10000))</f>
        <v>0</v>
      </c>
      <c r="O279" s="2">
        <f t="shared" si="11"/>
        <v>0</v>
      </c>
      <c r="Z279" s="2">
        <f>IF(AND(ISNUMBER(资金流水!$B$279),资金流水!$B$279&gt;=$C$4,资金流水!$B$279&lt;=$E$4,OR(资金流水!$C$279=$C$3,AND(资金流水!$AD$279=$C$3,资金流水!$X$279="账户互转"))),INT(资金流水!$B$279)*10000+274,"")</f>
      </c>
    </row>
    <row r="280">
      <c r="A280" s="94">
        <f>IF($N280=0,"",273)</f>
      </c>
      <c r="B280" s="95">
        <f t="shared" si="6"/>
      </c>
      <c r="C280" s="96">
        <f t="shared" si="1"/>
      </c>
      <c r="D280" s="21">
        <f t="shared" si="7"/>
      </c>
      <c r="E280" s="21">
        <f t="shared" si="2"/>
      </c>
      <c r="F280" s="48">
        <f t="shared" si="8"/>
      </c>
      <c r="G280" s="94">
        <f t="shared" si="9"/>
      </c>
      <c r="H280" s="94">
        <f t="shared" si="3"/>
      </c>
      <c r="I280" s="96">
        <f t="shared" si="0"/>
      </c>
      <c r="J280" s="94">
        <f t="shared" si="4"/>
      </c>
      <c r="K280" s="94">
        <f t="shared" si="10"/>
      </c>
      <c r="L280" s="96">
        <f t="shared" si="5"/>
      </c>
      <c r="N280" s="2">
        <f>IF(273&gt;$Z$5,0,MOD(SMALL($Z$6:$Z$2005,273),10000))</f>
        <v>0</v>
      </c>
      <c r="O280" s="2">
        <f t="shared" si="11"/>
        <v>0</v>
      </c>
      <c r="Z280" s="2">
        <f>IF(AND(ISNUMBER(资金流水!$B$280),资金流水!$B$280&gt;=$C$4,资金流水!$B$280&lt;=$E$4,OR(资金流水!$C$280=$C$3,AND(资金流水!$AD$280=$C$3,资金流水!$X$280="账户互转"))),INT(资金流水!$B$280)*10000+275,"")</f>
      </c>
    </row>
    <row r="281">
      <c r="A281" s="94">
        <f>IF($N281=0,"",274)</f>
      </c>
      <c r="B281" s="95">
        <f t="shared" si="6"/>
      </c>
      <c r="C281" s="96">
        <f t="shared" si="1"/>
      </c>
      <c r="D281" s="21">
        <f t="shared" si="7"/>
      </c>
      <c r="E281" s="21">
        <f t="shared" si="2"/>
      </c>
      <c r="F281" s="48">
        <f t="shared" si="8"/>
      </c>
      <c r="G281" s="94">
        <f t="shared" si="9"/>
      </c>
      <c r="H281" s="94">
        <f t="shared" si="3"/>
      </c>
      <c r="I281" s="96">
        <f t="shared" si="0"/>
      </c>
      <c r="J281" s="94">
        <f t="shared" si="4"/>
      </c>
      <c r="K281" s="94">
        <f t="shared" si="10"/>
      </c>
      <c r="L281" s="96">
        <f t="shared" si="5"/>
      </c>
      <c r="N281" s="2">
        <f>IF(274&gt;$Z$5,0,MOD(SMALL($Z$6:$Z$2005,274),10000))</f>
        <v>0</v>
      </c>
      <c r="O281" s="2">
        <f t="shared" si="11"/>
        <v>0</v>
      </c>
      <c r="Z281" s="2">
        <f>IF(AND(ISNUMBER(资金流水!$B$281),资金流水!$B$281&gt;=$C$4,资金流水!$B$281&lt;=$E$4,OR(资金流水!$C$281=$C$3,AND(资金流水!$AD$281=$C$3,资金流水!$X$281="账户互转"))),INT(资金流水!$B$281)*10000+276,"")</f>
      </c>
    </row>
    <row r="282">
      <c r="A282" s="94">
        <f>IF($N282=0,"",275)</f>
      </c>
      <c r="B282" s="95">
        <f t="shared" si="6"/>
      </c>
      <c r="C282" s="96">
        <f t="shared" si="1"/>
      </c>
      <c r="D282" s="21">
        <f t="shared" si="7"/>
      </c>
      <c r="E282" s="21">
        <f t="shared" si="2"/>
      </c>
      <c r="F282" s="48">
        <f t="shared" si="8"/>
      </c>
      <c r="G282" s="94">
        <f t="shared" si="9"/>
      </c>
      <c r="H282" s="94">
        <f t="shared" si="3"/>
      </c>
      <c r="I282" s="96">
        <f t="shared" si="0"/>
      </c>
      <c r="J282" s="94">
        <f t="shared" si="4"/>
      </c>
      <c r="K282" s="94">
        <f t="shared" si="10"/>
      </c>
      <c r="L282" s="96">
        <f t="shared" si="5"/>
      </c>
      <c r="N282" s="2">
        <f>IF(275&gt;$Z$5,0,MOD(SMALL($Z$6:$Z$2005,275),10000))</f>
        <v>0</v>
      </c>
      <c r="O282" s="2">
        <f t="shared" si="11"/>
        <v>0</v>
      </c>
      <c r="Z282" s="2">
        <f>IF(AND(ISNUMBER(资金流水!$B$282),资金流水!$B$282&gt;=$C$4,资金流水!$B$282&lt;=$E$4,OR(资金流水!$C$282=$C$3,AND(资金流水!$AD$282=$C$3,资金流水!$X$282="账户互转"))),INT(资金流水!$B$282)*10000+277,"")</f>
      </c>
    </row>
    <row r="283">
      <c r="A283" s="94">
        <f>IF($N283=0,"",276)</f>
      </c>
      <c r="B283" s="95">
        <f t="shared" si="6"/>
      </c>
      <c r="C283" s="96">
        <f t="shared" si="1"/>
      </c>
      <c r="D283" s="21">
        <f t="shared" si="7"/>
      </c>
      <c r="E283" s="21">
        <f t="shared" si="2"/>
      </c>
      <c r="F283" s="48">
        <f t="shared" si="8"/>
      </c>
      <c r="G283" s="94">
        <f t="shared" si="9"/>
      </c>
      <c r="H283" s="94">
        <f t="shared" si="3"/>
      </c>
      <c r="I283" s="96">
        <f t="shared" si="0"/>
      </c>
      <c r="J283" s="94">
        <f t="shared" si="4"/>
      </c>
      <c r="K283" s="94">
        <f t="shared" si="10"/>
      </c>
      <c r="L283" s="96">
        <f t="shared" si="5"/>
      </c>
      <c r="N283" s="2">
        <f>IF(276&gt;$Z$5,0,MOD(SMALL($Z$6:$Z$2005,276),10000))</f>
        <v>0</v>
      </c>
      <c r="O283" s="2">
        <f t="shared" si="11"/>
        <v>0</v>
      </c>
      <c r="Z283" s="2">
        <f>IF(AND(ISNUMBER(资金流水!$B$283),资金流水!$B$283&gt;=$C$4,资金流水!$B$283&lt;=$E$4,OR(资金流水!$C$283=$C$3,AND(资金流水!$AD$283=$C$3,资金流水!$X$283="账户互转"))),INT(资金流水!$B$283)*10000+278,"")</f>
      </c>
    </row>
    <row r="284">
      <c r="A284" s="94">
        <f>IF($N284=0,"",277)</f>
      </c>
      <c r="B284" s="95">
        <f t="shared" si="6"/>
      </c>
      <c r="C284" s="96">
        <f t="shared" si="1"/>
      </c>
      <c r="D284" s="21">
        <f t="shared" si="7"/>
      </c>
      <c r="E284" s="21">
        <f t="shared" si="2"/>
      </c>
      <c r="F284" s="48">
        <f t="shared" si="8"/>
      </c>
      <c r="G284" s="94">
        <f t="shared" si="9"/>
      </c>
      <c r="H284" s="94">
        <f t="shared" si="3"/>
      </c>
      <c r="I284" s="96">
        <f t="shared" si="0"/>
      </c>
      <c r="J284" s="94">
        <f t="shared" si="4"/>
      </c>
      <c r="K284" s="94">
        <f t="shared" si="10"/>
      </c>
      <c r="L284" s="96">
        <f t="shared" si="5"/>
      </c>
      <c r="N284" s="2">
        <f>IF(277&gt;$Z$5,0,MOD(SMALL($Z$6:$Z$2005,277),10000))</f>
        <v>0</v>
      </c>
      <c r="O284" s="2">
        <f t="shared" si="11"/>
        <v>0</v>
      </c>
      <c r="Z284" s="2">
        <f>IF(AND(ISNUMBER(资金流水!$B$284),资金流水!$B$284&gt;=$C$4,资金流水!$B$284&lt;=$E$4,OR(资金流水!$C$284=$C$3,AND(资金流水!$AD$284=$C$3,资金流水!$X$284="账户互转"))),INT(资金流水!$B$284)*10000+279,"")</f>
      </c>
    </row>
    <row r="285">
      <c r="A285" s="94">
        <f>IF($N285=0,"",278)</f>
      </c>
      <c r="B285" s="95">
        <f t="shared" si="6"/>
      </c>
      <c r="C285" s="96">
        <f t="shared" si="1"/>
      </c>
      <c r="D285" s="21">
        <f t="shared" si="7"/>
      </c>
      <c r="E285" s="21">
        <f t="shared" si="2"/>
      </c>
      <c r="F285" s="48">
        <f t="shared" si="8"/>
      </c>
      <c r="G285" s="94">
        <f t="shared" si="9"/>
      </c>
      <c r="H285" s="94">
        <f t="shared" si="3"/>
      </c>
      <c r="I285" s="96">
        <f t="shared" si="0"/>
      </c>
      <c r="J285" s="94">
        <f t="shared" si="4"/>
      </c>
      <c r="K285" s="94">
        <f t="shared" si="10"/>
      </c>
      <c r="L285" s="96">
        <f t="shared" si="5"/>
      </c>
      <c r="N285" s="2">
        <f>IF(278&gt;$Z$5,0,MOD(SMALL($Z$6:$Z$2005,278),10000))</f>
        <v>0</v>
      </c>
      <c r="O285" s="2">
        <f t="shared" si="11"/>
        <v>0</v>
      </c>
      <c r="Z285" s="2">
        <f>IF(AND(ISNUMBER(资金流水!$B$285),资金流水!$B$285&gt;=$C$4,资金流水!$B$285&lt;=$E$4,OR(资金流水!$C$285=$C$3,AND(资金流水!$AD$285=$C$3,资金流水!$X$285="账户互转"))),INT(资金流水!$B$285)*10000+280,"")</f>
      </c>
    </row>
    <row r="286">
      <c r="A286" s="94">
        <f>IF($N286=0,"",279)</f>
      </c>
      <c r="B286" s="95">
        <f t="shared" si="6"/>
      </c>
      <c r="C286" s="96">
        <f t="shared" si="1"/>
      </c>
      <c r="D286" s="21">
        <f t="shared" si="7"/>
      </c>
      <c r="E286" s="21">
        <f t="shared" si="2"/>
      </c>
      <c r="F286" s="48">
        <f t="shared" si="8"/>
      </c>
      <c r="G286" s="94">
        <f t="shared" si="9"/>
      </c>
      <c r="H286" s="94">
        <f t="shared" si="3"/>
      </c>
      <c r="I286" s="96">
        <f t="shared" si="0"/>
      </c>
      <c r="J286" s="94">
        <f t="shared" si="4"/>
      </c>
      <c r="K286" s="94">
        <f t="shared" si="10"/>
      </c>
      <c r="L286" s="96">
        <f t="shared" si="5"/>
      </c>
      <c r="N286" s="2">
        <f>IF(279&gt;$Z$5,0,MOD(SMALL($Z$6:$Z$2005,279),10000))</f>
        <v>0</v>
      </c>
      <c r="O286" s="2">
        <f t="shared" si="11"/>
        <v>0</v>
      </c>
      <c r="Z286" s="2">
        <f>IF(AND(ISNUMBER(资金流水!$B$286),资金流水!$B$286&gt;=$C$4,资金流水!$B$286&lt;=$E$4,OR(资金流水!$C$286=$C$3,AND(资金流水!$AD$286=$C$3,资金流水!$X$286="账户互转"))),INT(资金流水!$B$286)*10000+281,"")</f>
      </c>
    </row>
    <row r="287">
      <c r="A287" s="94">
        <f>IF($N287=0,"",280)</f>
      </c>
      <c r="B287" s="95">
        <f t="shared" si="6"/>
      </c>
      <c r="C287" s="96">
        <f t="shared" si="1"/>
      </c>
      <c r="D287" s="21">
        <f t="shared" si="7"/>
      </c>
      <c r="E287" s="21">
        <f t="shared" si="2"/>
      </c>
      <c r="F287" s="48">
        <f t="shared" si="8"/>
      </c>
      <c r="G287" s="94">
        <f t="shared" si="9"/>
      </c>
      <c r="H287" s="94">
        <f t="shared" si="3"/>
      </c>
      <c r="I287" s="96">
        <f t="shared" si="0"/>
      </c>
      <c r="J287" s="94">
        <f t="shared" si="4"/>
      </c>
      <c r="K287" s="94">
        <f t="shared" si="10"/>
      </c>
      <c r="L287" s="96">
        <f t="shared" si="5"/>
      </c>
      <c r="N287" s="2">
        <f>IF(280&gt;$Z$5,0,MOD(SMALL($Z$6:$Z$2005,280),10000))</f>
        <v>0</v>
      </c>
      <c r="O287" s="2">
        <f t="shared" si="11"/>
        <v>0</v>
      </c>
      <c r="Z287" s="2">
        <f>IF(AND(ISNUMBER(资金流水!$B$287),资金流水!$B$287&gt;=$C$4,资金流水!$B$287&lt;=$E$4,OR(资金流水!$C$287=$C$3,AND(资金流水!$AD$287=$C$3,资金流水!$X$287="账户互转"))),INT(资金流水!$B$287)*10000+282,"")</f>
      </c>
    </row>
    <row r="288">
      <c r="A288" s="94">
        <f>IF($N288=0,"",281)</f>
      </c>
      <c r="B288" s="95">
        <f t="shared" si="6"/>
      </c>
      <c r="C288" s="96">
        <f t="shared" si="1"/>
      </c>
      <c r="D288" s="21">
        <f t="shared" si="7"/>
      </c>
      <c r="E288" s="21">
        <f t="shared" si="2"/>
      </c>
      <c r="F288" s="48">
        <f t="shared" si="8"/>
      </c>
      <c r="G288" s="94">
        <f t="shared" si="9"/>
      </c>
      <c r="H288" s="94">
        <f t="shared" si="3"/>
      </c>
      <c r="I288" s="96">
        <f t="shared" si="0"/>
      </c>
      <c r="J288" s="94">
        <f t="shared" si="4"/>
      </c>
      <c r="K288" s="94">
        <f t="shared" si="10"/>
      </c>
      <c r="L288" s="96">
        <f t="shared" si="5"/>
      </c>
      <c r="N288" s="2">
        <f>IF(281&gt;$Z$5,0,MOD(SMALL($Z$6:$Z$2005,281),10000))</f>
        <v>0</v>
      </c>
      <c r="O288" s="2">
        <f t="shared" si="11"/>
        <v>0</v>
      </c>
      <c r="Z288" s="2">
        <f>IF(AND(ISNUMBER(资金流水!$B$288),资金流水!$B$288&gt;=$C$4,资金流水!$B$288&lt;=$E$4,OR(资金流水!$C$288=$C$3,AND(资金流水!$AD$288=$C$3,资金流水!$X$288="账户互转"))),INT(资金流水!$B$288)*10000+283,"")</f>
      </c>
    </row>
    <row r="289">
      <c r="A289" s="94">
        <f>IF($N289=0,"",282)</f>
      </c>
      <c r="B289" s="95">
        <f t="shared" si="6"/>
      </c>
      <c r="C289" s="96">
        <f t="shared" si="1"/>
      </c>
      <c r="D289" s="21">
        <f t="shared" si="7"/>
      </c>
      <c r="E289" s="21">
        <f t="shared" si="2"/>
      </c>
      <c r="F289" s="48">
        <f t="shared" si="8"/>
      </c>
      <c r="G289" s="94">
        <f t="shared" si="9"/>
      </c>
      <c r="H289" s="94">
        <f t="shared" si="3"/>
      </c>
      <c r="I289" s="96">
        <f t="shared" si="0"/>
      </c>
      <c r="J289" s="94">
        <f t="shared" si="4"/>
      </c>
      <c r="K289" s="94">
        <f t="shared" si="10"/>
      </c>
      <c r="L289" s="96">
        <f t="shared" si="5"/>
      </c>
      <c r="N289" s="2">
        <f>IF(282&gt;$Z$5,0,MOD(SMALL($Z$6:$Z$2005,282),10000))</f>
        <v>0</v>
      </c>
      <c r="O289" s="2">
        <f t="shared" si="11"/>
        <v>0</v>
      </c>
      <c r="Z289" s="2">
        <f>IF(AND(ISNUMBER(资金流水!$B$289),资金流水!$B$289&gt;=$C$4,资金流水!$B$289&lt;=$E$4,OR(资金流水!$C$289=$C$3,AND(资金流水!$AD$289=$C$3,资金流水!$X$289="账户互转"))),INT(资金流水!$B$289)*10000+284,"")</f>
      </c>
    </row>
    <row r="290">
      <c r="A290" s="94">
        <f>IF($N290=0,"",283)</f>
      </c>
      <c r="B290" s="95">
        <f t="shared" si="6"/>
      </c>
      <c r="C290" s="96">
        <f t="shared" si="1"/>
      </c>
      <c r="D290" s="21">
        <f t="shared" si="7"/>
      </c>
      <c r="E290" s="21">
        <f t="shared" si="2"/>
      </c>
      <c r="F290" s="48">
        <f t="shared" si="8"/>
      </c>
      <c r="G290" s="94">
        <f t="shared" si="9"/>
      </c>
      <c r="H290" s="94">
        <f t="shared" si="3"/>
      </c>
      <c r="I290" s="96">
        <f t="shared" si="0"/>
      </c>
      <c r="J290" s="94">
        <f t="shared" si="4"/>
      </c>
      <c r="K290" s="94">
        <f t="shared" si="10"/>
      </c>
      <c r="L290" s="96">
        <f t="shared" si="5"/>
      </c>
      <c r="N290" s="2">
        <f>IF(283&gt;$Z$5,0,MOD(SMALL($Z$6:$Z$2005,283),10000))</f>
        <v>0</v>
      </c>
      <c r="O290" s="2">
        <f t="shared" si="11"/>
        <v>0</v>
      </c>
      <c r="Z290" s="2">
        <f>IF(AND(ISNUMBER(资金流水!$B$290),资金流水!$B$290&gt;=$C$4,资金流水!$B$290&lt;=$E$4,OR(资金流水!$C$290=$C$3,AND(资金流水!$AD$290=$C$3,资金流水!$X$290="账户互转"))),INT(资金流水!$B$290)*10000+285,"")</f>
      </c>
    </row>
    <row r="291">
      <c r="A291" s="94">
        <f>IF($N291=0,"",284)</f>
      </c>
      <c r="B291" s="95">
        <f t="shared" si="6"/>
      </c>
      <c r="C291" s="96">
        <f t="shared" si="1"/>
      </c>
      <c r="D291" s="21">
        <f t="shared" si="7"/>
      </c>
      <c r="E291" s="21">
        <f t="shared" si="2"/>
      </c>
      <c r="F291" s="48">
        <f t="shared" si="8"/>
      </c>
      <c r="G291" s="94">
        <f t="shared" si="9"/>
      </c>
      <c r="H291" s="94">
        <f t="shared" si="3"/>
      </c>
      <c r="I291" s="96">
        <f t="shared" si="0"/>
      </c>
      <c r="J291" s="94">
        <f t="shared" si="4"/>
      </c>
      <c r="K291" s="94">
        <f t="shared" si="10"/>
      </c>
      <c r="L291" s="96">
        <f t="shared" si="5"/>
      </c>
      <c r="N291" s="2">
        <f>IF(284&gt;$Z$5,0,MOD(SMALL($Z$6:$Z$2005,284),10000))</f>
        <v>0</v>
      </c>
      <c r="O291" s="2">
        <f t="shared" si="11"/>
        <v>0</v>
      </c>
      <c r="Z291" s="2">
        <f>IF(AND(ISNUMBER(资金流水!$B$291),资金流水!$B$291&gt;=$C$4,资金流水!$B$291&lt;=$E$4,OR(资金流水!$C$291=$C$3,AND(资金流水!$AD$291=$C$3,资金流水!$X$291="账户互转"))),INT(资金流水!$B$291)*10000+286,"")</f>
      </c>
    </row>
    <row r="292">
      <c r="A292" s="94">
        <f>IF($N292=0,"",285)</f>
      </c>
      <c r="B292" s="95">
        <f t="shared" si="6"/>
      </c>
      <c r="C292" s="96">
        <f t="shared" si="1"/>
      </c>
      <c r="D292" s="21">
        <f t="shared" si="7"/>
      </c>
      <c r="E292" s="21">
        <f t="shared" si="2"/>
      </c>
      <c r="F292" s="48">
        <f t="shared" si="8"/>
      </c>
      <c r="G292" s="94">
        <f t="shared" si="9"/>
      </c>
      <c r="H292" s="94">
        <f t="shared" si="3"/>
      </c>
      <c r="I292" s="96">
        <f t="shared" si="0"/>
      </c>
      <c r="J292" s="94">
        <f t="shared" si="4"/>
      </c>
      <c r="K292" s="94">
        <f t="shared" si="10"/>
      </c>
      <c r="L292" s="96">
        <f t="shared" si="5"/>
      </c>
      <c r="N292" s="2">
        <f>IF(285&gt;$Z$5,0,MOD(SMALL($Z$6:$Z$2005,285),10000))</f>
        <v>0</v>
      </c>
      <c r="O292" s="2">
        <f t="shared" si="11"/>
        <v>0</v>
      </c>
      <c r="Z292" s="2">
        <f>IF(AND(ISNUMBER(资金流水!$B$292),资金流水!$B$292&gt;=$C$4,资金流水!$B$292&lt;=$E$4,OR(资金流水!$C$292=$C$3,AND(资金流水!$AD$292=$C$3,资金流水!$X$292="账户互转"))),INT(资金流水!$B$292)*10000+287,"")</f>
      </c>
    </row>
    <row r="293">
      <c r="A293" s="94">
        <f>IF($N293=0,"",286)</f>
      </c>
      <c r="B293" s="95">
        <f t="shared" si="6"/>
      </c>
      <c r="C293" s="96">
        <f t="shared" si="1"/>
      </c>
      <c r="D293" s="21">
        <f t="shared" si="7"/>
      </c>
      <c r="E293" s="21">
        <f t="shared" si="2"/>
      </c>
      <c r="F293" s="48">
        <f t="shared" si="8"/>
      </c>
      <c r="G293" s="94">
        <f t="shared" si="9"/>
      </c>
      <c r="H293" s="94">
        <f t="shared" si="3"/>
      </c>
      <c r="I293" s="96">
        <f t="shared" si="0"/>
      </c>
      <c r="J293" s="94">
        <f t="shared" si="4"/>
      </c>
      <c r="K293" s="94">
        <f t="shared" si="10"/>
      </c>
      <c r="L293" s="96">
        <f t="shared" si="5"/>
      </c>
      <c r="N293" s="2">
        <f>IF(286&gt;$Z$5,0,MOD(SMALL($Z$6:$Z$2005,286),10000))</f>
        <v>0</v>
      </c>
      <c r="O293" s="2">
        <f t="shared" si="11"/>
        <v>0</v>
      </c>
      <c r="Z293" s="2">
        <f>IF(AND(ISNUMBER(资金流水!$B$293),资金流水!$B$293&gt;=$C$4,资金流水!$B$293&lt;=$E$4,OR(资金流水!$C$293=$C$3,AND(资金流水!$AD$293=$C$3,资金流水!$X$293="账户互转"))),INT(资金流水!$B$293)*10000+288,"")</f>
      </c>
    </row>
    <row r="294">
      <c r="A294" s="94">
        <f>IF($N294=0,"",287)</f>
      </c>
      <c r="B294" s="95">
        <f t="shared" si="6"/>
      </c>
      <c r="C294" s="96">
        <f t="shared" si="1"/>
      </c>
      <c r="D294" s="21">
        <f t="shared" si="7"/>
      </c>
      <c r="E294" s="21">
        <f t="shared" si="2"/>
      </c>
      <c r="F294" s="48">
        <f t="shared" si="8"/>
      </c>
      <c r="G294" s="94">
        <f t="shared" si="9"/>
      </c>
      <c r="H294" s="94">
        <f t="shared" si="3"/>
      </c>
      <c r="I294" s="96">
        <f t="shared" si="0"/>
      </c>
      <c r="J294" s="94">
        <f t="shared" si="4"/>
      </c>
      <c r="K294" s="94">
        <f t="shared" si="10"/>
      </c>
      <c r="L294" s="96">
        <f t="shared" si="5"/>
      </c>
      <c r="N294" s="2">
        <f>IF(287&gt;$Z$5,0,MOD(SMALL($Z$6:$Z$2005,287),10000))</f>
        <v>0</v>
      </c>
      <c r="O294" s="2">
        <f t="shared" si="11"/>
        <v>0</v>
      </c>
      <c r="Z294" s="2">
        <f>IF(AND(ISNUMBER(资金流水!$B$294),资金流水!$B$294&gt;=$C$4,资金流水!$B$294&lt;=$E$4,OR(资金流水!$C$294=$C$3,AND(资金流水!$AD$294=$C$3,资金流水!$X$294="账户互转"))),INT(资金流水!$B$294)*10000+289,"")</f>
      </c>
    </row>
    <row r="295">
      <c r="A295" s="94">
        <f>IF($N295=0,"",288)</f>
      </c>
      <c r="B295" s="95">
        <f t="shared" si="6"/>
      </c>
      <c r="C295" s="96">
        <f t="shared" si="1"/>
      </c>
      <c r="D295" s="21">
        <f t="shared" si="7"/>
      </c>
      <c r="E295" s="21">
        <f t="shared" si="2"/>
      </c>
      <c r="F295" s="48">
        <f t="shared" si="8"/>
      </c>
      <c r="G295" s="94">
        <f t="shared" si="9"/>
      </c>
      <c r="H295" s="94">
        <f t="shared" si="3"/>
      </c>
      <c r="I295" s="96">
        <f t="shared" si="0"/>
      </c>
      <c r="J295" s="94">
        <f t="shared" si="4"/>
      </c>
      <c r="K295" s="94">
        <f t="shared" si="10"/>
      </c>
      <c r="L295" s="96">
        <f t="shared" si="5"/>
      </c>
      <c r="N295" s="2">
        <f>IF(288&gt;$Z$5,0,MOD(SMALL($Z$6:$Z$2005,288),10000))</f>
        <v>0</v>
      </c>
      <c r="O295" s="2">
        <f t="shared" si="11"/>
        <v>0</v>
      </c>
      <c r="Z295" s="2">
        <f>IF(AND(ISNUMBER(资金流水!$B$295),资金流水!$B$295&gt;=$C$4,资金流水!$B$295&lt;=$E$4,OR(资金流水!$C$295=$C$3,AND(资金流水!$AD$295=$C$3,资金流水!$X$295="账户互转"))),INT(资金流水!$B$295)*10000+290,"")</f>
      </c>
    </row>
    <row r="296">
      <c r="A296" s="94">
        <f>IF($N296=0,"",289)</f>
      </c>
      <c r="B296" s="95">
        <f t="shared" si="6"/>
      </c>
      <c r="C296" s="96">
        <f t="shared" si="1"/>
      </c>
      <c r="D296" s="21">
        <f t="shared" si="7"/>
      </c>
      <c r="E296" s="21">
        <f t="shared" si="2"/>
      </c>
      <c r="F296" s="48">
        <f t="shared" si="8"/>
      </c>
      <c r="G296" s="94">
        <f t="shared" si="9"/>
      </c>
      <c r="H296" s="94">
        <f t="shared" si="3"/>
      </c>
      <c r="I296" s="96">
        <f t="shared" si="0"/>
      </c>
      <c r="J296" s="94">
        <f t="shared" si="4"/>
      </c>
      <c r="K296" s="94">
        <f t="shared" si="10"/>
      </c>
      <c r="L296" s="96">
        <f t="shared" si="5"/>
      </c>
      <c r="N296" s="2">
        <f>IF(289&gt;$Z$5,0,MOD(SMALL($Z$6:$Z$2005,289),10000))</f>
        <v>0</v>
      </c>
      <c r="O296" s="2">
        <f t="shared" si="11"/>
        <v>0</v>
      </c>
      <c r="Z296" s="2">
        <f>IF(AND(ISNUMBER(资金流水!$B$296),资金流水!$B$296&gt;=$C$4,资金流水!$B$296&lt;=$E$4,OR(资金流水!$C$296=$C$3,AND(资金流水!$AD$296=$C$3,资金流水!$X$296="账户互转"))),INT(资金流水!$B$296)*10000+291,"")</f>
      </c>
    </row>
    <row r="297">
      <c r="A297" s="94">
        <f>IF($N297=0,"",290)</f>
      </c>
      <c r="B297" s="95">
        <f t="shared" si="6"/>
      </c>
      <c r="C297" s="96">
        <f t="shared" si="1"/>
      </c>
      <c r="D297" s="21">
        <f t="shared" si="7"/>
      </c>
      <c r="E297" s="21">
        <f t="shared" si="2"/>
      </c>
      <c r="F297" s="48">
        <f t="shared" si="8"/>
      </c>
      <c r="G297" s="94">
        <f t="shared" si="9"/>
      </c>
      <c r="H297" s="94">
        <f t="shared" si="3"/>
      </c>
      <c r="I297" s="96">
        <f t="shared" si="0"/>
      </c>
      <c r="J297" s="94">
        <f t="shared" si="4"/>
      </c>
      <c r="K297" s="94">
        <f t="shared" si="10"/>
      </c>
      <c r="L297" s="96">
        <f t="shared" si="5"/>
      </c>
      <c r="N297" s="2">
        <f>IF(290&gt;$Z$5,0,MOD(SMALL($Z$6:$Z$2005,290),10000))</f>
        <v>0</v>
      </c>
      <c r="O297" s="2">
        <f t="shared" si="11"/>
        <v>0</v>
      </c>
      <c r="Z297" s="2">
        <f>IF(AND(ISNUMBER(资金流水!$B$297),资金流水!$B$297&gt;=$C$4,资金流水!$B$297&lt;=$E$4,OR(资金流水!$C$297=$C$3,AND(资金流水!$AD$297=$C$3,资金流水!$X$297="账户互转"))),INT(资金流水!$B$297)*10000+292,"")</f>
      </c>
    </row>
    <row r="298">
      <c r="A298" s="94">
        <f>IF($N298=0,"",291)</f>
      </c>
      <c r="B298" s="95">
        <f t="shared" si="6"/>
      </c>
      <c r="C298" s="96">
        <f t="shared" si="1"/>
      </c>
      <c r="D298" s="21">
        <f t="shared" si="7"/>
      </c>
      <c r="E298" s="21">
        <f t="shared" si="2"/>
      </c>
      <c r="F298" s="48">
        <f t="shared" si="8"/>
      </c>
      <c r="G298" s="94">
        <f t="shared" si="9"/>
      </c>
      <c r="H298" s="94">
        <f t="shared" si="3"/>
      </c>
      <c r="I298" s="96">
        <f t="shared" si="0"/>
      </c>
      <c r="J298" s="94">
        <f t="shared" si="4"/>
      </c>
      <c r="K298" s="94">
        <f t="shared" si="10"/>
      </c>
      <c r="L298" s="96">
        <f t="shared" si="5"/>
      </c>
      <c r="N298" s="2">
        <f>IF(291&gt;$Z$5,0,MOD(SMALL($Z$6:$Z$2005,291),10000))</f>
        <v>0</v>
      </c>
      <c r="O298" s="2">
        <f t="shared" si="11"/>
        <v>0</v>
      </c>
      <c r="Z298" s="2">
        <f>IF(AND(ISNUMBER(资金流水!$B$298),资金流水!$B$298&gt;=$C$4,资金流水!$B$298&lt;=$E$4,OR(资金流水!$C$298=$C$3,AND(资金流水!$AD$298=$C$3,资金流水!$X$298="账户互转"))),INT(资金流水!$B$298)*10000+293,"")</f>
      </c>
    </row>
    <row r="299">
      <c r="A299" s="94">
        <f>IF($N299=0,"",292)</f>
      </c>
      <c r="B299" s="95">
        <f t="shared" si="6"/>
      </c>
      <c r="C299" s="96">
        <f t="shared" si="1"/>
      </c>
      <c r="D299" s="21">
        <f t="shared" si="7"/>
      </c>
      <c r="E299" s="21">
        <f t="shared" si="2"/>
      </c>
      <c r="F299" s="48">
        <f t="shared" si="8"/>
      </c>
      <c r="G299" s="94">
        <f t="shared" si="9"/>
      </c>
      <c r="H299" s="94">
        <f t="shared" si="3"/>
      </c>
      <c r="I299" s="96">
        <f t="shared" si="0"/>
      </c>
      <c r="J299" s="94">
        <f t="shared" si="4"/>
      </c>
      <c r="K299" s="94">
        <f t="shared" si="10"/>
      </c>
      <c r="L299" s="96">
        <f t="shared" si="5"/>
      </c>
      <c r="N299" s="2">
        <f>IF(292&gt;$Z$5,0,MOD(SMALL($Z$6:$Z$2005,292),10000))</f>
        <v>0</v>
      </c>
      <c r="O299" s="2">
        <f t="shared" si="11"/>
        <v>0</v>
      </c>
      <c r="Z299" s="2">
        <f>IF(AND(ISNUMBER(资金流水!$B$299),资金流水!$B$299&gt;=$C$4,资金流水!$B$299&lt;=$E$4,OR(资金流水!$C$299=$C$3,AND(资金流水!$AD$299=$C$3,资金流水!$X$299="账户互转"))),INT(资金流水!$B$299)*10000+294,"")</f>
      </c>
    </row>
    <row r="300">
      <c r="A300" s="94">
        <f>IF($N300=0,"",293)</f>
      </c>
      <c r="B300" s="95">
        <f t="shared" si="6"/>
      </c>
      <c r="C300" s="96">
        <f t="shared" si="1"/>
      </c>
      <c r="D300" s="21">
        <f t="shared" si="7"/>
      </c>
      <c r="E300" s="21">
        <f t="shared" si="2"/>
      </c>
      <c r="F300" s="48">
        <f t="shared" si="8"/>
      </c>
      <c r="G300" s="94">
        <f t="shared" si="9"/>
      </c>
      <c r="H300" s="94">
        <f t="shared" si="3"/>
      </c>
      <c r="I300" s="96">
        <f t="shared" si="0"/>
      </c>
      <c r="J300" s="94">
        <f t="shared" si="4"/>
      </c>
      <c r="K300" s="94">
        <f t="shared" si="10"/>
      </c>
      <c r="L300" s="96">
        <f t="shared" si="5"/>
      </c>
      <c r="N300" s="2">
        <f>IF(293&gt;$Z$5,0,MOD(SMALL($Z$6:$Z$2005,293),10000))</f>
        <v>0</v>
      </c>
      <c r="O300" s="2">
        <f t="shared" si="11"/>
        <v>0</v>
      </c>
      <c r="Z300" s="2">
        <f>IF(AND(ISNUMBER(资金流水!$B$300),资金流水!$B$300&gt;=$C$4,资金流水!$B$300&lt;=$E$4,OR(资金流水!$C$300=$C$3,AND(资金流水!$AD$300=$C$3,资金流水!$X$300="账户互转"))),INT(资金流水!$B$300)*10000+295,"")</f>
      </c>
    </row>
    <row r="301">
      <c r="A301" s="94">
        <f>IF($N301=0,"",294)</f>
      </c>
      <c r="B301" s="95">
        <f t="shared" si="6"/>
      </c>
      <c r="C301" s="96">
        <f t="shared" si="1"/>
      </c>
      <c r="D301" s="21">
        <f t="shared" si="7"/>
      </c>
      <c r="E301" s="21">
        <f t="shared" si="2"/>
      </c>
      <c r="F301" s="48">
        <f t="shared" si="8"/>
      </c>
      <c r="G301" s="94">
        <f t="shared" si="9"/>
      </c>
      <c r="H301" s="94">
        <f t="shared" si="3"/>
      </c>
      <c r="I301" s="96">
        <f t="shared" si="0"/>
      </c>
      <c r="J301" s="94">
        <f t="shared" si="4"/>
      </c>
      <c r="K301" s="94">
        <f t="shared" si="10"/>
      </c>
      <c r="L301" s="96">
        <f t="shared" si="5"/>
      </c>
      <c r="N301" s="2">
        <f>IF(294&gt;$Z$5,0,MOD(SMALL($Z$6:$Z$2005,294),10000))</f>
        <v>0</v>
      </c>
      <c r="O301" s="2">
        <f t="shared" si="11"/>
        <v>0</v>
      </c>
      <c r="Z301" s="2">
        <f>IF(AND(ISNUMBER(资金流水!$B$301),资金流水!$B$301&gt;=$C$4,资金流水!$B$301&lt;=$E$4,OR(资金流水!$C$301=$C$3,AND(资金流水!$AD$301=$C$3,资金流水!$X$301="账户互转"))),INT(资金流水!$B$301)*10000+296,"")</f>
      </c>
    </row>
    <row r="302">
      <c r="A302" s="94">
        <f>IF($N302=0,"",295)</f>
      </c>
      <c r="B302" s="95">
        <f t="shared" si="6"/>
      </c>
      <c r="C302" s="96">
        <f t="shared" si="1"/>
      </c>
      <c r="D302" s="21">
        <f t="shared" si="7"/>
      </c>
      <c r="E302" s="21">
        <f t="shared" si="2"/>
      </c>
      <c r="F302" s="48">
        <f t="shared" si="8"/>
      </c>
      <c r="G302" s="94">
        <f t="shared" si="9"/>
      </c>
      <c r="H302" s="94">
        <f t="shared" si="3"/>
      </c>
      <c r="I302" s="96">
        <f t="shared" si="0"/>
      </c>
      <c r="J302" s="94">
        <f t="shared" si="4"/>
      </c>
      <c r="K302" s="94">
        <f t="shared" si="10"/>
      </c>
      <c r="L302" s="96">
        <f t="shared" si="5"/>
      </c>
      <c r="N302" s="2">
        <f>IF(295&gt;$Z$5,0,MOD(SMALL($Z$6:$Z$2005,295),10000))</f>
        <v>0</v>
      </c>
      <c r="O302" s="2">
        <f t="shared" si="11"/>
        <v>0</v>
      </c>
      <c r="Z302" s="2">
        <f>IF(AND(ISNUMBER(资金流水!$B$302),资金流水!$B$302&gt;=$C$4,资金流水!$B$302&lt;=$E$4,OR(资金流水!$C$302=$C$3,AND(资金流水!$AD$302=$C$3,资金流水!$X$302="账户互转"))),INT(资金流水!$B$302)*10000+297,"")</f>
      </c>
    </row>
    <row r="303">
      <c r="A303" s="94">
        <f>IF($N303=0,"",296)</f>
      </c>
      <c r="B303" s="95">
        <f t="shared" si="6"/>
      </c>
      <c r="C303" s="96">
        <f t="shared" si="1"/>
      </c>
      <c r="D303" s="21">
        <f t="shared" si="7"/>
      </c>
      <c r="E303" s="21">
        <f t="shared" si="2"/>
      </c>
      <c r="F303" s="48">
        <f t="shared" si="8"/>
      </c>
      <c r="G303" s="94">
        <f t="shared" si="9"/>
      </c>
      <c r="H303" s="94">
        <f t="shared" si="3"/>
      </c>
      <c r="I303" s="96">
        <f t="shared" si="0"/>
      </c>
      <c r="J303" s="94">
        <f t="shared" si="4"/>
      </c>
      <c r="K303" s="94">
        <f t="shared" si="10"/>
      </c>
      <c r="L303" s="96">
        <f t="shared" si="5"/>
      </c>
      <c r="N303" s="2">
        <f>IF(296&gt;$Z$5,0,MOD(SMALL($Z$6:$Z$2005,296),10000))</f>
        <v>0</v>
      </c>
      <c r="O303" s="2">
        <f t="shared" si="11"/>
        <v>0</v>
      </c>
      <c r="Z303" s="2">
        <f>IF(AND(ISNUMBER(资金流水!$B$303),资金流水!$B$303&gt;=$C$4,资金流水!$B$303&lt;=$E$4,OR(资金流水!$C$303=$C$3,AND(资金流水!$AD$303=$C$3,资金流水!$X$303="账户互转"))),INT(资金流水!$B$303)*10000+298,"")</f>
      </c>
    </row>
    <row r="304">
      <c r="A304" s="94">
        <f>IF($N304=0,"",297)</f>
      </c>
      <c r="B304" s="95">
        <f t="shared" si="6"/>
      </c>
      <c r="C304" s="96">
        <f t="shared" si="1"/>
      </c>
      <c r="D304" s="21">
        <f t="shared" si="7"/>
      </c>
      <c r="E304" s="21">
        <f t="shared" si="2"/>
      </c>
      <c r="F304" s="48">
        <f t="shared" si="8"/>
      </c>
      <c r="G304" s="94">
        <f t="shared" si="9"/>
      </c>
      <c r="H304" s="94">
        <f t="shared" si="3"/>
      </c>
      <c r="I304" s="96">
        <f t="shared" si="0"/>
      </c>
      <c r="J304" s="94">
        <f t="shared" si="4"/>
      </c>
      <c r="K304" s="94">
        <f t="shared" si="10"/>
      </c>
      <c r="L304" s="96">
        <f t="shared" si="5"/>
      </c>
      <c r="N304" s="2">
        <f>IF(297&gt;$Z$5,0,MOD(SMALL($Z$6:$Z$2005,297),10000))</f>
        <v>0</v>
      </c>
      <c r="O304" s="2">
        <f t="shared" si="11"/>
        <v>0</v>
      </c>
      <c r="Z304" s="2">
        <f>IF(AND(ISNUMBER(资金流水!$B$304),资金流水!$B$304&gt;=$C$4,资金流水!$B$304&lt;=$E$4,OR(资金流水!$C$304=$C$3,AND(资金流水!$AD$304=$C$3,资金流水!$X$304="账户互转"))),INT(资金流水!$B$304)*10000+299,"")</f>
      </c>
    </row>
    <row r="305">
      <c r="A305" s="94">
        <f>IF($N305=0,"",298)</f>
      </c>
      <c r="B305" s="95">
        <f t="shared" si="6"/>
      </c>
      <c r="C305" s="96">
        <f t="shared" si="1"/>
      </c>
      <c r="D305" s="21">
        <f t="shared" si="7"/>
      </c>
      <c r="E305" s="21">
        <f t="shared" si="2"/>
      </c>
      <c r="F305" s="48">
        <f t="shared" si="8"/>
      </c>
      <c r="G305" s="94">
        <f t="shared" si="9"/>
      </c>
      <c r="H305" s="94">
        <f t="shared" si="3"/>
      </c>
      <c r="I305" s="96">
        <f t="shared" si="0"/>
      </c>
      <c r="J305" s="94">
        <f t="shared" si="4"/>
      </c>
      <c r="K305" s="94">
        <f t="shared" si="10"/>
      </c>
      <c r="L305" s="96">
        <f t="shared" si="5"/>
      </c>
      <c r="N305" s="2">
        <f>IF(298&gt;$Z$5,0,MOD(SMALL($Z$6:$Z$2005,298),10000))</f>
        <v>0</v>
      </c>
      <c r="O305" s="2">
        <f t="shared" si="11"/>
        <v>0</v>
      </c>
      <c r="Z305" s="2">
        <f>IF(AND(ISNUMBER(资金流水!$B$305),资金流水!$B$305&gt;=$C$4,资金流水!$B$305&lt;=$E$4,OR(资金流水!$C$305=$C$3,AND(资金流水!$AD$305=$C$3,资金流水!$X$305="账户互转"))),INT(资金流水!$B$305)*10000+300,"")</f>
      </c>
    </row>
    <row r="306">
      <c r="A306" s="94">
        <f>IF($N306=0,"",299)</f>
      </c>
      <c r="B306" s="95">
        <f t="shared" si="6"/>
      </c>
      <c r="C306" s="96">
        <f t="shared" si="1"/>
      </c>
      <c r="D306" s="21">
        <f t="shared" si="7"/>
      </c>
      <c r="E306" s="21">
        <f t="shared" si="2"/>
      </c>
      <c r="F306" s="48">
        <f t="shared" si="8"/>
      </c>
      <c r="G306" s="94">
        <f t="shared" si="9"/>
      </c>
      <c r="H306" s="94">
        <f t="shared" si="3"/>
      </c>
      <c r="I306" s="96">
        <f t="shared" si="0"/>
      </c>
      <c r="J306" s="94">
        <f t="shared" si="4"/>
      </c>
      <c r="K306" s="94">
        <f t="shared" si="10"/>
      </c>
      <c r="L306" s="96">
        <f t="shared" si="5"/>
      </c>
      <c r="N306" s="2">
        <f>IF(299&gt;$Z$5,0,MOD(SMALL($Z$6:$Z$2005,299),10000))</f>
        <v>0</v>
      </c>
      <c r="O306" s="2">
        <f t="shared" si="11"/>
        <v>0</v>
      </c>
      <c r="Z306" s="2">
        <f>IF(AND(ISNUMBER(资金流水!$B$306),资金流水!$B$306&gt;=$C$4,资金流水!$B$306&lt;=$E$4,OR(资金流水!$C$306=$C$3,AND(资金流水!$AD$306=$C$3,资金流水!$X$306="账户互转"))),INT(资金流水!$B$306)*10000+301,"")</f>
      </c>
    </row>
    <row r="307">
      <c r="A307" s="94">
        <f>IF($N307=0,"",300)</f>
      </c>
      <c r="B307" s="95">
        <f t="shared" si="6"/>
      </c>
      <c r="C307" s="96">
        <f t="shared" si="1"/>
      </c>
      <c r="D307" s="21">
        <f t="shared" si="7"/>
      </c>
      <c r="E307" s="21">
        <f t="shared" si="2"/>
      </c>
      <c r="F307" s="48">
        <f t="shared" si="8"/>
      </c>
      <c r="G307" s="94">
        <f t="shared" si="9"/>
      </c>
      <c r="H307" s="94">
        <f t="shared" si="3"/>
      </c>
      <c r="I307" s="96">
        <f t="shared" si="0"/>
      </c>
      <c r="J307" s="94">
        <f t="shared" si="4"/>
      </c>
      <c r="K307" s="94">
        <f t="shared" si="10"/>
      </c>
      <c r="L307" s="96">
        <f t="shared" si="5"/>
      </c>
      <c r="N307" s="2">
        <f>IF(300&gt;$Z$5,0,MOD(SMALL($Z$6:$Z$2005,300),10000))</f>
        <v>0</v>
      </c>
      <c r="O307" s="2">
        <f t="shared" si="11"/>
        <v>0</v>
      </c>
      <c r="Z307" s="2">
        <f>IF(AND(ISNUMBER(资金流水!$B$307),资金流水!$B$307&gt;=$C$4,资金流水!$B$307&lt;=$E$4,OR(资金流水!$C$307=$C$3,AND(资金流水!$AD$307=$C$3,资金流水!$X$307="账户互转"))),INT(资金流水!$B$307)*10000+302,"")</f>
      </c>
    </row>
    <row r="308">
      <c r="A308" s="94">
        <f>IF($N308=0,"",301)</f>
      </c>
      <c r="B308" s="95">
        <f t="shared" si="6"/>
      </c>
      <c r="C308" s="96">
        <f t="shared" si="1"/>
      </c>
      <c r="D308" s="21">
        <f t="shared" si="7"/>
      </c>
      <c r="E308" s="21">
        <f t="shared" si="2"/>
      </c>
      <c r="F308" s="48">
        <f t="shared" si="8"/>
      </c>
      <c r="G308" s="94">
        <f t="shared" si="9"/>
      </c>
      <c r="H308" s="94">
        <f t="shared" si="3"/>
      </c>
      <c r="I308" s="96">
        <f t="shared" si="0"/>
      </c>
      <c r="J308" s="94">
        <f t="shared" si="4"/>
      </c>
      <c r="K308" s="94">
        <f t="shared" si="10"/>
      </c>
      <c r="L308" s="96">
        <f t="shared" si="5"/>
      </c>
      <c r="N308" s="2">
        <f>IF(301&gt;$Z$5,0,MOD(SMALL($Z$6:$Z$2005,301),10000))</f>
        <v>0</v>
      </c>
      <c r="O308" s="2">
        <f t="shared" si="11"/>
        <v>0</v>
      </c>
      <c r="Z308" s="2">
        <f>IF(AND(ISNUMBER(资金流水!$B$308),资金流水!$B$308&gt;=$C$4,资金流水!$B$308&lt;=$E$4,OR(资金流水!$C$308=$C$3,AND(资金流水!$AD$308=$C$3,资金流水!$X$308="账户互转"))),INT(资金流水!$B$308)*10000+303,"")</f>
      </c>
    </row>
    <row r="309">
      <c r="A309" s="94">
        <f>IF($N309=0,"",302)</f>
      </c>
      <c r="B309" s="95">
        <f t="shared" si="6"/>
      </c>
      <c r="C309" s="96">
        <f t="shared" si="1"/>
      </c>
      <c r="D309" s="21">
        <f t="shared" si="7"/>
      </c>
      <c r="E309" s="21">
        <f t="shared" si="2"/>
      </c>
      <c r="F309" s="48">
        <f t="shared" si="8"/>
      </c>
      <c r="G309" s="94">
        <f t="shared" si="9"/>
      </c>
      <c r="H309" s="94">
        <f t="shared" si="3"/>
      </c>
      <c r="I309" s="96">
        <f t="shared" si="0"/>
      </c>
      <c r="J309" s="94">
        <f t="shared" si="4"/>
      </c>
      <c r="K309" s="94">
        <f t="shared" si="10"/>
      </c>
      <c r="L309" s="96">
        <f t="shared" si="5"/>
      </c>
      <c r="N309" s="2">
        <f>IF(302&gt;$Z$5,0,MOD(SMALL($Z$6:$Z$2005,302),10000))</f>
        <v>0</v>
      </c>
      <c r="O309" s="2">
        <f t="shared" si="11"/>
        <v>0</v>
      </c>
      <c r="Z309" s="2">
        <f>IF(AND(ISNUMBER(资金流水!$B$309),资金流水!$B$309&gt;=$C$4,资金流水!$B$309&lt;=$E$4,OR(资金流水!$C$309=$C$3,AND(资金流水!$AD$309=$C$3,资金流水!$X$309="账户互转"))),INT(资金流水!$B$309)*10000+304,"")</f>
      </c>
    </row>
    <row r="310">
      <c r="A310" s="94">
        <f>IF($N310=0,"",303)</f>
      </c>
      <c r="B310" s="95">
        <f t="shared" si="6"/>
      </c>
      <c r="C310" s="96">
        <f t="shared" si="1"/>
      </c>
      <c r="D310" s="21">
        <f t="shared" si="7"/>
      </c>
      <c r="E310" s="21">
        <f t="shared" si="2"/>
      </c>
      <c r="F310" s="48">
        <f t="shared" si="8"/>
      </c>
      <c r="G310" s="94">
        <f t="shared" si="9"/>
      </c>
      <c r="H310" s="94">
        <f t="shared" si="3"/>
      </c>
      <c r="I310" s="96">
        <f t="shared" si="0"/>
      </c>
      <c r="J310" s="94">
        <f t="shared" si="4"/>
      </c>
      <c r="K310" s="94">
        <f t="shared" si="10"/>
      </c>
      <c r="L310" s="96">
        <f t="shared" si="5"/>
      </c>
      <c r="N310" s="2">
        <f>IF(303&gt;$Z$5,0,MOD(SMALL($Z$6:$Z$2005,303),10000))</f>
        <v>0</v>
      </c>
      <c r="O310" s="2">
        <f t="shared" si="11"/>
        <v>0</v>
      </c>
      <c r="Z310" s="2">
        <f>IF(AND(ISNUMBER(资金流水!$B$310),资金流水!$B$310&gt;=$C$4,资金流水!$B$310&lt;=$E$4,OR(资金流水!$C$310=$C$3,AND(资金流水!$AD$310=$C$3,资金流水!$X$310="账户互转"))),INT(资金流水!$B$310)*10000+305,"")</f>
      </c>
    </row>
    <row r="311">
      <c r="A311" s="94">
        <f>IF($N311=0,"",304)</f>
      </c>
      <c r="B311" s="95">
        <f t="shared" si="6"/>
      </c>
      <c r="C311" s="96">
        <f t="shared" si="1"/>
      </c>
      <c r="D311" s="21">
        <f t="shared" si="7"/>
      </c>
      <c r="E311" s="21">
        <f t="shared" si="2"/>
      </c>
      <c r="F311" s="48">
        <f t="shared" si="8"/>
      </c>
      <c r="G311" s="94">
        <f t="shared" si="9"/>
      </c>
      <c r="H311" s="94">
        <f t="shared" si="3"/>
      </c>
      <c r="I311" s="96">
        <f t="shared" si="0"/>
      </c>
      <c r="J311" s="94">
        <f t="shared" si="4"/>
      </c>
      <c r="K311" s="94">
        <f t="shared" si="10"/>
      </c>
      <c r="L311" s="96">
        <f t="shared" si="5"/>
      </c>
      <c r="N311" s="2">
        <f>IF(304&gt;$Z$5,0,MOD(SMALL($Z$6:$Z$2005,304),10000))</f>
        <v>0</v>
      </c>
      <c r="O311" s="2">
        <f t="shared" si="11"/>
        <v>0</v>
      </c>
      <c r="Z311" s="2">
        <f>IF(AND(ISNUMBER(资金流水!$B$311),资金流水!$B$311&gt;=$C$4,资金流水!$B$311&lt;=$E$4,OR(资金流水!$C$311=$C$3,AND(资金流水!$AD$311=$C$3,资金流水!$X$311="账户互转"))),INT(资金流水!$B$311)*10000+306,"")</f>
      </c>
    </row>
    <row r="312">
      <c r="A312" s="94">
        <f>IF($N312=0,"",305)</f>
      </c>
      <c r="B312" s="95">
        <f t="shared" si="6"/>
      </c>
      <c r="C312" s="96">
        <f t="shared" si="1"/>
      </c>
      <c r="D312" s="21">
        <f t="shared" si="7"/>
      </c>
      <c r="E312" s="21">
        <f t="shared" si="2"/>
      </c>
      <c r="F312" s="48">
        <f t="shared" si="8"/>
      </c>
      <c r="G312" s="94">
        <f t="shared" si="9"/>
      </c>
      <c r="H312" s="94">
        <f t="shared" si="3"/>
      </c>
      <c r="I312" s="96">
        <f t="shared" si="0"/>
      </c>
      <c r="J312" s="94">
        <f t="shared" si="4"/>
      </c>
      <c r="K312" s="94">
        <f t="shared" si="10"/>
      </c>
      <c r="L312" s="96">
        <f t="shared" si="5"/>
      </c>
      <c r="N312" s="2">
        <f>IF(305&gt;$Z$5,0,MOD(SMALL($Z$6:$Z$2005,305),10000))</f>
        <v>0</v>
      </c>
      <c r="O312" s="2">
        <f t="shared" si="11"/>
        <v>0</v>
      </c>
      <c r="Z312" s="2">
        <f>IF(AND(ISNUMBER(资金流水!$B$312),资金流水!$B$312&gt;=$C$4,资金流水!$B$312&lt;=$E$4,OR(资金流水!$C$312=$C$3,AND(资金流水!$AD$312=$C$3,资金流水!$X$312="账户互转"))),INT(资金流水!$B$312)*10000+307,"")</f>
      </c>
    </row>
    <row r="313">
      <c r="A313" s="94">
        <f>IF($N313=0,"",306)</f>
      </c>
      <c r="B313" s="95">
        <f t="shared" si="6"/>
      </c>
      <c r="C313" s="96">
        <f t="shared" si="1"/>
      </c>
      <c r="D313" s="21">
        <f t="shared" si="7"/>
      </c>
      <c r="E313" s="21">
        <f t="shared" si="2"/>
      </c>
      <c r="F313" s="48">
        <f t="shared" si="8"/>
      </c>
      <c r="G313" s="94">
        <f t="shared" si="9"/>
      </c>
      <c r="H313" s="94">
        <f t="shared" si="3"/>
      </c>
      <c r="I313" s="96">
        <f t="shared" si="0"/>
      </c>
      <c r="J313" s="94">
        <f t="shared" si="4"/>
      </c>
      <c r="K313" s="94">
        <f t="shared" si="10"/>
      </c>
      <c r="L313" s="96">
        <f t="shared" si="5"/>
      </c>
      <c r="N313" s="2">
        <f>IF(306&gt;$Z$5,0,MOD(SMALL($Z$6:$Z$2005,306),10000))</f>
        <v>0</v>
      </c>
      <c r="O313" s="2">
        <f t="shared" si="11"/>
        <v>0</v>
      </c>
      <c r="Z313" s="2">
        <f>IF(AND(ISNUMBER(资金流水!$B$313),资金流水!$B$313&gt;=$C$4,资金流水!$B$313&lt;=$E$4,OR(资金流水!$C$313=$C$3,AND(资金流水!$AD$313=$C$3,资金流水!$X$313="账户互转"))),INT(资金流水!$B$313)*10000+308,"")</f>
      </c>
    </row>
    <row r="314">
      <c r="A314" s="94">
        <f>IF($N314=0,"",307)</f>
      </c>
      <c r="B314" s="95">
        <f t="shared" si="6"/>
      </c>
      <c r="C314" s="96">
        <f t="shared" si="1"/>
      </c>
      <c r="D314" s="21">
        <f t="shared" si="7"/>
      </c>
      <c r="E314" s="21">
        <f t="shared" si="2"/>
      </c>
      <c r="F314" s="48">
        <f t="shared" si="8"/>
      </c>
      <c r="G314" s="94">
        <f t="shared" si="9"/>
      </c>
      <c r="H314" s="94">
        <f t="shared" si="3"/>
      </c>
      <c r="I314" s="96">
        <f t="shared" si="0"/>
      </c>
      <c r="J314" s="94">
        <f t="shared" si="4"/>
      </c>
      <c r="K314" s="94">
        <f t="shared" si="10"/>
      </c>
      <c r="L314" s="96">
        <f t="shared" si="5"/>
      </c>
      <c r="N314" s="2">
        <f>IF(307&gt;$Z$5,0,MOD(SMALL($Z$6:$Z$2005,307),10000))</f>
        <v>0</v>
      </c>
      <c r="O314" s="2">
        <f t="shared" si="11"/>
        <v>0</v>
      </c>
      <c r="Z314" s="2">
        <f>IF(AND(ISNUMBER(资金流水!$B$314),资金流水!$B$314&gt;=$C$4,资金流水!$B$314&lt;=$E$4,OR(资金流水!$C$314=$C$3,AND(资金流水!$AD$314=$C$3,资金流水!$X$314="账户互转"))),INT(资金流水!$B$314)*10000+309,"")</f>
      </c>
    </row>
    <row r="315">
      <c r="A315" s="94">
        <f>IF($N315=0,"",308)</f>
      </c>
      <c r="B315" s="95">
        <f t="shared" si="6"/>
      </c>
      <c r="C315" s="96">
        <f t="shared" si="1"/>
      </c>
      <c r="D315" s="21">
        <f t="shared" si="7"/>
      </c>
      <c r="E315" s="21">
        <f t="shared" si="2"/>
      </c>
      <c r="F315" s="48">
        <f t="shared" si="8"/>
      </c>
      <c r="G315" s="94">
        <f t="shared" si="9"/>
      </c>
      <c r="H315" s="94">
        <f t="shared" si="3"/>
      </c>
      <c r="I315" s="96">
        <f t="shared" si="0"/>
      </c>
      <c r="J315" s="94">
        <f t="shared" si="4"/>
      </c>
      <c r="K315" s="94">
        <f t="shared" si="10"/>
      </c>
      <c r="L315" s="96">
        <f t="shared" si="5"/>
      </c>
      <c r="N315" s="2">
        <f>IF(308&gt;$Z$5,0,MOD(SMALL($Z$6:$Z$2005,308),10000))</f>
        <v>0</v>
      </c>
      <c r="O315" s="2">
        <f t="shared" si="11"/>
        <v>0</v>
      </c>
      <c r="Z315" s="2">
        <f>IF(AND(ISNUMBER(资金流水!$B$315),资金流水!$B$315&gt;=$C$4,资金流水!$B$315&lt;=$E$4,OR(资金流水!$C$315=$C$3,AND(资金流水!$AD$315=$C$3,资金流水!$X$315="账户互转"))),INT(资金流水!$B$315)*10000+310,"")</f>
      </c>
    </row>
    <row r="316">
      <c r="A316" s="94">
        <f>IF($N316=0,"",309)</f>
      </c>
      <c r="B316" s="95">
        <f t="shared" si="6"/>
      </c>
      <c r="C316" s="96">
        <f t="shared" si="1"/>
      </c>
      <c r="D316" s="21">
        <f t="shared" si="7"/>
      </c>
      <c r="E316" s="21">
        <f t="shared" si="2"/>
      </c>
      <c r="F316" s="48">
        <f t="shared" si="8"/>
      </c>
      <c r="G316" s="94">
        <f t="shared" si="9"/>
      </c>
      <c r="H316" s="94">
        <f t="shared" si="3"/>
      </c>
      <c r="I316" s="96">
        <f t="shared" si="0"/>
      </c>
      <c r="J316" s="94">
        <f t="shared" si="4"/>
      </c>
      <c r="K316" s="94">
        <f t="shared" si="10"/>
      </c>
      <c r="L316" s="96">
        <f t="shared" si="5"/>
      </c>
      <c r="N316" s="2">
        <f>IF(309&gt;$Z$5,0,MOD(SMALL($Z$6:$Z$2005,309),10000))</f>
        <v>0</v>
      </c>
      <c r="O316" s="2">
        <f t="shared" si="11"/>
        <v>0</v>
      </c>
      <c r="Z316" s="2">
        <f>IF(AND(ISNUMBER(资金流水!$B$316),资金流水!$B$316&gt;=$C$4,资金流水!$B$316&lt;=$E$4,OR(资金流水!$C$316=$C$3,AND(资金流水!$AD$316=$C$3,资金流水!$X$316="账户互转"))),INT(资金流水!$B$316)*10000+311,"")</f>
      </c>
    </row>
    <row r="317">
      <c r="A317" s="94">
        <f>IF($N317=0,"",310)</f>
      </c>
      <c r="B317" s="95">
        <f t="shared" si="6"/>
      </c>
      <c r="C317" s="96">
        <f t="shared" si="1"/>
      </c>
      <c r="D317" s="21">
        <f t="shared" si="7"/>
      </c>
      <c r="E317" s="21">
        <f t="shared" si="2"/>
      </c>
      <c r="F317" s="48">
        <f t="shared" si="8"/>
      </c>
      <c r="G317" s="94">
        <f t="shared" si="9"/>
      </c>
      <c r="H317" s="94">
        <f t="shared" si="3"/>
      </c>
      <c r="I317" s="96">
        <f t="shared" si="0"/>
      </c>
      <c r="J317" s="94">
        <f t="shared" si="4"/>
      </c>
      <c r="K317" s="94">
        <f t="shared" si="10"/>
      </c>
      <c r="L317" s="96">
        <f t="shared" si="5"/>
      </c>
      <c r="N317" s="2">
        <f>IF(310&gt;$Z$5,0,MOD(SMALL($Z$6:$Z$2005,310),10000))</f>
        <v>0</v>
      </c>
      <c r="O317" s="2">
        <f t="shared" si="11"/>
        <v>0</v>
      </c>
      <c r="Z317" s="2">
        <f>IF(AND(ISNUMBER(资金流水!$B$317),资金流水!$B$317&gt;=$C$4,资金流水!$B$317&lt;=$E$4,OR(资金流水!$C$317=$C$3,AND(资金流水!$AD$317=$C$3,资金流水!$X$317="账户互转"))),INT(资金流水!$B$317)*10000+312,"")</f>
      </c>
    </row>
    <row r="318">
      <c r="A318" s="94">
        <f>IF($N318=0,"",311)</f>
      </c>
      <c r="B318" s="95">
        <f t="shared" si="6"/>
      </c>
      <c r="C318" s="96">
        <f t="shared" si="1"/>
      </c>
      <c r="D318" s="21">
        <f t="shared" si="7"/>
      </c>
      <c r="E318" s="21">
        <f t="shared" si="2"/>
      </c>
      <c r="F318" s="48">
        <f t="shared" si="8"/>
      </c>
      <c r="G318" s="94">
        <f t="shared" si="9"/>
      </c>
      <c r="H318" s="94">
        <f t="shared" si="3"/>
      </c>
      <c r="I318" s="96">
        <f t="shared" si="0"/>
      </c>
      <c r="J318" s="94">
        <f t="shared" si="4"/>
      </c>
      <c r="K318" s="94">
        <f t="shared" si="10"/>
      </c>
      <c r="L318" s="96">
        <f t="shared" si="5"/>
      </c>
      <c r="N318" s="2">
        <f>IF(311&gt;$Z$5,0,MOD(SMALL($Z$6:$Z$2005,311),10000))</f>
        <v>0</v>
      </c>
      <c r="O318" s="2">
        <f t="shared" si="11"/>
        <v>0</v>
      </c>
      <c r="Z318" s="2">
        <f>IF(AND(ISNUMBER(资金流水!$B$318),资金流水!$B$318&gt;=$C$4,资金流水!$B$318&lt;=$E$4,OR(资金流水!$C$318=$C$3,AND(资金流水!$AD$318=$C$3,资金流水!$X$318="账户互转"))),INT(资金流水!$B$318)*10000+313,"")</f>
      </c>
    </row>
    <row r="319">
      <c r="A319" s="94">
        <f>IF($N319=0,"",312)</f>
      </c>
      <c r="B319" s="95">
        <f t="shared" si="6"/>
      </c>
      <c r="C319" s="96">
        <f t="shared" si="1"/>
      </c>
      <c r="D319" s="21">
        <f t="shared" si="7"/>
      </c>
      <c r="E319" s="21">
        <f t="shared" si="2"/>
      </c>
      <c r="F319" s="48">
        <f t="shared" si="8"/>
      </c>
      <c r="G319" s="94">
        <f t="shared" si="9"/>
      </c>
      <c r="H319" s="94">
        <f t="shared" si="3"/>
      </c>
      <c r="I319" s="96">
        <f t="shared" si="0"/>
      </c>
      <c r="J319" s="94">
        <f t="shared" si="4"/>
      </c>
      <c r="K319" s="94">
        <f t="shared" si="10"/>
      </c>
      <c r="L319" s="96">
        <f t="shared" si="5"/>
      </c>
      <c r="N319" s="2">
        <f>IF(312&gt;$Z$5,0,MOD(SMALL($Z$6:$Z$2005,312),10000))</f>
        <v>0</v>
      </c>
      <c r="O319" s="2">
        <f t="shared" si="11"/>
        <v>0</v>
      </c>
      <c r="Z319" s="2">
        <f>IF(AND(ISNUMBER(资金流水!$B$319),资金流水!$B$319&gt;=$C$4,资金流水!$B$319&lt;=$E$4,OR(资金流水!$C$319=$C$3,AND(资金流水!$AD$319=$C$3,资金流水!$X$319="账户互转"))),INT(资金流水!$B$319)*10000+314,"")</f>
      </c>
    </row>
    <row r="320">
      <c r="A320" s="94">
        <f>IF($N320=0,"",313)</f>
      </c>
      <c r="B320" s="95">
        <f t="shared" si="6"/>
      </c>
      <c r="C320" s="96">
        <f t="shared" si="1"/>
      </c>
      <c r="D320" s="21">
        <f t="shared" si="7"/>
      </c>
      <c r="E320" s="21">
        <f t="shared" si="2"/>
      </c>
      <c r="F320" s="48">
        <f t="shared" si="8"/>
      </c>
      <c r="G320" s="94">
        <f t="shared" si="9"/>
      </c>
      <c r="H320" s="94">
        <f t="shared" si="3"/>
      </c>
      <c r="I320" s="96">
        <f t="shared" si="0"/>
      </c>
      <c r="J320" s="94">
        <f t="shared" si="4"/>
      </c>
      <c r="K320" s="94">
        <f t="shared" si="10"/>
      </c>
      <c r="L320" s="96">
        <f t="shared" si="5"/>
      </c>
      <c r="N320" s="2">
        <f>IF(313&gt;$Z$5,0,MOD(SMALL($Z$6:$Z$2005,313),10000))</f>
        <v>0</v>
      </c>
      <c r="O320" s="2">
        <f t="shared" si="11"/>
        <v>0</v>
      </c>
      <c r="Z320" s="2">
        <f>IF(AND(ISNUMBER(资金流水!$B$320),资金流水!$B$320&gt;=$C$4,资金流水!$B$320&lt;=$E$4,OR(资金流水!$C$320=$C$3,AND(资金流水!$AD$320=$C$3,资金流水!$X$320="账户互转"))),INT(资金流水!$B$320)*10000+315,"")</f>
      </c>
    </row>
    <row r="321">
      <c r="A321" s="94">
        <f>IF($N321=0,"",314)</f>
      </c>
      <c r="B321" s="95">
        <f t="shared" si="6"/>
      </c>
      <c r="C321" s="96">
        <f t="shared" si="1"/>
      </c>
      <c r="D321" s="21">
        <f t="shared" si="7"/>
      </c>
      <c r="E321" s="21">
        <f t="shared" si="2"/>
      </c>
      <c r="F321" s="48">
        <f t="shared" si="8"/>
      </c>
      <c r="G321" s="94">
        <f t="shared" si="9"/>
      </c>
      <c r="H321" s="94">
        <f t="shared" si="3"/>
      </c>
      <c r="I321" s="96">
        <f t="shared" si="0"/>
      </c>
      <c r="J321" s="94">
        <f t="shared" si="4"/>
      </c>
      <c r="K321" s="94">
        <f t="shared" si="10"/>
      </c>
      <c r="L321" s="96">
        <f t="shared" si="5"/>
      </c>
      <c r="N321" s="2">
        <f>IF(314&gt;$Z$5,0,MOD(SMALL($Z$6:$Z$2005,314),10000))</f>
        <v>0</v>
      </c>
      <c r="O321" s="2">
        <f t="shared" si="11"/>
        <v>0</v>
      </c>
      <c r="Z321" s="2">
        <f>IF(AND(ISNUMBER(资金流水!$B$321),资金流水!$B$321&gt;=$C$4,资金流水!$B$321&lt;=$E$4,OR(资金流水!$C$321=$C$3,AND(资金流水!$AD$321=$C$3,资金流水!$X$321="账户互转"))),INT(资金流水!$B$321)*10000+316,"")</f>
      </c>
    </row>
    <row r="322">
      <c r="A322" s="94">
        <f>IF($N322=0,"",315)</f>
      </c>
      <c r="B322" s="95">
        <f t="shared" si="6"/>
      </c>
      <c r="C322" s="96">
        <f t="shared" si="1"/>
      </c>
      <c r="D322" s="21">
        <f t="shared" si="7"/>
      </c>
      <c r="E322" s="21">
        <f t="shared" si="2"/>
      </c>
      <c r="F322" s="48">
        <f t="shared" si="8"/>
      </c>
      <c r="G322" s="94">
        <f t="shared" si="9"/>
      </c>
      <c r="H322" s="94">
        <f t="shared" si="3"/>
      </c>
      <c r="I322" s="96">
        <f t="shared" si="0"/>
      </c>
      <c r="J322" s="94">
        <f t="shared" si="4"/>
      </c>
      <c r="K322" s="94">
        <f t="shared" si="10"/>
      </c>
      <c r="L322" s="96">
        <f t="shared" si="5"/>
      </c>
      <c r="N322" s="2">
        <f>IF(315&gt;$Z$5,0,MOD(SMALL($Z$6:$Z$2005,315),10000))</f>
        <v>0</v>
      </c>
      <c r="O322" s="2">
        <f t="shared" si="11"/>
        <v>0</v>
      </c>
      <c r="Z322" s="2">
        <f>IF(AND(ISNUMBER(资金流水!$B$322),资金流水!$B$322&gt;=$C$4,资金流水!$B$322&lt;=$E$4,OR(资金流水!$C$322=$C$3,AND(资金流水!$AD$322=$C$3,资金流水!$X$322="账户互转"))),INT(资金流水!$B$322)*10000+317,"")</f>
      </c>
    </row>
    <row r="323">
      <c r="A323" s="94">
        <f>IF($N323=0,"",316)</f>
      </c>
      <c r="B323" s="95">
        <f t="shared" si="6"/>
      </c>
      <c r="C323" s="96">
        <f t="shared" si="1"/>
      </c>
      <c r="D323" s="21">
        <f t="shared" si="7"/>
      </c>
      <c r="E323" s="21">
        <f t="shared" si="2"/>
      </c>
      <c r="F323" s="48">
        <f t="shared" si="8"/>
      </c>
      <c r="G323" s="94">
        <f t="shared" si="9"/>
      </c>
      <c r="H323" s="94">
        <f t="shared" si="3"/>
      </c>
      <c r="I323" s="96">
        <f t="shared" si="0"/>
      </c>
      <c r="J323" s="94">
        <f t="shared" si="4"/>
      </c>
      <c r="K323" s="94">
        <f t="shared" si="10"/>
      </c>
      <c r="L323" s="96">
        <f t="shared" si="5"/>
      </c>
      <c r="N323" s="2">
        <f>IF(316&gt;$Z$5,0,MOD(SMALL($Z$6:$Z$2005,316),10000))</f>
        <v>0</v>
      </c>
      <c r="O323" s="2">
        <f t="shared" si="11"/>
        <v>0</v>
      </c>
      <c r="Z323" s="2">
        <f>IF(AND(ISNUMBER(资金流水!$B$323),资金流水!$B$323&gt;=$C$4,资金流水!$B$323&lt;=$E$4,OR(资金流水!$C$323=$C$3,AND(资金流水!$AD$323=$C$3,资金流水!$X$323="账户互转"))),INT(资金流水!$B$323)*10000+318,"")</f>
      </c>
    </row>
    <row r="324">
      <c r="A324" s="94">
        <f>IF($N324=0,"",317)</f>
      </c>
      <c r="B324" s="95">
        <f t="shared" si="6"/>
      </c>
      <c r="C324" s="96">
        <f t="shared" si="1"/>
      </c>
      <c r="D324" s="21">
        <f t="shared" si="7"/>
      </c>
      <c r="E324" s="21">
        <f t="shared" si="2"/>
      </c>
      <c r="F324" s="48">
        <f t="shared" si="8"/>
      </c>
      <c r="G324" s="94">
        <f t="shared" si="9"/>
      </c>
      <c r="H324" s="94">
        <f t="shared" si="3"/>
      </c>
      <c r="I324" s="96">
        <f t="shared" si="0"/>
      </c>
      <c r="J324" s="94">
        <f t="shared" si="4"/>
      </c>
      <c r="K324" s="94">
        <f t="shared" si="10"/>
      </c>
      <c r="L324" s="96">
        <f t="shared" si="5"/>
      </c>
      <c r="N324" s="2">
        <f>IF(317&gt;$Z$5,0,MOD(SMALL($Z$6:$Z$2005,317),10000))</f>
        <v>0</v>
      </c>
      <c r="O324" s="2">
        <f t="shared" si="11"/>
        <v>0</v>
      </c>
      <c r="Z324" s="2">
        <f>IF(AND(ISNUMBER(资金流水!$B$324),资金流水!$B$324&gt;=$C$4,资金流水!$B$324&lt;=$E$4,OR(资金流水!$C$324=$C$3,AND(资金流水!$AD$324=$C$3,资金流水!$X$324="账户互转"))),INT(资金流水!$B$324)*10000+319,"")</f>
      </c>
    </row>
    <row r="325">
      <c r="A325" s="94">
        <f>IF($N325=0,"",318)</f>
      </c>
      <c r="B325" s="95">
        <f t="shared" si="6"/>
      </c>
      <c r="C325" s="96">
        <f t="shared" si="1"/>
      </c>
      <c r="D325" s="21">
        <f t="shared" si="7"/>
      </c>
      <c r="E325" s="21">
        <f t="shared" si="2"/>
      </c>
      <c r="F325" s="48">
        <f t="shared" si="8"/>
      </c>
      <c r="G325" s="94">
        <f t="shared" si="9"/>
      </c>
      <c r="H325" s="94">
        <f t="shared" si="3"/>
      </c>
      <c r="I325" s="96">
        <f t="shared" si="0"/>
      </c>
      <c r="J325" s="94">
        <f t="shared" si="4"/>
      </c>
      <c r="K325" s="94">
        <f t="shared" si="10"/>
      </c>
      <c r="L325" s="96">
        <f t="shared" si="5"/>
      </c>
      <c r="N325" s="2">
        <f>IF(318&gt;$Z$5,0,MOD(SMALL($Z$6:$Z$2005,318),10000))</f>
        <v>0</v>
      </c>
      <c r="O325" s="2">
        <f t="shared" si="11"/>
        <v>0</v>
      </c>
      <c r="Z325" s="2">
        <f>IF(AND(ISNUMBER(资金流水!$B$325),资金流水!$B$325&gt;=$C$4,资金流水!$B$325&lt;=$E$4,OR(资金流水!$C$325=$C$3,AND(资金流水!$AD$325=$C$3,资金流水!$X$325="账户互转"))),INT(资金流水!$B$325)*10000+320,"")</f>
      </c>
    </row>
    <row r="326">
      <c r="A326" s="94">
        <f>IF($N326=0,"",319)</f>
      </c>
      <c r="B326" s="95">
        <f t="shared" si="6"/>
      </c>
      <c r="C326" s="96">
        <f t="shared" si="1"/>
      </c>
      <c r="D326" s="21">
        <f t="shared" si="7"/>
      </c>
      <c r="E326" s="21">
        <f t="shared" si="2"/>
      </c>
      <c r="F326" s="48">
        <f t="shared" si="8"/>
      </c>
      <c r="G326" s="94">
        <f t="shared" si="9"/>
      </c>
      <c r="H326" s="94">
        <f t="shared" si="3"/>
      </c>
      <c r="I326" s="96">
        <f t="shared" si="0"/>
      </c>
      <c r="J326" s="94">
        <f t="shared" si="4"/>
      </c>
      <c r="K326" s="94">
        <f t="shared" si="10"/>
      </c>
      <c r="L326" s="96">
        <f t="shared" si="5"/>
      </c>
      <c r="N326" s="2">
        <f>IF(319&gt;$Z$5,0,MOD(SMALL($Z$6:$Z$2005,319),10000))</f>
        <v>0</v>
      </c>
      <c r="O326" s="2">
        <f t="shared" si="11"/>
        <v>0</v>
      </c>
      <c r="Z326" s="2">
        <f>IF(AND(ISNUMBER(资金流水!$B$326),资金流水!$B$326&gt;=$C$4,资金流水!$B$326&lt;=$E$4,OR(资金流水!$C$326=$C$3,AND(资金流水!$AD$326=$C$3,资金流水!$X$326="账户互转"))),INT(资金流水!$B$326)*10000+321,"")</f>
      </c>
    </row>
    <row r="327">
      <c r="A327" s="94">
        <f>IF($N327=0,"",320)</f>
      </c>
      <c r="B327" s="95">
        <f t="shared" si="6"/>
      </c>
      <c r="C327" s="96">
        <f t="shared" si="1"/>
      </c>
      <c r="D327" s="21">
        <f t="shared" si="7"/>
      </c>
      <c r="E327" s="21">
        <f t="shared" si="2"/>
      </c>
      <c r="F327" s="48">
        <f t="shared" si="8"/>
      </c>
      <c r="G327" s="94">
        <f t="shared" si="9"/>
      </c>
      <c r="H327" s="94">
        <f t="shared" si="3"/>
      </c>
      <c r="I327" s="96">
        <f t="shared" si="0"/>
      </c>
      <c r="J327" s="94">
        <f t="shared" si="4"/>
      </c>
      <c r="K327" s="94">
        <f t="shared" si="10"/>
      </c>
      <c r="L327" s="96">
        <f t="shared" si="5"/>
      </c>
      <c r="N327" s="2">
        <f>IF(320&gt;$Z$5,0,MOD(SMALL($Z$6:$Z$2005,320),10000))</f>
        <v>0</v>
      </c>
      <c r="O327" s="2">
        <f t="shared" si="11"/>
        <v>0</v>
      </c>
      <c r="Z327" s="2">
        <f>IF(AND(ISNUMBER(资金流水!$B$327),资金流水!$B$327&gt;=$C$4,资金流水!$B$327&lt;=$E$4,OR(资金流水!$C$327=$C$3,AND(资金流水!$AD$327=$C$3,资金流水!$X$327="账户互转"))),INT(资金流水!$B$327)*10000+322,"")</f>
      </c>
    </row>
    <row r="328">
      <c r="A328" s="94">
        <f>IF($N328=0,"",321)</f>
      </c>
      <c r="B328" s="95">
        <f t="shared" si="6"/>
      </c>
      <c r="C328" s="96">
        <f t="shared" si="1"/>
      </c>
      <c r="D328" s="21">
        <f t="shared" si="7"/>
      </c>
      <c r="E328" s="21">
        <f t="shared" si="2"/>
      </c>
      <c r="F328" s="48">
        <f t="shared" si="8"/>
      </c>
      <c r="G328" s="94">
        <f t="shared" si="9"/>
      </c>
      <c r="H328" s="94">
        <f t="shared" si="3"/>
      </c>
      <c r="I328" s="96">
        <f t="shared" si="0"/>
      </c>
      <c r="J328" s="94">
        <f t="shared" si="4"/>
      </c>
      <c r="K328" s="94">
        <f t="shared" si="10"/>
      </c>
      <c r="L328" s="96">
        <f t="shared" si="5"/>
      </c>
      <c r="N328" s="2">
        <f>IF(321&gt;$Z$5,0,MOD(SMALL($Z$6:$Z$2005,321),10000))</f>
        <v>0</v>
      </c>
      <c r="O328" s="2">
        <f t="shared" si="11"/>
        <v>0</v>
      </c>
      <c r="Z328" s="2">
        <f>IF(AND(ISNUMBER(资金流水!$B$328),资金流水!$B$328&gt;=$C$4,资金流水!$B$328&lt;=$E$4,OR(资金流水!$C$328=$C$3,AND(资金流水!$AD$328=$C$3,资金流水!$X$328="账户互转"))),INT(资金流水!$B$328)*10000+323,"")</f>
      </c>
    </row>
    <row r="329">
      <c r="A329" s="94">
        <f>IF($N329=0,"",322)</f>
      </c>
      <c r="B329" s="95">
        <f t="shared" si="6"/>
      </c>
      <c r="C329" s="96">
        <f t="shared" si="1"/>
      </c>
      <c r="D329" s="21">
        <f t="shared" si="7"/>
      </c>
      <c r="E329" s="21">
        <f t="shared" si="2"/>
      </c>
      <c r="F329" s="48">
        <f t="shared" si="8"/>
      </c>
      <c r="G329" s="94">
        <f t="shared" si="9"/>
      </c>
      <c r="H329" s="94">
        <f t="shared" si="3"/>
      </c>
      <c r="I329" s="96">
        <f t="shared" si="0"/>
      </c>
      <c r="J329" s="94">
        <f t="shared" si="4"/>
      </c>
      <c r="K329" s="94">
        <f t="shared" si="10"/>
      </c>
      <c r="L329" s="96">
        <f t="shared" si="5"/>
      </c>
      <c r="N329" s="2">
        <f>IF(322&gt;$Z$5,0,MOD(SMALL($Z$6:$Z$2005,322),10000))</f>
        <v>0</v>
      </c>
      <c r="O329" s="2">
        <f t="shared" si="11"/>
        <v>0</v>
      </c>
      <c r="Z329" s="2">
        <f>IF(AND(ISNUMBER(资金流水!$B$329),资金流水!$B$329&gt;=$C$4,资金流水!$B$329&lt;=$E$4,OR(资金流水!$C$329=$C$3,AND(资金流水!$AD$329=$C$3,资金流水!$X$329="账户互转"))),INT(资金流水!$B$329)*10000+324,"")</f>
      </c>
    </row>
    <row r="330">
      <c r="A330" s="94">
        <f>IF($N330=0,"",323)</f>
      </c>
      <c r="B330" s="95">
        <f t="shared" si="6"/>
      </c>
      <c r="C330" s="96">
        <f t="shared" si="1"/>
      </c>
      <c r="D330" s="21">
        <f t="shared" si="7"/>
      </c>
      <c r="E330" s="21">
        <f t="shared" si="2"/>
      </c>
      <c r="F330" s="48">
        <f t="shared" si="8"/>
      </c>
      <c r="G330" s="94">
        <f t="shared" si="9"/>
      </c>
      <c r="H330" s="94">
        <f t="shared" si="3"/>
      </c>
      <c r="I330" s="96">
        <f t="shared" si="0"/>
      </c>
      <c r="J330" s="94">
        <f t="shared" si="4"/>
      </c>
      <c r="K330" s="94">
        <f t="shared" si="10"/>
      </c>
      <c r="L330" s="96">
        <f t="shared" si="5"/>
      </c>
      <c r="N330" s="2">
        <f>IF(323&gt;$Z$5,0,MOD(SMALL($Z$6:$Z$2005,323),10000))</f>
        <v>0</v>
      </c>
      <c r="O330" s="2">
        <f t="shared" si="11"/>
        <v>0</v>
      </c>
      <c r="Z330" s="2">
        <f>IF(AND(ISNUMBER(资金流水!$B$330),资金流水!$B$330&gt;=$C$4,资金流水!$B$330&lt;=$E$4,OR(资金流水!$C$330=$C$3,AND(资金流水!$AD$330=$C$3,资金流水!$X$330="账户互转"))),INT(资金流水!$B$330)*10000+325,"")</f>
      </c>
    </row>
    <row r="331">
      <c r="A331" s="94">
        <f>IF($N331=0,"",324)</f>
      </c>
      <c r="B331" s="95">
        <f t="shared" si="6"/>
      </c>
      <c r="C331" s="96">
        <f t="shared" si="1"/>
      </c>
      <c r="D331" s="21">
        <f t="shared" si="7"/>
      </c>
      <c r="E331" s="21">
        <f t="shared" si="2"/>
      </c>
      <c r="F331" s="48">
        <f t="shared" si="8"/>
      </c>
      <c r="G331" s="94">
        <f t="shared" si="9"/>
      </c>
      <c r="H331" s="94">
        <f t="shared" si="3"/>
      </c>
      <c r="I331" s="96">
        <f t="shared" si="0"/>
      </c>
      <c r="J331" s="94">
        <f t="shared" si="4"/>
      </c>
      <c r="K331" s="94">
        <f t="shared" si="10"/>
      </c>
      <c r="L331" s="96">
        <f t="shared" si="5"/>
      </c>
      <c r="N331" s="2">
        <f>IF(324&gt;$Z$5,0,MOD(SMALL($Z$6:$Z$2005,324),10000))</f>
        <v>0</v>
      </c>
      <c r="O331" s="2">
        <f t="shared" si="11"/>
        <v>0</v>
      </c>
      <c r="Z331" s="2">
        <f>IF(AND(ISNUMBER(资金流水!$B$331),资金流水!$B$331&gt;=$C$4,资金流水!$B$331&lt;=$E$4,OR(资金流水!$C$331=$C$3,AND(资金流水!$AD$331=$C$3,资金流水!$X$331="账户互转"))),INT(资金流水!$B$331)*10000+326,"")</f>
      </c>
    </row>
    <row r="332">
      <c r="A332" s="94">
        <f>IF($N332=0,"",325)</f>
      </c>
      <c r="B332" s="95">
        <f t="shared" si="6"/>
      </c>
      <c r="C332" s="96">
        <f t="shared" si="1"/>
      </c>
      <c r="D332" s="21">
        <f t="shared" si="7"/>
      </c>
      <c r="E332" s="21">
        <f t="shared" si="2"/>
      </c>
      <c r="F332" s="48">
        <f t="shared" si="8"/>
      </c>
      <c r="G332" s="94">
        <f t="shared" si="9"/>
      </c>
      <c r="H332" s="94">
        <f t="shared" si="3"/>
      </c>
      <c r="I332" s="96">
        <f t="shared" si="0"/>
      </c>
      <c r="J332" s="94">
        <f t="shared" si="4"/>
      </c>
      <c r="K332" s="94">
        <f t="shared" si="10"/>
      </c>
      <c r="L332" s="96">
        <f t="shared" si="5"/>
      </c>
      <c r="N332" s="2">
        <f>IF(325&gt;$Z$5,0,MOD(SMALL($Z$6:$Z$2005,325),10000))</f>
        <v>0</v>
      </c>
      <c r="O332" s="2">
        <f t="shared" si="11"/>
        <v>0</v>
      </c>
      <c r="Z332" s="2">
        <f>IF(AND(ISNUMBER(资金流水!$B$332),资金流水!$B$332&gt;=$C$4,资金流水!$B$332&lt;=$E$4,OR(资金流水!$C$332=$C$3,AND(资金流水!$AD$332=$C$3,资金流水!$X$332="账户互转"))),INT(资金流水!$B$332)*10000+327,"")</f>
      </c>
    </row>
    <row r="333">
      <c r="A333" s="94">
        <f>IF($N333=0,"",326)</f>
      </c>
      <c r="B333" s="95">
        <f t="shared" si="6"/>
      </c>
      <c r="C333" s="96">
        <f t="shared" si="1"/>
      </c>
      <c r="D333" s="21">
        <f t="shared" si="7"/>
      </c>
      <c r="E333" s="21">
        <f t="shared" si="2"/>
      </c>
      <c r="F333" s="48">
        <f t="shared" si="8"/>
      </c>
      <c r="G333" s="94">
        <f t="shared" si="9"/>
      </c>
      <c r="H333" s="94">
        <f t="shared" si="3"/>
      </c>
      <c r="I333" s="96">
        <f t="shared" si="0"/>
      </c>
      <c r="J333" s="94">
        <f t="shared" si="4"/>
      </c>
      <c r="K333" s="94">
        <f t="shared" si="10"/>
      </c>
      <c r="L333" s="96">
        <f t="shared" si="5"/>
      </c>
      <c r="N333" s="2">
        <f>IF(326&gt;$Z$5,0,MOD(SMALL($Z$6:$Z$2005,326),10000))</f>
        <v>0</v>
      </c>
      <c r="O333" s="2">
        <f t="shared" si="11"/>
        <v>0</v>
      </c>
      <c r="Z333" s="2">
        <f>IF(AND(ISNUMBER(资金流水!$B$333),资金流水!$B$333&gt;=$C$4,资金流水!$B$333&lt;=$E$4,OR(资金流水!$C$333=$C$3,AND(资金流水!$AD$333=$C$3,资金流水!$X$333="账户互转"))),INT(资金流水!$B$333)*10000+328,"")</f>
      </c>
    </row>
    <row r="334">
      <c r="A334" s="94">
        <f>IF($N334=0,"",327)</f>
      </c>
      <c r="B334" s="95">
        <f t="shared" si="6"/>
      </c>
      <c r="C334" s="96">
        <f t="shared" si="1"/>
      </c>
      <c r="D334" s="21">
        <f t="shared" si="7"/>
      </c>
      <c r="E334" s="21">
        <f t="shared" si="2"/>
      </c>
      <c r="F334" s="48">
        <f t="shared" si="8"/>
      </c>
      <c r="G334" s="94">
        <f t="shared" si="9"/>
      </c>
      <c r="H334" s="94">
        <f t="shared" si="3"/>
      </c>
      <c r="I334" s="96">
        <f t="shared" si="0"/>
      </c>
      <c r="J334" s="94">
        <f t="shared" si="4"/>
      </c>
      <c r="K334" s="94">
        <f t="shared" si="10"/>
      </c>
      <c r="L334" s="96">
        <f t="shared" si="5"/>
      </c>
      <c r="N334" s="2">
        <f>IF(327&gt;$Z$5,0,MOD(SMALL($Z$6:$Z$2005,327),10000))</f>
        <v>0</v>
      </c>
      <c r="O334" s="2">
        <f t="shared" si="11"/>
        <v>0</v>
      </c>
      <c r="Z334" s="2">
        <f>IF(AND(ISNUMBER(资金流水!$B$334),资金流水!$B$334&gt;=$C$4,资金流水!$B$334&lt;=$E$4,OR(资金流水!$C$334=$C$3,AND(资金流水!$AD$334=$C$3,资金流水!$X$334="账户互转"))),INT(资金流水!$B$334)*10000+329,"")</f>
      </c>
    </row>
    <row r="335">
      <c r="A335" s="94">
        <f>IF($N335=0,"",328)</f>
      </c>
      <c r="B335" s="95">
        <f t="shared" si="6"/>
      </c>
      <c r="C335" s="96">
        <f t="shared" si="1"/>
      </c>
      <c r="D335" s="21">
        <f t="shared" si="7"/>
      </c>
      <c r="E335" s="21">
        <f t="shared" si="2"/>
      </c>
      <c r="F335" s="48">
        <f t="shared" si="8"/>
      </c>
      <c r="G335" s="94">
        <f t="shared" si="9"/>
      </c>
      <c r="H335" s="94">
        <f t="shared" si="3"/>
      </c>
      <c r="I335" s="96">
        <f t="shared" si="0"/>
      </c>
      <c r="J335" s="94">
        <f t="shared" si="4"/>
      </c>
      <c r="K335" s="94">
        <f t="shared" si="10"/>
      </c>
      <c r="L335" s="96">
        <f t="shared" si="5"/>
      </c>
      <c r="N335" s="2">
        <f>IF(328&gt;$Z$5,0,MOD(SMALL($Z$6:$Z$2005,328),10000))</f>
        <v>0</v>
      </c>
      <c r="O335" s="2">
        <f t="shared" si="11"/>
        <v>0</v>
      </c>
      <c r="Z335" s="2">
        <f>IF(AND(ISNUMBER(资金流水!$B$335),资金流水!$B$335&gt;=$C$4,资金流水!$B$335&lt;=$E$4,OR(资金流水!$C$335=$C$3,AND(资金流水!$AD$335=$C$3,资金流水!$X$335="账户互转"))),INT(资金流水!$B$335)*10000+330,"")</f>
      </c>
    </row>
    <row r="336">
      <c r="A336" s="94">
        <f>IF($N336=0,"",329)</f>
      </c>
      <c r="B336" s="95">
        <f t="shared" si="6"/>
      </c>
      <c r="C336" s="96">
        <f t="shared" si="1"/>
      </c>
      <c r="D336" s="21">
        <f t="shared" si="7"/>
      </c>
      <c r="E336" s="21">
        <f t="shared" si="2"/>
      </c>
      <c r="F336" s="48">
        <f t="shared" si="8"/>
      </c>
      <c r="G336" s="94">
        <f t="shared" si="9"/>
      </c>
      <c r="H336" s="94">
        <f t="shared" si="3"/>
      </c>
      <c r="I336" s="96">
        <f t="shared" si="0"/>
      </c>
      <c r="J336" s="94">
        <f t="shared" si="4"/>
      </c>
      <c r="K336" s="94">
        <f t="shared" si="10"/>
      </c>
      <c r="L336" s="96">
        <f t="shared" si="5"/>
      </c>
      <c r="N336" s="2">
        <f>IF(329&gt;$Z$5,0,MOD(SMALL($Z$6:$Z$2005,329),10000))</f>
        <v>0</v>
      </c>
      <c r="O336" s="2">
        <f t="shared" si="11"/>
        <v>0</v>
      </c>
      <c r="Z336" s="2">
        <f>IF(AND(ISNUMBER(资金流水!$B$336),资金流水!$B$336&gt;=$C$4,资金流水!$B$336&lt;=$E$4,OR(资金流水!$C$336=$C$3,AND(资金流水!$AD$336=$C$3,资金流水!$X$336="账户互转"))),INT(资金流水!$B$336)*10000+331,"")</f>
      </c>
    </row>
    <row r="337">
      <c r="A337" s="94">
        <f>IF($N337=0,"",330)</f>
      </c>
      <c r="B337" s="95">
        <f t="shared" si="6"/>
      </c>
      <c r="C337" s="96">
        <f t="shared" si="1"/>
      </c>
      <c r="D337" s="21">
        <f t="shared" si="7"/>
      </c>
      <c r="E337" s="21">
        <f t="shared" si="2"/>
      </c>
      <c r="F337" s="48">
        <f t="shared" si="8"/>
      </c>
      <c r="G337" s="94">
        <f t="shared" si="9"/>
      </c>
      <c r="H337" s="94">
        <f t="shared" si="3"/>
      </c>
      <c r="I337" s="96">
        <f t="shared" si="0"/>
      </c>
      <c r="J337" s="94">
        <f t="shared" si="4"/>
      </c>
      <c r="K337" s="94">
        <f t="shared" si="10"/>
      </c>
      <c r="L337" s="96">
        <f t="shared" si="5"/>
      </c>
      <c r="N337" s="2">
        <f>IF(330&gt;$Z$5,0,MOD(SMALL($Z$6:$Z$2005,330),10000))</f>
        <v>0</v>
      </c>
      <c r="O337" s="2">
        <f t="shared" si="11"/>
        <v>0</v>
      </c>
      <c r="Z337" s="2">
        <f>IF(AND(ISNUMBER(资金流水!$B$337),资金流水!$B$337&gt;=$C$4,资金流水!$B$337&lt;=$E$4,OR(资金流水!$C$337=$C$3,AND(资金流水!$AD$337=$C$3,资金流水!$X$337="账户互转"))),INT(资金流水!$B$337)*10000+332,"")</f>
      </c>
    </row>
    <row r="338">
      <c r="A338" s="94">
        <f>IF($N338=0,"",331)</f>
      </c>
      <c r="B338" s="95">
        <f t="shared" si="6"/>
      </c>
      <c r="C338" s="96">
        <f t="shared" si="1"/>
      </c>
      <c r="D338" s="21">
        <f t="shared" si="7"/>
      </c>
      <c r="E338" s="21">
        <f t="shared" si="2"/>
      </c>
      <c r="F338" s="48">
        <f t="shared" si="8"/>
      </c>
      <c r="G338" s="94">
        <f t="shared" si="9"/>
      </c>
      <c r="H338" s="94">
        <f t="shared" si="3"/>
      </c>
      <c r="I338" s="96">
        <f t="shared" si="0"/>
      </c>
      <c r="J338" s="94">
        <f t="shared" si="4"/>
      </c>
      <c r="K338" s="94">
        <f t="shared" si="10"/>
      </c>
      <c r="L338" s="96">
        <f t="shared" si="5"/>
      </c>
      <c r="N338" s="2">
        <f>IF(331&gt;$Z$5,0,MOD(SMALL($Z$6:$Z$2005,331),10000))</f>
        <v>0</v>
      </c>
      <c r="O338" s="2">
        <f t="shared" si="11"/>
        <v>0</v>
      </c>
      <c r="Z338" s="2">
        <f>IF(AND(ISNUMBER(资金流水!$B$338),资金流水!$B$338&gt;=$C$4,资金流水!$B$338&lt;=$E$4,OR(资金流水!$C$338=$C$3,AND(资金流水!$AD$338=$C$3,资金流水!$X$338="账户互转"))),INT(资金流水!$B$338)*10000+333,"")</f>
      </c>
    </row>
    <row r="339">
      <c r="A339" s="94">
        <f>IF($N339=0,"",332)</f>
      </c>
      <c r="B339" s="95">
        <f t="shared" si="6"/>
      </c>
      <c r="C339" s="96">
        <f t="shared" si="1"/>
      </c>
      <c r="D339" s="21">
        <f t="shared" si="7"/>
      </c>
      <c r="E339" s="21">
        <f t="shared" si="2"/>
      </c>
      <c r="F339" s="48">
        <f t="shared" si="8"/>
      </c>
      <c r="G339" s="94">
        <f t="shared" si="9"/>
      </c>
      <c r="H339" s="94">
        <f t="shared" si="3"/>
      </c>
      <c r="I339" s="96">
        <f t="shared" si="0"/>
      </c>
      <c r="J339" s="94">
        <f t="shared" si="4"/>
      </c>
      <c r="K339" s="94">
        <f t="shared" si="10"/>
      </c>
      <c r="L339" s="96">
        <f t="shared" si="5"/>
      </c>
      <c r="N339" s="2">
        <f>IF(332&gt;$Z$5,0,MOD(SMALL($Z$6:$Z$2005,332),10000))</f>
        <v>0</v>
      </c>
      <c r="O339" s="2">
        <f t="shared" si="11"/>
        <v>0</v>
      </c>
      <c r="Z339" s="2">
        <f>IF(AND(ISNUMBER(资金流水!$B$339),资金流水!$B$339&gt;=$C$4,资金流水!$B$339&lt;=$E$4,OR(资金流水!$C$339=$C$3,AND(资金流水!$AD$339=$C$3,资金流水!$X$339="账户互转"))),INT(资金流水!$B$339)*10000+334,"")</f>
      </c>
    </row>
    <row r="340">
      <c r="A340" s="94">
        <f>IF($N340=0,"",333)</f>
      </c>
      <c r="B340" s="95">
        <f t="shared" si="6"/>
      </c>
      <c r="C340" s="96">
        <f t="shared" si="1"/>
      </c>
      <c r="D340" s="21">
        <f t="shared" si="7"/>
      </c>
      <c r="E340" s="21">
        <f t="shared" si="2"/>
      </c>
      <c r="F340" s="48">
        <f t="shared" si="8"/>
      </c>
      <c r="G340" s="94">
        <f t="shared" si="9"/>
      </c>
      <c r="H340" s="94">
        <f t="shared" si="3"/>
      </c>
      <c r="I340" s="96">
        <f t="shared" si="0"/>
      </c>
      <c r="J340" s="94">
        <f t="shared" si="4"/>
      </c>
      <c r="K340" s="94">
        <f t="shared" si="10"/>
      </c>
      <c r="L340" s="96">
        <f t="shared" si="5"/>
      </c>
      <c r="N340" s="2">
        <f>IF(333&gt;$Z$5,0,MOD(SMALL($Z$6:$Z$2005,333),10000))</f>
        <v>0</v>
      </c>
      <c r="O340" s="2">
        <f t="shared" si="11"/>
        <v>0</v>
      </c>
      <c r="Z340" s="2">
        <f>IF(AND(ISNUMBER(资金流水!$B$340),资金流水!$B$340&gt;=$C$4,资金流水!$B$340&lt;=$E$4,OR(资金流水!$C$340=$C$3,AND(资金流水!$AD$340=$C$3,资金流水!$X$340="账户互转"))),INT(资金流水!$B$340)*10000+335,"")</f>
      </c>
    </row>
    <row r="341">
      <c r="A341" s="94">
        <f>IF($N341=0,"",334)</f>
      </c>
      <c r="B341" s="95">
        <f t="shared" si="6"/>
      </c>
      <c r="C341" s="96">
        <f t="shared" si="1"/>
      </c>
      <c r="D341" s="21">
        <f t="shared" si="7"/>
      </c>
      <c r="E341" s="21">
        <f t="shared" si="2"/>
      </c>
      <c r="F341" s="48">
        <f t="shared" si="8"/>
      </c>
      <c r="G341" s="94">
        <f t="shared" si="9"/>
      </c>
      <c r="H341" s="94">
        <f t="shared" si="3"/>
      </c>
      <c r="I341" s="96">
        <f t="shared" si="0"/>
      </c>
      <c r="J341" s="94">
        <f t="shared" si="4"/>
      </c>
      <c r="K341" s="94">
        <f t="shared" si="10"/>
      </c>
      <c r="L341" s="96">
        <f t="shared" si="5"/>
      </c>
      <c r="N341" s="2">
        <f>IF(334&gt;$Z$5,0,MOD(SMALL($Z$6:$Z$2005,334),10000))</f>
        <v>0</v>
      </c>
      <c r="O341" s="2">
        <f t="shared" si="11"/>
        <v>0</v>
      </c>
      <c r="Z341" s="2">
        <f>IF(AND(ISNUMBER(资金流水!$B$341),资金流水!$B$341&gt;=$C$4,资金流水!$B$341&lt;=$E$4,OR(资金流水!$C$341=$C$3,AND(资金流水!$AD$341=$C$3,资金流水!$X$341="账户互转"))),INT(资金流水!$B$341)*10000+336,"")</f>
      </c>
    </row>
    <row r="342">
      <c r="A342" s="94">
        <f>IF($N342=0,"",335)</f>
      </c>
      <c r="B342" s="95">
        <f t="shared" si="6"/>
      </c>
      <c r="C342" s="96">
        <f t="shared" si="1"/>
      </c>
      <c r="D342" s="21">
        <f t="shared" si="7"/>
      </c>
      <c r="E342" s="21">
        <f t="shared" si="2"/>
      </c>
      <c r="F342" s="48">
        <f t="shared" si="8"/>
      </c>
      <c r="G342" s="94">
        <f t="shared" si="9"/>
      </c>
      <c r="H342" s="94">
        <f t="shared" si="3"/>
      </c>
      <c r="I342" s="96">
        <f t="shared" si="0"/>
      </c>
      <c r="J342" s="94">
        <f t="shared" si="4"/>
      </c>
      <c r="K342" s="94">
        <f t="shared" si="10"/>
      </c>
      <c r="L342" s="96">
        <f t="shared" si="5"/>
      </c>
      <c r="N342" s="2">
        <f>IF(335&gt;$Z$5,0,MOD(SMALL($Z$6:$Z$2005,335),10000))</f>
        <v>0</v>
      </c>
      <c r="O342" s="2">
        <f t="shared" si="11"/>
        <v>0</v>
      </c>
      <c r="Z342" s="2">
        <f>IF(AND(ISNUMBER(资金流水!$B$342),资金流水!$B$342&gt;=$C$4,资金流水!$B$342&lt;=$E$4,OR(资金流水!$C$342=$C$3,AND(资金流水!$AD$342=$C$3,资金流水!$X$342="账户互转"))),INT(资金流水!$B$342)*10000+337,"")</f>
      </c>
    </row>
    <row r="343">
      <c r="A343" s="94">
        <f>IF($N343=0,"",336)</f>
      </c>
      <c r="B343" s="95">
        <f t="shared" si="6"/>
      </c>
      <c r="C343" s="96">
        <f t="shared" si="1"/>
      </c>
      <c r="D343" s="21">
        <f t="shared" si="7"/>
      </c>
      <c r="E343" s="21">
        <f t="shared" si="2"/>
      </c>
      <c r="F343" s="48">
        <f t="shared" si="8"/>
      </c>
      <c r="G343" s="94">
        <f t="shared" si="9"/>
      </c>
      <c r="H343" s="94">
        <f t="shared" si="3"/>
      </c>
      <c r="I343" s="96">
        <f t="shared" si="0"/>
      </c>
      <c r="J343" s="94">
        <f t="shared" si="4"/>
      </c>
      <c r="K343" s="94">
        <f t="shared" si="10"/>
      </c>
      <c r="L343" s="96">
        <f t="shared" si="5"/>
      </c>
      <c r="N343" s="2">
        <f>IF(336&gt;$Z$5,0,MOD(SMALL($Z$6:$Z$2005,336),10000))</f>
        <v>0</v>
      </c>
      <c r="O343" s="2">
        <f t="shared" si="11"/>
        <v>0</v>
      </c>
      <c r="Z343" s="2">
        <f>IF(AND(ISNUMBER(资金流水!$B$343),资金流水!$B$343&gt;=$C$4,资金流水!$B$343&lt;=$E$4,OR(资金流水!$C$343=$C$3,AND(资金流水!$AD$343=$C$3,资金流水!$X$343="账户互转"))),INT(资金流水!$B$343)*10000+338,"")</f>
      </c>
    </row>
    <row r="344">
      <c r="A344" s="94">
        <f>IF($N344=0,"",337)</f>
      </c>
      <c r="B344" s="95">
        <f t="shared" si="6"/>
      </c>
      <c r="C344" s="96">
        <f t="shared" si="1"/>
      </c>
      <c r="D344" s="21">
        <f t="shared" si="7"/>
      </c>
      <c r="E344" s="21">
        <f t="shared" si="2"/>
      </c>
      <c r="F344" s="48">
        <f t="shared" si="8"/>
      </c>
      <c r="G344" s="94">
        <f t="shared" si="9"/>
      </c>
      <c r="H344" s="94">
        <f t="shared" si="3"/>
      </c>
      <c r="I344" s="96">
        <f t="shared" si="0"/>
      </c>
      <c r="J344" s="94">
        <f t="shared" si="4"/>
      </c>
      <c r="K344" s="94">
        <f t="shared" si="10"/>
      </c>
      <c r="L344" s="96">
        <f t="shared" si="5"/>
      </c>
      <c r="N344" s="2">
        <f>IF(337&gt;$Z$5,0,MOD(SMALL($Z$6:$Z$2005,337),10000))</f>
        <v>0</v>
      </c>
      <c r="O344" s="2">
        <f t="shared" si="11"/>
        <v>0</v>
      </c>
      <c r="Z344" s="2">
        <f>IF(AND(ISNUMBER(资金流水!$B$344),资金流水!$B$344&gt;=$C$4,资金流水!$B$344&lt;=$E$4,OR(资金流水!$C$344=$C$3,AND(资金流水!$AD$344=$C$3,资金流水!$X$344="账户互转"))),INT(资金流水!$B$344)*10000+339,"")</f>
      </c>
    </row>
    <row r="345">
      <c r="A345" s="94">
        <f>IF($N345=0,"",338)</f>
      </c>
      <c r="B345" s="95">
        <f t="shared" si="6"/>
      </c>
      <c r="C345" s="96">
        <f t="shared" si="1"/>
      </c>
      <c r="D345" s="21">
        <f t="shared" si="7"/>
      </c>
      <c r="E345" s="21">
        <f t="shared" si="2"/>
      </c>
      <c r="F345" s="48">
        <f t="shared" si="8"/>
      </c>
      <c r="G345" s="94">
        <f t="shared" si="9"/>
      </c>
      <c r="H345" s="94">
        <f t="shared" si="3"/>
      </c>
      <c r="I345" s="96">
        <f t="shared" si="0"/>
      </c>
      <c r="J345" s="94">
        <f t="shared" si="4"/>
      </c>
      <c r="K345" s="94">
        <f t="shared" si="10"/>
      </c>
      <c r="L345" s="96">
        <f t="shared" si="5"/>
      </c>
      <c r="N345" s="2">
        <f>IF(338&gt;$Z$5,0,MOD(SMALL($Z$6:$Z$2005,338),10000))</f>
        <v>0</v>
      </c>
      <c r="O345" s="2">
        <f t="shared" si="11"/>
        <v>0</v>
      </c>
      <c r="Z345" s="2">
        <f>IF(AND(ISNUMBER(资金流水!$B$345),资金流水!$B$345&gt;=$C$4,资金流水!$B$345&lt;=$E$4,OR(资金流水!$C$345=$C$3,AND(资金流水!$AD$345=$C$3,资金流水!$X$345="账户互转"))),INT(资金流水!$B$345)*10000+340,"")</f>
      </c>
    </row>
    <row r="346">
      <c r="A346" s="94">
        <f>IF($N346=0,"",339)</f>
      </c>
      <c r="B346" s="95">
        <f t="shared" si="6"/>
      </c>
      <c r="C346" s="96">
        <f t="shared" si="1"/>
      </c>
      <c r="D346" s="21">
        <f t="shared" si="7"/>
      </c>
      <c r="E346" s="21">
        <f t="shared" si="2"/>
      </c>
      <c r="F346" s="48">
        <f t="shared" si="8"/>
      </c>
      <c r="G346" s="94">
        <f t="shared" si="9"/>
      </c>
      <c r="H346" s="94">
        <f t="shared" si="3"/>
      </c>
      <c r="I346" s="96">
        <f t="shared" si="0"/>
      </c>
      <c r="J346" s="94">
        <f t="shared" si="4"/>
      </c>
      <c r="K346" s="94">
        <f t="shared" si="10"/>
      </c>
      <c r="L346" s="96">
        <f t="shared" si="5"/>
      </c>
      <c r="N346" s="2">
        <f>IF(339&gt;$Z$5,0,MOD(SMALL($Z$6:$Z$2005,339),10000))</f>
        <v>0</v>
      </c>
      <c r="O346" s="2">
        <f t="shared" si="11"/>
        <v>0</v>
      </c>
      <c r="Z346" s="2">
        <f>IF(AND(ISNUMBER(资金流水!$B$346),资金流水!$B$346&gt;=$C$4,资金流水!$B$346&lt;=$E$4,OR(资金流水!$C$346=$C$3,AND(资金流水!$AD$346=$C$3,资金流水!$X$346="账户互转"))),INT(资金流水!$B$346)*10000+341,"")</f>
      </c>
    </row>
    <row r="347">
      <c r="A347" s="94">
        <f>IF($N347=0,"",340)</f>
      </c>
      <c r="B347" s="95">
        <f t="shared" si="6"/>
      </c>
      <c r="C347" s="96">
        <f t="shared" si="1"/>
      </c>
      <c r="D347" s="21">
        <f t="shared" si="7"/>
      </c>
      <c r="E347" s="21">
        <f t="shared" si="2"/>
      </c>
      <c r="F347" s="48">
        <f t="shared" si="8"/>
      </c>
      <c r="G347" s="94">
        <f t="shared" si="9"/>
      </c>
      <c r="H347" s="94">
        <f t="shared" si="3"/>
      </c>
      <c r="I347" s="96">
        <f t="shared" si="0"/>
      </c>
      <c r="J347" s="94">
        <f t="shared" si="4"/>
      </c>
      <c r="K347" s="94">
        <f t="shared" si="10"/>
      </c>
      <c r="L347" s="96">
        <f t="shared" si="5"/>
      </c>
      <c r="N347" s="2">
        <f>IF(340&gt;$Z$5,0,MOD(SMALL($Z$6:$Z$2005,340),10000))</f>
        <v>0</v>
      </c>
      <c r="O347" s="2">
        <f t="shared" si="11"/>
        <v>0</v>
      </c>
      <c r="Z347" s="2">
        <f>IF(AND(ISNUMBER(资金流水!$B$347),资金流水!$B$347&gt;=$C$4,资金流水!$B$347&lt;=$E$4,OR(资金流水!$C$347=$C$3,AND(资金流水!$AD$347=$C$3,资金流水!$X$347="账户互转"))),INT(资金流水!$B$347)*10000+342,"")</f>
      </c>
    </row>
    <row r="348">
      <c r="A348" s="94">
        <f>IF($N348=0,"",341)</f>
      </c>
      <c r="B348" s="95">
        <f t="shared" si="6"/>
      </c>
      <c r="C348" s="96">
        <f t="shared" si="1"/>
      </c>
      <c r="D348" s="21">
        <f t="shared" si="7"/>
      </c>
      <c r="E348" s="21">
        <f t="shared" si="2"/>
      </c>
      <c r="F348" s="48">
        <f t="shared" si="8"/>
      </c>
      <c r="G348" s="94">
        <f t="shared" si="9"/>
      </c>
      <c r="H348" s="94">
        <f t="shared" si="3"/>
      </c>
      <c r="I348" s="96">
        <f t="shared" si="0"/>
      </c>
      <c r="J348" s="94">
        <f t="shared" si="4"/>
      </c>
      <c r="K348" s="94">
        <f t="shared" si="10"/>
      </c>
      <c r="L348" s="96">
        <f t="shared" si="5"/>
      </c>
      <c r="N348" s="2">
        <f>IF(341&gt;$Z$5,0,MOD(SMALL($Z$6:$Z$2005,341),10000))</f>
        <v>0</v>
      </c>
      <c r="O348" s="2">
        <f t="shared" si="11"/>
        <v>0</v>
      </c>
      <c r="Z348" s="2">
        <f>IF(AND(ISNUMBER(资金流水!$B$348),资金流水!$B$348&gt;=$C$4,资金流水!$B$348&lt;=$E$4,OR(资金流水!$C$348=$C$3,AND(资金流水!$AD$348=$C$3,资金流水!$X$348="账户互转"))),INT(资金流水!$B$348)*10000+343,"")</f>
      </c>
    </row>
    <row r="349">
      <c r="A349" s="94">
        <f>IF($N349=0,"",342)</f>
      </c>
      <c r="B349" s="95">
        <f t="shared" si="6"/>
      </c>
      <c r="C349" s="96">
        <f t="shared" si="1"/>
      </c>
      <c r="D349" s="21">
        <f t="shared" si="7"/>
      </c>
      <c r="E349" s="21">
        <f t="shared" si="2"/>
      </c>
      <c r="F349" s="48">
        <f t="shared" si="8"/>
      </c>
      <c r="G349" s="94">
        <f t="shared" si="9"/>
      </c>
      <c r="H349" s="94">
        <f t="shared" si="3"/>
      </c>
      <c r="I349" s="96">
        <f t="shared" si="0"/>
      </c>
      <c r="J349" s="94">
        <f t="shared" si="4"/>
      </c>
      <c r="K349" s="94">
        <f t="shared" si="10"/>
      </c>
      <c r="L349" s="96">
        <f t="shared" si="5"/>
      </c>
      <c r="N349" s="2">
        <f>IF(342&gt;$Z$5,0,MOD(SMALL($Z$6:$Z$2005,342),10000))</f>
        <v>0</v>
      </c>
      <c r="O349" s="2">
        <f t="shared" si="11"/>
        <v>0</v>
      </c>
      <c r="Z349" s="2">
        <f>IF(AND(ISNUMBER(资金流水!$B$349),资金流水!$B$349&gt;=$C$4,资金流水!$B$349&lt;=$E$4,OR(资金流水!$C$349=$C$3,AND(资金流水!$AD$349=$C$3,资金流水!$X$349="账户互转"))),INT(资金流水!$B$349)*10000+344,"")</f>
      </c>
    </row>
    <row r="350">
      <c r="A350" s="94">
        <f>IF($N350=0,"",343)</f>
      </c>
      <c r="B350" s="95">
        <f t="shared" si="6"/>
      </c>
      <c r="C350" s="96">
        <f t="shared" si="1"/>
      </c>
      <c r="D350" s="21">
        <f t="shared" si="7"/>
      </c>
      <c r="E350" s="21">
        <f t="shared" si="2"/>
      </c>
      <c r="F350" s="48">
        <f t="shared" si="8"/>
      </c>
      <c r="G350" s="94">
        <f t="shared" si="9"/>
      </c>
      <c r="H350" s="94">
        <f t="shared" si="3"/>
      </c>
      <c r="I350" s="96">
        <f t="shared" si="0"/>
      </c>
      <c r="J350" s="94">
        <f t="shared" si="4"/>
      </c>
      <c r="K350" s="94">
        <f t="shared" si="10"/>
      </c>
      <c r="L350" s="96">
        <f t="shared" si="5"/>
      </c>
      <c r="N350" s="2">
        <f>IF(343&gt;$Z$5,0,MOD(SMALL($Z$6:$Z$2005,343),10000))</f>
        <v>0</v>
      </c>
      <c r="O350" s="2">
        <f t="shared" si="11"/>
        <v>0</v>
      </c>
      <c r="Z350" s="2">
        <f>IF(AND(ISNUMBER(资金流水!$B$350),资金流水!$B$350&gt;=$C$4,资金流水!$B$350&lt;=$E$4,OR(资金流水!$C$350=$C$3,AND(资金流水!$AD$350=$C$3,资金流水!$X$350="账户互转"))),INT(资金流水!$B$350)*10000+345,"")</f>
      </c>
    </row>
    <row r="351">
      <c r="A351" s="94">
        <f>IF($N351=0,"",344)</f>
      </c>
      <c r="B351" s="95">
        <f t="shared" si="6"/>
      </c>
      <c r="C351" s="96">
        <f t="shared" si="1"/>
      </c>
      <c r="D351" s="21">
        <f t="shared" si="7"/>
      </c>
      <c r="E351" s="21">
        <f t="shared" si="2"/>
      </c>
      <c r="F351" s="48">
        <f t="shared" si="8"/>
      </c>
      <c r="G351" s="94">
        <f t="shared" si="9"/>
      </c>
      <c r="H351" s="94">
        <f t="shared" si="3"/>
      </c>
      <c r="I351" s="96">
        <f t="shared" si="0"/>
      </c>
      <c r="J351" s="94">
        <f t="shared" si="4"/>
      </c>
      <c r="K351" s="94">
        <f t="shared" si="10"/>
      </c>
      <c r="L351" s="96">
        <f t="shared" si="5"/>
      </c>
      <c r="N351" s="2">
        <f>IF(344&gt;$Z$5,0,MOD(SMALL($Z$6:$Z$2005,344),10000))</f>
        <v>0</v>
      </c>
      <c r="O351" s="2">
        <f t="shared" si="11"/>
        <v>0</v>
      </c>
      <c r="Z351" s="2">
        <f>IF(AND(ISNUMBER(资金流水!$B$351),资金流水!$B$351&gt;=$C$4,资金流水!$B$351&lt;=$E$4,OR(资金流水!$C$351=$C$3,AND(资金流水!$AD$351=$C$3,资金流水!$X$351="账户互转"))),INT(资金流水!$B$351)*10000+346,"")</f>
      </c>
    </row>
    <row r="352">
      <c r="A352" s="94">
        <f>IF($N352=0,"",345)</f>
      </c>
      <c r="B352" s="95">
        <f t="shared" si="6"/>
      </c>
      <c r="C352" s="96">
        <f t="shared" si="1"/>
      </c>
      <c r="D352" s="21">
        <f t="shared" si="7"/>
      </c>
      <c r="E352" s="21">
        <f t="shared" si="2"/>
      </c>
      <c r="F352" s="48">
        <f t="shared" si="8"/>
      </c>
      <c r="G352" s="94">
        <f t="shared" si="9"/>
      </c>
      <c r="H352" s="94">
        <f t="shared" si="3"/>
      </c>
      <c r="I352" s="96">
        <f t="shared" si="0"/>
      </c>
      <c r="J352" s="94">
        <f t="shared" si="4"/>
      </c>
      <c r="K352" s="94">
        <f t="shared" si="10"/>
      </c>
      <c r="L352" s="96">
        <f t="shared" si="5"/>
      </c>
      <c r="N352" s="2">
        <f>IF(345&gt;$Z$5,0,MOD(SMALL($Z$6:$Z$2005,345),10000))</f>
        <v>0</v>
      </c>
      <c r="O352" s="2">
        <f t="shared" si="11"/>
        <v>0</v>
      </c>
      <c r="Z352" s="2">
        <f>IF(AND(ISNUMBER(资金流水!$B$352),资金流水!$B$352&gt;=$C$4,资金流水!$B$352&lt;=$E$4,OR(资金流水!$C$352=$C$3,AND(资金流水!$AD$352=$C$3,资金流水!$X$352="账户互转"))),INT(资金流水!$B$352)*10000+347,"")</f>
      </c>
    </row>
    <row r="353">
      <c r="A353" s="94">
        <f>IF($N353=0,"",346)</f>
      </c>
      <c r="B353" s="95">
        <f t="shared" si="6"/>
      </c>
      <c r="C353" s="96">
        <f t="shared" si="1"/>
      </c>
      <c r="D353" s="21">
        <f t="shared" si="7"/>
      </c>
      <c r="E353" s="21">
        <f t="shared" si="2"/>
      </c>
      <c r="F353" s="48">
        <f t="shared" si="8"/>
      </c>
      <c r="G353" s="94">
        <f t="shared" si="9"/>
      </c>
      <c r="H353" s="94">
        <f t="shared" si="3"/>
      </c>
      <c r="I353" s="96">
        <f t="shared" si="0"/>
      </c>
      <c r="J353" s="94">
        <f t="shared" si="4"/>
      </c>
      <c r="K353" s="94">
        <f t="shared" si="10"/>
      </c>
      <c r="L353" s="96">
        <f t="shared" si="5"/>
      </c>
      <c r="N353" s="2">
        <f>IF(346&gt;$Z$5,0,MOD(SMALL($Z$6:$Z$2005,346),10000))</f>
        <v>0</v>
      </c>
      <c r="O353" s="2">
        <f t="shared" si="11"/>
        <v>0</v>
      </c>
      <c r="Z353" s="2">
        <f>IF(AND(ISNUMBER(资金流水!$B$353),资金流水!$B$353&gt;=$C$4,资金流水!$B$353&lt;=$E$4,OR(资金流水!$C$353=$C$3,AND(资金流水!$AD$353=$C$3,资金流水!$X$353="账户互转"))),INT(资金流水!$B$353)*10000+348,"")</f>
      </c>
    </row>
    <row r="354">
      <c r="A354" s="94">
        <f>IF($N354=0,"",347)</f>
      </c>
      <c r="B354" s="95">
        <f t="shared" si="6"/>
      </c>
      <c r="C354" s="96">
        <f t="shared" si="1"/>
      </c>
      <c r="D354" s="21">
        <f t="shared" si="7"/>
      </c>
      <c r="E354" s="21">
        <f t="shared" si="2"/>
      </c>
      <c r="F354" s="48">
        <f t="shared" si="8"/>
      </c>
      <c r="G354" s="94">
        <f t="shared" si="9"/>
      </c>
      <c r="H354" s="94">
        <f t="shared" si="3"/>
      </c>
      <c r="I354" s="96">
        <f t="shared" si="0"/>
      </c>
      <c r="J354" s="94">
        <f t="shared" si="4"/>
      </c>
      <c r="K354" s="94">
        <f t="shared" si="10"/>
      </c>
      <c r="L354" s="96">
        <f t="shared" si="5"/>
      </c>
      <c r="N354" s="2">
        <f>IF(347&gt;$Z$5,0,MOD(SMALL($Z$6:$Z$2005,347),10000))</f>
        <v>0</v>
      </c>
      <c r="O354" s="2">
        <f t="shared" si="11"/>
        <v>0</v>
      </c>
      <c r="Z354" s="2">
        <f>IF(AND(ISNUMBER(资金流水!$B$354),资金流水!$B$354&gt;=$C$4,资金流水!$B$354&lt;=$E$4,OR(资金流水!$C$354=$C$3,AND(资金流水!$AD$354=$C$3,资金流水!$X$354="账户互转"))),INT(资金流水!$B$354)*10000+349,"")</f>
      </c>
    </row>
    <row r="355">
      <c r="A355" s="94">
        <f>IF($N355=0,"",348)</f>
      </c>
      <c r="B355" s="95">
        <f t="shared" si="6"/>
      </c>
      <c r="C355" s="96">
        <f t="shared" si="1"/>
      </c>
      <c r="D355" s="21">
        <f t="shared" si="7"/>
      </c>
      <c r="E355" s="21">
        <f t="shared" si="2"/>
      </c>
      <c r="F355" s="48">
        <f t="shared" si="8"/>
      </c>
      <c r="G355" s="94">
        <f t="shared" si="9"/>
      </c>
      <c r="H355" s="94">
        <f t="shared" si="3"/>
      </c>
      <c r="I355" s="96">
        <f t="shared" si="0"/>
      </c>
      <c r="J355" s="94">
        <f t="shared" si="4"/>
      </c>
      <c r="K355" s="94">
        <f t="shared" si="10"/>
      </c>
      <c r="L355" s="96">
        <f t="shared" si="5"/>
      </c>
      <c r="N355" s="2">
        <f>IF(348&gt;$Z$5,0,MOD(SMALL($Z$6:$Z$2005,348),10000))</f>
        <v>0</v>
      </c>
      <c r="O355" s="2">
        <f t="shared" si="11"/>
        <v>0</v>
      </c>
      <c r="Z355" s="2">
        <f>IF(AND(ISNUMBER(资金流水!$B$355),资金流水!$B$355&gt;=$C$4,资金流水!$B$355&lt;=$E$4,OR(资金流水!$C$355=$C$3,AND(资金流水!$AD$355=$C$3,资金流水!$X$355="账户互转"))),INT(资金流水!$B$355)*10000+350,"")</f>
      </c>
    </row>
    <row r="356">
      <c r="A356" s="94">
        <f>IF($N356=0,"",349)</f>
      </c>
      <c r="B356" s="95">
        <f t="shared" si="6"/>
      </c>
      <c r="C356" s="96">
        <f t="shared" si="1"/>
      </c>
      <c r="D356" s="21">
        <f t="shared" si="7"/>
      </c>
      <c r="E356" s="21">
        <f t="shared" si="2"/>
      </c>
      <c r="F356" s="48">
        <f t="shared" si="8"/>
      </c>
      <c r="G356" s="94">
        <f t="shared" si="9"/>
      </c>
      <c r="H356" s="94">
        <f t="shared" si="3"/>
      </c>
      <c r="I356" s="96">
        <f t="shared" si="0"/>
      </c>
      <c r="J356" s="94">
        <f t="shared" si="4"/>
      </c>
      <c r="K356" s="94">
        <f t="shared" si="10"/>
      </c>
      <c r="L356" s="96">
        <f t="shared" si="5"/>
      </c>
      <c r="N356" s="2">
        <f>IF(349&gt;$Z$5,0,MOD(SMALL($Z$6:$Z$2005,349),10000))</f>
        <v>0</v>
      </c>
      <c r="O356" s="2">
        <f t="shared" si="11"/>
        <v>0</v>
      </c>
      <c r="Z356" s="2">
        <f>IF(AND(ISNUMBER(资金流水!$B$356),资金流水!$B$356&gt;=$C$4,资金流水!$B$356&lt;=$E$4,OR(资金流水!$C$356=$C$3,AND(资金流水!$AD$356=$C$3,资金流水!$X$356="账户互转"))),INT(资金流水!$B$356)*10000+351,"")</f>
      </c>
    </row>
    <row r="357">
      <c r="A357" s="94">
        <f>IF($N357=0,"",350)</f>
      </c>
      <c r="B357" s="95">
        <f t="shared" si="6"/>
      </c>
      <c r="C357" s="96">
        <f t="shared" si="1"/>
      </c>
      <c r="D357" s="21">
        <f t="shared" si="7"/>
      </c>
      <c r="E357" s="21">
        <f t="shared" si="2"/>
      </c>
      <c r="F357" s="48">
        <f t="shared" si="8"/>
      </c>
      <c r="G357" s="94">
        <f t="shared" si="9"/>
      </c>
      <c r="H357" s="94">
        <f t="shared" si="3"/>
      </c>
      <c r="I357" s="96">
        <f t="shared" si="0"/>
      </c>
      <c r="J357" s="94">
        <f t="shared" si="4"/>
      </c>
      <c r="K357" s="94">
        <f t="shared" si="10"/>
      </c>
      <c r="L357" s="96">
        <f t="shared" si="5"/>
      </c>
      <c r="N357" s="2">
        <f>IF(350&gt;$Z$5,0,MOD(SMALL($Z$6:$Z$2005,350),10000))</f>
        <v>0</v>
      </c>
      <c r="O357" s="2">
        <f t="shared" si="11"/>
        <v>0</v>
      </c>
      <c r="Z357" s="2">
        <f>IF(AND(ISNUMBER(资金流水!$B$357),资金流水!$B$357&gt;=$C$4,资金流水!$B$357&lt;=$E$4,OR(资金流水!$C$357=$C$3,AND(资金流水!$AD$357=$C$3,资金流水!$X$357="账户互转"))),INT(资金流水!$B$357)*10000+352,"")</f>
      </c>
    </row>
    <row r="358">
      <c r="A358" s="94">
        <f>IF($N358=0,"",351)</f>
      </c>
      <c r="B358" s="95">
        <f t="shared" si="6"/>
      </c>
      <c r="C358" s="96">
        <f t="shared" si="1"/>
      </c>
      <c r="D358" s="21">
        <f t="shared" si="7"/>
      </c>
      <c r="E358" s="21">
        <f t="shared" si="2"/>
      </c>
      <c r="F358" s="48">
        <f t="shared" si="8"/>
      </c>
      <c r="G358" s="94">
        <f t="shared" si="9"/>
      </c>
      <c r="H358" s="94">
        <f t="shared" si="3"/>
      </c>
      <c r="I358" s="96">
        <f t="shared" si="0"/>
      </c>
      <c r="J358" s="94">
        <f t="shared" si="4"/>
      </c>
      <c r="K358" s="94">
        <f t="shared" si="10"/>
      </c>
      <c r="L358" s="96">
        <f t="shared" si="5"/>
      </c>
      <c r="N358" s="2">
        <f>IF(351&gt;$Z$5,0,MOD(SMALL($Z$6:$Z$2005,351),10000))</f>
        <v>0</v>
      </c>
      <c r="O358" s="2">
        <f t="shared" si="11"/>
        <v>0</v>
      </c>
      <c r="Z358" s="2">
        <f>IF(AND(ISNUMBER(资金流水!$B$358),资金流水!$B$358&gt;=$C$4,资金流水!$B$358&lt;=$E$4,OR(资金流水!$C$358=$C$3,AND(资金流水!$AD$358=$C$3,资金流水!$X$358="账户互转"))),INT(资金流水!$B$358)*10000+353,"")</f>
      </c>
    </row>
    <row r="359">
      <c r="A359" s="94">
        <f>IF($N359=0,"",352)</f>
      </c>
      <c r="B359" s="95">
        <f t="shared" si="6"/>
      </c>
      <c r="C359" s="96">
        <f t="shared" si="1"/>
      </c>
      <c r="D359" s="21">
        <f t="shared" si="7"/>
      </c>
      <c r="E359" s="21">
        <f t="shared" si="2"/>
      </c>
      <c r="F359" s="48">
        <f t="shared" si="8"/>
      </c>
      <c r="G359" s="94">
        <f t="shared" si="9"/>
      </c>
      <c r="H359" s="94">
        <f t="shared" si="3"/>
      </c>
      <c r="I359" s="96">
        <f t="shared" si="0"/>
      </c>
      <c r="J359" s="94">
        <f t="shared" si="4"/>
      </c>
      <c r="K359" s="94">
        <f t="shared" si="10"/>
      </c>
      <c r="L359" s="96">
        <f t="shared" si="5"/>
      </c>
      <c r="N359" s="2">
        <f>IF(352&gt;$Z$5,0,MOD(SMALL($Z$6:$Z$2005,352),10000))</f>
        <v>0</v>
      </c>
      <c r="O359" s="2">
        <f t="shared" si="11"/>
        <v>0</v>
      </c>
      <c r="Z359" s="2">
        <f>IF(AND(ISNUMBER(资金流水!$B$359),资金流水!$B$359&gt;=$C$4,资金流水!$B$359&lt;=$E$4,OR(资金流水!$C$359=$C$3,AND(资金流水!$AD$359=$C$3,资金流水!$X$359="账户互转"))),INT(资金流水!$B$359)*10000+354,"")</f>
      </c>
    </row>
    <row r="360">
      <c r="A360" s="94">
        <f>IF($N360=0,"",353)</f>
      </c>
      <c r="B360" s="95">
        <f t="shared" si="6"/>
      </c>
      <c r="C360" s="96">
        <f t="shared" si="1"/>
      </c>
      <c r="D360" s="21">
        <f t="shared" si="7"/>
      </c>
      <c r="E360" s="21">
        <f t="shared" si="2"/>
      </c>
      <c r="F360" s="48">
        <f t="shared" si="8"/>
      </c>
      <c r="G360" s="94">
        <f t="shared" si="9"/>
      </c>
      <c r="H360" s="94">
        <f t="shared" si="3"/>
      </c>
      <c r="I360" s="96">
        <f t="shared" si="0"/>
      </c>
      <c r="J360" s="94">
        <f t="shared" si="4"/>
      </c>
      <c r="K360" s="94">
        <f t="shared" si="10"/>
      </c>
      <c r="L360" s="96">
        <f t="shared" si="5"/>
      </c>
      <c r="N360" s="2">
        <f>IF(353&gt;$Z$5,0,MOD(SMALL($Z$6:$Z$2005,353),10000))</f>
        <v>0</v>
      </c>
      <c r="O360" s="2">
        <f t="shared" si="11"/>
        <v>0</v>
      </c>
      <c r="Z360" s="2">
        <f>IF(AND(ISNUMBER(资金流水!$B$360),资金流水!$B$360&gt;=$C$4,资金流水!$B$360&lt;=$E$4,OR(资金流水!$C$360=$C$3,AND(资金流水!$AD$360=$C$3,资金流水!$X$360="账户互转"))),INT(资金流水!$B$360)*10000+355,"")</f>
      </c>
    </row>
    <row r="361">
      <c r="A361" s="94">
        <f>IF($N361=0,"",354)</f>
      </c>
      <c r="B361" s="95">
        <f t="shared" si="6"/>
      </c>
      <c r="C361" s="96">
        <f t="shared" si="1"/>
      </c>
      <c r="D361" s="21">
        <f t="shared" si="7"/>
      </c>
      <c r="E361" s="21">
        <f t="shared" si="2"/>
      </c>
      <c r="F361" s="48">
        <f t="shared" si="8"/>
      </c>
      <c r="G361" s="94">
        <f t="shared" si="9"/>
      </c>
      <c r="H361" s="94">
        <f t="shared" si="3"/>
      </c>
      <c r="I361" s="96">
        <f t="shared" si="0"/>
      </c>
      <c r="J361" s="94">
        <f t="shared" si="4"/>
      </c>
      <c r="K361" s="94">
        <f t="shared" si="10"/>
      </c>
      <c r="L361" s="96">
        <f t="shared" si="5"/>
      </c>
      <c r="N361" s="2">
        <f>IF(354&gt;$Z$5,0,MOD(SMALL($Z$6:$Z$2005,354),10000))</f>
        <v>0</v>
      </c>
      <c r="O361" s="2">
        <f t="shared" si="11"/>
        <v>0</v>
      </c>
      <c r="Z361" s="2">
        <f>IF(AND(ISNUMBER(资金流水!$B$361),资金流水!$B$361&gt;=$C$4,资金流水!$B$361&lt;=$E$4,OR(资金流水!$C$361=$C$3,AND(资金流水!$AD$361=$C$3,资金流水!$X$361="账户互转"))),INT(资金流水!$B$361)*10000+356,"")</f>
      </c>
    </row>
    <row r="362">
      <c r="A362" s="94">
        <f>IF($N362=0,"",355)</f>
      </c>
      <c r="B362" s="95">
        <f t="shared" si="6"/>
      </c>
      <c r="C362" s="96">
        <f t="shared" si="1"/>
      </c>
      <c r="D362" s="21">
        <f t="shared" si="7"/>
      </c>
      <c r="E362" s="21">
        <f t="shared" si="2"/>
      </c>
      <c r="F362" s="48">
        <f t="shared" si="8"/>
      </c>
      <c r="G362" s="94">
        <f t="shared" si="9"/>
      </c>
      <c r="H362" s="94">
        <f t="shared" si="3"/>
      </c>
      <c r="I362" s="96">
        <f t="shared" si="0"/>
      </c>
      <c r="J362" s="94">
        <f t="shared" si="4"/>
      </c>
      <c r="K362" s="94">
        <f t="shared" si="10"/>
      </c>
      <c r="L362" s="96">
        <f t="shared" si="5"/>
      </c>
      <c r="N362" s="2">
        <f>IF(355&gt;$Z$5,0,MOD(SMALL($Z$6:$Z$2005,355),10000))</f>
        <v>0</v>
      </c>
      <c r="O362" s="2">
        <f t="shared" si="11"/>
        <v>0</v>
      </c>
      <c r="Z362" s="2">
        <f>IF(AND(ISNUMBER(资金流水!$B$362),资金流水!$B$362&gt;=$C$4,资金流水!$B$362&lt;=$E$4,OR(资金流水!$C$362=$C$3,AND(资金流水!$AD$362=$C$3,资金流水!$X$362="账户互转"))),INT(资金流水!$B$362)*10000+357,"")</f>
      </c>
    </row>
    <row r="363">
      <c r="A363" s="94">
        <f>IF($N363=0,"",356)</f>
      </c>
      <c r="B363" s="95">
        <f t="shared" si="6"/>
      </c>
      <c r="C363" s="96">
        <f t="shared" si="1"/>
      </c>
      <c r="D363" s="21">
        <f t="shared" si="7"/>
      </c>
      <c r="E363" s="21">
        <f t="shared" si="2"/>
      </c>
      <c r="F363" s="48">
        <f t="shared" si="8"/>
      </c>
      <c r="G363" s="94">
        <f t="shared" si="9"/>
      </c>
      <c r="H363" s="94">
        <f t="shared" si="3"/>
      </c>
      <c r="I363" s="96">
        <f t="shared" si="0"/>
      </c>
      <c r="J363" s="94">
        <f t="shared" si="4"/>
      </c>
      <c r="K363" s="94">
        <f t="shared" si="10"/>
      </c>
      <c r="L363" s="96">
        <f t="shared" si="5"/>
      </c>
      <c r="N363" s="2">
        <f>IF(356&gt;$Z$5,0,MOD(SMALL($Z$6:$Z$2005,356),10000))</f>
        <v>0</v>
      </c>
      <c r="O363" s="2">
        <f t="shared" si="11"/>
        <v>0</v>
      </c>
      <c r="Z363" s="2">
        <f>IF(AND(ISNUMBER(资金流水!$B$363),资金流水!$B$363&gt;=$C$4,资金流水!$B$363&lt;=$E$4,OR(资金流水!$C$363=$C$3,AND(资金流水!$AD$363=$C$3,资金流水!$X$363="账户互转"))),INT(资金流水!$B$363)*10000+358,"")</f>
      </c>
    </row>
    <row r="364">
      <c r="A364" s="94">
        <f>IF($N364=0,"",357)</f>
      </c>
      <c r="B364" s="95">
        <f t="shared" si="6"/>
      </c>
      <c r="C364" s="96">
        <f t="shared" si="1"/>
      </c>
      <c r="D364" s="21">
        <f t="shared" si="7"/>
      </c>
      <c r="E364" s="21">
        <f t="shared" si="2"/>
      </c>
      <c r="F364" s="48">
        <f t="shared" si="8"/>
      </c>
      <c r="G364" s="94">
        <f t="shared" si="9"/>
      </c>
      <c r="H364" s="94">
        <f t="shared" si="3"/>
      </c>
      <c r="I364" s="96">
        <f t="shared" si="0"/>
      </c>
      <c r="J364" s="94">
        <f t="shared" si="4"/>
      </c>
      <c r="K364" s="94">
        <f t="shared" si="10"/>
      </c>
      <c r="L364" s="96">
        <f t="shared" si="5"/>
      </c>
      <c r="N364" s="2">
        <f>IF(357&gt;$Z$5,0,MOD(SMALL($Z$6:$Z$2005,357),10000))</f>
        <v>0</v>
      </c>
      <c r="O364" s="2">
        <f t="shared" si="11"/>
        <v>0</v>
      </c>
      <c r="Z364" s="2">
        <f>IF(AND(ISNUMBER(资金流水!$B$364),资金流水!$B$364&gt;=$C$4,资金流水!$B$364&lt;=$E$4,OR(资金流水!$C$364=$C$3,AND(资金流水!$AD$364=$C$3,资金流水!$X$364="账户互转"))),INT(资金流水!$B$364)*10000+359,"")</f>
      </c>
    </row>
    <row r="365">
      <c r="A365" s="94">
        <f>IF($N365=0,"",358)</f>
      </c>
      <c r="B365" s="95">
        <f t="shared" si="6"/>
      </c>
      <c r="C365" s="96">
        <f t="shared" si="1"/>
      </c>
      <c r="D365" s="21">
        <f t="shared" si="7"/>
      </c>
      <c r="E365" s="21">
        <f t="shared" si="2"/>
      </c>
      <c r="F365" s="48">
        <f t="shared" si="8"/>
      </c>
      <c r="G365" s="94">
        <f t="shared" si="9"/>
      </c>
      <c r="H365" s="94">
        <f t="shared" si="3"/>
      </c>
      <c r="I365" s="96">
        <f t="shared" si="0"/>
      </c>
      <c r="J365" s="94">
        <f t="shared" si="4"/>
      </c>
      <c r="K365" s="94">
        <f t="shared" si="10"/>
      </c>
      <c r="L365" s="96">
        <f t="shared" si="5"/>
      </c>
      <c r="N365" s="2">
        <f>IF(358&gt;$Z$5,0,MOD(SMALL($Z$6:$Z$2005,358),10000))</f>
        <v>0</v>
      </c>
      <c r="O365" s="2">
        <f t="shared" si="11"/>
        <v>0</v>
      </c>
      <c r="Z365" s="2">
        <f>IF(AND(ISNUMBER(资金流水!$B$365),资金流水!$B$365&gt;=$C$4,资金流水!$B$365&lt;=$E$4,OR(资金流水!$C$365=$C$3,AND(资金流水!$AD$365=$C$3,资金流水!$X$365="账户互转"))),INT(资金流水!$B$365)*10000+360,"")</f>
      </c>
    </row>
    <row r="366">
      <c r="A366" s="94">
        <f>IF($N366=0,"",359)</f>
      </c>
      <c r="B366" s="95">
        <f t="shared" si="6"/>
      </c>
      <c r="C366" s="96">
        <f t="shared" si="1"/>
      </c>
      <c r="D366" s="21">
        <f t="shared" si="7"/>
      </c>
      <c r="E366" s="21">
        <f t="shared" si="2"/>
      </c>
      <c r="F366" s="48">
        <f t="shared" si="8"/>
      </c>
      <c r="G366" s="94">
        <f t="shared" si="9"/>
      </c>
      <c r="H366" s="94">
        <f t="shared" si="3"/>
      </c>
      <c r="I366" s="96">
        <f t="shared" si="0"/>
      </c>
      <c r="J366" s="94">
        <f t="shared" si="4"/>
      </c>
      <c r="K366" s="94">
        <f t="shared" si="10"/>
      </c>
      <c r="L366" s="96">
        <f t="shared" si="5"/>
      </c>
      <c r="N366" s="2">
        <f>IF(359&gt;$Z$5,0,MOD(SMALL($Z$6:$Z$2005,359),10000))</f>
        <v>0</v>
      </c>
      <c r="O366" s="2">
        <f t="shared" si="11"/>
        <v>0</v>
      </c>
      <c r="Z366" s="2">
        <f>IF(AND(ISNUMBER(资金流水!$B$366),资金流水!$B$366&gt;=$C$4,资金流水!$B$366&lt;=$E$4,OR(资金流水!$C$366=$C$3,AND(资金流水!$AD$366=$C$3,资金流水!$X$366="账户互转"))),INT(资金流水!$B$366)*10000+361,"")</f>
      </c>
    </row>
    <row r="367">
      <c r="A367" s="94">
        <f>IF($N367=0,"",360)</f>
      </c>
      <c r="B367" s="95">
        <f t="shared" si="6"/>
      </c>
      <c r="C367" s="96">
        <f t="shared" si="1"/>
      </c>
      <c r="D367" s="21">
        <f t="shared" si="7"/>
      </c>
      <c r="E367" s="21">
        <f t="shared" si="2"/>
      </c>
      <c r="F367" s="48">
        <f t="shared" si="8"/>
      </c>
      <c r="G367" s="94">
        <f t="shared" si="9"/>
      </c>
      <c r="H367" s="94">
        <f t="shared" si="3"/>
      </c>
      <c r="I367" s="96">
        <f t="shared" si="0"/>
      </c>
      <c r="J367" s="94">
        <f t="shared" si="4"/>
      </c>
      <c r="K367" s="94">
        <f t="shared" si="10"/>
      </c>
      <c r="L367" s="96">
        <f t="shared" si="5"/>
      </c>
      <c r="N367" s="2">
        <f>IF(360&gt;$Z$5,0,MOD(SMALL($Z$6:$Z$2005,360),10000))</f>
        <v>0</v>
      </c>
      <c r="O367" s="2">
        <f t="shared" si="11"/>
        <v>0</v>
      </c>
      <c r="Z367" s="2">
        <f>IF(AND(ISNUMBER(资金流水!$B$367),资金流水!$B$367&gt;=$C$4,资金流水!$B$367&lt;=$E$4,OR(资金流水!$C$367=$C$3,AND(资金流水!$AD$367=$C$3,资金流水!$X$367="账户互转"))),INT(资金流水!$B$367)*10000+362,"")</f>
      </c>
    </row>
    <row r="368">
      <c r="A368" s="94">
        <f>IF($N368=0,"",361)</f>
      </c>
      <c r="B368" s="95">
        <f t="shared" si="6"/>
      </c>
      <c r="C368" s="96">
        <f t="shared" si="1"/>
      </c>
      <c r="D368" s="21">
        <f t="shared" si="7"/>
      </c>
      <c r="E368" s="21">
        <f t="shared" si="2"/>
      </c>
      <c r="F368" s="48">
        <f t="shared" si="8"/>
      </c>
      <c r="G368" s="94">
        <f t="shared" si="9"/>
      </c>
      <c r="H368" s="94">
        <f t="shared" si="3"/>
      </c>
      <c r="I368" s="96">
        <f t="shared" si="0"/>
      </c>
      <c r="J368" s="94">
        <f t="shared" si="4"/>
      </c>
      <c r="K368" s="94">
        <f t="shared" si="10"/>
      </c>
      <c r="L368" s="96">
        <f t="shared" si="5"/>
      </c>
      <c r="N368" s="2">
        <f>IF(361&gt;$Z$5,0,MOD(SMALL($Z$6:$Z$2005,361),10000))</f>
        <v>0</v>
      </c>
      <c r="O368" s="2">
        <f t="shared" si="11"/>
        <v>0</v>
      </c>
      <c r="Z368" s="2">
        <f>IF(AND(ISNUMBER(资金流水!$B$368),资金流水!$B$368&gt;=$C$4,资金流水!$B$368&lt;=$E$4,OR(资金流水!$C$368=$C$3,AND(资金流水!$AD$368=$C$3,资金流水!$X$368="账户互转"))),INT(资金流水!$B$368)*10000+363,"")</f>
      </c>
    </row>
    <row r="369">
      <c r="A369" s="94">
        <f>IF($N369=0,"",362)</f>
      </c>
      <c r="B369" s="95">
        <f t="shared" si="6"/>
      </c>
      <c r="C369" s="96">
        <f t="shared" si="1"/>
      </c>
      <c r="D369" s="21">
        <f t="shared" si="7"/>
      </c>
      <c r="E369" s="21">
        <f t="shared" si="2"/>
      </c>
      <c r="F369" s="48">
        <f t="shared" si="8"/>
      </c>
      <c r="G369" s="94">
        <f t="shared" si="9"/>
      </c>
      <c r="H369" s="94">
        <f t="shared" si="3"/>
      </c>
      <c r="I369" s="96">
        <f t="shared" si="0"/>
      </c>
      <c r="J369" s="94">
        <f t="shared" si="4"/>
      </c>
      <c r="K369" s="94">
        <f t="shared" si="10"/>
      </c>
      <c r="L369" s="96">
        <f t="shared" si="5"/>
      </c>
      <c r="N369" s="2">
        <f>IF(362&gt;$Z$5,0,MOD(SMALL($Z$6:$Z$2005,362),10000))</f>
        <v>0</v>
      </c>
      <c r="O369" s="2">
        <f t="shared" si="11"/>
        <v>0</v>
      </c>
      <c r="Z369" s="2">
        <f>IF(AND(ISNUMBER(资金流水!$B$369),资金流水!$B$369&gt;=$C$4,资金流水!$B$369&lt;=$E$4,OR(资金流水!$C$369=$C$3,AND(资金流水!$AD$369=$C$3,资金流水!$X$369="账户互转"))),INT(资金流水!$B$369)*10000+364,"")</f>
      </c>
    </row>
    <row r="370">
      <c r="A370" s="94">
        <f>IF($N370=0,"",363)</f>
      </c>
      <c r="B370" s="95">
        <f t="shared" si="6"/>
      </c>
      <c r="C370" s="96">
        <f t="shared" si="1"/>
      </c>
      <c r="D370" s="21">
        <f t="shared" si="7"/>
      </c>
      <c r="E370" s="21">
        <f t="shared" si="2"/>
      </c>
      <c r="F370" s="48">
        <f t="shared" si="8"/>
      </c>
      <c r="G370" s="94">
        <f t="shared" si="9"/>
      </c>
      <c r="H370" s="94">
        <f t="shared" si="3"/>
      </c>
      <c r="I370" s="96">
        <f t="shared" si="0"/>
      </c>
      <c r="J370" s="94">
        <f t="shared" si="4"/>
      </c>
      <c r="K370" s="94">
        <f t="shared" si="10"/>
      </c>
      <c r="L370" s="96">
        <f t="shared" si="5"/>
      </c>
      <c r="N370" s="2">
        <f>IF(363&gt;$Z$5,0,MOD(SMALL($Z$6:$Z$2005,363),10000))</f>
        <v>0</v>
      </c>
      <c r="O370" s="2">
        <f t="shared" si="11"/>
        <v>0</v>
      </c>
      <c r="Z370" s="2">
        <f>IF(AND(ISNUMBER(资金流水!$B$370),资金流水!$B$370&gt;=$C$4,资金流水!$B$370&lt;=$E$4,OR(资金流水!$C$370=$C$3,AND(资金流水!$AD$370=$C$3,资金流水!$X$370="账户互转"))),INT(资金流水!$B$370)*10000+365,"")</f>
      </c>
    </row>
    <row r="371">
      <c r="A371" s="94">
        <f>IF($N371=0,"",364)</f>
      </c>
      <c r="B371" s="95">
        <f t="shared" si="6"/>
      </c>
      <c r="C371" s="96">
        <f t="shared" si="1"/>
      </c>
      <c r="D371" s="21">
        <f t="shared" si="7"/>
      </c>
      <c r="E371" s="21">
        <f t="shared" si="2"/>
      </c>
      <c r="F371" s="48">
        <f t="shared" si="8"/>
      </c>
      <c r="G371" s="94">
        <f t="shared" si="9"/>
      </c>
      <c r="H371" s="94">
        <f t="shared" si="3"/>
      </c>
      <c r="I371" s="96">
        <f t="shared" si="0"/>
      </c>
      <c r="J371" s="94">
        <f t="shared" si="4"/>
      </c>
      <c r="K371" s="94">
        <f t="shared" si="10"/>
      </c>
      <c r="L371" s="96">
        <f t="shared" si="5"/>
      </c>
      <c r="N371" s="2">
        <f>IF(364&gt;$Z$5,0,MOD(SMALL($Z$6:$Z$2005,364),10000))</f>
        <v>0</v>
      </c>
      <c r="O371" s="2">
        <f t="shared" si="11"/>
        <v>0</v>
      </c>
      <c r="Z371" s="2">
        <f>IF(AND(ISNUMBER(资金流水!$B$371),资金流水!$B$371&gt;=$C$4,资金流水!$B$371&lt;=$E$4,OR(资金流水!$C$371=$C$3,AND(资金流水!$AD$371=$C$3,资金流水!$X$371="账户互转"))),INT(资金流水!$B$371)*10000+366,"")</f>
      </c>
    </row>
    <row r="372">
      <c r="A372" s="94">
        <f>IF($N372=0,"",365)</f>
      </c>
      <c r="B372" s="95">
        <f t="shared" si="6"/>
      </c>
      <c r="C372" s="96">
        <f t="shared" si="1"/>
      </c>
      <c r="D372" s="21">
        <f t="shared" si="7"/>
      </c>
      <c r="E372" s="21">
        <f t="shared" si="2"/>
      </c>
      <c r="F372" s="48">
        <f t="shared" si="8"/>
      </c>
      <c r="G372" s="94">
        <f t="shared" si="9"/>
      </c>
      <c r="H372" s="94">
        <f t="shared" si="3"/>
      </c>
      <c r="I372" s="96">
        <f t="shared" si="0"/>
      </c>
      <c r="J372" s="94">
        <f t="shared" si="4"/>
      </c>
      <c r="K372" s="94">
        <f t="shared" si="10"/>
      </c>
      <c r="L372" s="96">
        <f t="shared" si="5"/>
      </c>
      <c r="N372" s="2">
        <f>IF(365&gt;$Z$5,0,MOD(SMALL($Z$6:$Z$2005,365),10000))</f>
        <v>0</v>
      </c>
      <c r="O372" s="2">
        <f t="shared" si="11"/>
        <v>0</v>
      </c>
      <c r="Z372" s="2">
        <f>IF(AND(ISNUMBER(资金流水!$B$372),资金流水!$B$372&gt;=$C$4,资金流水!$B$372&lt;=$E$4,OR(资金流水!$C$372=$C$3,AND(资金流水!$AD$372=$C$3,资金流水!$X$372="账户互转"))),INT(资金流水!$B$372)*10000+367,"")</f>
      </c>
    </row>
    <row r="373">
      <c r="A373" s="94">
        <f>IF($N373=0,"",366)</f>
      </c>
      <c r="B373" s="95">
        <f t="shared" si="6"/>
      </c>
      <c r="C373" s="96">
        <f t="shared" si="1"/>
      </c>
      <c r="D373" s="21">
        <f t="shared" si="7"/>
      </c>
      <c r="E373" s="21">
        <f t="shared" si="2"/>
      </c>
      <c r="F373" s="48">
        <f t="shared" si="8"/>
      </c>
      <c r="G373" s="94">
        <f t="shared" si="9"/>
      </c>
      <c r="H373" s="94">
        <f t="shared" si="3"/>
      </c>
      <c r="I373" s="96">
        <f t="shared" si="0"/>
      </c>
      <c r="J373" s="94">
        <f t="shared" si="4"/>
      </c>
      <c r="K373" s="94">
        <f t="shared" si="10"/>
      </c>
      <c r="L373" s="96">
        <f t="shared" si="5"/>
      </c>
      <c r="N373" s="2">
        <f>IF(366&gt;$Z$5,0,MOD(SMALL($Z$6:$Z$2005,366),10000))</f>
        <v>0</v>
      </c>
      <c r="O373" s="2">
        <f t="shared" si="11"/>
        <v>0</v>
      </c>
      <c r="Z373" s="2">
        <f>IF(AND(ISNUMBER(资金流水!$B$373),资金流水!$B$373&gt;=$C$4,资金流水!$B$373&lt;=$E$4,OR(资金流水!$C$373=$C$3,AND(资金流水!$AD$373=$C$3,资金流水!$X$373="账户互转"))),INT(资金流水!$B$373)*10000+368,"")</f>
      </c>
    </row>
    <row r="374">
      <c r="A374" s="94">
        <f>IF($N374=0,"",367)</f>
      </c>
      <c r="B374" s="95">
        <f t="shared" si="6"/>
      </c>
      <c r="C374" s="96">
        <f t="shared" si="1"/>
      </c>
      <c r="D374" s="21">
        <f t="shared" si="7"/>
      </c>
      <c r="E374" s="21">
        <f t="shared" si="2"/>
      </c>
      <c r="F374" s="48">
        <f t="shared" si="8"/>
      </c>
      <c r="G374" s="94">
        <f t="shared" si="9"/>
      </c>
      <c r="H374" s="94">
        <f t="shared" si="3"/>
      </c>
      <c r="I374" s="96">
        <f t="shared" si="0"/>
      </c>
      <c r="J374" s="94">
        <f t="shared" si="4"/>
      </c>
      <c r="K374" s="94">
        <f t="shared" si="10"/>
      </c>
      <c r="L374" s="96">
        <f t="shared" si="5"/>
      </c>
      <c r="N374" s="2">
        <f>IF(367&gt;$Z$5,0,MOD(SMALL($Z$6:$Z$2005,367),10000))</f>
        <v>0</v>
      </c>
      <c r="O374" s="2">
        <f t="shared" si="11"/>
        <v>0</v>
      </c>
      <c r="Z374" s="2">
        <f>IF(AND(ISNUMBER(资金流水!$B$374),资金流水!$B$374&gt;=$C$4,资金流水!$B$374&lt;=$E$4,OR(资金流水!$C$374=$C$3,AND(资金流水!$AD$374=$C$3,资金流水!$X$374="账户互转"))),INT(资金流水!$B$374)*10000+369,"")</f>
      </c>
    </row>
    <row r="375">
      <c r="A375" s="94">
        <f>IF($N375=0,"",368)</f>
      </c>
      <c r="B375" s="95">
        <f t="shared" si="6"/>
      </c>
      <c r="C375" s="96">
        <f t="shared" si="1"/>
      </c>
      <c r="D375" s="21">
        <f t="shared" si="7"/>
      </c>
      <c r="E375" s="21">
        <f t="shared" si="2"/>
      </c>
      <c r="F375" s="48">
        <f t="shared" si="8"/>
      </c>
      <c r="G375" s="94">
        <f t="shared" si="9"/>
      </c>
      <c r="H375" s="94">
        <f t="shared" si="3"/>
      </c>
      <c r="I375" s="96">
        <f t="shared" si="0"/>
      </c>
      <c r="J375" s="94">
        <f t="shared" si="4"/>
      </c>
      <c r="K375" s="94">
        <f t="shared" si="10"/>
      </c>
      <c r="L375" s="96">
        <f t="shared" si="5"/>
      </c>
      <c r="N375" s="2">
        <f>IF(368&gt;$Z$5,0,MOD(SMALL($Z$6:$Z$2005,368),10000))</f>
        <v>0</v>
      </c>
      <c r="O375" s="2">
        <f t="shared" si="11"/>
        <v>0</v>
      </c>
      <c r="Z375" s="2">
        <f>IF(AND(ISNUMBER(资金流水!$B$375),资金流水!$B$375&gt;=$C$4,资金流水!$B$375&lt;=$E$4,OR(资金流水!$C$375=$C$3,AND(资金流水!$AD$375=$C$3,资金流水!$X$375="账户互转"))),INT(资金流水!$B$375)*10000+370,"")</f>
      </c>
    </row>
    <row r="376">
      <c r="A376" s="94">
        <f>IF($N376=0,"",369)</f>
      </c>
      <c r="B376" s="95">
        <f t="shared" si="6"/>
      </c>
      <c r="C376" s="96">
        <f t="shared" si="1"/>
      </c>
      <c r="D376" s="21">
        <f t="shared" si="7"/>
      </c>
      <c r="E376" s="21">
        <f t="shared" si="2"/>
      </c>
      <c r="F376" s="48">
        <f t="shared" si="8"/>
      </c>
      <c r="G376" s="94">
        <f t="shared" si="9"/>
      </c>
      <c r="H376" s="94">
        <f t="shared" si="3"/>
      </c>
      <c r="I376" s="96">
        <f t="shared" si="0"/>
      </c>
      <c r="J376" s="94">
        <f t="shared" si="4"/>
      </c>
      <c r="K376" s="94">
        <f t="shared" si="10"/>
      </c>
      <c r="L376" s="96">
        <f t="shared" si="5"/>
      </c>
      <c r="N376" s="2">
        <f>IF(369&gt;$Z$5,0,MOD(SMALL($Z$6:$Z$2005,369),10000))</f>
        <v>0</v>
      </c>
      <c r="O376" s="2">
        <f t="shared" si="11"/>
        <v>0</v>
      </c>
      <c r="Z376" s="2">
        <f>IF(AND(ISNUMBER(资金流水!$B$376),资金流水!$B$376&gt;=$C$4,资金流水!$B$376&lt;=$E$4,OR(资金流水!$C$376=$C$3,AND(资金流水!$AD$376=$C$3,资金流水!$X$376="账户互转"))),INT(资金流水!$B$376)*10000+371,"")</f>
      </c>
    </row>
    <row r="377">
      <c r="A377" s="94">
        <f>IF($N377=0,"",370)</f>
      </c>
      <c r="B377" s="95">
        <f t="shared" si="6"/>
      </c>
      <c r="C377" s="96">
        <f t="shared" si="1"/>
      </c>
      <c r="D377" s="21">
        <f t="shared" si="7"/>
      </c>
      <c r="E377" s="21">
        <f t="shared" si="2"/>
      </c>
      <c r="F377" s="48">
        <f t="shared" si="8"/>
      </c>
      <c r="G377" s="94">
        <f t="shared" si="9"/>
      </c>
      <c r="H377" s="94">
        <f t="shared" si="3"/>
      </c>
      <c r="I377" s="96">
        <f t="shared" si="0"/>
      </c>
      <c r="J377" s="94">
        <f t="shared" si="4"/>
      </c>
      <c r="K377" s="94">
        <f t="shared" si="10"/>
      </c>
      <c r="L377" s="96">
        <f t="shared" si="5"/>
      </c>
      <c r="N377" s="2">
        <f>IF(370&gt;$Z$5,0,MOD(SMALL($Z$6:$Z$2005,370),10000))</f>
        <v>0</v>
      </c>
      <c r="O377" s="2">
        <f t="shared" si="11"/>
        <v>0</v>
      </c>
      <c r="Z377" s="2">
        <f>IF(AND(ISNUMBER(资金流水!$B$377),资金流水!$B$377&gt;=$C$4,资金流水!$B$377&lt;=$E$4,OR(资金流水!$C$377=$C$3,AND(资金流水!$AD$377=$C$3,资金流水!$X$377="账户互转"))),INT(资金流水!$B$377)*10000+372,"")</f>
      </c>
    </row>
    <row r="378">
      <c r="A378" s="94">
        <f>IF($N378=0,"",371)</f>
      </c>
      <c r="B378" s="95">
        <f t="shared" si="6"/>
      </c>
      <c r="C378" s="96">
        <f t="shared" si="1"/>
      </c>
      <c r="D378" s="21">
        <f t="shared" si="7"/>
      </c>
      <c r="E378" s="21">
        <f t="shared" si="2"/>
      </c>
      <c r="F378" s="48">
        <f t="shared" si="8"/>
      </c>
      <c r="G378" s="94">
        <f t="shared" si="9"/>
      </c>
      <c r="H378" s="94">
        <f t="shared" si="3"/>
      </c>
      <c r="I378" s="96">
        <f t="shared" si="0"/>
      </c>
      <c r="J378" s="94">
        <f t="shared" si="4"/>
      </c>
      <c r="K378" s="94">
        <f t="shared" si="10"/>
      </c>
      <c r="L378" s="96">
        <f t="shared" si="5"/>
      </c>
      <c r="N378" s="2">
        <f>IF(371&gt;$Z$5,0,MOD(SMALL($Z$6:$Z$2005,371),10000))</f>
        <v>0</v>
      </c>
      <c r="O378" s="2">
        <f t="shared" si="11"/>
        <v>0</v>
      </c>
      <c r="Z378" s="2">
        <f>IF(AND(ISNUMBER(资金流水!$B$378),资金流水!$B$378&gt;=$C$4,资金流水!$B$378&lt;=$E$4,OR(资金流水!$C$378=$C$3,AND(资金流水!$AD$378=$C$3,资金流水!$X$378="账户互转"))),INT(资金流水!$B$378)*10000+373,"")</f>
      </c>
    </row>
    <row r="379">
      <c r="A379" s="94">
        <f>IF($N379=0,"",372)</f>
      </c>
      <c r="B379" s="95">
        <f t="shared" si="6"/>
      </c>
      <c r="C379" s="96">
        <f t="shared" si="1"/>
      </c>
      <c r="D379" s="21">
        <f t="shared" si="7"/>
      </c>
      <c r="E379" s="21">
        <f t="shared" si="2"/>
      </c>
      <c r="F379" s="48">
        <f t="shared" si="8"/>
      </c>
      <c r="G379" s="94">
        <f t="shared" si="9"/>
      </c>
      <c r="H379" s="94">
        <f t="shared" si="3"/>
      </c>
      <c r="I379" s="96">
        <f t="shared" si="0"/>
      </c>
      <c r="J379" s="94">
        <f t="shared" si="4"/>
      </c>
      <c r="K379" s="94">
        <f t="shared" si="10"/>
      </c>
      <c r="L379" s="96">
        <f t="shared" si="5"/>
      </c>
      <c r="N379" s="2">
        <f>IF(372&gt;$Z$5,0,MOD(SMALL($Z$6:$Z$2005,372),10000))</f>
        <v>0</v>
      </c>
      <c r="O379" s="2">
        <f t="shared" si="11"/>
        <v>0</v>
      </c>
      <c r="Z379" s="2">
        <f>IF(AND(ISNUMBER(资金流水!$B$379),资金流水!$B$379&gt;=$C$4,资金流水!$B$379&lt;=$E$4,OR(资金流水!$C$379=$C$3,AND(资金流水!$AD$379=$C$3,资金流水!$X$379="账户互转"))),INT(资金流水!$B$379)*10000+374,"")</f>
      </c>
    </row>
    <row r="380">
      <c r="A380" s="94">
        <f>IF($N380=0,"",373)</f>
      </c>
      <c r="B380" s="95">
        <f t="shared" si="6"/>
      </c>
      <c r="C380" s="96">
        <f t="shared" si="1"/>
      </c>
      <c r="D380" s="21">
        <f t="shared" si="7"/>
      </c>
      <c r="E380" s="21">
        <f t="shared" si="2"/>
      </c>
      <c r="F380" s="48">
        <f t="shared" si="8"/>
      </c>
      <c r="G380" s="94">
        <f t="shared" si="9"/>
      </c>
      <c r="H380" s="94">
        <f t="shared" si="3"/>
      </c>
      <c r="I380" s="96">
        <f t="shared" si="0"/>
      </c>
      <c r="J380" s="94">
        <f t="shared" si="4"/>
      </c>
      <c r="K380" s="94">
        <f t="shared" si="10"/>
      </c>
      <c r="L380" s="96">
        <f t="shared" si="5"/>
      </c>
      <c r="N380" s="2">
        <f>IF(373&gt;$Z$5,0,MOD(SMALL($Z$6:$Z$2005,373),10000))</f>
        <v>0</v>
      </c>
      <c r="O380" s="2">
        <f t="shared" si="11"/>
        <v>0</v>
      </c>
      <c r="Z380" s="2">
        <f>IF(AND(ISNUMBER(资金流水!$B$380),资金流水!$B$380&gt;=$C$4,资金流水!$B$380&lt;=$E$4,OR(资金流水!$C$380=$C$3,AND(资金流水!$AD$380=$C$3,资金流水!$X$380="账户互转"))),INT(资金流水!$B$380)*10000+375,"")</f>
      </c>
    </row>
    <row r="381">
      <c r="A381" s="94">
        <f>IF($N381=0,"",374)</f>
      </c>
      <c r="B381" s="95">
        <f t="shared" si="6"/>
      </c>
      <c r="C381" s="96">
        <f t="shared" si="1"/>
      </c>
      <c r="D381" s="21">
        <f t="shared" si="7"/>
      </c>
      <c r="E381" s="21">
        <f t="shared" si="2"/>
      </c>
      <c r="F381" s="48">
        <f t="shared" si="8"/>
      </c>
      <c r="G381" s="94">
        <f t="shared" si="9"/>
      </c>
      <c r="H381" s="94">
        <f t="shared" si="3"/>
      </c>
      <c r="I381" s="96">
        <f t="shared" si="0"/>
      </c>
      <c r="J381" s="94">
        <f t="shared" si="4"/>
      </c>
      <c r="K381" s="94">
        <f t="shared" si="10"/>
      </c>
      <c r="L381" s="96">
        <f t="shared" si="5"/>
      </c>
      <c r="N381" s="2">
        <f>IF(374&gt;$Z$5,0,MOD(SMALL($Z$6:$Z$2005,374),10000))</f>
        <v>0</v>
      </c>
      <c r="O381" s="2">
        <f t="shared" si="11"/>
        <v>0</v>
      </c>
      <c r="Z381" s="2">
        <f>IF(AND(ISNUMBER(资金流水!$B$381),资金流水!$B$381&gt;=$C$4,资金流水!$B$381&lt;=$E$4,OR(资金流水!$C$381=$C$3,AND(资金流水!$AD$381=$C$3,资金流水!$X$381="账户互转"))),INT(资金流水!$B$381)*10000+376,"")</f>
      </c>
    </row>
    <row r="382">
      <c r="A382" s="94">
        <f>IF($N382=0,"",375)</f>
      </c>
      <c r="B382" s="95">
        <f t="shared" si="6"/>
      </c>
      <c r="C382" s="96">
        <f t="shared" si="1"/>
      </c>
      <c r="D382" s="21">
        <f t="shared" si="7"/>
      </c>
      <c r="E382" s="21">
        <f t="shared" si="2"/>
      </c>
      <c r="F382" s="48">
        <f t="shared" si="8"/>
      </c>
      <c r="G382" s="94">
        <f t="shared" si="9"/>
      </c>
      <c r="H382" s="94">
        <f t="shared" si="3"/>
      </c>
      <c r="I382" s="96">
        <f t="shared" si="0"/>
      </c>
      <c r="J382" s="94">
        <f t="shared" si="4"/>
      </c>
      <c r="K382" s="94">
        <f t="shared" si="10"/>
      </c>
      <c r="L382" s="96">
        <f t="shared" si="5"/>
      </c>
      <c r="N382" s="2">
        <f>IF(375&gt;$Z$5,0,MOD(SMALL($Z$6:$Z$2005,375),10000))</f>
        <v>0</v>
      </c>
      <c r="O382" s="2">
        <f t="shared" si="11"/>
        <v>0</v>
      </c>
      <c r="Z382" s="2">
        <f>IF(AND(ISNUMBER(资金流水!$B$382),资金流水!$B$382&gt;=$C$4,资金流水!$B$382&lt;=$E$4,OR(资金流水!$C$382=$C$3,AND(资金流水!$AD$382=$C$3,资金流水!$X$382="账户互转"))),INT(资金流水!$B$382)*10000+377,"")</f>
      </c>
    </row>
    <row r="383">
      <c r="A383" s="94">
        <f>IF($N383=0,"",376)</f>
      </c>
      <c r="B383" s="95">
        <f t="shared" si="6"/>
      </c>
      <c r="C383" s="96">
        <f t="shared" si="1"/>
      </c>
      <c r="D383" s="21">
        <f t="shared" si="7"/>
      </c>
      <c r="E383" s="21">
        <f t="shared" si="2"/>
      </c>
      <c r="F383" s="48">
        <f t="shared" si="8"/>
      </c>
      <c r="G383" s="94">
        <f t="shared" si="9"/>
      </c>
      <c r="H383" s="94">
        <f t="shared" si="3"/>
      </c>
      <c r="I383" s="96">
        <f t="shared" si="0"/>
      </c>
      <c r="J383" s="94">
        <f t="shared" si="4"/>
      </c>
      <c r="K383" s="94">
        <f t="shared" si="10"/>
      </c>
      <c r="L383" s="96">
        <f t="shared" si="5"/>
      </c>
      <c r="N383" s="2">
        <f>IF(376&gt;$Z$5,0,MOD(SMALL($Z$6:$Z$2005,376),10000))</f>
        <v>0</v>
      </c>
      <c r="O383" s="2">
        <f t="shared" si="11"/>
        <v>0</v>
      </c>
      <c r="Z383" s="2">
        <f>IF(AND(ISNUMBER(资金流水!$B$383),资金流水!$B$383&gt;=$C$4,资金流水!$B$383&lt;=$E$4,OR(资金流水!$C$383=$C$3,AND(资金流水!$AD$383=$C$3,资金流水!$X$383="账户互转"))),INT(资金流水!$B$383)*10000+378,"")</f>
      </c>
    </row>
    <row r="384">
      <c r="A384" s="94">
        <f>IF($N384=0,"",377)</f>
      </c>
      <c r="B384" s="95">
        <f t="shared" si="6"/>
      </c>
      <c r="C384" s="96">
        <f t="shared" si="1"/>
      </c>
      <c r="D384" s="21">
        <f t="shared" si="7"/>
      </c>
      <c r="E384" s="21">
        <f t="shared" si="2"/>
      </c>
      <c r="F384" s="48">
        <f t="shared" si="8"/>
      </c>
      <c r="G384" s="94">
        <f t="shared" si="9"/>
      </c>
      <c r="H384" s="94">
        <f t="shared" si="3"/>
      </c>
      <c r="I384" s="96">
        <f t="shared" si="0"/>
      </c>
      <c r="J384" s="94">
        <f t="shared" si="4"/>
      </c>
      <c r="K384" s="94">
        <f t="shared" si="10"/>
      </c>
      <c r="L384" s="96">
        <f t="shared" si="5"/>
      </c>
      <c r="N384" s="2">
        <f>IF(377&gt;$Z$5,0,MOD(SMALL($Z$6:$Z$2005,377),10000))</f>
        <v>0</v>
      </c>
      <c r="O384" s="2">
        <f t="shared" si="11"/>
        <v>0</v>
      </c>
      <c r="Z384" s="2">
        <f>IF(AND(ISNUMBER(资金流水!$B$384),资金流水!$B$384&gt;=$C$4,资金流水!$B$384&lt;=$E$4,OR(资金流水!$C$384=$C$3,AND(资金流水!$AD$384=$C$3,资金流水!$X$384="账户互转"))),INT(资金流水!$B$384)*10000+379,"")</f>
      </c>
    </row>
    <row r="385">
      <c r="A385" s="94">
        <f>IF($N385=0,"",378)</f>
      </c>
      <c r="B385" s="95">
        <f t="shared" si="6"/>
      </c>
      <c r="C385" s="96">
        <f t="shared" si="1"/>
      </c>
      <c r="D385" s="21">
        <f t="shared" si="7"/>
      </c>
      <c r="E385" s="21">
        <f t="shared" si="2"/>
      </c>
      <c r="F385" s="48">
        <f t="shared" si="8"/>
      </c>
      <c r="G385" s="94">
        <f t="shared" si="9"/>
      </c>
      <c r="H385" s="94">
        <f t="shared" si="3"/>
      </c>
      <c r="I385" s="96">
        <f t="shared" si="0"/>
      </c>
      <c r="J385" s="94">
        <f t="shared" si="4"/>
      </c>
      <c r="K385" s="94">
        <f t="shared" si="10"/>
      </c>
      <c r="L385" s="96">
        <f t="shared" si="5"/>
      </c>
      <c r="N385" s="2">
        <f>IF(378&gt;$Z$5,0,MOD(SMALL($Z$6:$Z$2005,378),10000))</f>
        <v>0</v>
      </c>
      <c r="O385" s="2">
        <f t="shared" si="11"/>
        <v>0</v>
      </c>
      <c r="Z385" s="2">
        <f>IF(AND(ISNUMBER(资金流水!$B$385),资金流水!$B$385&gt;=$C$4,资金流水!$B$385&lt;=$E$4,OR(资金流水!$C$385=$C$3,AND(资金流水!$AD$385=$C$3,资金流水!$X$385="账户互转"))),INT(资金流水!$B$385)*10000+380,"")</f>
      </c>
    </row>
    <row r="386">
      <c r="A386" s="94">
        <f>IF($N386=0,"",379)</f>
      </c>
      <c r="B386" s="95">
        <f t="shared" si="6"/>
      </c>
      <c r="C386" s="96">
        <f t="shared" si="1"/>
      </c>
      <c r="D386" s="21">
        <f t="shared" si="7"/>
      </c>
      <c r="E386" s="21">
        <f t="shared" si="2"/>
      </c>
      <c r="F386" s="48">
        <f t="shared" si="8"/>
      </c>
      <c r="G386" s="94">
        <f t="shared" si="9"/>
      </c>
      <c r="H386" s="94">
        <f t="shared" si="3"/>
      </c>
      <c r="I386" s="96">
        <f t="shared" si="0"/>
      </c>
      <c r="J386" s="94">
        <f t="shared" si="4"/>
      </c>
      <c r="K386" s="94">
        <f t="shared" si="10"/>
      </c>
      <c r="L386" s="96">
        <f t="shared" si="5"/>
      </c>
      <c r="N386" s="2">
        <f>IF(379&gt;$Z$5,0,MOD(SMALL($Z$6:$Z$2005,379),10000))</f>
        <v>0</v>
      </c>
      <c r="O386" s="2">
        <f t="shared" si="11"/>
        <v>0</v>
      </c>
      <c r="Z386" s="2">
        <f>IF(AND(ISNUMBER(资金流水!$B$386),资金流水!$B$386&gt;=$C$4,资金流水!$B$386&lt;=$E$4,OR(资金流水!$C$386=$C$3,AND(资金流水!$AD$386=$C$3,资金流水!$X$386="账户互转"))),INT(资金流水!$B$386)*10000+381,"")</f>
      </c>
    </row>
    <row r="387">
      <c r="A387" s="94">
        <f>IF($N387=0,"",380)</f>
      </c>
      <c r="B387" s="95">
        <f t="shared" si="6"/>
      </c>
      <c r="C387" s="96">
        <f t="shared" si="1"/>
      </c>
      <c r="D387" s="21">
        <f t="shared" si="7"/>
      </c>
      <c r="E387" s="21">
        <f t="shared" si="2"/>
      </c>
      <c r="F387" s="48">
        <f t="shared" si="8"/>
      </c>
      <c r="G387" s="94">
        <f t="shared" si="9"/>
      </c>
      <c r="H387" s="94">
        <f t="shared" si="3"/>
      </c>
      <c r="I387" s="96">
        <f t="shared" si="0"/>
      </c>
      <c r="J387" s="94">
        <f t="shared" si="4"/>
      </c>
      <c r="K387" s="94">
        <f t="shared" si="10"/>
      </c>
      <c r="L387" s="96">
        <f t="shared" si="5"/>
      </c>
      <c r="N387" s="2">
        <f>IF(380&gt;$Z$5,0,MOD(SMALL($Z$6:$Z$2005,380),10000))</f>
        <v>0</v>
      </c>
      <c r="O387" s="2">
        <f t="shared" si="11"/>
        <v>0</v>
      </c>
      <c r="Z387" s="2">
        <f>IF(AND(ISNUMBER(资金流水!$B$387),资金流水!$B$387&gt;=$C$4,资金流水!$B$387&lt;=$E$4,OR(资金流水!$C$387=$C$3,AND(资金流水!$AD$387=$C$3,资金流水!$X$387="账户互转"))),INT(资金流水!$B$387)*10000+382,"")</f>
      </c>
    </row>
    <row r="388">
      <c r="A388" s="94">
        <f>IF($N388=0,"",381)</f>
      </c>
      <c r="B388" s="95">
        <f t="shared" si="6"/>
      </c>
      <c r="C388" s="96">
        <f t="shared" si="1"/>
      </c>
      <c r="D388" s="21">
        <f t="shared" si="7"/>
      </c>
      <c r="E388" s="21">
        <f t="shared" si="2"/>
      </c>
      <c r="F388" s="48">
        <f t="shared" si="8"/>
      </c>
      <c r="G388" s="94">
        <f t="shared" si="9"/>
      </c>
      <c r="H388" s="94">
        <f t="shared" si="3"/>
      </c>
      <c r="I388" s="96">
        <f t="shared" si="0"/>
      </c>
      <c r="J388" s="94">
        <f t="shared" si="4"/>
      </c>
      <c r="K388" s="94">
        <f t="shared" si="10"/>
      </c>
      <c r="L388" s="96">
        <f t="shared" si="5"/>
      </c>
      <c r="N388" s="2">
        <f>IF(381&gt;$Z$5,0,MOD(SMALL($Z$6:$Z$2005,381),10000))</f>
        <v>0</v>
      </c>
      <c r="O388" s="2">
        <f t="shared" si="11"/>
        <v>0</v>
      </c>
      <c r="Z388" s="2">
        <f>IF(AND(ISNUMBER(资金流水!$B$388),资金流水!$B$388&gt;=$C$4,资金流水!$B$388&lt;=$E$4,OR(资金流水!$C$388=$C$3,AND(资金流水!$AD$388=$C$3,资金流水!$X$388="账户互转"))),INT(资金流水!$B$388)*10000+383,"")</f>
      </c>
    </row>
    <row r="389">
      <c r="A389" s="94">
        <f>IF($N389=0,"",382)</f>
      </c>
      <c r="B389" s="95">
        <f t="shared" si="6"/>
      </c>
      <c r="C389" s="96">
        <f t="shared" si="1"/>
      </c>
      <c r="D389" s="21">
        <f t="shared" si="7"/>
      </c>
      <c r="E389" s="21">
        <f t="shared" si="2"/>
      </c>
      <c r="F389" s="48">
        <f t="shared" si="8"/>
      </c>
      <c r="G389" s="94">
        <f t="shared" si="9"/>
      </c>
      <c r="H389" s="94">
        <f t="shared" si="3"/>
      </c>
      <c r="I389" s="96">
        <f t="shared" si="0"/>
      </c>
      <c r="J389" s="94">
        <f t="shared" si="4"/>
      </c>
      <c r="K389" s="94">
        <f t="shared" si="10"/>
      </c>
      <c r="L389" s="96">
        <f t="shared" si="5"/>
      </c>
      <c r="N389" s="2">
        <f>IF(382&gt;$Z$5,0,MOD(SMALL($Z$6:$Z$2005,382),10000))</f>
        <v>0</v>
      </c>
      <c r="O389" s="2">
        <f t="shared" si="11"/>
        <v>0</v>
      </c>
      <c r="Z389" s="2">
        <f>IF(AND(ISNUMBER(资金流水!$B$389),资金流水!$B$389&gt;=$C$4,资金流水!$B$389&lt;=$E$4,OR(资金流水!$C$389=$C$3,AND(资金流水!$AD$389=$C$3,资金流水!$X$389="账户互转"))),INT(资金流水!$B$389)*10000+384,"")</f>
      </c>
    </row>
    <row r="390">
      <c r="A390" s="94">
        <f>IF($N390=0,"",383)</f>
      </c>
      <c r="B390" s="95">
        <f t="shared" si="6"/>
      </c>
      <c r="C390" s="96">
        <f t="shared" si="1"/>
      </c>
      <c r="D390" s="21">
        <f t="shared" si="7"/>
      </c>
      <c r="E390" s="21">
        <f t="shared" si="2"/>
      </c>
      <c r="F390" s="48">
        <f t="shared" si="8"/>
      </c>
      <c r="G390" s="94">
        <f t="shared" si="9"/>
      </c>
      <c r="H390" s="94">
        <f t="shared" si="3"/>
      </c>
      <c r="I390" s="96">
        <f t="shared" si="0"/>
      </c>
      <c r="J390" s="94">
        <f t="shared" si="4"/>
      </c>
      <c r="K390" s="94">
        <f t="shared" si="10"/>
      </c>
      <c r="L390" s="96">
        <f t="shared" si="5"/>
      </c>
      <c r="N390" s="2">
        <f>IF(383&gt;$Z$5,0,MOD(SMALL($Z$6:$Z$2005,383),10000))</f>
        <v>0</v>
      </c>
      <c r="O390" s="2">
        <f t="shared" si="11"/>
        <v>0</v>
      </c>
      <c r="Z390" s="2">
        <f>IF(AND(ISNUMBER(资金流水!$B$390),资金流水!$B$390&gt;=$C$4,资金流水!$B$390&lt;=$E$4,OR(资金流水!$C$390=$C$3,AND(资金流水!$AD$390=$C$3,资金流水!$X$390="账户互转"))),INT(资金流水!$B$390)*10000+385,"")</f>
      </c>
    </row>
    <row r="391">
      <c r="A391" s="94">
        <f>IF($N391=0,"",384)</f>
      </c>
      <c r="B391" s="95">
        <f t="shared" si="6"/>
      </c>
      <c r="C391" s="96">
        <f t="shared" si="1"/>
      </c>
      <c r="D391" s="21">
        <f t="shared" si="7"/>
      </c>
      <c r="E391" s="21">
        <f t="shared" si="2"/>
      </c>
      <c r="F391" s="48">
        <f t="shared" si="8"/>
      </c>
      <c r="G391" s="94">
        <f t="shared" si="9"/>
      </c>
      <c r="H391" s="94">
        <f t="shared" si="3"/>
      </c>
      <c r="I391" s="96">
        <f t="shared" si="0"/>
      </c>
      <c r="J391" s="94">
        <f t="shared" si="4"/>
      </c>
      <c r="K391" s="94">
        <f t="shared" si="10"/>
      </c>
      <c r="L391" s="96">
        <f t="shared" si="5"/>
      </c>
      <c r="N391" s="2">
        <f>IF(384&gt;$Z$5,0,MOD(SMALL($Z$6:$Z$2005,384),10000))</f>
        <v>0</v>
      </c>
      <c r="O391" s="2">
        <f t="shared" si="11"/>
        <v>0</v>
      </c>
      <c r="Z391" s="2">
        <f>IF(AND(ISNUMBER(资金流水!$B$391),资金流水!$B$391&gt;=$C$4,资金流水!$B$391&lt;=$E$4,OR(资金流水!$C$391=$C$3,AND(资金流水!$AD$391=$C$3,资金流水!$X$391="账户互转"))),INT(资金流水!$B$391)*10000+386,"")</f>
      </c>
    </row>
    <row r="392">
      <c r="A392" s="94">
        <f>IF($N392=0,"",385)</f>
      </c>
      <c r="B392" s="95">
        <f t="shared" si="6"/>
      </c>
      <c r="C392" s="96">
        <f t="shared" si="1"/>
      </c>
      <c r="D392" s="21">
        <f t="shared" si="7"/>
      </c>
      <c r="E392" s="21">
        <f t="shared" si="2"/>
      </c>
      <c r="F392" s="48">
        <f t="shared" si="8"/>
      </c>
      <c r="G392" s="94">
        <f t="shared" si="9"/>
      </c>
      <c r="H392" s="94">
        <f t="shared" si="3"/>
      </c>
      <c r="I392" s="96">
        <f t="shared" si="0"/>
      </c>
      <c r="J392" s="94">
        <f t="shared" si="4"/>
      </c>
      <c r="K392" s="94">
        <f t="shared" si="10"/>
      </c>
      <c r="L392" s="96">
        <f t="shared" si="5"/>
      </c>
      <c r="N392" s="2">
        <f>IF(385&gt;$Z$5,0,MOD(SMALL($Z$6:$Z$2005,385),10000))</f>
        <v>0</v>
      </c>
      <c r="O392" s="2">
        <f t="shared" si="11"/>
        <v>0</v>
      </c>
      <c r="Z392" s="2">
        <f>IF(AND(ISNUMBER(资金流水!$B$392),资金流水!$B$392&gt;=$C$4,资金流水!$B$392&lt;=$E$4,OR(资金流水!$C$392=$C$3,AND(资金流水!$AD$392=$C$3,资金流水!$X$392="账户互转"))),INT(资金流水!$B$392)*10000+387,"")</f>
      </c>
    </row>
    <row r="393">
      <c r="A393" s="94">
        <f>IF($N393=0,"",386)</f>
      </c>
      <c r="B393" s="95">
        <f t="shared" si="6"/>
      </c>
      <c r="C393" s="96">
        <f t="shared" si="1"/>
      </c>
      <c r="D393" s="21">
        <f t="shared" si="7"/>
      </c>
      <c r="E393" s="21">
        <f t="shared" si="2"/>
      </c>
      <c r="F393" s="48">
        <f t="shared" si="8"/>
      </c>
      <c r="G393" s="94">
        <f t="shared" si="9"/>
      </c>
      <c r="H393" s="94">
        <f t="shared" si="3"/>
      </c>
      <c r="I393" s="96">
        <f t="shared" si="0"/>
      </c>
      <c r="J393" s="94">
        <f t="shared" si="4"/>
      </c>
      <c r="K393" s="94">
        <f t="shared" si="10"/>
      </c>
      <c r="L393" s="96">
        <f t="shared" si="5"/>
      </c>
      <c r="N393" s="2">
        <f>IF(386&gt;$Z$5,0,MOD(SMALL($Z$6:$Z$2005,386),10000))</f>
        <v>0</v>
      </c>
      <c r="O393" s="2">
        <f t="shared" si="11"/>
        <v>0</v>
      </c>
      <c r="Z393" s="2">
        <f>IF(AND(ISNUMBER(资金流水!$B$393),资金流水!$B$393&gt;=$C$4,资金流水!$B$393&lt;=$E$4,OR(资金流水!$C$393=$C$3,AND(资金流水!$AD$393=$C$3,资金流水!$X$393="账户互转"))),INT(资金流水!$B$393)*10000+388,"")</f>
      </c>
    </row>
    <row r="394">
      <c r="A394" s="94">
        <f>IF($N394=0,"",387)</f>
      </c>
      <c r="B394" s="95">
        <f t="shared" si="6"/>
      </c>
      <c r="C394" s="96">
        <f t="shared" si="1"/>
      </c>
      <c r="D394" s="21">
        <f t="shared" si="7"/>
      </c>
      <c r="E394" s="21">
        <f t="shared" si="2"/>
      </c>
      <c r="F394" s="48">
        <f t="shared" si="8"/>
      </c>
      <c r="G394" s="94">
        <f t="shared" si="9"/>
      </c>
      <c r="H394" s="94">
        <f t="shared" si="3"/>
      </c>
      <c r="I394" s="96">
        <f t="shared" si="0"/>
      </c>
      <c r="J394" s="94">
        <f t="shared" si="4"/>
      </c>
      <c r="K394" s="94">
        <f t="shared" si="10"/>
      </c>
      <c r="L394" s="96">
        <f t="shared" si="5"/>
      </c>
      <c r="N394" s="2">
        <f>IF(387&gt;$Z$5,0,MOD(SMALL($Z$6:$Z$2005,387),10000))</f>
        <v>0</v>
      </c>
      <c r="O394" s="2">
        <f t="shared" si="11"/>
        <v>0</v>
      </c>
      <c r="Z394" s="2">
        <f>IF(AND(ISNUMBER(资金流水!$B$394),资金流水!$B$394&gt;=$C$4,资金流水!$B$394&lt;=$E$4,OR(资金流水!$C$394=$C$3,AND(资金流水!$AD$394=$C$3,资金流水!$X$394="账户互转"))),INT(资金流水!$B$394)*10000+389,"")</f>
      </c>
    </row>
    <row r="395">
      <c r="A395" s="94">
        <f>IF($N395=0,"",388)</f>
      </c>
      <c r="B395" s="95">
        <f t="shared" si="6"/>
      </c>
      <c r="C395" s="96">
        <f t="shared" si="1"/>
      </c>
      <c r="D395" s="21">
        <f t="shared" si="7"/>
      </c>
      <c r="E395" s="21">
        <f t="shared" si="2"/>
      </c>
      <c r="F395" s="48">
        <f t="shared" si="8"/>
      </c>
      <c r="G395" s="94">
        <f t="shared" si="9"/>
      </c>
      <c r="H395" s="94">
        <f t="shared" si="3"/>
      </c>
      <c r="I395" s="96">
        <f t="shared" si="0"/>
      </c>
      <c r="J395" s="94">
        <f t="shared" si="4"/>
      </c>
      <c r="K395" s="94">
        <f t="shared" si="10"/>
      </c>
      <c r="L395" s="96">
        <f t="shared" si="5"/>
      </c>
      <c r="N395" s="2">
        <f>IF(388&gt;$Z$5,0,MOD(SMALL($Z$6:$Z$2005,388),10000))</f>
        <v>0</v>
      </c>
      <c r="O395" s="2">
        <f t="shared" si="11"/>
        <v>0</v>
      </c>
      <c r="Z395" s="2">
        <f>IF(AND(ISNUMBER(资金流水!$B$395),资金流水!$B$395&gt;=$C$4,资金流水!$B$395&lt;=$E$4,OR(资金流水!$C$395=$C$3,AND(资金流水!$AD$395=$C$3,资金流水!$X$395="账户互转"))),INT(资金流水!$B$395)*10000+390,"")</f>
      </c>
    </row>
    <row r="396">
      <c r="A396" s="94">
        <f>IF($N396=0,"",389)</f>
      </c>
      <c r="B396" s="95">
        <f t="shared" si="6"/>
      </c>
      <c r="C396" s="96">
        <f t="shared" si="1"/>
      </c>
      <c r="D396" s="21">
        <f t="shared" si="7"/>
      </c>
      <c r="E396" s="21">
        <f t="shared" si="2"/>
      </c>
      <c r="F396" s="48">
        <f t="shared" si="8"/>
      </c>
      <c r="G396" s="94">
        <f t="shared" si="9"/>
      </c>
      <c r="H396" s="94">
        <f t="shared" si="3"/>
      </c>
      <c r="I396" s="96">
        <f t="shared" si="0"/>
      </c>
      <c r="J396" s="94">
        <f t="shared" si="4"/>
      </c>
      <c r="K396" s="94">
        <f t="shared" si="10"/>
      </c>
      <c r="L396" s="96">
        <f t="shared" si="5"/>
      </c>
      <c r="N396" s="2">
        <f>IF(389&gt;$Z$5,0,MOD(SMALL($Z$6:$Z$2005,389),10000))</f>
        <v>0</v>
      </c>
      <c r="O396" s="2">
        <f t="shared" si="11"/>
        <v>0</v>
      </c>
      <c r="Z396" s="2">
        <f>IF(AND(ISNUMBER(资金流水!$B$396),资金流水!$B$396&gt;=$C$4,资金流水!$B$396&lt;=$E$4,OR(资金流水!$C$396=$C$3,AND(资金流水!$AD$396=$C$3,资金流水!$X$396="账户互转"))),INT(资金流水!$B$396)*10000+391,"")</f>
      </c>
    </row>
    <row r="397">
      <c r="A397" s="94">
        <f>IF($N397=0,"",390)</f>
      </c>
      <c r="B397" s="95">
        <f t="shared" si="6"/>
      </c>
      <c r="C397" s="96">
        <f t="shared" si="1"/>
      </c>
      <c r="D397" s="21">
        <f t="shared" si="7"/>
      </c>
      <c r="E397" s="21">
        <f t="shared" si="2"/>
      </c>
      <c r="F397" s="48">
        <f t="shared" si="8"/>
      </c>
      <c r="G397" s="94">
        <f t="shared" si="9"/>
      </c>
      <c r="H397" s="94">
        <f t="shared" si="3"/>
      </c>
      <c r="I397" s="96">
        <f t="shared" si="0"/>
      </c>
      <c r="J397" s="94">
        <f t="shared" si="4"/>
      </c>
      <c r="K397" s="94">
        <f t="shared" si="10"/>
      </c>
      <c r="L397" s="96">
        <f t="shared" si="5"/>
      </c>
      <c r="N397" s="2">
        <f>IF(390&gt;$Z$5,0,MOD(SMALL($Z$6:$Z$2005,390),10000))</f>
        <v>0</v>
      </c>
      <c r="O397" s="2">
        <f t="shared" si="11"/>
        <v>0</v>
      </c>
      <c r="Z397" s="2">
        <f>IF(AND(ISNUMBER(资金流水!$B$397),资金流水!$B$397&gt;=$C$4,资金流水!$B$397&lt;=$E$4,OR(资金流水!$C$397=$C$3,AND(资金流水!$AD$397=$C$3,资金流水!$X$397="账户互转"))),INT(资金流水!$B$397)*10000+392,"")</f>
      </c>
    </row>
    <row r="398">
      <c r="A398" s="94">
        <f>IF($N398=0,"",391)</f>
      </c>
      <c r="B398" s="95">
        <f t="shared" si="6"/>
      </c>
      <c r="C398" s="96">
        <f t="shared" si="1"/>
      </c>
      <c r="D398" s="21">
        <f t="shared" si="7"/>
      </c>
      <c r="E398" s="21">
        <f t="shared" si="2"/>
      </c>
      <c r="F398" s="48">
        <f t="shared" si="8"/>
      </c>
      <c r="G398" s="94">
        <f t="shared" si="9"/>
      </c>
      <c r="H398" s="94">
        <f t="shared" si="3"/>
      </c>
      <c r="I398" s="96">
        <f t="shared" si="0"/>
      </c>
      <c r="J398" s="94">
        <f t="shared" si="4"/>
      </c>
      <c r="K398" s="94">
        <f t="shared" si="10"/>
      </c>
      <c r="L398" s="96">
        <f t="shared" si="5"/>
      </c>
      <c r="N398" s="2">
        <f>IF(391&gt;$Z$5,0,MOD(SMALL($Z$6:$Z$2005,391),10000))</f>
        <v>0</v>
      </c>
      <c r="O398" s="2">
        <f t="shared" si="11"/>
        <v>0</v>
      </c>
      <c r="Z398" s="2">
        <f>IF(AND(ISNUMBER(资金流水!$B$398),资金流水!$B$398&gt;=$C$4,资金流水!$B$398&lt;=$E$4,OR(资金流水!$C$398=$C$3,AND(资金流水!$AD$398=$C$3,资金流水!$X$398="账户互转"))),INT(资金流水!$B$398)*10000+393,"")</f>
      </c>
    </row>
    <row r="399">
      <c r="A399" s="94">
        <f>IF($N399=0,"",392)</f>
      </c>
      <c r="B399" s="95">
        <f t="shared" si="6"/>
      </c>
      <c r="C399" s="96">
        <f t="shared" si="1"/>
      </c>
      <c r="D399" s="21">
        <f t="shared" si="7"/>
      </c>
      <c r="E399" s="21">
        <f t="shared" si="2"/>
      </c>
      <c r="F399" s="48">
        <f t="shared" si="8"/>
      </c>
      <c r="G399" s="94">
        <f t="shared" si="9"/>
      </c>
      <c r="H399" s="94">
        <f t="shared" si="3"/>
      </c>
      <c r="I399" s="96">
        <f t="shared" si="0"/>
      </c>
      <c r="J399" s="94">
        <f t="shared" si="4"/>
      </c>
      <c r="K399" s="94">
        <f t="shared" si="10"/>
      </c>
      <c r="L399" s="96">
        <f t="shared" si="5"/>
      </c>
      <c r="N399" s="2">
        <f>IF(392&gt;$Z$5,0,MOD(SMALL($Z$6:$Z$2005,392),10000))</f>
        <v>0</v>
      </c>
      <c r="O399" s="2">
        <f t="shared" si="11"/>
        <v>0</v>
      </c>
      <c r="Z399" s="2">
        <f>IF(AND(ISNUMBER(资金流水!$B$399),资金流水!$B$399&gt;=$C$4,资金流水!$B$399&lt;=$E$4,OR(资金流水!$C$399=$C$3,AND(资金流水!$AD$399=$C$3,资金流水!$X$399="账户互转"))),INT(资金流水!$B$399)*10000+394,"")</f>
      </c>
    </row>
    <row r="400">
      <c r="A400" s="94">
        <f>IF($N400=0,"",393)</f>
      </c>
      <c r="B400" s="95">
        <f t="shared" si="6"/>
      </c>
      <c r="C400" s="96">
        <f t="shared" si="1"/>
      </c>
      <c r="D400" s="21">
        <f t="shared" si="7"/>
      </c>
      <c r="E400" s="21">
        <f t="shared" si="2"/>
      </c>
      <c r="F400" s="48">
        <f t="shared" si="8"/>
      </c>
      <c r="G400" s="94">
        <f t="shared" si="9"/>
      </c>
      <c r="H400" s="94">
        <f t="shared" si="3"/>
      </c>
      <c r="I400" s="96">
        <f t="shared" si="0"/>
      </c>
      <c r="J400" s="94">
        <f t="shared" si="4"/>
      </c>
      <c r="K400" s="94">
        <f t="shared" si="10"/>
      </c>
      <c r="L400" s="96">
        <f t="shared" si="5"/>
      </c>
      <c r="N400" s="2">
        <f>IF(393&gt;$Z$5,0,MOD(SMALL($Z$6:$Z$2005,393),10000))</f>
        <v>0</v>
      </c>
      <c r="O400" s="2">
        <f t="shared" si="11"/>
        <v>0</v>
      </c>
      <c r="Z400" s="2">
        <f>IF(AND(ISNUMBER(资金流水!$B$400),资金流水!$B$400&gt;=$C$4,资金流水!$B$400&lt;=$E$4,OR(资金流水!$C$400=$C$3,AND(资金流水!$AD$400=$C$3,资金流水!$X$400="账户互转"))),INT(资金流水!$B$400)*10000+395,"")</f>
      </c>
    </row>
    <row r="401">
      <c r="A401" s="94">
        <f>IF($N401=0,"",394)</f>
      </c>
      <c r="B401" s="95">
        <f t="shared" si="6"/>
      </c>
      <c r="C401" s="96">
        <f t="shared" si="1"/>
      </c>
      <c r="D401" s="21">
        <f t="shared" si="7"/>
      </c>
      <c r="E401" s="21">
        <f t="shared" si="2"/>
      </c>
      <c r="F401" s="48">
        <f t="shared" si="8"/>
      </c>
      <c r="G401" s="94">
        <f t="shared" si="9"/>
      </c>
      <c r="H401" s="94">
        <f t="shared" si="3"/>
      </c>
      <c r="I401" s="96">
        <f t="shared" si="0"/>
      </c>
      <c r="J401" s="94">
        <f t="shared" si="4"/>
      </c>
      <c r="K401" s="94">
        <f t="shared" si="10"/>
      </c>
      <c r="L401" s="96">
        <f t="shared" si="5"/>
      </c>
      <c r="N401" s="2">
        <f>IF(394&gt;$Z$5,0,MOD(SMALL($Z$6:$Z$2005,394),10000))</f>
        <v>0</v>
      </c>
      <c r="O401" s="2">
        <f t="shared" si="11"/>
        <v>0</v>
      </c>
      <c r="Z401" s="2">
        <f>IF(AND(ISNUMBER(资金流水!$B$401),资金流水!$B$401&gt;=$C$4,资金流水!$B$401&lt;=$E$4,OR(资金流水!$C$401=$C$3,AND(资金流水!$AD$401=$C$3,资金流水!$X$401="账户互转"))),INT(资金流水!$B$401)*10000+396,"")</f>
      </c>
    </row>
    <row r="402">
      <c r="A402" s="94">
        <f>IF($N402=0,"",395)</f>
      </c>
      <c r="B402" s="95">
        <f t="shared" si="6"/>
      </c>
      <c r="C402" s="96">
        <f t="shared" si="1"/>
      </c>
      <c r="D402" s="21">
        <f t="shared" si="7"/>
      </c>
      <c r="E402" s="21">
        <f t="shared" si="2"/>
      </c>
      <c r="F402" s="48">
        <f t="shared" si="8"/>
      </c>
      <c r="G402" s="94">
        <f t="shared" si="9"/>
      </c>
      <c r="H402" s="94">
        <f t="shared" si="3"/>
      </c>
      <c r="I402" s="96">
        <f t="shared" si="0"/>
      </c>
      <c r="J402" s="94">
        <f t="shared" si="4"/>
      </c>
      <c r="K402" s="94">
        <f t="shared" si="10"/>
      </c>
      <c r="L402" s="96">
        <f t="shared" si="5"/>
      </c>
      <c r="N402" s="2">
        <f>IF(395&gt;$Z$5,0,MOD(SMALL($Z$6:$Z$2005,395),10000))</f>
        <v>0</v>
      </c>
      <c r="O402" s="2">
        <f t="shared" si="11"/>
        <v>0</v>
      </c>
      <c r="Z402" s="2">
        <f>IF(AND(ISNUMBER(资金流水!$B$402),资金流水!$B$402&gt;=$C$4,资金流水!$B$402&lt;=$E$4,OR(资金流水!$C$402=$C$3,AND(资金流水!$AD$402=$C$3,资金流水!$X$402="账户互转"))),INT(资金流水!$B$402)*10000+397,"")</f>
      </c>
    </row>
    <row r="403">
      <c r="A403" s="94">
        <f>IF($N403=0,"",396)</f>
      </c>
      <c r="B403" s="95">
        <f t="shared" si="6"/>
      </c>
      <c r="C403" s="96">
        <f t="shared" si="1"/>
      </c>
      <c r="D403" s="21">
        <f t="shared" si="7"/>
      </c>
      <c r="E403" s="21">
        <f t="shared" si="2"/>
      </c>
      <c r="F403" s="48">
        <f t="shared" si="8"/>
      </c>
      <c r="G403" s="94">
        <f t="shared" si="9"/>
      </c>
      <c r="H403" s="94">
        <f t="shared" si="3"/>
      </c>
      <c r="I403" s="96">
        <f t="shared" si="0"/>
      </c>
      <c r="J403" s="94">
        <f t="shared" si="4"/>
      </c>
      <c r="K403" s="94">
        <f t="shared" si="10"/>
      </c>
      <c r="L403" s="96">
        <f t="shared" si="5"/>
      </c>
      <c r="N403" s="2">
        <f>IF(396&gt;$Z$5,0,MOD(SMALL($Z$6:$Z$2005,396),10000))</f>
        <v>0</v>
      </c>
      <c r="O403" s="2">
        <f t="shared" si="11"/>
        <v>0</v>
      </c>
      <c r="Z403" s="2">
        <f>IF(AND(ISNUMBER(资金流水!$B$403),资金流水!$B$403&gt;=$C$4,资金流水!$B$403&lt;=$E$4,OR(资金流水!$C$403=$C$3,AND(资金流水!$AD$403=$C$3,资金流水!$X$403="账户互转"))),INT(资金流水!$B$403)*10000+398,"")</f>
      </c>
    </row>
    <row r="404">
      <c r="A404" s="94">
        <f>IF($N404=0,"",397)</f>
      </c>
      <c r="B404" s="95">
        <f t="shared" si="6"/>
      </c>
      <c r="C404" s="96">
        <f t="shared" si="1"/>
      </c>
      <c r="D404" s="21">
        <f t="shared" si="7"/>
      </c>
      <c r="E404" s="21">
        <f t="shared" si="2"/>
      </c>
      <c r="F404" s="48">
        <f t="shared" si="8"/>
      </c>
      <c r="G404" s="94">
        <f t="shared" si="9"/>
      </c>
      <c r="H404" s="94">
        <f t="shared" si="3"/>
      </c>
      <c r="I404" s="96">
        <f t="shared" si="0"/>
      </c>
      <c r="J404" s="94">
        <f t="shared" si="4"/>
      </c>
      <c r="K404" s="94">
        <f t="shared" si="10"/>
      </c>
      <c r="L404" s="96">
        <f t="shared" si="5"/>
      </c>
      <c r="N404" s="2">
        <f>IF(397&gt;$Z$5,0,MOD(SMALL($Z$6:$Z$2005,397),10000))</f>
        <v>0</v>
      </c>
      <c r="O404" s="2">
        <f t="shared" si="11"/>
        <v>0</v>
      </c>
      <c r="Z404" s="2">
        <f>IF(AND(ISNUMBER(资金流水!$B$404),资金流水!$B$404&gt;=$C$4,资金流水!$B$404&lt;=$E$4,OR(资金流水!$C$404=$C$3,AND(资金流水!$AD$404=$C$3,资金流水!$X$404="账户互转"))),INT(资金流水!$B$404)*10000+399,"")</f>
      </c>
    </row>
    <row r="405">
      <c r="A405" s="94">
        <f>IF($N405=0,"",398)</f>
      </c>
      <c r="B405" s="95">
        <f t="shared" si="6"/>
      </c>
      <c r="C405" s="96">
        <f t="shared" si="1"/>
      </c>
      <c r="D405" s="21">
        <f t="shared" si="7"/>
      </c>
      <c r="E405" s="21">
        <f t="shared" si="2"/>
      </c>
      <c r="F405" s="48">
        <f t="shared" si="8"/>
      </c>
      <c r="G405" s="94">
        <f t="shared" si="9"/>
      </c>
      <c r="H405" s="94">
        <f t="shared" si="3"/>
      </c>
      <c r="I405" s="96">
        <f t="shared" si="0"/>
      </c>
      <c r="J405" s="94">
        <f t="shared" si="4"/>
      </c>
      <c r="K405" s="94">
        <f t="shared" si="10"/>
      </c>
      <c r="L405" s="96">
        <f t="shared" si="5"/>
      </c>
      <c r="N405" s="2">
        <f>IF(398&gt;$Z$5,0,MOD(SMALL($Z$6:$Z$2005,398),10000))</f>
        <v>0</v>
      </c>
      <c r="O405" s="2">
        <f t="shared" si="11"/>
        <v>0</v>
      </c>
      <c r="Z405" s="2">
        <f>IF(AND(ISNUMBER(资金流水!$B$405),资金流水!$B$405&gt;=$C$4,资金流水!$B$405&lt;=$E$4,OR(资金流水!$C$405=$C$3,AND(资金流水!$AD$405=$C$3,资金流水!$X$405="账户互转"))),INT(资金流水!$B$405)*10000+400,"")</f>
      </c>
    </row>
    <row r="406">
      <c r="A406" s="94">
        <f>IF($N406=0,"",399)</f>
      </c>
      <c r="B406" s="95">
        <f t="shared" si="6"/>
      </c>
      <c r="C406" s="96">
        <f t="shared" si="1"/>
      </c>
      <c r="D406" s="21">
        <f t="shared" si="7"/>
      </c>
      <c r="E406" s="21">
        <f t="shared" si="2"/>
      </c>
      <c r="F406" s="48">
        <f t="shared" si="8"/>
      </c>
      <c r="G406" s="94">
        <f t="shared" si="9"/>
      </c>
      <c r="H406" s="94">
        <f t="shared" si="3"/>
      </c>
      <c r="I406" s="96">
        <f t="shared" si="0"/>
      </c>
      <c r="J406" s="94">
        <f t="shared" si="4"/>
      </c>
      <c r="K406" s="94">
        <f t="shared" si="10"/>
      </c>
      <c r="L406" s="96">
        <f t="shared" si="5"/>
      </c>
      <c r="N406" s="2">
        <f>IF(399&gt;$Z$5,0,MOD(SMALL($Z$6:$Z$2005,399),10000))</f>
        <v>0</v>
      </c>
      <c r="O406" s="2">
        <f t="shared" si="11"/>
        <v>0</v>
      </c>
      <c r="Z406" s="2">
        <f>IF(AND(ISNUMBER(资金流水!$B$406),资金流水!$B$406&gt;=$C$4,资金流水!$B$406&lt;=$E$4,OR(资金流水!$C$406=$C$3,AND(资金流水!$AD$406=$C$3,资金流水!$X$406="账户互转"))),INT(资金流水!$B$406)*10000+401,"")</f>
      </c>
    </row>
    <row r="407">
      <c r="A407" s="94">
        <f>IF($N407=0,"",400)</f>
      </c>
      <c r="B407" s="95">
        <f t="shared" si="6"/>
      </c>
      <c r="C407" s="96">
        <f t="shared" si="1"/>
      </c>
      <c r="D407" s="21">
        <f t="shared" si="7"/>
      </c>
      <c r="E407" s="21">
        <f t="shared" si="2"/>
      </c>
      <c r="F407" s="48">
        <f t="shared" si="8"/>
      </c>
      <c r="G407" s="94">
        <f t="shared" si="9"/>
      </c>
      <c r="H407" s="94">
        <f t="shared" si="3"/>
      </c>
      <c r="I407" s="96">
        <f t="shared" si="0"/>
      </c>
      <c r="J407" s="94">
        <f t="shared" si="4"/>
      </c>
      <c r="K407" s="94">
        <f t="shared" si="10"/>
      </c>
      <c r="L407" s="96">
        <f t="shared" si="5"/>
      </c>
      <c r="N407" s="2">
        <f>IF(400&gt;$Z$5,0,MOD(SMALL($Z$6:$Z$2005,400),10000))</f>
        <v>0</v>
      </c>
      <c r="O407" s="2">
        <f t="shared" si="11"/>
        <v>0</v>
      </c>
      <c r="Z407" s="2">
        <f>IF(AND(ISNUMBER(资金流水!$B$407),资金流水!$B$407&gt;=$C$4,资金流水!$B$407&lt;=$E$4,OR(资金流水!$C$407=$C$3,AND(资金流水!$AD$407=$C$3,资金流水!$X$407="账户互转"))),INT(资金流水!$B$407)*10000+402,"")</f>
      </c>
    </row>
    <row r="408">
      <c r="A408" s="94">
        <f>IF($N408=0,"",401)</f>
      </c>
      <c r="B408" s="95">
        <f t="shared" si="6"/>
      </c>
      <c r="C408" s="96">
        <f t="shared" si="1"/>
      </c>
      <c r="D408" s="21">
        <f t="shared" si="7"/>
      </c>
      <c r="E408" s="21">
        <f t="shared" si="2"/>
      </c>
      <c r="F408" s="48">
        <f t="shared" si="8"/>
      </c>
      <c r="G408" s="94">
        <f t="shared" si="9"/>
      </c>
      <c r="H408" s="94">
        <f t="shared" si="3"/>
      </c>
      <c r="I408" s="96">
        <f t="shared" si="0"/>
      </c>
      <c r="J408" s="94">
        <f t="shared" si="4"/>
      </c>
      <c r="K408" s="94">
        <f t="shared" si="10"/>
      </c>
      <c r="L408" s="96">
        <f t="shared" si="5"/>
      </c>
      <c r="N408" s="2">
        <f>IF(401&gt;$Z$5,0,MOD(SMALL($Z$6:$Z$2005,401),10000))</f>
        <v>0</v>
      </c>
      <c r="O408" s="2">
        <f t="shared" si="11"/>
        <v>0</v>
      </c>
      <c r="Z408" s="2">
        <f>IF(AND(ISNUMBER(资金流水!$B$408),资金流水!$B$408&gt;=$C$4,资金流水!$B$408&lt;=$E$4,OR(资金流水!$C$408=$C$3,AND(资金流水!$AD$408=$C$3,资金流水!$X$408="账户互转"))),INT(资金流水!$B$408)*10000+403,"")</f>
      </c>
    </row>
    <row r="409">
      <c r="A409" s="94">
        <f>IF($N409=0,"",402)</f>
      </c>
      <c r="B409" s="95">
        <f t="shared" si="6"/>
      </c>
      <c r="C409" s="96">
        <f t="shared" si="1"/>
      </c>
      <c r="D409" s="21">
        <f t="shared" si="7"/>
      </c>
      <c r="E409" s="21">
        <f t="shared" si="2"/>
      </c>
      <c r="F409" s="48">
        <f t="shared" si="8"/>
      </c>
      <c r="G409" s="94">
        <f t="shared" si="9"/>
      </c>
      <c r="H409" s="94">
        <f t="shared" si="3"/>
      </c>
      <c r="I409" s="96">
        <f t="shared" si="0"/>
      </c>
      <c r="J409" s="94">
        <f t="shared" si="4"/>
      </c>
      <c r="K409" s="94">
        <f t="shared" si="10"/>
      </c>
      <c r="L409" s="96">
        <f t="shared" si="5"/>
      </c>
      <c r="N409" s="2">
        <f>IF(402&gt;$Z$5,0,MOD(SMALL($Z$6:$Z$2005,402),10000))</f>
        <v>0</v>
      </c>
      <c r="O409" s="2">
        <f t="shared" si="11"/>
        <v>0</v>
      </c>
      <c r="Z409" s="2">
        <f>IF(AND(ISNUMBER(资金流水!$B$409),资金流水!$B$409&gt;=$C$4,资金流水!$B$409&lt;=$E$4,OR(资金流水!$C$409=$C$3,AND(资金流水!$AD$409=$C$3,资金流水!$X$409="账户互转"))),INT(资金流水!$B$409)*10000+404,"")</f>
      </c>
    </row>
    <row r="410">
      <c r="A410" s="94">
        <f>IF($N410=0,"",403)</f>
      </c>
      <c r="B410" s="95">
        <f t="shared" si="6"/>
      </c>
      <c r="C410" s="96">
        <f t="shared" si="1"/>
      </c>
      <c r="D410" s="21">
        <f t="shared" si="7"/>
      </c>
      <c r="E410" s="21">
        <f t="shared" si="2"/>
      </c>
      <c r="F410" s="48">
        <f t="shared" si="8"/>
      </c>
      <c r="G410" s="94">
        <f t="shared" si="9"/>
      </c>
      <c r="H410" s="94">
        <f t="shared" si="3"/>
      </c>
      <c r="I410" s="96">
        <f t="shared" si="0"/>
      </c>
      <c r="J410" s="94">
        <f t="shared" si="4"/>
      </c>
      <c r="K410" s="94">
        <f t="shared" si="10"/>
      </c>
      <c r="L410" s="96">
        <f t="shared" si="5"/>
      </c>
      <c r="N410" s="2">
        <f>IF(403&gt;$Z$5,0,MOD(SMALL($Z$6:$Z$2005,403),10000))</f>
        <v>0</v>
      </c>
      <c r="O410" s="2">
        <f t="shared" si="11"/>
        <v>0</v>
      </c>
      <c r="Z410" s="2">
        <f>IF(AND(ISNUMBER(资金流水!$B$410),资金流水!$B$410&gt;=$C$4,资金流水!$B$410&lt;=$E$4,OR(资金流水!$C$410=$C$3,AND(资金流水!$AD$410=$C$3,资金流水!$X$410="账户互转"))),INT(资金流水!$B$410)*10000+405,"")</f>
      </c>
    </row>
    <row r="411">
      <c r="A411" s="94">
        <f>IF($N411=0,"",404)</f>
      </c>
      <c r="B411" s="95">
        <f t="shared" si="6"/>
      </c>
      <c r="C411" s="96">
        <f t="shared" si="1"/>
      </c>
      <c r="D411" s="21">
        <f t="shared" si="7"/>
      </c>
      <c r="E411" s="21">
        <f t="shared" si="2"/>
      </c>
      <c r="F411" s="48">
        <f t="shared" si="8"/>
      </c>
      <c r="G411" s="94">
        <f t="shared" si="9"/>
      </c>
      <c r="H411" s="94">
        <f t="shared" si="3"/>
      </c>
      <c r="I411" s="96">
        <f t="shared" si="0"/>
      </c>
      <c r="J411" s="94">
        <f t="shared" si="4"/>
      </c>
      <c r="K411" s="94">
        <f t="shared" si="10"/>
      </c>
      <c r="L411" s="96">
        <f t="shared" si="5"/>
      </c>
      <c r="N411" s="2">
        <f>IF(404&gt;$Z$5,0,MOD(SMALL($Z$6:$Z$2005,404),10000))</f>
        <v>0</v>
      </c>
      <c r="O411" s="2">
        <f t="shared" si="11"/>
        <v>0</v>
      </c>
      <c r="Z411" s="2">
        <f>IF(AND(ISNUMBER(资金流水!$B$411),资金流水!$B$411&gt;=$C$4,资金流水!$B$411&lt;=$E$4,OR(资金流水!$C$411=$C$3,AND(资金流水!$AD$411=$C$3,资金流水!$X$411="账户互转"))),INT(资金流水!$B$411)*10000+406,"")</f>
      </c>
    </row>
    <row r="412">
      <c r="A412" s="94">
        <f>IF($N412=0,"",405)</f>
      </c>
      <c r="B412" s="95">
        <f t="shared" si="6"/>
      </c>
      <c r="C412" s="96">
        <f t="shared" si="1"/>
      </c>
      <c r="D412" s="21">
        <f t="shared" si="7"/>
      </c>
      <c r="E412" s="21">
        <f t="shared" si="2"/>
      </c>
      <c r="F412" s="48">
        <f t="shared" si="8"/>
      </c>
      <c r="G412" s="94">
        <f t="shared" si="9"/>
      </c>
      <c r="H412" s="94">
        <f t="shared" si="3"/>
      </c>
      <c r="I412" s="96">
        <f t="shared" si="0"/>
      </c>
      <c r="J412" s="94">
        <f t="shared" si="4"/>
      </c>
      <c r="K412" s="94">
        <f t="shared" si="10"/>
      </c>
      <c r="L412" s="96">
        <f t="shared" si="5"/>
      </c>
      <c r="N412" s="2">
        <f>IF(405&gt;$Z$5,0,MOD(SMALL($Z$6:$Z$2005,405),10000))</f>
        <v>0</v>
      </c>
      <c r="O412" s="2">
        <f t="shared" si="11"/>
        <v>0</v>
      </c>
      <c r="Z412" s="2">
        <f>IF(AND(ISNUMBER(资金流水!$B$412),资金流水!$B$412&gt;=$C$4,资金流水!$B$412&lt;=$E$4,OR(资金流水!$C$412=$C$3,AND(资金流水!$AD$412=$C$3,资金流水!$X$412="账户互转"))),INT(资金流水!$B$412)*10000+407,"")</f>
      </c>
    </row>
    <row r="413">
      <c r="A413" s="94">
        <f>IF($N413=0,"",406)</f>
      </c>
      <c r="B413" s="95">
        <f t="shared" si="6"/>
      </c>
      <c r="C413" s="96">
        <f t="shared" si="1"/>
      </c>
      <c r="D413" s="21">
        <f t="shared" si="7"/>
      </c>
      <c r="E413" s="21">
        <f t="shared" si="2"/>
      </c>
      <c r="F413" s="48">
        <f t="shared" si="8"/>
      </c>
      <c r="G413" s="94">
        <f t="shared" si="9"/>
      </c>
      <c r="H413" s="94">
        <f t="shared" si="3"/>
      </c>
      <c r="I413" s="96">
        <f t="shared" si="0"/>
      </c>
      <c r="J413" s="94">
        <f t="shared" si="4"/>
      </c>
      <c r="K413" s="94">
        <f t="shared" si="10"/>
      </c>
      <c r="L413" s="96">
        <f t="shared" si="5"/>
      </c>
      <c r="N413" s="2">
        <f>IF(406&gt;$Z$5,0,MOD(SMALL($Z$6:$Z$2005,406),10000))</f>
        <v>0</v>
      </c>
      <c r="O413" s="2">
        <f t="shared" si="11"/>
        <v>0</v>
      </c>
      <c r="Z413" s="2">
        <f>IF(AND(ISNUMBER(资金流水!$B$413),资金流水!$B$413&gt;=$C$4,资金流水!$B$413&lt;=$E$4,OR(资金流水!$C$413=$C$3,AND(资金流水!$AD$413=$C$3,资金流水!$X$413="账户互转"))),INT(资金流水!$B$413)*10000+408,"")</f>
      </c>
    </row>
    <row r="414">
      <c r="A414" s="94">
        <f>IF($N414=0,"",407)</f>
      </c>
      <c r="B414" s="95">
        <f t="shared" si="6"/>
      </c>
      <c r="C414" s="96">
        <f t="shared" si="1"/>
      </c>
      <c r="D414" s="21">
        <f t="shared" si="7"/>
      </c>
      <c r="E414" s="21">
        <f t="shared" si="2"/>
      </c>
      <c r="F414" s="48">
        <f t="shared" si="8"/>
      </c>
      <c r="G414" s="94">
        <f t="shared" si="9"/>
      </c>
      <c r="H414" s="94">
        <f t="shared" si="3"/>
      </c>
      <c r="I414" s="96">
        <f t="shared" si="0"/>
      </c>
      <c r="J414" s="94">
        <f t="shared" si="4"/>
      </c>
      <c r="K414" s="94">
        <f t="shared" si="10"/>
      </c>
      <c r="L414" s="96">
        <f t="shared" si="5"/>
      </c>
      <c r="N414" s="2">
        <f>IF(407&gt;$Z$5,0,MOD(SMALL($Z$6:$Z$2005,407),10000))</f>
        <v>0</v>
      </c>
      <c r="O414" s="2">
        <f t="shared" si="11"/>
        <v>0</v>
      </c>
      <c r="Z414" s="2">
        <f>IF(AND(ISNUMBER(资金流水!$B$414),资金流水!$B$414&gt;=$C$4,资金流水!$B$414&lt;=$E$4,OR(资金流水!$C$414=$C$3,AND(资金流水!$AD$414=$C$3,资金流水!$X$414="账户互转"))),INT(资金流水!$B$414)*10000+409,"")</f>
      </c>
    </row>
    <row r="415">
      <c r="A415" s="94">
        <f>IF($N415=0,"",408)</f>
      </c>
      <c r="B415" s="95">
        <f t="shared" si="6"/>
      </c>
      <c r="C415" s="96">
        <f t="shared" si="1"/>
      </c>
      <c r="D415" s="21">
        <f t="shared" si="7"/>
      </c>
      <c r="E415" s="21">
        <f t="shared" si="2"/>
      </c>
      <c r="F415" s="48">
        <f t="shared" si="8"/>
      </c>
      <c r="G415" s="94">
        <f t="shared" si="9"/>
      </c>
      <c r="H415" s="94">
        <f t="shared" si="3"/>
      </c>
      <c r="I415" s="96">
        <f t="shared" si="0"/>
      </c>
      <c r="J415" s="94">
        <f t="shared" si="4"/>
      </c>
      <c r="K415" s="94">
        <f t="shared" si="10"/>
      </c>
      <c r="L415" s="96">
        <f t="shared" si="5"/>
      </c>
      <c r="N415" s="2">
        <f>IF(408&gt;$Z$5,0,MOD(SMALL($Z$6:$Z$2005,408),10000))</f>
        <v>0</v>
      </c>
      <c r="O415" s="2">
        <f t="shared" si="11"/>
        <v>0</v>
      </c>
      <c r="Z415" s="2">
        <f>IF(AND(ISNUMBER(资金流水!$B$415),资金流水!$B$415&gt;=$C$4,资金流水!$B$415&lt;=$E$4,OR(资金流水!$C$415=$C$3,AND(资金流水!$AD$415=$C$3,资金流水!$X$415="账户互转"))),INT(资金流水!$B$415)*10000+410,"")</f>
      </c>
    </row>
    <row r="416">
      <c r="A416" s="94">
        <f>IF($N416=0,"",409)</f>
      </c>
      <c r="B416" s="95">
        <f t="shared" si="6"/>
      </c>
      <c r="C416" s="96">
        <f t="shared" si="1"/>
      </c>
      <c r="D416" s="21">
        <f t="shared" si="7"/>
      </c>
      <c r="E416" s="21">
        <f t="shared" si="2"/>
      </c>
      <c r="F416" s="48">
        <f t="shared" si="8"/>
      </c>
      <c r="G416" s="94">
        <f t="shared" si="9"/>
      </c>
      <c r="H416" s="94">
        <f t="shared" si="3"/>
      </c>
      <c r="I416" s="96">
        <f t="shared" si="0"/>
      </c>
      <c r="J416" s="94">
        <f t="shared" si="4"/>
      </c>
      <c r="K416" s="94">
        <f t="shared" si="10"/>
      </c>
      <c r="L416" s="96">
        <f t="shared" si="5"/>
      </c>
      <c r="N416" s="2">
        <f>IF(409&gt;$Z$5,0,MOD(SMALL($Z$6:$Z$2005,409),10000))</f>
        <v>0</v>
      </c>
      <c r="O416" s="2">
        <f t="shared" si="11"/>
        <v>0</v>
      </c>
      <c r="Z416" s="2">
        <f>IF(AND(ISNUMBER(资金流水!$B$416),资金流水!$B$416&gt;=$C$4,资金流水!$B$416&lt;=$E$4,OR(资金流水!$C$416=$C$3,AND(资金流水!$AD$416=$C$3,资金流水!$X$416="账户互转"))),INT(资金流水!$B$416)*10000+411,"")</f>
      </c>
    </row>
    <row r="417">
      <c r="A417" s="94">
        <f>IF($N417=0,"",410)</f>
      </c>
      <c r="B417" s="95">
        <f t="shared" si="6"/>
      </c>
      <c r="C417" s="96">
        <f t="shared" si="1"/>
      </c>
      <c r="D417" s="21">
        <f t="shared" si="7"/>
      </c>
      <c r="E417" s="21">
        <f t="shared" si="2"/>
      </c>
      <c r="F417" s="48">
        <f t="shared" si="8"/>
      </c>
      <c r="G417" s="94">
        <f t="shared" si="9"/>
      </c>
      <c r="H417" s="94">
        <f t="shared" si="3"/>
      </c>
      <c r="I417" s="96">
        <f t="shared" si="0"/>
      </c>
      <c r="J417" s="94">
        <f t="shared" si="4"/>
      </c>
      <c r="K417" s="94">
        <f t="shared" si="10"/>
      </c>
      <c r="L417" s="96">
        <f t="shared" si="5"/>
      </c>
      <c r="N417" s="2">
        <f>IF(410&gt;$Z$5,0,MOD(SMALL($Z$6:$Z$2005,410),10000))</f>
        <v>0</v>
      </c>
      <c r="O417" s="2">
        <f t="shared" si="11"/>
        <v>0</v>
      </c>
      <c r="Z417" s="2">
        <f>IF(AND(ISNUMBER(资金流水!$B$417),资金流水!$B$417&gt;=$C$4,资金流水!$B$417&lt;=$E$4,OR(资金流水!$C$417=$C$3,AND(资金流水!$AD$417=$C$3,资金流水!$X$417="账户互转"))),INT(资金流水!$B$417)*10000+412,"")</f>
      </c>
    </row>
    <row r="418">
      <c r="A418" s="94">
        <f>IF($N418=0,"",411)</f>
      </c>
      <c r="B418" s="95">
        <f t="shared" si="6"/>
      </c>
      <c r="C418" s="96">
        <f t="shared" si="1"/>
      </c>
      <c r="D418" s="21">
        <f t="shared" si="7"/>
      </c>
      <c r="E418" s="21">
        <f t="shared" si="2"/>
      </c>
      <c r="F418" s="48">
        <f t="shared" si="8"/>
      </c>
      <c r="G418" s="94">
        <f t="shared" si="9"/>
      </c>
      <c r="H418" s="94">
        <f t="shared" si="3"/>
      </c>
      <c r="I418" s="96">
        <f t="shared" si="0"/>
      </c>
      <c r="J418" s="94">
        <f t="shared" si="4"/>
      </c>
      <c r="K418" s="94">
        <f t="shared" si="10"/>
      </c>
      <c r="L418" s="96">
        <f t="shared" si="5"/>
      </c>
      <c r="N418" s="2">
        <f>IF(411&gt;$Z$5,0,MOD(SMALL($Z$6:$Z$2005,411),10000))</f>
        <v>0</v>
      </c>
      <c r="O418" s="2">
        <f t="shared" si="11"/>
        <v>0</v>
      </c>
      <c r="Z418" s="2">
        <f>IF(AND(ISNUMBER(资金流水!$B$418),资金流水!$B$418&gt;=$C$4,资金流水!$B$418&lt;=$E$4,OR(资金流水!$C$418=$C$3,AND(资金流水!$AD$418=$C$3,资金流水!$X$418="账户互转"))),INT(资金流水!$B$418)*10000+413,"")</f>
      </c>
    </row>
    <row r="419">
      <c r="A419" s="94">
        <f>IF($N419=0,"",412)</f>
      </c>
      <c r="B419" s="95">
        <f t="shared" si="6"/>
      </c>
      <c r="C419" s="96">
        <f t="shared" si="1"/>
      </c>
      <c r="D419" s="21">
        <f t="shared" si="7"/>
      </c>
      <c r="E419" s="21">
        <f t="shared" si="2"/>
      </c>
      <c r="F419" s="48">
        <f t="shared" si="8"/>
      </c>
      <c r="G419" s="94">
        <f t="shared" si="9"/>
      </c>
      <c r="H419" s="94">
        <f t="shared" si="3"/>
      </c>
      <c r="I419" s="96">
        <f t="shared" si="0"/>
      </c>
      <c r="J419" s="94">
        <f t="shared" si="4"/>
      </c>
      <c r="K419" s="94">
        <f t="shared" si="10"/>
      </c>
      <c r="L419" s="96">
        <f t="shared" si="5"/>
      </c>
      <c r="N419" s="2">
        <f>IF(412&gt;$Z$5,0,MOD(SMALL($Z$6:$Z$2005,412),10000))</f>
        <v>0</v>
      </c>
      <c r="O419" s="2">
        <f t="shared" si="11"/>
        <v>0</v>
      </c>
      <c r="Z419" s="2">
        <f>IF(AND(ISNUMBER(资金流水!$B$419),资金流水!$B$419&gt;=$C$4,资金流水!$B$419&lt;=$E$4,OR(资金流水!$C$419=$C$3,AND(资金流水!$AD$419=$C$3,资金流水!$X$419="账户互转"))),INT(资金流水!$B$419)*10000+414,"")</f>
      </c>
    </row>
    <row r="420">
      <c r="A420" s="94">
        <f>IF($N420=0,"",413)</f>
      </c>
      <c r="B420" s="95">
        <f t="shared" si="6"/>
      </c>
      <c r="C420" s="96">
        <f t="shared" si="1"/>
      </c>
      <c r="D420" s="21">
        <f t="shared" si="7"/>
      </c>
      <c r="E420" s="21">
        <f t="shared" si="2"/>
      </c>
      <c r="F420" s="48">
        <f t="shared" si="8"/>
      </c>
      <c r="G420" s="94">
        <f t="shared" si="9"/>
      </c>
      <c r="H420" s="94">
        <f t="shared" si="3"/>
      </c>
      <c r="I420" s="96">
        <f t="shared" si="0"/>
      </c>
      <c r="J420" s="94">
        <f t="shared" si="4"/>
      </c>
      <c r="K420" s="94">
        <f t="shared" si="10"/>
      </c>
      <c r="L420" s="96">
        <f t="shared" si="5"/>
      </c>
      <c r="N420" s="2">
        <f>IF(413&gt;$Z$5,0,MOD(SMALL($Z$6:$Z$2005,413),10000))</f>
        <v>0</v>
      </c>
      <c r="O420" s="2">
        <f t="shared" si="11"/>
        <v>0</v>
      </c>
      <c r="Z420" s="2">
        <f>IF(AND(ISNUMBER(资金流水!$B$420),资金流水!$B$420&gt;=$C$4,资金流水!$B$420&lt;=$E$4,OR(资金流水!$C$420=$C$3,AND(资金流水!$AD$420=$C$3,资金流水!$X$420="账户互转"))),INT(资金流水!$B$420)*10000+415,"")</f>
      </c>
    </row>
    <row r="421">
      <c r="A421" s="94">
        <f>IF($N421=0,"",414)</f>
      </c>
      <c r="B421" s="95">
        <f t="shared" si="6"/>
      </c>
      <c r="C421" s="96">
        <f t="shared" si="1"/>
      </c>
      <c r="D421" s="21">
        <f t="shared" si="7"/>
      </c>
      <c r="E421" s="21">
        <f t="shared" si="2"/>
      </c>
      <c r="F421" s="48">
        <f t="shared" si="8"/>
      </c>
      <c r="G421" s="94">
        <f t="shared" si="9"/>
      </c>
      <c r="H421" s="94">
        <f t="shared" si="3"/>
      </c>
      <c r="I421" s="96">
        <f t="shared" si="0"/>
      </c>
      <c r="J421" s="94">
        <f t="shared" si="4"/>
      </c>
      <c r="K421" s="94">
        <f t="shared" si="10"/>
      </c>
      <c r="L421" s="96">
        <f t="shared" si="5"/>
      </c>
      <c r="N421" s="2">
        <f>IF(414&gt;$Z$5,0,MOD(SMALL($Z$6:$Z$2005,414),10000))</f>
        <v>0</v>
      </c>
      <c r="O421" s="2">
        <f t="shared" si="11"/>
        <v>0</v>
      </c>
      <c r="Z421" s="2">
        <f>IF(AND(ISNUMBER(资金流水!$B$421),资金流水!$B$421&gt;=$C$4,资金流水!$B$421&lt;=$E$4,OR(资金流水!$C$421=$C$3,AND(资金流水!$AD$421=$C$3,资金流水!$X$421="账户互转"))),INT(资金流水!$B$421)*10000+416,"")</f>
      </c>
    </row>
    <row r="422">
      <c r="A422" s="94">
        <f>IF($N422=0,"",415)</f>
      </c>
      <c r="B422" s="95">
        <f t="shared" si="6"/>
      </c>
      <c r="C422" s="96">
        <f t="shared" si="1"/>
      </c>
      <c r="D422" s="21">
        <f t="shared" si="7"/>
      </c>
      <c r="E422" s="21">
        <f t="shared" si="2"/>
      </c>
      <c r="F422" s="48">
        <f t="shared" si="8"/>
      </c>
      <c r="G422" s="94">
        <f t="shared" si="9"/>
      </c>
      <c r="H422" s="94">
        <f t="shared" si="3"/>
      </c>
      <c r="I422" s="96">
        <f t="shared" si="0"/>
      </c>
      <c r="J422" s="94">
        <f t="shared" si="4"/>
      </c>
      <c r="K422" s="94">
        <f t="shared" si="10"/>
      </c>
      <c r="L422" s="96">
        <f t="shared" si="5"/>
      </c>
      <c r="N422" s="2">
        <f>IF(415&gt;$Z$5,0,MOD(SMALL($Z$6:$Z$2005,415),10000))</f>
        <v>0</v>
      </c>
      <c r="O422" s="2">
        <f t="shared" si="11"/>
        <v>0</v>
      </c>
      <c r="Z422" s="2">
        <f>IF(AND(ISNUMBER(资金流水!$B$422),资金流水!$B$422&gt;=$C$4,资金流水!$B$422&lt;=$E$4,OR(资金流水!$C$422=$C$3,AND(资金流水!$AD$422=$C$3,资金流水!$X$422="账户互转"))),INT(资金流水!$B$422)*10000+417,"")</f>
      </c>
    </row>
    <row r="423">
      <c r="A423" s="94">
        <f>IF($N423=0,"",416)</f>
      </c>
      <c r="B423" s="95">
        <f t="shared" si="6"/>
      </c>
      <c r="C423" s="96">
        <f t="shared" si="1"/>
      </c>
      <c r="D423" s="21">
        <f t="shared" si="7"/>
      </c>
      <c r="E423" s="21">
        <f t="shared" si="2"/>
      </c>
      <c r="F423" s="48">
        <f t="shared" si="8"/>
      </c>
      <c r="G423" s="94">
        <f t="shared" si="9"/>
      </c>
      <c r="H423" s="94">
        <f t="shared" si="3"/>
      </c>
      <c r="I423" s="96">
        <f t="shared" si="0"/>
      </c>
      <c r="J423" s="94">
        <f t="shared" si="4"/>
      </c>
      <c r="K423" s="94">
        <f t="shared" si="10"/>
      </c>
      <c r="L423" s="96">
        <f t="shared" si="5"/>
      </c>
      <c r="N423" s="2">
        <f>IF(416&gt;$Z$5,0,MOD(SMALL($Z$6:$Z$2005,416),10000))</f>
        <v>0</v>
      </c>
      <c r="O423" s="2">
        <f t="shared" si="11"/>
        <v>0</v>
      </c>
      <c r="Z423" s="2">
        <f>IF(AND(ISNUMBER(资金流水!$B$423),资金流水!$B$423&gt;=$C$4,资金流水!$B$423&lt;=$E$4,OR(资金流水!$C$423=$C$3,AND(资金流水!$AD$423=$C$3,资金流水!$X$423="账户互转"))),INT(资金流水!$B$423)*10000+418,"")</f>
      </c>
    </row>
    <row r="424">
      <c r="A424" s="94">
        <f>IF($N424=0,"",417)</f>
      </c>
      <c r="B424" s="95">
        <f t="shared" si="6"/>
      </c>
      <c r="C424" s="96">
        <f t="shared" si="1"/>
      </c>
      <c r="D424" s="21">
        <f t="shared" si="7"/>
      </c>
      <c r="E424" s="21">
        <f t="shared" si="2"/>
      </c>
      <c r="F424" s="48">
        <f t="shared" si="8"/>
      </c>
      <c r="G424" s="94">
        <f t="shared" si="9"/>
      </c>
      <c r="H424" s="94">
        <f t="shared" si="3"/>
      </c>
      <c r="I424" s="96">
        <f t="shared" si="0"/>
      </c>
      <c r="J424" s="94">
        <f t="shared" si="4"/>
      </c>
      <c r="K424" s="94">
        <f t="shared" si="10"/>
      </c>
      <c r="L424" s="96">
        <f t="shared" si="5"/>
      </c>
      <c r="N424" s="2">
        <f>IF(417&gt;$Z$5,0,MOD(SMALL($Z$6:$Z$2005,417),10000))</f>
        <v>0</v>
      </c>
      <c r="O424" s="2">
        <f t="shared" si="11"/>
        <v>0</v>
      </c>
      <c r="Z424" s="2">
        <f>IF(AND(ISNUMBER(资金流水!$B$424),资金流水!$B$424&gt;=$C$4,资金流水!$B$424&lt;=$E$4,OR(资金流水!$C$424=$C$3,AND(资金流水!$AD$424=$C$3,资金流水!$X$424="账户互转"))),INT(资金流水!$B$424)*10000+419,"")</f>
      </c>
    </row>
    <row r="425">
      <c r="A425" s="94">
        <f>IF($N425=0,"",418)</f>
      </c>
      <c r="B425" s="95">
        <f t="shared" si="6"/>
      </c>
      <c r="C425" s="96">
        <f t="shared" si="1"/>
      </c>
      <c r="D425" s="21">
        <f t="shared" si="7"/>
      </c>
      <c r="E425" s="21">
        <f t="shared" si="2"/>
      </c>
      <c r="F425" s="48">
        <f t="shared" si="8"/>
      </c>
      <c r="G425" s="94">
        <f t="shared" si="9"/>
      </c>
      <c r="H425" s="94">
        <f t="shared" si="3"/>
      </c>
      <c r="I425" s="96">
        <f t="shared" si="0"/>
      </c>
      <c r="J425" s="94">
        <f t="shared" si="4"/>
      </c>
      <c r="K425" s="94">
        <f t="shared" si="10"/>
      </c>
      <c r="L425" s="96">
        <f t="shared" si="5"/>
      </c>
      <c r="N425" s="2">
        <f>IF(418&gt;$Z$5,0,MOD(SMALL($Z$6:$Z$2005,418),10000))</f>
        <v>0</v>
      </c>
      <c r="O425" s="2">
        <f t="shared" si="11"/>
        <v>0</v>
      </c>
      <c r="Z425" s="2">
        <f>IF(AND(ISNUMBER(资金流水!$B$425),资金流水!$B$425&gt;=$C$4,资金流水!$B$425&lt;=$E$4,OR(资金流水!$C$425=$C$3,AND(资金流水!$AD$425=$C$3,资金流水!$X$425="账户互转"))),INT(资金流水!$B$425)*10000+420,"")</f>
      </c>
    </row>
    <row r="426">
      <c r="A426" s="94">
        <f>IF($N426=0,"",419)</f>
      </c>
      <c r="B426" s="95">
        <f t="shared" si="6"/>
      </c>
      <c r="C426" s="96">
        <f t="shared" si="1"/>
      </c>
      <c r="D426" s="21">
        <f t="shared" si="7"/>
      </c>
      <c r="E426" s="21">
        <f t="shared" si="2"/>
      </c>
      <c r="F426" s="48">
        <f t="shared" si="8"/>
      </c>
      <c r="G426" s="94">
        <f t="shared" si="9"/>
      </c>
      <c r="H426" s="94">
        <f t="shared" si="3"/>
      </c>
      <c r="I426" s="96">
        <f t="shared" si="0"/>
      </c>
      <c r="J426" s="94">
        <f t="shared" si="4"/>
      </c>
      <c r="K426" s="94">
        <f t="shared" si="10"/>
      </c>
      <c r="L426" s="96">
        <f t="shared" si="5"/>
      </c>
      <c r="N426" s="2">
        <f>IF(419&gt;$Z$5,0,MOD(SMALL($Z$6:$Z$2005,419),10000))</f>
        <v>0</v>
      </c>
      <c r="O426" s="2">
        <f t="shared" si="11"/>
        <v>0</v>
      </c>
      <c r="Z426" s="2">
        <f>IF(AND(ISNUMBER(资金流水!$B$426),资金流水!$B$426&gt;=$C$4,资金流水!$B$426&lt;=$E$4,OR(资金流水!$C$426=$C$3,AND(资金流水!$AD$426=$C$3,资金流水!$X$426="账户互转"))),INT(资金流水!$B$426)*10000+421,"")</f>
      </c>
    </row>
    <row r="427">
      <c r="A427" s="94">
        <f>IF($N427=0,"",420)</f>
      </c>
      <c r="B427" s="95">
        <f t="shared" si="6"/>
      </c>
      <c r="C427" s="96">
        <f t="shared" si="1"/>
      </c>
      <c r="D427" s="21">
        <f t="shared" si="7"/>
      </c>
      <c r="E427" s="21">
        <f t="shared" si="2"/>
      </c>
      <c r="F427" s="48">
        <f t="shared" si="8"/>
      </c>
      <c r="G427" s="94">
        <f t="shared" si="9"/>
      </c>
      <c r="H427" s="94">
        <f t="shared" si="3"/>
      </c>
      <c r="I427" s="96">
        <f t="shared" si="0"/>
      </c>
      <c r="J427" s="94">
        <f t="shared" si="4"/>
      </c>
      <c r="K427" s="94">
        <f t="shared" si="10"/>
      </c>
      <c r="L427" s="96">
        <f t="shared" si="5"/>
      </c>
      <c r="N427" s="2">
        <f>IF(420&gt;$Z$5,0,MOD(SMALL($Z$6:$Z$2005,420),10000))</f>
        <v>0</v>
      </c>
      <c r="O427" s="2">
        <f t="shared" si="11"/>
        <v>0</v>
      </c>
      <c r="Z427" s="2">
        <f>IF(AND(ISNUMBER(资金流水!$B$427),资金流水!$B$427&gt;=$C$4,资金流水!$B$427&lt;=$E$4,OR(资金流水!$C$427=$C$3,AND(资金流水!$AD$427=$C$3,资金流水!$X$427="账户互转"))),INT(资金流水!$B$427)*10000+422,"")</f>
      </c>
    </row>
    <row r="428">
      <c r="A428" s="94">
        <f>IF($N428=0,"",421)</f>
      </c>
      <c r="B428" s="95">
        <f t="shared" si="6"/>
      </c>
      <c r="C428" s="96">
        <f t="shared" si="1"/>
      </c>
      <c r="D428" s="21">
        <f t="shared" si="7"/>
      </c>
      <c r="E428" s="21">
        <f t="shared" si="2"/>
      </c>
      <c r="F428" s="48">
        <f t="shared" si="8"/>
      </c>
      <c r="G428" s="94">
        <f t="shared" si="9"/>
      </c>
      <c r="H428" s="94">
        <f t="shared" si="3"/>
      </c>
      <c r="I428" s="96">
        <f t="shared" si="0"/>
      </c>
      <c r="J428" s="94">
        <f t="shared" si="4"/>
      </c>
      <c r="K428" s="94">
        <f t="shared" si="10"/>
      </c>
      <c r="L428" s="96">
        <f t="shared" si="5"/>
      </c>
      <c r="N428" s="2">
        <f>IF(421&gt;$Z$5,0,MOD(SMALL($Z$6:$Z$2005,421),10000))</f>
        <v>0</v>
      </c>
      <c r="O428" s="2">
        <f t="shared" si="11"/>
        <v>0</v>
      </c>
      <c r="Z428" s="2">
        <f>IF(AND(ISNUMBER(资金流水!$B$428),资金流水!$B$428&gt;=$C$4,资金流水!$B$428&lt;=$E$4,OR(资金流水!$C$428=$C$3,AND(资金流水!$AD$428=$C$3,资金流水!$X$428="账户互转"))),INT(资金流水!$B$428)*10000+423,"")</f>
      </c>
    </row>
    <row r="429">
      <c r="A429" s="94">
        <f>IF($N429=0,"",422)</f>
      </c>
      <c r="B429" s="95">
        <f t="shared" si="6"/>
      </c>
      <c r="C429" s="96">
        <f t="shared" si="1"/>
      </c>
      <c r="D429" s="21">
        <f t="shared" si="7"/>
      </c>
      <c r="E429" s="21">
        <f t="shared" si="2"/>
      </c>
      <c r="F429" s="48">
        <f t="shared" si="8"/>
      </c>
      <c r="G429" s="94">
        <f t="shared" si="9"/>
      </c>
      <c r="H429" s="94">
        <f t="shared" si="3"/>
      </c>
      <c r="I429" s="96">
        <f t="shared" si="0"/>
      </c>
      <c r="J429" s="94">
        <f t="shared" si="4"/>
      </c>
      <c r="K429" s="94">
        <f t="shared" si="10"/>
      </c>
      <c r="L429" s="96">
        <f t="shared" si="5"/>
      </c>
      <c r="N429" s="2">
        <f>IF(422&gt;$Z$5,0,MOD(SMALL($Z$6:$Z$2005,422),10000))</f>
        <v>0</v>
      </c>
      <c r="O429" s="2">
        <f t="shared" si="11"/>
        <v>0</v>
      </c>
      <c r="Z429" s="2">
        <f>IF(AND(ISNUMBER(资金流水!$B$429),资金流水!$B$429&gt;=$C$4,资金流水!$B$429&lt;=$E$4,OR(资金流水!$C$429=$C$3,AND(资金流水!$AD$429=$C$3,资金流水!$X$429="账户互转"))),INT(资金流水!$B$429)*10000+424,"")</f>
      </c>
    </row>
    <row r="430">
      <c r="A430" s="94">
        <f>IF($N430=0,"",423)</f>
      </c>
      <c r="B430" s="95">
        <f t="shared" si="6"/>
      </c>
      <c r="C430" s="96">
        <f t="shared" si="1"/>
      </c>
      <c r="D430" s="21">
        <f t="shared" si="7"/>
      </c>
      <c r="E430" s="21">
        <f t="shared" si="2"/>
      </c>
      <c r="F430" s="48">
        <f t="shared" si="8"/>
      </c>
      <c r="G430" s="94">
        <f t="shared" si="9"/>
      </c>
      <c r="H430" s="94">
        <f t="shared" si="3"/>
      </c>
      <c r="I430" s="96">
        <f t="shared" si="0"/>
      </c>
      <c r="J430" s="94">
        <f t="shared" si="4"/>
      </c>
      <c r="K430" s="94">
        <f t="shared" si="10"/>
      </c>
      <c r="L430" s="96">
        <f t="shared" si="5"/>
      </c>
      <c r="N430" s="2">
        <f>IF(423&gt;$Z$5,0,MOD(SMALL($Z$6:$Z$2005,423),10000))</f>
        <v>0</v>
      </c>
      <c r="O430" s="2">
        <f t="shared" si="11"/>
        <v>0</v>
      </c>
      <c r="Z430" s="2">
        <f>IF(AND(ISNUMBER(资金流水!$B$430),资金流水!$B$430&gt;=$C$4,资金流水!$B$430&lt;=$E$4,OR(资金流水!$C$430=$C$3,AND(资金流水!$AD$430=$C$3,资金流水!$X$430="账户互转"))),INT(资金流水!$B$430)*10000+425,"")</f>
      </c>
    </row>
    <row r="431">
      <c r="A431" s="94">
        <f>IF($N431=0,"",424)</f>
      </c>
      <c r="B431" s="95">
        <f t="shared" si="6"/>
      </c>
      <c r="C431" s="96">
        <f t="shared" si="1"/>
      </c>
      <c r="D431" s="21">
        <f t="shared" si="7"/>
      </c>
      <c r="E431" s="21">
        <f t="shared" si="2"/>
      </c>
      <c r="F431" s="48">
        <f t="shared" si="8"/>
      </c>
      <c r="G431" s="94">
        <f t="shared" si="9"/>
      </c>
      <c r="H431" s="94">
        <f t="shared" si="3"/>
      </c>
      <c r="I431" s="96">
        <f t="shared" si="0"/>
      </c>
      <c r="J431" s="94">
        <f t="shared" si="4"/>
      </c>
      <c r="K431" s="94">
        <f t="shared" si="10"/>
      </c>
      <c r="L431" s="96">
        <f t="shared" si="5"/>
      </c>
      <c r="N431" s="2">
        <f>IF(424&gt;$Z$5,0,MOD(SMALL($Z$6:$Z$2005,424),10000))</f>
        <v>0</v>
      </c>
      <c r="O431" s="2">
        <f t="shared" si="11"/>
        <v>0</v>
      </c>
      <c r="Z431" s="2">
        <f>IF(AND(ISNUMBER(资金流水!$B$431),资金流水!$B$431&gt;=$C$4,资金流水!$B$431&lt;=$E$4,OR(资金流水!$C$431=$C$3,AND(资金流水!$AD$431=$C$3,资金流水!$X$431="账户互转"))),INT(资金流水!$B$431)*10000+426,"")</f>
      </c>
    </row>
    <row r="432">
      <c r="A432" s="94">
        <f>IF($N432=0,"",425)</f>
      </c>
      <c r="B432" s="95">
        <f t="shared" si="6"/>
      </c>
      <c r="C432" s="96">
        <f t="shared" si="1"/>
      </c>
      <c r="D432" s="21">
        <f t="shared" si="7"/>
      </c>
      <c r="E432" s="21">
        <f t="shared" si="2"/>
      </c>
      <c r="F432" s="48">
        <f t="shared" si="8"/>
      </c>
      <c r="G432" s="94">
        <f t="shared" si="9"/>
      </c>
      <c r="H432" s="94">
        <f t="shared" si="3"/>
      </c>
      <c r="I432" s="96">
        <f t="shared" si="0"/>
      </c>
      <c r="J432" s="94">
        <f t="shared" si="4"/>
      </c>
      <c r="K432" s="94">
        <f t="shared" si="10"/>
      </c>
      <c r="L432" s="96">
        <f t="shared" si="5"/>
      </c>
      <c r="N432" s="2">
        <f>IF(425&gt;$Z$5,0,MOD(SMALL($Z$6:$Z$2005,425),10000))</f>
        <v>0</v>
      </c>
      <c r="O432" s="2">
        <f t="shared" si="11"/>
        <v>0</v>
      </c>
      <c r="Z432" s="2">
        <f>IF(AND(ISNUMBER(资金流水!$B$432),资金流水!$B$432&gt;=$C$4,资金流水!$B$432&lt;=$E$4,OR(资金流水!$C$432=$C$3,AND(资金流水!$AD$432=$C$3,资金流水!$X$432="账户互转"))),INT(资金流水!$B$432)*10000+427,"")</f>
      </c>
    </row>
    <row r="433">
      <c r="A433" s="94">
        <f>IF($N433=0,"",426)</f>
      </c>
      <c r="B433" s="95">
        <f t="shared" si="6"/>
      </c>
      <c r="C433" s="96">
        <f t="shared" si="1"/>
      </c>
      <c r="D433" s="21">
        <f t="shared" si="7"/>
      </c>
      <c r="E433" s="21">
        <f t="shared" si="2"/>
      </c>
      <c r="F433" s="48">
        <f t="shared" si="8"/>
      </c>
      <c r="G433" s="94">
        <f t="shared" si="9"/>
      </c>
      <c r="H433" s="94">
        <f t="shared" si="3"/>
      </c>
      <c r="I433" s="96">
        <f t="shared" si="0"/>
      </c>
      <c r="J433" s="94">
        <f t="shared" si="4"/>
      </c>
      <c r="K433" s="94">
        <f t="shared" si="10"/>
      </c>
      <c r="L433" s="96">
        <f t="shared" si="5"/>
      </c>
      <c r="N433" s="2">
        <f>IF(426&gt;$Z$5,0,MOD(SMALL($Z$6:$Z$2005,426),10000))</f>
        <v>0</v>
      </c>
      <c r="O433" s="2">
        <f t="shared" si="11"/>
        <v>0</v>
      </c>
      <c r="Z433" s="2">
        <f>IF(AND(ISNUMBER(资金流水!$B$433),资金流水!$B$433&gt;=$C$4,资金流水!$B$433&lt;=$E$4,OR(资金流水!$C$433=$C$3,AND(资金流水!$AD$433=$C$3,资金流水!$X$433="账户互转"))),INT(资金流水!$B$433)*10000+428,"")</f>
      </c>
    </row>
    <row r="434">
      <c r="A434" s="94">
        <f>IF($N434=0,"",427)</f>
      </c>
      <c r="B434" s="95">
        <f t="shared" si="6"/>
      </c>
      <c r="C434" s="96">
        <f t="shared" si="1"/>
      </c>
      <c r="D434" s="21">
        <f t="shared" si="7"/>
      </c>
      <c r="E434" s="21">
        <f t="shared" si="2"/>
      </c>
      <c r="F434" s="48">
        <f t="shared" si="8"/>
      </c>
      <c r="G434" s="94">
        <f t="shared" si="9"/>
      </c>
      <c r="H434" s="94">
        <f t="shared" si="3"/>
      </c>
      <c r="I434" s="96">
        <f t="shared" si="0"/>
      </c>
      <c r="J434" s="94">
        <f t="shared" si="4"/>
      </c>
      <c r="K434" s="94">
        <f t="shared" si="10"/>
      </c>
      <c r="L434" s="96">
        <f t="shared" si="5"/>
      </c>
      <c r="N434" s="2">
        <f>IF(427&gt;$Z$5,0,MOD(SMALL($Z$6:$Z$2005,427),10000))</f>
        <v>0</v>
      </c>
      <c r="O434" s="2">
        <f t="shared" si="11"/>
        <v>0</v>
      </c>
      <c r="Z434" s="2">
        <f>IF(AND(ISNUMBER(资金流水!$B$434),资金流水!$B$434&gt;=$C$4,资金流水!$B$434&lt;=$E$4,OR(资金流水!$C$434=$C$3,AND(资金流水!$AD$434=$C$3,资金流水!$X$434="账户互转"))),INT(资金流水!$B$434)*10000+429,"")</f>
      </c>
    </row>
    <row r="435">
      <c r="A435" s="94">
        <f>IF($N435=0,"",428)</f>
      </c>
      <c r="B435" s="95">
        <f t="shared" si="6"/>
      </c>
      <c r="C435" s="96">
        <f t="shared" si="1"/>
      </c>
      <c r="D435" s="21">
        <f t="shared" si="7"/>
      </c>
      <c r="E435" s="21">
        <f t="shared" si="2"/>
      </c>
      <c r="F435" s="48">
        <f t="shared" si="8"/>
      </c>
      <c r="G435" s="94">
        <f t="shared" si="9"/>
      </c>
      <c r="H435" s="94">
        <f t="shared" si="3"/>
      </c>
      <c r="I435" s="96">
        <f t="shared" si="0"/>
      </c>
      <c r="J435" s="94">
        <f t="shared" si="4"/>
      </c>
      <c r="K435" s="94">
        <f t="shared" si="10"/>
      </c>
      <c r="L435" s="96">
        <f t="shared" si="5"/>
      </c>
      <c r="N435" s="2">
        <f>IF(428&gt;$Z$5,0,MOD(SMALL($Z$6:$Z$2005,428),10000))</f>
        <v>0</v>
      </c>
      <c r="O435" s="2">
        <f t="shared" si="11"/>
        <v>0</v>
      </c>
      <c r="Z435" s="2">
        <f>IF(AND(ISNUMBER(资金流水!$B$435),资金流水!$B$435&gt;=$C$4,资金流水!$B$435&lt;=$E$4,OR(资金流水!$C$435=$C$3,AND(资金流水!$AD$435=$C$3,资金流水!$X$435="账户互转"))),INT(资金流水!$B$435)*10000+430,"")</f>
      </c>
    </row>
    <row r="436">
      <c r="A436" s="94">
        <f>IF($N436=0,"",429)</f>
      </c>
      <c r="B436" s="95">
        <f t="shared" si="6"/>
      </c>
      <c r="C436" s="96">
        <f t="shared" si="1"/>
      </c>
      <c r="D436" s="21">
        <f t="shared" si="7"/>
      </c>
      <c r="E436" s="21">
        <f t="shared" si="2"/>
      </c>
      <c r="F436" s="48">
        <f t="shared" si="8"/>
      </c>
      <c r="G436" s="94">
        <f t="shared" si="9"/>
      </c>
      <c r="H436" s="94">
        <f t="shared" si="3"/>
      </c>
      <c r="I436" s="96">
        <f t="shared" si="0"/>
      </c>
      <c r="J436" s="94">
        <f t="shared" si="4"/>
      </c>
      <c r="K436" s="94">
        <f t="shared" si="10"/>
      </c>
      <c r="L436" s="96">
        <f t="shared" si="5"/>
      </c>
      <c r="N436" s="2">
        <f>IF(429&gt;$Z$5,0,MOD(SMALL($Z$6:$Z$2005,429),10000))</f>
        <v>0</v>
      </c>
      <c r="O436" s="2">
        <f t="shared" si="11"/>
        <v>0</v>
      </c>
      <c r="Z436" s="2">
        <f>IF(AND(ISNUMBER(资金流水!$B$436),资金流水!$B$436&gt;=$C$4,资金流水!$B$436&lt;=$E$4,OR(资金流水!$C$436=$C$3,AND(资金流水!$AD$436=$C$3,资金流水!$X$436="账户互转"))),INT(资金流水!$B$436)*10000+431,"")</f>
      </c>
    </row>
    <row r="437">
      <c r="A437" s="94">
        <f>IF($N437=0,"",430)</f>
      </c>
      <c r="B437" s="95">
        <f t="shared" si="6"/>
      </c>
      <c r="C437" s="96">
        <f t="shared" si="1"/>
      </c>
      <c r="D437" s="21">
        <f t="shared" si="7"/>
      </c>
      <c r="E437" s="21">
        <f t="shared" si="2"/>
      </c>
      <c r="F437" s="48">
        <f t="shared" si="8"/>
      </c>
      <c r="G437" s="94">
        <f t="shared" si="9"/>
      </c>
      <c r="H437" s="94">
        <f t="shared" si="3"/>
      </c>
      <c r="I437" s="96">
        <f t="shared" si="0"/>
      </c>
      <c r="J437" s="94">
        <f t="shared" si="4"/>
      </c>
      <c r="K437" s="94">
        <f t="shared" si="10"/>
      </c>
      <c r="L437" s="96">
        <f t="shared" si="5"/>
      </c>
      <c r="N437" s="2">
        <f>IF(430&gt;$Z$5,0,MOD(SMALL($Z$6:$Z$2005,430),10000))</f>
        <v>0</v>
      </c>
      <c r="O437" s="2">
        <f t="shared" si="11"/>
        <v>0</v>
      </c>
      <c r="Z437" s="2">
        <f>IF(AND(ISNUMBER(资金流水!$B$437),资金流水!$B$437&gt;=$C$4,资金流水!$B$437&lt;=$E$4,OR(资金流水!$C$437=$C$3,AND(资金流水!$AD$437=$C$3,资金流水!$X$437="账户互转"))),INT(资金流水!$B$437)*10000+432,"")</f>
      </c>
    </row>
    <row r="438">
      <c r="A438" s="94">
        <f>IF($N438=0,"",431)</f>
      </c>
      <c r="B438" s="95">
        <f t="shared" si="6"/>
      </c>
      <c r="C438" s="96">
        <f t="shared" si="1"/>
      </c>
      <c r="D438" s="21">
        <f t="shared" si="7"/>
      </c>
      <c r="E438" s="21">
        <f t="shared" si="2"/>
      </c>
      <c r="F438" s="48">
        <f t="shared" si="8"/>
      </c>
      <c r="G438" s="94">
        <f t="shared" si="9"/>
      </c>
      <c r="H438" s="94">
        <f t="shared" si="3"/>
      </c>
      <c r="I438" s="96">
        <f t="shared" si="0"/>
      </c>
      <c r="J438" s="94">
        <f t="shared" si="4"/>
      </c>
      <c r="K438" s="94">
        <f t="shared" si="10"/>
      </c>
      <c r="L438" s="96">
        <f t="shared" si="5"/>
      </c>
      <c r="N438" s="2">
        <f>IF(431&gt;$Z$5,0,MOD(SMALL($Z$6:$Z$2005,431),10000))</f>
        <v>0</v>
      </c>
      <c r="O438" s="2">
        <f t="shared" si="11"/>
        <v>0</v>
      </c>
      <c r="Z438" s="2">
        <f>IF(AND(ISNUMBER(资金流水!$B$438),资金流水!$B$438&gt;=$C$4,资金流水!$B$438&lt;=$E$4,OR(资金流水!$C$438=$C$3,AND(资金流水!$AD$438=$C$3,资金流水!$X$438="账户互转"))),INT(资金流水!$B$438)*10000+433,"")</f>
      </c>
    </row>
    <row r="439">
      <c r="A439" s="94">
        <f>IF($N439=0,"",432)</f>
      </c>
      <c r="B439" s="95">
        <f t="shared" si="6"/>
      </c>
      <c r="C439" s="96">
        <f t="shared" si="1"/>
      </c>
      <c r="D439" s="21">
        <f t="shared" si="7"/>
      </c>
      <c r="E439" s="21">
        <f t="shared" si="2"/>
      </c>
      <c r="F439" s="48">
        <f t="shared" si="8"/>
      </c>
      <c r="G439" s="94">
        <f t="shared" si="9"/>
      </c>
      <c r="H439" s="94">
        <f t="shared" si="3"/>
      </c>
      <c r="I439" s="96">
        <f t="shared" si="0"/>
      </c>
      <c r="J439" s="94">
        <f t="shared" si="4"/>
      </c>
      <c r="K439" s="94">
        <f t="shared" si="10"/>
      </c>
      <c r="L439" s="96">
        <f t="shared" si="5"/>
      </c>
      <c r="N439" s="2">
        <f>IF(432&gt;$Z$5,0,MOD(SMALL($Z$6:$Z$2005,432),10000))</f>
        <v>0</v>
      </c>
      <c r="O439" s="2">
        <f t="shared" si="11"/>
        <v>0</v>
      </c>
      <c r="Z439" s="2">
        <f>IF(AND(ISNUMBER(资金流水!$B$439),资金流水!$B$439&gt;=$C$4,资金流水!$B$439&lt;=$E$4,OR(资金流水!$C$439=$C$3,AND(资金流水!$AD$439=$C$3,资金流水!$X$439="账户互转"))),INT(资金流水!$B$439)*10000+434,"")</f>
      </c>
    </row>
    <row r="440">
      <c r="A440" s="94">
        <f>IF($N440=0,"",433)</f>
      </c>
      <c r="B440" s="95">
        <f t="shared" si="6"/>
      </c>
      <c r="C440" s="96">
        <f t="shared" si="1"/>
      </c>
      <c r="D440" s="21">
        <f t="shared" si="7"/>
      </c>
      <c r="E440" s="21">
        <f t="shared" si="2"/>
      </c>
      <c r="F440" s="48">
        <f t="shared" si="8"/>
      </c>
      <c r="G440" s="94">
        <f t="shared" si="9"/>
      </c>
      <c r="H440" s="94">
        <f t="shared" si="3"/>
      </c>
      <c r="I440" s="96">
        <f t="shared" si="0"/>
      </c>
      <c r="J440" s="94">
        <f t="shared" si="4"/>
      </c>
      <c r="K440" s="94">
        <f t="shared" si="10"/>
      </c>
      <c r="L440" s="96">
        <f t="shared" si="5"/>
      </c>
      <c r="N440" s="2">
        <f>IF(433&gt;$Z$5,0,MOD(SMALL($Z$6:$Z$2005,433),10000))</f>
        <v>0</v>
      </c>
      <c r="O440" s="2">
        <f t="shared" si="11"/>
        <v>0</v>
      </c>
      <c r="Z440" s="2">
        <f>IF(AND(ISNUMBER(资金流水!$B$440),资金流水!$B$440&gt;=$C$4,资金流水!$B$440&lt;=$E$4,OR(资金流水!$C$440=$C$3,AND(资金流水!$AD$440=$C$3,资金流水!$X$440="账户互转"))),INT(资金流水!$B$440)*10000+435,"")</f>
      </c>
    </row>
    <row r="441">
      <c r="A441" s="94">
        <f>IF($N441=0,"",434)</f>
      </c>
      <c r="B441" s="95">
        <f t="shared" si="6"/>
      </c>
      <c r="C441" s="96">
        <f t="shared" si="1"/>
      </c>
      <c r="D441" s="21">
        <f t="shared" si="7"/>
      </c>
      <c r="E441" s="21">
        <f t="shared" si="2"/>
      </c>
      <c r="F441" s="48">
        <f t="shared" si="8"/>
      </c>
      <c r="G441" s="94">
        <f t="shared" si="9"/>
      </c>
      <c r="H441" s="94">
        <f t="shared" si="3"/>
      </c>
      <c r="I441" s="96">
        <f t="shared" si="0"/>
      </c>
      <c r="J441" s="94">
        <f t="shared" si="4"/>
      </c>
      <c r="K441" s="94">
        <f t="shared" si="10"/>
      </c>
      <c r="L441" s="96">
        <f t="shared" si="5"/>
      </c>
      <c r="N441" s="2">
        <f>IF(434&gt;$Z$5,0,MOD(SMALL($Z$6:$Z$2005,434),10000))</f>
        <v>0</v>
      </c>
      <c r="O441" s="2">
        <f t="shared" si="11"/>
        <v>0</v>
      </c>
      <c r="Z441" s="2">
        <f>IF(AND(ISNUMBER(资金流水!$B$441),资金流水!$B$441&gt;=$C$4,资金流水!$B$441&lt;=$E$4,OR(资金流水!$C$441=$C$3,AND(资金流水!$AD$441=$C$3,资金流水!$X$441="账户互转"))),INT(资金流水!$B$441)*10000+436,"")</f>
      </c>
    </row>
    <row r="442">
      <c r="A442" s="94">
        <f>IF($N442=0,"",435)</f>
      </c>
      <c r="B442" s="95">
        <f t="shared" si="6"/>
      </c>
      <c r="C442" s="96">
        <f t="shared" si="1"/>
      </c>
      <c r="D442" s="21">
        <f t="shared" si="7"/>
      </c>
      <c r="E442" s="21">
        <f t="shared" si="2"/>
      </c>
      <c r="F442" s="48">
        <f t="shared" si="8"/>
      </c>
      <c r="G442" s="94">
        <f t="shared" si="9"/>
      </c>
      <c r="H442" s="94">
        <f t="shared" si="3"/>
      </c>
      <c r="I442" s="96">
        <f t="shared" si="0"/>
      </c>
      <c r="J442" s="94">
        <f t="shared" si="4"/>
      </c>
      <c r="K442" s="94">
        <f t="shared" si="10"/>
      </c>
      <c r="L442" s="96">
        <f t="shared" si="5"/>
      </c>
      <c r="N442" s="2">
        <f>IF(435&gt;$Z$5,0,MOD(SMALL($Z$6:$Z$2005,435),10000))</f>
        <v>0</v>
      </c>
      <c r="O442" s="2">
        <f t="shared" si="11"/>
        <v>0</v>
      </c>
      <c r="Z442" s="2">
        <f>IF(AND(ISNUMBER(资金流水!$B$442),资金流水!$B$442&gt;=$C$4,资金流水!$B$442&lt;=$E$4,OR(资金流水!$C$442=$C$3,AND(资金流水!$AD$442=$C$3,资金流水!$X$442="账户互转"))),INT(资金流水!$B$442)*10000+437,"")</f>
      </c>
    </row>
    <row r="443">
      <c r="A443" s="94">
        <f>IF($N443=0,"",436)</f>
      </c>
      <c r="B443" s="95">
        <f t="shared" si="6"/>
      </c>
      <c r="C443" s="96">
        <f t="shared" si="1"/>
      </c>
      <c r="D443" s="21">
        <f t="shared" si="7"/>
      </c>
      <c r="E443" s="21">
        <f t="shared" si="2"/>
      </c>
      <c r="F443" s="48">
        <f t="shared" si="8"/>
      </c>
      <c r="G443" s="94">
        <f t="shared" si="9"/>
      </c>
      <c r="H443" s="94">
        <f t="shared" si="3"/>
      </c>
      <c r="I443" s="96">
        <f t="shared" si="0"/>
      </c>
      <c r="J443" s="94">
        <f t="shared" si="4"/>
      </c>
      <c r="K443" s="94">
        <f t="shared" si="10"/>
      </c>
      <c r="L443" s="96">
        <f t="shared" si="5"/>
      </c>
      <c r="N443" s="2">
        <f>IF(436&gt;$Z$5,0,MOD(SMALL($Z$6:$Z$2005,436),10000))</f>
        <v>0</v>
      </c>
      <c r="O443" s="2">
        <f t="shared" si="11"/>
        <v>0</v>
      </c>
      <c r="Z443" s="2">
        <f>IF(AND(ISNUMBER(资金流水!$B$443),资金流水!$B$443&gt;=$C$4,资金流水!$B$443&lt;=$E$4,OR(资金流水!$C$443=$C$3,AND(资金流水!$AD$443=$C$3,资金流水!$X$443="账户互转"))),INT(资金流水!$B$443)*10000+438,"")</f>
      </c>
    </row>
    <row r="444">
      <c r="A444" s="94">
        <f>IF($N444=0,"",437)</f>
      </c>
      <c r="B444" s="95">
        <f t="shared" si="6"/>
      </c>
      <c r="C444" s="96">
        <f t="shared" si="1"/>
      </c>
      <c r="D444" s="21">
        <f t="shared" si="7"/>
      </c>
      <c r="E444" s="21">
        <f t="shared" si="2"/>
      </c>
      <c r="F444" s="48">
        <f t="shared" si="8"/>
      </c>
      <c r="G444" s="94">
        <f t="shared" si="9"/>
      </c>
      <c r="H444" s="94">
        <f t="shared" si="3"/>
      </c>
      <c r="I444" s="96">
        <f t="shared" si="0"/>
      </c>
      <c r="J444" s="94">
        <f t="shared" si="4"/>
      </c>
      <c r="K444" s="94">
        <f t="shared" si="10"/>
      </c>
      <c r="L444" s="96">
        <f t="shared" si="5"/>
      </c>
      <c r="N444" s="2">
        <f>IF(437&gt;$Z$5,0,MOD(SMALL($Z$6:$Z$2005,437),10000))</f>
        <v>0</v>
      </c>
      <c r="O444" s="2">
        <f t="shared" si="11"/>
        <v>0</v>
      </c>
      <c r="Z444" s="2">
        <f>IF(AND(ISNUMBER(资金流水!$B$444),资金流水!$B$444&gt;=$C$4,资金流水!$B$444&lt;=$E$4,OR(资金流水!$C$444=$C$3,AND(资金流水!$AD$444=$C$3,资金流水!$X$444="账户互转"))),INT(资金流水!$B$444)*10000+439,"")</f>
      </c>
    </row>
    <row r="445">
      <c r="A445" s="94">
        <f>IF($N445=0,"",438)</f>
      </c>
      <c r="B445" s="95">
        <f t="shared" si="6"/>
      </c>
      <c r="C445" s="96">
        <f t="shared" si="1"/>
      </c>
      <c r="D445" s="21">
        <f t="shared" si="7"/>
      </c>
      <c r="E445" s="21">
        <f t="shared" si="2"/>
      </c>
      <c r="F445" s="48">
        <f t="shared" si="8"/>
      </c>
      <c r="G445" s="94">
        <f t="shared" si="9"/>
      </c>
      <c r="H445" s="94">
        <f t="shared" si="3"/>
      </c>
      <c r="I445" s="96">
        <f t="shared" si="0"/>
      </c>
      <c r="J445" s="94">
        <f t="shared" si="4"/>
      </c>
      <c r="K445" s="94">
        <f t="shared" si="10"/>
      </c>
      <c r="L445" s="96">
        <f t="shared" si="5"/>
      </c>
      <c r="N445" s="2">
        <f>IF(438&gt;$Z$5,0,MOD(SMALL($Z$6:$Z$2005,438),10000))</f>
        <v>0</v>
      </c>
      <c r="O445" s="2">
        <f t="shared" si="11"/>
        <v>0</v>
      </c>
      <c r="Z445" s="2">
        <f>IF(AND(ISNUMBER(资金流水!$B$445),资金流水!$B$445&gt;=$C$4,资金流水!$B$445&lt;=$E$4,OR(资金流水!$C$445=$C$3,AND(资金流水!$AD$445=$C$3,资金流水!$X$445="账户互转"))),INT(资金流水!$B$445)*10000+440,"")</f>
      </c>
    </row>
    <row r="446">
      <c r="A446" s="94">
        <f>IF($N446=0,"",439)</f>
      </c>
      <c r="B446" s="95">
        <f t="shared" si="6"/>
      </c>
      <c r="C446" s="96">
        <f t="shared" si="1"/>
      </c>
      <c r="D446" s="21">
        <f t="shared" si="7"/>
      </c>
      <c r="E446" s="21">
        <f t="shared" si="2"/>
      </c>
      <c r="F446" s="48">
        <f t="shared" si="8"/>
      </c>
      <c r="G446" s="94">
        <f t="shared" si="9"/>
      </c>
      <c r="H446" s="94">
        <f t="shared" si="3"/>
      </c>
      <c r="I446" s="96">
        <f t="shared" si="0"/>
      </c>
      <c r="J446" s="94">
        <f t="shared" si="4"/>
      </c>
      <c r="K446" s="94">
        <f t="shared" si="10"/>
      </c>
      <c r="L446" s="96">
        <f t="shared" si="5"/>
      </c>
      <c r="N446" s="2">
        <f>IF(439&gt;$Z$5,0,MOD(SMALL($Z$6:$Z$2005,439),10000))</f>
        <v>0</v>
      </c>
      <c r="O446" s="2">
        <f t="shared" si="11"/>
        <v>0</v>
      </c>
      <c r="Z446" s="2">
        <f>IF(AND(ISNUMBER(资金流水!$B$446),资金流水!$B$446&gt;=$C$4,资金流水!$B$446&lt;=$E$4,OR(资金流水!$C$446=$C$3,AND(资金流水!$AD$446=$C$3,资金流水!$X$446="账户互转"))),INT(资金流水!$B$446)*10000+441,"")</f>
      </c>
    </row>
    <row r="447">
      <c r="A447" s="94">
        <f>IF($N447=0,"",440)</f>
      </c>
      <c r="B447" s="95">
        <f t="shared" si="6"/>
      </c>
      <c r="C447" s="96">
        <f t="shared" si="1"/>
      </c>
      <c r="D447" s="21">
        <f t="shared" si="7"/>
      </c>
      <c r="E447" s="21">
        <f t="shared" si="2"/>
      </c>
      <c r="F447" s="48">
        <f t="shared" si="8"/>
      </c>
      <c r="G447" s="94">
        <f t="shared" si="9"/>
      </c>
      <c r="H447" s="94">
        <f t="shared" si="3"/>
      </c>
      <c r="I447" s="96">
        <f t="shared" si="0"/>
      </c>
      <c r="J447" s="94">
        <f t="shared" si="4"/>
      </c>
      <c r="K447" s="94">
        <f t="shared" si="10"/>
      </c>
      <c r="L447" s="96">
        <f t="shared" si="5"/>
      </c>
      <c r="N447" s="2">
        <f>IF(440&gt;$Z$5,0,MOD(SMALL($Z$6:$Z$2005,440),10000))</f>
        <v>0</v>
      </c>
      <c r="O447" s="2">
        <f t="shared" si="11"/>
        <v>0</v>
      </c>
      <c r="Z447" s="2">
        <f>IF(AND(ISNUMBER(资金流水!$B$447),资金流水!$B$447&gt;=$C$4,资金流水!$B$447&lt;=$E$4,OR(资金流水!$C$447=$C$3,AND(资金流水!$AD$447=$C$3,资金流水!$X$447="账户互转"))),INT(资金流水!$B$447)*10000+442,"")</f>
      </c>
    </row>
    <row r="448">
      <c r="A448" s="94">
        <f>IF($N448=0,"",441)</f>
      </c>
      <c r="B448" s="95">
        <f t="shared" si="6"/>
      </c>
      <c r="C448" s="96">
        <f t="shared" si="1"/>
      </c>
      <c r="D448" s="21">
        <f t="shared" si="7"/>
      </c>
      <c r="E448" s="21">
        <f t="shared" si="2"/>
      </c>
      <c r="F448" s="48">
        <f t="shared" si="8"/>
      </c>
      <c r="G448" s="94">
        <f t="shared" si="9"/>
      </c>
      <c r="H448" s="94">
        <f t="shared" si="3"/>
      </c>
      <c r="I448" s="96">
        <f t="shared" si="0"/>
      </c>
      <c r="J448" s="94">
        <f t="shared" si="4"/>
      </c>
      <c r="K448" s="94">
        <f t="shared" si="10"/>
      </c>
      <c r="L448" s="96">
        <f t="shared" si="5"/>
      </c>
      <c r="N448" s="2">
        <f>IF(441&gt;$Z$5,0,MOD(SMALL($Z$6:$Z$2005,441),10000))</f>
        <v>0</v>
      </c>
      <c r="O448" s="2">
        <f t="shared" si="11"/>
        <v>0</v>
      </c>
      <c r="Z448" s="2">
        <f>IF(AND(ISNUMBER(资金流水!$B$448),资金流水!$B$448&gt;=$C$4,资金流水!$B$448&lt;=$E$4,OR(资金流水!$C$448=$C$3,AND(资金流水!$AD$448=$C$3,资金流水!$X$448="账户互转"))),INT(资金流水!$B$448)*10000+443,"")</f>
      </c>
    </row>
    <row r="449">
      <c r="A449" s="94">
        <f>IF($N449=0,"",442)</f>
      </c>
      <c r="B449" s="95">
        <f t="shared" si="6"/>
      </c>
      <c r="C449" s="96">
        <f t="shared" si="1"/>
      </c>
      <c r="D449" s="21">
        <f t="shared" si="7"/>
      </c>
      <c r="E449" s="21">
        <f t="shared" si="2"/>
      </c>
      <c r="F449" s="48">
        <f t="shared" si="8"/>
      </c>
      <c r="G449" s="94">
        <f t="shared" si="9"/>
      </c>
      <c r="H449" s="94">
        <f t="shared" si="3"/>
      </c>
      <c r="I449" s="96">
        <f t="shared" si="0"/>
      </c>
      <c r="J449" s="94">
        <f t="shared" si="4"/>
      </c>
      <c r="K449" s="94">
        <f t="shared" si="10"/>
      </c>
      <c r="L449" s="96">
        <f t="shared" si="5"/>
      </c>
      <c r="N449" s="2">
        <f>IF(442&gt;$Z$5,0,MOD(SMALL($Z$6:$Z$2005,442),10000))</f>
        <v>0</v>
      </c>
      <c r="O449" s="2">
        <f t="shared" si="11"/>
        <v>0</v>
      </c>
      <c r="Z449" s="2">
        <f>IF(AND(ISNUMBER(资金流水!$B$449),资金流水!$B$449&gt;=$C$4,资金流水!$B$449&lt;=$E$4,OR(资金流水!$C$449=$C$3,AND(资金流水!$AD$449=$C$3,资金流水!$X$449="账户互转"))),INT(资金流水!$B$449)*10000+444,"")</f>
      </c>
    </row>
    <row r="450">
      <c r="A450" s="94">
        <f>IF($N450=0,"",443)</f>
      </c>
      <c r="B450" s="95">
        <f t="shared" si="6"/>
      </c>
      <c r="C450" s="96">
        <f t="shared" si="1"/>
      </c>
      <c r="D450" s="21">
        <f t="shared" si="7"/>
      </c>
      <c r="E450" s="21">
        <f t="shared" si="2"/>
      </c>
      <c r="F450" s="48">
        <f t="shared" si="8"/>
      </c>
      <c r="G450" s="94">
        <f t="shared" si="9"/>
      </c>
      <c r="H450" s="94">
        <f t="shared" si="3"/>
      </c>
      <c r="I450" s="96">
        <f t="shared" si="0"/>
      </c>
      <c r="J450" s="94">
        <f t="shared" si="4"/>
      </c>
      <c r="K450" s="94">
        <f t="shared" si="10"/>
      </c>
      <c r="L450" s="96">
        <f t="shared" si="5"/>
      </c>
      <c r="N450" s="2">
        <f>IF(443&gt;$Z$5,0,MOD(SMALL($Z$6:$Z$2005,443),10000))</f>
        <v>0</v>
      </c>
      <c r="O450" s="2">
        <f t="shared" si="11"/>
        <v>0</v>
      </c>
      <c r="Z450" s="2">
        <f>IF(AND(ISNUMBER(资金流水!$B$450),资金流水!$B$450&gt;=$C$4,资金流水!$B$450&lt;=$E$4,OR(资金流水!$C$450=$C$3,AND(资金流水!$AD$450=$C$3,资金流水!$X$450="账户互转"))),INT(资金流水!$B$450)*10000+445,"")</f>
      </c>
    </row>
    <row r="451">
      <c r="A451" s="94">
        <f>IF($N451=0,"",444)</f>
      </c>
      <c r="B451" s="95">
        <f t="shared" si="6"/>
      </c>
      <c r="C451" s="96">
        <f t="shared" si="1"/>
      </c>
      <c r="D451" s="21">
        <f t="shared" si="7"/>
      </c>
      <c r="E451" s="21">
        <f t="shared" si="2"/>
      </c>
      <c r="F451" s="48">
        <f t="shared" si="8"/>
      </c>
      <c r="G451" s="94">
        <f t="shared" si="9"/>
      </c>
      <c r="H451" s="94">
        <f t="shared" si="3"/>
      </c>
      <c r="I451" s="96">
        <f t="shared" si="0"/>
      </c>
      <c r="J451" s="94">
        <f t="shared" si="4"/>
      </c>
      <c r="K451" s="94">
        <f t="shared" si="10"/>
      </c>
      <c r="L451" s="96">
        <f t="shared" si="5"/>
      </c>
      <c r="N451" s="2">
        <f>IF(444&gt;$Z$5,0,MOD(SMALL($Z$6:$Z$2005,444),10000))</f>
        <v>0</v>
      </c>
      <c r="O451" s="2">
        <f t="shared" si="11"/>
        <v>0</v>
      </c>
      <c r="Z451" s="2">
        <f>IF(AND(ISNUMBER(资金流水!$B$451),资金流水!$B$451&gt;=$C$4,资金流水!$B$451&lt;=$E$4,OR(资金流水!$C$451=$C$3,AND(资金流水!$AD$451=$C$3,资金流水!$X$451="账户互转"))),INT(资金流水!$B$451)*10000+446,"")</f>
      </c>
    </row>
    <row r="452">
      <c r="A452" s="94">
        <f>IF($N452=0,"",445)</f>
      </c>
      <c r="B452" s="95">
        <f t="shared" si="6"/>
      </c>
      <c r="C452" s="96">
        <f t="shared" si="1"/>
      </c>
      <c r="D452" s="21">
        <f t="shared" si="7"/>
      </c>
      <c r="E452" s="21">
        <f t="shared" si="2"/>
      </c>
      <c r="F452" s="48">
        <f t="shared" si="8"/>
      </c>
      <c r="G452" s="94">
        <f t="shared" si="9"/>
      </c>
      <c r="H452" s="94">
        <f t="shared" si="3"/>
      </c>
      <c r="I452" s="96">
        <f t="shared" si="0"/>
      </c>
      <c r="J452" s="94">
        <f t="shared" si="4"/>
      </c>
      <c r="K452" s="94">
        <f t="shared" si="10"/>
      </c>
      <c r="L452" s="96">
        <f t="shared" si="5"/>
      </c>
      <c r="N452" s="2">
        <f>IF(445&gt;$Z$5,0,MOD(SMALL($Z$6:$Z$2005,445),10000))</f>
        <v>0</v>
      </c>
      <c r="O452" s="2">
        <f t="shared" si="11"/>
        <v>0</v>
      </c>
      <c r="Z452" s="2">
        <f>IF(AND(ISNUMBER(资金流水!$B$452),资金流水!$B$452&gt;=$C$4,资金流水!$B$452&lt;=$E$4,OR(资金流水!$C$452=$C$3,AND(资金流水!$AD$452=$C$3,资金流水!$X$452="账户互转"))),INT(资金流水!$B$452)*10000+447,"")</f>
      </c>
    </row>
    <row r="453">
      <c r="A453" s="94">
        <f>IF($N453=0,"",446)</f>
      </c>
      <c r="B453" s="95">
        <f t="shared" si="6"/>
      </c>
      <c r="C453" s="96">
        <f t="shared" si="1"/>
      </c>
      <c r="D453" s="21">
        <f t="shared" si="7"/>
      </c>
      <c r="E453" s="21">
        <f t="shared" si="2"/>
      </c>
      <c r="F453" s="48">
        <f t="shared" si="8"/>
      </c>
      <c r="G453" s="94">
        <f t="shared" si="9"/>
      </c>
      <c r="H453" s="94">
        <f t="shared" si="3"/>
      </c>
      <c r="I453" s="96">
        <f t="shared" si="0"/>
      </c>
      <c r="J453" s="94">
        <f t="shared" si="4"/>
      </c>
      <c r="K453" s="94">
        <f t="shared" si="10"/>
      </c>
      <c r="L453" s="96">
        <f t="shared" si="5"/>
      </c>
      <c r="N453" s="2">
        <f>IF(446&gt;$Z$5,0,MOD(SMALL($Z$6:$Z$2005,446),10000))</f>
        <v>0</v>
      </c>
      <c r="O453" s="2">
        <f t="shared" si="11"/>
        <v>0</v>
      </c>
      <c r="Z453" s="2">
        <f>IF(AND(ISNUMBER(资金流水!$B$453),资金流水!$B$453&gt;=$C$4,资金流水!$B$453&lt;=$E$4,OR(资金流水!$C$453=$C$3,AND(资金流水!$AD$453=$C$3,资金流水!$X$453="账户互转"))),INT(资金流水!$B$453)*10000+448,"")</f>
      </c>
    </row>
    <row r="454">
      <c r="A454" s="94">
        <f>IF($N454=0,"",447)</f>
      </c>
      <c r="B454" s="95">
        <f t="shared" si="6"/>
      </c>
      <c r="C454" s="96">
        <f t="shared" si="1"/>
      </c>
      <c r="D454" s="21">
        <f t="shared" si="7"/>
      </c>
      <c r="E454" s="21">
        <f t="shared" si="2"/>
      </c>
      <c r="F454" s="48">
        <f t="shared" si="8"/>
      </c>
      <c r="G454" s="94">
        <f t="shared" si="9"/>
      </c>
      <c r="H454" s="94">
        <f t="shared" si="3"/>
      </c>
      <c r="I454" s="96">
        <f t="shared" si="0"/>
      </c>
      <c r="J454" s="94">
        <f t="shared" si="4"/>
      </c>
      <c r="K454" s="94">
        <f t="shared" si="10"/>
      </c>
      <c r="L454" s="96">
        <f t="shared" si="5"/>
      </c>
      <c r="N454" s="2">
        <f>IF(447&gt;$Z$5,0,MOD(SMALL($Z$6:$Z$2005,447),10000))</f>
        <v>0</v>
      </c>
      <c r="O454" s="2">
        <f t="shared" si="11"/>
        <v>0</v>
      </c>
      <c r="Z454" s="2">
        <f>IF(AND(ISNUMBER(资金流水!$B$454),资金流水!$B$454&gt;=$C$4,资金流水!$B$454&lt;=$E$4,OR(资金流水!$C$454=$C$3,AND(资金流水!$AD$454=$C$3,资金流水!$X$454="账户互转"))),INT(资金流水!$B$454)*10000+449,"")</f>
      </c>
    </row>
    <row r="455">
      <c r="A455" s="94">
        <f>IF($N455=0,"",448)</f>
      </c>
      <c r="B455" s="95">
        <f t="shared" si="6"/>
      </c>
      <c r="C455" s="96">
        <f t="shared" si="1"/>
      </c>
      <c r="D455" s="21">
        <f t="shared" si="7"/>
      </c>
      <c r="E455" s="21">
        <f t="shared" si="2"/>
      </c>
      <c r="F455" s="48">
        <f t="shared" si="8"/>
      </c>
      <c r="G455" s="94">
        <f t="shared" si="9"/>
      </c>
      <c r="H455" s="94">
        <f t="shared" si="3"/>
      </c>
      <c r="I455" s="96">
        <f t="shared" si="0"/>
      </c>
      <c r="J455" s="94">
        <f t="shared" si="4"/>
      </c>
      <c r="K455" s="94">
        <f t="shared" si="10"/>
      </c>
      <c r="L455" s="96">
        <f t="shared" si="5"/>
      </c>
      <c r="N455" s="2">
        <f>IF(448&gt;$Z$5,0,MOD(SMALL($Z$6:$Z$2005,448),10000))</f>
        <v>0</v>
      </c>
      <c r="O455" s="2">
        <f t="shared" si="11"/>
        <v>0</v>
      </c>
      <c r="Z455" s="2">
        <f>IF(AND(ISNUMBER(资金流水!$B$455),资金流水!$B$455&gt;=$C$4,资金流水!$B$455&lt;=$E$4,OR(资金流水!$C$455=$C$3,AND(资金流水!$AD$455=$C$3,资金流水!$X$455="账户互转"))),INT(资金流水!$B$455)*10000+450,"")</f>
      </c>
    </row>
    <row r="456">
      <c r="A456" s="94">
        <f>IF($N456=0,"",449)</f>
      </c>
      <c r="B456" s="95">
        <f t="shared" si="6"/>
      </c>
      <c r="C456" s="96">
        <f t="shared" si="1"/>
      </c>
      <c r="D456" s="21">
        <f t="shared" si="7"/>
      </c>
      <c r="E456" s="21">
        <f t="shared" si="2"/>
      </c>
      <c r="F456" s="48">
        <f t="shared" si="8"/>
      </c>
      <c r="G456" s="94">
        <f t="shared" si="9"/>
      </c>
      <c r="H456" s="94">
        <f t="shared" si="3"/>
      </c>
      <c r="I456" s="96">
        <f t="shared" si="0"/>
      </c>
      <c r="J456" s="94">
        <f t="shared" si="4"/>
      </c>
      <c r="K456" s="94">
        <f t="shared" si="10"/>
      </c>
      <c r="L456" s="96">
        <f t="shared" si="5"/>
      </c>
      <c r="N456" s="2">
        <f>IF(449&gt;$Z$5,0,MOD(SMALL($Z$6:$Z$2005,449),10000))</f>
        <v>0</v>
      </c>
      <c r="O456" s="2">
        <f t="shared" si="11"/>
        <v>0</v>
      </c>
      <c r="Z456" s="2">
        <f>IF(AND(ISNUMBER(资金流水!$B$456),资金流水!$B$456&gt;=$C$4,资金流水!$B$456&lt;=$E$4,OR(资金流水!$C$456=$C$3,AND(资金流水!$AD$456=$C$3,资金流水!$X$456="账户互转"))),INT(资金流水!$B$456)*10000+451,"")</f>
      </c>
    </row>
    <row r="457">
      <c r="A457" s="94">
        <f>IF($N457=0,"",450)</f>
      </c>
      <c r="B457" s="95">
        <f t="shared" si="6"/>
      </c>
      <c r="C457" s="96">
        <f t="shared" si="1"/>
      </c>
      <c r="D457" s="21">
        <f t="shared" si="7"/>
      </c>
      <c r="E457" s="21">
        <f t="shared" si="2"/>
      </c>
      <c r="F457" s="48">
        <f t="shared" si="8"/>
      </c>
      <c r="G457" s="94">
        <f t="shared" si="9"/>
      </c>
      <c r="H457" s="94">
        <f t="shared" si="3"/>
      </c>
      <c r="I457" s="96">
        <f t="shared" si="0"/>
      </c>
      <c r="J457" s="94">
        <f t="shared" si="4"/>
      </c>
      <c r="K457" s="94">
        <f t="shared" si="10"/>
      </c>
      <c r="L457" s="96">
        <f t="shared" si="5"/>
      </c>
      <c r="N457" s="2">
        <f>IF(450&gt;$Z$5,0,MOD(SMALL($Z$6:$Z$2005,450),10000))</f>
        <v>0</v>
      </c>
      <c r="O457" s="2">
        <f t="shared" si="11"/>
        <v>0</v>
      </c>
      <c r="Z457" s="2">
        <f>IF(AND(ISNUMBER(资金流水!$B$457),资金流水!$B$457&gt;=$C$4,资金流水!$B$457&lt;=$E$4,OR(资金流水!$C$457=$C$3,AND(资金流水!$AD$457=$C$3,资金流水!$X$457="账户互转"))),INT(资金流水!$B$457)*10000+452,"")</f>
      </c>
    </row>
    <row r="458">
      <c r="A458" s="94">
        <f>IF($N458=0,"",451)</f>
      </c>
      <c r="B458" s="95">
        <f t="shared" si="6"/>
      </c>
      <c r="C458" s="96">
        <f t="shared" si="1"/>
      </c>
      <c r="D458" s="21">
        <f t="shared" si="7"/>
      </c>
      <c r="E458" s="21">
        <f t="shared" si="2"/>
      </c>
      <c r="F458" s="48">
        <f t="shared" si="8"/>
      </c>
      <c r="G458" s="94">
        <f t="shared" si="9"/>
      </c>
      <c r="H458" s="94">
        <f t="shared" si="3"/>
      </c>
      <c r="I458" s="96">
        <f t="shared" si="0"/>
      </c>
      <c r="J458" s="94">
        <f t="shared" si="4"/>
      </c>
      <c r="K458" s="94">
        <f t="shared" si="10"/>
      </c>
      <c r="L458" s="96">
        <f t="shared" si="5"/>
      </c>
      <c r="N458" s="2">
        <f>IF(451&gt;$Z$5,0,MOD(SMALL($Z$6:$Z$2005,451),10000))</f>
        <v>0</v>
      </c>
      <c r="O458" s="2">
        <f t="shared" si="11"/>
        <v>0</v>
      </c>
      <c r="Z458" s="2">
        <f>IF(AND(ISNUMBER(资金流水!$B$458),资金流水!$B$458&gt;=$C$4,资金流水!$B$458&lt;=$E$4,OR(资金流水!$C$458=$C$3,AND(资金流水!$AD$458=$C$3,资金流水!$X$458="账户互转"))),INT(资金流水!$B$458)*10000+453,"")</f>
      </c>
    </row>
    <row r="459">
      <c r="A459" s="94">
        <f>IF($N459=0,"",452)</f>
      </c>
      <c r="B459" s="95">
        <f t="shared" si="6"/>
      </c>
      <c r="C459" s="96">
        <f t="shared" si="1"/>
      </c>
      <c r="D459" s="21">
        <f t="shared" si="7"/>
      </c>
      <c r="E459" s="21">
        <f t="shared" si="2"/>
      </c>
      <c r="F459" s="48">
        <f t="shared" si="8"/>
      </c>
      <c r="G459" s="94">
        <f t="shared" si="9"/>
      </c>
      <c r="H459" s="94">
        <f t="shared" si="3"/>
      </c>
      <c r="I459" s="96">
        <f t="shared" si="0"/>
      </c>
      <c r="J459" s="94">
        <f t="shared" si="4"/>
      </c>
      <c r="K459" s="94">
        <f t="shared" si="10"/>
      </c>
      <c r="L459" s="96">
        <f t="shared" si="5"/>
      </c>
      <c r="N459" s="2">
        <f>IF(452&gt;$Z$5,0,MOD(SMALL($Z$6:$Z$2005,452),10000))</f>
        <v>0</v>
      </c>
      <c r="O459" s="2">
        <f t="shared" si="11"/>
        <v>0</v>
      </c>
      <c r="Z459" s="2">
        <f>IF(AND(ISNUMBER(资金流水!$B$459),资金流水!$B$459&gt;=$C$4,资金流水!$B$459&lt;=$E$4,OR(资金流水!$C$459=$C$3,AND(资金流水!$AD$459=$C$3,资金流水!$X$459="账户互转"))),INT(资金流水!$B$459)*10000+454,"")</f>
      </c>
    </row>
    <row r="460">
      <c r="A460" s="94">
        <f>IF($N460=0,"",453)</f>
      </c>
      <c r="B460" s="95">
        <f t="shared" si="6"/>
      </c>
      <c r="C460" s="96">
        <f t="shared" si="1"/>
      </c>
      <c r="D460" s="21">
        <f t="shared" si="7"/>
      </c>
      <c r="E460" s="21">
        <f t="shared" si="2"/>
      </c>
      <c r="F460" s="48">
        <f t="shared" si="8"/>
      </c>
      <c r="G460" s="94">
        <f t="shared" si="9"/>
      </c>
      <c r="H460" s="94">
        <f t="shared" si="3"/>
      </c>
      <c r="I460" s="96">
        <f t="shared" si="0"/>
      </c>
      <c r="J460" s="94">
        <f t="shared" si="4"/>
      </c>
      <c r="K460" s="94">
        <f t="shared" si="10"/>
      </c>
      <c r="L460" s="96">
        <f t="shared" si="5"/>
      </c>
      <c r="N460" s="2">
        <f>IF(453&gt;$Z$5,0,MOD(SMALL($Z$6:$Z$2005,453),10000))</f>
        <v>0</v>
      </c>
      <c r="O460" s="2">
        <f t="shared" si="11"/>
        <v>0</v>
      </c>
      <c r="Z460" s="2">
        <f>IF(AND(ISNUMBER(资金流水!$B$460),资金流水!$B$460&gt;=$C$4,资金流水!$B$460&lt;=$E$4,OR(资金流水!$C$460=$C$3,AND(资金流水!$AD$460=$C$3,资金流水!$X$460="账户互转"))),INT(资金流水!$B$460)*10000+455,"")</f>
      </c>
    </row>
    <row r="461">
      <c r="A461" s="94">
        <f>IF($N461=0,"",454)</f>
      </c>
      <c r="B461" s="95">
        <f t="shared" si="6"/>
      </c>
      <c r="C461" s="96">
        <f t="shared" si="1"/>
      </c>
      <c r="D461" s="21">
        <f t="shared" si="7"/>
      </c>
      <c r="E461" s="21">
        <f t="shared" si="2"/>
      </c>
      <c r="F461" s="48">
        <f t="shared" si="8"/>
      </c>
      <c r="G461" s="94">
        <f t="shared" si="9"/>
      </c>
      <c r="H461" s="94">
        <f t="shared" si="3"/>
      </c>
      <c r="I461" s="96">
        <f t="shared" si="0"/>
      </c>
      <c r="J461" s="94">
        <f t="shared" si="4"/>
      </c>
      <c r="K461" s="94">
        <f t="shared" si="10"/>
      </c>
      <c r="L461" s="96">
        <f t="shared" si="5"/>
      </c>
      <c r="N461" s="2">
        <f>IF(454&gt;$Z$5,0,MOD(SMALL($Z$6:$Z$2005,454),10000))</f>
        <v>0</v>
      </c>
      <c r="O461" s="2">
        <f t="shared" si="11"/>
        <v>0</v>
      </c>
      <c r="Z461" s="2">
        <f>IF(AND(ISNUMBER(资金流水!$B$461),资金流水!$B$461&gt;=$C$4,资金流水!$B$461&lt;=$E$4,OR(资金流水!$C$461=$C$3,AND(资金流水!$AD$461=$C$3,资金流水!$X$461="账户互转"))),INT(资金流水!$B$461)*10000+456,"")</f>
      </c>
    </row>
    <row r="462">
      <c r="A462" s="94">
        <f>IF($N462=0,"",455)</f>
      </c>
      <c r="B462" s="95">
        <f t="shared" si="6"/>
      </c>
      <c r="C462" s="96">
        <f t="shared" si="1"/>
      </c>
      <c r="D462" s="21">
        <f t="shared" si="7"/>
      </c>
      <c r="E462" s="21">
        <f t="shared" si="2"/>
      </c>
      <c r="F462" s="48">
        <f t="shared" si="8"/>
      </c>
      <c r="G462" s="94">
        <f t="shared" si="9"/>
      </c>
      <c r="H462" s="94">
        <f t="shared" si="3"/>
      </c>
      <c r="I462" s="96">
        <f t="shared" si="0"/>
      </c>
      <c r="J462" s="94">
        <f t="shared" si="4"/>
      </c>
      <c r="K462" s="94">
        <f t="shared" si="10"/>
      </c>
      <c r="L462" s="96">
        <f t="shared" si="5"/>
      </c>
      <c r="N462" s="2">
        <f>IF(455&gt;$Z$5,0,MOD(SMALL($Z$6:$Z$2005,455),10000))</f>
        <v>0</v>
      </c>
      <c r="O462" s="2">
        <f t="shared" si="11"/>
        <v>0</v>
      </c>
      <c r="Z462" s="2">
        <f>IF(AND(ISNUMBER(资金流水!$B$462),资金流水!$B$462&gt;=$C$4,资金流水!$B$462&lt;=$E$4,OR(资金流水!$C$462=$C$3,AND(资金流水!$AD$462=$C$3,资金流水!$X$462="账户互转"))),INT(资金流水!$B$462)*10000+457,"")</f>
      </c>
    </row>
    <row r="463">
      <c r="A463" s="94">
        <f>IF($N463=0,"",456)</f>
      </c>
      <c r="B463" s="95">
        <f t="shared" si="6"/>
      </c>
      <c r="C463" s="96">
        <f t="shared" si="1"/>
      </c>
      <c r="D463" s="21">
        <f t="shared" si="7"/>
      </c>
      <c r="E463" s="21">
        <f t="shared" si="2"/>
      </c>
      <c r="F463" s="48">
        <f t="shared" si="8"/>
      </c>
      <c r="G463" s="94">
        <f t="shared" si="9"/>
      </c>
      <c r="H463" s="94">
        <f t="shared" si="3"/>
      </c>
      <c r="I463" s="96">
        <f t="shared" si="0"/>
      </c>
      <c r="J463" s="94">
        <f t="shared" si="4"/>
      </c>
      <c r="K463" s="94">
        <f t="shared" si="10"/>
      </c>
      <c r="L463" s="96">
        <f t="shared" si="5"/>
      </c>
      <c r="N463" s="2">
        <f>IF(456&gt;$Z$5,0,MOD(SMALL($Z$6:$Z$2005,456),10000))</f>
        <v>0</v>
      </c>
      <c r="O463" s="2">
        <f t="shared" si="11"/>
        <v>0</v>
      </c>
      <c r="Z463" s="2">
        <f>IF(AND(ISNUMBER(资金流水!$B$463),资金流水!$B$463&gt;=$C$4,资金流水!$B$463&lt;=$E$4,OR(资金流水!$C$463=$C$3,AND(资金流水!$AD$463=$C$3,资金流水!$X$463="账户互转"))),INT(资金流水!$B$463)*10000+458,"")</f>
      </c>
    </row>
    <row r="464">
      <c r="A464" s="94">
        <f>IF($N464=0,"",457)</f>
      </c>
      <c r="B464" s="95">
        <f t="shared" si="6"/>
      </c>
      <c r="C464" s="96">
        <f t="shared" si="1"/>
      </c>
      <c r="D464" s="21">
        <f t="shared" si="7"/>
      </c>
      <c r="E464" s="21">
        <f t="shared" si="2"/>
      </c>
      <c r="F464" s="48">
        <f t="shared" si="8"/>
      </c>
      <c r="G464" s="94">
        <f t="shared" si="9"/>
      </c>
      <c r="H464" s="94">
        <f t="shared" si="3"/>
      </c>
      <c r="I464" s="96">
        <f t="shared" si="0"/>
      </c>
      <c r="J464" s="94">
        <f t="shared" si="4"/>
      </c>
      <c r="K464" s="94">
        <f t="shared" si="10"/>
      </c>
      <c r="L464" s="96">
        <f t="shared" si="5"/>
      </c>
      <c r="N464" s="2">
        <f>IF(457&gt;$Z$5,0,MOD(SMALL($Z$6:$Z$2005,457),10000))</f>
        <v>0</v>
      </c>
      <c r="O464" s="2">
        <f t="shared" si="11"/>
        <v>0</v>
      </c>
      <c r="Z464" s="2">
        <f>IF(AND(ISNUMBER(资金流水!$B$464),资金流水!$B$464&gt;=$C$4,资金流水!$B$464&lt;=$E$4,OR(资金流水!$C$464=$C$3,AND(资金流水!$AD$464=$C$3,资金流水!$X$464="账户互转"))),INT(资金流水!$B$464)*10000+459,"")</f>
      </c>
    </row>
    <row r="465">
      <c r="A465" s="94">
        <f>IF($N465=0,"",458)</f>
      </c>
      <c r="B465" s="95">
        <f t="shared" si="6"/>
      </c>
      <c r="C465" s="96">
        <f t="shared" si="1"/>
      </c>
      <c r="D465" s="21">
        <f t="shared" si="7"/>
      </c>
      <c r="E465" s="21">
        <f t="shared" si="2"/>
      </c>
      <c r="F465" s="48">
        <f t="shared" si="8"/>
      </c>
      <c r="G465" s="94">
        <f t="shared" si="9"/>
      </c>
      <c r="H465" s="94">
        <f t="shared" si="3"/>
      </c>
      <c r="I465" s="96">
        <f t="shared" si="0"/>
      </c>
      <c r="J465" s="94">
        <f t="shared" si="4"/>
      </c>
      <c r="K465" s="94">
        <f t="shared" si="10"/>
      </c>
      <c r="L465" s="96">
        <f t="shared" si="5"/>
      </c>
      <c r="N465" s="2">
        <f>IF(458&gt;$Z$5,0,MOD(SMALL($Z$6:$Z$2005,458),10000))</f>
        <v>0</v>
      </c>
      <c r="O465" s="2">
        <f t="shared" si="11"/>
        <v>0</v>
      </c>
      <c r="Z465" s="2">
        <f>IF(AND(ISNUMBER(资金流水!$B$465),资金流水!$B$465&gt;=$C$4,资金流水!$B$465&lt;=$E$4,OR(资金流水!$C$465=$C$3,AND(资金流水!$AD$465=$C$3,资金流水!$X$465="账户互转"))),INT(资金流水!$B$465)*10000+460,"")</f>
      </c>
    </row>
    <row r="466">
      <c r="A466" s="94">
        <f>IF($N466=0,"",459)</f>
      </c>
      <c r="B466" s="95">
        <f t="shared" si="6"/>
      </c>
      <c r="C466" s="96">
        <f t="shared" si="1"/>
      </c>
      <c r="D466" s="21">
        <f t="shared" si="7"/>
      </c>
      <c r="E466" s="21">
        <f t="shared" si="2"/>
      </c>
      <c r="F466" s="48">
        <f t="shared" si="8"/>
      </c>
      <c r="G466" s="94">
        <f t="shared" si="9"/>
      </c>
      <c r="H466" s="94">
        <f t="shared" si="3"/>
      </c>
      <c r="I466" s="96">
        <f t="shared" si="0"/>
      </c>
      <c r="J466" s="94">
        <f t="shared" si="4"/>
      </c>
      <c r="K466" s="94">
        <f t="shared" si="10"/>
      </c>
      <c r="L466" s="96">
        <f t="shared" si="5"/>
      </c>
      <c r="N466" s="2">
        <f>IF(459&gt;$Z$5,0,MOD(SMALL($Z$6:$Z$2005,459),10000))</f>
        <v>0</v>
      </c>
      <c r="O466" s="2">
        <f t="shared" si="11"/>
        <v>0</v>
      </c>
      <c r="Z466" s="2">
        <f>IF(AND(ISNUMBER(资金流水!$B$466),资金流水!$B$466&gt;=$C$4,资金流水!$B$466&lt;=$E$4,OR(资金流水!$C$466=$C$3,AND(资金流水!$AD$466=$C$3,资金流水!$X$466="账户互转"))),INT(资金流水!$B$466)*10000+461,"")</f>
      </c>
    </row>
    <row r="467">
      <c r="A467" s="94">
        <f>IF($N467=0,"",460)</f>
      </c>
      <c r="B467" s="95">
        <f t="shared" si="6"/>
      </c>
      <c r="C467" s="96">
        <f t="shared" si="1"/>
      </c>
      <c r="D467" s="21">
        <f t="shared" si="7"/>
      </c>
      <c r="E467" s="21">
        <f t="shared" si="2"/>
      </c>
      <c r="F467" s="48">
        <f t="shared" si="8"/>
      </c>
      <c r="G467" s="94">
        <f t="shared" si="9"/>
      </c>
      <c r="H467" s="94">
        <f t="shared" si="3"/>
      </c>
      <c r="I467" s="96">
        <f t="shared" si="0"/>
      </c>
      <c r="J467" s="94">
        <f t="shared" si="4"/>
      </c>
      <c r="K467" s="94">
        <f t="shared" si="10"/>
      </c>
      <c r="L467" s="96">
        <f t="shared" si="5"/>
      </c>
      <c r="N467" s="2">
        <f>IF(460&gt;$Z$5,0,MOD(SMALL($Z$6:$Z$2005,460),10000))</f>
        <v>0</v>
      </c>
      <c r="O467" s="2">
        <f t="shared" si="11"/>
        <v>0</v>
      </c>
      <c r="Z467" s="2">
        <f>IF(AND(ISNUMBER(资金流水!$B$467),资金流水!$B$467&gt;=$C$4,资金流水!$B$467&lt;=$E$4,OR(资金流水!$C$467=$C$3,AND(资金流水!$AD$467=$C$3,资金流水!$X$467="账户互转"))),INT(资金流水!$B$467)*10000+462,"")</f>
      </c>
    </row>
    <row r="468">
      <c r="A468" s="94">
        <f>IF($N468=0,"",461)</f>
      </c>
      <c r="B468" s="95">
        <f t="shared" si="6"/>
      </c>
      <c r="C468" s="96">
        <f t="shared" si="1"/>
      </c>
      <c r="D468" s="21">
        <f t="shared" si="7"/>
      </c>
      <c r="E468" s="21">
        <f t="shared" si="2"/>
      </c>
      <c r="F468" s="48">
        <f t="shared" si="8"/>
      </c>
      <c r="G468" s="94">
        <f t="shared" si="9"/>
      </c>
      <c r="H468" s="94">
        <f t="shared" si="3"/>
      </c>
      <c r="I468" s="96">
        <f t="shared" si="0"/>
      </c>
      <c r="J468" s="94">
        <f t="shared" si="4"/>
      </c>
      <c r="K468" s="94">
        <f t="shared" si="10"/>
      </c>
      <c r="L468" s="96">
        <f t="shared" si="5"/>
      </c>
      <c r="N468" s="2">
        <f>IF(461&gt;$Z$5,0,MOD(SMALL($Z$6:$Z$2005,461),10000))</f>
        <v>0</v>
      </c>
      <c r="O468" s="2">
        <f t="shared" si="11"/>
        <v>0</v>
      </c>
      <c r="Z468" s="2">
        <f>IF(AND(ISNUMBER(资金流水!$B$468),资金流水!$B$468&gt;=$C$4,资金流水!$B$468&lt;=$E$4,OR(资金流水!$C$468=$C$3,AND(资金流水!$AD$468=$C$3,资金流水!$X$468="账户互转"))),INT(资金流水!$B$468)*10000+463,"")</f>
      </c>
    </row>
    <row r="469">
      <c r="A469" s="94">
        <f>IF($N469=0,"",462)</f>
      </c>
      <c r="B469" s="95">
        <f t="shared" si="6"/>
      </c>
      <c r="C469" s="96">
        <f t="shared" si="1"/>
      </c>
      <c r="D469" s="21">
        <f t="shared" si="7"/>
      </c>
      <c r="E469" s="21">
        <f t="shared" si="2"/>
      </c>
      <c r="F469" s="48">
        <f t="shared" si="8"/>
      </c>
      <c r="G469" s="94">
        <f t="shared" si="9"/>
      </c>
      <c r="H469" s="94">
        <f t="shared" si="3"/>
      </c>
      <c r="I469" s="96">
        <f t="shared" si="0"/>
      </c>
      <c r="J469" s="94">
        <f t="shared" si="4"/>
      </c>
      <c r="K469" s="94">
        <f t="shared" si="10"/>
      </c>
      <c r="L469" s="96">
        <f t="shared" si="5"/>
      </c>
      <c r="N469" s="2">
        <f>IF(462&gt;$Z$5,0,MOD(SMALL($Z$6:$Z$2005,462),10000))</f>
        <v>0</v>
      </c>
      <c r="O469" s="2">
        <f t="shared" si="11"/>
        <v>0</v>
      </c>
      <c r="Z469" s="2">
        <f>IF(AND(ISNUMBER(资金流水!$B$469),资金流水!$B$469&gt;=$C$4,资金流水!$B$469&lt;=$E$4,OR(资金流水!$C$469=$C$3,AND(资金流水!$AD$469=$C$3,资金流水!$X$469="账户互转"))),INT(资金流水!$B$469)*10000+464,"")</f>
      </c>
    </row>
    <row r="470">
      <c r="A470" s="94">
        <f>IF($N470=0,"",463)</f>
      </c>
      <c r="B470" s="95">
        <f t="shared" si="6"/>
      </c>
      <c r="C470" s="96">
        <f t="shared" si="1"/>
      </c>
      <c r="D470" s="21">
        <f t="shared" si="7"/>
      </c>
      <c r="E470" s="21">
        <f t="shared" si="2"/>
      </c>
      <c r="F470" s="48">
        <f t="shared" si="8"/>
      </c>
      <c r="G470" s="94">
        <f t="shared" si="9"/>
      </c>
      <c r="H470" s="94">
        <f t="shared" si="3"/>
      </c>
      <c r="I470" s="96">
        <f t="shared" si="0"/>
      </c>
      <c r="J470" s="94">
        <f t="shared" si="4"/>
      </c>
      <c r="K470" s="94">
        <f t="shared" si="10"/>
      </c>
      <c r="L470" s="96">
        <f t="shared" si="5"/>
      </c>
      <c r="N470" s="2">
        <f>IF(463&gt;$Z$5,0,MOD(SMALL($Z$6:$Z$2005,463),10000))</f>
        <v>0</v>
      </c>
      <c r="O470" s="2">
        <f t="shared" si="11"/>
        <v>0</v>
      </c>
      <c r="Z470" s="2">
        <f>IF(AND(ISNUMBER(资金流水!$B$470),资金流水!$B$470&gt;=$C$4,资金流水!$B$470&lt;=$E$4,OR(资金流水!$C$470=$C$3,AND(资金流水!$AD$470=$C$3,资金流水!$X$470="账户互转"))),INT(资金流水!$B$470)*10000+465,"")</f>
      </c>
    </row>
    <row r="471">
      <c r="A471" s="94">
        <f>IF($N471=0,"",464)</f>
      </c>
      <c r="B471" s="95">
        <f t="shared" si="6"/>
      </c>
      <c r="C471" s="96">
        <f t="shared" si="1"/>
      </c>
      <c r="D471" s="21">
        <f t="shared" si="7"/>
      </c>
      <c r="E471" s="21">
        <f t="shared" si="2"/>
      </c>
      <c r="F471" s="48">
        <f t="shared" si="8"/>
      </c>
      <c r="G471" s="94">
        <f t="shared" si="9"/>
      </c>
      <c r="H471" s="94">
        <f t="shared" si="3"/>
      </c>
      <c r="I471" s="96">
        <f t="shared" si="0"/>
      </c>
      <c r="J471" s="94">
        <f t="shared" si="4"/>
      </c>
      <c r="K471" s="94">
        <f t="shared" si="10"/>
      </c>
      <c r="L471" s="96">
        <f t="shared" si="5"/>
      </c>
      <c r="N471" s="2">
        <f>IF(464&gt;$Z$5,0,MOD(SMALL($Z$6:$Z$2005,464),10000))</f>
        <v>0</v>
      </c>
      <c r="O471" s="2">
        <f t="shared" si="11"/>
        <v>0</v>
      </c>
      <c r="Z471" s="2">
        <f>IF(AND(ISNUMBER(资金流水!$B$471),资金流水!$B$471&gt;=$C$4,资金流水!$B$471&lt;=$E$4,OR(资金流水!$C$471=$C$3,AND(资金流水!$AD$471=$C$3,资金流水!$X$471="账户互转"))),INT(资金流水!$B$471)*10000+466,"")</f>
      </c>
    </row>
    <row r="472">
      <c r="A472" s="94">
        <f>IF($N472=0,"",465)</f>
      </c>
      <c r="B472" s="95">
        <f t="shared" si="6"/>
      </c>
      <c r="C472" s="96">
        <f t="shared" si="1"/>
      </c>
      <c r="D472" s="21">
        <f t="shared" si="7"/>
      </c>
      <c r="E472" s="21">
        <f t="shared" si="2"/>
      </c>
      <c r="F472" s="48">
        <f t="shared" si="8"/>
      </c>
      <c r="G472" s="94">
        <f t="shared" si="9"/>
      </c>
      <c r="H472" s="94">
        <f t="shared" si="3"/>
      </c>
      <c r="I472" s="96">
        <f t="shared" si="0"/>
      </c>
      <c r="J472" s="94">
        <f t="shared" si="4"/>
      </c>
      <c r="K472" s="94">
        <f t="shared" si="10"/>
      </c>
      <c r="L472" s="96">
        <f t="shared" si="5"/>
      </c>
      <c r="N472" s="2">
        <f>IF(465&gt;$Z$5,0,MOD(SMALL($Z$6:$Z$2005,465),10000))</f>
        <v>0</v>
      </c>
      <c r="O472" s="2">
        <f t="shared" si="11"/>
        <v>0</v>
      </c>
      <c r="Z472" s="2">
        <f>IF(AND(ISNUMBER(资金流水!$B$472),资金流水!$B$472&gt;=$C$4,资金流水!$B$472&lt;=$E$4,OR(资金流水!$C$472=$C$3,AND(资金流水!$AD$472=$C$3,资金流水!$X$472="账户互转"))),INT(资金流水!$B$472)*10000+467,"")</f>
      </c>
    </row>
    <row r="473">
      <c r="A473" s="94">
        <f>IF($N473=0,"",466)</f>
      </c>
      <c r="B473" s="95">
        <f t="shared" si="6"/>
      </c>
      <c r="C473" s="96">
        <f t="shared" si="1"/>
      </c>
      <c r="D473" s="21">
        <f t="shared" si="7"/>
      </c>
      <c r="E473" s="21">
        <f t="shared" si="2"/>
      </c>
      <c r="F473" s="48">
        <f t="shared" si="8"/>
      </c>
      <c r="G473" s="94">
        <f t="shared" si="9"/>
      </c>
      <c r="H473" s="94">
        <f t="shared" si="3"/>
      </c>
      <c r="I473" s="96">
        <f t="shared" si="0"/>
      </c>
      <c r="J473" s="94">
        <f t="shared" si="4"/>
      </c>
      <c r="K473" s="94">
        <f t="shared" si="10"/>
      </c>
      <c r="L473" s="96">
        <f t="shared" si="5"/>
      </c>
      <c r="N473" s="2">
        <f>IF(466&gt;$Z$5,0,MOD(SMALL($Z$6:$Z$2005,466),10000))</f>
        <v>0</v>
      </c>
      <c r="O473" s="2">
        <f t="shared" si="11"/>
        <v>0</v>
      </c>
      <c r="Z473" s="2">
        <f>IF(AND(ISNUMBER(资金流水!$B$473),资金流水!$B$473&gt;=$C$4,资金流水!$B$473&lt;=$E$4,OR(资金流水!$C$473=$C$3,AND(资金流水!$AD$473=$C$3,资金流水!$X$473="账户互转"))),INT(资金流水!$B$473)*10000+468,"")</f>
      </c>
    </row>
    <row r="474">
      <c r="A474" s="94">
        <f>IF($N474=0,"",467)</f>
      </c>
      <c r="B474" s="95">
        <f t="shared" si="6"/>
      </c>
      <c r="C474" s="96">
        <f t="shared" si="1"/>
      </c>
      <c r="D474" s="21">
        <f t="shared" si="7"/>
      </c>
      <c r="E474" s="21">
        <f t="shared" si="2"/>
      </c>
      <c r="F474" s="48">
        <f t="shared" si="8"/>
      </c>
      <c r="G474" s="94">
        <f t="shared" si="9"/>
      </c>
      <c r="H474" s="94">
        <f t="shared" si="3"/>
      </c>
      <c r="I474" s="96">
        <f t="shared" si="0"/>
      </c>
      <c r="J474" s="94">
        <f t="shared" si="4"/>
      </c>
      <c r="K474" s="94">
        <f t="shared" si="10"/>
      </c>
      <c r="L474" s="96">
        <f t="shared" si="5"/>
      </c>
      <c r="N474" s="2">
        <f>IF(467&gt;$Z$5,0,MOD(SMALL($Z$6:$Z$2005,467),10000))</f>
        <v>0</v>
      </c>
      <c r="O474" s="2">
        <f t="shared" si="11"/>
        <v>0</v>
      </c>
      <c r="Z474" s="2">
        <f>IF(AND(ISNUMBER(资金流水!$B$474),资金流水!$B$474&gt;=$C$4,资金流水!$B$474&lt;=$E$4,OR(资金流水!$C$474=$C$3,AND(资金流水!$AD$474=$C$3,资金流水!$X$474="账户互转"))),INT(资金流水!$B$474)*10000+469,"")</f>
      </c>
    </row>
    <row r="475">
      <c r="A475" s="94">
        <f>IF($N475=0,"",468)</f>
      </c>
      <c r="B475" s="95">
        <f t="shared" si="6"/>
      </c>
      <c r="C475" s="96">
        <f t="shared" si="1"/>
      </c>
      <c r="D475" s="21">
        <f t="shared" si="7"/>
      </c>
      <c r="E475" s="21">
        <f t="shared" si="2"/>
      </c>
      <c r="F475" s="48">
        <f t="shared" si="8"/>
      </c>
      <c r="G475" s="94">
        <f t="shared" si="9"/>
      </c>
      <c r="H475" s="94">
        <f t="shared" si="3"/>
      </c>
      <c r="I475" s="96">
        <f t="shared" si="0"/>
      </c>
      <c r="J475" s="94">
        <f t="shared" si="4"/>
      </c>
      <c r="K475" s="94">
        <f t="shared" si="10"/>
      </c>
      <c r="L475" s="96">
        <f t="shared" si="5"/>
      </c>
      <c r="N475" s="2">
        <f>IF(468&gt;$Z$5,0,MOD(SMALL($Z$6:$Z$2005,468),10000))</f>
        <v>0</v>
      </c>
      <c r="O475" s="2">
        <f t="shared" si="11"/>
        <v>0</v>
      </c>
      <c r="Z475" s="2">
        <f>IF(AND(ISNUMBER(资金流水!$B$475),资金流水!$B$475&gt;=$C$4,资金流水!$B$475&lt;=$E$4,OR(资金流水!$C$475=$C$3,AND(资金流水!$AD$475=$C$3,资金流水!$X$475="账户互转"))),INT(资金流水!$B$475)*10000+470,"")</f>
      </c>
    </row>
    <row r="476">
      <c r="A476" s="94">
        <f>IF($N476=0,"",469)</f>
      </c>
      <c r="B476" s="95">
        <f t="shared" si="6"/>
      </c>
      <c r="C476" s="96">
        <f t="shared" si="1"/>
      </c>
      <c r="D476" s="21">
        <f t="shared" si="7"/>
      </c>
      <c r="E476" s="21">
        <f t="shared" si="2"/>
      </c>
      <c r="F476" s="48">
        <f t="shared" si="8"/>
      </c>
      <c r="G476" s="94">
        <f t="shared" si="9"/>
      </c>
      <c r="H476" s="94">
        <f t="shared" si="3"/>
      </c>
      <c r="I476" s="96">
        <f t="shared" si="0"/>
      </c>
      <c r="J476" s="94">
        <f t="shared" si="4"/>
      </c>
      <c r="K476" s="94">
        <f t="shared" si="10"/>
      </c>
      <c r="L476" s="96">
        <f t="shared" si="5"/>
      </c>
      <c r="N476" s="2">
        <f>IF(469&gt;$Z$5,0,MOD(SMALL($Z$6:$Z$2005,469),10000))</f>
        <v>0</v>
      </c>
      <c r="O476" s="2">
        <f t="shared" si="11"/>
        <v>0</v>
      </c>
      <c r="Z476" s="2">
        <f>IF(AND(ISNUMBER(资金流水!$B$476),资金流水!$B$476&gt;=$C$4,资金流水!$B$476&lt;=$E$4,OR(资金流水!$C$476=$C$3,AND(资金流水!$AD$476=$C$3,资金流水!$X$476="账户互转"))),INT(资金流水!$B$476)*10000+471,"")</f>
      </c>
    </row>
    <row r="477">
      <c r="A477" s="94">
        <f>IF($N477=0,"",470)</f>
      </c>
      <c r="B477" s="95">
        <f t="shared" si="6"/>
      </c>
      <c r="C477" s="96">
        <f t="shared" si="1"/>
      </c>
      <c r="D477" s="21">
        <f t="shared" si="7"/>
      </c>
      <c r="E477" s="21">
        <f t="shared" si="2"/>
      </c>
      <c r="F477" s="48">
        <f t="shared" si="8"/>
      </c>
      <c r="G477" s="94">
        <f t="shared" si="9"/>
      </c>
      <c r="H477" s="94">
        <f t="shared" si="3"/>
      </c>
      <c r="I477" s="96">
        <f t="shared" si="0"/>
      </c>
      <c r="J477" s="94">
        <f t="shared" si="4"/>
      </c>
      <c r="K477" s="94">
        <f t="shared" si="10"/>
      </c>
      <c r="L477" s="96">
        <f t="shared" si="5"/>
      </c>
      <c r="N477" s="2">
        <f>IF(470&gt;$Z$5,0,MOD(SMALL($Z$6:$Z$2005,470),10000))</f>
        <v>0</v>
      </c>
      <c r="O477" s="2">
        <f t="shared" si="11"/>
        <v>0</v>
      </c>
      <c r="Z477" s="2">
        <f>IF(AND(ISNUMBER(资金流水!$B$477),资金流水!$B$477&gt;=$C$4,资金流水!$B$477&lt;=$E$4,OR(资金流水!$C$477=$C$3,AND(资金流水!$AD$477=$C$3,资金流水!$X$477="账户互转"))),INT(资金流水!$B$477)*10000+472,"")</f>
      </c>
    </row>
    <row r="478">
      <c r="A478" s="94">
        <f>IF($N478=0,"",471)</f>
      </c>
      <c r="B478" s="95">
        <f t="shared" si="6"/>
      </c>
      <c r="C478" s="96">
        <f t="shared" si="1"/>
      </c>
      <c r="D478" s="21">
        <f t="shared" si="7"/>
      </c>
      <c r="E478" s="21">
        <f t="shared" si="2"/>
      </c>
      <c r="F478" s="48">
        <f t="shared" si="8"/>
      </c>
      <c r="G478" s="94">
        <f t="shared" si="9"/>
      </c>
      <c r="H478" s="94">
        <f t="shared" si="3"/>
      </c>
      <c r="I478" s="96">
        <f t="shared" si="0"/>
      </c>
      <c r="J478" s="94">
        <f t="shared" si="4"/>
      </c>
      <c r="K478" s="94">
        <f t="shared" si="10"/>
      </c>
      <c r="L478" s="96">
        <f t="shared" si="5"/>
      </c>
      <c r="N478" s="2">
        <f>IF(471&gt;$Z$5,0,MOD(SMALL($Z$6:$Z$2005,471),10000))</f>
        <v>0</v>
      </c>
      <c r="O478" s="2">
        <f t="shared" si="11"/>
        <v>0</v>
      </c>
      <c r="Z478" s="2">
        <f>IF(AND(ISNUMBER(资金流水!$B$478),资金流水!$B$478&gt;=$C$4,资金流水!$B$478&lt;=$E$4,OR(资金流水!$C$478=$C$3,AND(资金流水!$AD$478=$C$3,资金流水!$X$478="账户互转"))),INT(资金流水!$B$478)*10000+473,"")</f>
      </c>
    </row>
    <row r="479">
      <c r="A479" s="94">
        <f>IF($N479=0,"",472)</f>
      </c>
      <c r="B479" s="95">
        <f t="shared" si="6"/>
      </c>
      <c r="C479" s="96">
        <f t="shared" si="1"/>
      </c>
      <c r="D479" s="21">
        <f t="shared" si="7"/>
      </c>
      <c r="E479" s="21">
        <f t="shared" si="2"/>
      </c>
      <c r="F479" s="48">
        <f t="shared" si="8"/>
      </c>
      <c r="G479" s="94">
        <f t="shared" si="9"/>
      </c>
      <c r="H479" s="94">
        <f t="shared" si="3"/>
      </c>
      <c r="I479" s="96">
        <f t="shared" si="0"/>
      </c>
      <c r="J479" s="94">
        <f t="shared" si="4"/>
      </c>
      <c r="K479" s="94">
        <f t="shared" si="10"/>
      </c>
      <c r="L479" s="96">
        <f t="shared" si="5"/>
      </c>
      <c r="N479" s="2">
        <f>IF(472&gt;$Z$5,0,MOD(SMALL($Z$6:$Z$2005,472),10000))</f>
        <v>0</v>
      </c>
      <c r="O479" s="2">
        <f t="shared" si="11"/>
        <v>0</v>
      </c>
      <c r="Z479" s="2">
        <f>IF(AND(ISNUMBER(资金流水!$B$479),资金流水!$B$479&gt;=$C$4,资金流水!$B$479&lt;=$E$4,OR(资金流水!$C$479=$C$3,AND(资金流水!$AD$479=$C$3,资金流水!$X$479="账户互转"))),INT(资金流水!$B$479)*10000+474,"")</f>
      </c>
    </row>
    <row r="480">
      <c r="A480" s="94">
        <f>IF($N480=0,"",473)</f>
      </c>
      <c r="B480" s="95">
        <f t="shared" si="6"/>
      </c>
      <c r="C480" s="96">
        <f t="shared" si="1"/>
      </c>
      <c r="D480" s="21">
        <f t="shared" si="7"/>
      </c>
      <c r="E480" s="21">
        <f t="shared" si="2"/>
      </c>
      <c r="F480" s="48">
        <f t="shared" si="8"/>
      </c>
      <c r="G480" s="94">
        <f t="shared" si="9"/>
      </c>
      <c r="H480" s="94">
        <f t="shared" si="3"/>
      </c>
      <c r="I480" s="96">
        <f t="shared" si="0"/>
      </c>
      <c r="J480" s="94">
        <f t="shared" si="4"/>
      </c>
      <c r="K480" s="94">
        <f t="shared" si="10"/>
      </c>
      <c r="L480" s="96">
        <f t="shared" si="5"/>
      </c>
      <c r="N480" s="2">
        <f>IF(473&gt;$Z$5,0,MOD(SMALL($Z$6:$Z$2005,473),10000))</f>
        <v>0</v>
      </c>
      <c r="O480" s="2">
        <f t="shared" si="11"/>
        <v>0</v>
      </c>
      <c r="Z480" s="2">
        <f>IF(AND(ISNUMBER(资金流水!$B$480),资金流水!$B$480&gt;=$C$4,资金流水!$B$480&lt;=$E$4,OR(资金流水!$C$480=$C$3,AND(资金流水!$AD$480=$C$3,资金流水!$X$480="账户互转"))),INT(资金流水!$B$480)*10000+475,"")</f>
      </c>
    </row>
    <row r="481">
      <c r="A481" s="94">
        <f>IF($N481=0,"",474)</f>
      </c>
      <c r="B481" s="95">
        <f t="shared" si="6"/>
      </c>
      <c r="C481" s="96">
        <f t="shared" si="1"/>
      </c>
      <c r="D481" s="21">
        <f t="shared" si="7"/>
      </c>
      <c r="E481" s="21">
        <f t="shared" si="2"/>
      </c>
      <c r="F481" s="48">
        <f t="shared" si="8"/>
      </c>
      <c r="G481" s="94">
        <f t="shared" si="9"/>
      </c>
      <c r="H481" s="94">
        <f t="shared" si="3"/>
      </c>
      <c r="I481" s="96">
        <f t="shared" si="0"/>
      </c>
      <c r="J481" s="94">
        <f t="shared" si="4"/>
      </c>
      <c r="K481" s="94">
        <f t="shared" si="10"/>
      </c>
      <c r="L481" s="96">
        <f t="shared" si="5"/>
      </c>
      <c r="N481" s="2">
        <f>IF(474&gt;$Z$5,0,MOD(SMALL($Z$6:$Z$2005,474),10000))</f>
        <v>0</v>
      </c>
      <c r="O481" s="2">
        <f t="shared" si="11"/>
        <v>0</v>
      </c>
      <c r="Z481" s="2">
        <f>IF(AND(ISNUMBER(资金流水!$B$481),资金流水!$B$481&gt;=$C$4,资金流水!$B$481&lt;=$E$4,OR(资金流水!$C$481=$C$3,AND(资金流水!$AD$481=$C$3,资金流水!$X$481="账户互转"))),INT(资金流水!$B$481)*10000+476,"")</f>
      </c>
    </row>
    <row r="482">
      <c r="A482" s="94">
        <f>IF($N482=0,"",475)</f>
      </c>
      <c r="B482" s="95">
        <f t="shared" si="6"/>
      </c>
      <c r="C482" s="96">
        <f t="shared" si="1"/>
      </c>
      <c r="D482" s="21">
        <f t="shared" si="7"/>
      </c>
      <c r="E482" s="21">
        <f t="shared" si="2"/>
      </c>
      <c r="F482" s="48">
        <f t="shared" si="8"/>
      </c>
      <c r="G482" s="94">
        <f t="shared" si="9"/>
      </c>
      <c r="H482" s="94">
        <f t="shared" si="3"/>
      </c>
      <c r="I482" s="96">
        <f t="shared" si="0"/>
      </c>
      <c r="J482" s="94">
        <f t="shared" si="4"/>
      </c>
      <c r="K482" s="94">
        <f t="shared" si="10"/>
      </c>
      <c r="L482" s="96">
        <f t="shared" si="5"/>
      </c>
      <c r="N482" s="2">
        <f>IF(475&gt;$Z$5,0,MOD(SMALL($Z$6:$Z$2005,475),10000))</f>
        <v>0</v>
      </c>
      <c r="O482" s="2">
        <f t="shared" si="11"/>
        <v>0</v>
      </c>
      <c r="Z482" s="2">
        <f>IF(AND(ISNUMBER(资金流水!$B$482),资金流水!$B$482&gt;=$C$4,资金流水!$B$482&lt;=$E$4,OR(资金流水!$C$482=$C$3,AND(资金流水!$AD$482=$C$3,资金流水!$X$482="账户互转"))),INT(资金流水!$B$482)*10000+477,"")</f>
      </c>
    </row>
    <row r="483">
      <c r="A483" s="94">
        <f>IF($N483=0,"",476)</f>
      </c>
      <c r="B483" s="95">
        <f t="shared" si="6"/>
      </c>
      <c r="C483" s="96">
        <f t="shared" si="1"/>
      </c>
      <c r="D483" s="21">
        <f t="shared" si="7"/>
      </c>
      <c r="E483" s="21">
        <f t="shared" si="2"/>
      </c>
      <c r="F483" s="48">
        <f t="shared" si="8"/>
      </c>
      <c r="G483" s="94">
        <f t="shared" si="9"/>
      </c>
      <c r="H483" s="94">
        <f t="shared" si="3"/>
      </c>
      <c r="I483" s="96">
        <f t="shared" si="0"/>
      </c>
      <c r="J483" s="94">
        <f t="shared" si="4"/>
      </c>
      <c r="K483" s="94">
        <f t="shared" si="10"/>
      </c>
      <c r="L483" s="96">
        <f t="shared" si="5"/>
      </c>
      <c r="N483" s="2">
        <f>IF(476&gt;$Z$5,0,MOD(SMALL($Z$6:$Z$2005,476),10000))</f>
        <v>0</v>
      </c>
      <c r="O483" s="2">
        <f t="shared" si="11"/>
        <v>0</v>
      </c>
      <c r="Z483" s="2">
        <f>IF(AND(ISNUMBER(资金流水!$B$483),资金流水!$B$483&gt;=$C$4,资金流水!$B$483&lt;=$E$4,OR(资金流水!$C$483=$C$3,AND(资金流水!$AD$483=$C$3,资金流水!$X$483="账户互转"))),INT(资金流水!$B$483)*10000+478,"")</f>
      </c>
    </row>
    <row r="484">
      <c r="A484" s="94">
        <f>IF($N484=0,"",477)</f>
      </c>
      <c r="B484" s="95">
        <f t="shared" si="6"/>
      </c>
      <c r="C484" s="96">
        <f t="shared" si="1"/>
      </c>
      <c r="D484" s="21">
        <f t="shared" si="7"/>
      </c>
      <c r="E484" s="21">
        <f t="shared" si="2"/>
      </c>
      <c r="F484" s="48">
        <f t="shared" si="8"/>
      </c>
      <c r="G484" s="94">
        <f t="shared" si="9"/>
      </c>
      <c r="H484" s="94">
        <f t="shared" si="3"/>
      </c>
      <c r="I484" s="96">
        <f t="shared" si="0"/>
      </c>
      <c r="J484" s="94">
        <f t="shared" si="4"/>
      </c>
      <c r="K484" s="94">
        <f t="shared" si="10"/>
      </c>
      <c r="L484" s="96">
        <f t="shared" si="5"/>
      </c>
      <c r="N484" s="2">
        <f>IF(477&gt;$Z$5,0,MOD(SMALL($Z$6:$Z$2005,477),10000))</f>
        <v>0</v>
      </c>
      <c r="O484" s="2">
        <f t="shared" si="11"/>
        <v>0</v>
      </c>
      <c r="Z484" s="2">
        <f>IF(AND(ISNUMBER(资金流水!$B$484),资金流水!$B$484&gt;=$C$4,资金流水!$B$484&lt;=$E$4,OR(资金流水!$C$484=$C$3,AND(资金流水!$AD$484=$C$3,资金流水!$X$484="账户互转"))),INT(资金流水!$B$484)*10000+479,"")</f>
      </c>
    </row>
    <row r="485">
      <c r="A485" s="94">
        <f>IF($N485=0,"",478)</f>
      </c>
      <c r="B485" s="95">
        <f t="shared" si="6"/>
      </c>
      <c r="C485" s="96">
        <f t="shared" si="1"/>
      </c>
      <c r="D485" s="21">
        <f t="shared" si="7"/>
      </c>
      <c r="E485" s="21">
        <f t="shared" si="2"/>
      </c>
      <c r="F485" s="48">
        <f t="shared" si="8"/>
      </c>
      <c r="G485" s="94">
        <f t="shared" si="9"/>
      </c>
      <c r="H485" s="94">
        <f t="shared" si="3"/>
      </c>
      <c r="I485" s="96">
        <f t="shared" si="0"/>
      </c>
      <c r="J485" s="94">
        <f t="shared" si="4"/>
      </c>
      <c r="K485" s="94">
        <f t="shared" si="10"/>
      </c>
      <c r="L485" s="96">
        <f t="shared" si="5"/>
      </c>
      <c r="N485" s="2">
        <f>IF(478&gt;$Z$5,0,MOD(SMALL($Z$6:$Z$2005,478),10000))</f>
        <v>0</v>
      </c>
      <c r="O485" s="2">
        <f t="shared" si="11"/>
        <v>0</v>
      </c>
      <c r="Z485" s="2">
        <f>IF(AND(ISNUMBER(资金流水!$B$485),资金流水!$B$485&gt;=$C$4,资金流水!$B$485&lt;=$E$4,OR(资金流水!$C$485=$C$3,AND(资金流水!$AD$485=$C$3,资金流水!$X$485="账户互转"))),INT(资金流水!$B$485)*10000+480,"")</f>
      </c>
    </row>
    <row r="486">
      <c r="A486" s="94">
        <f>IF($N486=0,"",479)</f>
      </c>
      <c r="B486" s="95">
        <f t="shared" si="6"/>
      </c>
      <c r="C486" s="96">
        <f t="shared" si="1"/>
      </c>
      <c r="D486" s="21">
        <f t="shared" si="7"/>
      </c>
      <c r="E486" s="21">
        <f t="shared" si="2"/>
      </c>
      <c r="F486" s="48">
        <f t="shared" si="8"/>
      </c>
      <c r="G486" s="94">
        <f t="shared" si="9"/>
      </c>
      <c r="H486" s="94">
        <f t="shared" si="3"/>
      </c>
      <c r="I486" s="96">
        <f t="shared" si="0"/>
      </c>
      <c r="J486" s="94">
        <f t="shared" si="4"/>
      </c>
      <c r="K486" s="94">
        <f t="shared" si="10"/>
      </c>
      <c r="L486" s="96">
        <f t="shared" si="5"/>
      </c>
      <c r="N486" s="2">
        <f>IF(479&gt;$Z$5,0,MOD(SMALL($Z$6:$Z$2005,479),10000))</f>
        <v>0</v>
      </c>
      <c r="O486" s="2">
        <f t="shared" si="11"/>
        <v>0</v>
      </c>
      <c r="Z486" s="2">
        <f>IF(AND(ISNUMBER(资金流水!$B$486),资金流水!$B$486&gt;=$C$4,资金流水!$B$486&lt;=$E$4,OR(资金流水!$C$486=$C$3,AND(资金流水!$AD$486=$C$3,资金流水!$X$486="账户互转"))),INT(资金流水!$B$486)*10000+481,"")</f>
      </c>
    </row>
    <row r="487">
      <c r="A487" s="94">
        <f>IF($N487=0,"",480)</f>
      </c>
      <c r="B487" s="95">
        <f t="shared" si="6"/>
      </c>
      <c r="C487" s="96">
        <f t="shared" si="1"/>
      </c>
      <c r="D487" s="21">
        <f t="shared" si="7"/>
      </c>
      <c r="E487" s="21">
        <f t="shared" si="2"/>
      </c>
      <c r="F487" s="48">
        <f t="shared" si="8"/>
      </c>
      <c r="G487" s="94">
        <f t="shared" si="9"/>
      </c>
      <c r="H487" s="94">
        <f t="shared" si="3"/>
      </c>
      <c r="I487" s="96">
        <f t="shared" si="0"/>
      </c>
      <c r="J487" s="94">
        <f t="shared" si="4"/>
      </c>
      <c r="K487" s="94">
        <f t="shared" si="10"/>
      </c>
      <c r="L487" s="96">
        <f t="shared" si="5"/>
      </c>
      <c r="N487" s="2">
        <f>IF(480&gt;$Z$5,0,MOD(SMALL($Z$6:$Z$2005,480),10000))</f>
        <v>0</v>
      </c>
      <c r="O487" s="2">
        <f t="shared" si="11"/>
        <v>0</v>
      </c>
      <c r="Z487" s="2">
        <f>IF(AND(ISNUMBER(资金流水!$B$487),资金流水!$B$487&gt;=$C$4,资金流水!$B$487&lt;=$E$4,OR(资金流水!$C$487=$C$3,AND(资金流水!$AD$487=$C$3,资金流水!$X$487="账户互转"))),INT(资金流水!$B$487)*10000+482,"")</f>
      </c>
    </row>
    <row r="488">
      <c r="A488" s="94">
        <f>IF($N488=0,"",481)</f>
      </c>
      <c r="B488" s="95">
        <f t="shared" si="6"/>
      </c>
      <c r="C488" s="96">
        <f t="shared" si="1"/>
      </c>
      <c r="D488" s="21">
        <f t="shared" si="7"/>
      </c>
      <c r="E488" s="21">
        <f t="shared" si="2"/>
      </c>
      <c r="F488" s="48">
        <f t="shared" si="8"/>
      </c>
      <c r="G488" s="94">
        <f t="shared" si="9"/>
      </c>
      <c r="H488" s="94">
        <f t="shared" si="3"/>
      </c>
      <c r="I488" s="96">
        <f t="shared" si="0"/>
      </c>
      <c r="J488" s="94">
        <f t="shared" si="4"/>
      </c>
      <c r="K488" s="94">
        <f t="shared" si="10"/>
      </c>
      <c r="L488" s="96">
        <f t="shared" si="5"/>
      </c>
      <c r="N488" s="2">
        <f>IF(481&gt;$Z$5,0,MOD(SMALL($Z$6:$Z$2005,481),10000))</f>
        <v>0</v>
      </c>
      <c r="O488" s="2">
        <f t="shared" si="11"/>
        <v>0</v>
      </c>
      <c r="Z488" s="2">
        <f>IF(AND(ISNUMBER(资金流水!$B$488),资金流水!$B$488&gt;=$C$4,资金流水!$B$488&lt;=$E$4,OR(资金流水!$C$488=$C$3,AND(资金流水!$AD$488=$C$3,资金流水!$X$488="账户互转"))),INT(资金流水!$B$488)*10000+483,"")</f>
      </c>
    </row>
    <row r="489">
      <c r="A489" s="94">
        <f>IF($N489=0,"",482)</f>
      </c>
      <c r="B489" s="95">
        <f t="shared" si="6"/>
      </c>
      <c r="C489" s="96">
        <f t="shared" si="1"/>
      </c>
      <c r="D489" s="21">
        <f t="shared" si="7"/>
      </c>
      <c r="E489" s="21">
        <f t="shared" si="2"/>
      </c>
      <c r="F489" s="48">
        <f t="shared" si="8"/>
      </c>
      <c r="G489" s="94">
        <f t="shared" si="9"/>
      </c>
      <c r="H489" s="94">
        <f t="shared" si="3"/>
      </c>
      <c r="I489" s="96">
        <f t="shared" si="0"/>
      </c>
      <c r="J489" s="94">
        <f t="shared" si="4"/>
      </c>
      <c r="K489" s="94">
        <f t="shared" si="10"/>
      </c>
      <c r="L489" s="96">
        <f t="shared" si="5"/>
      </c>
      <c r="N489" s="2">
        <f>IF(482&gt;$Z$5,0,MOD(SMALL($Z$6:$Z$2005,482),10000))</f>
        <v>0</v>
      </c>
      <c r="O489" s="2">
        <f t="shared" si="11"/>
        <v>0</v>
      </c>
      <c r="Z489" s="2">
        <f>IF(AND(ISNUMBER(资金流水!$B$489),资金流水!$B$489&gt;=$C$4,资金流水!$B$489&lt;=$E$4,OR(资金流水!$C$489=$C$3,AND(资金流水!$AD$489=$C$3,资金流水!$X$489="账户互转"))),INT(资金流水!$B$489)*10000+484,"")</f>
      </c>
    </row>
    <row r="490">
      <c r="A490" s="94">
        <f>IF($N490=0,"",483)</f>
      </c>
      <c r="B490" s="95">
        <f t="shared" si="6"/>
      </c>
      <c r="C490" s="96">
        <f t="shared" si="1"/>
      </c>
      <c r="D490" s="21">
        <f t="shared" si="7"/>
      </c>
      <c r="E490" s="21">
        <f t="shared" si="2"/>
      </c>
      <c r="F490" s="48">
        <f t="shared" si="8"/>
      </c>
      <c r="G490" s="94">
        <f t="shared" si="9"/>
      </c>
      <c r="H490" s="94">
        <f t="shared" si="3"/>
      </c>
      <c r="I490" s="96">
        <f t="shared" si="0"/>
      </c>
      <c r="J490" s="94">
        <f t="shared" si="4"/>
      </c>
      <c r="K490" s="94">
        <f t="shared" si="10"/>
      </c>
      <c r="L490" s="96">
        <f t="shared" si="5"/>
      </c>
      <c r="N490" s="2">
        <f>IF(483&gt;$Z$5,0,MOD(SMALL($Z$6:$Z$2005,483),10000))</f>
        <v>0</v>
      </c>
      <c r="O490" s="2">
        <f t="shared" si="11"/>
        <v>0</v>
      </c>
      <c r="Z490" s="2">
        <f>IF(AND(ISNUMBER(资金流水!$B$490),资金流水!$B$490&gt;=$C$4,资金流水!$B$490&lt;=$E$4,OR(资金流水!$C$490=$C$3,AND(资金流水!$AD$490=$C$3,资金流水!$X$490="账户互转"))),INT(资金流水!$B$490)*10000+485,"")</f>
      </c>
    </row>
    <row r="491">
      <c r="A491" s="94">
        <f>IF($N491=0,"",484)</f>
      </c>
      <c r="B491" s="95">
        <f t="shared" si="6"/>
      </c>
      <c r="C491" s="96">
        <f t="shared" si="1"/>
      </c>
      <c r="D491" s="21">
        <f t="shared" si="7"/>
      </c>
      <c r="E491" s="21">
        <f t="shared" si="2"/>
      </c>
      <c r="F491" s="48">
        <f t="shared" si="8"/>
      </c>
      <c r="G491" s="94">
        <f t="shared" si="9"/>
      </c>
      <c r="H491" s="94">
        <f t="shared" si="3"/>
      </c>
      <c r="I491" s="96">
        <f t="shared" si="0"/>
      </c>
      <c r="J491" s="94">
        <f t="shared" si="4"/>
      </c>
      <c r="K491" s="94">
        <f t="shared" si="10"/>
      </c>
      <c r="L491" s="96">
        <f t="shared" si="5"/>
      </c>
      <c r="N491" s="2">
        <f>IF(484&gt;$Z$5,0,MOD(SMALL($Z$6:$Z$2005,484),10000))</f>
        <v>0</v>
      </c>
      <c r="O491" s="2">
        <f t="shared" si="11"/>
        <v>0</v>
      </c>
      <c r="Z491" s="2">
        <f>IF(AND(ISNUMBER(资金流水!$B$491),资金流水!$B$491&gt;=$C$4,资金流水!$B$491&lt;=$E$4,OR(资金流水!$C$491=$C$3,AND(资金流水!$AD$491=$C$3,资金流水!$X$491="账户互转"))),INT(资金流水!$B$491)*10000+486,"")</f>
      </c>
    </row>
    <row r="492">
      <c r="A492" s="94">
        <f>IF($N492=0,"",485)</f>
      </c>
      <c r="B492" s="95">
        <f t="shared" si="6"/>
      </c>
      <c r="C492" s="96">
        <f t="shared" si="1"/>
      </c>
      <c r="D492" s="21">
        <f t="shared" si="7"/>
      </c>
      <c r="E492" s="21">
        <f t="shared" si="2"/>
      </c>
      <c r="F492" s="48">
        <f t="shared" si="8"/>
      </c>
      <c r="G492" s="94">
        <f t="shared" si="9"/>
      </c>
      <c r="H492" s="94">
        <f t="shared" si="3"/>
      </c>
      <c r="I492" s="96">
        <f t="shared" si="0"/>
      </c>
      <c r="J492" s="94">
        <f t="shared" si="4"/>
      </c>
      <c r="K492" s="94">
        <f t="shared" si="10"/>
      </c>
      <c r="L492" s="96">
        <f t="shared" si="5"/>
      </c>
      <c r="N492" s="2">
        <f>IF(485&gt;$Z$5,0,MOD(SMALL($Z$6:$Z$2005,485),10000))</f>
        <v>0</v>
      </c>
      <c r="O492" s="2">
        <f t="shared" si="11"/>
        <v>0</v>
      </c>
      <c r="Z492" s="2">
        <f>IF(AND(ISNUMBER(资金流水!$B$492),资金流水!$B$492&gt;=$C$4,资金流水!$B$492&lt;=$E$4,OR(资金流水!$C$492=$C$3,AND(资金流水!$AD$492=$C$3,资金流水!$X$492="账户互转"))),INT(资金流水!$B$492)*10000+487,"")</f>
      </c>
    </row>
    <row r="493">
      <c r="A493" s="94">
        <f>IF($N493=0,"",486)</f>
      </c>
      <c r="B493" s="95">
        <f t="shared" si="6"/>
      </c>
      <c r="C493" s="96">
        <f t="shared" si="1"/>
      </c>
      <c r="D493" s="21">
        <f t="shared" si="7"/>
      </c>
      <c r="E493" s="21">
        <f t="shared" si="2"/>
      </c>
      <c r="F493" s="48">
        <f t="shared" si="8"/>
      </c>
      <c r="G493" s="94">
        <f t="shared" si="9"/>
      </c>
      <c r="H493" s="94">
        <f t="shared" si="3"/>
      </c>
      <c r="I493" s="96">
        <f t="shared" si="0"/>
      </c>
      <c r="J493" s="94">
        <f t="shared" si="4"/>
      </c>
      <c r="K493" s="94">
        <f t="shared" si="10"/>
      </c>
      <c r="L493" s="96">
        <f t="shared" si="5"/>
      </c>
      <c r="N493" s="2">
        <f>IF(486&gt;$Z$5,0,MOD(SMALL($Z$6:$Z$2005,486),10000))</f>
        <v>0</v>
      </c>
      <c r="O493" s="2">
        <f t="shared" si="11"/>
        <v>0</v>
      </c>
      <c r="Z493" s="2">
        <f>IF(AND(ISNUMBER(资金流水!$B$493),资金流水!$B$493&gt;=$C$4,资金流水!$B$493&lt;=$E$4,OR(资金流水!$C$493=$C$3,AND(资金流水!$AD$493=$C$3,资金流水!$X$493="账户互转"))),INT(资金流水!$B$493)*10000+488,"")</f>
      </c>
    </row>
    <row r="494">
      <c r="A494" s="94">
        <f>IF($N494=0,"",487)</f>
      </c>
      <c r="B494" s="95">
        <f t="shared" si="6"/>
      </c>
      <c r="C494" s="96">
        <f t="shared" si="1"/>
      </c>
      <c r="D494" s="21">
        <f t="shared" si="7"/>
      </c>
      <c r="E494" s="21">
        <f t="shared" si="2"/>
      </c>
      <c r="F494" s="48">
        <f t="shared" si="8"/>
      </c>
      <c r="G494" s="94">
        <f t="shared" si="9"/>
      </c>
      <c r="H494" s="94">
        <f t="shared" si="3"/>
      </c>
      <c r="I494" s="96">
        <f t="shared" si="0"/>
      </c>
      <c r="J494" s="94">
        <f t="shared" si="4"/>
      </c>
      <c r="K494" s="94">
        <f t="shared" si="10"/>
      </c>
      <c r="L494" s="96">
        <f t="shared" si="5"/>
      </c>
      <c r="N494" s="2">
        <f>IF(487&gt;$Z$5,0,MOD(SMALL($Z$6:$Z$2005,487),10000))</f>
        <v>0</v>
      </c>
      <c r="O494" s="2">
        <f t="shared" si="11"/>
        <v>0</v>
      </c>
      <c r="Z494" s="2">
        <f>IF(AND(ISNUMBER(资金流水!$B$494),资金流水!$B$494&gt;=$C$4,资金流水!$B$494&lt;=$E$4,OR(资金流水!$C$494=$C$3,AND(资金流水!$AD$494=$C$3,资金流水!$X$494="账户互转"))),INT(资金流水!$B$494)*10000+489,"")</f>
      </c>
    </row>
    <row r="495">
      <c r="A495" s="94">
        <f>IF($N495=0,"",488)</f>
      </c>
      <c r="B495" s="95">
        <f t="shared" si="6"/>
      </c>
      <c r="C495" s="96">
        <f t="shared" si="1"/>
      </c>
      <c r="D495" s="21">
        <f t="shared" si="7"/>
      </c>
      <c r="E495" s="21">
        <f t="shared" si="2"/>
      </c>
      <c r="F495" s="48">
        <f t="shared" si="8"/>
      </c>
      <c r="G495" s="94">
        <f t="shared" si="9"/>
      </c>
      <c r="H495" s="94">
        <f t="shared" si="3"/>
      </c>
      <c r="I495" s="96">
        <f t="shared" si="0"/>
      </c>
      <c r="J495" s="94">
        <f t="shared" si="4"/>
      </c>
      <c r="K495" s="94">
        <f t="shared" si="10"/>
      </c>
      <c r="L495" s="96">
        <f t="shared" si="5"/>
      </c>
      <c r="N495" s="2">
        <f>IF(488&gt;$Z$5,0,MOD(SMALL($Z$6:$Z$2005,488),10000))</f>
        <v>0</v>
      </c>
      <c r="O495" s="2">
        <f t="shared" si="11"/>
        <v>0</v>
      </c>
      <c r="Z495" s="2">
        <f>IF(AND(ISNUMBER(资金流水!$B$495),资金流水!$B$495&gt;=$C$4,资金流水!$B$495&lt;=$E$4,OR(资金流水!$C$495=$C$3,AND(资金流水!$AD$495=$C$3,资金流水!$X$495="账户互转"))),INT(资金流水!$B$495)*10000+490,"")</f>
      </c>
    </row>
    <row r="496">
      <c r="A496" s="94">
        <f>IF($N496=0,"",489)</f>
      </c>
      <c r="B496" s="95">
        <f t="shared" si="6"/>
      </c>
      <c r="C496" s="96">
        <f t="shared" si="1"/>
      </c>
      <c r="D496" s="21">
        <f t="shared" si="7"/>
      </c>
      <c r="E496" s="21">
        <f t="shared" si="2"/>
      </c>
      <c r="F496" s="48">
        <f t="shared" si="8"/>
      </c>
      <c r="G496" s="94">
        <f t="shared" si="9"/>
      </c>
      <c r="H496" s="94">
        <f t="shared" si="3"/>
      </c>
      <c r="I496" s="96">
        <f t="shared" si="0"/>
      </c>
      <c r="J496" s="94">
        <f t="shared" si="4"/>
      </c>
      <c r="K496" s="94">
        <f t="shared" si="10"/>
      </c>
      <c r="L496" s="96">
        <f t="shared" si="5"/>
      </c>
      <c r="N496" s="2">
        <f>IF(489&gt;$Z$5,0,MOD(SMALL($Z$6:$Z$2005,489),10000))</f>
        <v>0</v>
      </c>
      <c r="O496" s="2">
        <f t="shared" si="11"/>
        <v>0</v>
      </c>
      <c r="Z496" s="2">
        <f>IF(AND(ISNUMBER(资金流水!$B$496),资金流水!$B$496&gt;=$C$4,资金流水!$B$496&lt;=$E$4,OR(资金流水!$C$496=$C$3,AND(资金流水!$AD$496=$C$3,资金流水!$X$496="账户互转"))),INT(资金流水!$B$496)*10000+491,"")</f>
      </c>
    </row>
    <row r="497">
      <c r="A497" s="94">
        <f>IF($N497=0,"",490)</f>
      </c>
      <c r="B497" s="95">
        <f t="shared" si="6"/>
      </c>
      <c r="C497" s="96">
        <f t="shared" si="1"/>
      </c>
      <c r="D497" s="21">
        <f t="shared" si="7"/>
      </c>
      <c r="E497" s="21">
        <f t="shared" si="2"/>
      </c>
      <c r="F497" s="48">
        <f t="shared" si="8"/>
      </c>
      <c r="G497" s="94">
        <f t="shared" si="9"/>
      </c>
      <c r="H497" s="94">
        <f t="shared" si="3"/>
      </c>
      <c r="I497" s="96">
        <f t="shared" si="0"/>
      </c>
      <c r="J497" s="94">
        <f t="shared" si="4"/>
      </c>
      <c r="K497" s="94">
        <f t="shared" si="10"/>
      </c>
      <c r="L497" s="96">
        <f t="shared" si="5"/>
      </c>
      <c r="N497" s="2">
        <f>IF(490&gt;$Z$5,0,MOD(SMALL($Z$6:$Z$2005,490),10000))</f>
        <v>0</v>
      </c>
      <c r="O497" s="2">
        <f t="shared" si="11"/>
        <v>0</v>
      </c>
      <c r="Z497" s="2">
        <f>IF(AND(ISNUMBER(资金流水!$B$497),资金流水!$B$497&gt;=$C$4,资金流水!$B$497&lt;=$E$4,OR(资金流水!$C$497=$C$3,AND(资金流水!$AD$497=$C$3,资金流水!$X$497="账户互转"))),INT(资金流水!$B$497)*10000+492,"")</f>
      </c>
    </row>
    <row r="498">
      <c r="A498" s="94">
        <f>IF($N498=0,"",491)</f>
      </c>
      <c r="B498" s="95">
        <f t="shared" si="6"/>
      </c>
      <c r="C498" s="96">
        <f t="shared" si="1"/>
      </c>
      <c r="D498" s="21">
        <f t="shared" si="7"/>
      </c>
      <c r="E498" s="21">
        <f t="shared" si="2"/>
      </c>
      <c r="F498" s="48">
        <f t="shared" si="8"/>
      </c>
      <c r="G498" s="94">
        <f t="shared" si="9"/>
      </c>
      <c r="H498" s="94">
        <f t="shared" si="3"/>
      </c>
      <c r="I498" s="96">
        <f t="shared" si="0"/>
      </c>
      <c r="J498" s="94">
        <f t="shared" si="4"/>
      </c>
      <c r="K498" s="94">
        <f t="shared" si="10"/>
      </c>
      <c r="L498" s="96">
        <f t="shared" si="5"/>
      </c>
      <c r="N498" s="2">
        <f>IF(491&gt;$Z$5,0,MOD(SMALL($Z$6:$Z$2005,491),10000))</f>
        <v>0</v>
      </c>
      <c r="O498" s="2">
        <f t="shared" si="11"/>
        <v>0</v>
      </c>
      <c r="Z498" s="2">
        <f>IF(AND(ISNUMBER(资金流水!$B$498),资金流水!$B$498&gt;=$C$4,资金流水!$B$498&lt;=$E$4,OR(资金流水!$C$498=$C$3,AND(资金流水!$AD$498=$C$3,资金流水!$X$498="账户互转"))),INT(资金流水!$B$498)*10000+493,"")</f>
      </c>
    </row>
    <row r="499">
      <c r="A499" s="94">
        <f>IF($N499=0,"",492)</f>
      </c>
      <c r="B499" s="95">
        <f t="shared" si="6"/>
      </c>
      <c r="C499" s="96">
        <f t="shared" si="1"/>
      </c>
      <c r="D499" s="21">
        <f t="shared" si="7"/>
      </c>
      <c r="E499" s="21">
        <f t="shared" si="2"/>
      </c>
      <c r="F499" s="48">
        <f t="shared" si="8"/>
      </c>
      <c r="G499" s="94">
        <f t="shared" si="9"/>
      </c>
      <c r="H499" s="94">
        <f t="shared" si="3"/>
      </c>
      <c r="I499" s="96">
        <f t="shared" si="0"/>
      </c>
      <c r="J499" s="94">
        <f t="shared" si="4"/>
      </c>
      <c r="K499" s="94">
        <f t="shared" si="10"/>
      </c>
      <c r="L499" s="96">
        <f t="shared" si="5"/>
      </c>
      <c r="N499" s="2">
        <f>IF(492&gt;$Z$5,0,MOD(SMALL($Z$6:$Z$2005,492),10000))</f>
        <v>0</v>
      </c>
      <c r="O499" s="2">
        <f t="shared" si="11"/>
        <v>0</v>
      </c>
      <c r="Z499" s="2">
        <f>IF(AND(ISNUMBER(资金流水!$B$499),资金流水!$B$499&gt;=$C$4,资金流水!$B$499&lt;=$E$4,OR(资金流水!$C$499=$C$3,AND(资金流水!$AD$499=$C$3,资金流水!$X$499="账户互转"))),INT(资金流水!$B$499)*10000+494,"")</f>
      </c>
    </row>
    <row r="500">
      <c r="A500" s="94">
        <f>IF($N500=0,"",493)</f>
      </c>
      <c r="B500" s="95">
        <f t="shared" si="6"/>
      </c>
      <c r="C500" s="96">
        <f t="shared" si="1"/>
      </c>
      <c r="D500" s="21">
        <f t="shared" si="7"/>
      </c>
      <c r="E500" s="21">
        <f t="shared" si="2"/>
      </c>
      <c r="F500" s="48">
        <f t="shared" si="8"/>
      </c>
      <c r="G500" s="94">
        <f t="shared" si="9"/>
      </c>
      <c r="H500" s="94">
        <f t="shared" si="3"/>
      </c>
      <c r="I500" s="96">
        <f t="shared" si="0"/>
      </c>
      <c r="J500" s="94">
        <f t="shared" si="4"/>
      </c>
      <c r="K500" s="94">
        <f t="shared" si="10"/>
      </c>
      <c r="L500" s="96">
        <f t="shared" si="5"/>
      </c>
      <c r="N500" s="2">
        <f>IF(493&gt;$Z$5,0,MOD(SMALL($Z$6:$Z$2005,493),10000))</f>
        <v>0</v>
      </c>
      <c r="O500" s="2">
        <f t="shared" si="11"/>
        <v>0</v>
      </c>
      <c r="Z500" s="2">
        <f>IF(AND(ISNUMBER(资金流水!$B$500),资金流水!$B$500&gt;=$C$4,资金流水!$B$500&lt;=$E$4,OR(资金流水!$C$500=$C$3,AND(资金流水!$AD$500=$C$3,资金流水!$X$500="账户互转"))),INT(资金流水!$B$500)*10000+495,"")</f>
      </c>
    </row>
    <row r="501">
      <c r="A501" s="94">
        <f>IF($N501=0,"",494)</f>
      </c>
      <c r="B501" s="95">
        <f t="shared" si="6"/>
      </c>
      <c r="C501" s="96">
        <f t="shared" si="1"/>
      </c>
      <c r="D501" s="21">
        <f t="shared" si="7"/>
      </c>
      <c r="E501" s="21">
        <f t="shared" si="2"/>
      </c>
      <c r="F501" s="48">
        <f t="shared" si="8"/>
      </c>
      <c r="G501" s="94">
        <f t="shared" si="9"/>
      </c>
      <c r="H501" s="94">
        <f t="shared" si="3"/>
      </c>
      <c r="I501" s="96">
        <f t="shared" si="0"/>
      </c>
      <c r="J501" s="94">
        <f t="shared" si="4"/>
      </c>
      <c r="K501" s="94">
        <f t="shared" si="10"/>
      </c>
      <c r="L501" s="96">
        <f t="shared" si="5"/>
      </c>
      <c r="N501" s="2">
        <f>IF(494&gt;$Z$5,0,MOD(SMALL($Z$6:$Z$2005,494),10000))</f>
        <v>0</v>
      </c>
      <c r="O501" s="2">
        <f t="shared" si="11"/>
        <v>0</v>
      </c>
      <c r="Z501" s="2">
        <f>IF(AND(ISNUMBER(资金流水!$B$501),资金流水!$B$501&gt;=$C$4,资金流水!$B$501&lt;=$E$4,OR(资金流水!$C$501=$C$3,AND(资金流水!$AD$501=$C$3,资金流水!$X$501="账户互转"))),INT(资金流水!$B$501)*10000+496,"")</f>
      </c>
    </row>
    <row r="502">
      <c r="A502" s="94">
        <f>IF($N502=0,"",495)</f>
      </c>
      <c r="B502" s="95">
        <f t="shared" si="6"/>
      </c>
      <c r="C502" s="96">
        <f t="shared" si="1"/>
      </c>
      <c r="D502" s="21">
        <f t="shared" si="7"/>
      </c>
      <c r="E502" s="21">
        <f t="shared" si="2"/>
      </c>
      <c r="F502" s="48">
        <f t="shared" si="8"/>
      </c>
      <c r="G502" s="94">
        <f t="shared" si="9"/>
      </c>
      <c r="H502" s="94">
        <f t="shared" si="3"/>
      </c>
      <c r="I502" s="96">
        <f t="shared" si="0"/>
      </c>
      <c r="J502" s="94">
        <f t="shared" si="4"/>
      </c>
      <c r="K502" s="94">
        <f t="shared" si="10"/>
      </c>
      <c r="L502" s="96">
        <f t="shared" si="5"/>
      </c>
      <c r="N502" s="2">
        <f>IF(495&gt;$Z$5,0,MOD(SMALL($Z$6:$Z$2005,495),10000))</f>
        <v>0</v>
      </c>
      <c r="O502" s="2">
        <f t="shared" si="11"/>
        <v>0</v>
      </c>
      <c r="Z502" s="2">
        <f>IF(AND(ISNUMBER(资金流水!$B$502),资金流水!$B$502&gt;=$C$4,资金流水!$B$502&lt;=$E$4,OR(资金流水!$C$502=$C$3,AND(资金流水!$AD$502=$C$3,资金流水!$X$502="账户互转"))),INT(资金流水!$B$502)*10000+497,"")</f>
      </c>
    </row>
    <row r="503">
      <c r="A503" s="94">
        <f>IF($N503=0,"",496)</f>
      </c>
      <c r="B503" s="95">
        <f t="shared" si="6"/>
      </c>
      <c r="C503" s="96">
        <f t="shared" si="1"/>
      </c>
      <c r="D503" s="21">
        <f t="shared" si="7"/>
      </c>
      <c r="E503" s="21">
        <f t="shared" si="2"/>
      </c>
      <c r="F503" s="48">
        <f t="shared" si="8"/>
      </c>
      <c r="G503" s="94">
        <f t="shared" si="9"/>
      </c>
      <c r="H503" s="94">
        <f t="shared" si="3"/>
      </c>
      <c r="I503" s="96">
        <f t="shared" si="0"/>
      </c>
      <c r="J503" s="94">
        <f t="shared" si="4"/>
      </c>
      <c r="K503" s="94">
        <f t="shared" si="10"/>
      </c>
      <c r="L503" s="96">
        <f t="shared" si="5"/>
      </c>
      <c r="N503" s="2">
        <f>IF(496&gt;$Z$5,0,MOD(SMALL($Z$6:$Z$2005,496),10000))</f>
        <v>0</v>
      </c>
      <c r="O503" s="2">
        <f t="shared" si="11"/>
        <v>0</v>
      </c>
      <c r="Z503" s="2">
        <f>IF(AND(ISNUMBER(资金流水!$B$503),资金流水!$B$503&gt;=$C$4,资金流水!$B$503&lt;=$E$4,OR(资金流水!$C$503=$C$3,AND(资金流水!$AD$503=$C$3,资金流水!$X$503="账户互转"))),INT(资金流水!$B$503)*10000+498,"")</f>
      </c>
    </row>
    <row r="504">
      <c r="A504" s="94">
        <f>IF($N504=0,"",497)</f>
      </c>
      <c r="B504" s="95">
        <f t="shared" si="6"/>
      </c>
      <c r="C504" s="96">
        <f t="shared" si="1"/>
      </c>
      <c r="D504" s="21">
        <f t="shared" si="7"/>
      </c>
      <c r="E504" s="21">
        <f t="shared" si="2"/>
      </c>
      <c r="F504" s="48">
        <f t="shared" si="8"/>
      </c>
      <c r="G504" s="94">
        <f t="shared" si="9"/>
      </c>
      <c r="H504" s="94">
        <f t="shared" si="3"/>
      </c>
      <c r="I504" s="96">
        <f t="shared" si="0"/>
      </c>
      <c r="J504" s="94">
        <f t="shared" si="4"/>
      </c>
      <c r="K504" s="94">
        <f t="shared" si="10"/>
      </c>
      <c r="L504" s="96">
        <f t="shared" si="5"/>
      </c>
      <c r="N504" s="2">
        <f>IF(497&gt;$Z$5,0,MOD(SMALL($Z$6:$Z$2005,497),10000))</f>
        <v>0</v>
      </c>
      <c r="O504" s="2">
        <f t="shared" si="11"/>
        <v>0</v>
      </c>
      <c r="Z504" s="2">
        <f>IF(AND(ISNUMBER(资金流水!$B$504),资金流水!$B$504&gt;=$C$4,资金流水!$B$504&lt;=$E$4,OR(资金流水!$C$504=$C$3,AND(资金流水!$AD$504=$C$3,资金流水!$X$504="账户互转"))),INT(资金流水!$B$504)*10000+499,"")</f>
      </c>
    </row>
    <row r="505">
      <c r="A505" s="94">
        <f>IF($N505=0,"",498)</f>
      </c>
      <c r="B505" s="95">
        <f t="shared" si="6"/>
      </c>
      <c r="C505" s="96">
        <f t="shared" si="1"/>
      </c>
      <c r="D505" s="21">
        <f t="shared" si="7"/>
      </c>
      <c r="E505" s="21">
        <f t="shared" si="2"/>
      </c>
      <c r="F505" s="48">
        <f t="shared" si="8"/>
      </c>
      <c r="G505" s="94">
        <f t="shared" si="9"/>
      </c>
      <c r="H505" s="94">
        <f t="shared" si="3"/>
      </c>
      <c r="I505" s="96">
        <f t="shared" si="0"/>
      </c>
      <c r="J505" s="94">
        <f t="shared" si="4"/>
      </c>
      <c r="K505" s="94">
        <f t="shared" si="10"/>
      </c>
      <c r="L505" s="96">
        <f t="shared" si="5"/>
      </c>
      <c r="N505" s="2">
        <f>IF(498&gt;$Z$5,0,MOD(SMALL($Z$6:$Z$2005,498),10000))</f>
        <v>0</v>
      </c>
      <c r="O505" s="2">
        <f t="shared" si="11"/>
        <v>0</v>
      </c>
      <c r="Z505" s="2">
        <f>IF(AND(ISNUMBER(资金流水!$B$505),资金流水!$B$505&gt;=$C$4,资金流水!$B$505&lt;=$E$4,OR(资金流水!$C$505=$C$3,AND(资金流水!$AD$505=$C$3,资金流水!$X$505="账户互转"))),INT(资金流水!$B$505)*10000+500,"")</f>
      </c>
    </row>
    <row r="506">
      <c r="A506" s="94">
        <f>IF($N506=0,"",499)</f>
      </c>
      <c r="B506" s="95">
        <f t="shared" si="6"/>
      </c>
      <c r="C506" s="96">
        <f t="shared" si="1"/>
      </c>
      <c r="D506" s="21">
        <f t="shared" si="7"/>
      </c>
      <c r="E506" s="21">
        <f t="shared" si="2"/>
      </c>
      <c r="F506" s="48">
        <f t="shared" si="8"/>
      </c>
      <c r="G506" s="94">
        <f t="shared" si="9"/>
      </c>
      <c r="H506" s="94">
        <f t="shared" si="3"/>
      </c>
      <c r="I506" s="96">
        <f t="shared" si="0"/>
      </c>
      <c r="J506" s="94">
        <f t="shared" si="4"/>
      </c>
      <c r="K506" s="94">
        <f t="shared" si="10"/>
      </c>
      <c r="L506" s="96">
        <f t="shared" si="5"/>
      </c>
      <c r="N506" s="2">
        <f>IF(499&gt;$Z$5,0,MOD(SMALL($Z$6:$Z$2005,499),10000))</f>
        <v>0</v>
      </c>
      <c r="O506" s="2">
        <f t="shared" si="11"/>
        <v>0</v>
      </c>
      <c r="Z506" s="2">
        <f>IF(AND(ISNUMBER(资金流水!$B$506),资金流水!$B$506&gt;=$C$4,资金流水!$B$506&lt;=$E$4,OR(资金流水!$C$506=$C$3,AND(资金流水!$AD$506=$C$3,资金流水!$X$506="账户互转"))),INT(资金流水!$B$506)*10000+501,"")</f>
      </c>
    </row>
    <row r="507">
      <c r="A507" s="94">
        <f>IF($N507=0,"",500)</f>
      </c>
      <c r="B507" s="95">
        <f t="shared" si="6"/>
      </c>
      <c r="C507" s="96">
        <f t="shared" si="1"/>
      </c>
      <c r="D507" s="21">
        <f t="shared" si="7"/>
      </c>
      <c r="E507" s="21">
        <f t="shared" si="2"/>
      </c>
      <c r="F507" s="48">
        <f t="shared" si="8"/>
      </c>
      <c r="G507" s="94">
        <f t="shared" si="9"/>
      </c>
      <c r="H507" s="94">
        <f t="shared" si="3"/>
      </c>
      <c r="I507" s="96">
        <f t="shared" si="0"/>
      </c>
      <c r="J507" s="94">
        <f t="shared" si="4"/>
      </c>
      <c r="K507" s="94">
        <f t="shared" si="10"/>
      </c>
      <c r="L507" s="96">
        <f t="shared" si="5"/>
      </c>
      <c r="N507" s="2">
        <f>IF(500&gt;$Z$5,0,MOD(SMALL($Z$6:$Z$2005,500),10000))</f>
        <v>0</v>
      </c>
      <c r="O507" s="2">
        <f t="shared" si="11"/>
        <v>0</v>
      </c>
      <c r="Z507" s="2">
        <f>IF(AND(ISNUMBER(资金流水!$B$507),资金流水!$B$507&gt;=$C$4,资金流水!$B$507&lt;=$E$4,OR(资金流水!$C$507=$C$3,AND(资金流水!$AD$507=$C$3,资金流水!$X$507="账户互转"))),INT(资金流水!$B$507)*10000+502,"")</f>
      </c>
    </row>
    <row r="508">
      <c r="A508" s="94">
        <f>IF($N508=0,"",501)</f>
      </c>
      <c r="B508" s="95">
        <f t="shared" si="6"/>
      </c>
      <c r="C508" s="96">
        <f t="shared" si="1"/>
      </c>
      <c r="D508" s="21">
        <f t="shared" si="7"/>
      </c>
      <c r="E508" s="21">
        <f t="shared" si="2"/>
      </c>
      <c r="F508" s="48">
        <f t="shared" si="8"/>
      </c>
      <c r="G508" s="94">
        <f t="shared" si="9"/>
      </c>
      <c r="H508" s="94">
        <f t="shared" si="3"/>
      </c>
      <c r="I508" s="96">
        <f t="shared" si="0"/>
      </c>
      <c r="J508" s="94">
        <f t="shared" si="4"/>
      </c>
      <c r="K508" s="94">
        <f t="shared" si="10"/>
      </c>
      <c r="L508" s="96">
        <f t="shared" si="5"/>
      </c>
      <c r="N508" s="2">
        <f>IF(501&gt;$Z$5,0,MOD(SMALL($Z$6:$Z$2005,501),10000))</f>
        <v>0</v>
      </c>
      <c r="O508" s="2">
        <f t="shared" si="11"/>
        <v>0</v>
      </c>
      <c r="Z508" s="2">
        <f>IF(AND(ISNUMBER(资金流水!$B$508),资金流水!$B$508&gt;=$C$4,资金流水!$B$508&lt;=$E$4,OR(资金流水!$C$508=$C$3,AND(资金流水!$AD$508=$C$3,资金流水!$X$508="账户互转"))),INT(资金流水!$B$508)*10000+503,"")</f>
      </c>
    </row>
    <row r="509">
      <c r="A509" s="94">
        <f>IF($N509=0,"",502)</f>
      </c>
      <c r="B509" s="95">
        <f t="shared" si="6"/>
      </c>
      <c r="C509" s="96">
        <f t="shared" si="1"/>
      </c>
      <c r="D509" s="21">
        <f t="shared" si="7"/>
      </c>
      <c r="E509" s="21">
        <f t="shared" si="2"/>
      </c>
      <c r="F509" s="48">
        <f t="shared" si="8"/>
      </c>
      <c r="G509" s="94">
        <f t="shared" si="9"/>
      </c>
      <c r="H509" s="94">
        <f t="shared" si="3"/>
      </c>
      <c r="I509" s="96">
        <f t="shared" si="0"/>
      </c>
      <c r="J509" s="94">
        <f t="shared" si="4"/>
      </c>
      <c r="K509" s="94">
        <f t="shared" si="10"/>
      </c>
      <c r="L509" s="96">
        <f t="shared" si="5"/>
      </c>
      <c r="N509" s="2">
        <f>IF(502&gt;$Z$5,0,MOD(SMALL($Z$6:$Z$2005,502),10000))</f>
        <v>0</v>
      </c>
      <c r="O509" s="2">
        <f t="shared" si="11"/>
        <v>0</v>
      </c>
      <c r="Z509" s="2">
        <f>IF(AND(ISNUMBER(资金流水!$B$509),资金流水!$B$509&gt;=$C$4,资金流水!$B$509&lt;=$E$4,OR(资金流水!$C$509=$C$3,AND(资金流水!$AD$509=$C$3,资金流水!$X$509="账户互转"))),INT(资金流水!$B$509)*10000+504,"")</f>
      </c>
    </row>
    <row r="510">
      <c r="A510" s="94">
        <f>IF($N510=0,"",503)</f>
      </c>
      <c r="B510" s="95">
        <f t="shared" si="6"/>
      </c>
      <c r="C510" s="96">
        <f t="shared" si="1"/>
      </c>
      <c r="D510" s="21">
        <f t="shared" si="7"/>
      </c>
      <c r="E510" s="21">
        <f t="shared" si="2"/>
      </c>
      <c r="F510" s="48">
        <f t="shared" si="8"/>
      </c>
      <c r="G510" s="94">
        <f t="shared" si="9"/>
      </c>
      <c r="H510" s="94">
        <f t="shared" si="3"/>
      </c>
      <c r="I510" s="96">
        <f t="shared" si="0"/>
      </c>
      <c r="J510" s="94">
        <f t="shared" si="4"/>
      </c>
      <c r="K510" s="94">
        <f t="shared" si="10"/>
      </c>
      <c r="L510" s="96">
        <f t="shared" si="5"/>
      </c>
      <c r="N510" s="2">
        <f>IF(503&gt;$Z$5,0,MOD(SMALL($Z$6:$Z$2005,503),10000))</f>
        <v>0</v>
      </c>
      <c r="O510" s="2">
        <f t="shared" si="11"/>
        <v>0</v>
      </c>
      <c r="Z510" s="2">
        <f>IF(AND(ISNUMBER(资金流水!$B$510),资金流水!$B$510&gt;=$C$4,资金流水!$B$510&lt;=$E$4,OR(资金流水!$C$510=$C$3,AND(资金流水!$AD$510=$C$3,资金流水!$X$510="账户互转"))),INT(资金流水!$B$510)*10000+505,"")</f>
      </c>
    </row>
    <row r="511">
      <c r="A511" s="94">
        <f>IF($N511=0,"",504)</f>
      </c>
      <c r="B511" s="95">
        <f t="shared" si="6"/>
      </c>
      <c r="C511" s="96">
        <f t="shared" si="1"/>
      </c>
      <c r="D511" s="21">
        <f t="shared" si="7"/>
      </c>
      <c r="E511" s="21">
        <f t="shared" si="2"/>
      </c>
      <c r="F511" s="48">
        <f t="shared" si="8"/>
      </c>
      <c r="G511" s="94">
        <f t="shared" si="9"/>
      </c>
      <c r="H511" s="94">
        <f t="shared" si="3"/>
      </c>
      <c r="I511" s="96">
        <f t="shared" si="0"/>
      </c>
      <c r="J511" s="94">
        <f t="shared" si="4"/>
      </c>
      <c r="K511" s="94">
        <f t="shared" si="10"/>
      </c>
      <c r="L511" s="96">
        <f t="shared" si="5"/>
      </c>
      <c r="N511" s="2">
        <f>IF(504&gt;$Z$5,0,MOD(SMALL($Z$6:$Z$2005,504),10000))</f>
        <v>0</v>
      </c>
      <c r="O511" s="2">
        <f t="shared" si="11"/>
        <v>0</v>
      </c>
      <c r="Z511" s="2">
        <f>IF(AND(ISNUMBER(资金流水!$B$511),资金流水!$B$511&gt;=$C$4,资金流水!$B$511&lt;=$E$4,OR(资金流水!$C$511=$C$3,AND(资金流水!$AD$511=$C$3,资金流水!$X$511="账户互转"))),INT(资金流水!$B$511)*10000+506,"")</f>
      </c>
    </row>
    <row r="512">
      <c r="A512" s="94">
        <f>IF($N512=0,"",505)</f>
      </c>
      <c r="B512" s="95">
        <f t="shared" si="6"/>
      </c>
      <c r="C512" s="96">
        <f t="shared" si="1"/>
      </c>
      <c r="D512" s="21">
        <f t="shared" si="7"/>
      </c>
      <c r="E512" s="21">
        <f t="shared" si="2"/>
      </c>
      <c r="F512" s="48">
        <f t="shared" si="8"/>
      </c>
      <c r="G512" s="94">
        <f t="shared" si="9"/>
      </c>
      <c r="H512" s="94">
        <f t="shared" si="3"/>
      </c>
      <c r="I512" s="96">
        <f t="shared" si="0"/>
      </c>
      <c r="J512" s="94">
        <f t="shared" si="4"/>
      </c>
      <c r="K512" s="94">
        <f t="shared" si="10"/>
      </c>
      <c r="L512" s="96">
        <f t="shared" si="5"/>
      </c>
      <c r="N512" s="2">
        <f>IF(505&gt;$Z$5,0,MOD(SMALL($Z$6:$Z$2005,505),10000))</f>
        <v>0</v>
      </c>
      <c r="O512" s="2">
        <f t="shared" si="11"/>
        <v>0</v>
      </c>
      <c r="Z512" s="2">
        <f>IF(AND(ISNUMBER(资金流水!$B$512),资金流水!$B$512&gt;=$C$4,资金流水!$B$512&lt;=$E$4,OR(资金流水!$C$512=$C$3,AND(资金流水!$AD$512=$C$3,资金流水!$X$512="账户互转"))),INT(资金流水!$B$512)*10000+507,"")</f>
      </c>
    </row>
    <row r="513">
      <c r="A513" s="94">
        <f>IF($N513=0,"",506)</f>
      </c>
      <c r="B513" s="95">
        <f t="shared" si="6"/>
      </c>
      <c r="C513" s="96">
        <f t="shared" si="1"/>
      </c>
      <c r="D513" s="21">
        <f t="shared" si="7"/>
      </c>
      <c r="E513" s="21">
        <f t="shared" si="2"/>
      </c>
      <c r="F513" s="48">
        <f t="shared" si="8"/>
      </c>
      <c r="G513" s="94">
        <f t="shared" si="9"/>
      </c>
      <c r="H513" s="94">
        <f t="shared" si="3"/>
      </c>
      <c r="I513" s="96">
        <f t="shared" si="0"/>
      </c>
      <c r="J513" s="94">
        <f t="shared" si="4"/>
      </c>
      <c r="K513" s="94">
        <f t="shared" si="10"/>
      </c>
      <c r="L513" s="96">
        <f t="shared" si="5"/>
      </c>
      <c r="N513" s="2">
        <f>IF(506&gt;$Z$5,0,MOD(SMALL($Z$6:$Z$2005,506),10000))</f>
        <v>0</v>
      </c>
      <c r="O513" s="2">
        <f t="shared" si="11"/>
        <v>0</v>
      </c>
      <c r="Z513" s="2">
        <f>IF(AND(ISNUMBER(资金流水!$B$513),资金流水!$B$513&gt;=$C$4,资金流水!$B$513&lt;=$E$4,OR(资金流水!$C$513=$C$3,AND(资金流水!$AD$513=$C$3,资金流水!$X$513="账户互转"))),INT(资金流水!$B$513)*10000+508,"")</f>
      </c>
    </row>
    <row r="514">
      <c r="A514" s="94">
        <f>IF($N514=0,"",507)</f>
      </c>
      <c r="B514" s="95">
        <f t="shared" si="6"/>
      </c>
      <c r="C514" s="96">
        <f t="shared" si="1"/>
      </c>
      <c r="D514" s="21">
        <f t="shared" si="7"/>
      </c>
      <c r="E514" s="21">
        <f t="shared" si="2"/>
      </c>
      <c r="F514" s="48">
        <f t="shared" si="8"/>
      </c>
      <c r="G514" s="94">
        <f t="shared" si="9"/>
      </c>
      <c r="H514" s="94">
        <f t="shared" si="3"/>
      </c>
      <c r="I514" s="96">
        <f t="shared" si="0"/>
      </c>
      <c r="J514" s="94">
        <f t="shared" si="4"/>
      </c>
      <c r="K514" s="94">
        <f t="shared" si="10"/>
      </c>
      <c r="L514" s="96">
        <f t="shared" si="5"/>
      </c>
      <c r="N514" s="2">
        <f>IF(507&gt;$Z$5,0,MOD(SMALL($Z$6:$Z$2005,507),10000))</f>
        <v>0</v>
      </c>
      <c r="O514" s="2">
        <f t="shared" si="11"/>
        <v>0</v>
      </c>
      <c r="Z514" s="2">
        <f>IF(AND(ISNUMBER(资金流水!$B$514),资金流水!$B$514&gt;=$C$4,资金流水!$B$514&lt;=$E$4,OR(资金流水!$C$514=$C$3,AND(资金流水!$AD$514=$C$3,资金流水!$X$514="账户互转"))),INT(资金流水!$B$514)*10000+509,"")</f>
      </c>
    </row>
    <row r="515">
      <c r="A515" s="94">
        <f>IF($N515=0,"",508)</f>
      </c>
      <c r="B515" s="95">
        <f t="shared" si="6"/>
      </c>
      <c r="C515" s="96">
        <f t="shared" si="1"/>
      </c>
      <c r="D515" s="21">
        <f t="shared" si="7"/>
      </c>
      <c r="E515" s="21">
        <f t="shared" si="2"/>
      </c>
      <c r="F515" s="48">
        <f t="shared" si="8"/>
      </c>
      <c r="G515" s="94">
        <f t="shared" si="9"/>
      </c>
      <c r="H515" s="94">
        <f t="shared" si="3"/>
      </c>
      <c r="I515" s="96">
        <f t="shared" si="0"/>
      </c>
      <c r="J515" s="94">
        <f t="shared" si="4"/>
      </c>
      <c r="K515" s="94">
        <f t="shared" si="10"/>
      </c>
      <c r="L515" s="96">
        <f t="shared" si="5"/>
      </c>
      <c r="N515" s="2">
        <f>IF(508&gt;$Z$5,0,MOD(SMALL($Z$6:$Z$2005,508),10000))</f>
        <v>0</v>
      </c>
      <c r="O515" s="2">
        <f t="shared" si="11"/>
        <v>0</v>
      </c>
      <c r="Z515" s="2">
        <f>IF(AND(ISNUMBER(资金流水!$B$515),资金流水!$B$515&gt;=$C$4,资金流水!$B$515&lt;=$E$4,OR(资金流水!$C$515=$C$3,AND(资金流水!$AD$515=$C$3,资金流水!$X$515="账户互转"))),INT(资金流水!$B$515)*10000+510,"")</f>
      </c>
    </row>
    <row r="516">
      <c r="A516" s="94">
        <f>IF($N516=0,"",509)</f>
      </c>
      <c r="B516" s="95">
        <f t="shared" si="6"/>
      </c>
      <c r="C516" s="96">
        <f t="shared" si="1"/>
      </c>
      <c r="D516" s="21">
        <f t="shared" si="7"/>
      </c>
      <c r="E516" s="21">
        <f t="shared" si="2"/>
      </c>
      <c r="F516" s="48">
        <f t="shared" si="8"/>
      </c>
      <c r="G516" s="94">
        <f t="shared" si="9"/>
      </c>
      <c r="H516" s="94">
        <f t="shared" si="3"/>
      </c>
      <c r="I516" s="96">
        <f t="shared" si="0"/>
      </c>
      <c r="J516" s="94">
        <f t="shared" si="4"/>
      </c>
      <c r="K516" s="94">
        <f t="shared" si="10"/>
      </c>
      <c r="L516" s="96">
        <f t="shared" si="5"/>
      </c>
      <c r="N516" s="2">
        <f>IF(509&gt;$Z$5,0,MOD(SMALL($Z$6:$Z$2005,509),10000))</f>
        <v>0</v>
      </c>
      <c r="O516" s="2">
        <f t="shared" si="11"/>
        <v>0</v>
      </c>
      <c r="Z516" s="2">
        <f>IF(AND(ISNUMBER(资金流水!$B$516),资金流水!$B$516&gt;=$C$4,资金流水!$B$516&lt;=$E$4,OR(资金流水!$C$516=$C$3,AND(资金流水!$AD$516=$C$3,资金流水!$X$516="账户互转"))),INT(资金流水!$B$516)*10000+511,"")</f>
      </c>
    </row>
    <row r="517">
      <c r="A517" s="94">
        <f>IF($N517=0,"",510)</f>
      </c>
      <c r="B517" s="95">
        <f t="shared" si="6"/>
      </c>
      <c r="C517" s="96">
        <f t="shared" si="1"/>
      </c>
      <c r="D517" s="21">
        <f t="shared" si="7"/>
      </c>
      <c r="E517" s="21">
        <f t="shared" si="2"/>
      </c>
      <c r="F517" s="48">
        <f t="shared" si="8"/>
      </c>
      <c r="G517" s="94">
        <f t="shared" si="9"/>
      </c>
      <c r="H517" s="94">
        <f t="shared" si="3"/>
      </c>
      <c r="I517" s="96">
        <f t="shared" si="0"/>
      </c>
      <c r="J517" s="94">
        <f t="shared" si="4"/>
      </c>
      <c r="K517" s="94">
        <f t="shared" si="10"/>
      </c>
      <c r="L517" s="96">
        <f t="shared" si="5"/>
      </c>
      <c r="N517" s="2">
        <f>IF(510&gt;$Z$5,0,MOD(SMALL($Z$6:$Z$2005,510),10000))</f>
        <v>0</v>
      </c>
      <c r="O517" s="2">
        <f t="shared" si="11"/>
        <v>0</v>
      </c>
      <c r="Z517" s="2">
        <f>IF(AND(ISNUMBER(资金流水!$B$517),资金流水!$B$517&gt;=$C$4,资金流水!$B$517&lt;=$E$4,OR(资金流水!$C$517=$C$3,AND(资金流水!$AD$517=$C$3,资金流水!$X$517="账户互转"))),INT(资金流水!$B$517)*10000+512,"")</f>
      </c>
    </row>
    <row r="518">
      <c r="A518" s="94">
        <f>IF($N518=0,"",511)</f>
      </c>
      <c r="B518" s="95">
        <f t="shared" si="6"/>
      </c>
      <c r="C518" s="96">
        <f t="shared" si="1"/>
      </c>
      <c r="D518" s="21">
        <f t="shared" si="7"/>
      </c>
      <c r="E518" s="21">
        <f t="shared" si="2"/>
      </c>
      <c r="F518" s="48">
        <f t="shared" si="8"/>
      </c>
      <c r="G518" s="94">
        <f t="shared" si="9"/>
      </c>
      <c r="H518" s="94">
        <f t="shared" si="3"/>
      </c>
      <c r="I518" s="96">
        <f t="shared" si="0"/>
      </c>
      <c r="J518" s="94">
        <f t="shared" si="4"/>
      </c>
      <c r="K518" s="94">
        <f t="shared" si="10"/>
      </c>
      <c r="L518" s="96">
        <f t="shared" si="5"/>
      </c>
      <c r="N518" s="2">
        <f>IF(511&gt;$Z$5,0,MOD(SMALL($Z$6:$Z$2005,511),10000))</f>
        <v>0</v>
      </c>
      <c r="O518" s="2">
        <f t="shared" si="11"/>
        <v>0</v>
      </c>
      <c r="Z518" s="2">
        <f>IF(AND(ISNUMBER(资金流水!$B$518),资金流水!$B$518&gt;=$C$4,资金流水!$B$518&lt;=$E$4,OR(资金流水!$C$518=$C$3,AND(资金流水!$AD$518=$C$3,资金流水!$X$518="账户互转"))),INT(资金流水!$B$518)*10000+513,"")</f>
      </c>
    </row>
    <row r="519">
      <c r="A519" s="94">
        <f>IF($N519=0,"",512)</f>
      </c>
      <c r="B519" s="95">
        <f t="shared" si="6"/>
      </c>
      <c r="C519" s="96">
        <f t="shared" si="1"/>
      </c>
      <c r="D519" s="21">
        <f t="shared" si="7"/>
      </c>
      <c r="E519" s="21">
        <f t="shared" si="2"/>
      </c>
      <c r="F519" s="48">
        <f t="shared" si="8"/>
      </c>
      <c r="G519" s="94">
        <f t="shared" si="9"/>
      </c>
      <c r="H519" s="94">
        <f t="shared" si="3"/>
      </c>
      <c r="I519" s="96">
        <f t="shared" si="0"/>
      </c>
      <c r="J519" s="94">
        <f t="shared" si="4"/>
      </c>
      <c r="K519" s="94">
        <f t="shared" si="10"/>
      </c>
      <c r="L519" s="96">
        <f t="shared" si="5"/>
      </c>
      <c r="N519" s="2">
        <f>IF(512&gt;$Z$5,0,MOD(SMALL($Z$6:$Z$2005,512),10000))</f>
        <v>0</v>
      </c>
      <c r="O519" s="2">
        <f t="shared" si="11"/>
        <v>0</v>
      </c>
      <c r="Z519" s="2">
        <f>IF(AND(ISNUMBER(资金流水!$B$519),资金流水!$B$519&gt;=$C$4,资金流水!$B$519&lt;=$E$4,OR(资金流水!$C$519=$C$3,AND(资金流水!$AD$519=$C$3,资金流水!$X$519="账户互转"))),INT(资金流水!$B$519)*10000+514,"")</f>
      </c>
    </row>
    <row r="520">
      <c r="A520" s="94">
        <f>IF($N520=0,"",513)</f>
      </c>
      <c r="B520" s="95">
        <f t="shared" si="6"/>
      </c>
      <c r="C520" s="96">
        <f t="shared" si="1"/>
      </c>
      <c r="D520" s="21">
        <f t="shared" si="7"/>
      </c>
      <c r="E520" s="21">
        <f t="shared" si="2"/>
      </c>
      <c r="F520" s="48">
        <f t="shared" si="8"/>
      </c>
      <c r="G520" s="94">
        <f t="shared" si="9"/>
      </c>
      <c r="H520" s="94">
        <f t="shared" si="3"/>
      </c>
      <c r="I520" s="96">
        <f t="shared" si="0"/>
      </c>
      <c r="J520" s="94">
        <f t="shared" si="4"/>
      </c>
      <c r="K520" s="94">
        <f t="shared" si="10"/>
      </c>
      <c r="L520" s="96">
        <f t="shared" si="5"/>
      </c>
      <c r="N520" s="2">
        <f>IF(513&gt;$Z$5,0,MOD(SMALL($Z$6:$Z$2005,513),10000))</f>
        <v>0</v>
      </c>
      <c r="O520" s="2">
        <f t="shared" si="11"/>
        <v>0</v>
      </c>
      <c r="Z520" s="2">
        <f>IF(AND(ISNUMBER(资金流水!$B$520),资金流水!$B$520&gt;=$C$4,资金流水!$B$520&lt;=$E$4,OR(资金流水!$C$520=$C$3,AND(资金流水!$AD$520=$C$3,资金流水!$X$520="账户互转"))),INT(资金流水!$B$520)*10000+515,"")</f>
      </c>
    </row>
    <row r="521">
      <c r="A521" s="94">
        <f>IF($N521=0,"",514)</f>
      </c>
      <c r="B521" s="95">
        <f t="shared" si="6"/>
      </c>
      <c r="C521" s="96">
        <f t="shared" si="1"/>
      </c>
      <c r="D521" s="21">
        <f t="shared" si="7"/>
      </c>
      <c r="E521" s="21">
        <f t="shared" si="2"/>
      </c>
      <c r="F521" s="48">
        <f t="shared" si="8"/>
      </c>
      <c r="G521" s="94">
        <f t="shared" si="9"/>
      </c>
      <c r="H521" s="94">
        <f t="shared" si="3"/>
      </c>
      <c r="I521" s="96">
        <f t="shared" si="0"/>
      </c>
      <c r="J521" s="94">
        <f t="shared" si="4"/>
      </c>
      <c r="K521" s="94">
        <f t="shared" si="10"/>
      </c>
      <c r="L521" s="96">
        <f t="shared" si="5"/>
      </c>
      <c r="N521" s="2">
        <f>IF(514&gt;$Z$5,0,MOD(SMALL($Z$6:$Z$2005,514),10000))</f>
        <v>0</v>
      </c>
      <c r="O521" s="2">
        <f t="shared" si="11"/>
        <v>0</v>
      </c>
      <c r="Z521" s="2">
        <f>IF(AND(ISNUMBER(资金流水!$B$521),资金流水!$B$521&gt;=$C$4,资金流水!$B$521&lt;=$E$4,OR(资金流水!$C$521=$C$3,AND(资金流水!$AD$521=$C$3,资金流水!$X$521="账户互转"))),INT(资金流水!$B$521)*10000+516,"")</f>
      </c>
    </row>
    <row r="522">
      <c r="A522" s="94">
        <f>IF($N522=0,"",515)</f>
      </c>
      <c r="B522" s="95">
        <f t="shared" si="6"/>
      </c>
      <c r="C522" s="96">
        <f t="shared" si="1"/>
      </c>
      <c r="D522" s="21">
        <f t="shared" si="7"/>
      </c>
      <c r="E522" s="21">
        <f t="shared" si="2"/>
      </c>
      <c r="F522" s="48">
        <f t="shared" si="8"/>
      </c>
      <c r="G522" s="94">
        <f t="shared" si="9"/>
      </c>
      <c r="H522" s="94">
        <f t="shared" si="3"/>
      </c>
      <c r="I522" s="96">
        <f t="shared" si="0"/>
      </c>
      <c r="J522" s="94">
        <f t="shared" si="4"/>
      </c>
      <c r="K522" s="94">
        <f t="shared" si="10"/>
      </c>
      <c r="L522" s="96">
        <f t="shared" si="5"/>
      </c>
      <c r="N522" s="2">
        <f>IF(515&gt;$Z$5,0,MOD(SMALL($Z$6:$Z$2005,515),10000))</f>
        <v>0</v>
      </c>
      <c r="O522" s="2">
        <f t="shared" si="11"/>
        <v>0</v>
      </c>
      <c r="Z522" s="2">
        <f>IF(AND(ISNUMBER(资金流水!$B$522),资金流水!$B$522&gt;=$C$4,资金流水!$B$522&lt;=$E$4,OR(资金流水!$C$522=$C$3,AND(资金流水!$AD$522=$C$3,资金流水!$X$522="账户互转"))),INT(资金流水!$B$522)*10000+517,"")</f>
      </c>
    </row>
    <row r="523">
      <c r="A523" s="94">
        <f>IF($N523=0,"",516)</f>
      </c>
      <c r="B523" s="95">
        <f t="shared" si="6"/>
      </c>
      <c r="C523" s="96">
        <f t="shared" si="1"/>
      </c>
      <c r="D523" s="21">
        <f t="shared" si="7"/>
      </c>
      <c r="E523" s="21">
        <f t="shared" si="2"/>
      </c>
      <c r="F523" s="48">
        <f t="shared" si="8"/>
      </c>
      <c r="G523" s="94">
        <f t="shared" si="9"/>
      </c>
      <c r="H523" s="94">
        <f t="shared" si="3"/>
      </c>
      <c r="I523" s="96">
        <f t="shared" si="0"/>
      </c>
      <c r="J523" s="94">
        <f t="shared" si="4"/>
      </c>
      <c r="K523" s="94">
        <f t="shared" si="10"/>
      </c>
      <c r="L523" s="96">
        <f t="shared" si="5"/>
      </c>
      <c r="N523" s="2">
        <f>IF(516&gt;$Z$5,0,MOD(SMALL($Z$6:$Z$2005,516),10000))</f>
        <v>0</v>
      </c>
      <c r="O523" s="2">
        <f t="shared" si="11"/>
        <v>0</v>
      </c>
      <c r="Z523" s="2">
        <f>IF(AND(ISNUMBER(资金流水!$B$523),资金流水!$B$523&gt;=$C$4,资金流水!$B$523&lt;=$E$4,OR(资金流水!$C$523=$C$3,AND(资金流水!$AD$523=$C$3,资金流水!$X$523="账户互转"))),INT(资金流水!$B$523)*10000+518,"")</f>
      </c>
    </row>
    <row r="524">
      <c r="A524" s="94">
        <f>IF($N524=0,"",517)</f>
      </c>
      <c r="B524" s="95">
        <f t="shared" si="6"/>
      </c>
      <c r="C524" s="96">
        <f t="shared" si="1"/>
      </c>
      <c r="D524" s="21">
        <f t="shared" si="7"/>
      </c>
      <c r="E524" s="21">
        <f t="shared" si="2"/>
      </c>
      <c r="F524" s="48">
        <f t="shared" si="8"/>
      </c>
      <c r="G524" s="94">
        <f t="shared" si="9"/>
      </c>
      <c r="H524" s="94">
        <f t="shared" si="3"/>
      </c>
      <c r="I524" s="96">
        <f t="shared" si="0"/>
      </c>
      <c r="J524" s="94">
        <f t="shared" si="4"/>
      </c>
      <c r="K524" s="94">
        <f t="shared" si="10"/>
      </c>
      <c r="L524" s="96">
        <f t="shared" si="5"/>
      </c>
      <c r="N524" s="2">
        <f>IF(517&gt;$Z$5,0,MOD(SMALL($Z$6:$Z$2005,517),10000))</f>
        <v>0</v>
      </c>
      <c r="O524" s="2">
        <f t="shared" si="11"/>
        <v>0</v>
      </c>
      <c r="Z524" s="2">
        <f>IF(AND(ISNUMBER(资金流水!$B$524),资金流水!$B$524&gt;=$C$4,资金流水!$B$524&lt;=$E$4,OR(资金流水!$C$524=$C$3,AND(资金流水!$AD$524=$C$3,资金流水!$X$524="账户互转"))),INT(资金流水!$B$524)*10000+519,"")</f>
      </c>
    </row>
    <row r="525">
      <c r="A525" s="94">
        <f>IF($N525=0,"",518)</f>
      </c>
      <c r="B525" s="95">
        <f t="shared" si="6"/>
      </c>
      <c r="C525" s="96">
        <f t="shared" si="1"/>
      </c>
      <c r="D525" s="21">
        <f t="shared" si="7"/>
      </c>
      <c r="E525" s="21">
        <f t="shared" si="2"/>
      </c>
      <c r="F525" s="48">
        <f t="shared" si="8"/>
      </c>
      <c r="G525" s="94">
        <f t="shared" si="9"/>
      </c>
      <c r="H525" s="94">
        <f t="shared" si="3"/>
      </c>
      <c r="I525" s="96">
        <f t="shared" si="0"/>
      </c>
      <c r="J525" s="94">
        <f t="shared" si="4"/>
      </c>
      <c r="K525" s="94">
        <f t="shared" si="10"/>
      </c>
      <c r="L525" s="96">
        <f t="shared" si="5"/>
      </c>
      <c r="N525" s="2">
        <f>IF(518&gt;$Z$5,0,MOD(SMALL($Z$6:$Z$2005,518),10000))</f>
        <v>0</v>
      </c>
      <c r="O525" s="2">
        <f t="shared" si="11"/>
        <v>0</v>
      </c>
      <c r="Z525" s="2">
        <f>IF(AND(ISNUMBER(资金流水!$B$525),资金流水!$B$525&gt;=$C$4,资金流水!$B$525&lt;=$E$4,OR(资金流水!$C$525=$C$3,AND(资金流水!$AD$525=$C$3,资金流水!$X$525="账户互转"))),INT(资金流水!$B$525)*10000+520,"")</f>
      </c>
    </row>
    <row r="526">
      <c r="A526" s="94">
        <f>IF($N526=0,"",519)</f>
      </c>
      <c r="B526" s="95">
        <f t="shared" si="6"/>
      </c>
      <c r="C526" s="96">
        <f t="shared" si="1"/>
      </c>
      <c r="D526" s="21">
        <f t="shared" si="7"/>
      </c>
      <c r="E526" s="21">
        <f t="shared" si="2"/>
      </c>
      <c r="F526" s="48">
        <f t="shared" si="8"/>
      </c>
      <c r="G526" s="94">
        <f t="shared" si="9"/>
      </c>
      <c r="H526" s="94">
        <f t="shared" si="3"/>
      </c>
      <c r="I526" s="96">
        <f t="shared" si="0"/>
      </c>
      <c r="J526" s="94">
        <f t="shared" si="4"/>
      </c>
      <c r="K526" s="94">
        <f t="shared" si="10"/>
      </c>
      <c r="L526" s="96">
        <f t="shared" si="5"/>
      </c>
      <c r="N526" s="2">
        <f>IF(519&gt;$Z$5,0,MOD(SMALL($Z$6:$Z$2005,519),10000))</f>
        <v>0</v>
      </c>
      <c r="O526" s="2">
        <f t="shared" si="11"/>
        <v>0</v>
      </c>
      <c r="Z526" s="2">
        <f>IF(AND(ISNUMBER(资金流水!$B$526),资金流水!$B$526&gt;=$C$4,资金流水!$B$526&lt;=$E$4,OR(资金流水!$C$526=$C$3,AND(资金流水!$AD$526=$C$3,资金流水!$X$526="账户互转"))),INT(资金流水!$B$526)*10000+521,"")</f>
      </c>
    </row>
    <row r="527">
      <c r="A527" s="94">
        <f>IF($N527=0,"",520)</f>
      </c>
      <c r="B527" s="95">
        <f t="shared" si="6"/>
      </c>
      <c r="C527" s="96">
        <f t="shared" si="1"/>
      </c>
      <c r="D527" s="21">
        <f t="shared" si="7"/>
      </c>
      <c r="E527" s="21">
        <f t="shared" si="2"/>
      </c>
      <c r="F527" s="48">
        <f t="shared" si="8"/>
      </c>
      <c r="G527" s="94">
        <f t="shared" si="9"/>
      </c>
      <c r="H527" s="94">
        <f t="shared" si="3"/>
      </c>
      <c r="I527" s="96">
        <f t="shared" si="0"/>
      </c>
      <c r="J527" s="94">
        <f t="shared" si="4"/>
      </c>
      <c r="K527" s="94">
        <f t="shared" si="10"/>
      </c>
      <c r="L527" s="96">
        <f t="shared" si="5"/>
      </c>
      <c r="N527" s="2">
        <f>IF(520&gt;$Z$5,0,MOD(SMALL($Z$6:$Z$2005,520),10000))</f>
        <v>0</v>
      </c>
      <c r="O527" s="2">
        <f t="shared" si="11"/>
        <v>0</v>
      </c>
      <c r="Z527" s="2">
        <f>IF(AND(ISNUMBER(资金流水!$B$527),资金流水!$B$527&gt;=$C$4,资金流水!$B$527&lt;=$E$4,OR(资金流水!$C$527=$C$3,AND(资金流水!$AD$527=$C$3,资金流水!$X$527="账户互转"))),INT(资金流水!$B$527)*10000+522,"")</f>
      </c>
    </row>
    <row r="528">
      <c r="A528" s="94">
        <f>IF($N528=0,"",521)</f>
      </c>
      <c r="B528" s="95">
        <f t="shared" si="6"/>
      </c>
      <c r="C528" s="96">
        <f t="shared" si="1"/>
      </c>
      <c r="D528" s="21">
        <f t="shared" si="7"/>
      </c>
      <c r="E528" s="21">
        <f t="shared" si="2"/>
      </c>
      <c r="F528" s="48">
        <f t="shared" si="8"/>
      </c>
      <c r="G528" s="94">
        <f t="shared" si="9"/>
      </c>
      <c r="H528" s="94">
        <f t="shared" si="3"/>
      </c>
      <c r="I528" s="96">
        <f t="shared" si="0"/>
      </c>
      <c r="J528" s="94">
        <f t="shared" si="4"/>
      </c>
      <c r="K528" s="94">
        <f t="shared" si="10"/>
      </c>
      <c r="L528" s="96">
        <f t="shared" si="5"/>
      </c>
      <c r="N528" s="2">
        <f>IF(521&gt;$Z$5,0,MOD(SMALL($Z$6:$Z$2005,521),10000))</f>
        <v>0</v>
      </c>
      <c r="O528" s="2">
        <f t="shared" si="11"/>
        <v>0</v>
      </c>
      <c r="Z528" s="2">
        <f>IF(AND(ISNUMBER(资金流水!$B$528),资金流水!$B$528&gt;=$C$4,资金流水!$B$528&lt;=$E$4,OR(资金流水!$C$528=$C$3,AND(资金流水!$AD$528=$C$3,资金流水!$X$528="账户互转"))),INT(资金流水!$B$528)*10000+523,"")</f>
      </c>
    </row>
    <row r="529">
      <c r="A529" s="94">
        <f>IF($N529=0,"",522)</f>
      </c>
      <c r="B529" s="95">
        <f t="shared" si="6"/>
      </c>
      <c r="C529" s="96">
        <f t="shared" si="1"/>
      </c>
      <c r="D529" s="21">
        <f t="shared" si="7"/>
      </c>
      <c r="E529" s="21">
        <f t="shared" si="2"/>
      </c>
      <c r="F529" s="48">
        <f t="shared" si="8"/>
      </c>
      <c r="G529" s="94">
        <f t="shared" si="9"/>
      </c>
      <c r="H529" s="94">
        <f t="shared" si="3"/>
      </c>
      <c r="I529" s="96">
        <f t="shared" si="0"/>
      </c>
      <c r="J529" s="94">
        <f t="shared" si="4"/>
      </c>
      <c r="K529" s="94">
        <f t="shared" si="10"/>
      </c>
      <c r="L529" s="96">
        <f t="shared" si="5"/>
      </c>
      <c r="N529" s="2">
        <f>IF(522&gt;$Z$5,0,MOD(SMALL($Z$6:$Z$2005,522),10000))</f>
        <v>0</v>
      </c>
      <c r="O529" s="2">
        <f t="shared" si="11"/>
        <v>0</v>
      </c>
      <c r="Z529" s="2">
        <f>IF(AND(ISNUMBER(资金流水!$B$529),资金流水!$B$529&gt;=$C$4,资金流水!$B$529&lt;=$E$4,OR(资金流水!$C$529=$C$3,AND(资金流水!$AD$529=$C$3,资金流水!$X$529="账户互转"))),INT(资金流水!$B$529)*10000+524,"")</f>
      </c>
    </row>
    <row r="530">
      <c r="A530" s="94">
        <f>IF($N530=0,"",523)</f>
      </c>
      <c r="B530" s="95">
        <f t="shared" si="6"/>
      </c>
      <c r="C530" s="96">
        <f t="shared" si="1"/>
      </c>
      <c r="D530" s="21">
        <f t="shared" si="7"/>
      </c>
      <c r="E530" s="21">
        <f t="shared" si="2"/>
      </c>
      <c r="F530" s="48">
        <f t="shared" si="8"/>
      </c>
      <c r="G530" s="94">
        <f t="shared" si="9"/>
      </c>
      <c r="H530" s="94">
        <f t="shared" si="3"/>
      </c>
      <c r="I530" s="96">
        <f t="shared" si="0"/>
      </c>
      <c r="J530" s="94">
        <f t="shared" si="4"/>
      </c>
      <c r="K530" s="94">
        <f t="shared" si="10"/>
      </c>
      <c r="L530" s="96">
        <f t="shared" si="5"/>
      </c>
      <c r="N530" s="2">
        <f>IF(523&gt;$Z$5,0,MOD(SMALL($Z$6:$Z$2005,523),10000))</f>
        <v>0</v>
      </c>
      <c r="O530" s="2">
        <f t="shared" si="11"/>
        <v>0</v>
      </c>
      <c r="Z530" s="2">
        <f>IF(AND(ISNUMBER(资金流水!$B$530),资金流水!$B$530&gt;=$C$4,资金流水!$B$530&lt;=$E$4,OR(资金流水!$C$530=$C$3,AND(资金流水!$AD$530=$C$3,资金流水!$X$530="账户互转"))),INT(资金流水!$B$530)*10000+525,"")</f>
      </c>
    </row>
    <row r="531">
      <c r="A531" s="94">
        <f>IF($N531=0,"",524)</f>
      </c>
      <c r="B531" s="95">
        <f t="shared" si="6"/>
      </c>
      <c r="C531" s="96">
        <f t="shared" si="1"/>
      </c>
      <c r="D531" s="21">
        <f t="shared" si="7"/>
      </c>
      <c r="E531" s="21">
        <f t="shared" si="2"/>
      </c>
      <c r="F531" s="48">
        <f t="shared" si="8"/>
      </c>
      <c r="G531" s="94">
        <f t="shared" si="9"/>
      </c>
      <c r="H531" s="94">
        <f t="shared" si="3"/>
      </c>
      <c r="I531" s="96">
        <f t="shared" si="0"/>
      </c>
      <c r="J531" s="94">
        <f t="shared" si="4"/>
      </c>
      <c r="K531" s="94">
        <f t="shared" si="10"/>
      </c>
      <c r="L531" s="96">
        <f t="shared" si="5"/>
      </c>
      <c r="N531" s="2">
        <f>IF(524&gt;$Z$5,0,MOD(SMALL($Z$6:$Z$2005,524),10000))</f>
        <v>0</v>
      </c>
      <c r="O531" s="2">
        <f t="shared" si="11"/>
        <v>0</v>
      </c>
      <c r="Z531" s="2">
        <f>IF(AND(ISNUMBER(资金流水!$B$531),资金流水!$B$531&gt;=$C$4,资金流水!$B$531&lt;=$E$4,OR(资金流水!$C$531=$C$3,AND(资金流水!$AD$531=$C$3,资金流水!$X$531="账户互转"))),INT(资金流水!$B$531)*10000+526,"")</f>
      </c>
    </row>
    <row r="532">
      <c r="A532" s="94">
        <f>IF($N532=0,"",525)</f>
      </c>
      <c r="B532" s="95">
        <f t="shared" si="6"/>
      </c>
      <c r="C532" s="96">
        <f t="shared" si="1"/>
      </c>
      <c r="D532" s="21">
        <f t="shared" si="7"/>
      </c>
      <c r="E532" s="21">
        <f t="shared" si="2"/>
      </c>
      <c r="F532" s="48">
        <f t="shared" si="8"/>
      </c>
      <c r="G532" s="94">
        <f t="shared" si="9"/>
      </c>
      <c r="H532" s="94">
        <f t="shared" si="3"/>
      </c>
      <c r="I532" s="96">
        <f t="shared" si="0"/>
      </c>
      <c r="J532" s="94">
        <f t="shared" si="4"/>
      </c>
      <c r="K532" s="94">
        <f t="shared" si="10"/>
      </c>
      <c r="L532" s="96">
        <f t="shared" si="5"/>
      </c>
      <c r="N532" s="2">
        <f>IF(525&gt;$Z$5,0,MOD(SMALL($Z$6:$Z$2005,525),10000))</f>
        <v>0</v>
      </c>
      <c r="O532" s="2">
        <f t="shared" si="11"/>
        <v>0</v>
      </c>
      <c r="Z532" s="2">
        <f>IF(AND(ISNUMBER(资金流水!$B$532),资金流水!$B$532&gt;=$C$4,资金流水!$B$532&lt;=$E$4,OR(资金流水!$C$532=$C$3,AND(资金流水!$AD$532=$C$3,资金流水!$X$532="账户互转"))),INT(资金流水!$B$532)*10000+527,"")</f>
      </c>
    </row>
    <row r="533">
      <c r="A533" s="94">
        <f>IF($N533=0,"",526)</f>
      </c>
      <c r="B533" s="95">
        <f t="shared" si="6"/>
      </c>
      <c r="C533" s="96">
        <f t="shared" si="1"/>
      </c>
      <c r="D533" s="21">
        <f t="shared" si="7"/>
      </c>
      <c r="E533" s="21">
        <f t="shared" si="2"/>
      </c>
      <c r="F533" s="48">
        <f t="shared" si="8"/>
      </c>
      <c r="G533" s="94">
        <f t="shared" si="9"/>
      </c>
      <c r="H533" s="94">
        <f t="shared" si="3"/>
      </c>
      <c r="I533" s="96">
        <f t="shared" si="0"/>
      </c>
      <c r="J533" s="94">
        <f t="shared" si="4"/>
      </c>
      <c r="K533" s="94">
        <f t="shared" si="10"/>
      </c>
      <c r="L533" s="96">
        <f t="shared" si="5"/>
      </c>
      <c r="N533" s="2">
        <f>IF(526&gt;$Z$5,0,MOD(SMALL($Z$6:$Z$2005,526),10000))</f>
        <v>0</v>
      </c>
      <c r="O533" s="2">
        <f t="shared" si="11"/>
        <v>0</v>
      </c>
      <c r="Z533" s="2">
        <f>IF(AND(ISNUMBER(资金流水!$B$533),资金流水!$B$533&gt;=$C$4,资金流水!$B$533&lt;=$E$4,OR(资金流水!$C$533=$C$3,AND(资金流水!$AD$533=$C$3,资金流水!$X$533="账户互转"))),INT(资金流水!$B$533)*10000+528,"")</f>
      </c>
    </row>
    <row r="534">
      <c r="A534" s="94">
        <f>IF($N534=0,"",527)</f>
      </c>
      <c r="B534" s="95">
        <f t="shared" si="6"/>
      </c>
      <c r="C534" s="96">
        <f t="shared" si="1"/>
      </c>
      <c r="D534" s="21">
        <f t="shared" si="7"/>
      </c>
      <c r="E534" s="21">
        <f t="shared" si="2"/>
      </c>
      <c r="F534" s="48">
        <f t="shared" si="8"/>
      </c>
      <c r="G534" s="94">
        <f t="shared" si="9"/>
      </c>
      <c r="H534" s="94">
        <f t="shared" si="3"/>
      </c>
      <c r="I534" s="96">
        <f t="shared" si="0"/>
      </c>
      <c r="J534" s="94">
        <f t="shared" si="4"/>
      </c>
      <c r="K534" s="94">
        <f t="shared" si="10"/>
      </c>
      <c r="L534" s="96">
        <f t="shared" si="5"/>
      </c>
      <c r="N534" s="2">
        <f>IF(527&gt;$Z$5,0,MOD(SMALL($Z$6:$Z$2005,527),10000))</f>
        <v>0</v>
      </c>
      <c r="O534" s="2">
        <f t="shared" si="11"/>
        <v>0</v>
      </c>
      <c r="Z534" s="2">
        <f>IF(AND(ISNUMBER(资金流水!$B$534),资金流水!$B$534&gt;=$C$4,资金流水!$B$534&lt;=$E$4,OR(资金流水!$C$534=$C$3,AND(资金流水!$AD$534=$C$3,资金流水!$X$534="账户互转"))),INT(资金流水!$B$534)*10000+529,"")</f>
      </c>
    </row>
    <row r="535">
      <c r="A535" s="94">
        <f>IF($N535=0,"",528)</f>
      </c>
      <c r="B535" s="95">
        <f t="shared" si="6"/>
      </c>
      <c r="C535" s="96">
        <f t="shared" si="1"/>
      </c>
      <c r="D535" s="21">
        <f t="shared" si="7"/>
      </c>
      <c r="E535" s="21">
        <f t="shared" si="2"/>
      </c>
      <c r="F535" s="48">
        <f t="shared" si="8"/>
      </c>
      <c r="G535" s="94">
        <f t="shared" si="9"/>
      </c>
      <c r="H535" s="94">
        <f t="shared" si="3"/>
      </c>
      <c r="I535" s="96">
        <f t="shared" si="0"/>
      </c>
      <c r="J535" s="94">
        <f t="shared" si="4"/>
      </c>
      <c r="K535" s="94">
        <f t="shared" si="10"/>
      </c>
      <c r="L535" s="96">
        <f t="shared" si="5"/>
      </c>
      <c r="N535" s="2">
        <f>IF(528&gt;$Z$5,0,MOD(SMALL($Z$6:$Z$2005,528),10000))</f>
        <v>0</v>
      </c>
      <c r="O535" s="2">
        <f t="shared" si="11"/>
        <v>0</v>
      </c>
      <c r="Z535" s="2">
        <f>IF(AND(ISNUMBER(资金流水!$B$535),资金流水!$B$535&gt;=$C$4,资金流水!$B$535&lt;=$E$4,OR(资金流水!$C$535=$C$3,AND(资金流水!$AD$535=$C$3,资金流水!$X$535="账户互转"))),INT(资金流水!$B$535)*10000+530,"")</f>
      </c>
    </row>
    <row r="536">
      <c r="A536" s="94">
        <f>IF($N536=0,"",529)</f>
      </c>
      <c r="B536" s="95">
        <f t="shared" si="6"/>
      </c>
      <c r="C536" s="96">
        <f t="shared" si="1"/>
      </c>
      <c r="D536" s="21">
        <f t="shared" si="7"/>
      </c>
      <c r="E536" s="21">
        <f t="shared" si="2"/>
      </c>
      <c r="F536" s="48">
        <f t="shared" si="8"/>
      </c>
      <c r="G536" s="94">
        <f t="shared" si="9"/>
      </c>
      <c r="H536" s="94">
        <f t="shared" si="3"/>
      </c>
      <c r="I536" s="96">
        <f t="shared" si="0"/>
      </c>
      <c r="J536" s="94">
        <f t="shared" si="4"/>
      </c>
      <c r="K536" s="94">
        <f t="shared" si="10"/>
      </c>
      <c r="L536" s="96">
        <f t="shared" si="5"/>
      </c>
      <c r="N536" s="2">
        <f>IF(529&gt;$Z$5,0,MOD(SMALL($Z$6:$Z$2005,529),10000))</f>
        <v>0</v>
      </c>
      <c r="O536" s="2">
        <f t="shared" si="11"/>
        <v>0</v>
      </c>
      <c r="Z536" s="2">
        <f>IF(AND(ISNUMBER(资金流水!$B$536),资金流水!$B$536&gt;=$C$4,资金流水!$B$536&lt;=$E$4,OR(资金流水!$C$536=$C$3,AND(资金流水!$AD$536=$C$3,资金流水!$X$536="账户互转"))),INT(资金流水!$B$536)*10000+531,"")</f>
      </c>
    </row>
    <row r="537">
      <c r="A537" s="94">
        <f>IF($N537=0,"",530)</f>
      </c>
      <c r="B537" s="95">
        <f t="shared" si="6"/>
      </c>
      <c r="C537" s="96">
        <f t="shared" si="1"/>
      </c>
      <c r="D537" s="21">
        <f t="shared" si="7"/>
      </c>
      <c r="E537" s="21">
        <f t="shared" si="2"/>
      </c>
      <c r="F537" s="48">
        <f t="shared" si="8"/>
      </c>
      <c r="G537" s="94">
        <f t="shared" si="9"/>
      </c>
      <c r="H537" s="94">
        <f t="shared" si="3"/>
      </c>
      <c r="I537" s="96">
        <f t="shared" si="0"/>
      </c>
      <c r="J537" s="94">
        <f t="shared" si="4"/>
      </c>
      <c r="K537" s="94">
        <f t="shared" si="10"/>
      </c>
      <c r="L537" s="96">
        <f t="shared" si="5"/>
      </c>
      <c r="N537" s="2">
        <f>IF(530&gt;$Z$5,0,MOD(SMALL($Z$6:$Z$2005,530),10000))</f>
        <v>0</v>
      </c>
      <c r="O537" s="2">
        <f t="shared" si="11"/>
        <v>0</v>
      </c>
      <c r="Z537" s="2">
        <f>IF(AND(ISNUMBER(资金流水!$B$537),资金流水!$B$537&gt;=$C$4,资金流水!$B$537&lt;=$E$4,OR(资金流水!$C$537=$C$3,AND(资金流水!$AD$537=$C$3,资金流水!$X$537="账户互转"))),INT(资金流水!$B$537)*10000+532,"")</f>
      </c>
    </row>
    <row r="538">
      <c r="A538" s="94">
        <f>IF($N538=0,"",531)</f>
      </c>
      <c r="B538" s="95">
        <f t="shared" si="6"/>
      </c>
      <c r="C538" s="96">
        <f t="shared" si="1"/>
      </c>
      <c r="D538" s="21">
        <f t="shared" si="7"/>
      </c>
      <c r="E538" s="21">
        <f t="shared" si="2"/>
      </c>
      <c r="F538" s="48">
        <f t="shared" si="8"/>
      </c>
      <c r="G538" s="94">
        <f t="shared" si="9"/>
      </c>
      <c r="H538" s="94">
        <f t="shared" si="3"/>
      </c>
      <c r="I538" s="96">
        <f t="shared" si="0"/>
      </c>
      <c r="J538" s="94">
        <f t="shared" si="4"/>
      </c>
      <c r="K538" s="94">
        <f t="shared" si="10"/>
      </c>
      <c r="L538" s="96">
        <f t="shared" si="5"/>
      </c>
      <c r="N538" s="2">
        <f>IF(531&gt;$Z$5,0,MOD(SMALL($Z$6:$Z$2005,531),10000))</f>
        <v>0</v>
      </c>
      <c r="O538" s="2">
        <f t="shared" si="11"/>
        <v>0</v>
      </c>
      <c r="Z538" s="2">
        <f>IF(AND(ISNUMBER(资金流水!$B$538),资金流水!$B$538&gt;=$C$4,资金流水!$B$538&lt;=$E$4,OR(资金流水!$C$538=$C$3,AND(资金流水!$AD$538=$C$3,资金流水!$X$538="账户互转"))),INT(资金流水!$B$538)*10000+533,"")</f>
      </c>
    </row>
    <row r="539">
      <c r="A539" s="94">
        <f>IF($N539=0,"",532)</f>
      </c>
      <c r="B539" s="95">
        <f t="shared" si="6"/>
      </c>
      <c r="C539" s="96">
        <f t="shared" si="1"/>
      </c>
      <c r="D539" s="21">
        <f t="shared" si="7"/>
      </c>
      <c r="E539" s="21">
        <f t="shared" si="2"/>
      </c>
      <c r="F539" s="48">
        <f t="shared" si="8"/>
      </c>
      <c r="G539" s="94">
        <f t="shared" si="9"/>
      </c>
      <c r="H539" s="94">
        <f t="shared" si="3"/>
      </c>
      <c r="I539" s="96">
        <f t="shared" si="0"/>
      </c>
      <c r="J539" s="94">
        <f t="shared" si="4"/>
      </c>
      <c r="K539" s="94">
        <f t="shared" si="10"/>
      </c>
      <c r="L539" s="96">
        <f t="shared" si="5"/>
      </c>
      <c r="N539" s="2">
        <f>IF(532&gt;$Z$5,0,MOD(SMALL($Z$6:$Z$2005,532),10000))</f>
        <v>0</v>
      </c>
      <c r="O539" s="2">
        <f t="shared" si="11"/>
        <v>0</v>
      </c>
      <c r="Z539" s="2">
        <f>IF(AND(ISNUMBER(资金流水!$B$539),资金流水!$B$539&gt;=$C$4,资金流水!$B$539&lt;=$E$4,OR(资金流水!$C$539=$C$3,AND(资金流水!$AD$539=$C$3,资金流水!$X$539="账户互转"))),INT(资金流水!$B$539)*10000+534,"")</f>
      </c>
    </row>
    <row r="540">
      <c r="A540" s="94">
        <f>IF($N540=0,"",533)</f>
      </c>
      <c r="B540" s="95">
        <f t="shared" si="6"/>
      </c>
      <c r="C540" s="96">
        <f t="shared" si="1"/>
      </c>
      <c r="D540" s="21">
        <f t="shared" si="7"/>
      </c>
      <c r="E540" s="21">
        <f t="shared" si="2"/>
      </c>
      <c r="F540" s="48">
        <f t="shared" si="8"/>
      </c>
      <c r="G540" s="94">
        <f t="shared" si="9"/>
      </c>
      <c r="H540" s="94">
        <f t="shared" si="3"/>
      </c>
      <c r="I540" s="96">
        <f t="shared" si="0"/>
      </c>
      <c r="J540" s="94">
        <f t="shared" si="4"/>
      </c>
      <c r="K540" s="94">
        <f t="shared" si="10"/>
      </c>
      <c r="L540" s="96">
        <f t="shared" si="5"/>
      </c>
      <c r="N540" s="2">
        <f>IF(533&gt;$Z$5,0,MOD(SMALL($Z$6:$Z$2005,533),10000))</f>
        <v>0</v>
      </c>
      <c r="O540" s="2">
        <f t="shared" si="11"/>
        <v>0</v>
      </c>
      <c r="Z540" s="2">
        <f>IF(AND(ISNUMBER(资金流水!$B$540),资金流水!$B$540&gt;=$C$4,资金流水!$B$540&lt;=$E$4,OR(资金流水!$C$540=$C$3,AND(资金流水!$AD$540=$C$3,资金流水!$X$540="账户互转"))),INT(资金流水!$B$540)*10000+535,"")</f>
      </c>
    </row>
    <row r="541">
      <c r="A541" s="94">
        <f>IF($N541=0,"",534)</f>
      </c>
      <c r="B541" s="95">
        <f t="shared" si="6"/>
      </c>
      <c r="C541" s="96">
        <f t="shared" si="1"/>
      </c>
      <c r="D541" s="21">
        <f t="shared" si="7"/>
      </c>
      <c r="E541" s="21">
        <f t="shared" si="2"/>
      </c>
      <c r="F541" s="48">
        <f t="shared" si="8"/>
      </c>
      <c r="G541" s="94">
        <f t="shared" si="9"/>
      </c>
      <c r="H541" s="94">
        <f t="shared" si="3"/>
      </c>
      <c r="I541" s="96">
        <f t="shared" si="0"/>
      </c>
      <c r="J541" s="94">
        <f t="shared" si="4"/>
      </c>
      <c r="K541" s="94">
        <f t="shared" si="10"/>
      </c>
      <c r="L541" s="96">
        <f t="shared" si="5"/>
      </c>
      <c r="N541" s="2">
        <f>IF(534&gt;$Z$5,0,MOD(SMALL($Z$6:$Z$2005,534),10000))</f>
        <v>0</v>
      </c>
      <c r="O541" s="2">
        <f t="shared" si="11"/>
        <v>0</v>
      </c>
      <c r="Z541" s="2">
        <f>IF(AND(ISNUMBER(资金流水!$B$541),资金流水!$B$541&gt;=$C$4,资金流水!$B$541&lt;=$E$4,OR(资金流水!$C$541=$C$3,AND(资金流水!$AD$541=$C$3,资金流水!$X$541="账户互转"))),INT(资金流水!$B$541)*10000+536,"")</f>
      </c>
    </row>
    <row r="542">
      <c r="A542" s="94">
        <f>IF($N542=0,"",535)</f>
      </c>
      <c r="B542" s="95">
        <f t="shared" si="6"/>
      </c>
      <c r="C542" s="96">
        <f t="shared" si="1"/>
      </c>
      <c r="D542" s="21">
        <f t="shared" si="7"/>
      </c>
      <c r="E542" s="21">
        <f t="shared" si="2"/>
      </c>
      <c r="F542" s="48">
        <f t="shared" si="8"/>
      </c>
      <c r="G542" s="94">
        <f t="shared" si="9"/>
      </c>
      <c r="H542" s="94">
        <f t="shared" si="3"/>
      </c>
      <c r="I542" s="96">
        <f t="shared" si="0"/>
      </c>
      <c r="J542" s="94">
        <f t="shared" si="4"/>
      </c>
      <c r="K542" s="94">
        <f t="shared" si="10"/>
      </c>
      <c r="L542" s="96">
        <f t="shared" si="5"/>
      </c>
      <c r="N542" s="2">
        <f>IF(535&gt;$Z$5,0,MOD(SMALL($Z$6:$Z$2005,535),10000))</f>
        <v>0</v>
      </c>
      <c r="O542" s="2">
        <f t="shared" si="11"/>
        <v>0</v>
      </c>
      <c r="Z542" s="2">
        <f>IF(AND(ISNUMBER(资金流水!$B$542),资金流水!$B$542&gt;=$C$4,资金流水!$B$542&lt;=$E$4,OR(资金流水!$C$542=$C$3,AND(资金流水!$AD$542=$C$3,资金流水!$X$542="账户互转"))),INT(资金流水!$B$542)*10000+537,"")</f>
      </c>
    </row>
    <row r="543">
      <c r="A543" s="94">
        <f>IF($N543=0,"",536)</f>
      </c>
      <c r="B543" s="95">
        <f t="shared" si="6"/>
      </c>
      <c r="C543" s="96">
        <f t="shared" si="1"/>
      </c>
      <c r="D543" s="21">
        <f t="shared" si="7"/>
      </c>
      <c r="E543" s="21">
        <f t="shared" si="2"/>
      </c>
      <c r="F543" s="48">
        <f t="shared" si="8"/>
      </c>
      <c r="G543" s="94">
        <f t="shared" si="9"/>
      </c>
      <c r="H543" s="94">
        <f t="shared" si="3"/>
      </c>
      <c r="I543" s="96">
        <f t="shared" si="0"/>
      </c>
      <c r="J543" s="94">
        <f t="shared" si="4"/>
      </c>
      <c r="K543" s="94">
        <f t="shared" si="10"/>
      </c>
      <c r="L543" s="96">
        <f t="shared" si="5"/>
      </c>
      <c r="N543" s="2">
        <f>IF(536&gt;$Z$5,0,MOD(SMALL($Z$6:$Z$2005,536),10000))</f>
        <v>0</v>
      </c>
      <c r="O543" s="2">
        <f t="shared" si="11"/>
        <v>0</v>
      </c>
      <c r="Z543" s="2">
        <f>IF(AND(ISNUMBER(资金流水!$B$543),资金流水!$B$543&gt;=$C$4,资金流水!$B$543&lt;=$E$4,OR(资金流水!$C$543=$C$3,AND(资金流水!$AD$543=$C$3,资金流水!$X$543="账户互转"))),INT(资金流水!$B$543)*10000+538,"")</f>
      </c>
    </row>
    <row r="544">
      <c r="A544" s="94">
        <f>IF($N544=0,"",537)</f>
      </c>
      <c r="B544" s="95">
        <f t="shared" si="6"/>
      </c>
      <c r="C544" s="96">
        <f t="shared" si="1"/>
      </c>
      <c r="D544" s="21">
        <f t="shared" si="7"/>
      </c>
      <c r="E544" s="21">
        <f t="shared" si="2"/>
      </c>
      <c r="F544" s="48">
        <f t="shared" si="8"/>
      </c>
      <c r="G544" s="94">
        <f t="shared" si="9"/>
      </c>
      <c r="H544" s="94">
        <f t="shared" si="3"/>
      </c>
      <c r="I544" s="96">
        <f t="shared" si="0"/>
      </c>
      <c r="J544" s="94">
        <f t="shared" si="4"/>
      </c>
      <c r="K544" s="94">
        <f t="shared" si="10"/>
      </c>
      <c r="L544" s="96">
        <f t="shared" si="5"/>
      </c>
      <c r="N544" s="2">
        <f>IF(537&gt;$Z$5,0,MOD(SMALL($Z$6:$Z$2005,537),10000))</f>
        <v>0</v>
      </c>
      <c r="O544" s="2">
        <f t="shared" si="11"/>
        <v>0</v>
      </c>
      <c r="Z544" s="2">
        <f>IF(AND(ISNUMBER(资金流水!$B$544),资金流水!$B$544&gt;=$C$4,资金流水!$B$544&lt;=$E$4,OR(资金流水!$C$544=$C$3,AND(资金流水!$AD$544=$C$3,资金流水!$X$544="账户互转"))),INT(资金流水!$B$544)*10000+539,"")</f>
      </c>
    </row>
    <row r="545">
      <c r="A545" s="94">
        <f>IF($N545=0,"",538)</f>
      </c>
      <c r="B545" s="95">
        <f t="shared" si="6"/>
      </c>
      <c r="C545" s="96">
        <f t="shared" si="1"/>
      </c>
      <c r="D545" s="21">
        <f t="shared" si="7"/>
      </c>
      <c r="E545" s="21">
        <f t="shared" si="2"/>
      </c>
      <c r="F545" s="48">
        <f t="shared" si="8"/>
      </c>
      <c r="G545" s="94">
        <f t="shared" si="9"/>
      </c>
      <c r="H545" s="94">
        <f t="shared" si="3"/>
      </c>
      <c r="I545" s="96">
        <f t="shared" si="0"/>
      </c>
      <c r="J545" s="94">
        <f t="shared" si="4"/>
      </c>
      <c r="K545" s="94">
        <f t="shared" si="10"/>
      </c>
      <c r="L545" s="96">
        <f t="shared" si="5"/>
      </c>
      <c r="N545" s="2">
        <f>IF(538&gt;$Z$5,0,MOD(SMALL($Z$6:$Z$2005,538),10000))</f>
        <v>0</v>
      </c>
      <c r="O545" s="2">
        <f t="shared" si="11"/>
        <v>0</v>
      </c>
      <c r="Z545" s="2">
        <f>IF(AND(ISNUMBER(资金流水!$B$545),资金流水!$B$545&gt;=$C$4,资金流水!$B$545&lt;=$E$4,OR(资金流水!$C$545=$C$3,AND(资金流水!$AD$545=$C$3,资金流水!$X$545="账户互转"))),INT(资金流水!$B$545)*10000+540,"")</f>
      </c>
    </row>
    <row r="546">
      <c r="A546" s="94">
        <f>IF($N546=0,"",539)</f>
      </c>
      <c r="B546" s="95">
        <f t="shared" si="6"/>
      </c>
      <c r="C546" s="96">
        <f t="shared" si="1"/>
      </c>
      <c r="D546" s="21">
        <f t="shared" si="7"/>
      </c>
      <c r="E546" s="21">
        <f t="shared" si="2"/>
      </c>
      <c r="F546" s="48">
        <f t="shared" si="8"/>
      </c>
      <c r="G546" s="94">
        <f t="shared" si="9"/>
      </c>
      <c r="H546" s="94">
        <f t="shared" si="3"/>
      </c>
      <c r="I546" s="96">
        <f t="shared" si="0"/>
      </c>
      <c r="J546" s="94">
        <f t="shared" si="4"/>
      </c>
      <c r="K546" s="94">
        <f t="shared" si="10"/>
      </c>
      <c r="L546" s="96">
        <f t="shared" si="5"/>
      </c>
      <c r="N546" s="2">
        <f>IF(539&gt;$Z$5,0,MOD(SMALL($Z$6:$Z$2005,539),10000))</f>
        <v>0</v>
      </c>
      <c r="O546" s="2">
        <f t="shared" si="11"/>
        <v>0</v>
      </c>
      <c r="Z546" s="2">
        <f>IF(AND(ISNUMBER(资金流水!$B$546),资金流水!$B$546&gt;=$C$4,资金流水!$B$546&lt;=$E$4,OR(资金流水!$C$546=$C$3,AND(资金流水!$AD$546=$C$3,资金流水!$X$546="账户互转"))),INT(资金流水!$B$546)*10000+541,"")</f>
      </c>
    </row>
    <row r="547">
      <c r="A547" s="94">
        <f>IF($N547=0,"",540)</f>
      </c>
      <c r="B547" s="95">
        <f t="shared" si="6"/>
      </c>
      <c r="C547" s="96">
        <f t="shared" si="1"/>
      </c>
      <c r="D547" s="21">
        <f t="shared" si="7"/>
      </c>
      <c r="E547" s="21">
        <f t="shared" si="2"/>
      </c>
      <c r="F547" s="48">
        <f t="shared" si="8"/>
      </c>
      <c r="G547" s="94">
        <f t="shared" si="9"/>
      </c>
      <c r="H547" s="94">
        <f t="shared" si="3"/>
      </c>
      <c r="I547" s="96">
        <f t="shared" si="0"/>
      </c>
      <c r="J547" s="94">
        <f t="shared" si="4"/>
      </c>
      <c r="K547" s="94">
        <f t="shared" si="10"/>
      </c>
      <c r="L547" s="96">
        <f t="shared" si="5"/>
      </c>
      <c r="N547" s="2">
        <f>IF(540&gt;$Z$5,0,MOD(SMALL($Z$6:$Z$2005,540),10000))</f>
        <v>0</v>
      </c>
      <c r="O547" s="2">
        <f t="shared" si="11"/>
        <v>0</v>
      </c>
      <c r="Z547" s="2">
        <f>IF(AND(ISNUMBER(资金流水!$B$547),资金流水!$B$547&gt;=$C$4,资金流水!$B$547&lt;=$E$4,OR(资金流水!$C$547=$C$3,AND(资金流水!$AD$547=$C$3,资金流水!$X$547="账户互转"))),INT(资金流水!$B$547)*10000+542,"")</f>
      </c>
    </row>
    <row r="548">
      <c r="A548" s="94">
        <f>IF($N548=0,"",541)</f>
      </c>
      <c r="B548" s="95">
        <f t="shared" si="6"/>
      </c>
      <c r="C548" s="96">
        <f t="shared" si="1"/>
      </c>
      <c r="D548" s="21">
        <f t="shared" si="7"/>
      </c>
      <c r="E548" s="21">
        <f t="shared" si="2"/>
      </c>
      <c r="F548" s="48">
        <f t="shared" si="8"/>
      </c>
      <c r="G548" s="94">
        <f t="shared" si="9"/>
      </c>
      <c r="H548" s="94">
        <f t="shared" si="3"/>
      </c>
      <c r="I548" s="96">
        <f t="shared" si="0"/>
      </c>
      <c r="J548" s="94">
        <f t="shared" si="4"/>
      </c>
      <c r="K548" s="94">
        <f t="shared" si="10"/>
      </c>
      <c r="L548" s="96">
        <f t="shared" si="5"/>
      </c>
      <c r="N548" s="2">
        <f>IF(541&gt;$Z$5,0,MOD(SMALL($Z$6:$Z$2005,541),10000))</f>
        <v>0</v>
      </c>
      <c r="O548" s="2">
        <f t="shared" si="11"/>
        <v>0</v>
      </c>
      <c r="Z548" s="2">
        <f>IF(AND(ISNUMBER(资金流水!$B$548),资金流水!$B$548&gt;=$C$4,资金流水!$B$548&lt;=$E$4,OR(资金流水!$C$548=$C$3,AND(资金流水!$AD$548=$C$3,资金流水!$X$548="账户互转"))),INT(资金流水!$B$548)*10000+543,"")</f>
      </c>
    </row>
    <row r="549">
      <c r="A549" s="94">
        <f>IF($N549=0,"",542)</f>
      </c>
      <c r="B549" s="95">
        <f t="shared" si="6"/>
      </c>
      <c r="C549" s="96">
        <f t="shared" si="1"/>
      </c>
      <c r="D549" s="21">
        <f t="shared" si="7"/>
      </c>
      <c r="E549" s="21">
        <f t="shared" si="2"/>
      </c>
      <c r="F549" s="48">
        <f t="shared" si="8"/>
      </c>
      <c r="G549" s="94">
        <f t="shared" si="9"/>
      </c>
      <c r="H549" s="94">
        <f t="shared" si="3"/>
      </c>
      <c r="I549" s="96">
        <f t="shared" si="0"/>
      </c>
      <c r="J549" s="94">
        <f t="shared" si="4"/>
      </c>
      <c r="K549" s="94">
        <f t="shared" si="10"/>
      </c>
      <c r="L549" s="96">
        <f t="shared" si="5"/>
      </c>
      <c r="N549" s="2">
        <f>IF(542&gt;$Z$5,0,MOD(SMALL($Z$6:$Z$2005,542),10000))</f>
        <v>0</v>
      </c>
      <c r="O549" s="2">
        <f t="shared" si="11"/>
        <v>0</v>
      </c>
      <c r="Z549" s="2">
        <f>IF(AND(ISNUMBER(资金流水!$B$549),资金流水!$B$549&gt;=$C$4,资金流水!$B$549&lt;=$E$4,OR(资金流水!$C$549=$C$3,AND(资金流水!$AD$549=$C$3,资金流水!$X$549="账户互转"))),INT(资金流水!$B$549)*10000+544,"")</f>
      </c>
    </row>
    <row r="550">
      <c r="A550" s="94">
        <f>IF($N550=0,"",543)</f>
      </c>
      <c r="B550" s="95">
        <f t="shared" si="6"/>
      </c>
      <c r="C550" s="96">
        <f t="shared" si="1"/>
      </c>
      <c r="D550" s="21">
        <f t="shared" si="7"/>
      </c>
      <c r="E550" s="21">
        <f t="shared" si="2"/>
      </c>
      <c r="F550" s="48">
        <f t="shared" si="8"/>
      </c>
      <c r="G550" s="94">
        <f t="shared" si="9"/>
      </c>
      <c r="H550" s="94">
        <f t="shared" si="3"/>
      </c>
      <c r="I550" s="96">
        <f t="shared" si="0"/>
      </c>
      <c r="J550" s="94">
        <f t="shared" si="4"/>
      </c>
      <c r="K550" s="94">
        <f t="shared" si="10"/>
      </c>
      <c r="L550" s="96">
        <f t="shared" si="5"/>
      </c>
      <c r="N550" s="2">
        <f>IF(543&gt;$Z$5,0,MOD(SMALL($Z$6:$Z$2005,543),10000))</f>
        <v>0</v>
      </c>
      <c r="O550" s="2">
        <f t="shared" si="11"/>
        <v>0</v>
      </c>
      <c r="Z550" s="2">
        <f>IF(AND(ISNUMBER(资金流水!$B$550),资金流水!$B$550&gt;=$C$4,资金流水!$B$550&lt;=$E$4,OR(资金流水!$C$550=$C$3,AND(资金流水!$AD$550=$C$3,资金流水!$X$550="账户互转"))),INT(资金流水!$B$550)*10000+545,"")</f>
      </c>
    </row>
    <row r="551">
      <c r="A551" s="94">
        <f>IF($N551=0,"",544)</f>
      </c>
      <c r="B551" s="95">
        <f t="shared" si="6"/>
      </c>
      <c r="C551" s="96">
        <f t="shared" si="1"/>
      </c>
      <c r="D551" s="21">
        <f t="shared" si="7"/>
      </c>
      <c r="E551" s="21">
        <f t="shared" si="2"/>
      </c>
      <c r="F551" s="48">
        <f t="shared" si="8"/>
      </c>
      <c r="G551" s="94">
        <f t="shared" si="9"/>
      </c>
      <c r="H551" s="94">
        <f t="shared" si="3"/>
      </c>
      <c r="I551" s="96">
        <f t="shared" si="0"/>
      </c>
      <c r="J551" s="94">
        <f t="shared" si="4"/>
      </c>
      <c r="K551" s="94">
        <f t="shared" si="10"/>
      </c>
      <c r="L551" s="96">
        <f t="shared" si="5"/>
      </c>
      <c r="N551" s="2">
        <f>IF(544&gt;$Z$5,0,MOD(SMALL($Z$6:$Z$2005,544),10000))</f>
        <v>0</v>
      </c>
      <c r="O551" s="2">
        <f t="shared" si="11"/>
        <v>0</v>
      </c>
      <c r="Z551" s="2">
        <f>IF(AND(ISNUMBER(资金流水!$B$551),资金流水!$B$551&gt;=$C$4,资金流水!$B$551&lt;=$E$4,OR(资金流水!$C$551=$C$3,AND(资金流水!$AD$551=$C$3,资金流水!$X$551="账户互转"))),INT(资金流水!$B$551)*10000+546,"")</f>
      </c>
    </row>
    <row r="552">
      <c r="A552" s="94">
        <f>IF($N552=0,"",545)</f>
      </c>
      <c r="B552" s="95">
        <f t="shared" si="6"/>
      </c>
      <c r="C552" s="96">
        <f t="shared" si="1"/>
      </c>
      <c r="D552" s="21">
        <f t="shared" si="7"/>
      </c>
      <c r="E552" s="21">
        <f t="shared" si="2"/>
      </c>
      <c r="F552" s="48">
        <f t="shared" si="8"/>
      </c>
      <c r="G552" s="94">
        <f t="shared" si="9"/>
      </c>
      <c r="H552" s="94">
        <f t="shared" si="3"/>
      </c>
      <c r="I552" s="96">
        <f t="shared" si="0"/>
      </c>
      <c r="J552" s="94">
        <f t="shared" si="4"/>
      </c>
      <c r="K552" s="94">
        <f t="shared" si="10"/>
      </c>
      <c r="L552" s="96">
        <f t="shared" si="5"/>
      </c>
      <c r="N552" s="2">
        <f>IF(545&gt;$Z$5,0,MOD(SMALL($Z$6:$Z$2005,545),10000))</f>
        <v>0</v>
      </c>
      <c r="O552" s="2">
        <f t="shared" si="11"/>
        <v>0</v>
      </c>
      <c r="Z552" s="2">
        <f>IF(AND(ISNUMBER(资金流水!$B$552),资金流水!$B$552&gt;=$C$4,资金流水!$B$552&lt;=$E$4,OR(资金流水!$C$552=$C$3,AND(资金流水!$AD$552=$C$3,资金流水!$X$552="账户互转"))),INT(资金流水!$B$552)*10000+547,"")</f>
      </c>
    </row>
    <row r="553">
      <c r="A553" s="94">
        <f>IF($N553=0,"",546)</f>
      </c>
      <c r="B553" s="95">
        <f t="shared" si="6"/>
      </c>
      <c r="C553" s="96">
        <f t="shared" si="1"/>
      </c>
      <c r="D553" s="21">
        <f t="shared" si="7"/>
      </c>
      <c r="E553" s="21">
        <f t="shared" si="2"/>
      </c>
      <c r="F553" s="48">
        <f t="shared" si="8"/>
      </c>
      <c r="G553" s="94">
        <f t="shared" si="9"/>
      </c>
      <c r="H553" s="94">
        <f t="shared" si="3"/>
      </c>
      <c r="I553" s="96">
        <f t="shared" si="0"/>
      </c>
      <c r="J553" s="94">
        <f t="shared" si="4"/>
      </c>
      <c r="K553" s="94">
        <f t="shared" si="10"/>
      </c>
      <c r="L553" s="96">
        <f t="shared" si="5"/>
      </c>
      <c r="N553" s="2">
        <f>IF(546&gt;$Z$5,0,MOD(SMALL($Z$6:$Z$2005,546),10000))</f>
        <v>0</v>
      </c>
      <c r="O553" s="2">
        <f t="shared" si="11"/>
        <v>0</v>
      </c>
      <c r="Z553" s="2">
        <f>IF(AND(ISNUMBER(资金流水!$B$553),资金流水!$B$553&gt;=$C$4,资金流水!$B$553&lt;=$E$4,OR(资金流水!$C$553=$C$3,AND(资金流水!$AD$553=$C$3,资金流水!$X$553="账户互转"))),INT(资金流水!$B$553)*10000+548,"")</f>
      </c>
    </row>
    <row r="554">
      <c r="A554" s="94">
        <f>IF($N554=0,"",547)</f>
      </c>
      <c r="B554" s="95">
        <f t="shared" si="6"/>
      </c>
      <c r="C554" s="96">
        <f t="shared" si="1"/>
      </c>
      <c r="D554" s="21">
        <f t="shared" si="7"/>
      </c>
      <c r="E554" s="21">
        <f t="shared" si="2"/>
      </c>
      <c r="F554" s="48">
        <f t="shared" si="8"/>
      </c>
      <c r="G554" s="94">
        <f t="shared" si="9"/>
      </c>
      <c r="H554" s="94">
        <f t="shared" si="3"/>
      </c>
      <c r="I554" s="96">
        <f t="shared" si="0"/>
      </c>
      <c r="J554" s="94">
        <f t="shared" si="4"/>
      </c>
      <c r="K554" s="94">
        <f t="shared" si="10"/>
      </c>
      <c r="L554" s="96">
        <f t="shared" si="5"/>
      </c>
      <c r="N554" s="2">
        <f>IF(547&gt;$Z$5,0,MOD(SMALL($Z$6:$Z$2005,547),10000))</f>
        <v>0</v>
      </c>
      <c r="O554" s="2">
        <f t="shared" si="11"/>
        <v>0</v>
      </c>
      <c r="Z554" s="2">
        <f>IF(AND(ISNUMBER(资金流水!$B$554),资金流水!$B$554&gt;=$C$4,资金流水!$B$554&lt;=$E$4,OR(资金流水!$C$554=$C$3,AND(资金流水!$AD$554=$C$3,资金流水!$X$554="账户互转"))),INT(资金流水!$B$554)*10000+549,"")</f>
      </c>
    </row>
    <row r="555">
      <c r="A555" s="94">
        <f>IF($N555=0,"",548)</f>
      </c>
      <c r="B555" s="95">
        <f t="shared" si="6"/>
      </c>
      <c r="C555" s="96">
        <f t="shared" si="1"/>
      </c>
      <c r="D555" s="21">
        <f t="shared" si="7"/>
      </c>
      <c r="E555" s="21">
        <f t="shared" si="2"/>
      </c>
      <c r="F555" s="48">
        <f t="shared" si="8"/>
      </c>
      <c r="G555" s="94">
        <f t="shared" si="9"/>
      </c>
      <c r="H555" s="94">
        <f t="shared" si="3"/>
      </c>
      <c r="I555" s="96">
        <f t="shared" si="0"/>
      </c>
      <c r="J555" s="94">
        <f t="shared" si="4"/>
      </c>
      <c r="K555" s="94">
        <f t="shared" si="10"/>
      </c>
      <c r="L555" s="96">
        <f t="shared" si="5"/>
      </c>
      <c r="N555" s="2">
        <f>IF(548&gt;$Z$5,0,MOD(SMALL($Z$6:$Z$2005,548),10000))</f>
        <v>0</v>
      </c>
      <c r="O555" s="2">
        <f t="shared" si="11"/>
        <v>0</v>
      </c>
      <c r="Z555" s="2">
        <f>IF(AND(ISNUMBER(资金流水!$B$555),资金流水!$B$555&gt;=$C$4,资金流水!$B$555&lt;=$E$4,OR(资金流水!$C$555=$C$3,AND(资金流水!$AD$555=$C$3,资金流水!$X$555="账户互转"))),INT(资金流水!$B$555)*10000+550,"")</f>
      </c>
    </row>
    <row r="556">
      <c r="A556" s="94">
        <f>IF($N556=0,"",549)</f>
      </c>
      <c r="B556" s="95">
        <f t="shared" si="6"/>
      </c>
      <c r="C556" s="96">
        <f t="shared" si="1"/>
      </c>
      <c r="D556" s="21">
        <f t="shared" si="7"/>
      </c>
      <c r="E556" s="21">
        <f t="shared" si="2"/>
      </c>
      <c r="F556" s="48">
        <f t="shared" si="8"/>
      </c>
      <c r="G556" s="94">
        <f t="shared" si="9"/>
      </c>
      <c r="H556" s="94">
        <f t="shared" si="3"/>
      </c>
      <c r="I556" s="96">
        <f t="shared" si="0"/>
      </c>
      <c r="J556" s="94">
        <f t="shared" si="4"/>
      </c>
      <c r="K556" s="94">
        <f t="shared" si="10"/>
      </c>
      <c r="L556" s="96">
        <f t="shared" si="5"/>
      </c>
      <c r="N556" s="2">
        <f>IF(549&gt;$Z$5,0,MOD(SMALL($Z$6:$Z$2005,549),10000))</f>
        <v>0</v>
      </c>
      <c r="O556" s="2">
        <f t="shared" si="11"/>
        <v>0</v>
      </c>
      <c r="Z556" s="2">
        <f>IF(AND(ISNUMBER(资金流水!$B$556),资金流水!$B$556&gt;=$C$4,资金流水!$B$556&lt;=$E$4,OR(资金流水!$C$556=$C$3,AND(资金流水!$AD$556=$C$3,资金流水!$X$556="账户互转"))),INT(资金流水!$B$556)*10000+551,"")</f>
      </c>
    </row>
    <row r="557">
      <c r="A557" s="94">
        <f>IF($N557=0,"",550)</f>
      </c>
      <c r="B557" s="95">
        <f t="shared" si="6"/>
      </c>
      <c r="C557" s="96">
        <f t="shared" si="1"/>
      </c>
      <c r="D557" s="21">
        <f t="shared" si="7"/>
      </c>
      <c r="E557" s="21">
        <f t="shared" si="2"/>
      </c>
      <c r="F557" s="48">
        <f t="shared" si="8"/>
      </c>
      <c r="G557" s="94">
        <f t="shared" si="9"/>
      </c>
      <c r="H557" s="94">
        <f t="shared" si="3"/>
      </c>
      <c r="I557" s="96">
        <f t="shared" si="0"/>
      </c>
      <c r="J557" s="94">
        <f t="shared" si="4"/>
      </c>
      <c r="K557" s="94">
        <f t="shared" si="10"/>
      </c>
      <c r="L557" s="96">
        <f t="shared" si="5"/>
      </c>
      <c r="N557" s="2">
        <f>IF(550&gt;$Z$5,0,MOD(SMALL($Z$6:$Z$2005,550),10000))</f>
        <v>0</v>
      </c>
      <c r="O557" s="2">
        <f t="shared" si="11"/>
        <v>0</v>
      </c>
      <c r="Z557" s="2">
        <f>IF(AND(ISNUMBER(资金流水!$B$557),资金流水!$B$557&gt;=$C$4,资金流水!$B$557&lt;=$E$4,OR(资金流水!$C$557=$C$3,AND(资金流水!$AD$557=$C$3,资金流水!$X$557="账户互转"))),INT(资金流水!$B$557)*10000+552,"")</f>
      </c>
    </row>
    <row r="558">
      <c r="A558" s="94">
        <f>IF($N558=0,"",551)</f>
      </c>
      <c r="B558" s="95">
        <f t="shared" si="6"/>
      </c>
      <c r="C558" s="96">
        <f t="shared" si="1"/>
      </c>
      <c r="D558" s="21">
        <f t="shared" si="7"/>
      </c>
      <c r="E558" s="21">
        <f t="shared" si="2"/>
      </c>
      <c r="F558" s="48">
        <f t="shared" si="8"/>
      </c>
      <c r="G558" s="94">
        <f t="shared" si="9"/>
      </c>
      <c r="H558" s="94">
        <f t="shared" si="3"/>
      </c>
      <c r="I558" s="96">
        <f t="shared" si="0"/>
      </c>
      <c r="J558" s="94">
        <f t="shared" si="4"/>
      </c>
      <c r="K558" s="94">
        <f t="shared" si="10"/>
      </c>
      <c r="L558" s="96">
        <f t="shared" si="5"/>
      </c>
      <c r="N558" s="2">
        <f>IF(551&gt;$Z$5,0,MOD(SMALL($Z$6:$Z$2005,551),10000))</f>
        <v>0</v>
      </c>
      <c r="O558" s="2">
        <f t="shared" si="11"/>
        <v>0</v>
      </c>
      <c r="Z558" s="2">
        <f>IF(AND(ISNUMBER(资金流水!$B$558),资金流水!$B$558&gt;=$C$4,资金流水!$B$558&lt;=$E$4,OR(资金流水!$C$558=$C$3,AND(资金流水!$AD$558=$C$3,资金流水!$X$558="账户互转"))),INT(资金流水!$B$558)*10000+553,"")</f>
      </c>
    </row>
    <row r="559">
      <c r="A559" s="94">
        <f>IF($N559=0,"",552)</f>
      </c>
      <c r="B559" s="95">
        <f t="shared" si="6"/>
      </c>
      <c r="C559" s="96">
        <f t="shared" si="1"/>
      </c>
      <c r="D559" s="21">
        <f t="shared" si="7"/>
      </c>
      <c r="E559" s="21">
        <f t="shared" si="2"/>
      </c>
      <c r="F559" s="48">
        <f t="shared" si="8"/>
      </c>
      <c r="G559" s="94">
        <f t="shared" si="9"/>
      </c>
      <c r="H559" s="94">
        <f t="shared" si="3"/>
      </c>
      <c r="I559" s="96">
        <f t="shared" si="0"/>
      </c>
      <c r="J559" s="94">
        <f t="shared" si="4"/>
      </c>
      <c r="K559" s="94">
        <f t="shared" si="10"/>
      </c>
      <c r="L559" s="96">
        <f t="shared" si="5"/>
      </c>
      <c r="N559" s="2">
        <f>IF(552&gt;$Z$5,0,MOD(SMALL($Z$6:$Z$2005,552),10000))</f>
        <v>0</v>
      </c>
      <c r="O559" s="2">
        <f t="shared" si="11"/>
        <v>0</v>
      </c>
      <c r="Z559" s="2">
        <f>IF(AND(ISNUMBER(资金流水!$B$559),资金流水!$B$559&gt;=$C$4,资金流水!$B$559&lt;=$E$4,OR(资金流水!$C$559=$C$3,AND(资金流水!$AD$559=$C$3,资金流水!$X$559="账户互转"))),INT(资金流水!$B$559)*10000+554,"")</f>
      </c>
    </row>
    <row r="560">
      <c r="A560" s="94">
        <f>IF($N560=0,"",553)</f>
      </c>
      <c r="B560" s="95">
        <f t="shared" si="6"/>
      </c>
      <c r="C560" s="96">
        <f t="shared" si="1"/>
      </c>
      <c r="D560" s="21">
        <f t="shared" si="7"/>
      </c>
      <c r="E560" s="21">
        <f t="shared" si="2"/>
      </c>
      <c r="F560" s="48">
        <f t="shared" si="8"/>
      </c>
      <c r="G560" s="94">
        <f t="shared" si="9"/>
      </c>
      <c r="H560" s="94">
        <f t="shared" si="3"/>
      </c>
      <c r="I560" s="96">
        <f t="shared" si="0"/>
      </c>
      <c r="J560" s="94">
        <f t="shared" si="4"/>
      </c>
      <c r="K560" s="94">
        <f t="shared" si="10"/>
      </c>
      <c r="L560" s="96">
        <f t="shared" si="5"/>
      </c>
      <c r="N560" s="2">
        <f>IF(553&gt;$Z$5,0,MOD(SMALL($Z$6:$Z$2005,553),10000))</f>
        <v>0</v>
      </c>
      <c r="O560" s="2">
        <f t="shared" si="11"/>
        <v>0</v>
      </c>
      <c r="Z560" s="2">
        <f>IF(AND(ISNUMBER(资金流水!$B$560),资金流水!$B$560&gt;=$C$4,资金流水!$B$560&lt;=$E$4,OR(资金流水!$C$560=$C$3,AND(资金流水!$AD$560=$C$3,资金流水!$X$560="账户互转"))),INT(资金流水!$B$560)*10000+555,"")</f>
      </c>
    </row>
    <row r="561">
      <c r="A561" s="94">
        <f>IF($N561=0,"",554)</f>
      </c>
      <c r="B561" s="95">
        <f t="shared" si="6"/>
      </c>
      <c r="C561" s="96">
        <f t="shared" si="1"/>
      </c>
      <c r="D561" s="21">
        <f t="shared" si="7"/>
      </c>
      <c r="E561" s="21">
        <f t="shared" si="2"/>
      </c>
      <c r="F561" s="48">
        <f t="shared" si="8"/>
      </c>
      <c r="G561" s="94">
        <f t="shared" si="9"/>
      </c>
      <c r="H561" s="94">
        <f t="shared" si="3"/>
      </c>
      <c r="I561" s="96">
        <f t="shared" si="0"/>
      </c>
      <c r="J561" s="94">
        <f t="shared" si="4"/>
      </c>
      <c r="K561" s="94">
        <f t="shared" si="10"/>
      </c>
      <c r="L561" s="96">
        <f t="shared" si="5"/>
      </c>
      <c r="N561" s="2">
        <f>IF(554&gt;$Z$5,0,MOD(SMALL($Z$6:$Z$2005,554),10000))</f>
        <v>0</v>
      </c>
      <c r="O561" s="2">
        <f t="shared" si="11"/>
        <v>0</v>
      </c>
      <c r="Z561" s="2">
        <f>IF(AND(ISNUMBER(资金流水!$B$561),资金流水!$B$561&gt;=$C$4,资金流水!$B$561&lt;=$E$4,OR(资金流水!$C$561=$C$3,AND(资金流水!$AD$561=$C$3,资金流水!$X$561="账户互转"))),INT(资金流水!$B$561)*10000+556,"")</f>
      </c>
    </row>
    <row r="562">
      <c r="A562" s="94">
        <f>IF($N562=0,"",555)</f>
      </c>
      <c r="B562" s="95">
        <f t="shared" si="6"/>
      </c>
      <c r="C562" s="96">
        <f t="shared" si="1"/>
      </c>
      <c r="D562" s="21">
        <f t="shared" si="7"/>
      </c>
      <c r="E562" s="21">
        <f t="shared" si="2"/>
      </c>
      <c r="F562" s="48">
        <f t="shared" si="8"/>
      </c>
      <c r="G562" s="94">
        <f t="shared" si="9"/>
      </c>
      <c r="H562" s="94">
        <f t="shared" si="3"/>
      </c>
      <c r="I562" s="96">
        <f t="shared" si="0"/>
      </c>
      <c r="J562" s="94">
        <f t="shared" si="4"/>
      </c>
      <c r="K562" s="94">
        <f t="shared" si="10"/>
      </c>
      <c r="L562" s="96">
        <f t="shared" si="5"/>
      </c>
      <c r="N562" s="2">
        <f>IF(555&gt;$Z$5,0,MOD(SMALL($Z$6:$Z$2005,555),10000))</f>
        <v>0</v>
      </c>
      <c r="O562" s="2">
        <f t="shared" si="11"/>
        <v>0</v>
      </c>
      <c r="Z562" s="2">
        <f>IF(AND(ISNUMBER(资金流水!$B$562),资金流水!$B$562&gt;=$C$4,资金流水!$B$562&lt;=$E$4,OR(资金流水!$C$562=$C$3,AND(资金流水!$AD$562=$C$3,资金流水!$X$562="账户互转"))),INT(资金流水!$B$562)*10000+557,"")</f>
      </c>
    </row>
    <row r="563">
      <c r="A563" s="94">
        <f>IF($N563=0,"",556)</f>
      </c>
      <c r="B563" s="95">
        <f t="shared" si="6"/>
      </c>
      <c r="C563" s="96">
        <f t="shared" si="1"/>
      </c>
      <c r="D563" s="21">
        <f t="shared" si="7"/>
      </c>
      <c r="E563" s="21">
        <f t="shared" si="2"/>
      </c>
      <c r="F563" s="48">
        <f t="shared" si="8"/>
      </c>
      <c r="G563" s="94">
        <f t="shared" si="9"/>
      </c>
      <c r="H563" s="94">
        <f t="shared" si="3"/>
      </c>
      <c r="I563" s="96">
        <f t="shared" si="0"/>
      </c>
      <c r="J563" s="94">
        <f t="shared" si="4"/>
      </c>
      <c r="K563" s="94">
        <f t="shared" si="10"/>
      </c>
      <c r="L563" s="96">
        <f t="shared" si="5"/>
      </c>
      <c r="N563" s="2">
        <f>IF(556&gt;$Z$5,0,MOD(SMALL($Z$6:$Z$2005,556),10000))</f>
        <v>0</v>
      </c>
      <c r="O563" s="2">
        <f t="shared" si="11"/>
        <v>0</v>
      </c>
      <c r="Z563" s="2">
        <f>IF(AND(ISNUMBER(资金流水!$B$563),资金流水!$B$563&gt;=$C$4,资金流水!$B$563&lt;=$E$4,OR(资金流水!$C$563=$C$3,AND(资金流水!$AD$563=$C$3,资金流水!$X$563="账户互转"))),INT(资金流水!$B$563)*10000+558,"")</f>
      </c>
    </row>
    <row r="564">
      <c r="A564" s="94">
        <f>IF($N564=0,"",557)</f>
      </c>
      <c r="B564" s="95">
        <f t="shared" si="6"/>
      </c>
      <c r="C564" s="96">
        <f t="shared" si="1"/>
      </c>
      <c r="D564" s="21">
        <f t="shared" si="7"/>
      </c>
      <c r="E564" s="21">
        <f t="shared" si="2"/>
      </c>
      <c r="F564" s="48">
        <f t="shared" si="8"/>
      </c>
      <c r="G564" s="94">
        <f t="shared" si="9"/>
      </c>
      <c r="H564" s="94">
        <f t="shared" si="3"/>
      </c>
      <c r="I564" s="96">
        <f t="shared" si="0"/>
      </c>
      <c r="J564" s="94">
        <f t="shared" si="4"/>
      </c>
      <c r="K564" s="94">
        <f t="shared" si="10"/>
      </c>
      <c r="L564" s="96">
        <f t="shared" si="5"/>
      </c>
      <c r="N564" s="2">
        <f>IF(557&gt;$Z$5,0,MOD(SMALL($Z$6:$Z$2005,557),10000))</f>
        <v>0</v>
      </c>
      <c r="O564" s="2">
        <f t="shared" si="11"/>
        <v>0</v>
      </c>
      <c r="Z564" s="2">
        <f>IF(AND(ISNUMBER(资金流水!$B$564),资金流水!$B$564&gt;=$C$4,资金流水!$B$564&lt;=$E$4,OR(资金流水!$C$564=$C$3,AND(资金流水!$AD$564=$C$3,资金流水!$X$564="账户互转"))),INT(资金流水!$B$564)*10000+559,"")</f>
      </c>
    </row>
    <row r="565">
      <c r="A565" s="94">
        <f>IF($N565=0,"",558)</f>
      </c>
      <c r="B565" s="95">
        <f t="shared" si="6"/>
      </c>
      <c r="C565" s="96">
        <f t="shared" si="1"/>
      </c>
      <c r="D565" s="21">
        <f t="shared" si="7"/>
      </c>
      <c r="E565" s="21">
        <f t="shared" si="2"/>
      </c>
      <c r="F565" s="48">
        <f t="shared" si="8"/>
      </c>
      <c r="G565" s="94">
        <f t="shared" si="9"/>
      </c>
      <c r="H565" s="94">
        <f t="shared" si="3"/>
      </c>
      <c r="I565" s="96">
        <f t="shared" si="0"/>
      </c>
      <c r="J565" s="94">
        <f t="shared" si="4"/>
      </c>
      <c r="K565" s="94">
        <f t="shared" si="10"/>
      </c>
      <c r="L565" s="96">
        <f t="shared" si="5"/>
      </c>
      <c r="N565" s="2">
        <f>IF(558&gt;$Z$5,0,MOD(SMALL($Z$6:$Z$2005,558),10000))</f>
        <v>0</v>
      </c>
      <c r="O565" s="2">
        <f t="shared" si="11"/>
        <v>0</v>
      </c>
      <c r="Z565" s="2">
        <f>IF(AND(ISNUMBER(资金流水!$B$565),资金流水!$B$565&gt;=$C$4,资金流水!$B$565&lt;=$E$4,OR(资金流水!$C$565=$C$3,AND(资金流水!$AD$565=$C$3,资金流水!$X$565="账户互转"))),INT(资金流水!$B$565)*10000+560,"")</f>
      </c>
    </row>
    <row r="566">
      <c r="A566" s="94">
        <f>IF($N566=0,"",559)</f>
      </c>
      <c r="B566" s="95">
        <f t="shared" si="6"/>
      </c>
      <c r="C566" s="96">
        <f t="shared" si="1"/>
      </c>
      <c r="D566" s="21">
        <f t="shared" si="7"/>
      </c>
      <c r="E566" s="21">
        <f t="shared" si="2"/>
      </c>
      <c r="F566" s="48">
        <f t="shared" si="8"/>
      </c>
      <c r="G566" s="94">
        <f t="shared" si="9"/>
      </c>
      <c r="H566" s="94">
        <f t="shared" si="3"/>
      </c>
      <c r="I566" s="96">
        <f t="shared" si="0"/>
      </c>
      <c r="J566" s="94">
        <f t="shared" si="4"/>
      </c>
      <c r="K566" s="94">
        <f t="shared" si="10"/>
      </c>
      <c r="L566" s="96">
        <f t="shared" si="5"/>
      </c>
      <c r="N566" s="2">
        <f>IF(559&gt;$Z$5,0,MOD(SMALL($Z$6:$Z$2005,559),10000))</f>
        <v>0</v>
      </c>
      <c r="O566" s="2">
        <f t="shared" si="11"/>
        <v>0</v>
      </c>
      <c r="Z566" s="2">
        <f>IF(AND(ISNUMBER(资金流水!$B$566),资金流水!$B$566&gt;=$C$4,资金流水!$B$566&lt;=$E$4,OR(资金流水!$C$566=$C$3,AND(资金流水!$AD$566=$C$3,资金流水!$X$566="账户互转"))),INT(资金流水!$B$566)*10000+561,"")</f>
      </c>
    </row>
    <row r="567">
      <c r="A567" s="94">
        <f>IF($N567=0,"",560)</f>
      </c>
      <c r="B567" s="95">
        <f t="shared" si="6"/>
      </c>
      <c r="C567" s="96">
        <f t="shared" si="1"/>
      </c>
      <c r="D567" s="21">
        <f t="shared" si="7"/>
      </c>
      <c r="E567" s="21">
        <f t="shared" si="2"/>
      </c>
      <c r="F567" s="48">
        <f t="shared" si="8"/>
      </c>
      <c r="G567" s="94">
        <f t="shared" si="9"/>
      </c>
      <c r="H567" s="94">
        <f t="shared" si="3"/>
      </c>
      <c r="I567" s="96">
        <f t="shared" si="0"/>
      </c>
      <c r="J567" s="94">
        <f t="shared" si="4"/>
      </c>
      <c r="K567" s="94">
        <f t="shared" si="10"/>
      </c>
      <c r="L567" s="96">
        <f t="shared" si="5"/>
      </c>
      <c r="N567" s="2">
        <f>IF(560&gt;$Z$5,0,MOD(SMALL($Z$6:$Z$2005,560),10000))</f>
        <v>0</v>
      </c>
      <c r="O567" s="2">
        <f t="shared" si="11"/>
        <v>0</v>
      </c>
      <c r="Z567" s="2">
        <f>IF(AND(ISNUMBER(资金流水!$B$567),资金流水!$B$567&gt;=$C$4,资金流水!$B$567&lt;=$E$4,OR(资金流水!$C$567=$C$3,AND(资金流水!$AD$567=$C$3,资金流水!$X$567="账户互转"))),INT(资金流水!$B$567)*10000+562,"")</f>
      </c>
    </row>
    <row r="568">
      <c r="A568" s="94">
        <f>IF($N568=0,"",561)</f>
      </c>
      <c r="B568" s="95">
        <f t="shared" si="6"/>
      </c>
      <c r="C568" s="96">
        <f t="shared" si="1"/>
      </c>
      <c r="D568" s="21">
        <f t="shared" si="7"/>
      </c>
      <c r="E568" s="21">
        <f t="shared" si="2"/>
      </c>
      <c r="F568" s="48">
        <f t="shared" si="8"/>
      </c>
      <c r="G568" s="94">
        <f t="shared" si="9"/>
      </c>
      <c r="H568" s="94">
        <f t="shared" si="3"/>
      </c>
      <c r="I568" s="96">
        <f t="shared" si="0"/>
      </c>
      <c r="J568" s="94">
        <f t="shared" si="4"/>
      </c>
      <c r="K568" s="94">
        <f t="shared" si="10"/>
      </c>
      <c r="L568" s="96">
        <f t="shared" si="5"/>
      </c>
      <c r="N568" s="2">
        <f>IF(561&gt;$Z$5,0,MOD(SMALL($Z$6:$Z$2005,561),10000))</f>
        <v>0</v>
      </c>
      <c r="O568" s="2">
        <f t="shared" si="11"/>
        <v>0</v>
      </c>
      <c r="Z568" s="2">
        <f>IF(AND(ISNUMBER(资金流水!$B$568),资金流水!$B$568&gt;=$C$4,资金流水!$B$568&lt;=$E$4,OR(资金流水!$C$568=$C$3,AND(资金流水!$AD$568=$C$3,资金流水!$X$568="账户互转"))),INT(资金流水!$B$568)*10000+563,"")</f>
      </c>
    </row>
    <row r="569">
      <c r="A569" s="94">
        <f>IF($N569=0,"",562)</f>
      </c>
      <c r="B569" s="95">
        <f t="shared" si="6"/>
      </c>
      <c r="C569" s="96">
        <f t="shared" si="1"/>
      </c>
      <c r="D569" s="21">
        <f t="shared" si="7"/>
      </c>
      <c r="E569" s="21">
        <f t="shared" si="2"/>
      </c>
      <c r="F569" s="48">
        <f t="shared" si="8"/>
      </c>
      <c r="G569" s="94">
        <f t="shared" si="9"/>
      </c>
      <c r="H569" s="94">
        <f t="shared" si="3"/>
      </c>
      <c r="I569" s="96">
        <f t="shared" si="0"/>
      </c>
      <c r="J569" s="94">
        <f t="shared" si="4"/>
      </c>
      <c r="K569" s="94">
        <f t="shared" si="10"/>
      </c>
      <c r="L569" s="96">
        <f t="shared" si="5"/>
      </c>
      <c r="N569" s="2">
        <f>IF(562&gt;$Z$5,0,MOD(SMALL($Z$6:$Z$2005,562),10000))</f>
        <v>0</v>
      </c>
      <c r="O569" s="2">
        <f t="shared" si="11"/>
        <v>0</v>
      </c>
      <c r="Z569" s="2">
        <f>IF(AND(ISNUMBER(资金流水!$B$569),资金流水!$B$569&gt;=$C$4,资金流水!$B$569&lt;=$E$4,OR(资金流水!$C$569=$C$3,AND(资金流水!$AD$569=$C$3,资金流水!$X$569="账户互转"))),INT(资金流水!$B$569)*10000+564,"")</f>
      </c>
    </row>
    <row r="570">
      <c r="A570" s="94">
        <f>IF($N570=0,"",563)</f>
      </c>
      <c r="B570" s="95">
        <f t="shared" si="6"/>
      </c>
      <c r="C570" s="96">
        <f t="shared" si="1"/>
      </c>
      <c r="D570" s="21">
        <f t="shared" si="7"/>
      </c>
      <c r="E570" s="21">
        <f t="shared" si="2"/>
      </c>
      <c r="F570" s="48">
        <f t="shared" si="8"/>
      </c>
      <c r="G570" s="94">
        <f t="shared" si="9"/>
      </c>
      <c r="H570" s="94">
        <f t="shared" si="3"/>
      </c>
      <c r="I570" s="96">
        <f t="shared" si="0"/>
      </c>
      <c r="J570" s="94">
        <f t="shared" si="4"/>
      </c>
      <c r="K570" s="94">
        <f t="shared" si="10"/>
      </c>
      <c r="L570" s="96">
        <f t="shared" si="5"/>
      </c>
      <c r="N570" s="2">
        <f>IF(563&gt;$Z$5,0,MOD(SMALL($Z$6:$Z$2005,563),10000))</f>
        <v>0</v>
      </c>
      <c r="O570" s="2">
        <f t="shared" si="11"/>
        <v>0</v>
      </c>
      <c r="Z570" s="2">
        <f>IF(AND(ISNUMBER(资金流水!$B$570),资金流水!$B$570&gt;=$C$4,资金流水!$B$570&lt;=$E$4,OR(资金流水!$C$570=$C$3,AND(资金流水!$AD$570=$C$3,资金流水!$X$570="账户互转"))),INT(资金流水!$B$570)*10000+565,"")</f>
      </c>
    </row>
    <row r="571">
      <c r="A571" s="94">
        <f>IF($N571=0,"",564)</f>
      </c>
      <c r="B571" s="95">
        <f t="shared" si="6"/>
      </c>
      <c r="C571" s="96">
        <f t="shared" si="1"/>
      </c>
      <c r="D571" s="21">
        <f t="shared" si="7"/>
      </c>
      <c r="E571" s="21">
        <f t="shared" si="2"/>
      </c>
      <c r="F571" s="48">
        <f t="shared" si="8"/>
      </c>
      <c r="G571" s="94">
        <f t="shared" si="9"/>
      </c>
      <c r="H571" s="94">
        <f t="shared" si="3"/>
      </c>
      <c r="I571" s="96">
        <f t="shared" si="0"/>
      </c>
      <c r="J571" s="94">
        <f t="shared" si="4"/>
      </c>
      <c r="K571" s="94">
        <f t="shared" si="10"/>
      </c>
      <c r="L571" s="96">
        <f t="shared" si="5"/>
      </c>
      <c r="N571" s="2">
        <f>IF(564&gt;$Z$5,0,MOD(SMALL($Z$6:$Z$2005,564),10000))</f>
        <v>0</v>
      </c>
      <c r="O571" s="2">
        <f t="shared" si="11"/>
        <v>0</v>
      </c>
      <c r="Z571" s="2">
        <f>IF(AND(ISNUMBER(资金流水!$B$571),资金流水!$B$571&gt;=$C$4,资金流水!$B$571&lt;=$E$4,OR(资金流水!$C$571=$C$3,AND(资金流水!$AD$571=$C$3,资金流水!$X$571="账户互转"))),INT(资金流水!$B$571)*10000+566,"")</f>
      </c>
    </row>
    <row r="572">
      <c r="A572" s="94">
        <f>IF($N572=0,"",565)</f>
      </c>
      <c r="B572" s="95">
        <f t="shared" si="6"/>
      </c>
      <c r="C572" s="96">
        <f t="shared" si="1"/>
      </c>
      <c r="D572" s="21">
        <f t="shared" si="7"/>
      </c>
      <c r="E572" s="21">
        <f t="shared" si="2"/>
      </c>
      <c r="F572" s="48">
        <f t="shared" si="8"/>
      </c>
      <c r="G572" s="94">
        <f t="shared" si="9"/>
      </c>
      <c r="H572" s="94">
        <f t="shared" si="3"/>
      </c>
      <c r="I572" s="96">
        <f t="shared" si="0"/>
      </c>
      <c r="J572" s="94">
        <f t="shared" si="4"/>
      </c>
      <c r="K572" s="94">
        <f t="shared" si="10"/>
      </c>
      <c r="L572" s="96">
        <f t="shared" si="5"/>
      </c>
      <c r="N572" s="2">
        <f>IF(565&gt;$Z$5,0,MOD(SMALL($Z$6:$Z$2005,565),10000))</f>
        <v>0</v>
      </c>
      <c r="O572" s="2">
        <f t="shared" si="11"/>
        <v>0</v>
      </c>
      <c r="Z572" s="2">
        <f>IF(AND(ISNUMBER(资金流水!$B$572),资金流水!$B$572&gt;=$C$4,资金流水!$B$572&lt;=$E$4,OR(资金流水!$C$572=$C$3,AND(资金流水!$AD$572=$C$3,资金流水!$X$572="账户互转"))),INT(资金流水!$B$572)*10000+567,"")</f>
      </c>
    </row>
    <row r="573">
      <c r="A573" s="94">
        <f>IF($N573=0,"",566)</f>
      </c>
      <c r="B573" s="95">
        <f t="shared" si="6"/>
      </c>
      <c r="C573" s="96">
        <f t="shared" si="1"/>
      </c>
      <c r="D573" s="21">
        <f t="shared" si="7"/>
      </c>
      <c r="E573" s="21">
        <f t="shared" si="2"/>
      </c>
      <c r="F573" s="48">
        <f t="shared" si="8"/>
      </c>
      <c r="G573" s="94">
        <f t="shared" si="9"/>
      </c>
      <c r="H573" s="94">
        <f t="shared" si="3"/>
      </c>
      <c r="I573" s="96">
        <f t="shared" si="0"/>
      </c>
      <c r="J573" s="94">
        <f t="shared" si="4"/>
      </c>
      <c r="K573" s="94">
        <f t="shared" si="10"/>
      </c>
      <c r="L573" s="96">
        <f t="shared" si="5"/>
      </c>
      <c r="N573" s="2">
        <f>IF(566&gt;$Z$5,0,MOD(SMALL($Z$6:$Z$2005,566),10000))</f>
        <v>0</v>
      </c>
      <c r="O573" s="2">
        <f t="shared" si="11"/>
        <v>0</v>
      </c>
      <c r="Z573" s="2">
        <f>IF(AND(ISNUMBER(资金流水!$B$573),资金流水!$B$573&gt;=$C$4,资金流水!$B$573&lt;=$E$4,OR(资金流水!$C$573=$C$3,AND(资金流水!$AD$573=$C$3,资金流水!$X$573="账户互转"))),INT(资金流水!$B$573)*10000+568,"")</f>
      </c>
    </row>
    <row r="574">
      <c r="A574" s="94">
        <f>IF($N574=0,"",567)</f>
      </c>
      <c r="B574" s="95">
        <f t="shared" si="6"/>
      </c>
      <c r="C574" s="96">
        <f t="shared" si="1"/>
      </c>
      <c r="D574" s="21">
        <f t="shared" si="7"/>
      </c>
      <c r="E574" s="21">
        <f t="shared" si="2"/>
      </c>
      <c r="F574" s="48">
        <f t="shared" si="8"/>
      </c>
      <c r="G574" s="94">
        <f t="shared" si="9"/>
      </c>
      <c r="H574" s="94">
        <f t="shared" si="3"/>
      </c>
      <c r="I574" s="96">
        <f t="shared" si="0"/>
      </c>
      <c r="J574" s="94">
        <f t="shared" si="4"/>
      </c>
      <c r="K574" s="94">
        <f t="shared" si="10"/>
      </c>
      <c r="L574" s="96">
        <f t="shared" si="5"/>
      </c>
      <c r="N574" s="2">
        <f>IF(567&gt;$Z$5,0,MOD(SMALL($Z$6:$Z$2005,567),10000))</f>
        <v>0</v>
      </c>
      <c r="O574" s="2">
        <f t="shared" si="11"/>
        <v>0</v>
      </c>
      <c r="Z574" s="2">
        <f>IF(AND(ISNUMBER(资金流水!$B$574),资金流水!$B$574&gt;=$C$4,资金流水!$B$574&lt;=$E$4,OR(资金流水!$C$574=$C$3,AND(资金流水!$AD$574=$C$3,资金流水!$X$574="账户互转"))),INT(资金流水!$B$574)*10000+569,"")</f>
      </c>
    </row>
    <row r="575">
      <c r="A575" s="94">
        <f>IF($N575=0,"",568)</f>
      </c>
      <c r="B575" s="95">
        <f t="shared" si="6"/>
      </c>
      <c r="C575" s="96">
        <f t="shared" si="1"/>
      </c>
      <c r="D575" s="21">
        <f t="shared" si="7"/>
      </c>
      <c r="E575" s="21">
        <f t="shared" si="2"/>
      </c>
      <c r="F575" s="48">
        <f t="shared" si="8"/>
      </c>
      <c r="G575" s="94">
        <f t="shared" si="9"/>
      </c>
      <c r="H575" s="94">
        <f t="shared" si="3"/>
      </c>
      <c r="I575" s="96">
        <f t="shared" si="0"/>
      </c>
      <c r="J575" s="94">
        <f t="shared" si="4"/>
      </c>
      <c r="K575" s="94">
        <f t="shared" si="10"/>
      </c>
      <c r="L575" s="96">
        <f t="shared" si="5"/>
      </c>
      <c r="N575" s="2">
        <f>IF(568&gt;$Z$5,0,MOD(SMALL($Z$6:$Z$2005,568),10000))</f>
        <v>0</v>
      </c>
      <c r="O575" s="2">
        <f t="shared" si="11"/>
        <v>0</v>
      </c>
      <c r="Z575" s="2">
        <f>IF(AND(ISNUMBER(资金流水!$B$575),资金流水!$B$575&gt;=$C$4,资金流水!$B$575&lt;=$E$4,OR(资金流水!$C$575=$C$3,AND(资金流水!$AD$575=$C$3,资金流水!$X$575="账户互转"))),INT(资金流水!$B$575)*10000+570,"")</f>
      </c>
    </row>
    <row r="576">
      <c r="A576" s="94">
        <f>IF($N576=0,"",569)</f>
      </c>
      <c r="B576" s="95">
        <f t="shared" si="6"/>
      </c>
      <c r="C576" s="96">
        <f t="shared" si="1"/>
      </c>
      <c r="D576" s="21">
        <f t="shared" si="7"/>
      </c>
      <c r="E576" s="21">
        <f t="shared" si="2"/>
      </c>
      <c r="F576" s="48">
        <f t="shared" si="8"/>
      </c>
      <c r="G576" s="94">
        <f t="shared" si="9"/>
      </c>
      <c r="H576" s="94">
        <f t="shared" si="3"/>
      </c>
      <c r="I576" s="96">
        <f t="shared" si="0"/>
      </c>
      <c r="J576" s="94">
        <f t="shared" si="4"/>
      </c>
      <c r="K576" s="94">
        <f t="shared" si="10"/>
      </c>
      <c r="L576" s="96">
        <f t="shared" si="5"/>
      </c>
      <c r="N576" s="2">
        <f>IF(569&gt;$Z$5,0,MOD(SMALL($Z$6:$Z$2005,569),10000))</f>
        <v>0</v>
      </c>
      <c r="O576" s="2">
        <f t="shared" si="11"/>
        <v>0</v>
      </c>
      <c r="Z576" s="2">
        <f>IF(AND(ISNUMBER(资金流水!$B$576),资金流水!$B$576&gt;=$C$4,资金流水!$B$576&lt;=$E$4,OR(资金流水!$C$576=$C$3,AND(资金流水!$AD$576=$C$3,资金流水!$X$576="账户互转"))),INT(资金流水!$B$576)*10000+571,"")</f>
      </c>
    </row>
    <row r="577">
      <c r="A577" s="94">
        <f>IF($N577=0,"",570)</f>
      </c>
      <c r="B577" s="95">
        <f t="shared" si="6"/>
      </c>
      <c r="C577" s="96">
        <f t="shared" si="1"/>
      </c>
      <c r="D577" s="21">
        <f t="shared" si="7"/>
      </c>
      <c r="E577" s="21">
        <f t="shared" si="2"/>
      </c>
      <c r="F577" s="48">
        <f t="shared" si="8"/>
      </c>
      <c r="G577" s="94">
        <f t="shared" si="9"/>
      </c>
      <c r="H577" s="94">
        <f t="shared" si="3"/>
      </c>
      <c r="I577" s="96">
        <f t="shared" si="0"/>
      </c>
      <c r="J577" s="94">
        <f t="shared" si="4"/>
      </c>
      <c r="K577" s="94">
        <f t="shared" si="10"/>
      </c>
      <c r="L577" s="96">
        <f t="shared" si="5"/>
      </c>
      <c r="N577" s="2">
        <f>IF(570&gt;$Z$5,0,MOD(SMALL($Z$6:$Z$2005,570),10000))</f>
        <v>0</v>
      </c>
      <c r="O577" s="2">
        <f t="shared" si="11"/>
        <v>0</v>
      </c>
      <c r="Z577" s="2">
        <f>IF(AND(ISNUMBER(资金流水!$B$577),资金流水!$B$577&gt;=$C$4,资金流水!$B$577&lt;=$E$4,OR(资金流水!$C$577=$C$3,AND(资金流水!$AD$577=$C$3,资金流水!$X$577="账户互转"))),INT(资金流水!$B$577)*10000+572,"")</f>
      </c>
    </row>
    <row r="578">
      <c r="A578" s="94">
        <f>IF($N578=0,"",571)</f>
      </c>
      <c r="B578" s="95">
        <f t="shared" si="6"/>
      </c>
      <c r="C578" s="96">
        <f t="shared" si="1"/>
      </c>
      <c r="D578" s="21">
        <f t="shared" si="7"/>
      </c>
      <c r="E578" s="21">
        <f t="shared" si="2"/>
      </c>
      <c r="F578" s="48">
        <f t="shared" si="8"/>
      </c>
      <c r="G578" s="94">
        <f t="shared" si="9"/>
      </c>
      <c r="H578" s="94">
        <f t="shared" si="3"/>
      </c>
      <c r="I578" s="96">
        <f t="shared" si="0"/>
      </c>
      <c r="J578" s="94">
        <f t="shared" si="4"/>
      </c>
      <c r="K578" s="94">
        <f t="shared" si="10"/>
      </c>
      <c r="L578" s="96">
        <f t="shared" si="5"/>
      </c>
      <c r="N578" s="2">
        <f>IF(571&gt;$Z$5,0,MOD(SMALL($Z$6:$Z$2005,571),10000))</f>
        <v>0</v>
      </c>
      <c r="O578" s="2">
        <f t="shared" si="11"/>
        <v>0</v>
      </c>
      <c r="Z578" s="2">
        <f>IF(AND(ISNUMBER(资金流水!$B$578),资金流水!$B$578&gt;=$C$4,资金流水!$B$578&lt;=$E$4,OR(资金流水!$C$578=$C$3,AND(资金流水!$AD$578=$C$3,资金流水!$X$578="账户互转"))),INT(资金流水!$B$578)*10000+573,"")</f>
      </c>
    </row>
    <row r="579">
      <c r="A579" s="94">
        <f>IF($N579=0,"",572)</f>
      </c>
      <c r="B579" s="95">
        <f t="shared" si="6"/>
      </c>
      <c r="C579" s="96">
        <f t="shared" si="1"/>
      </c>
      <c r="D579" s="21">
        <f t="shared" si="7"/>
      </c>
      <c r="E579" s="21">
        <f t="shared" si="2"/>
      </c>
      <c r="F579" s="48">
        <f t="shared" si="8"/>
      </c>
      <c r="G579" s="94">
        <f t="shared" si="9"/>
      </c>
      <c r="H579" s="94">
        <f t="shared" si="3"/>
      </c>
      <c r="I579" s="96">
        <f t="shared" si="0"/>
      </c>
      <c r="J579" s="94">
        <f t="shared" si="4"/>
      </c>
      <c r="K579" s="94">
        <f t="shared" si="10"/>
      </c>
      <c r="L579" s="96">
        <f t="shared" si="5"/>
      </c>
      <c r="N579" s="2">
        <f>IF(572&gt;$Z$5,0,MOD(SMALL($Z$6:$Z$2005,572),10000))</f>
        <v>0</v>
      </c>
      <c r="O579" s="2">
        <f t="shared" si="11"/>
        <v>0</v>
      </c>
      <c r="Z579" s="2">
        <f>IF(AND(ISNUMBER(资金流水!$B$579),资金流水!$B$579&gt;=$C$4,资金流水!$B$579&lt;=$E$4,OR(资金流水!$C$579=$C$3,AND(资金流水!$AD$579=$C$3,资金流水!$X$579="账户互转"))),INT(资金流水!$B$579)*10000+574,"")</f>
      </c>
    </row>
    <row r="580">
      <c r="A580" s="94">
        <f>IF($N580=0,"",573)</f>
      </c>
      <c r="B580" s="95">
        <f t="shared" si="6"/>
      </c>
      <c r="C580" s="96">
        <f t="shared" si="1"/>
      </c>
      <c r="D580" s="21">
        <f t="shared" si="7"/>
      </c>
      <c r="E580" s="21">
        <f t="shared" si="2"/>
      </c>
      <c r="F580" s="48">
        <f t="shared" si="8"/>
      </c>
      <c r="G580" s="94">
        <f t="shared" si="9"/>
      </c>
      <c r="H580" s="94">
        <f t="shared" si="3"/>
      </c>
      <c r="I580" s="96">
        <f t="shared" si="0"/>
      </c>
      <c r="J580" s="94">
        <f t="shared" si="4"/>
      </c>
      <c r="K580" s="94">
        <f t="shared" si="10"/>
      </c>
      <c r="L580" s="96">
        <f t="shared" si="5"/>
      </c>
      <c r="N580" s="2">
        <f>IF(573&gt;$Z$5,0,MOD(SMALL($Z$6:$Z$2005,573),10000))</f>
        <v>0</v>
      </c>
      <c r="O580" s="2">
        <f t="shared" si="11"/>
        <v>0</v>
      </c>
      <c r="Z580" s="2">
        <f>IF(AND(ISNUMBER(资金流水!$B$580),资金流水!$B$580&gt;=$C$4,资金流水!$B$580&lt;=$E$4,OR(资金流水!$C$580=$C$3,AND(资金流水!$AD$580=$C$3,资金流水!$X$580="账户互转"))),INT(资金流水!$B$580)*10000+575,"")</f>
      </c>
    </row>
    <row r="581">
      <c r="A581" s="94">
        <f>IF($N581=0,"",574)</f>
      </c>
      <c r="B581" s="95">
        <f t="shared" si="6"/>
      </c>
      <c r="C581" s="96">
        <f t="shared" si="1"/>
      </c>
      <c r="D581" s="21">
        <f t="shared" si="7"/>
      </c>
      <c r="E581" s="21">
        <f t="shared" si="2"/>
      </c>
      <c r="F581" s="48">
        <f t="shared" si="8"/>
      </c>
      <c r="G581" s="94">
        <f t="shared" si="9"/>
      </c>
      <c r="H581" s="94">
        <f t="shared" si="3"/>
      </c>
      <c r="I581" s="96">
        <f t="shared" si="0"/>
      </c>
      <c r="J581" s="94">
        <f t="shared" si="4"/>
      </c>
      <c r="K581" s="94">
        <f t="shared" si="10"/>
      </c>
      <c r="L581" s="96">
        <f t="shared" si="5"/>
      </c>
      <c r="N581" s="2">
        <f>IF(574&gt;$Z$5,0,MOD(SMALL($Z$6:$Z$2005,574),10000))</f>
        <v>0</v>
      </c>
      <c r="O581" s="2">
        <f t="shared" si="11"/>
        <v>0</v>
      </c>
      <c r="Z581" s="2">
        <f>IF(AND(ISNUMBER(资金流水!$B$581),资金流水!$B$581&gt;=$C$4,资金流水!$B$581&lt;=$E$4,OR(资金流水!$C$581=$C$3,AND(资金流水!$AD$581=$C$3,资金流水!$X$581="账户互转"))),INT(资金流水!$B$581)*10000+576,"")</f>
      </c>
    </row>
    <row r="582">
      <c r="A582" s="94">
        <f>IF($N582=0,"",575)</f>
      </c>
      <c r="B582" s="95">
        <f t="shared" si="6"/>
      </c>
      <c r="C582" s="96">
        <f t="shared" si="1"/>
      </c>
      <c r="D582" s="21">
        <f t="shared" si="7"/>
      </c>
      <c r="E582" s="21">
        <f t="shared" si="2"/>
      </c>
      <c r="F582" s="48">
        <f t="shared" si="8"/>
      </c>
      <c r="G582" s="94">
        <f t="shared" si="9"/>
      </c>
      <c r="H582" s="94">
        <f t="shared" si="3"/>
      </c>
      <c r="I582" s="96">
        <f t="shared" si="0"/>
      </c>
      <c r="J582" s="94">
        <f t="shared" si="4"/>
      </c>
      <c r="K582" s="94">
        <f t="shared" si="10"/>
      </c>
      <c r="L582" s="96">
        <f t="shared" si="5"/>
      </c>
      <c r="N582" s="2">
        <f>IF(575&gt;$Z$5,0,MOD(SMALL($Z$6:$Z$2005,575),10000))</f>
        <v>0</v>
      </c>
      <c r="O582" s="2">
        <f t="shared" si="11"/>
        <v>0</v>
      </c>
      <c r="Z582" s="2">
        <f>IF(AND(ISNUMBER(资金流水!$B$582),资金流水!$B$582&gt;=$C$4,资金流水!$B$582&lt;=$E$4,OR(资金流水!$C$582=$C$3,AND(资金流水!$AD$582=$C$3,资金流水!$X$582="账户互转"))),INT(资金流水!$B$582)*10000+577,"")</f>
      </c>
    </row>
    <row r="583">
      <c r="A583" s="94">
        <f>IF($N583=0,"",576)</f>
      </c>
      <c r="B583" s="95">
        <f t="shared" si="6"/>
      </c>
      <c r="C583" s="96">
        <f t="shared" si="1"/>
      </c>
      <c r="D583" s="21">
        <f t="shared" si="7"/>
      </c>
      <c r="E583" s="21">
        <f t="shared" si="2"/>
      </c>
      <c r="F583" s="48">
        <f t="shared" si="8"/>
      </c>
      <c r="G583" s="94">
        <f t="shared" si="9"/>
      </c>
      <c r="H583" s="94">
        <f t="shared" si="3"/>
      </c>
      <c r="I583" s="96">
        <f t="shared" si="0"/>
      </c>
      <c r="J583" s="94">
        <f t="shared" si="4"/>
      </c>
      <c r="K583" s="94">
        <f t="shared" si="10"/>
      </c>
      <c r="L583" s="96">
        <f t="shared" si="5"/>
      </c>
      <c r="N583" s="2">
        <f>IF(576&gt;$Z$5,0,MOD(SMALL($Z$6:$Z$2005,576),10000))</f>
        <v>0</v>
      </c>
      <c r="O583" s="2">
        <f t="shared" si="11"/>
        <v>0</v>
      </c>
      <c r="Z583" s="2">
        <f>IF(AND(ISNUMBER(资金流水!$B$583),资金流水!$B$583&gt;=$C$4,资金流水!$B$583&lt;=$E$4,OR(资金流水!$C$583=$C$3,AND(资金流水!$AD$583=$C$3,资金流水!$X$583="账户互转"))),INT(资金流水!$B$583)*10000+578,"")</f>
      </c>
    </row>
    <row r="584">
      <c r="A584" s="94">
        <f>IF($N584=0,"",577)</f>
      </c>
      <c r="B584" s="95">
        <f t="shared" si="6"/>
      </c>
      <c r="C584" s="96">
        <f t="shared" si="1"/>
      </c>
      <c r="D584" s="21">
        <f t="shared" si="7"/>
      </c>
      <c r="E584" s="21">
        <f t="shared" si="2"/>
      </c>
      <c r="F584" s="48">
        <f t="shared" si="8"/>
      </c>
      <c r="G584" s="94">
        <f t="shared" si="9"/>
      </c>
      <c r="H584" s="94">
        <f t="shared" si="3"/>
      </c>
      <c r="I584" s="96">
        <f t="shared" si="0"/>
      </c>
      <c r="J584" s="94">
        <f t="shared" si="4"/>
      </c>
      <c r="K584" s="94">
        <f t="shared" si="10"/>
      </c>
      <c r="L584" s="96">
        <f t="shared" si="5"/>
      </c>
      <c r="N584" s="2">
        <f>IF(577&gt;$Z$5,0,MOD(SMALL($Z$6:$Z$2005,577),10000))</f>
        <v>0</v>
      </c>
      <c r="O584" s="2">
        <f t="shared" si="11"/>
        <v>0</v>
      </c>
      <c r="Z584" s="2">
        <f>IF(AND(ISNUMBER(资金流水!$B$584),资金流水!$B$584&gt;=$C$4,资金流水!$B$584&lt;=$E$4,OR(资金流水!$C$584=$C$3,AND(资金流水!$AD$584=$C$3,资金流水!$X$584="账户互转"))),INT(资金流水!$B$584)*10000+579,"")</f>
      </c>
    </row>
    <row r="585">
      <c r="A585" s="94">
        <f>IF($N585=0,"",578)</f>
      </c>
      <c r="B585" s="95">
        <f t="shared" si="6"/>
      </c>
      <c r="C585" s="96">
        <f t="shared" si="1"/>
      </c>
      <c r="D585" s="21">
        <f t="shared" si="7"/>
      </c>
      <c r="E585" s="21">
        <f t="shared" si="2"/>
      </c>
      <c r="F585" s="48">
        <f t="shared" si="8"/>
      </c>
      <c r="G585" s="94">
        <f t="shared" si="9"/>
      </c>
      <c r="H585" s="94">
        <f t="shared" si="3"/>
      </c>
      <c r="I585" s="96">
        <f t="shared" si="0"/>
      </c>
      <c r="J585" s="94">
        <f t="shared" si="4"/>
      </c>
      <c r="K585" s="94">
        <f t="shared" si="10"/>
      </c>
      <c r="L585" s="96">
        <f t="shared" si="5"/>
      </c>
      <c r="N585" s="2">
        <f>IF(578&gt;$Z$5,0,MOD(SMALL($Z$6:$Z$2005,578),10000))</f>
        <v>0</v>
      </c>
      <c r="O585" s="2">
        <f t="shared" si="11"/>
        <v>0</v>
      </c>
      <c r="Z585" s="2">
        <f>IF(AND(ISNUMBER(资金流水!$B$585),资金流水!$B$585&gt;=$C$4,资金流水!$B$585&lt;=$E$4,OR(资金流水!$C$585=$C$3,AND(资金流水!$AD$585=$C$3,资金流水!$X$585="账户互转"))),INT(资金流水!$B$585)*10000+580,"")</f>
      </c>
    </row>
    <row r="586">
      <c r="A586" s="94">
        <f>IF($N586=0,"",579)</f>
      </c>
      <c r="B586" s="95">
        <f t="shared" si="6"/>
      </c>
      <c r="C586" s="96">
        <f t="shared" si="1"/>
      </c>
      <c r="D586" s="21">
        <f t="shared" si="7"/>
      </c>
      <c r="E586" s="21">
        <f t="shared" si="2"/>
      </c>
      <c r="F586" s="48">
        <f t="shared" si="8"/>
      </c>
      <c r="G586" s="94">
        <f t="shared" si="9"/>
      </c>
      <c r="H586" s="94">
        <f t="shared" si="3"/>
      </c>
      <c r="I586" s="96">
        <f t="shared" si="0"/>
      </c>
      <c r="J586" s="94">
        <f t="shared" si="4"/>
      </c>
      <c r="K586" s="94">
        <f t="shared" si="10"/>
      </c>
      <c r="L586" s="96">
        <f t="shared" si="5"/>
      </c>
      <c r="N586" s="2">
        <f>IF(579&gt;$Z$5,0,MOD(SMALL($Z$6:$Z$2005,579),10000))</f>
        <v>0</v>
      </c>
      <c r="O586" s="2">
        <f t="shared" si="11"/>
        <v>0</v>
      </c>
      <c r="Z586" s="2">
        <f>IF(AND(ISNUMBER(资金流水!$B$586),资金流水!$B$586&gt;=$C$4,资金流水!$B$586&lt;=$E$4,OR(资金流水!$C$586=$C$3,AND(资金流水!$AD$586=$C$3,资金流水!$X$586="账户互转"))),INT(资金流水!$B$586)*10000+581,"")</f>
      </c>
    </row>
    <row r="587">
      <c r="A587" s="94">
        <f>IF($N587=0,"",580)</f>
      </c>
      <c r="B587" s="95">
        <f t="shared" si="6"/>
      </c>
      <c r="C587" s="96">
        <f t="shared" si="1"/>
      </c>
      <c r="D587" s="21">
        <f t="shared" si="7"/>
      </c>
      <c r="E587" s="21">
        <f t="shared" si="2"/>
      </c>
      <c r="F587" s="48">
        <f t="shared" si="8"/>
      </c>
      <c r="G587" s="94">
        <f t="shared" si="9"/>
      </c>
      <c r="H587" s="94">
        <f t="shared" si="3"/>
      </c>
      <c r="I587" s="96">
        <f t="shared" si="0"/>
      </c>
      <c r="J587" s="94">
        <f t="shared" si="4"/>
      </c>
      <c r="K587" s="94">
        <f t="shared" si="10"/>
      </c>
      <c r="L587" s="96">
        <f t="shared" si="5"/>
      </c>
      <c r="N587" s="2">
        <f>IF(580&gt;$Z$5,0,MOD(SMALL($Z$6:$Z$2005,580),10000))</f>
        <v>0</v>
      </c>
      <c r="O587" s="2">
        <f t="shared" si="11"/>
        <v>0</v>
      </c>
      <c r="Z587" s="2">
        <f>IF(AND(ISNUMBER(资金流水!$B$587),资金流水!$B$587&gt;=$C$4,资金流水!$B$587&lt;=$E$4,OR(资金流水!$C$587=$C$3,AND(资金流水!$AD$587=$C$3,资金流水!$X$587="账户互转"))),INT(资金流水!$B$587)*10000+582,"")</f>
      </c>
    </row>
    <row r="588">
      <c r="A588" s="94">
        <f>IF($N588=0,"",581)</f>
      </c>
      <c r="B588" s="95">
        <f t="shared" si="6"/>
      </c>
      <c r="C588" s="96">
        <f t="shared" si="1"/>
      </c>
      <c r="D588" s="21">
        <f t="shared" si="7"/>
      </c>
      <c r="E588" s="21">
        <f t="shared" si="2"/>
      </c>
      <c r="F588" s="48">
        <f t="shared" si="8"/>
      </c>
      <c r="G588" s="94">
        <f t="shared" si="9"/>
      </c>
      <c r="H588" s="94">
        <f t="shared" si="3"/>
      </c>
      <c r="I588" s="96">
        <f t="shared" si="0"/>
      </c>
      <c r="J588" s="94">
        <f t="shared" si="4"/>
      </c>
      <c r="K588" s="94">
        <f t="shared" si="10"/>
      </c>
      <c r="L588" s="96">
        <f t="shared" si="5"/>
      </c>
      <c r="N588" s="2">
        <f>IF(581&gt;$Z$5,0,MOD(SMALL($Z$6:$Z$2005,581),10000))</f>
        <v>0</v>
      </c>
      <c r="O588" s="2">
        <f t="shared" si="11"/>
        <v>0</v>
      </c>
      <c r="Z588" s="2">
        <f>IF(AND(ISNUMBER(资金流水!$B$588),资金流水!$B$588&gt;=$C$4,资金流水!$B$588&lt;=$E$4,OR(资金流水!$C$588=$C$3,AND(资金流水!$AD$588=$C$3,资金流水!$X$588="账户互转"))),INT(资金流水!$B$588)*10000+583,"")</f>
      </c>
    </row>
    <row r="589">
      <c r="A589" s="94">
        <f>IF($N589=0,"",582)</f>
      </c>
      <c r="B589" s="95">
        <f t="shared" si="6"/>
      </c>
      <c r="C589" s="96">
        <f t="shared" si="1"/>
      </c>
      <c r="D589" s="21">
        <f t="shared" si="7"/>
      </c>
      <c r="E589" s="21">
        <f t="shared" si="2"/>
      </c>
      <c r="F589" s="48">
        <f t="shared" si="8"/>
      </c>
      <c r="G589" s="94">
        <f t="shared" si="9"/>
      </c>
      <c r="H589" s="94">
        <f t="shared" si="3"/>
      </c>
      <c r="I589" s="96">
        <f t="shared" si="0"/>
      </c>
      <c r="J589" s="94">
        <f t="shared" si="4"/>
      </c>
      <c r="K589" s="94">
        <f t="shared" si="10"/>
      </c>
      <c r="L589" s="96">
        <f t="shared" si="5"/>
      </c>
      <c r="N589" s="2">
        <f>IF(582&gt;$Z$5,0,MOD(SMALL($Z$6:$Z$2005,582),10000))</f>
        <v>0</v>
      </c>
      <c r="O589" s="2">
        <f t="shared" si="11"/>
        <v>0</v>
      </c>
      <c r="Z589" s="2">
        <f>IF(AND(ISNUMBER(资金流水!$B$589),资金流水!$B$589&gt;=$C$4,资金流水!$B$589&lt;=$E$4,OR(资金流水!$C$589=$C$3,AND(资金流水!$AD$589=$C$3,资金流水!$X$589="账户互转"))),INT(资金流水!$B$589)*10000+584,"")</f>
      </c>
    </row>
    <row r="590">
      <c r="A590" s="94">
        <f>IF($N590=0,"",583)</f>
      </c>
      <c r="B590" s="95">
        <f t="shared" si="6"/>
      </c>
      <c r="C590" s="96">
        <f t="shared" si="1"/>
      </c>
      <c r="D590" s="21">
        <f t="shared" si="7"/>
      </c>
      <c r="E590" s="21">
        <f t="shared" si="2"/>
      </c>
      <c r="F590" s="48">
        <f t="shared" si="8"/>
      </c>
      <c r="G590" s="94">
        <f t="shared" si="9"/>
      </c>
      <c r="H590" s="94">
        <f t="shared" si="3"/>
      </c>
      <c r="I590" s="96">
        <f t="shared" si="0"/>
      </c>
      <c r="J590" s="94">
        <f t="shared" si="4"/>
      </c>
      <c r="K590" s="94">
        <f t="shared" si="10"/>
      </c>
      <c r="L590" s="96">
        <f t="shared" si="5"/>
      </c>
      <c r="N590" s="2">
        <f>IF(583&gt;$Z$5,0,MOD(SMALL($Z$6:$Z$2005,583),10000))</f>
        <v>0</v>
      </c>
      <c r="O590" s="2">
        <f t="shared" si="11"/>
        <v>0</v>
      </c>
      <c r="Z590" s="2">
        <f>IF(AND(ISNUMBER(资金流水!$B$590),资金流水!$B$590&gt;=$C$4,资金流水!$B$590&lt;=$E$4,OR(资金流水!$C$590=$C$3,AND(资金流水!$AD$590=$C$3,资金流水!$X$590="账户互转"))),INT(资金流水!$B$590)*10000+585,"")</f>
      </c>
    </row>
    <row r="591">
      <c r="A591" s="94">
        <f>IF($N591=0,"",584)</f>
      </c>
      <c r="B591" s="95">
        <f t="shared" si="6"/>
      </c>
      <c r="C591" s="96">
        <f t="shared" si="1"/>
      </c>
      <c r="D591" s="21">
        <f t="shared" si="7"/>
      </c>
      <c r="E591" s="21">
        <f t="shared" si="2"/>
      </c>
      <c r="F591" s="48">
        <f t="shared" si="8"/>
      </c>
      <c r="G591" s="94">
        <f t="shared" si="9"/>
      </c>
      <c r="H591" s="94">
        <f t="shared" si="3"/>
      </c>
      <c r="I591" s="96">
        <f t="shared" si="0"/>
      </c>
      <c r="J591" s="94">
        <f t="shared" si="4"/>
      </c>
      <c r="K591" s="94">
        <f t="shared" si="10"/>
      </c>
      <c r="L591" s="96">
        <f t="shared" si="5"/>
      </c>
      <c r="N591" s="2">
        <f>IF(584&gt;$Z$5,0,MOD(SMALL($Z$6:$Z$2005,584),10000))</f>
        <v>0</v>
      </c>
      <c r="O591" s="2">
        <f t="shared" si="11"/>
        <v>0</v>
      </c>
      <c r="Z591" s="2">
        <f>IF(AND(ISNUMBER(资金流水!$B$591),资金流水!$B$591&gt;=$C$4,资金流水!$B$591&lt;=$E$4,OR(资金流水!$C$591=$C$3,AND(资金流水!$AD$591=$C$3,资金流水!$X$591="账户互转"))),INT(资金流水!$B$591)*10000+586,"")</f>
      </c>
    </row>
    <row r="592">
      <c r="A592" s="94">
        <f>IF($N592=0,"",585)</f>
      </c>
      <c r="B592" s="95">
        <f t="shared" si="6"/>
      </c>
      <c r="C592" s="96">
        <f t="shared" si="1"/>
      </c>
      <c r="D592" s="21">
        <f t="shared" si="7"/>
      </c>
      <c r="E592" s="21">
        <f t="shared" si="2"/>
      </c>
      <c r="F592" s="48">
        <f t="shared" si="8"/>
      </c>
      <c r="G592" s="94">
        <f t="shared" si="9"/>
      </c>
      <c r="H592" s="94">
        <f t="shared" si="3"/>
      </c>
      <c r="I592" s="96">
        <f t="shared" si="0"/>
      </c>
      <c r="J592" s="94">
        <f t="shared" si="4"/>
      </c>
      <c r="K592" s="94">
        <f t="shared" si="10"/>
      </c>
      <c r="L592" s="96">
        <f t="shared" si="5"/>
      </c>
      <c r="N592" s="2">
        <f>IF(585&gt;$Z$5,0,MOD(SMALL($Z$6:$Z$2005,585),10000))</f>
        <v>0</v>
      </c>
      <c r="O592" s="2">
        <f t="shared" si="11"/>
        <v>0</v>
      </c>
      <c r="Z592" s="2">
        <f>IF(AND(ISNUMBER(资金流水!$B$592),资金流水!$B$592&gt;=$C$4,资金流水!$B$592&lt;=$E$4,OR(资金流水!$C$592=$C$3,AND(资金流水!$AD$592=$C$3,资金流水!$X$592="账户互转"))),INT(资金流水!$B$592)*10000+587,"")</f>
      </c>
    </row>
    <row r="593">
      <c r="A593" s="94">
        <f>IF($N593=0,"",586)</f>
      </c>
      <c r="B593" s="95">
        <f t="shared" si="6"/>
      </c>
      <c r="C593" s="96">
        <f t="shared" si="1"/>
      </c>
      <c r="D593" s="21">
        <f t="shared" si="7"/>
      </c>
      <c r="E593" s="21">
        <f t="shared" si="2"/>
      </c>
      <c r="F593" s="48">
        <f t="shared" si="8"/>
      </c>
      <c r="G593" s="94">
        <f t="shared" si="9"/>
      </c>
      <c r="H593" s="94">
        <f t="shared" si="3"/>
      </c>
      <c r="I593" s="96">
        <f t="shared" si="0"/>
      </c>
      <c r="J593" s="94">
        <f t="shared" si="4"/>
      </c>
      <c r="K593" s="94">
        <f t="shared" si="10"/>
      </c>
      <c r="L593" s="96">
        <f t="shared" si="5"/>
      </c>
      <c r="N593" s="2">
        <f>IF(586&gt;$Z$5,0,MOD(SMALL($Z$6:$Z$2005,586),10000))</f>
        <v>0</v>
      </c>
      <c r="O593" s="2">
        <f t="shared" si="11"/>
        <v>0</v>
      </c>
      <c r="Z593" s="2">
        <f>IF(AND(ISNUMBER(资金流水!$B$593),资金流水!$B$593&gt;=$C$4,资金流水!$B$593&lt;=$E$4,OR(资金流水!$C$593=$C$3,AND(资金流水!$AD$593=$C$3,资金流水!$X$593="账户互转"))),INT(资金流水!$B$593)*10000+588,"")</f>
      </c>
    </row>
    <row r="594">
      <c r="A594" s="94">
        <f>IF($N594=0,"",587)</f>
      </c>
      <c r="B594" s="95">
        <f t="shared" si="6"/>
      </c>
      <c r="C594" s="96">
        <f t="shared" si="1"/>
      </c>
      <c r="D594" s="21">
        <f t="shared" si="7"/>
      </c>
      <c r="E594" s="21">
        <f t="shared" si="2"/>
      </c>
      <c r="F594" s="48">
        <f t="shared" si="8"/>
      </c>
      <c r="G594" s="94">
        <f t="shared" si="9"/>
      </c>
      <c r="H594" s="94">
        <f t="shared" si="3"/>
      </c>
      <c r="I594" s="96">
        <f t="shared" si="0"/>
      </c>
      <c r="J594" s="94">
        <f t="shared" si="4"/>
      </c>
      <c r="K594" s="94">
        <f t="shared" si="10"/>
      </c>
      <c r="L594" s="96">
        <f t="shared" si="5"/>
      </c>
      <c r="N594" s="2">
        <f>IF(587&gt;$Z$5,0,MOD(SMALL($Z$6:$Z$2005,587),10000))</f>
        <v>0</v>
      </c>
      <c r="O594" s="2">
        <f t="shared" si="11"/>
        <v>0</v>
      </c>
      <c r="Z594" s="2">
        <f>IF(AND(ISNUMBER(资金流水!$B$594),资金流水!$B$594&gt;=$C$4,资金流水!$B$594&lt;=$E$4,OR(资金流水!$C$594=$C$3,AND(资金流水!$AD$594=$C$3,资金流水!$X$594="账户互转"))),INT(资金流水!$B$594)*10000+589,"")</f>
      </c>
    </row>
    <row r="595">
      <c r="A595" s="94">
        <f>IF($N595=0,"",588)</f>
      </c>
      <c r="B595" s="95">
        <f t="shared" si="6"/>
      </c>
      <c r="C595" s="96">
        <f t="shared" si="1"/>
      </c>
      <c r="D595" s="21">
        <f t="shared" si="7"/>
      </c>
      <c r="E595" s="21">
        <f t="shared" si="2"/>
      </c>
      <c r="F595" s="48">
        <f t="shared" si="8"/>
      </c>
      <c r="G595" s="94">
        <f t="shared" si="9"/>
      </c>
      <c r="H595" s="94">
        <f t="shared" si="3"/>
      </c>
      <c r="I595" s="96">
        <f t="shared" si="0"/>
      </c>
      <c r="J595" s="94">
        <f t="shared" si="4"/>
      </c>
      <c r="K595" s="94">
        <f t="shared" si="10"/>
      </c>
      <c r="L595" s="96">
        <f t="shared" si="5"/>
      </c>
      <c r="N595" s="2">
        <f>IF(588&gt;$Z$5,0,MOD(SMALL($Z$6:$Z$2005,588),10000))</f>
        <v>0</v>
      </c>
      <c r="O595" s="2">
        <f t="shared" si="11"/>
        <v>0</v>
      </c>
      <c r="Z595" s="2">
        <f>IF(AND(ISNUMBER(资金流水!$B$595),资金流水!$B$595&gt;=$C$4,资金流水!$B$595&lt;=$E$4,OR(资金流水!$C$595=$C$3,AND(资金流水!$AD$595=$C$3,资金流水!$X$595="账户互转"))),INT(资金流水!$B$595)*10000+590,"")</f>
      </c>
    </row>
    <row r="596">
      <c r="A596" s="94">
        <f>IF($N596=0,"",589)</f>
      </c>
      <c r="B596" s="95">
        <f t="shared" si="6"/>
      </c>
      <c r="C596" s="96">
        <f t="shared" si="1"/>
      </c>
      <c r="D596" s="21">
        <f t="shared" si="7"/>
      </c>
      <c r="E596" s="21">
        <f t="shared" si="2"/>
      </c>
      <c r="F596" s="48">
        <f t="shared" si="8"/>
      </c>
      <c r="G596" s="94">
        <f t="shared" si="9"/>
      </c>
      <c r="H596" s="94">
        <f t="shared" si="3"/>
      </c>
      <c r="I596" s="96">
        <f t="shared" si="0"/>
      </c>
      <c r="J596" s="94">
        <f t="shared" si="4"/>
      </c>
      <c r="K596" s="94">
        <f t="shared" si="10"/>
      </c>
      <c r="L596" s="96">
        <f t="shared" si="5"/>
      </c>
      <c r="N596" s="2">
        <f>IF(589&gt;$Z$5,0,MOD(SMALL($Z$6:$Z$2005,589),10000))</f>
        <v>0</v>
      </c>
      <c r="O596" s="2">
        <f t="shared" si="11"/>
        <v>0</v>
      </c>
      <c r="Z596" s="2">
        <f>IF(AND(ISNUMBER(资金流水!$B$596),资金流水!$B$596&gt;=$C$4,资金流水!$B$596&lt;=$E$4,OR(资金流水!$C$596=$C$3,AND(资金流水!$AD$596=$C$3,资金流水!$X$596="账户互转"))),INT(资金流水!$B$596)*10000+591,"")</f>
      </c>
    </row>
    <row r="597">
      <c r="A597" s="94">
        <f>IF($N597=0,"",590)</f>
      </c>
      <c r="B597" s="95">
        <f t="shared" si="6"/>
      </c>
      <c r="C597" s="96">
        <f t="shared" si="1"/>
      </c>
      <c r="D597" s="21">
        <f t="shared" si="7"/>
      </c>
      <c r="E597" s="21">
        <f t="shared" si="2"/>
      </c>
      <c r="F597" s="48">
        <f t="shared" si="8"/>
      </c>
      <c r="G597" s="94">
        <f t="shared" si="9"/>
      </c>
      <c r="H597" s="94">
        <f t="shared" si="3"/>
      </c>
      <c r="I597" s="96">
        <f t="shared" si="0"/>
      </c>
      <c r="J597" s="94">
        <f t="shared" si="4"/>
      </c>
      <c r="K597" s="94">
        <f t="shared" si="10"/>
      </c>
      <c r="L597" s="96">
        <f t="shared" si="5"/>
      </c>
      <c r="N597" s="2">
        <f>IF(590&gt;$Z$5,0,MOD(SMALL($Z$6:$Z$2005,590),10000))</f>
        <v>0</v>
      </c>
      <c r="O597" s="2">
        <f t="shared" si="11"/>
        <v>0</v>
      </c>
      <c r="Z597" s="2">
        <f>IF(AND(ISNUMBER(资金流水!$B$597),资金流水!$B$597&gt;=$C$4,资金流水!$B$597&lt;=$E$4,OR(资金流水!$C$597=$C$3,AND(资金流水!$AD$597=$C$3,资金流水!$X$597="账户互转"))),INT(资金流水!$B$597)*10000+592,"")</f>
      </c>
    </row>
    <row r="598">
      <c r="A598" s="94">
        <f>IF($N598=0,"",591)</f>
      </c>
      <c r="B598" s="95">
        <f t="shared" si="6"/>
      </c>
      <c r="C598" s="96">
        <f t="shared" si="1"/>
      </c>
      <c r="D598" s="21">
        <f t="shared" si="7"/>
      </c>
      <c r="E598" s="21">
        <f t="shared" si="2"/>
      </c>
      <c r="F598" s="48">
        <f t="shared" si="8"/>
      </c>
      <c r="G598" s="94">
        <f t="shared" si="9"/>
      </c>
      <c r="H598" s="94">
        <f t="shared" si="3"/>
      </c>
      <c r="I598" s="96">
        <f t="shared" si="0"/>
      </c>
      <c r="J598" s="94">
        <f t="shared" si="4"/>
      </c>
      <c r="K598" s="94">
        <f t="shared" si="10"/>
      </c>
      <c r="L598" s="96">
        <f t="shared" si="5"/>
      </c>
      <c r="N598" s="2">
        <f>IF(591&gt;$Z$5,0,MOD(SMALL($Z$6:$Z$2005,591),10000))</f>
        <v>0</v>
      </c>
      <c r="O598" s="2">
        <f t="shared" si="11"/>
        <v>0</v>
      </c>
      <c r="Z598" s="2">
        <f>IF(AND(ISNUMBER(资金流水!$B$598),资金流水!$B$598&gt;=$C$4,资金流水!$B$598&lt;=$E$4,OR(资金流水!$C$598=$C$3,AND(资金流水!$AD$598=$C$3,资金流水!$X$598="账户互转"))),INT(资金流水!$B$598)*10000+593,"")</f>
      </c>
    </row>
    <row r="599">
      <c r="A599" s="94">
        <f>IF($N599=0,"",592)</f>
      </c>
      <c r="B599" s="95">
        <f t="shared" si="6"/>
      </c>
      <c r="C599" s="96">
        <f t="shared" si="1"/>
      </c>
      <c r="D599" s="21">
        <f t="shared" si="7"/>
      </c>
      <c r="E599" s="21">
        <f t="shared" si="2"/>
      </c>
      <c r="F599" s="48">
        <f t="shared" si="8"/>
      </c>
      <c r="G599" s="94">
        <f t="shared" si="9"/>
      </c>
      <c r="H599" s="94">
        <f t="shared" si="3"/>
      </c>
      <c r="I599" s="96">
        <f t="shared" si="0"/>
      </c>
      <c r="J599" s="94">
        <f t="shared" si="4"/>
      </c>
      <c r="K599" s="94">
        <f t="shared" si="10"/>
      </c>
      <c r="L599" s="96">
        <f t="shared" si="5"/>
      </c>
      <c r="N599" s="2">
        <f>IF(592&gt;$Z$5,0,MOD(SMALL($Z$6:$Z$2005,592),10000))</f>
        <v>0</v>
      </c>
      <c r="O599" s="2">
        <f t="shared" si="11"/>
        <v>0</v>
      </c>
      <c r="Z599" s="2">
        <f>IF(AND(ISNUMBER(资金流水!$B$599),资金流水!$B$599&gt;=$C$4,资金流水!$B$599&lt;=$E$4,OR(资金流水!$C$599=$C$3,AND(资金流水!$AD$599=$C$3,资金流水!$X$599="账户互转"))),INT(资金流水!$B$599)*10000+594,"")</f>
      </c>
    </row>
    <row r="600">
      <c r="A600" s="94">
        <f>IF($N600=0,"",593)</f>
      </c>
      <c r="B600" s="95">
        <f t="shared" si="6"/>
      </c>
      <c r="C600" s="96">
        <f t="shared" si="1"/>
      </c>
      <c r="D600" s="21">
        <f t="shared" si="7"/>
      </c>
      <c r="E600" s="21">
        <f t="shared" si="2"/>
      </c>
      <c r="F600" s="48">
        <f t="shared" si="8"/>
      </c>
      <c r="G600" s="94">
        <f t="shared" si="9"/>
      </c>
      <c r="H600" s="94">
        <f t="shared" si="3"/>
      </c>
      <c r="I600" s="96">
        <f t="shared" si="0"/>
      </c>
      <c r="J600" s="94">
        <f t="shared" si="4"/>
      </c>
      <c r="K600" s="94">
        <f t="shared" si="10"/>
      </c>
      <c r="L600" s="96">
        <f t="shared" si="5"/>
      </c>
      <c r="N600" s="2">
        <f>IF(593&gt;$Z$5,0,MOD(SMALL($Z$6:$Z$2005,593),10000))</f>
        <v>0</v>
      </c>
      <c r="O600" s="2">
        <f t="shared" si="11"/>
        <v>0</v>
      </c>
      <c r="Z600" s="2">
        <f>IF(AND(ISNUMBER(资金流水!$B$600),资金流水!$B$600&gt;=$C$4,资金流水!$B$600&lt;=$E$4,OR(资金流水!$C$600=$C$3,AND(资金流水!$AD$600=$C$3,资金流水!$X$600="账户互转"))),INT(资金流水!$B$600)*10000+595,"")</f>
      </c>
    </row>
    <row r="601">
      <c r="A601" s="94">
        <f>IF($N601=0,"",594)</f>
      </c>
      <c r="B601" s="95">
        <f t="shared" si="6"/>
      </c>
      <c r="C601" s="96">
        <f t="shared" si="1"/>
      </c>
      <c r="D601" s="21">
        <f t="shared" si="7"/>
      </c>
      <c r="E601" s="21">
        <f t="shared" si="2"/>
      </c>
      <c r="F601" s="48">
        <f t="shared" si="8"/>
      </c>
      <c r="G601" s="94">
        <f t="shared" si="9"/>
      </c>
      <c r="H601" s="94">
        <f t="shared" si="3"/>
      </c>
      <c r="I601" s="96">
        <f t="shared" si="0"/>
      </c>
      <c r="J601" s="94">
        <f t="shared" si="4"/>
      </c>
      <c r="K601" s="94">
        <f t="shared" si="10"/>
      </c>
      <c r="L601" s="96">
        <f t="shared" si="5"/>
      </c>
      <c r="N601" s="2">
        <f>IF(594&gt;$Z$5,0,MOD(SMALL($Z$6:$Z$2005,594),10000))</f>
        <v>0</v>
      </c>
      <c r="O601" s="2">
        <f t="shared" si="11"/>
        <v>0</v>
      </c>
      <c r="Z601" s="2">
        <f>IF(AND(ISNUMBER(资金流水!$B$601),资金流水!$B$601&gt;=$C$4,资金流水!$B$601&lt;=$E$4,OR(资金流水!$C$601=$C$3,AND(资金流水!$AD$601=$C$3,资金流水!$X$601="账户互转"))),INT(资金流水!$B$601)*10000+596,"")</f>
      </c>
    </row>
    <row r="602">
      <c r="A602" s="94">
        <f>IF($N602=0,"",595)</f>
      </c>
      <c r="B602" s="95">
        <f t="shared" si="6"/>
      </c>
      <c r="C602" s="96">
        <f t="shared" si="1"/>
      </c>
      <c r="D602" s="21">
        <f t="shared" si="7"/>
      </c>
      <c r="E602" s="21">
        <f t="shared" si="2"/>
      </c>
      <c r="F602" s="48">
        <f t="shared" si="8"/>
      </c>
      <c r="G602" s="94">
        <f t="shared" si="9"/>
      </c>
      <c r="H602" s="94">
        <f t="shared" si="3"/>
      </c>
      <c r="I602" s="96">
        <f t="shared" si="0"/>
      </c>
      <c r="J602" s="94">
        <f t="shared" si="4"/>
      </c>
      <c r="K602" s="94">
        <f t="shared" si="10"/>
      </c>
      <c r="L602" s="96">
        <f t="shared" si="5"/>
      </c>
      <c r="N602" s="2">
        <f>IF(595&gt;$Z$5,0,MOD(SMALL($Z$6:$Z$2005,595),10000))</f>
        <v>0</v>
      </c>
      <c r="O602" s="2">
        <f t="shared" si="11"/>
        <v>0</v>
      </c>
      <c r="Z602" s="2">
        <f>IF(AND(ISNUMBER(资金流水!$B$602),资金流水!$B$602&gt;=$C$4,资金流水!$B$602&lt;=$E$4,OR(资金流水!$C$602=$C$3,AND(资金流水!$AD$602=$C$3,资金流水!$X$602="账户互转"))),INT(资金流水!$B$602)*10000+597,"")</f>
      </c>
    </row>
    <row r="603">
      <c r="A603" s="94">
        <f>IF($N603=0,"",596)</f>
      </c>
      <c r="B603" s="95">
        <f t="shared" si="6"/>
      </c>
      <c r="C603" s="96">
        <f t="shared" si="1"/>
      </c>
      <c r="D603" s="21">
        <f t="shared" si="7"/>
      </c>
      <c r="E603" s="21">
        <f t="shared" si="2"/>
      </c>
      <c r="F603" s="48">
        <f t="shared" si="8"/>
      </c>
      <c r="G603" s="94">
        <f t="shared" si="9"/>
      </c>
      <c r="H603" s="94">
        <f t="shared" si="3"/>
      </c>
      <c r="I603" s="96">
        <f t="shared" si="0"/>
      </c>
      <c r="J603" s="94">
        <f t="shared" si="4"/>
      </c>
      <c r="K603" s="94">
        <f t="shared" si="10"/>
      </c>
      <c r="L603" s="96">
        <f t="shared" si="5"/>
      </c>
      <c r="N603" s="2">
        <f>IF(596&gt;$Z$5,0,MOD(SMALL($Z$6:$Z$2005,596),10000))</f>
        <v>0</v>
      </c>
      <c r="O603" s="2">
        <f t="shared" si="11"/>
        <v>0</v>
      </c>
      <c r="Z603" s="2">
        <f>IF(AND(ISNUMBER(资金流水!$B$603),资金流水!$B$603&gt;=$C$4,资金流水!$B$603&lt;=$E$4,OR(资金流水!$C$603=$C$3,AND(资金流水!$AD$603=$C$3,资金流水!$X$603="账户互转"))),INT(资金流水!$B$603)*10000+598,"")</f>
      </c>
    </row>
    <row r="604">
      <c r="A604" s="94">
        <f>IF($N604=0,"",597)</f>
      </c>
      <c r="B604" s="95">
        <f t="shared" si="6"/>
      </c>
      <c r="C604" s="96">
        <f t="shared" si="1"/>
      </c>
      <c r="D604" s="21">
        <f t="shared" si="7"/>
      </c>
      <c r="E604" s="21">
        <f t="shared" si="2"/>
      </c>
      <c r="F604" s="48">
        <f t="shared" si="8"/>
      </c>
      <c r="G604" s="94">
        <f t="shared" si="9"/>
      </c>
      <c r="H604" s="94">
        <f t="shared" si="3"/>
      </c>
      <c r="I604" s="96">
        <f t="shared" si="0"/>
      </c>
      <c r="J604" s="94">
        <f t="shared" si="4"/>
      </c>
      <c r="K604" s="94">
        <f t="shared" si="10"/>
      </c>
      <c r="L604" s="96">
        <f t="shared" si="5"/>
      </c>
      <c r="N604" s="2">
        <f>IF(597&gt;$Z$5,0,MOD(SMALL($Z$6:$Z$2005,597),10000))</f>
        <v>0</v>
      </c>
      <c r="O604" s="2">
        <f t="shared" si="11"/>
        <v>0</v>
      </c>
      <c r="Z604" s="2">
        <f>IF(AND(ISNUMBER(资金流水!$B$604),资金流水!$B$604&gt;=$C$4,资金流水!$B$604&lt;=$E$4,OR(资金流水!$C$604=$C$3,AND(资金流水!$AD$604=$C$3,资金流水!$X$604="账户互转"))),INT(资金流水!$B$604)*10000+599,"")</f>
      </c>
    </row>
    <row r="605">
      <c r="A605" s="94">
        <f>IF($N605=0,"",598)</f>
      </c>
      <c r="B605" s="95">
        <f t="shared" si="6"/>
      </c>
      <c r="C605" s="96">
        <f t="shared" si="1"/>
      </c>
      <c r="D605" s="21">
        <f t="shared" si="7"/>
      </c>
      <c r="E605" s="21">
        <f t="shared" si="2"/>
      </c>
      <c r="F605" s="48">
        <f t="shared" si="8"/>
      </c>
      <c r="G605" s="94">
        <f t="shared" si="9"/>
      </c>
      <c r="H605" s="94">
        <f t="shared" si="3"/>
      </c>
      <c r="I605" s="96">
        <f t="shared" si="0"/>
      </c>
      <c r="J605" s="94">
        <f t="shared" si="4"/>
      </c>
      <c r="K605" s="94">
        <f t="shared" si="10"/>
      </c>
      <c r="L605" s="96">
        <f t="shared" si="5"/>
      </c>
      <c r="N605" s="2">
        <f>IF(598&gt;$Z$5,0,MOD(SMALL($Z$6:$Z$2005,598),10000))</f>
        <v>0</v>
      </c>
      <c r="O605" s="2">
        <f t="shared" si="11"/>
        <v>0</v>
      </c>
      <c r="Z605" s="2">
        <f>IF(AND(ISNUMBER(资金流水!$B$605),资金流水!$B$605&gt;=$C$4,资金流水!$B$605&lt;=$E$4,OR(资金流水!$C$605=$C$3,AND(资金流水!$AD$605=$C$3,资金流水!$X$605="账户互转"))),INT(资金流水!$B$605)*10000+600,"")</f>
      </c>
    </row>
    <row r="606">
      <c r="A606" s="94">
        <f>IF($N606=0,"",599)</f>
      </c>
      <c r="B606" s="95">
        <f t="shared" si="6"/>
      </c>
      <c r="C606" s="96">
        <f t="shared" si="1"/>
      </c>
      <c r="D606" s="21">
        <f t="shared" si="7"/>
      </c>
      <c r="E606" s="21">
        <f t="shared" si="2"/>
      </c>
      <c r="F606" s="48">
        <f t="shared" si="8"/>
      </c>
      <c r="G606" s="94">
        <f t="shared" si="9"/>
      </c>
      <c r="H606" s="94">
        <f t="shared" si="3"/>
      </c>
      <c r="I606" s="96">
        <f t="shared" si="0"/>
      </c>
      <c r="J606" s="94">
        <f t="shared" si="4"/>
      </c>
      <c r="K606" s="94">
        <f t="shared" si="10"/>
      </c>
      <c r="L606" s="96">
        <f t="shared" si="5"/>
      </c>
      <c r="N606" s="2">
        <f>IF(599&gt;$Z$5,0,MOD(SMALL($Z$6:$Z$2005,599),10000))</f>
        <v>0</v>
      </c>
      <c r="O606" s="2">
        <f t="shared" si="11"/>
        <v>0</v>
      </c>
      <c r="Z606" s="2">
        <f>IF(AND(ISNUMBER(资金流水!$B$606),资金流水!$B$606&gt;=$C$4,资金流水!$B$606&lt;=$E$4,OR(资金流水!$C$606=$C$3,AND(资金流水!$AD$606=$C$3,资金流水!$X$606="账户互转"))),INT(资金流水!$B$606)*10000+601,"")</f>
      </c>
    </row>
    <row r="607">
      <c r="A607" s="94">
        <f>IF($N607=0,"",600)</f>
      </c>
      <c r="B607" s="95">
        <f t="shared" si="6"/>
      </c>
      <c r="C607" s="96">
        <f t="shared" si="1"/>
      </c>
      <c r="D607" s="21">
        <f t="shared" si="7"/>
      </c>
      <c r="E607" s="21">
        <f t="shared" si="2"/>
      </c>
      <c r="F607" s="48">
        <f t="shared" si="8"/>
      </c>
      <c r="G607" s="94">
        <f t="shared" si="9"/>
      </c>
      <c r="H607" s="94">
        <f t="shared" si="3"/>
      </c>
      <c r="I607" s="96">
        <f t="shared" si="0"/>
      </c>
      <c r="J607" s="94">
        <f t="shared" si="4"/>
      </c>
      <c r="K607" s="94">
        <f t="shared" si="10"/>
      </c>
      <c r="L607" s="96">
        <f t="shared" si="5"/>
      </c>
      <c r="N607" s="2">
        <f>IF(600&gt;$Z$5,0,MOD(SMALL($Z$6:$Z$2005,600),10000))</f>
        <v>0</v>
      </c>
      <c r="O607" s="2">
        <f t="shared" si="11"/>
        <v>0</v>
      </c>
      <c r="Z607" s="2">
        <f>IF(AND(ISNUMBER(资金流水!$B$607),资金流水!$B$607&gt;=$C$4,资金流水!$B$607&lt;=$E$4,OR(资金流水!$C$607=$C$3,AND(资金流水!$AD$607=$C$3,资金流水!$X$607="账户互转"))),INT(资金流水!$B$607)*10000+602,"")</f>
      </c>
    </row>
    <row r="608">
      <c r="A608" s="94">
        <f>IF($N608=0,"",601)</f>
      </c>
      <c r="B608" s="95">
        <f t="shared" si="6"/>
      </c>
      <c r="C608" s="96">
        <f t="shared" si="1"/>
      </c>
      <c r="D608" s="21">
        <f t="shared" si="7"/>
      </c>
      <c r="E608" s="21">
        <f t="shared" si="2"/>
      </c>
      <c r="F608" s="48">
        <f t="shared" si="8"/>
      </c>
      <c r="G608" s="94">
        <f t="shared" si="9"/>
      </c>
      <c r="H608" s="94">
        <f t="shared" si="3"/>
      </c>
      <c r="I608" s="96">
        <f t="shared" si="0"/>
      </c>
      <c r="J608" s="94">
        <f t="shared" si="4"/>
      </c>
      <c r="K608" s="94">
        <f t="shared" si="10"/>
      </c>
      <c r="L608" s="96">
        <f t="shared" si="5"/>
      </c>
      <c r="N608" s="2">
        <f>IF(601&gt;$Z$5,0,MOD(SMALL($Z$6:$Z$2005,601),10000))</f>
        <v>0</v>
      </c>
      <c r="O608" s="2">
        <f t="shared" si="11"/>
        <v>0</v>
      </c>
      <c r="Z608" s="2">
        <f>IF(AND(ISNUMBER(资金流水!$B$608),资金流水!$B$608&gt;=$C$4,资金流水!$B$608&lt;=$E$4,OR(资金流水!$C$608=$C$3,AND(资金流水!$AD$608=$C$3,资金流水!$X$608="账户互转"))),INT(资金流水!$B$608)*10000+603,"")</f>
      </c>
    </row>
    <row r="609">
      <c r="A609" s="94">
        <f>IF($N609=0,"",602)</f>
      </c>
      <c r="B609" s="95">
        <f t="shared" si="6"/>
      </c>
      <c r="C609" s="96">
        <f t="shared" si="1"/>
      </c>
      <c r="D609" s="21">
        <f t="shared" si="7"/>
      </c>
      <c r="E609" s="21">
        <f t="shared" si="2"/>
      </c>
      <c r="F609" s="48">
        <f t="shared" si="8"/>
      </c>
      <c r="G609" s="94">
        <f t="shared" si="9"/>
      </c>
      <c r="H609" s="94">
        <f t="shared" si="3"/>
      </c>
      <c r="I609" s="96">
        <f t="shared" si="0"/>
      </c>
      <c r="J609" s="94">
        <f t="shared" si="4"/>
      </c>
      <c r="K609" s="94">
        <f t="shared" si="10"/>
      </c>
      <c r="L609" s="96">
        <f t="shared" si="5"/>
      </c>
      <c r="N609" s="2">
        <f>IF(602&gt;$Z$5,0,MOD(SMALL($Z$6:$Z$2005,602),10000))</f>
        <v>0</v>
      </c>
      <c r="O609" s="2">
        <f t="shared" si="11"/>
        <v>0</v>
      </c>
      <c r="Z609" s="2">
        <f>IF(AND(ISNUMBER(资金流水!$B$609),资金流水!$B$609&gt;=$C$4,资金流水!$B$609&lt;=$E$4,OR(资金流水!$C$609=$C$3,AND(资金流水!$AD$609=$C$3,资金流水!$X$609="账户互转"))),INT(资金流水!$B$609)*10000+604,"")</f>
      </c>
    </row>
    <row r="610">
      <c r="A610" s="94">
        <f>IF($N610=0,"",603)</f>
      </c>
      <c r="B610" s="95">
        <f t="shared" si="6"/>
      </c>
      <c r="C610" s="96">
        <f t="shared" si="1"/>
      </c>
      <c r="D610" s="21">
        <f t="shared" si="7"/>
      </c>
      <c r="E610" s="21">
        <f t="shared" si="2"/>
      </c>
      <c r="F610" s="48">
        <f t="shared" si="8"/>
      </c>
      <c r="G610" s="94">
        <f t="shared" si="9"/>
      </c>
      <c r="H610" s="94">
        <f t="shared" si="3"/>
      </c>
      <c r="I610" s="96">
        <f t="shared" si="0"/>
      </c>
      <c r="J610" s="94">
        <f t="shared" si="4"/>
      </c>
      <c r="K610" s="94">
        <f t="shared" si="10"/>
      </c>
      <c r="L610" s="96">
        <f t="shared" si="5"/>
      </c>
      <c r="N610" s="2">
        <f>IF(603&gt;$Z$5,0,MOD(SMALL($Z$6:$Z$2005,603),10000))</f>
        <v>0</v>
      </c>
      <c r="O610" s="2">
        <f t="shared" si="11"/>
        <v>0</v>
      </c>
      <c r="Z610" s="2">
        <f>IF(AND(ISNUMBER(资金流水!$B$610),资金流水!$B$610&gt;=$C$4,资金流水!$B$610&lt;=$E$4,OR(资金流水!$C$610=$C$3,AND(资金流水!$AD$610=$C$3,资金流水!$X$610="账户互转"))),INT(资金流水!$B$610)*10000+605,"")</f>
      </c>
    </row>
    <row r="611">
      <c r="A611" s="94">
        <f>IF($N611=0,"",604)</f>
      </c>
      <c r="B611" s="95">
        <f t="shared" si="6"/>
      </c>
      <c r="C611" s="96">
        <f t="shared" si="1"/>
      </c>
      <c r="D611" s="21">
        <f t="shared" si="7"/>
      </c>
      <c r="E611" s="21">
        <f t="shared" si="2"/>
      </c>
      <c r="F611" s="48">
        <f t="shared" si="8"/>
      </c>
      <c r="G611" s="94">
        <f t="shared" si="9"/>
      </c>
      <c r="H611" s="94">
        <f t="shared" si="3"/>
      </c>
      <c r="I611" s="96">
        <f t="shared" si="0"/>
      </c>
      <c r="J611" s="94">
        <f t="shared" si="4"/>
      </c>
      <c r="K611" s="94">
        <f t="shared" si="10"/>
      </c>
      <c r="L611" s="96">
        <f t="shared" si="5"/>
      </c>
      <c r="N611" s="2">
        <f>IF(604&gt;$Z$5,0,MOD(SMALL($Z$6:$Z$2005,604),10000))</f>
        <v>0</v>
      </c>
      <c r="O611" s="2">
        <f t="shared" si="11"/>
        <v>0</v>
      </c>
      <c r="Z611" s="2">
        <f>IF(AND(ISNUMBER(资金流水!$B$611),资金流水!$B$611&gt;=$C$4,资金流水!$B$611&lt;=$E$4,OR(资金流水!$C$611=$C$3,AND(资金流水!$AD$611=$C$3,资金流水!$X$611="账户互转"))),INT(资金流水!$B$611)*10000+606,"")</f>
      </c>
    </row>
    <row r="612">
      <c r="A612" s="94">
        <f>IF($N612=0,"",605)</f>
      </c>
      <c r="B612" s="95">
        <f t="shared" si="6"/>
      </c>
      <c r="C612" s="96">
        <f t="shared" si="1"/>
      </c>
      <c r="D612" s="21">
        <f t="shared" si="7"/>
      </c>
      <c r="E612" s="21">
        <f t="shared" si="2"/>
      </c>
      <c r="F612" s="48">
        <f t="shared" si="8"/>
      </c>
      <c r="G612" s="94">
        <f t="shared" si="9"/>
      </c>
      <c r="H612" s="94">
        <f t="shared" si="3"/>
      </c>
      <c r="I612" s="96">
        <f t="shared" si="0"/>
      </c>
      <c r="J612" s="94">
        <f t="shared" si="4"/>
      </c>
      <c r="K612" s="94">
        <f t="shared" si="10"/>
      </c>
      <c r="L612" s="96">
        <f t="shared" si="5"/>
      </c>
      <c r="N612" s="2">
        <f>IF(605&gt;$Z$5,0,MOD(SMALL($Z$6:$Z$2005,605),10000))</f>
        <v>0</v>
      </c>
      <c r="O612" s="2">
        <f t="shared" si="11"/>
        <v>0</v>
      </c>
      <c r="Z612" s="2">
        <f>IF(AND(ISNUMBER(资金流水!$B$612),资金流水!$B$612&gt;=$C$4,资金流水!$B$612&lt;=$E$4,OR(资金流水!$C$612=$C$3,AND(资金流水!$AD$612=$C$3,资金流水!$X$612="账户互转"))),INT(资金流水!$B$612)*10000+607,"")</f>
      </c>
    </row>
    <row r="613">
      <c r="A613" s="94">
        <f>IF($N613=0,"",606)</f>
      </c>
      <c r="B613" s="95">
        <f t="shared" si="6"/>
      </c>
      <c r="C613" s="96">
        <f t="shared" si="1"/>
      </c>
      <c r="D613" s="21">
        <f t="shared" si="7"/>
      </c>
      <c r="E613" s="21">
        <f t="shared" si="2"/>
      </c>
      <c r="F613" s="48">
        <f t="shared" si="8"/>
      </c>
      <c r="G613" s="94">
        <f t="shared" si="9"/>
      </c>
      <c r="H613" s="94">
        <f t="shared" si="3"/>
      </c>
      <c r="I613" s="96">
        <f t="shared" si="0"/>
      </c>
      <c r="J613" s="94">
        <f t="shared" si="4"/>
      </c>
      <c r="K613" s="94">
        <f t="shared" si="10"/>
      </c>
      <c r="L613" s="96">
        <f t="shared" si="5"/>
      </c>
      <c r="N613" s="2">
        <f>IF(606&gt;$Z$5,0,MOD(SMALL($Z$6:$Z$2005,606),10000))</f>
        <v>0</v>
      </c>
      <c r="O613" s="2">
        <f t="shared" si="11"/>
        <v>0</v>
      </c>
      <c r="Z613" s="2">
        <f>IF(AND(ISNUMBER(资金流水!$B$613),资金流水!$B$613&gt;=$C$4,资金流水!$B$613&lt;=$E$4,OR(资金流水!$C$613=$C$3,AND(资金流水!$AD$613=$C$3,资金流水!$X$613="账户互转"))),INT(资金流水!$B$613)*10000+608,"")</f>
      </c>
    </row>
    <row r="614">
      <c r="A614" s="94">
        <f>IF($N614=0,"",607)</f>
      </c>
      <c r="B614" s="95">
        <f t="shared" si="6"/>
      </c>
      <c r="C614" s="96">
        <f t="shared" si="1"/>
      </c>
      <c r="D614" s="21">
        <f t="shared" si="7"/>
      </c>
      <c r="E614" s="21">
        <f t="shared" si="2"/>
      </c>
      <c r="F614" s="48">
        <f t="shared" si="8"/>
      </c>
      <c r="G614" s="94">
        <f t="shared" si="9"/>
      </c>
      <c r="H614" s="94">
        <f t="shared" si="3"/>
      </c>
      <c r="I614" s="96">
        <f t="shared" si="0"/>
      </c>
      <c r="J614" s="94">
        <f t="shared" si="4"/>
      </c>
      <c r="K614" s="94">
        <f t="shared" si="10"/>
      </c>
      <c r="L614" s="96">
        <f t="shared" si="5"/>
      </c>
      <c r="N614" s="2">
        <f>IF(607&gt;$Z$5,0,MOD(SMALL($Z$6:$Z$2005,607),10000))</f>
        <v>0</v>
      </c>
      <c r="O614" s="2">
        <f t="shared" si="11"/>
        <v>0</v>
      </c>
      <c r="Z614" s="2">
        <f>IF(AND(ISNUMBER(资金流水!$B$614),资金流水!$B$614&gt;=$C$4,资金流水!$B$614&lt;=$E$4,OR(资金流水!$C$614=$C$3,AND(资金流水!$AD$614=$C$3,资金流水!$X$614="账户互转"))),INT(资金流水!$B$614)*10000+609,"")</f>
      </c>
    </row>
    <row r="615">
      <c r="A615" s="94">
        <f>IF($N615=0,"",608)</f>
      </c>
      <c r="B615" s="95">
        <f t="shared" si="6"/>
      </c>
      <c r="C615" s="96">
        <f t="shared" si="1"/>
      </c>
      <c r="D615" s="21">
        <f t="shared" si="7"/>
      </c>
      <c r="E615" s="21">
        <f t="shared" si="2"/>
      </c>
      <c r="F615" s="48">
        <f t="shared" si="8"/>
      </c>
      <c r="G615" s="94">
        <f t="shared" si="9"/>
      </c>
      <c r="H615" s="94">
        <f t="shared" si="3"/>
      </c>
      <c r="I615" s="96">
        <f t="shared" si="0"/>
      </c>
      <c r="J615" s="94">
        <f t="shared" si="4"/>
      </c>
      <c r="K615" s="94">
        <f t="shared" si="10"/>
      </c>
      <c r="L615" s="96">
        <f t="shared" si="5"/>
      </c>
      <c r="N615" s="2">
        <f>IF(608&gt;$Z$5,0,MOD(SMALL($Z$6:$Z$2005,608),10000))</f>
        <v>0</v>
      </c>
      <c r="O615" s="2">
        <f t="shared" si="11"/>
        <v>0</v>
      </c>
      <c r="Z615" s="2">
        <f>IF(AND(ISNUMBER(资金流水!$B$615),资金流水!$B$615&gt;=$C$4,资金流水!$B$615&lt;=$E$4,OR(资金流水!$C$615=$C$3,AND(资金流水!$AD$615=$C$3,资金流水!$X$615="账户互转"))),INT(资金流水!$B$615)*10000+610,"")</f>
      </c>
    </row>
    <row r="616">
      <c r="A616" s="94">
        <f>IF($N616=0,"",609)</f>
      </c>
      <c r="B616" s="95">
        <f t="shared" si="6"/>
      </c>
      <c r="C616" s="96">
        <f t="shared" si="1"/>
      </c>
      <c r="D616" s="21">
        <f t="shared" si="7"/>
      </c>
      <c r="E616" s="21">
        <f t="shared" si="2"/>
      </c>
      <c r="F616" s="48">
        <f t="shared" si="8"/>
      </c>
      <c r="G616" s="94">
        <f t="shared" si="9"/>
      </c>
      <c r="H616" s="94">
        <f t="shared" si="3"/>
      </c>
      <c r="I616" s="96">
        <f t="shared" si="0"/>
      </c>
      <c r="J616" s="94">
        <f t="shared" si="4"/>
      </c>
      <c r="K616" s="94">
        <f t="shared" si="10"/>
      </c>
      <c r="L616" s="96">
        <f t="shared" si="5"/>
      </c>
      <c r="N616" s="2">
        <f>IF(609&gt;$Z$5,0,MOD(SMALL($Z$6:$Z$2005,609),10000))</f>
        <v>0</v>
      </c>
      <c r="O616" s="2">
        <f t="shared" si="11"/>
        <v>0</v>
      </c>
      <c r="Z616" s="2">
        <f>IF(AND(ISNUMBER(资金流水!$B$616),资金流水!$B$616&gt;=$C$4,资金流水!$B$616&lt;=$E$4,OR(资金流水!$C$616=$C$3,AND(资金流水!$AD$616=$C$3,资金流水!$X$616="账户互转"))),INT(资金流水!$B$616)*10000+611,"")</f>
      </c>
    </row>
    <row r="617">
      <c r="A617" s="94">
        <f>IF($N617=0,"",610)</f>
      </c>
      <c r="B617" s="95">
        <f t="shared" si="6"/>
      </c>
      <c r="C617" s="96">
        <f t="shared" si="1"/>
      </c>
      <c r="D617" s="21">
        <f t="shared" si="7"/>
      </c>
      <c r="E617" s="21">
        <f t="shared" si="2"/>
      </c>
      <c r="F617" s="48">
        <f t="shared" si="8"/>
      </c>
      <c r="G617" s="94">
        <f t="shared" si="9"/>
      </c>
      <c r="H617" s="94">
        <f t="shared" si="3"/>
      </c>
      <c r="I617" s="96">
        <f t="shared" si="0"/>
      </c>
      <c r="J617" s="94">
        <f t="shared" si="4"/>
      </c>
      <c r="K617" s="94">
        <f t="shared" si="10"/>
      </c>
      <c r="L617" s="96">
        <f t="shared" si="5"/>
      </c>
      <c r="N617" s="2">
        <f>IF(610&gt;$Z$5,0,MOD(SMALL($Z$6:$Z$2005,610),10000))</f>
        <v>0</v>
      </c>
      <c r="O617" s="2">
        <f t="shared" si="11"/>
        <v>0</v>
      </c>
      <c r="Z617" s="2">
        <f>IF(AND(ISNUMBER(资金流水!$B$617),资金流水!$B$617&gt;=$C$4,资金流水!$B$617&lt;=$E$4,OR(资金流水!$C$617=$C$3,AND(资金流水!$AD$617=$C$3,资金流水!$X$617="账户互转"))),INT(资金流水!$B$617)*10000+612,"")</f>
      </c>
    </row>
    <row r="618">
      <c r="A618" s="94">
        <f>IF($N618=0,"",611)</f>
      </c>
      <c r="B618" s="95">
        <f t="shared" si="6"/>
      </c>
      <c r="C618" s="96">
        <f t="shared" si="1"/>
      </c>
      <c r="D618" s="21">
        <f t="shared" si="7"/>
      </c>
      <c r="E618" s="21">
        <f t="shared" si="2"/>
      </c>
      <c r="F618" s="48">
        <f t="shared" si="8"/>
      </c>
      <c r="G618" s="94">
        <f t="shared" si="9"/>
      </c>
      <c r="H618" s="94">
        <f t="shared" si="3"/>
      </c>
      <c r="I618" s="96">
        <f t="shared" si="0"/>
      </c>
      <c r="J618" s="94">
        <f t="shared" si="4"/>
      </c>
      <c r="K618" s="94">
        <f t="shared" si="10"/>
      </c>
      <c r="L618" s="96">
        <f t="shared" si="5"/>
      </c>
      <c r="N618" s="2">
        <f>IF(611&gt;$Z$5,0,MOD(SMALL($Z$6:$Z$2005,611),10000))</f>
        <v>0</v>
      </c>
      <c r="O618" s="2">
        <f t="shared" si="11"/>
        <v>0</v>
      </c>
      <c r="Z618" s="2">
        <f>IF(AND(ISNUMBER(资金流水!$B$618),资金流水!$B$618&gt;=$C$4,资金流水!$B$618&lt;=$E$4,OR(资金流水!$C$618=$C$3,AND(资金流水!$AD$618=$C$3,资金流水!$X$618="账户互转"))),INT(资金流水!$B$618)*10000+613,"")</f>
      </c>
    </row>
    <row r="619">
      <c r="A619" s="94">
        <f>IF($N619=0,"",612)</f>
      </c>
      <c r="B619" s="95">
        <f t="shared" si="6"/>
      </c>
      <c r="C619" s="96">
        <f t="shared" si="1"/>
      </c>
      <c r="D619" s="21">
        <f t="shared" si="7"/>
      </c>
      <c r="E619" s="21">
        <f t="shared" si="2"/>
      </c>
      <c r="F619" s="48">
        <f t="shared" si="8"/>
      </c>
      <c r="G619" s="94">
        <f t="shared" si="9"/>
      </c>
      <c r="H619" s="94">
        <f t="shared" si="3"/>
      </c>
      <c r="I619" s="96">
        <f t="shared" si="0"/>
      </c>
      <c r="J619" s="94">
        <f t="shared" si="4"/>
      </c>
      <c r="K619" s="94">
        <f t="shared" si="10"/>
      </c>
      <c r="L619" s="96">
        <f t="shared" si="5"/>
      </c>
      <c r="N619" s="2">
        <f>IF(612&gt;$Z$5,0,MOD(SMALL($Z$6:$Z$2005,612),10000))</f>
        <v>0</v>
      </c>
      <c r="O619" s="2">
        <f t="shared" si="11"/>
        <v>0</v>
      </c>
      <c r="Z619" s="2">
        <f>IF(AND(ISNUMBER(资金流水!$B$619),资金流水!$B$619&gt;=$C$4,资金流水!$B$619&lt;=$E$4,OR(资金流水!$C$619=$C$3,AND(资金流水!$AD$619=$C$3,资金流水!$X$619="账户互转"))),INT(资金流水!$B$619)*10000+614,"")</f>
      </c>
    </row>
    <row r="620">
      <c r="A620" s="94">
        <f>IF($N620=0,"",613)</f>
      </c>
      <c r="B620" s="95">
        <f t="shared" si="6"/>
      </c>
      <c r="C620" s="96">
        <f t="shared" si="1"/>
      </c>
      <c r="D620" s="21">
        <f t="shared" si="7"/>
      </c>
      <c r="E620" s="21">
        <f t="shared" si="2"/>
      </c>
      <c r="F620" s="48">
        <f t="shared" si="8"/>
      </c>
      <c r="G620" s="94">
        <f t="shared" si="9"/>
      </c>
      <c r="H620" s="94">
        <f t="shared" si="3"/>
      </c>
      <c r="I620" s="96">
        <f t="shared" si="0"/>
      </c>
      <c r="J620" s="94">
        <f t="shared" si="4"/>
      </c>
      <c r="K620" s="94">
        <f t="shared" si="10"/>
      </c>
      <c r="L620" s="96">
        <f t="shared" si="5"/>
      </c>
      <c r="N620" s="2">
        <f>IF(613&gt;$Z$5,0,MOD(SMALL($Z$6:$Z$2005,613),10000))</f>
        <v>0</v>
      </c>
      <c r="O620" s="2">
        <f t="shared" si="11"/>
        <v>0</v>
      </c>
      <c r="Z620" s="2">
        <f>IF(AND(ISNUMBER(资金流水!$B$620),资金流水!$B$620&gt;=$C$4,资金流水!$B$620&lt;=$E$4,OR(资金流水!$C$620=$C$3,AND(资金流水!$AD$620=$C$3,资金流水!$X$620="账户互转"))),INT(资金流水!$B$620)*10000+615,"")</f>
      </c>
    </row>
    <row r="621">
      <c r="A621" s="94">
        <f>IF($N621=0,"",614)</f>
      </c>
      <c r="B621" s="95">
        <f t="shared" si="6"/>
      </c>
      <c r="C621" s="96">
        <f t="shared" si="1"/>
      </c>
      <c r="D621" s="21">
        <f t="shared" si="7"/>
      </c>
      <c r="E621" s="21">
        <f t="shared" si="2"/>
      </c>
      <c r="F621" s="48">
        <f t="shared" si="8"/>
      </c>
      <c r="G621" s="94">
        <f t="shared" si="9"/>
      </c>
      <c r="H621" s="94">
        <f t="shared" si="3"/>
      </c>
      <c r="I621" s="96">
        <f t="shared" si="0"/>
      </c>
      <c r="J621" s="94">
        <f t="shared" si="4"/>
      </c>
      <c r="K621" s="94">
        <f t="shared" si="10"/>
      </c>
      <c r="L621" s="96">
        <f t="shared" si="5"/>
      </c>
      <c r="N621" s="2">
        <f>IF(614&gt;$Z$5,0,MOD(SMALL($Z$6:$Z$2005,614),10000))</f>
        <v>0</v>
      </c>
      <c r="O621" s="2">
        <f t="shared" si="11"/>
        <v>0</v>
      </c>
      <c r="Z621" s="2">
        <f>IF(AND(ISNUMBER(资金流水!$B$621),资金流水!$B$621&gt;=$C$4,资金流水!$B$621&lt;=$E$4,OR(资金流水!$C$621=$C$3,AND(资金流水!$AD$621=$C$3,资金流水!$X$621="账户互转"))),INT(资金流水!$B$621)*10000+616,"")</f>
      </c>
    </row>
    <row r="622">
      <c r="A622" s="94">
        <f>IF($N622=0,"",615)</f>
      </c>
      <c r="B622" s="95">
        <f t="shared" si="6"/>
      </c>
      <c r="C622" s="96">
        <f t="shared" si="1"/>
      </c>
      <c r="D622" s="21">
        <f t="shared" si="7"/>
      </c>
      <c r="E622" s="21">
        <f t="shared" si="2"/>
      </c>
      <c r="F622" s="48">
        <f t="shared" si="8"/>
      </c>
      <c r="G622" s="94">
        <f t="shared" si="9"/>
      </c>
      <c r="H622" s="94">
        <f t="shared" si="3"/>
      </c>
      <c r="I622" s="96">
        <f t="shared" si="0"/>
      </c>
      <c r="J622" s="94">
        <f t="shared" si="4"/>
      </c>
      <c r="K622" s="94">
        <f t="shared" si="10"/>
      </c>
      <c r="L622" s="96">
        <f t="shared" si="5"/>
      </c>
      <c r="N622" s="2">
        <f>IF(615&gt;$Z$5,0,MOD(SMALL($Z$6:$Z$2005,615),10000))</f>
        <v>0</v>
      </c>
      <c r="O622" s="2">
        <f t="shared" si="11"/>
        <v>0</v>
      </c>
      <c r="Z622" s="2">
        <f>IF(AND(ISNUMBER(资金流水!$B$622),资金流水!$B$622&gt;=$C$4,资金流水!$B$622&lt;=$E$4,OR(资金流水!$C$622=$C$3,AND(资金流水!$AD$622=$C$3,资金流水!$X$622="账户互转"))),INT(资金流水!$B$622)*10000+617,"")</f>
      </c>
    </row>
    <row r="623">
      <c r="A623" s="94">
        <f>IF($N623=0,"",616)</f>
      </c>
      <c r="B623" s="95">
        <f t="shared" si="6"/>
      </c>
      <c r="C623" s="96">
        <f t="shared" si="1"/>
      </c>
      <c r="D623" s="21">
        <f t="shared" si="7"/>
      </c>
      <c r="E623" s="21">
        <f t="shared" si="2"/>
      </c>
      <c r="F623" s="48">
        <f t="shared" si="8"/>
      </c>
      <c r="G623" s="94">
        <f t="shared" si="9"/>
      </c>
      <c r="H623" s="94">
        <f t="shared" si="3"/>
      </c>
      <c r="I623" s="96">
        <f t="shared" si="0"/>
      </c>
      <c r="J623" s="94">
        <f t="shared" si="4"/>
      </c>
      <c r="K623" s="94">
        <f t="shared" si="10"/>
      </c>
      <c r="L623" s="96">
        <f t="shared" si="5"/>
      </c>
      <c r="N623" s="2">
        <f>IF(616&gt;$Z$5,0,MOD(SMALL($Z$6:$Z$2005,616),10000))</f>
        <v>0</v>
      </c>
      <c r="O623" s="2">
        <f t="shared" si="11"/>
        <v>0</v>
      </c>
      <c r="Z623" s="2">
        <f>IF(AND(ISNUMBER(资金流水!$B$623),资金流水!$B$623&gt;=$C$4,资金流水!$B$623&lt;=$E$4,OR(资金流水!$C$623=$C$3,AND(资金流水!$AD$623=$C$3,资金流水!$X$623="账户互转"))),INT(资金流水!$B$623)*10000+618,"")</f>
      </c>
    </row>
    <row r="624">
      <c r="A624" s="94">
        <f>IF($N624=0,"",617)</f>
      </c>
      <c r="B624" s="95">
        <f t="shared" si="6"/>
      </c>
      <c r="C624" s="96">
        <f t="shared" si="1"/>
      </c>
      <c r="D624" s="21">
        <f t="shared" si="7"/>
      </c>
      <c r="E624" s="21">
        <f t="shared" si="2"/>
      </c>
      <c r="F624" s="48">
        <f t="shared" si="8"/>
      </c>
      <c r="G624" s="94">
        <f t="shared" si="9"/>
      </c>
      <c r="H624" s="94">
        <f t="shared" si="3"/>
      </c>
      <c r="I624" s="96">
        <f t="shared" si="0"/>
      </c>
      <c r="J624" s="94">
        <f t="shared" si="4"/>
      </c>
      <c r="K624" s="94">
        <f t="shared" si="10"/>
      </c>
      <c r="L624" s="96">
        <f t="shared" si="5"/>
      </c>
      <c r="N624" s="2">
        <f>IF(617&gt;$Z$5,0,MOD(SMALL($Z$6:$Z$2005,617),10000))</f>
        <v>0</v>
      </c>
      <c r="O624" s="2">
        <f t="shared" si="11"/>
        <v>0</v>
      </c>
      <c r="Z624" s="2">
        <f>IF(AND(ISNUMBER(资金流水!$B$624),资金流水!$B$624&gt;=$C$4,资金流水!$B$624&lt;=$E$4,OR(资金流水!$C$624=$C$3,AND(资金流水!$AD$624=$C$3,资金流水!$X$624="账户互转"))),INT(资金流水!$B$624)*10000+619,"")</f>
      </c>
    </row>
    <row r="625">
      <c r="A625" s="94">
        <f>IF($N625=0,"",618)</f>
      </c>
      <c r="B625" s="95">
        <f t="shared" si="6"/>
      </c>
      <c r="C625" s="96">
        <f t="shared" si="1"/>
      </c>
      <c r="D625" s="21">
        <f t="shared" si="7"/>
      </c>
      <c r="E625" s="21">
        <f t="shared" si="2"/>
      </c>
      <c r="F625" s="48">
        <f t="shared" si="8"/>
      </c>
      <c r="G625" s="94">
        <f t="shared" si="9"/>
      </c>
      <c r="H625" s="94">
        <f t="shared" si="3"/>
      </c>
      <c r="I625" s="96">
        <f t="shared" si="0"/>
      </c>
      <c r="J625" s="94">
        <f t="shared" si="4"/>
      </c>
      <c r="K625" s="94">
        <f t="shared" si="10"/>
      </c>
      <c r="L625" s="96">
        <f t="shared" si="5"/>
      </c>
      <c r="N625" s="2">
        <f>IF(618&gt;$Z$5,0,MOD(SMALL($Z$6:$Z$2005,618),10000))</f>
        <v>0</v>
      </c>
      <c r="O625" s="2">
        <f t="shared" si="11"/>
        <v>0</v>
      </c>
      <c r="Z625" s="2">
        <f>IF(AND(ISNUMBER(资金流水!$B$625),资金流水!$B$625&gt;=$C$4,资金流水!$B$625&lt;=$E$4,OR(资金流水!$C$625=$C$3,AND(资金流水!$AD$625=$C$3,资金流水!$X$625="账户互转"))),INT(资金流水!$B$625)*10000+620,"")</f>
      </c>
    </row>
    <row r="626">
      <c r="A626" s="94">
        <f>IF($N626=0,"",619)</f>
      </c>
      <c r="B626" s="95">
        <f t="shared" si="6"/>
      </c>
      <c r="C626" s="96">
        <f t="shared" si="1"/>
      </c>
      <c r="D626" s="21">
        <f t="shared" si="7"/>
      </c>
      <c r="E626" s="21">
        <f t="shared" si="2"/>
      </c>
      <c r="F626" s="48">
        <f t="shared" si="8"/>
      </c>
      <c r="G626" s="94">
        <f t="shared" si="9"/>
      </c>
      <c r="H626" s="94">
        <f t="shared" si="3"/>
      </c>
      <c r="I626" s="96">
        <f t="shared" si="0"/>
      </c>
      <c r="J626" s="94">
        <f t="shared" si="4"/>
      </c>
      <c r="K626" s="94">
        <f t="shared" si="10"/>
      </c>
      <c r="L626" s="96">
        <f t="shared" si="5"/>
      </c>
      <c r="N626" s="2">
        <f>IF(619&gt;$Z$5,0,MOD(SMALL($Z$6:$Z$2005,619),10000))</f>
        <v>0</v>
      </c>
      <c r="O626" s="2">
        <f t="shared" si="11"/>
        <v>0</v>
      </c>
      <c r="Z626" s="2">
        <f>IF(AND(ISNUMBER(资金流水!$B$626),资金流水!$B$626&gt;=$C$4,资金流水!$B$626&lt;=$E$4,OR(资金流水!$C$626=$C$3,AND(资金流水!$AD$626=$C$3,资金流水!$X$626="账户互转"))),INT(资金流水!$B$626)*10000+621,"")</f>
      </c>
    </row>
    <row r="627">
      <c r="A627" s="94">
        <f>IF($N627=0,"",620)</f>
      </c>
      <c r="B627" s="95">
        <f t="shared" si="6"/>
      </c>
      <c r="C627" s="96">
        <f t="shared" si="1"/>
      </c>
      <c r="D627" s="21">
        <f t="shared" si="7"/>
      </c>
      <c r="E627" s="21">
        <f t="shared" si="2"/>
      </c>
      <c r="F627" s="48">
        <f t="shared" si="8"/>
      </c>
      <c r="G627" s="94">
        <f t="shared" si="9"/>
      </c>
      <c r="H627" s="94">
        <f t="shared" si="3"/>
      </c>
      <c r="I627" s="96">
        <f t="shared" si="0"/>
      </c>
      <c r="J627" s="94">
        <f t="shared" si="4"/>
      </c>
      <c r="K627" s="94">
        <f t="shared" si="10"/>
      </c>
      <c r="L627" s="96">
        <f t="shared" si="5"/>
      </c>
      <c r="N627" s="2">
        <f>IF(620&gt;$Z$5,0,MOD(SMALL($Z$6:$Z$2005,620),10000))</f>
        <v>0</v>
      </c>
      <c r="O627" s="2">
        <f t="shared" si="11"/>
        <v>0</v>
      </c>
      <c r="Z627" s="2">
        <f>IF(AND(ISNUMBER(资金流水!$B$627),资金流水!$B$627&gt;=$C$4,资金流水!$B$627&lt;=$E$4,OR(资金流水!$C$627=$C$3,AND(资金流水!$AD$627=$C$3,资金流水!$X$627="账户互转"))),INT(资金流水!$B$627)*10000+622,"")</f>
      </c>
    </row>
    <row r="628">
      <c r="A628" s="94">
        <f>IF($N628=0,"",621)</f>
      </c>
      <c r="B628" s="95">
        <f t="shared" si="6"/>
      </c>
      <c r="C628" s="96">
        <f t="shared" si="1"/>
      </c>
      <c r="D628" s="21">
        <f t="shared" si="7"/>
      </c>
      <c r="E628" s="21">
        <f t="shared" si="2"/>
      </c>
      <c r="F628" s="48">
        <f t="shared" si="8"/>
      </c>
      <c r="G628" s="94">
        <f t="shared" si="9"/>
      </c>
      <c r="H628" s="94">
        <f t="shared" si="3"/>
      </c>
      <c r="I628" s="96">
        <f t="shared" si="0"/>
      </c>
      <c r="J628" s="94">
        <f t="shared" si="4"/>
      </c>
      <c r="K628" s="94">
        <f t="shared" si="10"/>
      </c>
      <c r="L628" s="96">
        <f t="shared" si="5"/>
      </c>
      <c r="N628" s="2">
        <f>IF(621&gt;$Z$5,0,MOD(SMALL($Z$6:$Z$2005,621),10000))</f>
        <v>0</v>
      </c>
      <c r="O628" s="2">
        <f t="shared" si="11"/>
        <v>0</v>
      </c>
      <c r="Z628" s="2">
        <f>IF(AND(ISNUMBER(资金流水!$B$628),资金流水!$B$628&gt;=$C$4,资金流水!$B$628&lt;=$E$4,OR(资金流水!$C$628=$C$3,AND(资金流水!$AD$628=$C$3,资金流水!$X$628="账户互转"))),INT(资金流水!$B$628)*10000+623,"")</f>
      </c>
    </row>
    <row r="629">
      <c r="A629" s="94">
        <f>IF($N629=0,"",622)</f>
      </c>
      <c r="B629" s="95">
        <f t="shared" si="6"/>
      </c>
      <c r="C629" s="96">
        <f t="shared" si="1"/>
      </c>
      <c r="D629" s="21">
        <f t="shared" si="7"/>
      </c>
      <c r="E629" s="21">
        <f t="shared" si="2"/>
      </c>
      <c r="F629" s="48">
        <f t="shared" si="8"/>
      </c>
      <c r="G629" s="94">
        <f t="shared" si="9"/>
      </c>
      <c r="H629" s="94">
        <f t="shared" si="3"/>
      </c>
      <c r="I629" s="96">
        <f t="shared" si="0"/>
      </c>
      <c r="J629" s="94">
        <f t="shared" si="4"/>
      </c>
      <c r="K629" s="94">
        <f t="shared" si="10"/>
      </c>
      <c r="L629" s="96">
        <f t="shared" si="5"/>
      </c>
      <c r="N629" s="2">
        <f>IF(622&gt;$Z$5,0,MOD(SMALL($Z$6:$Z$2005,622),10000))</f>
        <v>0</v>
      </c>
      <c r="O629" s="2">
        <f t="shared" si="11"/>
        <v>0</v>
      </c>
      <c r="Z629" s="2">
        <f>IF(AND(ISNUMBER(资金流水!$B$629),资金流水!$B$629&gt;=$C$4,资金流水!$B$629&lt;=$E$4,OR(资金流水!$C$629=$C$3,AND(资金流水!$AD$629=$C$3,资金流水!$X$629="账户互转"))),INT(资金流水!$B$629)*10000+624,"")</f>
      </c>
    </row>
    <row r="630">
      <c r="A630" s="94">
        <f>IF($N630=0,"",623)</f>
      </c>
      <c r="B630" s="95">
        <f t="shared" si="6"/>
      </c>
      <c r="C630" s="96">
        <f t="shared" si="1"/>
      </c>
      <c r="D630" s="21">
        <f t="shared" si="7"/>
      </c>
      <c r="E630" s="21">
        <f t="shared" si="2"/>
      </c>
      <c r="F630" s="48">
        <f t="shared" si="8"/>
      </c>
      <c r="G630" s="94">
        <f t="shared" si="9"/>
      </c>
      <c r="H630" s="94">
        <f t="shared" si="3"/>
      </c>
      <c r="I630" s="96">
        <f t="shared" si="0"/>
      </c>
      <c r="J630" s="94">
        <f t="shared" si="4"/>
      </c>
      <c r="K630" s="94">
        <f t="shared" si="10"/>
      </c>
      <c r="L630" s="96">
        <f t="shared" si="5"/>
      </c>
      <c r="N630" s="2">
        <f>IF(623&gt;$Z$5,0,MOD(SMALL($Z$6:$Z$2005,623),10000))</f>
        <v>0</v>
      </c>
      <c r="O630" s="2">
        <f t="shared" si="11"/>
        <v>0</v>
      </c>
      <c r="Z630" s="2">
        <f>IF(AND(ISNUMBER(资金流水!$B$630),资金流水!$B$630&gt;=$C$4,资金流水!$B$630&lt;=$E$4,OR(资金流水!$C$630=$C$3,AND(资金流水!$AD$630=$C$3,资金流水!$X$630="账户互转"))),INT(资金流水!$B$630)*10000+625,"")</f>
      </c>
    </row>
    <row r="631">
      <c r="A631" s="94">
        <f>IF($N631=0,"",624)</f>
      </c>
      <c r="B631" s="95">
        <f t="shared" si="6"/>
      </c>
      <c r="C631" s="96">
        <f t="shared" si="1"/>
      </c>
      <c r="D631" s="21">
        <f t="shared" si="7"/>
      </c>
      <c r="E631" s="21">
        <f t="shared" si="2"/>
      </c>
      <c r="F631" s="48">
        <f t="shared" si="8"/>
      </c>
      <c r="G631" s="94">
        <f t="shared" si="9"/>
      </c>
      <c r="H631" s="94">
        <f t="shared" si="3"/>
      </c>
      <c r="I631" s="96">
        <f t="shared" si="0"/>
      </c>
      <c r="J631" s="94">
        <f t="shared" si="4"/>
      </c>
      <c r="K631" s="94">
        <f t="shared" si="10"/>
      </c>
      <c r="L631" s="96">
        <f t="shared" si="5"/>
      </c>
      <c r="N631" s="2">
        <f>IF(624&gt;$Z$5,0,MOD(SMALL($Z$6:$Z$2005,624),10000))</f>
        <v>0</v>
      </c>
      <c r="O631" s="2">
        <f t="shared" si="11"/>
        <v>0</v>
      </c>
      <c r="Z631" s="2">
        <f>IF(AND(ISNUMBER(资金流水!$B$631),资金流水!$B$631&gt;=$C$4,资金流水!$B$631&lt;=$E$4,OR(资金流水!$C$631=$C$3,AND(资金流水!$AD$631=$C$3,资金流水!$X$631="账户互转"))),INT(资金流水!$B$631)*10000+626,"")</f>
      </c>
    </row>
    <row r="632">
      <c r="A632" s="94">
        <f>IF($N632=0,"",625)</f>
      </c>
      <c r="B632" s="95">
        <f t="shared" si="6"/>
      </c>
      <c r="C632" s="96">
        <f t="shared" si="1"/>
      </c>
      <c r="D632" s="21">
        <f t="shared" si="7"/>
      </c>
      <c r="E632" s="21">
        <f t="shared" si="2"/>
      </c>
      <c r="F632" s="48">
        <f t="shared" si="8"/>
      </c>
      <c r="G632" s="94">
        <f t="shared" si="9"/>
      </c>
      <c r="H632" s="94">
        <f t="shared" si="3"/>
      </c>
      <c r="I632" s="96">
        <f t="shared" si="0"/>
      </c>
      <c r="J632" s="94">
        <f t="shared" si="4"/>
      </c>
      <c r="K632" s="94">
        <f t="shared" si="10"/>
      </c>
      <c r="L632" s="96">
        <f t="shared" si="5"/>
      </c>
      <c r="N632" s="2">
        <f>IF(625&gt;$Z$5,0,MOD(SMALL($Z$6:$Z$2005,625),10000))</f>
        <v>0</v>
      </c>
      <c r="O632" s="2">
        <f t="shared" si="11"/>
        <v>0</v>
      </c>
      <c r="Z632" s="2">
        <f>IF(AND(ISNUMBER(资金流水!$B$632),资金流水!$B$632&gt;=$C$4,资金流水!$B$632&lt;=$E$4,OR(资金流水!$C$632=$C$3,AND(资金流水!$AD$632=$C$3,资金流水!$X$632="账户互转"))),INT(资金流水!$B$632)*10000+627,"")</f>
      </c>
    </row>
    <row r="633">
      <c r="A633" s="94">
        <f>IF($N633=0,"",626)</f>
      </c>
      <c r="B633" s="95">
        <f t="shared" si="6"/>
      </c>
      <c r="C633" s="96">
        <f t="shared" si="1"/>
      </c>
      <c r="D633" s="21">
        <f t="shared" si="7"/>
      </c>
      <c r="E633" s="21">
        <f t="shared" si="2"/>
      </c>
      <c r="F633" s="48">
        <f t="shared" si="8"/>
      </c>
      <c r="G633" s="94">
        <f t="shared" si="9"/>
      </c>
      <c r="H633" s="94">
        <f t="shared" si="3"/>
      </c>
      <c r="I633" s="96">
        <f t="shared" si="0"/>
      </c>
      <c r="J633" s="94">
        <f t="shared" si="4"/>
      </c>
      <c r="K633" s="94">
        <f t="shared" si="10"/>
      </c>
      <c r="L633" s="96">
        <f t="shared" si="5"/>
      </c>
      <c r="N633" s="2">
        <f>IF(626&gt;$Z$5,0,MOD(SMALL($Z$6:$Z$2005,626),10000))</f>
        <v>0</v>
      </c>
      <c r="O633" s="2">
        <f t="shared" si="11"/>
        <v>0</v>
      </c>
      <c r="Z633" s="2">
        <f>IF(AND(ISNUMBER(资金流水!$B$633),资金流水!$B$633&gt;=$C$4,资金流水!$B$633&lt;=$E$4,OR(资金流水!$C$633=$C$3,AND(资金流水!$AD$633=$C$3,资金流水!$X$633="账户互转"))),INT(资金流水!$B$633)*10000+628,"")</f>
      </c>
    </row>
    <row r="634">
      <c r="A634" s="94">
        <f>IF($N634=0,"",627)</f>
      </c>
      <c r="B634" s="95">
        <f t="shared" si="6"/>
      </c>
      <c r="C634" s="96">
        <f t="shared" si="1"/>
      </c>
      <c r="D634" s="21">
        <f t="shared" si="7"/>
      </c>
      <c r="E634" s="21">
        <f t="shared" si="2"/>
      </c>
      <c r="F634" s="48">
        <f t="shared" si="8"/>
      </c>
      <c r="G634" s="94">
        <f t="shared" si="9"/>
      </c>
      <c r="H634" s="94">
        <f t="shared" si="3"/>
      </c>
      <c r="I634" s="96">
        <f t="shared" si="0"/>
      </c>
      <c r="J634" s="94">
        <f t="shared" si="4"/>
      </c>
      <c r="K634" s="94">
        <f t="shared" si="10"/>
      </c>
      <c r="L634" s="96">
        <f t="shared" si="5"/>
      </c>
      <c r="N634" s="2">
        <f>IF(627&gt;$Z$5,0,MOD(SMALL($Z$6:$Z$2005,627),10000))</f>
        <v>0</v>
      </c>
      <c r="O634" s="2">
        <f t="shared" si="11"/>
        <v>0</v>
      </c>
      <c r="Z634" s="2">
        <f>IF(AND(ISNUMBER(资金流水!$B$634),资金流水!$B$634&gt;=$C$4,资金流水!$B$634&lt;=$E$4,OR(资金流水!$C$634=$C$3,AND(资金流水!$AD$634=$C$3,资金流水!$X$634="账户互转"))),INT(资金流水!$B$634)*10000+629,"")</f>
      </c>
    </row>
    <row r="635">
      <c r="A635" s="94">
        <f>IF($N635=0,"",628)</f>
      </c>
      <c r="B635" s="95">
        <f t="shared" si="6"/>
      </c>
      <c r="C635" s="96">
        <f t="shared" si="1"/>
      </c>
      <c r="D635" s="21">
        <f t="shared" si="7"/>
      </c>
      <c r="E635" s="21">
        <f t="shared" si="2"/>
      </c>
      <c r="F635" s="48">
        <f t="shared" si="8"/>
      </c>
      <c r="G635" s="94">
        <f t="shared" si="9"/>
      </c>
      <c r="H635" s="94">
        <f t="shared" si="3"/>
      </c>
      <c r="I635" s="96">
        <f t="shared" si="0"/>
      </c>
      <c r="J635" s="94">
        <f t="shared" si="4"/>
      </c>
      <c r="K635" s="94">
        <f t="shared" si="10"/>
      </c>
      <c r="L635" s="96">
        <f t="shared" si="5"/>
      </c>
      <c r="N635" s="2">
        <f>IF(628&gt;$Z$5,0,MOD(SMALL($Z$6:$Z$2005,628),10000))</f>
        <v>0</v>
      </c>
      <c r="O635" s="2">
        <f t="shared" si="11"/>
        <v>0</v>
      </c>
      <c r="Z635" s="2">
        <f>IF(AND(ISNUMBER(资金流水!$B$635),资金流水!$B$635&gt;=$C$4,资金流水!$B$635&lt;=$E$4,OR(资金流水!$C$635=$C$3,AND(资金流水!$AD$635=$C$3,资金流水!$X$635="账户互转"))),INT(资金流水!$B$635)*10000+630,"")</f>
      </c>
    </row>
    <row r="636">
      <c r="A636" s="94">
        <f>IF($N636=0,"",629)</f>
      </c>
      <c r="B636" s="95">
        <f t="shared" si="6"/>
      </c>
      <c r="C636" s="96">
        <f t="shared" si="1"/>
      </c>
      <c r="D636" s="21">
        <f t="shared" si="7"/>
      </c>
      <c r="E636" s="21">
        <f t="shared" si="2"/>
      </c>
      <c r="F636" s="48">
        <f t="shared" si="8"/>
      </c>
      <c r="G636" s="94">
        <f t="shared" si="9"/>
      </c>
      <c r="H636" s="94">
        <f t="shared" si="3"/>
      </c>
      <c r="I636" s="96">
        <f t="shared" si="0"/>
      </c>
      <c r="J636" s="94">
        <f t="shared" si="4"/>
      </c>
      <c r="K636" s="94">
        <f t="shared" si="10"/>
      </c>
      <c r="L636" s="96">
        <f t="shared" si="5"/>
      </c>
      <c r="N636" s="2">
        <f>IF(629&gt;$Z$5,0,MOD(SMALL($Z$6:$Z$2005,629),10000))</f>
        <v>0</v>
      </c>
      <c r="O636" s="2">
        <f t="shared" si="11"/>
        <v>0</v>
      </c>
      <c r="Z636" s="2">
        <f>IF(AND(ISNUMBER(资金流水!$B$636),资金流水!$B$636&gt;=$C$4,资金流水!$B$636&lt;=$E$4,OR(资金流水!$C$636=$C$3,AND(资金流水!$AD$636=$C$3,资金流水!$X$636="账户互转"))),INT(资金流水!$B$636)*10000+631,"")</f>
      </c>
    </row>
    <row r="637">
      <c r="A637" s="94">
        <f>IF($N637=0,"",630)</f>
      </c>
      <c r="B637" s="95">
        <f t="shared" si="6"/>
      </c>
      <c r="C637" s="96">
        <f t="shared" si="1"/>
      </c>
      <c r="D637" s="21">
        <f t="shared" si="7"/>
      </c>
      <c r="E637" s="21">
        <f t="shared" si="2"/>
      </c>
      <c r="F637" s="48">
        <f t="shared" si="8"/>
      </c>
      <c r="G637" s="94">
        <f t="shared" si="9"/>
      </c>
      <c r="H637" s="94">
        <f t="shared" si="3"/>
      </c>
      <c r="I637" s="96">
        <f t="shared" si="0"/>
      </c>
      <c r="J637" s="94">
        <f t="shared" si="4"/>
      </c>
      <c r="K637" s="94">
        <f t="shared" si="10"/>
      </c>
      <c r="L637" s="96">
        <f t="shared" si="5"/>
      </c>
      <c r="N637" s="2">
        <f>IF(630&gt;$Z$5,0,MOD(SMALL($Z$6:$Z$2005,630),10000))</f>
        <v>0</v>
      </c>
      <c r="O637" s="2">
        <f t="shared" si="11"/>
        <v>0</v>
      </c>
      <c r="Z637" s="2">
        <f>IF(AND(ISNUMBER(资金流水!$B$637),资金流水!$B$637&gt;=$C$4,资金流水!$B$637&lt;=$E$4,OR(资金流水!$C$637=$C$3,AND(资金流水!$AD$637=$C$3,资金流水!$X$637="账户互转"))),INT(资金流水!$B$637)*10000+632,"")</f>
      </c>
    </row>
    <row r="638">
      <c r="A638" s="94">
        <f>IF($N638=0,"",631)</f>
      </c>
      <c r="B638" s="95">
        <f t="shared" si="6"/>
      </c>
      <c r="C638" s="96">
        <f t="shared" si="1"/>
      </c>
      <c r="D638" s="21">
        <f t="shared" si="7"/>
      </c>
      <c r="E638" s="21">
        <f t="shared" si="2"/>
      </c>
      <c r="F638" s="48">
        <f t="shared" si="8"/>
      </c>
      <c r="G638" s="94">
        <f t="shared" si="9"/>
      </c>
      <c r="H638" s="94">
        <f t="shared" si="3"/>
      </c>
      <c r="I638" s="96">
        <f t="shared" si="0"/>
      </c>
      <c r="J638" s="94">
        <f t="shared" si="4"/>
      </c>
      <c r="K638" s="94">
        <f t="shared" si="10"/>
      </c>
      <c r="L638" s="96">
        <f t="shared" si="5"/>
      </c>
      <c r="N638" s="2">
        <f>IF(631&gt;$Z$5,0,MOD(SMALL($Z$6:$Z$2005,631),10000))</f>
        <v>0</v>
      </c>
      <c r="O638" s="2">
        <f t="shared" si="11"/>
        <v>0</v>
      </c>
      <c r="Z638" s="2">
        <f>IF(AND(ISNUMBER(资金流水!$B$638),资金流水!$B$638&gt;=$C$4,资金流水!$B$638&lt;=$E$4,OR(资金流水!$C$638=$C$3,AND(资金流水!$AD$638=$C$3,资金流水!$X$638="账户互转"))),INT(资金流水!$B$638)*10000+633,"")</f>
      </c>
    </row>
    <row r="639">
      <c r="A639" s="94">
        <f>IF($N639=0,"",632)</f>
      </c>
      <c r="B639" s="95">
        <f t="shared" si="6"/>
      </c>
      <c r="C639" s="96">
        <f t="shared" si="1"/>
      </c>
      <c r="D639" s="21">
        <f t="shared" si="7"/>
      </c>
      <c r="E639" s="21">
        <f t="shared" si="2"/>
      </c>
      <c r="F639" s="48">
        <f t="shared" si="8"/>
      </c>
      <c r="G639" s="94">
        <f t="shared" si="9"/>
      </c>
      <c r="H639" s="94">
        <f t="shared" si="3"/>
      </c>
      <c r="I639" s="96">
        <f t="shared" si="0"/>
      </c>
      <c r="J639" s="94">
        <f t="shared" si="4"/>
      </c>
      <c r="K639" s="94">
        <f t="shared" si="10"/>
      </c>
      <c r="L639" s="96">
        <f t="shared" si="5"/>
      </c>
      <c r="N639" s="2">
        <f>IF(632&gt;$Z$5,0,MOD(SMALL($Z$6:$Z$2005,632),10000))</f>
        <v>0</v>
      </c>
      <c r="O639" s="2">
        <f t="shared" si="11"/>
        <v>0</v>
      </c>
      <c r="Z639" s="2">
        <f>IF(AND(ISNUMBER(资金流水!$B$639),资金流水!$B$639&gt;=$C$4,资金流水!$B$639&lt;=$E$4,OR(资金流水!$C$639=$C$3,AND(资金流水!$AD$639=$C$3,资金流水!$X$639="账户互转"))),INT(资金流水!$B$639)*10000+634,"")</f>
      </c>
    </row>
    <row r="640">
      <c r="A640" s="94">
        <f>IF($N640=0,"",633)</f>
      </c>
      <c r="B640" s="95">
        <f t="shared" si="6"/>
      </c>
      <c r="C640" s="96">
        <f t="shared" si="1"/>
      </c>
      <c r="D640" s="21">
        <f t="shared" si="7"/>
      </c>
      <c r="E640" s="21">
        <f t="shared" si="2"/>
      </c>
      <c r="F640" s="48">
        <f t="shared" si="8"/>
      </c>
      <c r="G640" s="94">
        <f t="shared" si="9"/>
      </c>
      <c r="H640" s="94">
        <f t="shared" si="3"/>
      </c>
      <c r="I640" s="96">
        <f t="shared" si="0"/>
      </c>
      <c r="J640" s="94">
        <f t="shared" si="4"/>
      </c>
      <c r="K640" s="94">
        <f t="shared" si="10"/>
      </c>
      <c r="L640" s="96">
        <f t="shared" si="5"/>
      </c>
      <c r="N640" s="2">
        <f>IF(633&gt;$Z$5,0,MOD(SMALL($Z$6:$Z$2005,633),10000))</f>
        <v>0</v>
      </c>
      <c r="O640" s="2">
        <f t="shared" si="11"/>
        <v>0</v>
      </c>
      <c r="Z640" s="2">
        <f>IF(AND(ISNUMBER(资金流水!$B$640),资金流水!$B$640&gt;=$C$4,资金流水!$B$640&lt;=$E$4,OR(资金流水!$C$640=$C$3,AND(资金流水!$AD$640=$C$3,资金流水!$X$640="账户互转"))),INT(资金流水!$B$640)*10000+635,"")</f>
      </c>
    </row>
    <row r="641">
      <c r="A641" s="94">
        <f>IF($N641=0,"",634)</f>
      </c>
      <c r="B641" s="95">
        <f t="shared" si="6"/>
      </c>
      <c r="C641" s="96">
        <f t="shared" si="1"/>
      </c>
      <c r="D641" s="21">
        <f t="shared" si="7"/>
      </c>
      <c r="E641" s="21">
        <f t="shared" si="2"/>
      </c>
      <c r="F641" s="48">
        <f t="shared" si="8"/>
      </c>
      <c r="G641" s="94">
        <f t="shared" si="9"/>
      </c>
      <c r="H641" s="94">
        <f t="shared" si="3"/>
      </c>
      <c r="I641" s="96">
        <f t="shared" si="0"/>
      </c>
      <c r="J641" s="94">
        <f t="shared" si="4"/>
      </c>
      <c r="K641" s="94">
        <f t="shared" si="10"/>
      </c>
      <c r="L641" s="96">
        <f t="shared" si="5"/>
      </c>
      <c r="N641" s="2">
        <f>IF(634&gt;$Z$5,0,MOD(SMALL($Z$6:$Z$2005,634),10000))</f>
        <v>0</v>
      </c>
      <c r="O641" s="2">
        <f t="shared" si="11"/>
        <v>0</v>
      </c>
      <c r="Z641" s="2">
        <f>IF(AND(ISNUMBER(资金流水!$B$641),资金流水!$B$641&gt;=$C$4,资金流水!$B$641&lt;=$E$4,OR(资金流水!$C$641=$C$3,AND(资金流水!$AD$641=$C$3,资金流水!$X$641="账户互转"))),INT(资金流水!$B$641)*10000+636,"")</f>
      </c>
    </row>
    <row r="642">
      <c r="A642" s="94">
        <f>IF($N642=0,"",635)</f>
      </c>
      <c r="B642" s="95">
        <f t="shared" si="6"/>
      </c>
      <c r="C642" s="96">
        <f t="shared" si="1"/>
      </c>
      <c r="D642" s="21">
        <f t="shared" si="7"/>
      </c>
      <c r="E642" s="21">
        <f t="shared" si="2"/>
      </c>
      <c r="F642" s="48">
        <f t="shared" si="8"/>
      </c>
      <c r="G642" s="94">
        <f t="shared" si="9"/>
      </c>
      <c r="H642" s="94">
        <f t="shared" si="3"/>
      </c>
      <c r="I642" s="96">
        <f t="shared" si="0"/>
      </c>
      <c r="J642" s="94">
        <f t="shared" si="4"/>
      </c>
      <c r="K642" s="94">
        <f t="shared" si="10"/>
      </c>
      <c r="L642" s="96">
        <f t="shared" si="5"/>
      </c>
      <c r="N642" s="2">
        <f>IF(635&gt;$Z$5,0,MOD(SMALL($Z$6:$Z$2005,635),10000))</f>
        <v>0</v>
      </c>
      <c r="O642" s="2">
        <f t="shared" si="11"/>
        <v>0</v>
      </c>
      <c r="Z642" s="2">
        <f>IF(AND(ISNUMBER(资金流水!$B$642),资金流水!$B$642&gt;=$C$4,资金流水!$B$642&lt;=$E$4,OR(资金流水!$C$642=$C$3,AND(资金流水!$AD$642=$C$3,资金流水!$X$642="账户互转"))),INT(资金流水!$B$642)*10000+637,"")</f>
      </c>
    </row>
    <row r="643">
      <c r="A643" s="94">
        <f>IF($N643=0,"",636)</f>
      </c>
      <c r="B643" s="95">
        <f t="shared" si="6"/>
      </c>
      <c r="C643" s="96">
        <f t="shared" si="1"/>
      </c>
      <c r="D643" s="21">
        <f t="shared" si="7"/>
      </c>
      <c r="E643" s="21">
        <f t="shared" si="2"/>
      </c>
      <c r="F643" s="48">
        <f t="shared" si="8"/>
      </c>
      <c r="G643" s="94">
        <f t="shared" si="9"/>
      </c>
      <c r="H643" s="94">
        <f t="shared" si="3"/>
      </c>
      <c r="I643" s="96">
        <f t="shared" si="0"/>
      </c>
      <c r="J643" s="94">
        <f t="shared" si="4"/>
      </c>
      <c r="K643" s="94">
        <f t="shared" si="10"/>
      </c>
      <c r="L643" s="96">
        <f t="shared" si="5"/>
      </c>
      <c r="N643" s="2">
        <f>IF(636&gt;$Z$5,0,MOD(SMALL($Z$6:$Z$2005,636),10000))</f>
        <v>0</v>
      </c>
      <c r="O643" s="2">
        <f t="shared" si="11"/>
        <v>0</v>
      </c>
      <c r="Z643" s="2">
        <f>IF(AND(ISNUMBER(资金流水!$B$643),资金流水!$B$643&gt;=$C$4,资金流水!$B$643&lt;=$E$4,OR(资金流水!$C$643=$C$3,AND(资金流水!$AD$643=$C$3,资金流水!$X$643="账户互转"))),INT(资金流水!$B$643)*10000+638,"")</f>
      </c>
    </row>
    <row r="644">
      <c r="A644" s="94">
        <f>IF($N644=0,"",637)</f>
      </c>
      <c r="B644" s="95">
        <f t="shared" si="6"/>
      </c>
      <c r="C644" s="96">
        <f t="shared" si="1"/>
      </c>
      <c r="D644" s="21">
        <f t="shared" si="7"/>
      </c>
      <c r="E644" s="21">
        <f t="shared" si="2"/>
      </c>
      <c r="F644" s="48">
        <f t="shared" si="8"/>
      </c>
      <c r="G644" s="94">
        <f t="shared" si="9"/>
      </c>
      <c r="H644" s="94">
        <f t="shared" si="3"/>
      </c>
      <c r="I644" s="96">
        <f t="shared" si="0"/>
      </c>
      <c r="J644" s="94">
        <f t="shared" si="4"/>
      </c>
      <c r="K644" s="94">
        <f t="shared" si="10"/>
      </c>
      <c r="L644" s="96">
        <f t="shared" si="5"/>
      </c>
      <c r="N644" s="2">
        <f>IF(637&gt;$Z$5,0,MOD(SMALL($Z$6:$Z$2005,637),10000))</f>
        <v>0</v>
      </c>
      <c r="O644" s="2">
        <f t="shared" si="11"/>
        <v>0</v>
      </c>
      <c r="Z644" s="2">
        <f>IF(AND(ISNUMBER(资金流水!$B$644),资金流水!$B$644&gt;=$C$4,资金流水!$B$644&lt;=$E$4,OR(资金流水!$C$644=$C$3,AND(资金流水!$AD$644=$C$3,资金流水!$X$644="账户互转"))),INT(资金流水!$B$644)*10000+639,"")</f>
      </c>
    </row>
    <row r="645">
      <c r="A645" s="94">
        <f>IF($N645=0,"",638)</f>
      </c>
      <c r="B645" s="95">
        <f t="shared" si="6"/>
      </c>
      <c r="C645" s="96">
        <f t="shared" si="1"/>
      </c>
      <c r="D645" s="21">
        <f t="shared" si="7"/>
      </c>
      <c r="E645" s="21">
        <f t="shared" si="2"/>
      </c>
      <c r="F645" s="48">
        <f t="shared" si="8"/>
      </c>
      <c r="G645" s="94">
        <f t="shared" si="9"/>
      </c>
      <c r="H645" s="94">
        <f t="shared" si="3"/>
      </c>
      <c r="I645" s="96">
        <f t="shared" si="0"/>
      </c>
      <c r="J645" s="94">
        <f t="shared" si="4"/>
      </c>
      <c r="K645" s="94">
        <f t="shared" si="10"/>
      </c>
      <c r="L645" s="96">
        <f t="shared" si="5"/>
      </c>
      <c r="N645" s="2">
        <f>IF(638&gt;$Z$5,0,MOD(SMALL($Z$6:$Z$2005,638),10000))</f>
        <v>0</v>
      </c>
      <c r="O645" s="2">
        <f t="shared" si="11"/>
        <v>0</v>
      </c>
      <c r="Z645" s="2">
        <f>IF(AND(ISNUMBER(资金流水!$B$645),资金流水!$B$645&gt;=$C$4,资金流水!$B$645&lt;=$E$4,OR(资金流水!$C$645=$C$3,AND(资金流水!$AD$645=$C$3,资金流水!$X$645="账户互转"))),INT(资金流水!$B$645)*10000+640,"")</f>
      </c>
    </row>
    <row r="646">
      <c r="A646" s="94">
        <f>IF($N646=0,"",639)</f>
      </c>
      <c r="B646" s="95">
        <f t="shared" si="6"/>
      </c>
      <c r="C646" s="96">
        <f t="shared" si="1"/>
      </c>
      <c r="D646" s="21">
        <f t="shared" si="7"/>
      </c>
      <c r="E646" s="21">
        <f t="shared" si="2"/>
      </c>
      <c r="F646" s="48">
        <f t="shared" si="8"/>
      </c>
      <c r="G646" s="94">
        <f t="shared" si="9"/>
      </c>
      <c r="H646" s="94">
        <f t="shared" si="3"/>
      </c>
      <c r="I646" s="96">
        <f t="shared" si="0"/>
      </c>
      <c r="J646" s="94">
        <f t="shared" si="4"/>
      </c>
      <c r="K646" s="94">
        <f t="shared" si="10"/>
      </c>
      <c r="L646" s="96">
        <f t="shared" si="5"/>
      </c>
      <c r="N646" s="2">
        <f>IF(639&gt;$Z$5,0,MOD(SMALL($Z$6:$Z$2005,639),10000))</f>
        <v>0</v>
      </c>
      <c r="O646" s="2">
        <f t="shared" si="11"/>
        <v>0</v>
      </c>
      <c r="Z646" s="2">
        <f>IF(AND(ISNUMBER(资金流水!$B$646),资金流水!$B$646&gt;=$C$4,资金流水!$B$646&lt;=$E$4,OR(资金流水!$C$646=$C$3,AND(资金流水!$AD$646=$C$3,资金流水!$X$646="账户互转"))),INT(资金流水!$B$646)*10000+641,"")</f>
      </c>
    </row>
    <row r="647">
      <c r="A647" s="94">
        <f>IF($N647=0,"",640)</f>
      </c>
      <c r="B647" s="95">
        <f t="shared" si="6"/>
      </c>
      <c r="C647" s="96">
        <f t="shared" si="1"/>
      </c>
      <c r="D647" s="21">
        <f t="shared" si="7"/>
      </c>
      <c r="E647" s="21">
        <f t="shared" si="2"/>
      </c>
      <c r="F647" s="48">
        <f t="shared" si="8"/>
      </c>
      <c r="G647" s="94">
        <f t="shared" si="9"/>
      </c>
      <c r="H647" s="94">
        <f t="shared" si="3"/>
      </c>
      <c r="I647" s="96">
        <f t="shared" si="0"/>
      </c>
      <c r="J647" s="94">
        <f t="shared" si="4"/>
      </c>
      <c r="K647" s="94">
        <f t="shared" si="10"/>
      </c>
      <c r="L647" s="96">
        <f t="shared" si="5"/>
      </c>
      <c r="N647" s="2">
        <f>IF(640&gt;$Z$5,0,MOD(SMALL($Z$6:$Z$2005,640),10000))</f>
        <v>0</v>
      </c>
      <c r="O647" s="2">
        <f t="shared" si="11"/>
        <v>0</v>
      </c>
      <c r="Z647" s="2">
        <f>IF(AND(ISNUMBER(资金流水!$B$647),资金流水!$B$647&gt;=$C$4,资金流水!$B$647&lt;=$E$4,OR(资金流水!$C$647=$C$3,AND(资金流水!$AD$647=$C$3,资金流水!$X$647="账户互转"))),INT(资金流水!$B$647)*10000+642,"")</f>
      </c>
    </row>
    <row r="648">
      <c r="A648" s="94">
        <f>IF($N648=0,"",641)</f>
      </c>
      <c r="B648" s="95">
        <f t="shared" si="6"/>
      </c>
      <c r="C648" s="96">
        <f t="shared" si="1"/>
      </c>
      <c r="D648" s="21">
        <f t="shared" si="7"/>
      </c>
      <c r="E648" s="21">
        <f t="shared" si="2"/>
      </c>
      <c r="F648" s="48">
        <f t="shared" si="8"/>
      </c>
      <c r="G648" s="94">
        <f t="shared" si="9"/>
      </c>
      <c r="H648" s="94">
        <f t="shared" si="3"/>
      </c>
      <c r="I648" s="96">
        <f t="shared" si="0"/>
      </c>
      <c r="J648" s="94">
        <f t="shared" si="4"/>
      </c>
      <c r="K648" s="94">
        <f t="shared" si="10"/>
      </c>
      <c r="L648" s="96">
        <f t="shared" si="5"/>
      </c>
      <c r="N648" s="2">
        <f>IF(641&gt;$Z$5,0,MOD(SMALL($Z$6:$Z$2005,641),10000))</f>
        <v>0</v>
      </c>
      <c r="O648" s="2">
        <f t="shared" si="11"/>
        <v>0</v>
      </c>
      <c r="Z648" s="2">
        <f>IF(AND(ISNUMBER(资金流水!$B$648),资金流水!$B$648&gt;=$C$4,资金流水!$B$648&lt;=$E$4,OR(资金流水!$C$648=$C$3,AND(资金流水!$AD$648=$C$3,资金流水!$X$648="账户互转"))),INT(资金流水!$B$648)*10000+643,"")</f>
      </c>
    </row>
    <row r="649">
      <c r="A649" s="94">
        <f>IF($N649=0,"",642)</f>
      </c>
      <c r="B649" s="95">
        <f t="shared" si="6"/>
      </c>
      <c r="C649" s="96">
        <f t="shared" si="1"/>
      </c>
      <c r="D649" s="21">
        <f t="shared" si="7"/>
      </c>
      <c r="E649" s="21">
        <f t="shared" si="2"/>
      </c>
      <c r="F649" s="48">
        <f t="shared" si="8"/>
      </c>
      <c r="G649" s="94">
        <f t="shared" si="9"/>
      </c>
      <c r="H649" s="94">
        <f t="shared" si="3"/>
      </c>
      <c r="I649" s="96">
        <f t="shared" si="0"/>
      </c>
      <c r="J649" s="94">
        <f t="shared" si="4"/>
      </c>
      <c r="K649" s="94">
        <f t="shared" si="10"/>
      </c>
      <c r="L649" s="96">
        <f t="shared" si="5"/>
      </c>
      <c r="N649" s="2">
        <f>IF(642&gt;$Z$5,0,MOD(SMALL($Z$6:$Z$2005,642),10000))</f>
        <v>0</v>
      </c>
      <c r="O649" s="2">
        <f t="shared" si="11"/>
        <v>0</v>
      </c>
      <c r="Z649" s="2">
        <f>IF(AND(ISNUMBER(资金流水!$B$649),资金流水!$B$649&gt;=$C$4,资金流水!$B$649&lt;=$E$4,OR(资金流水!$C$649=$C$3,AND(资金流水!$AD$649=$C$3,资金流水!$X$649="账户互转"))),INT(资金流水!$B$649)*10000+644,"")</f>
      </c>
    </row>
    <row r="650">
      <c r="A650" s="94">
        <f>IF($N650=0,"",643)</f>
      </c>
      <c r="B650" s="95">
        <f t="shared" si="6"/>
      </c>
      <c r="C650" s="96">
        <f t="shared" si="1"/>
      </c>
      <c r="D650" s="21">
        <f t="shared" si="7"/>
      </c>
      <c r="E650" s="21">
        <f t="shared" si="2"/>
      </c>
      <c r="F650" s="48">
        <f t="shared" si="8"/>
      </c>
      <c r="G650" s="94">
        <f t="shared" si="9"/>
      </c>
      <c r="H650" s="94">
        <f t="shared" si="3"/>
      </c>
      <c r="I650" s="96">
        <f t="shared" si="0"/>
      </c>
      <c r="J650" s="94">
        <f t="shared" si="4"/>
      </c>
      <c r="K650" s="94">
        <f t="shared" si="10"/>
      </c>
      <c r="L650" s="96">
        <f t="shared" si="5"/>
      </c>
      <c r="N650" s="2">
        <f>IF(643&gt;$Z$5,0,MOD(SMALL($Z$6:$Z$2005,643),10000))</f>
        <v>0</v>
      </c>
      <c r="O650" s="2">
        <f t="shared" si="11"/>
        <v>0</v>
      </c>
      <c r="Z650" s="2">
        <f>IF(AND(ISNUMBER(资金流水!$B$650),资金流水!$B$650&gt;=$C$4,资金流水!$B$650&lt;=$E$4,OR(资金流水!$C$650=$C$3,AND(资金流水!$AD$650=$C$3,资金流水!$X$650="账户互转"))),INT(资金流水!$B$650)*10000+645,"")</f>
      </c>
    </row>
    <row r="651">
      <c r="A651" s="94">
        <f>IF($N651=0,"",644)</f>
      </c>
      <c r="B651" s="95">
        <f t="shared" si="6"/>
      </c>
      <c r="C651" s="96">
        <f t="shared" si="1"/>
      </c>
      <c r="D651" s="21">
        <f t="shared" si="7"/>
      </c>
      <c r="E651" s="21">
        <f t="shared" si="2"/>
      </c>
      <c r="F651" s="48">
        <f t="shared" si="8"/>
      </c>
      <c r="G651" s="94">
        <f t="shared" si="9"/>
      </c>
      <c r="H651" s="94">
        <f t="shared" si="3"/>
      </c>
      <c r="I651" s="96">
        <f t="shared" si="0"/>
      </c>
      <c r="J651" s="94">
        <f t="shared" si="4"/>
      </c>
      <c r="K651" s="94">
        <f t="shared" si="10"/>
      </c>
      <c r="L651" s="96">
        <f t="shared" si="5"/>
      </c>
      <c r="N651" s="2">
        <f>IF(644&gt;$Z$5,0,MOD(SMALL($Z$6:$Z$2005,644),10000))</f>
        <v>0</v>
      </c>
      <c r="O651" s="2">
        <f t="shared" si="11"/>
        <v>0</v>
      </c>
      <c r="Z651" s="2">
        <f>IF(AND(ISNUMBER(资金流水!$B$651),资金流水!$B$651&gt;=$C$4,资金流水!$B$651&lt;=$E$4,OR(资金流水!$C$651=$C$3,AND(资金流水!$AD$651=$C$3,资金流水!$X$651="账户互转"))),INT(资金流水!$B$651)*10000+646,"")</f>
      </c>
    </row>
    <row r="652">
      <c r="A652" s="94">
        <f>IF($N652=0,"",645)</f>
      </c>
      <c r="B652" s="95">
        <f t="shared" si="6"/>
      </c>
      <c r="C652" s="96">
        <f t="shared" si="1"/>
      </c>
      <c r="D652" s="21">
        <f t="shared" si="7"/>
      </c>
      <c r="E652" s="21">
        <f t="shared" si="2"/>
      </c>
      <c r="F652" s="48">
        <f t="shared" si="8"/>
      </c>
      <c r="G652" s="94">
        <f t="shared" si="9"/>
      </c>
      <c r="H652" s="94">
        <f t="shared" si="3"/>
      </c>
      <c r="I652" s="96">
        <f t="shared" si="0"/>
      </c>
      <c r="J652" s="94">
        <f t="shared" si="4"/>
      </c>
      <c r="K652" s="94">
        <f t="shared" si="10"/>
      </c>
      <c r="L652" s="96">
        <f t="shared" si="5"/>
      </c>
      <c r="N652" s="2">
        <f>IF(645&gt;$Z$5,0,MOD(SMALL($Z$6:$Z$2005,645),10000))</f>
        <v>0</v>
      </c>
      <c r="O652" s="2">
        <f t="shared" si="11"/>
        <v>0</v>
      </c>
      <c r="Z652" s="2">
        <f>IF(AND(ISNUMBER(资金流水!$B$652),资金流水!$B$652&gt;=$C$4,资金流水!$B$652&lt;=$E$4,OR(资金流水!$C$652=$C$3,AND(资金流水!$AD$652=$C$3,资金流水!$X$652="账户互转"))),INT(资金流水!$B$652)*10000+647,"")</f>
      </c>
    </row>
    <row r="653">
      <c r="A653" s="94">
        <f>IF($N653=0,"",646)</f>
      </c>
      <c r="B653" s="95">
        <f t="shared" si="6"/>
      </c>
      <c r="C653" s="96">
        <f t="shared" si="1"/>
      </c>
      <c r="D653" s="21">
        <f t="shared" si="7"/>
      </c>
      <c r="E653" s="21">
        <f t="shared" si="2"/>
      </c>
      <c r="F653" s="48">
        <f t="shared" si="8"/>
      </c>
      <c r="G653" s="94">
        <f t="shared" si="9"/>
      </c>
      <c r="H653" s="94">
        <f t="shared" si="3"/>
      </c>
      <c r="I653" s="96">
        <f t="shared" si="0"/>
      </c>
      <c r="J653" s="94">
        <f t="shared" si="4"/>
      </c>
      <c r="K653" s="94">
        <f t="shared" si="10"/>
      </c>
      <c r="L653" s="96">
        <f t="shared" si="5"/>
      </c>
      <c r="N653" s="2">
        <f>IF(646&gt;$Z$5,0,MOD(SMALL($Z$6:$Z$2005,646),10000))</f>
        <v>0</v>
      </c>
      <c r="O653" s="2">
        <f t="shared" si="11"/>
        <v>0</v>
      </c>
      <c r="Z653" s="2">
        <f>IF(AND(ISNUMBER(资金流水!$B$653),资金流水!$B$653&gt;=$C$4,资金流水!$B$653&lt;=$E$4,OR(资金流水!$C$653=$C$3,AND(资金流水!$AD$653=$C$3,资金流水!$X$653="账户互转"))),INT(资金流水!$B$653)*10000+648,"")</f>
      </c>
    </row>
    <row r="654">
      <c r="A654" s="94">
        <f>IF($N654=0,"",647)</f>
      </c>
      <c r="B654" s="95">
        <f t="shared" si="6"/>
      </c>
      <c r="C654" s="96">
        <f t="shared" si="1"/>
      </c>
      <c r="D654" s="21">
        <f t="shared" si="7"/>
      </c>
      <c r="E654" s="21">
        <f t="shared" si="2"/>
      </c>
      <c r="F654" s="48">
        <f t="shared" si="8"/>
      </c>
      <c r="G654" s="94">
        <f t="shared" si="9"/>
      </c>
      <c r="H654" s="94">
        <f t="shared" si="3"/>
      </c>
      <c r="I654" s="96">
        <f t="shared" si="0"/>
      </c>
      <c r="J654" s="94">
        <f t="shared" si="4"/>
      </c>
      <c r="K654" s="94">
        <f t="shared" si="10"/>
      </c>
      <c r="L654" s="96">
        <f t="shared" si="5"/>
      </c>
      <c r="N654" s="2">
        <f>IF(647&gt;$Z$5,0,MOD(SMALL($Z$6:$Z$2005,647),10000))</f>
        <v>0</v>
      </c>
      <c r="O654" s="2">
        <f t="shared" si="11"/>
        <v>0</v>
      </c>
      <c r="Z654" s="2">
        <f>IF(AND(ISNUMBER(资金流水!$B$654),资金流水!$B$654&gt;=$C$4,资金流水!$B$654&lt;=$E$4,OR(资金流水!$C$654=$C$3,AND(资金流水!$AD$654=$C$3,资金流水!$X$654="账户互转"))),INT(资金流水!$B$654)*10000+649,"")</f>
      </c>
    </row>
    <row r="655">
      <c r="A655" s="94">
        <f>IF($N655=0,"",648)</f>
      </c>
      <c r="B655" s="95">
        <f t="shared" si="6"/>
      </c>
      <c r="C655" s="96">
        <f t="shared" si="1"/>
      </c>
      <c r="D655" s="21">
        <f t="shared" si="7"/>
      </c>
      <c r="E655" s="21">
        <f t="shared" si="2"/>
      </c>
      <c r="F655" s="48">
        <f t="shared" si="8"/>
      </c>
      <c r="G655" s="94">
        <f t="shared" si="9"/>
      </c>
      <c r="H655" s="94">
        <f t="shared" si="3"/>
      </c>
      <c r="I655" s="96">
        <f t="shared" si="0"/>
      </c>
      <c r="J655" s="94">
        <f t="shared" si="4"/>
      </c>
      <c r="K655" s="94">
        <f t="shared" si="10"/>
      </c>
      <c r="L655" s="96">
        <f t="shared" si="5"/>
      </c>
      <c r="N655" s="2">
        <f>IF(648&gt;$Z$5,0,MOD(SMALL($Z$6:$Z$2005,648),10000))</f>
        <v>0</v>
      </c>
      <c r="O655" s="2">
        <f t="shared" si="11"/>
        <v>0</v>
      </c>
      <c r="Z655" s="2">
        <f>IF(AND(ISNUMBER(资金流水!$B$655),资金流水!$B$655&gt;=$C$4,资金流水!$B$655&lt;=$E$4,OR(资金流水!$C$655=$C$3,AND(资金流水!$AD$655=$C$3,资金流水!$X$655="账户互转"))),INT(资金流水!$B$655)*10000+650,"")</f>
      </c>
    </row>
    <row r="656">
      <c r="A656" s="94">
        <f>IF($N656=0,"",649)</f>
      </c>
      <c r="B656" s="95">
        <f t="shared" si="6"/>
      </c>
      <c r="C656" s="96">
        <f t="shared" si="1"/>
      </c>
      <c r="D656" s="21">
        <f t="shared" si="7"/>
      </c>
      <c r="E656" s="21">
        <f t="shared" si="2"/>
      </c>
      <c r="F656" s="48">
        <f t="shared" si="8"/>
      </c>
      <c r="G656" s="94">
        <f t="shared" si="9"/>
      </c>
      <c r="H656" s="94">
        <f t="shared" si="3"/>
      </c>
      <c r="I656" s="96">
        <f t="shared" si="0"/>
      </c>
      <c r="J656" s="94">
        <f t="shared" si="4"/>
      </c>
      <c r="K656" s="94">
        <f t="shared" si="10"/>
      </c>
      <c r="L656" s="96">
        <f t="shared" si="5"/>
      </c>
      <c r="N656" s="2">
        <f>IF(649&gt;$Z$5,0,MOD(SMALL($Z$6:$Z$2005,649),10000))</f>
        <v>0</v>
      </c>
      <c r="O656" s="2">
        <f t="shared" si="11"/>
        <v>0</v>
      </c>
      <c r="Z656" s="2">
        <f>IF(AND(ISNUMBER(资金流水!$B$656),资金流水!$B$656&gt;=$C$4,资金流水!$B$656&lt;=$E$4,OR(资金流水!$C$656=$C$3,AND(资金流水!$AD$656=$C$3,资金流水!$X$656="账户互转"))),INT(资金流水!$B$656)*10000+651,"")</f>
      </c>
    </row>
    <row r="657">
      <c r="A657" s="94">
        <f>IF($N657=0,"",650)</f>
      </c>
      <c r="B657" s="95">
        <f t="shared" si="6"/>
      </c>
      <c r="C657" s="96">
        <f t="shared" si="1"/>
      </c>
      <c r="D657" s="21">
        <f t="shared" si="7"/>
      </c>
      <c r="E657" s="21">
        <f t="shared" si="2"/>
      </c>
      <c r="F657" s="48">
        <f t="shared" si="8"/>
      </c>
      <c r="G657" s="94">
        <f t="shared" si="9"/>
      </c>
      <c r="H657" s="94">
        <f t="shared" si="3"/>
      </c>
      <c r="I657" s="96">
        <f t="shared" si="0"/>
      </c>
      <c r="J657" s="94">
        <f t="shared" si="4"/>
      </c>
      <c r="K657" s="94">
        <f t="shared" si="10"/>
      </c>
      <c r="L657" s="96">
        <f t="shared" si="5"/>
      </c>
      <c r="N657" s="2">
        <f>IF(650&gt;$Z$5,0,MOD(SMALL($Z$6:$Z$2005,650),10000))</f>
        <v>0</v>
      </c>
      <c r="O657" s="2">
        <f t="shared" si="11"/>
        <v>0</v>
      </c>
      <c r="Z657" s="2">
        <f>IF(AND(ISNUMBER(资金流水!$B$657),资金流水!$B$657&gt;=$C$4,资金流水!$B$657&lt;=$E$4,OR(资金流水!$C$657=$C$3,AND(资金流水!$AD$657=$C$3,资金流水!$X$657="账户互转"))),INT(资金流水!$B$657)*10000+652,"")</f>
      </c>
    </row>
    <row r="658">
      <c r="A658" s="94">
        <f>IF($N658=0,"",651)</f>
      </c>
      <c r="B658" s="95">
        <f t="shared" si="6"/>
      </c>
      <c r="C658" s="96">
        <f t="shared" si="1"/>
      </c>
      <c r="D658" s="21">
        <f t="shared" si="7"/>
      </c>
      <c r="E658" s="21">
        <f t="shared" si="2"/>
      </c>
      <c r="F658" s="48">
        <f t="shared" si="8"/>
      </c>
      <c r="G658" s="94">
        <f t="shared" si="9"/>
      </c>
      <c r="H658" s="94">
        <f t="shared" si="3"/>
      </c>
      <c r="I658" s="96">
        <f t="shared" si="0"/>
      </c>
      <c r="J658" s="94">
        <f t="shared" si="4"/>
      </c>
      <c r="K658" s="94">
        <f t="shared" si="10"/>
      </c>
      <c r="L658" s="96">
        <f t="shared" si="5"/>
      </c>
      <c r="N658" s="2">
        <f>IF(651&gt;$Z$5,0,MOD(SMALL($Z$6:$Z$2005,651),10000))</f>
        <v>0</v>
      </c>
      <c r="O658" s="2">
        <f t="shared" si="11"/>
        <v>0</v>
      </c>
      <c r="Z658" s="2">
        <f>IF(AND(ISNUMBER(资金流水!$B$658),资金流水!$B$658&gt;=$C$4,资金流水!$B$658&lt;=$E$4,OR(资金流水!$C$658=$C$3,AND(资金流水!$AD$658=$C$3,资金流水!$X$658="账户互转"))),INT(资金流水!$B$658)*10000+653,"")</f>
      </c>
    </row>
    <row r="659">
      <c r="A659" s="94">
        <f>IF($N659=0,"",652)</f>
      </c>
      <c r="B659" s="95">
        <f t="shared" si="6"/>
      </c>
      <c r="C659" s="96">
        <f t="shared" si="1"/>
      </c>
      <c r="D659" s="21">
        <f t="shared" si="7"/>
      </c>
      <c r="E659" s="21">
        <f t="shared" si="2"/>
      </c>
      <c r="F659" s="48">
        <f t="shared" si="8"/>
      </c>
      <c r="G659" s="94">
        <f t="shared" si="9"/>
      </c>
      <c r="H659" s="94">
        <f t="shared" si="3"/>
      </c>
      <c r="I659" s="96">
        <f t="shared" si="0"/>
      </c>
      <c r="J659" s="94">
        <f t="shared" si="4"/>
      </c>
      <c r="K659" s="94">
        <f t="shared" si="10"/>
      </c>
      <c r="L659" s="96">
        <f t="shared" si="5"/>
      </c>
      <c r="N659" s="2">
        <f>IF(652&gt;$Z$5,0,MOD(SMALL($Z$6:$Z$2005,652),10000))</f>
        <v>0</v>
      </c>
      <c r="O659" s="2">
        <f t="shared" si="11"/>
        <v>0</v>
      </c>
      <c r="Z659" s="2">
        <f>IF(AND(ISNUMBER(资金流水!$B$659),资金流水!$B$659&gt;=$C$4,资金流水!$B$659&lt;=$E$4,OR(资金流水!$C$659=$C$3,AND(资金流水!$AD$659=$C$3,资金流水!$X$659="账户互转"))),INT(资金流水!$B$659)*10000+654,"")</f>
      </c>
    </row>
    <row r="660">
      <c r="A660" s="94">
        <f>IF($N660=0,"",653)</f>
      </c>
      <c r="B660" s="95">
        <f t="shared" si="6"/>
      </c>
      <c r="C660" s="96">
        <f t="shared" si="1"/>
      </c>
      <c r="D660" s="21">
        <f t="shared" si="7"/>
      </c>
      <c r="E660" s="21">
        <f t="shared" si="2"/>
      </c>
      <c r="F660" s="48">
        <f t="shared" si="8"/>
      </c>
      <c r="G660" s="94">
        <f t="shared" si="9"/>
      </c>
      <c r="H660" s="94">
        <f t="shared" si="3"/>
      </c>
      <c r="I660" s="96">
        <f t="shared" si="0"/>
      </c>
      <c r="J660" s="94">
        <f t="shared" si="4"/>
      </c>
      <c r="K660" s="94">
        <f t="shared" si="10"/>
      </c>
      <c r="L660" s="96">
        <f t="shared" si="5"/>
      </c>
      <c r="N660" s="2">
        <f>IF(653&gt;$Z$5,0,MOD(SMALL($Z$6:$Z$2005,653),10000))</f>
        <v>0</v>
      </c>
      <c r="O660" s="2">
        <f t="shared" si="11"/>
        <v>0</v>
      </c>
      <c r="Z660" s="2">
        <f>IF(AND(ISNUMBER(资金流水!$B$660),资金流水!$B$660&gt;=$C$4,资金流水!$B$660&lt;=$E$4,OR(资金流水!$C$660=$C$3,AND(资金流水!$AD$660=$C$3,资金流水!$X$660="账户互转"))),INT(资金流水!$B$660)*10000+655,"")</f>
      </c>
    </row>
    <row r="661">
      <c r="A661" s="94">
        <f>IF($N661=0,"",654)</f>
      </c>
      <c r="B661" s="95">
        <f t="shared" si="6"/>
      </c>
      <c r="C661" s="96">
        <f t="shared" si="1"/>
      </c>
      <c r="D661" s="21">
        <f t="shared" si="7"/>
      </c>
      <c r="E661" s="21">
        <f t="shared" si="2"/>
      </c>
      <c r="F661" s="48">
        <f t="shared" si="8"/>
      </c>
      <c r="G661" s="94">
        <f t="shared" si="9"/>
      </c>
      <c r="H661" s="94">
        <f t="shared" si="3"/>
      </c>
      <c r="I661" s="96">
        <f t="shared" si="0"/>
      </c>
      <c r="J661" s="94">
        <f t="shared" si="4"/>
      </c>
      <c r="K661" s="94">
        <f t="shared" si="10"/>
      </c>
      <c r="L661" s="96">
        <f t="shared" si="5"/>
      </c>
      <c r="N661" s="2">
        <f>IF(654&gt;$Z$5,0,MOD(SMALL($Z$6:$Z$2005,654),10000))</f>
        <v>0</v>
      </c>
      <c r="O661" s="2">
        <f t="shared" si="11"/>
        <v>0</v>
      </c>
      <c r="Z661" s="2">
        <f>IF(AND(ISNUMBER(资金流水!$B$661),资金流水!$B$661&gt;=$C$4,资金流水!$B$661&lt;=$E$4,OR(资金流水!$C$661=$C$3,AND(资金流水!$AD$661=$C$3,资金流水!$X$661="账户互转"))),INT(资金流水!$B$661)*10000+656,"")</f>
      </c>
    </row>
    <row r="662">
      <c r="A662" s="94">
        <f>IF($N662=0,"",655)</f>
      </c>
      <c r="B662" s="95">
        <f t="shared" si="6"/>
      </c>
      <c r="C662" s="96">
        <f t="shared" si="1"/>
      </c>
      <c r="D662" s="21">
        <f t="shared" si="7"/>
      </c>
      <c r="E662" s="21">
        <f t="shared" si="2"/>
      </c>
      <c r="F662" s="48">
        <f t="shared" si="8"/>
      </c>
      <c r="G662" s="94">
        <f t="shared" si="9"/>
      </c>
      <c r="H662" s="94">
        <f t="shared" si="3"/>
      </c>
      <c r="I662" s="96">
        <f t="shared" si="0"/>
      </c>
      <c r="J662" s="94">
        <f t="shared" si="4"/>
      </c>
      <c r="K662" s="94">
        <f t="shared" si="10"/>
      </c>
      <c r="L662" s="96">
        <f t="shared" si="5"/>
      </c>
      <c r="N662" s="2">
        <f>IF(655&gt;$Z$5,0,MOD(SMALL($Z$6:$Z$2005,655),10000))</f>
        <v>0</v>
      </c>
      <c r="O662" s="2">
        <f t="shared" si="11"/>
        <v>0</v>
      </c>
      <c r="Z662" s="2">
        <f>IF(AND(ISNUMBER(资金流水!$B$662),资金流水!$B$662&gt;=$C$4,资金流水!$B$662&lt;=$E$4,OR(资金流水!$C$662=$C$3,AND(资金流水!$AD$662=$C$3,资金流水!$X$662="账户互转"))),INT(资金流水!$B$662)*10000+657,"")</f>
      </c>
    </row>
    <row r="663">
      <c r="A663" s="94">
        <f>IF($N663=0,"",656)</f>
      </c>
      <c r="B663" s="95">
        <f t="shared" si="6"/>
      </c>
      <c r="C663" s="96">
        <f t="shared" si="1"/>
      </c>
      <c r="D663" s="21">
        <f t="shared" si="7"/>
      </c>
      <c r="E663" s="21">
        <f t="shared" si="2"/>
      </c>
      <c r="F663" s="48">
        <f t="shared" si="8"/>
      </c>
      <c r="G663" s="94">
        <f t="shared" si="9"/>
      </c>
      <c r="H663" s="94">
        <f t="shared" si="3"/>
      </c>
      <c r="I663" s="96">
        <f t="shared" si="0"/>
      </c>
      <c r="J663" s="94">
        <f t="shared" si="4"/>
      </c>
      <c r="K663" s="94">
        <f t="shared" si="10"/>
      </c>
      <c r="L663" s="96">
        <f t="shared" si="5"/>
      </c>
      <c r="N663" s="2">
        <f>IF(656&gt;$Z$5,0,MOD(SMALL($Z$6:$Z$2005,656),10000))</f>
        <v>0</v>
      </c>
      <c r="O663" s="2">
        <f t="shared" si="11"/>
        <v>0</v>
      </c>
      <c r="Z663" s="2">
        <f>IF(AND(ISNUMBER(资金流水!$B$663),资金流水!$B$663&gt;=$C$4,资金流水!$B$663&lt;=$E$4,OR(资金流水!$C$663=$C$3,AND(资金流水!$AD$663=$C$3,资金流水!$X$663="账户互转"))),INT(资金流水!$B$663)*10000+658,"")</f>
      </c>
    </row>
    <row r="664">
      <c r="A664" s="94">
        <f>IF($N664=0,"",657)</f>
      </c>
      <c r="B664" s="95">
        <f t="shared" si="6"/>
      </c>
      <c r="C664" s="96">
        <f t="shared" si="1"/>
      </c>
      <c r="D664" s="21">
        <f t="shared" si="7"/>
      </c>
      <c r="E664" s="21">
        <f t="shared" si="2"/>
      </c>
      <c r="F664" s="48">
        <f t="shared" si="8"/>
      </c>
      <c r="G664" s="94">
        <f t="shared" si="9"/>
      </c>
      <c r="H664" s="94">
        <f t="shared" si="3"/>
      </c>
      <c r="I664" s="96">
        <f t="shared" si="0"/>
      </c>
      <c r="J664" s="94">
        <f t="shared" si="4"/>
      </c>
      <c r="K664" s="94">
        <f t="shared" si="10"/>
      </c>
      <c r="L664" s="96">
        <f t="shared" si="5"/>
      </c>
      <c r="N664" s="2">
        <f>IF(657&gt;$Z$5,0,MOD(SMALL($Z$6:$Z$2005,657),10000))</f>
        <v>0</v>
      </c>
      <c r="O664" s="2">
        <f t="shared" si="11"/>
        <v>0</v>
      </c>
      <c r="Z664" s="2">
        <f>IF(AND(ISNUMBER(资金流水!$B$664),资金流水!$B$664&gt;=$C$4,资金流水!$B$664&lt;=$E$4,OR(资金流水!$C$664=$C$3,AND(资金流水!$AD$664=$C$3,资金流水!$X$664="账户互转"))),INT(资金流水!$B$664)*10000+659,"")</f>
      </c>
    </row>
    <row r="665">
      <c r="A665" s="94">
        <f>IF($N665=0,"",658)</f>
      </c>
      <c r="B665" s="95">
        <f t="shared" si="6"/>
      </c>
      <c r="C665" s="96">
        <f t="shared" si="1"/>
      </c>
      <c r="D665" s="21">
        <f t="shared" si="7"/>
      </c>
      <c r="E665" s="21">
        <f t="shared" si="2"/>
      </c>
      <c r="F665" s="48">
        <f t="shared" si="8"/>
      </c>
      <c r="G665" s="94">
        <f t="shared" si="9"/>
      </c>
      <c r="H665" s="94">
        <f t="shared" si="3"/>
      </c>
      <c r="I665" s="96">
        <f t="shared" si="0"/>
      </c>
      <c r="J665" s="94">
        <f t="shared" si="4"/>
      </c>
      <c r="K665" s="94">
        <f t="shared" si="10"/>
      </c>
      <c r="L665" s="96">
        <f t="shared" si="5"/>
      </c>
      <c r="N665" s="2">
        <f>IF(658&gt;$Z$5,0,MOD(SMALL($Z$6:$Z$2005,658),10000))</f>
        <v>0</v>
      </c>
      <c r="O665" s="2">
        <f t="shared" si="11"/>
        <v>0</v>
      </c>
      <c r="Z665" s="2">
        <f>IF(AND(ISNUMBER(资金流水!$B$665),资金流水!$B$665&gt;=$C$4,资金流水!$B$665&lt;=$E$4,OR(资金流水!$C$665=$C$3,AND(资金流水!$AD$665=$C$3,资金流水!$X$665="账户互转"))),INT(资金流水!$B$665)*10000+660,"")</f>
      </c>
    </row>
    <row r="666">
      <c r="A666" s="94">
        <f>IF($N666=0,"",659)</f>
      </c>
      <c r="B666" s="95">
        <f t="shared" si="6"/>
      </c>
      <c r="C666" s="96">
        <f t="shared" si="1"/>
      </c>
      <c r="D666" s="21">
        <f t="shared" si="7"/>
      </c>
      <c r="E666" s="21">
        <f t="shared" si="2"/>
      </c>
      <c r="F666" s="48">
        <f t="shared" si="8"/>
      </c>
      <c r="G666" s="94">
        <f t="shared" si="9"/>
      </c>
      <c r="H666" s="94">
        <f t="shared" si="3"/>
      </c>
      <c r="I666" s="96">
        <f t="shared" si="0"/>
      </c>
      <c r="J666" s="94">
        <f t="shared" si="4"/>
      </c>
      <c r="K666" s="94">
        <f t="shared" si="10"/>
      </c>
      <c r="L666" s="96">
        <f t="shared" si="5"/>
      </c>
      <c r="N666" s="2">
        <f>IF(659&gt;$Z$5,0,MOD(SMALL($Z$6:$Z$2005,659),10000))</f>
        <v>0</v>
      </c>
      <c r="O666" s="2">
        <f t="shared" si="11"/>
        <v>0</v>
      </c>
      <c r="Z666" s="2">
        <f>IF(AND(ISNUMBER(资金流水!$B$666),资金流水!$B$666&gt;=$C$4,资金流水!$B$666&lt;=$E$4,OR(资金流水!$C$666=$C$3,AND(资金流水!$AD$666=$C$3,资金流水!$X$666="账户互转"))),INT(资金流水!$B$666)*10000+661,"")</f>
      </c>
    </row>
    <row r="667">
      <c r="A667" s="94">
        <f>IF($N667=0,"",660)</f>
      </c>
      <c r="B667" s="95">
        <f t="shared" si="6"/>
      </c>
      <c r="C667" s="96">
        <f t="shared" si="1"/>
      </c>
      <c r="D667" s="21">
        <f t="shared" si="7"/>
      </c>
      <c r="E667" s="21">
        <f t="shared" si="2"/>
      </c>
      <c r="F667" s="48">
        <f t="shared" si="8"/>
      </c>
      <c r="G667" s="94">
        <f t="shared" si="9"/>
      </c>
      <c r="H667" s="94">
        <f t="shared" si="3"/>
      </c>
      <c r="I667" s="96">
        <f t="shared" si="0"/>
      </c>
      <c r="J667" s="94">
        <f t="shared" si="4"/>
      </c>
      <c r="K667" s="94">
        <f t="shared" si="10"/>
      </c>
      <c r="L667" s="96">
        <f t="shared" si="5"/>
      </c>
      <c r="N667" s="2">
        <f>IF(660&gt;$Z$5,0,MOD(SMALL($Z$6:$Z$2005,660),10000))</f>
        <v>0</v>
      </c>
      <c r="O667" s="2">
        <f t="shared" si="11"/>
        <v>0</v>
      </c>
      <c r="Z667" s="2">
        <f>IF(AND(ISNUMBER(资金流水!$B$667),资金流水!$B$667&gt;=$C$4,资金流水!$B$667&lt;=$E$4,OR(资金流水!$C$667=$C$3,AND(资金流水!$AD$667=$C$3,资金流水!$X$667="账户互转"))),INT(资金流水!$B$667)*10000+662,"")</f>
      </c>
    </row>
    <row r="668">
      <c r="A668" s="94">
        <f>IF($N668=0,"",661)</f>
      </c>
      <c r="B668" s="95">
        <f t="shared" si="6"/>
      </c>
      <c r="C668" s="96">
        <f t="shared" si="1"/>
      </c>
      <c r="D668" s="21">
        <f t="shared" si="7"/>
      </c>
      <c r="E668" s="21">
        <f t="shared" si="2"/>
      </c>
      <c r="F668" s="48">
        <f t="shared" si="8"/>
      </c>
      <c r="G668" s="94">
        <f t="shared" si="9"/>
      </c>
      <c r="H668" s="94">
        <f t="shared" si="3"/>
      </c>
      <c r="I668" s="96">
        <f t="shared" si="0"/>
      </c>
      <c r="J668" s="94">
        <f t="shared" si="4"/>
      </c>
      <c r="K668" s="94">
        <f t="shared" si="10"/>
      </c>
      <c r="L668" s="96">
        <f t="shared" si="5"/>
      </c>
      <c r="N668" s="2">
        <f>IF(661&gt;$Z$5,0,MOD(SMALL($Z$6:$Z$2005,661),10000))</f>
        <v>0</v>
      </c>
      <c r="O668" s="2">
        <f t="shared" si="11"/>
        <v>0</v>
      </c>
      <c r="Z668" s="2">
        <f>IF(AND(ISNUMBER(资金流水!$B$668),资金流水!$B$668&gt;=$C$4,资金流水!$B$668&lt;=$E$4,OR(资金流水!$C$668=$C$3,AND(资金流水!$AD$668=$C$3,资金流水!$X$668="账户互转"))),INT(资金流水!$B$668)*10000+663,"")</f>
      </c>
    </row>
    <row r="669">
      <c r="A669" s="94">
        <f>IF($N669=0,"",662)</f>
      </c>
      <c r="B669" s="95">
        <f t="shared" si="6"/>
      </c>
      <c r="C669" s="96">
        <f t="shared" si="1"/>
      </c>
      <c r="D669" s="21">
        <f t="shared" si="7"/>
      </c>
      <c r="E669" s="21">
        <f t="shared" si="2"/>
      </c>
      <c r="F669" s="48">
        <f t="shared" si="8"/>
      </c>
      <c r="G669" s="94">
        <f t="shared" si="9"/>
      </c>
      <c r="H669" s="94">
        <f t="shared" si="3"/>
      </c>
      <c r="I669" s="96">
        <f t="shared" si="0"/>
      </c>
      <c r="J669" s="94">
        <f t="shared" si="4"/>
      </c>
      <c r="K669" s="94">
        <f t="shared" si="10"/>
      </c>
      <c r="L669" s="96">
        <f t="shared" si="5"/>
      </c>
      <c r="N669" s="2">
        <f>IF(662&gt;$Z$5,0,MOD(SMALL($Z$6:$Z$2005,662),10000))</f>
        <v>0</v>
      </c>
      <c r="O669" s="2">
        <f t="shared" si="11"/>
        <v>0</v>
      </c>
      <c r="Z669" s="2">
        <f>IF(AND(ISNUMBER(资金流水!$B$669),资金流水!$B$669&gt;=$C$4,资金流水!$B$669&lt;=$E$4,OR(资金流水!$C$669=$C$3,AND(资金流水!$AD$669=$C$3,资金流水!$X$669="账户互转"))),INT(资金流水!$B$669)*10000+664,"")</f>
      </c>
    </row>
    <row r="670">
      <c r="A670" s="94">
        <f>IF($N670=0,"",663)</f>
      </c>
      <c r="B670" s="95">
        <f t="shared" si="6"/>
      </c>
      <c r="C670" s="96">
        <f t="shared" si="1"/>
      </c>
      <c r="D670" s="21">
        <f t="shared" si="7"/>
      </c>
      <c r="E670" s="21">
        <f t="shared" si="2"/>
      </c>
      <c r="F670" s="48">
        <f t="shared" si="8"/>
      </c>
      <c r="G670" s="94">
        <f t="shared" si="9"/>
      </c>
      <c r="H670" s="94">
        <f t="shared" si="3"/>
      </c>
      <c r="I670" s="96">
        <f t="shared" si="0"/>
      </c>
      <c r="J670" s="94">
        <f t="shared" si="4"/>
      </c>
      <c r="K670" s="94">
        <f t="shared" si="10"/>
      </c>
      <c r="L670" s="96">
        <f t="shared" si="5"/>
      </c>
      <c r="N670" s="2">
        <f>IF(663&gt;$Z$5,0,MOD(SMALL($Z$6:$Z$2005,663),10000))</f>
        <v>0</v>
      </c>
      <c r="O670" s="2">
        <f t="shared" si="11"/>
        <v>0</v>
      </c>
      <c r="Z670" s="2">
        <f>IF(AND(ISNUMBER(资金流水!$B$670),资金流水!$B$670&gt;=$C$4,资金流水!$B$670&lt;=$E$4,OR(资金流水!$C$670=$C$3,AND(资金流水!$AD$670=$C$3,资金流水!$X$670="账户互转"))),INT(资金流水!$B$670)*10000+665,"")</f>
      </c>
    </row>
    <row r="671">
      <c r="A671" s="94">
        <f>IF($N671=0,"",664)</f>
      </c>
      <c r="B671" s="95">
        <f t="shared" si="6"/>
      </c>
      <c r="C671" s="96">
        <f t="shared" si="1"/>
      </c>
      <c r="D671" s="21">
        <f t="shared" si="7"/>
      </c>
      <c r="E671" s="21">
        <f t="shared" si="2"/>
      </c>
      <c r="F671" s="48">
        <f t="shared" si="8"/>
      </c>
      <c r="G671" s="94">
        <f t="shared" si="9"/>
      </c>
      <c r="H671" s="94">
        <f t="shared" si="3"/>
      </c>
      <c r="I671" s="96">
        <f t="shared" si="0"/>
      </c>
      <c r="J671" s="94">
        <f t="shared" si="4"/>
      </c>
      <c r="K671" s="94">
        <f t="shared" si="10"/>
      </c>
      <c r="L671" s="96">
        <f t="shared" si="5"/>
      </c>
      <c r="N671" s="2">
        <f>IF(664&gt;$Z$5,0,MOD(SMALL($Z$6:$Z$2005,664),10000))</f>
        <v>0</v>
      </c>
      <c r="O671" s="2">
        <f t="shared" si="11"/>
        <v>0</v>
      </c>
      <c r="Z671" s="2">
        <f>IF(AND(ISNUMBER(资金流水!$B$671),资金流水!$B$671&gt;=$C$4,资金流水!$B$671&lt;=$E$4,OR(资金流水!$C$671=$C$3,AND(资金流水!$AD$671=$C$3,资金流水!$X$671="账户互转"))),INT(资金流水!$B$671)*10000+666,"")</f>
      </c>
    </row>
    <row r="672">
      <c r="A672" s="94">
        <f>IF($N672=0,"",665)</f>
      </c>
      <c r="B672" s="95">
        <f t="shared" si="6"/>
      </c>
      <c r="C672" s="96">
        <f t="shared" si="1"/>
      </c>
      <c r="D672" s="21">
        <f t="shared" si="7"/>
      </c>
      <c r="E672" s="21">
        <f t="shared" si="2"/>
      </c>
      <c r="F672" s="48">
        <f t="shared" si="8"/>
      </c>
      <c r="G672" s="94">
        <f t="shared" si="9"/>
      </c>
      <c r="H672" s="94">
        <f t="shared" si="3"/>
      </c>
      <c r="I672" s="96">
        <f t="shared" si="0"/>
      </c>
      <c r="J672" s="94">
        <f t="shared" si="4"/>
      </c>
      <c r="K672" s="94">
        <f t="shared" si="10"/>
      </c>
      <c r="L672" s="96">
        <f t="shared" si="5"/>
      </c>
      <c r="N672" s="2">
        <f>IF(665&gt;$Z$5,0,MOD(SMALL($Z$6:$Z$2005,665),10000))</f>
        <v>0</v>
      </c>
      <c r="O672" s="2">
        <f t="shared" si="11"/>
        <v>0</v>
      </c>
      <c r="Z672" s="2">
        <f>IF(AND(ISNUMBER(资金流水!$B$672),资金流水!$B$672&gt;=$C$4,资金流水!$B$672&lt;=$E$4,OR(资金流水!$C$672=$C$3,AND(资金流水!$AD$672=$C$3,资金流水!$X$672="账户互转"))),INT(资金流水!$B$672)*10000+667,"")</f>
      </c>
    </row>
    <row r="673">
      <c r="A673" s="94">
        <f>IF($N673=0,"",666)</f>
      </c>
      <c r="B673" s="95">
        <f t="shared" si="6"/>
      </c>
      <c r="C673" s="96">
        <f t="shared" si="1"/>
      </c>
      <c r="D673" s="21">
        <f t="shared" si="7"/>
      </c>
      <c r="E673" s="21">
        <f t="shared" si="2"/>
      </c>
      <c r="F673" s="48">
        <f t="shared" si="8"/>
      </c>
      <c r="G673" s="94">
        <f t="shared" si="9"/>
      </c>
      <c r="H673" s="94">
        <f t="shared" si="3"/>
      </c>
      <c r="I673" s="96">
        <f t="shared" si="0"/>
      </c>
      <c r="J673" s="94">
        <f t="shared" si="4"/>
      </c>
      <c r="K673" s="94">
        <f t="shared" si="10"/>
      </c>
      <c r="L673" s="96">
        <f t="shared" si="5"/>
      </c>
      <c r="N673" s="2">
        <f>IF(666&gt;$Z$5,0,MOD(SMALL($Z$6:$Z$2005,666),10000))</f>
        <v>0</v>
      </c>
      <c r="O673" s="2">
        <f t="shared" si="11"/>
        <v>0</v>
      </c>
      <c r="Z673" s="2">
        <f>IF(AND(ISNUMBER(资金流水!$B$673),资金流水!$B$673&gt;=$C$4,资金流水!$B$673&lt;=$E$4,OR(资金流水!$C$673=$C$3,AND(资金流水!$AD$673=$C$3,资金流水!$X$673="账户互转"))),INT(资金流水!$B$673)*10000+668,"")</f>
      </c>
    </row>
    <row r="674">
      <c r="A674" s="94">
        <f>IF($N674=0,"",667)</f>
      </c>
      <c r="B674" s="95">
        <f t="shared" si="6"/>
      </c>
      <c r="C674" s="96">
        <f t="shared" si="1"/>
      </c>
      <c r="D674" s="21">
        <f t="shared" si="7"/>
      </c>
      <c r="E674" s="21">
        <f t="shared" si="2"/>
      </c>
      <c r="F674" s="48">
        <f t="shared" si="8"/>
      </c>
      <c r="G674" s="94">
        <f t="shared" si="9"/>
      </c>
      <c r="H674" s="94">
        <f t="shared" si="3"/>
      </c>
      <c r="I674" s="96">
        <f t="shared" si="0"/>
      </c>
      <c r="J674" s="94">
        <f t="shared" si="4"/>
      </c>
      <c r="K674" s="94">
        <f t="shared" si="10"/>
      </c>
      <c r="L674" s="96">
        <f t="shared" si="5"/>
      </c>
      <c r="N674" s="2">
        <f>IF(667&gt;$Z$5,0,MOD(SMALL($Z$6:$Z$2005,667),10000))</f>
        <v>0</v>
      </c>
      <c r="O674" s="2">
        <f t="shared" si="11"/>
        <v>0</v>
      </c>
      <c r="Z674" s="2">
        <f>IF(AND(ISNUMBER(资金流水!$B$674),资金流水!$B$674&gt;=$C$4,资金流水!$B$674&lt;=$E$4,OR(资金流水!$C$674=$C$3,AND(资金流水!$AD$674=$C$3,资金流水!$X$674="账户互转"))),INT(资金流水!$B$674)*10000+669,"")</f>
      </c>
    </row>
    <row r="675">
      <c r="A675" s="94">
        <f>IF($N675=0,"",668)</f>
      </c>
      <c r="B675" s="95">
        <f t="shared" si="6"/>
      </c>
      <c r="C675" s="96">
        <f t="shared" si="1"/>
      </c>
      <c r="D675" s="21">
        <f t="shared" si="7"/>
      </c>
      <c r="E675" s="21">
        <f t="shared" si="2"/>
      </c>
      <c r="F675" s="48">
        <f t="shared" si="8"/>
      </c>
      <c r="G675" s="94">
        <f t="shared" si="9"/>
      </c>
      <c r="H675" s="94">
        <f t="shared" si="3"/>
      </c>
      <c r="I675" s="96">
        <f t="shared" si="0"/>
      </c>
      <c r="J675" s="94">
        <f t="shared" si="4"/>
      </c>
      <c r="K675" s="94">
        <f t="shared" si="10"/>
      </c>
      <c r="L675" s="96">
        <f t="shared" si="5"/>
      </c>
      <c r="N675" s="2">
        <f>IF(668&gt;$Z$5,0,MOD(SMALL($Z$6:$Z$2005,668),10000))</f>
        <v>0</v>
      </c>
      <c r="O675" s="2">
        <f t="shared" si="11"/>
        <v>0</v>
      </c>
      <c r="Z675" s="2">
        <f>IF(AND(ISNUMBER(资金流水!$B$675),资金流水!$B$675&gt;=$C$4,资金流水!$B$675&lt;=$E$4,OR(资金流水!$C$675=$C$3,AND(资金流水!$AD$675=$C$3,资金流水!$X$675="账户互转"))),INT(资金流水!$B$675)*10000+670,"")</f>
      </c>
    </row>
    <row r="676">
      <c r="A676" s="94">
        <f>IF($N676=0,"",669)</f>
      </c>
      <c r="B676" s="95">
        <f t="shared" si="6"/>
      </c>
      <c r="C676" s="96">
        <f t="shared" si="1"/>
      </c>
      <c r="D676" s="21">
        <f t="shared" si="7"/>
      </c>
      <c r="E676" s="21">
        <f t="shared" si="2"/>
      </c>
      <c r="F676" s="48">
        <f t="shared" si="8"/>
      </c>
      <c r="G676" s="94">
        <f t="shared" si="9"/>
      </c>
      <c r="H676" s="94">
        <f t="shared" si="3"/>
      </c>
      <c r="I676" s="96">
        <f t="shared" si="0"/>
      </c>
      <c r="J676" s="94">
        <f t="shared" si="4"/>
      </c>
      <c r="K676" s="94">
        <f t="shared" si="10"/>
      </c>
      <c r="L676" s="96">
        <f t="shared" si="5"/>
      </c>
      <c r="N676" s="2">
        <f>IF(669&gt;$Z$5,0,MOD(SMALL($Z$6:$Z$2005,669),10000))</f>
        <v>0</v>
      </c>
      <c r="O676" s="2">
        <f t="shared" si="11"/>
        <v>0</v>
      </c>
      <c r="Z676" s="2">
        <f>IF(AND(ISNUMBER(资金流水!$B$676),资金流水!$B$676&gt;=$C$4,资金流水!$B$676&lt;=$E$4,OR(资金流水!$C$676=$C$3,AND(资金流水!$AD$676=$C$3,资金流水!$X$676="账户互转"))),INT(资金流水!$B$676)*10000+671,"")</f>
      </c>
    </row>
    <row r="677">
      <c r="A677" s="94">
        <f>IF($N677=0,"",670)</f>
      </c>
      <c r="B677" s="95">
        <f t="shared" si="6"/>
      </c>
      <c r="C677" s="96">
        <f t="shared" si="1"/>
      </c>
      <c r="D677" s="21">
        <f t="shared" si="7"/>
      </c>
      <c r="E677" s="21">
        <f t="shared" si="2"/>
      </c>
      <c r="F677" s="48">
        <f t="shared" si="8"/>
      </c>
      <c r="G677" s="94">
        <f t="shared" si="9"/>
      </c>
      <c r="H677" s="94">
        <f t="shared" si="3"/>
      </c>
      <c r="I677" s="96">
        <f t="shared" si="0"/>
      </c>
      <c r="J677" s="94">
        <f t="shared" si="4"/>
      </c>
      <c r="K677" s="94">
        <f t="shared" si="10"/>
      </c>
      <c r="L677" s="96">
        <f t="shared" si="5"/>
      </c>
      <c r="N677" s="2">
        <f>IF(670&gt;$Z$5,0,MOD(SMALL($Z$6:$Z$2005,670),10000))</f>
        <v>0</v>
      </c>
      <c r="O677" s="2">
        <f t="shared" si="11"/>
        <v>0</v>
      </c>
      <c r="Z677" s="2">
        <f>IF(AND(ISNUMBER(资金流水!$B$677),资金流水!$B$677&gt;=$C$4,资金流水!$B$677&lt;=$E$4,OR(资金流水!$C$677=$C$3,AND(资金流水!$AD$677=$C$3,资金流水!$X$677="账户互转"))),INT(资金流水!$B$677)*10000+672,"")</f>
      </c>
    </row>
    <row r="678">
      <c r="A678" s="94">
        <f>IF($N678=0,"",671)</f>
      </c>
      <c r="B678" s="95">
        <f t="shared" si="6"/>
      </c>
      <c r="C678" s="96">
        <f t="shared" si="1"/>
      </c>
      <c r="D678" s="21">
        <f t="shared" si="7"/>
      </c>
      <c r="E678" s="21">
        <f t="shared" si="2"/>
      </c>
      <c r="F678" s="48">
        <f t="shared" si="8"/>
      </c>
      <c r="G678" s="94">
        <f t="shared" si="9"/>
      </c>
      <c r="H678" s="94">
        <f t="shared" si="3"/>
      </c>
      <c r="I678" s="96">
        <f t="shared" si="0"/>
      </c>
      <c r="J678" s="94">
        <f t="shared" si="4"/>
      </c>
      <c r="K678" s="94">
        <f t="shared" si="10"/>
      </c>
      <c r="L678" s="96">
        <f t="shared" si="5"/>
      </c>
      <c r="N678" s="2">
        <f>IF(671&gt;$Z$5,0,MOD(SMALL($Z$6:$Z$2005,671),10000))</f>
        <v>0</v>
      </c>
      <c r="O678" s="2">
        <f t="shared" si="11"/>
        <v>0</v>
      </c>
      <c r="Z678" s="2">
        <f>IF(AND(ISNUMBER(资金流水!$B$678),资金流水!$B$678&gt;=$C$4,资金流水!$B$678&lt;=$E$4,OR(资金流水!$C$678=$C$3,AND(资金流水!$AD$678=$C$3,资金流水!$X$678="账户互转"))),INT(资金流水!$B$678)*10000+673,"")</f>
      </c>
    </row>
    <row r="679">
      <c r="A679" s="94">
        <f>IF($N679=0,"",672)</f>
      </c>
      <c r="B679" s="95">
        <f t="shared" si="6"/>
      </c>
      <c r="C679" s="96">
        <f t="shared" si="1"/>
      </c>
      <c r="D679" s="21">
        <f t="shared" si="7"/>
      </c>
      <c r="E679" s="21">
        <f t="shared" si="2"/>
      </c>
      <c r="F679" s="48">
        <f t="shared" si="8"/>
      </c>
      <c r="G679" s="94">
        <f t="shared" si="9"/>
      </c>
      <c r="H679" s="94">
        <f t="shared" si="3"/>
      </c>
      <c r="I679" s="96">
        <f t="shared" si="0"/>
      </c>
      <c r="J679" s="94">
        <f t="shared" si="4"/>
      </c>
      <c r="K679" s="94">
        <f t="shared" si="10"/>
      </c>
      <c r="L679" s="96">
        <f t="shared" si="5"/>
      </c>
      <c r="N679" s="2">
        <f>IF(672&gt;$Z$5,0,MOD(SMALL($Z$6:$Z$2005,672),10000))</f>
        <v>0</v>
      </c>
      <c r="O679" s="2">
        <f t="shared" si="11"/>
        <v>0</v>
      </c>
      <c r="Z679" s="2">
        <f>IF(AND(ISNUMBER(资金流水!$B$679),资金流水!$B$679&gt;=$C$4,资金流水!$B$679&lt;=$E$4,OR(资金流水!$C$679=$C$3,AND(资金流水!$AD$679=$C$3,资金流水!$X$679="账户互转"))),INT(资金流水!$B$679)*10000+674,"")</f>
      </c>
    </row>
    <row r="680">
      <c r="A680" s="94">
        <f>IF($N680=0,"",673)</f>
      </c>
      <c r="B680" s="95">
        <f t="shared" si="6"/>
      </c>
      <c r="C680" s="96">
        <f t="shared" si="1"/>
      </c>
      <c r="D680" s="21">
        <f t="shared" si="7"/>
      </c>
      <c r="E680" s="21">
        <f t="shared" si="2"/>
      </c>
      <c r="F680" s="48">
        <f t="shared" si="8"/>
      </c>
      <c r="G680" s="94">
        <f t="shared" si="9"/>
      </c>
      <c r="H680" s="94">
        <f t="shared" si="3"/>
      </c>
      <c r="I680" s="96">
        <f t="shared" si="0"/>
      </c>
      <c r="J680" s="94">
        <f t="shared" si="4"/>
      </c>
      <c r="K680" s="94">
        <f t="shared" si="10"/>
      </c>
      <c r="L680" s="96">
        <f t="shared" si="5"/>
      </c>
      <c r="N680" s="2">
        <f>IF(673&gt;$Z$5,0,MOD(SMALL($Z$6:$Z$2005,673),10000))</f>
        <v>0</v>
      </c>
      <c r="O680" s="2">
        <f t="shared" si="11"/>
        <v>0</v>
      </c>
      <c r="Z680" s="2">
        <f>IF(AND(ISNUMBER(资金流水!$B$680),资金流水!$B$680&gt;=$C$4,资金流水!$B$680&lt;=$E$4,OR(资金流水!$C$680=$C$3,AND(资金流水!$AD$680=$C$3,资金流水!$X$680="账户互转"))),INT(资金流水!$B$680)*10000+675,"")</f>
      </c>
    </row>
    <row r="681">
      <c r="A681" s="94">
        <f>IF($N681=0,"",674)</f>
      </c>
      <c r="B681" s="95">
        <f t="shared" si="6"/>
      </c>
      <c r="C681" s="96">
        <f t="shared" si="1"/>
      </c>
      <c r="D681" s="21">
        <f t="shared" si="7"/>
      </c>
      <c r="E681" s="21">
        <f t="shared" si="2"/>
      </c>
      <c r="F681" s="48">
        <f t="shared" si="8"/>
      </c>
      <c r="G681" s="94">
        <f t="shared" si="9"/>
      </c>
      <c r="H681" s="94">
        <f t="shared" si="3"/>
      </c>
      <c r="I681" s="96">
        <f t="shared" si="0"/>
      </c>
      <c r="J681" s="94">
        <f t="shared" si="4"/>
      </c>
      <c r="K681" s="94">
        <f t="shared" si="10"/>
      </c>
      <c r="L681" s="96">
        <f t="shared" si="5"/>
      </c>
      <c r="N681" s="2">
        <f>IF(674&gt;$Z$5,0,MOD(SMALL($Z$6:$Z$2005,674),10000))</f>
        <v>0</v>
      </c>
      <c r="O681" s="2">
        <f t="shared" si="11"/>
        <v>0</v>
      </c>
      <c r="Z681" s="2">
        <f>IF(AND(ISNUMBER(资金流水!$B$681),资金流水!$B$681&gt;=$C$4,资金流水!$B$681&lt;=$E$4,OR(资金流水!$C$681=$C$3,AND(资金流水!$AD$681=$C$3,资金流水!$X$681="账户互转"))),INT(资金流水!$B$681)*10000+676,"")</f>
      </c>
    </row>
    <row r="682">
      <c r="A682" s="94">
        <f>IF($N682=0,"",675)</f>
      </c>
      <c r="B682" s="95">
        <f t="shared" si="6"/>
      </c>
      <c r="C682" s="96">
        <f t="shared" si="1"/>
      </c>
      <c r="D682" s="21">
        <f t="shared" si="7"/>
      </c>
      <c r="E682" s="21">
        <f t="shared" si="2"/>
      </c>
      <c r="F682" s="48">
        <f t="shared" si="8"/>
      </c>
      <c r="G682" s="94">
        <f t="shared" si="9"/>
      </c>
      <c r="H682" s="94">
        <f t="shared" si="3"/>
      </c>
      <c r="I682" s="96">
        <f t="shared" si="0"/>
      </c>
      <c r="J682" s="94">
        <f t="shared" si="4"/>
      </c>
      <c r="K682" s="94">
        <f t="shared" si="10"/>
      </c>
      <c r="L682" s="96">
        <f t="shared" si="5"/>
      </c>
      <c r="N682" s="2">
        <f>IF(675&gt;$Z$5,0,MOD(SMALL($Z$6:$Z$2005,675),10000))</f>
        <v>0</v>
      </c>
      <c r="O682" s="2">
        <f t="shared" si="11"/>
        <v>0</v>
      </c>
      <c r="Z682" s="2">
        <f>IF(AND(ISNUMBER(资金流水!$B$682),资金流水!$B$682&gt;=$C$4,资金流水!$B$682&lt;=$E$4,OR(资金流水!$C$682=$C$3,AND(资金流水!$AD$682=$C$3,资金流水!$X$682="账户互转"))),INT(资金流水!$B$682)*10000+677,"")</f>
      </c>
    </row>
    <row r="683">
      <c r="A683" s="94">
        <f>IF($N683=0,"",676)</f>
      </c>
      <c r="B683" s="95">
        <f t="shared" si="6"/>
      </c>
      <c r="C683" s="96">
        <f t="shared" si="1"/>
      </c>
      <c r="D683" s="21">
        <f t="shared" si="7"/>
      </c>
      <c r="E683" s="21">
        <f t="shared" si="2"/>
      </c>
      <c r="F683" s="48">
        <f t="shared" si="8"/>
      </c>
      <c r="G683" s="94">
        <f t="shared" si="9"/>
      </c>
      <c r="H683" s="94">
        <f t="shared" si="3"/>
      </c>
      <c r="I683" s="96">
        <f t="shared" si="0"/>
      </c>
      <c r="J683" s="94">
        <f t="shared" si="4"/>
      </c>
      <c r="K683" s="94">
        <f t="shared" si="10"/>
      </c>
      <c r="L683" s="96">
        <f t="shared" si="5"/>
      </c>
      <c r="N683" s="2">
        <f>IF(676&gt;$Z$5,0,MOD(SMALL($Z$6:$Z$2005,676),10000))</f>
        <v>0</v>
      </c>
      <c r="O683" s="2">
        <f t="shared" si="11"/>
        <v>0</v>
      </c>
      <c r="Z683" s="2">
        <f>IF(AND(ISNUMBER(资金流水!$B$683),资金流水!$B$683&gt;=$C$4,资金流水!$B$683&lt;=$E$4,OR(资金流水!$C$683=$C$3,AND(资金流水!$AD$683=$C$3,资金流水!$X$683="账户互转"))),INT(资金流水!$B$683)*10000+678,"")</f>
      </c>
    </row>
    <row r="684">
      <c r="A684" s="94">
        <f>IF($N684=0,"",677)</f>
      </c>
      <c r="B684" s="95">
        <f t="shared" si="6"/>
      </c>
      <c r="C684" s="96">
        <f t="shared" si="1"/>
      </c>
      <c r="D684" s="21">
        <f t="shared" si="7"/>
      </c>
      <c r="E684" s="21">
        <f t="shared" si="2"/>
      </c>
      <c r="F684" s="48">
        <f t="shared" si="8"/>
      </c>
      <c r="G684" s="94">
        <f t="shared" si="9"/>
      </c>
      <c r="H684" s="94">
        <f t="shared" si="3"/>
      </c>
      <c r="I684" s="96">
        <f t="shared" si="0"/>
      </c>
      <c r="J684" s="94">
        <f t="shared" si="4"/>
      </c>
      <c r="K684" s="94">
        <f t="shared" si="10"/>
      </c>
      <c r="L684" s="96">
        <f t="shared" si="5"/>
      </c>
      <c r="N684" s="2">
        <f>IF(677&gt;$Z$5,0,MOD(SMALL($Z$6:$Z$2005,677),10000))</f>
        <v>0</v>
      </c>
      <c r="O684" s="2">
        <f t="shared" si="11"/>
        <v>0</v>
      </c>
      <c r="Z684" s="2">
        <f>IF(AND(ISNUMBER(资金流水!$B$684),资金流水!$B$684&gt;=$C$4,资金流水!$B$684&lt;=$E$4,OR(资金流水!$C$684=$C$3,AND(资金流水!$AD$684=$C$3,资金流水!$X$684="账户互转"))),INT(资金流水!$B$684)*10000+679,"")</f>
      </c>
    </row>
    <row r="685">
      <c r="A685" s="94">
        <f>IF($N685=0,"",678)</f>
      </c>
      <c r="B685" s="95">
        <f t="shared" si="6"/>
      </c>
      <c r="C685" s="96">
        <f t="shared" si="1"/>
      </c>
      <c r="D685" s="21">
        <f t="shared" si="7"/>
      </c>
      <c r="E685" s="21">
        <f t="shared" si="2"/>
      </c>
      <c r="F685" s="48">
        <f t="shared" si="8"/>
      </c>
      <c r="G685" s="94">
        <f t="shared" si="9"/>
      </c>
      <c r="H685" s="94">
        <f t="shared" si="3"/>
      </c>
      <c r="I685" s="96">
        <f t="shared" si="0"/>
      </c>
      <c r="J685" s="94">
        <f t="shared" si="4"/>
      </c>
      <c r="K685" s="94">
        <f t="shared" si="10"/>
      </c>
      <c r="L685" s="96">
        <f t="shared" si="5"/>
      </c>
      <c r="N685" s="2">
        <f>IF(678&gt;$Z$5,0,MOD(SMALL($Z$6:$Z$2005,678),10000))</f>
        <v>0</v>
      </c>
      <c r="O685" s="2">
        <f t="shared" si="11"/>
        <v>0</v>
      </c>
      <c r="Z685" s="2">
        <f>IF(AND(ISNUMBER(资金流水!$B$685),资金流水!$B$685&gt;=$C$4,资金流水!$B$685&lt;=$E$4,OR(资金流水!$C$685=$C$3,AND(资金流水!$AD$685=$C$3,资金流水!$X$685="账户互转"))),INT(资金流水!$B$685)*10000+680,"")</f>
      </c>
    </row>
    <row r="686">
      <c r="A686" s="94">
        <f>IF($N686=0,"",679)</f>
      </c>
      <c r="B686" s="95">
        <f t="shared" si="6"/>
      </c>
      <c r="C686" s="96">
        <f t="shared" si="1"/>
      </c>
      <c r="D686" s="21">
        <f t="shared" si="7"/>
      </c>
      <c r="E686" s="21">
        <f t="shared" si="2"/>
      </c>
      <c r="F686" s="48">
        <f t="shared" si="8"/>
      </c>
      <c r="G686" s="94">
        <f t="shared" si="9"/>
      </c>
      <c r="H686" s="94">
        <f t="shared" si="3"/>
      </c>
      <c r="I686" s="96">
        <f t="shared" si="0"/>
      </c>
      <c r="J686" s="94">
        <f t="shared" si="4"/>
      </c>
      <c r="K686" s="94">
        <f t="shared" si="10"/>
      </c>
      <c r="L686" s="96">
        <f t="shared" si="5"/>
      </c>
      <c r="N686" s="2">
        <f>IF(679&gt;$Z$5,0,MOD(SMALL($Z$6:$Z$2005,679),10000))</f>
        <v>0</v>
      </c>
      <c r="O686" s="2">
        <f t="shared" si="11"/>
        <v>0</v>
      </c>
      <c r="Z686" s="2">
        <f>IF(AND(ISNUMBER(资金流水!$B$686),资金流水!$B$686&gt;=$C$4,资金流水!$B$686&lt;=$E$4,OR(资金流水!$C$686=$C$3,AND(资金流水!$AD$686=$C$3,资金流水!$X$686="账户互转"))),INT(资金流水!$B$686)*10000+681,"")</f>
      </c>
    </row>
    <row r="687">
      <c r="A687" s="94">
        <f>IF($N687=0,"",680)</f>
      </c>
      <c r="B687" s="95">
        <f t="shared" si="6"/>
      </c>
      <c r="C687" s="96">
        <f t="shared" si="1"/>
      </c>
      <c r="D687" s="21">
        <f t="shared" si="7"/>
      </c>
      <c r="E687" s="21">
        <f t="shared" si="2"/>
      </c>
      <c r="F687" s="48">
        <f t="shared" si="8"/>
      </c>
      <c r="G687" s="94">
        <f t="shared" si="9"/>
      </c>
      <c r="H687" s="94">
        <f t="shared" si="3"/>
      </c>
      <c r="I687" s="96">
        <f t="shared" si="0"/>
      </c>
      <c r="J687" s="94">
        <f t="shared" si="4"/>
      </c>
      <c r="K687" s="94">
        <f t="shared" si="10"/>
      </c>
      <c r="L687" s="96">
        <f t="shared" si="5"/>
      </c>
      <c r="N687" s="2">
        <f>IF(680&gt;$Z$5,0,MOD(SMALL($Z$6:$Z$2005,680),10000))</f>
        <v>0</v>
      </c>
      <c r="O687" s="2">
        <f t="shared" si="11"/>
        <v>0</v>
      </c>
      <c r="Z687" s="2">
        <f>IF(AND(ISNUMBER(资金流水!$B$687),资金流水!$B$687&gt;=$C$4,资金流水!$B$687&lt;=$E$4,OR(资金流水!$C$687=$C$3,AND(资金流水!$AD$687=$C$3,资金流水!$X$687="账户互转"))),INT(资金流水!$B$687)*10000+682,"")</f>
      </c>
    </row>
    <row r="688">
      <c r="A688" s="94">
        <f>IF($N688=0,"",681)</f>
      </c>
      <c r="B688" s="95">
        <f t="shared" si="6"/>
      </c>
      <c r="C688" s="96">
        <f t="shared" si="1"/>
      </c>
      <c r="D688" s="21">
        <f t="shared" si="7"/>
      </c>
      <c r="E688" s="21">
        <f t="shared" si="2"/>
      </c>
      <c r="F688" s="48">
        <f t="shared" si="8"/>
      </c>
      <c r="G688" s="94">
        <f t="shared" si="9"/>
      </c>
      <c r="H688" s="94">
        <f t="shared" si="3"/>
      </c>
      <c r="I688" s="96">
        <f t="shared" si="0"/>
      </c>
      <c r="J688" s="94">
        <f t="shared" si="4"/>
      </c>
      <c r="K688" s="94">
        <f t="shared" si="10"/>
      </c>
      <c r="L688" s="96">
        <f t="shared" si="5"/>
      </c>
      <c r="N688" s="2">
        <f>IF(681&gt;$Z$5,0,MOD(SMALL($Z$6:$Z$2005,681),10000))</f>
        <v>0</v>
      </c>
      <c r="O688" s="2">
        <f t="shared" si="11"/>
        <v>0</v>
      </c>
      <c r="Z688" s="2">
        <f>IF(AND(ISNUMBER(资金流水!$B$688),资金流水!$B$688&gt;=$C$4,资金流水!$B$688&lt;=$E$4,OR(资金流水!$C$688=$C$3,AND(资金流水!$AD$688=$C$3,资金流水!$X$688="账户互转"))),INT(资金流水!$B$688)*10000+683,"")</f>
      </c>
    </row>
    <row r="689">
      <c r="A689" s="94">
        <f>IF($N689=0,"",682)</f>
      </c>
      <c r="B689" s="95">
        <f t="shared" si="6"/>
      </c>
      <c r="C689" s="96">
        <f t="shared" si="1"/>
      </c>
      <c r="D689" s="21">
        <f t="shared" si="7"/>
      </c>
      <c r="E689" s="21">
        <f t="shared" si="2"/>
      </c>
      <c r="F689" s="48">
        <f t="shared" si="8"/>
      </c>
      <c r="G689" s="94">
        <f t="shared" si="9"/>
      </c>
      <c r="H689" s="94">
        <f t="shared" si="3"/>
      </c>
      <c r="I689" s="96">
        <f t="shared" si="0"/>
      </c>
      <c r="J689" s="94">
        <f t="shared" si="4"/>
      </c>
      <c r="K689" s="94">
        <f t="shared" si="10"/>
      </c>
      <c r="L689" s="96">
        <f t="shared" si="5"/>
      </c>
      <c r="N689" s="2">
        <f>IF(682&gt;$Z$5,0,MOD(SMALL($Z$6:$Z$2005,682),10000))</f>
        <v>0</v>
      </c>
      <c r="O689" s="2">
        <f t="shared" si="11"/>
        <v>0</v>
      </c>
      <c r="Z689" s="2">
        <f>IF(AND(ISNUMBER(资金流水!$B$689),资金流水!$B$689&gt;=$C$4,资金流水!$B$689&lt;=$E$4,OR(资金流水!$C$689=$C$3,AND(资金流水!$AD$689=$C$3,资金流水!$X$689="账户互转"))),INT(资金流水!$B$689)*10000+684,"")</f>
      </c>
    </row>
    <row r="690">
      <c r="A690" s="94">
        <f>IF($N690=0,"",683)</f>
      </c>
      <c r="B690" s="95">
        <f t="shared" si="6"/>
      </c>
      <c r="C690" s="96">
        <f t="shared" si="1"/>
      </c>
      <c r="D690" s="21">
        <f t="shared" si="7"/>
      </c>
      <c r="E690" s="21">
        <f t="shared" si="2"/>
      </c>
      <c r="F690" s="48">
        <f t="shared" si="8"/>
      </c>
      <c r="G690" s="94">
        <f t="shared" si="9"/>
      </c>
      <c r="H690" s="94">
        <f t="shared" si="3"/>
      </c>
      <c r="I690" s="96">
        <f t="shared" si="0"/>
      </c>
      <c r="J690" s="94">
        <f t="shared" si="4"/>
      </c>
      <c r="K690" s="94">
        <f t="shared" si="10"/>
      </c>
      <c r="L690" s="96">
        <f t="shared" si="5"/>
      </c>
      <c r="N690" s="2">
        <f>IF(683&gt;$Z$5,0,MOD(SMALL($Z$6:$Z$2005,683),10000))</f>
        <v>0</v>
      </c>
      <c r="O690" s="2">
        <f t="shared" si="11"/>
        <v>0</v>
      </c>
      <c r="Z690" s="2">
        <f>IF(AND(ISNUMBER(资金流水!$B$690),资金流水!$B$690&gt;=$C$4,资金流水!$B$690&lt;=$E$4,OR(资金流水!$C$690=$C$3,AND(资金流水!$AD$690=$C$3,资金流水!$X$690="账户互转"))),INT(资金流水!$B$690)*10000+685,"")</f>
      </c>
    </row>
    <row r="691">
      <c r="A691" s="94">
        <f>IF($N691=0,"",684)</f>
      </c>
      <c r="B691" s="95">
        <f t="shared" si="6"/>
      </c>
      <c r="C691" s="96">
        <f t="shared" si="1"/>
      </c>
      <c r="D691" s="21">
        <f t="shared" si="7"/>
      </c>
      <c r="E691" s="21">
        <f t="shared" si="2"/>
      </c>
      <c r="F691" s="48">
        <f t="shared" si="8"/>
      </c>
      <c r="G691" s="94">
        <f t="shared" si="9"/>
      </c>
      <c r="H691" s="94">
        <f t="shared" si="3"/>
      </c>
      <c r="I691" s="96">
        <f t="shared" si="0"/>
      </c>
      <c r="J691" s="94">
        <f t="shared" si="4"/>
      </c>
      <c r="K691" s="94">
        <f t="shared" si="10"/>
      </c>
      <c r="L691" s="96">
        <f t="shared" si="5"/>
      </c>
      <c r="N691" s="2">
        <f>IF(684&gt;$Z$5,0,MOD(SMALL($Z$6:$Z$2005,684),10000))</f>
        <v>0</v>
      </c>
      <c r="O691" s="2">
        <f t="shared" si="11"/>
        <v>0</v>
      </c>
      <c r="Z691" s="2">
        <f>IF(AND(ISNUMBER(资金流水!$B$691),资金流水!$B$691&gt;=$C$4,资金流水!$B$691&lt;=$E$4,OR(资金流水!$C$691=$C$3,AND(资金流水!$AD$691=$C$3,资金流水!$X$691="账户互转"))),INT(资金流水!$B$691)*10000+686,"")</f>
      </c>
    </row>
    <row r="692">
      <c r="A692" s="94">
        <f>IF($N692=0,"",685)</f>
      </c>
      <c r="B692" s="95">
        <f t="shared" si="6"/>
      </c>
      <c r="C692" s="96">
        <f t="shared" si="1"/>
      </c>
      <c r="D692" s="21">
        <f t="shared" si="7"/>
      </c>
      <c r="E692" s="21">
        <f t="shared" si="2"/>
      </c>
      <c r="F692" s="48">
        <f t="shared" si="8"/>
      </c>
      <c r="G692" s="94">
        <f t="shared" si="9"/>
      </c>
      <c r="H692" s="94">
        <f t="shared" si="3"/>
      </c>
      <c r="I692" s="96">
        <f t="shared" si="0"/>
      </c>
      <c r="J692" s="94">
        <f t="shared" si="4"/>
      </c>
      <c r="K692" s="94">
        <f t="shared" si="10"/>
      </c>
      <c r="L692" s="96">
        <f t="shared" si="5"/>
      </c>
      <c r="N692" s="2">
        <f>IF(685&gt;$Z$5,0,MOD(SMALL($Z$6:$Z$2005,685),10000))</f>
        <v>0</v>
      </c>
      <c r="O692" s="2">
        <f t="shared" si="11"/>
        <v>0</v>
      </c>
      <c r="Z692" s="2">
        <f>IF(AND(ISNUMBER(资金流水!$B$692),资金流水!$B$692&gt;=$C$4,资金流水!$B$692&lt;=$E$4,OR(资金流水!$C$692=$C$3,AND(资金流水!$AD$692=$C$3,资金流水!$X$692="账户互转"))),INT(资金流水!$B$692)*10000+687,"")</f>
      </c>
    </row>
    <row r="693">
      <c r="A693" s="94">
        <f>IF($N693=0,"",686)</f>
      </c>
      <c r="B693" s="95">
        <f t="shared" si="6"/>
      </c>
      <c r="C693" s="96">
        <f t="shared" si="1"/>
      </c>
      <c r="D693" s="21">
        <f t="shared" si="7"/>
      </c>
      <c r="E693" s="21">
        <f t="shared" si="2"/>
      </c>
      <c r="F693" s="48">
        <f t="shared" si="8"/>
      </c>
      <c r="G693" s="94">
        <f t="shared" si="9"/>
      </c>
      <c r="H693" s="94">
        <f t="shared" si="3"/>
      </c>
      <c r="I693" s="96">
        <f t="shared" si="0"/>
      </c>
      <c r="J693" s="94">
        <f t="shared" si="4"/>
      </c>
      <c r="K693" s="94">
        <f t="shared" si="10"/>
      </c>
      <c r="L693" s="96">
        <f t="shared" si="5"/>
      </c>
      <c r="N693" s="2">
        <f>IF(686&gt;$Z$5,0,MOD(SMALL($Z$6:$Z$2005,686),10000))</f>
        <v>0</v>
      </c>
      <c r="O693" s="2">
        <f t="shared" si="11"/>
        <v>0</v>
      </c>
      <c r="Z693" s="2">
        <f>IF(AND(ISNUMBER(资金流水!$B$693),资金流水!$B$693&gt;=$C$4,资金流水!$B$693&lt;=$E$4,OR(资金流水!$C$693=$C$3,AND(资金流水!$AD$693=$C$3,资金流水!$X$693="账户互转"))),INT(资金流水!$B$693)*10000+688,"")</f>
      </c>
    </row>
    <row r="694">
      <c r="A694" s="94">
        <f>IF($N694=0,"",687)</f>
      </c>
      <c r="B694" s="95">
        <f t="shared" si="6"/>
      </c>
      <c r="C694" s="96">
        <f t="shared" si="1"/>
      </c>
      <c r="D694" s="21">
        <f t="shared" si="7"/>
      </c>
      <c r="E694" s="21">
        <f t="shared" si="2"/>
      </c>
      <c r="F694" s="48">
        <f t="shared" si="8"/>
      </c>
      <c r="G694" s="94">
        <f t="shared" si="9"/>
      </c>
      <c r="H694" s="94">
        <f t="shared" si="3"/>
      </c>
      <c r="I694" s="96">
        <f t="shared" si="0"/>
      </c>
      <c r="J694" s="94">
        <f t="shared" si="4"/>
      </c>
      <c r="K694" s="94">
        <f t="shared" si="10"/>
      </c>
      <c r="L694" s="96">
        <f t="shared" si="5"/>
      </c>
      <c r="N694" s="2">
        <f>IF(687&gt;$Z$5,0,MOD(SMALL($Z$6:$Z$2005,687),10000))</f>
        <v>0</v>
      </c>
      <c r="O694" s="2">
        <f t="shared" si="11"/>
        <v>0</v>
      </c>
      <c r="Z694" s="2">
        <f>IF(AND(ISNUMBER(资金流水!$B$694),资金流水!$B$694&gt;=$C$4,资金流水!$B$694&lt;=$E$4,OR(资金流水!$C$694=$C$3,AND(资金流水!$AD$694=$C$3,资金流水!$X$694="账户互转"))),INT(资金流水!$B$694)*10000+689,"")</f>
      </c>
    </row>
    <row r="695">
      <c r="A695" s="94">
        <f>IF($N695=0,"",688)</f>
      </c>
      <c r="B695" s="95">
        <f t="shared" si="6"/>
      </c>
      <c r="C695" s="96">
        <f t="shared" si="1"/>
      </c>
      <c r="D695" s="21">
        <f t="shared" si="7"/>
      </c>
      <c r="E695" s="21">
        <f t="shared" si="2"/>
      </c>
      <c r="F695" s="48">
        <f t="shared" si="8"/>
      </c>
      <c r="G695" s="94">
        <f t="shared" si="9"/>
      </c>
      <c r="H695" s="94">
        <f t="shared" si="3"/>
      </c>
      <c r="I695" s="96">
        <f t="shared" si="0"/>
      </c>
      <c r="J695" s="94">
        <f t="shared" si="4"/>
      </c>
      <c r="K695" s="94">
        <f t="shared" si="10"/>
      </c>
      <c r="L695" s="96">
        <f t="shared" si="5"/>
      </c>
      <c r="N695" s="2">
        <f>IF(688&gt;$Z$5,0,MOD(SMALL($Z$6:$Z$2005,688),10000))</f>
        <v>0</v>
      </c>
      <c r="O695" s="2">
        <f t="shared" si="11"/>
        <v>0</v>
      </c>
      <c r="Z695" s="2">
        <f>IF(AND(ISNUMBER(资金流水!$B$695),资金流水!$B$695&gt;=$C$4,资金流水!$B$695&lt;=$E$4,OR(资金流水!$C$695=$C$3,AND(资金流水!$AD$695=$C$3,资金流水!$X$695="账户互转"))),INT(资金流水!$B$695)*10000+690,"")</f>
      </c>
    </row>
    <row r="696">
      <c r="A696" s="94">
        <f>IF($N696=0,"",689)</f>
      </c>
      <c r="B696" s="95">
        <f t="shared" si="6"/>
      </c>
      <c r="C696" s="96">
        <f t="shared" si="1"/>
      </c>
      <c r="D696" s="21">
        <f t="shared" si="7"/>
      </c>
      <c r="E696" s="21">
        <f t="shared" si="2"/>
      </c>
      <c r="F696" s="48">
        <f t="shared" si="8"/>
      </c>
      <c r="G696" s="94">
        <f t="shared" si="9"/>
      </c>
      <c r="H696" s="94">
        <f t="shared" si="3"/>
      </c>
      <c r="I696" s="96">
        <f t="shared" si="0"/>
      </c>
      <c r="J696" s="94">
        <f t="shared" si="4"/>
      </c>
      <c r="K696" s="94">
        <f t="shared" si="10"/>
      </c>
      <c r="L696" s="96">
        <f t="shared" si="5"/>
      </c>
      <c r="N696" s="2">
        <f>IF(689&gt;$Z$5,0,MOD(SMALL($Z$6:$Z$2005,689),10000))</f>
        <v>0</v>
      </c>
      <c r="O696" s="2">
        <f t="shared" si="11"/>
        <v>0</v>
      </c>
      <c r="Z696" s="2">
        <f>IF(AND(ISNUMBER(资金流水!$B$696),资金流水!$B$696&gt;=$C$4,资金流水!$B$696&lt;=$E$4,OR(资金流水!$C$696=$C$3,AND(资金流水!$AD$696=$C$3,资金流水!$X$696="账户互转"))),INT(资金流水!$B$696)*10000+691,"")</f>
      </c>
    </row>
    <row r="697">
      <c r="A697" s="94">
        <f>IF($N697=0,"",690)</f>
      </c>
      <c r="B697" s="95">
        <f t="shared" si="6"/>
      </c>
      <c r="C697" s="96">
        <f t="shared" si="1"/>
      </c>
      <c r="D697" s="21">
        <f t="shared" si="7"/>
      </c>
      <c r="E697" s="21">
        <f t="shared" si="2"/>
      </c>
      <c r="F697" s="48">
        <f t="shared" si="8"/>
      </c>
      <c r="G697" s="94">
        <f t="shared" si="9"/>
      </c>
      <c r="H697" s="94">
        <f t="shared" si="3"/>
      </c>
      <c r="I697" s="96">
        <f t="shared" si="0"/>
      </c>
      <c r="J697" s="94">
        <f t="shared" si="4"/>
      </c>
      <c r="K697" s="94">
        <f t="shared" si="10"/>
      </c>
      <c r="L697" s="96">
        <f t="shared" si="5"/>
      </c>
      <c r="N697" s="2">
        <f>IF(690&gt;$Z$5,0,MOD(SMALL($Z$6:$Z$2005,690),10000))</f>
        <v>0</v>
      </c>
      <c r="O697" s="2">
        <f t="shared" si="11"/>
        <v>0</v>
      </c>
      <c r="Z697" s="2">
        <f>IF(AND(ISNUMBER(资金流水!$B$697),资金流水!$B$697&gt;=$C$4,资金流水!$B$697&lt;=$E$4,OR(资金流水!$C$697=$C$3,AND(资金流水!$AD$697=$C$3,资金流水!$X$697="账户互转"))),INT(资金流水!$B$697)*10000+692,"")</f>
      </c>
    </row>
    <row r="698">
      <c r="A698" s="94">
        <f>IF($N698=0,"",691)</f>
      </c>
      <c r="B698" s="95">
        <f t="shared" si="6"/>
      </c>
      <c r="C698" s="96">
        <f t="shared" si="1"/>
      </c>
      <c r="D698" s="21">
        <f t="shared" si="7"/>
      </c>
      <c r="E698" s="21">
        <f t="shared" si="2"/>
      </c>
      <c r="F698" s="48">
        <f t="shared" si="8"/>
      </c>
      <c r="G698" s="94">
        <f t="shared" si="9"/>
      </c>
      <c r="H698" s="94">
        <f t="shared" si="3"/>
      </c>
      <c r="I698" s="96">
        <f t="shared" si="0"/>
      </c>
      <c r="J698" s="94">
        <f t="shared" si="4"/>
      </c>
      <c r="K698" s="94">
        <f t="shared" si="10"/>
      </c>
      <c r="L698" s="96">
        <f t="shared" si="5"/>
      </c>
      <c r="N698" s="2">
        <f>IF(691&gt;$Z$5,0,MOD(SMALL($Z$6:$Z$2005,691),10000))</f>
        <v>0</v>
      </c>
      <c r="O698" s="2">
        <f t="shared" si="11"/>
        <v>0</v>
      </c>
      <c r="Z698" s="2">
        <f>IF(AND(ISNUMBER(资金流水!$B$698),资金流水!$B$698&gt;=$C$4,资金流水!$B$698&lt;=$E$4,OR(资金流水!$C$698=$C$3,AND(资金流水!$AD$698=$C$3,资金流水!$X$698="账户互转"))),INT(资金流水!$B$698)*10000+693,"")</f>
      </c>
    </row>
    <row r="699">
      <c r="A699" s="94">
        <f>IF($N699=0,"",692)</f>
      </c>
      <c r="B699" s="95">
        <f t="shared" si="6"/>
      </c>
      <c r="C699" s="96">
        <f t="shared" si="1"/>
      </c>
      <c r="D699" s="21">
        <f t="shared" si="7"/>
      </c>
      <c r="E699" s="21">
        <f t="shared" si="2"/>
      </c>
      <c r="F699" s="48">
        <f t="shared" si="8"/>
      </c>
      <c r="G699" s="94">
        <f t="shared" si="9"/>
      </c>
      <c r="H699" s="94">
        <f t="shared" si="3"/>
      </c>
      <c r="I699" s="96">
        <f t="shared" si="0"/>
      </c>
      <c r="J699" s="94">
        <f t="shared" si="4"/>
      </c>
      <c r="K699" s="94">
        <f t="shared" si="10"/>
      </c>
      <c r="L699" s="96">
        <f t="shared" si="5"/>
      </c>
      <c r="N699" s="2">
        <f>IF(692&gt;$Z$5,0,MOD(SMALL($Z$6:$Z$2005,692),10000))</f>
        <v>0</v>
      </c>
      <c r="O699" s="2">
        <f t="shared" si="11"/>
        <v>0</v>
      </c>
      <c r="Z699" s="2">
        <f>IF(AND(ISNUMBER(资金流水!$B$699),资金流水!$B$699&gt;=$C$4,资金流水!$B$699&lt;=$E$4,OR(资金流水!$C$699=$C$3,AND(资金流水!$AD$699=$C$3,资金流水!$X$699="账户互转"))),INT(资金流水!$B$699)*10000+694,"")</f>
      </c>
    </row>
    <row r="700">
      <c r="A700" s="94">
        <f>IF($N700=0,"",693)</f>
      </c>
      <c r="B700" s="95">
        <f t="shared" si="6"/>
      </c>
      <c r="C700" s="96">
        <f t="shared" si="1"/>
      </c>
      <c r="D700" s="21">
        <f t="shared" si="7"/>
      </c>
      <c r="E700" s="21">
        <f t="shared" si="2"/>
      </c>
      <c r="F700" s="48">
        <f t="shared" si="8"/>
      </c>
      <c r="G700" s="94">
        <f t="shared" si="9"/>
      </c>
      <c r="H700" s="94">
        <f t="shared" si="3"/>
      </c>
      <c r="I700" s="96">
        <f t="shared" si="0"/>
      </c>
      <c r="J700" s="94">
        <f t="shared" si="4"/>
      </c>
      <c r="K700" s="94">
        <f t="shared" si="10"/>
      </c>
      <c r="L700" s="96">
        <f t="shared" si="5"/>
      </c>
      <c r="N700" s="2">
        <f>IF(693&gt;$Z$5,0,MOD(SMALL($Z$6:$Z$2005,693),10000))</f>
        <v>0</v>
      </c>
      <c r="O700" s="2">
        <f t="shared" si="11"/>
        <v>0</v>
      </c>
      <c r="Z700" s="2">
        <f>IF(AND(ISNUMBER(资金流水!$B$700),资金流水!$B$700&gt;=$C$4,资金流水!$B$700&lt;=$E$4,OR(资金流水!$C$700=$C$3,AND(资金流水!$AD$700=$C$3,资金流水!$X$700="账户互转"))),INT(资金流水!$B$700)*10000+695,"")</f>
      </c>
    </row>
    <row r="701">
      <c r="A701" s="94">
        <f>IF($N701=0,"",694)</f>
      </c>
      <c r="B701" s="95">
        <f t="shared" si="6"/>
      </c>
      <c r="C701" s="96">
        <f t="shared" si="1"/>
      </c>
      <c r="D701" s="21">
        <f t="shared" si="7"/>
      </c>
      <c r="E701" s="21">
        <f t="shared" si="2"/>
      </c>
      <c r="F701" s="48">
        <f t="shared" si="8"/>
      </c>
      <c r="G701" s="94">
        <f t="shared" si="9"/>
      </c>
      <c r="H701" s="94">
        <f t="shared" si="3"/>
      </c>
      <c r="I701" s="96">
        <f t="shared" si="0"/>
      </c>
      <c r="J701" s="94">
        <f t="shared" si="4"/>
      </c>
      <c r="K701" s="94">
        <f t="shared" si="10"/>
      </c>
      <c r="L701" s="96">
        <f t="shared" si="5"/>
      </c>
      <c r="N701" s="2">
        <f>IF(694&gt;$Z$5,0,MOD(SMALL($Z$6:$Z$2005,694),10000))</f>
        <v>0</v>
      </c>
      <c r="O701" s="2">
        <f t="shared" si="11"/>
        <v>0</v>
      </c>
      <c r="Z701" s="2">
        <f>IF(AND(ISNUMBER(资金流水!$B$701),资金流水!$B$701&gt;=$C$4,资金流水!$B$701&lt;=$E$4,OR(资金流水!$C$701=$C$3,AND(资金流水!$AD$701=$C$3,资金流水!$X$701="账户互转"))),INT(资金流水!$B$701)*10000+696,"")</f>
      </c>
    </row>
    <row r="702">
      <c r="A702" s="94">
        <f>IF($N702=0,"",695)</f>
      </c>
      <c r="B702" s="95">
        <f t="shared" si="6"/>
      </c>
      <c r="C702" s="96">
        <f t="shared" si="1"/>
      </c>
      <c r="D702" s="21">
        <f t="shared" si="7"/>
      </c>
      <c r="E702" s="21">
        <f t="shared" si="2"/>
      </c>
      <c r="F702" s="48">
        <f t="shared" si="8"/>
      </c>
      <c r="G702" s="94">
        <f t="shared" si="9"/>
      </c>
      <c r="H702" s="94">
        <f t="shared" si="3"/>
      </c>
      <c r="I702" s="96">
        <f t="shared" si="0"/>
      </c>
      <c r="J702" s="94">
        <f t="shared" si="4"/>
      </c>
      <c r="K702" s="94">
        <f t="shared" si="10"/>
      </c>
      <c r="L702" s="96">
        <f t="shared" si="5"/>
      </c>
      <c r="N702" s="2">
        <f>IF(695&gt;$Z$5,0,MOD(SMALL($Z$6:$Z$2005,695),10000))</f>
        <v>0</v>
      </c>
      <c r="O702" s="2">
        <f t="shared" si="11"/>
        <v>0</v>
      </c>
      <c r="Z702" s="2">
        <f>IF(AND(ISNUMBER(资金流水!$B$702),资金流水!$B$702&gt;=$C$4,资金流水!$B$702&lt;=$E$4,OR(资金流水!$C$702=$C$3,AND(资金流水!$AD$702=$C$3,资金流水!$X$702="账户互转"))),INT(资金流水!$B$702)*10000+697,"")</f>
      </c>
    </row>
    <row r="703">
      <c r="A703" s="94">
        <f>IF($N703=0,"",696)</f>
      </c>
      <c r="B703" s="95">
        <f t="shared" si="6"/>
      </c>
      <c r="C703" s="96">
        <f t="shared" si="1"/>
      </c>
      <c r="D703" s="21">
        <f t="shared" si="7"/>
      </c>
      <c r="E703" s="21">
        <f t="shared" si="2"/>
      </c>
      <c r="F703" s="48">
        <f t="shared" si="8"/>
      </c>
      <c r="G703" s="94">
        <f t="shared" si="9"/>
      </c>
      <c r="H703" s="94">
        <f t="shared" si="3"/>
      </c>
      <c r="I703" s="96">
        <f t="shared" si="0"/>
      </c>
      <c r="J703" s="94">
        <f t="shared" si="4"/>
      </c>
      <c r="K703" s="94">
        <f t="shared" si="10"/>
      </c>
      <c r="L703" s="96">
        <f t="shared" si="5"/>
      </c>
      <c r="N703" s="2">
        <f>IF(696&gt;$Z$5,0,MOD(SMALL($Z$6:$Z$2005,696),10000))</f>
        <v>0</v>
      </c>
      <c r="O703" s="2">
        <f t="shared" si="11"/>
        <v>0</v>
      </c>
      <c r="Z703" s="2">
        <f>IF(AND(ISNUMBER(资金流水!$B$703),资金流水!$B$703&gt;=$C$4,资金流水!$B$703&lt;=$E$4,OR(资金流水!$C$703=$C$3,AND(资金流水!$AD$703=$C$3,资金流水!$X$703="账户互转"))),INT(资金流水!$B$703)*10000+698,"")</f>
      </c>
    </row>
    <row r="704">
      <c r="A704" s="94">
        <f>IF($N704=0,"",697)</f>
      </c>
      <c r="B704" s="95">
        <f t="shared" si="6"/>
      </c>
      <c r="C704" s="96">
        <f t="shared" si="1"/>
      </c>
      <c r="D704" s="21">
        <f t="shared" si="7"/>
      </c>
      <c r="E704" s="21">
        <f t="shared" si="2"/>
      </c>
      <c r="F704" s="48">
        <f t="shared" si="8"/>
      </c>
      <c r="G704" s="94">
        <f t="shared" si="9"/>
      </c>
      <c r="H704" s="94">
        <f t="shared" si="3"/>
      </c>
      <c r="I704" s="96">
        <f t="shared" si="0"/>
      </c>
      <c r="J704" s="94">
        <f t="shared" si="4"/>
      </c>
      <c r="K704" s="94">
        <f t="shared" si="10"/>
      </c>
      <c r="L704" s="96">
        <f t="shared" si="5"/>
      </c>
      <c r="N704" s="2">
        <f>IF(697&gt;$Z$5,0,MOD(SMALL($Z$6:$Z$2005,697),10000))</f>
        <v>0</v>
      </c>
      <c r="O704" s="2">
        <f t="shared" si="11"/>
        <v>0</v>
      </c>
      <c r="Z704" s="2">
        <f>IF(AND(ISNUMBER(资金流水!$B$704),资金流水!$B$704&gt;=$C$4,资金流水!$B$704&lt;=$E$4,OR(资金流水!$C$704=$C$3,AND(资金流水!$AD$704=$C$3,资金流水!$X$704="账户互转"))),INT(资金流水!$B$704)*10000+699,"")</f>
      </c>
    </row>
    <row r="705">
      <c r="A705" s="94">
        <f>IF($N705=0,"",698)</f>
      </c>
      <c r="B705" s="95">
        <f t="shared" si="6"/>
      </c>
      <c r="C705" s="96">
        <f t="shared" si="1"/>
      </c>
      <c r="D705" s="21">
        <f t="shared" si="7"/>
      </c>
      <c r="E705" s="21">
        <f t="shared" si="2"/>
      </c>
      <c r="F705" s="48">
        <f t="shared" si="8"/>
      </c>
      <c r="G705" s="94">
        <f t="shared" si="9"/>
      </c>
      <c r="H705" s="94">
        <f t="shared" si="3"/>
      </c>
      <c r="I705" s="96">
        <f t="shared" si="0"/>
      </c>
      <c r="J705" s="94">
        <f t="shared" si="4"/>
      </c>
      <c r="K705" s="94">
        <f t="shared" si="10"/>
      </c>
      <c r="L705" s="96">
        <f t="shared" si="5"/>
      </c>
      <c r="N705" s="2">
        <f>IF(698&gt;$Z$5,0,MOD(SMALL($Z$6:$Z$2005,698),10000))</f>
        <v>0</v>
      </c>
      <c r="O705" s="2">
        <f t="shared" si="11"/>
        <v>0</v>
      </c>
      <c r="Z705" s="2">
        <f>IF(AND(ISNUMBER(资金流水!$B$705),资金流水!$B$705&gt;=$C$4,资金流水!$B$705&lt;=$E$4,OR(资金流水!$C$705=$C$3,AND(资金流水!$AD$705=$C$3,资金流水!$X$705="账户互转"))),INT(资金流水!$B$705)*10000+700,"")</f>
      </c>
    </row>
    <row r="706">
      <c r="A706" s="94">
        <f>IF($N706=0,"",699)</f>
      </c>
      <c r="B706" s="95">
        <f t="shared" si="6"/>
      </c>
      <c r="C706" s="96">
        <f t="shared" si="1"/>
      </c>
      <c r="D706" s="21">
        <f t="shared" si="7"/>
      </c>
      <c r="E706" s="21">
        <f t="shared" si="2"/>
      </c>
      <c r="F706" s="48">
        <f t="shared" si="8"/>
      </c>
      <c r="G706" s="94">
        <f t="shared" si="9"/>
      </c>
      <c r="H706" s="94">
        <f t="shared" si="3"/>
      </c>
      <c r="I706" s="96">
        <f t="shared" si="0"/>
      </c>
      <c r="J706" s="94">
        <f t="shared" si="4"/>
      </c>
      <c r="K706" s="94">
        <f t="shared" si="10"/>
      </c>
      <c r="L706" s="96">
        <f t="shared" si="5"/>
      </c>
      <c r="N706" s="2">
        <f>IF(699&gt;$Z$5,0,MOD(SMALL($Z$6:$Z$2005,699),10000))</f>
        <v>0</v>
      </c>
      <c r="O706" s="2">
        <f t="shared" si="11"/>
        <v>0</v>
      </c>
      <c r="Z706" s="2">
        <f>IF(AND(ISNUMBER(资金流水!$B$706),资金流水!$B$706&gt;=$C$4,资金流水!$B$706&lt;=$E$4,OR(资金流水!$C$706=$C$3,AND(资金流水!$AD$706=$C$3,资金流水!$X$706="账户互转"))),INT(资金流水!$B$706)*10000+701,"")</f>
      </c>
    </row>
    <row r="707">
      <c r="A707" s="94">
        <f>IF($N707=0,"",700)</f>
      </c>
      <c r="B707" s="95">
        <f t="shared" si="6"/>
      </c>
      <c r="C707" s="96">
        <f t="shared" si="1"/>
      </c>
      <c r="D707" s="21">
        <f t="shared" si="7"/>
      </c>
      <c r="E707" s="21">
        <f t="shared" si="2"/>
      </c>
      <c r="F707" s="48">
        <f t="shared" si="8"/>
      </c>
      <c r="G707" s="94">
        <f t="shared" si="9"/>
      </c>
      <c r="H707" s="94">
        <f t="shared" si="3"/>
      </c>
      <c r="I707" s="96">
        <f t="shared" si="0"/>
      </c>
      <c r="J707" s="94">
        <f t="shared" si="4"/>
      </c>
      <c r="K707" s="94">
        <f t="shared" si="10"/>
      </c>
      <c r="L707" s="96">
        <f t="shared" si="5"/>
      </c>
      <c r="N707" s="2">
        <f>IF(700&gt;$Z$5,0,MOD(SMALL($Z$6:$Z$2005,700),10000))</f>
        <v>0</v>
      </c>
      <c r="O707" s="2">
        <f t="shared" si="11"/>
        <v>0</v>
      </c>
      <c r="Z707" s="2">
        <f>IF(AND(ISNUMBER(资金流水!$B$707),资金流水!$B$707&gt;=$C$4,资金流水!$B$707&lt;=$E$4,OR(资金流水!$C$707=$C$3,AND(资金流水!$AD$707=$C$3,资金流水!$X$707="账户互转"))),INT(资金流水!$B$707)*10000+702,"")</f>
      </c>
    </row>
    <row r="708">
      <c r="A708" s="94">
        <f>IF($N708=0,"",701)</f>
      </c>
      <c r="B708" s="95">
        <f t="shared" si="6"/>
      </c>
      <c r="C708" s="96">
        <f t="shared" si="1"/>
      </c>
      <c r="D708" s="21">
        <f t="shared" si="7"/>
      </c>
      <c r="E708" s="21">
        <f t="shared" si="2"/>
      </c>
      <c r="F708" s="48">
        <f t="shared" si="8"/>
      </c>
      <c r="G708" s="94">
        <f t="shared" si="9"/>
      </c>
      <c r="H708" s="94">
        <f t="shared" si="3"/>
      </c>
      <c r="I708" s="96">
        <f t="shared" si="0"/>
      </c>
      <c r="J708" s="94">
        <f t="shared" si="4"/>
      </c>
      <c r="K708" s="94">
        <f t="shared" si="10"/>
      </c>
      <c r="L708" s="96">
        <f t="shared" si="5"/>
      </c>
      <c r="N708" s="2">
        <f>IF(701&gt;$Z$5,0,MOD(SMALL($Z$6:$Z$2005,701),10000))</f>
        <v>0</v>
      </c>
      <c r="O708" s="2">
        <f t="shared" si="11"/>
        <v>0</v>
      </c>
      <c r="Z708" s="2">
        <f>IF(AND(ISNUMBER(资金流水!$B$708),资金流水!$B$708&gt;=$C$4,资金流水!$B$708&lt;=$E$4,OR(资金流水!$C$708=$C$3,AND(资金流水!$AD$708=$C$3,资金流水!$X$708="账户互转"))),INT(资金流水!$B$708)*10000+703,"")</f>
      </c>
    </row>
    <row r="709">
      <c r="A709" s="94">
        <f>IF($N709=0,"",702)</f>
      </c>
      <c r="B709" s="95">
        <f t="shared" si="6"/>
      </c>
      <c r="C709" s="96">
        <f t="shared" si="1"/>
      </c>
      <c r="D709" s="21">
        <f t="shared" si="7"/>
      </c>
      <c r="E709" s="21">
        <f t="shared" si="2"/>
      </c>
      <c r="F709" s="48">
        <f t="shared" si="8"/>
      </c>
      <c r="G709" s="94">
        <f t="shared" si="9"/>
      </c>
      <c r="H709" s="94">
        <f t="shared" si="3"/>
      </c>
      <c r="I709" s="96">
        <f t="shared" si="0"/>
      </c>
      <c r="J709" s="94">
        <f t="shared" si="4"/>
      </c>
      <c r="K709" s="94">
        <f t="shared" si="10"/>
      </c>
      <c r="L709" s="96">
        <f t="shared" si="5"/>
      </c>
      <c r="N709" s="2">
        <f>IF(702&gt;$Z$5,0,MOD(SMALL($Z$6:$Z$2005,702),10000))</f>
        <v>0</v>
      </c>
      <c r="O709" s="2">
        <f t="shared" si="11"/>
        <v>0</v>
      </c>
      <c r="Z709" s="2">
        <f>IF(AND(ISNUMBER(资金流水!$B$709),资金流水!$B$709&gt;=$C$4,资金流水!$B$709&lt;=$E$4,OR(资金流水!$C$709=$C$3,AND(资金流水!$AD$709=$C$3,资金流水!$X$709="账户互转"))),INT(资金流水!$B$709)*10000+704,"")</f>
      </c>
    </row>
    <row r="710">
      <c r="A710" s="94">
        <f>IF($N710=0,"",703)</f>
      </c>
      <c r="B710" s="95">
        <f t="shared" si="6"/>
      </c>
      <c r="C710" s="96">
        <f t="shared" si="1"/>
      </c>
      <c r="D710" s="21">
        <f t="shared" si="7"/>
      </c>
      <c r="E710" s="21">
        <f t="shared" si="2"/>
      </c>
      <c r="F710" s="48">
        <f t="shared" si="8"/>
      </c>
      <c r="G710" s="94">
        <f t="shared" si="9"/>
      </c>
      <c r="H710" s="94">
        <f t="shared" si="3"/>
      </c>
      <c r="I710" s="96">
        <f t="shared" si="0"/>
      </c>
      <c r="J710" s="94">
        <f t="shared" si="4"/>
      </c>
      <c r="K710" s="94">
        <f t="shared" si="10"/>
      </c>
      <c r="L710" s="96">
        <f t="shared" si="5"/>
      </c>
      <c r="N710" s="2">
        <f>IF(703&gt;$Z$5,0,MOD(SMALL($Z$6:$Z$2005,703),10000))</f>
        <v>0</v>
      </c>
      <c r="O710" s="2">
        <f t="shared" si="11"/>
        <v>0</v>
      </c>
      <c r="Z710" s="2">
        <f>IF(AND(ISNUMBER(资金流水!$B$710),资金流水!$B$710&gt;=$C$4,资金流水!$B$710&lt;=$E$4,OR(资金流水!$C$710=$C$3,AND(资金流水!$AD$710=$C$3,资金流水!$X$710="账户互转"))),INT(资金流水!$B$710)*10000+705,"")</f>
      </c>
    </row>
    <row r="711">
      <c r="A711" s="94">
        <f>IF($N711=0,"",704)</f>
      </c>
      <c r="B711" s="95">
        <f t="shared" si="6"/>
      </c>
      <c r="C711" s="96">
        <f t="shared" si="1"/>
      </c>
      <c r="D711" s="21">
        <f t="shared" si="7"/>
      </c>
      <c r="E711" s="21">
        <f t="shared" si="2"/>
      </c>
      <c r="F711" s="48">
        <f t="shared" si="8"/>
      </c>
      <c r="G711" s="94">
        <f t="shared" si="9"/>
      </c>
      <c r="H711" s="94">
        <f t="shared" si="3"/>
      </c>
      <c r="I711" s="96">
        <f t="shared" si="0"/>
      </c>
      <c r="J711" s="94">
        <f t="shared" si="4"/>
      </c>
      <c r="K711" s="94">
        <f t="shared" si="10"/>
      </c>
      <c r="L711" s="96">
        <f t="shared" si="5"/>
      </c>
      <c r="N711" s="2">
        <f>IF(704&gt;$Z$5,0,MOD(SMALL($Z$6:$Z$2005,704),10000))</f>
        <v>0</v>
      </c>
      <c r="O711" s="2">
        <f t="shared" si="11"/>
        <v>0</v>
      </c>
      <c r="Z711" s="2">
        <f>IF(AND(ISNUMBER(资金流水!$B$711),资金流水!$B$711&gt;=$C$4,资金流水!$B$711&lt;=$E$4,OR(资金流水!$C$711=$C$3,AND(资金流水!$AD$711=$C$3,资金流水!$X$711="账户互转"))),INT(资金流水!$B$711)*10000+706,"")</f>
      </c>
    </row>
    <row r="712">
      <c r="A712" s="94">
        <f>IF($N712=0,"",705)</f>
      </c>
      <c r="B712" s="95">
        <f t="shared" si="6"/>
      </c>
      <c r="C712" s="96">
        <f t="shared" si="1"/>
      </c>
      <c r="D712" s="21">
        <f t="shared" si="7"/>
      </c>
      <c r="E712" s="21">
        <f t="shared" si="2"/>
      </c>
      <c r="F712" s="48">
        <f t="shared" si="8"/>
      </c>
      <c r="G712" s="94">
        <f t="shared" si="9"/>
      </c>
      <c r="H712" s="94">
        <f t="shared" si="3"/>
      </c>
      <c r="I712" s="96">
        <f t="shared" si="0"/>
      </c>
      <c r="J712" s="94">
        <f t="shared" si="4"/>
      </c>
      <c r="K712" s="94">
        <f t="shared" si="10"/>
      </c>
      <c r="L712" s="96">
        <f t="shared" si="5"/>
      </c>
      <c r="N712" s="2">
        <f>IF(705&gt;$Z$5,0,MOD(SMALL($Z$6:$Z$2005,705),10000))</f>
        <v>0</v>
      </c>
      <c r="O712" s="2">
        <f t="shared" si="11"/>
        <v>0</v>
      </c>
      <c r="Z712" s="2">
        <f>IF(AND(ISNUMBER(资金流水!$B$712),资金流水!$B$712&gt;=$C$4,资金流水!$B$712&lt;=$E$4,OR(资金流水!$C$712=$C$3,AND(资金流水!$AD$712=$C$3,资金流水!$X$712="账户互转"))),INT(资金流水!$B$712)*10000+707,"")</f>
      </c>
    </row>
    <row r="713">
      <c r="A713" s="94">
        <f>IF($N713=0,"",706)</f>
      </c>
      <c r="B713" s="95">
        <f t="shared" si="6"/>
      </c>
      <c r="C713" s="96">
        <f t="shared" si="1"/>
      </c>
      <c r="D713" s="21">
        <f t="shared" si="7"/>
      </c>
      <c r="E713" s="21">
        <f t="shared" si="2"/>
      </c>
      <c r="F713" s="48">
        <f t="shared" si="8"/>
      </c>
      <c r="G713" s="94">
        <f t="shared" si="9"/>
      </c>
      <c r="H713" s="94">
        <f t="shared" si="3"/>
      </c>
      <c r="I713" s="96">
        <f t="shared" si="0"/>
      </c>
      <c r="J713" s="94">
        <f t="shared" si="4"/>
      </c>
      <c r="K713" s="94">
        <f t="shared" si="10"/>
      </c>
      <c r="L713" s="96">
        <f t="shared" si="5"/>
      </c>
      <c r="N713" s="2">
        <f>IF(706&gt;$Z$5,0,MOD(SMALL($Z$6:$Z$2005,706),10000))</f>
        <v>0</v>
      </c>
      <c r="O713" s="2">
        <f t="shared" si="11"/>
        <v>0</v>
      </c>
      <c r="Z713" s="2">
        <f>IF(AND(ISNUMBER(资金流水!$B$713),资金流水!$B$713&gt;=$C$4,资金流水!$B$713&lt;=$E$4,OR(资金流水!$C$713=$C$3,AND(资金流水!$AD$713=$C$3,资金流水!$X$713="账户互转"))),INT(资金流水!$B$713)*10000+708,"")</f>
      </c>
    </row>
    <row r="714">
      <c r="A714" s="94">
        <f>IF($N714=0,"",707)</f>
      </c>
      <c r="B714" s="95">
        <f t="shared" si="6"/>
      </c>
      <c r="C714" s="96">
        <f t="shared" si="1"/>
      </c>
      <c r="D714" s="21">
        <f t="shared" si="7"/>
      </c>
      <c r="E714" s="21">
        <f t="shared" si="2"/>
      </c>
      <c r="F714" s="48">
        <f t="shared" si="8"/>
      </c>
      <c r="G714" s="94">
        <f t="shared" si="9"/>
      </c>
      <c r="H714" s="94">
        <f t="shared" si="3"/>
      </c>
      <c r="I714" s="96">
        <f t="shared" si="0"/>
      </c>
      <c r="J714" s="94">
        <f t="shared" si="4"/>
      </c>
      <c r="K714" s="94">
        <f t="shared" si="10"/>
      </c>
      <c r="L714" s="96">
        <f t="shared" si="5"/>
      </c>
      <c r="N714" s="2">
        <f>IF(707&gt;$Z$5,0,MOD(SMALL($Z$6:$Z$2005,707),10000))</f>
        <v>0</v>
      </c>
      <c r="O714" s="2">
        <f t="shared" si="11"/>
        <v>0</v>
      </c>
      <c r="Z714" s="2">
        <f>IF(AND(ISNUMBER(资金流水!$B$714),资金流水!$B$714&gt;=$C$4,资金流水!$B$714&lt;=$E$4,OR(资金流水!$C$714=$C$3,AND(资金流水!$AD$714=$C$3,资金流水!$X$714="账户互转"))),INT(资金流水!$B$714)*10000+709,"")</f>
      </c>
    </row>
    <row r="715">
      <c r="A715" s="94">
        <f>IF($N715=0,"",708)</f>
      </c>
      <c r="B715" s="95">
        <f t="shared" si="6"/>
      </c>
      <c r="C715" s="96">
        <f t="shared" si="1"/>
      </c>
      <c r="D715" s="21">
        <f t="shared" si="7"/>
      </c>
      <c r="E715" s="21">
        <f t="shared" si="2"/>
      </c>
      <c r="F715" s="48">
        <f t="shared" si="8"/>
      </c>
      <c r="G715" s="94">
        <f t="shared" si="9"/>
      </c>
      <c r="H715" s="94">
        <f t="shared" si="3"/>
      </c>
      <c r="I715" s="96">
        <f t="shared" si="0"/>
      </c>
      <c r="J715" s="94">
        <f t="shared" si="4"/>
      </c>
      <c r="K715" s="94">
        <f t="shared" si="10"/>
      </c>
      <c r="L715" s="96">
        <f t="shared" si="5"/>
      </c>
      <c r="N715" s="2">
        <f>IF(708&gt;$Z$5,0,MOD(SMALL($Z$6:$Z$2005,708),10000))</f>
        <v>0</v>
      </c>
      <c r="O715" s="2">
        <f t="shared" si="11"/>
        <v>0</v>
      </c>
      <c r="Z715" s="2">
        <f>IF(AND(ISNUMBER(资金流水!$B$715),资金流水!$B$715&gt;=$C$4,资金流水!$B$715&lt;=$E$4,OR(资金流水!$C$715=$C$3,AND(资金流水!$AD$715=$C$3,资金流水!$X$715="账户互转"))),INT(资金流水!$B$715)*10000+710,"")</f>
      </c>
    </row>
    <row r="716">
      <c r="A716" s="94">
        <f>IF($N716=0,"",709)</f>
      </c>
      <c r="B716" s="95">
        <f t="shared" si="6"/>
      </c>
      <c r="C716" s="96">
        <f t="shared" si="1"/>
      </c>
      <c r="D716" s="21">
        <f t="shared" si="7"/>
      </c>
      <c r="E716" s="21">
        <f t="shared" si="2"/>
      </c>
      <c r="F716" s="48">
        <f t="shared" si="8"/>
      </c>
      <c r="G716" s="94">
        <f t="shared" si="9"/>
      </c>
      <c r="H716" s="94">
        <f t="shared" si="3"/>
      </c>
      <c r="I716" s="96">
        <f t="shared" si="0"/>
      </c>
      <c r="J716" s="94">
        <f t="shared" si="4"/>
      </c>
      <c r="K716" s="94">
        <f t="shared" si="10"/>
      </c>
      <c r="L716" s="96">
        <f t="shared" si="5"/>
      </c>
      <c r="N716" s="2">
        <f>IF(709&gt;$Z$5,0,MOD(SMALL($Z$6:$Z$2005,709),10000))</f>
        <v>0</v>
      </c>
      <c r="O716" s="2">
        <f t="shared" si="11"/>
        <v>0</v>
      </c>
      <c r="Z716" s="2">
        <f>IF(AND(ISNUMBER(资金流水!$B$716),资金流水!$B$716&gt;=$C$4,资金流水!$B$716&lt;=$E$4,OR(资金流水!$C$716=$C$3,AND(资金流水!$AD$716=$C$3,资金流水!$X$716="账户互转"))),INT(资金流水!$B$716)*10000+711,"")</f>
      </c>
    </row>
    <row r="717">
      <c r="A717" s="94">
        <f>IF($N717=0,"",710)</f>
      </c>
      <c r="B717" s="95">
        <f t="shared" si="6"/>
      </c>
      <c r="C717" s="96">
        <f t="shared" si="1"/>
      </c>
      <c r="D717" s="21">
        <f t="shared" si="7"/>
      </c>
      <c r="E717" s="21">
        <f t="shared" si="2"/>
      </c>
      <c r="F717" s="48">
        <f t="shared" si="8"/>
      </c>
      <c r="G717" s="94">
        <f t="shared" si="9"/>
      </c>
      <c r="H717" s="94">
        <f t="shared" si="3"/>
      </c>
      <c r="I717" s="96">
        <f t="shared" si="0"/>
      </c>
      <c r="J717" s="94">
        <f t="shared" si="4"/>
      </c>
      <c r="K717" s="94">
        <f t="shared" si="10"/>
      </c>
      <c r="L717" s="96">
        <f t="shared" si="5"/>
      </c>
      <c r="N717" s="2">
        <f>IF(710&gt;$Z$5,0,MOD(SMALL($Z$6:$Z$2005,710),10000))</f>
        <v>0</v>
      </c>
      <c r="O717" s="2">
        <f t="shared" si="11"/>
        <v>0</v>
      </c>
      <c r="Z717" s="2">
        <f>IF(AND(ISNUMBER(资金流水!$B$717),资金流水!$B$717&gt;=$C$4,资金流水!$B$717&lt;=$E$4,OR(资金流水!$C$717=$C$3,AND(资金流水!$AD$717=$C$3,资金流水!$X$717="账户互转"))),INT(资金流水!$B$717)*10000+712,"")</f>
      </c>
    </row>
    <row r="718">
      <c r="A718" s="94">
        <f>IF($N718=0,"",711)</f>
      </c>
      <c r="B718" s="95">
        <f t="shared" si="6"/>
      </c>
      <c r="C718" s="96">
        <f t="shared" si="1"/>
      </c>
      <c r="D718" s="21">
        <f t="shared" si="7"/>
      </c>
      <c r="E718" s="21">
        <f t="shared" si="2"/>
      </c>
      <c r="F718" s="48">
        <f t="shared" si="8"/>
      </c>
      <c r="G718" s="94">
        <f t="shared" si="9"/>
      </c>
      <c r="H718" s="94">
        <f t="shared" si="3"/>
      </c>
      <c r="I718" s="96">
        <f t="shared" si="0"/>
      </c>
      <c r="J718" s="94">
        <f t="shared" si="4"/>
      </c>
      <c r="K718" s="94">
        <f t="shared" si="10"/>
      </c>
      <c r="L718" s="96">
        <f t="shared" si="5"/>
      </c>
      <c r="N718" s="2">
        <f>IF(711&gt;$Z$5,0,MOD(SMALL($Z$6:$Z$2005,711),10000))</f>
        <v>0</v>
      </c>
      <c r="O718" s="2">
        <f t="shared" si="11"/>
        <v>0</v>
      </c>
      <c r="Z718" s="2">
        <f>IF(AND(ISNUMBER(资金流水!$B$718),资金流水!$B$718&gt;=$C$4,资金流水!$B$718&lt;=$E$4,OR(资金流水!$C$718=$C$3,AND(资金流水!$AD$718=$C$3,资金流水!$X$718="账户互转"))),INT(资金流水!$B$718)*10000+713,"")</f>
      </c>
    </row>
    <row r="719">
      <c r="A719" s="94">
        <f>IF($N719=0,"",712)</f>
      </c>
      <c r="B719" s="95">
        <f t="shared" si="6"/>
      </c>
      <c r="C719" s="96">
        <f t="shared" si="1"/>
      </c>
      <c r="D719" s="21">
        <f t="shared" si="7"/>
      </c>
      <c r="E719" s="21">
        <f t="shared" si="2"/>
      </c>
      <c r="F719" s="48">
        <f t="shared" si="8"/>
      </c>
      <c r="G719" s="94">
        <f t="shared" si="9"/>
      </c>
      <c r="H719" s="94">
        <f t="shared" si="3"/>
      </c>
      <c r="I719" s="96">
        <f t="shared" si="0"/>
      </c>
      <c r="J719" s="94">
        <f t="shared" si="4"/>
      </c>
      <c r="K719" s="94">
        <f t="shared" si="10"/>
      </c>
      <c r="L719" s="96">
        <f t="shared" si="5"/>
      </c>
      <c r="N719" s="2">
        <f>IF(712&gt;$Z$5,0,MOD(SMALL($Z$6:$Z$2005,712),10000))</f>
        <v>0</v>
      </c>
      <c r="O719" s="2">
        <f t="shared" si="11"/>
        <v>0</v>
      </c>
      <c r="Z719" s="2">
        <f>IF(AND(ISNUMBER(资金流水!$B$719),资金流水!$B$719&gt;=$C$4,资金流水!$B$719&lt;=$E$4,OR(资金流水!$C$719=$C$3,AND(资金流水!$AD$719=$C$3,资金流水!$X$719="账户互转"))),INT(资金流水!$B$719)*10000+714,"")</f>
      </c>
    </row>
    <row r="720">
      <c r="A720" s="94">
        <f>IF($N720=0,"",713)</f>
      </c>
      <c r="B720" s="95">
        <f t="shared" si="6"/>
      </c>
      <c r="C720" s="96">
        <f t="shared" si="1"/>
      </c>
      <c r="D720" s="21">
        <f t="shared" si="7"/>
      </c>
      <c r="E720" s="21">
        <f t="shared" si="2"/>
      </c>
      <c r="F720" s="48">
        <f t="shared" si="8"/>
      </c>
      <c r="G720" s="94">
        <f t="shared" si="9"/>
      </c>
      <c r="H720" s="94">
        <f t="shared" si="3"/>
      </c>
      <c r="I720" s="96">
        <f t="shared" si="0"/>
      </c>
      <c r="J720" s="94">
        <f t="shared" si="4"/>
      </c>
      <c r="K720" s="94">
        <f t="shared" si="10"/>
      </c>
      <c r="L720" s="96">
        <f t="shared" si="5"/>
      </c>
      <c r="N720" s="2">
        <f>IF(713&gt;$Z$5,0,MOD(SMALL($Z$6:$Z$2005,713),10000))</f>
        <v>0</v>
      </c>
      <c r="O720" s="2">
        <f t="shared" si="11"/>
        <v>0</v>
      </c>
      <c r="Z720" s="2">
        <f>IF(AND(ISNUMBER(资金流水!$B$720),资金流水!$B$720&gt;=$C$4,资金流水!$B$720&lt;=$E$4,OR(资金流水!$C$720=$C$3,AND(资金流水!$AD$720=$C$3,资金流水!$X$720="账户互转"))),INT(资金流水!$B$720)*10000+715,"")</f>
      </c>
    </row>
    <row r="721">
      <c r="A721" s="94">
        <f>IF($N721=0,"",714)</f>
      </c>
      <c r="B721" s="95">
        <f t="shared" si="6"/>
      </c>
      <c r="C721" s="96">
        <f t="shared" si="1"/>
      </c>
      <c r="D721" s="21">
        <f t="shared" si="7"/>
      </c>
      <c r="E721" s="21">
        <f t="shared" si="2"/>
      </c>
      <c r="F721" s="48">
        <f t="shared" si="8"/>
      </c>
      <c r="G721" s="94">
        <f t="shared" si="9"/>
      </c>
      <c r="H721" s="94">
        <f t="shared" si="3"/>
      </c>
      <c r="I721" s="96">
        <f t="shared" si="0"/>
      </c>
      <c r="J721" s="94">
        <f t="shared" si="4"/>
      </c>
      <c r="K721" s="94">
        <f t="shared" si="10"/>
      </c>
      <c r="L721" s="96">
        <f t="shared" si="5"/>
      </c>
      <c r="N721" s="2">
        <f>IF(714&gt;$Z$5,0,MOD(SMALL($Z$6:$Z$2005,714),10000))</f>
        <v>0</v>
      </c>
      <c r="O721" s="2">
        <f t="shared" si="11"/>
        <v>0</v>
      </c>
      <c r="Z721" s="2">
        <f>IF(AND(ISNUMBER(资金流水!$B$721),资金流水!$B$721&gt;=$C$4,资金流水!$B$721&lt;=$E$4,OR(资金流水!$C$721=$C$3,AND(资金流水!$AD$721=$C$3,资金流水!$X$721="账户互转"))),INT(资金流水!$B$721)*10000+716,"")</f>
      </c>
    </row>
    <row r="722">
      <c r="A722" s="94">
        <f>IF($N722=0,"",715)</f>
      </c>
      <c r="B722" s="95">
        <f t="shared" si="6"/>
      </c>
      <c r="C722" s="96">
        <f t="shared" si="1"/>
      </c>
      <c r="D722" s="21">
        <f t="shared" si="7"/>
      </c>
      <c r="E722" s="21">
        <f t="shared" si="2"/>
      </c>
      <c r="F722" s="48">
        <f t="shared" si="8"/>
      </c>
      <c r="G722" s="94">
        <f t="shared" si="9"/>
      </c>
      <c r="H722" s="94">
        <f t="shared" si="3"/>
      </c>
      <c r="I722" s="96">
        <f t="shared" si="0"/>
      </c>
      <c r="J722" s="94">
        <f t="shared" si="4"/>
      </c>
      <c r="K722" s="94">
        <f t="shared" si="10"/>
      </c>
      <c r="L722" s="96">
        <f t="shared" si="5"/>
      </c>
      <c r="N722" s="2">
        <f>IF(715&gt;$Z$5,0,MOD(SMALL($Z$6:$Z$2005,715),10000))</f>
        <v>0</v>
      </c>
      <c r="O722" s="2">
        <f t="shared" si="11"/>
        <v>0</v>
      </c>
      <c r="Z722" s="2">
        <f>IF(AND(ISNUMBER(资金流水!$B$722),资金流水!$B$722&gt;=$C$4,资金流水!$B$722&lt;=$E$4,OR(资金流水!$C$722=$C$3,AND(资金流水!$AD$722=$C$3,资金流水!$X$722="账户互转"))),INT(资金流水!$B$722)*10000+717,"")</f>
      </c>
    </row>
    <row r="723">
      <c r="A723" s="94">
        <f>IF($N723=0,"",716)</f>
      </c>
      <c r="B723" s="95">
        <f t="shared" si="6"/>
      </c>
      <c r="C723" s="96">
        <f t="shared" si="1"/>
      </c>
      <c r="D723" s="21">
        <f t="shared" si="7"/>
      </c>
      <c r="E723" s="21">
        <f t="shared" si="2"/>
      </c>
      <c r="F723" s="48">
        <f t="shared" si="8"/>
      </c>
      <c r="G723" s="94">
        <f t="shared" si="9"/>
      </c>
      <c r="H723" s="94">
        <f t="shared" si="3"/>
      </c>
      <c r="I723" s="96">
        <f t="shared" si="0"/>
      </c>
      <c r="J723" s="94">
        <f t="shared" si="4"/>
      </c>
      <c r="K723" s="94">
        <f t="shared" si="10"/>
      </c>
      <c r="L723" s="96">
        <f t="shared" si="5"/>
      </c>
      <c r="N723" s="2">
        <f>IF(716&gt;$Z$5,0,MOD(SMALL($Z$6:$Z$2005,716),10000))</f>
        <v>0</v>
      </c>
      <c r="O723" s="2">
        <f t="shared" si="11"/>
        <v>0</v>
      </c>
      <c r="Z723" s="2">
        <f>IF(AND(ISNUMBER(资金流水!$B$723),资金流水!$B$723&gt;=$C$4,资金流水!$B$723&lt;=$E$4,OR(资金流水!$C$723=$C$3,AND(资金流水!$AD$723=$C$3,资金流水!$X$723="账户互转"))),INT(资金流水!$B$723)*10000+718,"")</f>
      </c>
    </row>
    <row r="724">
      <c r="A724" s="94">
        <f>IF($N724=0,"",717)</f>
      </c>
      <c r="B724" s="95">
        <f t="shared" si="6"/>
      </c>
      <c r="C724" s="96">
        <f t="shared" si="1"/>
      </c>
      <c r="D724" s="21">
        <f t="shared" si="7"/>
      </c>
      <c r="E724" s="21">
        <f t="shared" si="2"/>
      </c>
      <c r="F724" s="48">
        <f t="shared" si="8"/>
      </c>
      <c r="G724" s="94">
        <f t="shared" si="9"/>
      </c>
      <c r="H724" s="94">
        <f t="shared" si="3"/>
      </c>
      <c r="I724" s="96">
        <f t="shared" si="0"/>
      </c>
      <c r="J724" s="94">
        <f t="shared" si="4"/>
      </c>
      <c r="K724" s="94">
        <f t="shared" si="10"/>
      </c>
      <c r="L724" s="96">
        <f t="shared" si="5"/>
      </c>
      <c r="N724" s="2">
        <f>IF(717&gt;$Z$5,0,MOD(SMALL($Z$6:$Z$2005,717),10000))</f>
        <v>0</v>
      </c>
      <c r="O724" s="2">
        <f t="shared" si="11"/>
        <v>0</v>
      </c>
      <c r="Z724" s="2">
        <f>IF(AND(ISNUMBER(资金流水!$B$724),资金流水!$B$724&gt;=$C$4,资金流水!$B$724&lt;=$E$4,OR(资金流水!$C$724=$C$3,AND(资金流水!$AD$724=$C$3,资金流水!$X$724="账户互转"))),INT(资金流水!$B$724)*10000+719,"")</f>
      </c>
    </row>
    <row r="725">
      <c r="A725" s="94">
        <f>IF($N725=0,"",718)</f>
      </c>
      <c r="B725" s="95">
        <f t="shared" si="6"/>
      </c>
      <c r="C725" s="96">
        <f t="shared" si="1"/>
      </c>
      <c r="D725" s="21">
        <f t="shared" si="7"/>
      </c>
      <c r="E725" s="21">
        <f t="shared" si="2"/>
      </c>
      <c r="F725" s="48">
        <f t="shared" si="8"/>
      </c>
      <c r="G725" s="94">
        <f t="shared" si="9"/>
      </c>
      <c r="H725" s="94">
        <f t="shared" si="3"/>
      </c>
      <c r="I725" s="96">
        <f t="shared" si="0"/>
      </c>
      <c r="J725" s="94">
        <f t="shared" si="4"/>
      </c>
      <c r="K725" s="94">
        <f t="shared" si="10"/>
      </c>
      <c r="L725" s="96">
        <f t="shared" si="5"/>
      </c>
      <c r="N725" s="2">
        <f>IF(718&gt;$Z$5,0,MOD(SMALL($Z$6:$Z$2005,718),10000))</f>
        <v>0</v>
      </c>
      <c r="O725" s="2">
        <f t="shared" si="11"/>
        <v>0</v>
      </c>
      <c r="Z725" s="2">
        <f>IF(AND(ISNUMBER(资金流水!$B$725),资金流水!$B$725&gt;=$C$4,资金流水!$B$725&lt;=$E$4,OR(资金流水!$C$725=$C$3,AND(资金流水!$AD$725=$C$3,资金流水!$X$725="账户互转"))),INT(资金流水!$B$725)*10000+720,"")</f>
      </c>
    </row>
    <row r="726">
      <c r="A726" s="94">
        <f>IF($N726=0,"",719)</f>
      </c>
      <c r="B726" s="95">
        <f t="shared" si="6"/>
      </c>
      <c r="C726" s="96">
        <f t="shared" si="1"/>
      </c>
      <c r="D726" s="21">
        <f t="shared" si="7"/>
      </c>
      <c r="E726" s="21">
        <f t="shared" si="2"/>
      </c>
      <c r="F726" s="48">
        <f t="shared" si="8"/>
      </c>
      <c r="G726" s="94">
        <f t="shared" si="9"/>
      </c>
      <c r="H726" s="94">
        <f t="shared" si="3"/>
      </c>
      <c r="I726" s="96">
        <f t="shared" si="0"/>
      </c>
      <c r="J726" s="94">
        <f t="shared" si="4"/>
      </c>
      <c r="K726" s="94">
        <f t="shared" si="10"/>
      </c>
      <c r="L726" s="96">
        <f t="shared" si="5"/>
      </c>
      <c r="N726" s="2">
        <f>IF(719&gt;$Z$5,0,MOD(SMALL($Z$6:$Z$2005,719),10000))</f>
        <v>0</v>
      </c>
      <c r="O726" s="2">
        <f t="shared" si="11"/>
        <v>0</v>
      </c>
      <c r="Z726" s="2">
        <f>IF(AND(ISNUMBER(资金流水!$B$726),资金流水!$B$726&gt;=$C$4,资金流水!$B$726&lt;=$E$4,OR(资金流水!$C$726=$C$3,AND(资金流水!$AD$726=$C$3,资金流水!$X$726="账户互转"))),INT(资金流水!$B$726)*10000+721,"")</f>
      </c>
    </row>
    <row r="727">
      <c r="A727" s="94">
        <f>IF($N727=0,"",720)</f>
      </c>
      <c r="B727" s="95">
        <f t="shared" si="6"/>
      </c>
      <c r="C727" s="96">
        <f t="shared" si="1"/>
      </c>
      <c r="D727" s="21">
        <f t="shared" si="7"/>
      </c>
      <c r="E727" s="21">
        <f t="shared" si="2"/>
      </c>
      <c r="F727" s="48">
        <f t="shared" si="8"/>
      </c>
      <c r="G727" s="94">
        <f t="shared" si="9"/>
      </c>
      <c r="H727" s="94">
        <f t="shared" si="3"/>
      </c>
      <c r="I727" s="96">
        <f t="shared" si="0"/>
      </c>
      <c r="J727" s="94">
        <f t="shared" si="4"/>
      </c>
      <c r="K727" s="94">
        <f t="shared" si="10"/>
      </c>
      <c r="L727" s="96">
        <f t="shared" si="5"/>
      </c>
      <c r="N727" s="2">
        <f>IF(720&gt;$Z$5,0,MOD(SMALL($Z$6:$Z$2005,720),10000))</f>
        <v>0</v>
      </c>
      <c r="O727" s="2">
        <f t="shared" si="11"/>
        <v>0</v>
      </c>
      <c r="Z727" s="2">
        <f>IF(AND(ISNUMBER(资金流水!$B$727),资金流水!$B$727&gt;=$C$4,资金流水!$B$727&lt;=$E$4,OR(资金流水!$C$727=$C$3,AND(资金流水!$AD$727=$C$3,资金流水!$X$727="账户互转"))),INT(资金流水!$B$727)*10000+722,"")</f>
      </c>
    </row>
    <row r="728">
      <c r="A728" s="94">
        <f>IF($N728=0,"",721)</f>
      </c>
      <c r="B728" s="95">
        <f t="shared" si="6"/>
      </c>
      <c r="C728" s="96">
        <f t="shared" si="1"/>
      </c>
      <c r="D728" s="21">
        <f t="shared" si="7"/>
      </c>
      <c r="E728" s="21">
        <f t="shared" si="2"/>
      </c>
      <c r="F728" s="48">
        <f t="shared" si="8"/>
      </c>
      <c r="G728" s="94">
        <f t="shared" si="9"/>
      </c>
      <c r="H728" s="94">
        <f t="shared" si="3"/>
      </c>
      <c r="I728" s="96">
        <f t="shared" si="0"/>
      </c>
      <c r="J728" s="94">
        <f t="shared" si="4"/>
      </c>
      <c r="K728" s="94">
        <f t="shared" si="10"/>
      </c>
      <c r="L728" s="96">
        <f t="shared" si="5"/>
      </c>
      <c r="N728" s="2">
        <f>IF(721&gt;$Z$5,0,MOD(SMALL($Z$6:$Z$2005,721),10000))</f>
        <v>0</v>
      </c>
      <c r="O728" s="2">
        <f t="shared" si="11"/>
        <v>0</v>
      </c>
      <c r="Z728" s="2">
        <f>IF(AND(ISNUMBER(资金流水!$B$728),资金流水!$B$728&gt;=$C$4,资金流水!$B$728&lt;=$E$4,OR(资金流水!$C$728=$C$3,AND(资金流水!$AD$728=$C$3,资金流水!$X$728="账户互转"))),INT(资金流水!$B$728)*10000+723,"")</f>
      </c>
    </row>
    <row r="729">
      <c r="A729" s="94">
        <f>IF($N729=0,"",722)</f>
      </c>
      <c r="B729" s="95">
        <f t="shared" si="6"/>
      </c>
      <c r="C729" s="96">
        <f t="shared" si="1"/>
      </c>
      <c r="D729" s="21">
        <f t="shared" si="7"/>
      </c>
      <c r="E729" s="21">
        <f t="shared" si="2"/>
      </c>
      <c r="F729" s="48">
        <f t="shared" si="8"/>
      </c>
      <c r="G729" s="94">
        <f t="shared" si="9"/>
      </c>
      <c r="H729" s="94">
        <f t="shared" si="3"/>
      </c>
      <c r="I729" s="96">
        <f t="shared" si="0"/>
      </c>
      <c r="J729" s="94">
        <f t="shared" si="4"/>
      </c>
      <c r="K729" s="94">
        <f t="shared" si="10"/>
      </c>
      <c r="L729" s="96">
        <f t="shared" si="5"/>
      </c>
      <c r="N729" s="2">
        <f>IF(722&gt;$Z$5,0,MOD(SMALL($Z$6:$Z$2005,722),10000))</f>
        <v>0</v>
      </c>
      <c r="O729" s="2">
        <f t="shared" si="11"/>
        <v>0</v>
      </c>
      <c r="Z729" s="2">
        <f>IF(AND(ISNUMBER(资金流水!$B$729),资金流水!$B$729&gt;=$C$4,资金流水!$B$729&lt;=$E$4,OR(资金流水!$C$729=$C$3,AND(资金流水!$AD$729=$C$3,资金流水!$X$729="账户互转"))),INT(资金流水!$B$729)*10000+724,"")</f>
      </c>
    </row>
    <row r="730">
      <c r="A730" s="94">
        <f>IF($N730=0,"",723)</f>
      </c>
      <c r="B730" s="95">
        <f t="shared" si="6"/>
      </c>
      <c r="C730" s="96">
        <f t="shared" si="1"/>
      </c>
      <c r="D730" s="21">
        <f t="shared" si="7"/>
      </c>
      <c r="E730" s="21">
        <f t="shared" si="2"/>
      </c>
      <c r="F730" s="48">
        <f t="shared" si="8"/>
      </c>
      <c r="G730" s="94">
        <f t="shared" si="9"/>
      </c>
      <c r="H730" s="94">
        <f t="shared" si="3"/>
      </c>
      <c r="I730" s="96">
        <f t="shared" si="0"/>
      </c>
      <c r="J730" s="94">
        <f t="shared" si="4"/>
      </c>
      <c r="K730" s="94">
        <f t="shared" si="10"/>
      </c>
      <c r="L730" s="96">
        <f t="shared" si="5"/>
      </c>
      <c r="N730" s="2">
        <f>IF(723&gt;$Z$5,0,MOD(SMALL($Z$6:$Z$2005,723),10000))</f>
        <v>0</v>
      </c>
      <c r="O730" s="2">
        <f t="shared" si="11"/>
        <v>0</v>
      </c>
      <c r="Z730" s="2">
        <f>IF(AND(ISNUMBER(资金流水!$B$730),资金流水!$B$730&gt;=$C$4,资金流水!$B$730&lt;=$E$4,OR(资金流水!$C$730=$C$3,AND(资金流水!$AD$730=$C$3,资金流水!$X$730="账户互转"))),INT(资金流水!$B$730)*10000+725,"")</f>
      </c>
    </row>
    <row r="731">
      <c r="A731" s="94">
        <f>IF($N731=0,"",724)</f>
      </c>
      <c r="B731" s="95">
        <f t="shared" si="6"/>
      </c>
      <c r="C731" s="96">
        <f t="shared" si="1"/>
      </c>
      <c r="D731" s="21">
        <f t="shared" si="7"/>
      </c>
      <c r="E731" s="21">
        <f t="shared" si="2"/>
      </c>
      <c r="F731" s="48">
        <f t="shared" si="8"/>
      </c>
      <c r="G731" s="94">
        <f t="shared" si="9"/>
      </c>
      <c r="H731" s="94">
        <f t="shared" si="3"/>
      </c>
      <c r="I731" s="96">
        <f t="shared" si="0"/>
      </c>
      <c r="J731" s="94">
        <f t="shared" si="4"/>
      </c>
      <c r="K731" s="94">
        <f t="shared" si="10"/>
      </c>
      <c r="L731" s="96">
        <f t="shared" si="5"/>
      </c>
      <c r="N731" s="2">
        <f>IF(724&gt;$Z$5,0,MOD(SMALL($Z$6:$Z$2005,724),10000))</f>
        <v>0</v>
      </c>
      <c r="O731" s="2">
        <f t="shared" si="11"/>
        <v>0</v>
      </c>
      <c r="Z731" s="2">
        <f>IF(AND(ISNUMBER(资金流水!$B$731),资金流水!$B$731&gt;=$C$4,资金流水!$B$731&lt;=$E$4,OR(资金流水!$C$731=$C$3,AND(资金流水!$AD$731=$C$3,资金流水!$X$731="账户互转"))),INT(资金流水!$B$731)*10000+726,"")</f>
      </c>
    </row>
    <row r="732">
      <c r="A732" s="94">
        <f>IF($N732=0,"",725)</f>
      </c>
      <c r="B732" s="95">
        <f t="shared" si="6"/>
      </c>
      <c r="C732" s="96">
        <f t="shared" si="1"/>
      </c>
      <c r="D732" s="21">
        <f t="shared" si="7"/>
      </c>
      <c r="E732" s="21">
        <f t="shared" si="2"/>
      </c>
      <c r="F732" s="48">
        <f t="shared" si="8"/>
      </c>
      <c r="G732" s="94">
        <f t="shared" si="9"/>
      </c>
      <c r="H732" s="94">
        <f t="shared" si="3"/>
      </c>
      <c r="I732" s="96">
        <f t="shared" si="0"/>
      </c>
      <c r="J732" s="94">
        <f t="shared" si="4"/>
      </c>
      <c r="K732" s="94">
        <f t="shared" si="10"/>
      </c>
      <c r="L732" s="96">
        <f t="shared" si="5"/>
      </c>
      <c r="N732" s="2">
        <f>IF(725&gt;$Z$5,0,MOD(SMALL($Z$6:$Z$2005,725),10000))</f>
        <v>0</v>
      </c>
      <c r="O732" s="2">
        <f t="shared" si="11"/>
        <v>0</v>
      </c>
      <c r="Z732" s="2">
        <f>IF(AND(ISNUMBER(资金流水!$B$732),资金流水!$B$732&gt;=$C$4,资金流水!$B$732&lt;=$E$4,OR(资金流水!$C$732=$C$3,AND(资金流水!$AD$732=$C$3,资金流水!$X$732="账户互转"))),INT(资金流水!$B$732)*10000+727,"")</f>
      </c>
    </row>
    <row r="733">
      <c r="A733" s="94">
        <f>IF($N733=0,"",726)</f>
      </c>
      <c r="B733" s="95">
        <f t="shared" si="6"/>
      </c>
      <c r="C733" s="96">
        <f t="shared" si="1"/>
      </c>
      <c r="D733" s="21">
        <f t="shared" si="7"/>
      </c>
      <c r="E733" s="21">
        <f t="shared" si="2"/>
      </c>
      <c r="F733" s="48">
        <f t="shared" si="8"/>
      </c>
      <c r="G733" s="94">
        <f t="shared" si="9"/>
      </c>
      <c r="H733" s="94">
        <f t="shared" si="3"/>
      </c>
      <c r="I733" s="96">
        <f t="shared" si="0"/>
      </c>
      <c r="J733" s="94">
        <f t="shared" si="4"/>
      </c>
      <c r="K733" s="94">
        <f t="shared" si="10"/>
      </c>
      <c r="L733" s="96">
        <f t="shared" si="5"/>
      </c>
      <c r="N733" s="2">
        <f>IF(726&gt;$Z$5,0,MOD(SMALL($Z$6:$Z$2005,726),10000))</f>
        <v>0</v>
      </c>
      <c r="O733" s="2">
        <f t="shared" si="11"/>
        <v>0</v>
      </c>
      <c r="Z733" s="2">
        <f>IF(AND(ISNUMBER(资金流水!$B$733),资金流水!$B$733&gt;=$C$4,资金流水!$B$733&lt;=$E$4,OR(资金流水!$C$733=$C$3,AND(资金流水!$AD$733=$C$3,资金流水!$X$733="账户互转"))),INT(资金流水!$B$733)*10000+728,"")</f>
      </c>
    </row>
    <row r="734">
      <c r="A734" s="94">
        <f>IF($N734=0,"",727)</f>
      </c>
      <c r="B734" s="95">
        <f t="shared" si="6"/>
      </c>
      <c r="C734" s="96">
        <f t="shared" si="1"/>
      </c>
      <c r="D734" s="21">
        <f t="shared" si="7"/>
      </c>
      <c r="E734" s="21">
        <f t="shared" si="2"/>
      </c>
      <c r="F734" s="48">
        <f t="shared" si="8"/>
      </c>
      <c r="G734" s="94">
        <f t="shared" si="9"/>
      </c>
      <c r="H734" s="94">
        <f t="shared" si="3"/>
      </c>
      <c r="I734" s="96">
        <f t="shared" si="0"/>
      </c>
      <c r="J734" s="94">
        <f t="shared" si="4"/>
      </c>
      <c r="K734" s="94">
        <f t="shared" si="10"/>
      </c>
      <c r="L734" s="96">
        <f t="shared" si="5"/>
      </c>
      <c r="N734" s="2">
        <f>IF(727&gt;$Z$5,0,MOD(SMALL($Z$6:$Z$2005,727),10000))</f>
        <v>0</v>
      </c>
      <c r="O734" s="2">
        <f t="shared" si="11"/>
        <v>0</v>
      </c>
      <c r="Z734" s="2">
        <f>IF(AND(ISNUMBER(资金流水!$B$734),资金流水!$B$734&gt;=$C$4,资金流水!$B$734&lt;=$E$4,OR(资金流水!$C$734=$C$3,AND(资金流水!$AD$734=$C$3,资金流水!$X$734="账户互转"))),INT(资金流水!$B$734)*10000+729,"")</f>
      </c>
    </row>
    <row r="735">
      <c r="A735" s="94">
        <f>IF($N735=0,"",728)</f>
      </c>
      <c r="B735" s="95">
        <f t="shared" si="6"/>
      </c>
      <c r="C735" s="96">
        <f t="shared" si="1"/>
      </c>
      <c r="D735" s="21">
        <f t="shared" si="7"/>
      </c>
      <c r="E735" s="21">
        <f t="shared" si="2"/>
      </c>
      <c r="F735" s="48">
        <f t="shared" si="8"/>
      </c>
      <c r="G735" s="94">
        <f t="shared" si="9"/>
      </c>
      <c r="H735" s="94">
        <f t="shared" si="3"/>
      </c>
      <c r="I735" s="96">
        <f t="shared" si="0"/>
      </c>
      <c r="J735" s="94">
        <f t="shared" si="4"/>
      </c>
      <c r="K735" s="94">
        <f t="shared" si="10"/>
      </c>
      <c r="L735" s="96">
        <f t="shared" si="5"/>
      </c>
      <c r="N735" s="2">
        <f>IF(728&gt;$Z$5,0,MOD(SMALL($Z$6:$Z$2005,728),10000))</f>
        <v>0</v>
      </c>
      <c r="O735" s="2">
        <f t="shared" si="11"/>
        <v>0</v>
      </c>
      <c r="Z735" s="2">
        <f>IF(AND(ISNUMBER(资金流水!$B$735),资金流水!$B$735&gt;=$C$4,资金流水!$B$735&lt;=$E$4,OR(资金流水!$C$735=$C$3,AND(资金流水!$AD$735=$C$3,资金流水!$X$735="账户互转"))),INT(资金流水!$B$735)*10000+730,"")</f>
      </c>
    </row>
    <row r="736">
      <c r="A736" s="94">
        <f>IF($N736=0,"",729)</f>
      </c>
      <c r="B736" s="95">
        <f t="shared" si="6"/>
      </c>
      <c r="C736" s="96">
        <f t="shared" si="1"/>
      </c>
      <c r="D736" s="21">
        <f t="shared" si="7"/>
      </c>
      <c r="E736" s="21">
        <f t="shared" si="2"/>
      </c>
      <c r="F736" s="48">
        <f t="shared" si="8"/>
      </c>
      <c r="G736" s="94">
        <f t="shared" si="9"/>
      </c>
      <c r="H736" s="94">
        <f t="shared" si="3"/>
      </c>
      <c r="I736" s="96">
        <f t="shared" si="0"/>
      </c>
      <c r="J736" s="94">
        <f t="shared" si="4"/>
      </c>
      <c r="K736" s="94">
        <f t="shared" si="10"/>
      </c>
      <c r="L736" s="96">
        <f t="shared" si="5"/>
      </c>
      <c r="N736" s="2">
        <f>IF(729&gt;$Z$5,0,MOD(SMALL($Z$6:$Z$2005,729),10000))</f>
        <v>0</v>
      </c>
      <c r="O736" s="2">
        <f t="shared" si="11"/>
        <v>0</v>
      </c>
      <c r="Z736" s="2">
        <f>IF(AND(ISNUMBER(资金流水!$B$736),资金流水!$B$736&gt;=$C$4,资金流水!$B$736&lt;=$E$4,OR(资金流水!$C$736=$C$3,AND(资金流水!$AD$736=$C$3,资金流水!$X$736="账户互转"))),INT(资金流水!$B$736)*10000+731,"")</f>
      </c>
    </row>
    <row r="737">
      <c r="A737" s="94">
        <f>IF($N737=0,"",730)</f>
      </c>
      <c r="B737" s="95">
        <f t="shared" si="6"/>
      </c>
      <c r="C737" s="96">
        <f t="shared" si="1"/>
      </c>
      <c r="D737" s="21">
        <f t="shared" si="7"/>
      </c>
      <c r="E737" s="21">
        <f t="shared" si="2"/>
      </c>
      <c r="F737" s="48">
        <f t="shared" si="8"/>
      </c>
      <c r="G737" s="94">
        <f t="shared" si="9"/>
      </c>
      <c r="H737" s="94">
        <f t="shared" si="3"/>
      </c>
      <c r="I737" s="96">
        <f t="shared" si="0"/>
      </c>
      <c r="J737" s="94">
        <f t="shared" si="4"/>
      </c>
      <c r="K737" s="94">
        <f t="shared" si="10"/>
      </c>
      <c r="L737" s="96">
        <f t="shared" si="5"/>
      </c>
      <c r="N737" s="2">
        <f>IF(730&gt;$Z$5,0,MOD(SMALL($Z$6:$Z$2005,730),10000))</f>
        <v>0</v>
      </c>
      <c r="O737" s="2">
        <f t="shared" si="11"/>
        <v>0</v>
      </c>
      <c r="Z737" s="2">
        <f>IF(AND(ISNUMBER(资金流水!$B$737),资金流水!$B$737&gt;=$C$4,资金流水!$B$737&lt;=$E$4,OR(资金流水!$C$737=$C$3,AND(资金流水!$AD$737=$C$3,资金流水!$X$737="账户互转"))),INT(资金流水!$B$737)*10000+732,"")</f>
      </c>
    </row>
    <row r="738">
      <c r="A738" s="94">
        <f>IF($N738=0,"",731)</f>
      </c>
      <c r="B738" s="95">
        <f t="shared" si="6"/>
      </c>
      <c r="C738" s="96">
        <f t="shared" si="1"/>
      </c>
      <c r="D738" s="21">
        <f t="shared" si="7"/>
      </c>
      <c r="E738" s="21">
        <f t="shared" si="2"/>
      </c>
      <c r="F738" s="48">
        <f t="shared" si="8"/>
      </c>
      <c r="G738" s="94">
        <f t="shared" si="9"/>
      </c>
      <c r="H738" s="94">
        <f t="shared" si="3"/>
      </c>
      <c r="I738" s="96">
        <f t="shared" si="0"/>
      </c>
      <c r="J738" s="94">
        <f t="shared" si="4"/>
      </c>
      <c r="K738" s="94">
        <f t="shared" si="10"/>
      </c>
      <c r="L738" s="96">
        <f t="shared" si="5"/>
      </c>
      <c r="N738" s="2">
        <f>IF(731&gt;$Z$5,0,MOD(SMALL($Z$6:$Z$2005,731),10000))</f>
        <v>0</v>
      </c>
      <c r="O738" s="2">
        <f t="shared" si="11"/>
        <v>0</v>
      </c>
      <c r="Z738" s="2">
        <f>IF(AND(ISNUMBER(资金流水!$B$738),资金流水!$B$738&gt;=$C$4,资金流水!$B$738&lt;=$E$4,OR(资金流水!$C$738=$C$3,AND(资金流水!$AD$738=$C$3,资金流水!$X$738="账户互转"))),INT(资金流水!$B$738)*10000+733,"")</f>
      </c>
    </row>
    <row r="739">
      <c r="A739" s="94">
        <f>IF($N739=0,"",732)</f>
      </c>
      <c r="B739" s="95">
        <f t="shared" si="6"/>
      </c>
      <c r="C739" s="96">
        <f t="shared" si="1"/>
      </c>
      <c r="D739" s="21">
        <f t="shared" si="7"/>
      </c>
      <c r="E739" s="21">
        <f t="shared" si="2"/>
      </c>
      <c r="F739" s="48">
        <f t="shared" si="8"/>
      </c>
      <c r="G739" s="94">
        <f t="shared" si="9"/>
      </c>
      <c r="H739" s="94">
        <f t="shared" si="3"/>
      </c>
      <c r="I739" s="96">
        <f t="shared" si="0"/>
      </c>
      <c r="J739" s="94">
        <f t="shared" si="4"/>
      </c>
      <c r="K739" s="94">
        <f t="shared" si="10"/>
      </c>
      <c r="L739" s="96">
        <f t="shared" si="5"/>
      </c>
      <c r="N739" s="2">
        <f>IF(732&gt;$Z$5,0,MOD(SMALL($Z$6:$Z$2005,732),10000))</f>
        <v>0</v>
      </c>
      <c r="O739" s="2">
        <f t="shared" si="11"/>
        <v>0</v>
      </c>
      <c r="Z739" s="2">
        <f>IF(AND(ISNUMBER(资金流水!$B$739),资金流水!$B$739&gt;=$C$4,资金流水!$B$739&lt;=$E$4,OR(资金流水!$C$739=$C$3,AND(资金流水!$AD$739=$C$3,资金流水!$X$739="账户互转"))),INT(资金流水!$B$739)*10000+734,"")</f>
      </c>
    </row>
    <row r="740">
      <c r="A740" s="94">
        <f>IF($N740=0,"",733)</f>
      </c>
      <c r="B740" s="95">
        <f t="shared" si="6"/>
      </c>
      <c r="C740" s="96">
        <f t="shared" si="1"/>
      </c>
      <c r="D740" s="21">
        <f t="shared" si="7"/>
      </c>
      <c r="E740" s="21">
        <f t="shared" si="2"/>
      </c>
      <c r="F740" s="48">
        <f t="shared" si="8"/>
      </c>
      <c r="G740" s="94">
        <f t="shared" si="9"/>
      </c>
      <c r="H740" s="94">
        <f t="shared" si="3"/>
      </c>
      <c r="I740" s="96">
        <f t="shared" si="0"/>
      </c>
      <c r="J740" s="94">
        <f t="shared" si="4"/>
      </c>
      <c r="K740" s="94">
        <f t="shared" si="10"/>
      </c>
      <c r="L740" s="96">
        <f t="shared" si="5"/>
      </c>
      <c r="N740" s="2">
        <f>IF(733&gt;$Z$5,0,MOD(SMALL($Z$6:$Z$2005,733),10000))</f>
        <v>0</v>
      </c>
      <c r="O740" s="2">
        <f t="shared" si="11"/>
        <v>0</v>
      </c>
      <c r="Z740" s="2">
        <f>IF(AND(ISNUMBER(资金流水!$B$740),资金流水!$B$740&gt;=$C$4,资金流水!$B$740&lt;=$E$4,OR(资金流水!$C$740=$C$3,AND(资金流水!$AD$740=$C$3,资金流水!$X$740="账户互转"))),INT(资金流水!$B$740)*10000+735,"")</f>
      </c>
    </row>
    <row r="741">
      <c r="A741" s="94">
        <f>IF($N741=0,"",734)</f>
      </c>
      <c r="B741" s="95">
        <f t="shared" si="6"/>
      </c>
      <c r="C741" s="96">
        <f t="shared" si="1"/>
      </c>
      <c r="D741" s="21">
        <f t="shared" si="7"/>
      </c>
      <c r="E741" s="21">
        <f t="shared" si="2"/>
      </c>
      <c r="F741" s="48">
        <f t="shared" si="8"/>
      </c>
      <c r="G741" s="94">
        <f t="shared" si="9"/>
      </c>
      <c r="H741" s="94">
        <f t="shared" si="3"/>
      </c>
      <c r="I741" s="96">
        <f t="shared" si="0"/>
      </c>
      <c r="J741" s="94">
        <f t="shared" si="4"/>
      </c>
      <c r="K741" s="94">
        <f t="shared" si="10"/>
      </c>
      <c r="L741" s="96">
        <f t="shared" si="5"/>
      </c>
      <c r="N741" s="2">
        <f>IF(734&gt;$Z$5,0,MOD(SMALL($Z$6:$Z$2005,734),10000))</f>
        <v>0</v>
      </c>
      <c r="O741" s="2">
        <f t="shared" si="11"/>
        <v>0</v>
      </c>
      <c r="Z741" s="2">
        <f>IF(AND(ISNUMBER(资金流水!$B$741),资金流水!$B$741&gt;=$C$4,资金流水!$B$741&lt;=$E$4,OR(资金流水!$C$741=$C$3,AND(资金流水!$AD$741=$C$3,资金流水!$X$741="账户互转"))),INT(资金流水!$B$741)*10000+736,"")</f>
      </c>
    </row>
    <row r="742">
      <c r="A742" s="94">
        <f>IF($N742=0,"",735)</f>
      </c>
      <c r="B742" s="95">
        <f t="shared" si="6"/>
      </c>
      <c r="C742" s="96">
        <f t="shared" si="1"/>
      </c>
      <c r="D742" s="21">
        <f t="shared" si="7"/>
      </c>
      <c r="E742" s="21">
        <f t="shared" si="2"/>
      </c>
      <c r="F742" s="48">
        <f t="shared" si="8"/>
      </c>
      <c r="G742" s="94">
        <f t="shared" si="9"/>
      </c>
      <c r="H742" s="94">
        <f t="shared" si="3"/>
      </c>
      <c r="I742" s="96">
        <f t="shared" si="0"/>
      </c>
      <c r="J742" s="94">
        <f t="shared" si="4"/>
      </c>
      <c r="K742" s="94">
        <f t="shared" si="10"/>
      </c>
      <c r="L742" s="96">
        <f t="shared" si="5"/>
      </c>
      <c r="N742" s="2">
        <f>IF(735&gt;$Z$5,0,MOD(SMALL($Z$6:$Z$2005,735),10000))</f>
        <v>0</v>
      </c>
      <c r="O742" s="2">
        <f t="shared" si="11"/>
        <v>0</v>
      </c>
      <c r="Z742" s="2">
        <f>IF(AND(ISNUMBER(资金流水!$B$742),资金流水!$B$742&gt;=$C$4,资金流水!$B$742&lt;=$E$4,OR(资金流水!$C$742=$C$3,AND(资金流水!$AD$742=$C$3,资金流水!$X$742="账户互转"))),INT(资金流水!$B$742)*10000+737,"")</f>
      </c>
    </row>
    <row r="743">
      <c r="A743" s="94">
        <f>IF($N743=0,"",736)</f>
      </c>
      <c r="B743" s="95">
        <f t="shared" si="6"/>
      </c>
      <c r="C743" s="96">
        <f t="shared" si="1"/>
      </c>
      <c r="D743" s="21">
        <f t="shared" si="7"/>
      </c>
      <c r="E743" s="21">
        <f t="shared" si="2"/>
      </c>
      <c r="F743" s="48">
        <f t="shared" si="8"/>
      </c>
      <c r="G743" s="94">
        <f t="shared" si="9"/>
      </c>
      <c r="H743" s="94">
        <f t="shared" si="3"/>
      </c>
      <c r="I743" s="96">
        <f t="shared" si="0"/>
      </c>
      <c r="J743" s="94">
        <f t="shared" si="4"/>
      </c>
      <c r="K743" s="94">
        <f t="shared" si="10"/>
      </c>
      <c r="L743" s="96">
        <f t="shared" si="5"/>
      </c>
      <c r="N743" s="2">
        <f>IF(736&gt;$Z$5,0,MOD(SMALL($Z$6:$Z$2005,736),10000))</f>
        <v>0</v>
      </c>
      <c r="O743" s="2">
        <f t="shared" si="11"/>
        <v>0</v>
      </c>
      <c r="Z743" s="2">
        <f>IF(AND(ISNUMBER(资金流水!$B$743),资金流水!$B$743&gt;=$C$4,资金流水!$B$743&lt;=$E$4,OR(资金流水!$C$743=$C$3,AND(资金流水!$AD$743=$C$3,资金流水!$X$743="账户互转"))),INT(资金流水!$B$743)*10000+738,"")</f>
      </c>
    </row>
    <row r="744">
      <c r="A744" s="94">
        <f>IF($N744=0,"",737)</f>
      </c>
      <c r="B744" s="95">
        <f t="shared" si="6"/>
      </c>
      <c r="C744" s="96">
        <f t="shared" si="1"/>
      </c>
      <c r="D744" s="21">
        <f t="shared" si="7"/>
      </c>
      <c r="E744" s="21">
        <f t="shared" si="2"/>
      </c>
      <c r="F744" s="48">
        <f t="shared" si="8"/>
      </c>
      <c r="G744" s="94">
        <f t="shared" si="9"/>
      </c>
      <c r="H744" s="94">
        <f t="shared" si="3"/>
      </c>
      <c r="I744" s="96">
        <f t="shared" si="0"/>
      </c>
      <c r="J744" s="94">
        <f t="shared" si="4"/>
      </c>
      <c r="K744" s="94">
        <f t="shared" si="10"/>
      </c>
      <c r="L744" s="96">
        <f t="shared" si="5"/>
      </c>
      <c r="N744" s="2">
        <f>IF(737&gt;$Z$5,0,MOD(SMALL($Z$6:$Z$2005,737),10000))</f>
        <v>0</v>
      </c>
      <c r="O744" s="2">
        <f t="shared" si="11"/>
        <v>0</v>
      </c>
      <c r="Z744" s="2">
        <f>IF(AND(ISNUMBER(资金流水!$B$744),资金流水!$B$744&gt;=$C$4,资金流水!$B$744&lt;=$E$4,OR(资金流水!$C$744=$C$3,AND(资金流水!$AD$744=$C$3,资金流水!$X$744="账户互转"))),INT(资金流水!$B$744)*10000+739,"")</f>
      </c>
    </row>
    <row r="745">
      <c r="A745" s="94">
        <f>IF($N745=0,"",738)</f>
      </c>
      <c r="B745" s="95">
        <f t="shared" si="6"/>
      </c>
      <c r="C745" s="96">
        <f t="shared" si="1"/>
      </c>
      <c r="D745" s="21">
        <f t="shared" si="7"/>
      </c>
      <c r="E745" s="21">
        <f t="shared" si="2"/>
      </c>
      <c r="F745" s="48">
        <f t="shared" si="8"/>
      </c>
      <c r="G745" s="94">
        <f t="shared" si="9"/>
      </c>
      <c r="H745" s="94">
        <f t="shared" si="3"/>
      </c>
      <c r="I745" s="96">
        <f t="shared" si="0"/>
      </c>
      <c r="J745" s="94">
        <f t="shared" si="4"/>
      </c>
      <c r="K745" s="94">
        <f t="shared" si="10"/>
      </c>
      <c r="L745" s="96">
        <f t="shared" si="5"/>
      </c>
      <c r="N745" s="2">
        <f>IF(738&gt;$Z$5,0,MOD(SMALL($Z$6:$Z$2005,738),10000))</f>
        <v>0</v>
      </c>
      <c r="O745" s="2">
        <f t="shared" si="11"/>
        <v>0</v>
      </c>
      <c r="Z745" s="2">
        <f>IF(AND(ISNUMBER(资金流水!$B$745),资金流水!$B$745&gt;=$C$4,资金流水!$B$745&lt;=$E$4,OR(资金流水!$C$745=$C$3,AND(资金流水!$AD$745=$C$3,资金流水!$X$745="账户互转"))),INT(资金流水!$B$745)*10000+740,"")</f>
      </c>
    </row>
    <row r="746">
      <c r="A746" s="94">
        <f>IF($N746=0,"",739)</f>
      </c>
      <c r="B746" s="95">
        <f t="shared" si="6"/>
      </c>
      <c r="C746" s="96">
        <f t="shared" si="1"/>
      </c>
      <c r="D746" s="21">
        <f t="shared" si="7"/>
      </c>
      <c r="E746" s="21">
        <f t="shared" si="2"/>
      </c>
      <c r="F746" s="48">
        <f t="shared" si="8"/>
      </c>
      <c r="G746" s="94">
        <f t="shared" si="9"/>
      </c>
      <c r="H746" s="94">
        <f t="shared" si="3"/>
      </c>
      <c r="I746" s="96">
        <f t="shared" si="0"/>
      </c>
      <c r="J746" s="94">
        <f t="shared" si="4"/>
      </c>
      <c r="K746" s="94">
        <f t="shared" si="10"/>
      </c>
      <c r="L746" s="96">
        <f t="shared" si="5"/>
      </c>
      <c r="N746" s="2">
        <f>IF(739&gt;$Z$5,0,MOD(SMALL($Z$6:$Z$2005,739),10000))</f>
        <v>0</v>
      </c>
      <c r="O746" s="2">
        <f t="shared" si="11"/>
        <v>0</v>
      </c>
      <c r="Z746" s="2">
        <f>IF(AND(ISNUMBER(资金流水!$B$746),资金流水!$B$746&gt;=$C$4,资金流水!$B$746&lt;=$E$4,OR(资金流水!$C$746=$C$3,AND(资金流水!$AD$746=$C$3,资金流水!$X$746="账户互转"))),INT(资金流水!$B$746)*10000+741,"")</f>
      </c>
    </row>
    <row r="747">
      <c r="A747" s="94">
        <f>IF($N747=0,"",740)</f>
      </c>
      <c r="B747" s="95">
        <f t="shared" si="6"/>
      </c>
      <c r="C747" s="96">
        <f t="shared" si="1"/>
      </c>
      <c r="D747" s="21">
        <f t="shared" si="7"/>
      </c>
      <c r="E747" s="21">
        <f t="shared" si="2"/>
      </c>
      <c r="F747" s="48">
        <f t="shared" si="8"/>
      </c>
      <c r="G747" s="94">
        <f t="shared" si="9"/>
      </c>
      <c r="H747" s="94">
        <f t="shared" si="3"/>
      </c>
      <c r="I747" s="96">
        <f t="shared" si="0"/>
      </c>
      <c r="J747" s="94">
        <f t="shared" si="4"/>
      </c>
      <c r="K747" s="94">
        <f t="shared" si="10"/>
      </c>
      <c r="L747" s="96">
        <f t="shared" si="5"/>
      </c>
      <c r="N747" s="2">
        <f>IF(740&gt;$Z$5,0,MOD(SMALL($Z$6:$Z$2005,740),10000))</f>
        <v>0</v>
      </c>
      <c r="O747" s="2">
        <f t="shared" si="11"/>
        <v>0</v>
      </c>
      <c r="Z747" s="2">
        <f>IF(AND(ISNUMBER(资金流水!$B$747),资金流水!$B$747&gt;=$C$4,资金流水!$B$747&lt;=$E$4,OR(资金流水!$C$747=$C$3,AND(资金流水!$AD$747=$C$3,资金流水!$X$747="账户互转"))),INT(资金流水!$B$747)*10000+742,"")</f>
      </c>
    </row>
    <row r="748">
      <c r="A748" s="94">
        <f>IF($N748=0,"",741)</f>
      </c>
      <c r="B748" s="95">
        <f t="shared" si="6"/>
      </c>
      <c r="C748" s="96">
        <f t="shared" si="1"/>
      </c>
      <c r="D748" s="21">
        <f t="shared" si="7"/>
      </c>
      <c r="E748" s="21">
        <f t="shared" si="2"/>
      </c>
      <c r="F748" s="48">
        <f t="shared" si="8"/>
      </c>
      <c r="G748" s="94">
        <f t="shared" si="9"/>
      </c>
      <c r="H748" s="94">
        <f t="shared" si="3"/>
      </c>
      <c r="I748" s="96">
        <f t="shared" si="0"/>
      </c>
      <c r="J748" s="94">
        <f t="shared" si="4"/>
      </c>
      <c r="K748" s="94">
        <f t="shared" si="10"/>
      </c>
      <c r="L748" s="96">
        <f t="shared" si="5"/>
      </c>
      <c r="N748" s="2">
        <f>IF(741&gt;$Z$5,0,MOD(SMALL($Z$6:$Z$2005,741),10000))</f>
        <v>0</v>
      </c>
      <c r="O748" s="2">
        <f t="shared" si="11"/>
        <v>0</v>
      </c>
      <c r="Z748" s="2">
        <f>IF(AND(ISNUMBER(资金流水!$B$748),资金流水!$B$748&gt;=$C$4,资金流水!$B$748&lt;=$E$4,OR(资金流水!$C$748=$C$3,AND(资金流水!$AD$748=$C$3,资金流水!$X$748="账户互转"))),INT(资金流水!$B$748)*10000+743,"")</f>
      </c>
    </row>
    <row r="749">
      <c r="A749" s="94">
        <f>IF($N749=0,"",742)</f>
      </c>
      <c r="B749" s="95">
        <f t="shared" si="6"/>
      </c>
      <c r="C749" s="96">
        <f t="shared" si="1"/>
      </c>
      <c r="D749" s="21">
        <f t="shared" si="7"/>
      </c>
      <c r="E749" s="21">
        <f t="shared" si="2"/>
      </c>
      <c r="F749" s="48">
        <f t="shared" si="8"/>
      </c>
      <c r="G749" s="94">
        <f t="shared" si="9"/>
      </c>
      <c r="H749" s="94">
        <f t="shared" si="3"/>
      </c>
      <c r="I749" s="96">
        <f t="shared" si="0"/>
      </c>
      <c r="J749" s="94">
        <f t="shared" si="4"/>
      </c>
      <c r="K749" s="94">
        <f t="shared" si="10"/>
      </c>
      <c r="L749" s="96">
        <f t="shared" si="5"/>
      </c>
      <c r="N749" s="2">
        <f>IF(742&gt;$Z$5,0,MOD(SMALL($Z$6:$Z$2005,742),10000))</f>
        <v>0</v>
      </c>
      <c r="O749" s="2">
        <f t="shared" si="11"/>
        <v>0</v>
      </c>
      <c r="Z749" s="2">
        <f>IF(AND(ISNUMBER(资金流水!$B$749),资金流水!$B$749&gt;=$C$4,资金流水!$B$749&lt;=$E$4,OR(资金流水!$C$749=$C$3,AND(资金流水!$AD$749=$C$3,资金流水!$X$749="账户互转"))),INT(资金流水!$B$749)*10000+744,"")</f>
      </c>
    </row>
    <row r="750">
      <c r="A750" s="94">
        <f>IF($N750=0,"",743)</f>
      </c>
      <c r="B750" s="95">
        <f t="shared" si="6"/>
      </c>
      <c r="C750" s="96">
        <f t="shared" si="1"/>
      </c>
      <c r="D750" s="21">
        <f t="shared" si="7"/>
      </c>
      <c r="E750" s="21">
        <f t="shared" si="2"/>
      </c>
      <c r="F750" s="48">
        <f t="shared" si="8"/>
      </c>
      <c r="G750" s="94">
        <f t="shared" si="9"/>
      </c>
      <c r="H750" s="94">
        <f t="shared" si="3"/>
      </c>
      <c r="I750" s="96">
        <f t="shared" si="0"/>
      </c>
      <c r="J750" s="94">
        <f t="shared" si="4"/>
      </c>
      <c r="K750" s="94">
        <f t="shared" si="10"/>
      </c>
      <c r="L750" s="96">
        <f t="shared" si="5"/>
      </c>
      <c r="N750" s="2">
        <f>IF(743&gt;$Z$5,0,MOD(SMALL($Z$6:$Z$2005,743),10000))</f>
        <v>0</v>
      </c>
      <c r="O750" s="2">
        <f t="shared" si="11"/>
        <v>0</v>
      </c>
      <c r="Z750" s="2">
        <f>IF(AND(ISNUMBER(资金流水!$B$750),资金流水!$B$750&gt;=$C$4,资金流水!$B$750&lt;=$E$4,OR(资金流水!$C$750=$C$3,AND(资金流水!$AD$750=$C$3,资金流水!$X$750="账户互转"))),INT(资金流水!$B$750)*10000+745,"")</f>
      </c>
    </row>
    <row r="751">
      <c r="A751" s="94">
        <f>IF($N751=0,"",744)</f>
      </c>
      <c r="B751" s="95">
        <f t="shared" si="6"/>
      </c>
      <c r="C751" s="96">
        <f t="shared" si="1"/>
      </c>
      <c r="D751" s="21">
        <f t="shared" si="7"/>
      </c>
      <c r="E751" s="21">
        <f t="shared" si="2"/>
      </c>
      <c r="F751" s="48">
        <f t="shared" si="8"/>
      </c>
      <c r="G751" s="94">
        <f t="shared" si="9"/>
      </c>
      <c r="H751" s="94">
        <f t="shared" si="3"/>
      </c>
      <c r="I751" s="96">
        <f t="shared" si="0"/>
      </c>
      <c r="J751" s="94">
        <f t="shared" si="4"/>
      </c>
      <c r="K751" s="94">
        <f t="shared" si="10"/>
      </c>
      <c r="L751" s="96">
        <f t="shared" si="5"/>
      </c>
      <c r="N751" s="2">
        <f>IF(744&gt;$Z$5,0,MOD(SMALL($Z$6:$Z$2005,744),10000))</f>
        <v>0</v>
      </c>
      <c r="O751" s="2">
        <f t="shared" si="11"/>
        <v>0</v>
      </c>
      <c r="Z751" s="2">
        <f>IF(AND(ISNUMBER(资金流水!$B$751),资金流水!$B$751&gt;=$C$4,资金流水!$B$751&lt;=$E$4,OR(资金流水!$C$751=$C$3,AND(资金流水!$AD$751=$C$3,资金流水!$X$751="账户互转"))),INT(资金流水!$B$751)*10000+746,"")</f>
      </c>
    </row>
    <row r="752">
      <c r="A752" s="94">
        <f>IF($N752=0,"",745)</f>
      </c>
      <c r="B752" s="95">
        <f t="shared" si="6"/>
      </c>
      <c r="C752" s="96">
        <f t="shared" si="1"/>
      </c>
      <c r="D752" s="21">
        <f t="shared" si="7"/>
      </c>
      <c r="E752" s="21">
        <f t="shared" si="2"/>
      </c>
      <c r="F752" s="48">
        <f t="shared" si="8"/>
      </c>
      <c r="G752" s="94">
        <f t="shared" si="9"/>
      </c>
      <c r="H752" s="94">
        <f t="shared" si="3"/>
      </c>
      <c r="I752" s="96">
        <f t="shared" si="0"/>
      </c>
      <c r="J752" s="94">
        <f t="shared" si="4"/>
      </c>
      <c r="K752" s="94">
        <f t="shared" si="10"/>
      </c>
      <c r="L752" s="96">
        <f t="shared" si="5"/>
      </c>
      <c r="N752" s="2">
        <f>IF(745&gt;$Z$5,0,MOD(SMALL($Z$6:$Z$2005,745),10000))</f>
        <v>0</v>
      </c>
      <c r="O752" s="2">
        <f t="shared" si="11"/>
        <v>0</v>
      </c>
      <c r="Z752" s="2">
        <f>IF(AND(ISNUMBER(资金流水!$B$752),资金流水!$B$752&gt;=$C$4,资金流水!$B$752&lt;=$E$4,OR(资金流水!$C$752=$C$3,AND(资金流水!$AD$752=$C$3,资金流水!$X$752="账户互转"))),INT(资金流水!$B$752)*10000+747,"")</f>
      </c>
    </row>
    <row r="753">
      <c r="A753" s="94">
        <f>IF($N753=0,"",746)</f>
      </c>
      <c r="B753" s="95">
        <f t="shared" si="6"/>
      </c>
      <c r="C753" s="96">
        <f t="shared" si="1"/>
      </c>
      <c r="D753" s="21">
        <f t="shared" si="7"/>
      </c>
      <c r="E753" s="21">
        <f t="shared" si="2"/>
      </c>
      <c r="F753" s="48">
        <f t="shared" si="8"/>
      </c>
      <c r="G753" s="94">
        <f t="shared" si="9"/>
      </c>
      <c r="H753" s="94">
        <f t="shared" si="3"/>
      </c>
      <c r="I753" s="96">
        <f t="shared" si="0"/>
      </c>
      <c r="J753" s="94">
        <f t="shared" si="4"/>
      </c>
      <c r="K753" s="94">
        <f t="shared" si="10"/>
      </c>
      <c r="L753" s="96">
        <f t="shared" si="5"/>
      </c>
      <c r="N753" s="2">
        <f>IF(746&gt;$Z$5,0,MOD(SMALL($Z$6:$Z$2005,746),10000))</f>
        <v>0</v>
      </c>
      <c r="O753" s="2">
        <f t="shared" si="11"/>
        <v>0</v>
      </c>
      <c r="Z753" s="2">
        <f>IF(AND(ISNUMBER(资金流水!$B$753),资金流水!$B$753&gt;=$C$4,资金流水!$B$753&lt;=$E$4,OR(资金流水!$C$753=$C$3,AND(资金流水!$AD$753=$C$3,资金流水!$X$753="账户互转"))),INT(资金流水!$B$753)*10000+748,"")</f>
      </c>
    </row>
    <row r="754">
      <c r="A754" s="94">
        <f>IF($N754=0,"",747)</f>
      </c>
      <c r="B754" s="95">
        <f t="shared" si="6"/>
      </c>
      <c r="C754" s="96">
        <f t="shared" si="1"/>
      </c>
      <c r="D754" s="21">
        <f t="shared" si="7"/>
      </c>
      <c r="E754" s="21">
        <f t="shared" si="2"/>
      </c>
      <c r="F754" s="48">
        <f t="shared" si="8"/>
      </c>
      <c r="G754" s="94">
        <f t="shared" si="9"/>
      </c>
      <c r="H754" s="94">
        <f t="shared" si="3"/>
      </c>
      <c r="I754" s="96">
        <f t="shared" si="0"/>
      </c>
      <c r="J754" s="94">
        <f t="shared" si="4"/>
      </c>
      <c r="K754" s="94">
        <f t="shared" si="10"/>
      </c>
      <c r="L754" s="96">
        <f t="shared" si="5"/>
      </c>
      <c r="N754" s="2">
        <f>IF(747&gt;$Z$5,0,MOD(SMALL($Z$6:$Z$2005,747),10000))</f>
        <v>0</v>
      </c>
      <c r="O754" s="2">
        <f t="shared" si="11"/>
        <v>0</v>
      </c>
      <c r="Z754" s="2">
        <f>IF(AND(ISNUMBER(资金流水!$B$754),资金流水!$B$754&gt;=$C$4,资金流水!$B$754&lt;=$E$4,OR(资金流水!$C$754=$C$3,AND(资金流水!$AD$754=$C$3,资金流水!$X$754="账户互转"))),INT(资金流水!$B$754)*10000+749,"")</f>
      </c>
    </row>
    <row r="755">
      <c r="A755" s="94">
        <f>IF($N755=0,"",748)</f>
      </c>
      <c r="B755" s="95">
        <f t="shared" si="6"/>
      </c>
      <c r="C755" s="96">
        <f t="shared" si="1"/>
      </c>
      <c r="D755" s="21">
        <f t="shared" si="7"/>
      </c>
      <c r="E755" s="21">
        <f t="shared" si="2"/>
      </c>
      <c r="F755" s="48">
        <f t="shared" si="8"/>
      </c>
      <c r="G755" s="94">
        <f t="shared" si="9"/>
      </c>
      <c r="H755" s="94">
        <f t="shared" si="3"/>
      </c>
      <c r="I755" s="96">
        <f t="shared" si="0"/>
      </c>
      <c r="J755" s="94">
        <f t="shared" si="4"/>
      </c>
      <c r="K755" s="94">
        <f t="shared" si="10"/>
      </c>
      <c r="L755" s="96">
        <f t="shared" si="5"/>
      </c>
      <c r="N755" s="2">
        <f>IF(748&gt;$Z$5,0,MOD(SMALL($Z$6:$Z$2005,748),10000))</f>
        <v>0</v>
      </c>
      <c r="O755" s="2">
        <f t="shared" si="11"/>
        <v>0</v>
      </c>
      <c r="Z755" s="2">
        <f>IF(AND(ISNUMBER(资金流水!$B$755),资金流水!$B$755&gt;=$C$4,资金流水!$B$755&lt;=$E$4,OR(资金流水!$C$755=$C$3,AND(资金流水!$AD$755=$C$3,资金流水!$X$755="账户互转"))),INT(资金流水!$B$755)*10000+750,"")</f>
      </c>
    </row>
    <row r="756">
      <c r="A756" s="94">
        <f>IF($N756=0,"",749)</f>
      </c>
      <c r="B756" s="95">
        <f t="shared" si="6"/>
      </c>
      <c r="C756" s="96">
        <f t="shared" si="1"/>
      </c>
      <c r="D756" s="21">
        <f t="shared" si="7"/>
      </c>
      <c r="E756" s="21">
        <f t="shared" si="2"/>
      </c>
      <c r="F756" s="48">
        <f t="shared" si="8"/>
      </c>
      <c r="G756" s="94">
        <f t="shared" si="9"/>
      </c>
      <c r="H756" s="94">
        <f t="shared" si="3"/>
      </c>
      <c r="I756" s="96">
        <f t="shared" si="0"/>
      </c>
      <c r="J756" s="94">
        <f t="shared" si="4"/>
      </c>
      <c r="K756" s="94">
        <f t="shared" si="10"/>
      </c>
      <c r="L756" s="96">
        <f t="shared" si="5"/>
      </c>
      <c r="N756" s="2">
        <f>IF(749&gt;$Z$5,0,MOD(SMALL($Z$6:$Z$2005,749),10000))</f>
        <v>0</v>
      </c>
      <c r="O756" s="2">
        <f t="shared" si="11"/>
        <v>0</v>
      </c>
      <c r="Z756" s="2">
        <f>IF(AND(ISNUMBER(资金流水!$B$756),资金流水!$B$756&gt;=$C$4,资金流水!$B$756&lt;=$E$4,OR(资金流水!$C$756=$C$3,AND(资金流水!$AD$756=$C$3,资金流水!$X$756="账户互转"))),INT(资金流水!$B$756)*10000+751,"")</f>
      </c>
    </row>
    <row r="757">
      <c r="A757" s="94">
        <f>IF($N757=0,"",750)</f>
      </c>
      <c r="B757" s="95">
        <f t="shared" si="6"/>
      </c>
      <c r="C757" s="96">
        <f t="shared" si="1"/>
      </c>
      <c r="D757" s="21">
        <f t="shared" si="7"/>
      </c>
      <c r="E757" s="21">
        <f t="shared" si="2"/>
      </c>
      <c r="F757" s="48">
        <f t="shared" si="8"/>
      </c>
      <c r="G757" s="94">
        <f t="shared" si="9"/>
      </c>
      <c r="H757" s="94">
        <f t="shared" si="3"/>
      </c>
      <c r="I757" s="96">
        <f t="shared" si="0"/>
      </c>
      <c r="J757" s="94">
        <f t="shared" si="4"/>
      </c>
      <c r="K757" s="94">
        <f t="shared" si="10"/>
      </c>
      <c r="L757" s="96">
        <f t="shared" si="5"/>
      </c>
      <c r="N757" s="2">
        <f>IF(750&gt;$Z$5,0,MOD(SMALL($Z$6:$Z$2005,750),10000))</f>
        <v>0</v>
      </c>
      <c r="O757" s="2">
        <f t="shared" si="11"/>
        <v>0</v>
      </c>
      <c r="Z757" s="2">
        <f>IF(AND(ISNUMBER(资金流水!$B$757),资金流水!$B$757&gt;=$C$4,资金流水!$B$757&lt;=$E$4,OR(资金流水!$C$757=$C$3,AND(资金流水!$AD$757=$C$3,资金流水!$X$757="账户互转"))),INT(资金流水!$B$757)*10000+752,"")</f>
      </c>
    </row>
    <row r="758">
      <c r="A758" s="94">
        <f>IF($N758=0,"",751)</f>
      </c>
      <c r="B758" s="95">
        <f t="shared" si="6"/>
      </c>
      <c r="C758" s="96">
        <f t="shared" si="1"/>
      </c>
      <c r="D758" s="21">
        <f t="shared" si="7"/>
      </c>
      <c r="E758" s="21">
        <f t="shared" si="2"/>
      </c>
      <c r="F758" s="48">
        <f t="shared" si="8"/>
      </c>
      <c r="G758" s="94">
        <f t="shared" si="9"/>
      </c>
      <c r="H758" s="94">
        <f t="shared" si="3"/>
      </c>
      <c r="I758" s="96">
        <f t="shared" si="0"/>
      </c>
      <c r="J758" s="94">
        <f t="shared" si="4"/>
      </c>
      <c r="K758" s="94">
        <f t="shared" si="10"/>
      </c>
      <c r="L758" s="96">
        <f t="shared" si="5"/>
      </c>
      <c r="N758" s="2">
        <f>IF(751&gt;$Z$5,0,MOD(SMALL($Z$6:$Z$2005,751),10000))</f>
        <v>0</v>
      </c>
      <c r="O758" s="2">
        <f t="shared" si="11"/>
        <v>0</v>
      </c>
      <c r="Z758" s="2">
        <f>IF(AND(ISNUMBER(资金流水!$B$758),资金流水!$B$758&gt;=$C$4,资金流水!$B$758&lt;=$E$4,OR(资金流水!$C$758=$C$3,AND(资金流水!$AD$758=$C$3,资金流水!$X$758="账户互转"))),INT(资金流水!$B$758)*10000+753,"")</f>
      </c>
    </row>
    <row r="759">
      <c r="A759" s="94">
        <f>IF($N759=0,"",752)</f>
      </c>
      <c r="B759" s="95">
        <f t="shared" si="6"/>
      </c>
      <c r="C759" s="96">
        <f t="shared" si="1"/>
      </c>
      <c r="D759" s="21">
        <f t="shared" si="7"/>
      </c>
      <c r="E759" s="21">
        <f t="shared" si="2"/>
      </c>
      <c r="F759" s="48">
        <f t="shared" si="8"/>
      </c>
      <c r="G759" s="94">
        <f t="shared" si="9"/>
      </c>
      <c r="H759" s="94">
        <f t="shared" si="3"/>
      </c>
      <c r="I759" s="96">
        <f t="shared" si="0"/>
      </c>
      <c r="J759" s="94">
        <f t="shared" si="4"/>
      </c>
      <c r="K759" s="94">
        <f t="shared" si="10"/>
      </c>
      <c r="L759" s="96">
        <f t="shared" si="5"/>
      </c>
      <c r="N759" s="2">
        <f>IF(752&gt;$Z$5,0,MOD(SMALL($Z$6:$Z$2005,752),10000))</f>
        <v>0</v>
      </c>
      <c r="O759" s="2">
        <f t="shared" si="11"/>
        <v>0</v>
      </c>
      <c r="Z759" s="2">
        <f>IF(AND(ISNUMBER(资金流水!$B$759),资金流水!$B$759&gt;=$C$4,资金流水!$B$759&lt;=$E$4,OR(资金流水!$C$759=$C$3,AND(资金流水!$AD$759=$C$3,资金流水!$X$759="账户互转"))),INT(资金流水!$B$759)*10000+754,"")</f>
      </c>
    </row>
    <row r="760">
      <c r="A760" s="94">
        <f>IF($N760=0,"",753)</f>
      </c>
      <c r="B760" s="95">
        <f t="shared" si="6"/>
      </c>
      <c r="C760" s="96">
        <f t="shared" si="1"/>
      </c>
      <c r="D760" s="21">
        <f t="shared" si="7"/>
      </c>
      <c r="E760" s="21">
        <f t="shared" si="2"/>
      </c>
      <c r="F760" s="48">
        <f t="shared" si="8"/>
      </c>
      <c r="G760" s="94">
        <f t="shared" si="9"/>
      </c>
      <c r="H760" s="94">
        <f t="shared" si="3"/>
      </c>
      <c r="I760" s="96">
        <f t="shared" si="0"/>
      </c>
      <c r="J760" s="94">
        <f t="shared" si="4"/>
      </c>
      <c r="K760" s="94">
        <f t="shared" si="10"/>
      </c>
      <c r="L760" s="96">
        <f t="shared" si="5"/>
      </c>
      <c r="N760" s="2">
        <f>IF(753&gt;$Z$5,0,MOD(SMALL($Z$6:$Z$2005,753),10000))</f>
        <v>0</v>
      </c>
      <c r="O760" s="2">
        <f t="shared" si="11"/>
        <v>0</v>
      </c>
      <c r="Z760" s="2">
        <f>IF(AND(ISNUMBER(资金流水!$B$760),资金流水!$B$760&gt;=$C$4,资金流水!$B$760&lt;=$E$4,OR(资金流水!$C$760=$C$3,AND(资金流水!$AD$760=$C$3,资金流水!$X$760="账户互转"))),INT(资金流水!$B$760)*10000+755,"")</f>
      </c>
    </row>
    <row r="761">
      <c r="A761" s="94">
        <f>IF($N761=0,"",754)</f>
      </c>
      <c r="B761" s="95">
        <f t="shared" si="6"/>
      </c>
      <c r="C761" s="96">
        <f t="shared" si="1"/>
      </c>
      <c r="D761" s="21">
        <f t="shared" si="7"/>
      </c>
      <c r="E761" s="21">
        <f t="shared" si="2"/>
      </c>
      <c r="F761" s="48">
        <f t="shared" si="8"/>
      </c>
      <c r="G761" s="94">
        <f t="shared" si="9"/>
      </c>
      <c r="H761" s="94">
        <f t="shared" si="3"/>
      </c>
      <c r="I761" s="96">
        <f t="shared" si="0"/>
      </c>
      <c r="J761" s="94">
        <f t="shared" si="4"/>
      </c>
      <c r="K761" s="94">
        <f t="shared" si="10"/>
      </c>
      <c r="L761" s="96">
        <f t="shared" si="5"/>
      </c>
      <c r="N761" s="2">
        <f>IF(754&gt;$Z$5,0,MOD(SMALL($Z$6:$Z$2005,754),10000))</f>
        <v>0</v>
      </c>
      <c r="O761" s="2">
        <f t="shared" si="11"/>
        <v>0</v>
      </c>
      <c r="Z761" s="2">
        <f>IF(AND(ISNUMBER(资金流水!$B$761),资金流水!$B$761&gt;=$C$4,资金流水!$B$761&lt;=$E$4,OR(资金流水!$C$761=$C$3,AND(资金流水!$AD$761=$C$3,资金流水!$X$761="账户互转"))),INT(资金流水!$B$761)*10000+756,"")</f>
      </c>
    </row>
    <row r="762">
      <c r="A762" s="94">
        <f>IF($N762=0,"",755)</f>
      </c>
      <c r="B762" s="95">
        <f t="shared" si="6"/>
      </c>
      <c r="C762" s="96">
        <f t="shared" si="1"/>
      </c>
      <c r="D762" s="21">
        <f t="shared" si="7"/>
      </c>
      <c r="E762" s="21">
        <f t="shared" si="2"/>
      </c>
      <c r="F762" s="48">
        <f t="shared" si="8"/>
      </c>
      <c r="G762" s="94">
        <f t="shared" si="9"/>
      </c>
      <c r="H762" s="94">
        <f t="shared" si="3"/>
      </c>
      <c r="I762" s="96">
        <f t="shared" si="0"/>
      </c>
      <c r="J762" s="94">
        <f t="shared" si="4"/>
      </c>
      <c r="K762" s="94">
        <f t="shared" si="10"/>
      </c>
      <c r="L762" s="96">
        <f t="shared" si="5"/>
      </c>
      <c r="N762" s="2">
        <f>IF(755&gt;$Z$5,0,MOD(SMALL($Z$6:$Z$2005,755),10000))</f>
        <v>0</v>
      </c>
      <c r="O762" s="2">
        <f t="shared" si="11"/>
        <v>0</v>
      </c>
      <c r="Z762" s="2">
        <f>IF(AND(ISNUMBER(资金流水!$B$762),资金流水!$B$762&gt;=$C$4,资金流水!$B$762&lt;=$E$4,OR(资金流水!$C$762=$C$3,AND(资金流水!$AD$762=$C$3,资金流水!$X$762="账户互转"))),INT(资金流水!$B$762)*10000+757,"")</f>
      </c>
    </row>
    <row r="763">
      <c r="A763" s="94">
        <f>IF($N763=0,"",756)</f>
      </c>
      <c r="B763" s="95">
        <f t="shared" si="6"/>
      </c>
      <c r="C763" s="96">
        <f t="shared" si="1"/>
      </c>
      <c r="D763" s="21">
        <f t="shared" si="7"/>
      </c>
      <c r="E763" s="21">
        <f t="shared" si="2"/>
      </c>
      <c r="F763" s="48">
        <f t="shared" si="8"/>
      </c>
      <c r="G763" s="94">
        <f t="shared" si="9"/>
      </c>
      <c r="H763" s="94">
        <f t="shared" si="3"/>
      </c>
      <c r="I763" s="96">
        <f t="shared" si="0"/>
      </c>
      <c r="J763" s="94">
        <f t="shared" si="4"/>
      </c>
      <c r="K763" s="94">
        <f t="shared" si="10"/>
      </c>
      <c r="L763" s="96">
        <f t="shared" si="5"/>
      </c>
      <c r="N763" s="2">
        <f>IF(756&gt;$Z$5,0,MOD(SMALL($Z$6:$Z$2005,756),10000))</f>
        <v>0</v>
      </c>
      <c r="O763" s="2">
        <f t="shared" si="11"/>
        <v>0</v>
      </c>
      <c r="Z763" s="2">
        <f>IF(AND(ISNUMBER(资金流水!$B$763),资金流水!$B$763&gt;=$C$4,资金流水!$B$763&lt;=$E$4,OR(资金流水!$C$763=$C$3,AND(资金流水!$AD$763=$C$3,资金流水!$X$763="账户互转"))),INT(资金流水!$B$763)*10000+758,"")</f>
      </c>
    </row>
    <row r="764">
      <c r="A764" s="94">
        <f>IF($N764=0,"",757)</f>
      </c>
      <c r="B764" s="95">
        <f t="shared" si="6"/>
      </c>
      <c r="C764" s="96">
        <f t="shared" si="1"/>
      </c>
      <c r="D764" s="21">
        <f t="shared" si="7"/>
      </c>
      <c r="E764" s="21">
        <f t="shared" si="2"/>
      </c>
      <c r="F764" s="48">
        <f t="shared" si="8"/>
      </c>
      <c r="G764" s="94">
        <f t="shared" si="9"/>
      </c>
      <c r="H764" s="94">
        <f t="shared" si="3"/>
      </c>
      <c r="I764" s="96">
        <f t="shared" si="0"/>
      </c>
      <c r="J764" s="94">
        <f t="shared" si="4"/>
      </c>
      <c r="K764" s="94">
        <f t="shared" si="10"/>
      </c>
      <c r="L764" s="96">
        <f t="shared" si="5"/>
      </c>
      <c r="N764" s="2">
        <f>IF(757&gt;$Z$5,0,MOD(SMALL($Z$6:$Z$2005,757),10000))</f>
        <v>0</v>
      </c>
      <c r="O764" s="2">
        <f t="shared" si="11"/>
        <v>0</v>
      </c>
      <c r="Z764" s="2">
        <f>IF(AND(ISNUMBER(资金流水!$B$764),资金流水!$B$764&gt;=$C$4,资金流水!$B$764&lt;=$E$4,OR(资金流水!$C$764=$C$3,AND(资金流水!$AD$764=$C$3,资金流水!$X$764="账户互转"))),INT(资金流水!$B$764)*10000+759,"")</f>
      </c>
    </row>
    <row r="765">
      <c r="A765" s="94">
        <f>IF($N765=0,"",758)</f>
      </c>
      <c r="B765" s="95">
        <f t="shared" si="6"/>
      </c>
      <c r="C765" s="96">
        <f t="shared" si="1"/>
      </c>
      <c r="D765" s="21">
        <f t="shared" si="7"/>
      </c>
      <c r="E765" s="21">
        <f t="shared" si="2"/>
      </c>
      <c r="F765" s="48">
        <f t="shared" si="8"/>
      </c>
      <c r="G765" s="94">
        <f t="shared" si="9"/>
      </c>
      <c r="H765" s="94">
        <f t="shared" si="3"/>
      </c>
      <c r="I765" s="96">
        <f t="shared" si="0"/>
      </c>
      <c r="J765" s="94">
        <f t="shared" si="4"/>
      </c>
      <c r="K765" s="94">
        <f t="shared" si="10"/>
      </c>
      <c r="L765" s="96">
        <f t="shared" si="5"/>
      </c>
      <c r="N765" s="2">
        <f>IF(758&gt;$Z$5,0,MOD(SMALL($Z$6:$Z$2005,758),10000))</f>
        <v>0</v>
      </c>
      <c r="O765" s="2">
        <f t="shared" si="11"/>
        <v>0</v>
      </c>
      <c r="Z765" s="2">
        <f>IF(AND(ISNUMBER(资金流水!$B$765),资金流水!$B$765&gt;=$C$4,资金流水!$B$765&lt;=$E$4,OR(资金流水!$C$765=$C$3,AND(资金流水!$AD$765=$C$3,资金流水!$X$765="账户互转"))),INT(资金流水!$B$765)*10000+760,"")</f>
      </c>
    </row>
    <row r="766">
      <c r="A766" s="94">
        <f>IF($N766=0,"",759)</f>
      </c>
      <c r="B766" s="95">
        <f t="shared" si="6"/>
      </c>
      <c r="C766" s="96">
        <f t="shared" si="1"/>
      </c>
      <c r="D766" s="21">
        <f t="shared" si="7"/>
      </c>
      <c r="E766" s="21">
        <f t="shared" si="2"/>
      </c>
      <c r="F766" s="48">
        <f t="shared" si="8"/>
      </c>
      <c r="G766" s="94">
        <f t="shared" si="9"/>
      </c>
      <c r="H766" s="94">
        <f t="shared" si="3"/>
      </c>
      <c r="I766" s="96">
        <f t="shared" si="0"/>
      </c>
      <c r="J766" s="94">
        <f t="shared" si="4"/>
      </c>
      <c r="K766" s="94">
        <f t="shared" si="10"/>
      </c>
      <c r="L766" s="96">
        <f t="shared" si="5"/>
      </c>
      <c r="N766" s="2">
        <f>IF(759&gt;$Z$5,0,MOD(SMALL($Z$6:$Z$2005,759),10000))</f>
        <v>0</v>
      </c>
      <c r="O766" s="2">
        <f t="shared" si="11"/>
        <v>0</v>
      </c>
      <c r="Z766" s="2">
        <f>IF(AND(ISNUMBER(资金流水!$B$766),资金流水!$B$766&gt;=$C$4,资金流水!$B$766&lt;=$E$4,OR(资金流水!$C$766=$C$3,AND(资金流水!$AD$766=$C$3,资金流水!$X$766="账户互转"))),INT(资金流水!$B$766)*10000+761,"")</f>
      </c>
    </row>
    <row r="767">
      <c r="A767" s="94">
        <f>IF($N767=0,"",760)</f>
      </c>
      <c r="B767" s="95">
        <f t="shared" si="6"/>
      </c>
      <c r="C767" s="96">
        <f t="shared" si="1"/>
      </c>
      <c r="D767" s="21">
        <f t="shared" si="7"/>
      </c>
      <c r="E767" s="21">
        <f t="shared" si="2"/>
      </c>
      <c r="F767" s="48">
        <f t="shared" si="8"/>
      </c>
      <c r="G767" s="94">
        <f t="shared" si="9"/>
      </c>
      <c r="H767" s="94">
        <f t="shared" si="3"/>
      </c>
      <c r="I767" s="96">
        <f t="shared" si="0"/>
      </c>
      <c r="J767" s="94">
        <f t="shared" si="4"/>
      </c>
      <c r="K767" s="94">
        <f t="shared" si="10"/>
      </c>
      <c r="L767" s="96">
        <f t="shared" si="5"/>
      </c>
      <c r="N767" s="2">
        <f>IF(760&gt;$Z$5,0,MOD(SMALL($Z$6:$Z$2005,760),10000))</f>
        <v>0</v>
      </c>
      <c r="O767" s="2">
        <f t="shared" si="11"/>
        <v>0</v>
      </c>
      <c r="Z767" s="2">
        <f>IF(AND(ISNUMBER(资金流水!$B$767),资金流水!$B$767&gt;=$C$4,资金流水!$B$767&lt;=$E$4,OR(资金流水!$C$767=$C$3,AND(资金流水!$AD$767=$C$3,资金流水!$X$767="账户互转"))),INT(资金流水!$B$767)*10000+762,"")</f>
      </c>
    </row>
    <row r="768">
      <c r="A768" s="94">
        <f>IF($N768=0,"",761)</f>
      </c>
      <c r="B768" s="95">
        <f t="shared" si="6"/>
      </c>
      <c r="C768" s="96">
        <f t="shared" si="1"/>
      </c>
      <c r="D768" s="21">
        <f t="shared" si="7"/>
      </c>
      <c r="E768" s="21">
        <f t="shared" si="2"/>
      </c>
      <c r="F768" s="48">
        <f t="shared" si="8"/>
      </c>
      <c r="G768" s="94">
        <f t="shared" si="9"/>
      </c>
      <c r="H768" s="94">
        <f t="shared" si="3"/>
      </c>
      <c r="I768" s="96">
        <f t="shared" si="0"/>
      </c>
      <c r="J768" s="94">
        <f t="shared" si="4"/>
      </c>
      <c r="K768" s="94">
        <f t="shared" si="10"/>
      </c>
      <c r="L768" s="96">
        <f t="shared" si="5"/>
      </c>
      <c r="N768" s="2">
        <f>IF(761&gt;$Z$5,0,MOD(SMALL($Z$6:$Z$2005,761),10000))</f>
        <v>0</v>
      </c>
      <c r="O768" s="2">
        <f t="shared" si="11"/>
        <v>0</v>
      </c>
      <c r="Z768" s="2">
        <f>IF(AND(ISNUMBER(资金流水!$B$768),资金流水!$B$768&gt;=$C$4,资金流水!$B$768&lt;=$E$4,OR(资金流水!$C$768=$C$3,AND(资金流水!$AD$768=$C$3,资金流水!$X$768="账户互转"))),INT(资金流水!$B$768)*10000+763,"")</f>
      </c>
    </row>
    <row r="769">
      <c r="A769" s="94">
        <f>IF($N769=0,"",762)</f>
      </c>
      <c r="B769" s="95">
        <f t="shared" si="6"/>
      </c>
      <c r="C769" s="96">
        <f t="shared" si="1"/>
      </c>
      <c r="D769" s="21">
        <f t="shared" si="7"/>
      </c>
      <c r="E769" s="21">
        <f t="shared" si="2"/>
      </c>
      <c r="F769" s="48">
        <f t="shared" si="8"/>
      </c>
      <c r="G769" s="94">
        <f t="shared" si="9"/>
      </c>
      <c r="H769" s="94">
        <f t="shared" si="3"/>
      </c>
      <c r="I769" s="96">
        <f t="shared" si="0"/>
      </c>
      <c r="J769" s="94">
        <f t="shared" si="4"/>
      </c>
      <c r="K769" s="94">
        <f t="shared" si="10"/>
      </c>
      <c r="L769" s="96">
        <f t="shared" si="5"/>
      </c>
      <c r="N769" s="2">
        <f>IF(762&gt;$Z$5,0,MOD(SMALL($Z$6:$Z$2005,762),10000))</f>
        <v>0</v>
      </c>
      <c r="O769" s="2">
        <f t="shared" si="11"/>
        <v>0</v>
      </c>
      <c r="Z769" s="2">
        <f>IF(AND(ISNUMBER(资金流水!$B$769),资金流水!$B$769&gt;=$C$4,资金流水!$B$769&lt;=$E$4,OR(资金流水!$C$769=$C$3,AND(资金流水!$AD$769=$C$3,资金流水!$X$769="账户互转"))),INT(资金流水!$B$769)*10000+764,"")</f>
      </c>
    </row>
    <row r="770">
      <c r="A770" s="94">
        <f>IF($N770=0,"",763)</f>
      </c>
      <c r="B770" s="95">
        <f t="shared" si="6"/>
      </c>
      <c r="C770" s="96">
        <f t="shared" si="1"/>
      </c>
      <c r="D770" s="21">
        <f t="shared" si="7"/>
      </c>
      <c r="E770" s="21">
        <f t="shared" si="2"/>
      </c>
      <c r="F770" s="48">
        <f t="shared" si="8"/>
      </c>
      <c r="G770" s="94">
        <f t="shared" si="9"/>
      </c>
      <c r="H770" s="94">
        <f t="shared" si="3"/>
      </c>
      <c r="I770" s="96">
        <f t="shared" si="0"/>
      </c>
      <c r="J770" s="94">
        <f t="shared" si="4"/>
      </c>
      <c r="K770" s="94">
        <f t="shared" si="10"/>
      </c>
      <c r="L770" s="96">
        <f t="shared" si="5"/>
      </c>
      <c r="N770" s="2">
        <f>IF(763&gt;$Z$5,0,MOD(SMALL($Z$6:$Z$2005,763),10000))</f>
        <v>0</v>
      </c>
      <c r="O770" s="2">
        <f t="shared" si="11"/>
        <v>0</v>
      </c>
      <c r="Z770" s="2">
        <f>IF(AND(ISNUMBER(资金流水!$B$770),资金流水!$B$770&gt;=$C$4,资金流水!$B$770&lt;=$E$4,OR(资金流水!$C$770=$C$3,AND(资金流水!$AD$770=$C$3,资金流水!$X$770="账户互转"))),INT(资金流水!$B$770)*10000+765,"")</f>
      </c>
    </row>
    <row r="771">
      <c r="A771" s="94">
        <f>IF($N771=0,"",764)</f>
      </c>
      <c r="B771" s="95">
        <f t="shared" si="6"/>
      </c>
      <c r="C771" s="96">
        <f t="shared" si="1"/>
      </c>
      <c r="D771" s="21">
        <f t="shared" si="7"/>
      </c>
      <c r="E771" s="21">
        <f t="shared" si="2"/>
      </c>
      <c r="F771" s="48">
        <f t="shared" si="8"/>
      </c>
      <c r="G771" s="94">
        <f t="shared" si="9"/>
      </c>
      <c r="H771" s="94">
        <f t="shared" si="3"/>
      </c>
      <c r="I771" s="96">
        <f t="shared" si="0"/>
      </c>
      <c r="J771" s="94">
        <f t="shared" si="4"/>
      </c>
      <c r="K771" s="94">
        <f t="shared" si="10"/>
      </c>
      <c r="L771" s="96">
        <f t="shared" si="5"/>
      </c>
      <c r="N771" s="2">
        <f>IF(764&gt;$Z$5,0,MOD(SMALL($Z$6:$Z$2005,764),10000))</f>
        <v>0</v>
      </c>
      <c r="O771" s="2">
        <f t="shared" si="11"/>
        <v>0</v>
      </c>
      <c r="Z771" s="2">
        <f>IF(AND(ISNUMBER(资金流水!$B$771),资金流水!$B$771&gt;=$C$4,资金流水!$B$771&lt;=$E$4,OR(资金流水!$C$771=$C$3,AND(资金流水!$AD$771=$C$3,资金流水!$X$771="账户互转"))),INT(资金流水!$B$771)*10000+766,"")</f>
      </c>
    </row>
    <row r="772">
      <c r="A772" s="94">
        <f>IF($N772=0,"",765)</f>
      </c>
      <c r="B772" s="95">
        <f t="shared" si="6"/>
      </c>
      <c r="C772" s="96">
        <f t="shared" si="1"/>
      </c>
      <c r="D772" s="21">
        <f t="shared" si="7"/>
      </c>
      <c r="E772" s="21">
        <f t="shared" si="2"/>
      </c>
      <c r="F772" s="48">
        <f t="shared" si="8"/>
      </c>
      <c r="G772" s="94">
        <f t="shared" si="9"/>
      </c>
      <c r="H772" s="94">
        <f t="shared" si="3"/>
      </c>
      <c r="I772" s="96">
        <f t="shared" si="0"/>
      </c>
      <c r="J772" s="94">
        <f t="shared" si="4"/>
      </c>
      <c r="K772" s="94">
        <f t="shared" si="10"/>
      </c>
      <c r="L772" s="96">
        <f t="shared" si="5"/>
      </c>
      <c r="N772" s="2">
        <f>IF(765&gt;$Z$5,0,MOD(SMALL($Z$6:$Z$2005,765),10000))</f>
        <v>0</v>
      </c>
      <c r="O772" s="2">
        <f t="shared" si="11"/>
        <v>0</v>
      </c>
      <c r="Z772" s="2">
        <f>IF(AND(ISNUMBER(资金流水!$B$772),资金流水!$B$772&gt;=$C$4,资金流水!$B$772&lt;=$E$4,OR(资金流水!$C$772=$C$3,AND(资金流水!$AD$772=$C$3,资金流水!$X$772="账户互转"))),INT(资金流水!$B$772)*10000+767,"")</f>
      </c>
    </row>
    <row r="773">
      <c r="A773" s="94">
        <f>IF($N773=0,"",766)</f>
      </c>
      <c r="B773" s="95">
        <f t="shared" si="6"/>
      </c>
      <c r="C773" s="96">
        <f t="shared" si="1"/>
      </c>
      <c r="D773" s="21">
        <f t="shared" si="7"/>
      </c>
      <c r="E773" s="21">
        <f t="shared" si="2"/>
      </c>
      <c r="F773" s="48">
        <f t="shared" si="8"/>
      </c>
      <c r="G773" s="94">
        <f t="shared" si="9"/>
      </c>
      <c r="H773" s="94">
        <f t="shared" si="3"/>
      </c>
      <c r="I773" s="96">
        <f t="shared" si="0"/>
      </c>
      <c r="J773" s="94">
        <f t="shared" si="4"/>
      </c>
      <c r="K773" s="94">
        <f t="shared" si="10"/>
      </c>
      <c r="L773" s="96">
        <f t="shared" si="5"/>
      </c>
      <c r="N773" s="2">
        <f>IF(766&gt;$Z$5,0,MOD(SMALL($Z$6:$Z$2005,766),10000))</f>
        <v>0</v>
      </c>
      <c r="O773" s="2">
        <f t="shared" si="11"/>
        <v>0</v>
      </c>
      <c r="Z773" s="2">
        <f>IF(AND(ISNUMBER(资金流水!$B$773),资金流水!$B$773&gt;=$C$4,资金流水!$B$773&lt;=$E$4,OR(资金流水!$C$773=$C$3,AND(资金流水!$AD$773=$C$3,资金流水!$X$773="账户互转"))),INT(资金流水!$B$773)*10000+768,"")</f>
      </c>
    </row>
    <row r="774">
      <c r="A774" s="94">
        <f>IF($N774=0,"",767)</f>
      </c>
      <c r="B774" s="95">
        <f t="shared" si="6"/>
      </c>
      <c r="C774" s="96">
        <f t="shared" si="1"/>
      </c>
      <c r="D774" s="21">
        <f t="shared" si="7"/>
      </c>
      <c r="E774" s="21">
        <f t="shared" si="2"/>
      </c>
      <c r="F774" s="48">
        <f t="shared" si="8"/>
      </c>
      <c r="G774" s="94">
        <f t="shared" si="9"/>
      </c>
      <c r="H774" s="94">
        <f t="shared" si="3"/>
      </c>
      <c r="I774" s="96">
        <f t="shared" si="0"/>
      </c>
      <c r="J774" s="94">
        <f t="shared" si="4"/>
      </c>
      <c r="K774" s="94">
        <f t="shared" si="10"/>
      </c>
      <c r="L774" s="96">
        <f t="shared" si="5"/>
      </c>
      <c r="N774" s="2">
        <f>IF(767&gt;$Z$5,0,MOD(SMALL($Z$6:$Z$2005,767),10000))</f>
        <v>0</v>
      </c>
      <c r="O774" s="2">
        <f t="shared" si="11"/>
        <v>0</v>
      </c>
      <c r="Z774" s="2">
        <f>IF(AND(ISNUMBER(资金流水!$B$774),资金流水!$B$774&gt;=$C$4,资金流水!$B$774&lt;=$E$4,OR(资金流水!$C$774=$C$3,AND(资金流水!$AD$774=$C$3,资金流水!$X$774="账户互转"))),INT(资金流水!$B$774)*10000+769,"")</f>
      </c>
    </row>
    <row r="775">
      <c r="A775" s="94">
        <f>IF($N775=0,"",768)</f>
      </c>
      <c r="B775" s="95">
        <f t="shared" si="6"/>
      </c>
      <c r="C775" s="96">
        <f t="shared" si="1"/>
      </c>
      <c r="D775" s="21">
        <f t="shared" si="7"/>
      </c>
      <c r="E775" s="21">
        <f t="shared" si="2"/>
      </c>
      <c r="F775" s="48">
        <f t="shared" si="8"/>
      </c>
      <c r="G775" s="94">
        <f t="shared" si="9"/>
      </c>
      <c r="H775" s="94">
        <f t="shared" si="3"/>
      </c>
      <c r="I775" s="96">
        <f t="shared" si="0"/>
      </c>
      <c r="J775" s="94">
        <f t="shared" si="4"/>
      </c>
      <c r="K775" s="94">
        <f t="shared" si="10"/>
      </c>
      <c r="L775" s="96">
        <f t="shared" si="5"/>
      </c>
      <c r="N775" s="2">
        <f>IF(768&gt;$Z$5,0,MOD(SMALL($Z$6:$Z$2005,768),10000))</f>
        <v>0</v>
      </c>
      <c r="O775" s="2">
        <f t="shared" si="11"/>
        <v>0</v>
      </c>
      <c r="Z775" s="2">
        <f>IF(AND(ISNUMBER(资金流水!$B$775),资金流水!$B$775&gt;=$C$4,资金流水!$B$775&lt;=$E$4,OR(资金流水!$C$775=$C$3,AND(资金流水!$AD$775=$C$3,资金流水!$X$775="账户互转"))),INT(资金流水!$B$775)*10000+770,"")</f>
      </c>
    </row>
    <row r="776">
      <c r="A776" s="94">
        <f>IF($N776=0,"",769)</f>
      </c>
      <c r="B776" s="95">
        <f t="shared" si="6"/>
      </c>
      <c r="C776" s="96">
        <f t="shared" si="1"/>
      </c>
      <c r="D776" s="21">
        <f t="shared" si="7"/>
      </c>
      <c r="E776" s="21">
        <f t="shared" si="2"/>
      </c>
      <c r="F776" s="48">
        <f t="shared" si="8"/>
      </c>
      <c r="G776" s="94">
        <f t="shared" si="9"/>
      </c>
      <c r="H776" s="94">
        <f t="shared" si="3"/>
      </c>
      <c r="I776" s="96">
        <f t="shared" si="0"/>
      </c>
      <c r="J776" s="94">
        <f t="shared" si="4"/>
      </c>
      <c r="K776" s="94">
        <f t="shared" si="10"/>
      </c>
      <c r="L776" s="96">
        <f t="shared" si="5"/>
      </c>
      <c r="N776" s="2">
        <f>IF(769&gt;$Z$5,0,MOD(SMALL($Z$6:$Z$2005,769),10000))</f>
        <v>0</v>
      </c>
      <c r="O776" s="2">
        <f t="shared" si="11"/>
        <v>0</v>
      </c>
      <c r="Z776" s="2">
        <f>IF(AND(ISNUMBER(资金流水!$B$776),资金流水!$B$776&gt;=$C$4,资金流水!$B$776&lt;=$E$4,OR(资金流水!$C$776=$C$3,AND(资金流水!$AD$776=$C$3,资金流水!$X$776="账户互转"))),INT(资金流水!$B$776)*10000+771,"")</f>
      </c>
    </row>
    <row r="777">
      <c r="A777" s="94">
        <f>IF($N777=0,"",770)</f>
      </c>
      <c r="B777" s="95">
        <f t="shared" si="6"/>
      </c>
      <c r="C777" s="96">
        <f t="shared" si="1"/>
      </c>
      <c r="D777" s="21">
        <f t="shared" si="7"/>
      </c>
      <c r="E777" s="21">
        <f t="shared" si="2"/>
      </c>
      <c r="F777" s="48">
        <f t="shared" si="8"/>
      </c>
      <c r="G777" s="94">
        <f t="shared" si="9"/>
      </c>
      <c r="H777" s="94">
        <f t="shared" si="3"/>
      </c>
      <c r="I777" s="96">
        <f t="shared" si="0"/>
      </c>
      <c r="J777" s="94">
        <f t="shared" si="4"/>
      </c>
      <c r="K777" s="94">
        <f t="shared" si="10"/>
      </c>
      <c r="L777" s="96">
        <f t="shared" si="5"/>
      </c>
      <c r="N777" s="2">
        <f>IF(770&gt;$Z$5,0,MOD(SMALL($Z$6:$Z$2005,770),10000))</f>
        <v>0</v>
      </c>
      <c r="O777" s="2">
        <f t="shared" si="11"/>
        <v>0</v>
      </c>
      <c r="Z777" s="2">
        <f>IF(AND(ISNUMBER(资金流水!$B$777),资金流水!$B$777&gt;=$C$4,资金流水!$B$777&lt;=$E$4,OR(资金流水!$C$777=$C$3,AND(资金流水!$AD$777=$C$3,资金流水!$X$777="账户互转"))),INT(资金流水!$B$777)*10000+772,"")</f>
      </c>
    </row>
    <row r="778">
      <c r="A778" s="94">
        <f>IF($N778=0,"",771)</f>
      </c>
      <c r="B778" s="95">
        <f t="shared" si="6"/>
      </c>
      <c r="C778" s="96">
        <f t="shared" si="1"/>
      </c>
      <c r="D778" s="21">
        <f t="shared" si="7"/>
      </c>
      <c r="E778" s="21">
        <f t="shared" si="2"/>
      </c>
      <c r="F778" s="48">
        <f t="shared" si="8"/>
      </c>
      <c r="G778" s="94">
        <f t="shared" si="9"/>
      </c>
      <c r="H778" s="94">
        <f t="shared" si="3"/>
      </c>
      <c r="I778" s="96">
        <f t="shared" si="0"/>
      </c>
      <c r="J778" s="94">
        <f t="shared" si="4"/>
      </c>
      <c r="K778" s="94">
        <f t="shared" si="10"/>
      </c>
      <c r="L778" s="96">
        <f t="shared" si="5"/>
      </c>
      <c r="N778" s="2">
        <f>IF(771&gt;$Z$5,0,MOD(SMALL($Z$6:$Z$2005,771),10000))</f>
        <v>0</v>
      </c>
      <c r="O778" s="2">
        <f t="shared" si="11"/>
        <v>0</v>
      </c>
      <c r="Z778" s="2">
        <f>IF(AND(ISNUMBER(资金流水!$B$778),资金流水!$B$778&gt;=$C$4,资金流水!$B$778&lt;=$E$4,OR(资金流水!$C$778=$C$3,AND(资金流水!$AD$778=$C$3,资金流水!$X$778="账户互转"))),INT(资金流水!$B$778)*10000+773,"")</f>
      </c>
    </row>
    <row r="779">
      <c r="A779" s="94">
        <f>IF($N779=0,"",772)</f>
      </c>
      <c r="B779" s="95">
        <f t="shared" si="6"/>
      </c>
      <c r="C779" s="96">
        <f t="shared" si="1"/>
      </c>
      <c r="D779" s="21">
        <f t="shared" si="7"/>
      </c>
      <c r="E779" s="21">
        <f t="shared" si="2"/>
      </c>
      <c r="F779" s="48">
        <f t="shared" si="8"/>
      </c>
      <c r="G779" s="94">
        <f t="shared" si="9"/>
      </c>
      <c r="H779" s="94">
        <f t="shared" si="3"/>
      </c>
      <c r="I779" s="96">
        <f t="shared" si="0"/>
      </c>
      <c r="J779" s="94">
        <f t="shared" si="4"/>
      </c>
      <c r="K779" s="94">
        <f t="shared" si="10"/>
      </c>
      <c r="L779" s="96">
        <f t="shared" si="5"/>
      </c>
      <c r="N779" s="2">
        <f>IF(772&gt;$Z$5,0,MOD(SMALL($Z$6:$Z$2005,772),10000))</f>
        <v>0</v>
      </c>
      <c r="O779" s="2">
        <f t="shared" si="11"/>
        <v>0</v>
      </c>
      <c r="Z779" s="2">
        <f>IF(AND(ISNUMBER(资金流水!$B$779),资金流水!$B$779&gt;=$C$4,资金流水!$B$779&lt;=$E$4,OR(资金流水!$C$779=$C$3,AND(资金流水!$AD$779=$C$3,资金流水!$X$779="账户互转"))),INT(资金流水!$B$779)*10000+774,"")</f>
      </c>
    </row>
    <row r="780">
      <c r="A780" s="94">
        <f>IF($N780=0,"",773)</f>
      </c>
      <c r="B780" s="95">
        <f t="shared" si="6"/>
      </c>
      <c r="C780" s="96">
        <f t="shared" si="1"/>
      </c>
      <c r="D780" s="21">
        <f t="shared" si="7"/>
      </c>
      <c r="E780" s="21">
        <f t="shared" si="2"/>
      </c>
      <c r="F780" s="48">
        <f t="shared" si="8"/>
      </c>
      <c r="G780" s="94">
        <f t="shared" si="9"/>
      </c>
      <c r="H780" s="94">
        <f t="shared" si="3"/>
      </c>
      <c r="I780" s="96">
        <f t="shared" si="0"/>
      </c>
      <c r="J780" s="94">
        <f t="shared" si="4"/>
      </c>
      <c r="K780" s="94">
        <f t="shared" si="10"/>
      </c>
      <c r="L780" s="96">
        <f t="shared" si="5"/>
      </c>
      <c r="N780" s="2">
        <f>IF(773&gt;$Z$5,0,MOD(SMALL($Z$6:$Z$2005,773),10000))</f>
        <v>0</v>
      </c>
      <c r="O780" s="2">
        <f t="shared" si="11"/>
        <v>0</v>
      </c>
      <c r="Z780" s="2">
        <f>IF(AND(ISNUMBER(资金流水!$B$780),资金流水!$B$780&gt;=$C$4,资金流水!$B$780&lt;=$E$4,OR(资金流水!$C$780=$C$3,AND(资金流水!$AD$780=$C$3,资金流水!$X$780="账户互转"))),INT(资金流水!$B$780)*10000+775,"")</f>
      </c>
    </row>
    <row r="781">
      <c r="A781" s="94">
        <f>IF($N781=0,"",774)</f>
      </c>
      <c r="B781" s="95">
        <f t="shared" si="6"/>
      </c>
      <c r="C781" s="96">
        <f t="shared" si="1"/>
      </c>
      <c r="D781" s="21">
        <f t="shared" si="7"/>
      </c>
      <c r="E781" s="21">
        <f t="shared" si="2"/>
      </c>
      <c r="F781" s="48">
        <f t="shared" si="8"/>
      </c>
      <c r="G781" s="94">
        <f t="shared" si="9"/>
      </c>
      <c r="H781" s="94">
        <f t="shared" si="3"/>
      </c>
      <c r="I781" s="96">
        <f t="shared" si="0"/>
      </c>
      <c r="J781" s="94">
        <f t="shared" si="4"/>
      </c>
      <c r="K781" s="94">
        <f t="shared" si="10"/>
      </c>
      <c r="L781" s="96">
        <f t="shared" si="5"/>
      </c>
      <c r="N781" s="2">
        <f>IF(774&gt;$Z$5,0,MOD(SMALL($Z$6:$Z$2005,774),10000))</f>
        <v>0</v>
      </c>
      <c r="O781" s="2">
        <f t="shared" si="11"/>
        <v>0</v>
      </c>
      <c r="Z781" s="2">
        <f>IF(AND(ISNUMBER(资金流水!$B$781),资金流水!$B$781&gt;=$C$4,资金流水!$B$781&lt;=$E$4,OR(资金流水!$C$781=$C$3,AND(资金流水!$AD$781=$C$3,资金流水!$X$781="账户互转"))),INT(资金流水!$B$781)*10000+776,"")</f>
      </c>
    </row>
    <row r="782">
      <c r="A782" s="94">
        <f>IF($N782=0,"",775)</f>
      </c>
      <c r="B782" s="95">
        <f t="shared" si="6"/>
      </c>
      <c r="C782" s="96">
        <f t="shared" si="1"/>
      </c>
      <c r="D782" s="21">
        <f t="shared" si="7"/>
      </c>
      <c r="E782" s="21">
        <f t="shared" si="2"/>
      </c>
      <c r="F782" s="48">
        <f t="shared" si="8"/>
      </c>
      <c r="G782" s="94">
        <f t="shared" si="9"/>
      </c>
      <c r="H782" s="94">
        <f t="shared" si="3"/>
      </c>
      <c r="I782" s="96">
        <f t="shared" si="0"/>
      </c>
      <c r="J782" s="94">
        <f t="shared" si="4"/>
      </c>
      <c r="K782" s="94">
        <f t="shared" si="10"/>
      </c>
      <c r="L782" s="96">
        <f t="shared" si="5"/>
      </c>
      <c r="N782" s="2">
        <f>IF(775&gt;$Z$5,0,MOD(SMALL($Z$6:$Z$2005,775),10000))</f>
        <v>0</v>
      </c>
      <c r="O782" s="2">
        <f t="shared" si="11"/>
        <v>0</v>
      </c>
      <c r="Z782" s="2">
        <f>IF(AND(ISNUMBER(资金流水!$B$782),资金流水!$B$782&gt;=$C$4,资金流水!$B$782&lt;=$E$4,OR(资金流水!$C$782=$C$3,AND(资金流水!$AD$782=$C$3,资金流水!$X$782="账户互转"))),INT(资金流水!$B$782)*10000+777,"")</f>
      </c>
    </row>
    <row r="783">
      <c r="A783" s="94">
        <f>IF($N783=0,"",776)</f>
      </c>
      <c r="B783" s="95">
        <f t="shared" si="6"/>
      </c>
      <c r="C783" s="96">
        <f t="shared" si="1"/>
      </c>
      <c r="D783" s="21">
        <f t="shared" si="7"/>
      </c>
      <c r="E783" s="21">
        <f t="shared" si="2"/>
      </c>
      <c r="F783" s="48">
        <f t="shared" si="8"/>
      </c>
      <c r="G783" s="94">
        <f t="shared" si="9"/>
      </c>
      <c r="H783" s="94">
        <f t="shared" si="3"/>
      </c>
      <c r="I783" s="96">
        <f t="shared" si="0"/>
      </c>
      <c r="J783" s="94">
        <f t="shared" si="4"/>
      </c>
      <c r="K783" s="94">
        <f t="shared" si="10"/>
      </c>
      <c r="L783" s="96">
        <f t="shared" si="5"/>
      </c>
      <c r="N783" s="2">
        <f>IF(776&gt;$Z$5,0,MOD(SMALL($Z$6:$Z$2005,776),10000))</f>
        <v>0</v>
      </c>
      <c r="O783" s="2">
        <f t="shared" si="11"/>
        <v>0</v>
      </c>
      <c r="Z783" s="2">
        <f>IF(AND(ISNUMBER(资金流水!$B$783),资金流水!$B$783&gt;=$C$4,资金流水!$B$783&lt;=$E$4,OR(资金流水!$C$783=$C$3,AND(资金流水!$AD$783=$C$3,资金流水!$X$783="账户互转"))),INT(资金流水!$B$783)*10000+778,"")</f>
      </c>
    </row>
    <row r="784">
      <c r="A784" s="94">
        <f>IF($N784=0,"",777)</f>
      </c>
      <c r="B784" s="95">
        <f t="shared" si="6"/>
      </c>
      <c r="C784" s="96">
        <f t="shared" si="1"/>
      </c>
      <c r="D784" s="21">
        <f t="shared" si="7"/>
      </c>
      <c r="E784" s="21">
        <f t="shared" si="2"/>
      </c>
      <c r="F784" s="48">
        <f t="shared" si="8"/>
      </c>
      <c r="G784" s="94">
        <f t="shared" si="9"/>
      </c>
      <c r="H784" s="94">
        <f t="shared" si="3"/>
      </c>
      <c r="I784" s="96">
        <f t="shared" si="0"/>
      </c>
      <c r="J784" s="94">
        <f t="shared" si="4"/>
      </c>
      <c r="K784" s="94">
        <f t="shared" si="10"/>
      </c>
      <c r="L784" s="96">
        <f t="shared" si="5"/>
      </c>
      <c r="N784" s="2">
        <f>IF(777&gt;$Z$5,0,MOD(SMALL($Z$6:$Z$2005,777),10000))</f>
        <v>0</v>
      </c>
      <c r="O784" s="2">
        <f t="shared" si="11"/>
        <v>0</v>
      </c>
      <c r="Z784" s="2">
        <f>IF(AND(ISNUMBER(资金流水!$B$784),资金流水!$B$784&gt;=$C$4,资金流水!$B$784&lt;=$E$4,OR(资金流水!$C$784=$C$3,AND(资金流水!$AD$784=$C$3,资金流水!$X$784="账户互转"))),INT(资金流水!$B$784)*10000+779,"")</f>
      </c>
    </row>
    <row r="785">
      <c r="A785" s="94">
        <f>IF($N785=0,"",778)</f>
      </c>
      <c r="B785" s="95">
        <f t="shared" si="6"/>
      </c>
      <c r="C785" s="96">
        <f t="shared" si="1"/>
      </c>
      <c r="D785" s="21">
        <f t="shared" si="7"/>
      </c>
      <c r="E785" s="21">
        <f t="shared" si="2"/>
      </c>
      <c r="F785" s="48">
        <f t="shared" si="8"/>
      </c>
      <c r="G785" s="94">
        <f t="shared" si="9"/>
      </c>
      <c r="H785" s="94">
        <f t="shared" si="3"/>
      </c>
      <c r="I785" s="96">
        <f t="shared" si="0"/>
      </c>
      <c r="J785" s="94">
        <f t="shared" si="4"/>
      </c>
      <c r="K785" s="94">
        <f t="shared" si="10"/>
      </c>
      <c r="L785" s="96">
        <f t="shared" si="5"/>
      </c>
      <c r="N785" s="2">
        <f>IF(778&gt;$Z$5,0,MOD(SMALL($Z$6:$Z$2005,778),10000))</f>
        <v>0</v>
      </c>
      <c r="O785" s="2">
        <f t="shared" si="11"/>
        <v>0</v>
      </c>
      <c r="Z785" s="2">
        <f>IF(AND(ISNUMBER(资金流水!$B$785),资金流水!$B$785&gt;=$C$4,资金流水!$B$785&lt;=$E$4,OR(资金流水!$C$785=$C$3,AND(资金流水!$AD$785=$C$3,资金流水!$X$785="账户互转"))),INT(资金流水!$B$785)*10000+780,"")</f>
      </c>
    </row>
    <row r="786">
      <c r="A786" s="94">
        <f>IF($N786=0,"",779)</f>
      </c>
      <c r="B786" s="95">
        <f t="shared" si="6"/>
      </c>
      <c r="C786" s="96">
        <f t="shared" si="1"/>
      </c>
      <c r="D786" s="21">
        <f t="shared" si="7"/>
      </c>
      <c r="E786" s="21">
        <f t="shared" si="2"/>
      </c>
      <c r="F786" s="48">
        <f t="shared" si="8"/>
      </c>
      <c r="G786" s="94">
        <f t="shared" si="9"/>
      </c>
      <c r="H786" s="94">
        <f t="shared" si="3"/>
      </c>
      <c r="I786" s="96">
        <f t="shared" si="0"/>
      </c>
      <c r="J786" s="94">
        <f t="shared" si="4"/>
      </c>
      <c r="K786" s="94">
        <f t="shared" si="10"/>
      </c>
      <c r="L786" s="96">
        <f t="shared" si="5"/>
      </c>
      <c r="N786" s="2">
        <f>IF(779&gt;$Z$5,0,MOD(SMALL($Z$6:$Z$2005,779),10000))</f>
        <v>0</v>
      </c>
      <c r="O786" s="2">
        <f t="shared" si="11"/>
        <v>0</v>
      </c>
      <c r="Z786" s="2">
        <f>IF(AND(ISNUMBER(资金流水!$B$786),资金流水!$B$786&gt;=$C$4,资金流水!$B$786&lt;=$E$4,OR(资金流水!$C$786=$C$3,AND(资金流水!$AD$786=$C$3,资金流水!$X$786="账户互转"))),INT(资金流水!$B$786)*10000+781,"")</f>
      </c>
    </row>
    <row r="787">
      <c r="A787" s="94">
        <f>IF($N787=0,"",780)</f>
      </c>
      <c r="B787" s="95">
        <f t="shared" si="6"/>
      </c>
      <c r="C787" s="96">
        <f t="shared" si="1"/>
      </c>
      <c r="D787" s="21">
        <f t="shared" si="7"/>
      </c>
      <c r="E787" s="21">
        <f t="shared" si="2"/>
      </c>
      <c r="F787" s="48">
        <f t="shared" si="8"/>
      </c>
      <c r="G787" s="94">
        <f t="shared" si="9"/>
      </c>
      <c r="H787" s="94">
        <f t="shared" si="3"/>
      </c>
      <c r="I787" s="96">
        <f t="shared" si="0"/>
      </c>
      <c r="J787" s="94">
        <f t="shared" si="4"/>
      </c>
      <c r="K787" s="94">
        <f t="shared" si="10"/>
      </c>
      <c r="L787" s="96">
        <f t="shared" si="5"/>
      </c>
      <c r="N787" s="2">
        <f>IF(780&gt;$Z$5,0,MOD(SMALL($Z$6:$Z$2005,780),10000))</f>
        <v>0</v>
      </c>
      <c r="O787" s="2">
        <f t="shared" si="11"/>
        <v>0</v>
      </c>
      <c r="Z787" s="2">
        <f>IF(AND(ISNUMBER(资金流水!$B$787),资金流水!$B$787&gt;=$C$4,资金流水!$B$787&lt;=$E$4,OR(资金流水!$C$787=$C$3,AND(资金流水!$AD$787=$C$3,资金流水!$X$787="账户互转"))),INT(资金流水!$B$787)*10000+782,"")</f>
      </c>
    </row>
    <row r="788">
      <c r="A788" s="94">
        <f>IF($N788=0,"",781)</f>
      </c>
      <c r="B788" s="95">
        <f t="shared" si="6"/>
      </c>
      <c r="C788" s="96">
        <f t="shared" si="1"/>
      </c>
      <c r="D788" s="21">
        <f t="shared" si="7"/>
      </c>
      <c r="E788" s="21">
        <f t="shared" si="2"/>
      </c>
      <c r="F788" s="48">
        <f t="shared" si="8"/>
      </c>
      <c r="G788" s="94">
        <f t="shared" si="9"/>
      </c>
      <c r="H788" s="94">
        <f t="shared" si="3"/>
      </c>
      <c r="I788" s="96">
        <f t="shared" si="0"/>
      </c>
      <c r="J788" s="94">
        <f t="shared" si="4"/>
      </c>
      <c r="K788" s="94">
        <f t="shared" si="10"/>
      </c>
      <c r="L788" s="96">
        <f t="shared" si="5"/>
      </c>
      <c r="N788" s="2">
        <f>IF(781&gt;$Z$5,0,MOD(SMALL($Z$6:$Z$2005,781),10000))</f>
        <v>0</v>
      </c>
      <c r="O788" s="2">
        <f t="shared" si="11"/>
        <v>0</v>
      </c>
      <c r="Z788" s="2">
        <f>IF(AND(ISNUMBER(资金流水!$B$788),资金流水!$B$788&gt;=$C$4,资金流水!$B$788&lt;=$E$4,OR(资金流水!$C$788=$C$3,AND(资金流水!$AD$788=$C$3,资金流水!$X$788="账户互转"))),INT(资金流水!$B$788)*10000+783,"")</f>
      </c>
    </row>
    <row r="789">
      <c r="A789" s="94">
        <f>IF($N789=0,"",782)</f>
      </c>
      <c r="B789" s="95">
        <f t="shared" si="6"/>
      </c>
      <c r="C789" s="96">
        <f t="shared" si="1"/>
      </c>
      <c r="D789" s="21">
        <f t="shared" si="7"/>
      </c>
      <c r="E789" s="21">
        <f t="shared" si="2"/>
      </c>
      <c r="F789" s="48">
        <f t="shared" si="8"/>
      </c>
      <c r="G789" s="94">
        <f t="shared" si="9"/>
      </c>
      <c r="H789" s="94">
        <f t="shared" si="3"/>
      </c>
      <c r="I789" s="96">
        <f t="shared" si="0"/>
      </c>
      <c r="J789" s="94">
        <f t="shared" si="4"/>
      </c>
      <c r="K789" s="94">
        <f t="shared" si="10"/>
      </c>
      <c r="L789" s="96">
        <f t="shared" si="5"/>
      </c>
      <c r="N789" s="2">
        <f>IF(782&gt;$Z$5,0,MOD(SMALL($Z$6:$Z$2005,782),10000))</f>
        <v>0</v>
      </c>
      <c r="O789" s="2">
        <f t="shared" si="11"/>
        <v>0</v>
      </c>
      <c r="Z789" s="2">
        <f>IF(AND(ISNUMBER(资金流水!$B$789),资金流水!$B$789&gt;=$C$4,资金流水!$B$789&lt;=$E$4,OR(资金流水!$C$789=$C$3,AND(资金流水!$AD$789=$C$3,资金流水!$X$789="账户互转"))),INT(资金流水!$B$789)*10000+784,"")</f>
      </c>
    </row>
    <row r="790">
      <c r="A790" s="94">
        <f>IF($N790=0,"",783)</f>
      </c>
      <c r="B790" s="95">
        <f t="shared" si="6"/>
      </c>
      <c r="C790" s="96">
        <f t="shared" si="1"/>
      </c>
      <c r="D790" s="21">
        <f t="shared" si="7"/>
      </c>
      <c r="E790" s="21">
        <f t="shared" si="2"/>
      </c>
      <c r="F790" s="48">
        <f t="shared" si="8"/>
      </c>
      <c r="G790" s="94">
        <f t="shared" si="9"/>
      </c>
      <c r="H790" s="94">
        <f t="shared" si="3"/>
      </c>
      <c r="I790" s="96">
        <f t="shared" si="0"/>
      </c>
      <c r="J790" s="94">
        <f t="shared" si="4"/>
      </c>
      <c r="K790" s="94">
        <f t="shared" si="10"/>
      </c>
      <c r="L790" s="96">
        <f t="shared" si="5"/>
      </c>
      <c r="N790" s="2">
        <f>IF(783&gt;$Z$5,0,MOD(SMALL($Z$6:$Z$2005,783),10000))</f>
        <v>0</v>
      </c>
      <c r="O790" s="2">
        <f t="shared" si="11"/>
        <v>0</v>
      </c>
      <c r="Z790" s="2">
        <f>IF(AND(ISNUMBER(资金流水!$B$790),资金流水!$B$790&gt;=$C$4,资金流水!$B$790&lt;=$E$4,OR(资金流水!$C$790=$C$3,AND(资金流水!$AD$790=$C$3,资金流水!$X$790="账户互转"))),INT(资金流水!$B$790)*10000+785,"")</f>
      </c>
    </row>
    <row r="791">
      <c r="A791" s="94">
        <f>IF($N791=0,"",784)</f>
      </c>
      <c r="B791" s="95">
        <f t="shared" si="6"/>
      </c>
      <c r="C791" s="96">
        <f t="shared" si="1"/>
      </c>
      <c r="D791" s="21">
        <f t="shared" si="7"/>
      </c>
      <c r="E791" s="21">
        <f t="shared" si="2"/>
      </c>
      <c r="F791" s="48">
        <f t="shared" si="8"/>
      </c>
      <c r="G791" s="94">
        <f t="shared" si="9"/>
      </c>
      <c r="H791" s="94">
        <f t="shared" si="3"/>
      </c>
      <c r="I791" s="96">
        <f t="shared" si="0"/>
      </c>
      <c r="J791" s="94">
        <f t="shared" si="4"/>
      </c>
      <c r="K791" s="94">
        <f t="shared" si="10"/>
      </c>
      <c r="L791" s="96">
        <f t="shared" si="5"/>
      </c>
      <c r="N791" s="2">
        <f>IF(784&gt;$Z$5,0,MOD(SMALL($Z$6:$Z$2005,784),10000))</f>
        <v>0</v>
      </c>
      <c r="O791" s="2">
        <f t="shared" si="11"/>
        <v>0</v>
      </c>
      <c r="Z791" s="2">
        <f>IF(AND(ISNUMBER(资金流水!$B$791),资金流水!$B$791&gt;=$C$4,资金流水!$B$791&lt;=$E$4,OR(资金流水!$C$791=$C$3,AND(资金流水!$AD$791=$C$3,资金流水!$X$791="账户互转"))),INT(资金流水!$B$791)*10000+786,"")</f>
      </c>
    </row>
    <row r="792">
      <c r="A792" s="94">
        <f>IF($N792=0,"",785)</f>
      </c>
      <c r="B792" s="95">
        <f t="shared" si="6"/>
      </c>
      <c r="C792" s="96">
        <f t="shared" si="1"/>
      </c>
      <c r="D792" s="21">
        <f t="shared" si="7"/>
      </c>
      <c r="E792" s="21">
        <f t="shared" si="2"/>
      </c>
      <c r="F792" s="48">
        <f t="shared" si="8"/>
      </c>
      <c r="G792" s="94">
        <f t="shared" si="9"/>
      </c>
      <c r="H792" s="94">
        <f t="shared" si="3"/>
      </c>
      <c r="I792" s="96">
        <f t="shared" si="0"/>
      </c>
      <c r="J792" s="94">
        <f t="shared" si="4"/>
      </c>
      <c r="K792" s="94">
        <f t="shared" si="10"/>
      </c>
      <c r="L792" s="96">
        <f t="shared" si="5"/>
      </c>
      <c r="N792" s="2">
        <f>IF(785&gt;$Z$5,0,MOD(SMALL($Z$6:$Z$2005,785),10000))</f>
        <v>0</v>
      </c>
      <c r="O792" s="2">
        <f t="shared" si="11"/>
        <v>0</v>
      </c>
      <c r="Z792" s="2">
        <f>IF(AND(ISNUMBER(资金流水!$B$792),资金流水!$B$792&gt;=$C$4,资金流水!$B$792&lt;=$E$4,OR(资金流水!$C$792=$C$3,AND(资金流水!$AD$792=$C$3,资金流水!$X$792="账户互转"))),INT(资金流水!$B$792)*10000+787,"")</f>
      </c>
    </row>
    <row r="793">
      <c r="A793" s="94">
        <f>IF($N793=0,"",786)</f>
      </c>
      <c r="B793" s="95">
        <f t="shared" si="6"/>
      </c>
      <c r="C793" s="96">
        <f t="shared" si="1"/>
      </c>
      <c r="D793" s="21">
        <f t="shared" si="7"/>
      </c>
      <c r="E793" s="21">
        <f t="shared" si="2"/>
      </c>
      <c r="F793" s="48">
        <f t="shared" si="8"/>
      </c>
      <c r="G793" s="94">
        <f t="shared" si="9"/>
      </c>
      <c r="H793" s="94">
        <f t="shared" si="3"/>
      </c>
      <c r="I793" s="96">
        <f t="shared" si="0"/>
      </c>
      <c r="J793" s="94">
        <f t="shared" si="4"/>
      </c>
      <c r="K793" s="94">
        <f t="shared" si="10"/>
      </c>
      <c r="L793" s="96">
        <f t="shared" si="5"/>
      </c>
      <c r="N793" s="2">
        <f>IF(786&gt;$Z$5,0,MOD(SMALL($Z$6:$Z$2005,786),10000))</f>
        <v>0</v>
      </c>
      <c r="O793" s="2">
        <f t="shared" si="11"/>
        <v>0</v>
      </c>
      <c r="Z793" s="2">
        <f>IF(AND(ISNUMBER(资金流水!$B$793),资金流水!$B$793&gt;=$C$4,资金流水!$B$793&lt;=$E$4,OR(资金流水!$C$793=$C$3,AND(资金流水!$AD$793=$C$3,资金流水!$X$793="账户互转"))),INT(资金流水!$B$793)*10000+788,"")</f>
      </c>
    </row>
    <row r="794">
      <c r="A794" s="94">
        <f>IF($N794=0,"",787)</f>
      </c>
      <c r="B794" s="95">
        <f t="shared" si="6"/>
      </c>
      <c r="C794" s="96">
        <f t="shared" si="1"/>
      </c>
      <c r="D794" s="21">
        <f t="shared" si="7"/>
      </c>
      <c r="E794" s="21">
        <f t="shared" si="2"/>
      </c>
      <c r="F794" s="48">
        <f t="shared" si="8"/>
      </c>
      <c r="G794" s="94">
        <f t="shared" si="9"/>
      </c>
      <c r="H794" s="94">
        <f t="shared" si="3"/>
      </c>
      <c r="I794" s="96">
        <f t="shared" si="0"/>
      </c>
      <c r="J794" s="94">
        <f t="shared" si="4"/>
      </c>
      <c r="K794" s="94">
        <f t="shared" si="10"/>
      </c>
      <c r="L794" s="96">
        <f t="shared" si="5"/>
      </c>
      <c r="N794" s="2">
        <f>IF(787&gt;$Z$5,0,MOD(SMALL($Z$6:$Z$2005,787),10000))</f>
        <v>0</v>
      </c>
      <c r="O794" s="2">
        <f t="shared" si="11"/>
        <v>0</v>
      </c>
      <c r="Z794" s="2">
        <f>IF(AND(ISNUMBER(资金流水!$B$794),资金流水!$B$794&gt;=$C$4,资金流水!$B$794&lt;=$E$4,OR(资金流水!$C$794=$C$3,AND(资金流水!$AD$794=$C$3,资金流水!$X$794="账户互转"))),INT(资金流水!$B$794)*10000+789,"")</f>
      </c>
    </row>
    <row r="795">
      <c r="A795" s="94">
        <f>IF($N795=0,"",788)</f>
      </c>
      <c r="B795" s="95">
        <f t="shared" si="6"/>
      </c>
      <c r="C795" s="96">
        <f t="shared" si="1"/>
      </c>
      <c r="D795" s="21">
        <f t="shared" si="7"/>
      </c>
      <c r="E795" s="21">
        <f t="shared" si="2"/>
      </c>
      <c r="F795" s="48">
        <f t="shared" si="8"/>
      </c>
      <c r="G795" s="94">
        <f t="shared" si="9"/>
      </c>
      <c r="H795" s="94">
        <f t="shared" si="3"/>
      </c>
      <c r="I795" s="96">
        <f t="shared" si="0"/>
      </c>
      <c r="J795" s="94">
        <f t="shared" si="4"/>
      </c>
      <c r="K795" s="94">
        <f t="shared" si="10"/>
      </c>
      <c r="L795" s="96">
        <f t="shared" si="5"/>
      </c>
      <c r="N795" s="2">
        <f>IF(788&gt;$Z$5,0,MOD(SMALL($Z$6:$Z$2005,788),10000))</f>
        <v>0</v>
      </c>
      <c r="O795" s="2">
        <f t="shared" si="11"/>
        <v>0</v>
      </c>
      <c r="Z795" s="2">
        <f>IF(AND(ISNUMBER(资金流水!$B$795),资金流水!$B$795&gt;=$C$4,资金流水!$B$795&lt;=$E$4,OR(资金流水!$C$795=$C$3,AND(资金流水!$AD$795=$C$3,资金流水!$X$795="账户互转"))),INT(资金流水!$B$795)*10000+790,"")</f>
      </c>
    </row>
    <row r="796">
      <c r="A796" s="94">
        <f>IF($N796=0,"",789)</f>
      </c>
      <c r="B796" s="95">
        <f t="shared" si="6"/>
      </c>
      <c r="C796" s="96">
        <f t="shared" si="1"/>
      </c>
      <c r="D796" s="21">
        <f t="shared" si="7"/>
      </c>
      <c r="E796" s="21">
        <f t="shared" si="2"/>
      </c>
      <c r="F796" s="48">
        <f t="shared" si="8"/>
      </c>
      <c r="G796" s="94">
        <f t="shared" si="9"/>
      </c>
      <c r="H796" s="94">
        <f t="shared" si="3"/>
      </c>
      <c r="I796" s="96">
        <f t="shared" si="0"/>
      </c>
      <c r="J796" s="94">
        <f t="shared" si="4"/>
      </c>
      <c r="K796" s="94">
        <f t="shared" si="10"/>
      </c>
      <c r="L796" s="96">
        <f t="shared" si="5"/>
      </c>
      <c r="N796" s="2">
        <f>IF(789&gt;$Z$5,0,MOD(SMALL($Z$6:$Z$2005,789),10000))</f>
        <v>0</v>
      </c>
      <c r="O796" s="2">
        <f t="shared" si="11"/>
        <v>0</v>
      </c>
      <c r="Z796" s="2">
        <f>IF(AND(ISNUMBER(资金流水!$B$796),资金流水!$B$796&gt;=$C$4,资金流水!$B$796&lt;=$E$4,OR(资金流水!$C$796=$C$3,AND(资金流水!$AD$796=$C$3,资金流水!$X$796="账户互转"))),INT(资金流水!$B$796)*10000+791,"")</f>
      </c>
    </row>
    <row r="797">
      <c r="A797" s="94">
        <f>IF($N797=0,"",790)</f>
      </c>
      <c r="B797" s="95">
        <f t="shared" si="6"/>
      </c>
      <c r="C797" s="96">
        <f t="shared" si="1"/>
      </c>
      <c r="D797" s="21">
        <f t="shared" si="7"/>
      </c>
      <c r="E797" s="21">
        <f t="shared" si="2"/>
      </c>
      <c r="F797" s="48">
        <f t="shared" si="8"/>
      </c>
      <c r="G797" s="94">
        <f t="shared" si="9"/>
      </c>
      <c r="H797" s="94">
        <f t="shared" si="3"/>
      </c>
      <c r="I797" s="96">
        <f t="shared" si="0"/>
      </c>
      <c r="J797" s="94">
        <f t="shared" si="4"/>
      </c>
      <c r="K797" s="94">
        <f t="shared" si="10"/>
      </c>
      <c r="L797" s="96">
        <f t="shared" si="5"/>
      </c>
      <c r="N797" s="2">
        <f>IF(790&gt;$Z$5,0,MOD(SMALL($Z$6:$Z$2005,790),10000))</f>
        <v>0</v>
      </c>
      <c r="O797" s="2">
        <f t="shared" si="11"/>
        <v>0</v>
      </c>
      <c r="Z797" s="2">
        <f>IF(AND(ISNUMBER(资金流水!$B$797),资金流水!$B$797&gt;=$C$4,资金流水!$B$797&lt;=$E$4,OR(资金流水!$C$797=$C$3,AND(资金流水!$AD$797=$C$3,资金流水!$X$797="账户互转"))),INT(资金流水!$B$797)*10000+792,"")</f>
      </c>
    </row>
    <row r="798">
      <c r="A798" s="94">
        <f>IF($N798=0,"",791)</f>
      </c>
      <c r="B798" s="95">
        <f t="shared" si="6"/>
      </c>
      <c r="C798" s="96">
        <f t="shared" si="1"/>
      </c>
      <c r="D798" s="21">
        <f t="shared" si="7"/>
      </c>
      <c r="E798" s="21">
        <f t="shared" si="2"/>
      </c>
      <c r="F798" s="48">
        <f t="shared" si="8"/>
      </c>
      <c r="G798" s="94">
        <f t="shared" si="9"/>
      </c>
      <c r="H798" s="94">
        <f t="shared" si="3"/>
      </c>
      <c r="I798" s="96">
        <f t="shared" si="0"/>
      </c>
      <c r="J798" s="94">
        <f t="shared" si="4"/>
      </c>
      <c r="K798" s="94">
        <f t="shared" si="10"/>
      </c>
      <c r="L798" s="96">
        <f t="shared" si="5"/>
      </c>
      <c r="N798" s="2">
        <f>IF(791&gt;$Z$5,0,MOD(SMALL($Z$6:$Z$2005,791),10000))</f>
        <v>0</v>
      </c>
      <c r="O798" s="2">
        <f t="shared" si="11"/>
        <v>0</v>
      </c>
      <c r="Z798" s="2">
        <f>IF(AND(ISNUMBER(资金流水!$B$798),资金流水!$B$798&gt;=$C$4,资金流水!$B$798&lt;=$E$4,OR(资金流水!$C$798=$C$3,AND(资金流水!$AD$798=$C$3,资金流水!$X$798="账户互转"))),INT(资金流水!$B$798)*10000+793,"")</f>
      </c>
    </row>
    <row r="799">
      <c r="A799" s="94">
        <f>IF($N799=0,"",792)</f>
      </c>
      <c r="B799" s="95">
        <f t="shared" si="6"/>
      </c>
      <c r="C799" s="96">
        <f t="shared" si="1"/>
      </c>
      <c r="D799" s="21">
        <f t="shared" si="7"/>
      </c>
      <c r="E799" s="21">
        <f t="shared" si="2"/>
      </c>
      <c r="F799" s="48">
        <f t="shared" si="8"/>
      </c>
      <c r="G799" s="94">
        <f t="shared" si="9"/>
      </c>
      <c r="H799" s="94">
        <f t="shared" si="3"/>
      </c>
      <c r="I799" s="96">
        <f t="shared" si="0"/>
      </c>
      <c r="J799" s="94">
        <f t="shared" si="4"/>
      </c>
      <c r="K799" s="94">
        <f t="shared" si="10"/>
      </c>
      <c r="L799" s="96">
        <f t="shared" si="5"/>
      </c>
      <c r="N799" s="2">
        <f>IF(792&gt;$Z$5,0,MOD(SMALL($Z$6:$Z$2005,792),10000))</f>
        <v>0</v>
      </c>
      <c r="O799" s="2">
        <f t="shared" si="11"/>
        <v>0</v>
      </c>
      <c r="Z799" s="2">
        <f>IF(AND(ISNUMBER(资金流水!$B$799),资金流水!$B$799&gt;=$C$4,资金流水!$B$799&lt;=$E$4,OR(资金流水!$C$799=$C$3,AND(资金流水!$AD$799=$C$3,资金流水!$X$799="账户互转"))),INT(资金流水!$B$799)*10000+794,"")</f>
      </c>
    </row>
    <row r="800">
      <c r="A800" s="94">
        <f>IF($N800=0,"",793)</f>
      </c>
      <c r="B800" s="95">
        <f t="shared" si="6"/>
      </c>
      <c r="C800" s="96">
        <f t="shared" si="1"/>
      </c>
      <c r="D800" s="21">
        <f t="shared" si="7"/>
      </c>
      <c r="E800" s="21">
        <f t="shared" si="2"/>
      </c>
      <c r="F800" s="48">
        <f t="shared" si="8"/>
      </c>
      <c r="G800" s="94">
        <f t="shared" si="9"/>
      </c>
      <c r="H800" s="94">
        <f t="shared" si="3"/>
      </c>
      <c r="I800" s="96">
        <f t="shared" si="0"/>
      </c>
      <c r="J800" s="94">
        <f t="shared" si="4"/>
      </c>
      <c r="K800" s="94">
        <f t="shared" si="10"/>
      </c>
      <c r="L800" s="96">
        <f t="shared" si="5"/>
      </c>
      <c r="N800" s="2">
        <f>IF(793&gt;$Z$5,0,MOD(SMALL($Z$6:$Z$2005,793),10000))</f>
        <v>0</v>
      </c>
      <c r="O800" s="2">
        <f t="shared" si="11"/>
        <v>0</v>
      </c>
      <c r="Z800" s="2">
        <f>IF(AND(ISNUMBER(资金流水!$B$800),资金流水!$B$800&gt;=$C$4,资金流水!$B$800&lt;=$E$4,OR(资金流水!$C$800=$C$3,AND(资金流水!$AD$800=$C$3,资金流水!$X$800="账户互转"))),INT(资金流水!$B$800)*10000+795,"")</f>
      </c>
    </row>
    <row r="801">
      <c r="A801" s="94">
        <f>IF($N801=0,"",794)</f>
      </c>
      <c r="B801" s="95">
        <f t="shared" si="6"/>
      </c>
      <c r="C801" s="96">
        <f t="shared" si="1"/>
      </c>
      <c r="D801" s="21">
        <f t="shared" si="7"/>
      </c>
      <c r="E801" s="21">
        <f t="shared" si="2"/>
      </c>
      <c r="F801" s="48">
        <f t="shared" si="8"/>
      </c>
      <c r="G801" s="94">
        <f t="shared" si="9"/>
      </c>
      <c r="H801" s="94">
        <f t="shared" si="3"/>
      </c>
      <c r="I801" s="96">
        <f t="shared" si="0"/>
      </c>
      <c r="J801" s="94">
        <f t="shared" si="4"/>
      </c>
      <c r="K801" s="94">
        <f t="shared" si="10"/>
      </c>
      <c r="L801" s="96">
        <f t="shared" si="5"/>
      </c>
      <c r="N801" s="2">
        <f>IF(794&gt;$Z$5,0,MOD(SMALL($Z$6:$Z$2005,794),10000))</f>
        <v>0</v>
      </c>
      <c r="O801" s="2">
        <f t="shared" si="11"/>
        <v>0</v>
      </c>
      <c r="Z801" s="2">
        <f>IF(AND(ISNUMBER(资金流水!$B$801),资金流水!$B$801&gt;=$C$4,资金流水!$B$801&lt;=$E$4,OR(资金流水!$C$801=$C$3,AND(资金流水!$AD$801=$C$3,资金流水!$X$801="账户互转"))),INT(资金流水!$B$801)*10000+796,"")</f>
      </c>
    </row>
    <row r="802">
      <c r="A802" s="94">
        <f>IF($N802=0,"",795)</f>
      </c>
      <c r="B802" s="95">
        <f t="shared" si="6"/>
      </c>
      <c r="C802" s="96">
        <f t="shared" si="1"/>
      </c>
      <c r="D802" s="21">
        <f t="shared" si="7"/>
      </c>
      <c r="E802" s="21">
        <f t="shared" si="2"/>
      </c>
      <c r="F802" s="48">
        <f t="shared" si="8"/>
      </c>
      <c r="G802" s="94">
        <f t="shared" si="9"/>
      </c>
      <c r="H802" s="94">
        <f t="shared" si="3"/>
      </c>
      <c r="I802" s="96">
        <f t="shared" si="0"/>
      </c>
      <c r="J802" s="94">
        <f t="shared" si="4"/>
      </c>
      <c r="K802" s="94">
        <f t="shared" si="10"/>
      </c>
      <c r="L802" s="96">
        <f t="shared" si="5"/>
      </c>
      <c r="N802" s="2">
        <f>IF(795&gt;$Z$5,0,MOD(SMALL($Z$6:$Z$2005,795),10000))</f>
        <v>0</v>
      </c>
      <c r="O802" s="2">
        <f t="shared" si="11"/>
        <v>0</v>
      </c>
      <c r="Z802" s="2">
        <f>IF(AND(ISNUMBER(资金流水!$B$802),资金流水!$B$802&gt;=$C$4,资金流水!$B$802&lt;=$E$4,OR(资金流水!$C$802=$C$3,AND(资金流水!$AD$802=$C$3,资金流水!$X$802="账户互转"))),INT(资金流水!$B$802)*10000+797,"")</f>
      </c>
    </row>
    <row r="803">
      <c r="A803" s="94">
        <f>IF($N803=0,"",796)</f>
      </c>
      <c r="B803" s="95">
        <f t="shared" si="6"/>
      </c>
      <c r="C803" s="96">
        <f t="shared" si="1"/>
      </c>
      <c r="D803" s="21">
        <f t="shared" si="7"/>
      </c>
      <c r="E803" s="21">
        <f t="shared" si="2"/>
      </c>
      <c r="F803" s="48">
        <f t="shared" si="8"/>
      </c>
      <c r="G803" s="94">
        <f t="shared" si="9"/>
      </c>
      <c r="H803" s="94">
        <f t="shared" si="3"/>
      </c>
      <c r="I803" s="96">
        <f t="shared" si="0"/>
      </c>
      <c r="J803" s="94">
        <f t="shared" si="4"/>
      </c>
      <c r="K803" s="94">
        <f t="shared" si="10"/>
      </c>
      <c r="L803" s="96">
        <f t="shared" si="5"/>
      </c>
      <c r="N803" s="2">
        <f>IF(796&gt;$Z$5,0,MOD(SMALL($Z$6:$Z$2005,796),10000))</f>
        <v>0</v>
      </c>
      <c r="O803" s="2">
        <f t="shared" si="11"/>
        <v>0</v>
      </c>
      <c r="Z803" s="2">
        <f>IF(AND(ISNUMBER(资金流水!$B$803),资金流水!$B$803&gt;=$C$4,资金流水!$B$803&lt;=$E$4,OR(资金流水!$C$803=$C$3,AND(资金流水!$AD$803=$C$3,资金流水!$X$803="账户互转"))),INT(资金流水!$B$803)*10000+798,"")</f>
      </c>
    </row>
    <row r="804">
      <c r="A804" s="94">
        <f>IF($N804=0,"",797)</f>
      </c>
      <c r="B804" s="95">
        <f t="shared" si="6"/>
      </c>
      <c r="C804" s="96">
        <f t="shared" si="1"/>
      </c>
      <c r="D804" s="21">
        <f t="shared" si="7"/>
      </c>
      <c r="E804" s="21">
        <f t="shared" si="2"/>
      </c>
      <c r="F804" s="48">
        <f t="shared" si="8"/>
      </c>
      <c r="G804" s="94">
        <f t="shared" si="9"/>
      </c>
      <c r="H804" s="94">
        <f t="shared" si="3"/>
      </c>
      <c r="I804" s="96">
        <f t="shared" si="0"/>
      </c>
      <c r="J804" s="94">
        <f t="shared" si="4"/>
      </c>
      <c r="K804" s="94">
        <f t="shared" si="10"/>
      </c>
      <c r="L804" s="96">
        <f t="shared" si="5"/>
      </c>
      <c r="N804" s="2">
        <f>IF(797&gt;$Z$5,0,MOD(SMALL($Z$6:$Z$2005,797),10000))</f>
        <v>0</v>
      </c>
      <c r="O804" s="2">
        <f t="shared" si="11"/>
        <v>0</v>
      </c>
      <c r="Z804" s="2">
        <f>IF(AND(ISNUMBER(资金流水!$B$804),资金流水!$B$804&gt;=$C$4,资金流水!$B$804&lt;=$E$4,OR(资金流水!$C$804=$C$3,AND(资金流水!$AD$804=$C$3,资金流水!$X$804="账户互转"))),INT(资金流水!$B$804)*10000+799,"")</f>
      </c>
    </row>
    <row r="805">
      <c r="A805" s="94">
        <f>IF($N805=0,"",798)</f>
      </c>
      <c r="B805" s="95">
        <f t="shared" si="6"/>
      </c>
      <c r="C805" s="96">
        <f t="shared" si="1"/>
      </c>
      <c r="D805" s="21">
        <f t="shared" si="7"/>
      </c>
      <c r="E805" s="21">
        <f t="shared" si="2"/>
      </c>
      <c r="F805" s="48">
        <f t="shared" si="8"/>
      </c>
      <c r="G805" s="94">
        <f t="shared" si="9"/>
      </c>
      <c r="H805" s="94">
        <f t="shared" si="3"/>
      </c>
      <c r="I805" s="96">
        <f t="shared" si="0"/>
      </c>
      <c r="J805" s="94">
        <f t="shared" si="4"/>
      </c>
      <c r="K805" s="94">
        <f t="shared" si="10"/>
      </c>
      <c r="L805" s="96">
        <f t="shared" si="5"/>
      </c>
      <c r="N805" s="2">
        <f>IF(798&gt;$Z$5,0,MOD(SMALL($Z$6:$Z$2005,798),10000))</f>
        <v>0</v>
      </c>
      <c r="O805" s="2">
        <f t="shared" si="11"/>
        <v>0</v>
      </c>
      <c r="Z805" s="2">
        <f>IF(AND(ISNUMBER(资金流水!$B$805),资金流水!$B$805&gt;=$C$4,资金流水!$B$805&lt;=$E$4,OR(资金流水!$C$805=$C$3,AND(资金流水!$AD$805=$C$3,资金流水!$X$805="账户互转"))),INT(资金流水!$B$805)*10000+800,"")</f>
      </c>
    </row>
    <row r="806">
      <c r="A806" s="94">
        <f>IF($N806=0,"",799)</f>
      </c>
      <c r="B806" s="95">
        <f t="shared" si="6"/>
      </c>
      <c r="C806" s="96">
        <f t="shared" si="1"/>
      </c>
      <c r="D806" s="21">
        <f t="shared" si="7"/>
      </c>
      <c r="E806" s="21">
        <f t="shared" si="2"/>
      </c>
      <c r="F806" s="48">
        <f t="shared" si="8"/>
      </c>
      <c r="G806" s="94">
        <f t="shared" si="9"/>
      </c>
      <c r="H806" s="94">
        <f t="shared" si="3"/>
      </c>
      <c r="I806" s="96">
        <f t="shared" si="0"/>
      </c>
      <c r="J806" s="94">
        <f t="shared" si="4"/>
      </c>
      <c r="K806" s="94">
        <f t="shared" si="10"/>
      </c>
      <c r="L806" s="96">
        <f t="shared" si="5"/>
      </c>
      <c r="N806" s="2">
        <f>IF(799&gt;$Z$5,0,MOD(SMALL($Z$6:$Z$2005,799),10000))</f>
        <v>0</v>
      </c>
      <c r="O806" s="2">
        <f t="shared" si="11"/>
        <v>0</v>
      </c>
      <c r="Z806" s="2">
        <f>IF(AND(ISNUMBER(资金流水!$B$806),资金流水!$B$806&gt;=$C$4,资金流水!$B$806&lt;=$E$4,OR(资金流水!$C$806=$C$3,AND(资金流水!$AD$806=$C$3,资金流水!$X$806="账户互转"))),INT(资金流水!$B$806)*10000+801,"")</f>
      </c>
    </row>
    <row r="807">
      <c r="A807" s="94">
        <f>IF($N807=0,"",800)</f>
      </c>
      <c r="B807" s="95">
        <f t="shared" si="6"/>
      </c>
      <c r="C807" s="96">
        <f t="shared" si="1"/>
      </c>
      <c r="D807" s="21">
        <f t="shared" si="7"/>
      </c>
      <c r="E807" s="21">
        <f t="shared" si="2"/>
      </c>
      <c r="F807" s="48">
        <f t="shared" si="8"/>
      </c>
      <c r="G807" s="94">
        <f t="shared" si="9"/>
      </c>
      <c r="H807" s="94">
        <f t="shared" si="3"/>
      </c>
      <c r="I807" s="96">
        <f t="shared" si="0"/>
      </c>
      <c r="J807" s="94">
        <f t="shared" si="4"/>
      </c>
      <c r="K807" s="94">
        <f t="shared" si="10"/>
      </c>
      <c r="L807" s="96">
        <f t="shared" si="5"/>
      </c>
      <c r="N807" s="2">
        <f>IF(800&gt;$Z$5,0,MOD(SMALL($Z$6:$Z$2005,800),10000))</f>
        <v>0</v>
      </c>
      <c r="O807" s="2">
        <f t="shared" si="11"/>
        <v>0</v>
      </c>
      <c r="Z807" s="2">
        <f>IF(AND(ISNUMBER(资金流水!$B$807),资金流水!$B$807&gt;=$C$4,资金流水!$B$807&lt;=$E$4,OR(资金流水!$C$807=$C$3,AND(资金流水!$AD$807=$C$3,资金流水!$X$807="账户互转"))),INT(资金流水!$B$807)*10000+802,"")</f>
      </c>
    </row>
    <row r="808">
      <c r="A808" s="94">
        <f>IF($N808=0,"",801)</f>
      </c>
      <c r="B808" s="95">
        <f t="shared" si="6"/>
      </c>
      <c r="C808" s="96">
        <f t="shared" si="1"/>
      </c>
      <c r="D808" s="21">
        <f t="shared" si="7"/>
      </c>
      <c r="E808" s="21">
        <f t="shared" si="2"/>
      </c>
      <c r="F808" s="48">
        <f t="shared" si="8"/>
      </c>
      <c r="G808" s="94">
        <f t="shared" si="9"/>
      </c>
      <c r="H808" s="94">
        <f t="shared" si="3"/>
      </c>
      <c r="I808" s="96">
        <f t="shared" si="0"/>
      </c>
      <c r="J808" s="94">
        <f t="shared" si="4"/>
      </c>
      <c r="K808" s="94">
        <f t="shared" si="10"/>
      </c>
      <c r="L808" s="96">
        <f t="shared" si="5"/>
      </c>
      <c r="N808" s="2">
        <f>IF(801&gt;$Z$5,0,MOD(SMALL($Z$6:$Z$2005,801),10000))</f>
        <v>0</v>
      </c>
      <c r="O808" s="2">
        <f t="shared" si="11"/>
        <v>0</v>
      </c>
      <c r="Z808" s="2">
        <f>IF(AND(ISNUMBER(资金流水!$B$808),资金流水!$B$808&gt;=$C$4,资金流水!$B$808&lt;=$E$4,OR(资金流水!$C$808=$C$3,AND(资金流水!$AD$808=$C$3,资金流水!$X$808="账户互转"))),INT(资金流水!$B$808)*10000+803,"")</f>
      </c>
    </row>
    <row r="809">
      <c r="A809" s="94">
        <f>IF($N809=0,"",802)</f>
      </c>
      <c r="B809" s="95">
        <f t="shared" si="6"/>
      </c>
      <c r="C809" s="96">
        <f t="shared" si="1"/>
      </c>
      <c r="D809" s="21">
        <f t="shared" si="7"/>
      </c>
      <c r="E809" s="21">
        <f t="shared" si="2"/>
      </c>
      <c r="F809" s="48">
        <f t="shared" si="8"/>
      </c>
      <c r="G809" s="94">
        <f t="shared" si="9"/>
      </c>
      <c r="H809" s="94">
        <f t="shared" si="3"/>
      </c>
      <c r="I809" s="96">
        <f t="shared" si="0"/>
      </c>
      <c r="J809" s="94">
        <f t="shared" si="4"/>
      </c>
      <c r="K809" s="94">
        <f t="shared" si="10"/>
      </c>
      <c r="L809" s="96">
        <f t="shared" si="5"/>
      </c>
      <c r="N809" s="2">
        <f>IF(802&gt;$Z$5,0,MOD(SMALL($Z$6:$Z$2005,802),10000))</f>
        <v>0</v>
      </c>
      <c r="O809" s="2">
        <f t="shared" si="11"/>
        <v>0</v>
      </c>
      <c r="Z809" s="2">
        <f>IF(AND(ISNUMBER(资金流水!$B$809),资金流水!$B$809&gt;=$C$4,资金流水!$B$809&lt;=$E$4,OR(资金流水!$C$809=$C$3,AND(资金流水!$AD$809=$C$3,资金流水!$X$809="账户互转"))),INT(资金流水!$B$809)*10000+804,"")</f>
      </c>
    </row>
    <row r="810">
      <c r="A810" s="94">
        <f>IF($N810=0,"",803)</f>
      </c>
      <c r="B810" s="95">
        <f t="shared" si="6"/>
      </c>
      <c r="C810" s="96">
        <f t="shared" si="1"/>
      </c>
      <c r="D810" s="21">
        <f t="shared" si="7"/>
      </c>
      <c r="E810" s="21">
        <f t="shared" si="2"/>
      </c>
      <c r="F810" s="48">
        <f t="shared" si="8"/>
      </c>
      <c r="G810" s="94">
        <f t="shared" si="9"/>
      </c>
      <c r="H810" s="94">
        <f t="shared" si="3"/>
      </c>
      <c r="I810" s="96">
        <f t="shared" si="0"/>
      </c>
      <c r="J810" s="94">
        <f t="shared" si="4"/>
      </c>
      <c r="K810" s="94">
        <f t="shared" si="10"/>
      </c>
      <c r="L810" s="96">
        <f t="shared" si="5"/>
      </c>
      <c r="N810" s="2">
        <f>IF(803&gt;$Z$5,0,MOD(SMALL($Z$6:$Z$2005,803),10000))</f>
        <v>0</v>
      </c>
      <c r="O810" s="2">
        <f t="shared" si="11"/>
        <v>0</v>
      </c>
      <c r="Z810" s="2">
        <f>IF(AND(ISNUMBER(资金流水!$B$810),资金流水!$B$810&gt;=$C$4,资金流水!$B$810&lt;=$E$4,OR(资金流水!$C$810=$C$3,AND(资金流水!$AD$810=$C$3,资金流水!$X$810="账户互转"))),INT(资金流水!$B$810)*10000+805,"")</f>
      </c>
    </row>
    <row r="811">
      <c r="A811" s="94">
        <f>IF($N811=0,"",804)</f>
      </c>
      <c r="B811" s="95">
        <f t="shared" si="6"/>
      </c>
      <c r="C811" s="96">
        <f t="shared" si="1"/>
      </c>
      <c r="D811" s="21">
        <f t="shared" si="7"/>
      </c>
      <c r="E811" s="21">
        <f t="shared" si="2"/>
      </c>
      <c r="F811" s="48">
        <f t="shared" si="8"/>
      </c>
      <c r="G811" s="94">
        <f t="shared" si="9"/>
      </c>
      <c r="H811" s="94">
        <f t="shared" si="3"/>
      </c>
      <c r="I811" s="96">
        <f t="shared" si="0"/>
      </c>
      <c r="J811" s="94">
        <f t="shared" si="4"/>
      </c>
      <c r="K811" s="94">
        <f t="shared" si="10"/>
      </c>
      <c r="L811" s="96">
        <f t="shared" si="5"/>
      </c>
      <c r="N811" s="2">
        <f>IF(804&gt;$Z$5,0,MOD(SMALL($Z$6:$Z$2005,804),10000))</f>
        <v>0</v>
      </c>
      <c r="O811" s="2">
        <f t="shared" si="11"/>
        <v>0</v>
      </c>
      <c r="Z811" s="2">
        <f>IF(AND(ISNUMBER(资金流水!$B$811),资金流水!$B$811&gt;=$C$4,资金流水!$B$811&lt;=$E$4,OR(资金流水!$C$811=$C$3,AND(资金流水!$AD$811=$C$3,资金流水!$X$811="账户互转"))),INT(资金流水!$B$811)*10000+806,"")</f>
      </c>
    </row>
    <row r="812">
      <c r="A812" s="94">
        <f>IF($N812=0,"",805)</f>
      </c>
      <c r="B812" s="95">
        <f t="shared" si="6"/>
      </c>
      <c r="C812" s="96">
        <f t="shared" si="1"/>
      </c>
      <c r="D812" s="21">
        <f t="shared" si="7"/>
      </c>
      <c r="E812" s="21">
        <f t="shared" si="2"/>
      </c>
      <c r="F812" s="48">
        <f t="shared" si="8"/>
      </c>
      <c r="G812" s="94">
        <f t="shared" si="9"/>
      </c>
      <c r="H812" s="94">
        <f t="shared" si="3"/>
      </c>
      <c r="I812" s="96">
        <f t="shared" si="0"/>
      </c>
      <c r="J812" s="94">
        <f t="shared" si="4"/>
      </c>
      <c r="K812" s="94">
        <f t="shared" si="10"/>
      </c>
      <c r="L812" s="96">
        <f t="shared" si="5"/>
      </c>
      <c r="N812" s="2">
        <f>IF(805&gt;$Z$5,0,MOD(SMALL($Z$6:$Z$2005,805),10000))</f>
        <v>0</v>
      </c>
      <c r="O812" s="2">
        <f t="shared" si="11"/>
        <v>0</v>
      </c>
      <c r="Z812" s="2">
        <f>IF(AND(ISNUMBER(资金流水!$B$812),资金流水!$B$812&gt;=$C$4,资金流水!$B$812&lt;=$E$4,OR(资金流水!$C$812=$C$3,AND(资金流水!$AD$812=$C$3,资金流水!$X$812="账户互转"))),INT(资金流水!$B$812)*10000+807,"")</f>
      </c>
    </row>
    <row r="813">
      <c r="A813" s="94">
        <f>IF($N813=0,"",806)</f>
      </c>
      <c r="B813" s="95">
        <f t="shared" si="6"/>
      </c>
      <c r="C813" s="96">
        <f t="shared" si="1"/>
      </c>
      <c r="D813" s="21">
        <f t="shared" si="7"/>
      </c>
      <c r="E813" s="21">
        <f t="shared" si="2"/>
      </c>
      <c r="F813" s="48">
        <f t="shared" si="8"/>
      </c>
      <c r="G813" s="94">
        <f t="shared" si="9"/>
      </c>
      <c r="H813" s="94">
        <f t="shared" si="3"/>
      </c>
      <c r="I813" s="96">
        <f t="shared" si="0"/>
      </c>
      <c r="J813" s="94">
        <f t="shared" si="4"/>
      </c>
      <c r="K813" s="94">
        <f t="shared" si="10"/>
      </c>
      <c r="L813" s="96">
        <f t="shared" si="5"/>
      </c>
      <c r="N813" s="2">
        <f>IF(806&gt;$Z$5,0,MOD(SMALL($Z$6:$Z$2005,806),10000))</f>
        <v>0</v>
      </c>
      <c r="O813" s="2">
        <f t="shared" si="11"/>
        <v>0</v>
      </c>
      <c r="Z813" s="2">
        <f>IF(AND(ISNUMBER(资金流水!$B$813),资金流水!$B$813&gt;=$C$4,资金流水!$B$813&lt;=$E$4,OR(资金流水!$C$813=$C$3,AND(资金流水!$AD$813=$C$3,资金流水!$X$813="账户互转"))),INT(资金流水!$B$813)*10000+808,"")</f>
      </c>
    </row>
    <row r="814">
      <c r="A814" s="94">
        <f>IF($N814=0,"",807)</f>
      </c>
      <c r="B814" s="95">
        <f t="shared" si="6"/>
      </c>
      <c r="C814" s="96">
        <f t="shared" si="1"/>
      </c>
      <c r="D814" s="21">
        <f t="shared" si="7"/>
      </c>
      <c r="E814" s="21">
        <f t="shared" si="2"/>
      </c>
      <c r="F814" s="48">
        <f t="shared" si="8"/>
      </c>
      <c r="G814" s="94">
        <f t="shared" si="9"/>
      </c>
      <c r="H814" s="94">
        <f t="shared" si="3"/>
      </c>
      <c r="I814" s="96">
        <f t="shared" si="0"/>
      </c>
      <c r="J814" s="94">
        <f t="shared" si="4"/>
      </c>
      <c r="K814" s="94">
        <f t="shared" si="10"/>
      </c>
      <c r="L814" s="96">
        <f t="shared" si="5"/>
      </c>
      <c r="N814" s="2">
        <f>IF(807&gt;$Z$5,0,MOD(SMALL($Z$6:$Z$2005,807),10000))</f>
        <v>0</v>
      </c>
      <c r="O814" s="2">
        <f t="shared" si="11"/>
        <v>0</v>
      </c>
      <c r="Z814" s="2">
        <f>IF(AND(ISNUMBER(资金流水!$B$814),资金流水!$B$814&gt;=$C$4,资金流水!$B$814&lt;=$E$4,OR(资金流水!$C$814=$C$3,AND(资金流水!$AD$814=$C$3,资金流水!$X$814="账户互转"))),INT(资金流水!$B$814)*10000+809,"")</f>
      </c>
    </row>
    <row r="815">
      <c r="A815" s="94">
        <f>IF($N815=0,"",808)</f>
      </c>
      <c r="B815" s="95">
        <f t="shared" si="6"/>
      </c>
      <c r="C815" s="96">
        <f t="shared" si="1"/>
      </c>
      <c r="D815" s="21">
        <f t="shared" si="7"/>
      </c>
      <c r="E815" s="21">
        <f t="shared" si="2"/>
      </c>
      <c r="F815" s="48">
        <f t="shared" si="8"/>
      </c>
      <c r="G815" s="94">
        <f t="shared" si="9"/>
      </c>
      <c r="H815" s="94">
        <f t="shared" si="3"/>
      </c>
      <c r="I815" s="96">
        <f t="shared" si="0"/>
      </c>
      <c r="J815" s="94">
        <f t="shared" si="4"/>
      </c>
      <c r="K815" s="94">
        <f t="shared" si="10"/>
      </c>
      <c r="L815" s="96">
        <f t="shared" si="5"/>
      </c>
      <c r="N815" s="2">
        <f>IF(808&gt;$Z$5,0,MOD(SMALL($Z$6:$Z$2005,808),10000))</f>
        <v>0</v>
      </c>
      <c r="O815" s="2">
        <f t="shared" si="11"/>
        <v>0</v>
      </c>
      <c r="Z815" s="2">
        <f>IF(AND(ISNUMBER(资金流水!$B$815),资金流水!$B$815&gt;=$C$4,资金流水!$B$815&lt;=$E$4,OR(资金流水!$C$815=$C$3,AND(资金流水!$AD$815=$C$3,资金流水!$X$815="账户互转"))),INT(资金流水!$B$815)*10000+810,"")</f>
      </c>
    </row>
    <row r="816">
      <c r="A816" s="94">
        <f>IF($N816=0,"",809)</f>
      </c>
      <c r="B816" s="95">
        <f t="shared" si="6"/>
      </c>
      <c r="C816" s="96">
        <f t="shared" si="1"/>
      </c>
      <c r="D816" s="21">
        <f t="shared" si="7"/>
      </c>
      <c r="E816" s="21">
        <f t="shared" si="2"/>
      </c>
      <c r="F816" s="48">
        <f t="shared" si="8"/>
      </c>
      <c r="G816" s="94">
        <f t="shared" si="9"/>
      </c>
      <c r="H816" s="94">
        <f t="shared" si="3"/>
      </c>
      <c r="I816" s="96">
        <f t="shared" si="0"/>
      </c>
      <c r="J816" s="94">
        <f t="shared" si="4"/>
      </c>
      <c r="K816" s="94">
        <f t="shared" si="10"/>
      </c>
      <c r="L816" s="96">
        <f t="shared" si="5"/>
      </c>
      <c r="N816" s="2">
        <f>IF(809&gt;$Z$5,0,MOD(SMALL($Z$6:$Z$2005,809),10000))</f>
        <v>0</v>
      </c>
      <c r="O816" s="2">
        <f t="shared" si="11"/>
        <v>0</v>
      </c>
      <c r="Z816" s="2">
        <f>IF(AND(ISNUMBER(资金流水!$B$816),资金流水!$B$816&gt;=$C$4,资金流水!$B$816&lt;=$E$4,OR(资金流水!$C$816=$C$3,AND(资金流水!$AD$816=$C$3,资金流水!$X$816="账户互转"))),INT(资金流水!$B$816)*10000+811,"")</f>
      </c>
    </row>
    <row r="817">
      <c r="A817" s="94">
        <f>IF($N817=0,"",810)</f>
      </c>
      <c r="B817" s="95">
        <f t="shared" si="6"/>
      </c>
      <c r="C817" s="96">
        <f t="shared" si="1"/>
      </c>
      <c r="D817" s="21">
        <f t="shared" si="7"/>
      </c>
      <c r="E817" s="21">
        <f t="shared" si="2"/>
      </c>
      <c r="F817" s="48">
        <f t="shared" si="8"/>
      </c>
      <c r="G817" s="94">
        <f t="shared" si="9"/>
      </c>
      <c r="H817" s="94">
        <f t="shared" si="3"/>
      </c>
      <c r="I817" s="96">
        <f t="shared" si="0"/>
      </c>
      <c r="J817" s="94">
        <f t="shared" si="4"/>
      </c>
      <c r="K817" s="94">
        <f t="shared" si="10"/>
      </c>
      <c r="L817" s="96">
        <f t="shared" si="5"/>
      </c>
      <c r="N817" s="2">
        <f>IF(810&gt;$Z$5,0,MOD(SMALL($Z$6:$Z$2005,810),10000))</f>
        <v>0</v>
      </c>
      <c r="O817" s="2">
        <f t="shared" si="11"/>
        <v>0</v>
      </c>
      <c r="Z817" s="2">
        <f>IF(AND(ISNUMBER(资金流水!$B$817),资金流水!$B$817&gt;=$C$4,资金流水!$B$817&lt;=$E$4,OR(资金流水!$C$817=$C$3,AND(资金流水!$AD$817=$C$3,资金流水!$X$817="账户互转"))),INT(资金流水!$B$817)*10000+812,"")</f>
      </c>
    </row>
    <row r="818">
      <c r="A818" s="94">
        <f>IF($N818=0,"",811)</f>
      </c>
      <c r="B818" s="95">
        <f t="shared" si="6"/>
      </c>
      <c r="C818" s="96">
        <f t="shared" si="1"/>
      </c>
      <c r="D818" s="21">
        <f t="shared" si="7"/>
      </c>
      <c r="E818" s="21">
        <f t="shared" si="2"/>
      </c>
      <c r="F818" s="48">
        <f t="shared" si="8"/>
      </c>
      <c r="G818" s="94">
        <f t="shared" si="9"/>
      </c>
      <c r="H818" s="94">
        <f t="shared" si="3"/>
      </c>
      <c r="I818" s="96">
        <f t="shared" si="0"/>
      </c>
      <c r="J818" s="94">
        <f t="shared" si="4"/>
      </c>
      <c r="K818" s="94">
        <f t="shared" si="10"/>
      </c>
      <c r="L818" s="96">
        <f t="shared" si="5"/>
      </c>
      <c r="N818" s="2">
        <f>IF(811&gt;$Z$5,0,MOD(SMALL($Z$6:$Z$2005,811),10000))</f>
        <v>0</v>
      </c>
      <c r="O818" s="2">
        <f t="shared" si="11"/>
        <v>0</v>
      </c>
      <c r="Z818" s="2">
        <f>IF(AND(ISNUMBER(资金流水!$B$818),资金流水!$B$818&gt;=$C$4,资金流水!$B$818&lt;=$E$4,OR(资金流水!$C$818=$C$3,AND(资金流水!$AD$818=$C$3,资金流水!$X$818="账户互转"))),INT(资金流水!$B$818)*10000+813,"")</f>
      </c>
    </row>
    <row r="819">
      <c r="A819" s="94">
        <f>IF($N819=0,"",812)</f>
      </c>
      <c r="B819" s="95">
        <f t="shared" si="6"/>
      </c>
      <c r="C819" s="96">
        <f t="shared" si="1"/>
      </c>
      <c r="D819" s="21">
        <f t="shared" si="7"/>
      </c>
      <c r="E819" s="21">
        <f t="shared" si="2"/>
      </c>
      <c r="F819" s="48">
        <f t="shared" si="8"/>
      </c>
      <c r="G819" s="94">
        <f t="shared" si="9"/>
      </c>
      <c r="H819" s="94">
        <f t="shared" si="3"/>
      </c>
      <c r="I819" s="96">
        <f t="shared" si="0"/>
      </c>
      <c r="J819" s="94">
        <f t="shared" si="4"/>
      </c>
      <c r="K819" s="94">
        <f t="shared" si="10"/>
      </c>
      <c r="L819" s="96">
        <f t="shared" si="5"/>
      </c>
      <c r="N819" s="2">
        <f>IF(812&gt;$Z$5,0,MOD(SMALL($Z$6:$Z$2005,812),10000))</f>
        <v>0</v>
      </c>
      <c r="O819" s="2">
        <f t="shared" si="11"/>
        <v>0</v>
      </c>
      <c r="Z819" s="2">
        <f>IF(AND(ISNUMBER(资金流水!$B$819),资金流水!$B$819&gt;=$C$4,资金流水!$B$819&lt;=$E$4,OR(资金流水!$C$819=$C$3,AND(资金流水!$AD$819=$C$3,资金流水!$X$819="账户互转"))),INT(资金流水!$B$819)*10000+814,"")</f>
      </c>
    </row>
    <row r="820">
      <c r="A820" s="94">
        <f>IF($N820=0,"",813)</f>
      </c>
      <c r="B820" s="95">
        <f t="shared" si="6"/>
      </c>
      <c r="C820" s="96">
        <f t="shared" si="1"/>
      </c>
      <c r="D820" s="21">
        <f t="shared" si="7"/>
      </c>
      <c r="E820" s="21">
        <f t="shared" si="2"/>
      </c>
      <c r="F820" s="48">
        <f t="shared" si="8"/>
      </c>
      <c r="G820" s="94">
        <f t="shared" si="9"/>
      </c>
      <c r="H820" s="94">
        <f t="shared" si="3"/>
      </c>
      <c r="I820" s="96">
        <f t="shared" si="0"/>
      </c>
      <c r="J820" s="94">
        <f t="shared" si="4"/>
      </c>
      <c r="K820" s="94">
        <f t="shared" si="10"/>
      </c>
      <c r="L820" s="96">
        <f t="shared" si="5"/>
      </c>
      <c r="N820" s="2">
        <f>IF(813&gt;$Z$5,0,MOD(SMALL($Z$6:$Z$2005,813),10000))</f>
        <v>0</v>
      </c>
      <c r="O820" s="2">
        <f t="shared" si="11"/>
        <v>0</v>
      </c>
      <c r="Z820" s="2">
        <f>IF(AND(ISNUMBER(资金流水!$B$820),资金流水!$B$820&gt;=$C$4,资金流水!$B$820&lt;=$E$4,OR(资金流水!$C$820=$C$3,AND(资金流水!$AD$820=$C$3,资金流水!$X$820="账户互转"))),INT(资金流水!$B$820)*10000+815,"")</f>
      </c>
    </row>
    <row r="821">
      <c r="A821" s="94">
        <f>IF($N821=0,"",814)</f>
      </c>
      <c r="B821" s="95">
        <f t="shared" si="6"/>
      </c>
      <c r="C821" s="96">
        <f t="shared" si="1"/>
      </c>
      <c r="D821" s="21">
        <f t="shared" si="7"/>
      </c>
      <c r="E821" s="21">
        <f t="shared" si="2"/>
      </c>
      <c r="F821" s="48">
        <f t="shared" si="8"/>
      </c>
      <c r="G821" s="94">
        <f t="shared" si="9"/>
      </c>
      <c r="H821" s="94">
        <f t="shared" si="3"/>
      </c>
      <c r="I821" s="96">
        <f t="shared" si="0"/>
      </c>
      <c r="J821" s="94">
        <f t="shared" si="4"/>
      </c>
      <c r="K821" s="94">
        <f t="shared" si="10"/>
      </c>
      <c r="L821" s="96">
        <f t="shared" si="5"/>
      </c>
      <c r="N821" s="2">
        <f>IF(814&gt;$Z$5,0,MOD(SMALL($Z$6:$Z$2005,814),10000))</f>
        <v>0</v>
      </c>
      <c r="O821" s="2">
        <f t="shared" si="11"/>
        <v>0</v>
      </c>
      <c r="Z821" s="2">
        <f>IF(AND(ISNUMBER(资金流水!$B$821),资金流水!$B$821&gt;=$C$4,资金流水!$B$821&lt;=$E$4,OR(资金流水!$C$821=$C$3,AND(资金流水!$AD$821=$C$3,资金流水!$X$821="账户互转"))),INT(资金流水!$B$821)*10000+816,"")</f>
      </c>
    </row>
    <row r="822">
      <c r="A822" s="94">
        <f>IF($N822=0,"",815)</f>
      </c>
      <c r="B822" s="95">
        <f t="shared" si="6"/>
      </c>
      <c r="C822" s="96">
        <f t="shared" si="1"/>
      </c>
      <c r="D822" s="21">
        <f t="shared" si="7"/>
      </c>
      <c r="E822" s="21">
        <f t="shared" si="2"/>
      </c>
      <c r="F822" s="48">
        <f t="shared" si="8"/>
      </c>
      <c r="G822" s="94">
        <f t="shared" si="9"/>
      </c>
      <c r="H822" s="94">
        <f t="shared" si="3"/>
      </c>
      <c r="I822" s="96">
        <f t="shared" si="0"/>
      </c>
      <c r="J822" s="94">
        <f t="shared" si="4"/>
      </c>
      <c r="K822" s="94">
        <f t="shared" si="10"/>
      </c>
      <c r="L822" s="96">
        <f t="shared" si="5"/>
      </c>
      <c r="N822" s="2">
        <f>IF(815&gt;$Z$5,0,MOD(SMALL($Z$6:$Z$2005,815),10000))</f>
        <v>0</v>
      </c>
      <c r="O822" s="2">
        <f t="shared" si="11"/>
        <v>0</v>
      </c>
      <c r="Z822" s="2">
        <f>IF(AND(ISNUMBER(资金流水!$B$822),资金流水!$B$822&gt;=$C$4,资金流水!$B$822&lt;=$E$4,OR(资金流水!$C$822=$C$3,AND(资金流水!$AD$822=$C$3,资金流水!$X$822="账户互转"))),INT(资金流水!$B$822)*10000+817,"")</f>
      </c>
    </row>
    <row r="823">
      <c r="A823" s="94">
        <f>IF($N823=0,"",816)</f>
      </c>
      <c r="B823" s="95">
        <f t="shared" si="6"/>
      </c>
      <c r="C823" s="96">
        <f t="shared" si="1"/>
      </c>
      <c r="D823" s="21">
        <f t="shared" si="7"/>
      </c>
      <c r="E823" s="21">
        <f t="shared" si="2"/>
      </c>
      <c r="F823" s="48">
        <f t="shared" si="8"/>
      </c>
      <c r="G823" s="94">
        <f t="shared" si="9"/>
      </c>
      <c r="H823" s="94">
        <f t="shared" si="3"/>
      </c>
      <c r="I823" s="96">
        <f t="shared" si="0"/>
      </c>
      <c r="J823" s="94">
        <f t="shared" si="4"/>
      </c>
      <c r="K823" s="94">
        <f t="shared" si="10"/>
      </c>
      <c r="L823" s="96">
        <f t="shared" si="5"/>
      </c>
      <c r="N823" s="2">
        <f>IF(816&gt;$Z$5,0,MOD(SMALL($Z$6:$Z$2005,816),10000))</f>
        <v>0</v>
      </c>
      <c r="O823" s="2">
        <f t="shared" si="11"/>
        <v>0</v>
      </c>
      <c r="Z823" s="2">
        <f>IF(AND(ISNUMBER(资金流水!$B$823),资金流水!$B$823&gt;=$C$4,资金流水!$B$823&lt;=$E$4,OR(资金流水!$C$823=$C$3,AND(资金流水!$AD$823=$C$3,资金流水!$X$823="账户互转"))),INT(资金流水!$B$823)*10000+818,"")</f>
      </c>
    </row>
    <row r="824">
      <c r="A824" s="94">
        <f>IF($N824=0,"",817)</f>
      </c>
      <c r="B824" s="95">
        <f t="shared" si="6"/>
      </c>
      <c r="C824" s="96">
        <f t="shared" si="1"/>
      </c>
      <c r="D824" s="21">
        <f t="shared" si="7"/>
      </c>
      <c r="E824" s="21">
        <f t="shared" si="2"/>
      </c>
      <c r="F824" s="48">
        <f t="shared" si="8"/>
      </c>
      <c r="G824" s="94">
        <f t="shared" si="9"/>
      </c>
      <c r="H824" s="94">
        <f t="shared" si="3"/>
      </c>
      <c r="I824" s="96">
        <f t="shared" si="0"/>
      </c>
      <c r="J824" s="94">
        <f t="shared" si="4"/>
      </c>
      <c r="K824" s="94">
        <f t="shared" si="10"/>
      </c>
      <c r="L824" s="96">
        <f t="shared" si="5"/>
      </c>
      <c r="N824" s="2">
        <f>IF(817&gt;$Z$5,0,MOD(SMALL($Z$6:$Z$2005,817),10000))</f>
        <v>0</v>
      </c>
      <c r="O824" s="2">
        <f t="shared" si="11"/>
        <v>0</v>
      </c>
      <c r="Z824" s="2">
        <f>IF(AND(ISNUMBER(资金流水!$B$824),资金流水!$B$824&gt;=$C$4,资金流水!$B$824&lt;=$E$4,OR(资金流水!$C$824=$C$3,AND(资金流水!$AD$824=$C$3,资金流水!$X$824="账户互转"))),INT(资金流水!$B$824)*10000+819,"")</f>
      </c>
    </row>
    <row r="825">
      <c r="A825" s="94">
        <f>IF($N825=0,"",818)</f>
      </c>
      <c r="B825" s="95">
        <f t="shared" si="6"/>
      </c>
      <c r="C825" s="96">
        <f t="shared" si="1"/>
      </c>
      <c r="D825" s="21">
        <f t="shared" si="7"/>
      </c>
      <c r="E825" s="21">
        <f t="shared" si="2"/>
      </c>
      <c r="F825" s="48">
        <f t="shared" si="8"/>
      </c>
      <c r="G825" s="94">
        <f t="shared" si="9"/>
      </c>
      <c r="H825" s="94">
        <f t="shared" si="3"/>
      </c>
      <c r="I825" s="96">
        <f t="shared" si="0"/>
      </c>
      <c r="J825" s="94">
        <f t="shared" si="4"/>
      </c>
      <c r="K825" s="94">
        <f t="shared" si="10"/>
      </c>
      <c r="L825" s="96">
        <f t="shared" si="5"/>
      </c>
      <c r="N825" s="2">
        <f>IF(818&gt;$Z$5,0,MOD(SMALL($Z$6:$Z$2005,818),10000))</f>
        <v>0</v>
      </c>
      <c r="O825" s="2">
        <f t="shared" si="11"/>
        <v>0</v>
      </c>
      <c r="Z825" s="2">
        <f>IF(AND(ISNUMBER(资金流水!$B$825),资金流水!$B$825&gt;=$C$4,资金流水!$B$825&lt;=$E$4,OR(资金流水!$C$825=$C$3,AND(资金流水!$AD$825=$C$3,资金流水!$X$825="账户互转"))),INT(资金流水!$B$825)*10000+820,"")</f>
      </c>
    </row>
    <row r="826">
      <c r="A826" s="94">
        <f>IF($N826=0,"",819)</f>
      </c>
      <c r="B826" s="95">
        <f t="shared" si="6"/>
      </c>
      <c r="C826" s="96">
        <f t="shared" si="1"/>
      </c>
      <c r="D826" s="21">
        <f t="shared" si="7"/>
      </c>
      <c r="E826" s="21">
        <f t="shared" si="2"/>
      </c>
      <c r="F826" s="48">
        <f t="shared" si="8"/>
      </c>
      <c r="G826" s="94">
        <f t="shared" si="9"/>
      </c>
      <c r="H826" s="94">
        <f t="shared" si="3"/>
      </c>
      <c r="I826" s="96">
        <f t="shared" si="0"/>
      </c>
      <c r="J826" s="94">
        <f t="shared" si="4"/>
      </c>
      <c r="K826" s="94">
        <f t="shared" si="10"/>
      </c>
      <c r="L826" s="96">
        <f t="shared" si="5"/>
      </c>
      <c r="N826" s="2">
        <f>IF(819&gt;$Z$5,0,MOD(SMALL($Z$6:$Z$2005,819),10000))</f>
        <v>0</v>
      </c>
      <c r="O826" s="2">
        <f t="shared" si="11"/>
        <v>0</v>
      </c>
      <c r="Z826" s="2">
        <f>IF(AND(ISNUMBER(资金流水!$B$826),资金流水!$B$826&gt;=$C$4,资金流水!$B$826&lt;=$E$4,OR(资金流水!$C$826=$C$3,AND(资金流水!$AD$826=$C$3,资金流水!$X$826="账户互转"))),INT(资金流水!$B$826)*10000+821,"")</f>
      </c>
    </row>
    <row r="827">
      <c r="A827" s="94">
        <f>IF($N827=0,"",820)</f>
      </c>
      <c r="B827" s="95">
        <f t="shared" si="6"/>
      </c>
      <c r="C827" s="96">
        <f t="shared" si="1"/>
      </c>
      <c r="D827" s="21">
        <f t="shared" si="7"/>
      </c>
      <c r="E827" s="21">
        <f t="shared" si="2"/>
      </c>
      <c r="F827" s="48">
        <f t="shared" si="8"/>
      </c>
      <c r="G827" s="94">
        <f t="shared" si="9"/>
      </c>
      <c r="H827" s="94">
        <f t="shared" si="3"/>
      </c>
      <c r="I827" s="96">
        <f t="shared" si="0"/>
      </c>
      <c r="J827" s="94">
        <f t="shared" si="4"/>
      </c>
      <c r="K827" s="94">
        <f t="shared" si="10"/>
      </c>
      <c r="L827" s="96">
        <f t="shared" si="5"/>
      </c>
      <c r="N827" s="2">
        <f>IF(820&gt;$Z$5,0,MOD(SMALL($Z$6:$Z$2005,820),10000))</f>
        <v>0</v>
      </c>
      <c r="O827" s="2">
        <f t="shared" si="11"/>
        <v>0</v>
      </c>
      <c r="Z827" s="2">
        <f>IF(AND(ISNUMBER(资金流水!$B$827),资金流水!$B$827&gt;=$C$4,资金流水!$B$827&lt;=$E$4,OR(资金流水!$C$827=$C$3,AND(资金流水!$AD$827=$C$3,资金流水!$X$827="账户互转"))),INT(资金流水!$B$827)*10000+822,"")</f>
      </c>
    </row>
    <row r="828">
      <c r="A828" s="94">
        <f>IF($N828=0,"",821)</f>
      </c>
      <c r="B828" s="95">
        <f t="shared" si="6"/>
      </c>
      <c r="C828" s="96">
        <f t="shared" si="1"/>
      </c>
      <c r="D828" s="21">
        <f t="shared" si="7"/>
      </c>
      <c r="E828" s="21">
        <f t="shared" si="2"/>
      </c>
      <c r="F828" s="48">
        <f t="shared" si="8"/>
      </c>
      <c r="G828" s="94">
        <f t="shared" si="9"/>
      </c>
      <c r="H828" s="94">
        <f t="shared" si="3"/>
      </c>
      <c r="I828" s="96">
        <f t="shared" si="0"/>
      </c>
      <c r="J828" s="94">
        <f t="shared" si="4"/>
      </c>
      <c r="K828" s="94">
        <f t="shared" si="10"/>
      </c>
      <c r="L828" s="96">
        <f t="shared" si="5"/>
      </c>
      <c r="N828" s="2">
        <f>IF(821&gt;$Z$5,0,MOD(SMALL($Z$6:$Z$2005,821),10000))</f>
        <v>0</v>
      </c>
      <c r="O828" s="2">
        <f t="shared" si="11"/>
        <v>0</v>
      </c>
      <c r="Z828" s="2">
        <f>IF(AND(ISNUMBER(资金流水!$B$828),资金流水!$B$828&gt;=$C$4,资金流水!$B$828&lt;=$E$4,OR(资金流水!$C$828=$C$3,AND(资金流水!$AD$828=$C$3,资金流水!$X$828="账户互转"))),INT(资金流水!$B$828)*10000+823,"")</f>
      </c>
    </row>
    <row r="829">
      <c r="A829" s="94">
        <f>IF($N829=0,"",822)</f>
      </c>
      <c r="B829" s="95">
        <f t="shared" si="6"/>
      </c>
      <c r="C829" s="96">
        <f t="shared" si="1"/>
      </c>
      <c r="D829" s="21">
        <f t="shared" si="7"/>
      </c>
      <c r="E829" s="21">
        <f t="shared" si="2"/>
      </c>
      <c r="F829" s="48">
        <f t="shared" si="8"/>
      </c>
      <c r="G829" s="94">
        <f t="shared" si="9"/>
      </c>
      <c r="H829" s="94">
        <f t="shared" si="3"/>
      </c>
      <c r="I829" s="96">
        <f t="shared" si="0"/>
      </c>
      <c r="J829" s="94">
        <f t="shared" si="4"/>
      </c>
      <c r="K829" s="94">
        <f t="shared" si="10"/>
      </c>
      <c r="L829" s="96">
        <f t="shared" si="5"/>
      </c>
      <c r="N829" s="2">
        <f>IF(822&gt;$Z$5,0,MOD(SMALL($Z$6:$Z$2005,822),10000))</f>
        <v>0</v>
      </c>
      <c r="O829" s="2">
        <f t="shared" si="11"/>
        <v>0</v>
      </c>
      <c r="Z829" s="2">
        <f>IF(AND(ISNUMBER(资金流水!$B$829),资金流水!$B$829&gt;=$C$4,资金流水!$B$829&lt;=$E$4,OR(资金流水!$C$829=$C$3,AND(资金流水!$AD$829=$C$3,资金流水!$X$829="账户互转"))),INT(资金流水!$B$829)*10000+824,"")</f>
      </c>
    </row>
    <row r="830">
      <c r="A830" s="94">
        <f>IF($N830=0,"",823)</f>
      </c>
      <c r="B830" s="95">
        <f t="shared" si="6"/>
      </c>
      <c r="C830" s="96">
        <f t="shared" si="1"/>
      </c>
      <c r="D830" s="21">
        <f t="shared" si="7"/>
      </c>
      <c r="E830" s="21">
        <f t="shared" si="2"/>
      </c>
      <c r="F830" s="48">
        <f t="shared" si="8"/>
      </c>
      <c r="G830" s="94">
        <f t="shared" si="9"/>
      </c>
      <c r="H830" s="94">
        <f t="shared" si="3"/>
      </c>
      <c r="I830" s="96">
        <f t="shared" si="0"/>
      </c>
      <c r="J830" s="94">
        <f t="shared" si="4"/>
      </c>
      <c r="K830" s="94">
        <f t="shared" si="10"/>
      </c>
      <c r="L830" s="96">
        <f t="shared" si="5"/>
      </c>
      <c r="N830" s="2">
        <f>IF(823&gt;$Z$5,0,MOD(SMALL($Z$6:$Z$2005,823),10000))</f>
        <v>0</v>
      </c>
      <c r="O830" s="2">
        <f t="shared" si="11"/>
        <v>0</v>
      </c>
      <c r="Z830" s="2">
        <f>IF(AND(ISNUMBER(资金流水!$B$830),资金流水!$B$830&gt;=$C$4,资金流水!$B$830&lt;=$E$4,OR(资金流水!$C$830=$C$3,AND(资金流水!$AD$830=$C$3,资金流水!$X$830="账户互转"))),INT(资金流水!$B$830)*10000+825,"")</f>
      </c>
    </row>
    <row r="831">
      <c r="A831" s="94">
        <f>IF($N831=0,"",824)</f>
      </c>
      <c r="B831" s="95">
        <f t="shared" si="6"/>
      </c>
      <c r="C831" s="96">
        <f t="shared" si="1"/>
      </c>
      <c r="D831" s="21">
        <f t="shared" si="7"/>
      </c>
      <c r="E831" s="21">
        <f t="shared" si="2"/>
      </c>
      <c r="F831" s="48">
        <f t="shared" si="8"/>
      </c>
      <c r="G831" s="94">
        <f t="shared" si="9"/>
      </c>
      <c r="H831" s="94">
        <f t="shared" si="3"/>
      </c>
      <c r="I831" s="96">
        <f t="shared" si="0"/>
      </c>
      <c r="J831" s="94">
        <f t="shared" si="4"/>
      </c>
      <c r="K831" s="94">
        <f t="shared" si="10"/>
      </c>
      <c r="L831" s="96">
        <f t="shared" si="5"/>
      </c>
      <c r="N831" s="2">
        <f>IF(824&gt;$Z$5,0,MOD(SMALL($Z$6:$Z$2005,824),10000))</f>
        <v>0</v>
      </c>
      <c r="O831" s="2">
        <f t="shared" si="11"/>
        <v>0</v>
      </c>
      <c r="Z831" s="2">
        <f>IF(AND(ISNUMBER(资金流水!$B$831),资金流水!$B$831&gt;=$C$4,资金流水!$B$831&lt;=$E$4,OR(资金流水!$C$831=$C$3,AND(资金流水!$AD$831=$C$3,资金流水!$X$831="账户互转"))),INT(资金流水!$B$831)*10000+826,"")</f>
      </c>
    </row>
    <row r="832">
      <c r="A832" s="94">
        <f>IF($N832=0,"",825)</f>
      </c>
      <c r="B832" s="95">
        <f t="shared" si="6"/>
      </c>
      <c r="C832" s="96">
        <f t="shared" si="1"/>
      </c>
      <c r="D832" s="21">
        <f t="shared" si="7"/>
      </c>
      <c r="E832" s="21">
        <f t="shared" si="2"/>
      </c>
      <c r="F832" s="48">
        <f t="shared" si="8"/>
      </c>
      <c r="G832" s="94">
        <f t="shared" si="9"/>
      </c>
      <c r="H832" s="94">
        <f t="shared" si="3"/>
      </c>
      <c r="I832" s="96">
        <f t="shared" si="0"/>
      </c>
      <c r="J832" s="94">
        <f t="shared" si="4"/>
      </c>
      <c r="K832" s="94">
        <f t="shared" si="10"/>
      </c>
      <c r="L832" s="96">
        <f t="shared" si="5"/>
      </c>
      <c r="N832" s="2">
        <f>IF(825&gt;$Z$5,0,MOD(SMALL($Z$6:$Z$2005,825),10000))</f>
        <v>0</v>
      </c>
      <c r="O832" s="2">
        <f t="shared" si="11"/>
        <v>0</v>
      </c>
      <c r="Z832" s="2">
        <f>IF(AND(ISNUMBER(资金流水!$B$832),资金流水!$B$832&gt;=$C$4,资金流水!$B$832&lt;=$E$4,OR(资金流水!$C$832=$C$3,AND(资金流水!$AD$832=$C$3,资金流水!$X$832="账户互转"))),INT(资金流水!$B$832)*10000+827,"")</f>
      </c>
    </row>
    <row r="833">
      <c r="A833" s="94">
        <f>IF($N833=0,"",826)</f>
      </c>
      <c r="B833" s="95">
        <f t="shared" si="6"/>
      </c>
      <c r="C833" s="96">
        <f t="shared" si="1"/>
      </c>
      <c r="D833" s="21">
        <f t="shared" si="7"/>
      </c>
      <c r="E833" s="21">
        <f t="shared" si="2"/>
      </c>
      <c r="F833" s="48">
        <f t="shared" si="8"/>
      </c>
      <c r="G833" s="94">
        <f t="shared" si="9"/>
      </c>
      <c r="H833" s="94">
        <f t="shared" si="3"/>
      </c>
      <c r="I833" s="96">
        <f t="shared" si="0"/>
      </c>
      <c r="J833" s="94">
        <f t="shared" si="4"/>
      </c>
      <c r="K833" s="94">
        <f t="shared" si="10"/>
      </c>
      <c r="L833" s="96">
        <f t="shared" si="5"/>
      </c>
      <c r="N833" s="2">
        <f>IF(826&gt;$Z$5,0,MOD(SMALL($Z$6:$Z$2005,826),10000))</f>
        <v>0</v>
      </c>
      <c r="O833" s="2">
        <f t="shared" si="11"/>
        <v>0</v>
      </c>
      <c r="Z833" s="2">
        <f>IF(AND(ISNUMBER(资金流水!$B$833),资金流水!$B$833&gt;=$C$4,资金流水!$B$833&lt;=$E$4,OR(资金流水!$C$833=$C$3,AND(资金流水!$AD$833=$C$3,资金流水!$X$833="账户互转"))),INT(资金流水!$B$833)*10000+828,"")</f>
      </c>
    </row>
    <row r="834">
      <c r="A834" s="94">
        <f>IF($N834=0,"",827)</f>
      </c>
      <c r="B834" s="95">
        <f t="shared" si="6"/>
      </c>
      <c r="C834" s="96">
        <f t="shared" si="1"/>
      </c>
      <c r="D834" s="21">
        <f t="shared" si="7"/>
      </c>
      <c r="E834" s="21">
        <f t="shared" si="2"/>
      </c>
      <c r="F834" s="48">
        <f t="shared" si="8"/>
      </c>
      <c r="G834" s="94">
        <f t="shared" si="9"/>
      </c>
      <c r="H834" s="94">
        <f t="shared" si="3"/>
      </c>
      <c r="I834" s="96">
        <f t="shared" si="0"/>
      </c>
      <c r="J834" s="94">
        <f t="shared" si="4"/>
      </c>
      <c r="K834" s="94">
        <f t="shared" si="10"/>
      </c>
      <c r="L834" s="96">
        <f t="shared" si="5"/>
      </c>
      <c r="N834" s="2">
        <f>IF(827&gt;$Z$5,0,MOD(SMALL($Z$6:$Z$2005,827),10000))</f>
        <v>0</v>
      </c>
      <c r="O834" s="2">
        <f t="shared" si="11"/>
        <v>0</v>
      </c>
      <c r="Z834" s="2">
        <f>IF(AND(ISNUMBER(资金流水!$B$834),资金流水!$B$834&gt;=$C$4,资金流水!$B$834&lt;=$E$4,OR(资金流水!$C$834=$C$3,AND(资金流水!$AD$834=$C$3,资金流水!$X$834="账户互转"))),INT(资金流水!$B$834)*10000+829,"")</f>
      </c>
    </row>
    <row r="835">
      <c r="A835" s="94">
        <f>IF($N835=0,"",828)</f>
      </c>
      <c r="B835" s="95">
        <f t="shared" si="6"/>
      </c>
      <c r="C835" s="96">
        <f t="shared" si="1"/>
      </c>
      <c r="D835" s="21">
        <f t="shared" si="7"/>
      </c>
      <c r="E835" s="21">
        <f t="shared" si="2"/>
      </c>
      <c r="F835" s="48">
        <f t="shared" si="8"/>
      </c>
      <c r="G835" s="94">
        <f t="shared" si="9"/>
      </c>
      <c r="H835" s="94">
        <f t="shared" si="3"/>
      </c>
      <c r="I835" s="96">
        <f t="shared" si="0"/>
      </c>
      <c r="J835" s="94">
        <f t="shared" si="4"/>
      </c>
      <c r="K835" s="94">
        <f t="shared" si="10"/>
      </c>
      <c r="L835" s="96">
        <f t="shared" si="5"/>
      </c>
      <c r="N835" s="2">
        <f>IF(828&gt;$Z$5,0,MOD(SMALL($Z$6:$Z$2005,828),10000))</f>
        <v>0</v>
      </c>
      <c r="O835" s="2">
        <f t="shared" si="11"/>
        <v>0</v>
      </c>
      <c r="Z835" s="2">
        <f>IF(AND(ISNUMBER(资金流水!$B$835),资金流水!$B$835&gt;=$C$4,资金流水!$B$835&lt;=$E$4,OR(资金流水!$C$835=$C$3,AND(资金流水!$AD$835=$C$3,资金流水!$X$835="账户互转"))),INT(资金流水!$B$835)*10000+830,"")</f>
      </c>
    </row>
    <row r="836">
      <c r="A836" s="94">
        <f>IF($N836=0,"",829)</f>
      </c>
      <c r="B836" s="95">
        <f t="shared" si="6"/>
      </c>
      <c r="C836" s="96">
        <f t="shared" si="1"/>
      </c>
      <c r="D836" s="21">
        <f t="shared" si="7"/>
      </c>
      <c r="E836" s="21">
        <f t="shared" si="2"/>
      </c>
      <c r="F836" s="48">
        <f t="shared" si="8"/>
      </c>
      <c r="G836" s="94">
        <f t="shared" si="9"/>
      </c>
      <c r="H836" s="94">
        <f t="shared" si="3"/>
      </c>
      <c r="I836" s="96">
        <f t="shared" si="0"/>
      </c>
      <c r="J836" s="94">
        <f t="shared" si="4"/>
      </c>
      <c r="K836" s="94">
        <f t="shared" si="10"/>
      </c>
      <c r="L836" s="96">
        <f t="shared" si="5"/>
      </c>
      <c r="N836" s="2">
        <f>IF(829&gt;$Z$5,0,MOD(SMALL($Z$6:$Z$2005,829),10000))</f>
        <v>0</v>
      </c>
      <c r="O836" s="2">
        <f t="shared" si="11"/>
        <v>0</v>
      </c>
      <c r="Z836" s="2">
        <f>IF(AND(ISNUMBER(资金流水!$B$836),资金流水!$B$836&gt;=$C$4,资金流水!$B$836&lt;=$E$4,OR(资金流水!$C$836=$C$3,AND(资金流水!$AD$836=$C$3,资金流水!$X$836="账户互转"))),INT(资金流水!$B$836)*10000+831,"")</f>
      </c>
    </row>
    <row r="837">
      <c r="A837" s="94">
        <f>IF($N837=0,"",830)</f>
      </c>
      <c r="B837" s="95">
        <f t="shared" si="6"/>
      </c>
      <c r="C837" s="96">
        <f t="shared" si="1"/>
      </c>
      <c r="D837" s="21">
        <f t="shared" si="7"/>
      </c>
      <c r="E837" s="21">
        <f t="shared" si="2"/>
      </c>
      <c r="F837" s="48">
        <f t="shared" si="8"/>
      </c>
      <c r="G837" s="94">
        <f t="shared" si="9"/>
      </c>
      <c r="H837" s="94">
        <f t="shared" si="3"/>
      </c>
      <c r="I837" s="96">
        <f t="shared" si="0"/>
      </c>
      <c r="J837" s="94">
        <f t="shared" si="4"/>
      </c>
      <c r="K837" s="94">
        <f t="shared" si="10"/>
      </c>
      <c r="L837" s="96">
        <f t="shared" si="5"/>
      </c>
      <c r="N837" s="2">
        <f>IF(830&gt;$Z$5,0,MOD(SMALL($Z$6:$Z$2005,830),10000))</f>
        <v>0</v>
      </c>
      <c r="O837" s="2">
        <f t="shared" si="11"/>
        <v>0</v>
      </c>
      <c r="Z837" s="2">
        <f>IF(AND(ISNUMBER(资金流水!$B$837),资金流水!$B$837&gt;=$C$4,资金流水!$B$837&lt;=$E$4,OR(资金流水!$C$837=$C$3,AND(资金流水!$AD$837=$C$3,资金流水!$X$837="账户互转"))),INT(资金流水!$B$837)*10000+832,"")</f>
      </c>
    </row>
    <row r="838">
      <c r="A838" s="94">
        <f>IF($N838=0,"",831)</f>
      </c>
      <c r="B838" s="95">
        <f t="shared" si="6"/>
      </c>
      <c r="C838" s="96">
        <f t="shared" si="1"/>
      </c>
      <c r="D838" s="21">
        <f t="shared" si="7"/>
      </c>
      <c r="E838" s="21">
        <f t="shared" si="2"/>
      </c>
      <c r="F838" s="48">
        <f t="shared" si="8"/>
      </c>
      <c r="G838" s="94">
        <f t="shared" si="9"/>
      </c>
      <c r="H838" s="94">
        <f t="shared" si="3"/>
      </c>
      <c r="I838" s="96">
        <f t="shared" si="0"/>
      </c>
      <c r="J838" s="94">
        <f t="shared" si="4"/>
      </c>
      <c r="K838" s="94">
        <f t="shared" si="10"/>
      </c>
      <c r="L838" s="96">
        <f t="shared" si="5"/>
      </c>
      <c r="N838" s="2">
        <f>IF(831&gt;$Z$5,0,MOD(SMALL($Z$6:$Z$2005,831),10000))</f>
        <v>0</v>
      </c>
      <c r="O838" s="2">
        <f t="shared" si="11"/>
        <v>0</v>
      </c>
      <c r="Z838" s="2">
        <f>IF(AND(ISNUMBER(资金流水!$B$838),资金流水!$B$838&gt;=$C$4,资金流水!$B$838&lt;=$E$4,OR(资金流水!$C$838=$C$3,AND(资金流水!$AD$838=$C$3,资金流水!$X$838="账户互转"))),INT(资金流水!$B$838)*10000+833,"")</f>
      </c>
    </row>
    <row r="839">
      <c r="A839" s="94">
        <f>IF($N839=0,"",832)</f>
      </c>
      <c r="B839" s="95">
        <f t="shared" si="6"/>
      </c>
      <c r="C839" s="96">
        <f t="shared" si="1"/>
      </c>
      <c r="D839" s="21">
        <f t="shared" si="7"/>
      </c>
      <c r="E839" s="21">
        <f t="shared" si="2"/>
      </c>
      <c r="F839" s="48">
        <f t="shared" si="8"/>
      </c>
      <c r="G839" s="94">
        <f t="shared" si="9"/>
      </c>
      <c r="H839" s="94">
        <f t="shared" si="3"/>
      </c>
      <c r="I839" s="96">
        <f t="shared" si="0"/>
      </c>
      <c r="J839" s="94">
        <f t="shared" si="4"/>
      </c>
      <c r="K839" s="94">
        <f t="shared" si="10"/>
      </c>
      <c r="L839" s="96">
        <f t="shared" si="5"/>
      </c>
      <c r="N839" s="2">
        <f>IF(832&gt;$Z$5,0,MOD(SMALL($Z$6:$Z$2005,832),10000))</f>
        <v>0</v>
      </c>
      <c r="O839" s="2">
        <f t="shared" si="11"/>
        <v>0</v>
      </c>
      <c r="Z839" s="2">
        <f>IF(AND(ISNUMBER(资金流水!$B$839),资金流水!$B$839&gt;=$C$4,资金流水!$B$839&lt;=$E$4,OR(资金流水!$C$839=$C$3,AND(资金流水!$AD$839=$C$3,资金流水!$X$839="账户互转"))),INT(资金流水!$B$839)*10000+834,"")</f>
      </c>
    </row>
    <row r="840">
      <c r="A840" s="94">
        <f>IF($N840=0,"",833)</f>
      </c>
      <c r="B840" s="95">
        <f t="shared" si="6"/>
      </c>
      <c r="C840" s="96">
        <f t="shared" si="1"/>
      </c>
      <c r="D840" s="21">
        <f t="shared" si="7"/>
      </c>
      <c r="E840" s="21">
        <f t="shared" si="2"/>
      </c>
      <c r="F840" s="48">
        <f t="shared" si="8"/>
      </c>
      <c r="G840" s="94">
        <f t="shared" si="9"/>
      </c>
      <c r="H840" s="94">
        <f t="shared" si="3"/>
      </c>
      <c r="I840" s="96">
        <f t="shared" si="0"/>
      </c>
      <c r="J840" s="94">
        <f t="shared" si="4"/>
      </c>
      <c r="K840" s="94">
        <f t="shared" si="10"/>
      </c>
      <c r="L840" s="96">
        <f t="shared" si="5"/>
      </c>
      <c r="N840" s="2">
        <f>IF(833&gt;$Z$5,0,MOD(SMALL($Z$6:$Z$2005,833),10000))</f>
        <v>0</v>
      </c>
      <c r="O840" s="2">
        <f t="shared" si="11"/>
        <v>0</v>
      </c>
      <c r="Z840" s="2">
        <f>IF(AND(ISNUMBER(资金流水!$B$840),资金流水!$B$840&gt;=$C$4,资金流水!$B$840&lt;=$E$4,OR(资金流水!$C$840=$C$3,AND(资金流水!$AD$840=$C$3,资金流水!$X$840="账户互转"))),INT(资金流水!$B$840)*10000+835,"")</f>
      </c>
    </row>
    <row r="841">
      <c r="A841" s="94">
        <f>IF($N841=0,"",834)</f>
      </c>
      <c r="B841" s="95">
        <f t="shared" si="6"/>
      </c>
      <c r="C841" s="96">
        <f t="shared" si="1"/>
      </c>
      <c r="D841" s="21">
        <f t="shared" si="7"/>
      </c>
      <c r="E841" s="21">
        <f t="shared" si="2"/>
      </c>
      <c r="F841" s="48">
        <f t="shared" si="8"/>
      </c>
      <c r="G841" s="94">
        <f t="shared" si="9"/>
      </c>
      <c r="H841" s="94">
        <f t="shared" si="3"/>
      </c>
      <c r="I841" s="96">
        <f t="shared" si="0"/>
      </c>
      <c r="J841" s="94">
        <f t="shared" si="4"/>
      </c>
      <c r="K841" s="94">
        <f t="shared" si="10"/>
      </c>
      <c r="L841" s="96">
        <f t="shared" si="5"/>
      </c>
      <c r="N841" s="2">
        <f>IF(834&gt;$Z$5,0,MOD(SMALL($Z$6:$Z$2005,834),10000))</f>
        <v>0</v>
      </c>
      <c r="O841" s="2">
        <f t="shared" si="11"/>
        <v>0</v>
      </c>
      <c r="Z841" s="2">
        <f>IF(AND(ISNUMBER(资金流水!$B$841),资金流水!$B$841&gt;=$C$4,资金流水!$B$841&lt;=$E$4,OR(资金流水!$C$841=$C$3,AND(资金流水!$AD$841=$C$3,资金流水!$X$841="账户互转"))),INT(资金流水!$B$841)*10000+836,"")</f>
      </c>
    </row>
    <row r="842">
      <c r="A842" s="94">
        <f>IF($N842=0,"",835)</f>
      </c>
      <c r="B842" s="95">
        <f t="shared" si="6"/>
      </c>
      <c r="C842" s="96">
        <f t="shared" si="1"/>
      </c>
      <c r="D842" s="21">
        <f t="shared" si="7"/>
      </c>
      <c r="E842" s="21">
        <f t="shared" si="2"/>
      </c>
      <c r="F842" s="48">
        <f t="shared" si="8"/>
      </c>
      <c r="G842" s="94">
        <f t="shared" si="9"/>
      </c>
      <c r="H842" s="94">
        <f t="shared" si="3"/>
      </c>
      <c r="I842" s="96">
        <f t="shared" si="0"/>
      </c>
      <c r="J842" s="94">
        <f t="shared" si="4"/>
      </c>
      <c r="K842" s="94">
        <f t="shared" si="10"/>
      </c>
      <c r="L842" s="96">
        <f t="shared" si="5"/>
      </c>
      <c r="N842" s="2">
        <f>IF(835&gt;$Z$5,0,MOD(SMALL($Z$6:$Z$2005,835),10000))</f>
        <v>0</v>
      </c>
      <c r="O842" s="2">
        <f t="shared" si="11"/>
        <v>0</v>
      </c>
      <c r="Z842" s="2">
        <f>IF(AND(ISNUMBER(资金流水!$B$842),资金流水!$B$842&gt;=$C$4,资金流水!$B$842&lt;=$E$4,OR(资金流水!$C$842=$C$3,AND(资金流水!$AD$842=$C$3,资金流水!$X$842="账户互转"))),INT(资金流水!$B$842)*10000+837,"")</f>
      </c>
    </row>
    <row r="843">
      <c r="A843" s="94">
        <f>IF($N843=0,"",836)</f>
      </c>
      <c r="B843" s="95">
        <f t="shared" si="6"/>
      </c>
      <c r="C843" s="96">
        <f t="shared" si="1"/>
      </c>
      <c r="D843" s="21">
        <f t="shared" si="7"/>
      </c>
      <c r="E843" s="21">
        <f t="shared" si="2"/>
      </c>
      <c r="F843" s="48">
        <f t="shared" si="8"/>
      </c>
      <c r="G843" s="94">
        <f t="shared" si="9"/>
      </c>
      <c r="H843" s="94">
        <f t="shared" si="3"/>
      </c>
      <c r="I843" s="96">
        <f t="shared" si="0"/>
      </c>
      <c r="J843" s="94">
        <f t="shared" si="4"/>
      </c>
      <c r="K843" s="94">
        <f t="shared" si="10"/>
      </c>
      <c r="L843" s="96">
        <f t="shared" si="5"/>
      </c>
      <c r="N843" s="2">
        <f>IF(836&gt;$Z$5,0,MOD(SMALL($Z$6:$Z$2005,836),10000))</f>
        <v>0</v>
      </c>
      <c r="O843" s="2">
        <f t="shared" si="11"/>
        <v>0</v>
      </c>
      <c r="Z843" s="2">
        <f>IF(AND(ISNUMBER(资金流水!$B$843),资金流水!$B$843&gt;=$C$4,资金流水!$B$843&lt;=$E$4,OR(资金流水!$C$843=$C$3,AND(资金流水!$AD$843=$C$3,资金流水!$X$843="账户互转"))),INT(资金流水!$B$843)*10000+838,"")</f>
      </c>
    </row>
    <row r="844">
      <c r="A844" s="94">
        <f>IF($N844=0,"",837)</f>
      </c>
      <c r="B844" s="95">
        <f t="shared" si="6"/>
      </c>
      <c r="C844" s="96">
        <f t="shared" si="1"/>
      </c>
      <c r="D844" s="21">
        <f t="shared" si="7"/>
      </c>
      <c r="E844" s="21">
        <f t="shared" si="2"/>
      </c>
      <c r="F844" s="48">
        <f t="shared" si="8"/>
      </c>
      <c r="G844" s="94">
        <f t="shared" si="9"/>
      </c>
      <c r="H844" s="94">
        <f t="shared" si="3"/>
      </c>
      <c r="I844" s="96">
        <f t="shared" si="0"/>
      </c>
      <c r="J844" s="94">
        <f t="shared" si="4"/>
      </c>
      <c r="K844" s="94">
        <f t="shared" si="10"/>
      </c>
      <c r="L844" s="96">
        <f t="shared" si="5"/>
      </c>
      <c r="N844" s="2">
        <f>IF(837&gt;$Z$5,0,MOD(SMALL($Z$6:$Z$2005,837),10000))</f>
        <v>0</v>
      </c>
      <c r="O844" s="2">
        <f t="shared" si="11"/>
        <v>0</v>
      </c>
      <c r="Z844" s="2">
        <f>IF(AND(ISNUMBER(资金流水!$B$844),资金流水!$B$844&gt;=$C$4,资金流水!$B$844&lt;=$E$4,OR(资金流水!$C$844=$C$3,AND(资金流水!$AD$844=$C$3,资金流水!$X$844="账户互转"))),INT(资金流水!$B$844)*10000+839,"")</f>
      </c>
    </row>
    <row r="845">
      <c r="A845" s="94">
        <f>IF($N845=0,"",838)</f>
      </c>
      <c r="B845" s="95">
        <f t="shared" si="6"/>
      </c>
      <c r="C845" s="96">
        <f t="shared" si="1"/>
      </c>
      <c r="D845" s="21">
        <f t="shared" si="7"/>
      </c>
      <c r="E845" s="21">
        <f t="shared" si="2"/>
      </c>
      <c r="F845" s="48">
        <f t="shared" si="8"/>
      </c>
      <c r="G845" s="94">
        <f t="shared" si="9"/>
      </c>
      <c r="H845" s="94">
        <f t="shared" si="3"/>
      </c>
      <c r="I845" s="96">
        <f t="shared" si="0"/>
      </c>
      <c r="J845" s="94">
        <f t="shared" si="4"/>
      </c>
      <c r="K845" s="94">
        <f t="shared" si="10"/>
      </c>
      <c r="L845" s="96">
        <f t="shared" si="5"/>
      </c>
      <c r="N845" s="2">
        <f>IF(838&gt;$Z$5,0,MOD(SMALL($Z$6:$Z$2005,838),10000))</f>
        <v>0</v>
      </c>
      <c r="O845" s="2">
        <f t="shared" si="11"/>
        <v>0</v>
      </c>
      <c r="Z845" s="2">
        <f>IF(AND(ISNUMBER(资金流水!$B$845),资金流水!$B$845&gt;=$C$4,资金流水!$B$845&lt;=$E$4,OR(资金流水!$C$845=$C$3,AND(资金流水!$AD$845=$C$3,资金流水!$X$845="账户互转"))),INT(资金流水!$B$845)*10000+840,"")</f>
      </c>
    </row>
    <row r="846">
      <c r="A846" s="94">
        <f>IF($N846=0,"",839)</f>
      </c>
      <c r="B846" s="95">
        <f t="shared" si="6"/>
      </c>
      <c r="C846" s="96">
        <f t="shared" si="1"/>
      </c>
      <c r="D846" s="21">
        <f t="shared" si="7"/>
      </c>
      <c r="E846" s="21">
        <f t="shared" si="2"/>
      </c>
      <c r="F846" s="48">
        <f t="shared" si="8"/>
      </c>
      <c r="G846" s="94">
        <f t="shared" si="9"/>
      </c>
      <c r="H846" s="94">
        <f t="shared" si="3"/>
      </c>
      <c r="I846" s="96">
        <f t="shared" si="0"/>
      </c>
      <c r="J846" s="94">
        <f t="shared" si="4"/>
      </c>
      <c r="K846" s="94">
        <f t="shared" si="10"/>
      </c>
      <c r="L846" s="96">
        <f t="shared" si="5"/>
      </c>
      <c r="N846" s="2">
        <f>IF(839&gt;$Z$5,0,MOD(SMALL($Z$6:$Z$2005,839),10000))</f>
        <v>0</v>
      </c>
      <c r="O846" s="2">
        <f t="shared" si="11"/>
        <v>0</v>
      </c>
      <c r="Z846" s="2">
        <f>IF(AND(ISNUMBER(资金流水!$B$846),资金流水!$B$846&gt;=$C$4,资金流水!$B$846&lt;=$E$4,OR(资金流水!$C$846=$C$3,AND(资金流水!$AD$846=$C$3,资金流水!$X$846="账户互转"))),INT(资金流水!$B$846)*10000+841,"")</f>
      </c>
    </row>
    <row r="847">
      <c r="A847" s="94">
        <f>IF($N847=0,"",840)</f>
      </c>
      <c r="B847" s="95">
        <f t="shared" si="6"/>
      </c>
      <c r="C847" s="96">
        <f t="shared" si="1"/>
      </c>
      <c r="D847" s="21">
        <f t="shared" si="7"/>
      </c>
      <c r="E847" s="21">
        <f t="shared" si="2"/>
      </c>
      <c r="F847" s="48">
        <f t="shared" si="8"/>
      </c>
      <c r="G847" s="94">
        <f t="shared" si="9"/>
      </c>
      <c r="H847" s="94">
        <f t="shared" si="3"/>
      </c>
      <c r="I847" s="96">
        <f t="shared" si="0"/>
      </c>
      <c r="J847" s="94">
        <f t="shared" si="4"/>
      </c>
      <c r="K847" s="94">
        <f t="shared" si="10"/>
      </c>
      <c r="L847" s="96">
        <f t="shared" si="5"/>
      </c>
      <c r="N847" s="2">
        <f>IF(840&gt;$Z$5,0,MOD(SMALL($Z$6:$Z$2005,840),10000))</f>
        <v>0</v>
      </c>
      <c r="O847" s="2">
        <f t="shared" si="11"/>
        <v>0</v>
      </c>
      <c r="Z847" s="2">
        <f>IF(AND(ISNUMBER(资金流水!$B$847),资金流水!$B$847&gt;=$C$4,资金流水!$B$847&lt;=$E$4,OR(资金流水!$C$847=$C$3,AND(资金流水!$AD$847=$C$3,资金流水!$X$847="账户互转"))),INT(资金流水!$B$847)*10000+842,"")</f>
      </c>
    </row>
    <row r="848">
      <c r="A848" s="94">
        <f>IF($N848=0,"",841)</f>
      </c>
      <c r="B848" s="95">
        <f t="shared" si="6"/>
      </c>
      <c r="C848" s="96">
        <f t="shared" si="1"/>
      </c>
      <c r="D848" s="21">
        <f t="shared" si="7"/>
      </c>
      <c r="E848" s="21">
        <f t="shared" si="2"/>
      </c>
      <c r="F848" s="48">
        <f t="shared" si="8"/>
      </c>
      <c r="G848" s="94">
        <f t="shared" si="9"/>
      </c>
      <c r="H848" s="94">
        <f t="shared" si="3"/>
      </c>
      <c r="I848" s="96">
        <f t="shared" si="0"/>
      </c>
      <c r="J848" s="94">
        <f t="shared" si="4"/>
      </c>
      <c r="K848" s="94">
        <f t="shared" si="10"/>
      </c>
      <c r="L848" s="96">
        <f t="shared" si="5"/>
      </c>
      <c r="N848" s="2">
        <f>IF(841&gt;$Z$5,0,MOD(SMALL($Z$6:$Z$2005,841),10000))</f>
        <v>0</v>
      </c>
      <c r="O848" s="2">
        <f t="shared" si="11"/>
        <v>0</v>
      </c>
      <c r="Z848" s="2">
        <f>IF(AND(ISNUMBER(资金流水!$B$848),资金流水!$B$848&gt;=$C$4,资金流水!$B$848&lt;=$E$4,OR(资金流水!$C$848=$C$3,AND(资金流水!$AD$848=$C$3,资金流水!$X$848="账户互转"))),INT(资金流水!$B$848)*10000+843,"")</f>
      </c>
    </row>
    <row r="849">
      <c r="A849" s="94">
        <f>IF($N849=0,"",842)</f>
      </c>
      <c r="B849" s="95">
        <f t="shared" si="6"/>
      </c>
      <c r="C849" s="96">
        <f t="shared" si="1"/>
      </c>
      <c r="D849" s="21">
        <f t="shared" si="7"/>
      </c>
      <c r="E849" s="21">
        <f t="shared" si="2"/>
      </c>
      <c r="F849" s="48">
        <f t="shared" si="8"/>
      </c>
      <c r="G849" s="94">
        <f t="shared" si="9"/>
      </c>
      <c r="H849" s="94">
        <f t="shared" si="3"/>
      </c>
      <c r="I849" s="96">
        <f t="shared" si="0"/>
      </c>
      <c r="J849" s="94">
        <f t="shared" si="4"/>
      </c>
      <c r="K849" s="94">
        <f t="shared" si="10"/>
      </c>
      <c r="L849" s="96">
        <f t="shared" si="5"/>
      </c>
      <c r="N849" s="2">
        <f>IF(842&gt;$Z$5,0,MOD(SMALL($Z$6:$Z$2005,842),10000))</f>
        <v>0</v>
      </c>
      <c r="O849" s="2">
        <f t="shared" si="11"/>
        <v>0</v>
      </c>
      <c r="Z849" s="2">
        <f>IF(AND(ISNUMBER(资金流水!$B$849),资金流水!$B$849&gt;=$C$4,资金流水!$B$849&lt;=$E$4,OR(资金流水!$C$849=$C$3,AND(资金流水!$AD$849=$C$3,资金流水!$X$849="账户互转"))),INT(资金流水!$B$849)*10000+844,"")</f>
      </c>
    </row>
    <row r="850">
      <c r="A850" s="94">
        <f>IF($N850=0,"",843)</f>
      </c>
      <c r="B850" s="95">
        <f t="shared" si="6"/>
      </c>
      <c r="C850" s="96">
        <f t="shared" si="1"/>
      </c>
      <c r="D850" s="21">
        <f t="shared" si="7"/>
      </c>
      <c r="E850" s="21">
        <f t="shared" si="2"/>
      </c>
      <c r="F850" s="48">
        <f t="shared" si="8"/>
      </c>
      <c r="G850" s="94">
        <f t="shared" si="9"/>
      </c>
      <c r="H850" s="94">
        <f t="shared" si="3"/>
      </c>
      <c r="I850" s="96">
        <f t="shared" si="0"/>
      </c>
      <c r="J850" s="94">
        <f t="shared" si="4"/>
      </c>
      <c r="K850" s="94">
        <f t="shared" si="10"/>
      </c>
      <c r="L850" s="96">
        <f t="shared" si="5"/>
      </c>
      <c r="N850" s="2">
        <f>IF(843&gt;$Z$5,0,MOD(SMALL($Z$6:$Z$2005,843),10000))</f>
        <v>0</v>
      </c>
      <c r="O850" s="2">
        <f t="shared" si="11"/>
        <v>0</v>
      </c>
      <c r="Z850" s="2">
        <f>IF(AND(ISNUMBER(资金流水!$B$850),资金流水!$B$850&gt;=$C$4,资金流水!$B$850&lt;=$E$4,OR(资金流水!$C$850=$C$3,AND(资金流水!$AD$850=$C$3,资金流水!$X$850="账户互转"))),INT(资金流水!$B$850)*10000+845,"")</f>
      </c>
    </row>
    <row r="851">
      <c r="A851" s="94">
        <f>IF($N851=0,"",844)</f>
      </c>
      <c r="B851" s="95">
        <f t="shared" si="6"/>
      </c>
      <c r="C851" s="96">
        <f t="shared" si="1"/>
      </c>
      <c r="D851" s="21">
        <f t="shared" si="7"/>
      </c>
      <c r="E851" s="21">
        <f t="shared" si="2"/>
      </c>
      <c r="F851" s="48">
        <f t="shared" si="8"/>
      </c>
      <c r="G851" s="94">
        <f t="shared" si="9"/>
      </c>
      <c r="H851" s="94">
        <f t="shared" si="3"/>
      </c>
      <c r="I851" s="96">
        <f t="shared" si="0"/>
      </c>
      <c r="J851" s="94">
        <f t="shared" si="4"/>
      </c>
      <c r="K851" s="94">
        <f t="shared" si="10"/>
      </c>
      <c r="L851" s="96">
        <f t="shared" si="5"/>
      </c>
      <c r="N851" s="2">
        <f>IF(844&gt;$Z$5,0,MOD(SMALL($Z$6:$Z$2005,844),10000))</f>
        <v>0</v>
      </c>
      <c r="O851" s="2">
        <f t="shared" si="11"/>
        <v>0</v>
      </c>
      <c r="Z851" s="2">
        <f>IF(AND(ISNUMBER(资金流水!$B$851),资金流水!$B$851&gt;=$C$4,资金流水!$B$851&lt;=$E$4,OR(资金流水!$C$851=$C$3,AND(资金流水!$AD$851=$C$3,资金流水!$X$851="账户互转"))),INT(资金流水!$B$851)*10000+846,"")</f>
      </c>
    </row>
    <row r="852">
      <c r="A852" s="94">
        <f>IF($N852=0,"",845)</f>
      </c>
      <c r="B852" s="95">
        <f t="shared" si="6"/>
      </c>
      <c r="C852" s="96">
        <f t="shared" si="1"/>
      </c>
      <c r="D852" s="21">
        <f t="shared" si="7"/>
      </c>
      <c r="E852" s="21">
        <f t="shared" si="2"/>
      </c>
      <c r="F852" s="48">
        <f t="shared" si="8"/>
      </c>
      <c r="G852" s="94">
        <f t="shared" si="9"/>
      </c>
      <c r="H852" s="94">
        <f t="shared" si="3"/>
      </c>
      <c r="I852" s="96">
        <f t="shared" si="0"/>
      </c>
      <c r="J852" s="94">
        <f t="shared" si="4"/>
      </c>
      <c r="K852" s="94">
        <f t="shared" si="10"/>
      </c>
      <c r="L852" s="96">
        <f t="shared" si="5"/>
      </c>
      <c r="N852" s="2">
        <f>IF(845&gt;$Z$5,0,MOD(SMALL($Z$6:$Z$2005,845),10000))</f>
        <v>0</v>
      </c>
      <c r="O852" s="2">
        <f t="shared" si="11"/>
        <v>0</v>
      </c>
      <c r="Z852" s="2">
        <f>IF(AND(ISNUMBER(资金流水!$B$852),资金流水!$B$852&gt;=$C$4,资金流水!$B$852&lt;=$E$4,OR(资金流水!$C$852=$C$3,AND(资金流水!$AD$852=$C$3,资金流水!$X$852="账户互转"))),INT(资金流水!$B$852)*10000+847,"")</f>
      </c>
    </row>
    <row r="853">
      <c r="A853" s="94">
        <f>IF($N853=0,"",846)</f>
      </c>
      <c r="B853" s="95">
        <f t="shared" si="6"/>
      </c>
      <c r="C853" s="96">
        <f t="shared" si="1"/>
      </c>
      <c r="D853" s="21">
        <f t="shared" si="7"/>
      </c>
      <c r="E853" s="21">
        <f t="shared" si="2"/>
      </c>
      <c r="F853" s="48">
        <f t="shared" si="8"/>
      </c>
      <c r="G853" s="94">
        <f t="shared" si="9"/>
      </c>
      <c r="H853" s="94">
        <f t="shared" si="3"/>
      </c>
      <c r="I853" s="96">
        <f t="shared" si="0"/>
      </c>
      <c r="J853" s="94">
        <f t="shared" si="4"/>
      </c>
      <c r="K853" s="94">
        <f t="shared" si="10"/>
      </c>
      <c r="L853" s="96">
        <f t="shared" si="5"/>
      </c>
      <c r="N853" s="2">
        <f>IF(846&gt;$Z$5,0,MOD(SMALL($Z$6:$Z$2005,846),10000))</f>
        <v>0</v>
      </c>
      <c r="O853" s="2">
        <f t="shared" si="11"/>
        <v>0</v>
      </c>
      <c r="Z853" s="2">
        <f>IF(AND(ISNUMBER(资金流水!$B$853),资金流水!$B$853&gt;=$C$4,资金流水!$B$853&lt;=$E$4,OR(资金流水!$C$853=$C$3,AND(资金流水!$AD$853=$C$3,资金流水!$X$853="账户互转"))),INT(资金流水!$B$853)*10000+848,"")</f>
      </c>
    </row>
    <row r="854">
      <c r="A854" s="94">
        <f>IF($N854=0,"",847)</f>
      </c>
      <c r="B854" s="95">
        <f t="shared" si="6"/>
      </c>
      <c r="C854" s="96">
        <f t="shared" si="1"/>
      </c>
      <c r="D854" s="21">
        <f t="shared" si="7"/>
      </c>
      <c r="E854" s="21">
        <f t="shared" si="2"/>
      </c>
      <c r="F854" s="48">
        <f t="shared" si="8"/>
      </c>
      <c r="G854" s="94">
        <f t="shared" si="9"/>
      </c>
      <c r="H854" s="94">
        <f t="shared" si="3"/>
      </c>
      <c r="I854" s="96">
        <f t="shared" si="0"/>
      </c>
      <c r="J854" s="94">
        <f t="shared" si="4"/>
      </c>
      <c r="K854" s="94">
        <f t="shared" si="10"/>
      </c>
      <c r="L854" s="96">
        <f t="shared" si="5"/>
      </c>
      <c r="N854" s="2">
        <f>IF(847&gt;$Z$5,0,MOD(SMALL($Z$6:$Z$2005,847),10000))</f>
        <v>0</v>
      </c>
      <c r="O854" s="2">
        <f t="shared" si="11"/>
        <v>0</v>
      </c>
      <c r="Z854" s="2">
        <f>IF(AND(ISNUMBER(资金流水!$B$854),资金流水!$B$854&gt;=$C$4,资金流水!$B$854&lt;=$E$4,OR(资金流水!$C$854=$C$3,AND(资金流水!$AD$854=$C$3,资金流水!$X$854="账户互转"))),INT(资金流水!$B$854)*10000+849,"")</f>
      </c>
    </row>
    <row r="855">
      <c r="A855" s="94">
        <f>IF($N855=0,"",848)</f>
      </c>
      <c r="B855" s="95">
        <f t="shared" si="6"/>
      </c>
      <c r="C855" s="96">
        <f t="shared" si="1"/>
      </c>
      <c r="D855" s="21">
        <f t="shared" si="7"/>
      </c>
      <c r="E855" s="21">
        <f t="shared" si="2"/>
      </c>
      <c r="F855" s="48">
        <f t="shared" si="8"/>
      </c>
      <c r="G855" s="94">
        <f t="shared" si="9"/>
      </c>
      <c r="H855" s="94">
        <f t="shared" si="3"/>
      </c>
      <c r="I855" s="96">
        <f t="shared" si="0"/>
      </c>
      <c r="J855" s="94">
        <f t="shared" si="4"/>
      </c>
      <c r="K855" s="94">
        <f t="shared" si="10"/>
      </c>
      <c r="L855" s="96">
        <f t="shared" si="5"/>
      </c>
      <c r="N855" s="2">
        <f>IF(848&gt;$Z$5,0,MOD(SMALL($Z$6:$Z$2005,848),10000))</f>
        <v>0</v>
      </c>
      <c r="O855" s="2">
        <f t="shared" si="11"/>
        <v>0</v>
      </c>
      <c r="Z855" s="2">
        <f>IF(AND(ISNUMBER(资金流水!$B$855),资金流水!$B$855&gt;=$C$4,资金流水!$B$855&lt;=$E$4,OR(资金流水!$C$855=$C$3,AND(资金流水!$AD$855=$C$3,资金流水!$X$855="账户互转"))),INT(资金流水!$B$855)*10000+850,"")</f>
      </c>
    </row>
    <row r="856">
      <c r="A856" s="94">
        <f>IF($N856=0,"",849)</f>
      </c>
      <c r="B856" s="95">
        <f t="shared" si="6"/>
      </c>
      <c r="C856" s="96">
        <f t="shared" si="1"/>
      </c>
      <c r="D856" s="21">
        <f t="shared" si="7"/>
      </c>
      <c r="E856" s="21">
        <f t="shared" si="2"/>
      </c>
      <c r="F856" s="48">
        <f t="shared" si="8"/>
      </c>
      <c r="G856" s="94">
        <f t="shared" si="9"/>
      </c>
      <c r="H856" s="94">
        <f t="shared" si="3"/>
      </c>
      <c r="I856" s="96">
        <f t="shared" si="0"/>
      </c>
      <c r="J856" s="94">
        <f t="shared" si="4"/>
      </c>
      <c r="K856" s="94">
        <f t="shared" si="10"/>
      </c>
      <c r="L856" s="96">
        <f t="shared" si="5"/>
      </c>
      <c r="N856" s="2">
        <f>IF(849&gt;$Z$5,0,MOD(SMALL($Z$6:$Z$2005,849),10000))</f>
        <v>0</v>
      </c>
      <c r="O856" s="2">
        <f t="shared" si="11"/>
        <v>0</v>
      </c>
      <c r="Z856" s="2">
        <f>IF(AND(ISNUMBER(资金流水!$B$856),资金流水!$B$856&gt;=$C$4,资金流水!$B$856&lt;=$E$4,OR(资金流水!$C$856=$C$3,AND(资金流水!$AD$856=$C$3,资金流水!$X$856="账户互转"))),INT(资金流水!$B$856)*10000+851,"")</f>
      </c>
    </row>
    <row r="857">
      <c r="A857" s="94">
        <f>IF($N857=0,"",850)</f>
      </c>
      <c r="B857" s="95">
        <f t="shared" si="6"/>
      </c>
      <c r="C857" s="96">
        <f t="shared" si="1"/>
      </c>
      <c r="D857" s="21">
        <f t="shared" si="7"/>
      </c>
      <c r="E857" s="21">
        <f t="shared" si="2"/>
      </c>
      <c r="F857" s="48">
        <f t="shared" si="8"/>
      </c>
      <c r="G857" s="94">
        <f t="shared" si="9"/>
      </c>
      <c r="H857" s="94">
        <f t="shared" si="3"/>
      </c>
      <c r="I857" s="96">
        <f t="shared" si="0"/>
      </c>
      <c r="J857" s="94">
        <f t="shared" si="4"/>
      </c>
      <c r="K857" s="94">
        <f t="shared" si="10"/>
      </c>
      <c r="L857" s="96">
        <f t="shared" si="5"/>
      </c>
      <c r="N857" s="2">
        <f>IF(850&gt;$Z$5,0,MOD(SMALL($Z$6:$Z$2005,850),10000))</f>
        <v>0</v>
      </c>
      <c r="O857" s="2">
        <f t="shared" si="11"/>
        <v>0</v>
      </c>
      <c r="Z857" s="2">
        <f>IF(AND(ISNUMBER(资金流水!$B$857),资金流水!$B$857&gt;=$C$4,资金流水!$B$857&lt;=$E$4,OR(资金流水!$C$857=$C$3,AND(资金流水!$AD$857=$C$3,资金流水!$X$857="账户互转"))),INT(资金流水!$B$857)*10000+852,"")</f>
      </c>
    </row>
    <row r="858">
      <c r="A858" s="94">
        <f>IF($N858=0,"",851)</f>
      </c>
      <c r="B858" s="95">
        <f t="shared" si="6"/>
      </c>
      <c r="C858" s="96">
        <f t="shared" si="1"/>
      </c>
      <c r="D858" s="21">
        <f t="shared" si="7"/>
      </c>
      <c r="E858" s="21">
        <f t="shared" si="2"/>
      </c>
      <c r="F858" s="48">
        <f t="shared" si="8"/>
      </c>
      <c r="G858" s="94">
        <f t="shared" si="9"/>
      </c>
      <c r="H858" s="94">
        <f t="shared" si="3"/>
      </c>
      <c r="I858" s="96">
        <f t="shared" si="0"/>
      </c>
      <c r="J858" s="94">
        <f t="shared" si="4"/>
      </c>
      <c r="K858" s="94">
        <f t="shared" si="10"/>
      </c>
      <c r="L858" s="96">
        <f t="shared" si="5"/>
      </c>
      <c r="N858" s="2">
        <f>IF(851&gt;$Z$5,0,MOD(SMALL($Z$6:$Z$2005,851),10000))</f>
        <v>0</v>
      </c>
      <c r="O858" s="2">
        <f t="shared" si="11"/>
        <v>0</v>
      </c>
      <c r="Z858" s="2">
        <f>IF(AND(ISNUMBER(资金流水!$B$858),资金流水!$B$858&gt;=$C$4,资金流水!$B$858&lt;=$E$4,OR(资金流水!$C$858=$C$3,AND(资金流水!$AD$858=$C$3,资金流水!$X$858="账户互转"))),INT(资金流水!$B$858)*10000+853,"")</f>
      </c>
    </row>
    <row r="859">
      <c r="A859" s="94">
        <f>IF($N859=0,"",852)</f>
      </c>
      <c r="B859" s="95">
        <f t="shared" si="6"/>
      </c>
      <c r="C859" s="96">
        <f t="shared" si="1"/>
      </c>
      <c r="D859" s="21">
        <f t="shared" si="7"/>
      </c>
      <c r="E859" s="21">
        <f t="shared" si="2"/>
      </c>
      <c r="F859" s="48">
        <f t="shared" si="8"/>
      </c>
      <c r="G859" s="94">
        <f t="shared" si="9"/>
      </c>
      <c r="H859" s="94">
        <f t="shared" si="3"/>
      </c>
      <c r="I859" s="96">
        <f t="shared" si="0"/>
      </c>
      <c r="J859" s="94">
        <f t="shared" si="4"/>
      </c>
      <c r="K859" s="94">
        <f t="shared" si="10"/>
      </c>
      <c r="L859" s="96">
        <f t="shared" si="5"/>
      </c>
      <c r="N859" s="2">
        <f>IF(852&gt;$Z$5,0,MOD(SMALL($Z$6:$Z$2005,852),10000))</f>
        <v>0</v>
      </c>
      <c r="O859" s="2">
        <f t="shared" si="11"/>
        <v>0</v>
      </c>
      <c r="Z859" s="2">
        <f>IF(AND(ISNUMBER(资金流水!$B$859),资金流水!$B$859&gt;=$C$4,资金流水!$B$859&lt;=$E$4,OR(资金流水!$C$859=$C$3,AND(资金流水!$AD$859=$C$3,资金流水!$X$859="账户互转"))),INT(资金流水!$B$859)*10000+854,"")</f>
      </c>
    </row>
    <row r="860">
      <c r="A860" s="94">
        <f>IF($N860=0,"",853)</f>
      </c>
      <c r="B860" s="95">
        <f t="shared" si="6"/>
      </c>
      <c r="C860" s="96">
        <f t="shared" si="1"/>
      </c>
      <c r="D860" s="21">
        <f t="shared" si="7"/>
      </c>
      <c r="E860" s="21">
        <f t="shared" si="2"/>
      </c>
      <c r="F860" s="48">
        <f t="shared" si="8"/>
      </c>
      <c r="G860" s="94">
        <f t="shared" si="9"/>
      </c>
      <c r="H860" s="94">
        <f t="shared" si="3"/>
      </c>
      <c r="I860" s="96">
        <f t="shared" si="0"/>
      </c>
      <c r="J860" s="94">
        <f t="shared" si="4"/>
      </c>
      <c r="K860" s="94">
        <f t="shared" si="10"/>
      </c>
      <c r="L860" s="96">
        <f t="shared" si="5"/>
      </c>
      <c r="N860" s="2">
        <f>IF(853&gt;$Z$5,0,MOD(SMALL($Z$6:$Z$2005,853),10000))</f>
        <v>0</v>
      </c>
      <c r="O860" s="2">
        <f t="shared" si="11"/>
        <v>0</v>
      </c>
      <c r="Z860" s="2">
        <f>IF(AND(ISNUMBER(资金流水!$B$860),资金流水!$B$860&gt;=$C$4,资金流水!$B$860&lt;=$E$4,OR(资金流水!$C$860=$C$3,AND(资金流水!$AD$860=$C$3,资金流水!$X$860="账户互转"))),INT(资金流水!$B$860)*10000+855,"")</f>
      </c>
    </row>
    <row r="861">
      <c r="A861" s="94">
        <f>IF($N861=0,"",854)</f>
      </c>
      <c r="B861" s="95">
        <f t="shared" si="6"/>
      </c>
      <c r="C861" s="96">
        <f t="shared" si="1"/>
      </c>
      <c r="D861" s="21">
        <f t="shared" si="7"/>
      </c>
      <c r="E861" s="21">
        <f t="shared" si="2"/>
      </c>
      <c r="F861" s="48">
        <f t="shared" si="8"/>
      </c>
      <c r="G861" s="94">
        <f t="shared" si="9"/>
      </c>
      <c r="H861" s="94">
        <f t="shared" si="3"/>
      </c>
      <c r="I861" s="96">
        <f t="shared" si="0"/>
      </c>
      <c r="J861" s="94">
        <f t="shared" si="4"/>
      </c>
      <c r="K861" s="94">
        <f t="shared" si="10"/>
      </c>
      <c r="L861" s="96">
        <f t="shared" si="5"/>
      </c>
      <c r="N861" s="2">
        <f>IF(854&gt;$Z$5,0,MOD(SMALL($Z$6:$Z$2005,854),10000))</f>
        <v>0</v>
      </c>
      <c r="O861" s="2">
        <f t="shared" si="11"/>
        <v>0</v>
      </c>
      <c r="Z861" s="2">
        <f>IF(AND(ISNUMBER(资金流水!$B$861),资金流水!$B$861&gt;=$C$4,资金流水!$B$861&lt;=$E$4,OR(资金流水!$C$861=$C$3,AND(资金流水!$AD$861=$C$3,资金流水!$X$861="账户互转"))),INT(资金流水!$B$861)*10000+856,"")</f>
      </c>
    </row>
    <row r="862">
      <c r="A862" s="94">
        <f>IF($N862=0,"",855)</f>
      </c>
      <c r="B862" s="95">
        <f t="shared" si="6"/>
      </c>
      <c r="C862" s="96">
        <f t="shared" si="1"/>
      </c>
      <c r="D862" s="21">
        <f t="shared" si="7"/>
      </c>
      <c r="E862" s="21">
        <f t="shared" si="2"/>
      </c>
      <c r="F862" s="48">
        <f t="shared" si="8"/>
      </c>
      <c r="G862" s="94">
        <f t="shared" si="9"/>
      </c>
      <c r="H862" s="94">
        <f t="shared" si="3"/>
      </c>
      <c r="I862" s="96">
        <f t="shared" si="0"/>
      </c>
      <c r="J862" s="94">
        <f t="shared" si="4"/>
      </c>
      <c r="K862" s="94">
        <f t="shared" si="10"/>
      </c>
      <c r="L862" s="96">
        <f t="shared" si="5"/>
      </c>
      <c r="N862" s="2">
        <f>IF(855&gt;$Z$5,0,MOD(SMALL($Z$6:$Z$2005,855),10000))</f>
        <v>0</v>
      </c>
      <c r="O862" s="2">
        <f t="shared" si="11"/>
        <v>0</v>
      </c>
      <c r="Z862" s="2">
        <f>IF(AND(ISNUMBER(资金流水!$B$862),资金流水!$B$862&gt;=$C$4,资金流水!$B$862&lt;=$E$4,OR(资金流水!$C$862=$C$3,AND(资金流水!$AD$862=$C$3,资金流水!$X$862="账户互转"))),INT(资金流水!$B$862)*10000+857,"")</f>
      </c>
    </row>
    <row r="863">
      <c r="A863" s="94">
        <f>IF($N863=0,"",856)</f>
      </c>
      <c r="B863" s="95">
        <f t="shared" si="6"/>
      </c>
      <c r="C863" s="96">
        <f t="shared" si="1"/>
      </c>
      <c r="D863" s="21">
        <f t="shared" si="7"/>
      </c>
      <c r="E863" s="21">
        <f t="shared" si="2"/>
      </c>
      <c r="F863" s="48">
        <f t="shared" si="8"/>
      </c>
      <c r="G863" s="94">
        <f t="shared" si="9"/>
      </c>
      <c r="H863" s="94">
        <f t="shared" si="3"/>
      </c>
      <c r="I863" s="96">
        <f t="shared" si="0"/>
      </c>
      <c r="J863" s="94">
        <f t="shared" si="4"/>
      </c>
      <c r="K863" s="94">
        <f t="shared" si="10"/>
      </c>
      <c r="L863" s="96">
        <f t="shared" si="5"/>
      </c>
      <c r="N863" s="2">
        <f>IF(856&gt;$Z$5,0,MOD(SMALL($Z$6:$Z$2005,856),10000))</f>
        <v>0</v>
      </c>
      <c r="O863" s="2">
        <f t="shared" si="11"/>
        <v>0</v>
      </c>
      <c r="Z863" s="2">
        <f>IF(AND(ISNUMBER(资金流水!$B$863),资金流水!$B$863&gt;=$C$4,资金流水!$B$863&lt;=$E$4,OR(资金流水!$C$863=$C$3,AND(资金流水!$AD$863=$C$3,资金流水!$X$863="账户互转"))),INT(资金流水!$B$863)*10000+858,"")</f>
      </c>
    </row>
    <row r="864">
      <c r="A864" s="94">
        <f>IF($N864=0,"",857)</f>
      </c>
      <c r="B864" s="95">
        <f t="shared" si="6"/>
      </c>
      <c r="C864" s="96">
        <f t="shared" si="1"/>
      </c>
      <c r="D864" s="21">
        <f t="shared" si="7"/>
      </c>
      <c r="E864" s="21">
        <f t="shared" si="2"/>
      </c>
      <c r="F864" s="48">
        <f t="shared" si="8"/>
      </c>
      <c r="G864" s="94">
        <f t="shared" si="9"/>
      </c>
      <c r="H864" s="94">
        <f t="shared" si="3"/>
      </c>
      <c r="I864" s="96">
        <f t="shared" si="0"/>
      </c>
      <c r="J864" s="94">
        <f t="shared" si="4"/>
      </c>
      <c r="K864" s="94">
        <f t="shared" si="10"/>
      </c>
      <c r="L864" s="96">
        <f t="shared" si="5"/>
      </c>
      <c r="N864" s="2">
        <f>IF(857&gt;$Z$5,0,MOD(SMALL($Z$6:$Z$2005,857),10000))</f>
        <v>0</v>
      </c>
      <c r="O864" s="2">
        <f t="shared" si="11"/>
        <v>0</v>
      </c>
      <c r="Z864" s="2">
        <f>IF(AND(ISNUMBER(资金流水!$B$864),资金流水!$B$864&gt;=$C$4,资金流水!$B$864&lt;=$E$4,OR(资金流水!$C$864=$C$3,AND(资金流水!$AD$864=$C$3,资金流水!$X$864="账户互转"))),INT(资金流水!$B$864)*10000+859,"")</f>
      </c>
    </row>
    <row r="865">
      <c r="A865" s="94">
        <f>IF($N865=0,"",858)</f>
      </c>
      <c r="B865" s="95">
        <f t="shared" si="6"/>
      </c>
      <c r="C865" s="96">
        <f t="shared" si="1"/>
      </c>
      <c r="D865" s="21">
        <f t="shared" si="7"/>
      </c>
      <c r="E865" s="21">
        <f t="shared" si="2"/>
      </c>
      <c r="F865" s="48">
        <f t="shared" si="8"/>
      </c>
      <c r="G865" s="94">
        <f t="shared" si="9"/>
      </c>
      <c r="H865" s="94">
        <f t="shared" si="3"/>
      </c>
      <c r="I865" s="96">
        <f t="shared" si="0"/>
      </c>
      <c r="J865" s="94">
        <f t="shared" si="4"/>
      </c>
      <c r="K865" s="94">
        <f t="shared" si="10"/>
      </c>
      <c r="L865" s="96">
        <f t="shared" si="5"/>
      </c>
      <c r="N865" s="2">
        <f>IF(858&gt;$Z$5,0,MOD(SMALL($Z$6:$Z$2005,858),10000))</f>
        <v>0</v>
      </c>
      <c r="O865" s="2">
        <f t="shared" si="11"/>
        <v>0</v>
      </c>
      <c r="Z865" s="2">
        <f>IF(AND(ISNUMBER(资金流水!$B$865),资金流水!$B$865&gt;=$C$4,资金流水!$B$865&lt;=$E$4,OR(资金流水!$C$865=$C$3,AND(资金流水!$AD$865=$C$3,资金流水!$X$865="账户互转"))),INT(资金流水!$B$865)*10000+860,"")</f>
      </c>
    </row>
    <row r="866">
      <c r="A866" s="94">
        <f>IF($N866=0,"",859)</f>
      </c>
      <c r="B866" s="95">
        <f t="shared" si="6"/>
      </c>
      <c r="C866" s="96">
        <f t="shared" si="1"/>
      </c>
      <c r="D866" s="21">
        <f t="shared" si="7"/>
      </c>
      <c r="E866" s="21">
        <f t="shared" si="2"/>
      </c>
      <c r="F866" s="48">
        <f t="shared" si="8"/>
      </c>
      <c r="G866" s="94">
        <f t="shared" si="9"/>
      </c>
      <c r="H866" s="94">
        <f t="shared" si="3"/>
      </c>
      <c r="I866" s="96">
        <f t="shared" si="0"/>
      </c>
      <c r="J866" s="94">
        <f t="shared" si="4"/>
      </c>
      <c r="K866" s="94">
        <f t="shared" si="10"/>
      </c>
      <c r="L866" s="96">
        <f t="shared" si="5"/>
      </c>
      <c r="N866" s="2">
        <f>IF(859&gt;$Z$5,0,MOD(SMALL($Z$6:$Z$2005,859),10000))</f>
        <v>0</v>
      </c>
      <c r="O866" s="2">
        <f t="shared" si="11"/>
        <v>0</v>
      </c>
      <c r="Z866" s="2">
        <f>IF(AND(ISNUMBER(资金流水!$B$866),资金流水!$B$866&gt;=$C$4,资金流水!$B$866&lt;=$E$4,OR(资金流水!$C$866=$C$3,AND(资金流水!$AD$866=$C$3,资金流水!$X$866="账户互转"))),INT(资金流水!$B$866)*10000+861,"")</f>
      </c>
    </row>
    <row r="867">
      <c r="A867" s="94">
        <f>IF($N867=0,"",860)</f>
      </c>
      <c r="B867" s="95">
        <f t="shared" si="6"/>
      </c>
      <c r="C867" s="96">
        <f t="shared" si="1"/>
      </c>
      <c r="D867" s="21">
        <f t="shared" si="7"/>
      </c>
      <c r="E867" s="21">
        <f t="shared" si="2"/>
      </c>
      <c r="F867" s="48">
        <f t="shared" si="8"/>
      </c>
      <c r="G867" s="94">
        <f t="shared" si="9"/>
      </c>
      <c r="H867" s="94">
        <f t="shared" si="3"/>
      </c>
      <c r="I867" s="96">
        <f t="shared" si="0"/>
      </c>
      <c r="J867" s="94">
        <f t="shared" si="4"/>
      </c>
      <c r="K867" s="94">
        <f t="shared" si="10"/>
      </c>
      <c r="L867" s="96">
        <f t="shared" si="5"/>
      </c>
      <c r="N867" s="2">
        <f>IF(860&gt;$Z$5,0,MOD(SMALL($Z$6:$Z$2005,860),10000))</f>
        <v>0</v>
      </c>
      <c r="O867" s="2">
        <f t="shared" si="11"/>
        <v>0</v>
      </c>
      <c r="Z867" s="2">
        <f>IF(AND(ISNUMBER(资金流水!$B$867),资金流水!$B$867&gt;=$C$4,资金流水!$B$867&lt;=$E$4,OR(资金流水!$C$867=$C$3,AND(资金流水!$AD$867=$C$3,资金流水!$X$867="账户互转"))),INT(资金流水!$B$867)*10000+862,"")</f>
      </c>
    </row>
    <row r="868">
      <c r="A868" s="94">
        <f>IF($N868=0,"",861)</f>
      </c>
      <c r="B868" s="95">
        <f t="shared" si="6"/>
      </c>
      <c r="C868" s="96">
        <f t="shared" si="1"/>
      </c>
      <c r="D868" s="21">
        <f t="shared" si="7"/>
      </c>
      <c r="E868" s="21">
        <f t="shared" si="2"/>
      </c>
      <c r="F868" s="48">
        <f t="shared" si="8"/>
      </c>
      <c r="G868" s="94">
        <f t="shared" si="9"/>
      </c>
      <c r="H868" s="94">
        <f t="shared" si="3"/>
      </c>
      <c r="I868" s="96">
        <f t="shared" si="0"/>
      </c>
      <c r="J868" s="94">
        <f t="shared" si="4"/>
      </c>
      <c r="K868" s="94">
        <f t="shared" si="10"/>
      </c>
      <c r="L868" s="96">
        <f t="shared" si="5"/>
      </c>
      <c r="N868" s="2">
        <f>IF(861&gt;$Z$5,0,MOD(SMALL($Z$6:$Z$2005,861),10000))</f>
        <v>0</v>
      </c>
      <c r="O868" s="2">
        <f t="shared" si="11"/>
        <v>0</v>
      </c>
      <c r="Z868" s="2">
        <f>IF(AND(ISNUMBER(资金流水!$B$868),资金流水!$B$868&gt;=$C$4,资金流水!$B$868&lt;=$E$4,OR(资金流水!$C$868=$C$3,AND(资金流水!$AD$868=$C$3,资金流水!$X$868="账户互转"))),INT(资金流水!$B$868)*10000+863,"")</f>
      </c>
    </row>
    <row r="869">
      <c r="A869" s="94">
        <f>IF($N869=0,"",862)</f>
      </c>
      <c r="B869" s="95">
        <f t="shared" si="6"/>
      </c>
      <c r="C869" s="96">
        <f t="shared" si="1"/>
      </c>
      <c r="D869" s="21">
        <f t="shared" si="7"/>
      </c>
      <c r="E869" s="21">
        <f t="shared" si="2"/>
      </c>
      <c r="F869" s="48">
        <f t="shared" si="8"/>
      </c>
      <c r="G869" s="94">
        <f t="shared" si="9"/>
      </c>
      <c r="H869" s="94">
        <f t="shared" si="3"/>
      </c>
      <c r="I869" s="96">
        <f t="shared" si="0"/>
      </c>
      <c r="J869" s="94">
        <f t="shared" si="4"/>
      </c>
      <c r="K869" s="94">
        <f t="shared" si="10"/>
      </c>
      <c r="L869" s="96">
        <f t="shared" si="5"/>
      </c>
      <c r="N869" s="2">
        <f>IF(862&gt;$Z$5,0,MOD(SMALL($Z$6:$Z$2005,862),10000))</f>
        <v>0</v>
      </c>
      <c r="O869" s="2">
        <f t="shared" si="11"/>
        <v>0</v>
      </c>
      <c r="Z869" s="2">
        <f>IF(AND(ISNUMBER(资金流水!$B$869),资金流水!$B$869&gt;=$C$4,资金流水!$B$869&lt;=$E$4,OR(资金流水!$C$869=$C$3,AND(资金流水!$AD$869=$C$3,资金流水!$X$869="账户互转"))),INT(资金流水!$B$869)*10000+864,"")</f>
      </c>
    </row>
    <row r="870">
      <c r="A870" s="94">
        <f>IF($N870=0,"",863)</f>
      </c>
      <c r="B870" s="95">
        <f t="shared" si="6"/>
      </c>
      <c r="C870" s="96">
        <f t="shared" si="1"/>
      </c>
      <c r="D870" s="21">
        <f t="shared" si="7"/>
      </c>
      <c r="E870" s="21">
        <f t="shared" si="2"/>
      </c>
      <c r="F870" s="48">
        <f t="shared" si="8"/>
      </c>
      <c r="G870" s="94">
        <f t="shared" si="9"/>
      </c>
      <c r="H870" s="94">
        <f t="shared" si="3"/>
      </c>
      <c r="I870" s="96">
        <f t="shared" si="0"/>
      </c>
      <c r="J870" s="94">
        <f t="shared" si="4"/>
      </c>
      <c r="K870" s="94">
        <f t="shared" si="10"/>
      </c>
      <c r="L870" s="96">
        <f t="shared" si="5"/>
      </c>
      <c r="N870" s="2">
        <f>IF(863&gt;$Z$5,0,MOD(SMALL($Z$6:$Z$2005,863),10000))</f>
        <v>0</v>
      </c>
      <c r="O870" s="2">
        <f t="shared" si="11"/>
        <v>0</v>
      </c>
      <c r="Z870" s="2">
        <f>IF(AND(ISNUMBER(资金流水!$B$870),资金流水!$B$870&gt;=$C$4,资金流水!$B$870&lt;=$E$4,OR(资金流水!$C$870=$C$3,AND(资金流水!$AD$870=$C$3,资金流水!$X$870="账户互转"))),INT(资金流水!$B$870)*10000+865,"")</f>
      </c>
    </row>
    <row r="871">
      <c r="A871" s="94">
        <f>IF($N871=0,"",864)</f>
      </c>
      <c r="B871" s="95">
        <f t="shared" si="6"/>
      </c>
      <c r="C871" s="96">
        <f t="shared" si="1"/>
      </c>
      <c r="D871" s="21">
        <f t="shared" si="7"/>
      </c>
      <c r="E871" s="21">
        <f t="shared" si="2"/>
      </c>
      <c r="F871" s="48">
        <f t="shared" si="8"/>
      </c>
      <c r="G871" s="94">
        <f t="shared" si="9"/>
      </c>
      <c r="H871" s="94">
        <f t="shared" si="3"/>
      </c>
      <c r="I871" s="96">
        <f t="shared" si="0"/>
      </c>
      <c r="J871" s="94">
        <f t="shared" si="4"/>
      </c>
      <c r="K871" s="94">
        <f t="shared" si="10"/>
      </c>
      <c r="L871" s="96">
        <f t="shared" si="5"/>
      </c>
      <c r="N871" s="2">
        <f>IF(864&gt;$Z$5,0,MOD(SMALL($Z$6:$Z$2005,864),10000))</f>
        <v>0</v>
      </c>
      <c r="O871" s="2">
        <f t="shared" si="11"/>
        <v>0</v>
      </c>
      <c r="Z871" s="2">
        <f>IF(AND(ISNUMBER(资金流水!$B$871),资金流水!$B$871&gt;=$C$4,资金流水!$B$871&lt;=$E$4,OR(资金流水!$C$871=$C$3,AND(资金流水!$AD$871=$C$3,资金流水!$X$871="账户互转"))),INT(资金流水!$B$871)*10000+866,"")</f>
      </c>
    </row>
    <row r="872">
      <c r="A872" s="94">
        <f>IF($N872=0,"",865)</f>
      </c>
      <c r="B872" s="95">
        <f t="shared" si="6"/>
      </c>
      <c r="C872" s="96">
        <f t="shared" si="1"/>
      </c>
      <c r="D872" s="21">
        <f t="shared" si="7"/>
      </c>
      <c r="E872" s="21">
        <f t="shared" si="2"/>
      </c>
      <c r="F872" s="48">
        <f t="shared" si="8"/>
      </c>
      <c r="G872" s="94">
        <f t="shared" si="9"/>
      </c>
      <c r="H872" s="94">
        <f t="shared" si="3"/>
      </c>
      <c r="I872" s="96">
        <f t="shared" si="0"/>
      </c>
      <c r="J872" s="94">
        <f t="shared" si="4"/>
      </c>
      <c r="K872" s="94">
        <f t="shared" si="10"/>
      </c>
      <c r="L872" s="96">
        <f t="shared" si="5"/>
      </c>
      <c r="N872" s="2">
        <f>IF(865&gt;$Z$5,0,MOD(SMALL($Z$6:$Z$2005,865),10000))</f>
        <v>0</v>
      </c>
      <c r="O872" s="2">
        <f t="shared" si="11"/>
        <v>0</v>
      </c>
      <c r="Z872" s="2">
        <f>IF(AND(ISNUMBER(资金流水!$B$872),资金流水!$B$872&gt;=$C$4,资金流水!$B$872&lt;=$E$4,OR(资金流水!$C$872=$C$3,AND(资金流水!$AD$872=$C$3,资金流水!$X$872="账户互转"))),INT(资金流水!$B$872)*10000+867,"")</f>
      </c>
    </row>
    <row r="873">
      <c r="A873" s="94">
        <f>IF($N873=0,"",866)</f>
      </c>
      <c r="B873" s="95">
        <f t="shared" si="6"/>
      </c>
      <c r="C873" s="96">
        <f t="shared" si="1"/>
      </c>
      <c r="D873" s="21">
        <f t="shared" si="7"/>
      </c>
      <c r="E873" s="21">
        <f t="shared" si="2"/>
      </c>
      <c r="F873" s="48">
        <f t="shared" si="8"/>
      </c>
      <c r="G873" s="94">
        <f t="shared" si="9"/>
      </c>
      <c r="H873" s="94">
        <f t="shared" si="3"/>
      </c>
      <c r="I873" s="96">
        <f t="shared" si="0"/>
      </c>
      <c r="J873" s="94">
        <f t="shared" si="4"/>
      </c>
      <c r="K873" s="94">
        <f t="shared" si="10"/>
      </c>
      <c r="L873" s="96">
        <f t="shared" si="5"/>
      </c>
      <c r="N873" s="2">
        <f>IF(866&gt;$Z$5,0,MOD(SMALL($Z$6:$Z$2005,866),10000))</f>
        <v>0</v>
      </c>
      <c r="O873" s="2">
        <f t="shared" si="11"/>
        <v>0</v>
      </c>
      <c r="Z873" s="2">
        <f>IF(AND(ISNUMBER(资金流水!$B$873),资金流水!$B$873&gt;=$C$4,资金流水!$B$873&lt;=$E$4,OR(资金流水!$C$873=$C$3,AND(资金流水!$AD$873=$C$3,资金流水!$X$873="账户互转"))),INT(资金流水!$B$873)*10000+868,"")</f>
      </c>
    </row>
    <row r="874">
      <c r="A874" s="94">
        <f>IF($N874=0,"",867)</f>
      </c>
      <c r="B874" s="95">
        <f t="shared" si="6"/>
      </c>
      <c r="C874" s="96">
        <f t="shared" si="1"/>
      </c>
      <c r="D874" s="21">
        <f t="shared" si="7"/>
      </c>
      <c r="E874" s="21">
        <f t="shared" si="2"/>
      </c>
      <c r="F874" s="48">
        <f t="shared" si="8"/>
      </c>
      <c r="G874" s="94">
        <f t="shared" si="9"/>
      </c>
      <c r="H874" s="94">
        <f t="shared" si="3"/>
      </c>
      <c r="I874" s="96">
        <f t="shared" si="0"/>
      </c>
      <c r="J874" s="94">
        <f t="shared" si="4"/>
      </c>
      <c r="K874" s="94">
        <f t="shared" si="10"/>
      </c>
      <c r="L874" s="96">
        <f t="shared" si="5"/>
      </c>
      <c r="N874" s="2">
        <f>IF(867&gt;$Z$5,0,MOD(SMALL($Z$6:$Z$2005,867),10000))</f>
        <v>0</v>
      </c>
      <c r="O874" s="2">
        <f t="shared" si="11"/>
        <v>0</v>
      </c>
      <c r="Z874" s="2">
        <f>IF(AND(ISNUMBER(资金流水!$B$874),资金流水!$B$874&gt;=$C$4,资金流水!$B$874&lt;=$E$4,OR(资金流水!$C$874=$C$3,AND(资金流水!$AD$874=$C$3,资金流水!$X$874="账户互转"))),INT(资金流水!$B$874)*10000+869,"")</f>
      </c>
    </row>
    <row r="875">
      <c r="A875" s="94">
        <f>IF($N875=0,"",868)</f>
      </c>
      <c r="B875" s="95">
        <f t="shared" si="6"/>
      </c>
      <c r="C875" s="96">
        <f t="shared" si="1"/>
      </c>
      <c r="D875" s="21">
        <f t="shared" si="7"/>
      </c>
      <c r="E875" s="21">
        <f t="shared" si="2"/>
      </c>
      <c r="F875" s="48">
        <f t="shared" si="8"/>
      </c>
      <c r="G875" s="94">
        <f t="shared" si="9"/>
      </c>
      <c r="H875" s="94">
        <f t="shared" si="3"/>
      </c>
      <c r="I875" s="96">
        <f t="shared" si="0"/>
      </c>
      <c r="J875" s="94">
        <f t="shared" si="4"/>
      </c>
      <c r="K875" s="94">
        <f t="shared" si="10"/>
      </c>
      <c r="L875" s="96">
        <f t="shared" si="5"/>
      </c>
      <c r="N875" s="2">
        <f>IF(868&gt;$Z$5,0,MOD(SMALL($Z$6:$Z$2005,868),10000))</f>
        <v>0</v>
      </c>
      <c r="O875" s="2">
        <f t="shared" si="11"/>
        <v>0</v>
      </c>
      <c r="Z875" s="2">
        <f>IF(AND(ISNUMBER(资金流水!$B$875),资金流水!$B$875&gt;=$C$4,资金流水!$B$875&lt;=$E$4,OR(资金流水!$C$875=$C$3,AND(资金流水!$AD$875=$C$3,资金流水!$X$875="账户互转"))),INT(资金流水!$B$875)*10000+870,"")</f>
      </c>
    </row>
    <row r="876">
      <c r="A876" s="94">
        <f>IF($N876=0,"",869)</f>
      </c>
      <c r="B876" s="95">
        <f t="shared" si="6"/>
      </c>
      <c r="C876" s="96">
        <f t="shared" si="1"/>
      </c>
      <c r="D876" s="21">
        <f t="shared" si="7"/>
      </c>
      <c r="E876" s="21">
        <f t="shared" si="2"/>
      </c>
      <c r="F876" s="48">
        <f t="shared" si="8"/>
      </c>
      <c r="G876" s="94">
        <f t="shared" si="9"/>
      </c>
      <c r="H876" s="94">
        <f t="shared" si="3"/>
      </c>
      <c r="I876" s="96">
        <f t="shared" si="0"/>
      </c>
      <c r="J876" s="94">
        <f t="shared" si="4"/>
      </c>
      <c r="K876" s="94">
        <f t="shared" si="10"/>
      </c>
      <c r="L876" s="96">
        <f t="shared" si="5"/>
      </c>
      <c r="N876" s="2">
        <f>IF(869&gt;$Z$5,0,MOD(SMALL($Z$6:$Z$2005,869),10000))</f>
        <v>0</v>
      </c>
      <c r="O876" s="2">
        <f t="shared" si="11"/>
        <v>0</v>
      </c>
      <c r="Z876" s="2">
        <f>IF(AND(ISNUMBER(资金流水!$B$876),资金流水!$B$876&gt;=$C$4,资金流水!$B$876&lt;=$E$4,OR(资金流水!$C$876=$C$3,AND(资金流水!$AD$876=$C$3,资金流水!$X$876="账户互转"))),INT(资金流水!$B$876)*10000+871,"")</f>
      </c>
    </row>
    <row r="877">
      <c r="A877" s="94">
        <f>IF($N877=0,"",870)</f>
      </c>
      <c r="B877" s="95">
        <f t="shared" si="6"/>
      </c>
      <c r="C877" s="96">
        <f t="shared" si="1"/>
      </c>
      <c r="D877" s="21">
        <f t="shared" si="7"/>
      </c>
      <c r="E877" s="21">
        <f t="shared" si="2"/>
      </c>
      <c r="F877" s="48">
        <f t="shared" si="8"/>
      </c>
      <c r="G877" s="94">
        <f t="shared" si="9"/>
      </c>
      <c r="H877" s="94">
        <f t="shared" si="3"/>
      </c>
      <c r="I877" s="96">
        <f t="shared" si="0"/>
      </c>
      <c r="J877" s="94">
        <f t="shared" si="4"/>
      </c>
      <c r="K877" s="94">
        <f t="shared" si="10"/>
      </c>
      <c r="L877" s="96">
        <f t="shared" si="5"/>
      </c>
      <c r="N877" s="2">
        <f>IF(870&gt;$Z$5,0,MOD(SMALL($Z$6:$Z$2005,870),10000))</f>
        <v>0</v>
      </c>
      <c r="O877" s="2">
        <f t="shared" si="11"/>
        <v>0</v>
      </c>
      <c r="Z877" s="2">
        <f>IF(AND(ISNUMBER(资金流水!$B$877),资金流水!$B$877&gt;=$C$4,资金流水!$B$877&lt;=$E$4,OR(资金流水!$C$877=$C$3,AND(资金流水!$AD$877=$C$3,资金流水!$X$877="账户互转"))),INT(资金流水!$B$877)*10000+872,"")</f>
      </c>
    </row>
    <row r="878">
      <c r="A878" s="94">
        <f>IF($N878=0,"",871)</f>
      </c>
      <c r="B878" s="95">
        <f t="shared" si="6"/>
      </c>
      <c r="C878" s="96">
        <f t="shared" si="1"/>
      </c>
      <c r="D878" s="21">
        <f t="shared" si="7"/>
      </c>
      <c r="E878" s="21">
        <f t="shared" si="2"/>
      </c>
      <c r="F878" s="48">
        <f t="shared" si="8"/>
      </c>
      <c r="G878" s="94">
        <f t="shared" si="9"/>
      </c>
      <c r="H878" s="94">
        <f t="shared" si="3"/>
      </c>
      <c r="I878" s="96">
        <f t="shared" si="0"/>
      </c>
      <c r="J878" s="94">
        <f t="shared" si="4"/>
      </c>
      <c r="K878" s="94">
        <f t="shared" si="10"/>
      </c>
      <c r="L878" s="96">
        <f t="shared" si="5"/>
      </c>
      <c r="N878" s="2">
        <f>IF(871&gt;$Z$5,0,MOD(SMALL($Z$6:$Z$2005,871),10000))</f>
        <v>0</v>
      </c>
      <c r="O878" s="2">
        <f t="shared" si="11"/>
        <v>0</v>
      </c>
      <c r="Z878" s="2">
        <f>IF(AND(ISNUMBER(资金流水!$B$878),资金流水!$B$878&gt;=$C$4,资金流水!$B$878&lt;=$E$4,OR(资金流水!$C$878=$C$3,AND(资金流水!$AD$878=$C$3,资金流水!$X$878="账户互转"))),INT(资金流水!$B$878)*10000+873,"")</f>
      </c>
    </row>
    <row r="879">
      <c r="A879" s="94">
        <f>IF($N879=0,"",872)</f>
      </c>
      <c r="B879" s="95">
        <f t="shared" si="6"/>
      </c>
      <c r="C879" s="96">
        <f t="shared" si="1"/>
      </c>
      <c r="D879" s="21">
        <f t="shared" si="7"/>
      </c>
      <c r="E879" s="21">
        <f t="shared" si="2"/>
      </c>
      <c r="F879" s="48">
        <f t="shared" si="8"/>
      </c>
      <c r="G879" s="94">
        <f t="shared" si="9"/>
      </c>
      <c r="H879" s="94">
        <f t="shared" si="3"/>
      </c>
      <c r="I879" s="96">
        <f t="shared" si="0"/>
      </c>
      <c r="J879" s="94">
        <f t="shared" si="4"/>
      </c>
      <c r="K879" s="94">
        <f t="shared" si="10"/>
      </c>
      <c r="L879" s="96">
        <f t="shared" si="5"/>
      </c>
      <c r="N879" s="2">
        <f>IF(872&gt;$Z$5,0,MOD(SMALL($Z$6:$Z$2005,872),10000))</f>
        <v>0</v>
      </c>
      <c r="O879" s="2">
        <f t="shared" si="11"/>
        <v>0</v>
      </c>
      <c r="Z879" s="2">
        <f>IF(AND(ISNUMBER(资金流水!$B$879),资金流水!$B$879&gt;=$C$4,资金流水!$B$879&lt;=$E$4,OR(资金流水!$C$879=$C$3,AND(资金流水!$AD$879=$C$3,资金流水!$X$879="账户互转"))),INT(资金流水!$B$879)*10000+874,"")</f>
      </c>
    </row>
    <row r="880">
      <c r="A880" s="94">
        <f>IF($N880=0,"",873)</f>
      </c>
      <c r="B880" s="95">
        <f t="shared" si="6"/>
      </c>
      <c r="C880" s="96">
        <f t="shared" si="1"/>
      </c>
      <c r="D880" s="21">
        <f t="shared" si="7"/>
      </c>
      <c r="E880" s="21">
        <f t="shared" si="2"/>
      </c>
      <c r="F880" s="48">
        <f t="shared" si="8"/>
      </c>
      <c r="G880" s="94">
        <f t="shared" si="9"/>
      </c>
      <c r="H880" s="94">
        <f t="shared" si="3"/>
      </c>
      <c r="I880" s="96">
        <f t="shared" si="0"/>
      </c>
      <c r="J880" s="94">
        <f t="shared" si="4"/>
      </c>
      <c r="K880" s="94">
        <f t="shared" si="10"/>
      </c>
      <c r="L880" s="96">
        <f t="shared" si="5"/>
      </c>
      <c r="N880" s="2">
        <f>IF(873&gt;$Z$5,0,MOD(SMALL($Z$6:$Z$2005,873),10000))</f>
        <v>0</v>
      </c>
      <c r="O880" s="2">
        <f t="shared" si="11"/>
        <v>0</v>
      </c>
      <c r="Z880" s="2">
        <f>IF(AND(ISNUMBER(资金流水!$B$880),资金流水!$B$880&gt;=$C$4,资金流水!$B$880&lt;=$E$4,OR(资金流水!$C$880=$C$3,AND(资金流水!$AD$880=$C$3,资金流水!$X$880="账户互转"))),INT(资金流水!$B$880)*10000+875,"")</f>
      </c>
    </row>
    <row r="881">
      <c r="A881" s="94">
        <f>IF($N881=0,"",874)</f>
      </c>
      <c r="B881" s="95">
        <f t="shared" si="6"/>
      </c>
      <c r="C881" s="96">
        <f t="shared" si="1"/>
      </c>
      <c r="D881" s="21">
        <f t="shared" si="7"/>
      </c>
      <c r="E881" s="21">
        <f t="shared" si="2"/>
      </c>
      <c r="F881" s="48">
        <f t="shared" si="8"/>
      </c>
      <c r="G881" s="94">
        <f t="shared" si="9"/>
      </c>
      <c r="H881" s="94">
        <f t="shared" si="3"/>
      </c>
      <c r="I881" s="96">
        <f t="shared" si="0"/>
      </c>
      <c r="J881" s="94">
        <f t="shared" si="4"/>
      </c>
      <c r="K881" s="94">
        <f t="shared" si="10"/>
      </c>
      <c r="L881" s="96">
        <f t="shared" si="5"/>
      </c>
      <c r="N881" s="2">
        <f>IF(874&gt;$Z$5,0,MOD(SMALL($Z$6:$Z$2005,874),10000))</f>
        <v>0</v>
      </c>
      <c r="O881" s="2">
        <f t="shared" si="11"/>
        <v>0</v>
      </c>
      <c r="Z881" s="2">
        <f>IF(AND(ISNUMBER(资金流水!$B$881),资金流水!$B$881&gt;=$C$4,资金流水!$B$881&lt;=$E$4,OR(资金流水!$C$881=$C$3,AND(资金流水!$AD$881=$C$3,资金流水!$X$881="账户互转"))),INT(资金流水!$B$881)*10000+876,"")</f>
      </c>
    </row>
    <row r="882">
      <c r="A882" s="94">
        <f>IF($N882=0,"",875)</f>
      </c>
      <c r="B882" s="95">
        <f t="shared" si="6"/>
      </c>
      <c r="C882" s="96">
        <f t="shared" si="1"/>
      </c>
      <c r="D882" s="21">
        <f t="shared" si="7"/>
      </c>
      <c r="E882" s="21">
        <f t="shared" si="2"/>
      </c>
      <c r="F882" s="48">
        <f t="shared" si="8"/>
      </c>
      <c r="G882" s="94">
        <f t="shared" si="9"/>
      </c>
      <c r="H882" s="94">
        <f t="shared" si="3"/>
      </c>
      <c r="I882" s="96">
        <f t="shared" si="0"/>
      </c>
      <c r="J882" s="94">
        <f t="shared" si="4"/>
      </c>
      <c r="K882" s="94">
        <f t="shared" si="10"/>
      </c>
      <c r="L882" s="96">
        <f t="shared" si="5"/>
      </c>
      <c r="N882" s="2">
        <f>IF(875&gt;$Z$5,0,MOD(SMALL($Z$6:$Z$2005,875),10000))</f>
        <v>0</v>
      </c>
      <c r="O882" s="2">
        <f t="shared" si="11"/>
        <v>0</v>
      </c>
      <c r="Z882" s="2">
        <f>IF(AND(ISNUMBER(资金流水!$B$882),资金流水!$B$882&gt;=$C$4,资金流水!$B$882&lt;=$E$4,OR(资金流水!$C$882=$C$3,AND(资金流水!$AD$882=$C$3,资金流水!$X$882="账户互转"))),INT(资金流水!$B$882)*10000+877,"")</f>
      </c>
    </row>
    <row r="883">
      <c r="A883" s="94">
        <f>IF($N883=0,"",876)</f>
      </c>
      <c r="B883" s="95">
        <f t="shared" si="6"/>
      </c>
      <c r="C883" s="96">
        <f t="shared" si="1"/>
      </c>
      <c r="D883" s="21">
        <f t="shared" si="7"/>
      </c>
      <c r="E883" s="21">
        <f t="shared" si="2"/>
      </c>
      <c r="F883" s="48">
        <f t="shared" si="8"/>
      </c>
      <c r="G883" s="94">
        <f t="shared" si="9"/>
      </c>
      <c r="H883" s="94">
        <f t="shared" si="3"/>
      </c>
      <c r="I883" s="96">
        <f t="shared" si="0"/>
      </c>
      <c r="J883" s="94">
        <f t="shared" si="4"/>
      </c>
      <c r="K883" s="94">
        <f t="shared" si="10"/>
      </c>
      <c r="L883" s="96">
        <f t="shared" si="5"/>
      </c>
      <c r="N883" s="2">
        <f>IF(876&gt;$Z$5,0,MOD(SMALL($Z$6:$Z$2005,876),10000))</f>
        <v>0</v>
      </c>
      <c r="O883" s="2">
        <f t="shared" si="11"/>
        <v>0</v>
      </c>
      <c r="Z883" s="2">
        <f>IF(AND(ISNUMBER(资金流水!$B$883),资金流水!$B$883&gt;=$C$4,资金流水!$B$883&lt;=$E$4,OR(资金流水!$C$883=$C$3,AND(资金流水!$AD$883=$C$3,资金流水!$X$883="账户互转"))),INT(资金流水!$B$883)*10000+878,"")</f>
      </c>
    </row>
    <row r="884">
      <c r="A884" s="94">
        <f>IF($N884=0,"",877)</f>
      </c>
      <c r="B884" s="95">
        <f t="shared" si="6"/>
      </c>
      <c r="C884" s="96">
        <f t="shared" si="1"/>
      </c>
      <c r="D884" s="21">
        <f t="shared" si="7"/>
      </c>
      <c r="E884" s="21">
        <f t="shared" si="2"/>
      </c>
      <c r="F884" s="48">
        <f t="shared" si="8"/>
      </c>
      <c r="G884" s="94">
        <f t="shared" si="9"/>
      </c>
      <c r="H884" s="94">
        <f t="shared" si="3"/>
      </c>
      <c r="I884" s="96">
        <f t="shared" si="0"/>
      </c>
      <c r="J884" s="94">
        <f t="shared" si="4"/>
      </c>
      <c r="K884" s="94">
        <f t="shared" si="10"/>
      </c>
      <c r="L884" s="96">
        <f t="shared" si="5"/>
      </c>
      <c r="N884" s="2">
        <f>IF(877&gt;$Z$5,0,MOD(SMALL($Z$6:$Z$2005,877),10000))</f>
        <v>0</v>
      </c>
      <c r="O884" s="2">
        <f t="shared" si="11"/>
        <v>0</v>
      </c>
      <c r="Z884" s="2">
        <f>IF(AND(ISNUMBER(资金流水!$B$884),资金流水!$B$884&gt;=$C$4,资金流水!$B$884&lt;=$E$4,OR(资金流水!$C$884=$C$3,AND(资金流水!$AD$884=$C$3,资金流水!$X$884="账户互转"))),INT(资金流水!$B$884)*10000+879,"")</f>
      </c>
    </row>
    <row r="885">
      <c r="A885" s="94">
        <f>IF($N885=0,"",878)</f>
      </c>
      <c r="B885" s="95">
        <f t="shared" si="6"/>
      </c>
      <c r="C885" s="96">
        <f t="shared" si="1"/>
      </c>
      <c r="D885" s="21">
        <f t="shared" si="7"/>
      </c>
      <c r="E885" s="21">
        <f t="shared" si="2"/>
      </c>
      <c r="F885" s="48">
        <f t="shared" si="8"/>
      </c>
      <c r="G885" s="94">
        <f t="shared" si="9"/>
      </c>
      <c r="H885" s="94">
        <f t="shared" si="3"/>
      </c>
      <c r="I885" s="96">
        <f t="shared" si="0"/>
      </c>
      <c r="J885" s="94">
        <f t="shared" si="4"/>
      </c>
      <c r="K885" s="94">
        <f t="shared" si="10"/>
      </c>
      <c r="L885" s="96">
        <f t="shared" si="5"/>
      </c>
      <c r="N885" s="2">
        <f>IF(878&gt;$Z$5,0,MOD(SMALL($Z$6:$Z$2005,878),10000))</f>
        <v>0</v>
      </c>
      <c r="O885" s="2">
        <f t="shared" si="11"/>
        <v>0</v>
      </c>
      <c r="Z885" s="2">
        <f>IF(AND(ISNUMBER(资金流水!$B$885),资金流水!$B$885&gt;=$C$4,资金流水!$B$885&lt;=$E$4,OR(资金流水!$C$885=$C$3,AND(资金流水!$AD$885=$C$3,资金流水!$X$885="账户互转"))),INT(资金流水!$B$885)*10000+880,"")</f>
      </c>
    </row>
    <row r="886">
      <c r="A886" s="94">
        <f>IF($N886=0,"",879)</f>
      </c>
      <c r="B886" s="95">
        <f t="shared" si="6"/>
      </c>
      <c r="C886" s="96">
        <f t="shared" si="1"/>
      </c>
      <c r="D886" s="21">
        <f t="shared" si="7"/>
      </c>
      <c r="E886" s="21">
        <f t="shared" si="2"/>
      </c>
      <c r="F886" s="48">
        <f t="shared" si="8"/>
      </c>
      <c r="G886" s="94">
        <f t="shared" si="9"/>
      </c>
      <c r="H886" s="94">
        <f t="shared" si="3"/>
      </c>
      <c r="I886" s="96">
        <f t="shared" si="0"/>
      </c>
      <c r="J886" s="94">
        <f t="shared" si="4"/>
      </c>
      <c r="K886" s="94">
        <f t="shared" si="10"/>
      </c>
      <c r="L886" s="96">
        <f t="shared" si="5"/>
      </c>
      <c r="N886" s="2">
        <f>IF(879&gt;$Z$5,0,MOD(SMALL($Z$6:$Z$2005,879),10000))</f>
        <v>0</v>
      </c>
      <c r="O886" s="2">
        <f t="shared" si="11"/>
        <v>0</v>
      </c>
      <c r="Z886" s="2">
        <f>IF(AND(ISNUMBER(资金流水!$B$886),资金流水!$B$886&gt;=$C$4,资金流水!$B$886&lt;=$E$4,OR(资金流水!$C$886=$C$3,AND(资金流水!$AD$886=$C$3,资金流水!$X$886="账户互转"))),INT(资金流水!$B$886)*10000+881,"")</f>
      </c>
    </row>
    <row r="887">
      <c r="A887" s="94">
        <f>IF($N887=0,"",880)</f>
      </c>
      <c r="B887" s="95">
        <f t="shared" si="6"/>
      </c>
      <c r="C887" s="96">
        <f t="shared" si="1"/>
      </c>
      <c r="D887" s="21">
        <f t="shared" si="7"/>
      </c>
      <c r="E887" s="21">
        <f t="shared" si="2"/>
      </c>
      <c r="F887" s="48">
        <f t="shared" si="8"/>
      </c>
      <c r="G887" s="94">
        <f t="shared" si="9"/>
      </c>
      <c r="H887" s="94">
        <f t="shared" si="3"/>
      </c>
      <c r="I887" s="96">
        <f t="shared" si="0"/>
      </c>
      <c r="J887" s="94">
        <f t="shared" si="4"/>
      </c>
      <c r="K887" s="94">
        <f t="shared" si="10"/>
      </c>
      <c r="L887" s="96">
        <f t="shared" si="5"/>
      </c>
      <c r="N887" s="2">
        <f>IF(880&gt;$Z$5,0,MOD(SMALL($Z$6:$Z$2005,880),10000))</f>
        <v>0</v>
      </c>
      <c r="O887" s="2">
        <f t="shared" si="11"/>
        <v>0</v>
      </c>
      <c r="Z887" s="2">
        <f>IF(AND(ISNUMBER(资金流水!$B$887),资金流水!$B$887&gt;=$C$4,资金流水!$B$887&lt;=$E$4,OR(资金流水!$C$887=$C$3,AND(资金流水!$AD$887=$C$3,资金流水!$X$887="账户互转"))),INT(资金流水!$B$887)*10000+882,"")</f>
      </c>
    </row>
    <row r="888">
      <c r="A888" s="94">
        <f>IF($N888=0,"",881)</f>
      </c>
      <c r="B888" s="95">
        <f t="shared" si="6"/>
      </c>
      <c r="C888" s="96">
        <f t="shared" si="1"/>
      </c>
      <c r="D888" s="21">
        <f t="shared" si="7"/>
      </c>
      <c r="E888" s="21">
        <f t="shared" si="2"/>
      </c>
      <c r="F888" s="48">
        <f t="shared" si="8"/>
      </c>
      <c r="G888" s="94">
        <f t="shared" si="9"/>
      </c>
      <c r="H888" s="94">
        <f t="shared" si="3"/>
      </c>
      <c r="I888" s="96">
        <f t="shared" si="0"/>
      </c>
      <c r="J888" s="94">
        <f t="shared" si="4"/>
      </c>
      <c r="K888" s="94">
        <f t="shared" si="10"/>
      </c>
      <c r="L888" s="96">
        <f t="shared" si="5"/>
      </c>
      <c r="N888" s="2">
        <f>IF(881&gt;$Z$5,0,MOD(SMALL($Z$6:$Z$2005,881),10000))</f>
        <v>0</v>
      </c>
      <c r="O888" s="2">
        <f t="shared" si="11"/>
        <v>0</v>
      </c>
      <c r="Z888" s="2">
        <f>IF(AND(ISNUMBER(资金流水!$B$888),资金流水!$B$888&gt;=$C$4,资金流水!$B$888&lt;=$E$4,OR(资金流水!$C$888=$C$3,AND(资金流水!$AD$888=$C$3,资金流水!$X$888="账户互转"))),INT(资金流水!$B$888)*10000+883,"")</f>
      </c>
    </row>
    <row r="889">
      <c r="A889" s="94">
        <f>IF($N889=0,"",882)</f>
      </c>
      <c r="B889" s="95">
        <f t="shared" si="6"/>
      </c>
      <c r="C889" s="96">
        <f t="shared" si="1"/>
      </c>
      <c r="D889" s="21">
        <f t="shared" si="7"/>
      </c>
      <c r="E889" s="21">
        <f t="shared" si="2"/>
      </c>
      <c r="F889" s="48">
        <f t="shared" si="8"/>
      </c>
      <c r="G889" s="94">
        <f t="shared" si="9"/>
      </c>
      <c r="H889" s="94">
        <f t="shared" si="3"/>
      </c>
      <c r="I889" s="96">
        <f t="shared" si="0"/>
      </c>
      <c r="J889" s="94">
        <f t="shared" si="4"/>
      </c>
      <c r="K889" s="94">
        <f t="shared" si="10"/>
      </c>
      <c r="L889" s="96">
        <f t="shared" si="5"/>
      </c>
      <c r="N889" s="2">
        <f>IF(882&gt;$Z$5,0,MOD(SMALL($Z$6:$Z$2005,882),10000))</f>
        <v>0</v>
      </c>
      <c r="O889" s="2">
        <f t="shared" si="11"/>
        <v>0</v>
      </c>
      <c r="Z889" s="2">
        <f>IF(AND(ISNUMBER(资金流水!$B$889),资金流水!$B$889&gt;=$C$4,资金流水!$B$889&lt;=$E$4,OR(资金流水!$C$889=$C$3,AND(资金流水!$AD$889=$C$3,资金流水!$X$889="账户互转"))),INT(资金流水!$B$889)*10000+884,"")</f>
      </c>
    </row>
    <row r="890">
      <c r="A890" s="94">
        <f>IF($N890=0,"",883)</f>
      </c>
      <c r="B890" s="95">
        <f t="shared" si="6"/>
      </c>
      <c r="C890" s="96">
        <f t="shared" si="1"/>
      </c>
      <c r="D890" s="21">
        <f t="shared" si="7"/>
      </c>
      <c r="E890" s="21">
        <f t="shared" si="2"/>
      </c>
      <c r="F890" s="48">
        <f t="shared" si="8"/>
      </c>
      <c r="G890" s="94">
        <f t="shared" si="9"/>
      </c>
      <c r="H890" s="94">
        <f t="shared" si="3"/>
      </c>
      <c r="I890" s="96">
        <f t="shared" si="0"/>
      </c>
      <c r="J890" s="94">
        <f t="shared" si="4"/>
      </c>
      <c r="K890" s="94">
        <f t="shared" si="10"/>
      </c>
      <c r="L890" s="96">
        <f t="shared" si="5"/>
      </c>
      <c r="N890" s="2">
        <f>IF(883&gt;$Z$5,0,MOD(SMALL($Z$6:$Z$2005,883),10000))</f>
        <v>0</v>
      </c>
      <c r="O890" s="2">
        <f t="shared" si="11"/>
        <v>0</v>
      </c>
      <c r="Z890" s="2">
        <f>IF(AND(ISNUMBER(资金流水!$B$890),资金流水!$B$890&gt;=$C$4,资金流水!$B$890&lt;=$E$4,OR(资金流水!$C$890=$C$3,AND(资金流水!$AD$890=$C$3,资金流水!$X$890="账户互转"))),INT(资金流水!$B$890)*10000+885,"")</f>
      </c>
    </row>
    <row r="891">
      <c r="A891" s="94">
        <f>IF($N891=0,"",884)</f>
      </c>
      <c r="B891" s="95">
        <f t="shared" si="6"/>
      </c>
      <c r="C891" s="96">
        <f t="shared" si="1"/>
      </c>
      <c r="D891" s="21">
        <f t="shared" si="7"/>
      </c>
      <c r="E891" s="21">
        <f t="shared" si="2"/>
      </c>
      <c r="F891" s="48">
        <f t="shared" si="8"/>
      </c>
      <c r="G891" s="94">
        <f t="shared" si="9"/>
      </c>
      <c r="H891" s="94">
        <f t="shared" si="3"/>
      </c>
      <c r="I891" s="96">
        <f t="shared" si="0"/>
      </c>
      <c r="J891" s="94">
        <f t="shared" si="4"/>
      </c>
      <c r="K891" s="94">
        <f t="shared" si="10"/>
      </c>
      <c r="L891" s="96">
        <f t="shared" si="5"/>
      </c>
      <c r="N891" s="2">
        <f>IF(884&gt;$Z$5,0,MOD(SMALL($Z$6:$Z$2005,884),10000))</f>
        <v>0</v>
      </c>
      <c r="O891" s="2">
        <f t="shared" si="11"/>
        <v>0</v>
      </c>
      <c r="Z891" s="2">
        <f>IF(AND(ISNUMBER(资金流水!$B$891),资金流水!$B$891&gt;=$C$4,资金流水!$B$891&lt;=$E$4,OR(资金流水!$C$891=$C$3,AND(资金流水!$AD$891=$C$3,资金流水!$X$891="账户互转"))),INT(资金流水!$B$891)*10000+886,"")</f>
      </c>
    </row>
    <row r="892">
      <c r="A892" s="94">
        <f>IF($N892=0,"",885)</f>
      </c>
      <c r="B892" s="95">
        <f t="shared" si="6"/>
      </c>
      <c r="C892" s="96">
        <f t="shared" si="1"/>
      </c>
      <c r="D892" s="21">
        <f t="shared" si="7"/>
      </c>
      <c r="E892" s="21">
        <f t="shared" si="2"/>
      </c>
      <c r="F892" s="48">
        <f t="shared" si="8"/>
      </c>
      <c r="G892" s="94">
        <f t="shared" si="9"/>
      </c>
      <c r="H892" s="94">
        <f t="shared" si="3"/>
      </c>
      <c r="I892" s="96">
        <f t="shared" si="0"/>
      </c>
      <c r="J892" s="94">
        <f t="shared" si="4"/>
      </c>
      <c r="K892" s="94">
        <f t="shared" si="10"/>
      </c>
      <c r="L892" s="96">
        <f t="shared" si="5"/>
      </c>
      <c r="N892" s="2">
        <f>IF(885&gt;$Z$5,0,MOD(SMALL($Z$6:$Z$2005,885),10000))</f>
        <v>0</v>
      </c>
      <c r="O892" s="2">
        <f t="shared" si="11"/>
        <v>0</v>
      </c>
      <c r="Z892" s="2">
        <f>IF(AND(ISNUMBER(资金流水!$B$892),资金流水!$B$892&gt;=$C$4,资金流水!$B$892&lt;=$E$4,OR(资金流水!$C$892=$C$3,AND(资金流水!$AD$892=$C$3,资金流水!$X$892="账户互转"))),INT(资金流水!$B$892)*10000+887,"")</f>
      </c>
    </row>
    <row r="893">
      <c r="A893" s="94">
        <f>IF($N893=0,"",886)</f>
      </c>
      <c r="B893" s="95">
        <f t="shared" si="6"/>
      </c>
      <c r="C893" s="96">
        <f t="shared" si="1"/>
      </c>
      <c r="D893" s="21">
        <f t="shared" si="7"/>
      </c>
      <c r="E893" s="21">
        <f t="shared" si="2"/>
      </c>
      <c r="F893" s="48">
        <f t="shared" si="8"/>
      </c>
      <c r="G893" s="94">
        <f t="shared" si="9"/>
      </c>
      <c r="H893" s="94">
        <f t="shared" si="3"/>
      </c>
      <c r="I893" s="96">
        <f t="shared" si="0"/>
      </c>
      <c r="J893" s="94">
        <f t="shared" si="4"/>
      </c>
      <c r="K893" s="94">
        <f t="shared" si="10"/>
      </c>
      <c r="L893" s="96">
        <f t="shared" si="5"/>
      </c>
      <c r="N893" s="2">
        <f>IF(886&gt;$Z$5,0,MOD(SMALL($Z$6:$Z$2005,886),10000))</f>
        <v>0</v>
      </c>
      <c r="O893" s="2">
        <f t="shared" si="11"/>
        <v>0</v>
      </c>
      <c r="Z893" s="2">
        <f>IF(AND(ISNUMBER(资金流水!$B$893),资金流水!$B$893&gt;=$C$4,资金流水!$B$893&lt;=$E$4,OR(资金流水!$C$893=$C$3,AND(资金流水!$AD$893=$C$3,资金流水!$X$893="账户互转"))),INT(资金流水!$B$893)*10000+888,"")</f>
      </c>
    </row>
    <row r="894">
      <c r="A894" s="94">
        <f>IF($N894=0,"",887)</f>
      </c>
      <c r="B894" s="95">
        <f t="shared" si="6"/>
      </c>
      <c r="C894" s="96">
        <f t="shared" si="1"/>
      </c>
      <c r="D894" s="21">
        <f t="shared" si="7"/>
      </c>
      <c r="E894" s="21">
        <f t="shared" si="2"/>
      </c>
      <c r="F894" s="48">
        <f t="shared" si="8"/>
      </c>
      <c r="G894" s="94">
        <f t="shared" si="9"/>
      </c>
      <c r="H894" s="94">
        <f t="shared" si="3"/>
      </c>
      <c r="I894" s="96">
        <f t="shared" si="0"/>
      </c>
      <c r="J894" s="94">
        <f t="shared" si="4"/>
      </c>
      <c r="K894" s="94">
        <f t="shared" si="10"/>
      </c>
      <c r="L894" s="96">
        <f t="shared" si="5"/>
      </c>
      <c r="N894" s="2">
        <f>IF(887&gt;$Z$5,0,MOD(SMALL($Z$6:$Z$2005,887),10000))</f>
        <v>0</v>
      </c>
      <c r="O894" s="2">
        <f t="shared" si="11"/>
        <v>0</v>
      </c>
      <c r="Z894" s="2">
        <f>IF(AND(ISNUMBER(资金流水!$B$894),资金流水!$B$894&gt;=$C$4,资金流水!$B$894&lt;=$E$4,OR(资金流水!$C$894=$C$3,AND(资金流水!$AD$894=$C$3,资金流水!$X$894="账户互转"))),INT(资金流水!$B$894)*10000+889,"")</f>
      </c>
    </row>
    <row r="895">
      <c r="A895" s="94">
        <f>IF($N895=0,"",888)</f>
      </c>
      <c r="B895" s="95">
        <f t="shared" si="6"/>
      </c>
      <c r="C895" s="96">
        <f t="shared" si="1"/>
      </c>
      <c r="D895" s="21">
        <f t="shared" si="7"/>
      </c>
      <c r="E895" s="21">
        <f t="shared" si="2"/>
      </c>
      <c r="F895" s="48">
        <f t="shared" si="8"/>
      </c>
      <c r="G895" s="94">
        <f t="shared" si="9"/>
      </c>
      <c r="H895" s="94">
        <f t="shared" si="3"/>
      </c>
      <c r="I895" s="96">
        <f t="shared" si="0"/>
      </c>
      <c r="J895" s="94">
        <f t="shared" si="4"/>
      </c>
      <c r="K895" s="94">
        <f t="shared" si="10"/>
      </c>
      <c r="L895" s="96">
        <f t="shared" si="5"/>
      </c>
      <c r="N895" s="2">
        <f>IF(888&gt;$Z$5,0,MOD(SMALL($Z$6:$Z$2005,888),10000))</f>
        <v>0</v>
      </c>
      <c r="O895" s="2">
        <f t="shared" si="11"/>
        <v>0</v>
      </c>
      <c r="Z895" s="2">
        <f>IF(AND(ISNUMBER(资金流水!$B$895),资金流水!$B$895&gt;=$C$4,资金流水!$B$895&lt;=$E$4,OR(资金流水!$C$895=$C$3,AND(资金流水!$AD$895=$C$3,资金流水!$X$895="账户互转"))),INT(资金流水!$B$895)*10000+890,"")</f>
      </c>
    </row>
    <row r="896">
      <c r="A896" s="94">
        <f>IF($N896=0,"",889)</f>
      </c>
      <c r="B896" s="95">
        <f t="shared" si="6"/>
      </c>
      <c r="C896" s="96">
        <f t="shared" si="1"/>
      </c>
      <c r="D896" s="21">
        <f t="shared" si="7"/>
      </c>
      <c r="E896" s="21">
        <f t="shared" si="2"/>
      </c>
      <c r="F896" s="48">
        <f t="shared" si="8"/>
      </c>
      <c r="G896" s="94">
        <f t="shared" si="9"/>
      </c>
      <c r="H896" s="94">
        <f t="shared" si="3"/>
      </c>
      <c r="I896" s="96">
        <f t="shared" si="0"/>
      </c>
      <c r="J896" s="94">
        <f t="shared" si="4"/>
      </c>
      <c r="K896" s="94">
        <f t="shared" si="10"/>
      </c>
      <c r="L896" s="96">
        <f t="shared" si="5"/>
      </c>
      <c r="N896" s="2">
        <f>IF(889&gt;$Z$5,0,MOD(SMALL($Z$6:$Z$2005,889),10000))</f>
        <v>0</v>
      </c>
      <c r="O896" s="2">
        <f t="shared" si="11"/>
        <v>0</v>
      </c>
      <c r="Z896" s="2">
        <f>IF(AND(ISNUMBER(资金流水!$B$896),资金流水!$B$896&gt;=$C$4,资金流水!$B$896&lt;=$E$4,OR(资金流水!$C$896=$C$3,AND(资金流水!$AD$896=$C$3,资金流水!$X$896="账户互转"))),INT(资金流水!$B$896)*10000+891,"")</f>
      </c>
    </row>
    <row r="897">
      <c r="A897" s="94">
        <f>IF($N897=0,"",890)</f>
      </c>
      <c r="B897" s="95">
        <f t="shared" si="6"/>
      </c>
      <c r="C897" s="96">
        <f t="shared" si="1"/>
      </c>
      <c r="D897" s="21">
        <f t="shared" si="7"/>
      </c>
      <c r="E897" s="21">
        <f t="shared" si="2"/>
      </c>
      <c r="F897" s="48">
        <f t="shared" si="8"/>
      </c>
      <c r="G897" s="94">
        <f t="shared" si="9"/>
      </c>
      <c r="H897" s="94">
        <f t="shared" si="3"/>
      </c>
      <c r="I897" s="96">
        <f t="shared" si="0"/>
      </c>
      <c r="J897" s="94">
        <f t="shared" si="4"/>
      </c>
      <c r="K897" s="94">
        <f t="shared" si="10"/>
      </c>
      <c r="L897" s="96">
        <f t="shared" si="5"/>
      </c>
      <c r="N897" s="2">
        <f>IF(890&gt;$Z$5,0,MOD(SMALL($Z$6:$Z$2005,890),10000))</f>
        <v>0</v>
      </c>
      <c r="O897" s="2">
        <f t="shared" si="11"/>
        <v>0</v>
      </c>
      <c r="Z897" s="2">
        <f>IF(AND(ISNUMBER(资金流水!$B$897),资金流水!$B$897&gt;=$C$4,资金流水!$B$897&lt;=$E$4,OR(资金流水!$C$897=$C$3,AND(资金流水!$AD$897=$C$3,资金流水!$X$897="账户互转"))),INT(资金流水!$B$897)*10000+892,"")</f>
      </c>
    </row>
    <row r="898">
      <c r="A898" s="94">
        <f>IF($N898=0,"",891)</f>
      </c>
      <c r="B898" s="95">
        <f t="shared" si="6"/>
      </c>
      <c r="C898" s="96">
        <f t="shared" si="1"/>
      </c>
      <c r="D898" s="21">
        <f t="shared" si="7"/>
      </c>
      <c r="E898" s="21">
        <f t="shared" si="2"/>
      </c>
      <c r="F898" s="48">
        <f t="shared" si="8"/>
      </c>
      <c r="G898" s="94">
        <f t="shared" si="9"/>
      </c>
      <c r="H898" s="94">
        <f t="shared" si="3"/>
      </c>
      <c r="I898" s="96">
        <f t="shared" si="0"/>
      </c>
      <c r="J898" s="94">
        <f t="shared" si="4"/>
      </c>
      <c r="K898" s="94">
        <f t="shared" si="10"/>
      </c>
      <c r="L898" s="96">
        <f t="shared" si="5"/>
      </c>
      <c r="N898" s="2">
        <f>IF(891&gt;$Z$5,0,MOD(SMALL($Z$6:$Z$2005,891),10000))</f>
        <v>0</v>
      </c>
      <c r="O898" s="2">
        <f t="shared" si="11"/>
        <v>0</v>
      </c>
      <c r="Z898" s="2">
        <f>IF(AND(ISNUMBER(资金流水!$B$898),资金流水!$B$898&gt;=$C$4,资金流水!$B$898&lt;=$E$4,OR(资金流水!$C$898=$C$3,AND(资金流水!$AD$898=$C$3,资金流水!$X$898="账户互转"))),INT(资金流水!$B$898)*10000+893,"")</f>
      </c>
    </row>
    <row r="899">
      <c r="A899" s="94">
        <f>IF($N899=0,"",892)</f>
      </c>
      <c r="B899" s="95">
        <f t="shared" si="6"/>
      </c>
      <c r="C899" s="96">
        <f t="shared" si="1"/>
      </c>
      <c r="D899" s="21">
        <f t="shared" si="7"/>
      </c>
      <c r="E899" s="21">
        <f t="shared" si="2"/>
      </c>
      <c r="F899" s="48">
        <f t="shared" si="8"/>
      </c>
      <c r="G899" s="94">
        <f t="shared" si="9"/>
      </c>
      <c r="H899" s="94">
        <f t="shared" si="3"/>
      </c>
      <c r="I899" s="96">
        <f t="shared" si="0"/>
      </c>
      <c r="J899" s="94">
        <f t="shared" si="4"/>
      </c>
      <c r="K899" s="94">
        <f t="shared" si="10"/>
      </c>
      <c r="L899" s="96">
        <f t="shared" si="5"/>
      </c>
      <c r="N899" s="2">
        <f>IF(892&gt;$Z$5,0,MOD(SMALL($Z$6:$Z$2005,892),10000))</f>
        <v>0</v>
      </c>
      <c r="O899" s="2">
        <f t="shared" si="11"/>
        <v>0</v>
      </c>
      <c r="Z899" s="2">
        <f>IF(AND(ISNUMBER(资金流水!$B$899),资金流水!$B$899&gt;=$C$4,资金流水!$B$899&lt;=$E$4,OR(资金流水!$C$899=$C$3,AND(资金流水!$AD$899=$C$3,资金流水!$X$899="账户互转"))),INT(资金流水!$B$899)*10000+894,"")</f>
      </c>
    </row>
    <row r="900">
      <c r="A900" s="94">
        <f>IF($N900=0,"",893)</f>
      </c>
      <c r="B900" s="95">
        <f t="shared" si="6"/>
      </c>
      <c r="C900" s="96">
        <f t="shared" si="1"/>
      </c>
      <c r="D900" s="21">
        <f t="shared" si="7"/>
      </c>
      <c r="E900" s="21">
        <f t="shared" si="2"/>
      </c>
      <c r="F900" s="48">
        <f t="shared" si="8"/>
      </c>
      <c r="G900" s="94">
        <f t="shared" si="9"/>
      </c>
      <c r="H900" s="94">
        <f t="shared" si="3"/>
      </c>
      <c r="I900" s="96">
        <f t="shared" si="0"/>
      </c>
      <c r="J900" s="94">
        <f t="shared" si="4"/>
      </c>
      <c r="K900" s="94">
        <f t="shared" si="10"/>
      </c>
      <c r="L900" s="96">
        <f t="shared" si="5"/>
      </c>
      <c r="N900" s="2">
        <f>IF(893&gt;$Z$5,0,MOD(SMALL($Z$6:$Z$2005,893),10000))</f>
        <v>0</v>
      </c>
      <c r="O900" s="2">
        <f t="shared" si="11"/>
        <v>0</v>
      </c>
      <c r="Z900" s="2">
        <f>IF(AND(ISNUMBER(资金流水!$B$900),资金流水!$B$900&gt;=$C$4,资金流水!$B$900&lt;=$E$4,OR(资金流水!$C$900=$C$3,AND(资金流水!$AD$900=$C$3,资金流水!$X$900="账户互转"))),INT(资金流水!$B$900)*10000+895,"")</f>
      </c>
    </row>
    <row r="901">
      <c r="A901" s="94">
        <f>IF($N901=0,"",894)</f>
      </c>
      <c r="B901" s="95">
        <f t="shared" si="6"/>
      </c>
      <c r="C901" s="96">
        <f t="shared" si="1"/>
      </c>
      <c r="D901" s="21">
        <f t="shared" si="7"/>
      </c>
      <c r="E901" s="21">
        <f t="shared" si="2"/>
      </c>
      <c r="F901" s="48">
        <f t="shared" si="8"/>
      </c>
      <c r="G901" s="94">
        <f t="shared" si="9"/>
      </c>
      <c r="H901" s="94">
        <f t="shared" si="3"/>
      </c>
      <c r="I901" s="96">
        <f t="shared" si="0"/>
      </c>
      <c r="J901" s="94">
        <f t="shared" si="4"/>
      </c>
      <c r="K901" s="94">
        <f t="shared" si="10"/>
      </c>
      <c r="L901" s="96">
        <f t="shared" si="5"/>
      </c>
      <c r="N901" s="2">
        <f>IF(894&gt;$Z$5,0,MOD(SMALL($Z$6:$Z$2005,894),10000))</f>
        <v>0</v>
      </c>
      <c r="O901" s="2">
        <f t="shared" si="11"/>
        <v>0</v>
      </c>
      <c r="Z901" s="2">
        <f>IF(AND(ISNUMBER(资金流水!$B$901),资金流水!$B$901&gt;=$C$4,资金流水!$B$901&lt;=$E$4,OR(资金流水!$C$901=$C$3,AND(资金流水!$AD$901=$C$3,资金流水!$X$901="账户互转"))),INT(资金流水!$B$901)*10000+896,"")</f>
      </c>
    </row>
    <row r="902">
      <c r="A902" s="94">
        <f>IF($N902=0,"",895)</f>
      </c>
      <c r="B902" s="95">
        <f t="shared" si="6"/>
      </c>
      <c r="C902" s="96">
        <f t="shared" si="1"/>
      </c>
      <c r="D902" s="21">
        <f t="shared" si="7"/>
      </c>
      <c r="E902" s="21">
        <f t="shared" si="2"/>
      </c>
      <c r="F902" s="48">
        <f t="shared" si="8"/>
      </c>
      <c r="G902" s="94">
        <f t="shared" si="9"/>
      </c>
      <c r="H902" s="94">
        <f t="shared" si="3"/>
      </c>
      <c r="I902" s="96">
        <f t="shared" si="0"/>
      </c>
      <c r="J902" s="94">
        <f t="shared" si="4"/>
      </c>
      <c r="K902" s="94">
        <f t="shared" si="10"/>
      </c>
      <c r="L902" s="96">
        <f t="shared" si="5"/>
      </c>
      <c r="N902" s="2">
        <f>IF(895&gt;$Z$5,0,MOD(SMALL($Z$6:$Z$2005,895),10000))</f>
        <v>0</v>
      </c>
      <c r="O902" s="2">
        <f t="shared" si="11"/>
        <v>0</v>
      </c>
      <c r="Z902" s="2">
        <f>IF(AND(ISNUMBER(资金流水!$B$902),资金流水!$B$902&gt;=$C$4,资金流水!$B$902&lt;=$E$4,OR(资金流水!$C$902=$C$3,AND(资金流水!$AD$902=$C$3,资金流水!$X$902="账户互转"))),INT(资金流水!$B$902)*10000+897,"")</f>
      </c>
    </row>
    <row r="903">
      <c r="A903" s="94">
        <f>IF($N903=0,"",896)</f>
      </c>
      <c r="B903" s="95">
        <f t="shared" si="6"/>
      </c>
      <c r="C903" s="96">
        <f t="shared" si="1"/>
      </c>
      <c r="D903" s="21">
        <f t="shared" si="7"/>
      </c>
      <c r="E903" s="21">
        <f t="shared" si="2"/>
      </c>
      <c r="F903" s="48">
        <f t="shared" si="8"/>
      </c>
      <c r="G903" s="94">
        <f t="shared" si="9"/>
      </c>
      <c r="H903" s="94">
        <f t="shared" si="3"/>
      </c>
      <c r="I903" s="96">
        <f t="shared" si="0"/>
      </c>
      <c r="J903" s="94">
        <f t="shared" si="4"/>
      </c>
      <c r="K903" s="94">
        <f t="shared" si="10"/>
      </c>
      <c r="L903" s="96">
        <f t="shared" si="5"/>
      </c>
      <c r="N903" s="2">
        <f>IF(896&gt;$Z$5,0,MOD(SMALL($Z$6:$Z$2005,896),10000))</f>
        <v>0</v>
      </c>
      <c r="O903" s="2">
        <f t="shared" si="11"/>
        <v>0</v>
      </c>
      <c r="Z903" s="2">
        <f>IF(AND(ISNUMBER(资金流水!$B$903),资金流水!$B$903&gt;=$C$4,资金流水!$B$903&lt;=$E$4,OR(资金流水!$C$903=$C$3,AND(资金流水!$AD$903=$C$3,资金流水!$X$903="账户互转"))),INT(资金流水!$B$903)*10000+898,"")</f>
      </c>
    </row>
    <row r="904">
      <c r="A904" s="94">
        <f>IF($N904=0,"",897)</f>
      </c>
      <c r="B904" s="95">
        <f t="shared" si="6"/>
      </c>
      <c r="C904" s="96">
        <f t="shared" si="1"/>
      </c>
      <c r="D904" s="21">
        <f t="shared" si="7"/>
      </c>
      <c r="E904" s="21">
        <f t="shared" si="2"/>
      </c>
      <c r="F904" s="48">
        <f t="shared" si="8"/>
      </c>
      <c r="G904" s="94">
        <f t="shared" si="9"/>
      </c>
      <c r="H904" s="94">
        <f t="shared" si="3"/>
      </c>
      <c r="I904" s="96">
        <f t="shared" si="0"/>
      </c>
      <c r="J904" s="94">
        <f t="shared" si="4"/>
      </c>
      <c r="K904" s="94">
        <f t="shared" si="10"/>
      </c>
      <c r="L904" s="96">
        <f t="shared" si="5"/>
      </c>
      <c r="N904" s="2">
        <f>IF(897&gt;$Z$5,0,MOD(SMALL($Z$6:$Z$2005,897),10000))</f>
        <v>0</v>
      </c>
      <c r="O904" s="2">
        <f t="shared" si="11"/>
        <v>0</v>
      </c>
      <c r="Z904" s="2">
        <f>IF(AND(ISNUMBER(资金流水!$B$904),资金流水!$B$904&gt;=$C$4,资金流水!$B$904&lt;=$E$4,OR(资金流水!$C$904=$C$3,AND(资金流水!$AD$904=$C$3,资金流水!$X$904="账户互转"))),INT(资金流水!$B$904)*10000+899,"")</f>
      </c>
    </row>
    <row r="905">
      <c r="A905" s="94">
        <f>IF($N905=0,"",898)</f>
      </c>
      <c r="B905" s="95">
        <f t="shared" si="6"/>
      </c>
      <c r="C905" s="96">
        <f t="shared" si="1"/>
      </c>
      <c r="D905" s="21">
        <f t="shared" si="7"/>
      </c>
      <c r="E905" s="21">
        <f t="shared" si="2"/>
      </c>
      <c r="F905" s="48">
        <f t="shared" si="8"/>
      </c>
      <c r="G905" s="94">
        <f t="shared" si="9"/>
      </c>
      <c r="H905" s="94">
        <f t="shared" si="3"/>
      </c>
      <c r="I905" s="96">
        <f t="shared" si="0"/>
      </c>
      <c r="J905" s="94">
        <f t="shared" si="4"/>
      </c>
      <c r="K905" s="94">
        <f t="shared" si="10"/>
      </c>
      <c r="L905" s="96">
        <f t="shared" si="5"/>
      </c>
      <c r="N905" s="2">
        <f>IF(898&gt;$Z$5,0,MOD(SMALL($Z$6:$Z$2005,898),10000))</f>
        <v>0</v>
      </c>
      <c r="O905" s="2">
        <f t="shared" si="11"/>
        <v>0</v>
      </c>
      <c r="Z905" s="2">
        <f>IF(AND(ISNUMBER(资金流水!$B$905),资金流水!$B$905&gt;=$C$4,资金流水!$B$905&lt;=$E$4,OR(资金流水!$C$905=$C$3,AND(资金流水!$AD$905=$C$3,资金流水!$X$905="账户互转"))),INT(资金流水!$B$905)*10000+900,"")</f>
      </c>
    </row>
    <row r="906">
      <c r="A906" s="94">
        <f>IF($N906=0,"",899)</f>
      </c>
      <c r="B906" s="95">
        <f t="shared" si="6"/>
      </c>
      <c r="C906" s="96">
        <f t="shared" si="1"/>
      </c>
      <c r="D906" s="21">
        <f t="shared" si="7"/>
      </c>
      <c r="E906" s="21">
        <f t="shared" si="2"/>
      </c>
      <c r="F906" s="48">
        <f t="shared" si="8"/>
      </c>
      <c r="G906" s="94">
        <f t="shared" si="9"/>
      </c>
      <c r="H906" s="94">
        <f t="shared" si="3"/>
      </c>
      <c r="I906" s="96">
        <f t="shared" si="0"/>
      </c>
      <c r="J906" s="94">
        <f t="shared" si="4"/>
      </c>
      <c r="K906" s="94">
        <f t="shared" si="10"/>
      </c>
      <c r="L906" s="96">
        <f t="shared" si="5"/>
      </c>
      <c r="N906" s="2">
        <f>IF(899&gt;$Z$5,0,MOD(SMALL($Z$6:$Z$2005,899),10000))</f>
        <v>0</v>
      </c>
      <c r="O906" s="2">
        <f t="shared" si="11"/>
        <v>0</v>
      </c>
      <c r="Z906" s="2">
        <f>IF(AND(ISNUMBER(资金流水!$B$906),资金流水!$B$906&gt;=$C$4,资金流水!$B$906&lt;=$E$4,OR(资金流水!$C$906=$C$3,AND(资金流水!$AD$906=$C$3,资金流水!$X$906="账户互转"))),INT(资金流水!$B$906)*10000+901,"")</f>
      </c>
    </row>
    <row r="907">
      <c r="A907" s="94">
        <f>IF($N907=0,"",900)</f>
      </c>
      <c r="B907" s="95">
        <f t="shared" si="6"/>
      </c>
      <c r="C907" s="96">
        <f t="shared" si="1"/>
      </c>
      <c r="D907" s="21">
        <f t="shared" si="7"/>
      </c>
      <c r="E907" s="21">
        <f t="shared" si="2"/>
      </c>
      <c r="F907" s="48">
        <f t="shared" si="8"/>
      </c>
      <c r="G907" s="94">
        <f t="shared" si="9"/>
      </c>
      <c r="H907" s="94">
        <f t="shared" si="3"/>
      </c>
      <c r="I907" s="96">
        <f t="shared" si="0"/>
      </c>
      <c r="J907" s="94">
        <f t="shared" si="4"/>
      </c>
      <c r="K907" s="94">
        <f t="shared" si="10"/>
      </c>
      <c r="L907" s="96">
        <f t="shared" si="5"/>
      </c>
      <c r="N907" s="2">
        <f>IF(900&gt;$Z$5,0,MOD(SMALL($Z$6:$Z$2005,900),10000))</f>
        <v>0</v>
      </c>
      <c r="O907" s="2">
        <f t="shared" si="11"/>
        <v>0</v>
      </c>
      <c r="Z907" s="2">
        <f>IF(AND(ISNUMBER(资金流水!$B$907),资金流水!$B$907&gt;=$C$4,资金流水!$B$907&lt;=$E$4,OR(资金流水!$C$907=$C$3,AND(资金流水!$AD$907=$C$3,资金流水!$X$907="账户互转"))),INT(资金流水!$B$907)*10000+902,"")</f>
      </c>
    </row>
    <row r="908">
      <c r="A908" s="94">
        <f>IF($N908=0,"",901)</f>
      </c>
      <c r="B908" s="95">
        <f t="shared" si="6"/>
      </c>
      <c r="C908" s="96">
        <f t="shared" si="1"/>
      </c>
      <c r="D908" s="21">
        <f t="shared" si="7"/>
      </c>
      <c r="E908" s="21">
        <f t="shared" si="2"/>
      </c>
      <c r="F908" s="48">
        <f t="shared" si="8"/>
      </c>
      <c r="G908" s="94">
        <f t="shared" si="9"/>
      </c>
      <c r="H908" s="94">
        <f t="shared" si="3"/>
      </c>
      <c r="I908" s="96">
        <f t="shared" si="0"/>
      </c>
      <c r="J908" s="94">
        <f t="shared" si="4"/>
      </c>
      <c r="K908" s="94">
        <f t="shared" si="10"/>
      </c>
      <c r="L908" s="96">
        <f t="shared" si="5"/>
      </c>
      <c r="N908" s="2">
        <f>IF(901&gt;$Z$5,0,MOD(SMALL($Z$6:$Z$2005,901),10000))</f>
        <v>0</v>
      </c>
      <c r="O908" s="2">
        <f t="shared" si="11"/>
        <v>0</v>
      </c>
      <c r="Z908" s="2">
        <f>IF(AND(ISNUMBER(资金流水!$B$908),资金流水!$B$908&gt;=$C$4,资金流水!$B$908&lt;=$E$4,OR(资金流水!$C$908=$C$3,AND(资金流水!$AD$908=$C$3,资金流水!$X$908="账户互转"))),INT(资金流水!$B$908)*10000+903,"")</f>
      </c>
    </row>
    <row r="909">
      <c r="A909" s="94">
        <f>IF($N909=0,"",902)</f>
      </c>
      <c r="B909" s="95">
        <f t="shared" si="6"/>
      </c>
      <c r="C909" s="96">
        <f t="shared" si="1"/>
      </c>
      <c r="D909" s="21">
        <f t="shared" si="7"/>
      </c>
      <c r="E909" s="21">
        <f t="shared" si="2"/>
      </c>
      <c r="F909" s="48">
        <f t="shared" si="8"/>
      </c>
      <c r="G909" s="94">
        <f t="shared" si="9"/>
      </c>
      <c r="H909" s="94">
        <f t="shared" si="3"/>
      </c>
      <c r="I909" s="96">
        <f t="shared" si="0"/>
      </c>
      <c r="J909" s="94">
        <f t="shared" si="4"/>
      </c>
      <c r="K909" s="94">
        <f t="shared" si="10"/>
      </c>
      <c r="L909" s="96">
        <f t="shared" si="5"/>
      </c>
      <c r="N909" s="2">
        <f>IF(902&gt;$Z$5,0,MOD(SMALL($Z$6:$Z$2005,902),10000))</f>
        <v>0</v>
      </c>
      <c r="O909" s="2">
        <f t="shared" si="11"/>
        <v>0</v>
      </c>
      <c r="Z909" s="2">
        <f>IF(AND(ISNUMBER(资金流水!$B$909),资金流水!$B$909&gt;=$C$4,资金流水!$B$909&lt;=$E$4,OR(资金流水!$C$909=$C$3,AND(资金流水!$AD$909=$C$3,资金流水!$X$909="账户互转"))),INT(资金流水!$B$909)*10000+904,"")</f>
      </c>
    </row>
    <row r="910">
      <c r="A910" s="94">
        <f>IF($N910=0,"",903)</f>
      </c>
      <c r="B910" s="95">
        <f t="shared" si="6"/>
      </c>
      <c r="C910" s="96">
        <f t="shared" si="1"/>
      </c>
      <c r="D910" s="21">
        <f t="shared" si="7"/>
      </c>
      <c r="E910" s="21">
        <f t="shared" si="2"/>
      </c>
      <c r="F910" s="48">
        <f t="shared" si="8"/>
      </c>
      <c r="G910" s="94">
        <f t="shared" si="9"/>
      </c>
      <c r="H910" s="94">
        <f t="shared" si="3"/>
      </c>
      <c r="I910" s="96">
        <f t="shared" si="0"/>
      </c>
      <c r="J910" s="94">
        <f t="shared" si="4"/>
      </c>
      <c r="K910" s="94">
        <f t="shared" si="10"/>
      </c>
      <c r="L910" s="96">
        <f t="shared" si="5"/>
      </c>
      <c r="N910" s="2">
        <f>IF(903&gt;$Z$5,0,MOD(SMALL($Z$6:$Z$2005,903),10000))</f>
        <v>0</v>
      </c>
      <c r="O910" s="2">
        <f t="shared" si="11"/>
        <v>0</v>
      </c>
      <c r="Z910" s="2">
        <f>IF(AND(ISNUMBER(资金流水!$B$910),资金流水!$B$910&gt;=$C$4,资金流水!$B$910&lt;=$E$4,OR(资金流水!$C$910=$C$3,AND(资金流水!$AD$910=$C$3,资金流水!$X$910="账户互转"))),INT(资金流水!$B$910)*10000+905,"")</f>
      </c>
    </row>
    <row r="911">
      <c r="A911" s="94">
        <f>IF($N911=0,"",904)</f>
      </c>
      <c r="B911" s="95">
        <f t="shared" si="6"/>
      </c>
      <c r="C911" s="96">
        <f t="shared" si="1"/>
      </c>
      <c r="D911" s="21">
        <f t="shared" si="7"/>
      </c>
      <c r="E911" s="21">
        <f t="shared" si="2"/>
      </c>
      <c r="F911" s="48">
        <f t="shared" si="8"/>
      </c>
      <c r="G911" s="94">
        <f t="shared" si="9"/>
      </c>
      <c r="H911" s="94">
        <f t="shared" si="3"/>
      </c>
      <c r="I911" s="96">
        <f t="shared" si="0"/>
      </c>
      <c r="J911" s="94">
        <f t="shared" si="4"/>
      </c>
      <c r="K911" s="94">
        <f t="shared" si="10"/>
      </c>
      <c r="L911" s="96">
        <f t="shared" si="5"/>
      </c>
      <c r="N911" s="2">
        <f>IF(904&gt;$Z$5,0,MOD(SMALL($Z$6:$Z$2005,904),10000))</f>
        <v>0</v>
      </c>
      <c r="O911" s="2">
        <f t="shared" si="11"/>
        <v>0</v>
      </c>
      <c r="Z911" s="2">
        <f>IF(AND(ISNUMBER(资金流水!$B$911),资金流水!$B$911&gt;=$C$4,资金流水!$B$911&lt;=$E$4,OR(资金流水!$C$911=$C$3,AND(资金流水!$AD$911=$C$3,资金流水!$X$911="账户互转"))),INT(资金流水!$B$911)*10000+906,"")</f>
      </c>
    </row>
    <row r="912">
      <c r="A912" s="94">
        <f>IF($N912=0,"",905)</f>
      </c>
      <c r="B912" s="95">
        <f t="shared" si="6"/>
      </c>
      <c r="C912" s="96">
        <f t="shared" si="1"/>
      </c>
      <c r="D912" s="21">
        <f t="shared" si="7"/>
      </c>
      <c r="E912" s="21">
        <f t="shared" si="2"/>
      </c>
      <c r="F912" s="48">
        <f t="shared" si="8"/>
      </c>
      <c r="G912" s="94">
        <f t="shared" si="9"/>
      </c>
      <c r="H912" s="94">
        <f t="shared" si="3"/>
      </c>
      <c r="I912" s="96">
        <f t="shared" si="0"/>
      </c>
      <c r="J912" s="94">
        <f t="shared" si="4"/>
      </c>
      <c r="K912" s="94">
        <f t="shared" si="10"/>
      </c>
      <c r="L912" s="96">
        <f t="shared" si="5"/>
      </c>
      <c r="N912" s="2">
        <f>IF(905&gt;$Z$5,0,MOD(SMALL($Z$6:$Z$2005,905),10000))</f>
        <v>0</v>
      </c>
      <c r="O912" s="2">
        <f t="shared" si="11"/>
        <v>0</v>
      </c>
      <c r="Z912" s="2">
        <f>IF(AND(ISNUMBER(资金流水!$B$912),资金流水!$B$912&gt;=$C$4,资金流水!$B$912&lt;=$E$4,OR(资金流水!$C$912=$C$3,AND(资金流水!$AD$912=$C$3,资金流水!$X$912="账户互转"))),INT(资金流水!$B$912)*10000+907,"")</f>
      </c>
    </row>
    <row r="913">
      <c r="A913" s="94">
        <f>IF($N913=0,"",906)</f>
      </c>
      <c r="B913" s="95">
        <f t="shared" si="6"/>
      </c>
      <c r="C913" s="96">
        <f t="shared" si="1"/>
      </c>
      <c r="D913" s="21">
        <f t="shared" si="7"/>
      </c>
      <c r="E913" s="21">
        <f t="shared" si="2"/>
      </c>
      <c r="F913" s="48">
        <f t="shared" si="8"/>
      </c>
      <c r="G913" s="94">
        <f t="shared" si="9"/>
      </c>
      <c r="H913" s="94">
        <f t="shared" si="3"/>
      </c>
      <c r="I913" s="96">
        <f t="shared" si="0"/>
      </c>
      <c r="J913" s="94">
        <f t="shared" si="4"/>
      </c>
      <c r="K913" s="94">
        <f t="shared" si="10"/>
      </c>
      <c r="L913" s="96">
        <f t="shared" si="5"/>
      </c>
      <c r="N913" s="2">
        <f>IF(906&gt;$Z$5,0,MOD(SMALL($Z$6:$Z$2005,906),10000))</f>
        <v>0</v>
      </c>
      <c r="O913" s="2">
        <f t="shared" si="11"/>
        <v>0</v>
      </c>
      <c r="Z913" s="2">
        <f>IF(AND(ISNUMBER(资金流水!$B$913),资金流水!$B$913&gt;=$C$4,资金流水!$B$913&lt;=$E$4,OR(资金流水!$C$913=$C$3,AND(资金流水!$AD$913=$C$3,资金流水!$X$913="账户互转"))),INT(资金流水!$B$913)*10000+908,"")</f>
      </c>
    </row>
    <row r="914">
      <c r="A914" s="94">
        <f>IF($N914=0,"",907)</f>
      </c>
      <c r="B914" s="95">
        <f t="shared" si="6"/>
      </c>
      <c r="C914" s="96">
        <f t="shared" si="1"/>
      </c>
      <c r="D914" s="21">
        <f t="shared" si="7"/>
      </c>
      <c r="E914" s="21">
        <f t="shared" si="2"/>
      </c>
      <c r="F914" s="48">
        <f t="shared" si="8"/>
      </c>
      <c r="G914" s="94">
        <f t="shared" si="9"/>
      </c>
      <c r="H914" s="94">
        <f t="shared" si="3"/>
      </c>
      <c r="I914" s="96">
        <f t="shared" si="0"/>
      </c>
      <c r="J914" s="94">
        <f t="shared" si="4"/>
      </c>
      <c r="K914" s="94">
        <f t="shared" si="10"/>
      </c>
      <c r="L914" s="96">
        <f t="shared" si="5"/>
      </c>
      <c r="N914" s="2">
        <f>IF(907&gt;$Z$5,0,MOD(SMALL($Z$6:$Z$2005,907),10000))</f>
        <v>0</v>
      </c>
      <c r="O914" s="2">
        <f t="shared" si="11"/>
        <v>0</v>
      </c>
      <c r="Z914" s="2">
        <f>IF(AND(ISNUMBER(资金流水!$B$914),资金流水!$B$914&gt;=$C$4,资金流水!$B$914&lt;=$E$4,OR(资金流水!$C$914=$C$3,AND(资金流水!$AD$914=$C$3,资金流水!$X$914="账户互转"))),INT(资金流水!$B$914)*10000+909,"")</f>
      </c>
    </row>
    <row r="915">
      <c r="A915" s="94">
        <f>IF($N915=0,"",908)</f>
      </c>
      <c r="B915" s="95">
        <f t="shared" si="6"/>
      </c>
      <c r="C915" s="96">
        <f t="shared" si="1"/>
      </c>
      <c r="D915" s="21">
        <f t="shared" si="7"/>
      </c>
      <c r="E915" s="21">
        <f t="shared" si="2"/>
      </c>
      <c r="F915" s="48">
        <f t="shared" si="8"/>
      </c>
      <c r="G915" s="94">
        <f t="shared" si="9"/>
      </c>
      <c r="H915" s="94">
        <f t="shared" si="3"/>
      </c>
      <c r="I915" s="96">
        <f t="shared" si="0"/>
      </c>
      <c r="J915" s="94">
        <f t="shared" si="4"/>
      </c>
      <c r="K915" s="94">
        <f t="shared" si="10"/>
      </c>
      <c r="L915" s="96">
        <f t="shared" si="5"/>
      </c>
      <c r="N915" s="2">
        <f>IF(908&gt;$Z$5,0,MOD(SMALL($Z$6:$Z$2005,908),10000))</f>
        <v>0</v>
      </c>
      <c r="O915" s="2">
        <f t="shared" si="11"/>
        <v>0</v>
      </c>
      <c r="Z915" s="2">
        <f>IF(AND(ISNUMBER(资金流水!$B$915),资金流水!$B$915&gt;=$C$4,资金流水!$B$915&lt;=$E$4,OR(资金流水!$C$915=$C$3,AND(资金流水!$AD$915=$C$3,资金流水!$X$915="账户互转"))),INT(资金流水!$B$915)*10000+910,"")</f>
      </c>
    </row>
    <row r="916">
      <c r="A916" s="94">
        <f>IF($N916=0,"",909)</f>
      </c>
      <c r="B916" s="95">
        <f t="shared" si="6"/>
      </c>
      <c r="C916" s="96">
        <f t="shared" si="1"/>
      </c>
      <c r="D916" s="21">
        <f t="shared" si="7"/>
      </c>
      <c r="E916" s="21">
        <f t="shared" si="2"/>
      </c>
      <c r="F916" s="48">
        <f t="shared" si="8"/>
      </c>
      <c r="G916" s="94">
        <f t="shared" si="9"/>
      </c>
      <c r="H916" s="94">
        <f t="shared" si="3"/>
      </c>
      <c r="I916" s="96">
        <f t="shared" si="0"/>
      </c>
      <c r="J916" s="94">
        <f t="shared" si="4"/>
      </c>
      <c r="K916" s="94">
        <f t="shared" si="10"/>
      </c>
      <c r="L916" s="96">
        <f t="shared" si="5"/>
      </c>
      <c r="N916" s="2">
        <f>IF(909&gt;$Z$5,0,MOD(SMALL($Z$6:$Z$2005,909),10000))</f>
        <v>0</v>
      </c>
      <c r="O916" s="2">
        <f t="shared" si="11"/>
        <v>0</v>
      </c>
      <c r="Z916" s="2">
        <f>IF(AND(ISNUMBER(资金流水!$B$916),资金流水!$B$916&gt;=$C$4,资金流水!$B$916&lt;=$E$4,OR(资金流水!$C$916=$C$3,AND(资金流水!$AD$916=$C$3,资金流水!$X$916="账户互转"))),INT(资金流水!$B$916)*10000+911,"")</f>
      </c>
    </row>
    <row r="917">
      <c r="A917" s="94">
        <f>IF($N917=0,"",910)</f>
      </c>
      <c r="B917" s="95">
        <f t="shared" si="6"/>
      </c>
      <c r="C917" s="96">
        <f t="shared" si="1"/>
      </c>
      <c r="D917" s="21">
        <f t="shared" si="7"/>
      </c>
      <c r="E917" s="21">
        <f t="shared" si="2"/>
      </c>
      <c r="F917" s="48">
        <f t="shared" si="8"/>
      </c>
      <c r="G917" s="94">
        <f t="shared" si="9"/>
      </c>
      <c r="H917" s="94">
        <f t="shared" si="3"/>
      </c>
      <c r="I917" s="96">
        <f t="shared" si="0"/>
      </c>
      <c r="J917" s="94">
        <f t="shared" si="4"/>
      </c>
      <c r="K917" s="94">
        <f t="shared" si="10"/>
      </c>
      <c r="L917" s="96">
        <f t="shared" si="5"/>
      </c>
      <c r="N917" s="2">
        <f>IF(910&gt;$Z$5,0,MOD(SMALL($Z$6:$Z$2005,910),10000))</f>
        <v>0</v>
      </c>
      <c r="O917" s="2">
        <f t="shared" si="11"/>
        <v>0</v>
      </c>
      <c r="Z917" s="2">
        <f>IF(AND(ISNUMBER(资金流水!$B$917),资金流水!$B$917&gt;=$C$4,资金流水!$B$917&lt;=$E$4,OR(资金流水!$C$917=$C$3,AND(资金流水!$AD$917=$C$3,资金流水!$X$917="账户互转"))),INT(资金流水!$B$917)*10000+912,"")</f>
      </c>
    </row>
    <row r="918">
      <c r="A918" s="94">
        <f>IF($N918=0,"",911)</f>
      </c>
      <c r="B918" s="95">
        <f t="shared" si="6"/>
      </c>
      <c r="C918" s="96">
        <f t="shared" si="1"/>
      </c>
      <c r="D918" s="21">
        <f t="shared" si="7"/>
      </c>
      <c r="E918" s="21">
        <f t="shared" si="2"/>
      </c>
      <c r="F918" s="48">
        <f t="shared" si="8"/>
      </c>
      <c r="G918" s="94">
        <f t="shared" si="9"/>
      </c>
      <c r="H918" s="94">
        <f t="shared" si="3"/>
      </c>
      <c r="I918" s="96">
        <f t="shared" si="0"/>
      </c>
      <c r="J918" s="94">
        <f t="shared" si="4"/>
      </c>
      <c r="K918" s="94">
        <f t="shared" si="10"/>
      </c>
      <c r="L918" s="96">
        <f t="shared" si="5"/>
      </c>
      <c r="N918" s="2">
        <f>IF(911&gt;$Z$5,0,MOD(SMALL($Z$6:$Z$2005,911),10000))</f>
        <v>0</v>
      </c>
      <c r="O918" s="2">
        <f t="shared" si="11"/>
        <v>0</v>
      </c>
      <c r="Z918" s="2">
        <f>IF(AND(ISNUMBER(资金流水!$B$918),资金流水!$B$918&gt;=$C$4,资金流水!$B$918&lt;=$E$4,OR(资金流水!$C$918=$C$3,AND(资金流水!$AD$918=$C$3,资金流水!$X$918="账户互转"))),INT(资金流水!$B$918)*10000+913,"")</f>
      </c>
    </row>
    <row r="919">
      <c r="A919" s="94">
        <f>IF($N919=0,"",912)</f>
      </c>
      <c r="B919" s="95">
        <f t="shared" si="6"/>
      </c>
      <c r="C919" s="96">
        <f t="shared" si="1"/>
      </c>
      <c r="D919" s="21">
        <f t="shared" si="7"/>
      </c>
      <c r="E919" s="21">
        <f t="shared" si="2"/>
      </c>
      <c r="F919" s="48">
        <f t="shared" si="8"/>
      </c>
      <c r="G919" s="94">
        <f t="shared" si="9"/>
      </c>
      <c r="H919" s="94">
        <f t="shared" si="3"/>
      </c>
      <c r="I919" s="96">
        <f t="shared" si="0"/>
      </c>
      <c r="J919" s="94">
        <f t="shared" si="4"/>
      </c>
      <c r="K919" s="94">
        <f t="shared" si="10"/>
      </c>
      <c r="L919" s="96">
        <f t="shared" si="5"/>
      </c>
      <c r="N919" s="2">
        <f>IF(912&gt;$Z$5,0,MOD(SMALL($Z$6:$Z$2005,912),10000))</f>
        <v>0</v>
      </c>
      <c r="O919" s="2">
        <f t="shared" si="11"/>
        <v>0</v>
      </c>
      <c r="Z919" s="2">
        <f>IF(AND(ISNUMBER(资金流水!$B$919),资金流水!$B$919&gt;=$C$4,资金流水!$B$919&lt;=$E$4,OR(资金流水!$C$919=$C$3,AND(资金流水!$AD$919=$C$3,资金流水!$X$919="账户互转"))),INT(资金流水!$B$919)*10000+914,"")</f>
      </c>
    </row>
    <row r="920">
      <c r="A920" s="94">
        <f>IF($N920=0,"",913)</f>
      </c>
      <c r="B920" s="95">
        <f t="shared" si="6"/>
      </c>
      <c r="C920" s="96">
        <f t="shared" si="1"/>
      </c>
      <c r="D920" s="21">
        <f t="shared" si="7"/>
      </c>
      <c r="E920" s="21">
        <f t="shared" si="2"/>
      </c>
      <c r="F920" s="48">
        <f t="shared" si="8"/>
      </c>
      <c r="G920" s="94">
        <f t="shared" si="9"/>
      </c>
      <c r="H920" s="94">
        <f t="shared" si="3"/>
      </c>
      <c r="I920" s="96">
        <f t="shared" si="0"/>
      </c>
      <c r="J920" s="94">
        <f t="shared" si="4"/>
      </c>
      <c r="K920" s="94">
        <f t="shared" si="10"/>
      </c>
      <c r="L920" s="96">
        <f t="shared" si="5"/>
      </c>
      <c r="N920" s="2">
        <f>IF(913&gt;$Z$5,0,MOD(SMALL($Z$6:$Z$2005,913),10000))</f>
        <v>0</v>
      </c>
      <c r="O920" s="2">
        <f t="shared" si="11"/>
        <v>0</v>
      </c>
      <c r="Z920" s="2">
        <f>IF(AND(ISNUMBER(资金流水!$B$920),资金流水!$B$920&gt;=$C$4,资金流水!$B$920&lt;=$E$4,OR(资金流水!$C$920=$C$3,AND(资金流水!$AD$920=$C$3,资金流水!$X$920="账户互转"))),INT(资金流水!$B$920)*10000+915,"")</f>
      </c>
    </row>
    <row r="921">
      <c r="A921" s="94">
        <f>IF($N921=0,"",914)</f>
      </c>
      <c r="B921" s="95">
        <f t="shared" si="6"/>
      </c>
      <c r="C921" s="96">
        <f t="shared" si="1"/>
      </c>
      <c r="D921" s="21">
        <f t="shared" si="7"/>
      </c>
      <c r="E921" s="21">
        <f t="shared" si="2"/>
      </c>
      <c r="F921" s="48">
        <f t="shared" si="8"/>
      </c>
      <c r="G921" s="94">
        <f t="shared" si="9"/>
      </c>
      <c r="H921" s="94">
        <f t="shared" si="3"/>
      </c>
      <c r="I921" s="96">
        <f t="shared" si="0"/>
      </c>
      <c r="J921" s="94">
        <f t="shared" si="4"/>
      </c>
      <c r="K921" s="94">
        <f t="shared" si="10"/>
      </c>
      <c r="L921" s="96">
        <f t="shared" si="5"/>
      </c>
      <c r="N921" s="2">
        <f>IF(914&gt;$Z$5,0,MOD(SMALL($Z$6:$Z$2005,914),10000))</f>
        <v>0</v>
      </c>
      <c r="O921" s="2">
        <f t="shared" si="11"/>
        <v>0</v>
      </c>
      <c r="Z921" s="2">
        <f>IF(AND(ISNUMBER(资金流水!$B$921),资金流水!$B$921&gt;=$C$4,资金流水!$B$921&lt;=$E$4,OR(资金流水!$C$921=$C$3,AND(资金流水!$AD$921=$C$3,资金流水!$X$921="账户互转"))),INT(资金流水!$B$921)*10000+916,"")</f>
      </c>
    </row>
    <row r="922">
      <c r="A922" s="94">
        <f>IF($N922=0,"",915)</f>
      </c>
      <c r="B922" s="95">
        <f t="shared" si="6"/>
      </c>
      <c r="C922" s="96">
        <f t="shared" si="1"/>
      </c>
      <c r="D922" s="21">
        <f t="shared" si="7"/>
      </c>
      <c r="E922" s="21">
        <f t="shared" si="2"/>
      </c>
      <c r="F922" s="48">
        <f t="shared" si="8"/>
      </c>
      <c r="G922" s="94">
        <f t="shared" si="9"/>
      </c>
      <c r="H922" s="94">
        <f t="shared" si="3"/>
      </c>
      <c r="I922" s="96">
        <f t="shared" si="0"/>
      </c>
      <c r="J922" s="94">
        <f t="shared" si="4"/>
      </c>
      <c r="K922" s="94">
        <f t="shared" si="10"/>
      </c>
      <c r="L922" s="96">
        <f t="shared" si="5"/>
      </c>
      <c r="N922" s="2">
        <f>IF(915&gt;$Z$5,0,MOD(SMALL($Z$6:$Z$2005,915),10000))</f>
        <v>0</v>
      </c>
      <c r="O922" s="2">
        <f t="shared" si="11"/>
        <v>0</v>
      </c>
      <c r="Z922" s="2">
        <f>IF(AND(ISNUMBER(资金流水!$B$922),资金流水!$B$922&gt;=$C$4,资金流水!$B$922&lt;=$E$4,OR(资金流水!$C$922=$C$3,AND(资金流水!$AD$922=$C$3,资金流水!$X$922="账户互转"))),INT(资金流水!$B$922)*10000+917,"")</f>
      </c>
    </row>
    <row r="923">
      <c r="A923" s="94">
        <f>IF($N923=0,"",916)</f>
      </c>
      <c r="B923" s="95">
        <f t="shared" si="6"/>
      </c>
      <c r="C923" s="96">
        <f t="shared" si="1"/>
      </c>
      <c r="D923" s="21">
        <f t="shared" si="7"/>
      </c>
      <c r="E923" s="21">
        <f t="shared" si="2"/>
      </c>
      <c r="F923" s="48">
        <f t="shared" si="8"/>
      </c>
      <c r="G923" s="94">
        <f t="shared" si="9"/>
      </c>
      <c r="H923" s="94">
        <f t="shared" si="3"/>
      </c>
      <c r="I923" s="96">
        <f t="shared" si="0"/>
      </c>
      <c r="J923" s="94">
        <f t="shared" si="4"/>
      </c>
      <c r="K923" s="94">
        <f t="shared" si="10"/>
      </c>
      <c r="L923" s="96">
        <f t="shared" si="5"/>
      </c>
      <c r="N923" s="2">
        <f>IF(916&gt;$Z$5,0,MOD(SMALL($Z$6:$Z$2005,916),10000))</f>
        <v>0</v>
      </c>
      <c r="O923" s="2">
        <f t="shared" si="11"/>
        <v>0</v>
      </c>
      <c r="Z923" s="2">
        <f>IF(AND(ISNUMBER(资金流水!$B$923),资金流水!$B$923&gt;=$C$4,资金流水!$B$923&lt;=$E$4,OR(资金流水!$C$923=$C$3,AND(资金流水!$AD$923=$C$3,资金流水!$X$923="账户互转"))),INT(资金流水!$B$923)*10000+918,"")</f>
      </c>
    </row>
    <row r="924">
      <c r="A924" s="94">
        <f>IF($N924=0,"",917)</f>
      </c>
      <c r="B924" s="95">
        <f t="shared" si="6"/>
      </c>
      <c r="C924" s="96">
        <f t="shared" si="1"/>
      </c>
      <c r="D924" s="21">
        <f t="shared" si="7"/>
      </c>
      <c r="E924" s="21">
        <f t="shared" si="2"/>
      </c>
      <c r="F924" s="48">
        <f t="shared" si="8"/>
      </c>
      <c r="G924" s="94">
        <f t="shared" si="9"/>
      </c>
      <c r="H924" s="94">
        <f t="shared" si="3"/>
      </c>
      <c r="I924" s="96">
        <f t="shared" si="0"/>
      </c>
      <c r="J924" s="94">
        <f t="shared" si="4"/>
      </c>
      <c r="K924" s="94">
        <f t="shared" si="10"/>
      </c>
      <c r="L924" s="96">
        <f t="shared" si="5"/>
      </c>
      <c r="N924" s="2">
        <f>IF(917&gt;$Z$5,0,MOD(SMALL($Z$6:$Z$2005,917),10000))</f>
        <v>0</v>
      </c>
      <c r="O924" s="2">
        <f t="shared" si="11"/>
        <v>0</v>
      </c>
      <c r="Z924" s="2">
        <f>IF(AND(ISNUMBER(资金流水!$B$924),资金流水!$B$924&gt;=$C$4,资金流水!$B$924&lt;=$E$4,OR(资金流水!$C$924=$C$3,AND(资金流水!$AD$924=$C$3,资金流水!$X$924="账户互转"))),INT(资金流水!$B$924)*10000+919,"")</f>
      </c>
    </row>
    <row r="925">
      <c r="A925" s="94">
        <f>IF($N925=0,"",918)</f>
      </c>
      <c r="B925" s="95">
        <f t="shared" si="6"/>
      </c>
      <c r="C925" s="96">
        <f t="shared" si="1"/>
      </c>
      <c r="D925" s="21">
        <f t="shared" si="7"/>
      </c>
      <c r="E925" s="21">
        <f t="shared" si="2"/>
      </c>
      <c r="F925" s="48">
        <f t="shared" si="8"/>
      </c>
      <c r="G925" s="94">
        <f t="shared" si="9"/>
      </c>
      <c r="H925" s="94">
        <f t="shared" si="3"/>
      </c>
      <c r="I925" s="96">
        <f t="shared" si="0"/>
      </c>
      <c r="J925" s="94">
        <f t="shared" si="4"/>
      </c>
      <c r="K925" s="94">
        <f t="shared" si="10"/>
      </c>
      <c r="L925" s="96">
        <f t="shared" si="5"/>
      </c>
      <c r="N925" s="2">
        <f>IF(918&gt;$Z$5,0,MOD(SMALL($Z$6:$Z$2005,918),10000))</f>
        <v>0</v>
      </c>
      <c r="O925" s="2">
        <f t="shared" si="11"/>
        <v>0</v>
      </c>
      <c r="Z925" s="2">
        <f>IF(AND(ISNUMBER(资金流水!$B$925),资金流水!$B$925&gt;=$C$4,资金流水!$B$925&lt;=$E$4,OR(资金流水!$C$925=$C$3,AND(资金流水!$AD$925=$C$3,资金流水!$X$925="账户互转"))),INT(资金流水!$B$925)*10000+920,"")</f>
      </c>
    </row>
    <row r="926">
      <c r="A926" s="94">
        <f>IF($N926=0,"",919)</f>
      </c>
      <c r="B926" s="95">
        <f t="shared" si="6"/>
      </c>
      <c r="C926" s="96">
        <f t="shared" si="1"/>
      </c>
      <c r="D926" s="21">
        <f t="shared" si="7"/>
      </c>
      <c r="E926" s="21">
        <f t="shared" si="2"/>
      </c>
      <c r="F926" s="48">
        <f t="shared" si="8"/>
      </c>
      <c r="G926" s="94">
        <f t="shared" si="9"/>
      </c>
      <c r="H926" s="94">
        <f t="shared" si="3"/>
      </c>
      <c r="I926" s="96">
        <f t="shared" si="0"/>
      </c>
      <c r="J926" s="94">
        <f t="shared" si="4"/>
      </c>
      <c r="K926" s="94">
        <f t="shared" si="10"/>
      </c>
      <c r="L926" s="96">
        <f t="shared" si="5"/>
      </c>
      <c r="N926" s="2">
        <f>IF(919&gt;$Z$5,0,MOD(SMALL($Z$6:$Z$2005,919),10000))</f>
        <v>0</v>
      </c>
      <c r="O926" s="2">
        <f t="shared" si="11"/>
        <v>0</v>
      </c>
      <c r="Z926" s="2">
        <f>IF(AND(ISNUMBER(资金流水!$B$926),资金流水!$B$926&gt;=$C$4,资金流水!$B$926&lt;=$E$4,OR(资金流水!$C$926=$C$3,AND(资金流水!$AD$926=$C$3,资金流水!$X$926="账户互转"))),INT(资金流水!$B$926)*10000+921,"")</f>
      </c>
    </row>
    <row r="927">
      <c r="A927" s="94">
        <f>IF($N927=0,"",920)</f>
      </c>
      <c r="B927" s="95">
        <f t="shared" si="6"/>
      </c>
      <c r="C927" s="96">
        <f t="shared" si="1"/>
      </c>
      <c r="D927" s="21">
        <f t="shared" si="7"/>
      </c>
      <c r="E927" s="21">
        <f t="shared" si="2"/>
      </c>
      <c r="F927" s="48">
        <f t="shared" si="8"/>
      </c>
      <c r="G927" s="94">
        <f t="shared" si="9"/>
      </c>
      <c r="H927" s="94">
        <f t="shared" si="3"/>
      </c>
      <c r="I927" s="96">
        <f t="shared" si="0"/>
      </c>
      <c r="J927" s="94">
        <f t="shared" si="4"/>
      </c>
      <c r="K927" s="94">
        <f t="shared" si="10"/>
      </c>
      <c r="L927" s="96">
        <f t="shared" si="5"/>
      </c>
      <c r="N927" s="2">
        <f>IF(920&gt;$Z$5,0,MOD(SMALL($Z$6:$Z$2005,920),10000))</f>
        <v>0</v>
      </c>
      <c r="O927" s="2">
        <f t="shared" si="11"/>
        <v>0</v>
      </c>
      <c r="Z927" s="2">
        <f>IF(AND(ISNUMBER(资金流水!$B$927),资金流水!$B$927&gt;=$C$4,资金流水!$B$927&lt;=$E$4,OR(资金流水!$C$927=$C$3,AND(资金流水!$AD$927=$C$3,资金流水!$X$927="账户互转"))),INT(资金流水!$B$927)*10000+922,"")</f>
      </c>
    </row>
    <row r="928">
      <c r="A928" s="94">
        <f>IF($N928=0,"",921)</f>
      </c>
      <c r="B928" s="95">
        <f t="shared" si="6"/>
      </c>
      <c r="C928" s="96">
        <f t="shared" si="1"/>
      </c>
      <c r="D928" s="21">
        <f t="shared" si="7"/>
      </c>
      <c r="E928" s="21">
        <f t="shared" si="2"/>
      </c>
      <c r="F928" s="48">
        <f t="shared" si="8"/>
      </c>
      <c r="G928" s="94">
        <f t="shared" si="9"/>
      </c>
      <c r="H928" s="94">
        <f t="shared" si="3"/>
      </c>
      <c r="I928" s="96">
        <f t="shared" si="0"/>
      </c>
      <c r="J928" s="94">
        <f t="shared" si="4"/>
      </c>
      <c r="K928" s="94">
        <f t="shared" si="10"/>
      </c>
      <c r="L928" s="96">
        <f t="shared" si="5"/>
      </c>
      <c r="N928" s="2">
        <f>IF(921&gt;$Z$5,0,MOD(SMALL($Z$6:$Z$2005,921),10000))</f>
        <v>0</v>
      </c>
      <c r="O928" s="2">
        <f t="shared" si="11"/>
        <v>0</v>
      </c>
      <c r="Z928" s="2">
        <f>IF(AND(ISNUMBER(资金流水!$B$928),资金流水!$B$928&gt;=$C$4,资金流水!$B$928&lt;=$E$4,OR(资金流水!$C$928=$C$3,AND(资金流水!$AD$928=$C$3,资金流水!$X$928="账户互转"))),INT(资金流水!$B$928)*10000+923,"")</f>
      </c>
    </row>
    <row r="929">
      <c r="A929" s="94">
        <f>IF($N929=0,"",922)</f>
      </c>
      <c r="B929" s="95">
        <f t="shared" si="6"/>
      </c>
      <c r="C929" s="96">
        <f t="shared" si="1"/>
      </c>
      <c r="D929" s="21">
        <f t="shared" si="7"/>
      </c>
      <c r="E929" s="21">
        <f t="shared" si="2"/>
      </c>
      <c r="F929" s="48">
        <f t="shared" si="8"/>
      </c>
      <c r="G929" s="94">
        <f t="shared" si="9"/>
      </c>
      <c r="H929" s="94">
        <f t="shared" si="3"/>
      </c>
      <c r="I929" s="96">
        <f t="shared" si="0"/>
      </c>
      <c r="J929" s="94">
        <f t="shared" si="4"/>
      </c>
      <c r="K929" s="94">
        <f t="shared" si="10"/>
      </c>
      <c r="L929" s="96">
        <f t="shared" si="5"/>
      </c>
      <c r="N929" s="2">
        <f>IF(922&gt;$Z$5,0,MOD(SMALL($Z$6:$Z$2005,922),10000))</f>
        <v>0</v>
      </c>
      <c r="O929" s="2">
        <f t="shared" si="11"/>
        <v>0</v>
      </c>
      <c r="Z929" s="2">
        <f>IF(AND(ISNUMBER(资金流水!$B$929),资金流水!$B$929&gt;=$C$4,资金流水!$B$929&lt;=$E$4,OR(资金流水!$C$929=$C$3,AND(资金流水!$AD$929=$C$3,资金流水!$X$929="账户互转"))),INT(资金流水!$B$929)*10000+924,"")</f>
      </c>
    </row>
    <row r="930">
      <c r="A930" s="94">
        <f>IF($N930=0,"",923)</f>
      </c>
      <c r="B930" s="95">
        <f t="shared" si="6"/>
      </c>
      <c r="C930" s="96">
        <f t="shared" si="1"/>
      </c>
      <c r="D930" s="21">
        <f t="shared" si="7"/>
      </c>
      <c r="E930" s="21">
        <f t="shared" si="2"/>
      </c>
      <c r="F930" s="48">
        <f t="shared" si="8"/>
      </c>
      <c r="G930" s="94">
        <f t="shared" si="9"/>
      </c>
      <c r="H930" s="94">
        <f t="shared" si="3"/>
      </c>
      <c r="I930" s="96">
        <f t="shared" si="0"/>
      </c>
      <c r="J930" s="94">
        <f t="shared" si="4"/>
      </c>
      <c r="K930" s="94">
        <f t="shared" si="10"/>
      </c>
      <c r="L930" s="96">
        <f t="shared" si="5"/>
      </c>
      <c r="N930" s="2">
        <f>IF(923&gt;$Z$5,0,MOD(SMALL($Z$6:$Z$2005,923),10000))</f>
        <v>0</v>
      </c>
      <c r="O930" s="2">
        <f t="shared" si="11"/>
        <v>0</v>
      </c>
      <c r="Z930" s="2">
        <f>IF(AND(ISNUMBER(资金流水!$B$930),资金流水!$B$930&gt;=$C$4,资金流水!$B$930&lt;=$E$4,OR(资金流水!$C$930=$C$3,AND(资金流水!$AD$930=$C$3,资金流水!$X$930="账户互转"))),INT(资金流水!$B$930)*10000+925,"")</f>
      </c>
    </row>
    <row r="931">
      <c r="A931" s="94">
        <f>IF($N931=0,"",924)</f>
      </c>
      <c r="B931" s="95">
        <f t="shared" si="6"/>
      </c>
      <c r="C931" s="96">
        <f t="shared" si="1"/>
      </c>
      <c r="D931" s="21">
        <f t="shared" si="7"/>
      </c>
      <c r="E931" s="21">
        <f t="shared" si="2"/>
      </c>
      <c r="F931" s="48">
        <f t="shared" si="8"/>
      </c>
      <c r="G931" s="94">
        <f t="shared" si="9"/>
      </c>
      <c r="H931" s="94">
        <f t="shared" si="3"/>
      </c>
      <c r="I931" s="96">
        <f t="shared" si="0"/>
      </c>
      <c r="J931" s="94">
        <f t="shared" si="4"/>
      </c>
      <c r="K931" s="94">
        <f t="shared" si="10"/>
      </c>
      <c r="L931" s="96">
        <f t="shared" si="5"/>
      </c>
      <c r="N931" s="2">
        <f>IF(924&gt;$Z$5,0,MOD(SMALL($Z$6:$Z$2005,924),10000))</f>
        <v>0</v>
      </c>
      <c r="O931" s="2">
        <f t="shared" si="11"/>
        <v>0</v>
      </c>
      <c r="Z931" s="2">
        <f>IF(AND(ISNUMBER(资金流水!$B$931),资金流水!$B$931&gt;=$C$4,资金流水!$B$931&lt;=$E$4,OR(资金流水!$C$931=$C$3,AND(资金流水!$AD$931=$C$3,资金流水!$X$931="账户互转"))),INT(资金流水!$B$931)*10000+926,"")</f>
      </c>
    </row>
    <row r="932">
      <c r="A932" s="94">
        <f>IF($N932=0,"",925)</f>
      </c>
      <c r="B932" s="95">
        <f t="shared" si="6"/>
      </c>
      <c r="C932" s="96">
        <f t="shared" si="1"/>
      </c>
      <c r="D932" s="21">
        <f t="shared" si="7"/>
      </c>
      <c r="E932" s="21">
        <f t="shared" si="2"/>
      </c>
      <c r="F932" s="48">
        <f t="shared" si="8"/>
      </c>
      <c r="G932" s="94">
        <f t="shared" si="9"/>
      </c>
      <c r="H932" s="94">
        <f t="shared" si="3"/>
      </c>
      <c r="I932" s="96">
        <f t="shared" si="0"/>
      </c>
      <c r="J932" s="94">
        <f t="shared" si="4"/>
      </c>
      <c r="K932" s="94">
        <f t="shared" si="10"/>
      </c>
      <c r="L932" s="96">
        <f t="shared" si="5"/>
      </c>
      <c r="N932" s="2">
        <f>IF(925&gt;$Z$5,0,MOD(SMALL($Z$6:$Z$2005,925),10000))</f>
        <v>0</v>
      </c>
      <c r="O932" s="2">
        <f t="shared" si="11"/>
        <v>0</v>
      </c>
      <c r="Z932" s="2">
        <f>IF(AND(ISNUMBER(资金流水!$B$932),资金流水!$B$932&gt;=$C$4,资金流水!$B$932&lt;=$E$4,OR(资金流水!$C$932=$C$3,AND(资金流水!$AD$932=$C$3,资金流水!$X$932="账户互转"))),INT(资金流水!$B$932)*10000+927,"")</f>
      </c>
    </row>
    <row r="933">
      <c r="A933" s="94">
        <f>IF($N933=0,"",926)</f>
      </c>
      <c r="B933" s="95">
        <f t="shared" si="6"/>
      </c>
      <c r="C933" s="96">
        <f t="shared" si="1"/>
      </c>
      <c r="D933" s="21">
        <f t="shared" si="7"/>
      </c>
      <c r="E933" s="21">
        <f t="shared" si="2"/>
      </c>
      <c r="F933" s="48">
        <f t="shared" si="8"/>
      </c>
      <c r="G933" s="94">
        <f t="shared" si="9"/>
      </c>
      <c r="H933" s="94">
        <f t="shared" si="3"/>
      </c>
      <c r="I933" s="96">
        <f t="shared" si="0"/>
      </c>
      <c r="J933" s="94">
        <f t="shared" si="4"/>
      </c>
      <c r="K933" s="94">
        <f t="shared" si="10"/>
      </c>
      <c r="L933" s="96">
        <f t="shared" si="5"/>
      </c>
      <c r="N933" s="2">
        <f>IF(926&gt;$Z$5,0,MOD(SMALL($Z$6:$Z$2005,926),10000))</f>
        <v>0</v>
      </c>
      <c r="O933" s="2">
        <f t="shared" si="11"/>
        <v>0</v>
      </c>
      <c r="Z933" s="2">
        <f>IF(AND(ISNUMBER(资金流水!$B$933),资金流水!$B$933&gt;=$C$4,资金流水!$B$933&lt;=$E$4,OR(资金流水!$C$933=$C$3,AND(资金流水!$AD$933=$C$3,资金流水!$X$933="账户互转"))),INT(资金流水!$B$933)*10000+928,"")</f>
      </c>
    </row>
    <row r="934">
      <c r="A934" s="94">
        <f>IF($N934=0,"",927)</f>
      </c>
      <c r="B934" s="95">
        <f t="shared" si="6"/>
      </c>
      <c r="C934" s="96">
        <f t="shared" si="1"/>
      </c>
      <c r="D934" s="21">
        <f t="shared" si="7"/>
      </c>
      <c r="E934" s="21">
        <f t="shared" si="2"/>
      </c>
      <c r="F934" s="48">
        <f t="shared" si="8"/>
      </c>
      <c r="G934" s="94">
        <f t="shared" si="9"/>
      </c>
      <c r="H934" s="94">
        <f t="shared" si="3"/>
      </c>
      <c r="I934" s="96">
        <f t="shared" si="0"/>
      </c>
      <c r="J934" s="94">
        <f t="shared" si="4"/>
      </c>
      <c r="K934" s="94">
        <f t="shared" si="10"/>
      </c>
      <c r="L934" s="96">
        <f t="shared" si="5"/>
      </c>
      <c r="N934" s="2">
        <f>IF(927&gt;$Z$5,0,MOD(SMALL($Z$6:$Z$2005,927),10000))</f>
        <v>0</v>
      </c>
      <c r="O934" s="2">
        <f t="shared" si="11"/>
        <v>0</v>
      </c>
      <c r="Z934" s="2">
        <f>IF(AND(ISNUMBER(资金流水!$B$934),资金流水!$B$934&gt;=$C$4,资金流水!$B$934&lt;=$E$4,OR(资金流水!$C$934=$C$3,AND(资金流水!$AD$934=$C$3,资金流水!$X$934="账户互转"))),INT(资金流水!$B$934)*10000+929,"")</f>
      </c>
    </row>
    <row r="935">
      <c r="A935" s="94">
        <f>IF($N935=0,"",928)</f>
      </c>
      <c r="B935" s="95">
        <f t="shared" si="6"/>
      </c>
      <c r="C935" s="96">
        <f t="shared" si="1"/>
      </c>
      <c r="D935" s="21">
        <f t="shared" si="7"/>
      </c>
      <c r="E935" s="21">
        <f t="shared" si="2"/>
      </c>
      <c r="F935" s="48">
        <f t="shared" si="8"/>
      </c>
      <c r="G935" s="94">
        <f t="shared" si="9"/>
      </c>
      <c r="H935" s="94">
        <f t="shared" si="3"/>
      </c>
      <c r="I935" s="96">
        <f t="shared" si="0"/>
      </c>
      <c r="J935" s="94">
        <f t="shared" si="4"/>
      </c>
      <c r="K935" s="94">
        <f t="shared" si="10"/>
      </c>
      <c r="L935" s="96">
        <f t="shared" si="5"/>
      </c>
      <c r="N935" s="2">
        <f>IF(928&gt;$Z$5,0,MOD(SMALL($Z$6:$Z$2005,928),10000))</f>
        <v>0</v>
      </c>
      <c r="O935" s="2">
        <f t="shared" si="11"/>
        <v>0</v>
      </c>
      <c r="Z935" s="2">
        <f>IF(AND(ISNUMBER(资金流水!$B$935),资金流水!$B$935&gt;=$C$4,资金流水!$B$935&lt;=$E$4,OR(资金流水!$C$935=$C$3,AND(资金流水!$AD$935=$C$3,资金流水!$X$935="账户互转"))),INT(资金流水!$B$935)*10000+930,"")</f>
      </c>
    </row>
    <row r="936">
      <c r="A936" s="94">
        <f>IF($N936=0,"",929)</f>
      </c>
      <c r="B936" s="95">
        <f t="shared" si="6"/>
      </c>
      <c r="C936" s="96">
        <f t="shared" si="1"/>
      </c>
      <c r="D936" s="21">
        <f t="shared" si="7"/>
      </c>
      <c r="E936" s="21">
        <f t="shared" si="2"/>
      </c>
      <c r="F936" s="48">
        <f t="shared" si="8"/>
      </c>
      <c r="G936" s="94">
        <f t="shared" si="9"/>
      </c>
      <c r="H936" s="94">
        <f t="shared" si="3"/>
      </c>
      <c r="I936" s="96">
        <f t="shared" si="0"/>
      </c>
      <c r="J936" s="94">
        <f t="shared" si="4"/>
      </c>
      <c r="K936" s="94">
        <f t="shared" si="10"/>
      </c>
      <c r="L936" s="96">
        <f t="shared" si="5"/>
      </c>
      <c r="N936" s="2">
        <f>IF(929&gt;$Z$5,0,MOD(SMALL($Z$6:$Z$2005,929),10000))</f>
        <v>0</v>
      </c>
      <c r="O936" s="2">
        <f t="shared" si="11"/>
        <v>0</v>
      </c>
      <c r="Z936" s="2">
        <f>IF(AND(ISNUMBER(资金流水!$B$936),资金流水!$B$936&gt;=$C$4,资金流水!$B$936&lt;=$E$4,OR(资金流水!$C$936=$C$3,AND(资金流水!$AD$936=$C$3,资金流水!$X$936="账户互转"))),INT(资金流水!$B$936)*10000+931,"")</f>
      </c>
    </row>
    <row r="937">
      <c r="A937" s="94">
        <f>IF($N937=0,"",930)</f>
      </c>
      <c r="B937" s="95">
        <f t="shared" si="6"/>
      </c>
      <c r="C937" s="96">
        <f t="shared" si="1"/>
      </c>
      <c r="D937" s="21">
        <f t="shared" si="7"/>
      </c>
      <c r="E937" s="21">
        <f t="shared" si="2"/>
      </c>
      <c r="F937" s="48">
        <f t="shared" si="8"/>
      </c>
      <c r="G937" s="94">
        <f t="shared" si="9"/>
      </c>
      <c r="H937" s="94">
        <f t="shared" si="3"/>
      </c>
      <c r="I937" s="96">
        <f t="shared" si="0"/>
      </c>
      <c r="J937" s="94">
        <f t="shared" si="4"/>
      </c>
      <c r="K937" s="94">
        <f t="shared" si="10"/>
      </c>
      <c r="L937" s="96">
        <f t="shared" si="5"/>
      </c>
      <c r="N937" s="2">
        <f>IF(930&gt;$Z$5,0,MOD(SMALL($Z$6:$Z$2005,930),10000))</f>
        <v>0</v>
      </c>
      <c r="O937" s="2">
        <f t="shared" si="11"/>
        <v>0</v>
      </c>
      <c r="Z937" s="2">
        <f>IF(AND(ISNUMBER(资金流水!$B$937),资金流水!$B$937&gt;=$C$4,资金流水!$B$937&lt;=$E$4,OR(资金流水!$C$937=$C$3,AND(资金流水!$AD$937=$C$3,资金流水!$X$937="账户互转"))),INT(资金流水!$B$937)*10000+932,"")</f>
      </c>
    </row>
    <row r="938">
      <c r="A938" s="94">
        <f>IF($N938=0,"",931)</f>
      </c>
      <c r="B938" s="95">
        <f t="shared" si="6"/>
      </c>
      <c r="C938" s="96">
        <f t="shared" si="1"/>
      </c>
      <c r="D938" s="21">
        <f t="shared" si="7"/>
      </c>
      <c r="E938" s="21">
        <f t="shared" si="2"/>
      </c>
      <c r="F938" s="48">
        <f t="shared" si="8"/>
      </c>
      <c r="G938" s="94">
        <f t="shared" si="9"/>
      </c>
      <c r="H938" s="94">
        <f t="shared" si="3"/>
      </c>
      <c r="I938" s="96">
        <f t="shared" si="0"/>
      </c>
      <c r="J938" s="94">
        <f t="shared" si="4"/>
      </c>
      <c r="K938" s="94">
        <f t="shared" si="10"/>
      </c>
      <c r="L938" s="96">
        <f t="shared" si="5"/>
      </c>
      <c r="N938" s="2">
        <f>IF(931&gt;$Z$5,0,MOD(SMALL($Z$6:$Z$2005,931),10000))</f>
        <v>0</v>
      </c>
      <c r="O938" s="2">
        <f t="shared" si="11"/>
        <v>0</v>
      </c>
      <c r="Z938" s="2">
        <f>IF(AND(ISNUMBER(资金流水!$B$938),资金流水!$B$938&gt;=$C$4,资金流水!$B$938&lt;=$E$4,OR(资金流水!$C$938=$C$3,AND(资金流水!$AD$938=$C$3,资金流水!$X$938="账户互转"))),INT(资金流水!$B$938)*10000+933,"")</f>
      </c>
    </row>
    <row r="939">
      <c r="A939" s="94">
        <f>IF($N939=0,"",932)</f>
      </c>
      <c r="B939" s="95">
        <f t="shared" si="6"/>
      </c>
      <c r="C939" s="96">
        <f t="shared" si="1"/>
      </c>
      <c r="D939" s="21">
        <f t="shared" si="7"/>
      </c>
      <c r="E939" s="21">
        <f t="shared" si="2"/>
      </c>
      <c r="F939" s="48">
        <f t="shared" si="8"/>
      </c>
      <c r="G939" s="94">
        <f t="shared" si="9"/>
      </c>
      <c r="H939" s="94">
        <f t="shared" si="3"/>
      </c>
      <c r="I939" s="96">
        <f t="shared" si="0"/>
      </c>
      <c r="J939" s="94">
        <f t="shared" si="4"/>
      </c>
      <c r="K939" s="94">
        <f t="shared" si="10"/>
      </c>
      <c r="L939" s="96">
        <f t="shared" si="5"/>
      </c>
      <c r="N939" s="2">
        <f>IF(932&gt;$Z$5,0,MOD(SMALL($Z$6:$Z$2005,932),10000))</f>
        <v>0</v>
      </c>
      <c r="O939" s="2">
        <f t="shared" si="11"/>
        <v>0</v>
      </c>
      <c r="Z939" s="2">
        <f>IF(AND(ISNUMBER(资金流水!$B$939),资金流水!$B$939&gt;=$C$4,资金流水!$B$939&lt;=$E$4,OR(资金流水!$C$939=$C$3,AND(资金流水!$AD$939=$C$3,资金流水!$X$939="账户互转"))),INT(资金流水!$B$939)*10000+934,"")</f>
      </c>
    </row>
    <row r="940">
      <c r="A940" s="94">
        <f>IF($N940=0,"",933)</f>
      </c>
      <c r="B940" s="95">
        <f t="shared" si="6"/>
      </c>
      <c r="C940" s="96">
        <f t="shared" si="1"/>
      </c>
      <c r="D940" s="21">
        <f t="shared" si="7"/>
      </c>
      <c r="E940" s="21">
        <f t="shared" si="2"/>
      </c>
      <c r="F940" s="48">
        <f t="shared" si="8"/>
      </c>
      <c r="G940" s="94">
        <f t="shared" si="9"/>
      </c>
      <c r="H940" s="94">
        <f t="shared" si="3"/>
      </c>
      <c r="I940" s="96">
        <f t="shared" si="0"/>
      </c>
      <c r="J940" s="94">
        <f t="shared" si="4"/>
      </c>
      <c r="K940" s="94">
        <f t="shared" si="10"/>
      </c>
      <c r="L940" s="96">
        <f t="shared" si="5"/>
      </c>
      <c r="N940" s="2">
        <f>IF(933&gt;$Z$5,0,MOD(SMALL($Z$6:$Z$2005,933),10000))</f>
        <v>0</v>
      </c>
      <c r="O940" s="2">
        <f t="shared" si="11"/>
        <v>0</v>
      </c>
      <c r="Z940" s="2">
        <f>IF(AND(ISNUMBER(资金流水!$B$940),资金流水!$B$940&gt;=$C$4,资金流水!$B$940&lt;=$E$4,OR(资金流水!$C$940=$C$3,AND(资金流水!$AD$940=$C$3,资金流水!$X$940="账户互转"))),INT(资金流水!$B$940)*10000+935,"")</f>
      </c>
    </row>
    <row r="941">
      <c r="A941" s="94">
        <f>IF($N941=0,"",934)</f>
      </c>
      <c r="B941" s="95">
        <f t="shared" si="6"/>
      </c>
      <c r="C941" s="96">
        <f t="shared" si="1"/>
      </c>
      <c r="D941" s="21">
        <f t="shared" si="7"/>
      </c>
      <c r="E941" s="21">
        <f t="shared" si="2"/>
      </c>
      <c r="F941" s="48">
        <f t="shared" si="8"/>
      </c>
      <c r="G941" s="94">
        <f t="shared" si="9"/>
      </c>
      <c r="H941" s="94">
        <f t="shared" si="3"/>
      </c>
      <c r="I941" s="96">
        <f t="shared" si="0"/>
      </c>
      <c r="J941" s="94">
        <f t="shared" si="4"/>
      </c>
      <c r="K941" s="94">
        <f t="shared" si="10"/>
      </c>
      <c r="L941" s="96">
        <f t="shared" si="5"/>
      </c>
      <c r="N941" s="2">
        <f>IF(934&gt;$Z$5,0,MOD(SMALL($Z$6:$Z$2005,934),10000))</f>
        <v>0</v>
      </c>
      <c r="O941" s="2">
        <f t="shared" si="11"/>
        <v>0</v>
      </c>
      <c r="Z941" s="2">
        <f>IF(AND(ISNUMBER(资金流水!$B$941),资金流水!$B$941&gt;=$C$4,资金流水!$B$941&lt;=$E$4,OR(资金流水!$C$941=$C$3,AND(资金流水!$AD$941=$C$3,资金流水!$X$941="账户互转"))),INT(资金流水!$B$941)*10000+936,"")</f>
      </c>
    </row>
    <row r="942">
      <c r="A942" s="94">
        <f>IF($N942=0,"",935)</f>
      </c>
      <c r="B942" s="95">
        <f t="shared" si="6"/>
      </c>
      <c r="C942" s="96">
        <f t="shared" si="1"/>
      </c>
      <c r="D942" s="21">
        <f t="shared" si="7"/>
      </c>
      <c r="E942" s="21">
        <f t="shared" si="2"/>
      </c>
      <c r="F942" s="48">
        <f t="shared" si="8"/>
      </c>
      <c r="G942" s="94">
        <f t="shared" si="9"/>
      </c>
      <c r="H942" s="94">
        <f t="shared" si="3"/>
      </c>
      <c r="I942" s="96">
        <f t="shared" si="0"/>
      </c>
      <c r="J942" s="94">
        <f t="shared" si="4"/>
      </c>
      <c r="K942" s="94">
        <f t="shared" si="10"/>
      </c>
      <c r="L942" s="96">
        <f t="shared" si="5"/>
      </c>
      <c r="N942" s="2">
        <f>IF(935&gt;$Z$5,0,MOD(SMALL($Z$6:$Z$2005,935),10000))</f>
        <v>0</v>
      </c>
      <c r="O942" s="2">
        <f t="shared" si="11"/>
        <v>0</v>
      </c>
      <c r="Z942" s="2">
        <f>IF(AND(ISNUMBER(资金流水!$B$942),资金流水!$B$942&gt;=$C$4,资金流水!$B$942&lt;=$E$4,OR(资金流水!$C$942=$C$3,AND(资金流水!$AD$942=$C$3,资金流水!$X$942="账户互转"))),INT(资金流水!$B$942)*10000+937,"")</f>
      </c>
    </row>
    <row r="943">
      <c r="A943" s="94">
        <f>IF($N943=0,"",936)</f>
      </c>
      <c r="B943" s="95">
        <f t="shared" si="6"/>
      </c>
      <c r="C943" s="96">
        <f t="shared" si="1"/>
      </c>
      <c r="D943" s="21">
        <f t="shared" si="7"/>
      </c>
      <c r="E943" s="21">
        <f t="shared" si="2"/>
      </c>
      <c r="F943" s="48">
        <f t="shared" si="8"/>
      </c>
      <c r="G943" s="94">
        <f t="shared" si="9"/>
      </c>
      <c r="H943" s="94">
        <f t="shared" si="3"/>
      </c>
      <c r="I943" s="96">
        <f t="shared" si="0"/>
      </c>
      <c r="J943" s="94">
        <f t="shared" si="4"/>
      </c>
      <c r="K943" s="94">
        <f t="shared" si="10"/>
      </c>
      <c r="L943" s="96">
        <f t="shared" si="5"/>
      </c>
      <c r="N943" s="2">
        <f>IF(936&gt;$Z$5,0,MOD(SMALL($Z$6:$Z$2005,936),10000))</f>
        <v>0</v>
      </c>
      <c r="O943" s="2">
        <f t="shared" si="11"/>
        <v>0</v>
      </c>
      <c r="Z943" s="2">
        <f>IF(AND(ISNUMBER(资金流水!$B$943),资金流水!$B$943&gt;=$C$4,资金流水!$B$943&lt;=$E$4,OR(资金流水!$C$943=$C$3,AND(资金流水!$AD$943=$C$3,资金流水!$X$943="账户互转"))),INT(资金流水!$B$943)*10000+938,"")</f>
      </c>
    </row>
    <row r="944">
      <c r="A944" s="94">
        <f>IF($N944=0,"",937)</f>
      </c>
      <c r="B944" s="95">
        <f t="shared" si="6"/>
      </c>
      <c r="C944" s="96">
        <f t="shared" si="1"/>
      </c>
      <c r="D944" s="21">
        <f t="shared" si="7"/>
      </c>
      <c r="E944" s="21">
        <f t="shared" si="2"/>
      </c>
      <c r="F944" s="48">
        <f t="shared" si="8"/>
      </c>
      <c r="G944" s="94">
        <f t="shared" si="9"/>
      </c>
      <c r="H944" s="94">
        <f t="shared" si="3"/>
      </c>
      <c r="I944" s="96">
        <f t="shared" si="0"/>
      </c>
      <c r="J944" s="94">
        <f t="shared" si="4"/>
      </c>
      <c r="K944" s="94">
        <f t="shared" si="10"/>
      </c>
      <c r="L944" s="96">
        <f t="shared" si="5"/>
      </c>
      <c r="N944" s="2">
        <f>IF(937&gt;$Z$5,0,MOD(SMALL($Z$6:$Z$2005,937),10000))</f>
        <v>0</v>
      </c>
      <c r="O944" s="2">
        <f t="shared" si="11"/>
        <v>0</v>
      </c>
      <c r="Z944" s="2">
        <f>IF(AND(ISNUMBER(资金流水!$B$944),资金流水!$B$944&gt;=$C$4,资金流水!$B$944&lt;=$E$4,OR(资金流水!$C$944=$C$3,AND(资金流水!$AD$944=$C$3,资金流水!$X$944="账户互转"))),INT(资金流水!$B$944)*10000+939,"")</f>
      </c>
    </row>
    <row r="945">
      <c r="A945" s="94">
        <f>IF($N945=0,"",938)</f>
      </c>
      <c r="B945" s="95">
        <f t="shared" si="6"/>
      </c>
      <c r="C945" s="96">
        <f t="shared" si="1"/>
      </c>
      <c r="D945" s="21">
        <f t="shared" si="7"/>
      </c>
      <c r="E945" s="21">
        <f t="shared" si="2"/>
      </c>
      <c r="F945" s="48">
        <f t="shared" si="8"/>
      </c>
      <c r="G945" s="94">
        <f t="shared" si="9"/>
      </c>
      <c r="H945" s="94">
        <f t="shared" si="3"/>
      </c>
      <c r="I945" s="96">
        <f t="shared" si="0"/>
      </c>
      <c r="J945" s="94">
        <f t="shared" si="4"/>
      </c>
      <c r="K945" s="94">
        <f t="shared" si="10"/>
      </c>
      <c r="L945" s="96">
        <f t="shared" si="5"/>
      </c>
      <c r="N945" s="2">
        <f>IF(938&gt;$Z$5,0,MOD(SMALL($Z$6:$Z$2005,938),10000))</f>
        <v>0</v>
      </c>
      <c r="O945" s="2">
        <f t="shared" si="11"/>
        <v>0</v>
      </c>
      <c r="Z945" s="2">
        <f>IF(AND(ISNUMBER(资金流水!$B$945),资金流水!$B$945&gt;=$C$4,资金流水!$B$945&lt;=$E$4,OR(资金流水!$C$945=$C$3,AND(资金流水!$AD$945=$C$3,资金流水!$X$945="账户互转"))),INT(资金流水!$B$945)*10000+940,"")</f>
      </c>
    </row>
    <row r="946">
      <c r="A946" s="94">
        <f>IF($N946=0,"",939)</f>
      </c>
      <c r="B946" s="95">
        <f t="shared" si="6"/>
      </c>
      <c r="C946" s="96">
        <f t="shared" si="1"/>
      </c>
      <c r="D946" s="21">
        <f t="shared" si="7"/>
      </c>
      <c r="E946" s="21">
        <f t="shared" si="2"/>
      </c>
      <c r="F946" s="48">
        <f t="shared" si="8"/>
      </c>
      <c r="G946" s="94">
        <f t="shared" si="9"/>
      </c>
      <c r="H946" s="94">
        <f t="shared" si="3"/>
      </c>
      <c r="I946" s="96">
        <f t="shared" si="0"/>
      </c>
      <c r="J946" s="94">
        <f t="shared" si="4"/>
      </c>
      <c r="K946" s="94">
        <f t="shared" si="10"/>
      </c>
      <c r="L946" s="96">
        <f t="shared" si="5"/>
      </c>
      <c r="N946" s="2">
        <f>IF(939&gt;$Z$5,0,MOD(SMALL($Z$6:$Z$2005,939),10000))</f>
        <v>0</v>
      </c>
      <c r="O946" s="2">
        <f t="shared" si="11"/>
        <v>0</v>
      </c>
      <c r="Z946" s="2">
        <f>IF(AND(ISNUMBER(资金流水!$B$946),资金流水!$B$946&gt;=$C$4,资金流水!$B$946&lt;=$E$4,OR(资金流水!$C$946=$C$3,AND(资金流水!$AD$946=$C$3,资金流水!$X$946="账户互转"))),INT(资金流水!$B$946)*10000+941,"")</f>
      </c>
    </row>
    <row r="947">
      <c r="A947" s="94">
        <f>IF($N947=0,"",940)</f>
      </c>
      <c r="B947" s="95">
        <f t="shared" si="6"/>
      </c>
      <c r="C947" s="96">
        <f t="shared" si="1"/>
      </c>
      <c r="D947" s="21">
        <f t="shared" si="7"/>
      </c>
      <c r="E947" s="21">
        <f t="shared" si="2"/>
      </c>
      <c r="F947" s="48">
        <f t="shared" si="8"/>
      </c>
      <c r="G947" s="94">
        <f t="shared" si="9"/>
      </c>
      <c r="H947" s="94">
        <f t="shared" si="3"/>
      </c>
      <c r="I947" s="96">
        <f t="shared" si="0"/>
      </c>
      <c r="J947" s="94">
        <f t="shared" si="4"/>
      </c>
      <c r="K947" s="94">
        <f t="shared" si="10"/>
      </c>
      <c r="L947" s="96">
        <f t="shared" si="5"/>
      </c>
      <c r="N947" s="2">
        <f>IF(940&gt;$Z$5,0,MOD(SMALL($Z$6:$Z$2005,940),10000))</f>
        <v>0</v>
      </c>
      <c r="O947" s="2">
        <f t="shared" si="11"/>
        <v>0</v>
      </c>
      <c r="Z947" s="2">
        <f>IF(AND(ISNUMBER(资金流水!$B$947),资金流水!$B$947&gt;=$C$4,资金流水!$B$947&lt;=$E$4,OR(资金流水!$C$947=$C$3,AND(资金流水!$AD$947=$C$3,资金流水!$X$947="账户互转"))),INT(资金流水!$B$947)*10000+942,"")</f>
      </c>
    </row>
    <row r="948">
      <c r="A948" s="94">
        <f>IF($N948=0,"",941)</f>
      </c>
      <c r="B948" s="95">
        <f t="shared" si="6"/>
      </c>
      <c r="C948" s="96">
        <f t="shared" si="1"/>
      </c>
      <c r="D948" s="21">
        <f t="shared" si="7"/>
      </c>
      <c r="E948" s="21">
        <f t="shared" si="2"/>
      </c>
      <c r="F948" s="48">
        <f t="shared" si="8"/>
      </c>
      <c r="G948" s="94">
        <f t="shared" si="9"/>
      </c>
      <c r="H948" s="94">
        <f t="shared" si="3"/>
      </c>
      <c r="I948" s="96">
        <f t="shared" si="0"/>
      </c>
      <c r="J948" s="94">
        <f t="shared" si="4"/>
      </c>
      <c r="K948" s="94">
        <f t="shared" si="10"/>
      </c>
      <c r="L948" s="96">
        <f t="shared" si="5"/>
      </c>
      <c r="N948" s="2">
        <f>IF(941&gt;$Z$5,0,MOD(SMALL($Z$6:$Z$2005,941),10000))</f>
        <v>0</v>
      </c>
      <c r="O948" s="2">
        <f t="shared" si="11"/>
        <v>0</v>
      </c>
      <c r="Z948" s="2">
        <f>IF(AND(ISNUMBER(资金流水!$B$948),资金流水!$B$948&gt;=$C$4,资金流水!$B$948&lt;=$E$4,OR(资金流水!$C$948=$C$3,AND(资金流水!$AD$948=$C$3,资金流水!$X$948="账户互转"))),INT(资金流水!$B$948)*10000+943,"")</f>
      </c>
    </row>
    <row r="949">
      <c r="A949" s="94">
        <f>IF($N949=0,"",942)</f>
      </c>
      <c r="B949" s="95">
        <f t="shared" si="6"/>
      </c>
      <c r="C949" s="96">
        <f t="shared" si="1"/>
      </c>
      <c r="D949" s="21">
        <f t="shared" si="7"/>
      </c>
      <c r="E949" s="21">
        <f t="shared" si="2"/>
      </c>
      <c r="F949" s="48">
        <f t="shared" si="8"/>
      </c>
      <c r="G949" s="94">
        <f t="shared" si="9"/>
      </c>
      <c r="H949" s="94">
        <f t="shared" si="3"/>
      </c>
      <c r="I949" s="96">
        <f t="shared" si="0"/>
      </c>
      <c r="J949" s="94">
        <f t="shared" si="4"/>
      </c>
      <c r="K949" s="94">
        <f t="shared" si="10"/>
      </c>
      <c r="L949" s="96">
        <f t="shared" si="5"/>
      </c>
      <c r="N949" s="2">
        <f>IF(942&gt;$Z$5,0,MOD(SMALL($Z$6:$Z$2005,942),10000))</f>
        <v>0</v>
      </c>
      <c r="O949" s="2">
        <f t="shared" si="11"/>
        <v>0</v>
      </c>
      <c r="Z949" s="2">
        <f>IF(AND(ISNUMBER(资金流水!$B$949),资金流水!$B$949&gt;=$C$4,资金流水!$B$949&lt;=$E$4,OR(资金流水!$C$949=$C$3,AND(资金流水!$AD$949=$C$3,资金流水!$X$949="账户互转"))),INT(资金流水!$B$949)*10000+944,"")</f>
      </c>
    </row>
    <row r="950">
      <c r="A950" s="94">
        <f>IF($N950=0,"",943)</f>
      </c>
      <c r="B950" s="95">
        <f t="shared" si="6"/>
      </c>
      <c r="C950" s="96">
        <f t="shared" si="1"/>
      </c>
      <c r="D950" s="21">
        <f t="shared" si="7"/>
      </c>
      <c r="E950" s="21">
        <f t="shared" si="2"/>
      </c>
      <c r="F950" s="48">
        <f t="shared" si="8"/>
      </c>
      <c r="G950" s="94">
        <f t="shared" si="9"/>
      </c>
      <c r="H950" s="94">
        <f t="shared" si="3"/>
      </c>
      <c r="I950" s="96">
        <f t="shared" si="0"/>
      </c>
      <c r="J950" s="94">
        <f t="shared" si="4"/>
      </c>
      <c r="K950" s="94">
        <f t="shared" si="10"/>
      </c>
      <c r="L950" s="96">
        <f t="shared" si="5"/>
      </c>
      <c r="N950" s="2">
        <f>IF(943&gt;$Z$5,0,MOD(SMALL($Z$6:$Z$2005,943),10000))</f>
        <v>0</v>
      </c>
      <c r="O950" s="2">
        <f t="shared" si="11"/>
        <v>0</v>
      </c>
      <c r="Z950" s="2">
        <f>IF(AND(ISNUMBER(资金流水!$B$950),资金流水!$B$950&gt;=$C$4,资金流水!$B$950&lt;=$E$4,OR(资金流水!$C$950=$C$3,AND(资金流水!$AD$950=$C$3,资金流水!$X$950="账户互转"))),INT(资金流水!$B$950)*10000+945,"")</f>
      </c>
    </row>
    <row r="951">
      <c r="A951" s="94">
        <f>IF($N951=0,"",944)</f>
      </c>
      <c r="B951" s="95">
        <f t="shared" si="6"/>
      </c>
      <c r="C951" s="96">
        <f t="shared" si="1"/>
      </c>
      <c r="D951" s="21">
        <f t="shared" si="7"/>
      </c>
      <c r="E951" s="21">
        <f t="shared" si="2"/>
      </c>
      <c r="F951" s="48">
        <f t="shared" si="8"/>
      </c>
      <c r="G951" s="94">
        <f t="shared" si="9"/>
      </c>
      <c r="H951" s="94">
        <f t="shared" si="3"/>
      </c>
      <c r="I951" s="96">
        <f t="shared" si="0"/>
      </c>
      <c r="J951" s="94">
        <f t="shared" si="4"/>
      </c>
      <c r="K951" s="94">
        <f t="shared" si="10"/>
      </c>
      <c r="L951" s="96">
        <f t="shared" si="5"/>
      </c>
      <c r="N951" s="2">
        <f>IF(944&gt;$Z$5,0,MOD(SMALL($Z$6:$Z$2005,944),10000))</f>
        <v>0</v>
      </c>
      <c r="O951" s="2">
        <f t="shared" si="11"/>
        <v>0</v>
      </c>
      <c r="Z951" s="2">
        <f>IF(AND(ISNUMBER(资金流水!$B$951),资金流水!$B$951&gt;=$C$4,资金流水!$B$951&lt;=$E$4,OR(资金流水!$C$951=$C$3,AND(资金流水!$AD$951=$C$3,资金流水!$X$951="账户互转"))),INT(资金流水!$B$951)*10000+946,"")</f>
      </c>
    </row>
    <row r="952">
      <c r="A952" s="94">
        <f>IF($N952=0,"",945)</f>
      </c>
      <c r="B952" s="95">
        <f t="shared" si="6"/>
      </c>
      <c r="C952" s="96">
        <f t="shared" si="1"/>
      </c>
      <c r="D952" s="21">
        <f t="shared" si="7"/>
      </c>
      <c r="E952" s="21">
        <f t="shared" si="2"/>
      </c>
      <c r="F952" s="48">
        <f t="shared" si="8"/>
      </c>
      <c r="G952" s="94">
        <f t="shared" si="9"/>
      </c>
      <c r="H952" s="94">
        <f t="shared" si="3"/>
      </c>
      <c r="I952" s="96">
        <f t="shared" si="0"/>
      </c>
      <c r="J952" s="94">
        <f t="shared" si="4"/>
      </c>
      <c r="K952" s="94">
        <f t="shared" si="10"/>
      </c>
      <c r="L952" s="96">
        <f t="shared" si="5"/>
      </c>
      <c r="N952" s="2">
        <f>IF(945&gt;$Z$5,0,MOD(SMALL($Z$6:$Z$2005,945),10000))</f>
        <v>0</v>
      </c>
      <c r="O952" s="2">
        <f t="shared" si="11"/>
        <v>0</v>
      </c>
      <c r="Z952" s="2">
        <f>IF(AND(ISNUMBER(资金流水!$B$952),资金流水!$B$952&gt;=$C$4,资金流水!$B$952&lt;=$E$4,OR(资金流水!$C$952=$C$3,AND(资金流水!$AD$952=$C$3,资金流水!$X$952="账户互转"))),INT(资金流水!$B$952)*10000+947,"")</f>
      </c>
    </row>
    <row r="953">
      <c r="A953" s="94">
        <f>IF($N953=0,"",946)</f>
      </c>
      <c r="B953" s="95">
        <f t="shared" si="6"/>
      </c>
      <c r="C953" s="96">
        <f t="shared" si="1"/>
      </c>
      <c r="D953" s="21">
        <f t="shared" si="7"/>
      </c>
      <c r="E953" s="21">
        <f t="shared" si="2"/>
      </c>
      <c r="F953" s="48">
        <f t="shared" si="8"/>
      </c>
      <c r="G953" s="94">
        <f t="shared" si="9"/>
      </c>
      <c r="H953" s="94">
        <f t="shared" si="3"/>
      </c>
      <c r="I953" s="96">
        <f t="shared" si="0"/>
      </c>
      <c r="J953" s="94">
        <f t="shared" si="4"/>
      </c>
      <c r="K953" s="94">
        <f t="shared" si="10"/>
      </c>
      <c r="L953" s="96">
        <f t="shared" si="5"/>
      </c>
      <c r="N953" s="2">
        <f>IF(946&gt;$Z$5,0,MOD(SMALL($Z$6:$Z$2005,946),10000))</f>
        <v>0</v>
      </c>
      <c r="O953" s="2">
        <f t="shared" si="11"/>
        <v>0</v>
      </c>
      <c r="Z953" s="2">
        <f>IF(AND(ISNUMBER(资金流水!$B$953),资金流水!$B$953&gt;=$C$4,资金流水!$B$953&lt;=$E$4,OR(资金流水!$C$953=$C$3,AND(资金流水!$AD$953=$C$3,资金流水!$X$953="账户互转"))),INT(资金流水!$B$953)*10000+948,"")</f>
      </c>
    </row>
    <row r="954">
      <c r="A954" s="94">
        <f>IF($N954=0,"",947)</f>
      </c>
      <c r="B954" s="95">
        <f t="shared" si="6"/>
      </c>
      <c r="C954" s="96">
        <f t="shared" si="1"/>
      </c>
      <c r="D954" s="21">
        <f t="shared" si="7"/>
      </c>
      <c r="E954" s="21">
        <f t="shared" si="2"/>
      </c>
      <c r="F954" s="48">
        <f t="shared" si="8"/>
      </c>
      <c r="G954" s="94">
        <f t="shared" si="9"/>
      </c>
      <c r="H954" s="94">
        <f t="shared" si="3"/>
      </c>
      <c r="I954" s="96">
        <f t="shared" si="0"/>
      </c>
      <c r="J954" s="94">
        <f t="shared" si="4"/>
      </c>
      <c r="K954" s="94">
        <f t="shared" si="10"/>
      </c>
      <c r="L954" s="96">
        <f t="shared" si="5"/>
      </c>
      <c r="N954" s="2">
        <f>IF(947&gt;$Z$5,0,MOD(SMALL($Z$6:$Z$2005,947),10000))</f>
        <v>0</v>
      </c>
      <c r="O954" s="2">
        <f t="shared" si="11"/>
        <v>0</v>
      </c>
      <c r="Z954" s="2">
        <f>IF(AND(ISNUMBER(资金流水!$B$954),资金流水!$B$954&gt;=$C$4,资金流水!$B$954&lt;=$E$4,OR(资金流水!$C$954=$C$3,AND(资金流水!$AD$954=$C$3,资金流水!$X$954="账户互转"))),INT(资金流水!$B$954)*10000+949,"")</f>
      </c>
    </row>
    <row r="955">
      <c r="A955" s="94">
        <f>IF($N955=0,"",948)</f>
      </c>
      <c r="B955" s="95">
        <f t="shared" si="6"/>
      </c>
      <c r="C955" s="96">
        <f t="shared" si="1"/>
      </c>
      <c r="D955" s="21">
        <f t="shared" si="7"/>
      </c>
      <c r="E955" s="21">
        <f t="shared" si="2"/>
      </c>
      <c r="F955" s="48">
        <f t="shared" si="8"/>
      </c>
      <c r="G955" s="94">
        <f t="shared" si="9"/>
      </c>
      <c r="H955" s="94">
        <f t="shared" si="3"/>
      </c>
      <c r="I955" s="96">
        <f t="shared" si="0"/>
      </c>
      <c r="J955" s="94">
        <f t="shared" si="4"/>
      </c>
      <c r="K955" s="94">
        <f t="shared" si="10"/>
      </c>
      <c r="L955" s="96">
        <f t="shared" si="5"/>
      </c>
      <c r="N955" s="2">
        <f>IF(948&gt;$Z$5,0,MOD(SMALL($Z$6:$Z$2005,948),10000))</f>
        <v>0</v>
      </c>
      <c r="O955" s="2">
        <f t="shared" si="11"/>
        <v>0</v>
      </c>
      <c r="Z955" s="2">
        <f>IF(AND(ISNUMBER(资金流水!$B$955),资金流水!$B$955&gt;=$C$4,资金流水!$B$955&lt;=$E$4,OR(资金流水!$C$955=$C$3,AND(资金流水!$AD$955=$C$3,资金流水!$X$955="账户互转"))),INT(资金流水!$B$955)*10000+950,"")</f>
      </c>
    </row>
    <row r="956">
      <c r="A956" s="94">
        <f>IF($N956=0,"",949)</f>
      </c>
      <c r="B956" s="95">
        <f t="shared" si="6"/>
      </c>
      <c r="C956" s="96">
        <f t="shared" si="1"/>
      </c>
      <c r="D956" s="21">
        <f t="shared" si="7"/>
      </c>
      <c r="E956" s="21">
        <f t="shared" si="2"/>
      </c>
      <c r="F956" s="48">
        <f t="shared" si="8"/>
      </c>
      <c r="G956" s="94">
        <f t="shared" si="9"/>
      </c>
      <c r="H956" s="94">
        <f t="shared" si="3"/>
      </c>
      <c r="I956" s="96">
        <f t="shared" si="0"/>
      </c>
      <c r="J956" s="94">
        <f t="shared" si="4"/>
      </c>
      <c r="K956" s="94">
        <f t="shared" si="10"/>
      </c>
      <c r="L956" s="96">
        <f t="shared" si="5"/>
      </c>
      <c r="N956" s="2">
        <f>IF(949&gt;$Z$5,0,MOD(SMALL($Z$6:$Z$2005,949),10000))</f>
        <v>0</v>
      </c>
      <c r="O956" s="2">
        <f t="shared" si="11"/>
        <v>0</v>
      </c>
      <c r="Z956" s="2">
        <f>IF(AND(ISNUMBER(资金流水!$B$956),资金流水!$B$956&gt;=$C$4,资金流水!$B$956&lt;=$E$4,OR(资金流水!$C$956=$C$3,AND(资金流水!$AD$956=$C$3,资金流水!$X$956="账户互转"))),INT(资金流水!$B$956)*10000+951,"")</f>
      </c>
    </row>
    <row r="957">
      <c r="A957" s="94">
        <f>IF($N957=0,"",950)</f>
      </c>
      <c r="B957" s="95">
        <f t="shared" si="6"/>
      </c>
      <c r="C957" s="96">
        <f t="shared" si="1"/>
      </c>
      <c r="D957" s="21">
        <f t="shared" si="7"/>
      </c>
      <c r="E957" s="21">
        <f t="shared" si="2"/>
      </c>
      <c r="F957" s="48">
        <f t="shared" si="8"/>
      </c>
      <c r="G957" s="94">
        <f t="shared" si="9"/>
      </c>
      <c r="H957" s="94">
        <f t="shared" si="3"/>
      </c>
      <c r="I957" s="96">
        <f t="shared" si="0"/>
      </c>
      <c r="J957" s="94">
        <f t="shared" si="4"/>
      </c>
      <c r="K957" s="94">
        <f t="shared" si="10"/>
      </c>
      <c r="L957" s="96">
        <f t="shared" si="5"/>
      </c>
      <c r="N957" s="2">
        <f>IF(950&gt;$Z$5,0,MOD(SMALL($Z$6:$Z$2005,950),10000))</f>
        <v>0</v>
      </c>
      <c r="O957" s="2">
        <f t="shared" si="11"/>
        <v>0</v>
      </c>
      <c r="Z957" s="2">
        <f>IF(AND(ISNUMBER(资金流水!$B$957),资金流水!$B$957&gt;=$C$4,资金流水!$B$957&lt;=$E$4,OR(资金流水!$C$957=$C$3,AND(资金流水!$AD$957=$C$3,资金流水!$X$957="账户互转"))),INT(资金流水!$B$957)*10000+952,"")</f>
      </c>
    </row>
    <row r="958">
      <c r="A958" s="94">
        <f>IF($N958=0,"",951)</f>
      </c>
      <c r="B958" s="95">
        <f t="shared" si="6"/>
      </c>
      <c r="C958" s="96">
        <f t="shared" si="1"/>
      </c>
      <c r="D958" s="21">
        <f t="shared" si="7"/>
      </c>
      <c r="E958" s="21">
        <f t="shared" si="2"/>
      </c>
      <c r="F958" s="48">
        <f t="shared" si="8"/>
      </c>
      <c r="G958" s="94">
        <f t="shared" si="9"/>
      </c>
      <c r="H958" s="94">
        <f t="shared" si="3"/>
      </c>
      <c r="I958" s="96">
        <f t="shared" si="0"/>
      </c>
      <c r="J958" s="94">
        <f t="shared" si="4"/>
      </c>
      <c r="K958" s="94">
        <f t="shared" si="10"/>
      </c>
      <c r="L958" s="96">
        <f t="shared" si="5"/>
      </c>
      <c r="N958" s="2">
        <f>IF(951&gt;$Z$5,0,MOD(SMALL($Z$6:$Z$2005,951),10000))</f>
        <v>0</v>
      </c>
      <c r="O958" s="2">
        <f t="shared" si="11"/>
        <v>0</v>
      </c>
      <c r="Z958" s="2">
        <f>IF(AND(ISNUMBER(资金流水!$B$958),资金流水!$B$958&gt;=$C$4,资金流水!$B$958&lt;=$E$4,OR(资金流水!$C$958=$C$3,AND(资金流水!$AD$958=$C$3,资金流水!$X$958="账户互转"))),INT(资金流水!$B$958)*10000+953,"")</f>
      </c>
    </row>
    <row r="959">
      <c r="A959" s="94">
        <f>IF($N959=0,"",952)</f>
      </c>
      <c r="B959" s="95">
        <f t="shared" si="6"/>
      </c>
      <c r="C959" s="96">
        <f t="shared" si="1"/>
      </c>
      <c r="D959" s="21">
        <f t="shared" si="7"/>
      </c>
      <c r="E959" s="21">
        <f t="shared" si="2"/>
      </c>
      <c r="F959" s="48">
        <f t="shared" si="8"/>
      </c>
      <c r="G959" s="94">
        <f t="shared" si="9"/>
      </c>
      <c r="H959" s="94">
        <f t="shared" si="3"/>
      </c>
      <c r="I959" s="96">
        <f t="shared" si="0"/>
      </c>
      <c r="J959" s="94">
        <f t="shared" si="4"/>
      </c>
      <c r="K959" s="94">
        <f t="shared" si="10"/>
      </c>
      <c r="L959" s="96">
        <f t="shared" si="5"/>
      </c>
      <c r="N959" s="2">
        <f>IF(952&gt;$Z$5,0,MOD(SMALL($Z$6:$Z$2005,952),10000))</f>
        <v>0</v>
      </c>
      <c r="O959" s="2">
        <f t="shared" si="11"/>
        <v>0</v>
      </c>
      <c r="Z959" s="2">
        <f>IF(AND(ISNUMBER(资金流水!$B$959),资金流水!$B$959&gt;=$C$4,资金流水!$B$959&lt;=$E$4,OR(资金流水!$C$959=$C$3,AND(资金流水!$AD$959=$C$3,资金流水!$X$959="账户互转"))),INT(资金流水!$B$959)*10000+954,"")</f>
      </c>
    </row>
    <row r="960">
      <c r="A960" s="94">
        <f>IF($N960=0,"",953)</f>
      </c>
      <c r="B960" s="95">
        <f t="shared" si="6"/>
      </c>
      <c r="C960" s="96">
        <f t="shared" si="1"/>
      </c>
      <c r="D960" s="21">
        <f t="shared" si="7"/>
      </c>
      <c r="E960" s="21">
        <f t="shared" si="2"/>
      </c>
      <c r="F960" s="48">
        <f t="shared" si="8"/>
      </c>
      <c r="G960" s="94">
        <f t="shared" si="9"/>
      </c>
      <c r="H960" s="94">
        <f t="shared" si="3"/>
      </c>
      <c r="I960" s="96">
        <f t="shared" si="0"/>
      </c>
      <c r="J960" s="94">
        <f t="shared" si="4"/>
      </c>
      <c r="K960" s="94">
        <f t="shared" si="10"/>
      </c>
      <c r="L960" s="96">
        <f t="shared" si="5"/>
      </c>
      <c r="N960" s="2">
        <f>IF(953&gt;$Z$5,0,MOD(SMALL($Z$6:$Z$2005,953),10000))</f>
        <v>0</v>
      </c>
      <c r="O960" s="2">
        <f t="shared" si="11"/>
        <v>0</v>
      </c>
      <c r="Z960" s="2">
        <f>IF(AND(ISNUMBER(资金流水!$B$960),资金流水!$B$960&gt;=$C$4,资金流水!$B$960&lt;=$E$4,OR(资金流水!$C$960=$C$3,AND(资金流水!$AD$960=$C$3,资金流水!$X$960="账户互转"))),INT(资金流水!$B$960)*10000+955,"")</f>
      </c>
    </row>
    <row r="961">
      <c r="A961" s="94">
        <f>IF($N961=0,"",954)</f>
      </c>
      <c r="B961" s="95">
        <f t="shared" si="6"/>
      </c>
      <c r="C961" s="96">
        <f t="shared" si="1"/>
      </c>
      <c r="D961" s="21">
        <f t="shared" si="7"/>
      </c>
      <c r="E961" s="21">
        <f t="shared" si="2"/>
      </c>
      <c r="F961" s="48">
        <f t="shared" si="8"/>
      </c>
      <c r="G961" s="94">
        <f t="shared" si="9"/>
      </c>
      <c r="H961" s="94">
        <f t="shared" si="3"/>
      </c>
      <c r="I961" s="96">
        <f t="shared" si="0"/>
      </c>
      <c r="J961" s="94">
        <f t="shared" si="4"/>
      </c>
      <c r="K961" s="94">
        <f t="shared" si="10"/>
      </c>
      <c r="L961" s="96">
        <f t="shared" si="5"/>
      </c>
      <c r="N961" s="2">
        <f>IF(954&gt;$Z$5,0,MOD(SMALL($Z$6:$Z$2005,954),10000))</f>
        <v>0</v>
      </c>
      <c r="O961" s="2">
        <f t="shared" si="11"/>
        <v>0</v>
      </c>
      <c r="Z961" s="2">
        <f>IF(AND(ISNUMBER(资金流水!$B$961),资金流水!$B$961&gt;=$C$4,资金流水!$B$961&lt;=$E$4,OR(资金流水!$C$961=$C$3,AND(资金流水!$AD$961=$C$3,资金流水!$X$961="账户互转"))),INT(资金流水!$B$961)*10000+956,"")</f>
      </c>
    </row>
    <row r="962">
      <c r="A962" s="94">
        <f>IF($N962=0,"",955)</f>
      </c>
      <c r="B962" s="95">
        <f t="shared" si="6"/>
      </c>
      <c r="C962" s="96">
        <f t="shared" si="1"/>
      </c>
      <c r="D962" s="21">
        <f t="shared" si="7"/>
      </c>
      <c r="E962" s="21">
        <f t="shared" si="2"/>
      </c>
      <c r="F962" s="48">
        <f t="shared" si="8"/>
      </c>
      <c r="G962" s="94">
        <f t="shared" si="9"/>
      </c>
      <c r="H962" s="94">
        <f t="shared" si="3"/>
      </c>
      <c r="I962" s="96">
        <f t="shared" si="0"/>
      </c>
      <c r="J962" s="94">
        <f t="shared" si="4"/>
      </c>
      <c r="K962" s="94">
        <f t="shared" si="10"/>
      </c>
      <c r="L962" s="96">
        <f t="shared" si="5"/>
      </c>
      <c r="N962" s="2">
        <f>IF(955&gt;$Z$5,0,MOD(SMALL($Z$6:$Z$2005,955),10000))</f>
        <v>0</v>
      </c>
      <c r="O962" s="2">
        <f t="shared" si="11"/>
        <v>0</v>
      </c>
      <c r="Z962" s="2">
        <f>IF(AND(ISNUMBER(资金流水!$B$962),资金流水!$B$962&gt;=$C$4,资金流水!$B$962&lt;=$E$4,OR(资金流水!$C$962=$C$3,AND(资金流水!$AD$962=$C$3,资金流水!$X$962="账户互转"))),INT(资金流水!$B$962)*10000+957,"")</f>
      </c>
    </row>
    <row r="963">
      <c r="A963" s="94">
        <f>IF($N963=0,"",956)</f>
      </c>
      <c r="B963" s="95">
        <f t="shared" si="6"/>
      </c>
      <c r="C963" s="96">
        <f t="shared" si="1"/>
      </c>
      <c r="D963" s="21">
        <f t="shared" si="7"/>
      </c>
      <c r="E963" s="21">
        <f t="shared" si="2"/>
      </c>
      <c r="F963" s="48">
        <f t="shared" si="8"/>
      </c>
      <c r="G963" s="94">
        <f t="shared" si="9"/>
      </c>
      <c r="H963" s="94">
        <f t="shared" si="3"/>
      </c>
      <c r="I963" s="96">
        <f t="shared" si="0"/>
      </c>
      <c r="J963" s="94">
        <f t="shared" si="4"/>
      </c>
      <c r="K963" s="94">
        <f t="shared" si="10"/>
      </c>
      <c r="L963" s="96">
        <f t="shared" si="5"/>
      </c>
      <c r="N963" s="2">
        <f>IF(956&gt;$Z$5,0,MOD(SMALL($Z$6:$Z$2005,956),10000))</f>
        <v>0</v>
      </c>
      <c r="O963" s="2">
        <f t="shared" si="11"/>
        <v>0</v>
      </c>
      <c r="Z963" s="2">
        <f>IF(AND(ISNUMBER(资金流水!$B$963),资金流水!$B$963&gt;=$C$4,资金流水!$B$963&lt;=$E$4,OR(资金流水!$C$963=$C$3,AND(资金流水!$AD$963=$C$3,资金流水!$X$963="账户互转"))),INT(资金流水!$B$963)*10000+958,"")</f>
      </c>
    </row>
    <row r="964">
      <c r="A964" s="94">
        <f>IF($N964=0,"",957)</f>
      </c>
      <c r="B964" s="95">
        <f t="shared" si="6"/>
      </c>
      <c r="C964" s="96">
        <f t="shared" si="1"/>
      </c>
      <c r="D964" s="21">
        <f t="shared" si="7"/>
      </c>
      <c r="E964" s="21">
        <f t="shared" si="2"/>
      </c>
      <c r="F964" s="48">
        <f t="shared" si="8"/>
      </c>
      <c r="G964" s="94">
        <f t="shared" si="9"/>
      </c>
      <c r="H964" s="94">
        <f t="shared" si="3"/>
      </c>
      <c r="I964" s="96">
        <f t="shared" si="0"/>
      </c>
      <c r="J964" s="94">
        <f t="shared" si="4"/>
      </c>
      <c r="K964" s="94">
        <f t="shared" si="10"/>
      </c>
      <c r="L964" s="96">
        <f t="shared" si="5"/>
      </c>
      <c r="N964" s="2">
        <f>IF(957&gt;$Z$5,0,MOD(SMALL($Z$6:$Z$2005,957),10000))</f>
        <v>0</v>
      </c>
      <c r="O964" s="2">
        <f t="shared" si="11"/>
        <v>0</v>
      </c>
      <c r="Z964" s="2">
        <f>IF(AND(ISNUMBER(资金流水!$B$964),资金流水!$B$964&gt;=$C$4,资金流水!$B$964&lt;=$E$4,OR(资金流水!$C$964=$C$3,AND(资金流水!$AD$964=$C$3,资金流水!$X$964="账户互转"))),INT(资金流水!$B$964)*10000+959,"")</f>
      </c>
    </row>
    <row r="965">
      <c r="A965" s="94">
        <f>IF($N965=0,"",958)</f>
      </c>
      <c r="B965" s="95">
        <f t="shared" si="6"/>
      </c>
      <c r="C965" s="96">
        <f t="shared" si="1"/>
      </c>
      <c r="D965" s="21">
        <f t="shared" si="7"/>
      </c>
      <c r="E965" s="21">
        <f t="shared" si="2"/>
      </c>
      <c r="F965" s="48">
        <f t="shared" si="8"/>
      </c>
      <c r="G965" s="94">
        <f t="shared" si="9"/>
      </c>
      <c r="H965" s="94">
        <f t="shared" si="3"/>
      </c>
      <c r="I965" s="96">
        <f t="shared" si="0"/>
      </c>
      <c r="J965" s="94">
        <f t="shared" si="4"/>
      </c>
      <c r="K965" s="94">
        <f t="shared" si="10"/>
      </c>
      <c r="L965" s="96">
        <f t="shared" si="5"/>
      </c>
      <c r="N965" s="2">
        <f>IF(958&gt;$Z$5,0,MOD(SMALL($Z$6:$Z$2005,958),10000))</f>
        <v>0</v>
      </c>
      <c r="O965" s="2">
        <f t="shared" si="11"/>
        <v>0</v>
      </c>
      <c r="Z965" s="2">
        <f>IF(AND(ISNUMBER(资金流水!$B$965),资金流水!$B$965&gt;=$C$4,资金流水!$B$965&lt;=$E$4,OR(资金流水!$C$965=$C$3,AND(资金流水!$AD$965=$C$3,资金流水!$X$965="账户互转"))),INT(资金流水!$B$965)*10000+960,"")</f>
      </c>
    </row>
    <row r="966">
      <c r="A966" s="94">
        <f>IF($N966=0,"",959)</f>
      </c>
      <c r="B966" s="95">
        <f t="shared" si="6"/>
      </c>
      <c r="C966" s="96">
        <f t="shared" si="1"/>
      </c>
      <c r="D966" s="21">
        <f t="shared" si="7"/>
      </c>
      <c r="E966" s="21">
        <f t="shared" si="2"/>
      </c>
      <c r="F966" s="48">
        <f t="shared" si="8"/>
      </c>
      <c r="G966" s="94">
        <f t="shared" si="9"/>
      </c>
      <c r="H966" s="94">
        <f t="shared" si="3"/>
      </c>
      <c r="I966" s="96">
        <f t="shared" si="0"/>
      </c>
      <c r="J966" s="94">
        <f t="shared" si="4"/>
      </c>
      <c r="K966" s="94">
        <f t="shared" si="10"/>
      </c>
      <c r="L966" s="96">
        <f t="shared" si="5"/>
      </c>
      <c r="N966" s="2">
        <f>IF(959&gt;$Z$5,0,MOD(SMALL($Z$6:$Z$2005,959),10000))</f>
        <v>0</v>
      </c>
      <c r="O966" s="2">
        <f t="shared" si="11"/>
        <v>0</v>
      </c>
      <c r="Z966" s="2">
        <f>IF(AND(ISNUMBER(资金流水!$B$966),资金流水!$B$966&gt;=$C$4,资金流水!$B$966&lt;=$E$4,OR(资金流水!$C$966=$C$3,AND(资金流水!$AD$966=$C$3,资金流水!$X$966="账户互转"))),INT(资金流水!$B$966)*10000+961,"")</f>
      </c>
    </row>
    <row r="967">
      <c r="A967" s="94">
        <f>IF($N967=0,"",960)</f>
      </c>
      <c r="B967" s="95">
        <f t="shared" si="6"/>
      </c>
      <c r="C967" s="96">
        <f t="shared" si="1"/>
      </c>
      <c r="D967" s="21">
        <f t="shared" si="7"/>
      </c>
      <c r="E967" s="21">
        <f t="shared" si="2"/>
      </c>
      <c r="F967" s="48">
        <f t="shared" si="8"/>
      </c>
      <c r="G967" s="94">
        <f t="shared" si="9"/>
      </c>
      <c r="H967" s="94">
        <f t="shared" si="3"/>
      </c>
      <c r="I967" s="96">
        <f t="shared" si="0"/>
      </c>
      <c r="J967" s="94">
        <f t="shared" si="4"/>
      </c>
      <c r="K967" s="94">
        <f t="shared" si="10"/>
      </c>
      <c r="L967" s="96">
        <f t="shared" si="5"/>
      </c>
      <c r="N967" s="2">
        <f>IF(960&gt;$Z$5,0,MOD(SMALL($Z$6:$Z$2005,960),10000))</f>
        <v>0</v>
      </c>
      <c r="O967" s="2">
        <f t="shared" si="11"/>
        <v>0</v>
      </c>
      <c r="Z967" s="2">
        <f>IF(AND(ISNUMBER(资金流水!$B$967),资金流水!$B$967&gt;=$C$4,资金流水!$B$967&lt;=$E$4,OR(资金流水!$C$967=$C$3,AND(资金流水!$AD$967=$C$3,资金流水!$X$967="账户互转"))),INT(资金流水!$B$967)*10000+962,"")</f>
      </c>
    </row>
    <row r="968">
      <c r="A968" s="94">
        <f>IF($N968=0,"",961)</f>
      </c>
      <c r="B968" s="95">
        <f t="shared" si="6"/>
      </c>
      <c r="C968" s="96">
        <f t="shared" si="1"/>
      </c>
      <c r="D968" s="21">
        <f t="shared" si="7"/>
      </c>
      <c r="E968" s="21">
        <f t="shared" si="2"/>
      </c>
      <c r="F968" s="48">
        <f t="shared" si="8"/>
      </c>
      <c r="G968" s="94">
        <f t="shared" si="9"/>
      </c>
      <c r="H968" s="94">
        <f t="shared" si="3"/>
      </c>
      <c r="I968" s="96">
        <f t="shared" si="0"/>
      </c>
      <c r="J968" s="94">
        <f t="shared" si="4"/>
      </c>
      <c r="K968" s="94">
        <f t="shared" si="10"/>
      </c>
      <c r="L968" s="96">
        <f t="shared" si="5"/>
      </c>
      <c r="N968" s="2">
        <f>IF(961&gt;$Z$5,0,MOD(SMALL($Z$6:$Z$2005,961),10000))</f>
        <v>0</v>
      </c>
      <c r="O968" s="2">
        <f t="shared" si="11"/>
        <v>0</v>
      </c>
      <c r="Z968" s="2">
        <f>IF(AND(ISNUMBER(资金流水!$B$968),资金流水!$B$968&gt;=$C$4,资金流水!$B$968&lt;=$E$4,OR(资金流水!$C$968=$C$3,AND(资金流水!$AD$968=$C$3,资金流水!$X$968="账户互转"))),INT(资金流水!$B$968)*10000+963,"")</f>
      </c>
    </row>
    <row r="969">
      <c r="A969" s="94">
        <f>IF($N969=0,"",962)</f>
      </c>
      <c r="B969" s="95">
        <f t="shared" si="6"/>
      </c>
      <c r="C969" s="96">
        <f t="shared" si="1"/>
      </c>
      <c r="D969" s="21">
        <f t="shared" si="7"/>
      </c>
      <c r="E969" s="21">
        <f t="shared" si="2"/>
      </c>
      <c r="F969" s="48">
        <f t="shared" si="8"/>
      </c>
      <c r="G969" s="94">
        <f t="shared" si="9"/>
      </c>
      <c r="H969" s="94">
        <f t="shared" si="3"/>
      </c>
      <c r="I969" s="96">
        <f t="shared" si="0"/>
      </c>
      <c r="J969" s="94">
        <f t="shared" si="4"/>
      </c>
      <c r="K969" s="94">
        <f t="shared" si="10"/>
      </c>
      <c r="L969" s="96">
        <f t="shared" si="5"/>
      </c>
      <c r="N969" s="2">
        <f>IF(962&gt;$Z$5,0,MOD(SMALL($Z$6:$Z$2005,962),10000))</f>
        <v>0</v>
      </c>
      <c r="O969" s="2">
        <f t="shared" si="11"/>
        <v>0</v>
      </c>
      <c r="Z969" s="2">
        <f>IF(AND(ISNUMBER(资金流水!$B$969),资金流水!$B$969&gt;=$C$4,资金流水!$B$969&lt;=$E$4,OR(资金流水!$C$969=$C$3,AND(资金流水!$AD$969=$C$3,资金流水!$X$969="账户互转"))),INT(资金流水!$B$969)*10000+964,"")</f>
      </c>
    </row>
    <row r="970">
      <c r="A970" s="94">
        <f>IF($N970=0,"",963)</f>
      </c>
      <c r="B970" s="95">
        <f t="shared" si="6"/>
      </c>
      <c r="C970" s="96">
        <f t="shared" si="1"/>
      </c>
      <c r="D970" s="21">
        <f t="shared" si="7"/>
      </c>
      <c r="E970" s="21">
        <f t="shared" si="2"/>
      </c>
      <c r="F970" s="48">
        <f t="shared" si="8"/>
      </c>
      <c r="G970" s="94">
        <f t="shared" si="9"/>
      </c>
      <c r="H970" s="94">
        <f t="shared" si="3"/>
      </c>
      <c r="I970" s="96">
        <f t="shared" si="0"/>
      </c>
      <c r="J970" s="94">
        <f t="shared" si="4"/>
      </c>
      <c r="K970" s="94">
        <f t="shared" si="10"/>
      </c>
      <c r="L970" s="96">
        <f t="shared" si="5"/>
      </c>
      <c r="N970" s="2">
        <f>IF(963&gt;$Z$5,0,MOD(SMALL($Z$6:$Z$2005,963),10000))</f>
        <v>0</v>
      </c>
      <c r="O970" s="2">
        <f t="shared" si="11"/>
        <v>0</v>
      </c>
      <c r="Z970" s="2">
        <f>IF(AND(ISNUMBER(资金流水!$B$970),资金流水!$B$970&gt;=$C$4,资金流水!$B$970&lt;=$E$4,OR(资金流水!$C$970=$C$3,AND(资金流水!$AD$970=$C$3,资金流水!$X$970="账户互转"))),INT(资金流水!$B$970)*10000+965,"")</f>
      </c>
    </row>
    <row r="971">
      <c r="A971" s="94">
        <f>IF($N971=0,"",964)</f>
      </c>
      <c r="B971" s="95">
        <f t="shared" si="6"/>
      </c>
      <c r="C971" s="96">
        <f t="shared" si="1"/>
      </c>
      <c r="D971" s="21">
        <f t="shared" si="7"/>
      </c>
      <c r="E971" s="21">
        <f t="shared" si="2"/>
      </c>
      <c r="F971" s="48">
        <f t="shared" si="8"/>
      </c>
      <c r="G971" s="94">
        <f t="shared" si="9"/>
      </c>
      <c r="H971" s="94">
        <f t="shared" si="3"/>
      </c>
      <c r="I971" s="96">
        <f t="shared" si="0"/>
      </c>
      <c r="J971" s="94">
        <f t="shared" si="4"/>
      </c>
      <c r="K971" s="94">
        <f t="shared" si="10"/>
      </c>
      <c r="L971" s="96">
        <f t="shared" si="5"/>
      </c>
      <c r="N971" s="2">
        <f>IF(964&gt;$Z$5,0,MOD(SMALL($Z$6:$Z$2005,964),10000))</f>
        <v>0</v>
      </c>
      <c r="O971" s="2">
        <f t="shared" si="11"/>
        <v>0</v>
      </c>
      <c r="Z971" s="2">
        <f>IF(AND(ISNUMBER(资金流水!$B$971),资金流水!$B$971&gt;=$C$4,资金流水!$B$971&lt;=$E$4,OR(资金流水!$C$971=$C$3,AND(资金流水!$AD$971=$C$3,资金流水!$X$971="账户互转"))),INT(资金流水!$B$971)*10000+966,"")</f>
      </c>
    </row>
    <row r="972">
      <c r="A972" s="94">
        <f>IF($N972=0,"",965)</f>
      </c>
      <c r="B972" s="95">
        <f t="shared" si="6"/>
      </c>
      <c r="C972" s="96">
        <f t="shared" si="1"/>
      </c>
      <c r="D972" s="21">
        <f t="shared" si="7"/>
      </c>
      <c r="E972" s="21">
        <f t="shared" si="2"/>
      </c>
      <c r="F972" s="48">
        <f t="shared" si="8"/>
      </c>
      <c r="G972" s="94">
        <f t="shared" si="9"/>
      </c>
      <c r="H972" s="94">
        <f t="shared" si="3"/>
      </c>
      <c r="I972" s="96">
        <f t="shared" si="0"/>
      </c>
      <c r="J972" s="94">
        <f t="shared" si="4"/>
      </c>
      <c r="K972" s="94">
        <f t="shared" si="10"/>
      </c>
      <c r="L972" s="96">
        <f t="shared" si="5"/>
      </c>
      <c r="N972" s="2">
        <f>IF(965&gt;$Z$5,0,MOD(SMALL($Z$6:$Z$2005,965),10000))</f>
        <v>0</v>
      </c>
      <c r="O972" s="2">
        <f t="shared" si="11"/>
        <v>0</v>
      </c>
      <c r="Z972" s="2">
        <f>IF(AND(ISNUMBER(资金流水!$B$972),资金流水!$B$972&gt;=$C$4,资金流水!$B$972&lt;=$E$4,OR(资金流水!$C$972=$C$3,AND(资金流水!$AD$972=$C$3,资金流水!$X$972="账户互转"))),INT(资金流水!$B$972)*10000+967,"")</f>
      </c>
    </row>
    <row r="973">
      <c r="A973" s="94">
        <f>IF($N973=0,"",966)</f>
      </c>
      <c r="B973" s="95">
        <f t="shared" si="6"/>
      </c>
      <c r="C973" s="96">
        <f t="shared" si="1"/>
      </c>
      <c r="D973" s="21">
        <f t="shared" si="7"/>
      </c>
      <c r="E973" s="21">
        <f t="shared" si="2"/>
      </c>
      <c r="F973" s="48">
        <f t="shared" si="8"/>
      </c>
      <c r="G973" s="94">
        <f t="shared" si="9"/>
      </c>
      <c r="H973" s="94">
        <f t="shared" si="3"/>
      </c>
      <c r="I973" s="96">
        <f t="shared" si="0"/>
      </c>
      <c r="J973" s="94">
        <f t="shared" si="4"/>
      </c>
      <c r="K973" s="94">
        <f t="shared" si="10"/>
      </c>
      <c r="L973" s="96">
        <f t="shared" si="5"/>
      </c>
      <c r="N973" s="2">
        <f>IF(966&gt;$Z$5,0,MOD(SMALL($Z$6:$Z$2005,966),10000))</f>
        <v>0</v>
      </c>
      <c r="O973" s="2">
        <f t="shared" si="11"/>
        <v>0</v>
      </c>
      <c r="Z973" s="2">
        <f>IF(AND(ISNUMBER(资金流水!$B$973),资金流水!$B$973&gt;=$C$4,资金流水!$B$973&lt;=$E$4,OR(资金流水!$C$973=$C$3,AND(资金流水!$AD$973=$C$3,资金流水!$X$973="账户互转"))),INT(资金流水!$B$973)*10000+968,"")</f>
      </c>
    </row>
    <row r="974">
      <c r="A974" s="94">
        <f>IF($N974=0,"",967)</f>
      </c>
      <c r="B974" s="95">
        <f t="shared" si="6"/>
      </c>
      <c r="C974" s="96">
        <f t="shared" si="1"/>
      </c>
      <c r="D974" s="21">
        <f t="shared" si="7"/>
      </c>
      <c r="E974" s="21">
        <f t="shared" si="2"/>
      </c>
      <c r="F974" s="48">
        <f t="shared" si="8"/>
      </c>
      <c r="G974" s="94">
        <f t="shared" si="9"/>
      </c>
      <c r="H974" s="94">
        <f t="shared" si="3"/>
      </c>
      <c r="I974" s="96">
        <f t="shared" si="0"/>
      </c>
      <c r="J974" s="94">
        <f t="shared" si="4"/>
      </c>
      <c r="K974" s="94">
        <f t="shared" si="10"/>
      </c>
      <c r="L974" s="96">
        <f t="shared" si="5"/>
      </c>
      <c r="N974" s="2">
        <f>IF(967&gt;$Z$5,0,MOD(SMALL($Z$6:$Z$2005,967),10000))</f>
        <v>0</v>
      </c>
      <c r="O974" s="2">
        <f t="shared" si="11"/>
        <v>0</v>
      </c>
      <c r="Z974" s="2">
        <f>IF(AND(ISNUMBER(资金流水!$B$974),资金流水!$B$974&gt;=$C$4,资金流水!$B$974&lt;=$E$4,OR(资金流水!$C$974=$C$3,AND(资金流水!$AD$974=$C$3,资金流水!$X$974="账户互转"))),INT(资金流水!$B$974)*10000+969,"")</f>
      </c>
    </row>
    <row r="975">
      <c r="A975" s="94">
        <f>IF($N975=0,"",968)</f>
      </c>
      <c r="B975" s="95">
        <f t="shared" si="6"/>
      </c>
      <c r="C975" s="96">
        <f t="shared" si="1"/>
      </c>
      <c r="D975" s="21">
        <f t="shared" si="7"/>
      </c>
      <c r="E975" s="21">
        <f t="shared" si="2"/>
      </c>
      <c r="F975" s="48">
        <f t="shared" si="8"/>
      </c>
      <c r="G975" s="94">
        <f t="shared" si="9"/>
      </c>
      <c r="H975" s="94">
        <f t="shared" si="3"/>
      </c>
      <c r="I975" s="96">
        <f t="shared" si="0"/>
      </c>
      <c r="J975" s="94">
        <f t="shared" si="4"/>
      </c>
      <c r="K975" s="94">
        <f t="shared" si="10"/>
      </c>
      <c r="L975" s="96">
        <f t="shared" si="5"/>
      </c>
      <c r="N975" s="2">
        <f>IF(968&gt;$Z$5,0,MOD(SMALL($Z$6:$Z$2005,968),10000))</f>
        <v>0</v>
      </c>
      <c r="O975" s="2">
        <f t="shared" si="11"/>
        <v>0</v>
      </c>
      <c r="Z975" s="2">
        <f>IF(AND(ISNUMBER(资金流水!$B$975),资金流水!$B$975&gt;=$C$4,资金流水!$B$975&lt;=$E$4,OR(资金流水!$C$975=$C$3,AND(资金流水!$AD$975=$C$3,资金流水!$X$975="账户互转"))),INT(资金流水!$B$975)*10000+970,"")</f>
      </c>
    </row>
    <row r="976">
      <c r="A976" s="94">
        <f>IF($N976=0,"",969)</f>
      </c>
      <c r="B976" s="95">
        <f t="shared" si="6"/>
      </c>
      <c r="C976" s="96">
        <f t="shared" si="1"/>
      </c>
      <c r="D976" s="21">
        <f t="shared" si="7"/>
      </c>
      <c r="E976" s="21">
        <f t="shared" si="2"/>
      </c>
      <c r="F976" s="48">
        <f t="shared" si="8"/>
      </c>
      <c r="G976" s="94">
        <f t="shared" si="9"/>
      </c>
      <c r="H976" s="94">
        <f t="shared" si="3"/>
      </c>
      <c r="I976" s="96">
        <f t="shared" si="0"/>
      </c>
      <c r="J976" s="94">
        <f t="shared" si="4"/>
      </c>
      <c r="K976" s="94">
        <f t="shared" si="10"/>
      </c>
      <c r="L976" s="96">
        <f t="shared" si="5"/>
      </c>
      <c r="N976" s="2">
        <f>IF(969&gt;$Z$5,0,MOD(SMALL($Z$6:$Z$2005,969),10000))</f>
        <v>0</v>
      </c>
      <c r="O976" s="2">
        <f t="shared" si="11"/>
        <v>0</v>
      </c>
      <c r="Z976" s="2">
        <f>IF(AND(ISNUMBER(资金流水!$B$976),资金流水!$B$976&gt;=$C$4,资金流水!$B$976&lt;=$E$4,OR(资金流水!$C$976=$C$3,AND(资金流水!$AD$976=$C$3,资金流水!$X$976="账户互转"))),INT(资金流水!$B$976)*10000+971,"")</f>
      </c>
    </row>
    <row r="977">
      <c r="A977" s="94">
        <f>IF($N977=0,"",970)</f>
      </c>
      <c r="B977" s="95">
        <f t="shared" si="6"/>
      </c>
      <c r="C977" s="96">
        <f t="shared" si="1"/>
      </c>
      <c r="D977" s="21">
        <f t="shared" si="7"/>
      </c>
      <c r="E977" s="21">
        <f t="shared" si="2"/>
      </c>
      <c r="F977" s="48">
        <f t="shared" si="8"/>
      </c>
      <c r="G977" s="94">
        <f t="shared" si="9"/>
      </c>
      <c r="H977" s="94">
        <f t="shared" si="3"/>
      </c>
      <c r="I977" s="96">
        <f t="shared" si="0"/>
      </c>
      <c r="J977" s="94">
        <f t="shared" si="4"/>
      </c>
      <c r="K977" s="94">
        <f t="shared" si="10"/>
      </c>
      <c r="L977" s="96">
        <f t="shared" si="5"/>
      </c>
      <c r="N977" s="2">
        <f>IF(970&gt;$Z$5,0,MOD(SMALL($Z$6:$Z$2005,970),10000))</f>
        <v>0</v>
      </c>
      <c r="O977" s="2">
        <f t="shared" si="11"/>
        <v>0</v>
      </c>
      <c r="Z977" s="2">
        <f>IF(AND(ISNUMBER(资金流水!$B$977),资金流水!$B$977&gt;=$C$4,资金流水!$B$977&lt;=$E$4,OR(资金流水!$C$977=$C$3,AND(资金流水!$AD$977=$C$3,资金流水!$X$977="账户互转"))),INT(资金流水!$B$977)*10000+972,"")</f>
      </c>
    </row>
    <row r="978">
      <c r="A978" s="94">
        <f>IF($N978=0,"",971)</f>
      </c>
      <c r="B978" s="95">
        <f t="shared" si="6"/>
      </c>
      <c r="C978" s="96">
        <f t="shared" si="1"/>
      </c>
      <c r="D978" s="21">
        <f t="shared" si="7"/>
      </c>
      <c r="E978" s="21">
        <f t="shared" si="2"/>
      </c>
      <c r="F978" s="48">
        <f t="shared" si="8"/>
      </c>
      <c r="G978" s="94">
        <f t="shared" si="9"/>
      </c>
      <c r="H978" s="94">
        <f t="shared" si="3"/>
      </c>
      <c r="I978" s="96">
        <f t="shared" si="0"/>
      </c>
      <c r="J978" s="94">
        <f t="shared" si="4"/>
      </c>
      <c r="K978" s="94">
        <f t="shared" si="10"/>
      </c>
      <c r="L978" s="96">
        <f t="shared" si="5"/>
      </c>
      <c r="N978" s="2">
        <f>IF(971&gt;$Z$5,0,MOD(SMALL($Z$6:$Z$2005,971),10000))</f>
        <v>0</v>
      </c>
      <c r="O978" s="2">
        <f t="shared" si="11"/>
        <v>0</v>
      </c>
      <c r="Z978" s="2">
        <f>IF(AND(ISNUMBER(资金流水!$B$978),资金流水!$B$978&gt;=$C$4,资金流水!$B$978&lt;=$E$4,OR(资金流水!$C$978=$C$3,AND(资金流水!$AD$978=$C$3,资金流水!$X$978="账户互转"))),INT(资金流水!$B$978)*10000+973,"")</f>
      </c>
    </row>
    <row r="979">
      <c r="A979" s="94">
        <f>IF($N979=0,"",972)</f>
      </c>
      <c r="B979" s="95">
        <f t="shared" si="6"/>
      </c>
      <c r="C979" s="96">
        <f t="shared" si="1"/>
      </c>
      <c r="D979" s="21">
        <f t="shared" si="7"/>
      </c>
      <c r="E979" s="21">
        <f t="shared" si="2"/>
      </c>
      <c r="F979" s="48">
        <f t="shared" si="8"/>
      </c>
      <c r="G979" s="94">
        <f t="shared" si="9"/>
      </c>
      <c r="H979" s="94">
        <f t="shared" si="3"/>
      </c>
      <c r="I979" s="96">
        <f t="shared" si="0"/>
      </c>
      <c r="J979" s="94">
        <f t="shared" si="4"/>
      </c>
      <c r="K979" s="94">
        <f t="shared" si="10"/>
      </c>
      <c r="L979" s="96">
        <f t="shared" si="5"/>
      </c>
      <c r="N979" s="2">
        <f>IF(972&gt;$Z$5,0,MOD(SMALL($Z$6:$Z$2005,972),10000))</f>
        <v>0</v>
      </c>
      <c r="O979" s="2">
        <f t="shared" si="11"/>
        <v>0</v>
      </c>
      <c r="Z979" s="2">
        <f>IF(AND(ISNUMBER(资金流水!$B$979),资金流水!$B$979&gt;=$C$4,资金流水!$B$979&lt;=$E$4,OR(资金流水!$C$979=$C$3,AND(资金流水!$AD$979=$C$3,资金流水!$X$979="账户互转"))),INT(资金流水!$B$979)*10000+974,"")</f>
      </c>
    </row>
    <row r="980">
      <c r="A980" s="94">
        <f>IF($N980=0,"",973)</f>
      </c>
      <c r="B980" s="95">
        <f t="shared" si="6"/>
      </c>
      <c r="C980" s="96">
        <f t="shared" si="1"/>
      </c>
      <c r="D980" s="21">
        <f t="shared" si="7"/>
      </c>
      <c r="E980" s="21">
        <f t="shared" si="2"/>
      </c>
      <c r="F980" s="48">
        <f t="shared" si="8"/>
      </c>
      <c r="G980" s="94">
        <f t="shared" si="9"/>
      </c>
      <c r="H980" s="94">
        <f t="shared" si="3"/>
      </c>
      <c r="I980" s="96">
        <f t="shared" si="0"/>
      </c>
      <c r="J980" s="94">
        <f t="shared" si="4"/>
      </c>
      <c r="K980" s="94">
        <f t="shared" si="10"/>
      </c>
      <c r="L980" s="96">
        <f t="shared" si="5"/>
      </c>
      <c r="N980" s="2">
        <f>IF(973&gt;$Z$5,0,MOD(SMALL($Z$6:$Z$2005,973),10000))</f>
        <v>0</v>
      </c>
      <c r="O980" s="2">
        <f t="shared" si="11"/>
        <v>0</v>
      </c>
      <c r="Z980" s="2">
        <f>IF(AND(ISNUMBER(资金流水!$B$980),资金流水!$B$980&gt;=$C$4,资金流水!$B$980&lt;=$E$4,OR(资金流水!$C$980=$C$3,AND(资金流水!$AD$980=$C$3,资金流水!$X$980="账户互转"))),INT(资金流水!$B$980)*10000+975,"")</f>
      </c>
    </row>
    <row r="981">
      <c r="A981" s="94">
        <f>IF($N981=0,"",974)</f>
      </c>
      <c r="B981" s="95">
        <f t="shared" si="6"/>
      </c>
      <c r="C981" s="96">
        <f t="shared" si="1"/>
      </c>
      <c r="D981" s="21">
        <f t="shared" si="7"/>
      </c>
      <c r="E981" s="21">
        <f t="shared" si="2"/>
      </c>
      <c r="F981" s="48">
        <f t="shared" si="8"/>
      </c>
      <c r="G981" s="94">
        <f t="shared" si="9"/>
      </c>
      <c r="H981" s="94">
        <f t="shared" si="3"/>
      </c>
      <c r="I981" s="96">
        <f t="shared" si="0"/>
      </c>
      <c r="J981" s="94">
        <f t="shared" si="4"/>
      </c>
      <c r="K981" s="94">
        <f t="shared" si="10"/>
      </c>
      <c r="L981" s="96">
        <f t="shared" si="5"/>
      </c>
      <c r="N981" s="2">
        <f>IF(974&gt;$Z$5,0,MOD(SMALL($Z$6:$Z$2005,974),10000))</f>
        <v>0</v>
      </c>
      <c r="O981" s="2">
        <f t="shared" si="11"/>
        <v>0</v>
      </c>
      <c r="Z981" s="2">
        <f>IF(AND(ISNUMBER(资金流水!$B$981),资金流水!$B$981&gt;=$C$4,资金流水!$B$981&lt;=$E$4,OR(资金流水!$C$981=$C$3,AND(资金流水!$AD$981=$C$3,资金流水!$X$981="账户互转"))),INT(资金流水!$B$981)*10000+976,"")</f>
      </c>
    </row>
    <row r="982">
      <c r="A982" s="94">
        <f>IF($N982=0,"",975)</f>
      </c>
      <c r="B982" s="95">
        <f t="shared" si="6"/>
      </c>
      <c r="C982" s="96">
        <f t="shared" si="1"/>
      </c>
      <c r="D982" s="21">
        <f t="shared" si="7"/>
      </c>
      <c r="E982" s="21">
        <f t="shared" si="2"/>
      </c>
      <c r="F982" s="48">
        <f t="shared" si="8"/>
      </c>
      <c r="G982" s="94">
        <f t="shared" si="9"/>
      </c>
      <c r="H982" s="94">
        <f t="shared" si="3"/>
      </c>
      <c r="I982" s="96">
        <f t="shared" si="0"/>
      </c>
      <c r="J982" s="94">
        <f t="shared" si="4"/>
      </c>
      <c r="K982" s="94">
        <f t="shared" si="10"/>
      </c>
      <c r="L982" s="96">
        <f t="shared" si="5"/>
      </c>
      <c r="N982" s="2">
        <f>IF(975&gt;$Z$5,0,MOD(SMALL($Z$6:$Z$2005,975),10000))</f>
        <v>0</v>
      </c>
      <c r="O982" s="2">
        <f t="shared" si="11"/>
        <v>0</v>
      </c>
      <c r="Z982" s="2">
        <f>IF(AND(ISNUMBER(资金流水!$B$982),资金流水!$B$982&gt;=$C$4,资金流水!$B$982&lt;=$E$4,OR(资金流水!$C$982=$C$3,AND(资金流水!$AD$982=$C$3,资金流水!$X$982="账户互转"))),INT(资金流水!$B$982)*10000+977,"")</f>
      </c>
    </row>
    <row r="983">
      <c r="A983" s="94">
        <f>IF($N983=0,"",976)</f>
      </c>
      <c r="B983" s="95">
        <f t="shared" si="6"/>
      </c>
      <c r="C983" s="96">
        <f t="shared" si="1"/>
      </c>
      <c r="D983" s="21">
        <f t="shared" si="7"/>
      </c>
      <c r="E983" s="21">
        <f t="shared" si="2"/>
      </c>
      <c r="F983" s="48">
        <f t="shared" si="8"/>
      </c>
      <c r="G983" s="94">
        <f t="shared" si="9"/>
      </c>
      <c r="H983" s="94">
        <f t="shared" si="3"/>
      </c>
      <c r="I983" s="96">
        <f t="shared" si="0"/>
      </c>
      <c r="J983" s="94">
        <f t="shared" si="4"/>
      </c>
      <c r="K983" s="94">
        <f t="shared" si="10"/>
      </c>
      <c r="L983" s="96">
        <f t="shared" si="5"/>
      </c>
      <c r="N983" s="2">
        <f>IF(976&gt;$Z$5,0,MOD(SMALL($Z$6:$Z$2005,976),10000))</f>
        <v>0</v>
      </c>
      <c r="O983" s="2">
        <f t="shared" si="11"/>
        <v>0</v>
      </c>
      <c r="Z983" s="2">
        <f>IF(AND(ISNUMBER(资金流水!$B$983),资金流水!$B$983&gt;=$C$4,资金流水!$B$983&lt;=$E$4,OR(资金流水!$C$983=$C$3,AND(资金流水!$AD$983=$C$3,资金流水!$X$983="账户互转"))),INT(资金流水!$B$983)*10000+978,"")</f>
      </c>
    </row>
    <row r="984">
      <c r="A984" s="94">
        <f>IF($N984=0,"",977)</f>
      </c>
      <c r="B984" s="95">
        <f t="shared" si="6"/>
      </c>
      <c r="C984" s="96">
        <f t="shared" si="1"/>
      </c>
      <c r="D984" s="21">
        <f t="shared" si="7"/>
      </c>
      <c r="E984" s="21">
        <f t="shared" si="2"/>
      </c>
      <c r="F984" s="48">
        <f t="shared" si="8"/>
      </c>
      <c r="G984" s="94">
        <f t="shared" si="9"/>
      </c>
      <c r="H984" s="94">
        <f t="shared" si="3"/>
      </c>
      <c r="I984" s="96">
        <f t="shared" si="0"/>
      </c>
      <c r="J984" s="94">
        <f t="shared" si="4"/>
      </c>
      <c r="K984" s="94">
        <f t="shared" si="10"/>
      </c>
      <c r="L984" s="96">
        <f t="shared" si="5"/>
      </c>
      <c r="N984" s="2">
        <f>IF(977&gt;$Z$5,0,MOD(SMALL($Z$6:$Z$2005,977),10000))</f>
        <v>0</v>
      </c>
      <c r="O984" s="2">
        <f t="shared" si="11"/>
        <v>0</v>
      </c>
      <c r="Z984" s="2">
        <f>IF(AND(ISNUMBER(资金流水!$B$984),资金流水!$B$984&gt;=$C$4,资金流水!$B$984&lt;=$E$4,OR(资金流水!$C$984=$C$3,AND(资金流水!$AD$984=$C$3,资金流水!$X$984="账户互转"))),INT(资金流水!$B$984)*10000+979,"")</f>
      </c>
    </row>
    <row r="985">
      <c r="A985" s="94">
        <f>IF($N985=0,"",978)</f>
      </c>
      <c r="B985" s="95">
        <f t="shared" si="6"/>
      </c>
      <c r="C985" s="96">
        <f t="shared" si="1"/>
      </c>
      <c r="D985" s="21">
        <f t="shared" si="7"/>
      </c>
      <c r="E985" s="21">
        <f t="shared" si="2"/>
      </c>
      <c r="F985" s="48">
        <f t="shared" si="8"/>
      </c>
      <c r="G985" s="94">
        <f t="shared" si="9"/>
      </c>
      <c r="H985" s="94">
        <f t="shared" si="3"/>
      </c>
      <c r="I985" s="96">
        <f t="shared" si="0"/>
      </c>
      <c r="J985" s="94">
        <f t="shared" si="4"/>
      </c>
      <c r="K985" s="94">
        <f t="shared" si="10"/>
      </c>
      <c r="L985" s="96">
        <f t="shared" si="5"/>
      </c>
      <c r="N985" s="2">
        <f>IF(978&gt;$Z$5,0,MOD(SMALL($Z$6:$Z$2005,978),10000))</f>
        <v>0</v>
      </c>
      <c r="O985" s="2">
        <f t="shared" si="11"/>
        <v>0</v>
      </c>
      <c r="Z985" s="2">
        <f>IF(AND(ISNUMBER(资金流水!$B$985),资金流水!$B$985&gt;=$C$4,资金流水!$B$985&lt;=$E$4,OR(资金流水!$C$985=$C$3,AND(资金流水!$AD$985=$C$3,资金流水!$X$985="账户互转"))),INT(资金流水!$B$985)*10000+980,"")</f>
      </c>
    </row>
    <row r="986">
      <c r="A986" s="94">
        <f>IF($N986=0,"",979)</f>
      </c>
      <c r="B986" s="95">
        <f t="shared" si="6"/>
      </c>
      <c r="C986" s="96">
        <f t="shared" si="1"/>
      </c>
      <c r="D986" s="21">
        <f t="shared" si="7"/>
      </c>
      <c r="E986" s="21">
        <f t="shared" si="2"/>
      </c>
      <c r="F986" s="48">
        <f t="shared" si="8"/>
      </c>
      <c r="G986" s="94">
        <f t="shared" si="9"/>
      </c>
      <c r="H986" s="94">
        <f t="shared" si="3"/>
      </c>
      <c r="I986" s="96">
        <f t="shared" si="0"/>
      </c>
      <c r="J986" s="94">
        <f t="shared" si="4"/>
      </c>
      <c r="K986" s="94">
        <f t="shared" si="10"/>
      </c>
      <c r="L986" s="96">
        <f t="shared" si="5"/>
      </c>
      <c r="N986" s="2">
        <f>IF(979&gt;$Z$5,0,MOD(SMALL($Z$6:$Z$2005,979),10000))</f>
        <v>0</v>
      </c>
      <c r="O986" s="2">
        <f t="shared" si="11"/>
        <v>0</v>
      </c>
      <c r="Z986" s="2">
        <f>IF(AND(ISNUMBER(资金流水!$B$986),资金流水!$B$986&gt;=$C$4,资金流水!$B$986&lt;=$E$4,OR(资金流水!$C$986=$C$3,AND(资金流水!$AD$986=$C$3,资金流水!$X$986="账户互转"))),INT(资金流水!$B$986)*10000+981,"")</f>
      </c>
    </row>
    <row r="987">
      <c r="A987" s="94">
        <f>IF($N987=0,"",980)</f>
      </c>
      <c r="B987" s="95">
        <f t="shared" si="6"/>
      </c>
      <c r="C987" s="96">
        <f t="shared" si="1"/>
      </c>
      <c r="D987" s="21">
        <f t="shared" si="7"/>
      </c>
      <c r="E987" s="21">
        <f t="shared" si="2"/>
      </c>
      <c r="F987" s="48">
        <f t="shared" si="8"/>
      </c>
      <c r="G987" s="94">
        <f t="shared" si="9"/>
      </c>
      <c r="H987" s="94">
        <f t="shared" si="3"/>
      </c>
      <c r="I987" s="96">
        <f t="shared" si="0"/>
      </c>
      <c r="J987" s="94">
        <f t="shared" si="4"/>
      </c>
      <c r="K987" s="94">
        <f t="shared" si="10"/>
      </c>
      <c r="L987" s="96">
        <f t="shared" si="5"/>
      </c>
      <c r="N987" s="2">
        <f>IF(980&gt;$Z$5,0,MOD(SMALL($Z$6:$Z$2005,980),10000))</f>
        <v>0</v>
      </c>
      <c r="O987" s="2">
        <f t="shared" si="11"/>
        <v>0</v>
      </c>
      <c r="Z987" s="2">
        <f>IF(AND(ISNUMBER(资金流水!$B$987),资金流水!$B$987&gt;=$C$4,资金流水!$B$987&lt;=$E$4,OR(资金流水!$C$987=$C$3,AND(资金流水!$AD$987=$C$3,资金流水!$X$987="账户互转"))),INT(资金流水!$B$987)*10000+982,"")</f>
      </c>
    </row>
    <row r="988">
      <c r="A988" s="94">
        <f>IF($N988=0,"",981)</f>
      </c>
      <c r="B988" s="95">
        <f t="shared" si="6"/>
      </c>
      <c r="C988" s="96">
        <f t="shared" si="1"/>
      </c>
      <c r="D988" s="21">
        <f t="shared" si="7"/>
      </c>
      <c r="E988" s="21">
        <f t="shared" si="2"/>
      </c>
      <c r="F988" s="48">
        <f t="shared" si="8"/>
      </c>
      <c r="G988" s="94">
        <f t="shared" si="9"/>
      </c>
      <c r="H988" s="94">
        <f t="shared" si="3"/>
      </c>
      <c r="I988" s="96">
        <f t="shared" si="0"/>
      </c>
      <c r="J988" s="94">
        <f t="shared" si="4"/>
      </c>
      <c r="K988" s="94">
        <f t="shared" si="10"/>
      </c>
      <c r="L988" s="96">
        <f t="shared" si="5"/>
      </c>
      <c r="N988" s="2">
        <f>IF(981&gt;$Z$5,0,MOD(SMALL($Z$6:$Z$2005,981),10000))</f>
        <v>0</v>
      </c>
      <c r="O988" s="2">
        <f t="shared" si="11"/>
        <v>0</v>
      </c>
      <c r="Z988" s="2">
        <f>IF(AND(ISNUMBER(资金流水!$B$988),资金流水!$B$988&gt;=$C$4,资金流水!$B$988&lt;=$E$4,OR(资金流水!$C$988=$C$3,AND(资金流水!$AD$988=$C$3,资金流水!$X$988="账户互转"))),INT(资金流水!$B$988)*10000+983,"")</f>
      </c>
    </row>
    <row r="989">
      <c r="A989" s="94">
        <f>IF($N989=0,"",982)</f>
      </c>
      <c r="B989" s="95">
        <f t="shared" si="6"/>
      </c>
      <c r="C989" s="96">
        <f t="shared" si="1"/>
      </c>
      <c r="D989" s="21">
        <f t="shared" si="7"/>
      </c>
      <c r="E989" s="21">
        <f t="shared" si="2"/>
      </c>
      <c r="F989" s="48">
        <f t="shared" si="8"/>
      </c>
      <c r="G989" s="94">
        <f t="shared" si="9"/>
      </c>
      <c r="H989" s="94">
        <f t="shared" si="3"/>
      </c>
      <c r="I989" s="96">
        <f t="shared" si="0"/>
      </c>
      <c r="J989" s="94">
        <f t="shared" si="4"/>
      </c>
      <c r="K989" s="94">
        <f t="shared" si="10"/>
      </c>
      <c r="L989" s="96">
        <f t="shared" si="5"/>
      </c>
      <c r="N989" s="2">
        <f>IF(982&gt;$Z$5,0,MOD(SMALL($Z$6:$Z$2005,982),10000))</f>
        <v>0</v>
      </c>
      <c r="O989" s="2">
        <f t="shared" si="11"/>
        <v>0</v>
      </c>
      <c r="Z989" s="2">
        <f>IF(AND(ISNUMBER(资金流水!$B$989),资金流水!$B$989&gt;=$C$4,资金流水!$B$989&lt;=$E$4,OR(资金流水!$C$989=$C$3,AND(资金流水!$AD$989=$C$3,资金流水!$X$989="账户互转"))),INT(资金流水!$B$989)*10000+984,"")</f>
      </c>
    </row>
    <row r="990">
      <c r="A990" s="94">
        <f>IF($N990=0,"",983)</f>
      </c>
      <c r="B990" s="95">
        <f t="shared" si="6"/>
      </c>
      <c r="C990" s="96">
        <f t="shared" si="1"/>
      </c>
      <c r="D990" s="21">
        <f t="shared" si="7"/>
      </c>
      <c r="E990" s="21">
        <f t="shared" si="2"/>
      </c>
      <c r="F990" s="48">
        <f t="shared" si="8"/>
      </c>
      <c r="G990" s="94">
        <f t="shared" si="9"/>
      </c>
      <c r="H990" s="94">
        <f t="shared" si="3"/>
      </c>
      <c r="I990" s="96">
        <f t="shared" si="0"/>
      </c>
      <c r="J990" s="94">
        <f t="shared" si="4"/>
      </c>
      <c r="K990" s="94">
        <f t="shared" si="10"/>
      </c>
      <c r="L990" s="96">
        <f t="shared" si="5"/>
      </c>
      <c r="N990" s="2">
        <f>IF(983&gt;$Z$5,0,MOD(SMALL($Z$6:$Z$2005,983),10000))</f>
        <v>0</v>
      </c>
      <c r="O990" s="2">
        <f t="shared" si="11"/>
        <v>0</v>
      </c>
      <c r="Z990" s="2">
        <f>IF(AND(ISNUMBER(资金流水!$B$990),资金流水!$B$990&gt;=$C$4,资金流水!$B$990&lt;=$E$4,OR(资金流水!$C$990=$C$3,AND(资金流水!$AD$990=$C$3,资金流水!$X$990="账户互转"))),INT(资金流水!$B$990)*10000+985,"")</f>
      </c>
    </row>
    <row r="991">
      <c r="A991" s="94">
        <f>IF($N991=0,"",984)</f>
      </c>
      <c r="B991" s="95">
        <f t="shared" si="6"/>
      </c>
      <c r="C991" s="96">
        <f t="shared" si="1"/>
      </c>
      <c r="D991" s="21">
        <f t="shared" si="7"/>
      </c>
      <c r="E991" s="21">
        <f t="shared" si="2"/>
      </c>
      <c r="F991" s="48">
        <f t="shared" si="8"/>
      </c>
      <c r="G991" s="94">
        <f t="shared" si="9"/>
      </c>
      <c r="H991" s="94">
        <f t="shared" si="3"/>
      </c>
      <c r="I991" s="96">
        <f t="shared" si="0"/>
      </c>
      <c r="J991" s="94">
        <f t="shared" si="4"/>
      </c>
      <c r="K991" s="94">
        <f t="shared" si="10"/>
      </c>
      <c r="L991" s="96">
        <f t="shared" si="5"/>
      </c>
      <c r="N991" s="2">
        <f>IF(984&gt;$Z$5,0,MOD(SMALL($Z$6:$Z$2005,984),10000))</f>
        <v>0</v>
      </c>
      <c r="O991" s="2">
        <f t="shared" si="11"/>
        <v>0</v>
      </c>
      <c r="Z991" s="2">
        <f>IF(AND(ISNUMBER(资金流水!$B$991),资金流水!$B$991&gt;=$C$4,资金流水!$B$991&lt;=$E$4,OR(资金流水!$C$991=$C$3,AND(资金流水!$AD$991=$C$3,资金流水!$X$991="账户互转"))),INT(资金流水!$B$991)*10000+986,"")</f>
      </c>
    </row>
    <row r="992">
      <c r="A992" s="94">
        <f>IF($N992=0,"",985)</f>
      </c>
      <c r="B992" s="95">
        <f t="shared" si="6"/>
      </c>
      <c r="C992" s="96">
        <f t="shared" si="1"/>
      </c>
      <c r="D992" s="21">
        <f t="shared" si="7"/>
      </c>
      <c r="E992" s="21">
        <f t="shared" si="2"/>
      </c>
      <c r="F992" s="48">
        <f t="shared" si="8"/>
      </c>
      <c r="G992" s="94">
        <f t="shared" si="9"/>
      </c>
      <c r="H992" s="94">
        <f t="shared" si="3"/>
      </c>
      <c r="I992" s="96">
        <f t="shared" si="0"/>
      </c>
      <c r="J992" s="94">
        <f t="shared" si="4"/>
      </c>
      <c r="K992" s="94">
        <f t="shared" si="10"/>
      </c>
      <c r="L992" s="96">
        <f t="shared" si="5"/>
      </c>
      <c r="N992" s="2">
        <f>IF(985&gt;$Z$5,0,MOD(SMALL($Z$6:$Z$2005,985),10000))</f>
        <v>0</v>
      </c>
      <c r="O992" s="2">
        <f t="shared" si="11"/>
        <v>0</v>
      </c>
      <c r="Z992" s="2">
        <f>IF(AND(ISNUMBER(资金流水!$B$992),资金流水!$B$992&gt;=$C$4,资金流水!$B$992&lt;=$E$4,OR(资金流水!$C$992=$C$3,AND(资金流水!$AD$992=$C$3,资金流水!$X$992="账户互转"))),INT(资金流水!$B$992)*10000+987,"")</f>
      </c>
    </row>
    <row r="993">
      <c r="A993" s="94">
        <f>IF($N993=0,"",986)</f>
      </c>
      <c r="B993" s="95">
        <f t="shared" si="6"/>
      </c>
      <c r="C993" s="96">
        <f t="shared" si="1"/>
      </c>
      <c r="D993" s="21">
        <f t="shared" si="7"/>
      </c>
      <c r="E993" s="21">
        <f t="shared" si="2"/>
      </c>
      <c r="F993" s="48">
        <f t="shared" si="8"/>
      </c>
      <c r="G993" s="94">
        <f t="shared" si="9"/>
      </c>
      <c r="H993" s="94">
        <f t="shared" si="3"/>
      </c>
      <c r="I993" s="96">
        <f t="shared" si="0"/>
      </c>
      <c r="J993" s="94">
        <f t="shared" si="4"/>
      </c>
      <c r="K993" s="94">
        <f t="shared" si="10"/>
      </c>
      <c r="L993" s="96">
        <f t="shared" si="5"/>
      </c>
      <c r="N993" s="2">
        <f>IF(986&gt;$Z$5,0,MOD(SMALL($Z$6:$Z$2005,986),10000))</f>
        <v>0</v>
      </c>
      <c r="O993" s="2">
        <f t="shared" si="11"/>
        <v>0</v>
      </c>
      <c r="Z993" s="2">
        <f>IF(AND(ISNUMBER(资金流水!$B$993),资金流水!$B$993&gt;=$C$4,资金流水!$B$993&lt;=$E$4,OR(资金流水!$C$993=$C$3,AND(资金流水!$AD$993=$C$3,资金流水!$X$993="账户互转"))),INT(资金流水!$B$993)*10000+988,"")</f>
      </c>
    </row>
    <row r="994">
      <c r="A994" s="94">
        <f>IF($N994=0,"",987)</f>
      </c>
      <c r="B994" s="95">
        <f t="shared" si="6"/>
      </c>
      <c r="C994" s="96">
        <f t="shared" si="1"/>
      </c>
      <c r="D994" s="21">
        <f t="shared" si="7"/>
      </c>
      <c r="E994" s="21">
        <f t="shared" si="2"/>
      </c>
      <c r="F994" s="48">
        <f t="shared" si="8"/>
      </c>
      <c r="G994" s="94">
        <f t="shared" si="9"/>
      </c>
      <c r="H994" s="94">
        <f t="shared" si="3"/>
      </c>
      <c r="I994" s="96">
        <f t="shared" si="0"/>
      </c>
      <c r="J994" s="94">
        <f t="shared" si="4"/>
      </c>
      <c r="K994" s="94">
        <f t="shared" si="10"/>
      </c>
      <c r="L994" s="96">
        <f t="shared" si="5"/>
      </c>
      <c r="N994" s="2">
        <f>IF(987&gt;$Z$5,0,MOD(SMALL($Z$6:$Z$2005,987),10000))</f>
        <v>0</v>
      </c>
      <c r="O994" s="2">
        <f t="shared" si="11"/>
        <v>0</v>
      </c>
      <c r="Z994" s="2">
        <f>IF(AND(ISNUMBER(资金流水!$B$994),资金流水!$B$994&gt;=$C$4,资金流水!$B$994&lt;=$E$4,OR(资金流水!$C$994=$C$3,AND(资金流水!$AD$994=$C$3,资金流水!$X$994="账户互转"))),INT(资金流水!$B$994)*10000+989,"")</f>
      </c>
    </row>
    <row r="995">
      <c r="A995" s="94">
        <f>IF($N995=0,"",988)</f>
      </c>
      <c r="B995" s="95">
        <f t="shared" si="6"/>
      </c>
      <c r="C995" s="96">
        <f t="shared" si="1"/>
      </c>
      <c r="D995" s="21">
        <f t="shared" si="7"/>
      </c>
      <c r="E995" s="21">
        <f t="shared" si="2"/>
      </c>
      <c r="F995" s="48">
        <f t="shared" si="8"/>
      </c>
      <c r="G995" s="94">
        <f t="shared" si="9"/>
      </c>
      <c r="H995" s="94">
        <f t="shared" si="3"/>
      </c>
      <c r="I995" s="96">
        <f t="shared" si="0"/>
      </c>
      <c r="J995" s="94">
        <f t="shared" si="4"/>
      </c>
      <c r="K995" s="94">
        <f t="shared" si="10"/>
      </c>
      <c r="L995" s="96">
        <f t="shared" si="5"/>
      </c>
      <c r="N995" s="2">
        <f>IF(988&gt;$Z$5,0,MOD(SMALL($Z$6:$Z$2005,988),10000))</f>
        <v>0</v>
      </c>
      <c r="O995" s="2">
        <f t="shared" si="11"/>
        <v>0</v>
      </c>
      <c r="Z995" s="2">
        <f>IF(AND(ISNUMBER(资金流水!$B$995),资金流水!$B$995&gt;=$C$4,资金流水!$B$995&lt;=$E$4,OR(资金流水!$C$995=$C$3,AND(资金流水!$AD$995=$C$3,资金流水!$X$995="账户互转"))),INT(资金流水!$B$995)*10000+990,"")</f>
      </c>
    </row>
    <row r="996">
      <c r="A996" s="94">
        <f>IF($N996=0,"",989)</f>
      </c>
      <c r="B996" s="95">
        <f t="shared" si="6"/>
      </c>
      <c r="C996" s="96">
        <f t="shared" si="1"/>
      </c>
      <c r="D996" s="21">
        <f t="shared" si="7"/>
      </c>
      <c r="E996" s="21">
        <f t="shared" si="2"/>
      </c>
      <c r="F996" s="48">
        <f t="shared" si="8"/>
      </c>
      <c r="G996" s="94">
        <f t="shared" si="9"/>
      </c>
      <c r="H996" s="94">
        <f t="shared" si="3"/>
      </c>
      <c r="I996" s="96">
        <f t="shared" si="0"/>
      </c>
      <c r="J996" s="94">
        <f t="shared" si="4"/>
      </c>
      <c r="K996" s="94">
        <f t="shared" si="10"/>
      </c>
      <c r="L996" s="96">
        <f t="shared" si="5"/>
      </c>
      <c r="N996" s="2">
        <f>IF(989&gt;$Z$5,0,MOD(SMALL($Z$6:$Z$2005,989),10000))</f>
        <v>0</v>
      </c>
      <c r="O996" s="2">
        <f t="shared" si="11"/>
        <v>0</v>
      </c>
      <c r="Z996" s="2">
        <f>IF(AND(ISNUMBER(资金流水!$B$996),资金流水!$B$996&gt;=$C$4,资金流水!$B$996&lt;=$E$4,OR(资金流水!$C$996=$C$3,AND(资金流水!$AD$996=$C$3,资金流水!$X$996="账户互转"))),INT(资金流水!$B$996)*10000+991,"")</f>
      </c>
    </row>
    <row r="997">
      <c r="A997" s="94">
        <f>IF($N997=0,"",990)</f>
      </c>
      <c r="B997" s="95">
        <f t="shared" si="6"/>
      </c>
      <c r="C997" s="96">
        <f t="shared" si="1"/>
      </c>
      <c r="D997" s="21">
        <f t="shared" si="7"/>
      </c>
      <c r="E997" s="21">
        <f t="shared" si="2"/>
      </c>
      <c r="F997" s="48">
        <f t="shared" si="8"/>
      </c>
      <c r="G997" s="94">
        <f t="shared" si="9"/>
      </c>
      <c r="H997" s="94">
        <f t="shared" si="3"/>
      </c>
      <c r="I997" s="96">
        <f t="shared" si="0"/>
      </c>
      <c r="J997" s="94">
        <f t="shared" si="4"/>
      </c>
      <c r="K997" s="94">
        <f t="shared" si="10"/>
      </c>
      <c r="L997" s="96">
        <f t="shared" si="5"/>
      </c>
      <c r="N997" s="2">
        <f>IF(990&gt;$Z$5,0,MOD(SMALL($Z$6:$Z$2005,990),10000))</f>
        <v>0</v>
      </c>
      <c r="O997" s="2">
        <f t="shared" si="11"/>
        <v>0</v>
      </c>
      <c r="Z997" s="2">
        <f>IF(AND(ISNUMBER(资金流水!$B$997),资金流水!$B$997&gt;=$C$4,资金流水!$B$997&lt;=$E$4,OR(资金流水!$C$997=$C$3,AND(资金流水!$AD$997=$C$3,资金流水!$X$997="账户互转"))),INT(资金流水!$B$997)*10000+992,"")</f>
      </c>
    </row>
    <row r="998">
      <c r="A998" s="94">
        <f>IF($N998=0,"",991)</f>
      </c>
      <c r="B998" s="95">
        <f t="shared" si="6"/>
      </c>
      <c r="C998" s="96">
        <f t="shared" si="1"/>
      </c>
      <c r="D998" s="21">
        <f t="shared" si="7"/>
      </c>
      <c r="E998" s="21">
        <f t="shared" si="2"/>
      </c>
      <c r="F998" s="48">
        <f t="shared" si="8"/>
      </c>
      <c r="G998" s="94">
        <f t="shared" si="9"/>
      </c>
      <c r="H998" s="94">
        <f t="shared" si="3"/>
      </c>
      <c r="I998" s="96">
        <f t="shared" si="0"/>
      </c>
      <c r="J998" s="94">
        <f t="shared" si="4"/>
      </c>
      <c r="K998" s="94">
        <f t="shared" si="10"/>
      </c>
      <c r="L998" s="96">
        <f t="shared" si="5"/>
      </c>
      <c r="N998" s="2">
        <f>IF(991&gt;$Z$5,0,MOD(SMALL($Z$6:$Z$2005,991),10000))</f>
        <v>0</v>
      </c>
      <c r="O998" s="2">
        <f t="shared" si="11"/>
        <v>0</v>
      </c>
      <c r="Z998" s="2">
        <f>IF(AND(ISNUMBER(资金流水!$B$998),资金流水!$B$998&gt;=$C$4,资金流水!$B$998&lt;=$E$4,OR(资金流水!$C$998=$C$3,AND(资金流水!$AD$998=$C$3,资金流水!$X$998="账户互转"))),INT(资金流水!$B$998)*10000+993,"")</f>
      </c>
    </row>
    <row r="999">
      <c r="A999" s="94">
        <f>IF($N999=0,"",992)</f>
      </c>
      <c r="B999" s="95">
        <f t="shared" si="6"/>
      </c>
      <c r="C999" s="96">
        <f t="shared" si="1"/>
      </c>
      <c r="D999" s="21">
        <f t="shared" si="7"/>
      </c>
      <c r="E999" s="21">
        <f t="shared" si="2"/>
      </c>
      <c r="F999" s="48">
        <f t="shared" si="8"/>
      </c>
      <c r="G999" s="94">
        <f t="shared" si="9"/>
      </c>
      <c r="H999" s="94">
        <f t="shared" si="3"/>
      </c>
      <c r="I999" s="96">
        <f t="shared" si="0"/>
      </c>
      <c r="J999" s="94">
        <f t="shared" si="4"/>
      </c>
      <c r="K999" s="94">
        <f t="shared" si="10"/>
      </c>
      <c r="L999" s="96">
        <f t="shared" si="5"/>
      </c>
      <c r="N999" s="2">
        <f>IF(992&gt;$Z$5,0,MOD(SMALL($Z$6:$Z$2005,992),10000))</f>
        <v>0</v>
      </c>
      <c r="O999" s="2">
        <f t="shared" si="11"/>
        <v>0</v>
      </c>
      <c r="Z999" s="2">
        <f>IF(AND(ISNUMBER(资金流水!$B$999),资金流水!$B$999&gt;=$C$4,资金流水!$B$999&lt;=$E$4,OR(资金流水!$C$999=$C$3,AND(资金流水!$AD$999=$C$3,资金流水!$X$999="账户互转"))),INT(资金流水!$B$999)*10000+994,"")</f>
      </c>
    </row>
    <row r="1000">
      <c r="A1000" s="94">
        <f>IF($N1000=0,"",993)</f>
      </c>
      <c r="B1000" s="95">
        <f t="shared" si="6"/>
      </c>
      <c r="C1000" s="96">
        <f t="shared" si="1"/>
      </c>
      <c r="D1000" s="21">
        <f t="shared" si="7"/>
      </c>
      <c r="E1000" s="21">
        <f t="shared" si="2"/>
      </c>
      <c r="F1000" s="48">
        <f t="shared" si="8"/>
      </c>
      <c r="G1000" s="94">
        <f t="shared" si="9"/>
      </c>
      <c r="H1000" s="94">
        <f t="shared" si="3"/>
      </c>
      <c r="I1000" s="96">
        <f t="shared" si="0"/>
      </c>
      <c r="J1000" s="94">
        <f t="shared" si="4"/>
      </c>
      <c r="K1000" s="94">
        <f t="shared" si="10"/>
      </c>
      <c r="L1000" s="96">
        <f t="shared" si="5"/>
      </c>
      <c r="N1000" s="2">
        <f>IF(993&gt;$Z$5,0,MOD(SMALL($Z$6:$Z$2005,993),10000))</f>
        <v>0</v>
      </c>
      <c r="O1000" s="2">
        <f t="shared" si="11"/>
        <v>0</v>
      </c>
      <c r="Z1000" s="2">
        <f>IF(AND(ISNUMBER(资金流水!$B$1000),资金流水!$B$1000&gt;=$C$4,资金流水!$B$1000&lt;=$E$4,OR(资金流水!$C$1000=$C$3,AND(资金流水!$AD$1000=$C$3,资金流水!$X$1000="账户互转"))),INT(资金流水!$B$1000)*10000+995,"")</f>
      </c>
    </row>
    <row r="1001">
      <c r="A1001" s="94">
        <f>IF($N1001=0,"",994)</f>
      </c>
      <c r="B1001" s="95">
        <f t="shared" si="6"/>
      </c>
      <c r="C1001" s="96">
        <f t="shared" si="1"/>
      </c>
      <c r="D1001" s="21">
        <f t="shared" si="7"/>
      </c>
      <c r="E1001" s="21">
        <f t="shared" si="2"/>
      </c>
      <c r="F1001" s="48">
        <f t="shared" si="8"/>
      </c>
      <c r="G1001" s="94">
        <f t="shared" si="9"/>
      </c>
      <c r="H1001" s="94">
        <f t="shared" si="3"/>
      </c>
      <c r="I1001" s="96">
        <f t="shared" si="0"/>
      </c>
      <c r="J1001" s="94">
        <f t="shared" si="4"/>
      </c>
      <c r="K1001" s="94">
        <f t="shared" si="10"/>
      </c>
      <c r="L1001" s="96">
        <f t="shared" si="5"/>
      </c>
      <c r="N1001" s="2">
        <f>IF(994&gt;$Z$5,0,MOD(SMALL($Z$6:$Z$2005,994),10000))</f>
        <v>0</v>
      </c>
      <c r="O1001" s="2">
        <f t="shared" si="11"/>
        <v>0</v>
      </c>
      <c r="Z1001" s="2">
        <f>IF(AND(ISNUMBER(资金流水!$B$1001),资金流水!$B$1001&gt;=$C$4,资金流水!$B$1001&lt;=$E$4,OR(资金流水!$C$1001=$C$3,AND(资金流水!$AD$1001=$C$3,资金流水!$X$1001="账户互转"))),INT(资金流水!$B$1001)*10000+996,"")</f>
      </c>
    </row>
    <row r="1002">
      <c r="A1002" s="94">
        <f>IF($N1002=0,"",995)</f>
      </c>
      <c r="B1002" s="95">
        <f t="shared" si="6"/>
      </c>
      <c r="C1002" s="96">
        <f t="shared" si="1"/>
      </c>
      <c r="D1002" s="21">
        <f t="shared" si="7"/>
      </c>
      <c r="E1002" s="21">
        <f t="shared" si="2"/>
      </c>
      <c r="F1002" s="48">
        <f t="shared" si="8"/>
      </c>
      <c r="G1002" s="94">
        <f t="shared" si="9"/>
      </c>
      <c r="H1002" s="94">
        <f t="shared" si="3"/>
      </c>
      <c r="I1002" s="96">
        <f t="shared" si="0"/>
      </c>
      <c r="J1002" s="94">
        <f t="shared" si="4"/>
      </c>
      <c r="K1002" s="94">
        <f t="shared" si="10"/>
      </c>
      <c r="L1002" s="96">
        <f t="shared" si="5"/>
      </c>
      <c r="N1002" s="2">
        <f>IF(995&gt;$Z$5,0,MOD(SMALL($Z$6:$Z$2005,995),10000))</f>
        <v>0</v>
      </c>
      <c r="O1002" s="2">
        <f t="shared" si="11"/>
        <v>0</v>
      </c>
      <c r="Z1002" s="2">
        <f>IF(AND(ISNUMBER(资金流水!$B$1002),资金流水!$B$1002&gt;=$C$4,资金流水!$B$1002&lt;=$E$4,OR(资金流水!$C$1002=$C$3,AND(资金流水!$AD$1002=$C$3,资金流水!$X$1002="账户互转"))),INT(资金流水!$B$1002)*10000+997,"")</f>
      </c>
    </row>
    <row r="1003">
      <c r="A1003" s="94">
        <f>IF($N1003=0,"",996)</f>
      </c>
      <c r="B1003" s="95">
        <f t="shared" si="6"/>
      </c>
      <c r="C1003" s="96">
        <f t="shared" si="1"/>
      </c>
      <c r="D1003" s="21">
        <f t="shared" si="7"/>
      </c>
      <c r="E1003" s="21">
        <f t="shared" si="2"/>
      </c>
      <c r="F1003" s="48">
        <f t="shared" si="8"/>
      </c>
      <c r="G1003" s="94">
        <f t="shared" si="9"/>
      </c>
      <c r="H1003" s="94">
        <f t="shared" si="3"/>
      </c>
      <c r="I1003" s="96">
        <f t="shared" si="0"/>
      </c>
      <c r="J1003" s="94">
        <f t="shared" si="4"/>
      </c>
      <c r="K1003" s="94">
        <f t="shared" si="10"/>
      </c>
      <c r="L1003" s="96">
        <f t="shared" si="5"/>
      </c>
      <c r="N1003" s="2">
        <f>IF(996&gt;$Z$5,0,MOD(SMALL($Z$6:$Z$2005,996),10000))</f>
        <v>0</v>
      </c>
      <c r="O1003" s="2">
        <f t="shared" si="11"/>
        <v>0</v>
      </c>
      <c r="Z1003" s="2">
        <f>IF(AND(ISNUMBER(资金流水!$B$1003),资金流水!$B$1003&gt;=$C$4,资金流水!$B$1003&lt;=$E$4,OR(资金流水!$C$1003=$C$3,AND(资金流水!$AD$1003=$C$3,资金流水!$X$1003="账户互转"))),INT(资金流水!$B$1003)*10000+998,"")</f>
      </c>
    </row>
    <row r="1004">
      <c r="A1004" s="94">
        <f>IF($N1004=0,"",997)</f>
      </c>
      <c r="B1004" s="95">
        <f t="shared" si="6"/>
      </c>
      <c r="C1004" s="96">
        <f t="shared" si="1"/>
      </c>
      <c r="D1004" s="21">
        <f t="shared" si="7"/>
      </c>
      <c r="E1004" s="21">
        <f t="shared" si="2"/>
      </c>
      <c r="F1004" s="48">
        <f t="shared" si="8"/>
      </c>
      <c r="G1004" s="94">
        <f t="shared" si="9"/>
      </c>
      <c r="H1004" s="94">
        <f t="shared" si="3"/>
      </c>
      <c r="I1004" s="96">
        <f t="shared" si="0"/>
      </c>
      <c r="J1004" s="94">
        <f t="shared" si="4"/>
      </c>
      <c r="K1004" s="94">
        <f t="shared" si="10"/>
      </c>
      <c r="L1004" s="96">
        <f t="shared" si="5"/>
      </c>
      <c r="N1004" s="2">
        <f>IF(997&gt;$Z$5,0,MOD(SMALL($Z$6:$Z$2005,997),10000))</f>
        <v>0</v>
      </c>
      <c r="O1004" s="2">
        <f t="shared" si="11"/>
        <v>0</v>
      </c>
      <c r="Z1004" s="2">
        <f>IF(AND(ISNUMBER(资金流水!$B$1004),资金流水!$B$1004&gt;=$C$4,资金流水!$B$1004&lt;=$E$4,OR(资金流水!$C$1004=$C$3,AND(资金流水!$AD$1004=$C$3,资金流水!$X$1004="账户互转"))),INT(资金流水!$B$1004)*10000+999,"")</f>
      </c>
    </row>
    <row r="1005">
      <c r="A1005" s="94">
        <f>IF($N1005=0,"",998)</f>
      </c>
      <c r="B1005" s="95">
        <f t="shared" si="6"/>
      </c>
      <c r="C1005" s="96">
        <f t="shared" si="1"/>
      </c>
      <c r="D1005" s="21">
        <f t="shared" si="7"/>
      </c>
      <c r="E1005" s="21">
        <f t="shared" si="2"/>
      </c>
      <c r="F1005" s="48">
        <f t="shared" si="8"/>
      </c>
      <c r="G1005" s="94">
        <f t="shared" si="9"/>
      </c>
      <c r="H1005" s="94">
        <f t="shared" si="3"/>
      </c>
      <c r="I1005" s="96">
        <f t="shared" si="0"/>
      </c>
      <c r="J1005" s="94">
        <f t="shared" si="4"/>
      </c>
      <c r="K1005" s="94">
        <f t="shared" si="10"/>
      </c>
      <c r="L1005" s="96">
        <f t="shared" si="5"/>
      </c>
      <c r="N1005" s="2">
        <f>IF(998&gt;$Z$5,0,MOD(SMALL($Z$6:$Z$2005,998),10000))</f>
        <v>0</v>
      </c>
      <c r="O1005" s="2">
        <f t="shared" si="11"/>
        <v>0</v>
      </c>
      <c r="Z1005" s="2">
        <f>IF(AND(ISNUMBER(资金流水!$B$1005),资金流水!$B$1005&gt;=$C$4,资金流水!$B$1005&lt;=$E$4,OR(资金流水!$C$1005=$C$3,AND(资金流水!$AD$1005=$C$3,资金流水!$X$1005="账户互转"))),INT(资金流水!$B$1005)*10000+1000,"")</f>
      </c>
    </row>
    <row r="1006">
      <c r="A1006" s="94">
        <f>IF($N1006=0,"",999)</f>
      </c>
      <c r="B1006" s="95">
        <f t="shared" si="6"/>
      </c>
      <c r="C1006" s="96">
        <f t="shared" si="1"/>
      </c>
      <c r="D1006" s="21">
        <f t="shared" si="7"/>
      </c>
      <c r="E1006" s="21">
        <f t="shared" si="2"/>
      </c>
      <c r="F1006" s="48">
        <f t="shared" si="8"/>
      </c>
      <c r="G1006" s="94">
        <f t="shared" si="9"/>
      </c>
      <c r="H1006" s="94">
        <f t="shared" si="3"/>
      </c>
      <c r="I1006" s="96">
        <f t="shared" si="0"/>
      </c>
      <c r="J1006" s="94">
        <f t="shared" si="4"/>
      </c>
      <c r="K1006" s="94">
        <f t="shared" si="10"/>
      </c>
      <c r="L1006" s="96">
        <f t="shared" si="5"/>
      </c>
      <c r="N1006" s="2">
        <f>IF(999&gt;$Z$5,0,MOD(SMALL($Z$6:$Z$2005,999),10000))</f>
        <v>0</v>
      </c>
      <c r="O1006" s="2">
        <f t="shared" si="11"/>
        <v>0</v>
      </c>
      <c r="Z1006" s="2">
        <f>IF(AND(ISNUMBER(资金流水!$B$1006),资金流水!$B$1006&gt;=$C$4,资金流水!$B$1006&lt;=$E$4,OR(资金流水!$C$1006=$C$3,AND(资金流水!$AD$1006=$C$3,资金流水!$X$1006="账户互转"))),INT(资金流水!$B$1006)*10000+1001,"")</f>
      </c>
    </row>
    <row r="1007">
      <c r="A1007" s="94">
        <f>IF($N1007=0,"",1000)</f>
      </c>
      <c r="B1007" s="95">
        <f t="shared" si="6"/>
      </c>
      <c r="C1007" s="96">
        <f t="shared" si="1"/>
      </c>
      <c r="D1007" s="21">
        <f t="shared" si="7"/>
      </c>
      <c r="E1007" s="21">
        <f t="shared" si="2"/>
      </c>
      <c r="F1007" s="48">
        <f t="shared" si="8"/>
      </c>
      <c r="G1007" s="94">
        <f t="shared" si="9"/>
      </c>
      <c r="H1007" s="94">
        <f t="shared" si="3"/>
      </c>
      <c r="I1007" s="96">
        <f t="shared" si="0"/>
      </c>
      <c r="J1007" s="94">
        <f t="shared" si="4"/>
      </c>
      <c r="K1007" s="94">
        <f t="shared" si="10"/>
      </c>
      <c r="L1007" s="96">
        <f t="shared" si="5"/>
      </c>
      <c r="N1007" s="2">
        <f>IF(1000&gt;$Z$5,0,MOD(SMALL($Z$6:$Z$2005,1000),10000))</f>
        <v>0</v>
      </c>
      <c r="O1007" s="2">
        <f t="shared" si="11"/>
        <v>0</v>
      </c>
      <c r="Z1007" s="2">
        <f>IF(AND(ISNUMBER(资金流水!$B$1007),资金流水!$B$1007&gt;=$C$4,资金流水!$B$1007&lt;=$E$4,OR(资金流水!$C$1007=$C$3,AND(资金流水!$AD$1007=$C$3,资金流水!$X$1007="账户互转"))),INT(资金流水!$B$1007)*10000+1002,"")</f>
      </c>
    </row>
    <row r="1008">
      <c r="Z1008" s="2">
        <f>IF(AND(ISNUMBER(资金流水!$B$1008),资金流水!$B$1008&gt;=$C$4,资金流水!$B$1008&lt;=$E$4,OR(资金流水!$C$1008=$C$3,AND(资金流水!$AD$1008=$C$3,资金流水!$X$1008="账户互转"))),INT(资金流水!$B$1008)*10000+1003,"")</f>
      </c>
    </row>
    <row r="1009">
      <c r="Z1009" s="2">
        <f>IF(AND(ISNUMBER(资金流水!$B$1009),资金流水!$B$1009&gt;=$C$4,资金流水!$B$1009&lt;=$E$4,OR(资金流水!$C$1009=$C$3,AND(资金流水!$AD$1009=$C$3,资金流水!$X$1009="账户互转"))),INT(资金流水!$B$1009)*10000+1004,"")</f>
      </c>
    </row>
    <row r="1010">
      <c r="Z1010" s="2">
        <f>IF(AND(ISNUMBER(资金流水!$B$1010),资金流水!$B$1010&gt;=$C$4,资金流水!$B$1010&lt;=$E$4,OR(资金流水!$C$1010=$C$3,AND(资金流水!$AD$1010=$C$3,资金流水!$X$1010="账户互转"))),INT(资金流水!$B$1010)*10000+1005,"")</f>
      </c>
    </row>
    <row r="1011">
      <c r="Z1011" s="2">
        <f>IF(AND(ISNUMBER(资金流水!$B$1011),资金流水!$B$1011&gt;=$C$4,资金流水!$B$1011&lt;=$E$4,OR(资金流水!$C$1011=$C$3,AND(资金流水!$AD$1011=$C$3,资金流水!$X$1011="账户互转"))),INT(资金流水!$B$1011)*10000+1006,"")</f>
      </c>
    </row>
    <row r="1012">
      <c r="Z1012" s="2">
        <f>IF(AND(ISNUMBER(资金流水!$B$1012),资金流水!$B$1012&gt;=$C$4,资金流水!$B$1012&lt;=$E$4,OR(资金流水!$C$1012=$C$3,AND(资金流水!$AD$1012=$C$3,资金流水!$X$1012="账户互转"))),INT(资金流水!$B$1012)*10000+1007,"")</f>
      </c>
    </row>
    <row r="1013">
      <c r="Z1013" s="2">
        <f>IF(AND(ISNUMBER(资金流水!$B$1013),资金流水!$B$1013&gt;=$C$4,资金流水!$B$1013&lt;=$E$4,OR(资金流水!$C$1013=$C$3,AND(资金流水!$AD$1013=$C$3,资金流水!$X$1013="账户互转"))),INT(资金流水!$B$1013)*10000+1008,"")</f>
      </c>
    </row>
    <row r="1014">
      <c r="Z1014" s="2">
        <f>IF(AND(ISNUMBER(资金流水!$B$1014),资金流水!$B$1014&gt;=$C$4,资金流水!$B$1014&lt;=$E$4,OR(资金流水!$C$1014=$C$3,AND(资金流水!$AD$1014=$C$3,资金流水!$X$1014="账户互转"))),INT(资金流水!$B$1014)*10000+1009,"")</f>
      </c>
    </row>
    <row r="1015">
      <c r="Z1015" s="2">
        <f>IF(AND(ISNUMBER(资金流水!$B$1015),资金流水!$B$1015&gt;=$C$4,资金流水!$B$1015&lt;=$E$4,OR(资金流水!$C$1015=$C$3,AND(资金流水!$AD$1015=$C$3,资金流水!$X$1015="账户互转"))),INT(资金流水!$B$1015)*10000+1010,"")</f>
      </c>
    </row>
    <row r="1016">
      <c r="Z1016" s="2">
        <f>IF(AND(ISNUMBER(资金流水!$B$1016),资金流水!$B$1016&gt;=$C$4,资金流水!$B$1016&lt;=$E$4,OR(资金流水!$C$1016=$C$3,AND(资金流水!$AD$1016=$C$3,资金流水!$X$1016="账户互转"))),INT(资金流水!$B$1016)*10000+1011,"")</f>
      </c>
    </row>
    <row r="1017">
      <c r="Z1017" s="2">
        <f>IF(AND(ISNUMBER(资金流水!$B$1017),资金流水!$B$1017&gt;=$C$4,资金流水!$B$1017&lt;=$E$4,OR(资金流水!$C$1017=$C$3,AND(资金流水!$AD$1017=$C$3,资金流水!$X$1017="账户互转"))),INT(资金流水!$B$1017)*10000+1012,"")</f>
      </c>
    </row>
    <row r="1018">
      <c r="Z1018" s="2">
        <f>IF(AND(ISNUMBER(资金流水!$B$1018),资金流水!$B$1018&gt;=$C$4,资金流水!$B$1018&lt;=$E$4,OR(资金流水!$C$1018=$C$3,AND(资金流水!$AD$1018=$C$3,资金流水!$X$1018="账户互转"))),INT(资金流水!$B$1018)*10000+1013,"")</f>
      </c>
    </row>
    <row r="1019">
      <c r="Z1019" s="2">
        <f>IF(AND(ISNUMBER(资金流水!$B$1019),资金流水!$B$1019&gt;=$C$4,资金流水!$B$1019&lt;=$E$4,OR(资金流水!$C$1019=$C$3,AND(资金流水!$AD$1019=$C$3,资金流水!$X$1019="账户互转"))),INT(资金流水!$B$1019)*10000+1014,"")</f>
      </c>
    </row>
    <row r="1020">
      <c r="Z1020" s="2">
        <f>IF(AND(ISNUMBER(资金流水!$B$1020),资金流水!$B$1020&gt;=$C$4,资金流水!$B$1020&lt;=$E$4,OR(资金流水!$C$1020=$C$3,AND(资金流水!$AD$1020=$C$3,资金流水!$X$1020="账户互转"))),INT(资金流水!$B$1020)*10000+1015,"")</f>
      </c>
    </row>
    <row r="1021">
      <c r="Z1021" s="2">
        <f>IF(AND(ISNUMBER(资金流水!$B$1021),资金流水!$B$1021&gt;=$C$4,资金流水!$B$1021&lt;=$E$4,OR(资金流水!$C$1021=$C$3,AND(资金流水!$AD$1021=$C$3,资金流水!$X$1021="账户互转"))),INT(资金流水!$B$1021)*10000+1016,"")</f>
      </c>
    </row>
    <row r="1022">
      <c r="Z1022" s="2">
        <f>IF(AND(ISNUMBER(资金流水!$B$1022),资金流水!$B$1022&gt;=$C$4,资金流水!$B$1022&lt;=$E$4,OR(资金流水!$C$1022=$C$3,AND(资金流水!$AD$1022=$C$3,资金流水!$X$1022="账户互转"))),INT(资金流水!$B$1022)*10000+1017,"")</f>
      </c>
    </row>
    <row r="1023">
      <c r="Z1023" s="2">
        <f>IF(AND(ISNUMBER(资金流水!$B$1023),资金流水!$B$1023&gt;=$C$4,资金流水!$B$1023&lt;=$E$4,OR(资金流水!$C$1023=$C$3,AND(资金流水!$AD$1023=$C$3,资金流水!$X$1023="账户互转"))),INT(资金流水!$B$1023)*10000+1018,"")</f>
      </c>
    </row>
    <row r="1024">
      <c r="Z1024" s="2">
        <f>IF(AND(ISNUMBER(资金流水!$B$1024),资金流水!$B$1024&gt;=$C$4,资金流水!$B$1024&lt;=$E$4,OR(资金流水!$C$1024=$C$3,AND(资金流水!$AD$1024=$C$3,资金流水!$X$1024="账户互转"))),INT(资金流水!$B$1024)*10000+1019,"")</f>
      </c>
    </row>
    <row r="1025">
      <c r="Z1025" s="2">
        <f>IF(AND(ISNUMBER(资金流水!$B$1025),资金流水!$B$1025&gt;=$C$4,资金流水!$B$1025&lt;=$E$4,OR(资金流水!$C$1025=$C$3,AND(资金流水!$AD$1025=$C$3,资金流水!$X$1025="账户互转"))),INT(资金流水!$B$1025)*10000+1020,"")</f>
      </c>
    </row>
    <row r="1026">
      <c r="Z1026" s="2">
        <f>IF(AND(ISNUMBER(资金流水!$B$1026),资金流水!$B$1026&gt;=$C$4,资金流水!$B$1026&lt;=$E$4,OR(资金流水!$C$1026=$C$3,AND(资金流水!$AD$1026=$C$3,资金流水!$X$1026="账户互转"))),INT(资金流水!$B$1026)*10000+1021,"")</f>
      </c>
    </row>
    <row r="1027">
      <c r="Z1027" s="2">
        <f>IF(AND(ISNUMBER(资金流水!$B$1027),资金流水!$B$1027&gt;=$C$4,资金流水!$B$1027&lt;=$E$4,OR(资金流水!$C$1027=$C$3,AND(资金流水!$AD$1027=$C$3,资金流水!$X$1027="账户互转"))),INT(资金流水!$B$1027)*10000+1022,"")</f>
      </c>
    </row>
    <row r="1028">
      <c r="Z1028" s="2">
        <f>IF(AND(ISNUMBER(资金流水!$B$1028),资金流水!$B$1028&gt;=$C$4,资金流水!$B$1028&lt;=$E$4,OR(资金流水!$C$1028=$C$3,AND(资金流水!$AD$1028=$C$3,资金流水!$X$1028="账户互转"))),INT(资金流水!$B$1028)*10000+1023,"")</f>
      </c>
    </row>
    <row r="1029">
      <c r="Z1029" s="2">
        <f>IF(AND(ISNUMBER(资金流水!$B$1029),资金流水!$B$1029&gt;=$C$4,资金流水!$B$1029&lt;=$E$4,OR(资金流水!$C$1029=$C$3,AND(资金流水!$AD$1029=$C$3,资金流水!$X$1029="账户互转"))),INT(资金流水!$B$1029)*10000+1024,"")</f>
      </c>
    </row>
    <row r="1030">
      <c r="Z1030" s="2">
        <f>IF(AND(ISNUMBER(资金流水!$B$1030),资金流水!$B$1030&gt;=$C$4,资金流水!$B$1030&lt;=$E$4,OR(资金流水!$C$1030=$C$3,AND(资金流水!$AD$1030=$C$3,资金流水!$X$1030="账户互转"))),INT(资金流水!$B$1030)*10000+1025,"")</f>
      </c>
    </row>
    <row r="1031">
      <c r="Z1031" s="2">
        <f>IF(AND(ISNUMBER(资金流水!$B$1031),资金流水!$B$1031&gt;=$C$4,资金流水!$B$1031&lt;=$E$4,OR(资金流水!$C$1031=$C$3,AND(资金流水!$AD$1031=$C$3,资金流水!$X$1031="账户互转"))),INT(资金流水!$B$1031)*10000+1026,"")</f>
      </c>
    </row>
    <row r="1032">
      <c r="Z1032" s="2">
        <f>IF(AND(ISNUMBER(资金流水!$B$1032),资金流水!$B$1032&gt;=$C$4,资金流水!$B$1032&lt;=$E$4,OR(资金流水!$C$1032=$C$3,AND(资金流水!$AD$1032=$C$3,资金流水!$X$1032="账户互转"))),INT(资金流水!$B$1032)*10000+1027,"")</f>
      </c>
    </row>
    <row r="1033">
      <c r="Z1033" s="2">
        <f>IF(AND(ISNUMBER(资金流水!$B$1033),资金流水!$B$1033&gt;=$C$4,资金流水!$B$1033&lt;=$E$4,OR(资金流水!$C$1033=$C$3,AND(资金流水!$AD$1033=$C$3,资金流水!$X$1033="账户互转"))),INT(资金流水!$B$1033)*10000+1028,"")</f>
      </c>
    </row>
    <row r="1034">
      <c r="Z1034" s="2">
        <f>IF(AND(ISNUMBER(资金流水!$B$1034),资金流水!$B$1034&gt;=$C$4,资金流水!$B$1034&lt;=$E$4,OR(资金流水!$C$1034=$C$3,AND(资金流水!$AD$1034=$C$3,资金流水!$X$1034="账户互转"))),INT(资金流水!$B$1034)*10000+1029,"")</f>
      </c>
    </row>
    <row r="1035">
      <c r="Z1035" s="2">
        <f>IF(AND(ISNUMBER(资金流水!$B$1035),资金流水!$B$1035&gt;=$C$4,资金流水!$B$1035&lt;=$E$4,OR(资金流水!$C$1035=$C$3,AND(资金流水!$AD$1035=$C$3,资金流水!$X$1035="账户互转"))),INT(资金流水!$B$1035)*10000+1030,"")</f>
      </c>
    </row>
    <row r="1036">
      <c r="Z1036" s="2">
        <f>IF(AND(ISNUMBER(资金流水!$B$1036),资金流水!$B$1036&gt;=$C$4,资金流水!$B$1036&lt;=$E$4,OR(资金流水!$C$1036=$C$3,AND(资金流水!$AD$1036=$C$3,资金流水!$X$1036="账户互转"))),INT(资金流水!$B$1036)*10000+1031,"")</f>
      </c>
    </row>
    <row r="1037">
      <c r="Z1037" s="2">
        <f>IF(AND(ISNUMBER(资金流水!$B$1037),资金流水!$B$1037&gt;=$C$4,资金流水!$B$1037&lt;=$E$4,OR(资金流水!$C$1037=$C$3,AND(资金流水!$AD$1037=$C$3,资金流水!$X$1037="账户互转"))),INT(资金流水!$B$1037)*10000+1032,"")</f>
      </c>
    </row>
    <row r="1038">
      <c r="Z1038" s="2">
        <f>IF(AND(ISNUMBER(资金流水!$B$1038),资金流水!$B$1038&gt;=$C$4,资金流水!$B$1038&lt;=$E$4,OR(资金流水!$C$1038=$C$3,AND(资金流水!$AD$1038=$C$3,资金流水!$X$1038="账户互转"))),INT(资金流水!$B$1038)*10000+1033,"")</f>
      </c>
    </row>
    <row r="1039">
      <c r="Z1039" s="2">
        <f>IF(AND(ISNUMBER(资金流水!$B$1039),资金流水!$B$1039&gt;=$C$4,资金流水!$B$1039&lt;=$E$4,OR(资金流水!$C$1039=$C$3,AND(资金流水!$AD$1039=$C$3,资金流水!$X$1039="账户互转"))),INT(资金流水!$B$1039)*10000+1034,"")</f>
      </c>
    </row>
    <row r="1040">
      <c r="Z1040" s="2">
        <f>IF(AND(ISNUMBER(资金流水!$B$1040),资金流水!$B$1040&gt;=$C$4,资金流水!$B$1040&lt;=$E$4,OR(资金流水!$C$1040=$C$3,AND(资金流水!$AD$1040=$C$3,资金流水!$X$1040="账户互转"))),INT(资金流水!$B$1040)*10000+1035,"")</f>
      </c>
    </row>
    <row r="1041">
      <c r="Z1041" s="2">
        <f>IF(AND(ISNUMBER(资金流水!$B$1041),资金流水!$B$1041&gt;=$C$4,资金流水!$B$1041&lt;=$E$4,OR(资金流水!$C$1041=$C$3,AND(资金流水!$AD$1041=$C$3,资金流水!$X$1041="账户互转"))),INT(资金流水!$B$1041)*10000+1036,"")</f>
      </c>
    </row>
    <row r="1042">
      <c r="Z1042" s="2">
        <f>IF(AND(ISNUMBER(资金流水!$B$1042),资金流水!$B$1042&gt;=$C$4,资金流水!$B$1042&lt;=$E$4,OR(资金流水!$C$1042=$C$3,AND(资金流水!$AD$1042=$C$3,资金流水!$X$1042="账户互转"))),INT(资金流水!$B$1042)*10000+1037,"")</f>
      </c>
    </row>
    <row r="1043">
      <c r="Z1043" s="2">
        <f>IF(AND(ISNUMBER(资金流水!$B$1043),资金流水!$B$1043&gt;=$C$4,资金流水!$B$1043&lt;=$E$4,OR(资金流水!$C$1043=$C$3,AND(资金流水!$AD$1043=$C$3,资金流水!$X$1043="账户互转"))),INT(资金流水!$B$1043)*10000+1038,"")</f>
      </c>
    </row>
    <row r="1044">
      <c r="Z1044" s="2">
        <f>IF(AND(ISNUMBER(资金流水!$B$1044),资金流水!$B$1044&gt;=$C$4,资金流水!$B$1044&lt;=$E$4,OR(资金流水!$C$1044=$C$3,AND(资金流水!$AD$1044=$C$3,资金流水!$X$1044="账户互转"))),INT(资金流水!$B$1044)*10000+1039,"")</f>
      </c>
    </row>
    <row r="1045">
      <c r="Z1045" s="2">
        <f>IF(AND(ISNUMBER(资金流水!$B$1045),资金流水!$B$1045&gt;=$C$4,资金流水!$B$1045&lt;=$E$4,OR(资金流水!$C$1045=$C$3,AND(资金流水!$AD$1045=$C$3,资金流水!$X$1045="账户互转"))),INT(资金流水!$B$1045)*10000+1040,"")</f>
      </c>
    </row>
    <row r="1046">
      <c r="Z1046" s="2">
        <f>IF(AND(ISNUMBER(资金流水!$B$1046),资金流水!$B$1046&gt;=$C$4,资金流水!$B$1046&lt;=$E$4,OR(资金流水!$C$1046=$C$3,AND(资金流水!$AD$1046=$C$3,资金流水!$X$1046="账户互转"))),INT(资金流水!$B$1046)*10000+1041,"")</f>
      </c>
    </row>
    <row r="1047">
      <c r="Z1047" s="2">
        <f>IF(AND(ISNUMBER(资金流水!$B$1047),资金流水!$B$1047&gt;=$C$4,资金流水!$B$1047&lt;=$E$4,OR(资金流水!$C$1047=$C$3,AND(资金流水!$AD$1047=$C$3,资金流水!$X$1047="账户互转"))),INT(资金流水!$B$1047)*10000+1042,"")</f>
      </c>
    </row>
    <row r="1048">
      <c r="Z1048" s="2">
        <f>IF(AND(ISNUMBER(资金流水!$B$1048),资金流水!$B$1048&gt;=$C$4,资金流水!$B$1048&lt;=$E$4,OR(资金流水!$C$1048=$C$3,AND(资金流水!$AD$1048=$C$3,资金流水!$X$1048="账户互转"))),INT(资金流水!$B$1048)*10000+1043,"")</f>
      </c>
    </row>
    <row r="1049">
      <c r="Z1049" s="2">
        <f>IF(AND(ISNUMBER(资金流水!$B$1049),资金流水!$B$1049&gt;=$C$4,资金流水!$B$1049&lt;=$E$4,OR(资金流水!$C$1049=$C$3,AND(资金流水!$AD$1049=$C$3,资金流水!$X$1049="账户互转"))),INT(资金流水!$B$1049)*10000+1044,"")</f>
      </c>
    </row>
    <row r="1050">
      <c r="Z1050" s="2">
        <f>IF(AND(ISNUMBER(资金流水!$B$1050),资金流水!$B$1050&gt;=$C$4,资金流水!$B$1050&lt;=$E$4,OR(资金流水!$C$1050=$C$3,AND(资金流水!$AD$1050=$C$3,资金流水!$X$1050="账户互转"))),INT(资金流水!$B$1050)*10000+1045,"")</f>
      </c>
    </row>
    <row r="1051">
      <c r="Z1051" s="2">
        <f>IF(AND(ISNUMBER(资金流水!$B$1051),资金流水!$B$1051&gt;=$C$4,资金流水!$B$1051&lt;=$E$4,OR(资金流水!$C$1051=$C$3,AND(资金流水!$AD$1051=$C$3,资金流水!$X$1051="账户互转"))),INT(资金流水!$B$1051)*10000+1046,"")</f>
      </c>
    </row>
    <row r="1052">
      <c r="Z1052" s="2">
        <f>IF(AND(ISNUMBER(资金流水!$B$1052),资金流水!$B$1052&gt;=$C$4,资金流水!$B$1052&lt;=$E$4,OR(资金流水!$C$1052=$C$3,AND(资金流水!$AD$1052=$C$3,资金流水!$X$1052="账户互转"))),INT(资金流水!$B$1052)*10000+1047,"")</f>
      </c>
    </row>
    <row r="1053">
      <c r="Z1053" s="2">
        <f>IF(AND(ISNUMBER(资金流水!$B$1053),资金流水!$B$1053&gt;=$C$4,资金流水!$B$1053&lt;=$E$4,OR(资金流水!$C$1053=$C$3,AND(资金流水!$AD$1053=$C$3,资金流水!$X$1053="账户互转"))),INT(资金流水!$B$1053)*10000+1048,"")</f>
      </c>
    </row>
    <row r="1054">
      <c r="Z1054" s="2">
        <f>IF(AND(ISNUMBER(资金流水!$B$1054),资金流水!$B$1054&gt;=$C$4,资金流水!$B$1054&lt;=$E$4,OR(资金流水!$C$1054=$C$3,AND(资金流水!$AD$1054=$C$3,资金流水!$X$1054="账户互转"))),INT(资金流水!$B$1054)*10000+1049,"")</f>
      </c>
    </row>
    <row r="1055">
      <c r="Z1055" s="2">
        <f>IF(AND(ISNUMBER(资金流水!$B$1055),资金流水!$B$1055&gt;=$C$4,资金流水!$B$1055&lt;=$E$4,OR(资金流水!$C$1055=$C$3,AND(资金流水!$AD$1055=$C$3,资金流水!$X$1055="账户互转"))),INT(资金流水!$B$1055)*10000+1050,"")</f>
      </c>
    </row>
    <row r="1056">
      <c r="Z1056" s="2">
        <f>IF(AND(ISNUMBER(资金流水!$B$1056),资金流水!$B$1056&gt;=$C$4,资金流水!$B$1056&lt;=$E$4,OR(资金流水!$C$1056=$C$3,AND(资金流水!$AD$1056=$C$3,资金流水!$X$1056="账户互转"))),INT(资金流水!$B$1056)*10000+1051,"")</f>
      </c>
    </row>
    <row r="1057">
      <c r="Z1057" s="2">
        <f>IF(AND(ISNUMBER(资金流水!$B$1057),资金流水!$B$1057&gt;=$C$4,资金流水!$B$1057&lt;=$E$4,OR(资金流水!$C$1057=$C$3,AND(资金流水!$AD$1057=$C$3,资金流水!$X$1057="账户互转"))),INT(资金流水!$B$1057)*10000+1052,"")</f>
      </c>
    </row>
    <row r="1058">
      <c r="Z1058" s="2">
        <f>IF(AND(ISNUMBER(资金流水!$B$1058),资金流水!$B$1058&gt;=$C$4,资金流水!$B$1058&lt;=$E$4,OR(资金流水!$C$1058=$C$3,AND(资金流水!$AD$1058=$C$3,资金流水!$X$1058="账户互转"))),INT(资金流水!$B$1058)*10000+1053,"")</f>
      </c>
    </row>
    <row r="1059">
      <c r="Z1059" s="2">
        <f>IF(AND(ISNUMBER(资金流水!$B$1059),资金流水!$B$1059&gt;=$C$4,资金流水!$B$1059&lt;=$E$4,OR(资金流水!$C$1059=$C$3,AND(资金流水!$AD$1059=$C$3,资金流水!$X$1059="账户互转"))),INT(资金流水!$B$1059)*10000+1054,"")</f>
      </c>
    </row>
    <row r="1060">
      <c r="Z1060" s="2">
        <f>IF(AND(ISNUMBER(资金流水!$B$1060),资金流水!$B$1060&gt;=$C$4,资金流水!$B$1060&lt;=$E$4,OR(资金流水!$C$1060=$C$3,AND(资金流水!$AD$1060=$C$3,资金流水!$X$1060="账户互转"))),INT(资金流水!$B$1060)*10000+1055,"")</f>
      </c>
    </row>
    <row r="1061">
      <c r="Z1061" s="2">
        <f>IF(AND(ISNUMBER(资金流水!$B$1061),资金流水!$B$1061&gt;=$C$4,资金流水!$B$1061&lt;=$E$4,OR(资金流水!$C$1061=$C$3,AND(资金流水!$AD$1061=$C$3,资金流水!$X$1061="账户互转"))),INT(资金流水!$B$1061)*10000+1056,"")</f>
      </c>
    </row>
    <row r="1062">
      <c r="Z1062" s="2">
        <f>IF(AND(ISNUMBER(资金流水!$B$1062),资金流水!$B$1062&gt;=$C$4,资金流水!$B$1062&lt;=$E$4,OR(资金流水!$C$1062=$C$3,AND(资金流水!$AD$1062=$C$3,资金流水!$X$1062="账户互转"))),INT(资金流水!$B$1062)*10000+1057,"")</f>
      </c>
    </row>
    <row r="1063">
      <c r="Z1063" s="2">
        <f>IF(AND(ISNUMBER(资金流水!$B$1063),资金流水!$B$1063&gt;=$C$4,资金流水!$B$1063&lt;=$E$4,OR(资金流水!$C$1063=$C$3,AND(资金流水!$AD$1063=$C$3,资金流水!$X$1063="账户互转"))),INT(资金流水!$B$1063)*10000+1058,"")</f>
      </c>
    </row>
    <row r="1064">
      <c r="Z1064" s="2">
        <f>IF(AND(ISNUMBER(资金流水!$B$1064),资金流水!$B$1064&gt;=$C$4,资金流水!$B$1064&lt;=$E$4,OR(资金流水!$C$1064=$C$3,AND(资金流水!$AD$1064=$C$3,资金流水!$X$1064="账户互转"))),INT(资金流水!$B$1064)*10000+1059,"")</f>
      </c>
    </row>
    <row r="1065">
      <c r="Z1065" s="2">
        <f>IF(AND(ISNUMBER(资金流水!$B$1065),资金流水!$B$1065&gt;=$C$4,资金流水!$B$1065&lt;=$E$4,OR(资金流水!$C$1065=$C$3,AND(资金流水!$AD$1065=$C$3,资金流水!$X$1065="账户互转"))),INT(资金流水!$B$1065)*10000+1060,"")</f>
      </c>
    </row>
    <row r="1066">
      <c r="Z1066" s="2">
        <f>IF(AND(ISNUMBER(资金流水!$B$1066),资金流水!$B$1066&gt;=$C$4,资金流水!$B$1066&lt;=$E$4,OR(资金流水!$C$1066=$C$3,AND(资金流水!$AD$1066=$C$3,资金流水!$X$1066="账户互转"))),INT(资金流水!$B$1066)*10000+1061,"")</f>
      </c>
    </row>
    <row r="1067">
      <c r="Z1067" s="2">
        <f>IF(AND(ISNUMBER(资金流水!$B$1067),资金流水!$B$1067&gt;=$C$4,资金流水!$B$1067&lt;=$E$4,OR(资金流水!$C$1067=$C$3,AND(资金流水!$AD$1067=$C$3,资金流水!$X$1067="账户互转"))),INT(资金流水!$B$1067)*10000+1062,"")</f>
      </c>
    </row>
    <row r="1068">
      <c r="Z1068" s="2">
        <f>IF(AND(ISNUMBER(资金流水!$B$1068),资金流水!$B$1068&gt;=$C$4,资金流水!$B$1068&lt;=$E$4,OR(资金流水!$C$1068=$C$3,AND(资金流水!$AD$1068=$C$3,资金流水!$X$1068="账户互转"))),INT(资金流水!$B$1068)*10000+1063,"")</f>
      </c>
    </row>
    <row r="1069">
      <c r="Z1069" s="2">
        <f>IF(AND(ISNUMBER(资金流水!$B$1069),资金流水!$B$1069&gt;=$C$4,资金流水!$B$1069&lt;=$E$4,OR(资金流水!$C$1069=$C$3,AND(资金流水!$AD$1069=$C$3,资金流水!$X$1069="账户互转"))),INT(资金流水!$B$1069)*10000+1064,"")</f>
      </c>
    </row>
    <row r="1070">
      <c r="Z1070" s="2">
        <f>IF(AND(ISNUMBER(资金流水!$B$1070),资金流水!$B$1070&gt;=$C$4,资金流水!$B$1070&lt;=$E$4,OR(资金流水!$C$1070=$C$3,AND(资金流水!$AD$1070=$C$3,资金流水!$X$1070="账户互转"))),INT(资金流水!$B$1070)*10000+1065,"")</f>
      </c>
    </row>
    <row r="1071">
      <c r="Z1071" s="2">
        <f>IF(AND(ISNUMBER(资金流水!$B$1071),资金流水!$B$1071&gt;=$C$4,资金流水!$B$1071&lt;=$E$4,OR(资金流水!$C$1071=$C$3,AND(资金流水!$AD$1071=$C$3,资金流水!$X$1071="账户互转"))),INT(资金流水!$B$1071)*10000+1066,"")</f>
      </c>
    </row>
    <row r="1072">
      <c r="Z1072" s="2">
        <f>IF(AND(ISNUMBER(资金流水!$B$1072),资金流水!$B$1072&gt;=$C$4,资金流水!$B$1072&lt;=$E$4,OR(资金流水!$C$1072=$C$3,AND(资金流水!$AD$1072=$C$3,资金流水!$X$1072="账户互转"))),INT(资金流水!$B$1072)*10000+1067,"")</f>
      </c>
    </row>
    <row r="1073">
      <c r="Z1073" s="2">
        <f>IF(AND(ISNUMBER(资金流水!$B$1073),资金流水!$B$1073&gt;=$C$4,资金流水!$B$1073&lt;=$E$4,OR(资金流水!$C$1073=$C$3,AND(资金流水!$AD$1073=$C$3,资金流水!$X$1073="账户互转"))),INT(资金流水!$B$1073)*10000+1068,"")</f>
      </c>
    </row>
    <row r="1074">
      <c r="Z1074" s="2">
        <f>IF(AND(ISNUMBER(资金流水!$B$1074),资金流水!$B$1074&gt;=$C$4,资金流水!$B$1074&lt;=$E$4,OR(资金流水!$C$1074=$C$3,AND(资金流水!$AD$1074=$C$3,资金流水!$X$1074="账户互转"))),INT(资金流水!$B$1074)*10000+1069,"")</f>
      </c>
    </row>
    <row r="1075">
      <c r="Z1075" s="2">
        <f>IF(AND(ISNUMBER(资金流水!$B$1075),资金流水!$B$1075&gt;=$C$4,资金流水!$B$1075&lt;=$E$4,OR(资金流水!$C$1075=$C$3,AND(资金流水!$AD$1075=$C$3,资金流水!$X$1075="账户互转"))),INT(资金流水!$B$1075)*10000+1070,"")</f>
      </c>
    </row>
    <row r="1076">
      <c r="Z1076" s="2">
        <f>IF(AND(ISNUMBER(资金流水!$B$1076),资金流水!$B$1076&gt;=$C$4,资金流水!$B$1076&lt;=$E$4,OR(资金流水!$C$1076=$C$3,AND(资金流水!$AD$1076=$C$3,资金流水!$X$1076="账户互转"))),INT(资金流水!$B$1076)*10000+1071,"")</f>
      </c>
    </row>
    <row r="1077">
      <c r="Z1077" s="2">
        <f>IF(AND(ISNUMBER(资金流水!$B$1077),资金流水!$B$1077&gt;=$C$4,资金流水!$B$1077&lt;=$E$4,OR(资金流水!$C$1077=$C$3,AND(资金流水!$AD$1077=$C$3,资金流水!$X$1077="账户互转"))),INT(资金流水!$B$1077)*10000+1072,"")</f>
      </c>
    </row>
    <row r="1078">
      <c r="Z1078" s="2">
        <f>IF(AND(ISNUMBER(资金流水!$B$1078),资金流水!$B$1078&gt;=$C$4,资金流水!$B$1078&lt;=$E$4,OR(资金流水!$C$1078=$C$3,AND(资金流水!$AD$1078=$C$3,资金流水!$X$1078="账户互转"))),INT(资金流水!$B$1078)*10000+1073,"")</f>
      </c>
    </row>
    <row r="1079">
      <c r="Z1079" s="2">
        <f>IF(AND(ISNUMBER(资金流水!$B$1079),资金流水!$B$1079&gt;=$C$4,资金流水!$B$1079&lt;=$E$4,OR(资金流水!$C$1079=$C$3,AND(资金流水!$AD$1079=$C$3,资金流水!$X$1079="账户互转"))),INT(资金流水!$B$1079)*10000+1074,"")</f>
      </c>
    </row>
    <row r="1080">
      <c r="Z1080" s="2">
        <f>IF(AND(ISNUMBER(资金流水!$B$1080),资金流水!$B$1080&gt;=$C$4,资金流水!$B$1080&lt;=$E$4,OR(资金流水!$C$1080=$C$3,AND(资金流水!$AD$1080=$C$3,资金流水!$X$1080="账户互转"))),INT(资金流水!$B$1080)*10000+1075,"")</f>
      </c>
    </row>
    <row r="1081">
      <c r="Z1081" s="2">
        <f>IF(AND(ISNUMBER(资金流水!$B$1081),资金流水!$B$1081&gt;=$C$4,资金流水!$B$1081&lt;=$E$4,OR(资金流水!$C$1081=$C$3,AND(资金流水!$AD$1081=$C$3,资金流水!$X$1081="账户互转"))),INT(资金流水!$B$1081)*10000+1076,"")</f>
      </c>
    </row>
    <row r="1082">
      <c r="Z1082" s="2">
        <f>IF(AND(ISNUMBER(资金流水!$B$1082),资金流水!$B$1082&gt;=$C$4,资金流水!$B$1082&lt;=$E$4,OR(资金流水!$C$1082=$C$3,AND(资金流水!$AD$1082=$C$3,资金流水!$X$1082="账户互转"))),INT(资金流水!$B$1082)*10000+1077,"")</f>
      </c>
    </row>
    <row r="1083">
      <c r="Z1083" s="2">
        <f>IF(AND(ISNUMBER(资金流水!$B$1083),资金流水!$B$1083&gt;=$C$4,资金流水!$B$1083&lt;=$E$4,OR(资金流水!$C$1083=$C$3,AND(资金流水!$AD$1083=$C$3,资金流水!$X$1083="账户互转"))),INT(资金流水!$B$1083)*10000+1078,"")</f>
      </c>
    </row>
    <row r="1084">
      <c r="Z1084" s="2">
        <f>IF(AND(ISNUMBER(资金流水!$B$1084),资金流水!$B$1084&gt;=$C$4,资金流水!$B$1084&lt;=$E$4,OR(资金流水!$C$1084=$C$3,AND(资金流水!$AD$1084=$C$3,资金流水!$X$1084="账户互转"))),INT(资金流水!$B$1084)*10000+1079,"")</f>
      </c>
    </row>
    <row r="1085">
      <c r="Z1085" s="2">
        <f>IF(AND(ISNUMBER(资金流水!$B$1085),资金流水!$B$1085&gt;=$C$4,资金流水!$B$1085&lt;=$E$4,OR(资金流水!$C$1085=$C$3,AND(资金流水!$AD$1085=$C$3,资金流水!$X$1085="账户互转"))),INT(资金流水!$B$1085)*10000+1080,"")</f>
      </c>
    </row>
    <row r="1086">
      <c r="Z1086" s="2">
        <f>IF(AND(ISNUMBER(资金流水!$B$1086),资金流水!$B$1086&gt;=$C$4,资金流水!$B$1086&lt;=$E$4,OR(资金流水!$C$1086=$C$3,AND(资金流水!$AD$1086=$C$3,资金流水!$X$1086="账户互转"))),INT(资金流水!$B$1086)*10000+1081,"")</f>
      </c>
    </row>
    <row r="1087">
      <c r="Z1087" s="2">
        <f>IF(AND(ISNUMBER(资金流水!$B$1087),资金流水!$B$1087&gt;=$C$4,资金流水!$B$1087&lt;=$E$4,OR(资金流水!$C$1087=$C$3,AND(资金流水!$AD$1087=$C$3,资金流水!$X$1087="账户互转"))),INT(资金流水!$B$1087)*10000+1082,"")</f>
      </c>
    </row>
    <row r="1088">
      <c r="Z1088" s="2">
        <f>IF(AND(ISNUMBER(资金流水!$B$1088),资金流水!$B$1088&gt;=$C$4,资金流水!$B$1088&lt;=$E$4,OR(资金流水!$C$1088=$C$3,AND(资金流水!$AD$1088=$C$3,资金流水!$X$1088="账户互转"))),INT(资金流水!$B$1088)*10000+1083,"")</f>
      </c>
    </row>
    <row r="1089">
      <c r="Z1089" s="2">
        <f>IF(AND(ISNUMBER(资金流水!$B$1089),资金流水!$B$1089&gt;=$C$4,资金流水!$B$1089&lt;=$E$4,OR(资金流水!$C$1089=$C$3,AND(资金流水!$AD$1089=$C$3,资金流水!$X$1089="账户互转"))),INT(资金流水!$B$1089)*10000+1084,"")</f>
      </c>
    </row>
    <row r="1090">
      <c r="Z1090" s="2">
        <f>IF(AND(ISNUMBER(资金流水!$B$1090),资金流水!$B$1090&gt;=$C$4,资金流水!$B$1090&lt;=$E$4,OR(资金流水!$C$1090=$C$3,AND(资金流水!$AD$1090=$C$3,资金流水!$X$1090="账户互转"))),INT(资金流水!$B$1090)*10000+1085,"")</f>
      </c>
    </row>
    <row r="1091">
      <c r="Z1091" s="2">
        <f>IF(AND(ISNUMBER(资金流水!$B$1091),资金流水!$B$1091&gt;=$C$4,资金流水!$B$1091&lt;=$E$4,OR(资金流水!$C$1091=$C$3,AND(资金流水!$AD$1091=$C$3,资金流水!$X$1091="账户互转"))),INT(资金流水!$B$1091)*10000+1086,"")</f>
      </c>
    </row>
    <row r="1092">
      <c r="Z1092" s="2">
        <f>IF(AND(ISNUMBER(资金流水!$B$1092),资金流水!$B$1092&gt;=$C$4,资金流水!$B$1092&lt;=$E$4,OR(资金流水!$C$1092=$C$3,AND(资金流水!$AD$1092=$C$3,资金流水!$X$1092="账户互转"))),INT(资金流水!$B$1092)*10000+1087,"")</f>
      </c>
    </row>
    <row r="1093">
      <c r="Z1093" s="2">
        <f>IF(AND(ISNUMBER(资金流水!$B$1093),资金流水!$B$1093&gt;=$C$4,资金流水!$B$1093&lt;=$E$4,OR(资金流水!$C$1093=$C$3,AND(资金流水!$AD$1093=$C$3,资金流水!$X$1093="账户互转"))),INT(资金流水!$B$1093)*10000+1088,"")</f>
      </c>
    </row>
    <row r="1094">
      <c r="Z1094" s="2">
        <f>IF(AND(ISNUMBER(资金流水!$B$1094),资金流水!$B$1094&gt;=$C$4,资金流水!$B$1094&lt;=$E$4,OR(资金流水!$C$1094=$C$3,AND(资金流水!$AD$1094=$C$3,资金流水!$X$1094="账户互转"))),INT(资金流水!$B$1094)*10000+1089,"")</f>
      </c>
    </row>
    <row r="1095">
      <c r="Z1095" s="2">
        <f>IF(AND(ISNUMBER(资金流水!$B$1095),资金流水!$B$1095&gt;=$C$4,资金流水!$B$1095&lt;=$E$4,OR(资金流水!$C$1095=$C$3,AND(资金流水!$AD$1095=$C$3,资金流水!$X$1095="账户互转"))),INT(资金流水!$B$1095)*10000+1090,"")</f>
      </c>
    </row>
    <row r="1096">
      <c r="Z1096" s="2">
        <f>IF(AND(ISNUMBER(资金流水!$B$1096),资金流水!$B$1096&gt;=$C$4,资金流水!$B$1096&lt;=$E$4,OR(资金流水!$C$1096=$C$3,AND(资金流水!$AD$1096=$C$3,资金流水!$X$1096="账户互转"))),INT(资金流水!$B$1096)*10000+1091,"")</f>
      </c>
    </row>
    <row r="1097">
      <c r="Z1097" s="2">
        <f>IF(AND(ISNUMBER(资金流水!$B$1097),资金流水!$B$1097&gt;=$C$4,资金流水!$B$1097&lt;=$E$4,OR(资金流水!$C$1097=$C$3,AND(资金流水!$AD$1097=$C$3,资金流水!$X$1097="账户互转"))),INT(资金流水!$B$1097)*10000+1092,"")</f>
      </c>
    </row>
    <row r="1098">
      <c r="Z1098" s="2">
        <f>IF(AND(ISNUMBER(资金流水!$B$1098),资金流水!$B$1098&gt;=$C$4,资金流水!$B$1098&lt;=$E$4,OR(资金流水!$C$1098=$C$3,AND(资金流水!$AD$1098=$C$3,资金流水!$X$1098="账户互转"))),INT(资金流水!$B$1098)*10000+1093,"")</f>
      </c>
    </row>
    <row r="1099">
      <c r="Z1099" s="2">
        <f>IF(AND(ISNUMBER(资金流水!$B$1099),资金流水!$B$1099&gt;=$C$4,资金流水!$B$1099&lt;=$E$4,OR(资金流水!$C$1099=$C$3,AND(资金流水!$AD$1099=$C$3,资金流水!$X$1099="账户互转"))),INT(资金流水!$B$1099)*10000+1094,"")</f>
      </c>
    </row>
    <row r="1100">
      <c r="Z1100" s="2">
        <f>IF(AND(ISNUMBER(资金流水!$B$1100),资金流水!$B$1100&gt;=$C$4,资金流水!$B$1100&lt;=$E$4,OR(资金流水!$C$1100=$C$3,AND(资金流水!$AD$1100=$C$3,资金流水!$X$1100="账户互转"))),INT(资金流水!$B$1100)*10000+1095,"")</f>
      </c>
    </row>
    <row r="1101">
      <c r="Z1101" s="2">
        <f>IF(AND(ISNUMBER(资金流水!$B$1101),资金流水!$B$1101&gt;=$C$4,资金流水!$B$1101&lt;=$E$4,OR(资金流水!$C$1101=$C$3,AND(资金流水!$AD$1101=$C$3,资金流水!$X$1101="账户互转"))),INT(资金流水!$B$1101)*10000+1096,"")</f>
      </c>
    </row>
    <row r="1102">
      <c r="Z1102" s="2">
        <f>IF(AND(ISNUMBER(资金流水!$B$1102),资金流水!$B$1102&gt;=$C$4,资金流水!$B$1102&lt;=$E$4,OR(资金流水!$C$1102=$C$3,AND(资金流水!$AD$1102=$C$3,资金流水!$X$1102="账户互转"))),INT(资金流水!$B$1102)*10000+1097,"")</f>
      </c>
    </row>
    <row r="1103">
      <c r="Z1103" s="2">
        <f>IF(AND(ISNUMBER(资金流水!$B$1103),资金流水!$B$1103&gt;=$C$4,资金流水!$B$1103&lt;=$E$4,OR(资金流水!$C$1103=$C$3,AND(资金流水!$AD$1103=$C$3,资金流水!$X$1103="账户互转"))),INT(资金流水!$B$1103)*10000+1098,"")</f>
      </c>
    </row>
    <row r="1104">
      <c r="Z1104" s="2">
        <f>IF(AND(ISNUMBER(资金流水!$B$1104),资金流水!$B$1104&gt;=$C$4,资金流水!$B$1104&lt;=$E$4,OR(资金流水!$C$1104=$C$3,AND(资金流水!$AD$1104=$C$3,资金流水!$X$1104="账户互转"))),INT(资金流水!$B$1104)*10000+1099,"")</f>
      </c>
    </row>
    <row r="1105">
      <c r="Z1105" s="2">
        <f>IF(AND(ISNUMBER(资金流水!$B$1105),资金流水!$B$1105&gt;=$C$4,资金流水!$B$1105&lt;=$E$4,OR(资金流水!$C$1105=$C$3,AND(资金流水!$AD$1105=$C$3,资金流水!$X$1105="账户互转"))),INT(资金流水!$B$1105)*10000+1100,"")</f>
      </c>
    </row>
    <row r="1106">
      <c r="Z1106" s="2">
        <f>IF(AND(ISNUMBER(资金流水!$B$1106),资金流水!$B$1106&gt;=$C$4,资金流水!$B$1106&lt;=$E$4,OR(资金流水!$C$1106=$C$3,AND(资金流水!$AD$1106=$C$3,资金流水!$X$1106="账户互转"))),INT(资金流水!$B$1106)*10000+1101,"")</f>
      </c>
    </row>
    <row r="1107">
      <c r="Z1107" s="2">
        <f>IF(AND(ISNUMBER(资金流水!$B$1107),资金流水!$B$1107&gt;=$C$4,资金流水!$B$1107&lt;=$E$4,OR(资金流水!$C$1107=$C$3,AND(资金流水!$AD$1107=$C$3,资金流水!$X$1107="账户互转"))),INT(资金流水!$B$1107)*10000+1102,"")</f>
      </c>
    </row>
    <row r="1108">
      <c r="Z1108" s="2">
        <f>IF(AND(ISNUMBER(资金流水!$B$1108),资金流水!$B$1108&gt;=$C$4,资金流水!$B$1108&lt;=$E$4,OR(资金流水!$C$1108=$C$3,AND(资金流水!$AD$1108=$C$3,资金流水!$X$1108="账户互转"))),INT(资金流水!$B$1108)*10000+1103,"")</f>
      </c>
    </row>
    <row r="1109">
      <c r="Z1109" s="2">
        <f>IF(AND(ISNUMBER(资金流水!$B$1109),资金流水!$B$1109&gt;=$C$4,资金流水!$B$1109&lt;=$E$4,OR(资金流水!$C$1109=$C$3,AND(资金流水!$AD$1109=$C$3,资金流水!$X$1109="账户互转"))),INT(资金流水!$B$1109)*10000+1104,"")</f>
      </c>
    </row>
    <row r="1110">
      <c r="Z1110" s="2">
        <f>IF(AND(ISNUMBER(资金流水!$B$1110),资金流水!$B$1110&gt;=$C$4,资金流水!$B$1110&lt;=$E$4,OR(资金流水!$C$1110=$C$3,AND(资金流水!$AD$1110=$C$3,资金流水!$X$1110="账户互转"))),INT(资金流水!$B$1110)*10000+1105,"")</f>
      </c>
    </row>
    <row r="1111">
      <c r="Z1111" s="2">
        <f>IF(AND(ISNUMBER(资金流水!$B$1111),资金流水!$B$1111&gt;=$C$4,资金流水!$B$1111&lt;=$E$4,OR(资金流水!$C$1111=$C$3,AND(资金流水!$AD$1111=$C$3,资金流水!$X$1111="账户互转"))),INT(资金流水!$B$1111)*10000+1106,"")</f>
      </c>
    </row>
    <row r="1112">
      <c r="Z1112" s="2">
        <f>IF(AND(ISNUMBER(资金流水!$B$1112),资金流水!$B$1112&gt;=$C$4,资金流水!$B$1112&lt;=$E$4,OR(资金流水!$C$1112=$C$3,AND(资金流水!$AD$1112=$C$3,资金流水!$X$1112="账户互转"))),INT(资金流水!$B$1112)*10000+1107,"")</f>
      </c>
    </row>
    <row r="1113">
      <c r="Z1113" s="2">
        <f>IF(AND(ISNUMBER(资金流水!$B$1113),资金流水!$B$1113&gt;=$C$4,资金流水!$B$1113&lt;=$E$4,OR(资金流水!$C$1113=$C$3,AND(资金流水!$AD$1113=$C$3,资金流水!$X$1113="账户互转"))),INT(资金流水!$B$1113)*10000+1108,"")</f>
      </c>
    </row>
    <row r="1114">
      <c r="Z1114" s="2">
        <f>IF(AND(ISNUMBER(资金流水!$B$1114),资金流水!$B$1114&gt;=$C$4,资金流水!$B$1114&lt;=$E$4,OR(资金流水!$C$1114=$C$3,AND(资金流水!$AD$1114=$C$3,资金流水!$X$1114="账户互转"))),INT(资金流水!$B$1114)*10000+1109,"")</f>
      </c>
    </row>
    <row r="1115">
      <c r="Z1115" s="2">
        <f>IF(AND(ISNUMBER(资金流水!$B$1115),资金流水!$B$1115&gt;=$C$4,资金流水!$B$1115&lt;=$E$4,OR(资金流水!$C$1115=$C$3,AND(资金流水!$AD$1115=$C$3,资金流水!$X$1115="账户互转"))),INT(资金流水!$B$1115)*10000+1110,"")</f>
      </c>
    </row>
    <row r="1116">
      <c r="Z1116" s="2">
        <f>IF(AND(ISNUMBER(资金流水!$B$1116),资金流水!$B$1116&gt;=$C$4,资金流水!$B$1116&lt;=$E$4,OR(资金流水!$C$1116=$C$3,AND(资金流水!$AD$1116=$C$3,资金流水!$X$1116="账户互转"))),INT(资金流水!$B$1116)*10000+1111,"")</f>
      </c>
    </row>
    <row r="1117">
      <c r="Z1117" s="2">
        <f>IF(AND(ISNUMBER(资金流水!$B$1117),资金流水!$B$1117&gt;=$C$4,资金流水!$B$1117&lt;=$E$4,OR(资金流水!$C$1117=$C$3,AND(资金流水!$AD$1117=$C$3,资金流水!$X$1117="账户互转"))),INT(资金流水!$B$1117)*10000+1112,"")</f>
      </c>
    </row>
    <row r="1118">
      <c r="Z1118" s="2">
        <f>IF(AND(ISNUMBER(资金流水!$B$1118),资金流水!$B$1118&gt;=$C$4,资金流水!$B$1118&lt;=$E$4,OR(资金流水!$C$1118=$C$3,AND(资金流水!$AD$1118=$C$3,资金流水!$X$1118="账户互转"))),INT(资金流水!$B$1118)*10000+1113,"")</f>
      </c>
    </row>
    <row r="1119">
      <c r="Z1119" s="2">
        <f>IF(AND(ISNUMBER(资金流水!$B$1119),资金流水!$B$1119&gt;=$C$4,资金流水!$B$1119&lt;=$E$4,OR(资金流水!$C$1119=$C$3,AND(资金流水!$AD$1119=$C$3,资金流水!$X$1119="账户互转"))),INT(资金流水!$B$1119)*10000+1114,"")</f>
      </c>
    </row>
    <row r="1120">
      <c r="Z1120" s="2">
        <f>IF(AND(ISNUMBER(资金流水!$B$1120),资金流水!$B$1120&gt;=$C$4,资金流水!$B$1120&lt;=$E$4,OR(资金流水!$C$1120=$C$3,AND(资金流水!$AD$1120=$C$3,资金流水!$X$1120="账户互转"))),INT(资金流水!$B$1120)*10000+1115,"")</f>
      </c>
    </row>
    <row r="1121">
      <c r="Z1121" s="2">
        <f>IF(AND(ISNUMBER(资金流水!$B$1121),资金流水!$B$1121&gt;=$C$4,资金流水!$B$1121&lt;=$E$4,OR(资金流水!$C$1121=$C$3,AND(资金流水!$AD$1121=$C$3,资金流水!$X$1121="账户互转"))),INT(资金流水!$B$1121)*10000+1116,"")</f>
      </c>
    </row>
    <row r="1122">
      <c r="Z1122" s="2">
        <f>IF(AND(ISNUMBER(资金流水!$B$1122),资金流水!$B$1122&gt;=$C$4,资金流水!$B$1122&lt;=$E$4,OR(资金流水!$C$1122=$C$3,AND(资金流水!$AD$1122=$C$3,资金流水!$X$1122="账户互转"))),INT(资金流水!$B$1122)*10000+1117,"")</f>
      </c>
    </row>
    <row r="1123">
      <c r="Z1123" s="2">
        <f>IF(AND(ISNUMBER(资金流水!$B$1123),资金流水!$B$1123&gt;=$C$4,资金流水!$B$1123&lt;=$E$4,OR(资金流水!$C$1123=$C$3,AND(资金流水!$AD$1123=$C$3,资金流水!$X$1123="账户互转"))),INT(资金流水!$B$1123)*10000+1118,"")</f>
      </c>
    </row>
    <row r="1124">
      <c r="Z1124" s="2">
        <f>IF(AND(ISNUMBER(资金流水!$B$1124),资金流水!$B$1124&gt;=$C$4,资金流水!$B$1124&lt;=$E$4,OR(资金流水!$C$1124=$C$3,AND(资金流水!$AD$1124=$C$3,资金流水!$X$1124="账户互转"))),INT(资金流水!$B$1124)*10000+1119,"")</f>
      </c>
    </row>
    <row r="1125">
      <c r="Z1125" s="2">
        <f>IF(AND(ISNUMBER(资金流水!$B$1125),资金流水!$B$1125&gt;=$C$4,资金流水!$B$1125&lt;=$E$4,OR(资金流水!$C$1125=$C$3,AND(资金流水!$AD$1125=$C$3,资金流水!$X$1125="账户互转"))),INT(资金流水!$B$1125)*10000+1120,"")</f>
      </c>
    </row>
    <row r="1126">
      <c r="Z1126" s="2">
        <f>IF(AND(ISNUMBER(资金流水!$B$1126),资金流水!$B$1126&gt;=$C$4,资金流水!$B$1126&lt;=$E$4,OR(资金流水!$C$1126=$C$3,AND(资金流水!$AD$1126=$C$3,资金流水!$X$1126="账户互转"))),INT(资金流水!$B$1126)*10000+1121,"")</f>
      </c>
    </row>
    <row r="1127">
      <c r="Z1127" s="2">
        <f>IF(AND(ISNUMBER(资金流水!$B$1127),资金流水!$B$1127&gt;=$C$4,资金流水!$B$1127&lt;=$E$4,OR(资金流水!$C$1127=$C$3,AND(资金流水!$AD$1127=$C$3,资金流水!$X$1127="账户互转"))),INT(资金流水!$B$1127)*10000+1122,"")</f>
      </c>
    </row>
    <row r="1128">
      <c r="Z1128" s="2">
        <f>IF(AND(ISNUMBER(资金流水!$B$1128),资金流水!$B$1128&gt;=$C$4,资金流水!$B$1128&lt;=$E$4,OR(资金流水!$C$1128=$C$3,AND(资金流水!$AD$1128=$C$3,资金流水!$X$1128="账户互转"))),INT(资金流水!$B$1128)*10000+1123,"")</f>
      </c>
    </row>
    <row r="1129">
      <c r="Z1129" s="2">
        <f>IF(AND(ISNUMBER(资金流水!$B$1129),资金流水!$B$1129&gt;=$C$4,资金流水!$B$1129&lt;=$E$4,OR(资金流水!$C$1129=$C$3,AND(资金流水!$AD$1129=$C$3,资金流水!$X$1129="账户互转"))),INT(资金流水!$B$1129)*10000+1124,"")</f>
      </c>
    </row>
    <row r="1130">
      <c r="Z1130" s="2">
        <f>IF(AND(ISNUMBER(资金流水!$B$1130),资金流水!$B$1130&gt;=$C$4,资金流水!$B$1130&lt;=$E$4,OR(资金流水!$C$1130=$C$3,AND(资金流水!$AD$1130=$C$3,资金流水!$X$1130="账户互转"))),INT(资金流水!$B$1130)*10000+1125,"")</f>
      </c>
    </row>
    <row r="1131">
      <c r="Z1131" s="2">
        <f>IF(AND(ISNUMBER(资金流水!$B$1131),资金流水!$B$1131&gt;=$C$4,资金流水!$B$1131&lt;=$E$4,OR(资金流水!$C$1131=$C$3,AND(资金流水!$AD$1131=$C$3,资金流水!$X$1131="账户互转"))),INT(资金流水!$B$1131)*10000+1126,"")</f>
      </c>
    </row>
    <row r="1132">
      <c r="Z1132" s="2">
        <f>IF(AND(ISNUMBER(资金流水!$B$1132),资金流水!$B$1132&gt;=$C$4,资金流水!$B$1132&lt;=$E$4,OR(资金流水!$C$1132=$C$3,AND(资金流水!$AD$1132=$C$3,资金流水!$X$1132="账户互转"))),INT(资金流水!$B$1132)*10000+1127,"")</f>
      </c>
    </row>
    <row r="1133">
      <c r="Z1133" s="2">
        <f>IF(AND(ISNUMBER(资金流水!$B$1133),资金流水!$B$1133&gt;=$C$4,资金流水!$B$1133&lt;=$E$4,OR(资金流水!$C$1133=$C$3,AND(资金流水!$AD$1133=$C$3,资金流水!$X$1133="账户互转"))),INT(资金流水!$B$1133)*10000+1128,"")</f>
      </c>
    </row>
    <row r="1134">
      <c r="Z1134" s="2">
        <f>IF(AND(ISNUMBER(资金流水!$B$1134),资金流水!$B$1134&gt;=$C$4,资金流水!$B$1134&lt;=$E$4,OR(资金流水!$C$1134=$C$3,AND(资金流水!$AD$1134=$C$3,资金流水!$X$1134="账户互转"))),INT(资金流水!$B$1134)*10000+1129,"")</f>
      </c>
    </row>
    <row r="1135">
      <c r="Z1135" s="2">
        <f>IF(AND(ISNUMBER(资金流水!$B$1135),资金流水!$B$1135&gt;=$C$4,资金流水!$B$1135&lt;=$E$4,OR(资金流水!$C$1135=$C$3,AND(资金流水!$AD$1135=$C$3,资金流水!$X$1135="账户互转"))),INT(资金流水!$B$1135)*10000+1130,"")</f>
      </c>
    </row>
    <row r="1136">
      <c r="Z1136" s="2">
        <f>IF(AND(ISNUMBER(资金流水!$B$1136),资金流水!$B$1136&gt;=$C$4,资金流水!$B$1136&lt;=$E$4,OR(资金流水!$C$1136=$C$3,AND(资金流水!$AD$1136=$C$3,资金流水!$X$1136="账户互转"))),INT(资金流水!$B$1136)*10000+1131,"")</f>
      </c>
    </row>
    <row r="1137">
      <c r="Z1137" s="2">
        <f>IF(AND(ISNUMBER(资金流水!$B$1137),资金流水!$B$1137&gt;=$C$4,资金流水!$B$1137&lt;=$E$4,OR(资金流水!$C$1137=$C$3,AND(资金流水!$AD$1137=$C$3,资金流水!$X$1137="账户互转"))),INT(资金流水!$B$1137)*10000+1132,"")</f>
      </c>
    </row>
    <row r="1138">
      <c r="Z1138" s="2">
        <f>IF(AND(ISNUMBER(资金流水!$B$1138),资金流水!$B$1138&gt;=$C$4,资金流水!$B$1138&lt;=$E$4,OR(资金流水!$C$1138=$C$3,AND(资金流水!$AD$1138=$C$3,资金流水!$X$1138="账户互转"))),INT(资金流水!$B$1138)*10000+1133,"")</f>
      </c>
    </row>
    <row r="1139">
      <c r="Z1139" s="2">
        <f>IF(AND(ISNUMBER(资金流水!$B$1139),资金流水!$B$1139&gt;=$C$4,资金流水!$B$1139&lt;=$E$4,OR(资金流水!$C$1139=$C$3,AND(资金流水!$AD$1139=$C$3,资金流水!$X$1139="账户互转"))),INT(资金流水!$B$1139)*10000+1134,"")</f>
      </c>
    </row>
    <row r="1140">
      <c r="Z1140" s="2">
        <f>IF(AND(ISNUMBER(资金流水!$B$1140),资金流水!$B$1140&gt;=$C$4,资金流水!$B$1140&lt;=$E$4,OR(资金流水!$C$1140=$C$3,AND(资金流水!$AD$1140=$C$3,资金流水!$X$1140="账户互转"))),INT(资金流水!$B$1140)*10000+1135,"")</f>
      </c>
    </row>
    <row r="1141">
      <c r="Z1141" s="2">
        <f>IF(AND(ISNUMBER(资金流水!$B$1141),资金流水!$B$1141&gt;=$C$4,资金流水!$B$1141&lt;=$E$4,OR(资金流水!$C$1141=$C$3,AND(资金流水!$AD$1141=$C$3,资金流水!$X$1141="账户互转"))),INT(资金流水!$B$1141)*10000+1136,"")</f>
      </c>
    </row>
    <row r="1142">
      <c r="Z1142" s="2">
        <f>IF(AND(ISNUMBER(资金流水!$B$1142),资金流水!$B$1142&gt;=$C$4,资金流水!$B$1142&lt;=$E$4,OR(资金流水!$C$1142=$C$3,AND(资金流水!$AD$1142=$C$3,资金流水!$X$1142="账户互转"))),INT(资金流水!$B$1142)*10000+1137,"")</f>
      </c>
    </row>
    <row r="1143">
      <c r="Z1143" s="2">
        <f>IF(AND(ISNUMBER(资金流水!$B$1143),资金流水!$B$1143&gt;=$C$4,资金流水!$B$1143&lt;=$E$4,OR(资金流水!$C$1143=$C$3,AND(资金流水!$AD$1143=$C$3,资金流水!$X$1143="账户互转"))),INT(资金流水!$B$1143)*10000+1138,"")</f>
      </c>
    </row>
    <row r="1144">
      <c r="Z1144" s="2">
        <f>IF(AND(ISNUMBER(资金流水!$B$1144),资金流水!$B$1144&gt;=$C$4,资金流水!$B$1144&lt;=$E$4,OR(资金流水!$C$1144=$C$3,AND(资金流水!$AD$1144=$C$3,资金流水!$X$1144="账户互转"))),INT(资金流水!$B$1144)*10000+1139,"")</f>
      </c>
    </row>
    <row r="1145">
      <c r="Z1145" s="2">
        <f>IF(AND(ISNUMBER(资金流水!$B$1145),资金流水!$B$1145&gt;=$C$4,资金流水!$B$1145&lt;=$E$4,OR(资金流水!$C$1145=$C$3,AND(资金流水!$AD$1145=$C$3,资金流水!$X$1145="账户互转"))),INT(资金流水!$B$1145)*10000+1140,"")</f>
      </c>
    </row>
    <row r="1146">
      <c r="Z1146" s="2">
        <f>IF(AND(ISNUMBER(资金流水!$B$1146),资金流水!$B$1146&gt;=$C$4,资金流水!$B$1146&lt;=$E$4,OR(资金流水!$C$1146=$C$3,AND(资金流水!$AD$1146=$C$3,资金流水!$X$1146="账户互转"))),INT(资金流水!$B$1146)*10000+1141,"")</f>
      </c>
    </row>
    <row r="1147">
      <c r="Z1147" s="2">
        <f>IF(AND(ISNUMBER(资金流水!$B$1147),资金流水!$B$1147&gt;=$C$4,资金流水!$B$1147&lt;=$E$4,OR(资金流水!$C$1147=$C$3,AND(资金流水!$AD$1147=$C$3,资金流水!$X$1147="账户互转"))),INT(资金流水!$B$1147)*10000+1142,"")</f>
      </c>
    </row>
    <row r="1148">
      <c r="Z1148" s="2">
        <f>IF(AND(ISNUMBER(资金流水!$B$1148),资金流水!$B$1148&gt;=$C$4,资金流水!$B$1148&lt;=$E$4,OR(资金流水!$C$1148=$C$3,AND(资金流水!$AD$1148=$C$3,资金流水!$X$1148="账户互转"))),INT(资金流水!$B$1148)*10000+1143,"")</f>
      </c>
    </row>
    <row r="1149">
      <c r="Z1149" s="2">
        <f>IF(AND(ISNUMBER(资金流水!$B$1149),资金流水!$B$1149&gt;=$C$4,资金流水!$B$1149&lt;=$E$4,OR(资金流水!$C$1149=$C$3,AND(资金流水!$AD$1149=$C$3,资金流水!$X$1149="账户互转"))),INT(资金流水!$B$1149)*10000+1144,"")</f>
      </c>
    </row>
    <row r="1150">
      <c r="Z1150" s="2">
        <f>IF(AND(ISNUMBER(资金流水!$B$1150),资金流水!$B$1150&gt;=$C$4,资金流水!$B$1150&lt;=$E$4,OR(资金流水!$C$1150=$C$3,AND(资金流水!$AD$1150=$C$3,资金流水!$X$1150="账户互转"))),INT(资金流水!$B$1150)*10000+1145,"")</f>
      </c>
    </row>
    <row r="1151">
      <c r="Z1151" s="2">
        <f>IF(AND(ISNUMBER(资金流水!$B$1151),资金流水!$B$1151&gt;=$C$4,资金流水!$B$1151&lt;=$E$4,OR(资金流水!$C$1151=$C$3,AND(资金流水!$AD$1151=$C$3,资金流水!$X$1151="账户互转"))),INT(资金流水!$B$1151)*10000+1146,"")</f>
      </c>
    </row>
    <row r="1152">
      <c r="Z1152" s="2">
        <f>IF(AND(ISNUMBER(资金流水!$B$1152),资金流水!$B$1152&gt;=$C$4,资金流水!$B$1152&lt;=$E$4,OR(资金流水!$C$1152=$C$3,AND(资金流水!$AD$1152=$C$3,资金流水!$X$1152="账户互转"))),INT(资金流水!$B$1152)*10000+1147,"")</f>
      </c>
    </row>
    <row r="1153">
      <c r="Z1153" s="2">
        <f>IF(AND(ISNUMBER(资金流水!$B$1153),资金流水!$B$1153&gt;=$C$4,资金流水!$B$1153&lt;=$E$4,OR(资金流水!$C$1153=$C$3,AND(资金流水!$AD$1153=$C$3,资金流水!$X$1153="账户互转"))),INT(资金流水!$B$1153)*10000+1148,"")</f>
      </c>
    </row>
    <row r="1154">
      <c r="Z1154" s="2">
        <f>IF(AND(ISNUMBER(资金流水!$B$1154),资金流水!$B$1154&gt;=$C$4,资金流水!$B$1154&lt;=$E$4,OR(资金流水!$C$1154=$C$3,AND(资金流水!$AD$1154=$C$3,资金流水!$X$1154="账户互转"))),INT(资金流水!$B$1154)*10000+1149,"")</f>
      </c>
    </row>
    <row r="1155">
      <c r="Z1155" s="2">
        <f>IF(AND(ISNUMBER(资金流水!$B$1155),资金流水!$B$1155&gt;=$C$4,资金流水!$B$1155&lt;=$E$4,OR(资金流水!$C$1155=$C$3,AND(资金流水!$AD$1155=$C$3,资金流水!$X$1155="账户互转"))),INT(资金流水!$B$1155)*10000+1150,"")</f>
      </c>
    </row>
    <row r="1156">
      <c r="Z1156" s="2">
        <f>IF(AND(ISNUMBER(资金流水!$B$1156),资金流水!$B$1156&gt;=$C$4,资金流水!$B$1156&lt;=$E$4,OR(资金流水!$C$1156=$C$3,AND(资金流水!$AD$1156=$C$3,资金流水!$X$1156="账户互转"))),INT(资金流水!$B$1156)*10000+1151,"")</f>
      </c>
    </row>
    <row r="1157">
      <c r="Z1157" s="2">
        <f>IF(AND(ISNUMBER(资金流水!$B$1157),资金流水!$B$1157&gt;=$C$4,资金流水!$B$1157&lt;=$E$4,OR(资金流水!$C$1157=$C$3,AND(资金流水!$AD$1157=$C$3,资金流水!$X$1157="账户互转"))),INT(资金流水!$B$1157)*10000+1152,"")</f>
      </c>
    </row>
    <row r="1158">
      <c r="Z1158" s="2">
        <f>IF(AND(ISNUMBER(资金流水!$B$1158),资金流水!$B$1158&gt;=$C$4,资金流水!$B$1158&lt;=$E$4,OR(资金流水!$C$1158=$C$3,AND(资金流水!$AD$1158=$C$3,资金流水!$X$1158="账户互转"))),INT(资金流水!$B$1158)*10000+1153,"")</f>
      </c>
    </row>
    <row r="1159">
      <c r="Z1159" s="2">
        <f>IF(AND(ISNUMBER(资金流水!$B$1159),资金流水!$B$1159&gt;=$C$4,资金流水!$B$1159&lt;=$E$4,OR(资金流水!$C$1159=$C$3,AND(资金流水!$AD$1159=$C$3,资金流水!$X$1159="账户互转"))),INT(资金流水!$B$1159)*10000+1154,"")</f>
      </c>
    </row>
    <row r="1160">
      <c r="Z1160" s="2">
        <f>IF(AND(ISNUMBER(资金流水!$B$1160),资金流水!$B$1160&gt;=$C$4,资金流水!$B$1160&lt;=$E$4,OR(资金流水!$C$1160=$C$3,AND(资金流水!$AD$1160=$C$3,资金流水!$X$1160="账户互转"))),INT(资金流水!$B$1160)*10000+1155,"")</f>
      </c>
    </row>
    <row r="1161">
      <c r="Z1161" s="2">
        <f>IF(AND(ISNUMBER(资金流水!$B$1161),资金流水!$B$1161&gt;=$C$4,资金流水!$B$1161&lt;=$E$4,OR(资金流水!$C$1161=$C$3,AND(资金流水!$AD$1161=$C$3,资金流水!$X$1161="账户互转"))),INT(资金流水!$B$1161)*10000+1156,"")</f>
      </c>
    </row>
    <row r="1162">
      <c r="Z1162" s="2">
        <f>IF(AND(ISNUMBER(资金流水!$B$1162),资金流水!$B$1162&gt;=$C$4,资金流水!$B$1162&lt;=$E$4,OR(资金流水!$C$1162=$C$3,AND(资金流水!$AD$1162=$C$3,资金流水!$X$1162="账户互转"))),INT(资金流水!$B$1162)*10000+1157,"")</f>
      </c>
    </row>
    <row r="1163">
      <c r="Z1163" s="2">
        <f>IF(AND(ISNUMBER(资金流水!$B$1163),资金流水!$B$1163&gt;=$C$4,资金流水!$B$1163&lt;=$E$4,OR(资金流水!$C$1163=$C$3,AND(资金流水!$AD$1163=$C$3,资金流水!$X$1163="账户互转"))),INT(资金流水!$B$1163)*10000+1158,"")</f>
      </c>
    </row>
    <row r="1164">
      <c r="Z1164" s="2">
        <f>IF(AND(ISNUMBER(资金流水!$B$1164),资金流水!$B$1164&gt;=$C$4,资金流水!$B$1164&lt;=$E$4,OR(资金流水!$C$1164=$C$3,AND(资金流水!$AD$1164=$C$3,资金流水!$X$1164="账户互转"))),INT(资金流水!$B$1164)*10000+1159,"")</f>
      </c>
    </row>
    <row r="1165">
      <c r="Z1165" s="2">
        <f>IF(AND(ISNUMBER(资金流水!$B$1165),资金流水!$B$1165&gt;=$C$4,资金流水!$B$1165&lt;=$E$4,OR(资金流水!$C$1165=$C$3,AND(资金流水!$AD$1165=$C$3,资金流水!$X$1165="账户互转"))),INT(资金流水!$B$1165)*10000+1160,"")</f>
      </c>
    </row>
    <row r="1166">
      <c r="Z1166" s="2">
        <f>IF(AND(ISNUMBER(资金流水!$B$1166),资金流水!$B$1166&gt;=$C$4,资金流水!$B$1166&lt;=$E$4,OR(资金流水!$C$1166=$C$3,AND(资金流水!$AD$1166=$C$3,资金流水!$X$1166="账户互转"))),INT(资金流水!$B$1166)*10000+1161,"")</f>
      </c>
    </row>
    <row r="1167">
      <c r="Z1167" s="2">
        <f>IF(AND(ISNUMBER(资金流水!$B$1167),资金流水!$B$1167&gt;=$C$4,资金流水!$B$1167&lt;=$E$4,OR(资金流水!$C$1167=$C$3,AND(资金流水!$AD$1167=$C$3,资金流水!$X$1167="账户互转"))),INT(资金流水!$B$1167)*10000+1162,"")</f>
      </c>
    </row>
    <row r="1168">
      <c r="Z1168" s="2">
        <f>IF(AND(ISNUMBER(资金流水!$B$1168),资金流水!$B$1168&gt;=$C$4,资金流水!$B$1168&lt;=$E$4,OR(资金流水!$C$1168=$C$3,AND(资金流水!$AD$1168=$C$3,资金流水!$X$1168="账户互转"))),INT(资金流水!$B$1168)*10000+1163,"")</f>
      </c>
    </row>
    <row r="1169">
      <c r="Z1169" s="2">
        <f>IF(AND(ISNUMBER(资金流水!$B$1169),资金流水!$B$1169&gt;=$C$4,资金流水!$B$1169&lt;=$E$4,OR(资金流水!$C$1169=$C$3,AND(资金流水!$AD$1169=$C$3,资金流水!$X$1169="账户互转"))),INT(资金流水!$B$1169)*10000+1164,"")</f>
      </c>
    </row>
    <row r="1170">
      <c r="Z1170" s="2">
        <f>IF(AND(ISNUMBER(资金流水!$B$1170),资金流水!$B$1170&gt;=$C$4,资金流水!$B$1170&lt;=$E$4,OR(资金流水!$C$1170=$C$3,AND(资金流水!$AD$1170=$C$3,资金流水!$X$1170="账户互转"))),INT(资金流水!$B$1170)*10000+1165,"")</f>
      </c>
    </row>
    <row r="1171">
      <c r="Z1171" s="2">
        <f>IF(AND(ISNUMBER(资金流水!$B$1171),资金流水!$B$1171&gt;=$C$4,资金流水!$B$1171&lt;=$E$4,OR(资金流水!$C$1171=$C$3,AND(资金流水!$AD$1171=$C$3,资金流水!$X$1171="账户互转"))),INT(资金流水!$B$1171)*10000+1166,"")</f>
      </c>
    </row>
    <row r="1172">
      <c r="Z1172" s="2">
        <f>IF(AND(ISNUMBER(资金流水!$B$1172),资金流水!$B$1172&gt;=$C$4,资金流水!$B$1172&lt;=$E$4,OR(资金流水!$C$1172=$C$3,AND(资金流水!$AD$1172=$C$3,资金流水!$X$1172="账户互转"))),INT(资金流水!$B$1172)*10000+1167,"")</f>
      </c>
    </row>
    <row r="1173">
      <c r="Z1173" s="2">
        <f>IF(AND(ISNUMBER(资金流水!$B$1173),资金流水!$B$1173&gt;=$C$4,资金流水!$B$1173&lt;=$E$4,OR(资金流水!$C$1173=$C$3,AND(资金流水!$AD$1173=$C$3,资金流水!$X$1173="账户互转"))),INT(资金流水!$B$1173)*10000+1168,"")</f>
      </c>
    </row>
    <row r="1174">
      <c r="Z1174" s="2">
        <f>IF(AND(ISNUMBER(资金流水!$B$1174),资金流水!$B$1174&gt;=$C$4,资金流水!$B$1174&lt;=$E$4,OR(资金流水!$C$1174=$C$3,AND(资金流水!$AD$1174=$C$3,资金流水!$X$1174="账户互转"))),INT(资金流水!$B$1174)*10000+1169,"")</f>
      </c>
    </row>
    <row r="1175">
      <c r="Z1175" s="2">
        <f>IF(AND(ISNUMBER(资金流水!$B$1175),资金流水!$B$1175&gt;=$C$4,资金流水!$B$1175&lt;=$E$4,OR(资金流水!$C$1175=$C$3,AND(资金流水!$AD$1175=$C$3,资金流水!$X$1175="账户互转"))),INT(资金流水!$B$1175)*10000+1170,"")</f>
      </c>
    </row>
    <row r="1176">
      <c r="Z1176" s="2">
        <f>IF(AND(ISNUMBER(资金流水!$B$1176),资金流水!$B$1176&gt;=$C$4,资金流水!$B$1176&lt;=$E$4,OR(资金流水!$C$1176=$C$3,AND(资金流水!$AD$1176=$C$3,资金流水!$X$1176="账户互转"))),INT(资金流水!$B$1176)*10000+1171,"")</f>
      </c>
    </row>
    <row r="1177">
      <c r="Z1177" s="2">
        <f>IF(AND(ISNUMBER(资金流水!$B$1177),资金流水!$B$1177&gt;=$C$4,资金流水!$B$1177&lt;=$E$4,OR(资金流水!$C$1177=$C$3,AND(资金流水!$AD$1177=$C$3,资金流水!$X$1177="账户互转"))),INT(资金流水!$B$1177)*10000+1172,"")</f>
      </c>
    </row>
    <row r="1178">
      <c r="Z1178" s="2">
        <f>IF(AND(ISNUMBER(资金流水!$B$1178),资金流水!$B$1178&gt;=$C$4,资金流水!$B$1178&lt;=$E$4,OR(资金流水!$C$1178=$C$3,AND(资金流水!$AD$1178=$C$3,资金流水!$X$1178="账户互转"))),INT(资金流水!$B$1178)*10000+1173,"")</f>
      </c>
    </row>
    <row r="1179">
      <c r="Z1179" s="2">
        <f>IF(AND(ISNUMBER(资金流水!$B$1179),资金流水!$B$1179&gt;=$C$4,资金流水!$B$1179&lt;=$E$4,OR(资金流水!$C$1179=$C$3,AND(资金流水!$AD$1179=$C$3,资金流水!$X$1179="账户互转"))),INT(资金流水!$B$1179)*10000+1174,"")</f>
      </c>
    </row>
    <row r="1180">
      <c r="Z1180" s="2">
        <f>IF(AND(ISNUMBER(资金流水!$B$1180),资金流水!$B$1180&gt;=$C$4,资金流水!$B$1180&lt;=$E$4,OR(资金流水!$C$1180=$C$3,AND(资金流水!$AD$1180=$C$3,资金流水!$X$1180="账户互转"))),INT(资金流水!$B$1180)*10000+1175,"")</f>
      </c>
    </row>
    <row r="1181">
      <c r="Z1181" s="2">
        <f>IF(AND(ISNUMBER(资金流水!$B$1181),资金流水!$B$1181&gt;=$C$4,资金流水!$B$1181&lt;=$E$4,OR(资金流水!$C$1181=$C$3,AND(资金流水!$AD$1181=$C$3,资金流水!$X$1181="账户互转"))),INT(资金流水!$B$1181)*10000+1176,"")</f>
      </c>
    </row>
    <row r="1182">
      <c r="Z1182" s="2">
        <f>IF(AND(ISNUMBER(资金流水!$B$1182),资金流水!$B$1182&gt;=$C$4,资金流水!$B$1182&lt;=$E$4,OR(资金流水!$C$1182=$C$3,AND(资金流水!$AD$1182=$C$3,资金流水!$X$1182="账户互转"))),INT(资金流水!$B$1182)*10000+1177,"")</f>
      </c>
    </row>
    <row r="1183">
      <c r="Z1183" s="2">
        <f>IF(AND(ISNUMBER(资金流水!$B$1183),资金流水!$B$1183&gt;=$C$4,资金流水!$B$1183&lt;=$E$4,OR(资金流水!$C$1183=$C$3,AND(资金流水!$AD$1183=$C$3,资金流水!$X$1183="账户互转"))),INT(资金流水!$B$1183)*10000+1178,"")</f>
      </c>
    </row>
    <row r="1184">
      <c r="Z1184" s="2">
        <f>IF(AND(ISNUMBER(资金流水!$B$1184),资金流水!$B$1184&gt;=$C$4,资金流水!$B$1184&lt;=$E$4,OR(资金流水!$C$1184=$C$3,AND(资金流水!$AD$1184=$C$3,资金流水!$X$1184="账户互转"))),INT(资金流水!$B$1184)*10000+1179,"")</f>
      </c>
    </row>
    <row r="1185">
      <c r="Z1185" s="2">
        <f>IF(AND(ISNUMBER(资金流水!$B$1185),资金流水!$B$1185&gt;=$C$4,资金流水!$B$1185&lt;=$E$4,OR(资金流水!$C$1185=$C$3,AND(资金流水!$AD$1185=$C$3,资金流水!$X$1185="账户互转"))),INT(资金流水!$B$1185)*10000+1180,"")</f>
      </c>
    </row>
    <row r="1186">
      <c r="Z1186" s="2">
        <f>IF(AND(ISNUMBER(资金流水!$B$1186),资金流水!$B$1186&gt;=$C$4,资金流水!$B$1186&lt;=$E$4,OR(资金流水!$C$1186=$C$3,AND(资金流水!$AD$1186=$C$3,资金流水!$X$1186="账户互转"))),INT(资金流水!$B$1186)*10000+1181,"")</f>
      </c>
    </row>
    <row r="1187">
      <c r="Z1187" s="2">
        <f>IF(AND(ISNUMBER(资金流水!$B$1187),资金流水!$B$1187&gt;=$C$4,资金流水!$B$1187&lt;=$E$4,OR(资金流水!$C$1187=$C$3,AND(资金流水!$AD$1187=$C$3,资金流水!$X$1187="账户互转"))),INT(资金流水!$B$1187)*10000+1182,"")</f>
      </c>
    </row>
    <row r="1188">
      <c r="Z1188" s="2">
        <f>IF(AND(ISNUMBER(资金流水!$B$1188),资金流水!$B$1188&gt;=$C$4,资金流水!$B$1188&lt;=$E$4,OR(资金流水!$C$1188=$C$3,AND(资金流水!$AD$1188=$C$3,资金流水!$X$1188="账户互转"))),INT(资金流水!$B$1188)*10000+1183,"")</f>
      </c>
    </row>
    <row r="1189">
      <c r="Z1189" s="2">
        <f>IF(AND(ISNUMBER(资金流水!$B$1189),资金流水!$B$1189&gt;=$C$4,资金流水!$B$1189&lt;=$E$4,OR(资金流水!$C$1189=$C$3,AND(资金流水!$AD$1189=$C$3,资金流水!$X$1189="账户互转"))),INT(资金流水!$B$1189)*10000+1184,"")</f>
      </c>
    </row>
    <row r="1190">
      <c r="Z1190" s="2">
        <f>IF(AND(ISNUMBER(资金流水!$B$1190),资金流水!$B$1190&gt;=$C$4,资金流水!$B$1190&lt;=$E$4,OR(资金流水!$C$1190=$C$3,AND(资金流水!$AD$1190=$C$3,资金流水!$X$1190="账户互转"))),INT(资金流水!$B$1190)*10000+1185,"")</f>
      </c>
    </row>
    <row r="1191">
      <c r="Z1191" s="2">
        <f>IF(AND(ISNUMBER(资金流水!$B$1191),资金流水!$B$1191&gt;=$C$4,资金流水!$B$1191&lt;=$E$4,OR(资金流水!$C$1191=$C$3,AND(资金流水!$AD$1191=$C$3,资金流水!$X$1191="账户互转"))),INT(资金流水!$B$1191)*10000+1186,"")</f>
      </c>
    </row>
    <row r="1192">
      <c r="Z1192" s="2">
        <f>IF(AND(ISNUMBER(资金流水!$B$1192),资金流水!$B$1192&gt;=$C$4,资金流水!$B$1192&lt;=$E$4,OR(资金流水!$C$1192=$C$3,AND(资金流水!$AD$1192=$C$3,资金流水!$X$1192="账户互转"))),INT(资金流水!$B$1192)*10000+1187,"")</f>
      </c>
    </row>
    <row r="1193">
      <c r="Z1193" s="2">
        <f>IF(AND(ISNUMBER(资金流水!$B$1193),资金流水!$B$1193&gt;=$C$4,资金流水!$B$1193&lt;=$E$4,OR(资金流水!$C$1193=$C$3,AND(资金流水!$AD$1193=$C$3,资金流水!$X$1193="账户互转"))),INT(资金流水!$B$1193)*10000+1188,"")</f>
      </c>
    </row>
    <row r="1194">
      <c r="Z1194" s="2">
        <f>IF(AND(ISNUMBER(资金流水!$B$1194),资金流水!$B$1194&gt;=$C$4,资金流水!$B$1194&lt;=$E$4,OR(资金流水!$C$1194=$C$3,AND(资金流水!$AD$1194=$C$3,资金流水!$X$1194="账户互转"))),INT(资金流水!$B$1194)*10000+1189,"")</f>
      </c>
    </row>
    <row r="1195">
      <c r="Z1195" s="2">
        <f>IF(AND(ISNUMBER(资金流水!$B$1195),资金流水!$B$1195&gt;=$C$4,资金流水!$B$1195&lt;=$E$4,OR(资金流水!$C$1195=$C$3,AND(资金流水!$AD$1195=$C$3,资金流水!$X$1195="账户互转"))),INT(资金流水!$B$1195)*10000+1190,"")</f>
      </c>
    </row>
    <row r="1196">
      <c r="Z1196" s="2">
        <f>IF(AND(ISNUMBER(资金流水!$B$1196),资金流水!$B$1196&gt;=$C$4,资金流水!$B$1196&lt;=$E$4,OR(资金流水!$C$1196=$C$3,AND(资金流水!$AD$1196=$C$3,资金流水!$X$1196="账户互转"))),INT(资金流水!$B$1196)*10000+1191,"")</f>
      </c>
    </row>
    <row r="1197">
      <c r="Z1197" s="2">
        <f>IF(AND(ISNUMBER(资金流水!$B$1197),资金流水!$B$1197&gt;=$C$4,资金流水!$B$1197&lt;=$E$4,OR(资金流水!$C$1197=$C$3,AND(资金流水!$AD$1197=$C$3,资金流水!$X$1197="账户互转"))),INT(资金流水!$B$1197)*10000+1192,"")</f>
      </c>
    </row>
    <row r="1198">
      <c r="Z1198" s="2">
        <f>IF(AND(ISNUMBER(资金流水!$B$1198),资金流水!$B$1198&gt;=$C$4,资金流水!$B$1198&lt;=$E$4,OR(资金流水!$C$1198=$C$3,AND(资金流水!$AD$1198=$C$3,资金流水!$X$1198="账户互转"))),INT(资金流水!$B$1198)*10000+1193,"")</f>
      </c>
    </row>
    <row r="1199">
      <c r="Z1199" s="2">
        <f>IF(AND(ISNUMBER(资金流水!$B$1199),资金流水!$B$1199&gt;=$C$4,资金流水!$B$1199&lt;=$E$4,OR(资金流水!$C$1199=$C$3,AND(资金流水!$AD$1199=$C$3,资金流水!$X$1199="账户互转"))),INT(资金流水!$B$1199)*10000+1194,"")</f>
      </c>
    </row>
    <row r="1200">
      <c r="Z1200" s="2">
        <f>IF(AND(ISNUMBER(资金流水!$B$1200),资金流水!$B$1200&gt;=$C$4,资金流水!$B$1200&lt;=$E$4,OR(资金流水!$C$1200=$C$3,AND(资金流水!$AD$1200=$C$3,资金流水!$X$1200="账户互转"))),INT(资金流水!$B$1200)*10000+1195,"")</f>
      </c>
    </row>
    <row r="1201">
      <c r="Z1201" s="2">
        <f>IF(AND(ISNUMBER(资金流水!$B$1201),资金流水!$B$1201&gt;=$C$4,资金流水!$B$1201&lt;=$E$4,OR(资金流水!$C$1201=$C$3,AND(资金流水!$AD$1201=$C$3,资金流水!$X$1201="账户互转"))),INT(资金流水!$B$1201)*10000+1196,"")</f>
      </c>
    </row>
    <row r="1202">
      <c r="Z1202" s="2">
        <f>IF(AND(ISNUMBER(资金流水!$B$1202),资金流水!$B$1202&gt;=$C$4,资金流水!$B$1202&lt;=$E$4,OR(资金流水!$C$1202=$C$3,AND(资金流水!$AD$1202=$C$3,资金流水!$X$1202="账户互转"))),INT(资金流水!$B$1202)*10000+1197,"")</f>
      </c>
    </row>
    <row r="1203">
      <c r="Z1203" s="2">
        <f>IF(AND(ISNUMBER(资金流水!$B$1203),资金流水!$B$1203&gt;=$C$4,资金流水!$B$1203&lt;=$E$4,OR(资金流水!$C$1203=$C$3,AND(资金流水!$AD$1203=$C$3,资金流水!$X$1203="账户互转"))),INT(资金流水!$B$1203)*10000+1198,"")</f>
      </c>
    </row>
    <row r="1204">
      <c r="Z1204" s="2">
        <f>IF(AND(ISNUMBER(资金流水!$B$1204),资金流水!$B$1204&gt;=$C$4,资金流水!$B$1204&lt;=$E$4,OR(资金流水!$C$1204=$C$3,AND(资金流水!$AD$1204=$C$3,资金流水!$X$1204="账户互转"))),INT(资金流水!$B$1204)*10000+1199,"")</f>
      </c>
    </row>
    <row r="1205">
      <c r="Z1205" s="2">
        <f>IF(AND(ISNUMBER(资金流水!$B$1205),资金流水!$B$1205&gt;=$C$4,资金流水!$B$1205&lt;=$E$4,OR(资金流水!$C$1205=$C$3,AND(资金流水!$AD$1205=$C$3,资金流水!$X$1205="账户互转"))),INT(资金流水!$B$1205)*10000+1200,"")</f>
      </c>
    </row>
    <row r="1206">
      <c r="Z1206" s="2">
        <f>IF(AND(ISNUMBER(资金流水!$B$1206),资金流水!$B$1206&gt;=$C$4,资金流水!$B$1206&lt;=$E$4,OR(资金流水!$C$1206=$C$3,AND(资金流水!$AD$1206=$C$3,资金流水!$X$1206="账户互转"))),INT(资金流水!$B$1206)*10000+1201,"")</f>
      </c>
    </row>
    <row r="1207">
      <c r="Z1207" s="2">
        <f>IF(AND(ISNUMBER(资金流水!$B$1207),资金流水!$B$1207&gt;=$C$4,资金流水!$B$1207&lt;=$E$4,OR(资金流水!$C$1207=$C$3,AND(资金流水!$AD$1207=$C$3,资金流水!$X$1207="账户互转"))),INT(资金流水!$B$1207)*10000+1202,"")</f>
      </c>
    </row>
    <row r="1208">
      <c r="Z1208" s="2">
        <f>IF(AND(ISNUMBER(资金流水!$B$1208),资金流水!$B$1208&gt;=$C$4,资金流水!$B$1208&lt;=$E$4,OR(资金流水!$C$1208=$C$3,AND(资金流水!$AD$1208=$C$3,资金流水!$X$1208="账户互转"))),INT(资金流水!$B$1208)*10000+1203,"")</f>
      </c>
    </row>
    <row r="1209">
      <c r="Z1209" s="2">
        <f>IF(AND(ISNUMBER(资金流水!$B$1209),资金流水!$B$1209&gt;=$C$4,资金流水!$B$1209&lt;=$E$4,OR(资金流水!$C$1209=$C$3,AND(资金流水!$AD$1209=$C$3,资金流水!$X$1209="账户互转"))),INT(资金流水!$B$1209)*10000+1204,"")</f>
      </c>
    </row>
    <row r="1210">
      <c r="Z1210" s="2">
        <f>IF(AND(ISNUMBER(资金流水!$B$1210),资金流水!$B$1210&gt;=$C$4,资金流水!$B$1210&lt;=$E$4,OR(资金流水!$C$1210=$C$3,AND(资金流水!$AD$1210=$C$3,资金流水!$X$1210="账户互转"))),INT(资金流水!$B$1210)*10000+1205,"")</f>
      </c>
    </row>
    <row r="1211">
      <c r="Z1211" s="2">
        <f>IF(AND(ISNUMBER(资金流水!$B$1211),资金流水!$B$1211&gt;=$C$4,资金流水!$B$1211&lt;=$E$4,OR(资金流水!$C$1211=$C$3,AND(资金流水!$AD$1211=$C$3,资金流水!$X$1211="账户互转"))),INT(资金流水!$B$1211)*10000+1206,"")</f>
      </c>
    </row>
    <row r="1212">
      <c r="Z1212" s="2">
        <f>IF(AND(ISNUMBER(资金流水!$B$1212),资金流水!$B$1212&gt;=$C$4,资金流水!$B$1212&lt;=$E$4,OR(资金流水!$C$1212=$C$3,AND(资金流水!$AD$1212=$C$3,资金流水!$X$1212="账户互转"))),INT(资金流水!$B$1212)*10000+1207,"")</f>
      </c>
    </row>
    <row r="1213">
      <c r="Z1213" s="2">
        <f>IF(AND(ISNUMBER(资金流水!$B$1213),资金流水!$B$1213&gt;=$C$4,资金流水!$B$1213&lt;=$E$4,OR(资金流水!$C$1213=$C$3,AND(资金流水!$AD$1213=$C$3,资金流水!$X$1213="账户互转"))),INT(资金流水!$B$1213)*10000+1208,"")</f>
      </c>
    </row>
    <row r="1214">
      <c r="Z1214" s="2">
        <f>IF(AND(ISNUMBER(资金流水!$B$1214),资金流水!$B$1214&gt;=$C$4,资金流水!$B$1214&lt;=$E$4,OR(资金流水!$C$1214=$C$3,AND(资金流水!$AD$1214=$C$3,资金流水!$X$1214="账户互转"))),INT(资金流水!$B$1214)*10000+1209,"")</f>
      </c>
    </row>
    <row r="1215">
      <c r="Z1215" s="2">
        <f>IF(AND(ISNUMBER(资金流水!$B$1215),资金流水!$B$1215&gt;=$C$4,资金流水!$B$1215&lt;=$E$4,OR(资金流水!$C$1215=$C$3,AND(资金流水!$AD$1215=$C$3,资金流水!$X$1215="账户互转"))),INT(资金流水!$B$1215)*10000+1210,"")</f>
      </c>
    </row>
    <row r="1216">
      <c r="Z1216" s="2">
        <f>IF(AND(ISNUMBER(资金流水!$B$1216),资金流水!$B$1216&gt;=$C$4,资金流水!$B$1216&lt;=$E$4,OR(资金流水!$C$1216=$C$3,AND(资金流水!$AD$1216=$C$3,资金流水!$X$1216="账户互转"))),INT(资金流水!$B$1216)*10000+1211,"")</f>
      </c>
    </row>
    <row r="1217">
      <c r="Z1217" s="2">
        <f>IF(AND(ISNUMBER(资金流水!$B$1217),资金流水!$B$1217&gt;=$C$4,资金流水!$B$1217&lt;=$E$4,OR(资金流水!$C$1217=$C$3,AND(资金流水!$AD$1217=$C$3,资金流水!$X$1217="账户互转"))),INT(资金流水!$B$1217)*10000+1212,"")</f>
      </c>
    </row>
    <row r="1218">
      <c r="Z1218" s="2">
        <f>IF(AND(ISNUMBER(资金流水!$B$1218),资金流水!$B$1218&gt;=$C$4,资金流水!$B$1218&lt;=$E$4,OR(资金流水!$C$1218=$C$3,AND(资金流水!$AD$1218=$C$3,资金流水!$X$1218="账户互转"))),INT(资金流水!$B$1218)*10000+1213,"")</f>
      </c>
    </row>
    <row r="1219">
      <c r="Z1219" s="2">
        <f>IF(AND(ISNUMBER(资金流水!$B$1219),资金流水!$B$1219&gt;=$C$4,资金流水!$B$1219&lt;=$E$4,OR(资金流水!$C$1219=$C$3,AND(资金流水!$AD$1219=$C$3,资金流水!$X$1219="账户互转"))),INT(资金流水!$B$1219)*10000+1214,"")</f>
      </c>
    </row>
    <row r="1220">
      <c r="Z1220" s="2">
        <f>IF(AND(ISNUMBER(资金流水!$B$1220),资金流水!$B$1220&gt;=$C$4,资金流水!$B$1220&lt;=$E$4,OR(资金流水!$C$1220=$C$3,AND(资金流水!$AD$1220=$C$3,资金流水!$X$1220="账户互转"))),INT(资金流水!$B$1220)*10000+1215,"")</f>
      </c>
    </row>
    <row r="1221">
      <c r="Z1221" s="2">
        <f>IF(AND(ISNUMBER(资金流水!$B$1221),资金流水!$B$1221&gt;=$C$4,资金流水!$B$1221&lt;=$E$4,OR(资金流水!$C$1221=$C$3,AND(资金流水!$AD$1221=$C$3,资金流水!$X$1221="账户互转"))),INT(资金流水!$B$1221)*10000+1216,"")</f>
      </c>
    </row>
    <row r="1222">
      <c r="Z1222" s="2">
        <f>IF(AND(ISNUMBER(资金流水!$B$1222),资金流水!$B$1222&gt;=$C$4,资金流水!$B$1222&lt;=$E$4,OR(资金流水!$C$1222=$C$3,AND(资金流水!$AD$1222=$C$3,资金流水!$X$1222="账户互转"))),INT(资金流水!$B$1222)*10000+1217,"")</f>
      </c>
    </row>
    <row r="1223">
      <c r="Z1223" s="2">
        <f>IF(AND(ISNUMBER(资金流水!$B$1223),资金流水!$B$1223&gt;=$C$4,资金流水!$B$1223&lt;=$E$4,OR(资金流水!$C$1223=$C$3,AND(资金流水!$AD$1223=$C$3,资金流水!$X$1223="账户互转"))),INT(资金流水!$B$1223)*10000+1218,"")</f>
      </c>
    </row>
    <row r="1224">
      <c r="Z1224" s="2">
        <f>IF(AND(ISNUMBER(资金流水!$B$1224),资金流水!$B$1224&gt;=$C$4,资金流水!$B$1224&lt;=$E$4,OR(资金流水!$C$1224=$C$3,AND(资金流水!$AD$1224=$C$3,资金流水!$X$1224="账户互转"))),INT(资金流水!$B$1224)*10000+1219,"")</f>
      </c>
    </row>
    <row r="1225">
      <c r="Z1225" s="2">
        <f>IF(AND(ISNUMBER(资金流水!$B$1225),资金流水!$B$1225&gt;=$C$4,资金流水!$B$1225&lt;=$E$4,OR(资金流水!$C$1225=$C$3,AND(资金流水!$AD$1225=$C$3,资金流水!$X$1225="账户互转"))),INT(资金流水!$B$1225)*10000+1220,"")</f>
      </c>
    </row>
    <row r="1226">
      <c r="Z1226" s="2">
        <f>IF(AND(ISNUMBER(资金流水!$B$1226),资金流水!$B$1226&gt;=$C$4,资金流水!$B$1226&lt;=$E$4,OR(资金流水!$C$1226=$C$3,AND(资金流水!$AD$1226=$C$3,资金流水!$X$1226="账户互转"))),INT(资金流水!$B$1226)*10000+1221,"")</f>
      </c>
    </row>
    <row r="1227">
      <c r="Z1227" s="2">
        <f>IF(AND(ISNUMBER(资金流水!$B$1227),资金流水!$B$1227&gt;=$C$4,资金流水!$B$1227&lt;=$E$4,OR(资金流水!$C$1227=$C$3,AND(资金流水!$AD$1227=$C$3,资金流水!$X$1227="账户互转"))),INT(资金流水!$B$1227)*10000+1222,"")</f>
      </c>
    </row>
    <row r="1228">
      <c r="Z1228" s="2">
        <f>IF(AND(ISNUMBER(资金流水!$B$1228),资金流水!$B$1228&gt;=$C$4,资金流水!$B$1228&lt;=$E$4,OR(资金流水!$C$1228=$C$3,AND(资金流水!$AD$1228=$C$3,资金流水!$X$1228="账户互转"))),INT(资金流水!$B$1228)*10000+1223,"")</f>
      </c>
    </row>
    <row r="1229">
      <c r="Z1229" s="2">
        <f>IF(AND(ISNUMBER(资金流水!$B$1229),资金流水!$B$1229&gt;=$C$4,资金流水!$B$1229&lt;=$E$4,OR(资金流水!$C$1229=$C$3,AND(资金流水!$AD$1229=$C$3,资金流水!$X$1229="账户互转"))),INT(资金流水!$B$1229)*10000+1224,"")</f>
      </c>
    </row>
    <row r="1230">
      <c r="Z1230" s="2">
        <f>IF(AND(ISNUMBER(资金流水!$B$1230),资金流水!$B$1230&gt;=$C$4,资金流水!$B$1230&lt;=$E$4,OR(资金流水!$C$1230=$C$3,AND(资金流水!$AD$1230=$C$3,资金流水!$X$1230="账户互转"))),INT(资金流水!$B$1230)*10000+1225,"")</f>
      </c>
    </row>
    <row r="1231">
      <c r="Z1231" s="2">
        <f>IF(AND(ISNUMBER(资金流水!$B$1231),资金流水!$B$1231&gt;=$C$4,资金流水!$B$1231&lt;=$E$4,OR(资金流水!$C$1231=$C$3,AND(资金流水!$AD$1231=$C$3,资金流水!$X$1231="账户互转"))),INT(资金流水!$B$1231)*10000+1226,"")</f>
      </c>
    </row>
    <row r="1232">
      <c r="Z1232" s="2">
        <f>IF(AND(ISNUMBER(资金流水!$B$1232),资金流水!$B$1232&gt;=$C$4,资金流水!$B$1232&lt;=$E$4,OR(资金流水!$C$1232=$C$3,AND(资金流水!$AD$1232=$C$3,资金流水!$X$1232="账户互转"))),INT(资金流水!$B$1232)*10000+1227,"")</f>
      </c>
    </row>
    <row r="1233">
      <c r="Z1233" s="2">
        <f>IF(AND(ISNUMBER(资金流水!$B$1233),资金流水!$B$1233&gt;=$C$4,资金流水!$B$1233&lt;=$E$4,OR(资金流水!$C$1233=$C$3,AND(资金流水!$AD$1233=$C$3,资金流水!$X$1233="账户互转"))),INT(资金流水!$B$1233)*10000+1228,"")</f>
      </c>
    </row>
    <row r="1234">
      <c r="Z1234" s="2">
        <f>IF(AND(ISNUMBER(资金流水!$B$1234),资金流水!$B$1234&gt;=$C$4,资金流水!$B$1234&lt;=$E$4,OR(资金流水!$C$1234=$C$3,AND(资金流水!$AD$1234=$C$3,资金流水!$X$1234="账户互转"))),INT(资金流水!$B$1234)*10000+1229,"")</f>
      </c>
    </row>
    <row r="1235">
      <c r="Z1235" s="2">
        <f>IF(AND(ISNUMBER(资金流水!$B$1235),资金流水!$B$1235&gt;=$C$4,资金流水!$B$1235&lt;=$E$4,OR(资金流水!$C$1235=$C$3,AND(资金流水!$AD$1235=$C$3,资金流水!$X$1235="账户互转"))),INT(资金流水!$B$1235)*10000+1230,"")</f>
      </c>
    </row>
    <row r="1236">
      <c r="Z1236" s="2">
        <f>IF(AND(ISNUMBER(资金流水!$B$1236),资金流水!$B$1236&gt;=$C$4,资金流水!$B$1236&lt;=$E$4,OR(资金流水!$C$1236=$C$3,AND(资金流水!$AD$1236=$C$3,资金流水!$X$1236="账户互转"))),INT(资金流水!$B$1236)*10000+1231,"")</f>
      </c>
    </row>
    <row r="1237">
      <c r="Z1237" s="2">
        <f>IF(AND(ISNUMBER(资金流水!$B$1237),资金流水!$B$1237&gt;=$C$4,资金流水!$B$1237&lt;=$E$4,OR(资金流水!$C$1237=$C$3,AND(资金流水!$AD$1237=$C$3,资金流水!$X$1237="账户互转"))),INT(资金流水!$B$1237)*10000+1232,"")</f>
      </c>
    </row>
    <row r="1238">
      <c r="Z1238" s="2">
        <f>IF(AND(ISNUMBER(资金流水!$B$1238),资金流水!$B$1238&gt;=$C$4,资金流水!$B$1238&lt;=$E$4,OR(资金流水!$C$1238=$C$3,AND(资金流水!$AD$1238=$C$3,资金流水!$X$1238="账户互转"))),INT(资金流水!$B$1238)*10000+1233,"")</f>
      </c>
    </row>
    <row r="1239">
      <c r="Z1239" s="2">
        <f>IF(AND(ISNUMBER(资金流水!$B$1239),资金流水!$B$1239&gt;=$C$4,资金流水!$B$1239&lt;=$E$4,OR(资金流水!$C$1239=$C$3,AND(资金流水!$AD$1239=$C$3,资金流水!$X$1239="账户互转"))),INT(资金流水!$B$1239)*10000+1234,"")</f>
      </c>
    </row>
    <row r="1240">
      <c r="Z1240" s="2">
        <f>IF(AND(ISNUMBER(资金流水!$B$1240),资金流水!$B$1240&gt;=$C$4,资金流水!$B$1240&lt;=$E$4,OR(资金流水!$C$1240=$C$3,AND(资金流水!$AD$1240=$C$3,资金流水!$X$1240="账户互转"))),INT(资金流水!$B$1240)*10000+1235,"")</f>
      </c>
    </row>
    <row r="1241">
      <c r="Z1241" s="2">
        <f>IF(AND(ISNUMBER(资金流水!$B$1241),资金流水!$B$1241&gt;=$C$4,资金流水!$B$1241&lt;=$E$4,OR(资金流水!$C$1241=$C$3,AND(资金流水!$AD$1241=$C$3,资金流水!$X$1241="账户互转"))),INT(资金流水!$B$1241)*10000+1236,"")</f>
      </c>
    </row>
    <row r="1242">
      <c r="Z1242" s="2">
        <f>IF(AND(ISNUMBER(资金流水!$B$1242),资金流水!$B$1242&gt;=$C$4,资金流水!$B$1242&lt;=$E$4,OR(资金流水!$C$1242=$C$3,AND(资金流水!$AD$1242=$C$3,资金流水!$X$1242="账户互转"))),INT(资金流水!$B$1242)*10000+1237,"")</f>
      </c>
    </row>
    <row r="1243">
      <c r="Z1243" s="2">
        <f>IF(AND(ISNUMBER(资金流水!$B$1243),资金流水!$B$1243&gt;=$C$4,资金流水!$B$1243&lt;=$E$4,OR(资金流水!$C$1243=$C$3,AND(资金流水!$AD$1243=$C$3,资金流水!$X$1243="账户互转"))),INT(资金流水!$B$1243)*10000+1238,"")</f>
      </c>
    </row>
    <row r="1244">
      <c r="Z1244" s="2">
        <f>IF(AND(ISNUMBER(资金流水!$B$1244),资金流水!$B$1244&gt;=$C$4,资金流水!$B$1244&lt;=$E$4,OR(资金流水!$C$1244=$C$3,AND(资金流水!$AD$1244=$C$3,资金流水!$X$1244="账户互转"))),INT(资金流水!$B$1244)*10000+1239,"")</f>
      </c>
    </row>
    <row r="1245">
      <c r="Z1245" s="2">
        <f>IF(AND(ISNUMBER(资金流水!$B$1245),资金流水!$B$1245&gt;=$C$4,资金流水!$B$1245&lt;=$E$4,OR(资金流水!$C$1245=$C$3,AND(资金流水!$AD$1245=$C$3,资金流水!$X$1245="账户互转"))),INT(资金流水!$B$1245)*10000+1240,"")</f>
      </c>
    </row>
    <row r="1246">
      <c r="Z1246" s="2">
        <f>IF(AND(ISNUMBER(资金流水!$B$1246),资金流水!$B$1246&gt;=$C$4,资金流水!$B$1246&lt;=$E$4,OR(资金流水!$C$1246=$C$3,AND(资金流水!$AD$1246=$C$3,资金流水!$X$1246="账户互转"))),INT(资金流水!$B$1246)*10000+1241,"")</f>
      </c>
    </row>
    <row r="1247">
      <c r="Z1247" s="2">
        <f>IF(AND(ISNUMBER(资金流水!$B$1247),资金流水!$B$1247&gt;=$C$4,资金流水!$B$1247&lt;=$E$4,OR(资金流水!$C$1247=$C$3,AND(资金流水!$AD$1247=$C$3,资金流水!$X$1247="账户互转"))),INT(资金流水!$B$1247)*10000+1242,"")</f>
      </c>
    </row>
    <row r="1248">
      <c r="Z1248" s="2">
        <f>IF(AND(ISNUMBER(资金流水!$B$1248),资金流水!$B$1248&gt;=$C$4,资金流水!$B$1248&lt;=$E$4,OR(资金流水!$C$1248=$C$3,AND(资金流水!$AD$1248=$C$3,资金流水!$X$1248="账户互转"))),INT(资金流水!$B$1248)*10000+1243,"")</f>
      </c>
    </row>
    <row r="1249">
      <c r="Z1249" s="2">
        <f>IF(AND(ISNUMBER(资金流水!$B$1249),资金流水!$B$1249&gt;=$C$4,资金流水!$B$1249&lt;=$E$4,OR(资金流水!$C$1249=$C$3,AND(资金流水!$AD$1249=$C$3,资金流水!$X$1249="账户互转"))),INT(资金流水!$B$1249)*10000+1244,"")</f>
      </c>
    </row>
    <row r="1250">
      <c r="Z1250" s="2">
        <f>IF(AND(ISNUMBER(资金流水!$B$1250),资金流水!$B$1250&gt;=$C$4,资金流水!$B$1250&lt;=$E$4,OR(资金流水!$C$1250=$C$3,AND(资金流水!$AD$1250=$C$3,资金流水!$X$1250="账户互转"))),INT(资金流水!$B$1250)*10000+1245,"")</f>
      </c>
    </row>
    <row r="1251">
      <c r="Z1251" s="2">
        <f>IF(AND(ISNUMBER(资金流水!$B$1251),资金流水!$B$1251&gt;=$C$4,资金流水!$B$1251&lt;=$E$4,OR(资金流水!$C$1251=$C$3,AND(资金流水!$AD$1251=$C$3,资金流水!$X$1251="账户互转"))),INT(资金流水!$B$1251)*10000+1246,"")</f>
      </c>
    </row>
    <row r="1252">
      <c r="Z1252" s="2">
        <f>IF(AND(ISNUMBER(资金流水!$B$1252),资金流水!$B$1252&gt;=$C$4,资金流水!$B$1252&lt;=$E$4,OR(资金流水!$C$1252=$C$3,AND(资金流水!$AD$1252=$C$3,资金流水!$X$1252="账户互转"))),INT(资金流水!$B$1252)*10000+1247,"")</f>
      </c>
    </row>
    <row r="1253">
      <c r="Z1253" s="2">
        <f>IF(AND(ISNUMBER(资金流水!$B$1253),资金流水!$B$1253&gt;=$C$4,资金流水!$B$1253&lt;=$E$4,OR(资金流水!$C$1253=$C$3,AND(资金流水!$AD$1253=$C$3,资金流水!$X$1253="账户互转"))),INT(资金流水!$B$1253)*10000+1248,"")</f>
      </c>
    </row>
    <row r="1254">
      <c r="Z1254" s="2">
        <f>IF(AND(ISNUMBER(资金流水!$B$1254),资金流水!$B$1254&gt;=$C$4,资金流水!$B$1254&lt;=$E$4,OR(资金流水!$C$1254=$C$3,AND(资金流水!$AD$1254=$C$3,资金流水!$X$1254="账户互转"))),INT(资金流水!$B$1254)*10000+1249,"")</f>
      </c>
    </row>
    <row r="1255">
      <c r="Z1255" s="2">
        <f>IF(AND(ISNUMBER(资金流水!$B$1255),资金流水!$B$1255&gt;=$C$4,资金流水!$B$1255&lt;=$E$4,OR(资金流水!$C$1255=$C$3,AND(资金流水!$AD$1255=$C$3,资金流水!$X$1255="账户互转"))),INT(资金流水!$B$1255)*10000+1250,"")</f>
      </c>
    </row>
    <row r="1256">
      <c r="Z1256" s="2">
        <f>IF(AND(ISNUMBER(资金流水!$B$1256),资金流水!$B$1256&gt;=$C$4,资金流水!$B$1256&lt;=$E$4,OR(资金流水!$C$1256=$C$3,AND(资金流水!$AD$1256=$C$3,资金流水!$X$1256="账户互转"))),INT(资金流水!$B$1256)*10000+1251,"")</f>
      </c>
    </row>
    <row r="1257">
      <c r="Z1257" s="2">
        <f>IF(AND(ISNUMBER(资金流水!$B$1257),资金流水!$B$1257&gt;=$C$4,资金流水!$B$1257&lt;=$E$4,OR(资金流水!$C$1257=$C$3,AND(资金流水!$AD$1257=$C$3,资金流水!$X$1257="账户互转"))),INT(资金流水!$B$1257)*10000+1252,"")</f>
      </c>
    </row>
    <row r="1258">
      <c r="Z1258" s="2">
        <f>IF(AND(ISNUMBER(资金流水!$B$1258),资金流水!$B$1258&gt;=$C$4,资金流水!$B$1258&lt;=$E$4,OR(资金流水!$C$1258=$C$3,AND(资金流水!$AD$1258=$C$3,资金流水!$X$1258="账户互转"))),INT(资金流水!$B$1258)*10000+1253,"")</f>
      </c>
    </row>
    <row r="1259">
      <c r="Z1259" s="2">
        <f>IF(AND(ISNUMBER(资金流水!$B$1259),资金流水!$B$1259&gt;=$C$4,资金流水!$B$1259&lt;=$E$4,OR(资金流水!$C$1259=$C$3,AND(资金流水!$AD$1259=$C$3,资金流水!$X$1259="账户互转"))),INT(资金流水!$B$1259)*10000+1254,"")</f>
      </c>
    </row>
    <row r="1260">
      <c r="Z1260" s="2">
        <f>IF(AND(ISNUMBER(资金流水!$B$1260),资金流水!$B$1260&gt;=$C$4,资金流水!$B$1260&lt;=$E$4,OR(资金流水!$C$1260=$C$3,AND(资金流水!$AD$1260=$C$3,资金流水!$X$1260="账户互转"))),INT(资金流水!$B$1260)*10000+1255,"")</f>
      </c>
    </row>
    <row r="1261">
      <c r="Z1261" s="2">
        <f>IF(AND(ISNUMBER(资金流水!$B$1261),资金流水!$B$1261&gt;=$C$4,资金流水!$B$1261&lt;=$E$4,OR(资金流水!$C$1261=$C$3,AND(资金流水!$AD$1261=$C$3,资金流水!$X$1261="账户互转"))),INT(资金流水!$B$1261)*10000+1256,"")</f>
      </c>
    </row>
    <row r="1262">
      <c r="Z1262" s="2">
        <f>IF(AND(ISNUMBER(资金流水!$B$1262),资金流水!$B$1262&gt;=$C$4,资金流水!$B$1262&lt;=$E$4,OR(资金流水!$C$1262=$C$3,AND(资金流水!$AD$1262=$C$3,资金流水!$X$1262="账户互转"))),INT(资金流水!$B$1262)*10000+1257,"")</f>
      </c>
    </row>
    <row r="1263">
      <c r="Z1263" s="2">
        <f>IF(AND(ISNUMBER(资金流水!$B$1263),资金流水!$B$1263&gt;=$C$4,资金流水!$B$1263&lt;=$E$4,OR(资金流水!$C$1263=$C$3,AND(资金流水!$AD$1263=$C$3,资金流水!$X$1263="账户互转"))),INT(资金流水!$B$1263)*10000+1258,"")</f>
      </c>
    </row>
    <row r="1264">
      <c r="Z1264" s="2">
        <f>IF(AND(ISNUMBER(资金流水!$B$1264),资金流水!$B$1264&gt;=$C$4,资金流水!$B$1264&lt;=$E$4,OR(资金流水!$C$1264=$C$3,AND(资金流水!$AD$1264=$C$3,资金流水!$X$1264="账户互转"))),INT(资金流水!$B$1264)*10000+1259,"")</f>
      </c>
    </row>
    <row r="1265">
      <c r="Z1265" s="2">
        <f>IF(AND(ISNUMBER(资金流水!$B$1265),资金流水!$B$1265&gt;=$C$4,资金流水!$B$1265&lt;=$E$4,OR(资金流水!$C$1265=$C$3,AND(资金流水!$AD$1265=$C$3,资金流水!$X$1265="账户互转"))),INT(资金流水!$B$1265)*10000+1260,"")</f>
      </c>
    </row>
    <row r="1266">
      <c r="Z1266" s="2">
        <f>IF(AND(ISNUMBER(资金流水!$B$1266),资金流水!$B$1266&gt;=$C$4,资金流水!$B$1266&lt;=$E$4,OR(资金流水!$C$1266=$C$3,AND(资金流水!$AD$1266=$C$3,资金流水!$X$1266="账户互转"))),INT(资金流水!$B$1266)*10000+1261,"")</f>
      </c>
    </row>
    <row r="1267">
      <c r="Z1267" s="2">
        <f>IF(AND(ISNUMBER(资金流水!$B$1267),资金流水!$B$1267&gt;=$C$4,资金流水!$B$1267&lt;=$E$4,OR(资金流水!$C$1267=$C$3,AND(资金流水!$AD$1267=$C$3,资金流水!$X$1267="账户互转"))),INT(资金流水!$B$1267)*10000+1262,"")</f>
      </c>
    </row>
    <row r="1268">
      <c r="Z1268" s="2">
        <f>IF(AND(ISNUMBER(资金流水!$B$1268),资金流水!$B$1268&gt;=$C$4,资金流水!$B$1268&lt;=$E$4,OR(资金流水!$C$1268=$C$3,AND(资金流水!$AD$1268=$C$3,资金流水!$X$1268="账户互转"))),INT(资金流水!$B$1268)*10000+1263,"")</f>
      </c>
    </row>
    <row r="1269">
      <c r="Z1269" s="2">
        <f>IF(AND(ISNUMBER(资金流水!$B$1269),资金流水!$B$1269&gt;=$C$4,资金流水!$B$1269&lt;=$E$4,OR(资金流水!$C$1269=$C$3,AND(资金流水!$AD$1269=$C$3,资金流水!$X$1269="账户互转"))),INT(资金流水!$B$1269)*10000+1264,"")</f>
      </c>
    </row>
    <row r="1270">
      <c r="Z1270" s="2">
        <f>IF(AND(ISNUMBER(资金流水!$B$1270),资金流水!$B$1270&gt;=$C$4,资金流水!$B$1270&lt;=$E$4,OR(资金流水!$C$1270=$C$3,AND(资金流水!$AD$1270=$C$3,资金流水!$X$1270="账户互转"))),INT(资金流水!$B$1270)*10000+1265,"")</f>
      </c>
    </row>
    <row r="1271">
      <c r="Z1271" s="2">
        <f>IF(AND(ISNUMBER(资金流水!$B$1271),资金流水!$B$1271&gt;=$C$4,资金流水!$B$1271&lt;=$E$4,OR(资金流水!$C$1271=$C$3,AND(资金流水!$AD$1271=$C$3,资金流水!$X$1271="账户互转"))),INT(资金流水!$B$1271)*10000+1266,"")</f>
      </c>
    </row>
    <row r="1272">
      <c r="Z1272" s="2">
        <f>IF(AND(ISNUMBER(资金流水!$B$1272),资金流水!$B$1272&gt;=$C$4,资金流水!$B$1272&lt;=$E$4,OR(资金流水!$C$1272=$C$3,AND(资金流水!$AD$1272=$C$3,资金流水!$X$1272="账户互转"))),INT(资金流水!$B$1272)*10000+1267,"")</f>
      </c>
    </row>
    <row r="1273">
      <c r="Z1273" s="2">
        <f>IF(AND(ISNUMBER(资金流水!$B$1273),资金流水!$B$1273&gt;=$C$4,资金流水!$B$1273&lt;=$E$4,OR(资金流水!$C$1273=$C$3,AND(资金流水!$AD$1273=$C$3,资金流水!$X$1273="账户互转"))),INT(资金流水!$B$1273)*10000+1268,"")</f>
      </c>
    </row>
    <row r="1274">
      <c r="Z1274" s="2">
        <f>IF(AND(ISNUMBER(资金流水!$B$1274),资金流水!$B$1274&gt;=$C$4,资金流水!$B$1274&lt;=$E$4,OR(资金流水!$C$1274=$C$3,AND(资金流水!$AD$1274=$C$3,资金流水!$X$1274="账户互转"))),INT(资金流水!$B$1274)*10000+1269,"")</f>
      </c>
    </row>
    <row r="1275">
      <c r="Z1275" s="2">
        <f>IF(AND(ISNUMBER(资金流水!$B$1275),资金流水!$B$1275&gt;=$C$4,资金流水!$B$1275&lt;=$E$4,OR(资金流水!$C$1275=$C$3,AND(资金流水!$AD$1275=$C$3,资金流水!$X$1275="账户互转"))),INT(资金流水!$B$1275)*10000+1270,"")</f>
      </c>
    </row>
    <row r="1276">
      <c r="Z1276" s="2">
        <f>IF(AND(ISNUMBER(资金流水!$B$1276),资金流水!$B$1276&gt;=$C$4,资金流水!$B$1276&lt;=$E$4,OR(资金流水!$C$1276=$C$3,AND(资金流水!$AD$1276=$C$3,资金流水!$X$1276="账户互转"))),INT(资金流水!$B$1276)*10000+1271,"")</f>
      </c>
    </row>
    <row r="1277">
      <c r="Z1277" s="2">
        <f>IF(AND(ISNUMBER(资金流水!$B$1277),资金流水!$B$1277&gt;=$C$4,资金流水!$B$1277&lt;=$E$4,OR(资金流水!$C$1277=$C$3,AND(资金流水!$AD$1277=$C$3,资金流水!$X$1277="账户互转"))),INT(资金流水!$B$1277)*10000+1272,"")</f>
      </c>
    </row>
    <row r="1278">
      <c r="Z1278" s="2">
        <f>IF(AND(ISNUMBER(资金流水!$B$1278),资金流水!$B$1278&gt;=$C$4,资金流水!$B$1278&lt;=$E$4,OR(资金流水!$C$1278=$C$3,AND(资金流水!$AD$1278=$C$3,资金流水!$X$1278="账户互转"))),INT(资金流水!$B$1278)*10000+1273,"")</f>
      </c>
    </row>
    <row r="1279">
      <c r="Z1279" s="2">
        <f>IF(AND(ISNUMBER(资金流水!$B$1279),资金流水!$B$1279&gt;=$C$4,资金流水!$B$1279&lt;=$E$4,OR(资金流水!$C$1279=$C$3,AND(资金流水!$AD$1279=$C$3,资金流水!$X$1279="账户互转"))),INT(资金流水!$B$1279)*10000+1274,"")</f>
      </c>
    </row>
    <row r="1280">
      <c r="Z1280" s="2">
        <f>IF(AND(ISNUMBER(资金流水!$B$1280),资金流水!$B$1280&gt;=$C$4,资金流水!$B$1280&lt;=$E$4,OR(资金流水!$C$1280=$C$3,AND(资金流水!$AD$1280=$C$3,资金流水!$X$1280="账户互转"))),INT(资金流水!$B$1280)*10000+1275,"")</f>
      </c>
    </row>
    <row r="1281">
      <c r="Z1281" s="2">
        <f>IF(AND(ISNUMBER(资金流水!$B$1281),资金流水!$B$1281&gt;=$C$4,资金流水!$B$1281&lt;=$E$4,OR(资金流水!$C$1281=$C$3,AND(资金流水!$AD$1281=$C$3,资金流水!$X$1281="账户互转"))),INT(资金流水!$B$1281)*10000+1276,"")</f>
      </c>
    </row>
    <row r="1282">
      <c r="Z1282" s="2">
        <f>IF(AND(ISNUMBER(资金流水!$B$1282),资金流水!$B$1282&gt;=$C$4,资金流水!$B$1282&lt;=$E$4,OR(资金流水!$C$1282=$C$3,AND(资金流水!$AD$1282=$C$3,资金流水!$X$1282="账户互转"))),INT(资金流水!$B$1282)*10000+1277,"")</f>
      </c>
    </row>
    <row r="1283">
      <c r="Z1283" s="2">
        <f>IF(AND(ISNUMBER(资金流水!$B$1283),资金流水!$B$1283&gt;=$C$4,资金流水!$B$1283&lt;=$E$4,OR(资金流水!$C$1283=$C$3,AND(资金流水!$AD$1283=$C$3,资金流水!$X$1283="账户互转"))),INT(资金流水!$B$1283)*10000+1278,"")</f>
      </c>
    </row>
    <row r="1284">
      <c r="Z1284" s="2">
        <f>IF(AND(ISNUMBER(资金流水!$B$1284),资金流水!$B$1284&gt;=$C$4,资金流水!$B$1284&lt;=$E$4,OR(资金流水!$C$1284=$C$3,AND(资金流水!$AD$1284=$C$3,资金流水!$X$1284="账户互转"))),INT(资金流水!$B$1284)*10000+1279,"")</f>
      </c>
    </row>
    <row r="1285">
      <c r="Z1285" s="2">
        <f>IF(AND(ISNUMBER(资金流水!$B$1285),资金流水!$B$1285&gt;=$C$4,资金流水!$B$1285&lt;=$E$4,OR(资金流水!$C$1285=$C$3,AND(资金流水!$AD$1285=$C$3,资金流水!$X$1285="账户互转"))),INT(资金流水!$B$1285)*10000+1280,"")</f>
      </c>
    </row>
    <row r="1286">
      <c r="Z1286" s="2">
        <f>IF(AND(ISNUMBER(资金流水!$B$1286),资金流水!$B$1286&gt;=$C$4,资金流水!$B$1286&lt;=$E$4,OR(资金流水!$C$1286=$C$3,AND(资金流水!$AD$1286=$C$3,资金流水!$X$1286="账户互转"))),INT(资金流水!$B$1286)*10000+1281,"")</f>
      </c>
    </row>
    <row r="1287">
      <c r="Z1287" s="2">
        <f>IF(AND(ISNUMBER(资金流水!$B$1287),资金流水!$B$1287&gt;=$C$4,资金流水!$B$1287&lt;=$E$4,OR(资金流水!$C$1287=$C$3,AND(资金流水!$AD$1287=$C$3,资金流水!$X$1287="账户互转"))),INT(资金流水!$B$1287)*10000+1282,"")</f>
      </c>
    </row>
    <row r="1288">
      <c r="Z1288" s="2">
        <f>IF(AND(ISNUMBER(资金流水!$B$1288),资金流水!$B$1288&gt;=$C$4,资金流水!$B$1288&lt;=$E$4,OR(资金流水!$C$1288=$C$3,AND(资金流水!$AD$1288=$C$3,资金流水!$X$1288="账户互转"))),INT(资金流水!$B$1288)*10000+1283,"")</f>
      </c>
    </row>
    <row r="1289">
      <c r="Z1289" s="2">
        <f>IF(AND(ISNUMBER(资金流水!$B$1289),资金流水!$B$1289&gt;=$C$4,资金流水!$B$1289&lt;=$E$4,OR(资金流水!$C$1289=$C$3,AND(资金流水!$AD$1289=$C$3,资金流水!$X$1289="账户互转"))),INT(资金流水!$B$1289)*10000+1284,"")</f>
      </c>
    </row>
    <row r="1290">
      <c r="Z1290" s="2">
        <f>IF(AND(ISNUMBER(资金流水!$B$1290),资金流水!$B$1290&gt;=$C$4,资金流水!$B$1290&lt;=$E$4,OR(资金流水!$C$1290=$C$3,AND(资金流水!$AD$1290=$C$3,资金流水!$X$1290="账户互转"))),INT(资金流水!$B$1290)*10000+1285,"")</f>
      </c>
    </row>
    <row r="1291">
      <c r="Z1291" s="2">
        <f>IF(AND(ISNUMBER(资金流水!$B$1291),资金流水!$B$1291&gt;=$C$4,资金流水!$B$1291&lt;=$E$4,OR(资金流水!$C$1291=$C$3,AND(资金流水!$AD$1291=$C$3,资金流水!$X$1291="账户互转"))),INT(资金流水!$B$1291)*10000+1286,"")</f>
      </c>
    </row>
    <row r="1292">
      <c r="Z1292" s="2">
        <f>IF(AND(ISNUMBER(资金流水!$B$1292),资金流水!$B$1292&gt;=$C$4,资金流水!$B$1292&lt;=$E$4,OR(资金流水!$C$1292=$C$3,AND(资金流水!$AD$1292=$C$3,资金流水!$X$1292="账户互转"))),INT(资金流水!$B$1292)*10000+1287,"")</f>
      </c>
    </row>
    <row r="1293">
      <c r="Z1293" s="2">
        <f>IF(AND(ISNUMBER(资金流水!$B$1293),资金流水!$B$1293&gt;=$C$4,资金流水!$B$1293&lt;=$E$4,OR(资金流水!$C$1293=$C$3,AND(资金流水!$AD$1293=$C$3,资金流水!$X$1293="账户互转"))),INT(资金流水!$B$1293)*10000+1288,"")</f>
      </c>
    </row>
    <row r="1294">
      <c r="Z1294" s="2">
        <f>IF(AND(ISNUMBER(资金流水!$B$1294),资金流水!$B$1294&gt;=$C$4,资金流水!$B$1294&lt;=$E$4,OR(资金流水!$C$1294=$C$3,AND(资金流水!$AD$1294=$C$3,资金流水!$X$1294="账户互转"))),INT(资金流水!$B$1294)*10000+1289,"")</f>
      </c>
    </row>
    <row r="1295">
      <c r="Z1295" s="2">
        <f>IF(AND(ISNUMBER(资金流水!$B$1295),资金流水!$B$1295&gt;=$C$4,资金流水!$B$1295&lt;=$E$4,OR(资金流水!$C$1295=$C$3,AND(资金流水!$AD$1295=$C$3,资金流水!$X$1295="账户互转"))),INT(资金流水!$B$1295)*10000+1290,"")</f>
      </c>
    </row>
    <row r="1296">
      <c r="Z1296" s="2">
        <f>IF(AND(ISNUMBER(资金流水!$B$1296),资金流水!$B$1296&gt;=$C$4,资金流水!$B$1296&lt;=$E$4,OR(资金流水!$C$1296=$C$3,AND(资金流水!$AD$1296=$C$3,资金流水!$X$1296="账户互转"))),INT(资金流水!$B$1296)*10000+1291,"")</f>
      </c>
    </row>
    <row r="1297">
      <c r="Z1297" s="2">
        <f>IF(AND(ISNUMBER(资金流水!$B$1297),资金流水!$B$1297&gt;=$C$4,资金流水!$B$1297&lt;=$E$4,OR(资金流水!$C$1297=$C$3,AND(资金流水!$AD$1297=$C$3,资金流水!$X$1297="账户互转"))),INT(资金流水!$B$1297)*10000+1292,"")</f>
      </c>
    </row>
    <row r="1298">
      <c r="Z1298" s="2">
        <f>IF(AND(ISNUMBER(资金流水!$B$1298),资金流水!$B$1298&gt;=$C$4,资金流水!$B$1298&lt;=$E$4,OR(资金流水!$C$1298=$C$3,AND(资金流水!$AD$1298=$C$3,资金流水!$X$1298="账户互转"))),INT(资金流水!$B$1298)*10000+1293,"")</f>
      </c>
    </row>
    <row r="1299">
      <c r="Z1299" s="2">
        <f>IF(AND(ISNUMBER(资金流水!$B$1299),资金流水!$B$1299&gt;=$C$4,资金流水!$B$1299&lt;=$E$4,OR(资金流水!$C$1299=$C$3,AND(资金流水!$AD$1299=$C$3,资金流水!$X$1299="账户互转"))),INT(资金流水!$B$1299)*10000+1294,"")</f>
      </c>
    </row>
    <row r="1300">
      <c r="Z1300" s="2">
        <f>IF(AND(ISNUMBER(资金流水!$B$1300),资金流水!$B$1300&gt;=$C$4,资金流水!$B$1300&lt;=$E$4,OR(资金流水!$C$1300=$C$3,AND(资金流水!$AD$1300=$C$3,资金流水!$X$1300="账户互转"))),INT(资金流水!$B$1300)*10000+1295,"")</f>
      </c>
    </row>
    <row r="1301">
      <c r="Z1301" s="2">
        <f>IF(AND(ISNUMBER(资金流水!$B$1301),资金流水!$B$1301&gt;=$C$4,资金流水!$B$1301&lt;=$E$4,OR(资金流水!$C$1301=$C$3,AND(资金流水!$AD$1301=$C$3,资金流水!$X$1301="账户互转"))),INT(资金流水!$B$1301)*10000+1296,"")</f>
      </c>
    </row>
    <row r="1302">
      <c r="Z1302" s="2">
        <f>IF(AND(ISNUMBER(资金流水!$B$1302),资金流水!$B$1302&gt;=$C$4,资金流水!$B$1302&lt;=$E$4,OR(资金流水!$C$1302=$C$3,AND(资金流水!$AD$1302=$C$3,资金流水!$X$1302="账户互转"))),INT(资金流水!$B$1302)*10000+1297,"")</f>
      </c>
    </row>
    <row r="1303">
      <c r="Z1303" s="2">
        <f>IF(AND(ISNUMBER(资金流水!$B$1303),资金流水!$B$1303&gt;=$C$4,资金流水!$B$1303&lt;=$E$4,OR(资金流水!$C$1303=$C$3,AND(资金流水!$AD$1303=$C$3,资金流水!$X$1303="账户互转"))),INT(资金流水!$B$1303)*10000+1298,"")</f>
      </c>
    </row>
    <row r="1304">
      <c r="Z1304" s="2">
        <f>IF(AND(ISNUMBER(资金流水!$B$1304),资金流水!$B$1304&gt;=$C$4,资金流水!$B$1304&lt;=$E$4,OR(资金流水!$C$1304=$C$3,AND(资金流水!$AD$1304=$C$3,资金流水!$X$1304="账户互转"))),INT(资金流水!$B$1304)*10000+1299,"")</f>
      </c>
    </row>
    <row r="1305">
      <c r="Z1305" s="2">
        <f>IF(AND(ISNUMBER(资金流水!$B$1305),资金流水!$B$1305&gt;=$C$4,资金流水!$B$1305&lt;=$E$4,OR(资金流水!$C$1305=$C$3,AND(资金流水!$AD$1305=$C$3,资金流水!$X$1305="账户互转"))),INT(资金流水!$B$1305)*10000+1300,"")</f>
      </c>
    </row>
    <row r="1306">
      <c r="Z1306" s="2">
        <f>IF(AND(ISNUMBER(资金流水!$B$1306),资金流水!$B$1306&gt;=$C$4,资金流水!$B$1306&lt;=$E$4,OR(资金流水!$C$1306=$C$3,AND(资金流水!$AD$1306=$C$3,资金流水!$X$1306="账户互转"))),INT(资金流水!$B$1306)*10000+1301,"")</f>
      </c>
    </row>
    <row r="1307">
      <c r="Z1307" s="2">
        <f>IF(AND(ISNUMBER(资金流水!$B$1307),资金流水!$B$1307&gt;=$C$4,资金流水!$B$1307&lt;=$E$4,OR(资金流水!$C$1307=$C$3,AND(资金流水!$AD$1307=$C$3,资金流水!$X$1307="账户互转"))),INT(资金流水!$B$1307)*10000+1302,"")</f>
      </c>
    </row>
    <row r="1308">
      <c r="Z1308" s="2">
        <f>IF(AND(ISNUMBER(资金流水!$B$1308),资金流水!$B$1308&gt;=$C$4,资金流水!$B$1308&lt;=$E$4,OR(资金流水!$C$1308=$C$3,AND(资金流水!$AD$1308=$C$3,资金流水!$X$1308="账户互转"))),INT(资金流水!$B$1308)*10000+1303,"")</f>
      </c>
    </row>
    <row r="1309">
      <c r="Z1309" s="2">
        <f>IF(AND(ISNUMBER(资金流水!$B$1309),资金流水!$B$1309&gt;=$C$4,资金流水!$B$1309&lt;=$E$4,OR(资金流水!$C$1309=$C$3,AND(资金流水!$AD$1309=$C$3,资金流水!$X$1309="账户互转"))),INT(资金流水!$B$1309)*10000+1304,"")</f>
      </c>
    </row>
    <row r="1310">
      <c r="Z1310" s="2">
        <f>IF(AND(ISNUMBER(资金流水!$B$1310),资金流水!$B$1310&gt;=$C$4,资金流水!$B$1310&lt;=$E$4,OR(资金流水!$C$1310=$C$3,AND(资金流水!$AD$1310=$C$3,资金流水!$X$1310="账户互转"))),INT(资金流水!$B$1310)*10000+1305,"")</f>
      </c>
    </row>
    <row r="1311">
      <c r="Z1311" s="2">
        <f>IF(AND(ISNUMBER(资金流水!$B$1311),资金流水!$B$1311&gt;=$C$4,资金流水!$B$1311&lt;=$E$4,OR(资金流水!$C$1311=$C$3,AND(资金流水!$AD$1311=$C$3,资金流水!$X$1311="账户互转"))),INT(资金流水!$B$1311)*10000+1306,"")</f>
      </c>
    </row>
    <row r="1312">
      <c r="Z1312" s="2">
        <f>IF(AND(ISNUMBER(资金流水!$B$1312),资金流水!$B$1312&gt;=$C$4,资金流水!$B$1312&lt;=$E$4,OR(资金流水!$C$1312=$C$3,AND(资金流水!$AD$1312=$C$3,资金流水!$X$1312="账户互转"))),INT(资金流水!$B$1312)*10000+1307,"")</f>
      </c>
    </row>
    <row r="1313">
      <c r="Z1313" s="2">
        <f>IF(AND(ISNUMBER(资金流水!$B$1313),资金流水!$B$1313&gt;=$C$4,资金流水!$B$1313&lt;=$E$4,OR(资金流水!$C$1313=$C$3,AND(资金流水!$AD$1313=$C$3,资金流水!$X$1313="账户互转"))),INT(资金流水!$B$1313)*10000+1308,"")</f>
      </c>
    </row>
    <row r="1314">
      <c r="Z1314" s="2">
        <f>IF(AND(ISNUMBER(资金流水!$B$1314),资金流水!$B$1314&gt;=$C$4,资金流水!$B$1314&lt;=$E$4,OR(资金流水!$C$1314=$C$3,AND(资金流水!$AD$1314=$C$3,资金流水!$X$1314="账户互转"))),INT(资金流水!$B$1314)*10000+1309,"")</f>
      </c>
    </row>
    <row r="1315">
      <c r="Z1315" s="2">
        <f>IF(AND(ISNUMBER(资金流水!$B$1315),资金流水!$B$1315&gt;=$C$4,资金流水!$B$1315&lt;=$E$4,OR(资金流水!$C$1315=$C$3,AND(资金流水!$AD$1315=$C$3,资金流水!$X$1315="账户互转"))),INT(资金流水!$B$1315)*10000+1310,"")</f>
      </c>
    </row>
    <row r="1316">
      <c r="Z1316" s="2">
        <f>IF(AND(ISNUMBER(资金流水!$B$1316),资金流水!$B$1316&gt;=$C$4,资金流水!$B$1316&lt;=$E$4,OR(资金流水!$C$1316=$C$3,AND(资金流水!$AD$1316=$C$3,资金流水!$X$1316="账户互转"))),INT(资金流水!$B$1316)*10000+1311,"")</f>
      </c>
    </row>
    <row r="1317">
      <c r="Z1317" s="2">
        <f>IF(AND(ISNUMBER(资金流水!$B$1317),资金流水!$B$1317&gt;=$C$4,资金流水!$B$1317&lt;=$E$4,OR(资金流水!$C$1317=$C$3,AND(资金流水!$AD$1317=$C$3,资金流水!$X$1317="账户互转"))),INT(资金流水!$B$1317)*10000+1312,"")</f>
      </c>
    </row>
    <row r="1318">
      <c r="Z1318" s="2">
        <f>IF(AND(ISNUMBER(资金流水!$B$1318),资金流水!$B$1318&gt;=$C$4,资金流水!$B$1318&lt;=$E$4,OR(资金流水!$C$1318=$C$3,AND(资金流水!$AD$1318=$C$3,资金流水!$X$1318="账户互转"))),INT(资金流水!$B$1318)*10000+1313,"")</f>
      </c>
    </row>
    <row r="1319">
      <c r="Z1319" s="2">
        <f>IF(AND(ISNUMBER(资金流水!$B$1319),资金流水!$B$1319&gt;=$C$4,资金流水!$B$1319&lt;=$E$4,OR(资金流水!$C$1319=$C$3,AND(资金流水!$AD$1319=$C$3,资金流水!$X$1319="账户互转"))),INT(资金流水!$B$1319)*10000+1314,"")</f>
      </c>
    </row>
    <row r="1320">
      <c r="Z1320" s="2">
        <f>IF(AND(ISNUMBER(资金流水!$B$1320),资金流水!$B$1320&gt;=$C$4,资金流水!$B$1320&lt;=$E$4,OR(资金流水!$C$1320=$C$3,AND(资金流水!$AD$1320=$C$3,资金流水!$X$1320="账户互转"))),INT(资金流水!$B$1320)*10000+1315,"")</f>
      </c>
    </row>
    <row r="1321">
      <c r="Z1321" s="2">
        <f>IF(AND(ISNUMBER(资金流水!$B$1321),资金流水!$B$1321&gt;=$C$4,资金流水!$B$1321&lt;=$E$4,OR(资金流水!$C$1321=$C$3,AND(资金流水!$AD$1321=$C$3,资金流水!$X$1321="账户互转"))),INT(资金流水!$B$1321)*10000+1316,"")</f>
      </c>
    </row>
    <row r="1322">
      <c r="Z1322" s="2">
        <f>IF(AND(ISNUMBER(资金流水!$B$1322),资金流水!$B$1322&gt;=$C$4,资金流水!$B$1322&lt;=$E$4,OR(资金流水!$C$1322=$C$3,AND(资金流水!$AD$1322=$C$3,资金流水!$X$1322="账户互转"))),INT(资金流水!$B$1322)*10000+1317,"")</f>
      </c>
    </row>
    <row r="1323">
      <c r="Z1323" s="2">
        <f>IF(AND(ISNUMBER(资金流水!$B$1323),资金流水!$B$1323&gt;=$C$4,资金流水!$B$1323&lt;=$E$4,OR(资金流水!$C$1323=$C$3,AND(资金流水!$AD$1323=$C$3,资金流水!$X$1323="账户互转"))),INT(资金流水!$B$1323)*10000+1318,"")</f>
      </c>
    </row>
    <row r="1324">
      <c r="Z1324" s="2">
        <f>IF(AND(ISNUMBER(资金流水!$B$1324),资金流水!$B$1324&gt;=$C$4,资金流水!$B$1324&lt;=$E$4,OR(资金流水!$C$1324=$C$3,AND(资金流水!$AD$1324=$C$3,资金流水!$X$1324="账户互转"))),INT(资金流水!$B$1324)*10000+1319,"")</f>
      </c>
    </row>
    <row r="1325">
      <c r="Z1325" s="2">
        <f>IF(AND(ISNUMBER(资金流水!$B$1325),资金流水!$B$1325&gt;=$C$4,资金流水!$B$1325&lt;=$E$4,OR(资金流水!$C$1325=$C$3,AND(资金流水!$AD$1325=$C$3,资金流水!$X$1325="账户互转"))),INT(资金流水!$B$1325)*10000+1320,"")</f>
      </c>
    </row>
    <row r="1326">
      <c r="Z1326" s="2">
        <f>IF(AND(ISNUMBER(资金流水!$B$1326),资金流水!$B$1326&gt;=$C$4,资金流水!$B$1326&lt;=$E$4,OR(资金流水!$C$1326=$C$3,AND(资金流水!$AD$1326=$C$3,资金流水!$X$1326="账户互转"))),INT(资金流水!$B$1326)*10000+1321,"")</f>
      </c>
    </row>
    <row r="1327">
      <c r="Z1327" s="2">
        <f>IF(AND(ISNUMBER(资金流水!$B$1327),资金流水!$B$1327&gt;=$C$4,资金流水!$B$1327&lt;=$E$4,OR(资金流水!$C$1327=$C$3,AND(资金流水!$AD$1327=$C$3,资金流水!$X$1327="账户互转"))),INT(资金流水!$B$1327)*10000+1322,"")</f>
      </c>
    </row>
    <row r="1328">
      <c r="Z1328" s="2">
        <f>IF(AND(ISNUMBER(资金流水!$B$1328),资金流水!$B$1328&gt;=$C$4,资金流水!$B$1328&lt;=$E$4,OR(资金流水!$C$1328=$C$3,AND(资金流水!$AD$1328=$C$3,资金流水!$X$1328="账户互转"))),INT(资金流水!$B$1328)*10000+1323,"")</f>
      </c>
    </row>
    <row r="1329">
      <c r="Z1329" s="2">
        <f>IF(AND(ISNUMBER(资金流水!$B$1329),资金流水!$B$1329&gt;=$C$4,资金流水!$B$1329&lt;=$E$4,OR(资金流水!$C$1329=$C$3,AND(资金流水!$AD$1329=$C$3,资金流水!$X$1329="账户互转"))),INT(资金流水!$B$1329)*10000+1324,"")</f>
      </c>
    </row>
    <row r="1330">
      <c r="Z1330" s="2">
        <f>IF(AND(ISNUMBER(资金流水!$B$1330),资金流水!$B$1330&gt;=$C$4,资金流水!$B$1330&lt;=$E$4,OR(资金流水!$C$1330=$C$3,AND(资金流水!$AD$1330=$C$3,资金流水!$X$1330="账户互转"))),INT(资金流水!$B$1330)*10000+1325,"")</f>
      </c>
    </row>
    <row r="1331">
      <c r="Z1331" s="2">
        <f>IF(AND(ISNUMBER(资金流水!$B$1331),资金流水!$B$1331&gt;=$C$4,资金流水!$B$1331&lt;=$E$4,OR(资金流水!$C$1331=$C$3,AND(资金流水!$AD$1331=$C$3,资金流水!$X$1331="账户互转"))),INT(资金流水!$B$1331)*10000+1326,"")</f>
      </c>
    </row>
    <row r="1332">
      <c r="Z1332" s="2">
        <f>IF(AND(ISNUMBER(资金流水!$B$1332),资金流水!$B$1332&gt;=$C$4,资金流水!$B$1332&lt;=$E$4,OR(资金流水!$C$1332=$C$3,AND(资金流水!$AD$1332=$C$3,资金流水!$X$1332="账户互转"))),INT(资金流水!$B$1332)*10000+1327,"")</f>
      </c>
    </row>
    <row r="1333">
      <c r="Z1333" s="2">
        <f>IF(AND(ISNUMBER(资金流水!$B$1333),资金流水!$B$1333&gt;=$C$4,资金流水!$B$1333&lt;=$E$4,OR(资金流水!$C$1333=$C$3,AND(资金流水!$AD$1333=$C$3,资金流水!$X$1333="账户互转"))),INT(资金流水!$B$1333)*10000+1328,"")</f>
      </c>
    </row>
    <row r="1334">
      <c r="Z1334" s="2">
        <f>IF(AND(ISNUMBER(资金流水!$B$1334),资金流水!$B$1334&gt;=$C$4,资金流水!$B$1334&lt;=$E$4,OR(资金流水!$C$1334=$C$3,AND(资金流水!$AD$1334=$C$3,资金流水!$X$1334="账户互转"))),INT(资金流水!$B$1334)*10000+1329,"")</f>
      </c>
    </row>
    <row r="1335">
      <c r="Z1335" s="2">
        <f>IF(AND(ISNUMBER(资金流水!$B$1335),资金流水!$B$1335&gt;=$C$4,资金流水!$B$1335&lt;=$E$4,OR(资金流水!$C$1335=$C$3,AND(资金流水!$AD$1335=$C$3,资金流水!$X$1335="账户互转"))),INT(资金流水!$B$1335)*10000+1330,"")</f>
      </c>
    </row>
    <row r="1336">
      <c r="Z1336" s="2">
        <f>IF(AND(ISNUMBER(资金流水!$B$1336),资金流水!$B$1336&gt;=$C$4,资金流水!$B$1336&lt;=$E$4,OR(资金流水!$C$1336=$C$3,AND(资金流水!$AD$1336=$C$3,资金流水!$X$1336="账户互转"))),INT(资金流水!$B$1336)*10000+1331,"")</f>
      </c>
    </row>
    <row r="1337">
      <c r="Z1337" s="2">
        <f>IF(AND(ISNUMBER(资金流水!$B$1337),资金流水!$B$1337&gt;=$C$4,资金流水!$B$1337&lt;=$E$4,OR(资金流水!$C$1337=$C$3,AND(资金流水!$AD$1337=$C$3,资金流水!$X$1337="账户互转"))),INT(资金流水!$B$1337)*10000+1332,"")</f>
      </c>
    </row>
    <row r="1338">
      <c r="Z1338" s="2">
        <f>IF(AND(ISNUMBER(资金流水!$B$1338),资金流水!$B$1338&gt;=$C$4,资金流水!$B$1338&lt;=$E$4,OR(资金流水!$C$1338=$C$3,AND(资金流水!$AD$1338=$C$3,资金流水!$X$1338="账户互转"))),INT(资金流水!$B$1338)*10000+1333,"")</f>
      </c>
    </row>
    <row r="1339">
      <c r="Z1339" s="2">
        <f>IF(AND(ISNUMBER(资金流水!$B$1339),资金流水!$B$1339&gt;=$C$4,资金流水!$B$1339&lt;=$E$4,OR(资金流水!$C$1339=$C$3,AND(资金流水!$AD$1339=$C$3,资金流水!$X$1339="账户互转"))),INT(资金流水!$B$1339)*10000+1334,"")</f>
      </c>
    </row>
    <row r="1340">
      <c r="Z1340" s="2">
        <f>IF(AND(ISNUMBER(资金流水!$B$1340),资金流水!$B$1340&gt;=$C$4,资金流水!$B$1340&lt;=$E$4,OR(资金流水!$C$1340=$C$3,AND(资金流水!$AD$1340=$C$3,资金流水!$X$1340="账户互转"))),INT(资金流水!$B$1340)*10000+1335,"")</f>
      </c>
    </row>
    <row r="1341">
      <c r="Z1341" s="2">
        <f>IF(AND(ISNUMBER(资金流水!$B$1341),资金流水!$B$1341&gt;=$C$4,资金流水!$B$1341&lt;=$E$4,OR(资金流水!$C$1341=$C$3,AND(资金流水!$AD$1341=$C$3,资金流水!$X$1341="账户互转"))),INT(资金流水!$B$1341)*10000+1336,"")</f>
      </c>
    </row>
    <row r="1342">
      <c r="Z1342" s="2">
        <f>IF(AND(ISNUMBER(资金流水!$B$1342),资金流水!$B$1342&gt;=$C$4,资金流水!$B$1342&lt;=$E$4,OR(资金流水!$C$1342=$C$3,AND(资金流水!$AD$1342=$C$3,资金流水!$X$1342="账户互转"))),INT(资金流水!$B$1342)*10000+1337,"")</f>
      </c>
    </row>
    <row r="1343">
      <c r="Z1343" s="2">
        <f>IF(AND(ISNUMBER(资金流水!$B$1343),资金流水!$B$1343&gt;=$C$4,资金流水!$B$1343&lt;=$E$4,OR(资金流水!$C$1343=$C$3,AND(资金流水!$AD$1343=$C$3,资金流水!$X$1343="账户互转"))),INT(资金流水!$B$1343)*10000+1338,"")</f>
      </c>
    </row>
    <row r="1344">
      <c r="Z1344" s="2">
        <f>IF(AND(ISNUMBER(资金流水!$B$1344),资金流水!$B$1344&gt;=$C$4,资金流水!$B$1344&lt;=$E$4,OR(资金流水!$C$1344=$C$3,AND(资金流水!$AD$1344=$C$3,资金流水!$X$1344="账户互转"))),INT(资金流水!$B$1344)*10000+1339,"")</f>
      </c>
    </row>
    <row r="1345">
      <c r="Z1345" s="2">
        <f>IF(AND(ISNUMBER(资金流水!$B$1345),资金流水!$B$1345&gt;=$C$4,资金流水!$B$1345&lt;=$E$4,OR(资金流水!$C$1345=$C$3,AND(资金流水!$AD$1345=$C$3,资金流水!$X$1345="账户互转"))),INT(资金流水!$B$1345)*10000+1340,"")</f>
      </c>
    </row>
    <row r="1346">
      <c r="Z1346" s="2">
        <f>IF(AND(ISNUMBER(资金流水!$B$1346),资金流水!$B$1346&gt;=$C$4,资金流水!$B$1346&lt;=$E$4,OR(资金流水!$C$1346=$C$3,AND(资金流水!$AD$1346=$C$3,资金流水!$X$1346="账户互转"))),INT(资金流水!$B$1346)*10000+1341,"")</f>
      </c>
    </row>
    <row r="1347">
      <c r="Z1347" s="2">
        <f>IF(AND(ISNUMBER(资金流水!$B$1347),资金流水!$B$1347&gt;=$C$4,资金流水!$B$1347&lt;=$E$4,OR(资金流水!$C$1347=$C$3,AND(资金流水!$AD$1347=$C$3,资金流水!$X$1347="账户互转"))),INT(资金流水!$B$1347)*10000+1342,"")</f>
      </c>
    </row>
    <row r="1348">
      <c r="Z1348" s="2">
        <f>IF(AND(ISNUMBER(资金流水!$B$1348),资金流水!$B$1348&gt;=$C$4,资金流水!$B$1348&lt;=$E$4,OR(资金流水!$C$1348=$C$3,AND(资金流水!$AD$1348=$C$3,资金流水!$X$1348="账户互转"))),INT(资金流水!$B$1348)*10000+1343,"")</f>
      </c>
    </row>
    <row r="1349">
      <c r="Z1349" s="2">
        <f>IF(AND(ISNUMBER(资金流水!$B$1349),资金流水!$B$1349&gt;=$C$4,资金流水!$B$1349&lt;=$E$4,OR(资金流水!$C$1349=$C$3,AND(资金流水!$AD$1349=$C$3,资金流水!$X$1349="账户互转"))),INT(资金流水!$B$1349)*10000+1344,"")</f>
      </c>
    </row>
    <row r="1350">
      <c r="Z1350" s="2">
        <f>IF(AND(ISNUMBER(资金流水!$B$1350),资金流水!$B$1350&gt;=$C$4,资金流水!$B$1350&lt;=$E$4,OR(资金流水!$C$1350=$C$3,AND(资金流水!$AD$1350=$C$3,资金流水!$X$1350="账户互转"))),INT(资金流水!$B$1350)*10000+1345,"")</f>
      </c>
    </row>
    <row r="1351">
      <c r="Z1351" s="2">
        <f>IF(AND(ISNUMBER(资金流水!$B$1351),资金流水!$B$1351&gt;=$C$4,资金流水!$B$1351&lt;=$E$4,OR(资金流水!$C$1351=$C$3,AND(资金流水!$AD$1351=$C$3,资金流水!$X$1351="账户互转"))),INT(资金流水!$B$1351)*10000+1346,"")</f>
      </c>
    </row>
    <row r="1352">
      <c r="Z1352" s="2">
        <f>IF(AND(ISNUMBER(资金流水!$B$1352),资金流水!$B$1352&gt;=$C$4,资金流水!$B$1352&lt;=$E$4,OR(资金流水!$C$1352=$C$3,AND(资金流水!$AD$1352=$C$3,资金流水!$X$1352="账户互转"))),INT(资金流水!$B$1352)*10000+1347,"")</f>
      </c>
    </row>
    <row r="1353">
      <c r="Z1353" s="2">
        <f>IF(AND(ISNUMBER(资金流水!$B$1353),资金流水!$B$1353&gt;=$C$4,资金流水!$B$1353&lt;=$E$4,OR(资金流水!$C$1353=$C$3,AND(资金流水!$AD$1353=$C$3,资金流水!$X$1353="账户互转"))),INT(资金流水!$B$1353)*10000+1348,"")</f>
      </c>
    </row>
    <row r="1354">
      <c r="Z1354" s="2">
        <f>IF(AND(ISNUMBER(资金流水!$B$1354),资金流水!$B$1354&gt;=$C$4,资金流水!$B$1354&lt;=$E$4,OR(资金流水!$C$1354=$C$3,AND(资金流水!$AD$1354=$C$3,资金流水!$X$1354="账户互转"))),INT(资金流水!$B$1354)*10000+1349,"")</f>
      </c>
    </row>
    <row r="1355">
      <c r="Z1355" s="2">
        <f>IF(AND(ISNUMBER(资金流水!$B$1355),资金流水!$B$1355&gt;=$C$4,资金流水!$B$1355&lt;=$E$4,OR(资金流水!$C$1355=$C$3,AND(资金流水!$AD$1355=$C$3,资金流水!$X$1355="账户互转"))),INT(资金流水!$B$1355)*10000+1350,"")</f>
      </c>
    </row>
    <row r="1356">
      <c r="Z1356" s="2">
        <f>IF(AND(ISNUMBER(资金流水!$B$1356),资金流水!$B$1356&gt;=$C$4,资金流水!$B$1356&lt;=$E$4,OR(资金流水!$C$1356=$C$3,AND(资金流水!$AD$1356=$C$3,资金流水!$X$1356="账户互转"))),INT(资金流水!$B$1356)*10000+1351,"")</f>
      </c>
    </row>
    <row r="1357">
      <c r="Z1357" s="2">
        <f>IF(AND(ISNUMBER(资金流水!$B$1357),资金流水!$B$1357&gt;=$C$4,资金流水!$B$1357&lt;=$E$4,OR(资金流水!$C$1357=$C$3,AND(资金流水!$AD$1357=$C$3,资金流水!$X$1357="账户互转"))),INT(资金流水!$B$1357)*10000+1352,"")</f>
      </c>
    </row>
    <row r="1358">
      <c r="Z1358" s="2">
        <f>IF(AND(ISNUMBER(资金流水!$B$1358),资金流水!$B$1358&gt;=$C$4,资金流水!$B$1358&lt;=$E$4,OR(资金流水!$C$1358=$C$3,AND(资金流水!$AD$1358=$C$3,资金流水!$X$1358="账户互转"))),INT(资金流水!$B$1358)*10000+1353,"")</f>
      </c>
    </row>
    <row r="1359">
      <c r="Z1359" s="2">
        <f>IF(AND(ISNUMBER(资金流水!$B$1359),资金流水!$B$1359&gt;=$C$4,资金流水!$B$1359&lt;=$E$4,OR(资金流水!$C$1359=$C$3,AND(资金流水!$AD$1359=$C$3,资金流水!$X$1359="账户互转"))),INT(资金流水!$B$1359)*10000+1354,"")</f>
      </c>
    </row>
    <row r="1360">
      <c r="Z1360" s="2">
        <f>IF(AND(ISNUMBER(资金流水!$B$1360),资金流水!$B$1360&gt;=$C$4,资金流水!$B$1360&lt;=$E$4,OR(资金流水!$C$1360=$C$3,AND(资金流水!$AD$1360=$C$3,资金流水!$X$1360="账户互转"))),INT(资金流水!$B$1360)*10000+1355,"")</f>
      </c>
    </row>
    <row r="1361">
      <c r="Z1361" s="2">
        <f>IF(AND(ISNUMBER(资金流水!$B$1361),资金流水!$B$1361&gt;=$C$4,资金流水!$B$1361&lt;=$E$4,OR(资金流水!$C$1361=$C$3,AND(资金流水!$AD$1361=$C$3,资金流水!$X$1361="账户互转"))),INT(资金流水!$B$1361)*10000+1356,"")</f>
      </c>
    </row>
    <row r="1362">
      <c r="Z1362" s="2">
        <f>IF(AND(ISNUMBER(资金流水!$B$1362),资金流水!$B$1362&gt;=$C$4,资金流水!$B$1362&lt;=$E$4,OR(资金流水!$C$1362=$C$3,AND(资金流水!$AD$1362=$C$3,资金流水!$X$1362="账户互转"))),INT(资金流水!$B$1362)*10000+1357,"")</f>
      </c>
    </row>
    <row r="1363">
      <c r="Z1363" s="2">
        <f>IF(AND(ISNUMBER(资金流水!$B$1363),资金流水!$B$1363&gt;=$C$4,资金流水!$B$1363&lt;=$E$4,OR(资金流水!$C$1363=$C$3,AND(资金流水!$AD$1363=$C$3,资金流水!$X$1363="账户互转"))),INT(资金流水!$B$1363)*10000+1358,"")</f>
      </c>
    </row>
    <row r="1364">
      <c r="Z1364" s="2">
        <f>IF(AND(ISNUMBER(资金流水!$B$1364),资金流水!$B$1364&gt;=$C$4,资金流水!$B$1364&lt;=$E$4,OR(资金流水!$C$1364=$C$3,AND(资金流水!$AD$1364=$C$3,资金流水!$X$1364="账户互转"))),INT(资金流水!$B$1364)*10000+1359,"")</f>
      </c>
    </row>
    <row r="1365">
      <c r="Z1365" s="2">
        <f>IF(AND(ISNUMBER(资金流水!$B$1365),资金流水!$B$1365&gt;=$C$4,资金流水!$B$1365&lt;=$E$4,OR(资金流水!$C$1365=$C$3,AND(资金流水!$AD$1365=$C$3,资金流水!$X$1365="账户互转"))),INT(资金流水!$B$1365)*10000+1360,"")</f>
      </c>
    </row>
    <row r="1366">
      <c r="Z1366" s="2">
        <f>IF(AND(ISNUMBER(资金流水!$B$1366),资金流水!$B$1366&gt;=$C$4,资金流水!$B$1366&lt;=$E$4,OR(资金流水!$C$1366=$C$3,AND(资金流水!$AD$1366=$C$3,资金流水!$X$1366="账户互转"))),INT(资金流水!$B$1366)*10000+1361,"")</f>
      </c>
    </row>
    <row r="1367">
      <c r="Z1367" s="2">
        <f>IF(AND(ISNUMBER(资金流水!$B$1367),资金流水!$B$1367&gt;=$C$4,资金流水!$B$1367&lt;=$E$4,OR(资金流水!$C$1367=$C$3,AND(资金流水!$AD$1367=$C$3,资金流水!$X$1367="账户互转"))),INT(资金流水!$B$1367)*10000+1362,"")</f>
      </c>
    </row>
    <row r="1368">
      <c r="Z1368" s="2">
        <f>IF(AND(ISNUMBER(资金流水!$B$1368),资金流水!$B$1368&gt;=$C$4,资金流水!$B$1368&lt;=$E$4,OR(资金流水!$C$1368=$C$3,AND(资金流水!$AD$1368=$C$3,资金流水!$X$1368="账户互转"))),INT(资金流水!$B$1368)*10000+1363,"")</f>
      </c>
    </row>
    <row r="1369">
      <c r="Z1369" s="2">
        <f>IF(AND(ISNUMBER(资金流水!$B$1369),资金流水!$B$1369&gt;=$C$4,资金流水!$B$1369&lt;=$E$4,OR(资金流水!$C$1369=$C$3,AND(资金流水!$AD$1369=$C$3,资金流水!$X$1369="账户互转"))),INT(资金流水!$B$1369)*10000+1364,"")</f>
      </c>
    </row>
    <row r="1370">
      <c r="Z1370" s="2">
        <f>IF(AND(ISNUMBER(资金流水!$B$1370),资金流水!$B$1370&gt;=$C$4,资金流水!$B$1370&lt;=$E$4,OR(资金流水!$C$1370=$C$3,AND(资金流水!$AD$1370=$C$3,资金流水!$X$1370="账户互转"))),INT(资金流水!$B$1370)*10000+1365,"")</f>
      </c>
    </row>
    <row r="1371">
      <c r="Z1371" s="2">
        <f>IF(AND(ISNUMBER(资金流水!$B$1371),资金流水!$B$1371&gt;=$C$4,资金流水!$B$1371&lt;=$E$4,OR(资金流水!$C$1371=$C$3,AND(资金流水!$AD$1371=$C$3,资金流水!$X$1371="账户互转"))),INT(资金流水!$B$1371)*10000+1366,"")</f>
      </c>
    </row>
    <row r="1372">
      <c r="Z1372" s="2">
        <f>IF(AND(ISNUMBER(资金流水!$B$1372),资金流水!$B$1372&gt;=$C$4,资金流水!$B$1372&lt;=$E$4,OR(资金流水!$C$1372=$C$3,AND(资金流水!$AD$1372=$C$3,资金流水!$X$1372="账户互转"))),INT(资金流水!$B$1372)*10000+1367,"")</f>
      </c>
    </row>
    <row r="1373">
      <c r="Z1373" s="2">
        <f>IF(AND(ISNUMBER(资金流水!$B$1373),资金流水!$B$1373&gt;=$C$4,资金流水!$B$1373&lt;=$E$4,OR(资金流水!$C$1373=$C$3,AND(资金流水!$AD$1373=$C$3,资金流水!$X$1373="账户互转"))),INT(资金流水!$B$1373)*10000+1368,"")</f>
      </c>
    </row>
    <row r="1374">
      <c r="Z1374" s="2">
        <f>IF(AND(ISNUMBER(资金流水!$B$1374),资金流水!$B$1374&gt;=$C$4,资金流水!$B$1374&lt;=$E$4,OR(资金流水!$C$1374=$C$3,AND(资金流水!$AD$1374=$C$3,资金流水!$X$1374="账户互转"))),INT(资金流水!$B$1374)*10000+1369,"")</f>
      </c>
    </row>
    <row r="1375">
      <c r="Z1375" s="2">
        <f>IF(AND(ISNUMBER(资金流水!$B$1375),资金流水!$B$1375&gt;=$C$4,资金流水!$B$1375&lt;=$E$4,OR(资金流水!$C$1375=$C$3,AND(资金流水!$AD$1375=$C$3,资金流水!$X$1375="账户互转"))),INT(资金流水!$B$1375)*10000+1370,"")</f>
      </c>
    </row>
    <row r="1376">
      <c r="Z1376" s="2">
        <f>IF(AND(ISNUMBER(资金流水!$B$1376),资金流水!$B$1376&gt;=$C$4,资金流水!$B$1376&lt;=$E$4,OR(资金流水!$C$1376=$C$3,AND(资金流水!$AD$1376=$C$3,资金流水!$X$1376="账户互转"))),INT(资金流水!$B$1376)*10000+1371,"")</f>
      </c>
    </row>
    <row r="1377">
      <c r="Z1377" s="2">
        <f>IF(AND(ISNUMBER(资金流水!$B$1377),资金流水!$B$1377&gt;=$C$4,资金流水!$B$1377&lt;=$E$4,OR(资金流水!$C$1377=$C$3,AND(资金流水!$AD$1377=$C$3,资金流水!$X$1377="账户互转"))),INT(资金流水!$B$1377)*10000+1372,"")</f>
      </c>
    </row>
    <row r="1378">
      <c r="Z1378" s="2">
        <f>IF(AND(ISNUMBER(资金流水!$B$1378),资金流水!$B$1378&gt;=$C$4,资金流水!$B$1378&lt;=$E$4,OR(资金流水!$C$1378=$C$3,AND(资金流水!$AD$1378=$C$3,资金流水!$X$1378="账户互转"))),INT(资金流水!$B$1378)*10000+1373,"")</f>
      </c>
    </row>
    <row r="1379">
      <c r="Z1379" s="2">
        <f>IF(AND(ISNUMBER(资金流水!$B$1379),资金流水!$B$1379&gt;=$C$4,资金流水!$B$1379&lt;=$E$4,OR(资金流水!$C$1379=$C$3,AND(资金流水!$AD$1379=$C$3,资金流水!$X$1379="账户互转"))),INT(资金流水!$B$1379)*10000+1374,"")</f>
      </c>
    </row>
    <row r="1380">
      <c r="Z1380" s="2">
        <f>IF(AND(ISNUMBER(资金流水!$B$1380),资金流水!$B$1380&gt;=$C$4,资金流水!$B$1380&lt;=$E$4,OR(资金流水!$C$1380=$C$3,AND(资金流水!$AD$1380=$C$3,资金流水!$X$1380="账户互转"))),INT(资金流水!$B$1380)*10000+1375,"")</f>
      </c>
    </row>
    <row r="1381">
      <c r="Z1381" s="2">
        <f>IF(AND(ISNUMBER(资金流水!$B$1381),资金流水!$B$1381&gt;=$C$4,资金流水!$B$1381&lt;=$E$4,OR(资金流水!$C$1381=$C$3,AND(资金流水!$AD$1381=$C$3,资金流水!$X$1381="账户互转"))),INT(资金流水!$B$1381)*10000+1376,"")</f>
      </c>
    </row>
    <row r="1382">
      <c r="Z1382" s="2">
        <f>IF(AND(ISNUMBER(资金流水!$B$1382),资金流水!$B$1382&gt;=$C$4,资金流水!$B$1382&lt;=$E$4,OR(资金流水!$C$1382=$C$3,AND(资金流水!$AD$1382=$C$3,资金流水!$X$1382="账户互转"))),INT(资金流水!$B$1382)*10000+1377,"")</f>
      </c>
    </row>
    <row r="1383">
      <c r="Z1383" s="2">
        <f>IF(AND(ISNUMBER(资金流水!$B$1383),资金流水!$B$1383&gt;=$C$4,资金流水!$B$1383&lt;=$E$4,OR(资金流水!$C$1383=$C$3,AND(资金流水!$AD$1383=$C$3,资金流水!$X$1383="账户互转"))),INT(资金流水!$B$1383)*10000+1378,"")</f>
      </c>
    </row>
    <row r="1384">
      <c r="Z1384" s="2">
        <f>IF(AND(ISNUMBER(资金流水!$B$1384),资金流水!$B$1384&gt;=$C$4,资金流水!$B$1384&lt;=$E$4,OR(资金流水!$C$1384=$C$3,AND(资金流水!$AD$1384=$C$3,资金流水!$X$1384="账户互转"))),INT(资金流水!$B$1384)*10000+1379,"")</f>
      </c>
    </row>
    <row r="1385">
      <c r="Z1385" s="2">
        <f>IF(AND(ISNUMBER(资金流水!$B$1385),资金流水!$B$1385&gt;=$C$4,资金流水!$B$1385&lt;=$E$4,OR(资金流水!$C$1385=$C$3,AND(资金流水!$AD$1385=$C$3,资金流水!$X$1385="账户互转"))),INT(资金流水!$B$1385)*10000+1380,"")</f>
      </c>
    </row>
    <row r="1386">
      <c r="Z1386" s="2">
        <f>IF(AND(ISNUMBER(资金流水!$B$1386),资金流水!$B$1386&gt;=$C$4,资金流水!$B$1386&lt;=$E$4,OR(资金流水!$C$1386=$C$3,AND(资金流水!$AD$1386=$C$3,资金流水!$X$1386="账户互转"))),INT(资金流水!$B$1386)*10000+1381,"")</f>
      </c>
    </row>
    <row r="1387">
      <c r="Z1387" s="2">
        <f>IF(AND(ISNUMBER(资金流水!$B$1387),资金流水!$B$1387&gt;=$C$4,资金流水!$B$1387&lt;=$E$4,OR(资金流水!$C$1387=$C$3,AND(资金流水!$AD$1387=$C$3,资金流水!$X$1387="账户互转"))),INT(资金流水!$B$1387)*10000+1382,"")</f>
      </c>
    </row>
    <row r="1388">
      <c r="Z1388" s="2">
        <f>IF(AND(ISNUMBER(资金流水!$B$1388),资金流水!$B$1388&gt;=$C$4,资金流水!$B$1388&lt;=$E$4,OR(资金流水!$C$1388=$C$3,AND(资金流水!$AD$1388=$C$3,资金流水!$X$1388="账户互转"))),INT(资金流水!$B$1388)*10000+1383,"")</f>
      </c>
    </row>
    <row r="1389">
      <c r="Z1389" s="2">
        <f>IF(AND(ISNUMBER(资金流水!$B$1389),资金流水!$B$1389&gt;=$C$4,资金流水!$B$1389&lt;=$E$4,OR(资金流水!$C$1389=$C$3,AND(资金流水!$AD$1389=$C$3,资金流水!$X$1389="账户互转"))),INT(资金流水!$B$1389)*10000+1384,"")</f>
      </c>
    </row>
    <row r="1390">
      <c r="Z1390" s="2">
        <f>IF(AND(ISNUMBER(资金流水!$B$1390),资金流水!$B$1390&gt;=$C$4,资金流水!$B$1390&lt;=$E$4,OR(资金流水!$C$1390=$C$3,AND(资金流水!$AD$1390=$C$3,资金流水!$X$1390="账户互转"))),INT(资金流水!$B$1390)*10000+1385,"")</f>
      </c>
    </row>
    <row r="1391">
      <c r="Z1391" s="2">
        <f>IF(AND(ISNUMBER(资金流水!$B$1391),资金流水!$B$1391&gt;=$C$4,资金流水!$B$1391&lt;=$E$4,OR(资金流水!$C$1391=$C$3,AND(资金流水!$AD$1391=$C$3,资金流水!$X$1391="账户互转"))),INT(资金流水!$B$1391)*10000+1386,"")</f>
      </c>
    </row>
    <row r="1392">
      <c r="Z1392" s="2">
        <f>IF(AND(ISNUMBER(资金流水!$B$1392),资金流水!$B$1392&gt;=$C$4,资金流水!$B$1392&lt;=$E$4,OR(资金流水!$C$1392=$C$3,AND(资金流水!$AD$1392=$C$3,资金流水!$X$1392="账户互转"))),INT(资金流水!$B$1392)*10000+1387,"")</f>
      </c>
    </row>
    <row r="1393">
      <c r="Z1393" s="2">
        <f>IF(AND(ISNUMBER(资金流水!$B$1393),资金流水!$B$1393&gt;=$C$4,资金流水!$B$1393&lt;=$E$4,OR(资金流水!$C$1393=$C$3,AND(资金流水!$AD$1393=$C$3,资金流水!$X$1393="账户互转"))),INT(资金流水!$B$1393)*10000+1388,"")</f>
      </c>
    </row>
    <row r="1394">
      <c r="Z1394" s="2">
        <f>IF(AND(ISNUMBER(资金流水!$B$1394),资金流水!$B$1394&gt;=$C$4,资金流水!$B$1394&lt;=$E$4,OR(资金流水!$C$1394=$C$3,AND(资金流水!$AD$1394=$C$3,资金流水!$X$1394="账户互转"))),INT(资金流水!$B$1394)*10000+1389,"")</f>
      </c>
    </row>
    <row r="1395">
      <c r="Z1395" s="2">
        <f>IF(AND(ISNUMBER(资金流水!$B$1395),资金流水!$B$1395&gt;=$C$4,资金流水!$B$1395&lt;=$E$4,OR(资金流水!$C$1395=$C$3,AND(资金流水!$AD$1395=$C$3,资金流水!$X$1395="账户互转"))),INT(资金流水!$B$1395)*10000+1390,"")</f>
      </c>
    </row>
    <row r="1396">
      <c r="Z1396" s="2">
        <f>IF(AND(ISNUMBER(资金流水!$B$1396),资金流水!$B$1396&gt;=$C$4,资金流水!$B$1396&lt;=$E$4,OR(资金流水!$C$1396=$C$3,AND(资金流水!$AD$1396=$C$3,资金流水!$X$1396="账户互转"))),INT(资金流水!$B$1396)*10000+1391,"")</f>
      </c>
    </row>
    <row r="1397">
      <c r="Z1397" s="2">
        <f>IF(AND(ISNUMBER(资金流水!$B$1397),资金流水!$B$1397&gt;=$C$4,资金流水!$B$1397&lt;=$E$4,OR(资金流水!$C$1397=$C$3,AND(资金流水!$AD$1397=$C$3,资金流水!$X$1397="账户互转"))),INT(资金流水!$B$1397)*10000+1392,"")</f>
      </c>
    </row>
    <row r="1398">
      <c r="Z1398" s="2">
        <f>IF(AND(ISNUMBER(资金流水!$B$1398),资金流水!$B$1398&gt;=$C$4,资金流水!$B$1398&lt;=$E$4,OR(资金流水!$C$1398=$C$3,AND(资金流水!$AD$1398=$C$3,资金流水!$X$1398="账户互转"))),INT(资金流水!$B$1398)*10000+1393,"")</f>
      </c>
    </row>
    <row r="1399">
      <c r="Z1399" s="2">
        <f>IF(AND(ISNUMBER(资金流水!$B$1399),资金流水!$B$1399&gt;=$C$4,资金流水!$B$1399&lt;=$E$4,OR(资金流水!$C$1399=$C$3,AND(资金流水!$AD$1399=$C$3,资金流水!$X$1399="账户互转"))),INT(资金流水!$B$1399)*10000+1394,"")</f>
      </c>
    </row>
    <row r="1400">
      <c r="Z1400" s="2">
        <f>IF(AND(ISNUMBER(资金流水!$B$1400),资金流水!$B$1400&gt;=$C$4,资金流水!$B$1400&lt;=$E$4,OR(资金流水!$C$1400=$C$3,AND(资金流水!$AD$1400=$C$3,资金流水!$X$1400="账户互转"))),INT(资金流水!$B$1400)*10000+1395,"")</f>
      </c>
    </row>
    <row r="1401">
      <c r="Z1401" s="2">
        <f>IF(AND(ISNUMBER(资金流水!$B$1401),资金流水!$B$1401&gt;=$C$4,资金流水!$B$1401&lt;=$E$4,OR(资金流水!$C$1401=$C$3,AND(资金流水!$AD$1401=$C$3,资金流水!$X$1401="账户互转"))),INT(资金流水!$B$1401)*10000+1396,"")</f>
      </c>
    </row>
    <row r="1402">
      <c r="Z1402" s="2">
        <f>IF(AND(ISNUMBER(资金流水!$B$1402),资金流水!$B$1402&gt;=$C$4,资金流水!$B$1402&lt;=$E$4,OR(资金流水!$C$1402=$C$3,AND(资金流水!$AD$1402=$C$3,资金流水!$X$1402="账户互转"))),INT(资金流水!$B$1402)*10000+1397,"")</f>
      </c>
    </row>
    <row r="1403">
      <c r="Z1403" s="2">
        <f>IF(AND(ISNUMBER(资金流水!$B$1403),资金流水!$B$1403&gt;=$C$4,资金流水!$B$1403&lt;=$E$4,OR(资金流水!$C$1403=$C$3,AND(资金流水!$AD$1403=$C$3,资金流水!$X$1403="账户互转"))),INT(资金流水!$B$1403)*10000+1398,"")</f>
      </c>
    </row>
    <row r="1404">
      <c r="Z1404" s="2">
        <f>IF(AND(ISNUMBER(资金流水!$B$1404),资金流水!$B$1404&gt;=$C$4,资金流水!$B$1404&lt;=$E$4,OR(资金流水!$C$1404=$C$3,AND(资金流水!$AD$1404=$C$3,资金流水!$X$1404="账户互转"))),INT(资金流水!$B$1404)*10000+1399,"")</f>
      </c>
    </row>
    <row r="1405">
      <c r="Z1405" s="2">
        <f>IF(AND(ISNUMBER(资金流水!$B$1405),资金流水!$B$1405&gt;=$C$4,资金流水!$B$1405&lt;=$E$4,OR(资金流水!$C$1405=$C$3,AND(资金流水!$AD$1405=$C$3,资金流水!$X$1405="账户互转"))),INT(资金流水!$B$1405)*10000+1400,"")</f>
      </c>
    </row>
    <row r="1406">
      <c r="Z1406" s="2">
        <f>IF(AND(ISNUMBER(资金流水!$B$1406),资金流水!$B$1406&gt;=$C$4,资金流水!$B$1406&lt;=$E$4,OR(资金流水!$C$1406=$C$3,AND(资金流水!$AD$1406=$C$3,资金流水!$X$1406="账户互转"))),INT(资金流水!$B$1406)*10000+1401,"")</f>
      </c>
    </row>
    <row r="1407">
      <c r="Z1407" s="2">
        <f>IF(AND(ISNUMBER(资金流水!$B$1407),资金流水!$B$1407&gt;=$C$4,资金流水!$B$1407&lt;=$E$4,OR(资金流水!$C$1407=$C$3,AND(资金流水!$AD$1407=$C$3,资金流水!$X$1407="账户互转"))),INT(资金流水!$B$1407)*10000+1402,"")</f>
      </c>
    </row>
    <row r="1408">
      <c r="Z1408" s="2">
        <f>IF(AND(ISNUMBER(资金流水!$B$1408),资金流水!$B$1408&gt;=$C$4,资金流水!$B$1408&lt;=$E$4,OR(资金流水!$C$1408=$C$3,AND(资金流水!$AD$1408=$C$3,资金流水!$X$1408="账户互转"))),INT(资金流水!$B$1408)*10000+1403,"")</f>
      </c>
    </row>
    <row r="1409">
      <c r="Z1409" s="2">
        <f>IF(AND(ISNUMBER(资金流水!$B$1409),资金流水!$B$1409&gt;=$C$4,资金流水!$B$1409&lt;=$E$4,OR(资金流水!$C$1409=$C$3,AND(资金流水!$AD$1409=$C$3,资金流水!$X$1409="账户互转"))),INT(资金流水!$B$1409)*10000+1404,"")</f>
      </c>
    </row>
    <row r="1410">
      <c r="Z1410" s="2">
        <f>IF(AND(ISNUMBER(资金流水!$B$1410),资金流水!$B$1410&gt;=$C$4,资金流水!$B$1410&lt;=$E$4,OR(资金流水!$C$1410=$C$3,AND(资金流水!$AD$1410=$C$3,资金流水!$X$1410="账户互转"))),INT(资金流水!$B$1410)*10000+1405,"")</f>
      </c>
    </row>
    <row r="1411">
      <c r="Z1411" s="2">
        <f>IF(AND(ISNUMBER(资金流水!$B$1411),资金流水!$B$1411&gt;=$C$4,资金流水!$B$1411&lt;=$E$4,OR(资金流水!$C$1411=$C$3,AND(资金流水!$AD$1411=$C$3,资金流水!$X$1411="账户互转"))),INT(资金流水!$B$1411)*10000+1406,"")</f>
      </c>
    </row>
    <row r="1412">
      <c r="Z1412" s="2">
        <f>IF(AND(ISNUMBER(资金流水!$B$1412),资金流水!$B$1412&gt;=$C$4,资金流水!$B$1412&lt;=$E$4,OR(资金流水!$C$1412=$C$3,AND(资金流水!$AD$1412=$C$3,资金流水!$X$1412="账户互转"))),INT(资金流水!$B$1412)*10000+1407,"")</f>
      </c>
    </row>
    <row r="1413">
      <c r="Z1413" s="2">
        <f>IF(AND(ISNUMBER(资金流水!$B$1413),资金流水!$B$1413&gt;=$C$4,资金流水!$B$1413&lt;=$E$4,OR(资金流水!$C$1413=$C$3,AND(资金流水!$AD$1413=$C$3,资金流水!$X$1413="账户互转"))),INT(资金流水!$B$1413)*10000+1408,"")</f>
      </c>
    </row>
    <row r="1414">
      <c r="Z1414" s="2">
        <f>IF(AND(ISNUMBER(资金流水!$B$1414),资金流水!$B$1414&gt;=$C$4,资金流水!$B$1414&lt;=$E$4,OR(资金流水!$C$1414=$C$3,AND(资金流水!$AD$1414=$C$3,资金流水!$X$1414="账户互转"))),INT(资金流水!$B$1414)*10000+1409,"")</f>
      </c>
    </row>
    <row r="1415">
      <c r="Z1415" s="2">
        <f>IF(AND(ISNUMBER(资金流水!$B$1415),资金流水!$B$1415&gt;=$C$4,资金流水!$B$1415&lt;=$E$4,OR(资金流水!$C$1415=$C$3,AND(资金流水!$AD$1415=$C$3,资金流水!$X$1415="账户互转"))),INT(资金流水!$B$1415)*10000+1410,"")</f>
      </c>
    </row>
    <row r="1416">
      <c r="Z1416" s="2">
        <f>IF(AND(ISNUMBER(资金流水!$B$1416),资金流水!$B$1416&gt;=$C$4,资金流水!$B$1416&lt;=$E$4,OR(资金流水!$C$1416=$C$3,AND(资金流水!$AD$1416=$C$3,资金流水!$X$1416="账户互转"))),INT(资金流水!$B$1416)*10000+1411,"")</f>
      </c>
    </row>
    <row r="1417">
      <c r="Z1417" s="2">
        <f>IF(AND(ISNUMBER(资金流水!$B$1417),资金流水!$B$1417&gt;=$C$4,资金流水!$B$1417&lt;=$E$4,OR(资金流水!$C$1417=$C$3,AND(资金流水!$AD$1417=$C$3,资金流水!$X$1417="账户互转"))),INT(资金流水!$B$1417)*10000+1412,"")</f>
      </c>
    </row>
    <row r="1418">
      <c r="Z1418" s="2">
        <f>IF(AND(ISNUMBER(资金流水!$B$1418),资金流水!$B$1418&gt;=$C$4,资金流水!$B$1418&lt;=$E$4,OR(资金流水!$C$1418=$C$3,AND(资金流水!$AD$1418=$C$3,资金流水!$X$1418="账户互转"))),INT(资金流水!$B$1418)*10000+1413,"")</f>
      </c>
    </row>
    <row r="1419">
      <c r="Z1419" s="2">
        <f>IF(AND(ISNUMBER(资金流水!$B$1419),资金流水!$B$1419&gt;=$C$4,资金流水!$B$1419&lt;=$E$4,OR(资金流水!$C$1419=$C$3,AND(资金流水!$AD$1419=$C$3,资金流水!$X$1419="账户互转"))),INT(资金流水!$B$1419)*10000+1414,"")</f>
      </c>
    </row>
    <row r="1420">
      <c r="Z1420" s="2">
        <f>IF(AND(ISNUMBER(资金流水!$B$1420),资金流水!$B$1420&gt;=$C$4,资金流水!$B$1420&lt;=$E$4,OR(资金流水!$C$1420=$C$3,AND(资金流水!$AD$1420=$C$3,资金流水!$X$1420="账户互转"))),INT(资金流水!$B$1420)*10000+1415,"")</f>
      </c>
    </row>
    <row r="1421">
      <c r="Z1421" s="2">
        <f>IF(AND(ISNUMBER(资金流水!$B$1421),资金流水!$B$1421&gt;=$C$4,资金流水!$B$1421&lt;=$E$4,OR(资金流水!$C$1421=$C$3,AND(资金流水!$AD$1421=$C$3,资金流水!$X$1421="账户互转"))),INT(资金流水!$B$1421)*10000+1416,"")</f>
      </c>
    </row>
    <row r="1422">
      <c r="Z1422" s="2">
        <f>IF(AND(ISNUMBER(资金流水!$B$1422),资金流水!$B$1422&gt;=$C$4,资金流水!$B$1422&lt;=$E$4,OR(资金流水!$C$1422=$C$3,AND(资金流水!$AD$1422=$C$3,资金流水!$X$1422="账户互转"))),INT(资金流水!$B$1422)*10000+1417,"")</f>
      </c>
    </row>
    <row r="1423">
      <c r="Z1423" s="2">
        <f>IF(AND(ISNUMBER(资金流水!$B$1423),资金流水!$B$1423&gt;=$C$4,资金流水!$B$1423&lt;=$E$4,OR(资金流水!$C$1423=$C$3,AND(资金流水!$AD$1423=$C$3,资金流水!$X$1423="账户互转"))),INT(资金流水!$B$1423)*10000+1418,"")</f>
      </c>
    </row>
    <row r="1424">
      <c r="Z1424" s="2">
        <f>IF(AND(ISNUMBER(资金流水!$B$1424),资金流水!$B$1424&gt;=$C$4,资金流水!$B$1424&lt;=$E$4,OR(资金流水!$C$1424=$C$3,AND(资金流水!$AD$1424=$C$3,资金流水!$X$1424="账户互转"))),INT(资金流水!$B$1424)*10000+1419,"")</f>
      </c>
    </row>
    <row r="1425">
      <c r="Z1425" s="2">
        <f>IF(AND(ISNUMBER(资金流水!$B$1425),资金流水!$B$1425&gt;=$C$4,资金流水!$B$1425&lt;=$E$4,OR(资金流水!$C$1425=$C$3,AND(资金流水!$AD$1425=$C$3,资金流水!$X$1425="账户互转"))),INT(资金流水!$B$1425)*10000+1420,"")</f>
      </c>
    </row>
    <row r="1426">
      <c r="Z1426" s="2">
        <f>IF(AND(ISNUMBER(资金流水!$B$1426),资金流水!$B$1426&gt;=$C$4,资金流水!$B$1426&lt;=$E$4,OR(资金流水!$C$1426=$C$3,AND(资金流水!$AD$1426=$C$3,资金流水!$X$1426="账户互转"))),INT(资金流水!$B$1426)*10000+1421,"")</f>
      </c>
    </row>
    <row r="1427">
      <c r="Z1427" s="2">
        <f>IF(AND(ISNUMBER(资金流水!$B$1427),资金流水!$B$1427&gt;=$C$4,资金流水!$B$1427&lt;=$E$4,OR(资金流水!$C$1427=$C$3,AND(资金流水!$AD$1427=$C$3,资金流水!$X$1427="账户互转"))),INT(资金流水!$B$1427)*10000+1422,"")</f>
      </c>
    </row>
    <row r="1428">
      <c r="Z1428" s="2">
        <f>IF(AND(ISNUMBER(资金流水!$B$1428),资金流水!$B$1428&gt;=$C$4,资金流水!$B$1428&lt;=$E$4,OR(资金流水!$C$1428=$C$3,AND(资金流水!$AD$1428=$C$3,资金流水!$X$1428="账户互转"))),INT(资金流水!$B$1428)*10000+1423,"")</f>
      </c>
    </row>
    <row r="1429">
      <c r="Z1429" s="2">
        <f>IF(AND(ISNUMBER(资金流水!$B$1429),资金流水!$B$1429&gt;=$C$4,资金流水!$B$1429&lt;=$E$4,OR(资金流水!$C$1429=$C$3,AND(资金流水!$AD$1429=$C$3,资金流水!$X$1429="账户互转"))),INT(资金流水!$B$1429)*10000+1424,"")</f>
      </c>
    </row>
    <row r="1430">
      <c r="Z1430" s="2">
        <f>IF(AND(ISNUMBER(资金流水!$B$1430),资金流水!$B$1430&gt;=$C$4,资金流水!$B$1430&lt;=$E$4,OR(资金流水!$C$1430=$C$3,AND(资金流水!$AD$1430=$C$3,资金流水!$X$1430="账户互转"))),INT(资金流水!$B$1430)*10000+1425,"")</f>
      </c>
    </row>
    <row r="1431">
      <c r="Z1431" s="2">
        <f>IF(AND(ISNUMBER(资金流水!$B$1431),资金流水!$B$1431&gt;=$C$4,资金流水!$B$1431&lt;=$E$4,OR(资金流水!$C$1431=$C$3,AND(资金流水!$AD$1431=$C$3,资金流水!$X$1431="账户互转"))),INT(资金流水!$B$1431)*10000+1426,"")</f>
      </c>
    </row>
    <row r="1432">
      <c r="Z1432" s="2">
        <f>IF(AND(ISNUMBER(资金流水!$B$1432),资金流水!$B$1432&gt;=$C$4,资金流水!$B$1432&lt;=$E$4,OR(资金流水!$C$1432=$C$3,AND(资金流水!$AD$1432=$C$3,资金流水!$X$1432="账户互转"))),INT(资金流水!$B$1432)*10000+1427,"")</f>
      </c>
    </row>
    <row r="1433">
      <c r="Z1433" s="2">
        <f>IF(AND(ISNUMBER(资金流水!$B$1433),资金流水!$B$1433&gt;=$C$4,资金流水!$B$1433&lt;=$E$4,OR(资金流水!$C$1433=$C$3,AND(资金流水!$AD$1433=$C$3,资金流水!$X$1433="账户互转"))),INT(资金流水!$B$1433)*10000+1428,"")</f>
      </c>
    </row>
    <row r="1434">
      <c r="Z1434" s="2">
        <f>IF(AND(ISNUMBER(资金流水!$B$1434),资金流水!$B$1434&gt;=$C$4,资金流水!$B$1434&lt;=$E$4,OR(资金流水!$C$1434=$C$3,AND(资金流水!$AD$1434=$C$3,资金流水!$X$1434="账户互转"))),INT(资金流水!$B$1434)*10000+1429,"")</f>
      </c>
    </row>
    <row r="1435">
      <c r="Z1435" s="2">
        <f>IF(AND(ISNUMBER(资金流水!$B$1435),资金流水!$B$1435&gt;=$C$4,资金流水!$B$1435&lt;=$E$4,OR(资金流水!$C$1435=$C$3,AND(资金流水!$AD$1435=$C$3,资金流水!$X$1435="账户互转"))),INT(资金流水!$B$1435)*10000+1430,"")</f>
      </c>
    </row>
    <row r="1436">
      <c r="Z1436" s="2">
        <f>IF(AND(ISNUMBER(资金流水!$B$1436),资金流水!$B$1436&gt;=$C$4,资金流水!$B$1436&lt;=$E$4,OR(资金流水!$C$1436=$C$3,AND(资金流水!$AD$1436=$C$3,资金流水!$X$1436="账户互转"))),INT(资金流水!$B$1436)*10000+1431,"")</f>
      </c>
    </row>
    <row r="1437">
      <c r="Z1437" s="2">
        <f>IF(AND(ISNUMBER(资金流水!$B$1437),资金流水!$B$1437&gt;=$C$4,资金流水!$B$1437&lt;=$E$4,OR(资金流水!$C$1437=$C$3,AND(资金流水!$AD$1437=$C$3,资金流水!$X$1437="账户互转"))),INT(资金流水!$B$1437)*10000+1432,"")</f>
      </c>
    </row>
    <row r="1438">
      <c r="Z1438" s="2">
        <f>IF(AND(ISNUMBER(资金流水!$B$1438),资金流水!$B$1438&gt;=$C$4,资金流水!$B$1438&lt;=$E$4,OR(资金流水!$C$1438=$C$3,AND(资金流水!$AD$1438=$C$3,资金流水!$X$1438="账户互转"))),INT(资金流水!$B$1438)*10000+1433,"")</f>
      </c>
    </row>
    <row r="1439">
      <c r="Z1439" s="2">
        <f>IF(AND(ISNUMBER(资金流水!$B$1439),资金流水!$B$1439&gt;=$C$4,资金流水!$B$1439&lt;=$E$4,OR(资金流水!$C$1439=$C$3,AND(资金流水!$AD$1439=$C$3,资金流水!$X$1439="账户互转"))),INT(资金流水!$B$1439)*10000+1434,"")</f>
      </c>
    </row>
    <row r="1440">
      <c r="Z1440" s="2">
        <f>IF(AND(ISNUMBER(资金流水!$B$1440),资金流水!$B$1440&gt;=$C$4,资金流水!$B$1440&lt;=$E$4,OR(资金流水!$C$1440=$C$3,AND(资金流水!$AD$1440=$C$3,资金流水!$X$1440="账户互转"))),INT(资金流水!$B$1440)*10000+1435,"")</f>
      </c>
    </row>
    <row r="1441">
      <c r="Z1441" s="2">
        <f>IF(AND(ISNUMBER(资金流水!$B$1441),资金流水!$B$1441&gt;=$C$4,资金流水!$B$1441&lt;=$E$4,OR(资金流水!$C$1441=$C$3,AND(资金流水!$AD$1441=$C$3,资金流水!$X$1441="账户互转"))),INT(资金流水!$B$1441)*10000+1436,"")</f>
      </c>
    </row>
    <row r="1442">
      <c r="Z1442" s="2">
        <f>IF(AND(ISNUMBER(资金流水!$B$1442),资金流水!$B$1442&gt;=$C$4,资金流水!$B$1442&lt;=$E$4,OR(资金流水!$C$1442=$C$3,AND(资金流水!$AD$1442=$C$3,资金流水!$X$1442="账户互转"))),INT(资金流水!$B$1442)*10000+1437,"")</f>
      </c>
    </row>
    <row r="1443">
      <c r="Z1443" s="2">
        <f>IF(AND(ISNUMBER(资金流水!$B$1443),资金流水!$B$1443&gt;=$C$4,资金流水!$B$1443&lt;=$E$4,OR(资金流水!$C$1443=$C$3,AND(资金流水!$AD$1443=$C$3,资金流水!$X$1443="账户互转"))),INT(资金流水!$B$1443)*10000+1438,"")</f>
      </c>
    </row>
    <row r="1444">
      <c r="Z1444" s="2">
        <f>IF(AND(ISNUMBER(资金流水!$B$1444),资金流水!$B$1444&gt;=$C$4,资金流水!$B$1444&lt;=$E$4,OR(资金流水!$C$1444=$C$3,AND(资金流水!$AD$1444=$C$3,资金流水!$X$1444="账户互转"))),INT(资金流水!$B$1444)*10000+1439,"")</f>
      </c>
    </row>
    <row r="1445">
      <c r="Z1445" s="2">
        <f>IF(AND(ISNUMBER(资金流水!$B$1445),资金流水!$B$1445&gt;=$C$4,资金流水!$B$1445&lt;=$E$4,OR(资金流水!$C$1445=$C$3,AND(资金流水!$AD$1445=$C$3,资金流水!$X$1445="账户互转"))),INT(资金流水!$B$1445)*10000+1440,"")</f>
      </c>
    </row>
    <row r="1446">
      <c r="Z1446" s="2">
        <f>IF(AND(ISNUMBER(资金流水!$B$1446),资金流水!$B$1446&gt;=$C$4,资金流水!$B$1446&lt;=$E$4,OR(资金流水!$C$1446=$C$3,AND(资金流水!$AD$1446=$C$3,资金流水!$X$1446="账户互转"))),INT(资金流水!$B$1446)*10000+1441,"")</f>
      </c>
    </row>
    <row r="1447">
      <c r="Z1447" s="2">
        <f>IF(AND(ISNUMBER(资金流水!$B$1447),资金流水!$B$1447&gt;=$C$4,资金流水!$B$1447&lt;=$E$4,OR(资金流水!$C$1447=$C$3,AND(资金流水!$AD$1447=$C$3,资金流水!$X$1447="账户互转"))),INT(资金流水!$B$1447)*10000+1442,"")</f>
      </c>
    </row>
    <row r="1448">
      <c r="Z1448" s="2">
        <f>IF(AND(ISNUMBER(资金流水!$B$1448),资金流水!$B$1448&gt;=$C$4,资金流水!$B$1448&lt;=$E$4,OR(资金流水!$C$1448=$C$3,AND(资金流水!$AD$1448=$C$3,资金流水!$X$1448="账户互转"))),INT(资金流水!$B$1448)*10000+1443,"")</f>
      </c>
    </row>
    <row r="1449">
      <c r="Z1449" s="2">
        <f>IF(AND(ISNUMBER(资金流水!$B$1449),资金流水!$B$1449&gt;=$C$4,资金流水!$B$1449&lt;=$E$4,OR(资金流水!$C$1449=$C$3,AND(资金流水!$AD$1449=$C$3,资金流水!$X$1449="账户互转"))),INT(资金流水!$B$1449)*10000+1444,"")</f>
      </c>
    </row>
    <row r="1450">
      <c r="Z1450" s="2">
        <f>IF(AND(ISNUMBER(资金流水!$B$1450),资金流水!$B$1450&gt;=$C$4,资金流水!$B$1450&lt;=$E$4,OR(资金流水!$C$1450=$C$3,AND(资金流水!$AD$1450=$C$3,资金流水!$X$1450="账户互转"))),INT(资金流水!$B$1450)*10000+1445,"")</f>
      </c>
    </row>
    <row r="1451">
      <c r="Z1451" s="2">
        <f>IF(AND(ISNUMBER(资金流水!$B$1451),资金流水!$B$1451&gt;=$C$4,资金流水!$B$1451&lt;=$E$4,OR(资金流水!$C$1451=$C$3,AND(资金流水!$AD$1451=$C$3,资金流水!$X$1451="账户互转"))),INT(资金流水!$B$1451)*10000+1446,"")</f>
      </c>
    </row>
    <row r="1452">
      <c r="Z1452" s="2">
        <f>IF(AND(ISNUMBER(资金流水!$B$1452),资金流水!$B$1452&gt;=$C$4,资金流水!$B$1452&lt;=$E$4,OR(资金流水!$C$1452=$C$3,AND(资金流水!$AD$1452=$C$3,资金流水!$X$1452="账户互转"))),INT(资金流水!$B$1452)*10000+1447,"")</f>
      </c>
    </row>
    <row r="1453">
      <c r="Z1453" s="2">
        <f>IF(AND(ISNUMBER(资金流水!$B$1453),资金流水!$B$1453&gt;=$C$4,资金流水!$B$1453&lt;=$E$4,OR(资金流水!$C$1453=$C$3,AND(资金流水!$AD$1453=$C$3,资金流水!$X$1453="账户互转"))),INT(资金流水!$B$1453)*10000+1448,"")</f>
      </c>
    </row>
    <row r="1454">
      <c r="Z1454" s="2">
        <f>IF(AND(ISNUMBER(资金流水!$B$1454),资金流水!$B$1454&gt;=$C$4,资金流水!$B$1454&lt;=$E$4,OR(资金流水!$C$1454=$C$3,AND(资金流水!$AD$1454=$C$3,资金流水!$X$1454="账户互转"))),INT(资金流水!$B$1454)*10000+1449,"")</f>
      </c>
    </row>
    <row r="1455">
      <c r="Z1455" s="2">
        <f>IF(AND(ISNUMBER(资金流水!$B$1455),资金流水!$B$1455&gt;=$C$4,资金流水!$B$1455&lt;=$E$4,OR(资金流水!$C$1455=$C$3,AND(资金流水!$AD$1455=$C$3,资金流水!$X$1455="账户互转"))),INT(资金流水!$B$1455)*10000+1450,"")</f>
      </c>
    </row>
    <row r="1456">
      <c r="Z1456" s="2">
        <f>IF(AND(ISNUMBER(资金流水!$B$1456),资金流水!$B$1456&gt;=$C$4,资金流水!$B$1456&lt;=$E$4,OR(资金流水!$C$1456=$C$3,AND(资金流水!$AD$1456=$C$3,资金流水!$X$1456="账户互转"))),INT(资金流水!$B$1456)*10000+1451,"")</f>
      </c>
    </row>
    <row r="1457">
      <c r="Z1457" s="2">
        <f>IF(AND(ISNUMBER(资金流水!$B$1457),资金流水!$B$1457&gt;=$C$4,资金流水!$B$1457&lt;=$E$4,OR(资金流水!$C$1457=$C$3,AND(资金流水!$AD$1457=$C$3,资金流水!$X$1457="账户互转"))),INT(资金流水!$B$1457)*10000+1452,"")</f>
      </c>
    </row>
    <row r="1458">
      <c r="Z1458" s="2">
        <f>IF(AND(ISNUMBER(资金流水!$B$1458),资金流水!$B$1458&gt;=$C$4,资金流水!$B$1458&lt;=$E$4,OR(资金流水!$C$1458=$C$3,AND(资金流水!$AD$1458=$C$3,资金流水!$X$1458="账户互转"))),INT(资金流水!$B$1458)*10000+1453,"")</f>
      </c>
    </row>
    <row r="1459">
      <c r="Z1459" s="2">
        <f>IF(AND(ISNUMBER(资金流水!$B$1459),资金流水!$B$1459&gt;=$C$4,资金流水!$B$1459&lt;=$E$4,OR(资金流水!$C$1459=$C$3,AND(资金流水!$AD$1459=$C$3,资金流水!$X$1459="账户互转"))),INT(资金流水!$B$1459)*10000+1454,"")</f>
      </c>
    </row>
    <row r="1460">
      <c r="Z1460" s="2">
        <f>IF(AND(ISNUMBER(资金流水!$B$1460),资金流水!$B$1460&gt;=$C$4,资金流水!$B$1460&lt;=$E$4,OR(资金流水!$C$1460=$C$3,AND(资金流水!$AD$1460=$C$3,资金流水!$X$1460="账户互转"))),INT(资金流水!$B$1460)*10000+1455,"")</f>
      </c>
    </row>
    <row r="1461">
      <c r="Z1461" s="2">
        <f>IF(AND(ISNUMBER(资金流水!$B$1461),资金流水!$B$1461&gt;=$C$4,资金流水!$B$1461&lt;=$E$4,OR(资金流水!$C$1461=$C$3,AND(资金流水!$AD$1461=$C$3,资金流水!$X$1461="账户互转"))),INT(资金流水!$B$1461)*10000+1456,"")</f>
      </c>
    </row>
    <row r="1462">
      <c r="Z1462" s="2">
        <f>IF(AND(ISNUMBER(资金流水!$B$1462),资金流水!$B$1462&gt;=$C$4,资金流水!$B$1462&lt;=$E$4,OR(资金流水!$C$1462=$C$3,AND(资金流水!$AD$1462=$C$3,资金流水!$X$1462="账户互转"))),INT(资金流水!$B$1462)*10000+1457,"")</f>
      </c>
    </row>
    <row r="1463">
      <c r="Z1463" s="2">
        <f>IF(AND(ISNUMBER(资金流水!$B$1463),资金流水!$B$1463&gt;=$C$4,资金流水!$B$1463&lt;=$E$4,OR(资金流水!$C$1463=$C$3,AND(资金流水!$AD$1463=$C$3,资金流水!$X$1463="账户互转"))),INT(资金流水!$B$1463)*10000+1458,"")</f>
      </c>
    </row>
    <row r="1464">
      <c r="Z1464" s="2">
        <f>IF(AND(ISNUMBER(资金流水!$B$1464),资金流水!$B$1464&gt;=$C$4,资金流水!$B$1464&lt;=$E$4,OR(资金流水!$C$1464=$C$3,AND(资金流水!$AD$1464=$C$3,资金流水!$X$1464="账户互转"))),INT(资金流水!$B$1464)*10000+1459,"")</f>
      </c>
    </row>
    <row r="1465">
      <c r="Z1465" s="2">
        <f>IF(AND(ISNUMBER(资金流水!$B$1465),资金流水!$B$1465&gt;=$C$4,资金流水!$B$1465&lt;=$E$4,OR(资金流水!$C$1465=$C$3,AND(资金流水!$AD$1465=$C$3,资金流水!$X$1465="账户互转"))),INT(资金流水!$B$1465)*10000+1460,"")</f>
      </c>
    </row>
    <row r="1466">
      <c r="Z1466" s="2">
        <f>IF(AND(ISNUMBER(资金流水!$B$1466),资金流水!$B$1466&gt;=$C$4,资金流水!$B$1466&lt;=$E$4,OR(资金流水!$C$1466=$C$3,AND(资金流水!$AD$1466=$C$3,资金流水!$X$1466="账户互转"))),INT(资金流水!$B$1466)*10000+1461,"")</f>
      </c>
    </row>
    <row r="1467">
      <c r="Z1467" s="2">
        <f>IF(AND(ISNUMBER(资金流水!$B$1467),资金流水!$B$1467&gt;=$C$4,资金流水!$B$1467&lt;=$E$4,OR(资金流水!$C$1467=$C$3,AND(资金流水!$AD$1467=$C$3,资金流水!$X$1467="账户互转"))),INT(资金流水!$B$1467)*10000+1462,"")</f>
      </c>
    </row>
    <row r="1468">
      <c r="Z1468" s="2">
        <f>IF(AND(ISNUMBER(资金流水!$B$1468),资金流水!$B$1468&gt;=$C$4,资金流水!$B$1468&lt;=$E$4,OR(资金流水!$C$1468=$C$3,AND(资金流水!$AD$1468=$C$3,资金流水!$X$1468="账户互转"))),INT(资金流水!$B$1468)*10000+1463,"")</f>
      </c>
    </row>
    <row r="1469">
      <c r="Z1469" s="2">
        <f>IF(AND(ISNUMBER(资金流水!$B$1469),资金流水!$B$1469&gt;=$C$4,资金流水!$B$1469&lt;=$E$4,OR(资金流水!$C$1469=$C$3,AND(资金流水!$AD$1469=$C$3,资金流水!$X$1469="账户互转"))),INT(资金流水!$B$1469)*10000+1464,"")</f>
      </c>
    </row>
    <row r="1470">
      <c r="Z1470" s="2">
        <f>IF(AND(ISNUMBER(资金流水!$B$1470),资金流水!$B$1470&gt;=$C$4,资金流水!$B$1470&lt;=$E$4,OR(资金流水!$C$1470=$C$3,AND(资金流水!$AD$1470=$C$3,资金流水!$X$1470="账户互转"))),INT(资金流水!$B$1470)*10000+1465,"")</f>
      </c>
    </row>
    <row r="1471">
      <c r="Z1471" s="2">
        <f>IF(AND(ISNUMBER(资金流水!$B$1471),资金流水!$B$1471&gt;=$C$4,资金流水!$B$1471&lt;=$E$4,OR(资金流水!$C$1471=$C$3,AND(资金流水!$AD$1471=$C$3,资金流水!$X$1471="账户互转"))),INT(资金流水!$B$1471)*10000+1466,"")</f>
      </c>
    </row>
    <row r="1472">
      <c r="Z1472" s="2">
        <f>IF(AND(ISNUMBER(资金流水!$B$1472),资金流水!$B$1472&gt;=$C$4,资金流水!$B$1472&lt;=$E$4,OR(资金流水!$C$1472=$C$3,AND(资金流水!$AD$1472=$C$3,资金流水!$X$1472="账户互转"))),INT(资金流水!$B$1472)*10000+1467,"")</f>
      </c>
    </row>
    <row r="1473">
      <c r="Z1473" s="2">
        <f>IF(AND(ISNUMBER(资金流水!$B$1473),资金流水!$B$1473&gt;=$C$4,资金流水!$B$1473&lt;=$E$4,OR(资金流水!$C$1473=$C$3,AND(资金流水!$AD$1473=$C$3,资金流水!$X$1473="账户互转"))),INT(资金流水!$B$1473)*10000+1468,"")</f>
      </c>
    </row>
    <row r="1474">
      <c r="Z1474" s="2">
        <f>IF(AND(ISNUMBER(资金流水!$B$1474),资金流水!$B$1474&gt;=$C$4,资金流水!$B$1474&lt;=$E$4,OR(资金流水!$C$1474=$C$3,AND(资金流水!$AD$1474=$C$3,资金流水!$X$1474="账户互转"))),INT(资金流水!$B$1474)*10000+1469,"")</f>
      </c>
    </row>
    <row r="1475">
      <c r="Z1475" s="2">
        <f>IF(AND(ISNUMBER(资金流水!$B$1475),资金流水!$B$1475&gt;=$C$4,资金流水!$B$1475&lt;=$E$4,OR(资金流水!$C$1475=$C$3,AND(资金流水!$AD$1475=$C$3,资金流水!$X$1475="账户互转"))),INT(资金流水!$B$1475)*10000+1470,"")</f>
      </c>
    </row>
    <row r="1476">
      <c r="Z1476" s="2">
        <f>IF(AND(ISNUMBER(资金流水!$B$1476),资金流水!$B$1476&gt;=$C$4,资金流水!$B$1476&lt;=$E$4,OR(资金流水!$C$1476=$C$3,AND(资金流水!$AD$1476=$C$3,资金流水!$X$1476="账户互转"))),INT(资金流水!$B$1476)*10000+1471,"")</f>
      </c>
    </row>
    <row r="1477">
      <c r="Z1477" s="2">
        <f>IF(AND(ISNUMBER(资金流水!$B$1477),资金流水!$B$1477&gt;=$C$4,资金流水!$B$1477&lt;=$E$4,OR(资金流水!$C$1477=$C$3,AND(资金流水!$AD$1477=$C$3,资金流水!$X$1477="账户互转"))),INT(资金流水!$B$1477)*10000+1472,"")</f>
      </c>
    </row>
    <row r="1478">
      <c r="Z1478" s="2">
        <f>IF(AND(ISNUMBER(资金流水!$B$1478),资金流水!$B$1478&gt;=$C$4,资金流水!$B$1478&lt;=$E$4,OR(资金流水!$C$1478=$C$3,AND(资金流水!$AD$1478=$C$3,资金流水!$X$1478="账户互转"))),INT(资金流水!$B$1478)*10000+1473,"")</f>
      </c>
    </row>
    <row r="1479">
      <c r="Z1479" s="2">
        <f>IF(AND(ISNUMBER(资金流水!$B$1479),资金流水!$B$1479&gt;=$C$4,资金流水!$B$1479&lt;=$E$4,OR(资金流水!$C$1479=$C$3,AND(资金流水!$AD$1479=$C$3,资金流水!$X$1479="账户互转"))),INT(资金流水!$B$1479)*10000+1474,"")</f>
      </c>
    </row>
    <row r="1480">
      <c r="Z1480" s="2">
        <f>IF(AND(ISNUMBER(资金流水!$B$1480),资金流水!$B$1480&gt;=$C$4,资金流水!$B$1480&lt;=$E$4,OR(资金流水!$C$1480=$C$3,AND(资金流水!$AD$1480=$C$3,资金流水!$X$1480="账户互转"))),INT(资金流水!$B$1480)*10000+1475,"")</f>
      </c>
    </row>
    <row r="1481">
      <c r="Z1481" s="2">
        <f>IF(AND(ISNUMBER(资金流水!$B$1481),资金流水!$B$1481&gt;=$C$4,资金流水!$B$1481&lt;=$E$4,OR(资金流水!$C$1481=$C$3,AND(资金流水!$AD$1481=$C$3,资金流水!$X$1481="账户互转"))),INT(资金流水!$B$1481)*10000+1476,"")</f>
      </c>
    </row>
    <row r="1482">
      <c r="Z1482" s="2">
        <f>IF(AND(ISNUMBER(资金流水!$B$1482),资金流水!$B$1482&gt;=$C$4,资金流水!$B$1482&lt;=$E$4,OR(资金流水!$C$1482=$C$3,AND(资金流水!$AD$1482=$C$3,资金流水!$X$1482="账户互转"))),INT(资金流水!$B$1482)*10000+1477,"")</f>
      </c>
    </row>
    <row r="1483">
      <c r="Z1483" s="2">
        <f>IF(AND(ISNUMBER(资金流水!$B$1483),资金流水!$B$1483&gt;=$C$4,资金流水!$B$1483&lt;=$E$4,OR(资金流水!$C$1483=$C$3,AND(资金流水!$AD$1483=$C$3,资金流水!$X$1483="账户互转"))),INT(资金流水!$B$1483)*10000+1478,"")</f>
      </c>
    </row>
    <row r="1484">
      <c r="Z1484" s="2">
        <f>IF(AND(ISNUMBER(资金流水!$B$1484),资金流水!$B$1484&gt;=$C$4,资金流水!$B$1484&lt;=$E$4,OR(资金流水!$C$1484=$C$3,AND(资金流水!$AD$1484=$C$3,资金流水!$X$1484="账户互转"))),INT(资金流水!$B$1484)*10000+1479,"")</f>
      </c>
    </row>
    <row r="1485">
      <c r="Z1485" s="2">
        <f>IF(AND(ISNUMBER(资金流水!$B$1485),资金流水!$B$1485&gt;=$C$4,资金流水!$B$1485&lt;=$E$4,OR(资金流水!$C$1485=$C$3,AND(资金流水!$AD$1485=$C$3,资金流水!$X$1485="账户互转"))),INT(资金流水!$B$1485)*10000+1480,"")</f>
      </c>
    </row>
    <row r="1486">
      <c r="Z1486" s="2">
        <f>IF(AND(ISNUMBER(资金流水!$B$1486),资金流水!$B$1486&gt;=$C$4,资金流水!$B$1486&lt;=$E$4,OR(资金流水!$C$1486=$C$3,AND(资金流水!$AD$1486=$C$3,资金流水!$X$1486="账户互转"))),INT(资金流水!$B$1486)*10000+1481,"")</f>
      </c>
    </row>
    <row r="1487">
      <c r="Z1487" s="2">
        <f>IF(AND(ISNUMBER(资金流水!$B$1487),资金流水!$B$1487&gt;=$C$4,资金流水!$B$1487&lt;=$E$4,OR(资金流水!$C$1487=$C$3,AND(资金流水!$AD$1487=$C$3,资金流水!$X$1487="账户互转"))),INT(资金流水!$B$1487)*10000+1482,"")</f>
      </c>
    </row>
    <row r="1488">
      <c r="Z1488" s="2">
        <f>IF(AND(ISNUMBER(资金流水!$B$1488),资金流水!$B$1488&gt;=$C$4,资金流水!$B$1488&lt;=$E$4,OR(资金流水!$C$1488=$C$3,AND(资金流水!$AD$1488=$C$3,资金流水!$X$1488="账户互转"))),INT(资金流水!$B$1488)*10000+1483,"")</f>
      </c>
    </row>
    <row r="1489">
      <c r="Z1489" s="2">
        <f>IF(AND(ISNUMBER(资金流水!$B$1489),资金流水!$B$1489&gt;=$C$4,资金流水!$B$1489&lt;=$E$4,OR(资金流水!$C$1489=$C$3,AND(资金流水!$AD$1489=$C$3,资金流水!$X$1489="账户互转"))),INT(资金流水!$B$1489)*10000+1484,"")</f>
      </c>
    </row>
    <row r="1490">
      <c r="Z1490" s="2">
        <f>IF(AND(ISNUMBER(资金流水!$B$1490),资金流水!$B$1490&gt;=$C$4,资金流水!$B$1490&lt;=$E$4,OR(资金流水!$C$1490=$C$3,AND(资金流水!$AD$1490=$C$3,资金流水!$X$1490="账户互转"))),INT(资金流水!$B$1490)*10000+1485,"")</f>
      </c>
    </row>
    <row r="1491">
      <c r="Z1491" s="2">
        <f>IF(AND(ISNUMBER(资金流水!$B$1491),资金流水!$B$1491&gt;=$C$4,资金流水!$B$1491&lt;=$E$4,OR(资金流水!$C$1491=$C$3,AND(资金流水!$AD$1491=$C$3,资金流水!$X$1491="账户互转"))),INT(资金流水!$B$1491)*10000+1486,"")</f>
      </c>
    </row>
    <row r="1492">
      <c r="Z1492" s="2">
        <f>IF(AND(ISNUMBER(资金流水!$B$1492),资金流水!$B$1492&gt;=$C$4,资金流水!$B$1492&lt;=$E$4,OR(资金流水!$C$1492=$C$3,AND(资金流水!$AD$1492=$C$3,资金流水!$X$1492="账户互转"))),INT(资金流水!$B$1492)*10000+1487,"")</f>
      </c>
    </row>
    <row r="1493">
      <c r="Z1493" s="2">
        <f>IF(AND(ISNUMBER(资金流水!$B$1493),资金流水!$B$1493&gt;=$C$4,资金流水!$B$1493&lt;=$E$4,OR(资金流水!$C$1493=$C$3,AND(资金流水!$AD$1493=$C$3,资金流水!$X$1493="账户互转"))),INT(资金流水!$B$1493)*10000+1488,"")</f>
      </c>
    </row>
    <row r="1494">
      <c r="Z1494" s="2">
        <f>IF(AND(ISNUMBER(资金流水!$B$1494),资金流水!$B$1494&gt;=$C$4,资金流水!$B$1494&lt;=$E$4,OR(资金流水!$C$1494=$C$3,AND(资金流水!$AD$1494=$C$3,资金流水!$X$1494="账户互转"))),INT(资金流水!$B$1494)*10000+1489,"")</f>
      </c>
    </row>
    <row r="1495">
      <c r="Z1495" s="2">
        <f>IF(AND(ISNUMBER(资金流水!$B$1495),资金流水!$B$1495&gt;=$C$4,资金流水!$B$1495&lt;=$E$4,OR(资金流水!$C$1495=$C$3,AND(资金流水!$AD$1495=$C$3,资金流水!$X$1495="账户互转"))),INT(资金流水!$B$1495)*10000+1490,"")</f>
      </c>
    </row>
    <row r="1496">
      <c r="Z1496" s="2">
        <f>IF(AND(ISNUMBER(资金流水!$B$1496),资金流水!$B$1496&gt;=$C$4,资金流水!$B$1496&lt;=$E$4,OR(资金流水!$C$1496=$C$3,AND(资金流水!$AD$1496=$C$3,资金流水!$X$1496="账户互转"))),INT(资金流水!$B$1496)*10000+1491,"")</f>
      </c>
    </row>
    <row r="1497">
      <c r="Z1497" s="2">
        <f>IF(AND(ISNUMBER(资金流水!$B$1497),资金流水!$B$1497&gt;=$C$4,资金流水!$B$1497&lt;=$E$4,OR(资金流水!$C$1497=$C$3,AND(资金流水!$AD$1497=$C$3,资金流水!$X$1497="账户互转"))),INT(资金流水!$B$1497)*10000+1492,"")</f>
      </c>
    </row>
    <row r="1498">
      <c r="Z1498" s="2">
        <f>IF(AND(ISNUMBER(资金流水!$B$1498),资金流水!$B$1498&gt;=$C$4,资金流水!$B$1498&lt;=$E$4,OR(资金流水!$C$1498=$C$3,AND(资金流水!$AD$1498=$C$3,资金流水!$X$1498="账户互转"))),INT(资金流水!$B$1498)*10000+1493,"")</f>
      </c>
    </row>
    <row r="1499">
      <c r="Z1499" s="2">
        <f>IF(AND(ISNUMBER(资金流水!$B$1499),资金流水!$B$1499&gt;=$C$4,资金流水!$B$1499&lt;=$E$4,OR(资金流水!$C$1499=$C$3,AND(资金流水!$AD$1499=$C$3,资金流水!$X$1499="账户互转"))),INT(资金流水!$B$1499)*10000+1494,"")</f>
      </c>
    </row>
    <row r="1500">
      <c r="Z1500" s="2">
        <f>IF(AND(ISNUMBER(资金流水!$B$1500),资金流水!$B$1500&gt;=$C$4,资金流水!$B$1500&lt;=$E$4,OR(资金流水!$C$1500=$C$3,AND(资金流水!$AD$1500=$C$3,资金流水!$X$1500="账户互转"))),INT(资金流水!$B$1500)*10000+1495,"")</f>
      </c>
    </row>
    <row r="1501">
      <c r="Z1501" s="2">
        <f>IF(AND(ISNUMBER(资金流水!$B$1501),资金流水!$B$1501&gt;=$C$4,资金流水!$B$1501&lt;=$E$4,OR(资金流水!$C$1501=$C$3,AND(资金流水!$AD$1501=$C$3,资金流水!$X$1501="账户互转"))),INT(资金流水!$B$1501)*10000+1496,"")</f>
      </c>
    </row>
    <row r="1502">
      <c r="Z1502" s="2">
        <f>IF(AND(ISNUMBER(资金流水!$B$1502),资金流水!$B$1502&gt;=$C$4,资金流水!$B$1502&lt;=$E$4,OR(资金流水!$C$1502=$C$3,AND(资金流水!$AD$1502=$C$3,资金流水!$X$1502="账户互转"))),INT(资金流水!$B$1502)*10000+1497,"")</f>
      </c>
    </row>
    <row r="1503">
      <c r="Z1503" s="2">
        <f>IF(AND(ISNUMBER(资金流水!$B$1503),资金流水!$B$1503&gt;=$C$4,资金流水!$B$1503&lt;=$E$4,OR(资金流水!$C$1503=$C$3,AND(资金流水!$AD$1503=$C$3,资金流水!$X$1503="账户互转"))),INT(资金流水!$B$1503)*10000+1498,"")</f>
      </c>
    </row>
    <row r="1504">
      <c r="Z1504" s="2">
        <f>IF(AND(ISNUMBER(资金流水!$B$1504),资金流水!$B$1504&gt;=$C$4,资金流水!$B$1504&lt;=$E$4,OR(资金流水!$C$1504=$C$3,AND(资金流水!$AD$1504=$C$3,资金流水!$X$1504="账户互转"))),INT(资金流水!$B$1504)*10000+1499,"")</f>
      </c>
    </row>
    <row r="1505">
      <c r="Z1505" s="2">
        <f>IF(AND(ISNUMBER(资金流水!$B$1505),资金流水!$B$1505&gt;=$C$4,资金流水!$B$1505&lt;=$E$4,OR(资金流水!$C$1505=$C$3,AND(资金流水!$AD$1505=$C$3,资金流水!$X$1505="账户互转"))),INT(资金流水!$B$1505)*10000+1500,"")</f>
      </c>
    </row>
    <row r="1506">
      <c r="Z1506" s="2">
        <f>IF(AND(ISNUMBER(资金流水!$B$1506),资金流水!$B$1506&gt;=$C$4,资金流水!$B$1506&lt;=$E$4,OR(资金流水!$C$1506=$C$3,AND(资金流水!$AD$1506=$C$3,资金流水!$X$1506="账户互转"))),INT(资金流水!$B$1506)*10000+1501,"")</f>
      </c>
    </row>
    <row r="1507">
      <c r="Z1507" s="2">
        <f>IF(AND(ISNUMBER(资金流水!$B$1507),资金流水!$B$1507&gt;=$C$4,资金流水!$B$1507&lt;=$E$4,OR(资金流水!$C$1507=$C$3,AND(资金流水!$AD$1507=$C$3,资金流水!$X$1507="账户互转"))),INT(资金流水!$B$1507)*10000+1502,"")</f>
      </c>
    </row>
    <row r="1508">
      <c r="Z1508" s="2">
        <f>IF(AND(ISNUMBER(资金流水!$B$1508),资金流水!$B$1508&gt;=$C$4,资金流水!$B$1508&lt;=$E$4,OR(资金流水!$C$1508=$C$3,AND(资金流水!$AD$1508=$C$3,资金流水!$X$1508="账户互转"))),INT(资金流水!$B$1508)*10000+1503,"")</f>
      </c>
    </row>
    <row r="1509">
      <c r="Z1509" s="2">
        <f>IF(AND(ISNUMBER(资金流水!$B$1509),资金流水!$B$1509&gt;=$C$4,资金流水!$B$1509&lt;=$E$4,OR(资金流水!$C$1509=$C$3,AND(资金流水!$AD$1509=$C$3,资金流水!$X$1509="账户互转"))),INT(资金流水!$B$1509)*10000+1504,"")</f>
      </c>
    </row>
    <row r="1510">
      <c r="Z1510" s="2">
        <f>IF(AND(ISNUMBER(资金流水!$B$1510),资金流水!$B$1510&gt;=$C$4,资金流水!$B$1510&lt;=$E$4,OR(资金流水!$C$1510=$C$3,AND(资金流水!$AD$1510=$C$3,资金流水!$X$1510="账户互转"))),INT(资金流水!$B$1510)*10000+1505,"")</f>
      </c>
    </row>
    <row r="1511">
      <c r="Z1511" s="2">
        <f>IF(AND(ISNUMBER(资金流水!$B$1511),资金流水!$B$1511&gt;=$C$4,资金流水!$B$1511&lt;=$E$4,OR(资金流水!$C$1511=$C$3,AND(资金流水!$AD$1511=$C$3,资金流水!$X$1511="账户互转"))),INT(资金流水!$B$1511)*10000+1506,"")</f>
      </c>
    </row>
    <row r="1512">
      <c r="Z1512" s="2">
        <f>IF(AND(ISNUMBER(资金流水!$B$1512),资金流水!$B$1512&gt;=$C$4,资金流水!$B$1512&lt;=$E$4,OR(资金流水!$C$1512=$C$3,AND(资金流水!$AD$1512=$C$3,资金流水!$X$1512="账户互转"))),INT(资金流水!$B$1512)*10000+1507,"")</f>
      </c>
    </row>
    <row r="1513">
      <c r="Z1513" s="2">
        <f>IF(AND(ISNUMBER(资金流水!$B$1513),资金流水!$B$1513&gt;=$C$4,资金流水!$B$1513&lt;=$E$4,OR(资金流水!$C$1513=$C$3,AND(资金流水!$AD$1513=$C$3,资金流水!$X$1513="账户互转"))),INT(资金流水!$B$1513)*10000+1508,"")</f>
      </c>
    </row>
    <row r="1514">
      <c r="Z1514" s="2">
        <f>IF(AND(ISNUMBER(资金流水!$B$1514),资金流水!$B$1514&gt;=$C$4,资金流水!$B$1514&lt;=$E$4,OR(资金流水!$C$1514=$C$3,AND(资金流水!$AD$1514=$C$3,资金流水!$X$1514="账户互转"))),INT(资金流水!$B$1514)*10000+1509,"")</f>
      </c>
    </row>
    <row r="1515">
      <c r="Z1515" s="2">
        <f>IF(AND(ISNUMBER(资金流水!$B$1515),资金流水!$B$1515&gt;=$C$4,资金流水!$B$1515&lt;=$E$4,OR(资金流水!$C$1515=$C$3,AND(资金流水!$AD$1515=$C$3,资金流水!$X$1515="账户互转"))),INT(资金流水!$B$1515)*10000+1510,"")</f>
      </c>
    </row>
    <row r="1516">
      <c r="Z1516" s="2">
        <f>IF(AND(ISNUMBER(资金流水!$B$1516),资金流水!$B$1516&gt;=$C$4,资金流水!$B$1516&lt;=$E$4,OR(资金流水!$C$1516=$C$3,AND(资金流水!$AD$1516=$C$3,资金流水!$X$1516="账户互转"))),INT(资金流水!$B$1516)*10000+1511,"")</f>
      </c>
    </row>
    <row r="1517">
      <c r="Z1517" s="2">
        <f>IF(AND(ISNUMBER(资金流水!$B$1517),资金流水!$B$1517&gt;=$C$4,资金流水!$B$1517&lt;=$E$4,OR(资金流水!$C$1517=$C$3,AND(资金流水!$AD$1517=$C$3,资金流水!$X$1517="账户互转"))),INT(资金流水!$B$1517)*10000+1512,"")</f>
      </c>
    </row>
    <row r="1518">
      <c r="Z1518" s="2">
        <f>IF(AND(ISNUMBER(资金流水!$B$1518),资金流水!$B$1518&gt;=$C$4,资金流水!$B$1518&lt;=$E$4,OR(资金流水!$C$1518=$C$3,AND(资金流水!$AD$1518=$C$3,资金流水!$X$1518="账户互转"))),INT(资金流水!$B$1518)*10000+1513,"")</f>
      </c>
    </row>
    <row r="1519">
      <c r="Z1519" s="2">
        <f>IF(AND(ISNUMBER(资金流水!$B$1519),资金流水!$B$1519&gt;=$C$4,资金流水!$B$1519&lt;=$E$4,OR(资金流水!$C$1519=$C$3,AND(资金流水!$AD$1519=$C$3,资金流水!$X$1519="账户互转"))),INT(资金流水!$B$1519)*10000+1514,"")</f>
      </c>
    </row>
    <row r="1520">
      <c r="Z1520" s="2">
        <f>IF(AND(ISNUMBER(资金流水!$B$1520),资金流水!$B$1520&gt;=$C$4,资金流水!$B$1520&lt;=$E$4,OR(资金流水!$C$1520=$C$3,AND(资金流水!$AD$1520=$C$3,资金流水!$X$1520="账户互转"))),INT(资金流水!$B$1520)*10000+1515,"")</f>
      </c>
    </row>
    <row r="1521">
      <c r="Z1521" s="2">
        <f>IF(AND(ISNUMBER(资金流水!$B$1521),资金流水!$B$1521&gt;=$C$4,资金流水!$B$1521&lt;=$E$4,OR(资金流水!$C$1521=$C$3,AND(资金流水!$AD$1521=$C$3,资金流水!$X$1521="账户互转"))),INT(资金流水!$B$1521)*10000+1516,"")</f>
      </c>
    </row>
    <row r="1522">
      <c r="Z1522" s="2">
        <f>IF(AND(ISNUMBER(资金流水!$B$1522),资金流水!$B$1522&gt;=$C$4,资金流水!$B$1522&lt;=$E$4,OR(资金流水!$C$1522=$C$3,AND(资金流水!$AD$1522=$C$3,资金流水!$X$1522="账户互转"))),INT(资金流水!$B$1522)*10000+1517,"")</f>
      </c>
    </row>
    <row r="1523">
      <c r="Z1523" s="2">
        <f>IF(AND(ISNUMBER(资金流水!$B$1523),资金流水!$B$1523&gt;=$C$4,资金流水!$B$1523&lt;=$E$4,OR(资金流水!$C$1523=$C$3,AND(资金流水!$AD$1523=$C$3,资金流水!$X$1523="账户互转"))),INT(资金流水!$B$1523)*10000+1518,"")</f>
      </c>
    </row>
    <row r="1524">
      <c r="Z1524" s="2">
        <f>IF(AND(ISNUMBER(资金流水!$B$1524),资金流水!$B$1524&gt;=$C$4,资金流水!$B$1524&lt;=$E$4,OR(资金流水!$C$1524=$C$3,AND(资金流水!$AD$1524=$C$3,资金流水!$X$1524="账户互转"))),INT(资金流水!$B$1524)*10000+1519,"")</f>
      </c>
    </row>
    <row r="1525">
      <c r="Z1525" s="2">
        <f>IF(AND(ISNUMBER(资金流水!$B$1525),资金流水!$B$1525&gt;=$C$4,资金流水!$B$1525&lt;=$E$4,OR(资金流水!$C$1525=$C$3,AND(资金流水!$AD$1525=$C$3,资金流水!$X$1525="账户互转"))),INT(资金流水!$B$1525)*10000+1520,"")</f>
      </c>
    </row>
    <row r="1526">
      <c r="Z1526" s="2">
        <f>IF(AND(ISNUMBER(资金流水!$B$1526),资金流水!$B$1526&gt;=$C$4,资金流水!$B$1526&lt;=$E$4,OR(资金流水!$C$1526=$C$3,AND(资金流水!$AD$1526=$C$3,资金流水!$X$1526="账户互转"))),INT(资金流水!$B$1526)*10000+1521,"")</f>
      </c>
    </row>
    <row r="1527">
      <c r="Z1527" s="2">
        <f>IF(AND(ISNUMBER(资金流水!$B$1527),资金流水!$B$1527&gt;=$C$4,资金流水!$B$1527&lt;=$E$4,OR(资金流水!$C$1527=$C$3,AND(资金流水!$AD$1527=$C$3,资金流水!$X$1527="账户互转"))),INT(资金流水!$B$1527)*10000+1522,"")</f>
      </c>
    </row>
    <row r="1528">
      <c r="Z1528" s="2">
        <f>IF(AND(ISNUMBER(资金流水!$B$1528),资金流水!$B$1528&gt;=$C$4,资金流水!$B$1528&lt;=$E$4,OR(资金流水!$C$1528=$C$3,AND(资金流水!$AD$1528=$C$3,资金流水!$X$1528="账户互转"))),INT(资金流水!$B$1528)*10000+1523,"")</f>
      </c>
    </row>
    <row r="1529">
      <c r="Z1529" s="2">
        <f>IF(AND(ISNUMBER(资金流水!$B$1529),资金流水!$B$1529&gt;=$C$4,资金流水!$B$1529&lt;=$E$4,OR(资金流水!$C$1529=$C$3,AND(资金流水!$AD$1529=$C$3,资金流水!$X$1529="账户互转"))),INT(资金流水!$B$1529)*10000+1524,"")</f>
      </c>
    </row>
    <row r="1530">
      <c r="Z1530" s="2">
        <f>IF(AND(ISNUMBER(资金流水!$B$1530),资金流水!$B$1530&gt;=$C$4,资金流水!$B$1530&lt;=$E$4,OR(资金流水!$C$1530=$C$3,AND(资金流水!$AD$1530=$C$3,资金流水!$X$1530="账户互转"))),INT(资金流水!$B$1530)*10000+1525,"")</f>
      </c>
    </row>
    <row r="1531">
      <c r="Z1531" s="2">
        <f>IF(AND(ISNUMBER(资金流水!$B$1531),资金流水!$B$1531&gt;=$C$4,资金流水!$B$1531&lt;=$E$4,OR(资金流水!$C$1531=$C$3,AND(资金流水!$AD$1531=$C$3,资金流水!$X$1531="账户互转"))),INT(资金流水!$B$1531)*10000+1526,"")</f>
      </c>
    </row>
    <row r="1532">
      <c r="Z1532" s="2">
        <f>IF(AND(ISNUMBER(资金流水!$B$1532),资金流水!$B$1532&gt;=$C$4,资金流水!$B$1532&lt;=$E$4,OR(资金流水!$C$1532=$C$3,AND(资金流水!$AD$1532=$C$3,资金流水!$X$1532="账户互转"))),INT(资金流水!$B$1532)*10000+1527,"")</f>
      </c>
    </row>
    <row r="1533">
      <c r="Z1533" s="2">
        <f>IF(AND(ISNUMBER(资金流水!$B$1533),资金流水!$B$1533&gt;=$C$4,资金流水!$B$1533&lt;=$E$4,OR(资金流水!$C$1533=$C$3,AND(资金流水!$AD$1533=$C$3,资金流水!$X$1533="账户互转"))),INT(资金流水!$B$1533)*10000+1528,"")</f>
      </c>
    </row>
    <row r="1534">
      <c r="Z1534" s="2">
        <f>IF(AND(ISNUMBER(资金流水!$B$1534),资金流水!$B$1534&gt;=$C$4,资金流水!$B$1534&lt;=$E$4,OR(资金流水!$C$1534=$C$3,AND(资金流水!$AD$1534=$C$3,资金流水!$X$1534="账户互转"))),INT(资金流水!$B$1534)*10000+1529,"")</f>
      </c>
    </row>
    <row r="1535">
      <c r="Z1535" s="2">
        <f>IF(AND(ISNUMBER(资金流水!$B$1535),资金流水!$B$1535&gt;=$C$4,资金流水!$B$1535&lt;=$E$4,OR(资金流水!$C$1535=$C$3,AND(资金流水!$AD$1535=$C$3,资金流水!$X$1535="账户互转"))),INT(资金流水!$B$1535)*10000+1530,"")</f>
      </c>
    </row>
    <row r="1536">
      <c r="Z1536" s="2">
        <f>IF(AND(ISNUMBER(资金流水!$B$1536),资金流水!$B$1536&gt;=$C$4,资金流水!$B$1536&lt;=$E$4,OR(资金流水!$C$1536=$C$3,AND(资金流水!$AD$1536=$C$3,资金流水!$X$1536="账户互转"))),INT(资金流水!$B$1536)*10000+1531,"")</f>
      </c>
    </row>
    <row r="1537">
      <c r="Z1537" s="2">
        <f>IF(AND(ISNUMBER(资金流水!$B$1537),资金流水!$B$1537&gt;=$C$4,资金流水!$B$1537&lt;=$E$4,OR(资金流水!$C$1537=$C$3,AND(资金流水!$AD$1537=$C$3,资金流水!$X$1537="账户互转"))),INT(资金流水!$B$1537)*10000+1532,"")</f>
      </c>
    </row>
    <row r="1538">
      <c r="Z1538" s="2">
        <f>IF(AND(ISNUMBER(资金流水!$B$1538),资金流水!$B$1538&gt;=$C$4,资金流水!$B$1538&lt;=$E$4,OR(资金流水!$C$1538=$C$3,AND(资金流水!$AD$1538=$C$3,资金流水!$X$1538="账户互转"))),INT(资金流水!$B$1538)*10000+1533,"")</f>
      </c>
    </row>
    <row r="1539">
      <c r="Z1539" s="2">
        <f>IF(AND(ISNUMBER(资金流水!$B$1539),资金流水!$B$1539&gt;=$C$4,资金流水!$B$1539&lt;=$E$4,OR(资金流水!$C$1539=$C$3,AND(资金流水!$AD$1539=$C$3,资金流水!$X$1539="账户互转"))),INT(资金流水!$B$1539)*10000+1534,"")</f>
      </c>
    </row>
    <row r="1540">
      <c r="Z1540" s="2">
        <f>IF(AND(ISNUMBER(资金流水!$B$1540),资金流水!$B$1540&gt;=$C$4,资金流水!$B$1540&lt;=$E$4,OR(资金流水!$C$1540=$C$3,AND(资金流水!$AD$1540=$C$3,资金流水!$X$1540="账户互转"))),INT(资金流水!$B$1540)*10000+1535,"")</f>
      </c>
    </row>
    <row r="1541">
      <c r="Z1541" s="2">
        <f>IF(AND(ISNUMBER(资金流水!$B$1541),资金流水!$B$1541&gt;=$C$4,资金流水!$B$1541&lt;=$E$4,OR(资金流水!$C$1541=$C$3,AND(资金流水!$AD$1541=$C$3,资金流水!$X$1541="账户互转"))),INT(资金流水!$B$1541)*10000+1536,"")</f>
      </c>
    </row>
    <row r="1542">
      <c r="Z1542" s="2">
        <f>IF(AND(ISNUMBER(资金流水!$B$1542),资金流水!$B$1542&gt;=$C$4,资金流水!$B$1542&lt;=$E$4,OR(资金流水!$C$1542=$C$3,AND(资金流水!$AD$1542=$C$3,资金流水!$X$1542="账户互转"))),INT(资金流水!$B$1542)*10000+1537,"")</f>
      </c>
    </row>
    <row r="1543">
      <c r="Z1543" s="2">
        <f>IF(AND(ISNUMBER(资金流水!$B$1543),资金流水!$B$1543&gt;=$C$4,资金流水!$B$1543&lt;=$E$4,OR(资金流水!$C$1543=$C$3,AND(资金流水!$AD$1543=$C$3,资金流水!$X$1543="账户互转"))),INT(资金流水!$B$1543)*10000+1538,"")</f>
      </c>
    </row>
    <row r="1544">
      <c r="Z1544" s="2">
        <f>IF(AND(ISNUMBER(资金流水!$B$1544),资金流水!$B$1544&gt;=$C$4,资金流水!$B$1544&lt;=$E$4,OR(资金流水!$C$1544=$C$3,AND(资金流水!$AD$1544=$C$3,资金流水!$X$1544="账户互转"))),INT(资金流水!$B$1544)*10000+1539,"")</f>
      </c>
    </row>
    <row r="1545">
      <c r="Z1545" s="2">
        <f>IF(AND(ISNUMBER(资金流水!$B$1545),资金流水!$B$1545&gt;=$C$4,资金流水!$B$1545&lt;=$E$4,OR(资金流水!$C$1545=$C$3,AND(资金流水!$AD$1545=$C$3,资金流水!$X$1545="账户互转"))),INT(资金流水!$B$1545)*10000+1540,"")</f>
      </c>
    </row>
    <row r="1546">
      <c r="Z1546" s="2">
        <f>IF(AND(ISNUMBER(资金流水!$B$1546),资金流水!$B$1546&gt;=$C$4,资金流水!$B$1546&lt;=$E$4,OR(资金流水!$C$1546=$C$3,AND(资金流水!$AD$1546=$C$3,资金流水!$X$1546="账户互转"))),INT(资金流水!$B$1546)*10000+1541,"")</f>
      </c>
    </row>
    <row r="1547">
      <c r="Z1547" s="2">
        <f>IF(AND(ISNUMBER(资金流水!$B$1547),资金流水!$B$1547&gt;=$C$4,资金流水!$B$1547&lt;=$E$4,OR(资金流水!$C$1547=$C$3,AND(资金流水!$AD$1547=$C$3,资金流水!$X$1547="账户互转"))),INT(资金流水!$B$1547)*10000+1542,"")</f>
      </c>
    </row>
    <row r="1548">
      <c r="Z1548" s="2">
        <f>IF(AND(ISNUMBER(资金流水!$B$1548),资金流水!$B$1548&gt;=$C$4,资金流水!$B$1548&lt;=$E$4,OR(资金流水!$C$1548=$C$3,AND(资金流水!$AD$1548=$C$3,资金流水!$X$1548="账户互转"))),INT(资金流水!$B$1548)*10000+1543,"")</f>
      </c>
    </row>
    <row r="1549">
      <c r="Z1549" s="2">
        <f>IF(AND(ISNUMBER(资金流水!$B$1549),资金流水!$B$1549&gt;=$C$4,资金流水!$B$1549&lt;=$E$4,OR(资金流水!$C$1549=$C$3,AND(资金流水!$AD$1549=$C$3,资金流水!$X$1549="账户互转"))),INT(资金流水!$B$1549)*10000+1544,"")</f>
      </c>
    </row>
    <row r="1550">
      <c r="Z1550" s="2">
        <f>IF(AND(ISNUMBER(资金流水!$B$1550),资金流水!$B$1550&gt;=$C$4,资金流水!$B$1550&lt;=$E$4,OR(资金流水!$C$1550=$C$3,AND(资金流水!$AD$1550=$C$3,资金流水!$X$1550="账户互转"))),INT(资金流水!$B$1550)*10000+1545,"")</f>
      </c>
    </row>
    <row r="1551">
      <c r="Z1551" s="2">
        <f>IF(AND(ISNUMBER(资金流水!$B$1551),资金流水!$B$1551&gt;=$C$4,资金流水!$B$1551&lt;=$E$4,OR(资金流水!$C$1551=$C$3,AND(资金流水!$AD$1551=$C$3,资金流水!$X$1551="账户互转"))),INT(资金流水!$B$1551)*10000+1546,"")</f>
      </c>
    </row>
    <row r="1552">
      <c r="Z1552" s="2">
        <f>IF(AND(ISNUMBER(资金流水!$B$1552),资金流水!$B$1552&gt;=$C$4,资金流水!$B$1552&lt;=$E$4,OR(资金流水!$C$1552=$C$3,AND(资金流水!$AD$1552=$C$3,资金流水!$X$1552="账户互转"))),INT(资金流水!$B$1552)*10000+1547,"")</f>
      </c>
    </row>
    <row r="1553">
      <c r="Z1553" s="2">
        <f>IF(AND(ISNUMBER(资金流水!$B$1553),资金流水!$B$1553&gt;=$C$4,资金流水!$B$1553&lt;=$E$4,OR(资金流水!$C$1553=$C$3,AND(资金流水!$AD$1553=$C$3,资金流水!$X$1553="账户互转"))),INT(资金流水!$B$1553)*10000+1548,"")</f>
      </c>
    </row>
    <row r="1554">
      <c r="Z1554" s="2">
        <f>IF(AND(ISNUMBER(资金流水!$B$1554),资金流水!$B$1554&gt;=$C$4,资金流水!$B$1554&lt;=$E$4,OR(资金流水!$C$1554=$C$3,AND(资金流水!$AD$1554=$C$3,资金流水!$X$1554="账户互转"))),INT(资金流水!$B$1554)*10000+1549,"")</f>
      </c>
    </row>
    <row r="1555">
      <c r="Z1555" s="2">
        <f>IF(AND(ISNUMBER(资金流水!$B$1555),资金流水!$B$1555&gt;=$C$4,资金流水!$B$1555&lt;=$E$4,OR(资金流水!$C$1555=$C$3,AND(资金流水!$AD$1555=$C$3,资金流水!$X$1555="账户互转"))),INT(资金流水!$B$1555)*10000+1550,"")</f>
      </c>
    </row>
    <row r="1556">
      <c r="Z1556" s="2">
        <f>IF(AND(ISNUMBER(资金流水!$B$1556),资金流水!$B$1556&gt;=$C$4,资金流水!$B$1556&lt;=$E$4,OR(资金流水!$C$1556=$C$3,AND(资金流水!$AD$1556=$C$3,资金流水!$X$1556="账户互转"))),INT(资金流水!$B$1556)*10000+1551,"")</f>
      </c>
    </row>
    <row r="1557">
      <c r="Z1557" s="2">
        <f>IF(AND(ISNUMBER(资金流水!$B$1557),资金流水!$B$1557&gt;=$C$4,资金流水!$B$1557&lt;=$E$4,OR(资金流水!$C$1557=$C$3,AND(资金流水!$AD$1557=$C$3,资金流水!$X$1557="账户互转"))),INT(资金流水!$B$1557)*10000+1552,"")</f>
      </c>
    </row>
    <row r="1558">
      <c r="Z1558" s="2">
        <f>IF(AND(ISNUMBER(资金流水!$B$1558),资金流水!$B$1558&gt;=$C$4,资金流水!$B$1558&lt;=$E$4,OR(资金流水!$C$1558=$C$3,AND(资金流水!$AD$1558=$C$3,资金流水!$X$1558="账户互转"))),INT(资金流水!$B$1558)*10000+1553,"")</f>
      </c>
    </row>
    <row r="1559">
      <c r="Z1559" s="2">
        <f>IF(AND(ISNUMBER(资金流水!$B$1559),资金流水!$B$1559&gt;=$C$4,资金流水!$B$1559&lt;=$E$4,OR(资金流水!$C$1559=$C$3,AND(资金流水!$AD$1559=$C$3,资金流水!$X$1559="账户互转"))),INT(资金流水!$B$1559)*10000+1554,"")</f>
      </c>
    </row>
    <row r="1560">
      <c r="Z1560" s="2">
        <f>IF(AND(ISNUMBER(资金流水!$B$1560),资金流水!$B$1560&gt;=$C$4,资金流水!$B$1560&lt;=$E$4,OR(资金流水!$C$1560=$C$3,AND(资金流水!$AD$1560=$C$3,资金流水!$X$1560="账户互转"))),INT(资金流水!$B$1560)*10000+1555,"")</f>
      </c>
    </row>
    <row r="1561">
      <c r="Z1561" s="2">
        <f>IF(AND(ISNUMBER(资金流水!$B$1561),资金流水!$B$1561&gt;=$C$4,资金流水!$B$1561&lt;=$E$4,OR(资金流水!$C$1561=$C$3,AND(资金流水!$AD$1561=$C$3,资金流水!$X$1561="账户互转"))),INT(资金流水!$B$1561)*10000+1556,"")</f>
      </c>
    </row>
    <row r="1562">
      <c r="Z1562" s="2">
        <f>IF(AND(ISNUMBER(资金流水!$B$1562),资金流水!$B$1562&gt;=$C$4,资金流水!$B$1562&lt;=$E$4,OR(资金流水!$C$1562=$C$3,AND(资金流水!$AD$1562=$C$3,资金流水!$X$1562="账户互转"))),INT(资金流水!$B$1562)*10000+1557,"")</f>
      </c>
    </row>
    <row r="1563">
      <c r="Z1563" s="2">
        <f>IF(AND(ISNUMBER(资金流水!$B$1563),资金流水!$B$1563&gt;=$C$4,资金流水!$B$1563&lt;=$E$4,OR(资金流水!$C$1563=$C$3,AND(资金流水!$AD$1563=$C$3,资金流水!$X$1563="账户互转"))),INT(资金流水!$B$1563)*10000+1558,"")</f>
      </c>
    </row>
    <row r="1564">
      <c r="Z1564" s="2">
        <f>IF(AND(ISNUMBER(资金流水!$B$1564),资金流水!$B$1564&gt;=$C$4,资金流水!$B$1564&lt;=$E$4,OR(资金流水!$C$1564=$C$3,AND(资金流水!$AD$1564=$C$3,资金流水!$X$1564="账户互转"))),INT(资金流水!$B$1564)*10000+1559,"")</f>
      </c>
    </row>
    <row r="1565">
      <c r="Z1565" s="2">
        <f>IF(AND(ISNUMBER(资金流水!$B$1565),资金流水!$B$1565&gt;=$C$4,资金流水!$B$1565&lt;=$E$4,OR(资金流水!$C$1565=$C$3,AND(资金流水!$AD$1565=$C$3,资金流水!$X$1565="账户互转"))),INT(资金流水!$B$1565)*10000+1560,"")</f>
      </c>
    </row>
    <row r="1566">
      <c r="Z1566" s="2">
        <f>IF(AND(ISNUMBER(资金流水!$B$1566),资金流水!$B$1566&gt;=$C$4,资金流水!$B$1566&lt;=$E$4,OR(资金流水!$C$1566=$C$3,AND(资金流水!$AD$1566=$C$3,资金流水!$X$1566="账户互转"))),INT(资金流水!$B$1566)*10000+1561,"")</f>
      </c>
    </row>
    <row r="1567">
      <c r="Z1567" s="2">
        <f>IF(AND(ISNUMBER(资金流水!$B$1567),资金流水!$B$1567&gt;=$C$4,资金流水!$B$1567&lt;=$E$4,OR(资金流水!$C$1567=$C$3,AND(资金流水!$AD$1567=$C$3,资金流水!$X$1567="账户互转"))),INT(资金流水!$B$1567)*10000+1562,"")</f>
      </c>
    </row>
    <row r="1568">
      <c r="Z1568" s="2">
        <f>IF(AND(ISNUMBER(资金流水!$B$1568),资金流水!$B$1568&gt;=$C$4,资金流水!$B$1568&lt;=$E$4,OR(资金流水!$C$1568=$C$3,AND(资金流水!$AD$1568=$C$3,资金流水!$X$1568="账户互转"))),INT(资金流水!$B$1568)*10000+1563,"")</f>
      </c>
    </row>
    <row r="1569">
      <c r="Z1569" s="2">
        <f>IF(AND(ISNUMBER(资金流水!$B$1569),资金流水!$B$1569&gt;=$C$4,资金流水!$B$1569&lt;=$E$4,OR(资金流水!$C$1569=$C$3,AND(资金流水!$AD$1569=$C$3,资金流水!$X$1569="账户互转"))),INT(资金流水!$B$1569)*10000+1564,"")</f>
      </c>
    </row>
    <row r="1570">
      <c r="Z1570" s="2">
        <f>IF(AND(ISNUMBER(资金流水!$B$1570),资金流水!$B$1570&gt;=$C$4,资金流水!$B$1570&lt;=$E$4,OR(资金流水!$C$1570=$C$3,AND(资金流水!$AD$1570=$C$3,资金流水!$X$1570="账户互转"))),INT(资金流水!$B$1570)*10000+1565,"")</f>
      </c>
    </row>
    <row r="1571">
      <c r="Z1571" s="2">
        <f>IF(AND(ISNUMBER(资金流水!$B$1571),资金流水!$B$1571&gt;=$C$4,资金流水!$B$1571&lt;=$E$4,OR(资金流水!$C$1571=$C$3,AND(资金流水!$AD$1571=$C$3,资金流水!$X$1571="账户互转"))),INT(资金流水!$B$1571)*10000+1566,"")</f>
      </c>
    </row>
    <row r="1572">
      <c r="Z1572" s="2">
        <f>IF(AND(ISNUMBER(资金流水!$B$1572),资金流水!$B$1572&gt;=$C$4,资金流水!$B$1572&lt;=$E$4,OR(资金流水!$C$1572=$C$3,AND(资金流水!$AD$1572=$C$3,资金流水!$X$1572="账户互转"))),INT(资金流水!$B$1572)*10000+1567,"")</f>
      </c>
    </row>
    <row r="1573">
      <c r="Z1573" s="2">
        <f>IF(AND(ISNUMBER(资金流水!$B$1573),资金流水!$B$1573&gt;=$C$4,资金流水!$B$1573&lt;=$E$4,OR(资金流水!$C$1573=$C$3,AND(资金流水!$AD$1573=$C$3,资金流水!$X$1573="账户互转"))),INT(资金流水!$B$1573)*10000+1568,"")</f>
      </c>
    </row>
    <row r="1574">
      <c r="Z1574" s="2">
        <f>IF(AND(ISNUMBER(资金流水!$B$1574),资金流水!$B$1574&gt;=$C$4,资金流水!$B$1574&lt;=$E$4,OR(资金流水!$C$1574=$C$3,AND(资金流水!$AD$1574=$C$3,资金流水!$X$1574="账户互转"))),INT(资金流水!$B$1574)*10000+1569,"")</f>
      </c>
    </row>
    <row r="1575">
      <c r="Z1575" s="2">
        <f>IF(AND(ISNUMBER(资金流水!$B$1575),资金流水!$B$1575&gt;=$C$4,资金流水!$B$1575&lt;=$E$4,OR(资金流水!$C$1575=$C$3,AND(资金流水!$AD$1575=$C$3,资金流水!$X$1575="账户互转"))),INT(资金流水!$B$1575)*10000+1570,"")</f>
      </c>
    </row>
    <row r="1576">
      <c r="Z1576" s="2">
        <f>IF(AND(ISNUMBER(资金流水!$B$1576),资金流水!$B$1576&gt;=$C$4,资金流水!$B$1576&lt;=$E$4,OR(资金流水!$C$1576=$C$3,AND(资金流水!$AD$1576=$C$3,资金流水!$X$1576="账户互转"))),INT(资金流水!$B$1576)*10000+1571,"")</f>
      </c>
    </row>
    <row r="1577">
      <c r="Z1577" s="2">
        <f>IF(AND(ISNUMBER(资金流水!$B$1577),资金流水!$B$1577&gt;=$C$4,资金流水!$B$1577&lt;=$E$4,OR(资金流水!$C$1577=$C$3,AND(资金流水!$AD$1577=$C$3,资金流水!$X$1577="账户互转"))),INT(资金流水!$B$1577)*10000+1572,"")</f>
      </c>
    </row>
    <row r="1578">
      <c r="Z1578" s="2">
        <f>IF(AND(ISNUMBER(资金流水!$B$1578),资金流水!$B$1578&gt;=$C$4,资金流水!$B$1578&lt;=$E$4,OR(资金流水!$C$1578=$C$3,AND(资金流水!$AD$1578=$C$3,资金流水!$X$1578="账户互转"))),INT(资金流水!$B$1578)*10000+1573,"")</f>
      </c>
    </row>
    <row r="1579">
      <c r="Z1579" s="2">
        <f>IF(AND(ISNUMBER(资金流水!$B$1579),资金流水!$B$1579&gt;=$C$4,资金流水!$B$1579&lt;=$E$4,OR(资金流水!$C$1579=$C$3,AND(资金流水!$AD$1579=$C$3,资金流水!$X$1579="账户互转"))),INT(资金流水!$B$1579)*10000+1574,"")</f>
      </c>
    </row>
    <row r="1580">
      <c r="Z1580" s="2">
        <f>IF(AND(ISNUMBER(资金流水!$B$1580),资金流水!$B$1580&gt;=$C$4,资金流水!$B$1580&lt;=$E$4,OR(资金流水!$C$1580=$C$3,AND(资金流水!$AD$1580=$C$3,资金流水!$X$1580="账户互转"))),INT(资金流水!$B$1580)*10000+1575,"")</f>
      </c>
    </row>
    <row r="1581">
      <c r="Z1581" s="2">
        <f>IF(AND(ISNUMBER(资金流水!$B$1581),资金流水!$B$1581&gt;=$C$4,资金流水!$B$1581&lt;=$E$4,OR(资金流水!$C$1581=$C$3,AND(资金流水!$AD$1581=$C$3,资金流水!$X$1581="账户互转"))),INT(资金流水!$B$1581)*10000+1576,"")</f>
      </c>
    </row>
    <row r="1582">
      <c r="Z1582" s="2">
        <f>IF(AND(ISNUMBER(资金流水!$B$1582),资金流水!$B$1582&gt;=$C$4,资金流水!$B$1582&lt;=$E$4,OR(资金流水!$C$1582=$C$3,AND(资金流水!$AD$1582=$C$3,资金流水!$X$1582="账户互转"))),INT(资金流水!$B$1582)*10000+1577,"")</f>
      </c>
    </row>
    <row r="1583">
      <c r="Z1583" s="2">
        <f>IF(AND(ISNUMBER(资金流水!$B$1583),资金流水!$B$1583&gt;=$C$4,资金流水!$B$1583&lt;=$E$4,OR(资金流水!$C$1583=$C$3,AND(资金流水!$AD$1583=$C$3,资金流水!$X$1583="账户互转"))),INT(资金流水!$B$1583)*10000+1578,"")</f>
      </c>
    </row>
    <row r="1584">
      <c r="Z1584" s="2">
        <f>IF(AND(ISNUMBER(资金流水!$B$1584),资金流水!$B$1584&gt;=$C$4,资金流水!$B$1584&lt;=$E$4,OR(资金流水!$C$1584=$C$3,AND(资金流水!$AD$1584=$C$3,资金流水!$X$1584="账户互转"))),INT(资金流水!$B$1584)*10000+1579,"")</f>
      </c>
    </row>
    <row r="1585">
      <c r="Z1585" s="2">
        <f>IF(AND(ISNUMBER(资金流水!$B$1585),资金流水!$B$1585&gt;=$C$4,资金流水!$B$1585&lt;=$E$4,OR(资金流水!$C$1585=$C$3,AND(资金流水!$AD$1585=$C$3,资金流水!$X$1585="账户互转"))),INT(资金流水!$B$1585)*10000+1580,"")</f>
      </c>
    </row>
    <row r="1586">
      <c r="Z1586" s="2">
        <f>IF(AND(ISNUMBER(资金流水!$B$1586),资金流水!$B$1586&gt;=$C$4,资金流水!$B$1586&lt;=$E$4,OR(资金流水!$C$1586=$C$3,AND(资金流水!$AD$1586=$C$3,资金流水!$X$1586="账户互转"))),INT(资金流水!$B$1586)*10000+1581,"")</f>
      </c>
    </row>
    <row r="1587">
      <c r="Z1587" s="2">
        <f>IF(AND(ISNUMBER(资金流水!$B$1587),资金流水!$B$1587&gt;=$C$4,资金流水!$B$1587&lt;=$E$4,OR(资金流水!$C$1587=$C$3,AND(资金流水!$AD$1587=$C$3,资金流水!$X$1587="账户互转"))),INT(资金流水!$B$1587)*10000+1582,"")</f>
      </c>
    </row>
    <row r="1588">
      <c r="Z1588" s="2">
        <f>IF(AND(ISNUMBER(资金流水!$B$1588),资金流水!$B$1588&gt;=$C$4,资金流水!$B$1588&lt;=$E$4,OR(资金流水!$C$1588=$C$3,AND(资金流水!$AD$1588=$C$3,资金流水!$X$1588="账户互转"))),INT(资金流水!$B$1588)*10000+1583,"")</f>
      </c>
    </row>
    <row r="1589">
      <c r="Z1589" s="2">
        <f>IF(AND(ISNUMBER(资金流水!$B$1589),资金流水!$B$1589&gt;=$C$4,资金流水!$B$1589&lt;=$E$4,OR(资金流水!$C$1589=$C$3,AND(资金流水!$AD$1589=$C$3,资金流水!$X$1589="账户互转"))),INT(资金流水!$B$1589)*10000+1584,"")</f>
      </c>
    </row>
    <row r="1590">
      <c r="Z1590" s="2">
        <f>IF(AND(ISNUMBER(资金流水!$B$1590),资金流水!$B$1590&gt;=$C$4,资金流水!$B$1590&lt;=$E$4,OR(资金流水!$C$1590=$C$3,AND(资金流水!$AD$1590=$C$3,资金流水!$X$1590="账户互转"))),INT(资金流水!$B$1590)*10000+1585,"")</f>
      </c>
    </row>
    <row r="1591">
      <c r="Z1591" s="2">
        <f>IF(AND(ISNUMBER(资金流水!$B$1591),资金流水!$B$1591&gt;=$C$4,资金流水!$B$1591&lt;=$E$4,OR(资金流水!$C$1591=$C$3,AND(资金流水!$AD$1591=$C$3,资金流水!$X$1591="账户互转"))),INT(资金流水!$B$1591)*10000+1586,"")</f>
      </c>
    </row>
    <row r="1592">
      <c r="Z1592" s="2">
        <f>IF(AND(ISNUMBER(资金流水!$B$1592),资金流水!$B$1592&gt;=$C$4,资金流水!$B$1592&lt;=$E$4,OR(资金流水!$C$1592=$C$3,AND(资金流水!$AD$1592=$C$3,资金流水!$X$1592="账户互转"))),INT(资金流水!$B$1592)*10000+1587,"")</f>
      </c>
    </row>
    <row r="1593">
      <c r="Z1593" s="2">
        <f>IF(AND(ISNUMBER(资金流水!$B$1593),资金流水!$B$1593&gt;=$C$4,资金流水!$B$1593&lt;=$E$4,OR(资金流水!$C$1593=$C$3,AND(资金流水!$AD$1593=$C$3,资金流水!$X$1593="账户互转"))),INT(资金流水!$B$1593)*10000+1588,"")</f>
      </c>
    </row>
    <row r="1594">
      <c r="Z1594" s="2">
        <f>IF(AND(ISNUMBER(资金流水!$B$1594),资金流水!$B$1594&gt;=$C$4,资金流水!$B$1594&lt;=$E$4,OR(资金流水!$C$1594=$C$3,AND(资金流水!$AD$1594=$C$3,资金流水!$X$1594="账户互转"))),INT(资金流水!$B$1594)*10000+1589,"")</f>
      </c>
    </row>
    <row r="1595">
      <c r="Z1595" s="2">
        <f>IF(AND(ISNUMBER(资金流水!$B$1595),资金流水!$B$1595&gt;=$C$4,资金流水!$B$1595&lt;=$E$4,OR(资金流水!$C$1595=$C$3,AND(资金流水!$AD$1595=$C$3,资金流水!$X$1595="账户互转"))),INT(资金流水!$B$1595)*10000+1590,"")</f>
      </c>
    </row>
    <row r="1596">
      <c r="Z1596" s="2">
        <f>IF(AND(ISNUMBER(资金流水!$B$1596),资金流水!$B$1596&gt;=$C$4,资金流水!$B$1596&lt;=$E$4,OR(资金流水!$C$1596=$C$3,AND(资金流水!$AD$1596=$C$3,资金流水!$X$1596="账户互转"))),INT(资金流水!$B$1596)*10000+1591,"")</f>
      </c>
    </row>
    <row r="1597">
      <c r="Z1597" s="2">
        <f>IF(AND(ISNUMBER(资金流水!$B$1597),资金流水!$B$1597&gt;=$C$4,资金流水!$B$1597&lt;=$E$4,OR(资金流水!$C$1597=$C$3,AND(资金流水!$AD$1597=$C$3,资金流水!$X$1597="账户互转"))),INT(资金流水!$B$1597)*10000+1592,"")</f>
      </c>
    </row>
    <row r="1598">
      <c r="Z1598" s="2">
        <f>IF(AND(ISNUMBER(资金流水!$B$1598),资金流水!$B$1598&gt;=$C$4,资金流水!$B$1598&lt;=$E$4,OR(资金流水!$C$1598=$C$3,AND(资金流水!$AD$1598=$C$3,资金流水!$X$1598="账户互转"))),INT(资金流水!$B$1598)*10000+1593,"")</f>
      </c>
    </row>
    <row r="1599">
      <c r="Z1599" s="2">
        <f>IF(AND(ISNUMBER(资金流水!$B$1599),资金流水!$B$1599&gt;=$C$4,资金流水!$B$1599&lt;=$E$4,OR(资金流水!$C$1599=$C$3,AND(资金流水!$AD$1599=$C$3,资金流水!$X$1599="账户互转"))),INT(资金流水!$B$1599)*10000+1594,"")</f>
      </c>
    </row>
    <row r="1600">
      <c r="Z1600" s="2">
        <f>IF(AND(ISNUMBER(资金流水!$B$1600),资金流水!$B$1600&gt;=$C$4,资金流水!$B$1600&lt;=$E$4,OR(资金流水!$C$1600=$C$3,AND(资金流水!$AD$1600=$C$3,资金流水!$X$1600="账户互转"))),INT(资金流水!$B$1600)*10000+1595,"")</f>
      </c>
    </row>
    <row r="1601">
      <c r="Z1601" s="2">
        <f>IF(AND(ISNUMBER(资金流水!$B$1601),资金流水!$B$1601&gt;=$C$4,资金流水!$B$1601&lt;=$E$4,OR(资金流水!$C$1601=$C$3,AND(资金流水!$AD$1601=$C$3,资金流水!$X$1601="账户互转"))),INT(资金流水!$B$1601)*10000+1596,"")</f>
      </c>
    </row>
    <row r="1602">
      <c r="Z1602" s="2">
        <f>IF(AND(ISNUMBER(资金流水!$B$1602),资金流水!$B$1602&gt;=$C$4,资金流水!$B$1602&lt;=$E$4,OR(资金流水!$C$1602=$C$3,AND(资金流水!$AD$1602=$C$3,资金流水!$X$1602="账户互转"))),INT(资金流水!$B$1602)*10000+1597,"")</f>
      </c>
    </row>
    <row r="1603">
      <c r="Z1603" s="2">
        <f>IF(AND(ISNUMBER(资金流水!$B$1603),资金流水!$B$1603&gt;=$C$4,资金流水!$B$1603&lt;=$E$4,OR(资金流水!$C$1603=$C$3,AND(资金流水!$AD$1603=$C$3,资金流水!$X$1603="账户互转"))),INT(资金流水!$B$1603)*10000+1598,"")</f>
      </c>
    </row>
    <row r="1604">
      <c r="Z1604" s="2">
        <f>IF(AND(ISNUMBER(资金流水!$B$1604),资金流水!$B$1604&gt;=$C$4,资金流水!$B$1604&lt;=$E$4,OR(资金流水!$C$1604=$C$3,AND(资金流水!$AD$1604=$C$3,资金流水!$X$1604="账户互转"))),INT(资金流水!$B$1604)*10000+1599,"")</f>
      </c>
    </row>
    <row r="1605">
      <c r="Z1605" s="2">
        <f>IF(AND(ISNUMBER(资金流水!$B$1605),资金流水!$B$1605&gt;=$C$4,资金流水!$B$1605&lt;=$E$4,OR(资金流水!$C$1605=$C$3,AND(资金流水!$AD$1605=$C$3,资金流水!$X$1605="账户互转"))),INT(资金流水!$B$1605)*10000+1600,"")</f>
      </c>
    </row>
    <row r="1606">
      <c r="Z1606" s="2">
        <f>IF(AND(ISNUMBER(资金流水!$B$1606),资金流水!$B$1606&gt;=$C$4,资金流水!$B$1606&lt;=$E$4,OR(资金流水!$C$1606=$C$3,AND(资金流水!$AD$1606=$C$3,资金流水!$X$1606="账户互转"))),INT(资金流水!$B$1606)*10000+1601,"")</f>
      </c>
    </row>
    <row r="1607">
      <c r="Z1607" s="2">
        <f>IF(AND(ISNUMBER(资金流水!$B$1607),资金流水!$B$1607&gt;=$C$4,资金流水!$B$1607&lt;=$E$4,OR(资金流水!$C$1607=$C$3,AND(资金流水!$AD$1607=$C$3,资金流水!$X$1607="账户互转"))),INT(资金流水!$B$1607)*10000+1602,"")</f>
      </c>
    </row>
    <row r="1608">
      <c r="Z1608" s="2">
        <f>IF(AND(ISNUMBER(资金流水!$B$1608),资金流水!$B$1608&gt;=$C$4,资金流水!$B$1608&lt;=$E$4,OR(资金流水!$C$1608=$C$3,AND(资金流水!$AD$1608=$C$3,资金流水!$X$1608="账户互转"))),INT(资金流水!$B$1608)*10000+1603,"")</f>
      </c>
    </row>
    <row r="1609">
      <c r="Z1609" s="2">
        <f>IF(AND(ISNUMBER(资金流水!$B$1609),资金流水!$B$1609&gt;=$C$4,资金流水!$B$1609&lt;=$E$4,OR(资金流水!$C$1609=$C$3,AND(资金流水!$AD$1609=$C$3,资金流水!$X$1609="账户互转"))),INT(资金流水!$B$1609)*10000+1604,"")</f>
      </c>
    </row>
    <row r="1610">
      <c r="Z1610" s="2">
        <f>IF(AND(ISNUMBER(资金流水!$B$1610),资金流水!$B$1610&gt;=$C$4,资金流水!$B$1610&lt;=$E$4,OR(资金流水!$C$1610=$C$3,AND(资金流水!$AD$1610=$C$3,资金流水!$X$1610="账户互转"))),INT(资金流水!$B$1610)*10000+1605,"")</f>
      </c>
    </row>
    <row r="1611">
      <c r="Z1611" s="2">
        <f>IF(AND(ISNUMBER(资金流水!$B$1611),资金流水!$B$1611&gt;=$C$4,资金流水!$B$1611&lt;=$E$4,OR(资金流水!$C$1611=$C$3,AND(资金流水!$AD$1611=$C$3,资金流水!$X$1611="账户互转"))),INT(资金流水!$B$1611)*10000+1606,"")</f>
      </c>
    </row>
    <row r="1612">
      <c r="Z1612" s="2">
        <f>IF(AND(ISNUMBER(资金流水!$B$1612),资金流水!$B$1612&gt;=$C$4,资金流水!$B$1612&lt;=$E$4,OR(资金流水!$C$1612=$C$3,AND(资金流水!$AD$1612=$C$3,资金流水!$X$1612="账户互转"))),INT(资金流水!$B$1612)*10000+1607,"")</f>
      </c>
    </row>
    <row r="1613">
      <c r="Z1613" s="2">
        <f>IF(AND(ISNUMBER(资金流水!$B$1613),资金流水!$B$1613&gt;=$C$4,资金流水!$B$1613&lt;=$E$4,OR(资金流水!$C$1613=$C$3,AND(资金流水!$AD$1613=$C$3,资金流水!$X$1613="账户互转"))),INT(资金流水!$B$1613)*10000+1608,"")</f>
      </c>
    </row>
    <row r="1614">
      <c r="Z1614" s="2">
        <f>IF(AND(ISNUMBER(资金流水!$B$1614),资金流水!$B$1614&gt;=$C$4,资金流水!$B$1614&lt;=$E$4,OR(资金流水!$C$1614=$C$3,AND(资金流水!$AD$1614=$C$3,资金流水!$X$1614="账户互转"))),INT(资金流水!$B$1614)*10000+1609,"")</f>
      </c>
    </row>
    <row r="1615">
      <c r="Z1615" s="2">
        <f>IF(AND(ISNUMBER(资金流水!$B$1615),资金流水!$B$1615&gt;=$C$4,资金流水!$B$1615&lt;=$E$4,OR(资金流水!$C$1615=$C$3,AND(资金流水!$AD$1615=$C$3,资金流水!$X$1615="账户互转"))),INT(资金流水!$B$1615)*10000+1610,"")</f>
      </c>
    </row>
    <row r="1616">
      <c r="Z1616" s="2">
        <f>IF(AND(ISNUMBER(资金流水!$B$1616),资金流水!$B$1616&gt;=$C$4,资金流水!$B$1616&lt;=$E$4,OR(资金流水!$C$1616=$C$3,AND(资金流水!$AD$1616=$C$3,资金流水!$X$1616="账户互转"))),INT(资金流水!$B$1616)*10000+1611,"")</f>
      </c>
    </row>
    <row r="1617">
      <c r="Z1617" s="2">
        <f>IF(AND(ISNUMBER(资金流水!$B$1617),资金流水!$B$1617&gt;=$C$4,资金流水!$B$1617&lt;=$E$4,OR(资金流水!$C$1617=$C$3,AND(资金流水!$AD$1617=$C$3,资金流水!$X$1617="账户互转"))),INT(资金流水!$B$1617)*10000+1612,"")</f>
      </c>
    </row>
    <row r="1618">
      <c r="Z1618" s="2">
        <f>IF(AND(ISNUMBER(资金流水!$B$1618),资金流水!$B$1618&gt;=$C$4,资金流水!$B$1618&lt;=$E$4,OR(资金流水!$C$1618=$C$3,AND(资金流水!$AD$1618=$C$3,资金流水!$X$1618="账户互转"))),INT(资金流水!$B$1618)*10000+1613,"")</f>
      </c>
    </row>
    <row r="1619">
      <c r="Z1619" s="2">
        <f>IF(AND(ISNUMBER(资金流水!$B$1619),资金流水!$B$1619&gt;=$C$4,资金流水!$B$1619&lt;=$E$4,OR(资金流水!$C$1619=$C$3,AND(资金流水!$AD$1619=$C$3,资金流水!$X$1619="账户互转"))),INT(资金流水!$B$1619)*10000+1614,"")</f>
      </c>
    </row>
    <row r="1620">
      <c r="Z1620" s="2">
        <f>IF(AND(ISNUMBER(资金流水!$B$1620),资金流水!$B$1620&gt;=$C$4,资金流水!$B$1620&lt;=$E$4,OR(资金流水!$C$1620=$C$3,AND(资金流水!$AD$1620=$C$3,资金流水!$X$1620="账户互转"))),INT(资金流水!$B$1620)*10000+1615,"")</f>
      </c>
    </row>
    <row r="1621">
      <c r="Z1621" s="2">
        <f>IF(AND(ISNUMBER(资金流水!$B$1621),资金流水!$B$1621&gt;=$C$4,资金流水!$B$1621&lt;=$E$4,OR(资金流水!$C$1621=$C$3,AND(资金流水!$AD$1621=$C$3,资金流水!$X$1621="账户互转"))),INT(资金流水!$B$1621)*10000+1616,"")</f>
      </c>
    </row>
    <row r="1622">
      <c r="Z1622" s="2">
        <f>IF(AND(ISNUMBER(资金流水!$B$1622),资金流水!$B$1622&gt;=$C$4,资金流水!$B$1622&lt;=$E$4,OR(资金流水!$C$1622=$C$3,AND(资金流水!$AD$1622=$C$3,资金流水!$X$1622="账户互转"))),INT(资金流水!$B$1622)*10000+1617,"")</f>
      </c>
    </row>
    <row r="1623">
      <c r="Z1623" s="2">
        <f>IF(AND(ISNUMBER(资金流水!$B$1623),资金流水!$B$1623&gt;=$C$4,资金流水!$B$1623&lt;=$E$4,OR(资金流水!$C$1623=$C$3,AND(资金流水!$AD$1623=$C$3,资金流水!$X$1623="账户互转"))),INT(资金流水!$B$1623)*10000+1618,"")</f>
      </c>
    </row>
    <row r="1624">
      <c r="Z1624" s="2">
        <f>IF(AND(ISNUMBER(资金流水!$B$1624),资金流水!$B$1624&gt;=$C$4,资金流水!$B$1624&lt;=$E$4,OR(资金流水!$C$1624=$C$3,AND(资金流水!$AD$1624=$C$3,资金流水!$X$1624="账户互转"))),INT(资金流水!$B$1624)*10000+1619,"")</f>
      </c>
    </row>
    <row r="1625">
      <c r="Z1625" s="2">
        <f>IF(AND(ISNUMBER(资金流水!$B$1625),资金流水!$B$1625&gt;=$C$4,资金流水!$B$1625&lt;=$E$4,OR(资金流水!$C$1625=$C$3,AND(资金流水!$AD$1625=$C$3,资金流水!$X$1625="账户互转"))),INT(资金流水!$B$1625)*10000+1620,"")</f>
      </c>
    </row>
    <row r="1626">
      <c r="Z1626" s="2">
        <f>IF(AND(ISNUMBER(资金流水!$B$1626),资金流水!$B$1626&gt;=$C$4,资金流水!$B$1626&lt;=$E$4,OR(资金流水!$C$1626=$C$3,AND(资金流水!$AD$1626=$C$3,资金流水!$X$1626="账户互转"))),INT(资金流水!$B$1626)*10000+1621,"")</f>
      </c>
    </row>
    <row r="1627">
      <c r="Z1627" s="2">
        <f>IF(AND(ISNUMBER(资金流水!$B$1627),资金流水!$B$1627&gt;=$C$4,资金流水!$B$1627&lt;=$E$4,OR(资金流水!$C$1627=$C$3,AND(资金流水!$AD$1627=$C$3,资金流水!$X$1627="账户互转"))),INT(资金流水!$B$1627)*10000+1622,"")</f>
      </c>
    </row>
    <row r="1628">
      <c r="Z1628" s="2">
        <f>IF(AND(ISNUMBER(资金流水!$B$1628),资金流水!$B$1628&gt;=$C$4,资金流水!$B$1628&lt;=$E$4,OR(资金流水!$C$1628=$C$3,AND(资金流水!$AD$1628=$C$3,资金流水!$X$1628="账户互转"))),INT(资金流水!$B$1628)*10000+1623,"")</f>
      </c>
    </row>
    <row r="1629">
      <c r="Z1629" s="2">
        <f>IF(AND(ISNUMBER(资金流水!$B$1629),资金流水!$B$1629&gt;=$C$4,资金流水!$B$1629&lt;=$E$4,OR(资金流水!$C$1629=$C$3,AND(资金流水!$AD$1629=$C$3,资金流水!$X$1629="账户互转"))),INT(资金流水!$B$1629)*10000+1624,"")</f>
      </c>
    </row>
    <row r="1630">
      <c r="Z1630" s="2">
        <f>IF(AND(ISNUMBER(资金流水!$B$1630),资金流水!$B$1630&gt;=$C$4,资金流水!$B$1630&lt;=$E$4,OR(资金流水!$C$1630=$C$3,AND(资金流水!$AD$1630=$C$3,资金流水!$X$1630="账户互转"))),INT(资金流水!$B$1630)*10000+1625,"")</f>
      </c>
    </row>
    <row r="1631">
      <c r="Z1631" s="2">
        <f>IF(AND(ISNUMBER(资金流水!$B$1631),资金流水!$B$1631&gt;=$C$4,资金流水!$B$1631&lt;=$E$4,OR(资金流水!$C$1631=$C$3,AND(资金流水!$AD$1631=$C$3,资金流水!$X$1631="账户互转"))),INT(资金流水!$B$1631)*10000+1626,"")</f>
      </c>
    </row>
    <row r="1632">
      <c r="Z1632" s="2">
        <f>IF(AND(ISNUMBER(资金流水!$B$1632),资金流水!$B$1632&gt;=$C$4,资金流水!$B$1632&lt;=$E$4,OR(资金流水!$C$1632=$C$3,AND(资金流水!$AD$1632=$C$3,资金流水!$X$1632="账户互转"))),INT(资金流水!$B$1632)*10000+1627,"")</f>
      </c>
    </row>
    <row r="1633">
      <c r="Z1633" s="2">
        <f>IF(AND(ISNUMBER(资金流水!$B$1633),资金流水!$B$1633&gt;=$C$4,资金流水!$B$1633&lt;=$E$4,OR(资金流水!$C$1633=$C$3,AND(资金流水!$AD$1633=$C$3,资金流水!$X$1633="账户互转"))),INT(资金流水!$B$1633)*10000+1628,"")</f>
      </c>
    </row>
    <row r="1634">
      <c r="Z1634" s="2">
        <f>IF(AND(ISNUMBER(资金流水!$B$1634),资金流水!$B$1634&gt;=$C$4,资金流水!$B$1634&lt;=$E$4,OR(资金流水!$C$1634=$C$3,AND(资金流水!$AD$1634=$C$3,资金流水!$X$1634="账户互转"))),INT(资金流水!$B$1634)*10000+1629,"")</f>
      </c>
    </row>
    <row r="1635">
      <c r="Z1635" s="2">
        <f>IF(AND(ISNUMBER(资金流水!$B$1635),资金流水!$B$1635&gt;=$C$4,资金流水!$B$1635&lt;=$E$4,OR(资金流水!$C$1635=$C$3,AND(资金流水!$AD$1635=$C$3,资金流水!$X$1635="账户互转"))),INT(资金流水!$B$1635)*10000+1630,"")</f>
      </c>
    </row>
    <row r="1636">
      <c r="Z1636" s="2">
        <f>IF(AND(ISNUMBER(资金流水!$B$1636),资金流水!$B$1636&gt;=$C$4,资金流水!$B$1636&lt;=$E$4,OR(资金流水!$C$1636=$C$3,AND(资金流水!$AD$1636=$C$3,资金流水!$X$1636="账户互转"))),INT(资金流水!$B$1636)*10000+1631,"")</f>
      </c>
    </row>
    <row r="1637">
      <c r="Z1637" s="2">
        <f>IF(AND(ISNUMBER(资金流水!$B$1637),资金流水!$B$1637&gt;=$C$4,资金流水!$B$1637&lt;=$E$4,OR(资金流水!$C$1637=$C$3,AND(资金流水!$AD$1637=$C$3,资金流水!$X$1637="账户互转"))),INT(资金流水!$B$1637)*10000+1632,"")</f>
      </c>
    </row>
    <row r="1638">
      <c r="Z1638" s="2">
        <f>IF(AND(ISNUMBER(资金流水!$B$1638),资金流水!$B$1638&gt;=$C$4,资金流水!$B$1638&lt;=$E$4,OR(资金流水!$C$1638=$C$3,AND(资金流水!$AD$1638=$C$3,资金流水!$X$1638="账户互转"))),INT(资金流水!$B$1638)*10000+1633,"")</f>
      </c>
    </row>
    <row r="1639">
      <c r="Z1639" s="2">
        <f>IF(AND(ISNUMBER(资金流水!$B$1639),资金流水!$B$1639&gt;=$C$4,资金流水!$B$1639&lt;=$E$4,OR(资金流水!$C$1639=$C$3,AND(资金流水!$AD$1639=$C$3,资金流水!$X$1639="账户互转"))),INT(资金流水!$B$1639)*10000+1634,"")</f>
      </c>
    </row>
    <row r="1640">
      <c r="Z1640" s="2">
        <f>IF(AND(ISNUMBER(资金流水!$B$1640),资金流水!$B$1640&gt;=$C$4,资金流水!$B$1640&lt;=$E$4,OR(资金流水!$C$1640=$C$3,AND(资金流水!$AD$1640=$C$3,资金流水!$X$1640="账户互转"))),INT(资金流水!$B$1640)*10000+1635,"")</f>
      </c>
    </row>
    <row r="1641">
      <c r="Z1641" s="2">
        <f>IF(AND(ISNUMBER(资金流水!$B$1641),资金流水!$B$1641&gt;=$C$4,资金流水!$B$1641&lt;=$E$4,OR(资金流水!$C$1641=$C$3,AND(资金流水!$AD$1641=$C$3,资金流水!$X$1641="账户互转"))),INT(资金流水!$B$1641)*10000+1636,"")</f>
      </c>
    </row>
    <row r="1642">
      <c r="Z1642" s="2">
        <f>IF(AND(ISNUMBER(资金流水!$B$1642),资金流水!$B$1642&gt;=$C$4,资金流水!$B$1642&lt;=$E$4,OR(资金流水!$C$1642=$C$3,AND(资金流水!$AD$1642=$C$3,资金流水!$X$1642="账户互转"))),INT(资金流水!$B$1642)*10000+1637,"")</f>
      </c>
    </row>
    <row r="1643">
      <c r="Z1643" s="2">
        <f>IF(AND(ISNUMBER(资金流水!$B$1643),资金流水!$B$1643&gt;=$C$4,资金流水!$B$1643&lt;=$E$4,OR(资金流水!$C$1643=$C$3,AND(资金流水!$AD$1643=$C$3,资金流水!$X$1643="账户互转"))),INT(资金流水!$B$1643)*10000+1638,"")</f>
      </c>
    </row>
    <row r="1644">
      <c r="Z1644" s="2">
        <f>IF(AND(ISNUMBER(资金流水!$B$1644),资金流水!$B$1644&gt;=$C$4,资金流水!$B$1644&lt;=$E$4,OR(资金流水!$C$1644=$C$3,AND(资金流水!$AD$1644=$C$3,资金流水!$X$1644="账户互转"))),INT(资金流水!$B$1644)*10000+1639,"")</f>
      </c>
    </row>
    <row r="1645">
      <c r="Z1645" s="2">
        <f>IF(AND(ISNUMBER(资金流水!$B$1645),资金流水!$B$1645&gt;=$C$4,资金流水!$B$1645&lt;=$E$4,OR(资金流水!$C$1645=$C$3,AND(资金流水!$AD$1645=$C$3,资金流水!$X$1645="账户互转"))),INT(资金流水!$B$1645)*10000+1640,"")</f>
      </c>
    </row>
    <row r="1646">
      <c r="Z1646" s="2">
        <f>IF(AND(ISNUMBER(资金流水!$B$1646),资金流水!$B$1646&gt;=$C$4,资金流水!$B$1646&lt;=$E$4,OR(资金流水!$C$1646=$C$3,AND(资金流水!$AD$1646=$C$3,资金流水!$X$1646="账户互转"))),INT(资金流水!$B$1646)*10000+1641,"")</f>
      </c>
    </row>
    <row r="1647">
      <c r="Z1647" s="2">
        <f>IF(AND(ISNUMBER(资金流水!$B$1647),资金流水!$B$1647&gt;=$C$4,资金流水!$B$1647&lt;=$E$4,OR(资金流水!$C$1647=$C$3,AND(资金流水!$AD$1647=$C$3,资金流水!$X$1647="账户互转"))),INT(资金流水!$B$1647)*10000+1642,"")</f>
      </c>
    </row>
    <row r="1648">
      <c r="Z1648" s="2">
        <f>IF(AND(ISNUMBER(资金流水!$B$1648),资金流水!$B$1648&gt;=$C$4,资金流水!$B$1648&lt;=$E$4,OR(资金流水!$C$1648=$C$3,AND(资金流水!$AD$1648=$C$3,资金流水!$X$1648="账户互转"))),INT(资金流水!$B$1648)*10000+1643,"")</f>
      </c>
    </row>
    <row r="1649">
      <c r="Z1649" s="2">
        <f>IF(AND(ISNUMBER(资金流水!$B$1649),资金流水!$B$1649&gt;=$C$4,资金流水!$B$1649&lt;=$E$4,OR(资金流水!$C$1649=$C$3,AND(资金流水!$AD$1649=$C$3,资金流水!$X$1649="账户互转"))),INT(资金流水!$B$1649)*10000+1644,"")</f>
      </c>
    </row>
    <row r="1650">
      <c r="Z1650" s="2">
        <f>IF(AND(ISNUMBER(资金流水!$B$1650),资金流水!$B$1650&gt;=$C$4,资金流水!$B$1650&lt;=$E$4,OR(资金流水!$C$1650=$C$3,AND(资金流水!$AD$1650=$C$3,资金流水!$X$1650="账户互转"))),INT(资金流水!$B$1650)*10000+1645,"")</f>
      </c>
    </row>
    <row r="1651">
      <c r="Z1651" s="2">
        <f>IF(AND(ISNUMBER(资金流水!$B$1651),资金流水!$B$1651&gt;=$C$4,资金流水!$B$1651&lt;=$E$4,OR(资金流水!$C$1651=$C$3,AND(资金流水!$AD$1651=$C$3,资金流水!$X$1651="账户互转"))),INT(资金流水!$B$1651)*10000+1646,"")</f>
      </c>
    </row>
    <row r="1652">
      <c r="Z1652" s="2">
        <f>IF(AND(ISNUMBER(资金流水!$B$1652),资金流水!$B$1652&gt;=$C$4,资金流水!$B$1652&lt;=$E$4,OR(资金流水!$C$1652=$C$3,AND(资金流水!$AD$1652=$C$3,资金流水!$X$1652="账户互转"))),INT(资金流水!$B$1652)*10000+1647,"")</f>
      </c>
    </row>
    <row r="1653">
      <c r="Z1653" s="2">
        <f>IF(AND(ISNUMBER(资金流水!$B$1653),资金流水!$B$1653&gt;=$C$4,资金流水!$B$1653&lt;=$E$4,OR(资金流水!$C$1653=$C$3,AND(资金流水!$AD$1653=$C$3,资金流水!$X$1653="账户互转"))),INT(资金流水!$B$1653)*10000+1648,"")</f>
      </c>
    </row>
    <row r="1654">
      <c r="Z1654" s="2">
        <f>IF(AND(ISNUMBER(资金流水!$B$1654),资金流水!$B$1654&gt;=$C$4,资金流水!$B$1654&lt;=$E$4,OR(资金流水!$C$1654=$C$3,AND(资金流水!$AD$1654=$C$3,资金流水!$X$1654="账户互转"))),INT(资金流水!$B$1654)*10000+1649,"")</f>
      </c>
    </row>
    <row r="1655">
      <c r="Z1655" s="2">
        <f>IF(AND(ISNUMBER(资金流水!$B$1655),资金流水!$B$1655&gt;=$C$4,资金流水!$B$1655&lt;=$E$4,OR(资金流水!$C$1655=$C$3,AND(资金流水!$AD$1655=$C$3,资金流水!$X$1655="账户互转"))),INT(资金流水!$B$1655)*10000+1650,"")</f>
      </c>
    </row>
    <row r="1656">
      <c r="Z1656" s="2">
        <f>IF(AND(ISNUMBER(资金流水!$B$1656),资金流水!$B$1656&gt;=$C$4,资金流水!$B$1656&lt;=$E$4,OR(资金流水!$C$1656=$C$3,AND(资金流水!$AD$1656=$C$3,资金流水!$X$1656="账户互转"))),INT(资金流水!$B$1656)*10000+1651,"")</f>
      </c>
    </row>
    <row r="1657">
      <c r="Z1657" s="2">
        <f>IF(AND(ISNUMBER(资金流水!$B$1657),资金流水!$B$1657&gt;=$C$4,资金流水!$B$1657&lt;=$E$4,OR(资金流水!$C$1657=$C$3,AND(资金流水!$AD$1657=$C$3,资金流水!$X$1657="账户互转"))),INT(资金流水!$B$1657)*10000+1652,"")</f>
      </c>
    </row>
    <row r="1658">
      <c r="Z1658" s="2">
        <f>IF(AND(ISNUMBER(资金流水!$B$1658),资金流水!$B$1658&gt;=$C$4,资金流水!$B$1658&lt;=$E$4,OR(资金流水!$C$1658=$C$3,AND(资金流水!$AD$1658=$C$3,资金流水!$X$1658="账户互转"))),INT(资金流水!$B$1658)*10000+1653,"")</f>
      </c>
    </row>
    <row r="1659">
      <c r="Z1659" s="2">
        <f>IF(AND(ISNUMBER(资金流水!$B$1659),资金流水!$B$1659&gt;=$C$4,资金流水!$B$1659&lt;=$E$4,OR(资金流水!$C$1659=$C$3,AND(资金流水!$AD$1659=$C$3,资金流水!$X$1659="账户互转"))),INT(资金流水!$B$1659)*10000+1654,"")</f>
      </c>
    </row>
    <row r="1660">
      <c r="Z1660" s="2">
        <f>IF(AND(ISNUMBER(资金流水!$B$1660),资金流水!$B$1660&gt;=$C$4,资金流水!$B$1660&lt;=$E$4,OR(资金流水!$C$1660=$C$3,AND(资金流水!$AD$1660=$C$3,资金流水!$X$1660="账户互转"))),INT(资金流水!$B$1660)*10000+1655,"")</f>
      </c>
    </row>
    <row r="1661">
      <c r="Z1661" s="2">
        <f>IF(AND(ISNUMBER(资金流水!$B$1661),资金流水!$B$1661&gt;=$C$4,资金流水!$B$1661&lt;=$E$4,OR(资金流水!$C$1661=$C$3,AND(资金流水!$AD$1661=$C$3,资金流水!$X$1661="账户互转"))),INT(资金流水!$B$1661)*10000+1656,"")</f>
      </c>
    </row>
    <row r="1662">
      <c r="Z1662" s="2">
        <f>IF(AND(ISNUMBER(资金流水!$B$1662),资金流水!$B$1662&gt;=$C$4,资金流水!$B$1662&lt;=$E$4,OR(资金流水!$C$1662=$C$3,AND(资金流水!$AD$1662=$C$3,资金流水!$X$1662="账户互转"))),INT(资金流水!$B$1662)*10000+1657,"")</f>
      </c>
    </row>
    <row r="1663">
      <c r="Z1663" s="2">
        <f>IF(AND(ISNUMBER(资金流水!$B$1663),资金流水!$B$1663&gt;=$C$4,资金流水!$B$1663&lt;=$E$4,OR(资金流水!$C$1663=$C$3,AND(资金流水!$AD$1663=$C$3,资金流水!$X$1663="账户互转"))),INT(资金流水!$B$1663)*10000+1658,"")</f>
      </c>
    </row>
    <row r="1664">
      <c r="Z1664" s="2">
        <f>IF(AND(ISNUMBER(资金流水!$B$1664),资金流水!$B$1664&gt;=$C$4,资金流水!$B$1664&lt;=$E$4,OR(资金流水!$C$1664=$C$3,AND(资金流水!$AD$1664=$C$3,资金流水!$X$1664="账户互转"))),INT(资金流水!$B$1664)*10000+1659,"")</f>
      </c>
    </row>
    <row r="1665">
      <c r="Z1665" s="2">
        <f>IF(AND(ISNUMBER(资金流水!$B$1665),资金流水!$B$1665&gt;=$C$4,资金流水!$B$1665&lt;=$E$4,OR(资金流水!$C$1665=$C$3,AND(资金流水!$AD$1665=$C$3,资金流水!$X$1665="账户互转"))),INT(资金流水!$B$1665)*10000+1660,"")</f>
      </c>
    </row>
    <row r="1666">
      <c r="Z1666" s="2">
        <f>IF(AND(ISNUMBER(资金流水!$B$1666),资金流水!$B$1666&gt;=$C$4,资金流水!$B$1666&lt;=$E$4,OR(资金流水!$C$1666=$C$3,AND(资金流水!$AD$1666=$C$3,资金流水!$X$1666="账户互转"))),INT(资金流水!$B$1666)*10000+1661,"")</f>
      </c>
    </row>
    <row r="1667">
      <c r="Z1667" s="2">
        <f>IF(AND(ISNUMBER(资金流水!$B$1667),资金流水!$B$1667&gt;=$C$4,资金流水!$B$1667&lt;=$E$4,OR(资金流水!$C$1667=$C$3,AND(资金流水!$AD$1667=$C$3,资金流水!$X$1667="账户互转"))),INT(资金流水!$B$1667)*10000+1662,"")</f>
      </c>
    </row>
    <row r="1668">
      <c r="Z1668" s="2">
        <f>IF(AND(ISNUMBER(资金流水!$B$1668),资金流水!$B$1668&gt;=$C$4,资金流水!$B$1668&lt;=$E$4,OR(资金流水!$C$1668=$C$3,AND(资金流水!$AD$1668=$C$3,资金流水!$X$1668="账户互转"))),INT(资金流水!$B$1668)*10000+1663,"")</f>
      </c>
    </row>
    <row r="1669">
      <c r="Z1669" s="2">
        <f>IF(AND(ISNUMBER(资金流水!$B$1669),资金流水!$B$1669&gt;=$C$4,资金流水!$B$1669&lt;=$E$4,OR(资金流水!$C$1669=$C$3,AND(资金流水!$AD$1669=$C$3,资金流水!$X$1669="账户互转"))),INT(资金流水!$B$1669)*10000+1664,"")</f>
      </c>
    </row>
    <row r="1670">
      <c r="Z1670" s="2">
        <f>IF(AND(ISNUMBER(资金流水!$B$1670),资金流水!$B$1670&gt;=$C$4,资金流水!$B$1670&lt;=$E$4,OR(资金流水!$C$1670=$C$3,AND(资金流水!$AD$1670=$C$3,资金流水!$X$1670="账户互转"))),INT(资金流水!$B$1670)*10000+1665,"")</f>
      </c>
    </row>
    <row r="1671">
      <c r="Z1671" s="2">
        <f>IF(AND(ISNUMBER(资金流水!$B$1671),资金流水!$B$1671&gt;=$C$4,资金流水!$B$1671&lt;=$E$4,OR(资金流水!$C$1671=$C$3,AND(资金流水!$AD$1671=$C$3,资金流水!$X$1671="账户互转"))),INT(资金流水!$B$1671)*10000+1666,"")</f>
      </c>
    </row>
    <row r="1672">
      <c r="Z1672" s="2">
        <f>IF(AND(ISNUMBER(资金流水!$B$1672),资金流水!$B$1672&gt;=$C$4,资金流水!$B$1672&lt;=$E$4,OR(资金流水!$C$1672=$C$3,AND(资金流水!$AD$1672=$C$3,资金流水!$X$1672="账户互转"))),INT(资金流水!$B$1672)*10000+1667,"")</f>
      </c>
    </row>
    <row r="1673">
      <c r="Z1673" s="2">
        <f>IF(AND(ISNUMBER(资金流水!$B$1673),资金流水!$B$1673&gt;=$C$4,资金流水!$B$1673&lt;=$E$4,OR(资金流水!$C$1673=$C$3,AND(资金流水!$AD$1673=$C$3,资金流水!$X$1673="账户互转"))),INT(资金流水!$B$1673)*10000+1668,"")</f>
      </c>
    </row>
    <row r="1674">
      <c r="Z1674" s="2">
        <f>IF(AND(ISNUMBER(资金流水!$B$1674),资金流水!$B$1674&gt;=$C$4,资金流水!$B$1674&lt;=$E$4,OR(资金流水!$C$1674=$C$3,AND(资金流水!$AD$1674=$C$3,资金流水!$X$1674="账户互转"))),INT(资金流水!$B$1674)*10000+1669,"")</f>
      </c>
    </row>
    <row r="1675">
      <c r="Z1675" s="2">
        <f>IF(AND(ISNUMBER(资金流水!$B$1675),资金流水!$B$1675&gt;=$C$4,资金流水!$B$1675&lt;=$E$4,OR(资金流水!$C$1675=$C$3,AND(资金流水!$AD$1675=$C$3,资金流水!$X$1675="账户互转"))),INT(资金流水!$B$1675)*10000+1670,"")</f>
      </c>
    </row>
    <row r="1676">
      <c r="Z1676" s="2">
        <f>IF(AND(ISNUMBER(资金流水!$B$1676),资金流水!$B$1676&gt;=$C$4,资金流水!$B$1676&lt;=$E$4,OR(资金流水!$C$1676=$C$3,AND(资金流水!$AD$1676=$C$3,资金流水!$X$1676="账户互转"))),INT(资金流水!$B$1676)*10000+1671,"")</f>
      </c>
    </row>
    <row r="1677">
      <c r="Z1677" s="2">
        <f>IF(AND(ISNUMBER(资金流水!$B$1677),资金流水!$B$1677&gt;=$C$4,资金流水!$B$1677&lt;=$E$4,OR(资金流水!$C$1677=$C$3,AND(资金流水!$AD$1677=$C$3,资金流水!$X$1677="账户互转"))),INT(资金流水!$B$1677)*10000+1672,"")</f>
      </c>
    </row>
    <row r="1678">
      <c r="Z1678" s="2">
        <f>IF(AND(ISNUMBER(资金流水!$B$1678),资金流水!$B$1678&gt;=$C$4,资金流水!$B$1678&lt;=$E$4,OR(资金流水!$C$1678=$C$3,AND(资金流水!$AD$1678=$C$3,资金流水!$X$1678="账户互转"))),INT(资金流水!$B$1678)*10000+1673,"")</f>
      </c>
    </row>
    <row r="1679">
      <c r="Z1679" s="2">
        <f>IF(AND(ISNUMBER(资金流水!$B$1679),资金流水!$B$1679&gt;=$C$4,资金流水!$B$1679&lt;=$E$4,OR(资金流水!$C$1679=$C$3,AND(资金流水!$AD$1679=$C$3,资金流水!$X$1679="账户互转"))),INT(资金流水!$B$1679)*10000+1674,"")</f>
      </c>
    </row>
    <row r="1680">
      <c r="Z1680" s="2">
        <f>IF(AND(ISNUMBER(资金流水!$B$1680),资金流水!$B$1680&gt;=$C$4,资金流水!$B$1680&lt;=$E$4,OR(资金流水!$C$1680=$C$3,AND(资金流水!$AD$1680=$C$3,资金流水!$X$1680="账户互转"))),INT(资金流水!$B$1680)*10000+1675,"")</f>
      </c>
    </row>
    <row r="1681">
      <c r="Z1681" s="2">
        <f>IF(AND(ISNUMBER(资金流水!$B$1681),资金流水!$B$1681&gt;=$C$4,资金流水!$B$1681&lt;=$E$4,OR(资金流水!$C$1681=$C$3,AND(资金流水!$AD$1681=$C$3,资金流水!$X$1681="账户互转"))),INT(资金流水!$B$1681)*10000+1676,"")</f>
      </c>
    </row>
    <row r="1682">
      <c r="Z1682" s="2">
        <f>IF(AND(ISNUMBER(资金流水!$B$1682),资金流水!$B$1682&gt;=$C$4,资金流水!$B$1682&lt;=$E$4,OR(资金流水!$C$1682=$C$3,AND(资金流水!$AD$1682=$C$3,资金流水!$X$1682="账户互转"))),INT(资金流水!$B$1682)*10000+1677,"")</f>
      </c>
    </row>
    <row r="1683">
      <c r="Z1683" s="2">
        <f>IF(AND(ISNUMBER(资金流水!$B$1683),资金流水!$B$1683&gt;=$C$4,资金流水!$B$1683&lt;=$E$4,OR(资金流水!$C$1683=$C$3,AND(资金流水!$AD$1683=$C$3,资金流水!$X$1683="账户互转"))),INT(资金流水!$B$1683)*10000+1678,"")</f>
      </c>
    </row>
    <row r="1684">
      <c r="Z1684" s="2">
        <f>IF(AND(ISNUMBER(资金流水!$B$1684),资金流水!$B$1684&gt;=$C$4,资金流水!$B$1684&lt;=$E$4,OR(资金流水!$C$1684=$C$3,AND(资金流水!$AD$1684=$C$3,资金流水!$X$1684="账户互转"))),INT(资金流水!$B$1684)*10000+1679,"")</f>
      </c>
    </row>
    <row r="1685">
      <c r="Z1685" s="2">
        <f>IF(AND(ISNUMBER(资金流水!$B$1685),资金流水!$B$1685&gt;=$C$4,资金流水!$B$1685&lt;=$E$4,OR(资金流水!$C$1685=$C$3,AND(资金流水!$AD$1685=$C$3,资金流水!$X$1685="账户互转"))),INT(资金流水!$B$1685)*10000+1680,"")</f>
      </c>
    </row>
    <row r="1686">
      <c r="Z1686" s="2">
        <f>IF(AND(ISNUMBER(资金流水!$B$1686),资金流水!$B$1686&gt;=$C$4,资金流水!$B$1686&lt;=$E$4,OR(资金流水!$C$1686=$C$3,AND(资金流水!$AD$1686=$C$3,资金流水!$X$1686="账户互转"))),INT(资金流水!$B$1686)*10000+1681,"")</f>
      </c>
    </row>
    <row r="1687">
      <c r="Z1687" s="2">
        <f>IF(AND(ISNUMBER(资金流水!$B$1687),资金流水!$B$1687&gt;=$C$4,资金流水!$B$1687&lt;=$E$4,OR(资金流水!$C$1687=$C$3,AND(资金流水!$AD$1687=$C$3,资金流水!$X$1687="账户互转"))),INT(资金流水!$B$1687)*10000+1682,"")</f>
      </c>
    </row>
    <row r="1688">
      <c r="Z1688" s="2">
        <f>IF(AND(ISNUMBER(资金流水!$B$1688),资金流水!$B$1688&gt;=$C$4,资金流水!$B$1688&lt;=$E$4,OR(资金流水!$C$1688=$C$3,AND(资金流水!$AD$1688=$C$3,资金流水!$X$1688="账户互转"))),INT(资金流水!$B$1688)*10000+1683,"")</f>
      </c>
    </row>
    <row r="1689">
      <c r="Z1689" s="2">
        <f>IF(AND(ISNUMBER(资金流水!$B$1689),资金流水!$B$1689&gt;=$C$4,资金流水!$B$1689&lt;=$E$4,OR(资金流水!$C$1689=$C$3,AND(资金流水!$AD$1689=$C$3,资金流水!$X$1689="账户互转"))),INT(资金流水!$B$1689)*10000+1684,"")</f>
      </c>
    </row>
    <row r="1690">
      <c r="Z1690" s="2">
        <f>IF(AND(ISNUMBER(资金流水!$B$1690),资金流水!$B$1690&gt;=$C$4,资金流水!$B$1690&lt;=$E$4,OR(资金流水!$C$1690=$C$3,AND(资金流水!$AD$1690=$C$3,资金流水!$X$1690="账户互转"))),INT(资金流水!$B$1690)*10000+1685,"")</f>
      </c>
    </row>
    <row r="1691">
      <c r="Z1691" s="2">
        <f>IF(AND(ISNUMBER(资金流水!$B$1691),资金流水!$B$1691&gt;=$C$4,资金流水!$B$1691&lt;=$E$4,OR(资金流水!$C$1691=$C$3,AND(资金流水!$AD$1691=$C$3,资金流水!$X$1691="账户互转"))),INT(资金流水!$B$1691)*10000+1686,"")</f>
      </c>
    </row>
    <row r="1692">
      <c r="Z1692" s="2">
        <f>IF(AND(ISNUMBER(资金流水!$B$1692),资金流水!$B$1692&gt;=$C$4,资金流水!$B$1692&lt;=$E$4,OR(资金流水!$C$1692=$C$3,AND(资金流水!$AD$1692=$C$3,资金流水!$X$1692="账户互转"))),INT(资金流水!$B$1692)*10000+1687,"")</f>
      </c>
    </row>
    <row r="1693">
      <c r="Z1693" s="2">
        <f>IF(AND(ISNUMBER(资金流水!$B$1693),资金流水!$B$1693&gt;=$C$4,资金流水!$B$1693&lt;=$E$4,OR(资金流水!$C$1693=$C$3,AND(资金流水!$AD$1693=$C$3,资金流水!$X$1693="账户互转"))),INT(资金流水!$B$1693)*10000+1688,"")</f>
      </c>
    </row>
    <row r="1694">
      <c r="Z1694" s="2">
        <f>IF(AND(ISNUMBER(资金流水!$B$1694),资金流水!$B$1694&gt;=$C$4,资金流水!$B$1694&lt;=$E$4,OR(资金流水!$C$1694=$C$3,AND(资金流水!$AD$1694=$C$3,资金流水!$X$1694="账户互转"))),INT(资金流水!$B$1694)*10000+1689,"")</f>
      </c>
    </row>
    <row r="1695">
      <c r="Z1695" s="2">
        <f>IF(AND(ISNUMBER(资金流水!$B$1695),资金流水!$B$1695&gt;=$C$4,资金流水!$B$1695&lt;=$E$4,OR(资金流水!$C$1695=$C$3,AND(资金流水!$AD$1695=$C$3,资金流水!$X$1695="账户互转"))),INT(资金流水!$B$1695)*10000+1690,"")</f>
      </c>
    </row>
    <row r="1696">
      <c r="Z1696" s="2">
        <f>IF(AND(ISNUMBER(资金流水!$B$1696),资金流水!$B$1696&gt;=$C$4,资金流水!$B$1696&lt;=$E$4,OR(资金流水!$C$1696=$C$3,AND(资金流水!$AD$1696=$C$3,资金流水!$X$1696="账户互转"))),INT(资金流水!$B$1696)*10000+1691,"")</f>
      </c>
    </row>
    <row r="1697">
      <c r="Z1697" s="2">
        <f>IF(AND(ISNUMBER(资金流水!$B$1697),资金流水!$B$1697&gt;=$C$4,资金流水!$B$1697&lt;=$E$4,OR(资金流水!$C$1697=$C$3,AND(资金流水!$AD$1697=$C$3,资金流水!$X$1697="账户互转"))),INT(资金流水!$B$1697)*10000+1692,"")</f>
      </c>
    </row>
    <row r="1698">
      <c r="Z1698" s="2">
        <f>IF(AND(ISNUMBER(资金流水!$B$1698),资金流水!$B$1698&gt;=$C$4,资金流水!$B$1698&lt;=$E$4,OR(资金流水!$C$1698=$C$3,AND(资金流水!$AD$1698=$C$3,资金流水!$X$1698="账户互转"))),INT(资金流水!$B$1698)*10000+1693,"")</f>
      </c>
    </row>
    <row r="1699">
      <c r="Z1699" s="2">
        <f>IF(AND(ISNUMBER(资金流水!$B$1699),资金流水!$B$1699&gt;=$C$4,资金流水!$B$1699&lt;=$E$4,OR(资金流水!$C$1699=$C$3,AND(资金流水!$AD$1699=$C$3,资金流水!$X$1699="账户互转"))),INT(资金流水!$B$1699)*10000+1694,"")</f>
      </c>
    </row>
    <row r="1700">
      <c r="Z1700" s="2">
        <f>IF(AND(ISNUMBER(资金流水!$B$1700),资金流水!$B$1700&gt;=$C$4,资金流水!$B$1700&lt;=$E$4,OR(资金流水!$C$1700=$C$3,AND(资金流水!$AD$1700=$C$3,资金流水!$X$1700="账户互转"))),INT(资金流水!$B$1700)*10000+1695,"")</f>
      </c>
    </row>
    <row r="1701">
      <c r="Z1701" s="2">
        <f>IF(AND(ISNUMBER(资金流水!$B$1701),资金流水!$B$1701&gt;=$C$4,资金流水!$B$1701&lt;=$E$4,OR(资金流水!$C$1701=$C$3,AND(资金流水!$AD$1701=$C$3,资金流水!$X$1701="账户互转"))),INT(资金流水!$B$1701)*10000+1696,"")</f>
      </c>
    </row>
    <row r="1702">
      <c r="Z1702" s="2">
        <f>IF(AND(ISNUMBER(资金流水!$B$1702),资金流水!$B$1702&gt;=$C$4,资金流水!$B$1702&lt;=$E$4,OR(资金流水!$C$1702=$C$3,AND(资金流水!$AD$1702=$C$3,资金流水!$X$1702="账户互转"))),INT(资金流水!$B$1702)*10000+1697,"")</f>
      </c>
    </row>
    <row r="1703">
      <c r="Z1703" s="2">
        <f>IF(AND(ISNUMBER(资金流水!$B$1703),资金流水!$B$1703&gt;=$C$4,资金流水!$B$1703&lt;=$E$4,OR(资金流水!$C$1703=$C$3,AND(资金流水!$AD$1703=$C$3,资金流水!$X$1703="账户互转"))),INT(资金流水!$B$1703)*10000+1698,"")</f>
      </c>
    </row>
    <row r="1704">
      <c r="Z1704" s="2">
        <f>IF(AND(ISNUMBER(资金流水!$B$1704),资金流水!$B$1704&gt;=$C$4,资金流水!$B$1704&lt;=$E$4,OR(资金流水!$C$1704=$C$3,AND(资金流水!$AD$1704=$C$3,资金流水!$X$1704="账户互转"))),INT(资金流水!$B$1704)*10000+1699,"")</f>
      </c>
    </row>
    <row r="1705">
      <c r="Z1705" s="2">
        <f>IF(AND(ISNUMBER(资金流水!$B$1705),资金流水!$B$1705&gt;=$C$4,资金流水!$B$1705&lt;=$E$4,OR(资金流水!$C$1705=$C$3,AND(资金流水!$AD$1705=$C$3,资金流水!$X$1705="账户互转"))),INT(资金流水!$B$1705)*10000+1700,"")</f>
      </c>
    </row>
    <row r="1706">
      <c r="Z1706" s="2">
        <f>IF(AND(ISNUMBER(资金流水!$B$1706),资金流水!$B$1706&gt;=$C$4,资金流水!$B$1706&lt;=$E$4,OR(资金流水!$C$1706=$C$3,AND(资金流水!$AD$1706=$C$3,资金流水!$X$1706="账户互转"))),INT(资金流水!$B$1706)*10000+1701,"")</f>
      </c>
    </row>
    <row r="1707">
      <c r="Z1707" s="2">
        <f>IF(AND(ISNUMBER(资金流水!$B$1707),资金流水!$B$1707&gt;=$C$4,资金流水!$B$1707&lt;=$E$4,OR(资金流水!$C$1707=$C$3,AND(资金流水!$AD$1707=$C$3,资金流水!$X$1707="账户互转"))),INT(资金流水!$B$1707)*10000+1702,"")</f>
      </c>
    </row>
    <row r="1708">
      <c r="Z1708" s="2">
        <f>IF(AND(ISNUMBER(资金流水!$B$1708),资金流水!$B$1708&gt;=$C$4,资金流水!$B$1708&lt;=$E$4,OR(资金流水!$C$1708=$C$3,AND(资金流水!$AD$1708=$C$3,资金流水!$X$1708="账户互转"))),INT(资金流水!$B$1708)*10000+1703,"")</f>
      </c>
    </row>
    <row r="1709">
      <c r="Z1709" s="2">
        <f>IF(AND(ISNUMBER(资金流水!$B$1709),资金流水!$B$1709&gt;=$C$4,资金流水!$B$1709&lt;=$E$4,OR(资金流水!$C$1709=$C$3,AND(资金流水!$AD$1709=$C$3,资金流水!$X$1709="账户互转"))),INT(资金流水!$B$1709)*10000+1704,"")</f>
      </c>
    </row>
    <row r="1710">
      <c r="Z1710" s="2">
        <f>IF(AND(ISNUMBER(资金流水!$B$1710),资金流水!$B$1710&gt;=$C$4,资金流水!$B$1710&lt;=$E$4,OR(资金流水!$C$1710=$C$3,AND(资金流水!$AD$1710=$C$3,资金流水!$X$1710="账户互转"))),INT(资金流水!$B$1710)*10000+1705,"")</f>
      </c>
    </row>
    <row r="1711">
      <c r="Z1711" s="2">
        <f>IF(AND(ISNUMBER(资金流水!$B$1711),资金流水!$B$1711&gt;=$C$4,资金流水!$B$1711&lt;=$E$4,OR(资金流水!$C$1711=$C$3,AND(资金流水!$AD$1711=$C$3,资金流水!$X$1711="账户互转"))),INT(资金流水!$B$1711)*10000+1706,"")</f>
      </c>
    </row>
    <row r="1712">
      <c r="Z1712" s="2">
        <f>IF(AND(ISNUMBER(资金流水!$B$1712),资金流水!$B$1712&gt;=$C$4,资金流水!$B$1712&lt;=$E$4,OR(资金流水!$C$1712=$C$3,AND(资金流水!$AD$1712=$C$3,资金流水!$X$1712="账户互转"))),INT(资金流水!$B$1712)*10000+1707,"")</f>
      </c>
    </row>
    <row r="1713">
      <c r="Z1713" s="2">
        <f>IF(AND(ISNUMBER(资金流水!$B$1713),资金流水!$B$1713&gt;=$C$4,资金流水!$B$1713&lt;=$E$4,OR(资金流水!$C$1713=$C$3,AND(资金流水!$AD$1713=$C$3,资金流水!$X$1713="账户互转"))),INT(资金流水!$B$1713)*10000+1708,"")</f>
      </c>
    </row>
    <row r="1714">
      <c r="Z1714" s="2">
        <f>IF(AND(ISNUMBER(资金流水!$B$1714),资金流水!$B$1714&gt;=$C$4,资金流水!$B$1714&lt;=$E$4,OR(资金流水!$C$1714=$C$3,AND(资金流水!$AD$1714=$C$3,资金流水!$X$1714="账户互转"))),INT(资金流水!$B$1714)*10000+1709,"")</f>
      </c>
    </row>
    <row r="1715">
      <c r="Z1715" s="2">
        <f>IF(AND(ISNUMBER(资金流水!$B$1715),资金流水!$B$1715&gt;=$C$4,资金流水!$B$1715&lt;=$E$4,OR(资金流水!$C$1715=$C$3,AND(资金流水!$AD$1715=$C$3,资金流水!$X$1715="账户互转"))),INT(资金流水!$B$1715)*10000+1710,"")</f>
      </c>
    </row>
    <row r="1716">
      <c r="Z1716" s="2">
        <f>IF(AND(ISNUMBER(资金流水!$B$1716),资金流水!$B$1716&gt;=$C$4,资金流水!$B$1716&lt;=$E$4,OR(资金流水!$C$1716=$C$3,AND(资金流水!$AD$1716=$C$3,资金流水!$X$1716="账户互转"))),INT(资金流水!$B$1716)*10000+1711,"")</f>
      </c>
    </row>
    <row r="1717">
      <c r="Z1717" s="2">
        <f>IF(AND(ISNUMBER(资金流水!$B$1717),资金流水!$B$1717&gt;=$C$4,资金流水!$B$1717&lt;=$E$4,OR(资金流水!$C$1717=$C$3,AND(资金流水!$AD$1717=$C$3,资金流水!$X$1717="账户互转"))),INT(资金流水!$B$1717)*10000+1712,"")</f>
      </c>
    </row>
    <row r="1718">
      <c r="Z1718" s="2">
        <f>IF(AND(ISNUMBER(资金流水!$B$1718),资金流水!$B$1718&gt;=$C$4,资金流水!$B$1718&lt;=$E$4,OR(资金流水!$C$1718=$C$3,AND(资金流水!$AD$1718=$C$3,资金流水!$X$1718="账户互转"))),INT(资金流水!$B$1718)*10000+1713,"")</f>
      </c>
    </row>
    <row r="1719">
      <c r="Z1719" s="2">
        <f>IF(AND(ISNUMBER(资金流水!$B$1719),资金流水!$B$1719&gt;=$C$4,资金流水!$B$1719&lt;=$E$4,OR(资金流水!$C$1719=$C$3,AND(资金流水!$AD$1719=$C$3,资金流水!$X$1719="账户互转"))),INT(资金流水!$B$1719)*10000+1714,"")</f>
      </c>
    </row>
    <row r="1720">
      <c r="Z1720" s="2">
        <f>IF(AND(ISNUMBER(资金流水!$B$1720),资金流水!$B$1720&gt;=$C$4,资金流水!$B$1720&lt;=$E$4,OR(资金流水!$C$1720=$C$3,AND(资金流水!$AD$1720=$C$3,资金流水!$X$1720="账户互转"))),INT(资金流水!$B$1720)*10000+1715,"")</f>
      </c>
    </row>
    <row r="1721">
      <c r="Z1721" s="2">
        <f>IF(AND(ISNUMBER(资金流水!$B$1721),资金流水!$B$1721&gt;=$C$4,资金流水!$B$1721&lt;=$E$4,OR(资金流水!$C$1721=$C$3,AND(资金流水!$AD$1721=$C$3,资金流水!$X$1721="账户互转"))),INT(资金流水!$B$1721)*10000+1716,"")</f>
      </c>
    </row>
    <row r="1722">
      <c r="Z1722" s="2">
        <f>IF(AND(ISNUMBER(资金流水!$B$1722),资金流水!$B$1722&gt;=$C$4,资金流水!$B$1722&lt;=$E$4,OR(资金流水!$C$1722=$C$3,AND(资金流水!$AD$1722=$C$3,资金流水!$X$1722="账户互转"))),INT(资金流水!$B$1722)*10000+1717,"")</f>
      </c>
    </row>
    <row r="1723">
      <c r="Z1723" s="2">
        <f>IF(AND(ISNUMBER(资金流水!$B$1723),资金流水!$B$1723&gt;=$C$4,资金流水!$B$1723&lt;=$E$4,OR(资金流水!$C$1723=$C$3,AND(资金流水!$AD$1723=$C$3,资金流水!$X$1723="账户互转"))),INT(资金流水!$B$1723)*10000+1718,"")</f>
      </c>
    </row>
    <row r="1724">
      <c r="Z1724" s="2">
        <f>IF(AND(ISNUMBER(资金流水!$B$1724),资金流水!$B$1724&gt;=$C$4,资金流水!$B$1724&lt;=$E$4,OR(资金流水!$C$1724=$C$3,AND(资金流水!$AD$1724=$C$3,资金流水!$X$1724="账户互转"))),INT(资金流水!$B$1724)*10000+1719,"")</f>
      </c>
    </row>
    <row r="1725">
      <c r="Z1725" s="2">
        <f>IF(AND(ISNUMBER(资金流水!$B$1725),资金流水!$B$1725&gt;=$C$4,资金流水!$B$1725&lt;=$E$4,OR(资金流水!$C$1725=$C$3,AND(资金流水!$AD$1725=$C$3,资金流水!$X$1725="账户互转"))),INT(资金流水!$B$1725)*10000+1720,"")</f>
      </c>
    </row>
    <row r="1726">
      <c r="Z1726" s="2">
        <f>IF(AND(ISNUMBER(资金流水!$B$1726),资金流水!$B$1726&gt;=$C$4,资金流水!$B$1726&lt;=$E$4,OR(资金流水!$C$1726=$C$3,AND(资金流水!$AD$1726=$C$3,资金流水!$X$1726="账户互转"))),INT(资金流水!$B$1726)*10000+1721,"")</f>
      </c>
    </row>
    <row r="1727">
      <c r="Z1727" s="2">
        <f>IF(AND(ISNUMBER(资金流水!$B$1727),资金流水!$B$1727&gt;=$C$4,资金流水!$B$1727&lt;=$E$4,OR(资金流水!$C$1727=$C$3,AND(资金流水!$AD$1727=$C$3,资金流水!$X$1727="账户互转"))),INT(资金流水!$B$1727)*10000+1722,"")</f>
      </c>
    </row>
    <row r="1728">
      <c r="Z1728" s="2">
        <f>IF(AND(ISNUMBER(资金流水!$B$1728),资金流水!$B$1728&gt;=$C$4,资金流水!$B$1728&lt;=$E$4,OR(资金流水!$C$1728=$C$3,AND(资金流水!$AD$1728=$C$3,资金流水!$X$1728="账户互转"))),INT(资金流水!$B$1728)*10000+1723,"")</f>
      </c>
    </row>
    <row r="1729">
      <c r="Z1729" s="2">
        <f>IF(AND(ISNUMBER(资金流水!$B$1729),资金流水!$B$1729&gt;=$C$4,资金流水!$B$1729&lt;=$E$4,OR(资金流水!$C$1729=$C$3,AND(资金流水!$AD$1729=$C$3,资金流水!$X$1729="账户互转"))),INT(资金流水!$B$1729)*10000+1724,"")</f>
      </c>
    </row>
    <row r="1730">
      <c r="Z1730" s="2">
        <f>IF(AND(ISNUMBER(资金流水!$B$1730),资金流水!$B$1730&gt;=$C$4,资金流水!$B$1730&lt;=$E$4,OR(资金流水!$C$1730=$C$3,AND(资金流水!$AD$1730=$C$3,资金流水!$X$1730="账户互转"))),INT(资金流水!$B$1730)*10000+1725,"")</f>
      </c>
    </row>
    <row r="1731">
      <c r="Z1731" s="2">
        <f>IF(AND(ISNUMBER(资金流水!$B$1731),资金流水!$B$1731&gt;=$C$4,资金流水!$B$1731&lt;=$E$4,OR(资金流水!$C$1731=$C$3,AND(资金流水!$AD$1731=$C$3,资金流水!$X$1731="账户互转"))),INT(资金流水!$B$1731)*10000+1726,"")</f>
      </c>
    </row>
    <row r="1732">
      <c r="Z1732" s="2">
        <f>IF(AND(ISNUMBER(资金流水!$B$1732),资金流水!$B$1732&gt;=$C$4,资金流水!$B$1732&lt;=$E$4,OR(资金流水!$C$1732=$C$3,AND(资金流水!$AD$1732=$C$3,资金流水!$X$1732="账户互转"))),INT(资金流水!$B$1732)*10000+1727,"")</f>
      </c>
    </row>
    <row r="1733">
      <c r="Z1733" s="2">
        <f>IF(AND(ISNUMBER(资金流水!$B$1733),资金流水!$B$1733&gt;=$C$4,资金流水!$B$1733&lt;=$E$4,OR(资金流水!$C$1733=$C$3,AND(资金流水!$AD$1733=$C$3,资金流水!$X$1733="账户互转"))),INT(资金流水!$B$1733)*10000+1728,"")</f>
      </c>
    </row>
    <row r="1734">
      <c r="Z1734" s="2">
        <f>IF(AND(ISNUMBER(资金流水!$B$1734),资金流水!$B$1734&gt;=$C$4,资金流水!$B$1734&lt;=$E$4,OR(资金流水!$C$1734=$C$3,AND(资金流水!$AD$1734=$C$3,资金流水!$X$1734="账户互转"))),INT(资金流水!$B$1734)*10000+1729,"")</f>
      </c>
    </row>
    <row r="1735">
      <c r="Z1735" s="2">
        <f>IF(AND(ISNUMBER(资金流水!$B$1735),资金流水!$B$1735&gt;=$C$4,资金流水!$B$1735&lt;=$E$4,OR(资金流水!$C$1735=$C$3,AND(资金流水!$AD$1735=$C$3,资金流水!$X$1735="账户互转"))),INT(资金流水!$B$1735)*10000+1730,"")</f>
      </c>
    </row>
    <row r="1736">
      <c r="Z1736" s="2">
        <f>IF(AND(ISNUMBER(资金流水!$B$1736),资金流水!$B$1736&gt;=$C$4,资金流水!$B$1736&lt;=$E$4,OR(资金流水!$C$1736=$C$3,AND(资金流水!$AD$1736=$C$3,资金流水!$X$1736="账户互转"))),INT(资金流水!$B$1736)*10000+1731,"")</f>
      </c>
    </row>
    <row r="1737">
      <c r="Z1737" s="2">
        <f>IF(AND(ISNUMBER(资金流水!$B$1737),资金流水!$B$1737&gt;=$C$4,资金流水!$B$1737&lt;=$E$4,OR(资金流水!$C$1737=$C$3,AND(资金流水!$AD$1737=$C$3,资金流水!$X$1737="账户互转"))),INT(资金流水!$B$1737)*10000+1732,"")</f>
      </c>
    </row>
    <row r="1738">
      <c r="Z1738" s="2">
        <f>IF(AND(ISNUMBER(资金流水!$B$1738),资金流水!$B$1738&gt;=$C$4,资金流水!$B$1738&lt;=$E$4,OR(资金流水!$C$1738=$C$3,AND(资金流水!$AD$1738=$C$3,资金流水!$X$1738="账户互转"))),INT(资金流水!$B$1738)*10000+1733,"")</f>
      </c>
    </row>
    <row r="1739">
      <c r="Z1739" s="2">
        <f>IF(AND(ISNUMBER(资金流水!$B$1739),资金流水!$B$1739&gt;=$C$4,资金流水!$B$1739&lt;=$E$4,OR(资金流水!$C$1739=$C$3,AND(资金流水!$AD$1739=$C$3,资金流水!$X$1739="账户互转"))),INT(资金流水!$B$1739)*10000+1734,"")</f>
      </c>
    </row>
    <row r="1740">
      <c r="Z1740" s="2">
        <f>IF(AND(ISNUMBER(资金流水!$B$1740),资金流水!$B$1740&gt;=$C$4,资金流水!$B$1740&lt;=$E$4,OR(资金流水!$C$1740=$C$3,AND(资金流水!$AD$1740=$C$3,资金流水!$X$1740="账户互转"))),INT(资金流水!$B$1740)*10000+1735,"")</f>
      </c>
    </row>
    <row r="1741">
      <c r="Z1741" s="2">
        <f>IF(AND(ISNUMBER(资金流水!$B$1741),资金流水!$B$1741&gt;=$C$4,资金流水!$B$1741&lt;=$E$4,OR(资金流水!$C$1741=$C$3,AND(资金流水!$AD$1741=$C$3,资金流水!$X$1741="账户互转"))),INT(资金流水!$B$1741)*10000+1736,"")</f>
      </c>
    </row>
    <row r="1742">
      <c r="Z1742" s="2">
        <f>IF(AND(ISNUMBER(资金流水!$B$1742),资金流水!$B$1742&gt;=$C$4,资金流水!$B$1742&lt;=$E$4,OR(资金流水!$C$1742=$C$3,AND(资金流水!$AD$1742=$C$3,资金流水!$X$1742="账户互转"))),INT(资金流水!$B$1742)*10000+1737,"")</f>
      </c>
    </row>
    <row r="1743">
      <c r="Z1743" s="2">
        <f>IF(AND(ISNUMBER(资金流水!$B$1743),资金流水!$B$1743&gt;=$C$4,资金流水!$B$1743&lt;=$E$4,OR(资金流水!$C$1743=$C$3,AND(资金流水!$AD$1743=$C$3,资金流水!$X$1743="账户互转"))),INT(资金流水!$B$1743)*10000+1738,"")</f>
      </c>
    </row>
    <row r="1744">
      <c r="Z1744" s="2">
        <f>IF(AND(ISNUMBER(资金流水!$B$1744),资金流水!$B$1744&gt;=$C$4,资金流水!$B$1744&lt;=$E$4,OR(资金流水!$C$1744=$C$3,AND(资金流水!$AD$1744=$C$3,资金流水!$X$1744="账户互转"))),INT(资金流水!$B$1744)*10000+1739,"")</f>
      </c>
    </row>
    <row r="1745">
      <c r="Z1745" s="2">
        <f>IF(AND(ISNUMBER(资金流水!$B$1745),资金流水!$B$1745&gt;=$C$4,资金流水!$B$1745&lt;=$E$4,OR(资金流水!$C$1745=$C$3,AND(资金流水!$AD$1745=$C$3,资金流水!$X$1745="账户互转"))),INT(资金流水!$B$1745)*10000+1740,"")</f>
      </c>
    </row>
    <row r="1746">
      <c r="Z1746" s="2">
        <f>IF(AND(ISNUMBER(资金流水!$B$1746),资金流水!$B$1746&gt;=$C$4,资金流水!$B$1746&lt;=$E$4,OR(资金流水!$C$1746=$C$3,AND(资金流水!$AD$1746=$C$3,资金流水!$X$1746="账户互转"))),INT(资金流水!$B$1746)*10000+1741,"")</f>
      </c>
    </row>
    <row r="1747">
      <c r="Z1747" s="2">
        <f>IF(AND(ISNUMBER(资金流水!$B$1747),资金流水!$B$1747&gt;=$C$4,资金流水!$B$1747&lt;=$E$4,OR(资金流水!$C$1747=$C$3,AND(资金流水!$AD$1747=$C$3,资金流水!$X$1747="账户互转"))),INT(资金流水!$B$1747)*10000+1742,"")</f>
      </c>
    </row>
    <row r="1748">
      <c r="Z1748" s="2">
        <f>IF(AND(ISNUMBER(资金流水!$B$1748),资金流水!$B$1748&gt;=$C$4,资金流水!$B$1748&lt;=$E$4,OR(资金流水!$C$1748=$C$3,AND(资金流水!$AD$1748=$C$3,资金流水!$X$1748="账户互转"))),INT(资金流水!$B$1748)*10000+1743,"")</f>
      </c>
    </row>
    <row r="1749">
      <c r="Z1749" s="2">
        <f>IF(AND(ISNUMBER(资金流水!$B$1749),资金流水!$B$1749&gt;=$C$4,资金流水!$B$1749&lt;=$E$4,OR(资金流水!$C$1749=$C$3,AND(资金流水!$AD$1749=$C$3,资金流水!$X$1749="账户互转"))),INT(资金流水!$B$1749)*10000+1744,"")</f>
      </c>
    </row>
    <row r="1750">
      <c r="Z1750" s="2">
        <f>IF(AND(ISNUMBER(资金流水!$B$1750),资金流水!$B$1750&gt;=$C$4,资金流水!$B$1750&lt;=$E$4,OR(资金流水!$C$1750=$C$3,AND(资金流水!$AD$1750=$C$3,资金流水!$X$1750="账户互转"))),INT(资金流水!$B$1750)*10000+1745,"")</f>
      </c>
    </row>
    <row r="1751">
      <c r="Z1751" s="2">
        <f>IF(AND(ISNUMBER(资金流水!$B$1751),资金流水!$B$1751&gt;=$C$4,资金流水!$B$1751&lt;=$E$4,OR(资金流水!$C$1751=$C$3,AND(资金流水!$AD$1751=$C$3,资金流水!$X$1751="账户互转"))),INT(资金流水!$B$1751)*10000+1746,"")</f>
      </c>
    </row>
    <row r="1752">
      <c r="Z1752" s="2">
        <f>IF(AND(ISNUMBER(资金流水!$B$1752),资金流水!$B$1752&gt;=$C$4,资金流水!$B$1752&lt;=$E$4,OR(资金流水!$C$1752=$C$3,AND(资金流水!$AD$1752=$C$3,资金流水!$X$1752="账户互转"))),INT(资金流水!$B$1752)*10000+1747,"")</f>
      </c>
    </row>
    <row r="1753">
      <c r="Z1753" s="2">
        <f>IF(AND(ISNUMBER(资金流水!$B$1753),资金流水!$B$1753&gt;=$C$4,资金流水!$B$1753&lt;=$E$4,OR(资金流水!$C$1753=$C$3,AND(资金流水!$AD$1753=$C$3,资金流水!$X$1753="账户互转"))),INT(资金流水!$B$1753)*10000+1748,"")</f>
      </c>
    </row>
    <row r="1754">
      <c r="Z1754" s="2">
        <f>IF(AND(ISNUMBER(资金流水!$B$1754),资金流水!$B$1754&gt;=$C$4,资金流水!$B$1754&lt;=$E$4,OR(资金流水!$C$1754=$C$3,AND(资金流水!$AD$1754=$C$3,资金流水!$X$1754="账户互转"))),INT(资金流水!$B$1754)*10000+1749,"")</f>
      </c>
    </row>
    <row r="1755">
      <c r="Z1755" s="2">
        <f>IF(AND(ISNUMBER(资金流水!$B$1755),资金流水!$B$1755&gt;=$C$4,资金流水!$B$1755&lt;=$E$4,OR(资金流水!$C$1755=$C$3,AND(资金流水!$AD$1755=$C$3,资金流水!$X$1755="账户互转"))),INT(资金流水!$B$1755)*10000+1750,"")</f>
      </c>
    </row>
    <row r="1756">
      <c r="Z1756" s="2">
        <f>IF(AND(ISNUMBER(资金流水!$B$1756),资金流水!$B$1756&gt;=$C$4,资金流水!$B$1756&lt;=$E$4,OR(资金流水!$C$1756=$C$3,AND(资金流水!$AD$1756=$C$3,资金流水!$X$1756="账户互转"))),INT(资金流水!$B$1756)*10000+1751,"")</f>
      </c>
    </row>
    <row r="1757">
      <c r="Z1757" s="2">
        <f>IF(AND(ISNUMBER(资金流水!$B$1757),资金流水!$B$1757&gt;=$C$4,资金流水!$B$1757&lt;=$E$4,OR(资金流水!$C$1757=$C$3,AND(资金流水!$AD$1757=$C$3,资金流水!$X$1757="账户互转"))),INT(资金流水!$B$1757)*10000+1752,"")</f>
      </c>
    </row>
    <row r="1758">
      <c r="Z1758" s="2">
        <f>IF(AND(ISNUMBER(资金流水!$B$1758),资金流水!$B$1758&gt;=$C$4,资金流水!$B$1758&lt;=$E$4,OR(资金流水!$C$1758=$C$3,AND(资金流水!$AD$1758=$C$3,资金流水!$X$1758="账户互转"))),INT(资金流水!$B$1758)*10000+1753,"")</f>
      </c>
    </row>
    <row r="1759">
      <c r="Z1759" s="2">
        <f>IF(AND(ISNUMBER(资金流水!$B$1759),资金流水!$B$1759&gt;=$C$4,资金流水!$B$1759&lt;=$E$4,OR(资金流水!$C$1759=$C$3,AND(资金流水!$AD$1759=$C$3,资金流水!$X$1759="账户互转"))),INT(资金流水!$B$1759)*10000+1754,"")</f>
      </c>
    </row>
    <row r="1760">
      <c r="Z1760" s="2">
        <f>IF(AND(ISNUMBER(资金流水!$B$1760),资金流水!$B$1760&gt;=$C$4,资金流水!$B$1760&lt;=$E$4,OR(资金流水!$C$1760=$C$3,AND(资金流水!$AD$1760=$C$3,资金流水!$X$1760="账户互转"))),INT(资金流水!$B$1760)*10000+1755,"")</f>
      </c>
    </row>
    <row r="1761">
      <c r="Z1761" s="2">
        <f>IF(AND(ISNUMBER(资金流水!$B$1761),资金流水!$B$1761&gt;=$C$4,资金流水!$B$1761&lt;=$E$4,OR(资金流水!$C$1761=$C$3,AND(资金流水!$AD$1761=$C$3,资金流水!$X$1761="账户互转"))),INT(资金流水!$B$1761)*10000+1756,"")</f>
      </c>
    </row>
    <row r="1762">
      <c r="Z1762" s="2">
        <f>IF(AND(ISNUMBER(资金流水!$B$1762),资金流水!$B$1762&gt;=$C$4,资金流水!$B$1762&lt;=$E$4,OR(资金流水!$C$1762=$C$3,AND(资金流水!$AD$1762=$C$3,资金流水!$X$1762="账户互转"))),INT(资金流水!$B$1762)*10000+1757,"")</f>
      </c>
    </row>
    <row r="1763">
      <c r="Z1763" s="2">
        <f>IF(AND(ISNUMBER(资金流水!$B$1763),资金流水!$B$1763&gt;=$C$4,资金流水!$B$1763&lt;=$E$4,OR(资金流水!$C$1763=$C$3,AND(资金流水!$AD$1763=$C$3,资金流水!$X$1763="账户互转"))),INT(资金流水!$B$1763)*10000+1758,"")</f>
      </c>
    </row>
    <row r="1764">
      <c r="Z1764" s="2">
        <f>IF(AND(ISNUMBER(资金流水!$B$1764),资金流水!$B$1764&gt;=$C$4,资金流水!$B$1764&lt;=$E$4,OR(资金流水!$C$1764=$C$3,AND(资金流水!$AD$1764=$C$3,资金流水!$X$1764="账户互转"))),INT(资金流水!$B$1764)*10000+1759,"")</f>
      </c>
    </row>
    <row r="1765">
      <c r="Z1765" s="2">
        <f>IF(AND(ISNUMBER(资金流水!$B$1765),资金流水!$B$1765&gt;=$C$4,资金流水!$B$1765&lt;=$E$4,OR(资金流水!$C$1765=$C$3,AND(资金流水!$AD$1765=$C$3,资金流水!$X$1765="账户互转"))),INT(资金流水!$B$1765)*10000+1760,"")</f>
      </c>
    </row>
    <row r="1766">
      <c r="Z1766" s="2">
        <f>IF(AND(ISNUMBER(资金流水!$B$1766),资金流水!$B$1766&gt;=$C$4,资金流水!$B$1766&lt;=$E$4,OR(资金流水!$C$1766=$C$3,AND(资金流水!$AD$1766=$C$3,资金流水!$X$1766="账户互转"))),INT(资金流水!$B$1766)*10000+1761,"")</f>
      </c>
    </row>
    <row r="1767">
      <c r="Z1767" s="2">
        <f>IF(AND(ISNUMBER(资金流水!$B$1767),资金流水!$B$1767&gt;=$C$4,资金流水!$B$1767&lt;=$E$4,OR(资金流水!$C$1767=$C$3,AND(资金流水!$AD$1767=$C$3,资金流水!$X$1767="账户互转"))),INT(资金流水!$B$1767)*10000+1762,"")</f>
      </c>
    </row>
    <row r="1768">
      <c r="Z1768" s="2">
        <f>IF(AND(ISNUMBER(资金流水!$B$1768),资金流水!$B$1768&gt;=$C$4,资金流水!$B$1768&lt;=$E$4,OR(资金流水!$C$1768=$C$3,AND(资金流水!$AD$1768=$C$3,资金流水!$X$1768="账户互转"))),INT(资金流水!$B$1768)*10000+1763,"")</f>
      </c>
    </row>
    <row r="1769">
      <c r="Z1769" s="2">
        <f>IF(AND(ISNUMBER(资金流水!$B$1769),资金流水!$B$1769&gt;=$C$4,资金流水!$B$1769&lt;=$E$4,OR(资金流水!$C$1769=$C$3,AND(资金流水!$AD$1769=$C$3,资金流水!$X$1769="账户互转"))),INT(资金流水!$B$1769)*10000+1764,"")</f>
      </c>
    </row>
    <row r="1770">
      <c r="Z1770" s="2">
        <f>IF(AND(ISNUMBER(资金流水!$B$1770),资金流水!$B$1770&gt;=$C$4,资金流水!$B$1770&lt;=$E$4,OR(资金流水!$C$1770=$C$3,AND(资金流水!$AD$1770=$C$3,资金流水!$X$1770="账户互转"))),INT(资金流水!$B$1770)*10000+1765,"")</f>
      </c>
    </row>
    <row r="1771">
      <c r="Z1771" s="2">
        <f>IF(AND(ISNUMBER(资金流水!$B$1771),资金流水!$B$1771&gt;=$C$4,资金流水!$B$1771&lt;=$E$4,OR(资金流水!$C$1771=$C$3,AND(资金流水!$AD$1771=$C$3,资金流水!$X$1771="账户互转"))),INT(资金流水!$B$1771)*10000+1766,"")</f>
      </c>
    </row>
    <row r="1772">
      <c r="Z1772" s="2">
        <f>IF(AND(ISNUMBER(资金流水!$B$1772),资金流水!$B$1772&gt;=$C$4,资金流水!$B$1772&lt;=$E$4,OR(资金流水!$C$1772=$C$3,AND(资金流水!$AD$1772=$C$3,资金流水!$X$1772="账户互转"))),INT(资金流水!$B$1772)*10000+1767,"")</f>
      </c>
    </row>
    <row r="1773">
      <c r="Z1773" s="2">
        <f>IF(AND(ISNUMBER(资金流水!$B$1773),资金流水!$B$1773&gt;=$C$4,资金流水!$B$1773&lt;=$E$4,OR(资金流水!$C$1773=$C$3,AND(资金流水!$AD$1773=$C$3,资金流水!$X$1773="账户互转"))),INT(资金流水!$B$1773)*10000+1768,"")</f>
      </c>
    </row>
    <row r="1774">
      <c r="Z1774" s="2">
        <f>IF(AND(ISNUMBER(资金流水!$B$1774),资金流水!$B$1774&gt;=$C$4,资金流水!$B$1774&lt;=$E$4,OR(资金流水!$C$1774=$C$3,AND(资金流水!$AD$1774=$C$3,资金流水!$X$1774="账户互转"))),INT(资金流水!$B$1774)*10000+1769,"")</f>
      </c>
    </row>
    <row r="1775">
      <c r="Z1775" s="2">
        <f>IF(AND(ISNUMBER(资金流水!$B$1775),资金流水!$B$1775&gt;=$C$4,资金流水!$B$1775&lt;=$E$4,OR(资金流水!$C$1775=$C$3,AND(资金流水!$AD$1775=$C$3,资金流水!$X$1775="账户互转"))),INT(资金流水!$B$1775)*10000+1770,"")</f>
      </c>
    </row>
    <row r="1776">
      <c r="Z1776" s="2">
        <f>IF(AND(ISNUMBER(资金流水!$B$1776),资金流水!$B$1776&gt;=$C$4,资金流水!$B$1776&lt;=$E$4,OR(资金流水!$C$1776=$C$3,AND(资金流水!$AD$1776=$C$3,资金流水!$X$1776="账户互转"))),INT(资金流水!$B$1776)*10000+1771,"")</f>
      </c>
    </row>
    <row r="1777">
      <c r="Z1777" s="2">
        <f>IF(AND(ISNUMBER(资金流水!$B$1777),资金流水!$B$1777&gt;=$C$4,资金流水!$B$1777&lt;=$E$4,OR(资金流水!$C$1777=$C$3,AND(资金流水!$AD$1777=$C$3,资金流水!$X$1777="账户互转"))),INT(资金流水!$B$1777)*10000+1772,"")</f>
      </c>
    </row>
    <row r="1778">
      <c r="Z1778" s="2">
        <f>IF(AND(ISNUMBER(资金流水!$B$1778),资金流水!$B$1778&gt;=$C$4,资金流水!$B$1778&lt;=$E$4,OR(资金流水!$C$1778=$C$3,AND(资金流水!$AD$1778=$C$3,资金流水!$X$1778="账户互转"))),INT(资金流水!$B$1778)*10000+1773,"")</f>
      </c>
    </row>
    <row r="1779">
      <c r="Z1779" s="2">
        <f>IF(AND(ISNUMBER(资金流水!$B$1779),资金流水!$B$1779&gt;=$C$4,资金流水!$B$1779&lt;=$E$4,OR(资金流水!$C$1779=$C$3,AND(资金流水!$AD$1779=$C$3,资金流水!$X$1779="账户互转"))),INT(资金流水!$B$1779)*10000+1774,"")</f>
      </c>
    </row>
    <row r="1780">
      <c r="Z1780" s="2">
        <f>IF(AND(ISNUMBER(资金流水!$B$1780),资金流水!$B$1780&gt;=$C$4,资金流水!$B$1780&lt;=$E$4,OR(资金流水!$C$1780=$C$3,AND(资金流水!$AD$1780=$C$3,资金流水!$X$1780="账户互转"))),INT(资金流水!$B$1780)*10000+1775,"")</f>
      </c>
    </row>
    <row r="1781">
      <c r="Z1781" s="2">
        <f>IF(AND(ISNUMBER(资金流水!$B$1781),资金流水!$B$1781&gt;=$C$4,资金流水!$B$1781&lt;=$E$4,OR(资金流水!$C$1781=$C$3,AND(资金流水!$AD$1781=$C$3,资金流水!$X$1781="账户互转"))),INT(资金流水!$B$1781)*10000+1776,"")</f>
      </c>
    </row>
    <row r="1782">
      <c r="Z1782" s="2">
        <f>IF(AND(ISNUMBER(资金流水!$B$1782),资金流水!$B$1782&gt;=$C$4,资金流水!$B$1782&lt;=$E$4,OR(资金流水!$C$1782=$C$3,AND(资金流水!$AD$1782=$C$3,资金流水!$X$1782="账户互转"))),INT(资金流水!$B$1782)*10000+1777,"")</f>
      </c>
    </row>
    <row r="1783">
      <c r="Z1783" s="2">
        <f>IF(AND(ISNUMBER(资金流水!$B$1783),资金流水!$B$1783&gt;=$C$4,资金流水!$B$1783&lt;=$E$4,OR(资金流水!$C$1783=$C$3,AND(资金流水!$AD$1783=$C$3,资金流水!$X$1783="账户互转"))),INT(资金流水!$B$1783)*10000+1778,"")</f>
      </c>
    </row>
    <row r="1784">
      <c r="Z1784" s="2">
        <f>IF(AND(ISNUMBER(资金流水!$B$1784),资金流水!$B$1784&gt;=$C$4,资金流水!$B$1784&lt;=$E$4,OR(资金流水!$C$1784=$C$3,AND(资金流水!$AD$1784=$C$3,资金流水!$X$1784="账户互转"))),INT(资金流水!$B$1784)*10000+1779,"")</f>
      </c>
    </row>
    <row r="1785">
      <c r="Z1785" s="2">
        <f>IF(AND(ISNUMBER(资金流水!$B$1785),资金流水!$B$1785&gt;=$C$4,资金流水!$B$1785&lt;=$E$4,OR(资金流水!$C$1785=$C$3,AND(资金流水!$AD$1785=$C$3,资金流水!$X$1785="账户互转"))),INT(资金流水!$B$1785)*10000+1780,"")</f>
      </c>
    </row>
    <row r="1786">
      <c r="Z1786" s="2">
        <f>IF(AND(ISNUMBER(资金流水!$B$1786),资金流水!$B$1786&gt;=$C$4,资金流水!$B$1786&lt;=$E$4,OR(资金流水!$C$1786=$C$3,AND(资金流水!$AD$1786=$C$3,资金流水!$X$1786="账户互转"))),INT(资金流水!$B$1786)*10000+1781,"")</f>
      </c>
    </row>
    <row r="1787">
      <c r="Z1787" s="2">
        <f>IF(AND(ISNUMBER(资金流水!$B$1787),资金流水!$B$1787&gt;=$C$4,资金流水!$B$1787&lt;=$E$4,OR(资金流水!$C$1787=$C$3,AND(资金流水!$AD$1787=$C$3,资金流水!$X$1787="账户互转"))),INT(资金流水!$B$1787)*10000+1782,"")</f>
      </c>
    </row>
    <row r="1788">
      <c r="Z1788" s="2">
        <f>IF(AND(ISNUMBER(资金流水!$B$1788),资金流水!$B$1788&gt;=$C$4,资金流水!$B$1788&lt;=$E$4,OR(资金流水!$C$1788=$C$3,AND(资金流水!$AD$1788=$C$3,资金流水!$X$1788="账户互转"))),INT(资金流水!$B$1788)*10000+1783,"")</f>
      </c>
    </row>
    <row r="1789">
      <c r="Z1789" s="2">
        <f>IF(AND(ISNUMBER(资金流水!$B$1789),资金流水!$B$1789&gt;=$C$4,资金流水!$B$1789&lt;=$E$4,OR(资金流水!$C$1789=$C$3,AND(资金流水!$AD$1789=$C$3,资金流水!$X$1789="账户互转"))),INT(资金流水!$B$1789)*10000+1784,"")</f>
      </c>
    </row>
    <row r="1790">
      <c r="Z1790" s="2">
        <f>IF(AND(ISNUMBER(资金流水!$B$1790),资金流水!$B$1790&gt;=$C$4,资金流水!$B$1790&lt;=$E$4,OR(资金流水!$C$1790=$C$3,AND(资金流水!$AD$1790=$C$3,资金流水!$X$1790="账户互转"))),INT(资金流水!$B$1790)*10000+1785,"")</f>
      </c>
    </row>
    <row r="1791">
      <c r="Z1791" s="2">
        <f>IF(AND(ISNUMBER(资金流水!$B$1791),资金流水!$B$1791&gt;=$C$4,资金流水!$B$1791&lt;=$E$4,OR(资金流水!$C$1791=$C$3,AND(资金流水!$AD$1791=$C$3,资金流水!$X$1791="账户互转"))),INT(资金流水!$B$1791)*10000+1786,"")</f>
      </c>
    </row>
    <row r="1792">
      <c r="Z1792" s="2">
        <f>IF(AND(ISNUMBER(资金流水!$B$1792),资金流水!$B$1792&gt;=$C$4,资金流水!$B$1792&lt;=$E$4,OR(资金流水!$C$1792=$C$3,AND(资金流水!$AD$1792=$C$3,资金流水!$X$1792="账户互转"))),INT(资金流水!$B$1792)*10000+1787,"")</f>
      </c>
    </row>
    <row r="1793">
      <c r="Z1793" s="2">
        <f>IF(AND(ISNUMBER(资金流水!$B$1793),资金流水!$B$1793&gt;=$C$4,资金流水!$B$1793&lt;=$E$4,OR(资金流水!$C$1793=$C$3,AND(资金流水!$AD$1793=$C$3,资金流水!$X$1793="账户互转"))),INT(资金流水!$B$1793)*10000+1788,"")</f>
      </c>
    </row>
    <row r="1794">
      <c r="Z1794" s="2">
        <f>IF(AND(ISNUMBER(资金流水!$B$1794),资金流水!$B$1794&gt;=$C$4,资金流水!$B$1794&lt;=$E$4,OR(资金流水!$C$1794=$C$3,AND(资金流水!$AD$1794=$C$3,资金流水!$X$1794="账户互转"))),INT(资金流水!$B$1794)*10000+1789,"")</f>
      </c>
    </row>
    <row r="1795">
      <c r="Z1795" s="2">
        <f>IF(AND(ISNUMBER(资金流水!$B$1795),资金流水!$B$1795&gt;=$C$4,资金流水!$B$1795&lt;=$E$4,OR(资金流水!$C$1795=$C$3,AND(资金流水!$AD$1795=$C$3,资金流水!$X$1795="账户互转"))),INT(资金流水!$B$1795)*10000+1790,"")</f>
      </c>
    </row>
    <row r="1796">
      <c r="Z1796" s="2">
        <f>IF(AND(ISNUMBER(资金流水!$B$1796),资金流水!$B$1796&gt;=$C$4,资金流水!$B$1796&lt;=$E$4,OR(资金流水!$C$1796=$C$3,AND(资金流水!$AD$1796=$C$3,资金流水!$X$1796="账户互转"))),INT(资金流水!$B$1796)*10000+1791,"")</f>
      </c>
    </row>
    <row r="1797">
      <c r="Z1797" s="2">
        <f>IF(AND(ISNUMBER(资金流水!$B$1797),资金流水!$B$1797&gt;=$C$4,资金流水!$B$1797&lt;=$E$4,OR(资金流水!$C$1797=$C$3,AND(资金流水!$AD$1797=$C$3,资金流水!$X$1797="账户互转"))),INT(资金流水!$B$1797)*10000+1792,"")</f>
      </c>
    </row>
    <row r="1798">
      <c r="Z1798" s="2">
        <f>IF(AND(ISNUMBER(资金流水!$B$1798),资金流水!$B$1798&gt;=$C$4,资金流水!$B$1798&lt;=$E$4,OR(资金流水!$C$1798=$C$3,AND(资金流水!$AD$1798=$C$3,资金流水!$X$1798="账户互转"))),INT(资金流水!$B$1798)*10000+1793,"")</f>
      </c>
    </row>
    <row r="1799">
      <c r="Z1799" s="2">
        <f>IF(AND(ISNUMBER(资金流水!$B$1799),资金流水!$B$1799&gt;=$C$4,资金流水!$B$1799&lt;=$E$4,OR(资金流水!$C$1799=$C$3,AND(资金流水!$AD$1799=$C$3,资金流水!$X$1799="账户互转"))),INT(资金流水!$B$1799)*10000+1794,"")</f>
      </c>
    </row>
    <row r="1800">
      <c r="Z1800" s="2">
        <f>IF(AND(ISNUMBER(资金流水!$B$1800),资金流水!$B$1800&gt;=$C$4,资金流水!$B$1800&lt;=$E$4,OR(资金流水!$C$1800=$C$3,AND(资金流水!$AD$1800=$C$3,资金流水!$X$1800="账户互转"))),INT(资金流水!$B$1800)*10000+1795,"")</f>
      </c>
    </row>
    <row r="1801">
      <c r="Z1801" s="2">
        <f>IF(AND(ISNUMBER(资金流水!$B$1801),资金流水!$B$1801&gt;=$C$4,资金流水!$B$1801&lt;=$E$4,OR(资金流水!$C$1801=$C$3,AND(资金流水!$AD$1801=$C$3,资金流水!$X$1801="账户互转"))),INT(资金流水!$B$1801)*10000+1796,"")</f>
      </c>
    </row>
    <row r="1802">
      <c r="Z1802" s="2">
        <f>IF(AND(ISNUMBER(资金流水!$B$1802),资金流水!$B$1802&gt;=$C$4,资金流水!$B$1802&lt;=$E$4,OR(资金流水!$C$1802=$C$3,AND(资金流水!$AD$1802=$C$3,资金流水!$X$1802="账户互转"))),INT(资金流水!$B$1802)*10000+1797,"")</f>
      </c>
    </row>
    <row r="1803">
      <c r="Z1803" s="2">
        <f>IF(AND(ISNUMBER(资金流水!$B$1803),资金流水!$B$1803&gt;=$C$4,资金流水!$B$1803&lt;=$E$4,OR(资金流水!$C$1803=$C$3,AND(资金流水!$AD$1803=$C$3,资金流水!$X$1803="账户互转"))),INT(资金流水!$B$1803)*10000+1798,"")</f>
      </c>
    </row>
    <row r="1804">
      <c r="Z1804" s="2">
        <f>IF(AND(ISNUMBER(资金流水!$B$1804),资金流水!$B$1804&gt;=$C$4,资金流水!$B$1804&lt;=$E$4,OR(资金流水!$C$1804=$C$3,AND(资金流水!$AD$1804=$C$3,资金流水!$X$1804="账户互转"))),INT(资金流水!$B$1804)*10000+1799,"")</f>
      </c>
    </row>
    <row r="1805">
      <c r="Z1805" s="2">
        <f>IF(AND(ISNUMBER(资金流水!$B$1805),资金流水!$B$1805&gt;=$C$4,资金流水!$B$1805&lt;=$E$4,OR(资金流水!$C$1805=$C$3,AND(资金流水!$AD$1805=$C$3,资金流水!$X$1805="账户互转"))),INT(资金流水!$B$1805)*10000+1800,"")</f>
      </c>
    </row>
    <row r="1806">
      <c r="Z1806" s="2">
        <f>IF(AND(ISNUMBER(资金流水!$B$1806),资金流水!$B$1806&gt;=$C$4,资金流水!$B$1806&lt;=$E$4,OR(资金流水!$C$1806=$C$3,AND(资金流水!$AD$1806=$C$3,资金流水!$X$1806="账户互转"))),INT(资金流水!$B$1806)*10000+1801,"")</f>
      </c>
    </row>
    <row r="1807">
      <c r="Z1807" s="2">
        <f>IF(AND(ISNUMBER(资金流水!$B$1807),资金流水!$B$1807&gt;=$C$4,资金流水!$B$1807&lt;=$E$4,OR(资金流水!$C$1807=$C$3,AND(资金流水!$AD$1807=$C$3,资金流水!$X$1807="账户互转"))),INT(资金流水!$B$1807)*10000+1802,"")</f>
      </c>
    </row>
    <row r="1808">
      <c r="Z1808" s="2">
        <f>IF(AND(ISNUMBER(资金流水!$B$1808),资金流水!$B$1808&gt;=$C$4,资金流水!$B$1808&lt;=$E$4,OR(资金流水!$C$1808=$C$3,AND(资金流水!$AD$1808=$C$3,资金流水!$X$1808="账户互转"))),INT(资金流水!$B$1808)*10000+1803,"")</f>
      </c>
    </row>
    <row r="1809">
      <c r="Z1809" s="2">
        <f>IF(AND(ISNUMBER(资金流水!$B$1809),资金流水!$B$1809&gt;=$C$4,资金流水!$B$1809&lt;=$E$4,OR(资金流水!$C$1809=$C$3,AND(资金流水!$AD$1809=$C$3,资金流水!$X$1809="账户互转"))),INT(资金流水!$B$1809)*10000+1804,"")</f>
      </c>
    </row>
    <row r="1810">
      <c r="Z1810" s="2">
        <f>IF(AND(ISNUMBER(资金流水!$B$1810),资金流水!$B$1810&gt;=$C$4,资金流水!$B$1810&lt;=$E$4,OR(资金流水!$C$1810=$C$3,AND(资金流水!$AD$1810=$C$3,资金流水!$X$1810="账户互转"))),INT(资金流水!$B$1810)*10000+1805,"")</f>
      </c>
    </row>
    <row r="1811">
      <c r="Z1811" s="2">
        <f>IF(AND(ISNUMBER(资金流水!$B$1811),资金流水!$B$1811&gt;=$C$4,资金流水!$B$1811&lt;=$E$4,OR(资金流水!$C$1811=$C$3,AND(资金流水!$AD$1811=$C$3,资金流水!$X$1811="账户互转"))),INT(资金流水!$B$1811)*10000+1806,"")</f>
      </c>
    </row>
    <row r="1812">
      <c r="Z1812" s="2">
        <f>IF(AND(ISNUMBER(资金流水!$B$1812),资金流水!$B$1812&gt;=$C$4,资金流水!$B$1812&lt;=$E$4,OR(资金流水!$C$1812=$C$3,AND(资金流水!$AD$1812=$C$3,资金流水!$X$1812="账户互转"))),INT(资金流水!$B$1812)*10000+1807,"")</f>
      </c>
    </row>
    <row r="1813">
      <c r="Z1813" s="2">
        <f>IF(AND(ISNUMBER(资金流水!$B$1813),资金流水!$B$1813&gt;=$C$4,资金流水!$B$1813&lt;=$E$4,OR(资金流水!$C$1813=$C$3,AND(资金流水!$AD$1813=$C$3,资金流水!$X$1813="账户互转"))),INT(资金流水!$B$1813)*10000+1808,"")</f>
      </c>
    </row>
    <row r="1814">
      <c r="Z1814" s="2">
        <f>IF(AND(ISNUMBER(资金流水!$B$1814),资金流水!$B$1814&gt;=$C$4,资金流水!$B$1814&lt;=$E$4,OR(资金流水!$C$1814=$C$3,AND(资金流水!$AD$1814=$C$3,资金流水!$X$1814="账户互转"))),INT(资金流水!$B$1814)*10000+1809,"")</f>
      </c>
    </row>
    <row r="1815">
      <c r="Z1815" s="2">
        <f>IF(AND(ISNUMBER(资金流水!$B$1815),资金流水!$B$1815&gt;=$C$4,资金流水!$B$1815&lt;=$E$4,OR(资金流水!$C$1815=$C$3,AND(资金流水!$AD$1815=$C$3,资金流水!$X$1815="账户互转"))),INT(资金流水!$B$1815)*10000+1810,"")</f>
      </c>
    </row>
    <row r="1816">
      <c r="Z1816" s="2">
        <f>IF(AND(ISNUMBER(资金流水!$B$1816),资金流水!$B$1816&gt;=$C$4,资金流水!$B$1816&lt;=$E$4,OR(资金流水!$C$1816=$C$3,AND(资金流水!$AD$1816=$C$3,资金流水!$X$1816="账户互转"))),INT(资金流水!$B$1816)*10000+1811,"")</f>
      </c>
    </row>
    <row r="1817">
      <c r="Z1817" s="2">
        <f>IF(AND(ISNUMBER(资金流水!$B$1817),资金流水!$B$1817&gt;=$C$4,资金流水!$B$1817&lt;=$E$4,OR(资金流水!$C$1817=$C$3,AND(资金流水!$AD$1817=$C$3,资金流水!$X$1817="账户互转"))),INT(资金流水!$B$1817)*10000+1812,"")</f>
      </c>
    </row>
    <row r="1818">
      <c r="Z1818" s="2">
        <f>IF(AND(ISNUMBER(资金流水!$B$1818),资金流水!$B$1818&gt;=$C$4,资金流水!$B$1818&lt;=$E$4,OR(资金流水!$C$1818=$C$3,AND(资金流水!$AD$1818=$C$3,资金流水!$X$1818="账户互转"))),INT(资金流水!$B$1818)*10000+1813,"")</f>
      </c>
    </row>
    <row r="1819">
      <c r="Z1819" s="2">
        <f>IF(AND(ISNUMBER(资金流水!$B$1819),资金流水!$B$1819&gt;=$C$4,资金流水!$B$1819&lt;=$E$4,OR(资金流水!$C$1819=$C$3,AND(资金流水!$AD$1819=$C$3,资金流水!$X$1819="账户互转"))),INT(资金流水!$B$1819)*10000+1814,"")</f>
      </c>
    </row>
    <row r="1820">
      <c r="Z1820" s="2">
        <f>IF(AND(ISNUMBER(资金流水!$B$1820),资金流水!$B$1820&gt;=$C$4,资金流水!$B$1820&lt;=$E$4,OR(资金流水!$C$1820=$C$3,AND(资金流水!$AD$1820=$C$3,资金流水!$X$1820="账户互转"))),INT(资金流水!$B$1820)*10000+1815,"")</f>
      </c>
    </row>
    <row r="1821">
      <c r="Z1821" s="2">
        <f>IF(AND(ISNUMBER(资金流水!$B$1821),资金流水!$B$1821&gt;=$C$4,资金流水!$B$1821&lt;=$E$4,OR(资金流水!$C$1821=$C$3,AND(资金流水!$AD$1821=$C$3,资金流水!$X$1821="账户互转"))),INT(资金流水!$B$1821)*10000+1816,"")</f>
      </c>
    </row>
    <row r="1822">
      <c r="Z1822" s="2">
        <f>IF(AND(ISNUMBER(资金流水!$B$1822),资金流水!$B$1822&gt;=$C$4,资金流水!$B$1822&lt;=$E$4,OR(资金流水!$C$1822=$C$3,AND(资金流水!$AD$1822=$C$3,资金流水!$X$1822="账户互转"))),INT(资金流水!$B$1822)*10000+1817,"")</f>
      </c>
    </row>
    <row r="1823">
      <c r="Z1823" s="2">
        <f>IF(AND(ISNUMBER(资金流水!$B$1823),资金流水!$B$1823&gt;=$C$4,资金流水!$B$1823&lt;=$E$4,OR(资金流水!$C$1823=$C$3,AND(资金流水!$AD$1823=$C$3,资金流水!$X$1823="账户互转"))),INT(资金流水!$B$1823)*10000+1818,"")</f>
      </c>
    </row>
    <row r="1824">
      <c r="Z1824" s="2">
        <f>IF(AND(ISNUMBER(资金流水!$B$1824),资金流水!$B$1824&gt;=$C$4,资金流水!$B$1824&lt;=$E$4,OR(资金流水!$C$1824=$C$3,AND(资金流水!$AD$1824=$C$3,资金流水!$X$1824="账户互转"))),INT(资金流水!$B$1824)*10000+1819,"")</f>
      </c>
    </row>
    <row r="1825">
      <c r="Z1825" s="2">
        <f>IF(AND(ISNUMBER(资金流水!$B$1825),资金流水!$B$1825&gt;=$C$4,资金流水!$B$1825&lt;=$E$4,OR(资金流水!$C$1825=$C$3,AND(资金流水!$AD$1825=$C$3,资金流水!$X$1825="账户互转"))),INT(资金流水!$B$1825)*10000+1820,"")</f>
      </c>
    </row>
    <row r="1826">
      <c r="Z1826" s="2">
        <f>IF(AND(ISNUMBER(资金流水!$B$1826),资金流水!$B$1826&gt;=$C$4,资金流水!$B$1826&lt;=$E$4,OR(资金流水!$C$1826=$C$3,AND(资金流水!$AD$1826=$C$3,资金流水!$X$1826="账户互转"))),INT(资金流水!$B$1826)*10000+1821,"")</f>
      </c>
    </row>
    <row r="1827">
      <c r="Z1827" s="2">
        <f>IF(AND(ISNUMBER(资金流水!$B$1827),资金流水!$B$1827&gt;=$C$4,资金流水!$B$1827&lt;=$E$4,OR(资金流水!$C$1827=$C$3,AND(资金流水!$AD$1827=$C$3,资金流水!$X$1827="账户互转"))),INT(资金流水!$B$1827)*10000+1822,"")</f>
      </c>
    </row>
    <row r="1828">
      <c r="Z1828" s="2">
        <f>IF(AND(ISNUMBER(资金流水!$B$1828),资金流水!$B$1828&gt;=$C$4,资金流水!$B$1828&lt;=$E$4,OR(资金流水!$C$1828=$C$3,AND(资金流水!$AD$1828=$C$3,资金流水!$X$1828="账户互转"))),INT(资金流水!$B$1828)*10000+1823,"")</f>
      </c>
    </row>
    <row r="1829">
      <c r="Z1829" s="2">
        <f>IF(AND(ISNUMBER(资金流水!$B$1829),资金流水!$B$1829&gt;=$C$4,资金流水!$B$1829&lt;=$E$4,OR(资金流水!$C$1829=$C$3,AND(资金流水!$AD$1829=$C$3,资金流水!$X$1829="账户互转"))),INT(资金流水!$B$1829)*10000+1824,"")</f>
      </c>
    </row>
    <row r="1830">
      <c r="Z1830" s="2">
        <f>IF(AND(ISNUMBER(资金流水!$B$1830),资金流水!$B$1830&gt;=$C$4,资金流水!$B$1830&lt;=$E$4,OR(资金流水!$C$1830=$C$3,AND(资金流水!$AD$1830=$C$3,资金流水!$X$1830="账户互转"))),INT(资金流水!$B$1830)*10000+1825,"")</f>
      </c>
    </row>
    <row r="1831">
      <c r="Z1831" s="2">
        <f>IF(AND(ISNUMBER(资金流水!$B$1831),资金流水!$B$1831&gt;=$C$4,资金流水!$B$1831&lt;=$E$4,OR(资金流水!$C$1831=$C$3,AND(资金流水!$AD$1831=$C$3,资金流水!$X$1831="账户互转"))),INT(资金流水!$B$1831)*10000+1826,"")</f>
      </c>
    </row>
    <row r="1832">
      <c r="Z1832" s="2">
        <f>IF(AND(ISNUMBER(资金流水!$B$1832),资金流水!$B$1832&gt;=$C$4,资金流水!$B$1832&lt;=$E$4,OR(资金流水!$C$1832=$C$3,AND(资金流水!$AD$1832=$C$3,资金流水!$X$1832="账户互转"))),INT(资金流水!$B$1832)*10000+1827,"")</f>
      </c>
    </row>
    <row r="1833">
      <c r="Z1833" s="2">
        <f>IF(AND(ISNUMBER(资金流水!$B$1833),资金流水!$B$1833&gt;=$C$4,资金流水!$B$1833&lt;=$E$4,OR(资金流水!$C$1833=$C$3,AND(资金流水!$AD$1833=$C$3,资金流水!$X$1833="账户互转"))),INT(资金流水!$B$1833)*10000+1828,"")</f>
      </c>
    </row>
    <row r="1834">
      <c r="Z1834" s="2">
        <f>IF(AND(ISNUMBER(资金流水!$B$1834),资金流水!$B$1834&gt;=$C$4,资金流水!$B$1834&lt;=$E$4,OR(资金流水!$C$1834=$C$3,AND(资金流水!$AD$1834=$C$3,资金流水!$X$1834="账户互转"))),INT(资金流水!$B$1834)*10000+1829,"")</f>
      </c>
    </row>
    <row r="1835">
      <c r="Z1835" s="2">
        <f>IF(AND(ISNUMBER(资金流水!$B$1835),资金流水!$B$1835&gt;=$C$4,资金流水!$B$1835&lt;=$E$4,OR(资金流水!$C$1835=$C$3,AND(资金流水!$AD$1835=$C$3,资金流水!$X$1835="账户互转"))),INT(资金流水!$B$1835)*10000+1830,"")</f>
      </c>
    </row>
    <row r="1836">
      <c r="Z1836" s="2">
        <f>IF(AND(ISNUMBER(资金流水!$B$1836),资金流水!$B$1836&gt;=$C$4,资金流水!$B$1836&lt;=$E$4,OR(资金流水!$C$1836=$C$3,AND(资金流水!$AD$1836=$C$3,资金流水!$X$1836="账户互转"))),INT(资金流水!$B$1836)*10000+1831,"")</f>
      </c>
    </row>
    <row r="1837">
      <c r="Z1837" s="2">
        <f>IF(AND(ISNUMBER(资金流水!$B$1837),资金流水!$B$1837&gt;=$C$4,资金流水!$B$1837&lt;=$E$4,OR(资金流水!$C$1837=$C$3,AND(资金流水!$AD$1837=$C$3,资金流水!$X$1837="账户互转"))),INT(资金流水!$B$1837)*10000+1832,"")</f>
      </c>
    </row>
    <row r="1838">
      <c r="Z1838" s="2">
        <f>IF(AND(ISNUMBER(资金流水!$B$1838),资金流水!$B$1838&gt;=$C$4,资金流水!$B$1838&lt;=$E$4,OR(资金流水!$C$1838=$C$3,AND(资金流水!$AD$1838=$C$3,资金流水!$X$1838="账户互转"))),INT(资金流水!$B$1838)*10000+1833,"")</f>
      </c>
    </row>
    <row r="1839">
      <c r="Z1839" s="2">
        <f>IF(AND(ISNUMBER(资金流水!$B$1839),资金流水!$B$1839&gt;=$C$4,资金流水!$B$1839&lt;=$E$4,OR(资金流水!$C$1839=$C$3,AND(资金流水!$AD$1839=$C$3,资金流水!$X$1839="账户互转"))),INT(资金流水!$B$1839)*10000+1834,"")</f>
      </c>
    </row>
    <row r="1840">
      <c r="Z1840" s="2">
        <f>IF(AND(ISNUMBER(资金流水!$B$1840),资金流水!$B$1840&gt;=$C$4,资金流水!$B$1840&lt;=$E$4,OR(资金流水!$C$1840=$C$3,AND(资金流水!$AD$1840=$C$3,资金流水!$X$1840="账户互转"))),INT(资金流水!$B$1840)*10000+1835,"")</f>
      </c>
    </row>
    <row r="1841">
      <c r="Z1841" s="2">
        <f>IF(AND(ISNUMBER(资金流水!$B$1841),资金流水!$B$1841&gt;=$C$4,资金流水!$B$1841&lt;=$E$4,OR(资金流水!$C$1841=$C$3,AND(资金流水!$AD$1841=$C$3,资金流水!$X$1841="账户互转"))),INT(资金流水!$B$1841)*10000+1836,"")</f>
      </c>
    </row>
    <row r="1842">
      <c r="Z1842" s="2">
        <f>IF(AND(ISNUMBER(资金流水!$B$1842),资金流水!$B$1842&gt;=$C$4,资金流水!$B$1842&lt;=$E$4,OR(资金流水!$C$1842=$C$3,AND(资金流水!$AD$1842=$C$3,资金流水!$X$1842="账户互转"))),INT(资金流水!$B$1842)*10000+1837,"")</f>
      </c>
    </row>
    <row r="1843">
      <c r="Z1843" s="2">
        <f>IF(AND(ISNUMBER(资金流水!$B$1843),资金流水!$B$1843&gt;=$C$4,资金流水!$B$1843&lt;=$E$4,OR(资金流水!$C$1843=$C$3,AND(资金流水!$AD$1843=$C$3,资金流水!$X$1843="账户互转"))),INT(资金流水!$B$1843)*10000+1838,"")</f>
      </c>
    </row>
    <row r="1844">
      <c r="Z1844" s="2">
        <f>IF(AND(ISNUMBER(资金流水!$B$1844),资金流水!$B$1844&gt;=$C$4,资金流水!$B$1844&lt;=$E$4,OR(资金流水!$C$1844=$C$3,AND(资金流水!$AD$1844=$C$3,资金流水!$X$1844="账户互转"))),INT(资金流水!$B$1844)*10000+1839,"")</f>
      </c>
    </row>
    <row r="1845">
      <c r="Z1845" s="2">
        <f>IF(AND(ISNUMBER(资金流水!$B$1845),资金流水!$B$1845&gt;=$C$4,资金流水!$B$1845&lt;=$E$4,OR(资金流水!$C$1845=$C$3,AND(资金流水!$AD$1845=$C$3,资金流水!$X$1845="账户互转"))),INT(资金流水!$B$1845)*10000+1840,"")</f>
      </c>
    </row>
    <row r="1846">
      <c r="Z1846" s="2">
        <f>IF(AND(ISNUMBER(资金流水!$B$1846),资金流水!$B$1846&gt;=$C$4,资金流水!$B$1846&lt;=$E$4,OR(资金流水!$C$1846=$C$3,AND(资金流水!$AD$1846=$C$3,资金流水!$X$1846="账户互转"))),INT(资金流水!$B$1846)*10000+1841,"")</f>
      </c>
    </row>
    <row r="1847">
      <c r="Z1847" s="2">
        <f>IF(AND(ISNUMBER(资金流水!$B$1847),资金流水!$B$1847&gt;=$C$4,资金流水!$B$1847&lt;=$E$4,OR(资金流水!$C$1847=$C$3,AND(资金流水!$AD$1847=$C$3,资金流水!$X$1847="账户互转"))),INT(资金流水!$B$1847)*10000+1842,"")</f>
      </c>
    </row>
    <row r="1848">
      <c r="Z1848" s="2">
        <f>IF(AND(ISNUMBER(资金流水!$B$1848),资金流水!$B$1848&gt;=$C$4,资金流水!$B$1848&lt;=$E$4,OR(资金流水!$C$1848=$C$3,AND(资金流水!$AD$1848=$C$3,资金流水!$X$1848="账户互转"))),INT(资金流水!$B$1848)*10000+1843,"")</f>
      </c>
    </row>
    <row r="1849">
      <c r="Z1849" s="2">
        <f>IF(AND(ISNUMBER(资金流水!$B$1849),资金流水!$B$1849&gt;=$C$4,资金流水!$B$1849&lt;=$E$4,OR(资金流水!$C$1849=$C$3,AND(资金流水!$AD$1849=$C$3,资金流水!$X$1849="账户互转"))),INT(资金流水!$B$1849)*10000+1844,"")</f>
      </c>
    </row>
    <row r="1850">
      <c r="Z1850" s="2">
        <f>IF(AND(ISNUMBER(资金流水!$B$1850),资金流水!$B$1850&gt;=$C$4,资金流水!$B$1850&lt;=$E$4,OR(资金流水!$C$1850=$C$3,AND(资金流水!$AD$1850=$C$3,资金流水!$X$1850="账户互转"))),INT(资金流水!$B$1850)*10000+1845,"")</f>
      </c>
    </row>
    <row r="1851">
      <c r="Z1851" s="2">
        <f>IF(AND(ISNUMBER(资金流水!$B$1851),资金流水!$B$1851&gt;=$C$4,资金流水!$B$1851&lt;=$E$4,OR(资金流水!$C$1851=$C$3,AND(资金流水!$AD$1851=$C$3,资金流水!$X$1851="账户互转"))),INT(资金流水!$B$1851)*10000+1846,"")</f>
      </c>
    </row>
    <row r="1852">
      <c r="Z1852" s="2">
        <f>IF(AND(ISNUMBER(资金流水!$B$1852),资金流水!$B$1852&gt;=$C$4,资金流水!$B$1852&lt;=$E$4,OR(资金流水!$C$1852=$C$3,AND(资金流水!$AD$1852=$C$3,资金流水!$X$1852="账户互转"))),INT(资金流水!$B$1852)*10000+1847,"")</f>
      </c>
    </row>
    <row r="1853">
      <c r="Z1853" s="2">
        <f>IF(AND(ISNUMBER(资金流水!$B$1853),资金流水!$B$1853&gt;=$C$4,资金流水!$B$1853&lt;=$E$4,OR(资金流水!$C$1853=$C$3,AND(资金流水!$AD$1853=$C$3,资金流水!$X$1853="账户互转"))),INT(资金流水!$B$1853)*10000+1848,"")</f>
      </c>
    </row>
    <row r="1854">
      <c r="Z1854" s="2">
        <f>IF(AND(ISNUMBER(资金流水!$B$1854),资金流水!$B$1854&gt;=$C$4,资金流水!$B$1854&lt;=$E$4,OR(资金流水!$C$1854=$C$3,AND(资金流水!$AD$1854=$C$3,资金流水!$X$1854="账户互转"))),INT(资金流水!$B$1854)*10000+1849,"")</f>
      </c>
    </row>
    <row r="1855">
      <c r="Z1855" s="2">
        <f>IF(AND(ISNUMBER(资金流水!$B$1855),资金流水!$B$1855&gt;=$C$4,资金流水!$B$1855&lt;=$E$4,OR(资金流水!$C$1855=$C$3,AND(资金流水!$AD$1855=$C$3,资金流水!$X$1855="账户互转"))),INT(资金流水!$B$1855)*10000+1850,"")</f>
      </c>
    </row>
    <row r="1856">
      <c r="Z1856" s="2">
        <f>IF(AND(ISNUMBER(资金流水!$B$1856),资金流水!$B$1856&gt;=$C$4,资金流水!$B$1856&lt;=$E$4,OR(资金流水!$C$1856=$C$3,AND(资金流水!$AD$1856=$C$3,资金流水!$X$1856="账户互转"))),INT(资金流水!$B$1856)*10000+1851,"")</f>
      </c>
    </row>
    <row r="1857">
      <c r="Z1857" s="2">
        <f>IF(AND(ISNUMBER(资金流水!$B$1857),资金流水!$B$1857&gt;=$C$4,资金流水!$B$1857&lt;=$E$4,OR(资金流水!$C$1857=$C$3,AND(资金流水!$AD$1857=$C$3,资金流水!$X$1857="账户互转"))),INT(资金流水!$B$1857)*10000+1852,"")</f>
      </c>
    </row>
    <row r="1858">
      <c r="Z1858" s="2">
        <f>IF(AND(ISNUMBER(资金流水!$B$1858),资金流水!$B$1858&gt;=$C$4,资金流水!$B$1858&lt;=$E$4,OR(资金流水!$C$1858=$C$3,AND(资金流水!$AD$1858=$C$3,资金流水!$X$1858="账户互转"))),INT(资金流水!$B$1858)*10000+1853,"")</f>
      </c>
    </row>
    <row r="1859">
      <c r="Z1859" s="2">
        <f>IF(AND(ISNUMBER(资金流水!$B$1859),资金流水!$B$1859&gt;=$C$4,资金流水!$B$1859&lt;=$E$4,OR(资金流水!$C$1859=$C$3,AND(资金流水!$AD$1859=$C$3,资金流水!$X$1859="账户互转"))),INT(资金流水!$B$1859)*10000+1854,"")</f>
      </c>
    </row>
    <row r="1860">
      <c r="Z1860" s="2">
        <f>IF(AND(ISNUMBER(资金流水!$B$1860),资金流水!$B$1860&gt;=$C$4,资金流水!$B$1860&lt;=$E$4,OR(资金流水!$C$1860=$C$3,AND(资金流水!$AD$1860=$C$3,资金流水!$X$1860="账户互转"))),INT(资金流水!$B$1860)*10000+1855,"")</f>
      </c>
    </row>
    <row r="1861">
      <c r="Z1861" s="2">
        <f>IF(AND(ISNUMBER(资金流水!$B$1861),资金流水!$B$1861&gt;=$C$4,资金流水!$B$1861&lt;=$E$4,OR(资金流水!$C$1861=$C$3,AND(资金流水!$AD$1861=$C$3,资金流水!$X$1861="账户互转"))),INT(资金流水!$B$1861)*10000+1856,"")</f>
      </c>
    </row>
    <row r="1862">
      <c r="Z1862" s="2">
        <f>IF(AND(ISNUMBER(资金流水!$B$1862),资金流水!$B$1862&gt;=$C$4,资金流水!$B$1862&lt;=$E$4,OR(资金流水!$C$1862=$C$3,AND(资金流水!$AD$1862=$C$3,资金流水!$X$1862="账户互转"))),INT(资金流水!$B$1862)*10000+1857,"")</f>
      </c>
    </row>
    <row r="1863">
      <c r="Z1863" s="2">
        <f>IF(AND(ISNUMBER(资金流水!$B$1863),资金流水!$B$1863&gt;=$C$4,资金流水!$B$1863&lt;=$E$4,OR(资金流水!$C$1863=$C$3,AND(资金流水!$AD$1863=$C$3,资金流水!$X$1863="账户互转"))),INT(资金流水!$B$1863)*10000+1858,"")</f>
      </c>
    </row>
    <row r="1864">
      <c r="Z1864" s="2">
        <f>IF(AND(ISNUMBER(资金流水!$B$1864),资金流水!$B$1864&gt;=$C$4,资金流水!$B$1864&lt;=$E$4,OR(资金流水!$C$1864=$C$3,AND(资金流水!$AD$1864=$C$3,资金流水!$X$1864="账户互转"))),INT(资金流水!$B$1864)*10000+1859,"")</f>
      </c>
    </row>
    <row r="1865">
      <c r="Z1865" s="2">
        <f>IF(AND(ISNUMBER(资金流水!$B$1865),资金流水!$B$1865&gt;=$C$4,资金流水!$B$1865&lt;=$E$4,OR(资金流水!$C$1865=$C$3,AND(资金流水!$AD$1865=$C$3,资金流水!$X$1865="账户互转"))),INT(资金流水!$B$1865)*10000+1860,"")</f>
      </c>
    </row>
    <row r="1866">
      <c r="Z1866" s="2">
        <f>IF(AND(ISNUMBER(资金流水!$B$1866),资金流水!$B$1866&gt;=$C$4,资金流水!$B$1866&lt;=$E$4,OR(资金流水!$C$1866=$C$3,AND(资金流水!$AD$1866=$C$3,资金流水!$X$1866="账户互转"))),INT(资金流水!$B$1866)*10000+1861,"")</f>
      </c>
    </row>
    <row r="1867">
      <c r="Z1867" s="2">
        <f>IF(AND(ISNUMBER(资金流水!$B$1867),资金流水!$B$1867&gt;=$C$4,资金流水!$B$1867&lt;=$E$4,OR(资金流水!$C$1867=$C$3,AND(资金流水!$AD$1867=$C$3,资金流水!$X$1867="账户互转"))),INT(资金流水!$B$1867)*10000+1862,"")</f>
      </c>
    </row>
    <row r="1868">
      <c r="Z1868" s="2">
        <f>IF(AND(ISNUMBER(资金流水!$B$1868),资金流水!$B$1868&gt;=$C$4,资金流水!$B$1868&lt;=$E$4,OR(资金流水!$C$1868=$C$3,AND(资金流水!$AD$1868=$C$3,资金流水!$X$1868="账户互转"))),INT(资金流水!$B$1868)*10000+1863,"")</f>
      </c>
    </row>
    <row r="1869">
      <c r="Z1869" s="2">
        <f>IF(AND(ISNUMBER(资金流水!$B$1869),资金流水!$B$1869&gt;=$C$4,资金流水!$B$1869&lt;=$E$4,OR(资金流水!$C$1869=$C$3,AND(资金流水!$AD$1869=$C$3,资金流水!$X$1869="账户互转"))),INT(资金流水!$B$1869)*10000+1864,"")</f>
      </c>
    </row>
    <row r="1870">
      <c r="Z1870" s="2">
        <f>IF(AND(ISNUMBER(资金流水!$B$1870),资金流水!$B$1870&gt;=$C$4,资金流水!$B$1870&lt;=$E$4,OR(资金流水!$C$1870=$C$3,AND(资金流水!$AD$1870=$C$3,资金流水!$X$1870="账户互转"))),INT(资金流水!$B$1870)*10000+1865,"")</f>
      </c>
    </row>
    <row r="1871">
      <c r="Z1871" s="2">
        <f>IF(AND(ISNUMBER(资金流水!$B$1871),资金流水!$B$1871&gt;=$C$4,资金流水!$B$1871&lt;=$E$4,OR(资金流水!$C$1871=$C$3,AND(资金流水!$AD$1871=$C$3,资金流水!$X$1871="账户互转"))),INT(资金流水!$B$1871)*10000+1866,"")</f>
      </c>
    </row>
    <row r="1872">
      <c r="Z1872" s="2">
        <f>IF(AND(ISNUMBER(资金流水!$B$1872),资金流水!$B$1872&gt;=$C$4,资金流水!$B$1872&lt;=$E$4,OR(资金流水!$C$1872=$C$3,AND(资金流水!$AD$1872=$C$3,资金流水!$X$1872="账户互转"))),INT(资金流水!$B$1872)*10000+1867,"")</f>
      </c>
    </row>
    <row r="1873">
      <c r="Z1873" s="2">
        <f>IF(AND(ISNUMBER(资金流水!$B$1873),资金流水!$B$1873&gt;=$C$4,资金流水!$B$1873&lt;=$E$4,OR(资金流水!$C$1873=$C$3,AND(资金流水!$AD$1873=$C$3,资金流水!$X$1873="账户互转"))),INT(资金流水!$B$1873)*10000+1868,"")</f>
      </c>
    </row>
    <row r="1874">
      <c r="Z1874" s="2">
        <f>IF(AND(ISNUMBER(资金流水!$B$1874),资金流水!$B$1874&gt;=$C$4,资金流水!$B$1874&lt;=$E$4,OR(资金流水!$C$1874=$C$3,AND(资金流水!$AD$1874=$C$3,资金流水!$X$1874="账户互转"))),INT(资金流水!$B$1874)*10000+1869,"")</f>
      </c>
    </row>
    <row r="1875">
      <c r="Z1875" s="2">
        <f>IF(AND(ISNUMBER(资金流水!$B$1875),资金流水!$B$1875&gt;=$C$4,资金流水!$B$1875&lt;=$E$4,OR(资金流水!$C$1875=$C$3,AND(资金流水!$AD$1875=$C$3,资金流水!$X$1875="账户互转"))),INT(资金流水!$B$1875)*10000+1870,"")</f>
      </c>
    </row>
    <row r="1876">
      <c r="Z1876" s="2">
        <f>IF(AND(ISNUMBER(资金流水!$B$1876),资金流水!$B$1876&gt;=$C$4,资金流水!$B$1876&lt;=$E$4,OR(资金流水!$C$1876=$C$3,AND(资金流水!$AD$1876=$C$3,资金流水!$X$1876="账户互转"))),INT(资金流水!$B$1876)*10000+1871,"")</f>
      </c>
    </row>
    <row r="1877">
      <c r="Z1877" s="2">
        <f>IF(AND(ISNUMBER(资金流水!$B$1877),资金流水!$B$1877&gt;=$C$4,资金流水!$B$1877&lt;=$E$4,OR(资金流水!$C$1877=$C$3,AND(资金流水!$AD$1877=$C$3,资金流水!$X$1877="账户互转"))),INT(资金流水!$B$1877)*10000+1872,"")</f>
      </c>
    </row>
    <row r="1878">
      <c r="Z1878" s="2">
        <f>IF(AND(ISNUMBER(资金流水!$B$1878),资金流水!$B$1878&gt;=$C$4,资金流水!$B$1878&lt;=$E$4,OR(资金流水!$C$1878=$C$3,AND(资金流水!$AD$1878=$C$3,资金流水!$X$1878="账户互转"))),INT(资金流水!$B$1878)*10000+1873,"")</f>
      </c>
    </row>
    <row r="1879">
      <c r="Z1879" s="2">
        <f>IF(AND(ISNUMBER(资金流水!$B$1879),资金流水!$B$1879&gt;=$C$4,资金流水!$B$1879&lt;=$E$4,OR(资金流水!$C$1879=$C$3,AND(资金流水!$AD$1879=$C$3,资金流水!$X$1879="账户互转"))),INT(资金流水!$B$1879)*10000+1874,"")</f>
      </c>
    </row>
    <row r="1880">
      <c r="Z1880" s="2">
        <f>IF(AND(ISNUMBER(资金流水!$B$1880),资金流水!$B$1880&gt;=$C$4,资金流水!$B$1880&lt;=$E$4,OR(资金流水!$C$1880=$C$3,AND(资金流水!$AD$1880=$C$3,资金流水!$X$1880="账户互转"))),INT(资金流水!$B$1880)*10000+1875,"")</f>
      </c>
    </row>
    <row r="1881">
      <c r="Z1881" s="2">
        <f>IF(AND(ISNUMBER(资金流水!$B$1881),资金流水!$B$1881&gt;=$C$4,资金流水!$B$1881&lt;=$E$4,OR(资金流水!$C$1881=$C$3,AND(资金流水!$AD$1881=$C$3,资金流水!$X$1881="账户互转"))),INT(资金流水!$B$1881)*10000+1876,"")</f>
      </c>
    </row>
    <row r="1882">
      <c r="Z1882" s="2">
        <f>IF(AND(ISNUMBER(资金流水!$B$1882),资金流水!$B$1882&gt;=$C$4,资金流水!$B$1882&lt;=$E$4,OR(资金流水!$C$1882=$C$3,AND(资金流水!$AD$1882=$C$3,资金流水!$X$1882="账户互转"))),INT(资金流水!$B$1882)*10000+1877,"")</f>
      </c>
    </row>
    <row r="1883">
      <c r="Z1883" s="2">
        <f>IF(AND(ISNUMBER(资金流水!$B$1883),资金流水!$B$1883&gt;=$C$4,资金流水!$B$1883&lt;=$E$4,OR(资金流水!$C$1883=$C$3,AND(资金流水!$AD$1883=$C$3,资金流水!$X$1883="账户互转"))),INT(资金流水!$B$1883)*10000+1878,"")</f>
      </c>
    </row>
    <row r="1884">
      <c r="Z1884" s="2">
        <f>IF(AND(ISNUMBER(资金流水!$B$1884),资金流水!$B$1884&gt;=$C$4,资金流水!$B$1884&lt;=$E$4,OR(资金流水!$C$1884=$C$3,AND(资金流水!$AD$1884=$C$3,资金流水!$X$1884="账户互转"))),INT(资金流水!$B$1884)*10000+1879,"")</f>
      </c>
    </row>
    <row r="1885">
      <c r="Z1885" s="2">
        <f>IF(AND(ISNUMBER(资金流水!$B$1885),资金流水!$B$1885&gt;=$C$4,资金流水!$B$1885&lt;=$E$4,OR(资金流水!$C$1885=$C$3,AND(资金流水!$AD$1885=$C$3,资金流水!$X$1885="账户互转"))),INT(资金流水!$B$1885)*10000+1880,"")</f>
      </c>
    </row>
    <row r="1886">
      <c r="Z1886" s="2">
        <f>IF(AND(ISNUMBER(资金流水!$B$1886),资金流水!$B$1886&gt;=$C$4,资金流水!$B$1886&lt;=$E$4,OR(资金流水!$C$1886=$C$3,AND(资金流水!$AD$1886=$C$3,资金流水!$X$1886="账户互转"))),INT(资金流水!$B$1886)*10000+1881,"")</f>
      </c>
    </row>
    <row r="1887">
      <c r="Z1887" s="2">
        <f>IF(AND(ISNUMBER(资金流水!$B$1887),资金流水!$B$1887&gt;=$C$4,资金流水!$B$1887&lt;=$E$4,OR(资金流水!$C$1887=$C$3,AND(资金流水!$AD$1887=$C$3,资金流水!$X$1887="账户互转"))),INT(资金流水!$B$1887)*10000+1882,"")</f>
      </c>
    </row>
    <row r="1888">
      <c r="Z1888" s="2">
        <f>IF(AND(ISNUMBER(资金流水!$B$1888),资金流水!$B$1888&gt;=$C$4,资金流水!$B$1888&lt;=$E$4,OR(资金流水!$C$1888=$C$3,AND(资金流水!$AD$1888=$C$3,资金流水!$X$1888="账户互转"))),INT(资金流水!$B$1888)*10000+1883,"")</f>
      </c>
    </row>
    <row r="1889">
      <c r="Z1889" s="2">
        <f>IF(AND(ISNUMBER(资金流水!$B$1889),资金流水!$B$1889&gt;=$C$4,资金流水!$B$1889&lt;=$E$4,OR(资金流水!$C$1889=$C$3,AND(资金流水!$AD$1889=$C$3,资金流水!$X$1889="账户互转"))),INT(资金流水!$B$1889)*10000+1884,"")</f>
      </c>
    </row>
    <row r="1890">
      <c r="Z1890" s="2">
        <f>IF(AND(ISNUMBER(资金流水!$B$1890),资金流水!$B$1890&gt;=$C$4,资金流水!$B$1890&lt;=$E$4,OR(资金流水!$C$1890=$C$3,AND(资金流水!$AD$1890=$C$3,资金流水!$X$1890="账户互转"))),INT(资金流水!$B$1890)*10000+1885,"")</f>
      </c>
    </row>
    <row r="1891">
      <c r="Z1891" s="2">
        <f>IF(AND(ISNUMBER(资金流水!$B$1891),资金流水!$B$1891&gt;=$C$4,资金流水!$B$1891&lt;=$E$4,OR(资金流水!$C$1891=$C$3,AND(资金流水!$AD$1891=$C$3,资金流水!$X$1891="账户互转"))),INT(资金流水!$B$1891)*10000+1886,"")</f>
      </c>
    </row>
    <row r="1892">
      <c r="Z1892" s="2">
        <f>IF(AND(ISNUMBER(资金流水!$B$1892),资金流水!$B$1892&gt;=$C$4,资金流水!$B$1892&lt;=$E$4,OR(资金流水!$C$1892=$C$3,AND(资金流水!$AD$1892=$C$3,资金流水!$X$1892="账户互转"))),INT(资金流水!$B$1892)*10000+1887,"")</f>
      </c>
    </row>
    <row r="1893">
      <c r="Z1893" s="2">
        <f>IF(AND(ISNUMBER(资金流水!$B$1893),资金流水!$B$1893&gt;=$C$4,资金流水!$B$1893&lt;=$E$4,OR(资金流水!$C$1893=$C$3,AND(资金流水!$AD$1893=$C$3,资金流水!$X$1893="账户互转"))),INT(资金流水!$B$1893)*10000+1888,"")</f>
      </c>
    </row>
    <row r="1894">
      <c r="Z1894" s="2">
        <f>IF(AND(ISNUMBER(资金流水!$B$1894),资金流水!$B$1894&gt;=$C$4,资金流水!$B$1894&lt;=$E$4,OR(资金流水!$C$1894=$C$3,AND(资金流水!$AD$1894=$C$3,资金流水!$X$1894="账户互转"))),INT(资金流水!$B$1894)*10000+1889,"")</f>
      </c>
    </row>
    <row r="1895">
      <c r="Z1895" s="2">
        <f>IF(AND(ISNUMBER(资金流水!$B$1895),资金流水!$B$1895&gt;=$C$4,资金流水!$B$1895&lt;=$E$4,OR(资金流水!$C$1895=$C$3,AND(资金流水!$AD$1895=$C$3,资金流水!$X$1895="账户互转"))),INT(资金流水!$B$1895)*10000+1890,"")</f>
      </c>
    </row>
    <row r="1896">
      <c r="Z1896" s="2">
        <f>IF(AND(ISNUMBER(资金流水!$B$1896),资金流水!$B$1896&gt;=$C$4,资金流水!$B$1896&lt;=$E$4,OR(资金流水!$C$1896=$C$3,AND(资金流水!$AD$1896=$C$3,资金流水!$X$1896="账户互转"))),INT(资金流水!$B$1896)*10000+1891,"")</f>
      </c>
    </row>
    <row r="1897">
      <c r="Z1897" s="2">
        <f>IF(AND(ISNUMBER(资金流水!$B$1897),资金流水!$B$1897&gt;=$C$4,资金流水!$B$1897&lt;=$E$4,OR(资金流水!$C$1897=$C$3,AND(资金流水!$AD$1897=$C$3,资金流水!$X$1897="账户互转"))),INT(资金流水!$B$1897)*10000+1892,"")</f>
      </c>
    </row>
    <row r="1898">
      <c r="Z1898" s="2">
        <f>IF(AND(ISNUMBER(资金流水!$B$1898),资金流水!$B$1898&gt;=$C$4,资金流水!$B$1898&lt;=$E$4,OR(资金流水!$C$1898=$C$3,AND(资金流水!$AD$1898=$C$3,资金流水!$X$1898="账户互转"))),INT(资金流水!$B$1898)*10000+1893,"")</f>
      </c>
    </row>
    <row r="1899">
      <c r="Z1899" s="2">
        <f>IF(AND(ISNUMBER(资金流水!$B$1899),资金流水!$B$1899&gt;=$C$4,资金流水!$B$1899&lt;=$E$4,OR(资金流水!$C$1899=$C$3,AND(资金流水!$AD$1899=$C$3,资金流水!$X$1899="账户互转"))),INT(资金流水!$B$1899)*10000+1894,"")</f>
      </c>
    </row>
    <row r="1900">
      <c r="Z1900" s="2">
        <f>IF(AND(ISNUMBER(资金流水!$B$1900),资金流水!$B$1900&gt;=$C$4,资金流水!$B$1900&lt;=$E$4,OR(资金流水!$C$1900=$C$3,AND(资金流水!$AD$1900=$C$3,资金流水!$X$1900="账户互转"))),INT(资金流水!$B$1900)*10000+1895,"")</f>
      </c>
    </row>
    <row r="1901">
      <c r="Z1901" s="2">
        <f>IF(AND(ISNUMBER(资金流水!$B$1901),资金流水!$B$1901&gt;=$C$4,资金流水!$B$1901&lt;=$E$4,OR(资金流水!$C$1901=$C$3,AND(资金流水!$AD$1901=$C$3,资金流水!$X$1901="账户互转"))),INT(资金流水!$B$1901)*10000+1896,"")</f>
      </c>
    </row>
    <row r="1902">
      <c r="Z1902" s="2">
        <f>IF(AND(ISNUMBER(资金流水!$B$1902),资金流水!$B$1902&gt;=$C$4,资金流水!$B$1902&lt;=$E$4,OR(资金流水!$C$1902=$C$3,AND(资金流水!$AD$1902=$C$3,资金流水!$X$1902="账户互转"))),INT(资金流水!$B$1902)*10000+1897,"")</f>
      </c>
    </row>
    <row r="1903">
      <c r="Z1903" s="2">
        <f>IF(AND(ISNUMBER(资金流水!$B$1903),资金流水!$B$1903&gt;=$C$4,资金流水!$B$1903&lt;=$E$4,OR(资金流水!$C$1903=$C$3,AND(资金流水!$AD$1903=$C$3,资金流水!$X$1903="账户互转"))),INT(资金流水!$B$1903)*10000+1898,"")</f>
      </c>
    </row>
    <row r="1904">
      <c r="Z1904" s="2">
        <f>IF(AND(ISNUMBER(资金流水!$B$1904),资金流水!$B$1904&gt;=$C$4,资金流水!$B$1904&lt;=$E$4,OR(资金流水!$C$1904=$C$3,AND(资金流水!$AD$1904=$C$3,资金流水!$X$1904="账户互转"))),INT(资金流水!$B$1904)*10000+1899,"")</f>
      </c>
    </row>
    <row r="1905">
      <c r="Z1905" s="2">
        <f>IF(AND(ISNUMBER(资金流水!$B$1905),资金流水!$B$1905&gt;=$C$4,资金流水!$B$1905&lt;=$E$4,OR(资金流水!$C$1905=$C$3,AND(资金流水!$AD$1905=$C$3,资金流水!$X$1905="账户互转"))),INT(资金流水!$B$1905)*10000+1900,"")</f>
      </c>
    </row>
    <row r="1906">
      <c r="Z1906" s="2">
        <f>IF(AND(ISNUMBER(资金流水!$B$1906),资金流水!$B$1906&gt;=$C$4,资金流水!$B$1906&lt;=$E$4,OR(资金流水!$C$1906=$C$3,AND(资金流水!$AD$1906=$C$3,资金流水!$X$1906="账户互转"))),INT(资金流水!$B$1906)*10000+1901,"")</f>
      </c>
    </row>
    <row r="1907">
      <c r="Z1907" s="2">
        <f>IF(AND(ISNUMBER(资金流水!$B$1907),资金流水!$B$1907&gt;=$C$4,资金流水!$B$1907&lt;=$E$4,OR(资金流水!$C$1907=$C$3,AND(资金流水!$AD$1907=$C$3,资金流水!$X$1907="账户互转"))),INT(资金流水!$B$1907)*10000+1902,"")</f>
      </c>
    </row>
    <row r="1908">
      <c r="Z1908" s="2">
        <f>IF(AND(ISNUMBER(资金流水!$B$1908),资金流水!$B$1908&gt;=$C$4,资金流水!$B$1908&lt;=$E$4,OR(资金流水!$C$1908=$C$3,AND(资金流水!$AD$1908=$C$3,资金流水!$X$1908="账户互转"))),INT(资金流水!$B$1908)*10000+1903,"")</f>
      </c>
    </row>
    <row r="1909">
      <c r="Z1909" s="2">
        <f>IF(AND(ISNUMBER(资金流水!$B$1909),资金流水!$B$1909&gt;=$C$4,资金流水!$B$1909&lt;=$E$4,OR(资金流水!$C$1909=$C$3,AND(资金流水!$AD$1909=$C$3,资金流水!$X$1909="账户互转"))),INT(资金流水!$B$1909)*10000+1904,"")</f>
      </c>
    </row>
    <row r="1910">
      <c r="Z1910" s="2">
        <f>IF(AND(ISNUMBER(资金流水!$B$1910),资金流水!$B$1910&gt;=$C$4,资金流水!$B$1910&lt;=$E$4,OR(资金流水!$C$1910=$C$3,AND(资金流水!$AD$1910=$C$3,资金流水!$X$1910="账户互转"))),INT(资金流水!$B$1910)*10000+1905,"")</f>
      </c>
    </row>
    <row r="1911">
      <c r="Z1911" s="2">
        <f>IF(AND(ISNUMBER(资金流水!$B$1911),资金流水!$B$1911&gt;=$C$4,资金流水!$B$1911&lt;=$E$4,OR(资金流水!$C$1911=$C$3,AND(资金流水!$AD$1911=$C$3,资金流水!$X$1911="账户互转"))),INT(资金流水!$B$1911)*10000+1906,"")</f>
      </c>
    </row>
    <row r="1912">
      <c r="Z1912" s="2">
        <f>IF(AND(ISNUMBER(资金流水!$B$1912),资金流水!$B$1912&gt;=$C$4,资金流水!$B$1912&lt;=$E$4,OR(资金流水!$C$1912=$C$3,AND(资金流水!$AD$1912=$C$3,资金流水!$X$1912="账户互转"))),INT(资金流水!$B$1912)*10000+1907,"")</f>
      </c>
    </row>
    <row r="1913">
      <c r="Z1913" s="2">
        <f>IF(AND(ISNUMBER(资金流水!$B$1913),资金流水!$B$1913&gt;=$C$4,资金流水!$B$1913&lt;=$E$4,OR(资金流水!$C$1913=$C$3,AND(资金流水!$AD$1913=$C$3,资金流水!$X$1913="账户互转"))),INT(资金流水!$B$1913)*10000+1908,"")</f>
      </c>
    </row>
    <row r="1914">
      <c r="Z1914" s="2">
        <f>IF(AND(ISNUMBER(资金流水!$B$1914),资金流水!$B$1914&gt;=$C$4,资金流水!$B$1914&lt;=$E$4,OR(资金流水!$C$1914=$C$3,AND(资金流水!$AD$1914=$C$3,资金流水!$X$1914="账户互转"))),INT(资金流水!$B$1914)*10000+1909,"")</f>
      </c>
    </row>
    <row r="1915">
      <c r="Z1915" s="2">
        <f>IF(AND(ISNUMBER(资金流水!$B$1915),资金流水!$B$1915&gt;=$C$4,资金流水!$B$1915&lt;=$E$4,OR(资金流水!$C$1915=$C$3,AND(资金流水!$AD$1915=$C$3,资金流水!$X$1915="账户互转"))),INT(资金流水!$B$1915)*10000+1910,"")</f>
      </c>
    </row>
    <row r="1916">
      <c r="Z1916" s="2">
        <f>IF(AND(ISNUMBER(资金流水!$B$1916),资金流水!$B$1916&gt;=$C$4,资金流水!$B$1916&lt;=$E$4,OR(资金流水!$C$1916=$C$3,AND(资金流水!$AD$1916=$C$3,资金流水!$X$1916="账户互转"))),INT(资金流水!$B$1916)*10000+1911,"")</f>
      </c>
    </row>
    <row r="1917">
      <c r="Z1917" s="2">
        <f>IF(AND(ISNUMBER(资金流水!$B$1917),资金流水!$B$1917&gt;=$C$4,资金流水!$B$1917&lt;=$E$4,OR(资金流水!$C$1917=$C$3,AND(资金流水!$AD$1917=$C$3,资金流水!$X$1917="账户互转"))),INT(资金流水!$B$1917)*10000+1912,"")</f>
      </c>
    </row>
    <row r="1918">
      <c r="Z1918" s="2">
        <f>IF(AND(ISNUMBER(资金流水!$B$1918),资金流水!$B$1918&gt;=$C$4,资金流水!$B$1918&lt;=$E$4,OR(资金流水!$C$1918=$C$3,AND(资金流水!$AD$1918=$C$3,资金流水!$X$1918="账户互转"))),INT(资金流水!$B$1918)*10000+1913,"")</f>
      </c>
    </row>
    <row r="1919">
      <c r="Z1919" s="2">
        <f>IF(AND(ISNUMBER(资金流水!$B$1919),资金流水!$B$1919&gt;=$C$4,资金流水!$B$1919&lt;=$E$4,OR(资金流水!$C$1919=$C$3,AND(资金流水!$AD$1919=$C$3,资金流水!$X$1919="账户互转"))),INT(资金流水!$B$1919)*10000+1914,"")</f>
      </c>
    </row>
    <row r="1920">
      <c r="Z1920" s="2">
        <f>IF(AND(ISNUMBER(资金流水!$B$1920),资金流水!$B$1920&gt;=$C$4,资金流水!$B$1920&lt;=$E$4,OR(资金流水!$C$1920=$C$3,AND(资金流水!$AD$1920=$C$3,资金流水!$X$1920="账户互转"))),INT(资金流水!$B$1920)*10000+1915,"")</f>
      </c>
    </row>
    <row r="1921">
      <c r="Z1921" s="2">
        <f>IF(AND(ISNUMBER(资金流水!$B$1921),资金流水!$B$1921&gt;=$C$4,资金流水!$B$1921&lt;=$E$4,OR(资金流水!$C$1921=$C$3,AND(资金流水!$AD$1921=$C$3,资金流水!$X$1921="账户互转"))),INT(资金流水!$B$1921)*10000+1916,"")</f>
      </c>
    </row>
    <row r="1922">
      <c r="Z1922" s="2">
        <f>IF(AND(ISNUMBER(资金流水!$B$1922),资金流水!$B$1922&gt;=$C$4,资金流水!$B$1922&lt;=$E$4,OR(资金流水!$C$1922=$C$3,AND(资金流水!$AD$1922=$C$3,资金流水!$X$1922="账户互转"))),INT(资金流水!$B$1922)*10000+1917,"")</f>
      </c>
    </row>
    <row r="1923">
      <c r="Z1923" s="2">
        <f>IF(AND(ISNUMBER(资金流水!$B$1923),资金流水!$B$1923&gt;=$C$4,资金流水!$B$1923&lt;=$E$4,OR(资金流水!$C$1923=$C$3,AND(资金流水!$AD$1923=$C$3,资金流水!$X$1923="账户互转"))),INT(资金流水!$B$1923)*10000+1918,"")</f>
      </c>
    </row>
    <row r="1924">
      <c r="Z1924" s="2">
        <f>IF(AND(ISNUMBER(资金流水!$B$1924),资金流水!$B$1924&gt;=$C$4,资金流水!$B$1924&lt;=$E$4,OR(资金流水!$C$1924=$C$3,AND(资金流水!$AD$1924=$C$3,资金流水!$X$1924="账户互转"))),INT(资金流水!$B$1924)*10000+1919,"")</f>
      </c>
    </row>
    <row r="1925">
      <c r="Z1925" s="2">
        <f>IF(AND(ISNUMBER(资金流水!$B$1925),资金流水!$B$1925&gt;=$C$4,资金流水!$B$1925&lt;=$E$4,OR(资金流水!$C$1925=$C$3,AND(资金流水!$AD$1925=$C$3,资金流水!$X$1925="账户互转"))),INT(资金流水!$B$1925)*10000+1920,"")</f>
      </c>
    </row>
    <row r="1926">
      <c r="Z1926" s="2">
        <f>IF(AND(ISNUMBER(资金流水!$B$1926),资金流水!$B$1926&gt;=$C$4,资金流水!$B$1926&lt;=$E$4,OR(资金流水!$C$1926=$C$3,AND(资金流水!$AD$1926=$C$3,资金流水!$X$1926="账户互转"))),INT(资金流水!$B$1926)*10000+1921,"")</f>
      </c>
    </row>
    <row r="1927">
      <c r="Z1927" s="2">
        <f>IF(AND(ISNUMBER(资金流水!$B$1927),资金流水!$B$1927&gt;=$C$4,资金流水!$B$1927&lt;=$E$4,OR(资金流水!$C$1927=$C$3,AND(资金流水!$AD$1927=$C$3,资金流水!$X$1927="账户互转"))),INT(资金流水!$B$1927)*10000+1922,"")</f>
      </c>
    </row>
    <row r="1928">
      <c r="Z1928" s="2">
        <f>IF(AND(ISNUMBER(资金流水!$B$1928),资金流水!$B$1928&gt;=$C$4,资金流水!$B$1928&lt;=$E$4,OR(资金流水!$C$1928=$C$3,AND(资金流水!$AD$1928=$C$3,资金流水!$X$1928="账户互转"))),INT(资金流水!$B$1928)*10000+1923,"")</f>
      </c>
    </row>
    <row r="1929">
      <c r="Z1929" s="2">
        <f>IF(AND(ISNUMBER(资金流水!$B$1929),资金流水!$B$1929&gt;=$C$4,资金流水!$B$1929&lt;=$E$4,OR(资金流水!$C$1929=$C$3,AND(资金流水!$AD$1929=$C$3,资金流水!$X$1929="账户互转"))),INT(资金流水!$B$1929)*10000+1924,"")</f>
      </c>
    </row>
    <row r="1930">
      <c r="Z1930" s="2">
        <f>IF(AND(ISNUMBER(资金流水!$B$1930),资金流水!$B$1930&gt;=$C$4,资金流水!$B$1930&lt;=$E$4,OR(资金流水!$C$1930=$C$3,AND(资金流水!$AD$1930=$C$3,资金流水!$X$1930="账户互转"))),INT(资金流水!$B$1930)*10000+1925,"")</f>
      </c>
    </row>
    <row r="1931">
      <c r="Z1931" s="2">
        <f>IF(AND(ISNUMBER(资金流水!$B$1931),资金流水!$B$1931&gt;=$C$4,资金流水!$B$1931&lt;=$E$4,OR(资金流水!$C$1931=$C$3,AND(资金流水!$AD$1931=$C$3,资金流水!$X$1931="账户互转"))),INT(资金流水!$B$1931)*10000+1926,"")</f>
      </c>
    </row>
    <row r="1932">
      <c r="Z1932" s="2">
        <f>IF(AND(ISNUMBER(资金流水!$B$1932),资金流水!$B$1932&gt;=$C$4,资金流水!$B$1932&lt;=$E$4,OR(资金流水!$C$1932=$C$3,AND(资金流水!$AD$1932=$C$3,资金流水!$X$1932="账户互转"))),INT(资金流水!$B$1932)*10000+1927,"")</f>
      </c>
    </row>
    <row r="1933">
      <c r="Z1933" s="2">
        <f>IF(AND(ISNUMBER(资金流水!$B$1933),资金流水!$B$1933&gt;=$C$4,资金流水!$B$1933&lt;=$E$4,OR(资金流水!$C$1933=$C$3,AND(资金流水!$AD$1933=$C$3,资金流水!$X$1933="账户互转"))),INT(资金流水!$B$1933)*10000+1928,"")</f>
      </c>
    </row>
    <row r="1934">
      <c r="Z1934" s="2">
        <f>IF(AND(ISNUMBER(资金流水!$B$1934),资金流水!$B$1934&gt;=$C$4,资金流水!$B$1934&lt;=$E$4,OR(资金流水!$C$1934=$C$3,AND(资金流水!$AD$1934=$C$3,资金流水!$X$1934="账户互转"))),INT(资金流水!$B$1934)*10000+1929,"")</f>
      </c>
    </row>
    <row r="1935">
      <c r="Z1935" s="2">
        <f>IF(AND(ISNUMBER(资金流水!$B$1935),资金流水!$B$1935&gt;=$C$4,资金流水!$B$1935&lt;=$E$4,OR(资金流水!$C$1935=$C$3,AND(资金流水!$AD$1935=$C$3,资金流水!$X$1935="账户互转"))),INT(资金流水!$B$1935)*10000+1930,"")</f>
      </c>
    </row>
    <row r="1936">
      <c r="Z1936" s="2">
        <f>IF(AND(ISNUMBER(资金流水!$B$1936),资金流水!$B$1936&gt;=$C$4,资金流水!$B$1936&lt;=$E$4,OR(资金流水!$C$1936=$C$3,AND(资金流水!$AD$1936=$C$3,资金流水!$X$1936="账户互转"))),INT(资金流水!$B$1936)*10000+1931,"")</f>
      </c>
    </row>
    <row r="1937">
      <c r="Z1937" s="2">
        <f>IF(AND(ISNUMBER(资金流水!$B$1937),资金流水!$B$1937&gt;=$C$4,资金流水!$B$1937&lt;=$E$4,OR(资金流水!$C$1937=$C$3,AND(资金流水!$AD$1937=$C$3,资金流水!$X$1937="账户互转"))),INT(资金流水!$B$1937)*10000+1932,"")</f>
      </c>
    </row>
    <row r="1938">
      <c r="Z1938" s="2">
        <f>IF(AND(ISNUMBER(资金流水!$B$1938),资金流水!$B$1938&gt;=$C$4,资金流水!$B$1938&lt;=$E$4,OR(资金流水!$C$1938=$C$3,AND(资金流水!$AD$1938=$C$3,资金流水!$X$1938="账户互转"))),INT(资金流水!$B$1938)*10000+1933,"")</f>
      </c>
    </row>
    <row r="1939">
      <c r="Z1939" s="2">
        <f>IF(AND(ISNUMBER(资金流水!$B$1939),资金流水!$B$1939&gt;=$C$4,资金流水!$B$1939&lt;=$E$4,OR(资金流水!$C$1939=$C$3,AND(资金流水!$AD$1939=$C$3,资金流水!$X$1939="账户互转"))),INT(资金流水!$B$1939)*10000+1934,"")</f>
      </c>
    </row>
    <row r="1940">
      <c r="Z1940" s="2">
        <f>IF(AND(ISNUMBER(资金流水!$B$1940),资金流水!$B$1940&gt;=$C$4,资金流水!$B$1940&lt;=$E$4,OR(资金流水!$C$1940=$C$3,AND(资金流水!$AD$1940=$C$3,资金流水!$X$1940="账户互转"))),INT(资金流水!$B$1940)*10000+1935,"")</f>
      </c>
    </row>
    <row r="1941">
      <c r="Z1941" s="2">
        <f>IF(AND(ISNUMBER(资金流水!$B$1941),资金流水!$B$1941&gt;=$C$4,资金流水!$B$1941&lt;=$E$4,OR(资金流水!$C$1941=$C$3,AND(资金流水!$AD$1941=$C$3,资金流水!$X$1941="账户互转"))),INT(资金流水!$B$1941)*10000+1936,"")</f>
      </c>
    </row>
    <row r="1942">
      <c r="Z1942" s="2">
        <f>IF(AND(ISNUMBER(资金流水!$B$1942),资金流水!$B$1942&gt;=$C$4,资金流水!$B$1942&lt;=$E$4,OR(资金流水!$C$1942=$C$3,AND(资金流水!$AD$1942=$C$3,资金流水!$X$1942="账户互转"))),INT(资金流水!$B$1942)*10000+1937,"")</f>
      </c>
    </row>
    <row r="1943">
      <c r="Z1943" s="2">
        <f>IF(AND(ISNUMBER(资金流水!$B$1943),资金流水!$B$1943&gt;=$C$4,资金流水!$B$1943&lt;=$E$4,OR(资金流水!$C$1943=$C$3,AND(资金流水!$AD$1943=$C$3,资金流水!$X$1943="账户互转"))),INT(资金流水!$B$1943)*10000+1938,"")</f>
      </c>
    </row>
    <row r="1944">
      <c r="Z1944" s="2">
        <f>IF(AND(ISNUMBER(资金流水!$B$1944),资金流水!$B$1944&gt;=$C$4,资金流水!$B$1944&lt;=$E$4,OR(资金流水!$C$1944=$C$3,AND(资金流水!$AD$1944=$C$3,资金流水!$X$1944="账户互转"))),INT(资金流水!$B$1944)*10000+1939,"")</f>
      </c>
    </row>
    <row r="1945">
      <c r="Z1945" s="2">
        <f>IF(AND(ISNUMBER(资金流水!$B$1945),资金流水!$B$1945&gt;=$C$4,资金流水!$B$1945&lt;=$E$4,OR(资金流水!$C$1945=$C$3,AND(资金流水!$AD$1945=$C$3,资金流水!$X$1945="账户互转"))),INT(资金流水!$B$1945)*10000+1940,"")</f>
      </c>
    </row>
    <row r="1946">
      <c r="Z1946" s="2">
        <f>IF(AND(ISNUMBER(资金流水!$B$1946),资金流水!$B$1946&gt;=$C$4,资金流水!$B$1946&lt;=$E$4,OR(资金流水!$C$1946=$C$3,AND(资金流水!$AD$1946=$C$3,资金流水!$X$1946="账户互转"))),INT(资金流水!$B$1946)*10000+1941,"")</f>
      </c>
    </row>
    <row r="1947">
      <c r="Z1947" s="2">
        <f>IF(AND(ISNUMBER(资金流水!$B$1947),资金流水!$B$1947&gt;=$C$4,资金流水!$B$1947&lt;=$E$4,OR(资金流水!$C$1947=$C$3,AND(资金流水!$AD$1947=$C$3,资金流水!$X$1947="账户互转"))),INT(资金流水!$B$1947)*10000+1942,"")</f>
      </c>
    </row>
    <row r="1948">
      <c r="Z1948" s="2">
        <f>IF(AND(ISNUMBER(资金流水!$B$1948),资金流水!$B$1948&gt;=$C$4,资金流水!$B$1948&lt;=$E$4,OR(资金流水!$C$1948=$C$3,AND(资金流水!$AD$1948=$C$3,资金流水!$X$1948="账户互转"))),INT(资金流水!$B$1948)*10000+1943,"")</f>
      </c>
    </row>
    <row r="1949">
      <c r="Z1949" s="2">
        <f>IF(AND(ISNUMBER(资金流水!$B$1949),资金流水!$B$1949&gt;=$C$4,资金流水!$B$1949&lt;=$E$4,OR(资金流水!$C$1949=$C$3,AND(资金流水!$AD$1949=$C$3,资金流水!$X$1949="账户互转"))),INT(资金流水!$B$1949)*10000+1944,"")</f>
      </c>
    </row>
    <row r="1950">
      <c r="Z1950" s="2">
        <f>IF(AND(ISNUMBER(资金流水!$B$1950),资金流水!$B$1950&gt;=$C$4,资金流水!$B$1950&lt;=$E$4,OR(资金流水!$C$1950=$C$3,AND(资金流水!$AD$1950=$C$3,资金流水!$X$1950="账户互转"))),INT(资金流水!$B$1950)*10000+1945,"")</f>
      </c>
    </row>
    <row r="1951">
      <c r="Z1951" s="2">
        <f>IF(AND(ISNUMBER(资金流水!$B$1951),资金流水!$B$1951&gt;=$C$4,资金流水!$B$1951&lt;=$E$4,OR(资金流水!$C$1951=$C$3,AND(资金流水!$AD$1951=$C$3,资金流水!$X$1951="账户互转"))),INT(资金流水!$B$1951)*10000+1946,"")</f>
      </c>
    </row>
    <row r="1952">
      <c r="Z1952" s="2">
        <f>IF(AND(ISNUMBER(资金流水!$B$1952),资金流水!$B$1952&gt;=$C$4,资金流水!$B$1952&lt;=$E$4,OR(资金流水!$C$1952=$C$3,AND(资金流水!$AD$1952=$C$3,资金流水!$X$1952="账户互转"))),INT(资金流水!$B$1952)*10000+1947,"")</f>
      </c>
    </row>
    <row r="1953">
      <c r="Z1953" s="2">
        <f>IF(AND(ISNUMBER(资金流水!$B$1953),资金流水!$B$1953&gt;=$C$4,资金流水!$B$1953&lt;=$E$4,OR(资金流水!$C$1953=$C$3,AND(资金流水!$AD$1953=$C$3,资金流水!$X$1953="账户互转"))),INT(资金流水!$B$1953)*10000+1948,"")</f>
      </c>
    </row>
    <row r="1954">
      <c r="Z1954" s="2">
        <f>IF(AND(ISNUMBER(资金流水!$B$1954),资金流水!$B$1954&gt;=$C$4,资金流水!$B$1954&lt;=$E$4,OR(资金流水!$C$1954=$C$3,AND(资金流水!$AD$1954=$C$3,资金流水!$X$1954="账户互转"))),INT(资金流水!$B$1954)*10000+1949,"")</f>
      </c>
    </row>
    <row r="1955">
      <c r="Z1955" s="2">
        <f>IF(AND(ISNUMBER(资金流水!$B$1955),资金流水!$B$1955&gt;=$C$4,资金流水!$B$1955&lt;=$E$4,OR(资金流水!$C$1955=$C$3,AND(资金流水!$AD$1955=$C$3,资金流水!$X$1955="账户互转"))),INT(资金流水!$B$1955)*10000+1950,"")</f>
      </c>
    </row>
    <row r="1956">
      <c r="Z1956" s="2">
        <f>IF(AND(ISNUMBER(资金流水!$B$1956),资金流水!$B$1956&gt;=$C$4,资金流水!$B$1956&lt;=$E$4,OR(资金流水!$C$1956=$C$3,AND(资金流水!$AD$1956=$C$3,资金流水!$X$1956="账户互转"))),INT(资金流水!$B$1956)*10000+1951,"")</f>
      </c>
    </row>
    <row r="1957">
      <c r="Z1957" s="2">
        <f>IF(AND(ISNUMBER(资金流水!$B$1957),资金流水!$B$1957&gt;=$C$4,资金流水!$B$1957&lt;=$E$4,OR(资金流水!$C$1957=$C$3,AND(资金流水!$AD$1957=$C$3,资金流水!$X$1957="账户互转"))),INT(资金流水!$B$1957)*10000+1952,"")</f>
      </c>
    </row>
    <row r="1958">
      <c r="Z1958" s="2">
        <f>IF(AND(ISNUMBER(资金流水!$B$1958),资金流水!$B$1958&gt;=$C$4,资金流水!$B$1958&lt;=$E$4,OR(资金流水!$C$1958=$C$3,AND(资金流水!$AD$1958=$C$3,资金流水!$X$1958="账户互转"))),INT(资金流水!$B$1958)*10000+1953,"")</f>
      </c>
    </row>
    <row r="1959">
      <c r="Z1959" s="2">
        <f>IF(AND(ISNUMBER(资金流水!$B$1959),资金流水!$B$1959&gt;=$C$4,资金流水!$B$1959&lt;=$E$4,OR(资金流水!$C$1959=$C$3,AND(资金流水!$AD$1959=$C$3,资金流水!$X$1959="账户互转"))),INT(资金流水!$B$1959)*10000+1954,"")</f>
      </c>
    </row>
    <row r="1960">
      <c r="Z1960" s="2">
        <f>IF(AND(ISNUMBER(资金流水!$B$1960),资金流水!$B$1960&gt;=$C$4,资金流水!$B$1960&lt;=$E$4,OR(资金流水!$C$1960=$C$3,AND(资金流水!$AD$1960=$C$3,资金流水!$X$1960="账户互转"))),INT(资金流水!$B$1960)*10000+1955,"")</f>
      </c>
    </row>
    <row r="1961">
      <c r="Z1961" s="2">
        <f>IF(AND(ISNUMBER(资金流水!$B$1961),资金流水!$B$1961&gt;=$C$4,资金流水!$B$1961&lt;=$E$4,OR(资金流水!$C$1961=$C$3,AND(资金流水!$AD$1961=$C$3,资金流水!$X$1961="账户互转"))),INT(资金流水!$B$1961)*10000+1956,"")</f>
      </c>
    </row>
    <row r="1962">
      <c r="Z1962" s="2">
        <f>IF(AND(ISNUMBER(资金流水!$B$1962),资金流水!$B$1962&gt;=$C$4,资金流水!$B$1962&lt;=$E$4,OR(资金流水!$C$1962=$C$3,AND(资金流水!$AD$1962=$C$3,资金流水!$X$1962="账户互转"))),INT(资金流水!$B$1962)*10000+1957,"")</f>
      </c>
    </row>
    <row r="1963">
      <c r="Z1963" s="2">
        <f>IF(AND(ISNUMBER(资金流水!$B$1963),资金流水!$B$1963&gt;=$C$4,资金流水!$B$1963&lt;=$E$4,OR(资金流水!$C$1963=$C$3,AND(资金流水!$AD$1963=$C$3,资金流水!$X$1963="账户互转"))),INT(资金流水!$B$1963)*10000+1958,"")</f>
      </c>
    </row>
    <row r="1964">
      <c r="Z1964" s="2">
        <f>IF(AND(ISNUMBER(资金流水!$B$1964),资金流水!$B$1964&gt;=$C$4,资金流水!$B$1964&lt;=$E$4,OR(资金流水!$C$1964=$C$3,AND(资金流水!$AD$1964=$C$3,资金流水!$X$1964="账户互转"))),INT(资金流水!$B$1964)*10000+1959,"")</f>
      </c>
    </row>
    <row r="1965">
      <c r="Z1965" s="2">
        <f>IF(AND(ISNUMBER(资金流水!$B$1965),资金流水!$B$1965&gt;=$C$4,资金流水!$B$1965&lt;=$E$4,OR(资金流水!$C$1965=$C$3,AND(资金流水!$AD$1965=$C$3,资金流水!$X$1965="账户互转"))),INT(资金流水!$B$1965)*10000+1960,"")</f>
      </c>
    </row>
    <row r="1966">
      <c r="Z1966" s="2">
        <f>IF(AND(ISNUMBER(资金流水!$B$1966),资金流水!$B$1966&gt;=$C$4,资金流水!$B$1966&lt;=$E$4,OR(资金流水!$C$1966=$C$3,AND(资金流水!$AD$1966=$C$3,资金流水!$X$1966="账户互转"))),INT(资金流水!$B$1966)*10000+1961,"")</f>
      </c>
    </row>
    <row r="1967">
      <c r="Z1967" s="2">
        <f>IF(AND(ISNUMBER(资金流水!$B$1967),资金流水!$B$1967&gt;=$C$4,资金流水!$B$1967&lt;=$E$4,OR(资金流水!$C$1967=$C$3,AND(资金流水!$AD$1967=$C$3,资金流水!$X$1967="账户互转"))),INT(资金流水!$B$1967)*10000+1962,"")</f>
      </c>
    </row>
    <row r="1968">
      <c r="Z1968" s="2">
        <f>IF(AND(ISNUMBER(资金流水!$B$1968),资金流水!$B$1968&gt;=$C$4,资金流水!$B$1968&lt;=$E$4,OR(资金流水!$C$1968=$C$3,AND(资金流水!$AD$1968=$C$3,资金流水!$X$1968="账户互转"))),INT(资金流水!$B$1968)*10000+1963,"")</f>
      </c>
    </row>
    <row r="1969">
      <c r="Z1969" s="2">
        <f>IF(AND(ISNUMBER(资金流水!$B$1969),资金流水!$B$1969&gt;=$C$4,资金流水!$B$1969&lt;=$E$4,OR(资金流水!$C$1969=$C$3,AND(资金流水!$AD$1969=$C$3,资金流水!$X$1969="账户互转"))),INT(资金流水!$B$1969)*10000+1964,"")</f>
      </c>
    </row>
    <row r="1970">
      <c r="Z1970" s="2">
        <f>IF(AND(ISNUMBER(资金流水!$B$1970),资金流水!$B$1970&gt;=$C$4,资金流水!$B$1970&lt;=$E$4,OR(资金流水!$C$1970=$C$3,AND(资金流水!$AD$1970=$C$3,资金流水!$X$1970="账户互转"))),INT(资金流水!$B$1970)*10000+1965,"")</f>
      </c>
    </row>
    <row r="1971">
      <c r="Z1971" s="2">
        <f>IF(AND(ISNUMBER(资金流水!$B$1971),资金流水!$B$1971&gt;=$C$4,资金流水!$B$1971&lt;=$E$4,OR(资金流水!$C$1971=$C$3,AND(资金流水!$AD$1971=$C$3,资金流水!$X$1971="账户互转"))),INT(资金流水!$B$1971)*10000+1966,"")</f>
      </c>
    </row>
    <row r="1972">
      <c r="Z1972" s="2">
        <f>IF(AND(ISNUMBER(资金流水!$B$1972),资金流水!$B$1972&gt;=$C$4,资金流水!$B$1972&lt;=$E$4,OR(资金流水!$C$1972=$C$3,AND(资金流水!$AD$1972=$C$3,资金流水!$X$1972="账户互转"))),INT(资金流水!$B$1972)*10000+1967,"")</f>
      </c>
    </row>
    <row r="1973">
      <c r="Z1973" s="2">
        <f>IF(AND(ISNUMBER(资金流水!$B$1973),资金流水!$B$1973&gt;=$C$4,资金流水!$B$1973&lt;=$E$4,OR(资金流水!$C$1973=$C$3,AND(资金流水!$AD$1973=$C$3,资金流水!$X$1973="账户互转"))),INT(资金流水!$B$1973)*10000+1968,"")</f>
      </c>
    </row>
    <row r="1974">
      <c r="Z1974" s="2">
        <f>IF(AND(ISNUMBER(资金流水!$B$1974),资金流水!$B$1974&gt;=$C$4,资金流水!$B$1974&lt;=$E$4,OR(资金流水!$C$1974=$C$3,AND(资金流水!$AD$1974=$C$3,资金流水!$X$1974="账户互转"))),INT(资金流水!$B$1974)*10000+1969,"")</f>
      </c>
    </row>
    <row r="1975">
      <c r="Z1975" s="2">
        <f>IF(AND(ISNUMBER(资金流水!$B$1975),资金流水!$B$1975&gt;=$C$4,资金流水!$B$1975&lt;=$E$4,OR(资金流水!$C$1975=$C$3,AND(资金流水!$AD$1975=$C$3,资金流水!$X$1975="账户互转"))),INT(资金流水!$B$1975)*10000+1970,"")</f>
      </c>
    </row>
    <row r="1976">
      <c r="Z1976" s="2">
        <f>IF(AND(ISNUMBER(资金流水!$B$1976),资金流水!$B$1976&gt;=$C$4,资金流水!$B$1976&lt;=$E$4,OR(资金流水!$C$1976=$C$3,AND(资金流水!$AD$1976=$C$3,资金流水!$X$1976="账户互转"))),INT(资金流水!$B$1976)*10000+1971,"")</f>
      </c>
    </row>
    <row r="1977">
      <c r="Z1977" s="2">
        <f>IF(AND(ISNUMBER(资金流水!$B$1977),资金流水!$B$1977&gt;=$C$4,资金流水!$B$1977&lt;=$E$4,OR(资金流水!$C$1977=$C$3,AND(资金流水!$AD$1977=$C$3,资金流水!$X$1977="账户互转"))),INT(资金流水!$B$1977)*10000+1972,"")</f>
      </c>
    </row>
    <row r="1978">
      <c r="Z1978" s="2">
        <f>IF(AND(ISNUMBER(资金流水!$B$1978),资金流水!$B$1978&gt;=$C$4,资金流水!$B$1978&lt;=$E$4,OR(资金流水!$C$1978=$C$3,AND(资金流水!$AD$1978=$C$3,资金流水!$X$1978="账户互转"))),INT(资金流水!$B$1978)*10000+1973,"")</f>
      </c>
    </row>
    <row r="1979">
      <c r="Z1979" s="2">
        <f>IF(AND(ISNUMBER(资金流水!$B$1979),资金流水!$B$1979&gt;=$C$4,资金流水!$B$1979&lt;=$E$4,OR(资金流水!$C$1979=$C$3,AND(资金流水!$AD$1979=$C$3,资金流水!$X$1979="账户互转"))),INT(资金流水!$B$1979)*10000+1974,"")</f>
      </c>
    </row>
    <row r="1980">
      <c r="Z1980" s="2">
        <f>IF(AND(ISNUMBER(资金流水!$B$1980),资金流水!$B$1980&gt;=$C$4,资金流水!$B$1980&lt;=$E$4,OR(资金流水!$C$1980=$C$3,AND(资金流水!$AD$1980=$C$3,资金流水!$X$1980="账户互转"))),INT(资金流水!$B$1980)*10000+1975,"")</f>
      </c>
    </row>
    <row r="1981">
      <c r="Z1981" s="2">
        <f>IF(AND(ISNUMBER(资金流水!$B$1981),资金流水!$B$1981&gt;=$C$4,资金流水!$B$1981&lt;=$E$4,OR(资金流水!$C$1981=$C$3,AND(资金流水!$AD$1981=$C$3,资金流水!$X$1981="账户互转"))),INT(资金流水!$B$1981)*10000+1976,"")</f>
      </c>
    </row>
    <row r="1982">
      <c r="Z1982" s="2">
        <f>IF(AND(ISNUMBER(资金流水!$B$1982),资金流水!$B$1982&gt;=$C$4,资金流水!$B$1982&lt;=$E$4,OR(资金流水!$C$1982=$C$3,AND(资金流水!$AD$1982=$C$3,资金流水!$X$1982="账户互转"))),INT(资金流水!$B$1982)*10000+1977,"")</f>
      </c>
    </row>
    <row r="1983">
      <c r="Z1983" s="2">
        <f>IF(AND(ISNUMBER(资金流水!$B$1983),资金流水!$B$1983&gt;=$C$4,资金流水!$B$1983&lt;=$E$4,OR(资金流水!$C$1983=$C$3,AND(资金流水!$AD$1983=$C$3,资金流水!$X$1983="账户互转"))),INT(资金流水!$B$1983)*10000+1978,"")</f>
      </c>
    </row>
    <row r="1984">
      <c r="Z1984" s="2">
        <f>IF(AND(ISNUMBER(资金流水!$B$1984),资金流水!$B$1984&gt;=$C$4,资金流水!$B$1984&lt;=$E$4,OR(资金流水!$C$1984=$C$3,AND(资金流水!$AD$1984=$C$3,资金流水!$X$1984="账户互转"))),INT(资金流水!$B$1984)*10000+1979,"")</f>
      </c>
    </row>
    <row r="1985">
      <c r="Z1985" s="2">
        <f>IF(AND(ISNUMBER(资金流水!$B$1985),资金流水!$B$1985&gt;=$C$4,资金流水!$B$1985&lt;=$E$4,OR(资金流水!$C$1985=$C$3,AND(资金流水!$AD$1985=$C$3,资金流水!$X$1985="账户互转"))),INT(资金流水!$B$1985)*10000+1980,"")</f>
      </c>
    </row>
    <row r="1986">
      <c r="Z1986" s="2">
        <f>IF(AND(ISNUMBER(资金流水!$B$1986),资金流水!$B$1986&gt;=$C$4,资金流水!$B$1986&lt;=$E$4,OR(资金流水!$C$1986=$C$3,AND(资金流水!$AD$1986=$C$3,资金流水!$X$1986="账户互转"))),INT(资金流水!$B$1986)*10000+1981,"")</f>
      </c>
    </row>
    <row r="1987">
      <c r="Z1987" s="2">
        <f>IF(AND(ISNUMBER(资金流水!$B$1987),资金流水!$B$1987&gt;=$C$4,资金流水!$B$1987&lt;=$E$4,OR(资金流水!$C$1987=$C$3,AND(资金流水!$AD$1987=$C$3,资金流水!$X$1987="账户互转"))),INT(资金流水!$B$1987)*10000+1982,"")</f>
      </c>
    </row>
    <row r="1988">
      <c r="Z1988" s="2">
        <f>IF(AND(ISNUMBER(资金流水!$B$1988),资金流水!$B$1988&gt;=$C$4,资金流水!$B$1988&lt;=$E$4,OR(资金流水!$C$1988=$C$3,AND(资金流水!$AD$1988=$C$3,资金流水!$X$1988="账户互转"))),INT(资金流水!$B$1988)*10000+1983,"")</f>
      </c>
    </row>
    <row r="1989">
      <c r="Z1989" s="2">
        <f>IF(AND(ISNUMBER(资金流水!$B$1989),资金流水!$B$1989&gt;=$C$4,资金流水!$B$1989&lt;=$E$4,OR(资金流水!$C$1989=$C$3,AND(资金流水!$AD$1989=$C$3,资金流水!$X$1989="账户互转"))),INT(资金流水!$B$1989)*10000+1984,"")</f>
      </c>
    </row>
    <row r="1990">
      <c r="Z1990" s="2">
        <f>IF(AND(ISNUMBER(资金流水!$B$1990),资金流水!$B$1990&gt;=$C$4,资金流水!$B$1990&lt;=$E$4,OR(资金流水!$C$1990=$C$3,AND(资金流水!$AD$1990=$C$3,资金流水!$X$1990="账户互转"))),INT(资金流水!$B$1990)*10000+1985,"")</f>
      </c>
    </row>
    <row r="1991">
      <c r="Z1991" s="2">
        <f>IF(AND(ISNUMBER(资金流水!$B$1991),资金流水!$B$1991&gt;=$C$4,资金流水!$B$1991&lt;=$E$4,OR(资金流水!$C$1991=$C$3,AND(资金流水!$AD$1991=$C$3,资金流水!$X$1991="账户互转"))),INT(资金流水!$B$1991)*10000+1986,"")</f>
      </c>
    </row>
    <row r="1992">
      <c r="Z1992" s="2">
        <f>IF(AND(ISNUMBER(资金流水!$B$1992),资金流水!$B$1992&gt;=$C$4,资金流水!$B$1992&lt;=$E$4,OR(资金流水!$C$1992=$C$3,AND(资金流水!$AD$1992=$C$3,资金流水!$X$1992="账户互转"))),INT(资金流水!$B$1992)*10000+1987,"")</f>
      </c>
    </row>
    <row r="1993">
      <c r="Z1993" s="2">
        <f>IF(AND(ISNUMBER(资金流水!$B$1993),资金流水!$B$1993&gt;=$C$4,资金流水!$B$1993&lt;=$E$4,OR(资金流水!$C$1993=$C$3,AND(资金流水!$AD$1993=$C$3,资金流水!$X$1993="账户互转"))),INT(资金流水!$B$1993)*10000+1988,"")</f>
      </c>
    </row>
    <row r="1994">
      <c r="Z1994" s="2">
        <f>IF(AND(ISNUMBER(资金流水!$B$1994),资金流水!$B$1994&gt;=$C$4,资金流水!$B$1994&lt;=$E$4,OR(资金流水!$C$1994=$C$3,AND(资金流水!$AD$1994=$C$3,资金流水!$X$1994="账户互转"))),INT(资金流水!$B$1994)*10000+1989,"")</f>
      </c>
    </row>
    <row r="1995">
      <c r="Z1995" s="2">
        <f>IF(AND(ISNUMBER(资金流水!$B$1995),资金流水!$B$1995&gt;=$C$4,资金流水!$B$1995&lt;=$E$4,OR(资金流水!$C$1995=$C$3,AND(资金流水!$AD$1995=$C$3,资金流水!$X$1995="账户互转"))),INT(资金流水!$B$1995)*10000+1990,"")</f>
      </c>
    </row>
    <row r="1996">
      <c r="Z1996" s="2">
        <f>IF(AND(ISNUMBER(资金流水!$B$1996),资金流水!$B$1996&gt;=$C$4,资金流水!$B$1996&lt;=$E$4,OR(资金流水!$C$1996=$C$3,AND(资金流水!$AD$1996=$C$3,资金流水!$X$1996="账户互转"))),INT(资金流水!$B$1996)*10000+1991,"")</f>
      </c>
    </row>
    <row r="1997">
      <c r="Z1997" s="2">
        <f>IF(AND(ISNUMBER(资金流水!$B$1997),资金流水!$B$1997&gt;=$C$4,资金流水!$B$1997&lt;=$E$4,OR(资金流水!$C$1997=$C$3,AND(资金流水!$AD$1997=$C$3,资金流水!$X$1997="账户互转"))),INT(资金流水!$B$1997)*10000+1992,"")</f>
      </c>
    </row>
    <row r="1998">
      <c r="Z1998" s="2">
        <f>IF(AND(ISNUMBER(资金流水!$B$1998),资金流水!$B$1998&gt;=$C$4,资金流水!$B$1998&lt;=$E$4,OR(资金流水!$C$1998=$C$3,AND(资金流水!$AD$1998=$C$3,资金流水!$X$1998="账户互转"))),INT(资金流水!$B$1998)*10000+1993,"")</f>
      </c>
    </row>
    <row r="1999">
      <c r="Z1999" s="2">
        <f>IF(AND(ISNUMBER(资金流水!$B$1999),资金流水!$B$1999&gt;=$C$4,资金流水!$B$1999&lt;=$E$4,OR(资金流水!$C$1999=$C$3,AND(资金流水!$AD$1999=$C$3,资金流水!$X$1999="账户互转"))),INT(资金流水!$B$1999)*10000+1994,"")</f>
      </c>
    </row>
    <row r="2000">
      <c r="Z2000" s="2">
        <f>IF(AND(ISNUMBER(资金流水!$B$2000),资金流水!$B$2000&gt;=$C$4,资金流水!$B$2000&lt;=$E$4,OR(资金流水!$C$2000=$C$3,AND(资金流水!$AD$2000=$C$3,资金流水!$X$2000="账户互转"))),INT(资金流水!$B$2000)*10000+1995,"")</f>
      </c>
    </row>
    <row r="2001">
      <c r="Z2001" s="2">
        <f>IF(AND(ISNUMBER(资金流水!$B$2001),资金流水!$B$2001&gt;=$C$4,资金流水!$B$2001&lt;=$E$4,OR(资金流水!$C$2001=$C$3,AND(资金流水!$AD$2001=$C$3,资金流水!$X$2001="账户互转"))),INT(资金流水!$B$2001)*10000+1996,"")</f>
      </c>
    </row>
    <row r="2002">
      <c r="Z2002" s="2">
        <f>IF(AND(ISNUMBER(资金流水!$B$2002),资金流水!$B$2002&gt;=$C$4,资金流水!$B$2002&lt;=$E$4,OR(资金流水!$C$2002=$C$3,AND(资金流水!$AD$2002=$C$3,资金流水!$X$2002="账户互转"))),INT(资金流水!$B$2002)*10000+1997,"")</f>
      </c>
    </row>
    <row r="2003">
      <c r="Z2003" s="2">
        <f>IF(AND(ISNUMBER(资金流水!$B$2003),资金流水!$B$2003&gt;=$C$4,资金流水!$B$2003&lt;=$E$4,OR(资金流水!$C$2003=$C$3,AND(资金流水!$AD$2003=$C$3,资金流水!$X$2003="账户互转"))),INT(资金流水!$B$2003)*10000+1998,"")</f>
      </c>
    </row>
    <row r="2004">
      <c r="Z2004" s="2">
        <f>IF(AND(ISNUMBER(资金流水!$B$2004),资金流水!$B$2004&gt;=$C$4,资金流水!$B$2004&lt;=$E$4,OR(资金流水!$C$2004=$C$3,AND(资金流水!$AD$2004=$C$3,资金流水!$X$2004="账户互转"))),INT(资金流水!$B$2004)*10000+1999,"")</f>
      </c>
    </row>
    <row r="2005">
      <c r="Z2005" s="2">
        <f>IF(AND(ISNUMBER(资金流水!$B$2005),资金流水!$B$2005&gt;=$C$4,资金流水!$B$2005&lt;=$E$4,OR(资金流水!$C$2005=$C$3,AND(资金流水!$AD$2005=$C$3,资金流水!$X$2005="账户互转"))),INT(资金流水!$B$2005)*10000+2000,"")</f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3">
    <mergeCell ref="A2:L2"/>
    <mergeCell ref="I3:L3"/>
    <mergeCell ref="A1:L1"/>
  </mergeCells>
  <conditionalFormatting sqref="A8:L1007">
    <cfRule type="expression" priority="1" dxfId="7">
      <formula>$O8=1</formula>
    </cfRule>
  </conditionalFormatting>
  <dataValidations count="3">
    <dataValidation sqref="C3" showDropDown="0" showInputMessage="1" showErrorMessage="1" allowBlank="1" errorTitle="不在清单里" error="请从下拉里选；清单里没有的，先到【基础资料】/【往来单位】里登记" promptTitle="提示" prompt="选账户" type="list" errorStyle="stop">
      <formula1>=基础资料!$G$5:$G$24</formula1>
    </dataValidation>
    <dataValidation sqref="E3" showDropDown="0" showInputMessage="0" showErrorMessage="1" allowBlank="1" errorTitle="日期" error="要像 2026/9/1 这样填日期" type="date" errorStyle="warning" operator="between">
      <formula1>36526</formula1>
      <formula2>73050</formula2>
    </dataValidation>
    <dataValidation sqref="G3" showDropDown="0" showInputMessage="0" showErrorMessage="1" allowBlank="1" errorTitle="日期" error="要像 2026/9/1 这样填日期" type="date" errorStyle="warning" operator="between">
      <formula1>36526</formula1>
      <formula2>73050</formula2>
    </dataValidation>
  </dataValidations>
  <hyperlinks>
    <hyperlink ref="M1" location="'首页'!A1" display="← 回首页"/>
  </hyperlinks>
  <pageMargins left="0.3" right="0.3" top="0.5" bottom="0.5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CA300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0" customWidth="1" min="11" max="11"/>
    <col width="13" customWidth="1" min="12" max="1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79" max="79"/>
  </cols>
  <sheetData>
    <row r="1" ht="33" customHeight="1">
      <c r="A1" s="32" t="inlineStr">
        <is>
          <t>资 金 周 报 / 月 报（各账户余额 · 分段收支 · 回款 · 付款 · 收支分类）</t>
        </is>
      </c>
      <c r="L1" s="33" t="inlineStr">
        <is>
          <t>← 回首页</t>
        </is>
      </c>
      <c r="X1" s="2">
        <f>IF(项目档案!$B$4="",0,SUMIFS(资金流水!$R$6:$R$2005,资金流水!$H$6:$H$2005,项目档案!$B$4,资金流水!$X$6:$X$2005,"应收账款",资金流水!$B$6:$B$2005,"&gt;="&amp;$C$4,资金流水!$B$6:$B$2005,"&lt;="&amp;$E$4))</f>
        <v>0</v>
      </c>
      <c r="Y1" s="2">
        <f>SUM(CA1:CA1)</f>
        <v>0</v>
      </c>
      <c r="Z1" s="2">
        <f>IF(往来单位!$B$4="",0,-SUMIFS(资金流水!$R$6:$R$2005,资金流水!$J$6:$J$2005,往来单位!$B$4,资金流水!$R$6:$R$2005,"&lt;0",资金流水!$X$6:$X$2005,"&lt;&gt;账户互转",资金流水!$B$6:$B$2005,"&gt;="&amp;$C$4,资金流水!$B$6:$B$2005,"&lt;="&amp;$E$4))</f>
        <v>0</v>
      </c>
      <c r="AA1" s="2">
        <f>IF(Z1&gt;0,Z1+(301-1)/1000000,0)</f>
        <v>0</v>
      </c>
      <c r="CA1" s="2">
        <f t="shared" ref="CA1:CA60" si="0">IF(X1&lt;&gt;0,1,0)</f>
        <v>0</v>
      </c>
    </row>
    <row r="2" ht="54" customHeight="1">
      <c r="A2" s="3" t="inlineStr">
        <is>
          <t>💡 黄格子选「周报」「月报」或「自定义」，再选哪一天（空着＝首页选的截止月份，没选就是最后一笔流水那天）：周报＝那天所在的周一到周日，月报＝那天所在的月；自定义＝自己填起止日期。① 各账户期初、收入、支出、期末（老板个人户是负数＝公司欠他的）；② 月报按周分、周报按天分；③ 收了哪些项目的工程款；④ 付给谁最多；⑤ 这段时间的钱按收支类别分。①里含账户之间的互转，②～⑤不含（自己账户之间倒钱不算收支）。</t>
        </is>
      </c>
      <c r="X2" s="2">
        <f>IF(项目档案!$B$5="",0,SUMIFS(资金流水!$R$6:$R$2005,资金流水!$H$6:$H$2005,项目档案!$B$5,资金流水!$X$6:$X$2005,"应收账款",资金流水!$B$6:$B$2005,"&gt;="&amp;$C$4,资金流水!$B$6:$B$2005,"&lt;="&amp;$E$4))</f>
        <v>0</v>
      </c>
      <c r="Y2" s="2">
        <f>SUM(CA1:CA2)</f>
        <v>0</v>
      </c>
      <c r="Z2" s="2">
        <f>IF(往来单位!$B$5="",0,-SUMIFS(资金流水!$R$6:$R$2005,资金流水!$J$6:$J$2005,往来单位!$B$5,资金流水!$R$6:$R$2005,"&lt;0",资金流水!$X$6:$X$2005,"&lt;&gt;账户互转",资金流水!$B$6:$B$2005,"&gt;="&amp;$C$4,资金流水!$B$6:$B$2005,"&lt;="&amp;$E$4))</f>
        <v>0</v>
      </c>
      <c r="AA2" s="2">
        <f>IF(Z2&gt;0,Z2+(301-2)/1000000,0)</f>
        <v>0</v>
      </c>
      <c r="CA2" s="2">
        <f t="shared" si="0"/>
        <v>0</v>
      </c>
    </row>
    <row r="3">
      <c r="B3" s="4" t="inlineStr">
        <is>
          <t>报表</t>
        </is>
      </c>
      <c r="C3" s="88" t="inlineStr">
        <is>
          <t>月报</t>
        </is>
      </c>
      <c r="D3" s="4" t="inlineStr">
        <is>
          <t>哪一天</t>
        </is>
      </c>
      <c r="E3" s="6" t="n"/>
      <c r="F3" s="4" t="inlineStr">
        <is>
          <t>自定义 起</t>
        </is>
      </c>
      <c r="G3" s="6" t="n"/>
      <c r="H3" s="4" t="inlineStr">
        <is>
          <t>止</t>
        </is>
      </c>
      <c r="I3" s="6" t="n"/>
      <c r="X3" s="2">
        <f>IF(项目档案!$B$6="",0,SUMIFS(资金流水!$R$6:$R$2005,资金流水!$H$6:$H$2005,项目档案!$B$6,资金流水!$X$6:$X$2005,"应收账款",资金流水!$B$6:$B$2005,"&gt;="&amp;$C$4,资金流水!$B$6:$B$2005,"&lt;="&amp;$E$4))</f>
        <v>0</v>
      </c>
      <c r="Y3" s="2">
        <f>SUM(CA1:CA3)</f>
        <v>0</v>
      </c>
      <c r="Z3" s="2">
        <f>IF(往来单位!$B$6="",0,-SUMIFS(资金流水!$R$6:$R$2005,资金流水!$J$6:$J$2005,往来单位!$B$6,资金流水!$R$6:$R$2005,"&lt;0",资金流水!$X$6:$X$2005,"&lt;&gt;账户互转",资金流水!$B$6:$B$2005,"&gt;="&amp;$C$4,资金流水!$B$6:$B$2005,"&lt;="&amp;$E$4))</f>
        <v>0</v>
      </c>
      <c r="AA3" s="2">
        <f>IF(Z3&gt;0,Z3+(301-3)/1000000,0)</f>
        <v>0</v>
      </c>
      <c r="CA3" s="2">
        <f t="shared" si="0"/>
        <v>0</v>
      </c>
    </row>
    <row r="4">
      <c r="B4" s="4" t="inlineStr">
        <is>
          <t>期间</t>
        </is>
      </c>
      <c r="C4" s="97">
        <f>IF($C$3="周报",IF(ISNUMBER($E$3),$E$3,IF(ISNUMBER(首页!$F$4),首页!$F$4,IF(YEAR(_辅助!$J$10)=_辅助!$J$7,_辅助!$J$10,_辅助!$J$9)))-WEEKDAY(IF(ISNUMBER($E$3),$E$3,IF(ISNUMBER(首页!$F$4),首页!$F$4,IF(YEAR(_辅助!$J$10)=_辅助!$J$7,_辅助!$J$10,_辅助!$J$9))),2)+1,IF($C$3="自定义",IF(ISNUMBER($G$3),$G$3,DATE(_辅助!$J$7,1,1)),DATE(YEAR(IF(ISNUMBER($E$3),$E$3,IF(ISNUMBER(首页!$F$4),首页!$F$4,IF(YEAR(_辅助!$J$10)=_辅助!$J$7,_辅助!$J$10,_辅助!$J$9)))),MONTH(IF(ISNUMBER($E$3),$E$3,IF(ISNUMBER(首页!$F$4),首页!$F$4,IF(YEAR(_辅助!$J$10)=_辅助!$J$7,_辅助!$J$10,_辅助!$J$9)))),1)))</f>
        <v>46235.0</v>
      </c>
      <c r="D4" s="92" t="inlineStr">
        <is>
          <t>～</t>
        </is>
      </c>
      <c r="E4" s="97">
        <f>IF($C$3="周报",$C$4+6,IF($C$3="自定义",IF(ISNUMBER($I$3),$I$3,_辅助!$J$9),EOMONTH($C$4,0)))</f>
        <v>46265.0</v>
      </c>
      <c r="F4" s="98" t="str">
        <f>IF($C$3="周报",TEXT($C$4,"yyyy年m月d日")&amp;"那周",IF($C$3="月报",TEXT($C$4,"yyyy年m月"),"自定义期间"))&amp;" 资金"&amp;$C$3</f>
        <v>2026年8月 资金月报</v>
      </c>
      <c r="X4" s="2">
        <f>IF(项目档案!$B$7="",0,SUMIFS(资金流水!$R$6:$R$2005,资金流水!$H$6:$H$2005,项目档案!$B$7,资金流水!$X$6:$X$2005,"应收账款",资金流水!$B$6:$B$2005,"&gt;="&amp;$C$4,资金流水!$B$6:$B$2005,"&lt;="&amp;$E$4))</f>
        <v>0</v>
      </c>
      <c r="Y4" s="2">
        <f>SUM(CA1:CA4)</f>
        <v>0</v>
      </c>
      <c r="Z4" s="2">
        <f>IF(往来单位!$B$7="",0,-SUMIFS(资金流水!$R$6:$R$2005,资金流水!$J$6:$J$2005,往来单位!$B$7,资金流水!$R$6:$R$2005,"&lt;0",资金流水!$X$6:$X$2005,"&lt;&gt;账户互转",资金流水!$B$6:$B$2005,"&gt;="&amp;$C$4,资金流水!$B$6:$B$2005,"&lt;="&amp;$E$4))</f>
        <v>0</v>
      </c>
      <c r="AA4" s="2">
        <f>IF(Z4&gt;0,Z4+(301-4)/1000000,0)</f>
        <v>0</v>
      </c>
      <c r="CA4" s="2">
        <f t="shared" si="0"/>
        <v>0</v>
      </c>
    </row>
    <row r="5">
      <c r="X5" s="2">
        <f>IF(项目档案!$B$8="",0,SUMIFS(资金流水!$R$6:$R$2005,资金流水!$H$6:$H$2005,项目档案!$B$8,资金流水!$X$6:$X$2005,"应收账款",资金流水!$B$6:$B$2005,"&gt;="&amp;$C$4,资金流水!$B$6:$B$2005,"&lt;="&amp;$E$4))</f>
        <v>0</v>
      </c>
      <c r="Y5" s="2">
        <f>SUM(CA1:CA5)</f>
        <v>0</v>
      </c>
      <c r="Z5" s="2">
        <f>IF(往来单位!$B$8="",0,-SUMIFS(资金流水!$R$6:$R$2005,资金流水!$J$6:$J$2005,往来单位!$B$8,资金流水!$R$6:$R$2005,"&lt;0",资金流水!$X$6:$X$2005,"&lt;&gt;账户互转",资金流水!$B$6:$B$2005,"&gt;="&amp;$C$4,资金流水!$B$6:$B$2005,"&lt;="&amp;$E$4))</f>
        <v>0</v>
      </c>
      <c r="AA5" s="2">
        <f>IF(Z5&gt;0,Z5+(301-5)/1000000,0)</f>
        <v>0</v>
      </c>
      <c r="CA5" s="2">
        <f t="shared" si="0"/>
        <v>0</v>
      </c>
    </row>
    <row r="6">
      <c r="A6" s="26" t="inlineStr">
        <is>
          <t>① 各账户余额（本期收入、支出含账户之间的互转）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X6" s="2">
        <f>IF(项目档案!$B$9="",0,SUMIFS(资金流水!$R$6:$R$2005,资金流水!$H$6:$H$2005,项目档案!$B$9,资金流水!$X$6:$X$2005,"应收账款",资金流水!$B$6:$B$2005,"&gt;="&amp;$C$4,资金流水!$B$6:$B$2005,"&lt;="&amp;$E$4))</f>
        <v>0</v>
      </c>
      <c r="Y6" s="2">
        <f>SUM(CA1:CA6)</f>
        <v>0</v>
      </c>
      <c r="Z6" s="2">
        <f>IF(往来单位!$B$9="",0,-SUMIFS(资金流水!$R$6:$R$2005,资金流水!$J$6:$J$2005,往来单位!$B$9,资金流水!$R$6:$R$2005,"&lt;0",资金流水!$X$6:$X$2005,"&lt;&gt;账户互转",资金流水!$B$6:$B$2005,"&gt;="&amp;$C$4,资金流水!$B$6:$B$2005,"&lt;="&amp;$E$4))</f>
        <v>0</v>
      </c>
      <c r="AA6" s="2">
        <f>IF(Z6&gt;0,Z6+(301-6)/1000000,0)</f>
        <v>0</v>
      </c>
      <c r="CA6" s="2">
        <f t="shared" si="0"/>
        <v>0</v>
      </c>
    </row>
    <row r="7" ht="34" customHeight="1">
      <c r="A7" s="80" t="inlineStr">
        <is>
          <t>序号</t>
        </is>
      </c>
      <c r="B7" s="80" t="inlineStr">
        <is>
          <t>账户</t>
        </is>
      </c>
      <c r="C7" s="80" t="inlineStr">
        <is>
          <t>类型</t>
        </is>
      </c>
      <c r="D7" s="80" t="inlineStr">
        <is>
          <t>期初余额</t>
        </is>
      </c>
      <c r="E7" s="80" t="inlineStr">
        <is>
          <t>本期收入</t>
        </is>
      </c>
      <c r="F7" s="80" t="inlineStr">
        <is>
          <t>本期支出</t>
        </is>
      </c>
      <c r="G7" s="80" t="inlineStr">
        <is>
          <t>期末余额</t>
        </is>
      </c>
      <c r="H7" s="80" t="inlineStr">
        <is>
          <t>银行App余额</t>
        </is>
      </c>
      <c r="I7" s="80" t="inlineStr">
        <is>
          <t>核对日期</t>
        </is>
      </c>
      <c r="J7" s="80" t="inlineStr">
        <is>
          <t>核对差额</t>
        </is>
      </c>
      <c r="K7" s="80" t="inlineStr">
        <is>
          <t>说明</t>
        </is>
      </c>
      <c r="X7" s="2">
        <f>IF(项目档案!$B$10="",0,SUMIFS(资金流水!$R$6:$R$2005,资金流水!$H$6:$H$2005,项目档案!$B$10,资金流水!$X$6:$X$2005,"应收账款",资金流水!$B$6:$B$2005,"&gt;="&amp;$C$4,资金流水!$B$6:$B$2005,"&lt;="&amp;$E$4))</f>
        <v>0</v>
      </c>
      <c r="Y7" s="2">
        <f>SUM(CA1:CA7)</f>
        <v>0</v>
      </c>
      <c r="Z7" s="2">
        <f>IF(往来单位!$B$10="",0,-SUMIFS(资金流水!$R$6:$R$2005,资金流水!$J$6:$J$2005,往来单位!$B$10,资金流水!$R$6:$R$2005,"&lt;0",资金流水!$X$6:$X$2005,"&lt;&gt;账户互转",资金流水!$B$6:$B$2005,"&gt;="&amp;$C$4,资金流水!$B$6:$B$2005,"&lt;="&amp;$E$4))</f>
        <v>0</v>
      </c>
      <c r="AA7" s="2">
        <f>IF(Z7&gt;0,Z7+(301-7)/1000000,0)</f>
        <v>0</v>
      </c>
      <c r="CA7" s="2">
        <f t="shared" si="0"/>
        <v>0</v>
      </c>
    </row>
    <row r="8">
      <c r="A8" s="94">
        <f>IF($B8="","",1)</f>
        <v>1</v>
      </c>
      <c r="B8" s="96" t="str">
        <f>基础资料!$G$5&amp;""</f>
        <v>九江银行</v>
      </c>
      <c r="C8" s="94" t="str">
        <f>基础资料!$H$5&amp;""</f>
        <v>银行</v>
      </c>
      <c r="D8" s="21">
        <f>IF($B8="","",ROUND(N(基础资料!$K$5)+SUMIFS(资金流水!$R$6:$R$2005,资金流水!$C$6:$C$2005,$B8,资金流水!$B$6:$B$2005,"&gt;="&amp;基础资料!$C$9,资金流水!$B$6:$B$2005,"&lt;"&amp;$C$4)-SUMIFS(资金流水!$R$6:$R$2005,资金流水!$AD$6:$AD$2005,$B8,资金流水!$X$6:$X$2005,"账户互转",资金流水!$B$6:$B$2005,"&gt;="&amp;基础资料!$C$9,资金流水!$B$6:$B$2005,"&lt;"&amp;$C$4),2))</f>
        <v>239259.86</v>
      </c>
      <c r="E8" s="21">
        <f t="shared" ref="E8:E27" si="4">IF($B8="","",SUMIFS(资金流水!$R$6:$R$2005,资金流水!$C$6:$C$2005,$B8,资金流水!$R$6:$R$2005,"&gt;0",资金流水!$B$6:$B$2005,"&gt;="&amp;$C$4,资金流水!$B$6:$B$2005,"&lt;="&amp;$E$4)-SUMIFS(资金流水!$R$6:$R$2005,资金流水!$AD$6:$AD$2005,$B8,资金流水!$X$6:$X$2005,"账户互转",资金流水!$R$6:$R$2005,"&lt;0",资金流水!$B$6:$B$2005,"&gt;="&amp;$C$4,资金流水!$B$6:$B$2005,"&lt;="&amp;$E$4))</f>
        <v>706162.4</v>
      </c>
      <c r="F8" s="21">
        <f t="shared" ref="F8:F27" si="9">IF($B8="","",-SUMIFS(资金流水!$R$6:$R$2005,资金流水!$C$6:$C$2005,$B8,资金流水!$R$6:$R$2005,"&lt;0",资金流水!$B$6:$B$2005,"&gt;="&amp;$C$4,资金流水!$B$6:$B$2005,"&lt;="&amp;$E$4)+SUMIFS(资金流水!$R$6:$R$2005,资金流水!$AD$6:$AD$2005,$B8,资金流水!$X$6:$X$2005,"账户互转",资金流水!$R$6:$R$2005,"&gt;0",资金流水!$B$6:$B$2005,"&gt;="&amp;$C$4,资金流水!$B$6:$B$2005,"&lt;="&amp;$E$4))</f>
        <v>255205.83</v>
      </c>
      <c r="G8" s="21">
        <f t="shared" ref="G8:G27" si="21">IF($B8="","",ROUND(D8+E8-F8,2))</f>
        <v>690216.43</v>
      </c>
      <c r="H8" s="21">
        <f>IF(OR($B8="",基础资料!$M$5=""),"",基础资料!$M$5)</f>
      </c>
      <c r="I8" s="95">
        <f>IF(OR($B8="",基础资料!$N$5=""),"",基础资料!$N$5)</f>
      </c>
      <c r="J8" s="21">
        <f>IF(OR($B8="",基础资料!$O$5=""),"",基础资料!$O$5)</f>
      </c>
      <c r="K8" s="96">
        <f>IF($B8="","",IF(C8="个人户",IF(G8&lt;0,"公司欠"&amp;基础资料!$I$5&amp;"的",IF(G8&gt;0,"他手上公司的钱（备用金）","")),IF(C8="票据","在手的承兑汇票","")))</f>
      </c>
      <c r="X8" s="2">
        <f>IF(项目档案!$B$11="",0,SUMIFS(资金流水!$R$6:$R$2005,资金流水!$H$6:$H$2005,项目档案!$B$11,资金流水!$X$6:$X$2005,"应收账款",资金流水!$B$6:$B$2005,"&gt;="&amp;$C$4,资金流水!$B$6:$B$2005,"&lt;="&amp;$E$4))</f>
        <v>51200</v>
      </c>
      <c r="Y8" s="2">
        <f>SUM(CA1:CA8)</f>
        <v>1</v>
      </c>
      <c r="Z8" s="2">
        <f>IF(往来单位!$B$11="",0,-SUMIFS(资金流水!$R$6:$R$2005,资金流水!$J$6:$J$2005,往来单位!$B$11,资金流水!$R$6:$R$2005,"&lt;0",资金流水!$X$6:$X$2005,"&lt;&gt;账户互转",资金流水!$B$6:$B$2005,"&gt;="&amp;$C$4,资金流水!$B$6:$B$2005,"&lt;="&amp;$E$4))</f>
        <v>50000</v>
      </c>
      <c r="AA8" s="2">
        <f>IF(Z8&gt;0,Z8+(301-8)/1000000,0)</f>
        <v>50000.000293</v>
      </c>
      <c r="CA8" s="2">
        <f t="shared" si="0"/>
        <v>1</v>
      </c>
    </row>
    <row r="9">
      <c r="A9" s="94">
        <f>IF($B9="","",2)</f>
        <v>2</v>
      </c>
      <c r="B9" s="96" t="str">
        <f>基础资料!$G$6&amp;""</f>
        <v>农业银行</v>
      </c>
      <c r="C9" s="94" t="str">
        <f>基础资料!$H$6&amp;""</f>
        <v>银行</v>
      </c>
      <c r="D9" s="21">
        <f>IF($B9="","",ROUND(N(基础资料!$K$6)+SUMIFS(资金流水!$R$6:$R$2005,资金流水!$C$6:$C$2005,$B9,资金流水!$B$6:$B$2005,"&gt;="&amp;基础资料!$C$9,资金流水!$B$6:$B$2005,"&lt;"&amp;$C$4)-SUMIFS(资金流水!$R$6:$R$2005,资金流水!$AD$6:$AD$2005,$B9,资金流水!$X$6:$X$2005,"账户互转",资金流水!$B$6:$B$2005,"&gt;="&amp;基础资料!$C$9,资金流水!$B$6:$B$2005,"&lt;"&amp;$C$4),2))</f>
        <v>68.04</v>
      </c>
      <c r="E9" s="21">
        <f t="shared" si="4"/>
        <v>1100</v>
      </c>
      <c r="F9" s="21">
        <f t="shared" si="9"/>
        <v>1088.01</v>
      </c>
      <c r="G9" s="21">
        <f t="shared" si="21"/>
        <v>80.03</v>
      </c>
      <c r="H9" s="21">
        <f>IF(OR($B9="",基础资料!$M$6=""),"",基础资料!$M$6)</f>
      </c>
      <c r="I9" s="95">
        <f>IF(OR($B9="",基础资料!$N$6=""),"",基础资料!$N$6)</f>
      </c>
      <c r="J9" s="21">
        <f>IF(OR($B9="",基础资料!$O$6=""),"",基础资料!$O$6)</f>
      </c>
      <c r="K9" s="96">
        <f>IF($B9="","",IF(C9="个人户",IF(G9&lt;0,"公司欠"&amp;基础资料!$I$6&amp;"的",IF(G9&gt;0,"他手上公司的钱（备用金）","")),IF(C9="票据","在手的承兑汇票","")))</f>
      </c>
      <c r="X9" s="2">
        <f>IF(项目档案!$B$12="",0,SUMIFS(资金流水!$R$6:$R$2005,资金流水!$H$6:$H$2005,项目档案!$B$12,资金流水!$X$6:$X$2005,"应收账款",资金流水!$B$6:$B$2005,"&gt;="&amp;$C$4,资金流水!$B$6:$B$2005,"&lt;="&amp;$E$4))</f>
        <v>0</v>
      </c>
      <c r="Y9" s="2">
        <f>SUM(CA1:CA9)</f>
        <v>1</v>
      </c>
      <c r="Z9" s="2">
        <f>IF(往来单位!$B$12="",0,-SUMIFS(资金流水!$R$6:$R$2005,资金流水!$J$6:$J$2005,往来单位!$B$12,资金流水!$R$6:$R$2005,"&lt;0",资金流水!$X$6:$X$2005,"&lt;&gt;账户互转",资金流水!$B$6:$B$2005,"&gt;="&amp;$C$4,资金流水!$B$6:$B$2005,"&lt;="&amp;$E$4))</f>
        <v>0</v>
      </c>
      <c r="AA9" s="2">
        <f>IF(Z9&gt;0,Z9+(301-9)/1000000,0)</f>
        <v>0</v>
      </c>
      <c r="CA9" s="2">
        <f t="shared" si="0"/>
        <v>0</v>
      </c>
    </row>
    <row r="10">
      <c r="A10" s="94">
        <f>IF($B10="","",3)</f>
        <v>3</v>
      </c>
      <c r="B10" s="96" t="str">
        <f>基础资料!$G$7&amp;""</f>
        <v>工商银行</v>
      </c>
      <c r="C10" s="94" t="str">
        <f>基础资料!$H$7&amp;""</f>
        <v>银行</v>
      </c>
      <c r="D10" s="21">
        <f>IF($B10="","",ROUND(N(基础资料!$K$7)+SUMIFS(资金流水!$R$6:$R$2005,资金流水!$C$6:$C$2005,$B10,资金流水!$B$6:$B$2005,"&gt;="&amp;基础资料!$C$9,资金流水!$B$6:$B$2005,"&lt;"&amp;$C$4)-SUMIFS(资金流水!$R$6:$R$2005,资金流水!$AD$6:$AD$2005,$B10,资金流水!$X$6:$X$2005,"账户互转",资金流水!$B$6:$B$2005,"&gt;="&amp;基础资料!$C$9,资金流水!$B$6:$B$2005,"&lt;"&amp;$C$4),2))</f>
        <v>148</v>
      </c>
      <c r="E10" s="21">
        <f t="shared" si="4"/>
        <v>0</v>
      </c>
      <c r="F10" s="21">
        <f t="shared" si="9"/>
        <v>0</v>
      </c>
      <c r="G10" s="21">
        <f t="shared" si="21"/>
        <v>148</v>
      </c>
      <c r="H10" s="21">
        <f>IF(OR($B10="",基础资料!$M$7=""),"",基础资料!$M$7)</f>
      </c>
      <c r="I10" s="95">
        <f>IF(OR($B10="",基础资料!$N$7=""),"",基础资料!$N$7)</f>
      </c>
      <c r="J10" s="21">
        <f>IF(OR($B10="",基础资料!$O$7=""),"",基础资料!$O$7)</f>
      </c>
      <c r="K10" s="96">
        <f>IF($B10="","",IF(C10="个人户",IF(G10&lt;0,"公司欠"&amp;基础资料!$I$7&amp;"的",IF(G10&gt;0,"他手上公司的钱（备用金）","")),IF(C10="票据","在手的承兑汇票","")))</f>
      </c>
      <c r="X10" s="2">
        <f>IF(项目档案!$B$13="",0,SUMIFS(资金流水!$R$6:$R$2005,资金流水!$H$6:$H$2005,项目档案!$B$13,资金流水!$X$6:$X$2005,"应收账款",资金流水!$B$6:$B$2005,"&gt;="&amp;$C$4,资金流水!$B$6:$B$2005,"&lt;="&amp;$E$4))</f>
        <v>0</v>
      </c>
      <c r="Y10" s="2">
        <f>SUM(CA1:CA10)</f>
        <v>1</v>
      </c>
      <c r="Z10" s="2">
        <f>IF(往来单位!$B$13="",0,-SUMIFS(资金流水!$R$6:$R$2005,资金流水!$J$6:$J$2005,往来单位!$B$13,资金流水!$R$6:$R$2005,"&lt;0",资金流水!$X$6:$X$2005,"&lt;&gt;账户互转",资金流水!$B$6:$B$2005,"&gt;="&amp;$C$4,资金流水!$B$6:$B$2005,"&lt;="&amp;$E$4))</f>
        <v>0</v>
      </c>
      <c r="AA10" s="2">
        <f>IF(Z10&gt;0,Z10+(301-10)/1000000,0)</f>
        <v>0</v>
      </c>
      <c r="CA10" s="2">
        <f t="shared" si="0"/>
        <v>0</v>
      </c>
    </row>
    <row r="11">
      <c r="A11" s="94">
        <f>IF($B11="","",4)</f>
        <v>4</v>
      </c>
      <c r="B11" s="96" t="str">
        <f>基础资料!$G$8&amp;""</f>
        <v>现金</v>
      </c>
      <c r="C11" s="94" t="str">
        <f>基础资料!$H$8&amp;""</f>
        <v>现金</v>
      </c>
      <c r="D11" s="21">
        <f>IF($B11="","",ROUND(N(基础资料!$K$8)+SUMIFS(资金流水!$R$6:$R$2005,资金流水!$C$6:$C$2005,$B11,资金流水!$B$6:$B$2005,"&gt;="&amp;基础资料!$C$9,资金流水!$B$6:$B$2005,"&lt;"&amp;$C$4)-SUMIFS(资金流水!$R$6:$R$2005,资金流水!$AD$6:$AD$2005,$B11,资金流水!$X$6:$X$2005,"账户互转",资金流水!$B$6:$B$2005,"&gt;="&amp;基础资料!$C$9,资金流水!$B$6:$B$2005,"&lt;"&amp;$C$4),2))</f>
        <v>0</v>
      </c>
      <c r="E11" s="21">
        <f t="shared" si="4"/>
        <v>0</v>
      </c>
      <c r="F11" s="21">
        <f t="shared" si="9"/>
        <v>0</v>
      </c>
      <c r="G11" s="21">
        <f t="shared" si="21"/>
        <v>0</v>
      </c>
      <c r="H11" s="21">
        <f>IF(OR($B11="",基础资料!$M$8=""),"",基础资料!$M$8)</f>
      </c>
      <c r="I11" s="95">
        <f>IF(OR($B11="",基础资料!$N$8=""),"",基础资料!$N$8)</f>
      </c>
      <c r="J11" s="21">
        <f>IF(OR($B11="",基础资料!$O$8=""),"",基础资料!$O$8)</f>
      </c>
      <c r="K11" s="96">
        <f>IF($B11="","",IF(C11="个人户",IF(G11&lt;0,"公司欠"&amp;基础资料!$I$8&amp;"的",IF(G11&gt;0,"他手上公司的钱（备用金）","")),IF(C11="票据","在手的承兑汇票","")))</f>
      </c>
      <c r="X11" s="2">
        <f>IF(项目档案!$B$14="",0,SUMIFS(资金流水!$R$6:$R$2005,资金流水!$H$6:$H$2005,项目档案!$B$14,资金流水!$X$6:$X$2005,"应收账款",资金流水!$B$6:$B$2005,"&gt;="&amp;$C$4,资金流水!$B$6:$B$2005,"&lt;="&amp;$E$4))</f>
        <v>0</v>
      </c>
      <c r="Y11" s="2">
        <f>SUM(CA1:CA11)</f>
        <v>1</v>
      </c>
      <c r="Z11" s="2">
        <f>IF(往来单位!$B$14="",0,-SUMIFS(资金流水!$R$6:$R$2005,资金流水!$J$6:$J$2005,往来单位!$B$14,资金流水!$R$6:$R$2005,"&lt;0",资金流水!$X$6:$X$2005,"&lt;&gt;账户互转",资金流水!$B$6:$B$2005,"&gt;="&amp;$C$4,资金流水!$B$6:$B$2005,"&lt;="&amp;$E$4))</f>
        <v>0</v>
      </c>
      <c r="AA11" s="2">
        <f>IF(Z11&gt;0,Z11+(301-11)/1000000,0)</f>
        <v>0</v>
      </c>
      <c r="CA11" s="2">
        <f t="shared" si="0"/>
        <v>0</v>
      </c>
    </row>
    <row r="12">
      <c r="A12" s="94">
        <f>IF($B12="","",5)</f>
        <v>5</v>
      </c>
      <c r="B12" s="96" t="str">
        <f>基础资料!$G$9&amp;""</f>
        <v>聂辉个人户</v>
      </c>
      <c r="C12" s="94" t="str">
        <f>基础资料!$H$9&amp;""</f>
        <v>个人户</v>
      </c>
      <c r="D12" s="21">
        <f>IF($B12="","",ROUND(N(基础资料!$K$9)+SUMIFS(资金流水!$R$6:$R$2005,资金流水!$C$6:$C$2005,$B12,资金流水!$B$6:$B$2005,"&gt;="&amp;基础资料!$C$9,资金流水!$B$6:$B$2005,"&lt;"&amp;$C$4)-SUMIFS(资金流水!$R$6:$R$2005,资金流水!$AD$6:$AD$2005,$B12,资金流水!$X$6:$X$2005,"账户互转",资金流水!$B$6:$B$2005,"&gt;="&amp;基础资料!$C$9,资金流水!$B$6:$B$2005,"&lt;"&amp;$C$4),2))</f>
        <v>-209868</v>
      </c>
      <c r="E12" s="21">
        <f t="shared" si="4"/>
        <v>100000</v>
      </c>
      <c r="F12" s="21">
        <f t="shared" si="9"/>
        <v>2600</v>
      </c>
      <c r="G12" s="21">
        <f t="shared" si="21"/>
        <v>-112468</v>
      </c>
      <c r="H12" s="21">
        <f>IF(OR($B12="",基础资料!$M$9=""),"",基础资料!$M$9)</f>
      </c>
      <c r="I12" s="95">
        <f>IF(OR($B12="",基础资料!$N$9=""),"",基础资料!$N$9)</f>
      </c>
      <c r="J12" s="21">
        <f>IF(OR($B12="",基础资料!$O$9=""),"",基础资料!$O$9)</f>
      </c>
      <c r="K12" s="96" t="str">
        <f>IF($B12="","",IF(C12="个人户",IF(G12&lt;0,"公司欠"&amp;基础资料!$I$9&amp;"的",IF(G12&gt;0,"他手上公司的钱（备用金）","")),IF(C12="票据","在手的承兑汇票","")))</f>
        <v>公司欠聂辉的</v>
      </c>
      <c r="X12" s="2">
        <f>IF(项目档案!$B$15="",0,SUMIFS(资金流水!$R$6:$R$2005,资金流水!$H$6:$H$2005,项目档案!$B$15,资金流水!$X$6:$X$2005,"应收账款",资金流水!$B$6:$B$2005,"&gt;="&amp;$C$4,资金流水!$B$6:$B$2005,"&lt;="&amp;$E$4))</f>
        <v>0</v>
      </c>
      <c r="Y12" s="2">
        <f>SUM(CA1:CA12)</f>
        <v>1</v>
      </c>
      <c r="Z12" s="2">
        <f>IF(往来单位!$B$15="",0,-SUMIFS(资金流水!$R$6:$R$2005,资金流水!$J$6:$J$2005,往来单位!$B$15,资金流水!$R$6:$R$2005,"&lt;0",资金流水!$X$6:$X$2005,"&lt;&gt;账户互转",资金流水!$B$6:$B$2005,"&gt;="&amp;$C$4,资金流水!$B$6:$B$2005,"&lt;="&amp;$E$4))</f>
        <v>0</v>
      </c>
      <c r="AA12" s="2">
        <f>IF(Z12&gt;0,Z12+(301-12)/1000000,0)</f>
        <v>0</v>
      </c>
      <c r="CA12" s="2">
        <f t="shared" si="0"/>
        <v>0</v>
      </c>
    </row>
    <row r="13">
      <c r="A13" s="94">
        <f>IF($B13="","",6)</f>
        <v>6</v>
      </c>
      <c r="B13" s="96" t="str">
        <f>基础资料!$G$10&amp;""</f>
        <v>王伟个人户</v>
      </c>
      <c r="C13" s="94" t="str">
        <f>基础资料!$H$10&amp;""</f>
        <v>个人户</v>
      </c>
      <c r="D13" s="21">
        <f>IF($B13="","",ROUND(N(基础资料!$K$10)+SUMIFS(资金流水!$R$6:$R$2005,资金流水!$C$6:$C$2005,$B13,资金流水!$B$6:$B$2005,"&gt;="&amp;基础资料!$C$9,资金流水!$B$6:$B$2005,"&lt;"&amp;$C$4)-SUMIFS(资金流水!$R$6:$R$2005,资金流水!$AD$6:$AD$2005,$B13,资金流水!$X$6:$X$2005,"账户互转",资金流水!$B$6:$B$2005,"&gt;="&amp;基础资料!$C$9,资金流水!$B$6:$B$2005,"&lt;"&amp;$C$4),2))</f>
        <v>-171859.6</v>
      </c>
      <c r="E13" s="21">
        <f t="shared" si="4"/>
        <v>0</v>
      </c>
      <c r="F13" s="21">
        <f t="shared" si="9"/>
        <v>1500</v>
      </c>
      <c r="G13" s="21">
        <f t="shared" si="21"/>
        <v>-173359.6</v>
      </c>
      <c r="H13" s="21">
        <f>IF(OR($B13="",基础资料!$M$10=""),"",基础资料!$M$10)</f>
      </c>
      <c r="I13" s="95">
        <f>IF(OR($B13="",基础资料!$N$10=""),"",基础资料!$N$10)</f>
      </c>
      <c r="J13" s="21">
        <f>IF(OR($B13="",基础资料!$O$10=""),"",基础资料!$O$10)</f>
      </c>
      <c r="K13" s="96" t="str">
        <f>IF($B13="","",IF(C13="个人户",IF(G13&lt;0,"公司欠"&amp;基础资料!$I$10&amp;"的",IF(G13&gt;0,"他手上公司的钱（备用金）","")),IF(C13="票据","在手的承兑汇票","")))</f>
        <v>公司欠王伟的</v>
      </c>
      <c r="X13" s="2">
        <f>IF(项目档案!$B$16="",0,SUMIFS(资金流水!$R$6:$R$2005,资金流水!$H$6:$H$2005,项目档案!$B$16,资金流水!$X$6:$X$2005,"应收账款",资金流水!$B$6:$B$2005,"&gt;="&amp;$C$4,资金流水!$B$6:$B$2005,"&lt;="&amp;$E$4))</f>
        <v>0</v>
      </c>
      <c r="Y13" s="2">
        <f>SUM(CA1:CA13)</f>
        <v>1</v>
      </c>
      <c r="Z13" s="2">
        <f>IF(往来单位!$B$16="",0,-SUMIFS(资金流水!$R$6:$R$2005,资金流水!$J$6:$J$2005,往来单位!$B$16,资金流水!$R$6:$R$2005,"&lt;0",资金流水!$X$6:$X$2005,"&lt;&gt;账户互转",资金流水!$B$6:$B$2005,"&gt;="&amp;$C$4,资金流水!$B$6:$B$2005,"&lt;="&amp;$E$4))</f>
        <v>0</v>
      </c>
      <c r="AA13" s="2">
        <f>IF(Z13&gt;0,Z13+(301-13)/1000000,0)</f>
        <v>0</v>
      </c>
      <c r="CA13" s="2">
        <f t="shared" si="0"/>
        <v>0</v>
      </c>
    </row>
    <row r="14">
      <c r="A14" s="94">
        <f>IF($B14="","",7)</f>
        <v>7</v>
      </c>
      <c r="B14" s="96" t="str">
        <f>基础资料!$G$11&amp;""</f>
        <v>张滨个人户</v>
      </c>
      <c r="C14" s="94" t="str">
        <f>基础资料!$H$11&amp;""</f>
        <v>个人户</v>
      </c>
      <c r="D14" s="21">
        <f>IF($B14="","",ROUND(N(基础资料!$K$11)+SUMIFS(资金流水!$R$6:$R$2005,资金流水!$C$6:$C$2005,$B14,资金流水!$B$6:$B$2005,"&gt;="&amp;基础资料!$C$9,资金流水!$B$6:$B$2005,"&lt;"&amp;$C$4)-SUMIFS(资金流水!$R$6:$R$2005,资金流水!$AD$6:$AD$2005,$B14,资金流水!$X$6:$X$2005,"账户互转",资金流水!$B$6:$B$2005,"&gt;="&amp;基础资料!$C$9,资金流水!$B$6:$B$2005,"&lt;"&amp;$C$4),2))</f>
        <v>3400</v>
      </c>
      <c r="E14" s="21">
        <f t="shared" si="4"/>
        <v>0</v>
      </c>
      <c r="F14" s="21">
        <f t="shared" si="9"/>
        <v>1100</v>
      </c>
      <c r="G14" s="21">
        <f t="shared" si="21"/>
        <v>2300</v>
      </c>
      <c r="H14" s="21">
        <f>IF(OR($B14="",基础资料!$M$11=""),"",基础资料!$M$11)</f>
      </c>
      <c r="I14" s="95">
        <f>IF(OR($B14="",基础资料!$N$11=""),"",基础资料!$N$11)</f>
      </c>
      <c r="J14" s="21">
        <f>IF(OR($B14="",基础资料!$O$11=""),"",基础资料!$O$11)</f>
      </c>
      <c r="K14" s="96" t="str">
        <f>IF($B14="","",IF(C14="个人户",IF(G14&lt;0,"公司欠"&amp;基础资料!$I$11&amp;"的",IF(G14&gt;0,"他手上公司的钱（备用金）","")),IF(C14="票据","在手的承兑汇票","")))</f>
        <v>他手上公司的钱（备用金）</v>
      </c>
      <c r="X14" s="2">
        <f>IF(项目档案!$B$17="",0,SUMIFS(资金流水!$R$6:$R$2005,资金流水!$H$6:$H$2005,项目档案!$B$17,资金流水!$X$6:$X$2005,"应收账款",资金流水!$B$6:$B$2005,"&gt;="&amp;$C$4,资金流水!$B$6:$B$2005,"&lt;="&amp;$E$4))</f>
        <v>0</v>
      </c>
      <c r="Y14" s="2">
        <f>SUM(CA1:CA14)</f>
        <v>1</v>
      </c>
      <c r="Z14" s="2">
        <f>IF(往来单位!$B$17="",0,-SUMIFS(资金流水!$R$6:$R$2005,资金流水!$J$6:$J$2005,往来单位!$B$17,资金流水!$R$6:$R$2005,"&lt;0",资金流水!$X$6:$X$2005,"&lt;&gt;账户互转",资金流水!$B$6:$B$2005,"&gt;="&amp;$C$4,资金流水!$B$6:$B$2005,"&lt;="&amp;$E$4))</f>
        <v>0</v>
      </c>
      <c r="AA14" s="2">
        <f>IF(Z14&gt;0,Z14+(301-14)/1000000,0)</f>
        <v>0</v>
      </c>
      <c r="CA14" s="2">
        <f t="shared" si="0"/>
        <v>0</v>
      </c>
    </row>
    <row r="15">
      <c r="A15" s="94">
        <f>IF($B15="","",8)</f>
        <v>8</v>
      </c>
      <c r="B15" s="96" t="str">
        <f>基础资料!$G$12&amp;""</f>
        <v>承兑汇票</v>
      </c>
      <c r="C15" s="94" t="str">
        <f>基础资料!$H$12&amp;""</f>
        <v>票据</v>
      </c>
      <c r="D15" s="21">
        <f>IF($B15="","",ROUND(N(基础资料!$K$12)+SUMIFS(资金流水!$R$6:$R$2005,资金流水!$C$6:$C$2005,$B15,资金流水!$B$6:$B$2005,"&gt;="&amp;基础资料!$C$9,资金流水!$B$6:$B$2005,"&lt;"&amp;$C$4)-SUMIFS(资金流水!$R$6:$R$2005,资金流水!$AD$6:$AD$2005,$B15,资金流水!$X$6:$X$2005,"账户互转",资金流水!$B$6:$B$2005,"&gt;="&amp;基础资料!$C$9,资金流水!$B$6:$B$2005,"&lt;"&amp;$C$4),2))</f>
        <v>0</v>
      </c>
      <c r="E15" s="21">
        <f t="shared" si="4"/>
        <v>0</v>
      </c>
      <c r="F15" s="21">
        <f t="shared" si="9"/>
        <v>0</v>
      </c>
      <c r="G15" s="21">
        <f t="shared" si="21"/>
        <v>0</v>
      </c>
      <c r="H15" s="21">
        <f>IF(OR($B15="",基础资料!$M$12=""),"",基础资料!$M$12)</f>
      </c>
      <c r="I15" s="95">
        <f>IF(OR($B15="",基础资料!$N$12=""),"",基础资料!$N$12)</f>
      </c>
      <c r="J15" s="21">
        <f>IF(OR($B15="",基础资料!$O$12=""),"",基础资料!$O$12)</f>
      </c>
      <c r="K15" s="96" t="str">
        <f>IF($B15="","",IF(C15="个人户",IF(G15&lt;0,"公司欠"&amp;基础资料!$I$12&amp;"的",IF(G15&gt;0,"他手上公司的钱（备用金）","")),IF(C15="票据","在手的承兑汇票","")))</f>
        <v>在手的承兑汇票</v>
      </c>
      <c r="X15" s="2">
        <f>IF(项目档案!$B$18="",0,SUMIFS(资金流水!$R$6:$R$2005,资金流水!$H$6:$H$2005,项目档案!$B$18,资金流水!$X$6:$X$2005,"应收账款",资金流水!$B$6:$B$2005,"&gt;="&amp;$C$4,资金流水!$B$6:$B$2005,"&lt;="&amp;$E$4))</f>
        <v>650862.4</v>
      </c>
      <c r="Y15" s="2">
        <f>SUM(CA1:CA15)</f>
        <v>2</v>
      </c>
      <c r="Z15" s="2">
        <f>IF(往来单位!$B$18="",0,-SUMIFS(资金流水!$R$6:$R$2005,资金流水!$J$6:$J$2005,往来单位!$B$18,资金流水!$R$6:$R$2005,"&lt;0",资金流水!$X$6:$X$2005,"&lt;&gt;账户互转",资金流水!$B$6:$B$2005,"&gt;="&amp;$C$4,资金流水!$B$6:$B$2005,"&lt;="&amp;$E$4))</f>
        <v>0</v>
      </c>
      <c r="AA15" s="2">
        <f>IF(Z15&gt;0,Z15+(301-15)/1000000,0)</f>
        <v>0</v>
      </c>
      <c r="CA15" s="2">
        <f t="shared" si="0"/>
        <v>1</v>
      </c>
    </row>
    <row r="16">
      <c r="A16" s="94">
        <f>IF($B16="","",9)</f>
      </c>
      <c r="B16" s="96">
        <f>基础资料!$G$13&amp;""</f>
      </c>
      <c r="C16" s="94">
        <f>基础资料!$H$13&amp;""</f>
      </c>
      <c r="D16" s="21">
        <f>IF($B16="","",ROUND(N(基础资料!$K$13)+SUMIFS(资金流水!$R$6:$R$2005,资金流水!$C$6:$C$2005,$B16,资金流水!$B$6:$B$2005,"&gt;="&amp;基础资料!$C$9,资金流水!$B$6:$B$2005,"&lt;"&amp;$C$4)-SUMIFS(资金流水!$R$6:$R$2005,资金流水!$AD$6:$AD$2005,$B16,资金流水!$X$6:$X$2005,"账户互转",资金流水!$B$6:$B$2005,"&gt;="&amp;基础资料!$C$9,资金流水!$B$6:$B$2005,"&lt;"&amp;$C$4),2))</f>
      </c>
      <c r="E16" s="21">
        <f t="shared" si="4"/>
      </c>
      <c r="F16" s="21">
        <f t="shared" si="9"/>
      </c>
      <c r="G16" s="21">
        <f t="shared" si="21"/>
      </c>
      <c r="H16" s="21">
        <f>IF(OR($B16="",基础资料!$M$13=""),"",基础资料!$M$13)</f>
      </c>
      <c r="I16" s="95">
        <f>IF(OR($B16="",基础资料!$N$13=""),"",基础资料!$N$13)</f>
      </c>
      <c r="J16" s="21">
        <f>IF(OR($B16="",基础资料!$O$13=""),"",基础资料!$O$13)</f>
      </c>
      <c r="K16" s="96">
        <f>IF($B16="","",IF(C16="个人户",IF(G16&lt;0,"公司欠"&amp;基础资料!$I$13&amp;"的",IF(G16&gt;0,"他手上公司的钱（备用金）","")),IF(C16="票据","在手的承兑汇票","")))</f>
      </c>
      <c r="X16" s="2">
        <f>IF(项目档案!$B$19="",0,SUMIFS(资金流水!$R$6:$R$2005,资金流水!$H$6:$H$2005,项目档案!$B$19,资金流水!$X$6:$X$2005,"应收账款",资金流水!$B$6:$B$2005,"&gt;="&amp;$C$4,资金流水!$B$6:$B$2005,"&lt;="&amp;$E$4))</f>
        <v>0</v>
      </c>
      <c r="Y16" s="2">
        <f>SUM(CA1:CA16)</f>
        <v>2</v>
      </c>
      <c r="Z16" s="2">
        <f>IF(往来单位!$B$19="",0,-SUMIFS(资金流水!$R$6:$R$2005,资金流水!$J$6:$J$2005,往来单位!$B$19,资金流水!$R$6:$R$2005,"&lt;0",资金流水!$X$6:$X$2005,"&lt;&gt;账户互转",资金流水!$B$6:$B$2005,"&gt;="&amp;$C$4,资金流水!$B$6:$B$2005,"&lt;="&amp;$E$4))</f>
        <v>0</v>
      </c>
      <c r="AA16" s="2">
        <f>IF(Z16&gt;0,Z16+(301-16)/1000000,0)</f>
        <v>0</v>
      </c>
      <c r="CA16" s="2">
        <f t="shared" si="0"/>
        <v>0</v>
      </c>
    </row>
    <row r="17">
      <c r="A17" s="94">
        <f>IF($B17="","",10)</f>
      </c>
      <c r="B17" s="96">
        <f>基础资料!$G$14&amp;""</f>
      </c>
      <c r="C17" s="94">
        <f>基础资料!$H$14&amp;""</f>
      </c>
      <c r="D17" s="21">
        <f>IF($B17="","",ROUND(N(基础资料!$K$14)+SUMIFS(资金流水!$R$6:$R$2005,资金流水!$C$6:$C$2005,$B17,资金流水!$B$6:$B$2005,"&gt;="&amp;基础资料!$C$9,资金流水!$B$6:$B$2005,"&lt;"&amp;$C$4)-SUMIFS(资金流水!$R$6:$R$2005,资金流水!$AD$6:$AD$2005,$B17,资金流水!$X$6:$X$2005,"账户互转",资金流水!$B$6:$B$2005,"&gt;="&amp;基础资料!$C$9,资金流水!$B$6:$B$2005,"&lt;"&amp;$C$4),2))</f>
      </c>
      <c r="E17" s="21">
        <f t="shared" si="4"/>
      </c>
      <c r="F17" s="21">
        <f t="shared" si="9"/>
      </c>
      <c r="G17" s="21">
        <f t="shared" si="21"/>
      </c>
      <c r="H17" s="21">
        <f>IF(OR($B17="",基础资料!$M$14=""),"",基础资料!$M$14)</f>
      </c>
      <c r="I17" s="95">
        <f>IF(OR($B17="",基础资料!$N$14=""),"",基础资料!$N$14)</f>
      </c>
      <c r="J17" s="21">
        <f>IF(OR($B17="",基础资料!$O$14=""),"",基础资料!$O$14)</f>
      </c>
      <c r="K17" s="96">
        <f>IF($B17="","",IF(C17="个人户",IF(G17&lt;0,"公司欠"&amp;基础资料!$I$14&amp;"的",IF(G17&gt;0,"他手上公司的钱（备用金）","")),IF(C17="票据","在手的承兑汇票","")))</f>
      </c>
      <c r="X17" s="2">
        <f>IF(项目档案!$B$20="",0,SUMIFS(资金流水!$R$6:$R$2005,资金流水!$H$6:$H$2005,项目档案!$B$20,资金流水!$X$6:$X$2005,"应收账款",资金流水!$B$6:$B$2005,"&gt;="&amp;$C$4,资金流水!$B$6:$B$2005,"&lt;="&amp;$E$4))</f>
        <v>0</v>
      </c>
      <c r="Y17" s="2">
        <f>SUM(CA1:CA17)</f>
        <v>2</v>
      </c>
      <c r="Z17" s="2">
        <f>IF(往来单位!$B$20="",0,-SUMIFS(资金流水!$R$6:$R$2005,资金流水!$J$6:$J$2005,往来单位!$B$20,资金流水!$R$6:$R$2005,"&lt;0",资金流水!$X$6:$X$2005,"&lt;&gt;账户互转",资金流水!$B$6:$B$2005,"&gt;="&amp;$C$4,资金流水!$B$6:$B$2005,"&lt;="&amp;$E$4))</f>
        <v>0</v>
      </c>
      <c r="AA17" s="2">
        <f>IF(Z17&gt;0,Z17+(301-17)/1000000,0)</f>
        <v>0</v>
      </c>
      <c r="CA17" s="2">
        <f t="shared" si="0"/>
        <v>0</v>
      </c>
    </row>
    <row r="18">
      <c r="A18" s="94">
        <f>IF($B18="","",11)</f>
      </c>
      <c r="B18" s="96">
        <f>基础资料!$G$15&amp;""</f>
      </c>
      <c r="C18" s="94">
        <f>基础资料!$H$15&amp;""</f>
      </c>
      <c r="D18" s="21">
        <f>IF($B18="","",ROUND(N(基础资料!$K$15)+SUMIFS(资金流水!$R$6:$R$2005,资金流水!$C$6:$C$2005,$B18,资金流水!$B$6:$B$2005,"&gt;="&amp;基础资料!$C$9,资金流水!$B$6:$B$2005,"&lt;"&amp;$C$4)-SUMIFS(资金流水!$R$6:$R$2005,资金流水!$AD$6:$AD$2005,$B18,资金流水!$X$6:$X$2005,"账户互转",资金流水!$B$6:$B$2005,"&gt;="&amp;基础资料!$C$9,资金流水!$B$6:$B$2005,"&lt;"&amp;$C$4),2))</f>
      </c>
      <c r="E18" s="21">
        <f t="shared" si="4"/>
      </c>
      <c r="F18" s="21">
        <f t="shared" si="9"/>
      </c>
      <c r="G18" s="21">
        <f t="shared" si="21"/>
      </c>
      <c r="H18" s="21">
        <f>IF(OR($B18="",基础资料!$M$15=""),"",基础资料!$M$15)</f>
      </c>
      <c r="I18" s="95">
        <f>IF(OR($B18="",基础资料!$N$15=""),"",基础资料!$N$15)</f>
      </c>
      <c r="J18" s="21">
        <f>IF(OR($B18="",基础资料!$O$15=""),"",基础资料!$O$15)</f>
      </c>
      <c r="K18" s="96">
        <f>IF($B18="","",IF(C18="个人户",IF(G18&lt;0,"公司欠"&amp;基础资料!$I$15&amp;"的",IF(G18&gt;0,"他手上公司的钱（备用金）","")),IF(C18="票据","在手的承兑汇票","")))</f>
      </c>
      <c r="X18" s="2">
        <f>IF(项目档案!$B$21="",0,SUMIFS(资金流水!$R$6:$R$2005,资金流水!$H$6:$H$2005,项目档案!$B$21,资金流水!$X$6:$X$2005,"应收账款",资金流水!$B$6:$B$2005,"&gt;="&amp;$C$4,资金流水!$B$6:$B$2005,"&lt;="&amp;$E$4))</f>
        <v>0</v>
      </c>
      <c r="Y18" s="2">
        <f>SUM(CA1:CA18)</f>
        <v>2</v>
      </c>
      <c r="Z18" s="2">
        <f>IF(往来单位!$B$21="",0,-SUMIFS(资金流水!$R$6:$R$2005,资金流水!$J$6:$J$2005,往来单位!$B$21,资金流水!$R$6:$R$2005,"&lt;0",资金流水!$X$6:$X$2005,"&lt;&gt;账户互转",资金流水!$B$6:$B$2005,"&gt;="&amp;$C$4,资金流水!$B$6:$B$2005,"&lt;="&amp;$E$4))</f>
        <v>0</v>
      </c>
      <c r="AA18" s="2">
        <f>IF(Z18&gt;0,Z18+(301-18)/1000000,0)</f>
        <v>0</v>
      </c>
      <c r="CA18" s="2">
        <f t="shared" si="0"/>
        <v>0</v>
      </c>
    </row>
    <row r="19">
      <c r="A19" s="94">
        <f>IF($B19="","",12)</f>
      </c>
      <c r="B19" s="96">
        <f>基础资料!$G$16&amp;""</f>
      </c>
      <c r="C19" s="94">
        <f>基础资料!$H$16&amp;""</f>
      </c>
      <c r="D19" s="21">
        <f>IF($B19="","",ROUND(N(基础资料!$K$16)+SUMIFS(资金流水!$R$6:$R$2005,资金流水!$C$6:$C$2005,$B19,资金流水!$B$6:$B$2005,"&gt;="&amp;基础资料!$C$9,资金流水!$B$6:$B$2005,"&lt;"&amp;$C$4)-SUMIFS(资金流水!$R$6:$R$2005,资金流水!$AD$6:$AD$2005,$B19,资金流水!$X$6:$X$2005,"账户互转",资金流水!$B$6:$B$2005,"&gt;="&amp;基础资料!$C$9,资金流水!$B$6:$B$2005,"&lt;"&amp;$C$4),2))</f>
      </c>
      <c r="E19" s="21">
        <f t="shared" si="4"/>
      </c>
      <c r="F19" s="21">
        <f t="shared" si="9"/>
      </c>
      <c r="G19" s="21">
        <f t="shared" si="21"/>
      </c>
      <c r="H19" s="21">
        <f>IF(OR($B19="",基础资料!$M$16=""),"",基础资料!$M$16)</f>
      </c>
      <c r="I19" s="95">
        <f>IF(OR($B19="",基础资料!$N$16=""),"",基础资料!$N$16)</f>
      </c>
      <c r="J19" s="21">
        <f>IF(OR($B19="",基础资料!$O$16=""),"",基础资料!$O$16)</f>
      </c>
      <c r="K19" s="96">
        <f>IF($B19="","",IF(C19="个人户",IF(G19&lt;0,"公司欠"&amp;基础资料!$I$16&amp;"的",IF(G19&gt;0,"他手上公司的钱（备用金）","")),IF(C19="票据","在手的承兑汇票","")))</f>
      </c>
      <c r="X19" s="2">
        <f>IF(项目档案!$B$22="",0,SUMIFS(资金流水!$R$6:$R$2005,资金流水!$H$6:$H$2005,项目档案!$B$22,资金流水!$X$6:$X$2005,"应收账款",资金流水!$B$6:$B$2005,"&gt;="&amp;$C$4,资金流水!$B$6:$B$2005,"&lt;="&amp;$E$4))</f>
        <v>0</v>
      </c>
      <c r="Y19" s="2">
        <f>SUM(CA1:CA19)</f>
        <v>2</v>
      </c>
      <c r="Z19" s="2">
        <f>IF(往来单位!$B$22="",0,-SUMIFS(资金流水!$R$6:$R$2005,资金流水!$J$6:$J$2005,往来单位!$B$22,资金流水!$R$6:$R$2005,"&lt;0",资金流水!$X$6:$X$2005,"&lt;&gt;账户互转",资金流水!$B$6:$B$2005,"&gt;="&amp;$C$4,资金流水!$B$6:$B$2005,"&lt;="&amp;$E$4))</f>
        <v>0</v>
      </c>
      <c r="AA19" s="2">
        <f>IF(Z19&gt;0,Z19+(301-19)/1000000,0)</f>
        <v>0</v>
      </c>
      <c r="CA19" s="2">
        <f t="shared" si="0"/>
        <v>0</v>
      </c>
    </row>
    <row r="20">
      <c r="A20" s="94">
        <f>IF($B20="","",13)</f>
      </c>
      <c r="B20" s="96">
        <f>基础资料!$G$17&amp;""</f>
      </c>
      <c r="C20" s="94">
        <f>基础资料!$H$17&amp;""</f>
      </c>
      <c r="D20" s="21">
        <f>IF($B20="","",ROUND(N(基础资料!$K$17)+SUMIFS(资金流水!$R$6:$R$2005,资金流水!$C$6:$C$2005,$B20,资金流水!$B$6:$B$2005,"&gt;="&amp;基础资料!$C$9,资金流水!$B$6:$B$2005,"&lt;"&amp;$C$4)-SUMIFS(资金流水!$R$6:$R$2005,资金流水!$AD$6:$AD$2005,$B20,资金流水!$X$6:$X$2005,"账户互转",资金流水!$B$6:$B$2005,"&gt;="&amp;基础资料!$C$9,资金流水!$B$6:$B$2005,"&lt;"&amp;$C$4),2))</f>
      </c>
      <c r="E20" s="21">
        <f t="shared" si="4"/>
      </c>
      <c r="F20" s="21">
        <f t="shared" si="9"/>
      </c>
      <c r="G20" s="21">
        <f t="shared" si="21"/>
      </c>
      <c r="H20" s="21">
        <f>IF(OR($B20="",基础资料!$M$17=""),"",基础资料!$M$17)</f>
      </c>
      <c r="I20" s="95">
        <f>IF(OR($B20="",基础资料!$N$17=""),"",基础资料!$N$17)</f>
      </c>
      <c r="J20" s="21">
        <f>IF(OR($B20="",基础资料!$O$17=""),"",基础资料!$O$17)</f>
      </c>
      <c r="K20" s="96">
        <f>IF($B20="","",IF(C20="个人户",IF(G20&lt;0,"公司欠"&amp;基础资料!$I$17&amp;"的",IF(G20&gt;0,"他手上公司的钱（备用金）","")),IF(C20="票据","在手的承兑汇票","")))</f>
      </c>
      <c r="X20" s="2">
        <f>IF(项目档案!$B$23="",0,SUMIFS(资金流水!$R$6:$R$2005,资金流水!$H$6:$H$2005,项目档案!$B$23,资金流水!$X$6:$X$2005,"应收账款",资金流水!$B$6:$B$2005,"&gt;="&amp;$C$4,资金流水!$B$6:$B$2005,"&lt;="&amp;$E$4))</f>
        <v>0</v>
      </c>
      <c r="Y20" s="2">
        <f>SUM(CA1:CA20)</f>
        <v>2</v>
      </c>
      <c r="Z20" s="2">
        <f>IF(往来单位!$B$23="",0,-SUMIFS(资金流水!$R$6:$R$2005,资金流水!$J$6:$J$2005,往来单位!$B$23,资金流水!$R$6:$R$2005,"&lt;0",资金流水!$X$6:$X$2005,"&lt;&gt;账户互转",资金流水!$B$6:$B$2005,"&gt;="&amp;$C$4,资金流水!$B$6:$B$2005,"&lt;="&amp;$E$4))</f>
        <v>0</v>
      </c>
      <c r="AA20" s="2">
        <f>IF(Z20&gt;0,Z20+(301-20)/1000000,0)</f>
        <v>0</v>
      </c>
      <c r="CA20" s="2">
        <f t="shared" si="0"/>
        <v>0</v>
      </c>
    </row>
    <row r="21">
      <c r="A21" s="94">
        <f>IF($B21="","",14)</f>
      </c>
      <c r="B21" s="96">
        <f>基础资料!$G$18&amp;""</f>
      </c>
      <c r="C21" s="94">
        <f>基础资料!$H$18&amp;""</f>
      </c>
      <c r="D21" s="21">
        <f>IF($B21="","",ROUND(N(基础资料!$K$18)+SUMIFS(资金流水!$R$6:$R$2005,资金流水!$C$6:$C$2005,$B21,资金流水!$B$6:$B$2005,"&gt;="&amp;基础资料!$C$9,资金流水!$B$6:$B$2005,"&lt;"&amp;$C$4)-SUMIFS(资金流水!$R$6:$R$2005,资金流水!$AD$6:$AD$2005,$B21,资金流水!$X$6:$X$2005,"账户互转",资金流水!$B$6:$B$2005,"&gt;="&amp;基础资料!$C$9,资金流水!$B$6:$B$2005,"&lt;"&amp;$C$4),2))</f>
      </c>
      <c r="E21" s="21">
        <f t="shared" si="4"/>
      </c>
      <c r="F21" s="21">
        <f t="shared" si="9"/>
      </c>
      <c r="G21" s="21">
        <f t="shared" si="21"/>
      </c>
      <c r="H21" s="21">
        <f>IF(OR($B21="",基础资料!$M$18=""),"",基础资料!$M$18)</f>
      </c>
      <c r="I21" s="95">
        <f>IF(OR($B21="",基础资料!$N$18=""),"",基础资料!$N$18)</f>
      </c>
      <c r="J21" s="21">
        <f>IF(OR($B21="",基础资料!$O$18=""),"",基础资料!$O$18)</f>
      </c>
      <c r="K21" s="96">
        <f>IF($B21="","",IF(C21="个人户",IF(G21&lt;0,"公司欠"&amp;基础资料!$I$18&amp;"的",IF(G21&gt;0,"他手上公司的钱（备用金）","")),IF(C21="票据","在手的承兑汇票","")))</f>
      </c>
      <c r="X21" s="2">
        <f>IF(项目档案!$B$24="",0,SUMIFS(资金流水!$R$6:$R$2005,资金流水!$H$6:$H$2005,项目档案!$B$24,资金流水!$X$6:$X$2005,"应收账款",资金流水!$B$6:$B$2005,"&gt;="&amp;$C$4,资金流水!$B$6:$B$2005,"&lt;="&amp;$E$4))</f>
        <v>0</v>
      </c>
      <c r="Y21" s="2">
        <f>SUM(CA1:CA21)</f>
        <v>2</v>
      </c>
      <c r="Z21" s="2">
        <f>IF(往来单位!$B$24="",0,-SUMIFS(资金流水!$R$6:$R$2005,资金流水!$J$6:$J$2005,往来单位!$B$24,资金流水!$R$6:$R$2005,"&lt;0",资金流水!$X$6:$X$2005,"&lt;&gt;账户互转",资金流水!$B$6:$B$2005,"&gt;="&amp;$C$4,资金流水!$B$6:$B$2005,"&lt;="&amp;$E$4))</f>
        <v>0</v>
      </c>
      <c r="AA21" s="2">
        <f>IF(Z21&gt;0,Z21+(301-21)/1000000,0)</f>
        <v>0</v>
      </c>
      <c r="CA21" s="2">
        <f t="shared" si="0"/>
        <v>0</v>
      </c>
    </row>
    <row r="22">
      <c r="A22" s="94">
        <f>IF($B22="","",15)</f>
      </c>
      <c r="B22" s="96">
        <f>基础资料!$G$19&amp;""</f>
      </c>
      <c r="C22" s="94">
        <f>基础资料!$H$19&amp;""</f>
      </c>
      <c r="D22" s="21">
        <f>IF($B22="","",ROUND(N(基础资料!$K$19)+SUMIFS(资金流水!$R$6:$R$2005,资金流水!$C$6:$C$2005,$B22,资金流水!$B$6:$B$2005,"&gt;="&amp;基础资料!$C$9,资金流水!$B$6:$B$2005,"&lt;"&amp;$C$4)-SUMIFS(资金流水!$R$6:$R$2005,资金流水!$AD$6:$AD$2005,$B22,资金流水!$X$6:$X$2005,"账户互转",资金流水!$B$6:$B$2005,"&gt;="&amp;基础资料!$C$9,资金流水!$B$6:$B$2005,"&lt;"&amp;$C$4),2))</f>
      </c>
      <c r="E22" s="21">
        <f t="shared" si="4"/>
      </c>
      <c r="F22" s="21">
        <f t="shared" si="9"/>
      </c>
      <c r="G22" s="21">
        <f t="shared" si="21"/>
      </c>
      <c r="H22" s="21">
        <f>IF(OR($B22="",基础资料!$M$19=""),"",基础资料!$M$19)</f>
      </c>
      <c r="I22" s="95">
        <f>IF(OR($B22="",基础资料!$N$19=""),"",基础资料!$N$19)</f>
      </c>
      <c r="J22" s="21">
        <f>IF(OR($B22="",基础资料!$O$19=""),"",基础资料!$O$19)</f>
      </c>
      <c r="K22" s="96">
        <f>IF($B22="","",IF(C22="个人户",IF(G22&lt;0,"公司欠"&amp;基础资料!$I$19&amp;"的",IF(G22&gt;0,"他手上公司的钱（备用金）","")),IF(C22="票据","在手的承兑汇票","")))</f>
      </c>
      <c r="X22" s="2">
        <f>IF(项目档案!$B$25="",0,SUMIFS(资金流水!$R$6:$R$2005,资金流水!$H$6:$H$2005,项目档案!$B$25,资金流水!$X$6:$X$2005,"应收账款",资金流水!$B$6:$B$2005,"&gt;="&amp;$C$4,资金流水!$B$6:$B$2005,"&lt;="&amp;$E$4))</f>
        <v>0</v>
      </c>
      <c r="Y22" s="2">
        <f>SUM(CA1:CA22)</f>
        <v>2</v>
      </c>
      <c r="Z22" s="2">
        <f>IF(往来单位!$B$25="",0,-SUMIFS(资金流水!$R$6:$R$2005,资金流水!$J$6:$J$2005,往来单位!$B$25,资金流水!$R$6:$R$2005,"&lt;0",资金流水!$X$6:$X$2005,"&lt;&gt;账户互转",资金流水!$B$6:$B$2005,"&gt;="&amp;$C$4,资金流水!$B$6:$B$2005,"&lt;="&amp;$E$4))</f>
        <v>0</v>
      </c>
      <c r="AA22" s="2">
        <f>IF(Z22&gt;0,Z22+(301-22)/1000000,0)</f>
        <v>0</v>
      </c>
      <c r="CA22" s="2">
        <f t="shared" si="0"/>
        <v>0</v>
      </c>
    </row>
    <row r="23">
      <c r="A23" s="94">
        <f>IF($B23="","",16)</f>
      </c>
      <c r="B23" s="96">
        <f>基础资料!$G$20&amp;""</f>
      </c>
      <c r="C23" s="94">
        <f>基础资料!$H$20&amp;""</f>
      </c>
      <c r="D23" s="21">
        <f>IF($B23="","",ROUND(N(基础资料!$K$20)+SUMIFS(资金流水!$R$6:$R$2005,资金流水!$C$6:$C$2005,$B23,资金流水!$B$6:$B$2005,"&gt;="&amp;基础资料!$C$9,资金流水!$B$6:$B$2005,"&lt;"&amp;$C$4)-SUMIFS(资金流水!$R$6:$R$2005,资金流水!$AD$6:$AD$2005,$B23,资金流水!$X$6:$X$2005,"账户互转",资金流水!$B$6:$B$2005,"&gt;="&amp;基础资料!$C$9,资金流水!$B$6:$B$2005,"&lt;"&amp;$C$4),2))</f>
      </c>
      <c r="E23" s="21">
        <f t="shared" si="4"/>
      </c>
      <c r="F23" s="21">
        <f t="shared" si="9"/>
      </c>
      <c r="G23" s="21">
        <f t="shared" si="21"/>
      </c>
      <c r="H23" s="21">
        <f>IF(OR($B23="",基础资料!$M$20=""),"",基础资料!$M$20)</f>
      </c>
      <c r="I23" s="95">
        <f>IF(OR($B23="",基础资料!$N$20=""),"",基础资料!$N$20)</f>
      </c>
      <c r="J23" s="21">
        <f>IF(OR($B23="",基础资料!$O$20=""),"",基础资料!$O$20)</f>
      </c>
      <c r="K23" s="96">
        <f>IF($B23="","",IF(C23="个人户",IF(G23&lt;0,"公司欠"&amp;基础资料!$I$20&amp;"的",IF(G23&gt;0,"他手上公司的钱（备用金）","")),IF(C23="票据","在手的承兑汇票","")))</f>
      </c>
      <c r="X23" s="2">
        <f>IF(项目档案!$B$26="",0,SUMIFS(资金流水!$R$6:$R$2005,资金流水!$H$6:$H$2005,项目档案!$B$26,资金流水!$X$6:$X$2005,"应收账款",资金流水!$B$6:$B$2005,"&gt;="&amp;$C$4,资金流水!$B$6:$B$2005,"&lt;="&amp;$E$4))</f>
        <v>0</v>
      </c>
      <c r="Y23" s="2">
        <f>SUM(CA1:CA23)</f>
        <v>2</v>
      </c>
      <c r="Z23" s="2">
        <f>IF(往来单位!$B$26="",0,-SUMIFS(资金流水!$R$6:$R$2005,资金流水!$J$6:$J$2005,往来单位!$B$26,资金流水!$R$6:$R$2005,"&lt;0",资金流水!$X$6:$X$2005,"&lt;&gt;账户互转",资金流水!$B$6:$B$2005,"&gt;="&amp;$C$4,资金流水!$B$6:$B$2005,"&lt;="&amp;$E$4))</f>
        <v>0</v>
      </c>
      <c r="AA23" s="2">
        <f>IF(Z23&gt;0,Z23+(301-23)/1000000,0)</f>
        <v>0</v>
      </c>
      <c r="CA23" s="2">
        <f t="shared" si="0"/>
        <v>0</v>
      </c>
    </row>
    <row r="24">
      <c r="A24" s="94">
        <f>IF($B24="","",17)</f>
      </c>
      <c r="B24" s="96">
        <f>基础资料!$G$21&amp;""</f>
      </c>
      <c r="C24" s="94">
        <f>基础资料!$H$21&amp;""</f>
      </c>
      <c r="D24" s="21">
        <f>IF($B24="","",ROUND(N(基础资料!$K$21)+SUMIFS(资金流水!$R$6:$R$2005,资金流水!$C$6:$C$2005,$B24,资金流水!$B$6:$B$2005,"&gt;="&amp;基础资料!$C$9,资金流水!$B$6:$B$2005,"&lt;"&amp;$C$4)-SUMIFS(资金流水!$R$6:$R$2005,资金流水!$AD$6:$AD$2005,$B24,资金流水!$X$6:$X$2005,"账户互转",资金流水!$B$6:$B$2005,"&gt;="&amp;基础资料!$C$9,资金流水!$B$6:$B$2005,"&lt;"&amp;$C$4),2))</f>
      </c>
      <c r="E24" s="21">
        <f t="shared" si="4"/>
      </c>
      <c r="F24" s="21">
        <f t="shared" si="9"/>
      </c>
      <c r="G24" s="21">
        <f t="shared" si="21"/>
      </c>
      <c r="H24" s="21">
        <f>IF(OR($B24="",基础资料!$M$21=""),"",基础资料!$M$21)</f>
      </c>
      <c r="I24" s="95">
        <f>IF(OR($B24="",基础资料!$N$21=""),"",基础资料!$N$21)</f>
      </c>
      <c r="J24" s="21">
        <f>IF(OR($B24="",基础资料!$O$21=""),"",基础资料!$O$21)</f>
      </c>
      <c r="K24" s="96">
        <f>IF($B24="","",IF(C24="个人户",IF(G24&lt;0,"公司欠"&amp;基础资料!$I$21&amp;"的",IF(G24&gt;0,"他手上公司的钱（备用金）","")),IF(C24="票据","在手的承兑汇票","")))</f>
      </c>
      <c r="X24" s="2">
        <f>IF(项目档案!$B$27="",0,SUMIFS(资金流水!$R$6:$R$2005,资金流水!$H$6:$H$2005,项目档案!$B$27,资金流水!$X$6:$X$2005,"应收账款",资金流水!$B$6:$B$2005,"&gt;="&amp;$C$4,资金流水!$B$6:$B$2005,"&lt;="&amp;$E$4))</f>
        <v>0</v>
      </c>
      <c r="Y24" s="2">
        <f>SUM(CA1:CA24)</f>
        <v>2</v>
      </c>
      <c r="Z24" s="2">
        <f>IF(往来单位!$B$27="",0,-SUMIFS(资金流水!$R$6:$R$2005,资金流水!$J$6:$J$2005,往来单位!$B$27,资金流水!$R$6:$R$2005,"&lt;0",资金流水!$X$6:$X$2005,"&lt;&gt;账户互转",资金流水!$B$6:$B$2005,"&gt;="&amp;$C$4,资金流水!$B$6:$B$2005,"&lt;="&amp;$E$4))</f>
        <v>0</v>
      </c>
      <c r="AA24" s="2">
        <f>IF(Z24&gt;0,Z24+(301-24)/1000000,0)</f>
        <v>0</v>
      </c>
      <c r="CA24" s="2">
        <f t="shared" si="0"/>
        <v>0</v>
      </c>
    </row>
    <row r="25">
      <c r="A25" s="94">
        <f>IF($B25="","",18)</f>
      </c>
      <c r="B25" s="96">
        <f>基础资料!$G$22&amp;""</f>
      </c>
      <c r="C25" s="94">
        <f>基础资料!$H$22&amp;""</f>
      </c>
      <c r="D25" s="21">
        <f>IF($B25="","",ROUND(N(基础资料!$K$22)+SUMIFS(资金流水!$R$6:$R$2005,资金流水!$C$6:$C$2005,$B25,资金流水!$B$6:$B$2005,"&gt;="&amp;基础资料!$C$9,资金流水!$B$6:$B$2005,"&lt;"&amp;$C$4)-SUMIFS(资金流水!$R$6:$R$2005,资金流水!$AD$6:$AD$2005,$B25,资金流水!$X$6:$X$2005,"账户互转",资金流水!$B$6:$B$2005,"&gt;="&amp;基础资料!$C$9,资金流水!$B$6:$B$2005,"&lt;"&amp;$C$4),2))</f>
      </c>
      <c r="E25" s="21">
        <f t="shared" si="4"/>
      </c>
      <c r="F25" s="21">
        <f t="shared" si="9"/>
      </c>
      <c r="G25" s="21">
        <f t="shared" si="21"/>
      </c>
      <c r="H25" s="21">
        <f>IF(OR($B25="",基础资料!$M$22=""),"",基础资料!$M$22)</f>
      </c>
      <c r="I25" s="95">
        <f>IF(OR($B25="",基础资料!$N$22=""),"",基础资料!$N$22)</f>
      </c>
      <c r="J25" s="21">
        <f>IF(OR($B25="",基础资料!$O$22=""),"",基础资料!$O$22)</f>
      </c>
      <c r="K25" s="96">
        <f>IF($B25="","",IF(C25="个人户",IF(G25&lt;0,"公司欠"&amp;基础资料!$I$22&amp;"的",IF(G25&gt;0,"他手上公司的钱（备用金）","")),IF(C25="票据","在手的承兑汇票","")))</f>
      </c>
      <c r="X25" s="2">
        <f>IF(项目档案!$B$28="",0,SUMIFS(资金流水!$R$6:$R$2005,资金流水!$H$6:$H$2005,项目档案!$B$28,资金流水!$X$6:$X$2005,"应收账款",资金流水!$B$6:$B$2005,"&gt;="&amp;$C$4,资金流水!$B$6:$B$2005,"&lt;="&amp;$E$4))</f>
        <v>0</v>
      </c>
      <c r="Y25" s="2">
        <f>SUM(CA1:CA25)</f>
        <v>2</v>
      </c>
      <c r="Z25" s="2">
        <f>IF(往来单位!$B$28="",0,-SUMIFS(资金流水!$R$6:$R$2005,资金流水!$J$6:$J$2005,往来单位!$B$28,资金流水!$R$6:$R$2005,"&lt;0",资金流水!$X$6:$X$2005,"&lt;&gt;账户互转",资金流水!$B$6:$B$2005,"&gt;="&amp;$C$4,资金流水!$B$6:$B$2005,"&lt;="&amp;$E$4))</f>
        <v>0</v>
      </c>
      <c r="AA25" s="2">
        <f>IF(Z25&gt;0,Z25+(301-25)/1000000,0)</f>
        <v>0</v>
      </c>
      <c r="CA25" s="2">
        <f t="shared" si="0"/>
        <v>0</v>
      </c>
    </row>
    <row r="26">
      <c r="A26" s="94">
        <f>IF($B26="","",19)</f>
      </c>
      <c r="B26" s="96">
        <f>基础资料!$G$23&amp;""</f>
      </c>
      <c r="C26" s="94">
        <f>基础资料!$H$23&amp;""</f>
      </c>
      <c r="D26" s="21">
        <f>IF($B26="","",ROUND(N(基础资料!$K$23)+SUMIFS(资金流水!$R$6:$R$2005,资金流水!$C$6:$C$2005,$B26,资金流水!$B$6:$B$2005,"&gt;="&amp;基础资料!$C$9,资金流水!$B$6:$B$2005,"&lt;"&amp;$C$4)-SUMIFS(资金流水!$R$6:$R$2005,资金流水!$AD$6:$AD$2005,$B26,资金流水!$X$6:$X$2005,"账户互转",资金流水!$B$6:$B$2005,"&gt;="&amp;基础资料!$C$9,资金流水!$B$6:$B$2005,"&lt;"&amp;$C$4),2))</f>
      </c>
      <c r="E26" s="21">
        <f t="shared" si="4"/>
      </c>
      <c r="F26" s="21">
        <f t="shared" si="9"/>
      </c>
      <c r="G26" s="21">
        <f t="shared" si="21"/>
      </c>
      <c r="H26" s="21">
        <f>IF(OR($B26="",基础资料!$M$23=""),"",基础资料!$M$23)</f>
      </c>
      <c r="I26" s="95">
        <f>IF(OR($B26="",基础资料!$N$23=""),"",基础资料!$N$23)</f>
      </c>
      <c r="J26" s="21">
        <f>IF(OR($B26="",基础资料!$O$23=""),"",基础资料!$O$23)</f>
      </c>
      <c r="K26" s="96">
        <f>IF($B26="","",IF(C26="个人户",IF(G26&lt;0,"公司欠"&amp;基础资料!$I$23&amp;"的",IF(G26&gt;0,"他手上公司的钱（备用金）","")),IF(C26="票据","在手的承兑汇票","")))</f>
      </c>
      <c r="X26" s="2">
        <f>IF(项目档案!$B$29="",0,SUMIFS(资金流水!$R$6:$R$2005,资金流水!$H$6:$H$2005,项目档案!$B$29,资金流水!$X$6:$X$2005,"应收账款",资金流水!$B$6:$B$2005,"&gt;="&amp;$C$4,资金流水!$B$6:$B$2005,"&lt;="&amp;$E$4))</f>
        <v>0</v>
      </c>
      <c r="Y26" s="2">
        <f>SUM(CA1:CA26)</f>
        <v>2</v>
      </c>
      <c r="Z26" s="2">
        <f>IF(往来单位!$B$29="",0,-SUMIFS(资金流水!$R$6:$R$2005,资金流水!$J$6:$J$2005,往来单位!$B$29,资金流水!$R$6:$R$2005,"&lt;0",资金流水!$X$6:$X$2005,"&lt;&gt;账户互转",资金流水!$B$6:$B$2005,"&gt;="&amp;$C$4,资金流水!$B$6:$B$2005,"&lt;="&amp;$E$4))</f>
        <v>0</v>
      </c>
      <c r="AA26" s="2">
        <f>IF(Z26&gt;0,Z26+(301-26)/1000000,0)</f>
        <v>0</v>
      </c>
      <c r="CA26" s="2">
        <f t="shared" si="0"/>
        <v>0</v>
      </c>
    </row>
    <row r="27">
      <c r="A27" s="94">
        <f>IF($B27="","",20)</f>
      </c>
      <c r="B27" s="96">
        <f>基础资料!$G$24&amp;""</f>
      </c>
      <c r="C27" s="94">
        <f>基础资料!$H$24&amp;""</f>
      </c>
      <c r="D27" s="21">
        <f>IF($B27="","",ROUND(N(基础资料!$K$24)+SUMIFS(资金流水!$R$6:$R$2005,资金流水!$C$6:$C$2005,$B27,资金流水!$B$6:$B$2005,"&gt;="&amp;基础资料!$C$9,资金流水!$B$6:$B$2005,"&lt;"&amp;$C$4)-SUMIFS(资金流水!$R$6:$R$2005,资金流水!$AD$6:$AD$2005,$B27,资金流水!$X$6:$X$2005,"账户互转",资金流水!$B$6:$B$2005,"&gt;="&amp;基础资料!$C$9,资金流水!$B$6:$B$2005,"&lt;"&amp;$C$4),2))</f>
      </c>
      <c r="E27" s="21">
        <f t="shared" si="4"/>
      </c>
      <c r="F27" s="21">
        <f t="shared" si="9"/>
      </c>
      <c r="G27" s="21">
        <f t="shared" si="21"/>
      </c>
      <c r="H27" s="21">
        <f>IF(OR($B27="",基础资料!$M$24=""),"",基础资料!$M$24)</f>
      </c>
      <c r="I27" s="95">
        <f>IF(OR($B27="",基础资料!$N$24=""),"",基础资料!$N$24)</f>
      </c>
      <c r="J27" s="21">
        <f>IF(OR($B27="",基础资料!$O$24=""),"",基础资料!$O$24)</f>
      </c>
      <c r="K27" s="96">
        <f>IF($B27="","",IF(C27="个人户",IF(G27&lt;0,"公司欠"&amp;基础资料!$I$24&amp;"的",IF(G27&gt;0,"他手上公司的钱（备用金）","")),IF(C27="票据","在手的承兑汇票","")))</f>
      </c>
      <c r="X27" s="2">
        <f>IF(项目档案!$B$30="",0,SUMIFS(资金流水!$R$6:$R$2005,资金流水!$H$6:$H$2005,项目档案!$B$30,资金流水!$X$6:$X$2005,"应收账款",资金流水!$B$6:$B$2005,"&gt;="&amp;$C$4,资金流水!$B$6:$B$2005,"&lt;="&amp;$E$4))</f>
        <v>0</v>
      </c>
      <c r="Y27" s="2">
        <f>SUM(CA1:CA27)</f>
        <v>2</v>
      </c>
      <c r="Z27" s="2">
        <f>IF(往来单位!$B$30="",0,-SUMIFS(资金流水!$R$6:$R$2005,资金流水!$J$6:$J$2005,往来单位!$B$30,资金流水!$R$6:$R$2005,"&lt;0",资金流水!$X$6:$X$2005,"&lt;&gt;账户互转",资金流水!$B$6:$B$2005,"&gt;="&amp;$C$4,资金流水!$B$6:$B$2005,"&lt;="&amp;$E$4))</f>
        <v>0</v>
      </c>
      <c r="AA27" s="2">
        <f>IF(Z27&gt;0,Z27+(301-27)/1000000,0)</f>
        <v>0</v>
      </c>
      <c r="CA27" s="2">
        <f t="shared" si="0"/>
        <v>0</v>
      </c>
    </row>
    <row r="28">
      <c r="A28" s="99" t="n"/>
      <c r="B28" s="100" t="inlineStr">
        <is>
          <t>银行＋现金（能动用的钱）</t>
        </is>
      </c>
      <c r="C28" s="10" t="n"/>
      <c r="D28" s="101">
        <f>SUMIFS(D$8:D$27,$C$8:$C$27,"银行")+SUMIFS(D$8:D$27,$C$8:$C$27,"现金")</f>
        <v>239475.9</v>
      </c>
      <c r="E28" s="101">
        <f>SUMIFS(E$8:E$27,$C$8:$C$27,"银行")+SUMIFS(E$8:E$27,$C$8:$C$27,"现金")</f>
        <v>707262.4</v>
      </c>
      <c r="F28" s="101">
        <f>SUMIFS(F$8:F$27,$C$8:$C$27,"银行")+SUMIFS(F$8:F$27,$C$8:$C$27,"现金")</f>
        <v>256293.84</v>
      </c>
      <c r="G28" s="101">
        <f>SUMIFS(G$8:G$27,$C$8:$C$27,"银行")+SUMIFS(G$8:G$27,$C$8:$C$27,"现金")</f>
        <v>690444.46</v>
      </c>
      <c r="H28" s="99" t="n"/>
      <c r="I28" s="99" t="n"/>
      <c r="J28" s="99" t="n"/>
      <c r="K28" s="99" t="n"/>
      <c r="X28" s="2">
        <f>IF(项目档案!$B$31="",0,SUMIFS(资金流水!$R$6:$R$2005,资金流水!$H$6:$H$2005,项目档案!$B$31,资金流水!$X$6:$X$2005,"应收账款",资金流水!$B$6:$B$2005,"&gt;="&amp;$C$4,资金流水!$B$6:$B$2005,"&lt;="&amp;$E$4))</f>
        <v>0</v>
      </c>
      <c r="Y28" s="2">
        <f>SUM(CA1:CA28)</f>
        <v>2</v>
      </c>
      <c r="Z28" s="2">
        <f>IF(往来单位!$B$31="",0,-SUMIFS(资金流水!$R$6:$R$2005,资金流水!$J$6:$J$2005,往来单位!$B$31,资金流水!$R$6:$R$2005,"&lt;0",资金流水!$X$6:$X$2005,"&lt;&gt;账户互转",资金流水!$B$6:$B$2005,"&gt;="&amp;$C$4,资金流水!$B$6:$B$2005,"&lt;="&amp;$E$4))</f>
        <v>0</v>
      </c>
      <c r="AA28" s="2">
        <f>IF(Z28&gt;0,Z28+(301-28)/1000000,0)</f>
        <v>0</v>
      </c>
      <c r="CA28" s="2">
        <f t="shared" si="0"/>
        <v>0</v>
      </c>
    </row>
    <row r="29">
      <c r="A29" s="99" t="n"/>
      <c r="B29" s="100" t="inlineStr">
        <is>
          <t>承兑汇票</t>
        </is>
      </c>
      <c r="C29" s="10" t="n"/>
      <c r="D29" s="101">
        <f>SUMIFS(D$8:D$27,$C$8:$C$27,"票据")</f>
        <v>0</v>
      </c>
      <c r="E29" s="101">
        <f>SUMIFS(E$8:E$27,$C$8:$C$27,"票据")</f>
        <v>0</v>
      </c>
      <c r="F29" s="101">
        <f>SUMIFS(F$8:F$27,$C$8:$C$27,"票据")</f>
        <v>0</v>
      </c>
      <c r="G29" s="101">
        <f>SUMIFS(G$8:G$27,$C$8:$C$27,"票据")</f>
        <v>0</v>
      </c>
      <c r="H29" s="99" t="n"/>
      <c r="I29" s="99" t="n"/>
      <c r="J29" s="99" t="n"/>
      <c r="K29" s="99" t="n"/>
      <c r="X29" s="2">
        <f>IF(项目档案!$B$32="",0,SUMIFS(资金流水!$R$6:$R$2005,资金流水!$H$6:$H$2005,项目档案!$B$32,资金流水!$X$6:$X$2005,"应收账款",资金流水!$B$6:$B$2005,"&gt;="&amp;$C$4,资金流水!$B$6:$B$2005,"&lt;="&amp;$E$4))</f>
        <v>0</v>
      </c>
      <c r="Y29" s="2">
        <f>SUM(CA1:CA29)</f>
        <v>2</v>
      </c>
      <c r="Z29" s="2">
        <f>IF(往来单位!$B$32="",0,-SUMIFS(资金流水!$R$6:$R$2005,资金流水!$J$6:$J$2005,往来单位!$B$32,资金流水!$R$6:$R$2005,"&lt;0",资金流水!$X$6:$X$2005,"&lt;&gt;账户互转",资金流水!$B$6:$B$2005,"&gt;="&amp;$C$4,资金流水!$B$6:$B$2005,"&lt;="&amp;$E$4))</f>
        <v>0</v>
      </c>
      <c r="AA29" s="2">
        <f>IF(Z29&gt;0,Z29+(301-29)/1000000,0)</f>
        <v>0</v>
      </c>
      <c r="CA29" s="2">
        <f t="shared" si="0"/>
        <v>0</v>
      </c>
    </row>
    <row r="30">
      <c r="A30" s="99" t="n"/>
      <c r="B30" s="100" t="inlineStr">
        <is>
          <t>老板/负责人个人户（负＝公司欠）</t>
        </is>
      </c>
      <c r="C30" s="10" t="n"/>
      <c r="D30" s="101">
        <f>SUMIFS(D$8:D$27,$C$8:$C$27,"个人户")</f>
        <v>-378327.6</v>
      </c>
      <c r="E30" s="101">
        <f>SUMIFS(E$8:E$27,$C$8:$C$27,"个人户")</f>
        <v>100000</v>
      </c>
      <c r="F30" s="101">
        <f>SUMIFS(F$8:F$27,$C$8:$C$27,"个人户")</f>
        <v>5200</v>
      </c>
      <c r="G30" s="101">
        <f>SUMIFS(G$8:G$27,$C$8:$C$27,"个人户")</f>
        <v>-283527.6</v>
      </c>
      <c r="H30" s="99" t="n"/>
      <c r="I30" s="99" t="n"/>
      <c r="J30" s="99" t="n"/>
      <c r="K30" s="99" t="n"/>
      <c r="X30" s="2">
        <f>IF(项目档案!$B$33="",0,SUMIFS(资金流水!$R$6:$R$2005,资金流水!$H$6:$H$2005,项目档案!$B$33,资金流水!$X$6:$X$2005,"应收账款",资金流水!$B$6:$B$2005,"&gt;="&amp;$C$4,资金流水!$B$6:$B$2005,"&lt;="&amp;$E$4))</f>
        <v>0</v>
      </c>
      <c r="Y30" s="2">
        <f>SUM(CA1:CA30)</f>
        <v>2</v>
      </c>
      <c r="Z30" s="2">
        <f>IF(往来单位!$B$33="",0,-SUMIFS(资金流水!$R$6:$R$2005,资金流水!$J$6:$J$2005,往来单位!$B$33,资金流水!$R$6:$R$2005,"&lt;0",资金流水!$X$6:$X$2005,"&lt;&gt;账户互转",资金流水!$B$6:$B$2005,"&gt;="&amp;$C$4,资金流水!$B$6:$B$2005,"&lt;="&amp;$E$4))</f>
        <v>0</v>
      </c>
      <c r="AA30" s="2">
        <f>IF(Z30&gt;0,Z30+(301-30)/1000000,0)</f>
        <v>0</v>
      </c>
      <c r="CA30" s="2">
        <f t="shared" si="0"/>
        <v>0</v>
      </c>
    </row>
    <row r="31">
      <c r="X31" s="2">
        <f>IF(项目档案!$B$34="",0,SUMIFS(资金流水!$R$6:$R$2005,资金流水!$H$6:$H$2005,项目档案!$B$34,资金流水!$X$6:$X$2005,"应收账款",资金流水!$B$6:$B$2005,"&gt;="&amp;$C$4,资金流水!$B$6:$B$2005,"&lt;="&amp;$E$4))</f>
        <v>0</v>
      </c>
      <c r="Y31" s="2">
        <f>SUM(CA1:CA31)</f>
        <v>2</v>
      </c>
      <c r="Z31" s="2">
        <f>IF(往来单位!$B$34="",0,-SUMIFS(资金流水!$R$6:$R$2005,资金流水!$J$6:$J$2005,往来单位!$B$34,资金流水!$R$6:$R$2005,"&lt;0",资金流水!$X$6:$X$2005,"&lt;&gt;账户互转",资金流水!$B$6:$B$2005,"&gt;="&amp;$C$4,资金流水!$B$6:$B$2005,"&lt;="&amp;$E$4))</f>
        <v>20000</v>
      </c>
      <c r="AA31" s="2">
        <f>IF(Z31&gt;0,Z31+(301-31)/1000000,0)</f>
        <v>20000.00027</v>
      </c>
      <c r="CA31" s="2">
        <f t="shared" si="0"/>
        <v>0</v>
      </c>
    </row>
    <row r="32">
      <c r="X32" s="2">
        <f>IF(项目档案!$B$35="",0,SUMIFS(资金流水!$R$6:$R$2005,资金流水!$H$6:$H$2005,项目档案!$B$35,资金流水!$X$6:$X$2005,"应收账款",资金流水!$B$6:$B$2005,"&gt;="&amp;$C$4,资金流水!$B$6:$B$2005,"&lt;="&amp;$E$4))</f>
        <v>0</v>
      </c>
      <c r="Y32" s="2">
        <f>SUM(CA1:CA32)</f>
        <v>2</v>
      </c>
      <c r="Z32" s="2">
        <f>IF(往来单位!$B$35="",0,-SUMIFS(资金流水!$R$6:$R$2005,资金流水!$J$6:$J$2005,往来单位!$B$35,资金流水!$R$6:$R$2005,"&lt;0",资金流水!$X$6:$X$2005,"&lt;&gt;账户互转",资金流水!$B$6:$B$2005,"&gt;="&amp;$C$4,资金流水!$B$6:$B$2005,"&lt;="&amp;$E$4))</f>
        <v>0</v>
      </c>
      <c r="AA32" s="2">
        <f>IF(Z32&gt;0,Z32+(301-32)/1000000,0)</f>
        <v>0</v>
      </c>
      <c r="CA32" s="2">
        <f t="shared" si="0"/>
        <v>0</v>
      </c>
    </row>
    <row r="33">
      <c r="A33" s="75" t="inlineStr">
        <is>
          <t>② 分段（月报按周 · 周报按天 · 自定义长的按月；不含账户互转）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X33" s="2">
        <f>IF(项目档案!$B$36="",0,SUMIFS(资金流水!$R$6:$R$2005,资金流水!$H$6:$H$2005,项目档案!$B$36,资金流水!$X$6:$X$2005,"应收账款",资金流水!$B$6:$B$2005,"&gt;="&amp;$C$4,资金流水!$B$6:$B$2005,"&lt;="&amp;$E$4))</f>
        <v>0</v>
      </c>
      <c r="Y33" s="2">
        <f>SUM(CA1:CA33)</f>
        <v>2</v>
      </c>
      <c r="Z33" s="2">
        <f>IF(往来单位!$B$36="",0,-SUMIFS(资金流水!$R$6:$R$2005,资金流水!$J$6:$J$2005,往来单位!$B$36,资金流水!$R$6:$R$2005,"&lt;0",资金流水!$X$6:$X$2005,"&lt;&gt;账户互转",资金流水!$B$6:$B$2005,"&gt;="&amp;$C$4,资金流水!$B$6:$B$2005,"&lt;="&amp;$E$4))</f>
        <v>0</v>
      </c>
      <c r="AA33" s="2">
        <f>IF(Z33&gt;0,Z33+(301-33)/1000000,0)</f>
        <v>0</v>
      </c>
      <c r="CA33" s="2">
        <f t="shared" si="0"/>
        <v>0</v>
      </c>
    </row>
    <row r="34" ht="40" customHeight="1">
      <c r="A34" s="70" t="inlineStr">
        <is>
          <t>段</t>
        </is>
      </c>
      <c r="B34" s="70" t="inlineStr">
        <is>
          <t>起</t>
        </is>
      </c>
      <c r="C34" s="70" t="inlineStr">
        <is>
          <t>止</t>
        </is>
      </c>
      <c r="D34" s="70" t="inlineStr">
        <is>
          <t>收到的钱</t>
        </is>
      </c>
      <c r="E34" s="70" t="inlineStr">
        <is>
          <t>付出的钱</t>
        </is>
      </c>
      <c r="F34" s="70" t="inlineStr">
        <is>
          <t>净额
（不含互转）</t>
        </is>
      </c>
      <c r="G34" s="70" t="inlineStr">
        <is>
          <t>银行＋现金
段末余额</t>
        </is>
      </c>
      <c r="H34" s="70" t="inlineStr">
        <is>
          <t>其中老板个人户
代收付净额</t>
        </is>
      </c>
      <c r="I34" s="70" t="inlineStr">
        <is>
          <t>银行现金跟个人户、
票据互转（净）</t>
        </is>
      </c>
      <c r="X34" s="2">
        <f>IF(项目档案!$B$37="",0,SUMIFS(资金流水!$R$6:$R$2005,资金流水!$H$6:$H$2005,项目档案!$B$37,资金流水!$X$6:$X$2005,"应收账款",资金流水!$B$6:$B$2005,"&gt;="&amp;$C$4,资金流水!$B$6:$B$2005,"&lt;="&amp;$E$4))</f>
        <v>0</v>
      </c>
      <c r="Y34" s="2">
        <f>SUM(CA1:CA34)</f>
        <v>2</v>
      </c>
      <c r="Z34" s="2">
        <f>IF(往来单位!$B$37="",0,-SUMIFS(资金流水!$R$6:$R$2005,资金流水!$J$6:$J$2005,往来单位!$B$37,资金流水!$R$6:$R$2005,"&lt;0",资金流水!$X$6:$X$2005,"&lt;&gt;账户互转",资金流水!$B$6:$B$2005,"&gt;="&amp;$C$4,资金流水!$B$6:$B$2005,"&lt;="&amp;$E$4))</f>
        <v>0</v>
      </c>
      <c r="AA34" s="2">
        <f>IF(Z34&gt;0,Z34+(301-34)/1000000,0)</f>
        <v>0</v>
      </c>
      <c r="CA34" s="2">
        <f t="shared" si="0"/>
        <v>0</v>
      </c>
    </row>
    <row r="35">
      <c r="A35" s="43">
        <f>IF(B35="","",1)</f>
        <v>1</v>
      </c>
      <c r="B35" s="102">
        <f>$C$4</f>
        <v>46235.0</v>
      </c>
      <c r="C35" s="102">
        <f t="shared" ref="C35:C46" si="1">IF(B35="","",MIN($E$4,IF(IF($C$3="周报","日",IF($E$4-$C$4&lt;=31,"周","月"))="日",B35,IF(IF($C$3="周报","日",IF($E$4-$C$4&lt;=31,"周","月"))="周",B35+7-WEEKDAY(B35,2),EOMONTH(B35,0)))))</f>
        <v>46236.0</v>
      </c>
      <c r="D35" s="48">
        <f t="shared" ref="D35:D46" si="17">IF(B35="","",SUMIFS(资金流水!$R$6:$R$2005,资金流水!$R$6:$R$2005,"&gt;0",资金流水!$X$6:$X$2005,"&lt;&gt;账户互转",资金流水!$B$6:$B$2005,"&gt;="&amp;B35,资金流水!$B$6:$B$2005,"&lt;="&amp;C35))</f>
        <v>0</v>
      </c>
      <c r="E35" s="48">
        <f t="shared" ref="E35:E46" si="5">IF(B35="","",-SUMIFS(资金流水!$R$6:$R$2005,资金流水!$R$6:$R$2005,"&lt;0",资金流水!$X$6:$X$2005,"&lt;&gt;账户互转",资金流水!$B$6:$B$2005,"&gt;="&amp;B35,资金流水!$B$6:$B$2005,"&lt;="&amp;C35))</f>
        <v>0</v>
      </c>
      <c r="F35" s="48">
        <f t="shared" ref="F35:F46" si="10">IF(B35="","",D35-E35)</f>
        <v>0</v>
      </c>
      <c r="G35" s="48">
        <f t="shared" ref="G35:G46" si="22">IF(B35="","",ROUND(SUMIFS(基础资料!$K$5:$K$24,基础资料!$H$5:$H$24,"银行")+SUMIFS(基础资料!$K$5:$K$24,基础资料!$H$5:$H$24,"现金")+SUMIFS(资金流水!$R$6:$R$2005,资金流水!$AE$6:$AE$2005,"银行",资金流水!$B$6:$B$2005,"&gt;="&amp;基础资料!$C$9,资金流水!$B$6:$B$2005,"&lt;="&amp;C35)-SUMIFS(资金流水!$R$6:$R$2005,资金流水!$AF$6:$AF$2005,"银行",资金流水!$X$6:$X$2005,"账户互转",资金流水!$B$6:$B$2005,"&gt;="&amp;基础资料!$C$9,资金流水!$B$6:$B$2005,"&lt;="&amp;C35)+SUMIFS(资金流水!$R$6:$R$2005,资金流水!$AE$6:$AE$2005,"现金",资金流水!$B$6:$B$2005,"&gt;="&amp;基础资料!$C$9,资金流水!$B$6:$B$2005,"&lt;="&amp;C35)-SUMIFS(资金流水!$R$6:$R$2005,资金流水!$AF$6:$AF$2005,"现金",资金流水!$X$6:$X$2005,"账户互转",资金流水!$B$6:$B$2005,"&gt;="&amp;基础资料!$C$9,资金流水!$B$6:$B$2005,"&lt;="&amp;C35),2))</f>
        <v>239475.9</v>
      </c>
      <c r="H35" s="48">
        <f t="shared" ref="H35:H46" si="25">IF(B35="","",SUMIFS(资金流水!$R$6:$R$2005,资金流水!$AE$6:$AE$2005,"个人户",资金流水!$X$6:$X$2005,"&lt;&gt;账户互转",资金流水!$B$6:$B$2005,"&gt;="&amp;B35,资金流水!$B$6:$B$2005,"&lt;="&amp;C35))</f>
        <v>0</v>
      </c>
      <c r="I35" s="48">
        <f>IF(B35="","",ROUND(G35-$D$28-(F35-H35),2))</f>
        <v>0</v>
      </c>
      <c r="X35" s="2">
        <f>IF(项目档案!$B$38="",0,SUMIFS(资金流水!$R$6:$R$2005,资金流水!$H$6:$H$2005,项目档案!$B$38,资金流水!$X$6:$X$2005,"应收账款",资金流水!$B$6:$B$2005,"&gt;="&amp;$C$4,资金流水!$B$6:$B$2005,"&lt;="&amp;$E$4))</f>
        <v>0</v>
      </c>
      <c r="Y35" s="2">
        <f>SUM(CA1:CA35)</f>
        <v>2</v>
      </c>
      <c r="Z35" s="2">
        <f>IF(往来单位!$B$38="",0,-SUMIFS(资金流水!$R$6:$R$2005,资金流水!$J$6:$J$2005,往来单位!$B$38,资金流水!$R$6:$R$2005,"&lt;0",资金流水!$X$6:$X$2005,"&lt;&gt;账户互转",资金流水!$B$6:$B$2005,"&gt;="&amp;$C$4,资金流水!$B$6:$B$2005,"&lt;="&amp;$E$4))</f>
        <v>0</v>
      </c>
      <c r="AA35" s="2">
        <f>IF(Z35&gt;0,Z35+(301-35)/1000000,0)</f>
        <v>0</v>
      </c>
      <c r="CA35" s="2">
        <f t="shared" si="0"/>
        <v>0</v>
      </c>
    </row>
    <row r="36">
      <c r="A36" s="43">
        <f>IF(B36="","",2)</f>
        <v>2</v>
      </c>
      <c r="B36" s="102">
        <f t="shared" ref="B36:B46" si="14">IF(OR(C35="",C35&gt;=$E$4),"",C35+1)</f>
        <v>46237.0</v>
      </c>
      <c r="C36" s="102">
        <f t="shared" si="1"/>
        <v>46243.0</v>
      </c>
      <c r="D36" s="48">
        <f t="shared" si="17"/>
        <v>0</v>
      </c>
      <c r="E36" s="48">
        <f t="shared" si="5"/>
        <v>1040</v>
      </c>
      <c r="F36" s="48">
        <f t="shared" si="10"/>
        <v>-1040</v>
      </c>
      <c r="G36" s="48">
        <f t="shared" si="22"/>
        <v>239035.9</v>
      </c>
      <c r="H36" s="48">
        <f t="shared" si="25"/>
        <v>0</v>
      </c>
      <c r="I36" s="48">
        <f t="shared" ref="I36:I46" si="28">IF(B36="","",ROUND(G36-G35-(F36-H36),2))</f>
        <v>600</v>
      </c>
      <c r="X36" s="2">
        <f>IF(项目档案!$B$39="",0,SUMIFS(资金流水!$R$6:$R$2005,资金流水!$H$6:$H$2005,项目档案!$B$39,资金流水!$X$6:$X$2005,"应收账款",资金流水!$B$6:$B$2005,"&gt;="&amp;$C$4,资金流水!$B$6:$B$2005,"&lt;="&amp;$E$4))</f>
        <v>0</v>
      </c>
      <c r="Y36" s="2">
        <f>SUM(CA1:CA36)</f>
        <v>2</v>
      </c>
      <c r="Z36" s="2">
        <f>IF(往来单位!$B$39="",0,-SUMIFS(资金流水!$R$6:$R$2005,资金流水!$J$6:$J$2005,往来单位!$B$39,资金流水!$R$6:$R$2005,"&lt;0",资金流水!$X$6:$X$2005,"&lt;&gt;账户互转",资金流水!$B$6:$B$2005,"&gt;="&amp;$C$4,资金流水!$B$6:$B$2005,"&lt;="&amp;$E$4))</f>
        <v>0</v>
      </c>
      <c r="AA36" s="2">
        <f>IF(Z36&gt;0,Z36+(301-36)/1000000,0)</f>
        <v>0</v>
      </c>
      <c r="CA36" s="2">
        <f t="shared" si="0"/>
        <v>0</v>
      </c>
    </row>
    <row r="37">
      <c r="A37" s="43">
        <f>IF(B37="","",3)</f>
        <v>3</v>
      </c>
      <c r="B37" s="102">
        <f t="shared" si="14"/>
        <v>46244.0</v>
      </c>
      <c r="C37" s="102">
        <f t="shared" si="1"/>
        <v>46250.0</v>
      </c>
      <c r="D37" s="48">
        <f t="shared" si="17"/>
        <v>0</v>
      </c>
      <c r="E37" s="48">
        <f t="shared" si="5"/>
        <v>0</v>
      </c>
      <c r="F37" s="48">
        <f t="shared" si="10"/>
        <v>0</v>
      </c>
      <c r="G37" s="48">
        <f t="shared" si="22"/>
        <v>239035.9</v>
      </c>
      <c r="H37" s="48">
        <f t="shared" si="25"/>
        <v>0</v>
      </c>
      <c r="I37" s="48">
        <f t="shared" si="28"/>
        <v>0</v>
      </c>
      <c r="X37" s="2">
        <f>IF(项目档案!$B$40="",0,SUMIFS(资金流水!$R$6:$R$2005,资金流水!$H$6:$H$2005,项目档案!$B$40,资金流水!$X$6:$X$2005,"应收账款",资金流水!$B$6:$B$2005,"&gt;="&amp;$C$4,资金流水!$B$6:$B$2005,"&lt;="&amp;$E$4))</f>
        <v>0</v>
      </c>
      <c r="Y37" s="2">
        <f>SUM(CA1:CA37)</f>
        <v>2</v>
      </c>
      <c r="Z37" s="2">
        <f>IF(往来单位!$B$40="",0,-SUMIFS(资金流水!$R$6:$R$2005,资金流水!$J$6:$J$2005,往来单位!$B$40,资金流水!$R$6:$R$2005,"&lt;0",资金流水!$X$6:$X$2005,"&lt;&gt;账户互转",资金流水!$B$6:$B$2005,"&gt;="&amp;$C$4,资金流水!$B$6:$B$2005,"&lt;="&amp;$E$4))</f>
        <v>0</v>
      </c>
      <c r="AA37" s="2">
        <f>IF(Z37&gt;0,Z37+(301-37)/1000000,0)</f>
        <v>0</v>
      </c>
      <c r="CA37" s="2">
        <f t="shared" si="0"/>
        <v>0</v>
      </c>
    </row>
    <row r="38">
      <c r="A38" s="43">
        <f>IF(B38="","",4)</f>
        <v>4</v>
      </c>
      <c r="B38" s="102">
        <f t="shared" si="14"/>
        <v>46251.0</v>
      </c>
      <c r="C38" s="102">
        <f t="shared" si="1"/>
        <v>46257.0</v>
      </c>
      <c r="D38" s="48">
        <f t="shared" si="17"/>
        <v>0</v>
      </c>
      <c r="E38" s="48">
        <f t="shared" si="5"/>
        <v>2558.01</v>
      </c>
      <c r="F38" s="48">
        <f t="shared" si="10"/>
        <v>-2558.01</v>
      </c>
      <c r="G38" s="48">
        <f t="shared" si="22"/>
        <v>239077.89</v>
      </c>
      <c r="H38" s="48">
        <f t="shared" si="25"/>
        <v>0</v>
      </c>
      <c r="I38" s="48">
        <f t="shared" si="28"/>
        <v>2600</v>
      </c>
      <c r="X38" s="2">
        <f>IF(项目档案!$B$41="",0,SUMIFS(资金流水!$R$6:$R$2005,资金流水!$H$6:$H$2005,项目档案!$B$41,资金流水!$X$6:$X$2005,"应收账款",资金流水!$B$6:$B$2005,"&gt;="&amp;$C$4,资金流水!$B$6:$B$2005,"&lt;="&amp;$E$4))</f>
        <v>0</v>
      </c>
      <c r="Y38" s="2">
        <f>SUM(CA1:CA38)</f>
        <v>2</v>
      </c>
      <c r="Z38" s="2">
        <f>IF(往来单位!$B$41="",0,-SUMIFS(资金流水!$R$6:$R$2005,资金流水!$J$6:$J$2005,往来单位!$B$41,资金流水!$R$6:$R$2005,"&lt;0",资金流水!$X$6:$X$2005,"&lt;&gt;账户互转",资金流水!$B$6:$B$2005,"&gt;="&amp;$C$4,资金流水!$B$6:$B$2005,"&lt;="&amp;$E$4))</f>
        <v>0</v>
      </c>
      <c r="AA38" s="2">
        <f>IF(Z38&gt;0,Z38+(301-38)/1000000,0)</f>
        <v>0</v>
      </c>
      <c r="CA38" s="2">
        <f t="shared" si="0"/>
        <v>0</v>
      </c>
    </row>
    <row r="39">
      <c r="A39" s="43">
        <f>IF(B39="","",5)</f>
        <v>5</v>
      </c>
      <c r="B39" s="102">
        <f t="shared" si="14"/>
        <v>46258.0</v>
      </c>
      <c r="C39" s="102">
        <f t="shared" si="1"/>
        <v>46264.0</v>
      </c>
      <c r="D39" s="48">
        <f t="shared" si="17"/>
        <v>702062.4</v>
      </c>
      <c r="E39" s="48">
        <f t="shared" si="5"/>
        <v>152695.83</v>
      </c>
      <c r="F39" s="48">
        <f t="shared" si="10"/>
        <v>549366.57</v>
      </c>
      <c r="G39" s="48">
        <f t="shared" si="22"/>
        <v>690444.46</v>
      </c>
      <c r="H39" s="48">
        <f t="shared" si="25"/>
        <v>0</v>
      </c>
      <c r="I39" s="48">
        <f t="shared" si="28"/>
        <v>-98000</v>
      </c>
      <c r="X39" s="2">
        <f>IF(项目档案!$B$42="",0,SUMIFS(资金流水!$R$6:$R$2005,资金流水!$H$6:$H$2005,项目档案!$B$42,资金流水!$X$6:$X$2005,"应收账款",资金流水!$B$6:$B$2005,"&gt;="&amp;$C$4,资金流水!$B$6:$B$2005,"&lt;="&amp;$E$4))</f>
        <v>0</v>
      </c>
      <c r="Y39" s="2">
        <f>SUM(CA1:CA39)</f>
        <v>2</v>
      </c>
      <c r="Z39" s="2">
        <f>IF(往来单位!$B$42="",0,-SUMIFS(资金流水!$R$6:$R$2005,资金流水!$J$6:$J$2005,往来单位!$B$42,资金流水!$R$6:$R$2005,"&lt;0",资金流水!$X$6:$X$2005,"&lt;&gt;账户互转",资金流水!$B$6:$B$2005,"&gt;="&amp;$C$4,资金流水!$B$6:$B$2005,"&lt;="&amp;$E$4))</f>
        <v>0</v>
      </c>
      <c r="AA39" s="2">
        <f>IF(Z39&gt;0,Z39+(301-39)/1000000,0)</f>
        <v>0</v>
      </c>
      <c r="CA39" s="2">
        <f t="shared" si="0"/>
        <v>0</v>
      </c>
    </row>
    <row r="40">
      <c r="A40" s="43">
        <f>IF(B40="","",6)</f>
        <v>6</v>
      </c>
      <c r="B40" s="102">
        <f t="shared" si="14"/>
        <v>46265.0</v>
      </c>
      <c r="C40" s="102">
        <f t="shared" si="1"/>
        <v>46265.0</v>
      </c>
      <c r="D40" s="48">
        <f t="shared" si="17"/>
        <v>0</v>
      </c>
      <c r="E40" s="48">
        <f t="shared" si="5"/>
        <v>0</v>
      </c>
      <c r="F40" s="48">
        <f t="shared" si="10"/>
        <v>0</v>
      </c>
      <c r="G40" s="48">
        <f t="shared" si="22"/>
        <v>690444.46</v>
      </c>
      <c r="H40" s="48">
        <f t="shared" si="25"/>
        <v>0</v>
      </c>
      <c r="I40" s="48">
        <f t="shared" si="28"/>
        <v>0</v>
      </c>
      <c r="X40" s="2">
        <f>IF(项目档案!$B$43="",0,SUMIFS(资金流水!$R$6:$R$2005,资金流水!$H$6:$H$2005,项目档案!$B$43,资金流水!$X$6:$X$2005,"应收账款",资金流水!$B$6:$B$2005,"&gt;="&amp;$C$4,资金流水!$B$6:$B$2005,"&lt;="&amp;$E$4))</f>
        <v>0</v>
      </c>
      <c r="Y40" s="2">
        <f>SUM(CA1:CA40)</f>
        <v>2</v>
      </c>
      <c r="Z40" s="2">
        <f>IF(往来单位!$B$43="",0,-SUMIFS(资金流水!$R$6:$R$2005,资金流水!$J$6:$J$2005,往来单位!$B$43,资金流水!$R$6:$R$2005,"&lt;0",资金流水!$X$6:$X$2005,"&lt;&gt;账户互转",资金流水!$B$6:$B$2005,"&gt;="&amp;$C$4,资金流水!$B$6:$B$2005,"&lt;="&amp;$E$4))</f>
        <v>0</v>
      </c>
      <c r="AA40" s="2">
        <f>IF(Z40&gt;0,Z40+(301-40)/1000000,0)</f>
        <v>0</v>
      </c>
      <c r="CA40" s="2">
        <f t="shared" si="0"/>
        <v>0</v>
      </c>
    </row>
    <row r="41">
      <c r="A41" s="43">
        <f>IF(B41="","",7)</f>
      </c>
      <c r="B41" s="102">
        <f t="shared" si="14"/>
      </c>
      <c r="C41" s="102">
        <f t="shared" si="1"/>
      </c>
      <c r="D41" s="48">
        <f t="shared" si="17"/>
      </c>
      <c r="E41" s="48">
        <f t="shared" si="5"/>
      </c>
      <c r="F41" s="48">
        <f t="shared" si="10"/>
      </c>
      <c r="G41" s="48">
        <f t="shared" si="22"/>
      </c>
      <c r="H41" s="48">
        <f t="shared" si="25"/>
      </c>
      <c r="I41" s="48">
        <f t="shared" si="28"/>
      </c>
      <c r="X41" s="2">
        <f>IF(项目档案!$B$44="",0,SUMIFS(资金流水!$R$6:$R$2005,资金流水!$H$6:$H$2005,项目档案!$B$44,资金流水!$X$6:$X$2005,"应收账款",资金流水!$B$6:$B$2005,"&gt;="&amp;$C$4,资金流水!$B$6:$B$2005,"&lt;="&amp;$E$4))</f>
        <v>0</v>
      </c>
      <c r="Y41" s="2">
        <f>SUM(CA1:CA41)</f>
        <v>2</v>
      </c>
      <c r="Z41" s="2">
        <f>IF(往来单位!$B$44="",0,-SUMIFS(资金流水!$R$6:$R$2005,资金流水!$J$6:$J$2005,往来单位!$B$44,资金流水!$R$6:$R$2005,"&lt;0",资金流水!$X$6:$X$2005,"&lt;&gt;账户互转",资金流水!$B$6:$B$2005,"&gt;="&amp;$C$4,资金流水!$B$6:$B$2005,"&lt;="&amp;$E$4))</f>
        <v>6000</v>
      </c>
      <c r="AA41" s="2">
        <f>IF(Z41&gt;0,Z41+(301-41)/1000000,0)</f>
        <v>6000.00026</v>
      </c>
      <c r="CA41" s="2">
        <f t="shared" si="0"/>
        <v>0</v>
      </c>
    </row>
    <row r="42">
      <c r="A42" s="43">
        <f>IF(B42="","",8)</f>
      </c>
      <c r="B42" s="102">
        <f t="shared" si="14"/>
      </c>
      <c r="C42" s="102">
        <f t="shared" si="1"/>
      </c>
      <c r="D42" s="48">
        <f t="shared" si="17"/>
      </c>
      <c r="E42" s="48">
        <f t="shared" si="5"/>
      </c>
      <c r="F42" s="48">
        <f t="shared" si="10"/>
      </c>
      <c r="G42" s="48">
        <f t="shared" si="22"/>
      </c>
      <c r="H42" s="48">
        <f t="shared" si="25"/>
      </c>
      <c r="I42" s="48">
        <f t="shared" si="28"/>
      </c>
      <c r="X42" s="2">
        <f>IF(项目档案!$B$45="",0,SUMIFS(资金流水!$R$6:$R$2005,资金流水!$H$6:$H$2005,项目档案!$B$45,资金流水!$X$6:$X$2005,"应收账款",资金流水!$B$6:$B$2005,"&gt;="&amp;$C$4,资金流水!$B$6:$B$2005,"&lt;="&amp;$E$4))</f>
        <v>0</v>
      </c>
      <c r="Y42" s="2">
        <f>SUM(CA1:CA42)</f>
        <v>2</v>
      </c>
      <c r="Z42" s="2">
        <f>IF(往来单位!$B$45="",0,-SUMIFS(资金流水!$R$6:$R$2005,资金流水!$J$6:$J$2005,往来单位!$B$45,资金流水!$R$6:$R$2005,"&lt;0",资金流水!$X$6:$X$2005,"&lt;&gt;账户互转",资金流水!$B$6:$B$2005,"&gt;="&amp;$C$4,资金流水!$B$6:$B$2005,"&lt;="&amp;$E$4))</f>
        <v>5000</v>
      </c>
      <c r="AA42" s="2">
        <f>IF(Z42&gt;0,Z42+(301-42)/1000000,0)</f>
        <v>5000.000259</v>
      </c>
      <c r="CA42" s="2">
        <f t="shared" si="0"/>
        <v>0</v>
      </c>
    </row>
    <row r="43">
      <c r="A43" s="43">
        <f>IF(B43="","",9)</f>
      </c>
      <c r="B43" s="102">
        <f t="shared" si="14"/>
      </c>
      <c r="C43" s="102">
        <f t="shared" si="1"/>
      </c>
      <c r="D43" s="48">
        <f t="shared" si="17"/>
      </c>
      <c r="E43" s="48">
        <f t="shared" si="5"/>
      </c>
      <c r="F43" s="48">
        <f t="shared" si="10"/>
      </c>
      <c r="G43" s="48">
        <f t="shared" si="22"/>
      </c>
      <c r="H43" s="48">
        <f t="shared" si="25"/>
      </c>
      <c r="I43" s="48">
        <f t="shared" si="28"/>
      </c>
      <c r="X43" s="2">
        <f>IF(项目档案!$B$46="",0,SUMIFS(资金流水!$R$6:$R$2005,资金流水!$H$6:$H$2005,项目档案!$B$46,资金流水!$X$6:$X$2005,"应收账款",资金流水!$B$6:$B$2005,"&gt;="&amp;$C$4,资金流水!$B$6:$B$2005,"&lt;="&amp;$E$4))</f>
        <v>0</v>
      </c>
      <c r="Y43" s="2">
        <f>SUM(CA1:CA43)</f>
        <v>2</v>
      </c>
      <c r="Z43" s="2">
        <f>IF(往来单位!$B$46="",0,-SUMIFS(资金流水!$R$6:$R$2005,资金流水!$J$6:$J$2005,往来单位!$B$46,资金流水!$R$6:$R$2005,"&lt;0",资金流水!$X$6:$X$2005,"&lt;&gt;账户互转",资金流水!$B$6:$B$2005,"&gt;="&amp;$C$4,资金流水!$B$6:$B$2005,"&lt;="&amp;$E$4))</f>
        <v>3000</v>
      </c>
      <c r="AA43" s="2">
        <f>IF(Z43&gt;0,Z43+(301-43)/1000000,0)</f>
        <v>3000.000258</v>
      </c>
      <c r="CA43" s="2">
        <f t="shared" si="0"/>
        <v>0</v>
      </c>
    </row>
    <row r="44">
      <c r="A44" s="43">
        <f>IF(B44="","",10)</f>
      </c>
      <c r="B44" s="102">
        <f t="shared" si="14"/>
      </c>
      <c r="C44" s="102">
        <f t="shared" si="1"/>
      </c>
      <c r="D44" s="48">
        <f t="shared" si="17"/>
      </c>
      <c r="E44" s="48">
        <f t="shared" si="5"/>
      </c>
      <c r="F44" s="48">
        <f t="shared" si="10"/>
      </c>
      <c r="G44" s="48">
        <f t="shared" si="22"/>
      </c>
      <c r="H44" s="48">
        <f t="shared" si="25"/>
      </c>
      <c r="I44" s="48">
        <f t="shared" si="28"/>
      </c>
      <c r="X44" s="2">
        <f>IF(项目档案!$B$47="",0,SUMIFS(资金流水!$R$6:$R$2005,资金流水!$H$6:$H$2005,项目档案!$B$47,资金流水!$X$6:$X$2005,"应收账款",资金流水!$B$6:$B$2005,"&gt;="&amp;$C$4,资金流水!$B$6:$B$2005,"&lt;="&amp;$E$4))</f>
        <v>0</v>
      </c>
      <c r="Y44" s="2">
        <f>SUM(CA1:CA44)</f>
        <v>2</v>
      </c>
      <c r="Z44" s="2">
        <f>IF(往来单位!$B$47="",0,-SUMIFS(资金流水!$R$6:$R$2005,资金流水!$J$6:$J$2005,往来单位!$B$47,资金流水!$R$6:$R$2005,"&lt;0",资金流水!$X$6:$X$2005,"&lt;&gt;账户互转",资金流水!$B$6:$B$2005,"&gt;="&amp;$C$4,资金流水!$B$6:$B$2005,"&lt;="&amp;$E$4))</f>
        <v>3000</v>
      </c>
      <c r="AA44" s="2">
        <f>IF(Z44&gt;0,Z44+(301-44)/1000000,0)</f>
        <v>3000.000257</v>
      </c>
      <c r="CA44" s="2">
        <f t="shared" si="0"/>
        <v>0</v>
      </c>
    </row>
    <row r="45">
      <c r="A45" s="43">
        <f>IF(B45="","",11)</f>
      </c>
      <c r="B45" s="102">
        <f t="shared" si="14"/>
      </c>
      <c r="C45" s="102">
        <f t="shared" si="1"/>
      </c>
      <c r="D45" s="48">
        <f t="shared" si="17"/>
      </c>
      <c r="E45" s="48">
        <f t="shared" si="5"/>
      </c>
      <c r="F45" s="48">
        <f t="shared" si="10"/>
      </c>
      <c r="G45" s="48">
        <f t="shared" si="22"/>
      </c>
      <c r="H45" s="48">
        <f t="shared" si="25"/>
      </c>
      <c r="I45" s="48">
        <f t="shared" si="28"/>
      </c>
      <c r="X45" s="2">
        <f>IF(项目档案!$B$48="",0,SUMIFS(资金流水!$R$6:$R$2005,资金流水!$H$6:$H$2005,项目档案!$B$48,资金流水!$X$6:$X$2005,"应收账款",资金流水!$B$6:$B$2005,"&gt;="&amp;$C$4,资金流水!$B$6:$B$2005,"&lt;="&amp;$E$4))</f>
        <v>0</v>
      </c>
      <c r="Y45" s="2">
        <f>SUM(CA1:CA45)</f>
        <v>2</v>
      </c>
      <c r="Z45" s="2">
        <f>IF(往来单位!$B$48="",0,-SUMIFS(资金流水!$R$6:$R$2005,资金流水!$J$6:$J$2005,往来单位!$B$48,资金流水!$R$6:$R$2005,"&lt;0",资金流水!$X$6:$X$2005,"&lt;&gt;账户互转",资金流水!$B$6:$B$2005,"&gt;="&amp;$C$4,资金流水!$B$6:$B$2005,"&lt;="&amp;$E$4))</f>
        <v>0</v>
      </c>
      <c r="AA45" s="2">
        <f>IF(Z45&gt;0,Z45+(301-45)/1000000,0)</f>
        <v>0</v>
      </c>
      <c r="CA45" s="2">
        <f t="shared" si="0"/>
        <v>0</v>
      </c>
    </row>
    <row r="46">
      <c r="A46" s="43">
        <f>IF(B46="","",12)</f>
      </c>
      <c r="B46" s="102">
        <f t="shared" si="14"/>
      </c>
      <c r="C46" s="102">
        <f t="shared" si="1"/>
      </c>
      <c r="D46" s="48">
        <f t="shared" si="17"/>
      </c>
      <c r="E46" s="48">
        <f t="shared" si="5"/>
      </c>
      <c r="F46" s="48">
        <f t="shared" si="10"/>
      </c>
      <c r="G46" s="48">
        <f t="shared" si="22"/>
      </c>
      <c r="H46" s="48">
        <f t="shared" si="25"/>
      </c>
      <c r="I46" s="48">
        <f t="shared" si="28"/>
      </c>
      <c r="X46" s="2">
        <f>IF(项目档案!$B$49="",0,SUMIFS(资金流水!$R$6:$R$2005,资金流水!$H$6:$H$2005,项目档案!$B$49,资金流水!$X$6:$X$2005,"应收账款",资金流水!$B$6:$B$2005,"&gt;="&amp;$C$4,资金流水!$B$6:$B$2005,"&lt;="&amp;$E$4))</f>
        <v>0</v>
      </c>
      <c r="Y46" s="2">
        <f>SUM(CA1:CA46)</f>
        <v>2</v>
      </c>
      <c r="Z46" s="2">
        <f>IF(往来单位!$B$49="",0,-SUMIFS(资金流水!$R$6:$R$2005,资金流水!$J$6:$J$2005,往来单位!$B$49,资金流水!$R$6:$R$2005,"&lt;0",资金流水!$X$6:$X$2005,"&lt;&gt;账户互转",资金流水!$B$6:$B$2005,"&gt;="&amp;$C$4,资金流水!$B$6:$B$2005,"&lt;="&amp;$E$4))</f>
        <v>0</v>
      </c>
      <c r="AA46" s="2">
        <f>IF(Z46&gt;0,Z46+(301-46)/1000000,0)</f>
        <v>0</v>
      </c>
      <c r="CA46" s="2">
        <f t="shared" si="0"/>
        <v>0</v>
      </c>
    </row>
    <row r="47">
      <c r="A47" s="103" t="n"/>
      <c r="B47" s="76" t="inlineStr">
        <is>
          <t>合计</t>
        </is>
      </c>
      <c r="C47" s="103" t="n"/>
      <c r="D47" s="77">
        <f>SUM(D35:D46)</f>
        <v>702062.4</v>
      </c>
      <c r="E47" s="77">
        <f>SUM(E35:E46)</f>
        <v>156293.84</v>
      </c>
      <c r="F47" s="77">
        <f>SUM(F35:F46)</f>
        <v>545768.56</v>
      </c>
      <c r="G47" s="103" t="n"/>
      <c r="H47" s="77">
        <f>SUM(H35:H46)</f>
        <v>0</v>
      </c>
      <c r="I47" s="77">
        <f>SUM(I35:I46)</f>
        <v>-94800</v>
      </c>
      <c r="X47" s="2">
        <f>IF(项目档案!$B$50="",0,SUMIFS(资金流水!$R$6:$R$2005,资金流水!$H$6:$H$2005,项目档案!$B$50,资金流水!$X$6:$X$2005,"应收账款",资金流水!$B$6:$B$2005,"&gt;="&amp;$C$4,资金流水!$B$6:$B$2005,"&lt;="&amp;$E$4))</f>
        <v>0</v>
      </c>
      <c r="Y47" s="2">
        <f>SUM(CA1:CA47)</f>
        <v>2</v>
      </c>
      <c r="Z47" s="2">
        <f>IF(往来单位!$B$50="",0,-SUMIFS(资金流水!$R$6:$R$2005,资金流水!$J$6:$J$2005,往来单位!$B$50,资金流水!$R$6:$R$2005,"&lt;0",资金流水!$X$6:$X$2005,"&lt;&gt;账户互转",资金流水!$B$6:$B$2005,"&gt;="&amp;$C$4,资金流水!$B$6:$B$2005,"&lt;="&amp;$E$4))</f>
        <v>5000</v>
      </c>
      <c r="AA47" s="2">
        <f>IF(Z47&gt;0,Z47+(301-47)/1000000,0)</f>
        <v>5000.000254</v>
      </c>
      <c r="CA47" s="2">
        <f t="shared" si="0"/>
        <v>0</v>
      </c>
    </row>
    <row r="48">
      <c r="X48" s="2">
        <f>IF(项目档案!$B$51="",0,SUMIFS(资金流水!$R$6:$R$2005,资金流水!$H$6:$H$2005,项目档案!$B$51,资金流水!$X$6:$X$2005,"应收账款",资金流水!$B$6:$B$2005,"&gt;="&amp;$C$4,资金流水!$B$6:$B$2005,"&lt;="&amp;$E$4))</f>
        <v>0</v>
      </c>
      <c r="Y48" s="2">
        <f>SUM(CA1:CA48)</f>
        <v>2</v>
      </c>
      <c r="Z48" s="2">
        <f>IF(往来单位!$B$51="",0,-SUMIFS(资金流水!$R$6:$R$2005,资金流水!$J$6:$J$2005,往来单位!$B$51,资金流水!$R$6:$R$2005,"&lt;0",资金流水!$X$6:$X$2005,"&lt;&gt;账户互转",资金流水!$B$6:$B$2005,"&gt;="&amp;$C$4,资金流水!$B$6:$B$2005,"&lt;="&amp;$E$4))</f>
        <v>3000</v>
      </c>
      <c r="AA48" s="2">
        <f>IF(Z48&gt;0,Z48+(301-48)/1000000,0)</f>
        <v>3000.000253</v>
      </c>
      <c r="CA48" s="2">
        <f t="shared" si="0"/>
        <v>0</v>
      </c>
    </row>
    <row r="49">
      <c r="A49" s="39" t="inlineStr">
        <is>
          <t>③ 本期收到的工程款（按项目）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X49" s="2">
        <f>IF(项目档案!$B$52="",0,SUMIFS(资金流水!$R$6:$R$2005,资金流水!$H$6:$H$2005,项目档案!$B$52,资金流水!$X$6:$X$2005,"应收账款",资金流水!$B$6:$B$2005,"&gt;="&amp;$C$4,资金流水!$B$6:$B$2005,"&lt;="&amp;$E$4))</f>
        <v>0</v>
      </c>
      <c r="Y49" s="2">
        <f>SUM(CA1:CA49)</f>
        <v>2</v>
      </c>
      <c r="Z49" s="2">
        <f>IF(往来单位!$B$52="",0,-SUMIFS(资金流水!$R$6:$R$2005,资金流水!$J$6:$J$2005,往来单位!$B$52,资金流水!$R$6:$R$2005,"&lt;0",资金流水!$X$6:$X$2005,"&lt;&gt;账户互转",资金流水!$B$6:$B$2005,"&gt;="&amp;$C$4,资金流水!$B$6:$B$2005,"&lt;="&amp;$E$4))</f>
        <v>0</v>
      </c>
      <c r="AA49" s="2">
        <f>IF(Z49&gt;0,Z49+(301-49)/1000000,0)</f>
        <v>0</v>
      </c>
      <c r="CA49" s="2">
        <f t="shared" si="0"/>
        <v>0</v>
      </c>
    </row>
    <row r="50" ht="40" customHeight="1">
      <c r="A50" s="42" t="inlineStr">
        <is>
          <t>序号</t>
        </is>
      </c>
      <c r="B50" s="42" t="inlineStr">
        <is>
          <t>项目</t>
        </is>
      </c>
      <c r="C50" s="42" t="inlineStr">
        <is>
          <t>本期收款</t>
        </is>
      </c>
      <c r="D50" s="42" t="inlineStr">
        <is>
          <t>本年累计收款</t>
        </is>
      </c>
      <c r="E50" s="42" t="inlineStr">
        <is>
          <t>应收余额
（截止月末）</t>
        </is>
      </c>
      <c r="F50" s="42" t="inlineStr">
        <is>
          <t>累计确认</t>
        </is>
      </c>
      <c r="G50" s="42" t="inlineStr">
        <is>
          <t>回款比例</t>
        </is>
      </c>
      <c r="H50" s="42" t="inlineStr">
        <is>
          <t>甲方 / 总包</t>
        </is>
      </c>
      <c r="I50" s="9" t="n"/>
      <c r="J50" s="9" t="n"/>
      <c r="K50" s="10" t="n"/>
      <c r="X50" s="2">
        <f>IF(项目档案!$B$53="",0,SUMIFS(资金流水!$R$6:$R$2005,资金流水!$H$6:$H$2005,项目档案!$B$53,资金流水!$X$6:$X$2005,"应收账款",资金流水!$B$6:$B$2005,"&gt;="&amp;$C$4,资金流水!$B$6:$B$2005,"&lt;="&amp;$E$4))</f>
        <v>0</v>
      </c>
      <c r="Y50" s="2">
        <f>SUM(CA1:CA50)</f>
        <v>2</v>
      </c>
      <c r="Z50" s="2">
        <f>IF(往来单位!$B$53="",0,-SUMIFS(资金流水!$R$6:$R$2005,资金流水!$J$6:$J$2005,往来单位!$B$53,资金流水!$R$6:$R$2005,"&lt;0",资金流水!$X$6:$X$2005,"&lt;&gt;账户互转",资金流水!$B$6:$B$2005,"&gt;="&amp;$C$4,资金流水!$B$6:$B$2005,"&lt;="&amp;$E$4))</f>
        <v>6000</v>
      </c>
      <c r="AA50" s="2">
        <f>IF(Z50&gt;0,Z50+(301-50)/1000000,0)</f>
        <v>6000.000251</v>
      </c>
      <c r="CA50" s="2">
        <f t="shared" si="0"/>
        <v>0</v>
      </c>
    </row>
    <row r="51">
      <c r="A51" s="43">
        <f>IF($W51=0,"",1)</f>
        <v>1</v>
      </c>
      <c r="B51" s="49" t="str">
        <f t="shared" ref="B51:B70" si="15">IF($W51=0,"",INDEX(项目档案!$B$4:$B$63,$W51))</f>
        <v>抚州2号楼</v>
      </c>
      <c r="C51" s="48">
        <f t="shared" ref="C51:C70" si="2">IF($W51=0,"",INDEX($X$1:$X$60,$W51))</f>
        <v>51200</v>
      </c>
      <c r="D51" s="48">
        <f t="shared" ref="D51:D70" si="18">IF($W51=0,"",SUMIFS(资金流水!$R$6:$R$2005,资金流水!$H$6:$H$2005,B51,资金流水!$X$6:$X$2005,"应收账款",资金流水!$B$6:$B$2005,"&gt;="&amp;DATE(YEAR($E$4),1,1),资金流水!$B$6:$B$2005,"&lt;="&amp;$E$4))</f>
        <v>51200</v>
      </c>
      <c r="E51" s="48">
        <f t="shared" ref="E51:E70" si="6">IF($W51=0,"",INDEX(_项目汇总!$AV$3:$AV$62,$W51))</f>
        <v>12800</v>
      </c>
      <c r="F51" s="48">
        <f t="shared" ref="F51:F70" si="11">IF($W51=0,"",INDEX(应收账款总表!$F$6:$F$65,$W51))</f>
        <v>64000</v>
      </c>
      <c r="G51" s="104">
        <f t="shared" ref="G51:G70" si="23">IF(OR($W51=0,N(F51)=0),"",INDEX(应收账款总表!$G$6:$G$65,$W51)/F51)</f>
        <v>0.8</v>
      </c>
      <c r="H51" s="49" t="str">
        <f t="shared" ref="H51:H70" si="26">IF($W51=0,"",INDEX(项目档案!$D$4:$D$63,$W51)&amp;"")</f>
        <v>江西揽之建设工程有限公司</v>
      </c>
      <c r="W51" s="2">
        <f>IF(1&gt;$Y$60,0,IFERROR(MATCH(1,$Y$1:$Y$60,0),0))</f>
        <v>8</v>
      </c>
      <c r="X51" s="2">
        <f>IF(项目档案!$B$54="",0,SUMIFS(资金流水!$R$6:$R$2005,资金流水!$H$6:$H$2005,项目档案!$B$54,资金流水!$X$6:$X$2005,"应收账款",资金流水!$B$6:$B$2005,"&gt;="&amp;$C$4,资金流水!$B$6:$B$2005,"&lt;="&amp;$E$4))</f>
        <v>0</v>
      </c>
      <c r="Y51" s="2">
        <f>Y50+SUM(CA51:CA51)</f>
        <v>2</v>
      </c>
      <c r="Z51" s="2">
        <f>IF(往来单位!$B$54="",0,-SUMIFS(资金流水!$R$6:$R$2005,资金流水!$J$6:$J$2005,往来单位!$B$54,资金流水!$R$6:$R$2005,"&lt;0",资金流水!$X$6:$X$2005,"&lt;&gt;账户互转",资金流水!$B$6:$B$2005,"&gt;="&amp;$C$4,资金流水!$B$6:$B$2005,"&lt;="&amp;$E$4))</f>
        <v>0</v>
      </c>
      <c r="AA51" s="2">
        <f>IF(Z51&gt;0,Z51+(301-51)/1000000,0)</f>
        <v>0</v>
      </c>
      <c r="CA51" s="2">
        <f t="shared" si="0"/>
        <v>0</v>
      </c>
    </row>
    <row r="52">
      <c r="A52" s="43">
        <f>IF($W52=0,"",2)</f>
        <v>2</v>
      </c>
      <c r="B52" s="49" t="str">
        <f t="shared" si="15"/>
        <v>中国联项目</v>
      </c>
      <c r="C52" s="48">
        <f t="shared" si="2"/>
        <v>650862.4</v>
      </c>
      <c r="D52" s="48">
        <f t="shared" si="18"/>
        <v>650862.4</v>
      </c>
      <c r="E52" s="48">
        <f t="shared" si="6"/>
        <v>-650862.4</v>
      </c>
      <c r="F52" s="48">
        <f t="shared" si="11"/>
        <v>0</v>
      </c>
      <c r="G52" s="104">
        <f t="shared" si="23"/>
      </c>
      <c r="H52" s="49">
        <f t="shared" si="26"/>
      </c>
      <c r="W52" s="2">
        <f>IF(2&gt;$Y$60,0,IFERROR(MATCH(2,$Y$1:$Y$60,0),0))</f>
        <v>15</v>
      </c>
      <c r="X52" s="2">
        <f>IF(项目档案!$B$55="",0,SUMIFS(资金流水!$R$6:$R$2005,资金流水!$H$6:$H$2005,项目档案!$B$55,资金流水!$X$6:$X$2005,"应收账款",资金流水!$B$6:$B$2005,"&gt;="&amp;$C$4,资金流水!$B$6:$B$2005,"&lt;="&amp;$E$4))</f>
        <v>0</v>
      </c>
      <c r="Y52" s="2">
        <f>Y50+SUM(CA51:CA52)</f>
        <v>2</v>
      </c>
      <c r="Z52" s="2">
        <f>IF(往来单位!$B$55="",0,-SUMIFS(资金流水!$R$6:$R$2005,资金流水!$J$6:$J$2005,往来单位!$B$55,资金流水!$R$6:$R$2005,"&lt;0",资金流水!$X$6:$X$2005,"&lt;&gt;账户互转",资金流水!$B$6:$B$2005,"&gt;="&amp;$C$4,资金流水!$B$6:$B$2005,"&lt;="&amp;$E$4))</f>
        <v>2000</v>
      </c>
      <c r="AA52" s="2">
        <f>IF(Z52&gt;0,Z52+(301-52)/1000000,0)</f>
        <v>2000.000249</v>
      </c>
      <c r="CA52" s="2">
        <f t="shared" si="0"/>
        <v>0</v>
      </c>
    </row>
    <row r="53">
      <c r="A53" s="43">
        <f>IF($W53=0,"",3)</f>
      </c>
      <c r="B53" s="49">
        <f t="shared" si="15"/>
      </c>
      <c r="C53" s="48">
        <f t="shared" si="2"/>
      </c>
      <c r="D53" s="48">
        <f t="shared" si="18"/>
      </c>
      <c r="E53" s="48">
        <f t="shared" si="6"/>
      </c>
      <c r="F53" s="48">
        <f t="shared" si="11"/>
      </c>
      <c r="G53" s="104">
        <f t="shared" si="23"/>
      </c>
      <c r="H53" s="49">
        <f t="shared" si="26"/>
      </c>
      <c r="W53" s="2">
        <f>IF(3&gt;$Y$60,0,IFERROR(MATCH(3,$Y$1:$Y$60,0),0))</f>
        <v>0</v>
      </c>
      <c r="X53" s="2">
        <f>IF(项目档案!$B$56="",0,SUMIFS(资金流水!$R$6:$R$2005,资金流水!$H$6:$H$2005,项目档案!$B$56,资金流水!$X$6:$X$2005,"应收账款",资金流水!$B$6:$B$2005,"&gt;="&amp;$C$4,资金流水!$B$6:$B$2005,"&lt;="&amp;$E$4))</f>
        <v>0</v>
      </c>
      <c r="Y53" s="2">
        <f>Y50+SUM(CA51:CA53)</f>
        <v>2</v>
      </c>
      <c r="Z53" s="2">
        <f>IF(往来单位!$B$56="",0,-SUMIFS(资金流水!$R$6:$R$2005,资金流水!$J$6:$J$2005,往来单位!$B$56,资金流水!$R$6:$R$2005,"&lt;0",资金流水!$X$6:$X$2005,"&lt;&gt;账户互转",资金流水!$B$6:$B$2005,"&gt;="&amp;$C$4,资金流水!$B$6:$B$2005,"&lt;="&amp;$E$4))</f>
        <v>5000</v>
      </c>
      <c r="AA53" s="2">
        <f>IF(Z53&gt;0,Z53+(301-53)/1000000,0)</f>
        <v>5000.000248</v>
      </c>
      <c r="CA53" s="2">
        <f t="shared" si="0"/>
        <v>0</v>
      </c>
    </row>
    <row r="54">
      <c r="A54" s="43">
        <f>IF($W54=0,"",4)</f>
      </c>
      <c r="B54" s="49">
        <f t="shared" si="15"/>
      </c>
      <c r="C54" s="48">
        <f t="shared" si="2"/>
      </c>
      <c r="D54" s="48">
        <f t="shared" si="18"/>
      </c>
      <c r="E54" s="48">
        <f t="shared" si="6"/>
      </c>
      <c r="F54" s="48">
        <f t="shared" si="11"/>
      </c>
      <c r="G54" s="104">
        <f t="shared" si="23"/>
      </c>
      <c r="H54" s="49">
        <f t="shared" si="26"/>
      </c>
      <c r="W54" s="2">
        <f>IF(4&gt;$Y$60,0,IFERROR(MATCH(4,$Y$1:$Y$60,0),0))</f>
        <v>0</v>
      </c>
      <c r="X54" s="2">
        <f>IF(项目档案!$B$57="",0,SUMIFS(资金流水!$R$6:$R$2005,资金流水!$H$6:$H$2005,项目档案!$B$57,资金流水!$X$6:$X$2005,"应收账款",资金流水!$B$6:$B$2005,"&gt;="&amp;$C$4,资金流水!$B$6:$B$2005,"&lt;="&amp;$E$4))</f>
        <v>0</v>
      </c>
      <c r="Y54" s="2">
        <f>Y50+SUM(CA51:CA54)</f>
        <v>2</v>
      </c>
      <c r="Z54" s="2">
        <f>IF(往来单位!$B$57="",0,-SUMIFS(资金流水!$R$6:$R$2005,资金流水!$J$6:$J$2005,往来单位!$B$57,资金流水!$R$6:$R$2005,"&lt;0",资金流水!$X$6:$X$2005,"&lt;&gt;账户互转",资金流水!$B$6:$B$2005,"&gt;="&amp;$C$4,资金流水!$B$6:$B$2005,"&lt;="&amp;$E$4))</f>
        <v>8000</v>
      </c>
      <c r="AA54" s="2">
        <f>IF(Z54&gt;0,Z54+(301-54)/1000000,0)</f>
        <v>8000.000247</v>
      </c>
      <c r="CA54" s="2">
        <f t="shared" si="0"/>
        <v>0</v>
      </c>
    </row>
    <row r="55">
      <c r="A55" s="43">
        <f>IF($W55=0,"",5)</f>
      </c>
      <c r="B55" s="49">
        <f t="shared" si="15"/>
      </c>
      <c r="C55" s="48">
        <f t="shared" si="2"/>
      </c>
      <c r="D55" s="48">
        <f t="shared" si="18"/>
      </c>
      <c r="E55" s="48">
        <f t="shared" si="6"/>
      </c>
      <c r="F55" s="48">
        <f t="shared" si="11"/>
      </c>
      <c r="G55" s="104">
        <f t="shared" si="23"/>
      </c>
      <c r="H55" s="49">
        <f t="shared" si="26"/>
      </c>
      <c r="W55" s="2">
        <f>IF(5&gt;$Y$60,0,IFERROR(MATCH(5,$Y$1:$Y$60,0),0))</f>
        <v>0</v>
      </c>
      <c r="X55" s="2">
        <f>IF(项目档案!$B$58="",0,SUMIFS(资金流水!$R$6:$R$2005,资金流水!$H$6:$H$2005,项目档案!$B$58,资金流水!$X$6:$X$2005,"应收账款",资金流水!$B$6:$B$2005,"&gt;="&amp;$C$4,资金流水!$B$6:$B$2005,"&lt;="&amp;$E$4))</f>
        <v>0</v>
      </c>
      <c r="Y55" s="2">
        <f>Y50+SUM(CA51:CA55)</f>
        <v>2</v>
      </c>
      <c r="Z55" s="2">
        <f>IF(往来单位!$B$58="",0,-SUMIFS(资金流水!$R$6:$R$2005,资金流水!$J$6:$J$2005,往来单位!$B$58,资金流水!$R$6:$R$2005,"&lt;0",资金流水!$X$6:$X$2005,"&lt;&gt;账户互转",资金流水!$B$6:$B$2005,"&gt;="&amp;$C$4,资金流水!$B$6:$B$2005,"&lt;="&amp;$E$4))</f>
        <v>0</v>
      </c>
      <c r="AA55" s="2">
        <f>IF(Z55&gt;0,Z55+(301-55)/1000000,0)</f>
        <v>0</v>
      </c>
      <c r="CA55" s="2">
        <f t="shared" si="0"/>
        <v>0</v>
      </c>
    </row>
    <row r="56">
      <c r="A56" s="43">
        <f>IF($W56=0,"",6)</f>
      </c>
      <c r="B56" s="49">
        <f t="shared" si="15"/>
      </c>
      <c r="C56" s="48">
        <f t="shared" si="2"/>
      </c>
      <c r="D56" s="48">
        <f t="shared" si="18"/>
      </c>
      <c r="E56" s="48">
        <f t="shared" si="6"/>
      </c>
      <c r="F56" s="48">
        <f t="shared" si="11"/>
      </c>
      <c r="G56" s="104">
        <f t="shared" si="23"/>
      </c>
      <c r="H56" s="49">
        <f t="shared" si="26"/>
      </c>
      <c r="W56" s="2">
        <f>IF(6&gt;$Y$60,0,IFERROR(MATCH(6,$Y$1:$Y$60,0),0))</f>
        <v>0</v>
      </c>
      <c r="X56" s="2">
        <f>IF(项目档案!$B$59="",0,SUMIFS(资金流水!$R$6:$R$2005,资金流水!$H$6:$H$2005,项目档案!$B$59,资金流水!$X$6:$X$2005,"应收账款",资金流水!$B$6:$B$2005,"&gt;="&amp;$C$4,资金流水!$B$6:$B$2005,"&lt;="&amp;$E$4))</f>
        <v>0</v>
      </c>
      <c r="Y56" s="2">
        <f>Y50+SUM(CA51:CA56)</f>
        <v>2</v>
      </c>
      <c r="Z56" s="2">
        <f>IF(往来单位!$B$59="",0,-SUMIFS(资金流水!$R$6:$R$2005,资金流水!$J$6:$J$2005,往来单位!$B$59,资金流水!$R$6:$R$2005,"&lt;0",资金流水!$X$6:$X$2005,"&lt;&gt;账户互转",资金流水!$B$6:$B$2005,"&gt;="&amp;$C$4,资金流水!$B$6:$B$2005,"&lt;="&amp;$E$4))</f>
        <v>0</v>
      </c>
      <c r="AA56" s="2">
        <f>IF(Z56&gt;0,Z56+(301-56)/1000000,0)</f>
        <v>0</v>
      </c>
      <c r="CA56" s="2">
        <f t="shared" si="0"/>
        <v>0</v>
      </c>
    </row>
    <row r="57">
      <c r="A57" s="43">
        <f>IF($W57=0,"",7)</f>
      </c>
      <c r="B57" s="49">
        <f t="shared" si="15"/>
      </c>
      <c r="C57" s="48">
        <f t="shared" si="2"/>
      </c>
      <c r="D57" s="48">
        <f t="shared" si="18"/>
      </c>
      <c r="E57" s="48">
        <f t="shared" si="6"/>
      </c>
      <c r="F57" s="48">
        <f t="shared" si="11"/>
      </c>
      <c r="G57" s="104">
        <f t="shared" si="23"/>
      </c>
      <c r="H57" s="49">
        <f t="shared" si="26"/>
      </c>
      <c r="W57" s="2">
        <f>IF(7&gt;$Y$60,0,IFERROR(MATCH(7,$Y$1:$Y$60,0),0))</f>
        <v>0</v>
      </c>
      <c r="X57" s="2">
        <f>IF(项目档案!$B$60="",0,SUMIFS(资金流水!$R$6:$R$2005,资金流水!$H$6:$H$2005,项目档案!$B$60,资金流水!$X$6:$X$2005,"应收账款",资金流水!$B$6:$B$2005,"&gt;="&amp;$C$4,资金流水!$B$6:$B$2005,"&lt;="&amp;$E$4))</f>
        <v>0</v>
      </c>
      <c r="Y57" s="2">
        <f>Y50+SUM(CA51:CA57)</f>
        <v>2</v>
      </c>
      <c r="Z57" s="2">
        <f>IF(往来单位!$B$60="",0,-SUMIFS(资金流水!$R$6:$R$2005,资金流水!$J$6:$J$2005,往来单位!$B$60,资金流水!$R$6:$R$2005,"&lt;0",资金流水!$X$6:$X$2005,"&lt;&gt;账户互转",资金流水!$B$6:$B$2005,"&gt;="&amp;$C$4,资金流水!$B$6:$B$2005,"&lt;="&amp;$E$4))</f>
        <v>2000</v>
      </c>
      <c r="AA57" s="2">
        <f>IF(Z57&gt;0,Z57+(301-57)/1000000,0)</f>
        <v>2000.000244</v>
      </c>
      <c r="CA57" s="2">
        <f t="shared" si="0"/>
        <v>0</v>
      </c>
    </row>
    <row r="58">
      <c r="A58" s="43">
        <f>IF($W58=0,"",8)</f>
      </c>
      <c r="B58" s="49">
        <f t="shared" si="15"/>
      </c>
      <c r="C58" s="48">
        <f t="shared" si="2"/>
      </c>
      <c r="D58" s="48">
        <f t="shared" si="18"/>
      </c>
      <c r="E58" s="48">
        <f t="shared" si="6"/>
      </c>
      <c r="F58" s="48">
        <f t="shared" si="11"/>
      </c>
      <c r="G58" s="104">
        <f t="shared" si="23"/>
      </c>
      <c r="H58" s="49">
        <f t="shared" si="26"/>
      </c>
      <c r="W58" s="2">
        <f>IF(8&gt;$Y$60,0,IFERROR(MATCH(8,$Y$1:$Y$60,0),0))</f>
        <v>0</v>
      </c>
      <c r="X58" s="2">
        <f>IF(项目档案!$B$61="",0,SUMIFS(资金流水!$R$6:$R$2005,资金流水!$H$6:$H$2005,项目档案!$B$61,资金流水!$X$6:$X$2005,"应收账款",资金流水!$B$6:$B$2005,"&gt;="&amp;$C$4,资金流水!$B$6:$B$2005,"&lt;="&amp;$E$4))</f>
        <v>0</v>
      </c>
      <c r="Y58" s="2">
        <f>Y50+SUM(CA51:CA58)</f>
        <v>2</v>
      </c>
      <c r="Z58" s="2">
        <f>IF(往来单位!$B$61="",0,-SUMIFS(资金流水!$R$6:$R$2005,资金流水!$J$6:$J$2005,往来单位!$B$61,资金流水!$R$6:$R$2005,"&lt;0",资金流水!$X$6:$X$2005,"&lt;&gt;账户互转",资金流水!$B$6:$B$2005,"&gt;="&amp;$C$4,资金流水!$B$6:$B$2005,"&lt;="&amp;$E$4))</f>
        <v>0</v>
      </c>
      <c r="AA58" s="2">
        <f>IF(Z58&gt;0,Z58+(301-58)/1000000,0)</f>
        <v>0</v>
      </c>
      <c r="CA58" s="2">
        <f t="shared" si="0"/>
        <v>0</v>
      </c>
    </row>
    <row r="59">
      <c r="A59" s="43">
        <f>IF($W59=0,"",9)</f>
      </c>
      <c r="B59" s="49">
        <f t="shared" si="15"/>
      </c>
      <c r="C59" s="48">
        <f t="shared" si="2"/>
      </c>
      <c r="D59" s="48">
        <f t="shared" si="18"/>
      </c>
      <c r="E59" s="48">
        <f t="shared" si="6"/>
      </c>
      <c r="F59" s="48">
        <f t="shared" si="11"/>
      </c>
      <c r="G59" s="104">
        <f t="shared" si="23"/>
      </c>
      <c r="H59" s="49">
        <f t="shared" si="26"/>
      </c>
      <c r="W59" s="2">
        <f>IF(9&gt;$Y$60,0,IFERROR(MATCH(9,$Y$1:$Y$60,0),0))</f>
        <v>0</v>
      </c>
      <c r="X59" s="2">
        <f>IF(项目档案!$B$62="",0,SUMIFS(资金流水!$R$6:$R$2005,资金流水!$H$6:$H$2005,项目档案!$B$62,资金流水!$X$6:$X$2005,"应收账款",资金流水!$B$6:$B$2005,"&gt;="&amp;$C$4,资金流水!$B$6:$B$2005,"&lt;="&amp;$E$4))</f>
        <v>0</v>
      </c>
      <c r="Y59" s="2">
        <f>Y50+SUM(CA51:CA59)</f>
        <v>2</v>
      </c>
      <c r="Z59" s="2">
        <f>IF(往来单位!$B$62="",0,-SUMIFS(资金流水!$R$6:$R$2005,资金流水!$J$6:$J$2005,往来单位!$B$62,资金流水!$R$6:$R$2005,"&lt;0",资金流水!$X$6:$X$2005,"&lt;&gt;账户互转",资金流水!$B$6:$B$2005,"&gt;="&amp;$C$4,资金流水!$B$6:$B$2005,"&lt;="&amp;$E$4))</f>
        <v>5000</v>
      </c>
      <c r="AA59" s="2">
        <f>IF(Z59&gt;0,Z59+(301-59)/1000000,0)</f>
        <v>5000.000242</v>
      </c>
      <c r="CA59" s="2">
        <f t="shared" si="0"/>
        <v>0</v>
      </c>
    </row>
    <row r="60">
      <c r="A60" s="43">
        <f>IF($W60=0,"",10)</f>
      </c>
      <c r="B60" s="49">
        <f t="shared" si="15"/>
      </c>
      <c r="C60" s="48">
        <f t="shared" si="2"/>
      </c>
      <c r="D60" s="48">
        <f t="shared" si="18"/>
      </c>
      <c r="E60" s="48">
        <f t="shared" si="6"/>
      </c>
      <c r="F60" s="48">
        <f t="shared" si="11"/>
      </c>
      <c r="G60" s="104">
        <f t="shared" si="23"/>
      </c>
      <c r="H60" s="49">
        <f t="shared" si="26"/>
      </c>
      <c r="W60" s="2">
        <f>IF(10&gt;$Y$60,0,IFERROR(MATCH(10,$Y$1:$Y$60,0),0))</f>
        <v>0</v>
      </c>
      <c r="X60" s="2">
        <f>IF(项目档案!$B$63="",0,SUMIFS(资金流水!$R$6:$R$2005,资金流水!$H$6:$H$2005,项目档案!$B$63,资金流水!$X$6:$X$2005,"应收账款",资金流水!$B$6:$B$2005,"&gt;="&amp;$C$4,资金流水!$B$6:$B$2005,"&lt;="&amp;$E$4))</f>
        <v>0</v>
      </c>
      <c r="Y60" s="2">
        <f>Y50+SUM(CA51:CA60)</f>
        <v>2</v>
      </c>
      <c r="Z60" s="2">
        <f>IF(往来单位!$B$63="",0,-SUMIFS(资金流水!$R$6:$R$2005,资金流水!$J$6:$J$2005,往来单位!$B$63,资金流水!$R$6:$R$2005,"&lt;0",资金流水!$X$6:$X$2005,"&lt;&gt;账户互转",资金流水!$B$6:$B$2005,"&gt;="&amp;$C$4,资金流水!$B$6:$B$2005,"&lt;="&amp;$E$4))</f>
        <v>0</v>
      </c>
      <c r="AA60" s="2">
        <f>IF(Z60&gt;0,Z60+(301-60)/1000000,0)</f>
        <v>0</v>
      </c>
      <c r="CA60" s="2">
        <f t="shared" si="0"/>
        <v>0</v>
      </c>
    </row>
    <row r="61">
      <c r="A61" s="43">
        <f>IF($W61=0,"",11)</f>
      </c>
      <c r="B61" s="49">
        <f t="shared" si="15"/>
      </c>
      <c r="C61" s="48">
        <f t="shared" si="2"/>
      </c>
      <c r="D61" s="48">
        <f t="shared" si="18"/>
      </c>
      <c r="E61" s="48">
        <f t="shared" si="6"/>
      </c>
      <c r="F61" s="48">
        <f t="shared" si="11"/>
      </c>
      <c r="G61" s="104">
        <f t="shared" si="23"/>
      </c>
      <c r="H61" s="49">
        <f t="shared" si="26"/>
      </c>
      <c r="W61" s="2">
        <f>IF(11&gt;$Y$60,0,IFERROR(MATCH(11,$Y$1:$Y$60,0),0))</f>
        <v>0</v>
      </c>
      <c r="Z61" s="2">
        <f>IF(往来单位!$B$64="",0,-SUMIFS(资金流水!$R$6:$R$2005,资金流水!$J$6:$J$2005,往来单位!$B$64,资金流水!$R$6:$R$2005,"&lt;0",资金流水!$X$6:$X$2005,"&lt;&gt;账户互转",资金流水!$B$6:$B$2005,"&gt;="&amp;$C$4,资金流水!$B$6:$B$2005,"&lt;="&amp;$E$4))</f>
        <v>0</v>
      </c>
      <c r="AA61" s="2">
        <f>IF(Z61&gt;0,Z61+(301-61)/1000000,0)</f>
        <v>0</v>
      </c>
    </row>
    <row r="62">
      <c r="A62" s="43">
        <f>IF($W62=0,"",12)</f>
      </c>
      <c r="B62" s="49">
        <f t="shared" si="15"/>
      </c>
      <c r="C62" s="48">
        <f t="shared" si="2"/>
      </c>
      <c r="D62" s="48">
        <f t="shared" si="18"/>
      </c>
      <c r="E62" s="48">
        <f t="shared" si="6"/>
      </c>
      <c r="F62" s="48">
        <f t="shared" si="11"/>
      </c>
      <c r="G62" s="104">
        <f t="shared" si="23"/>
      </c>
      <c r="H62" s="49">
        <f t="shared" si="26"/>
      </c>
      <c r="W62" s="2">
        <f>IF(12&gt;$Y$60,0,IFERROR(MATCH(12,$Y$1:$Y$60,0),0))</f>
        <v>0</v>
      </c>
      <c r="Z62" s="2">
        <f>IF(往来单位!$B$65="",0,-SUMIFS(资金流水!$R$6:$R$2005,资金流水!$J$6:$J$2005,往来单位!$B$65,资金流水!$R$6:$R$2005,"&lt;0",资金流水!$X$6:$X$2005,"&lt;&gt;账户互转",资金流水!$B$6:$B$2005,"&gt;="&amp;$C$4,资金流水!$B$6:$B$2005,"&lt;="&amp;$E$4))</f>
        <v>0</v>
      </c>
      <c r="AA62" s="2">
        <f>IF(Z62&gt;0,Z62+(301-62)/1000000,0)</f>
        <v>0</v>
      </c>
    </row>
    <row r="63">
      <c r="A63" s="43">
        <f>IF($W63=0,"",13)</f>
      </c>
      <c r="B63" s="49">
        <f t="shared" si="15"/>
      </c>
      <c r="C63" s="48">
        <f t="shared" si="2"/>
      </c>
      <c r="D63" s="48">
        <f t="shared" si="18"/>
      </c>
      <c r="E63" s="48">
        <f t="shared" si="6"/>
      </c>
      <c r="F63" s="48">
        <f t="shared" si="11"/>
      </c>
      <c r="G63" s="104">
        <f t="shared" si="23"/>
      </c>
      <c r="H63" s="49">
        <f t="shared" si="26"/>
      </c>
      <c r="W63" s="2">
        <f>IF(13&gt;$Y$60,0,IFERROR(MATCH(13,$Y$1:$Y$60,0),0))</f>
        <v>0</v>
      </c>
      <c r="Z63" s="2">
        <f>IF(往来单位!$B$66="",0,-SUMIFS(资金流水!$R$6:$R$2005,资金流水!$J$6:$J$2005,往来单位!$B$66,资金流水!$R$6:$R$2005,"&lt;0",资金流水!$X$6:$X$2005,"&lt;&gt;账户互转",资金流水!$B$6:$B$2005,"&gt;="&amp;$C$4,资金流水!$B$6:$B$2005,"&lt;="&amp;$E$4))</f>
        <v>0</v>
      </c>
      <c r="AA63" s="2">
        <f>IF(Z63&gt;0,Z63+(301-63)/1000000,0)</f>
        <v>0</v>
      </c>
    </row>
    <row r="64">
      <c r="A64" s="43">
        <f>IF($W64=0,"",14)</f>
      </c>
      <c r="B64" s="49">
        <f t="shared" si="15"/>
      </c>
      <c r="C64" s="48">
        <f t="shared" si="2"/>
      </c>
      <c r="D64" s="48">
        <f t="shared" si="18"/>
      </c>
      <c r="E64" s="48">
        <f t="shared" si="6"/>
      </c>
      <c r="F64" s="48">
        <f t="shared" si="11"/>
      </c>
      <c r="G64" s="104">
        <f t="shared" si="23"/>
      </c>
      <c r="H64" s="49">
        <f t="shared" si="26"/>
      </c>
      <c r="W64" s="2">
        <f>IF(14&gt;$Y$60,0,IFERROR(MATCH(14,$Y$1:$Y$60,0),0))</f>
        <v>0</v>
      </c>
      <c r="Z64" s="2">
        <f>IF(往来单位!$B$67="",0,-SUMIFS(资金流水!$R$6:$R$2005,资金流水!$J$6:$J$2005,往来单位!$B$67,资金流水!$R$6:$R$2005,"&lt;0",资金流水!$X$6:$X$2005,"&lt;&gt;账户互转",资金流水!$B$6:$B$2005,"&gt;="&amp;$C$4,资金流水!$B$6:$B$2005,"&lt;="&amp;$E$4))</f>
        <v>0</v>
      </c>
      <c r="AA64" s="2">
        <f>IF(Z64&gt;0,Z64+(301-64)/1000000,0)</f>
        <v>0</v>
      </c>
    </row>
    <row r="65">
      <c r="A65" s="43">
        <f>IF($W65=0,"",15)</f>
      </c>
      <c r="B65" s="49">
        <f t="shared" si="15"/>
      </c>
      <c r="C65" s="48">
        <f t="shared" si="2"/>
      </c>
      <c r="D65" s="48">
        <f t="shared" si="18"/>
      </c>
      <c r="E65" s="48">
        <f t="shared" si="6"/>
      </c>
      <c r="F65" s="48">
        <f t="shared" si="11"/>
      </c>
      <c r="G65" s="104">
        <f t="shared" si="23"/>
      </c>
      <c r="H65" s="49">
        <f t="shared" si="26"/>
      </c>
      <c r="W65" s="2">
        <f>IF(15&gt;$Y$60,0,IFERROR(MATCH(15,$Y$1:$Y$60,0),0))</f>
        <v>0</v>
      </c>
      <c r="Z65" s="2">
        <f>IF(往来单位!$B$68="",0,-SUMIFS(资金流水!$R$6:$R$2005,资金流水!$J$6:$J$2005,往来单位!$B$68,资金流水!$R$6:$R$2005,"&lt;0",资金流水!$X$6:$X$2005,"&lt;&gt;账户互转",资金流水!$B$6:$B$2005,"&gt;="&amp;$C$4,资金流水!$B$6:$B$2005,"&lt;="&amp;$E$4))</f>
        <v>0</v>
      </c>
      <c r="AA65" s="2">
        <f>IF(Z65&gt;0,Z65+(301-65)/1000000,0)</f>
        <v>0</v>
      </c>
    </row>
    <row r="66">
      <c r="A66" s="43">
        <f>IF($W66=0,"",16)</f>
      </c>
      <c r="B66" s="49">
        <f t="shared" si="15"/>
      </c>
      <c r="C66" s="48">
        <f t="shared" si="2"/>
      </c>
      <c r="D66" s="48">
        <f t="shared" si="18"/>
      </c>
      <c r="E66" s="48">
        <f t="shared" si="6"/>
      </c>
      <c r="F66" s="48">
        <f t="shared" si="11"/>
      </c>
      <c r="G66" s="104">
        <f t="shared" si="23"/>
      </c>
      <c r="H66" s="49">
        <f t="shared" si="26"/>
      </c>
      <c r="W66" s="2">
        <f>IF(16&gt;$Y$60,0,IFERROR(MATCH(16,$Y$1:$Y$60,0),0))</f>
        <v>0</v>
      </c>
      <c r="Z66" s="2">
        <f>IF(往来单位!$B$69="",0,-SUMIFS(资金流水!$R$6:$R$2005,资金流水!$J$6:$J$2005,往来单位!$B$69,资金流水!$R$6:$R$2005,"&lt;0",资金流水!$X$6:$X$2005,"&lt;&gt;账户互转",资金流水!$B$6:$B$2005,"&gt;="&amp;$C$4,资金流水!$B$6:$B$2005,"&lt;="&amp;$E$4))</f>
        <v>0</v>
      </c>
      <c r="AA66" s="2">
        <f>IF(Z66&gt;0,Z66+(301-66)/1000000,0)</f>
        <v>0</v>
      </c>
    </row>
    <row r="67">
      <c r="A67" s="43">
        <f>IF($W67=0,"",17)</f>
      </c>
      <c r="B67" s="49">
        <f t="shared" si="15"/>
      </c>
      <c r="C67" s="48">
        <f t="shared" si="2"/>
      </c>
      <c r="D67" s="48">
        <f t="shared" si="18"/>
      </c>
      <c r="E67" s="48">
        <f t="shared" si="6"/>
      </c>
      <c r="F67" s="48">
        <f t="shared" si="11"/>
      </c>
      <c r="G67" s="104">
        <f t="shared" si="23"/>
      </c>
      <c r="H67" s="49">
        <f t="shared" si="26"/>
      </c>
      <c r="W67" s="2">
        <f>IF(17&gt;$Y$60,0,IFERROR(MATCH(17,$Y$1:$Y$60,0),0))</f>
        <v>0</v>
      </c>
      <c r="Z67" s="2">
        <f>IF(往来单位!$B$70="",0,-SUMIFS(资金流水!$R$6:$R$2005,资金流水!$J$6:$J$2005,往来单位!$B$70,资金流水!$R$6:$R$2005,"&lt;0",资金流水!$X$6:$X$2005,"&lt;&gt;账户互转",资金流水!$B$6:$B$2005,"&gt;="&amp;$C$4,资金流水!$B$6:$B$2005,"&lt;="&amp;$E$4))</f>
        <v>10000</v>
      </c>
      <c r="AA67" s="2">
        <f>IF(Z67&gt;0,Z67+(301-67)/1000000,0)</f>
        <v>10000.000234</v>
      </c>
    </row>
    <row r="68">
      <c r="A68" s="43">
        <f>IF($W68=0,"",18)</f>
      </c>
      <c r="B68" s="49">
        <f t="shared" si="15"/>
      </c>
      <c r="C68" s="48">
        <f t="shared" si="2"/>
      </c>
      <c r="D68" s="48">
        <f t="shared" si="18"/>
      </c>
      <c r="E68" s="48">
        <f t="shared" si="6"/>
      </c>
      <c r="F68" s="48">
        <f t="shared" si="11"/>
      </c>
      <c r="G68" s="104">
        <f t="shared" si="23"/>
      </c>
      <c r="H68" s="49">
        <f t="shared" si="26"/>
      </c>
      <c r="W68" s="2">
        <f>IF(18&gt;$Y$60,0,IFERROR(MATCH(18,$Y$1:$Y$60,0),0))</f>
        <v>0</v>
      </c>
      <c r="Z68" s="2">
        <f>IF(往来单位!$B$71="",0,-SUMIFS(资金流水!$R$6:$R$2005,资金流水!$J$6:$J$2005,往来单位!$B$71,资金流水!$R$6:$R$2005,"&lt;0",资金流水!$X$6:$X$2005,"&lt;&gt;账户互转",资金流水!$B$6:$B$2005,"&gt;="&amp;$C$4,资金流水!$B$6:$B$2005,"&lt;="&amp;$E$4))</f>
        <v>5000</v>
      </c>
      <c r="AA68" s="2">
        <f>IF(Z68&gt;0,Z68+(301-68)/1000000,0)</f>
        <v>5000.000233</v>
      </c>
    </row>
    <row r="69">
      <c r="A69" s="43">
        <f>IF($W69=0,"",19)</f>
      </c>
      <c r="B69" s="49">
        <f t="shared" si="15"/>
      </c>
      <c r="C69" s="48">
        <f t="shared" si="2"/>
      </c>
      <c r="D69" s="48">
        <f t="shared" si="18"/>
      </c>
      <c r="E69" s="48">
        <f t="shared" si="6"/>
      </c>
      <c r="F69" s="48">
        <f t="shared" si="11"/>
      </c>
      <c r="G69" s="104">
        <f t="shared" si="23"/>
      </c>
      <c r="H69" s="49">
        <f t="shared" si="26"/>
      </c>
      <c r="W69" s="2">
        <f>IF(19&gt;$Y$60,0,IFERROR(MATCH(19,$Y$1:$Y$60,0),0))</f>
        <v>0</v>
      </c>
      <c r="Z69" s="2">
        <f>IF(往来单位!$B$72="",0,-SUMIFS(资金流水!$R$6:$R$2005,资金流水!$J$6:$J$2005,往来单位!$B$72,资金流水!$R$6:$R$2005,"&lt;0",资金流水!$X$6:$X$2005,"&lt;&gt;账户互转",资金流水!$B$6:$B$2005,"&gt;="&amp;$C$4,资金流水!$B$6:$B$2005,"&lt;="&amp;$E$4))</f>
        <v>0</v>
      </c>
      <c r="AA69" s="2">
        <f>IF(Z69&gt;0,Z69+(301-69)/1000000,0)</f>
        <v>0</v>
      </c>
    </row>
    <row r="70">
      <c r="A70" s="43">
        <f>IF($W70=0,"",20)</f>
      </c>
      <c r="B70" s="49">
        <f t="shared" si="15"/>
      </c>
      <c r="C70" s="48">
        <f t="shared" si="2"/>
      </c>
      <c r="D70" s="48">
        <f t="shared" si="18"/>
      </c>
      <c r="E70" s="48">
        <f t="shared" si="6"/>
      </c>
      <c r="F70" s="48">
        <f t="shared" si="11"/>
      </c>
      <c r="G70" s="104">
        <f t="shared" si="23"/>
      </c>
      <c r="H70" s="49">
        <f t="shared" si="26"/>
      </c>
      <c r="W70" s="2">
        <f>IF(20&gt;$Y$60,0,IFERROR(MATCH(20,$Y$1:$Y$60,0),0))</f>
        <v>0</v>
      </c>
      <c r="Z70" s="2">
        <f>IF(往来单位!$B$73="",0,-SUMIFS(资金流水!$R$6:$R$2005,资金流水!$J$6:$J$2005,往来单位!$B$73,资金流水!$R$6:$R$2005,"&lt;0",资金流水!$X$6:$X$2005,"&lt;&gt;账户互转",资金流水!$B$6:$B$2005,"&gt;="&amp;$C$4,资金流水!$B$6:$B$2005,"&lt;="&amp;$E$4))</f>
        <v>0</v>
      </c>
      <c r="AA70" s="2">
        <f>IF(Z70&gt;0,Z70+(301-70)/1000000,0)</f>
        <v>0</v>
      </c>
    </row>
    <row r="71">
      <c r="A71" s="105" t="n"/>
      <c r="B71" s="76" t="inlineStr">
        <is>
          <t>合计</t>
        </is>
      </c>
      <c r="C71" s="77">
        <f>SUM(C51:C70)</f>
        <v>702062.4</v>
      </c>
      <c r="D71" s="77">
        <f>SUM(D51:D70)</f>
        <v>702062.4</v>
      </c>
      <c r="E71" s="105" t="n"/>
      <c r="F71" s="105" t="n"/>
      <c r="G71" s="105" t="n"/>
      <c r="H71" s="105" t="n"/>
      <c r="Z71" s="2">
        <f>IF(往来单位!$B$74="",0,-SUMIFS(资金流水!$R$6:$R$2005,资金流水!$J$6:$J$2005,往来单位!$B$74,资金流水!$R$6:$R$2005,"&lt;0",资金流水!$X$6:$X$2005,"&lt;&gt;账户互转",资金流水!$B$6:$B$2005,"&gt;="&amp;$C$4,资金流水!$B$6:$B$2005,"&lt;="&amp;$E$4))</f>
        <v>5000</v>
      </c>
      <c r="AA71" s="2">
        <f>IF(Z71&gt;0,Z71+(301-71)/1000000,0)</f>
        <v>5000.00023</v>
      </c>
    </row>
    <row r="72">
      <c r="Z72" s="2">
        <f>IF(往来单位!$B$75="",0,-SUMIFS(资金流水!$R$6:$R$2005,资金流水!$J$6:$J$2005,往来单位!$B$75,资金流水!$R$6:$R$2005,"&lt;0",资金流水!$X$6:$X$2005,"&lt;&gt;账户互转",资金流水!$B$6:$B$2005,"&gt;="&amp;$C$4,资金流水!$B$6:$B$2005,"&lt;="&amp;$E$4))</f>
        <v>1019.48</v>
      </c>
      <c r="AA72" s="2">
        <f>IF(Z72&gt;0,Z72+(301-72)/1000000,0)</f>
        <v>1019.480229</v>
      </c>
    </row>
    <row r="73">
      <c r="A73" s="39" t="inlineStr">
        <is>
          <t>④ 本期付款最多的 15 家（单位 / 人，不含互转）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Z73" s="2">
        <f>IF(往来单位!$B$76="",0,-SUMIFS(资金流水!$R$6:$R$2005,资金流水!$J$6:$J$2005,往来单位!$B$76,资金流水!$R$6:$R$2005,"&lt;0",资金流水!$X$6:$X$2005,"&lt;&gt;账户互转",资金流水!$B$6:$B$2005,"&gt;="&amp;$C$4,资金流水!$B$6:$B$2005,"&lt;="&amp;$E$4))</f>
        <v>1040</v>
      </c>
      <c r="AA73" s="2">
        <f>IF(Z73&gt;0,Z73+(301-73)/1000000,0)</f>
        <v>1040.000228</v>
      </c>
    </row>
    <row r="74" ht="40" customHeight="1">
      <c r="A74" s="42" t="inlineStr">
        <is>
          <t>名次</t>
        </is>
      </c>
      <c r="B74" s="42" t="inlineStr">
        <is>
          <t>单位 / 人</t>
        </is>
      </c>
      <c r="C74" s="42" t="inlineStr">
        <is>
          <t>类型</t>
        </is>
      </c>
      <c r="D74" s="42" t="inlineStr">
        <is>
          <t>本期付款</t>
        </is>
      </c>
      <c r="E74" s="42" t="inlineStr">
        <is>
          <t>还欠他
（截止月末）</t>
        </is>
      </c>
      <c r="F74" s="42" t="inlineStr">
        <is>
          <t>说明</t>
        </is>
      </c>
      <c r="G74" s="9" t="n"/>
      <c r="H74" s="9" t="n"/>
      <c r="I74" s="9" t="n"/>
      <c r="J74" s="9" t="n"/>
      <c r="K74" s="10" t="n"/>
      <c r="Z74" s="2">
        <f>IF(往来单位!$B$77="",0,-SUMIFS(资金流水!$R$6:$R$2005,资金流水!$J$6:$J$2005,往来单位!$B$77,资金流水!$R$6:$R$2005,"&lt;0",资金流水!$X$6:$X$2005,"&lt;&gt;账户互转",资金流水!$B$6:$B$2005,"&gt;="&amp;$C$4,资金流水!$B$6:$B$2005,"&lt;="&amp;$E$4))</f>
        <v>5000</v>
      </c>
      <c r="AA74" s="2">
        <f>IF(Z74&gt;0,Z74+(301-74)/1000000,0)</f>
        <v>5000.000227</v>
      </c>
    </row>
    <row r="75">
      <c r="A75" s="43">
        <f>IF($W75=0,"",1)</f>
        <v>1</v>
      </c>
      <c r="B75" s="49" t="str">
        <f t="shared" ref="B75:B89" si="16">IF($W75=0,"",INDEX(往来单位!$B$4:$B$303,$W75))</f>
        <v>筑强</v>
      </c>
      <c r="C75" s="43" t="str">
        <f t="shared" ref="C75:C89" si="3">IF($W75=0,"",INDEX(往来单位!$C$4:$C$303,$W75)&amp;"")</f>
        <v>材料供应商</v>
      </c>
      <c r="D75" s="48">
        <f t="shared" ref="D75:D89" si="19">IF($W75=0,"",INDEX($Z$1:$Z$300,$W75))</f>
        <v>50000</v>
      </c>
      <c r="E75" s="48">
        <f t="shared" ref="E75:E89" si="7">IF($W75=0,"",INDEX(_余额!$C$3:$C$302,$W75)+INDEX(_余额!$E$3:$E$302,$W75))</f>
        <v>224052.85</v>
      </c>
      <c r="F75" s="49">
        <f t="shared" ref="F75:F89" si="12">IF($W75=0,"",IF(N(E75)&lt;0,"多付了（他欠我们）",""))</f>
      </c>
      <c r="W75" s="2">
        <f>IFERROR(IF(LARGE($AA$1:$AA$300,1)&lt;=0,0,MATCH(LARGE($AA$1:$AA$300,1),$AA$1:$AA$300,0)),0)</f>
        <v>8</v>
      </c>
      <c r="Z75" s="2">
        <f>IF(往来单位!$B$78="",0,-SUMIFS(资金流水!$R$6:$R$2005,资金流水!$J$6:$J$2005,往来单位!$B$78,资金流水!$R$6:$R$2005,"&lt;0",资金流水!$X$6:$X$2005,"&lt;&gt;账户互转",资金流水!$B$6:$B$2005,"&gt;="&amp;$C$4,资金流水!$B$6:$B$2005,"&lt;="&amp;$E$4))</f>
        <v>0</v>
      </c>
      <c r="AA75" s="2">
        <f>IF(Z75&gt;0,Z75+(301-75)/1000000,0)</f>
        <v>0</v>
      </c>
    </row>
    <row r="76">
      <c r="A76" s="43">
        <f>IF($W76=0,"",2)</f>
        <v>2</v>
      </c>
      <c r="B76" s="49" t="str">
        <f t="shared" si="16"/>
        <v>祝冬冬</v>
      </c>
      <c r="C76" s="43" t="str">
        <f t="shared" si="3"/>
        <v>分包</v>
      </c>
      <c r="D76" s="48">
        <f t="shared" si="19"/>
        <v>20000</v>
      </c>
      <c r="E76" s="48">
        <f t="shared" si="7"/>
        <v>8000</v>
      </c>
      <c r="F76" s="49">
        <f t="shared" si="12"/>
      </c>
      <c r="W76" s="2">
        <f>IFERROR(IF(LARGE($AA$1:$AA$300,2)&lt;=0,0,MATCH(LARGE($AA$1:$AA$300,2),$AA$1:$AA$300,0)),0)</f>
        <v>31</v>
      </c>
      <c r="Z76" s="2">
        <f>IF(往来单位!$B$79="",0,-SUMIFS(资金流水!$R$6:$R$2005,资金流水!$J$6:$J$2005,往来单位!$B$79,资金流水!$R$6:$R$2005,"&lt;0",资金流水!$X$6:$X$2005,"&lt;&gt;账户互转",资金流水!$B$6:$B$2005,"&gt;="&amp;$C$4,资金流水!$B$6:$B$2005,"&lt;="&amp;$E$4))</f>
        <v>0</v>
      </c>
      <c r="AA76" s="2">
        <f>IF(Z76&gt;0,Z76+(301-76)/1000000,0)</f>
        <v>0</v>
      </c>
    </row>
    <row r="77">
      <c r="A77" s="43">
        <f>IF($W77=0,"",3)</f>
        <v>3</v>
      </c>
      <c r="B77" s="49" t="str">
        <f t="shared" si="16"/>
        <v>叶焰平</v>
      </c>
      <c r="C77" s="43" t="str">
        <f t="shared" si="3"/>
        <v>工人</v>
      </c>
      <c r="D77" s="48">
        <f t="shared" si="19"/>
        <v>10000</v>
      </c>
      <c r="E77" s="48">
        <f t="shared" si="7"/>
        <v>-10500</v>
      </c>
      <c r="F77" s="49" t="str">
        <f t="shared" si="12"/>
        <v>多付了（他欠我们）</v>
      </c>
      <c r="W77" s="2">
        <f>IFERROR(IF(LARGE($AA$1:$AA$300,3)&lt;=0,0,MATCH(LARGE($AA$1:$AA$300,3),$AA$1:$AA$300,0)),0)</f>
        <v>67</v>
      </c>
      <c r="Z77" s="2">
        <f>IF(往来单位!$B$80="",0,-SUMIFS(资金流水!$R$6:$R$2005,资金流水!$J$6:$J$2005,往来单位!$B$80,资金流水!$R$6:$R$2005,"&lt;0",资金流水!$X$6:$X$2005,"&lt;&gt;账户互转",资金流水!$B$6:$B$2005,"&gt;="&amp;$C$4,资金流水!$B$6:$B$2005,"&lt;="&amp;$E$4))</f>
        <v>0</v>
      </c>
      <c r="AA77" s="2">
        <f>IF(Z77&gt;0,Z77+(301-77)/1000000,0)</f>
        <v>0</v>
      </c>
    </row>
    <row r="78">
      <c r="A78" s="43">
        <f>IF($W78=0,"",4)</f>
        <v>4</v>
      </c>
      <c r="B78" s="49" t="str">
        <f t="shared" si="16"/>
        <v>金南水</v>
      </c>
      <c r="C78" s="43" t="str">
        <f t="shared" si="3"/>
        <v>工人</v>
      </c>
      <c r="D78" s="48">
        <f t="shared" si="19"/>
        <v>8000</v>
      </c>
      <c r="E78" s="48">
        <f t="shared" si="7"/>
        <v>-13895</v>
      </c>
      <c r="F78" s="49" t="str">
        <f t="shared" si="12"/>
        <v>多付了（他欠我们）</v>
      </c>
      <c r="W78" s="2">
        <f>IFERROR(IF(LARGE($AA$1:$AA$300,4)&lt;=0,0,MATCH(LARGE($AA$1:$AA$300,4),$AA$1:$AA$300,0)),0)</f>
        <v>54</v>
      </c>
      <c r="Z78" s="2">
        <f>IF(往来单位!$B$81="",0,-SUMIFS(资金流水!$R$6:$R$2005,资金流水!$J$6:$J$2005,往来单位!$B$81,资金流水!$R$6:$R$2005,"&lt;0",资金流水!$X$6:$X$2005,"&lt;&gt;账户互转",资金流水!$B$6:$B$2005,"&gt;="&amp;$C$4,资金流水!$B$6:$B$2005,"&lt;="&amp;$E$4))</f>
        <v>0</v>
      </c>
      <c r="AA78" s="2">
        <f>IF(Z78&gt;0,Z78+(301-78)/1000000,0)</f>
        <v>0</v>
      </c>
    </row>
    <row r="79">
      <c r="A79" s="43">
        <f>IF($W79=0,"",5)</f>
        <v>5</v>
      </c>
      <c r="B79" s="49" t="str">
        <f t="shared" si="16"/>
        <v>聂峰</v>
      </c>
      <c r="C79" s="43" t="str">
        <f t="shared" si="3"/>
        <v>工人</v>
      </c>
      <c r="D79" s="48">
        <f t="shared" si="19"/>
        <v>6000</v>
      </c>
      <c r="E79" s="48">
        <f t="shared" si="7"/>
        <v>24000</v>
      </c>
      <c r="F79" s="49">
        <f t="shared" si="12"/>
      </c>
      <c r="W79" s="2">
        <f>IFERROR(IF(LARGE($AA$1:$AA$300,5)&lt;=0,0,MATCH(LARGE($AA$1:$AA$300,5),$AA$1:$AA$300,0)),0)</f>
        <v>41</v>
      </c>
      <c r="Z79" s="2">
        <f>IF(往来单位!$B$82="",0,-SUMIFS(资金流水!$R$6:$R$2005,资金流水!$J$6:$J$2005,往来单位!$B$82,资金流水!$R$6:$R$2005,"&lt;0",资金流水!$X$6:$X$2005,"&lt;&gt;账户互转",资金流水!$B$6:$B$2005,"&gt;="&amp;$C$4,资金流水!$B$6:$B$2005,"&lt;="&amp;$E$4))</f>
        <v>0</v>
      </c>
      <c r="AA79" s="2">
        <f>IF(Z79&gt;0,Z79+(301-79)/1000000,0)</f>
        <v>0</v>
      </c>
    </row>
    <row r="80">
      <c r="A80" s="43">
        <f>IF($W80=0,"",6)</f>
        <v>6</v>
      </c>
      <c r="B80" s="49" t="str">
        <f t="shared" si="16"/>
        <v>吴长友</v>
      </c>
      <c r="C80" s="43" t="str">
        <f t="shared" si="3"/>
        <v>工人</v>
      </c>
      <c r="D80" s="48">
        <f t="shared" si="19"/>
        <v>6000</v>
      </c>
      <c r="E80" s="48">
        <f t="shared" si="7"/>
        <v>-1287.6</v>
      </c>
      <c r="F80" s="49" t="str">
        <f t="shared" si="12"/>
        <v>多付了（他欠我们）</v>
      </c>
      <c r="W80" s="2">
        <f>IFERROR(IF(LARGE($AA$1:$AA$300,6)&lt;=0,0,MATCH(LARGE($AA$1:$AA$300,6),$AA$1:$AA$300,0)),0)</f>
        <v>50</v>
      </c>
      <c r="Z80" s="2">
        <f>IF(往来单位!$B$83="",0,-SUMIFS(资金流水!$R$6:$R$2005,资金流水!$J$6:$J$2005,往来单位!$B$83,资金流水!$R$6:$R$2005,"&lt;0",资金流水!$X$6:$X$2005,"&lt;&gt;账户互转",资金流水!$B$6:$B$2005,"&gt;="&amp;$C$4,资金流水!$B$6:$B$2005,"&lt;="&amp;$E$4))</f>
        <v>1019.48</v>
      </c>
      <c r="AA80" s="2">
        <f>IF(Z80&gt;0,Z80+(301-80)/1000000,0)</f>
        <v>1019.480221</v>
      </c>
    </row>
    <row r="81">
      <c r="A81" s="43">
        <f>IF($W81=0,"",7)</f>
        <v>7</v>
      </c>
      <c r="B81" s="49" t="str">
        <f t="shared" si="16"/>
        <v>袁斌财</v>
      </c>
      <c r="C81" s="43" t="str">
        <f t="shared" si="3"/>
        <v>工人</v>
      </c>
      <c r="D81" s="48">
        <f t="shared" si="19"/>
        <v>5000</v>
      </c>
      <c r="E81" s="48">
        <f t="shared" si="7"/>
        <v>11021.1</v>
      </c>
      <c r="F81" s="49">
        <f t="shared" si="12"/>
      </c>
      <c r="W81" s="2">
        <f>IFERROR(IF(LARGE($AA$1:$AA$300,7)&lt;=0,0,MATCH(LARGE($AA$1:$AA$300,7),$AA$1:$AA$300,0)),0)</f>
        <v>42</v>
      </c>
      <c r="Z81" s="2">
        <f>IF(往来单位!$B$84="",0,-SUMIFS(资金流水!$R$6:$R$2005,资金流水!$J$6:$J$2005,往来单位!$B$84,资金流水!$R$6:$R$2005,"&lt;0",资金流水!$X$6:$X$2005,"&lt;&gt;账户互转",资金流水!$B$6:$B$2005,"&gt;="&amp;$C$4,资金流水!$B$6:$B$2005,"&lt;="&amp;$E$4))</f>
        <v>0</v>
      </c>
      <c r="AA81" s="2">
        <f>IF(Z81&gt;0,Z81+(301-81)/1000000,0)</f>
        <v>0</v>
      </c>
    </row>
    <row r="82">
      <c r="A82" s="43">
        <f>IF($W82=0,"",8)</f>
        <v>8</v>
      </c>
      <c r="B82" s="49" t="str">
        <f t="shared" si="16"/>
        <v>叶炳南</v>
      </c>
      <c r="C82" s="43" t="str">
        <f t="shared" si="3"/>
        <v>工人</v>
      </c>
      <c r="D82" s="48">
        <f t="shared" si="19"/>
        <v>5000</v>
      </c>
      <c r="E82" s="48">
        <f t="shared" si="7"/>
        <v>-492.6</v>
      </c>
      <c r="F82" s="49" t="str">
        <f t="shared" si="12"/>
        <v>多付了（他欠我们）</v>
      </c>
      <c r="W82" s="2">
        <f>IFERROR(IF(LARGE($AA$1:$AA$300,8)&lt;=0,0,MATCH(LARGE($AA$1:$AA$300,8),$AA$1:$AA$300,0)),0)</f>
        <v>47</v>
      </c>
      <c r="Z82" s="2">
        <f>IF(往来单位!$B$85="",0,-SUMIFS(资金流水!$R$6:$R$2005,资金流水!$J$6:$J$2005,往来单位!$B$85,资金流水!$R$6:$R$2005,"&lt;0",资金流水!$X$6:$X$2005,"&lt;&gt;账户互转",资金流水!$B$6:$B$2005,"&gt;="&amp;$C$4,资金流水!$B$6:$B$2005,"&lt;="&amp;$E$4))</f>
        <v>1600</v>
      </c>
      <c r="AA82" s="2">
        <f>IF(Z82&gt;0,Z82+(301-82)/1000000,0)</f>
        <v>1600.000219</v>
      </c>
    </row>
    <row r="83">
      <c r="A83" s="43">
        <f>IF($W83=0,"",9)</f>
        <v>9</v>
      </c>
      <c r="B83" s="49" t="str">
        <f t="shared" si="16"/>
        <v>梅秀刚</v>
      </c>
      <c r="C83" s="43" t="str">
        <f t="shared" si="3"/>
        <v>工人</v>
      </c>
      <c r="D83" s="48">
        <f t="shared" si="19"/>
        <v>5000</v>
      </c>
      <c r="E83" s="48">
        <f t="shared" si="7"/>
        <v>-7090</v>
      </c>
      <c r="F83" s="49" t="str">
        <f t="shared" si="12"/>
        <v>多付了（他欠我们）</v>
      </c>
      <c r="W83" s="2">
        <f>IFERROR(IF(LARGE($AA$1:$AA$300,9)&lt;=0,0,MATCH(LARGE($AA$1:$AA$300,9),$AA$1:$AA$300,0)),0)</f>
        <v>53</v>
      </c>
      <c r="Z83" s="2">
        <f>IF(往来单位!$B$86="",0,-SUMIFS(资金流水!$R$6:$R$2005,资金流水!$J$6:$J$2005,往来单位!$B$86,资金流水!$R$6:$R$2005,"&lt;0",资金流水!$X$6:$X$2005,"&lt;&gt;账户互转",资金流水!$B$6:$B$2005,"&gt;="&amp;$C$4,资金流水!$B$6:$B$2005,"&lt;="&amp;$E$4))</f>
        <v>0</v>
      </c>
      <c r="AA83" s="2">
        <f>IF(Z83&gt;0,Z83+(301-83)/1000000,0)</f>
        <v>0</v>
      </c>
    </row>
    <row r="84">
      <c r="A84" s="43">
        <f>IF($W84=0,"",10)</f>
        <v>10</v>
      </c>
      <c r="B84" s="49" t="str">
        <f t="shared" si="16"/>
        <v>张亮亮</v>
      </c>
      <c r="C84" s="43" t="str">
        <f t="shared" si="3"/>
        <v>工人</v>
      </c>
      <c r="D84" s="48">
        <f t="shared" si="19"/>
        <v>5000</v>
      </c>
      <c r="E84" s="48">
        <f t="shared" si="7"/>
        <v>-8540</v>
      </c>
      <c r="F84" s="49" t="str">
        <f t="shared" si="12"/>
        <v>多付了（他欠我们）</v>
      </c>
      <c r="W84" s="2">
        <f>IFERROR(IF(LARGE($AA$1:$AA$300,10)&lt;=0,0,MATCH(LARGE($AA$1:$AA$300,10),$AA$1:$AA$300,0)),0)</f>
        <v>59</v>
      </c>
      <c r="Z84" s="2">
        <f>IF(往来单位!$B$87="",0,-SUMIFS(资金流水!$R$6:$R$2005,资金流水!$J$6:$J$2005,往来单位!$B$87,资金流水!$R$6:$R$2005,"&lt;0",资金流水!$X$6:$X$2005,"&lt;&gt;账户互转",资金流水!$B$6:$B$2005,"&gt;="&amp;$C$4,资金流水!$B$6:$B$2005,"&lt;="&amp;$E$4))</f>
        <v>0</v>
      </c>
      <c r="AA84" s="2">
        <f>IF(Z84&gt;0,Z84+(301-84)/1000000,0)</f>
        <v>0</v>
      </c>
    </row>
    <row r="85">
      <c r="A85" s="43">
        <f>IF($W85=0,"",11)</f>
        <v>11</v>
      </c>
      <c r="B85" s="49" t="str">
        <f t="shared" si="16"/>
        <v>张滨</v>
      </c>
      <c r="C85" s="43" t="str">
        <f t="shared" si="3"/>
        <v>管理人员</v>
      </c>
      <c r="D85" s="48">
        <f t="shared" si="19"/>
        <v>5000</v>
      </c>
      <c r="E85" s="48">
        <f t="shared" si="7"/>
        <v>-12000</v>
      </c>
      <c r="F85" s="49" t="str">
        <f t="shared" si="12"/>
        <v>多付了（他欠我们）</v>
      </c>
      <c r="W85" s="2">
        <f>IFERROR(IF(LARGE($AA$1:$AA$300,11)&lt;=0,0,MATCH(LARGE($AA$1:$AA$300,11),$AA$1:$AA$300,0)),0)</f>
        <v>68</v>
      </c>
      <c r="Z85" s="2">
        <f>IF(往来单位!$B$88="",0,-SUMIFS(资金流水!$R$6:$R$2005,资金流水!$J$6:$J$2005,往来单位!$B$88,资金流水!$R$6:$R$2005,"&lt;0",资金流水!$X$6:$X$2005,"&lt;&gt;账户互转",资金流水!$B$6:$B$2005,"&gt;="&amp;$C$4,资金流水!$B$6:$B$2005,"&lt;="&amp;$E$4))</f>
        <v>0</v>
      </c>
      <c r="AA85" s="2">
        <f>IF(Z85&gt;0,Z85+(301-85)/1000000,0)</f>
        <v>0</v>
      </c>
    </row>
    <row r="86">
      <c r="A86" s="43">
        <f>IF($W86=0,"",12)</f>
        <v>12</v>
      </c>
      <c r="B86" s="49" t="str">
        <f t="shared" si="16"/>
        <v>王伟</v>
      </c>
      <c r="C86" s="43" t="str">
        <f t="shared" si="3"/>
        <v>管理人员</v>
      </c>
      <c r="D86" s="48">
        <f t="shared" si="19"/>
        <v>5000</v>
      </c>
      <c r="E86" s="48">
        <f t="shared" si="7"/>
        <v>5000</v>
      </c>
      <c r="F86" s="49">
        <f t="shared" si="12"/>
      </c>
      <c r="W86" s="2">
        <f>IFERROR(IF(LARGE($AA$1:$AA$300,12)&lt;=0,0,MATCH(LARGE($AA$1:$AA$300,12),$AA$1:$AA$300,0)),0)</f>
        <v>71</v>
      </c>
      <c r="Z86" s="2">
        <f>IF(往来单位!$B$89="",0,-SUMIFS(资金流水!$R$6:$R$2005,资金流水!$J$6:$J$2005,往来单位!$B$89,资金流水!$R$6:$R$2005,"&lt;0",资金流水!$X$6:$X$2005,"&lt;&gt;账户互转",资金流水!$B$6:$B$2005,"&gt;="&amp;$C$4,资金流水!$B$6:$B$2005,"&lt;="&amp;$E$4))</f>
        <v>0</v>
      </c>
      <c r="AA86" s="2">
        <f>IF(Z86&gt;0,Z86+(301-86)/1000000,0)</f>
        <v>0</v>
      </c>
    </row>
    <row r="87">
      <c r="A87" s="43">
        <f>IF($W87=0,"",13)</f>
        <v>13</v>
      </c>
      <c r="B87" s="49" t="str">
        <f t="shared" si="16"/>
        <v>邓付贞</v>
      </c>
      <c r="C87" s="43" t="str">
        <f t="shared" si="3"/>
        <v>工人</v>
      </c>
      <c r="D87" s="48">
        <f t="shared" si="19"/>
        <v>5000</v>
      </c>
      <c r="E87" s="48">
        <f t="shared" si="7"/>
        <v>-5000</v>
      </c>
      <c r="F87" s="49" t="str">
        <f t="shared" si="12"/>
        <v>多付了（他欠我们）</v>
      </c>
      <c r="W87" s="2">
        <f>IFERROR(IF(LARGE($AA$1:$AA$300,13)&lt;=0,0,MATCH(LARGE($AA$1:$AA$300,13),$AA$1:$AA$300,0)),0)</f>
        <v>74</v>
      </c>
      <c r="Z87" s="2">
        <f>IF(往来单位!$B$90="",0,-SUMIFS(资金流水!$R$6:$R$2005,资金流水!$J$6:$J$2005,往来单位!$B$90,资金流水!$R$6:$R$2005,"&lt;0",资金流水!$X$6:$X$2005,"&lt;&gt;账户互转",资金流水!$B$6:$B$2005,"&gt;="&amp;$C$4,资金流水!$B$6:$B$2005,"&lt;="&amp;$E$4))</f>
        <v>0</v>
      </c>
      <c r="AA87" s="2">
        <f>IF(Z87&gt;0,Z87+(301-87)/1000000,0)</f>
        <v>0</v>
      </c>
    </row>
    <row r="88">
      <c r="A88" s="43">
        <f>IF($W88=0,"",14)</f>
        <v>14</v>
      </c>
      <c r="B88" s="49" t="str">
        <f t="shared" si="16"/>
        <v>胡家新</v>
      </c>
      <c r="C88" s="43" t="str">
        <f t="shared" si="3"/>
        <v>工人</v>
      </c>
      <c r="D88" s="48">
        <f t="shared" si="19"/>
        <v>3000</v>
      </c>
      <c r="E88" s="48">
        <f t="shared" si="7"/>
        <v>3260</v>
      </c>
      <c r="F88" s="49">
        <f t="shared" si="12"/>
      </c>
      <c r="W88" s="2">
        <f>IFERROR(IF(LARGE($AA$1:$AA$300,14)&lt;=0,0,MATCH(LARGE($AA$1:$AA$300,14),$AA$1:$AA$300,0)),0)</f>
        <v>43</v>
      </c>
      <c r="Z88" s="2">
        <f>IF(往来单位!$B$91="",0,-SUMIFS(资金流水!$R$6:$R$2005,资金流水!$J$6:$J$2005,往来单位!$B$91,资金流水!$R$6:$R$2005,"&lt;0",资金流水!$X$6:$X$2005,"&lt;&gt;账户互转",资金流水!$B$6:$B$2005,"&gt;="&amp;$C$4,资金流水!$B$6:$B$2005,"&lt;="&amp;$E$4))</f>
        <v>0</v>
      </c>
      <c r="AA88" s="2">
        <f>IF(Z88&gt;0,Z88+(301-88)/1000000,0)</f>
        <v>0</v>
      </c>
    </row>
    <row r="89">
      <c r="A89" s="43">
        <f>IF($W89=0,"",15)</f>
        <v>15</v>
      </c>
      <c r="B89" s="49" t="str">
        <f t="shared" si="16"/>
        <v>刘海</v>
      </c>
      <c r="C89" s="43" t="str">
        <f t="shared" si="3"/>
        <v>工人</v>
      </c>
      <c r="D89" s="48">
        <f t="shared" si="19"/>
        <v>3000</v>
      </c>
      <c r="E89" s="48">
        <f t="shared" si="7"/>
        <v>2250</v>
      </c>
      <c r="F89" s="49">
        <f t="shared" si="12"/>
      </c>
      <c r="W89" s="2">
        <f>IFERROR(IF(LARGE($AA$1:$AA$300,15)&lt;=0,0,MATCH(LARGE($AA$1:$AA$300,15),$AA$1:$AA$300,0)),0)</f>
        <v>44</v>
      </c>
      <c r="Z89" s="2">
        <f>IF(往来单位!$B$92="",0,-SUMIFS(资金流水!$R$6:$R$2005,资金流水!$J$6:$J$2005,往来单位!$B$92,资金流水!$R$6:$R$2005,"&lt;0",资金流水!$X$6:$X$2005,"&lt;&gt;账户互转",资金流水!$B$6:$B$2005,"&gt;="&amp;$C$4,资金流水!$B$6:$B$2005,"&lt;="&amp;$E$4))</f>
        <v>0</v>
      </c>
      <c r="AA89" s="2">
        <f>IF(Z89&gt;0,Z89+(301-89)/1000000,0)</f>
        <v>0</v>
      </c>
    </row>
    <row r="90">
      <c r="Z90" s="2">
        <f>IF(往来单位!$B$93="",0,-SUMIFS(资金流水!$R$6:$R$2005,资金流水!$J$6:$J$2005,往来单位!$B$93,资金流水!$R$6:$R$2005,"&lt;0",资金流水!$X$6:$X$2005,"&lt;&gt;账户互转",资金流水!$B$6:$B$2005,"&gt;="&amp;$C$4,资金流水!$B$6:$B$2005,"&lt;="&amp;$E$4))</f>
        <v>0</v>
      </c>
      <c r="AA90" s="2">
        <f>IF(Z90&gt;0,Z90+(301-90)/1000000,0)</f>
        <v>0</v>
      </c>
    </row>
    <row r="91">
      <c r="A91" s="75" t="inlineStr">
        <is>
          <t>⑤ 本期收支分类（按收支类别；账户互转单列，不算收支）</t>
        </is>
      </c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Z91" s="2">
        <f>IF(往来单位!$B$94="",0,-SUMIFS(资金流水!$R$6:$R$2005,资金流水!$J$6:$J$2005,往来单位!$B$94,资金流水!$R$6:$R$2005,"&lt;0",资金流水!$X$6:$X$2005,"&lt;&gt;账户互转",资金流水!$B$6:$B$2005,"&gt;="&amp;$C$4,资金流水!$B$6:$B$2005,"&lt;="&amp;$E$4))</f>
        <v>0</v>
      </c>
      <c r="AA91" s="2">
        <f>IF(Z91&gt;0,Z91+(301-91)/1000000,0)</f>
        <v>0</v>
      </c>
    </row>
    <row r="92" ht="40" customHeight="1">
      <c r="A92" s="70" t="inlineStr">
        <is>
          <t>序号</t>
        </is>
      </c>
      <c r="B92" s="70" t="inlineStr">
        <is>
          <t>收支类别</t>
        </is>
      </c>
      <c r="C92" s="70" t="inlineStr">
        <is>
          <t>报表项目</t>
        </is>
      </c>
      <c r="D92" s="70" t="inlineStr">
        <is>
          <t>收入
（银行现金票据）</t>
        </is>
      </c>
      <c r="E92" s="70" t="inlineStr">
        <is>
          <t>支出
（银行现金票据）</t>
        </is>
      </c>
      <c r="F92" s="70" t="inlineStr">
        <is>
          <t>个人户
代公司收</t>
        </is>
      </c>
      <c r="G92" s="70" t="inlineStr">
        <is>
          <t>个人户
代公司付</t>
        </is>
      </c>
      <c r="H92" s="70" t="inlineStr">
        <is>
          <t>本期净额</t>
        </is>
      </c>
      <c r="I92" s="70" t="inlineStr">
        <is>
          <t>笔数</t>
        </is>
      </c>
      <c r="J92" s="70" t="inlineStr">
        <is>
          <t>本年累计
净额</t>
        </is>
      </c>
      <c r="K92" s="70" t="inlineStr">
        <is>
          <t>说明</t>
        </is>
      </c>
      <c r="Z92" s="2">
        <f>IF(往来单位!$B$95="",0,-SUMIFS(资金流水!$R$6:$R$2005,资金流水!$J$6:$J$2005,往来单位!$B$95,资金流水!$R$6:$R$2005,"&lt;0",资金流水!$X$6:$X$2005,"&lt;&gt;账户互转",资金流水!$B$6:$B$2005,"&gt;="&amp;$C$4,资金流水!$B$6:$B$2005,"&lt;="&amp;$E$4))</f>
        <v>0</v>
      </c>
      <c r="AA92" s="2">
        <f>IF(Z92&gt;0,Z92+(301-92)/1000000,0)</f>
        <v>0</v>
      </c>
    </row>
    <row r="93">
      <c r="A93" s="94">
        <f>IF($B93="","",1)</f>
        <v>1</v>
      </c>
      <c r="B93" s="96" t="str">
        <f>基础资料!$S$5&amp;""</f>
        <v>工程款</v>
      </c>
      <c r="C93" s="96" t="str">
        <f>基础资料!$U$5&amp;""</f>
        <v>应收账款</v>
      </c>
      <c r="D93" s="21">
        <f t="shared" ref="D93:D152" si="20">IF($B93="","",SUMIFS(资金流水!$R$6:$R$2005,资金流水!$I$6:$I$2005,$B93,资金流水!$R$6:$R$2005,"&gt;0",资金流水!$B$6:$B$2005,"&gt;="&amp;$C$4,资金流水!$B$6:$B$2005,"&lt;="&amp;$E$4)-SUMIFS(资金流水!$R$6:$R$2005,资金流水!$I$6:$I$2005,$B93,资金流水!$AE$6:$AE$2005,"个人户",资金流水!$R$6:$R$2005,"&gt;0",资金流水!$B$6:$B$2005,"&gt;="&amp;$C$4,资金流水!$B$6:$B$2005,"&lt;="&amp;$E$4))</f>
        <v>702062.4</v>
      </c>
      <c r="E93" s="21">
        <f t="shared" ref="E93:E152" si="8">IF($B93="","",-SUMIFS(资金流水!$R$6:$R$2005,资金流水!$I$6:$I$2005,$B93,资金流水!$R$6:$R$2005,"&lt;0",资金流水!$B$6:$B$2005,"&gt;="&amp;$C$4,资金流水!$B$6:$B$2005,"&lt;="&amp;$E$4)+SUMIFS(资金流水!$R$6:$R$2005,资金流水!$I$6:$I$2005,$B93,资金流水!$AE$6:$AE$2005,"个人户",资金流水!$R$6:$R$2005,"&lt;0",资金流水!$B$6:$B$2005,"&gt;="&amp;$C$4,资金流水!$B$6:$B$2005,"&lt;="&amp;$E$4))</f>
        <v>0</v>
      </c>
      <c r="F93" s="21">
        <f t="shared" ref="F93:F152" si="13">IF($B93="","",SUMIFS(资金流水!$R$6:$R$2005,资金流水!$I$6:$I$2005,$B93,资金流水!$AE$6:$AE$2005,"个人户",资金流水!$R$6:$R$2005,"&gt;0",资金流水!$B$6:$B$2005,"&gt;="&amp;$C$4,资金流水!$B$6:$B$2005,"&lt;="&amp;$E$4))</f>
        <v>0</v>
      </c>
      <c r="G93" s="21">
        <f t="shared" ref="G93:G152" si="24">IF($B93="","",-SUMIFS(资金流水!$R$6:$R$2005,资金流水!$I$6:$I$2005,$B93,资金流水!$AE$6:$AE$2005,"个人户",资金流水!$R$6:$R$2005,"&lt;0",资金流水!$B$6:$B$2005,"&gt;="&amp;$C$4,资金流水!$B$6:$B$2005,"&lt;="&amp;$E$4))</f>
        <v>0</v>
      </c>
      <c r="H93" s="21">
        <f t="shared" ref="H93:H152" si="27">IF($B93="","",D93-E93+F93-G93)</f>
        <v>702062.4</v>
      </c>
      <c r="I93" s="106">
        <f t="shared" ref="I93:I152" si="29">IF($B93="","",COUNTIFS(资金流水!$I$6:$I$2005,$B93,资金流水!$B$6:$B$2005,"&gt;="&amp;$C$4,资金流水!$B$6:$B$2005,"&lt;="&amp;$E$4))</f>
        <v>2</v>
      </c>
      <c r="J93" s="21">
        <f t="shared" ref="J93:J152" si="30">IF($B93="","",SUMIFS(资金流水!$R$6:$R$2005,资金流水!$I$6:$I$2005,$B93,资金流水!$B$6:$B$2005,"&gt;="&amp;DATE(YEAR($E$4),1,1),资金流水!$B$6:$B$2005,"&lt;="&amp;$E$4))</f>
        <v>1222897.88</v>
      </c>
      <c r="K93" s="96">
        <f t="shared" ref="K93:K152" si="31">IF($B93="账户互转","自己账户之间倒钱，不算收支","")</f>
      </c>
      <c r="Z93" s="2">
        <f>IF(往来单位!$B$96="",0,-SUMIFS(资金流水!$R$6:$R$2005,资金流水!$J$6:$J$2005,往来单位!$B$96,资金流水!$R$6:$R$2005,"&lt;0",资金流水!$X$6:$X$2005,"&lt;&gt;账户互转",资金流水!$B$6:$B$2005,"&gt;="&amp;$C$4,资金流水!$B$6:$B$2005,"&lt;="&amp;$E$4))</f>
        <v>0</v>
      </c>
      <c r="AA93" s="2">
        <f>IF(Z93&gt;0,Z93+(301-93)/1000000,0)</f>
        <v>0</v>
      </c>
    </row>
    <row r="94">
      <c r="A94" s="94">
        <f>IF($B94="","",2)</f>
        <v>2</v>
      </c>
      <c r="B94" s="96" t="str">
        <f>基础资料!$S$6&amp;""</f>
        <v>付应付款</v>
      </c>
      <c r="C94" s="96" t="str">
        <f>基础资料!$U$6&amp;""</f>
        <v>应付款</v>
      </c>
      <c r="D94" s="21">
        <f t="shared" si="20"/>
        <v>0</v>
      </c>
      <c r="E94" s="21">
        <f t="shared" si="8"/>
        <v>70000</v>
      </c>
      <c r="F94" s="21">
        <f t="shared" si="13"/>
        <v>0</v>
      </c>
      <c r="G94" s="21">
        <f t="shared" si="24"/>
        <v>0</v>
      </c>
      <c r="H94" s="21">
        <f t="shared" si="27"/>
        <v>-70000</v>
      </c>
      <c r="I94" s="106">
        <f t="shared" si="29"/>
        <v>2</v>
      </c>
      <c r="J94" s="21">
        <f t="shared" si="30"/>
        <v>-229364</v>
      </c>
      <c r="K94" s="96">
        <f t="shared" si="31"/>
      </c>
      <c r="Z94" s="2">
        <f>IF(往来单位!$B$97="",0,-SUMIFS(资金流水!$R$6:$R$2005,资金流水!$J$6:$J$2005,往来单位!$B$97,资金流水!$R$6:$R$2005,"&lt;0",资金流水!$X$6:$X$2005,"&lt;&gt;账户互转",资金流水!$B$6:$B$2005,"&gt;="&amp;$C$4,资金流水!$B$6:$B$2005,"&lt;="&amp;$E$4))</f>
        <v>0</v>
      </c>
      <c r="AA94" s="2">
        <f>IF(Z94&gt;0,Z94+(301-94)/1000000,0)</f>
        <v>0</v>
      </c>
    </row>
    <row r="95">
      <c r="A95" s="94">
        <f>IF($B95="","",3)</f>
        <v>3</v>
      </c>
      <c r="B95" s="96" t="str">
        <f>基础资料!$S$7&amp;""</f>
        <v>工资</v>
      </c>
      <c r="C95" s="96" t="str">
        <f>基础资料!$U$7&amp;""</f>
        <v>应付职工薪酬</v>
      </c>
      <c r="D95" s="21">
        <f t="shared" si="20"/>
        <v>0</v>
      </c>
      <c r="E95" s="21">
        <f t="shared" si="8"/>
        <v>80640</v>
      </c>
      <c r="F95" s="21">
        <f t="shared" si="13"/>
        <v>0</v>
      </c>
      <c r="G95" s="21">
        <f t="shared" si="24"/>
        <v>0</v>
      </c>
      <c r="H95" s="21">
        <f t="shared" si="27"/>
        <v>-80640</v>
      </c>
      <c r="I95" s="106">
        <f t="shared" si="29"/>
        <v>19</v>
      </c>
      <c r="J95" s="21">
        <f t="shared" si="30"/>
        <v>-251031.31</v>
      </c>
      <c r="K95" s="96">
        <f t="shared" si="31"/>
      </c>
      <c r="Z95" s="2">
        <f>IF(往来单位!$B$98="",0,-SUMIFS(资金流水!$R$6:$R$2005,资金流水!$J$6:$J$2005,往来单位!$B$98,资金流水!$R$6:$R$2005,"&lt;0",资金流水!$X$6:$X$2005,"&lt;&gt;账户互转",资金流水!$B$6:$B$2005,"&gt;="&amp;$C$4,资金流水!$B$6:$B$2005,"&lt;="&amp;$E$4))</f>
        <v>0</v>
      </c>
      <c r="AA95" s="2">
        <f>IF(Z95&gt;0,Z95+(301-95)/1000000,0)</f>
        <v>0</v>
      </c>
    </row>
    <row r="96">
      <c r="A96" s="94">
        <f>IF($B96="","",4)</f>
        <v>4</v>
      </c>
      <c r="B96" s="96" t="str">
        <f>基础资料!$S$8&amp;""</f>
        <v>临时工工资</v>
      </c>
      <c r="C96" s="96" t="str">
        <f>基础资料!$U$8&amp;""</f>
        <v>人工费</v>
      </c>
      <c r="D96" s="21">
        <f t="shared" si="20"/>
        <v>0</v>
      </c>
      <c r="E96" s="21">
        <f t="shared" si="8"/>
        <v>0</v>
      </c>
      <c r="F96" s="21">
        <f t="shared" si="13"/>
        <v>0</v>
      </c>
      <c r="G96" s="21">
        <f t="shared" si="24"/>
        <v>0</v>
      </c>
      <c r="H96" s="21">
        <f t="shared" si="27"/>
        <v>0</v>
      </c>
      <c r="I96" s="106">
        <f t="shared" si="29"/>
        <v>0</v>
      </c>
      <c r="J96" s="21">
        <f t="shared" si="30"/>
        <v>-360</v>
      </c>
      <c r="K96" s="96">
        <f t="shared" si="31"/>
      </c>
      <c r="Z96" s="2">
        <f>IF(往来单位!$B$99="",0,-SUMIFS(资金流水!$R$6:$R$2005,资金流水!$J$6:$J$2005,往来单位!$B$99,资金流水!$R$6:$R$2005,"&lt;0",资金流水!$X$6:$X$2005,"&lt;&gt;账户互转",资金流水!$B$6:$B$2005,"&gt;="&amp;$C$4,资金流水!$B$6:$B$2005,"&lt;="&amp;$E$4))</f>
        <v>0</v>
      </c>
      <c r="AA96" s="2">
        <f>IF(Z96&gt;0,Z96+(301-96)/1000000,0)</f>
        <v>0</v>
      </c>
    </row>
    <row r="97">
      <c r="A97" s="94">
        <f>IF($B97="","",5)</f>
        <v>5</v>
      </c>
      <c r="B97" s="96" t="str">
        <f>基础资料!$S$9&amp;""</f>
        <v>工资退回</v>
      </c>
      <c r="C97" s="96" t="str">
        <f>基础资料!$U$9&amp;""</f>
        <v>应付职工薪酬</v>
      </c>
      <c r="D97" s="21">
        <f t="shared" si="20"/>
        <v>0</v>
      </c>
      <c r="E97" s="21">
        <f t="shared" si="8"/>
        <v>0</v>
      </c>
      <c r="F97" s="21">
        <f t="shared" si="13"/>
        <v>0</v>
      </c>
      <c r="G97" s="21">
        <f t="shared" si="24"/>
        <v>0</v>
      </c>
      <c r="H97" s="21">
        <f t="shared" si="27"/>
        <v>0</v>
      </c>
      <c r="I97" s="106">
        <f t="shared" si="29"/>
        <v>0</v>
      </c>
      <c r="J97" s="21">
        <f t="shared" si="30"/>
        <v>0</v>
      </c>
      <c r="K97" s="96">
        <f t="shared" si="31"/>
      </c>
      <c r="Z97" s="2">
        <f>IF(往来单位!$B$100="",0,-SUMIFS(资金流水!$R$6:$R$2005,资金流水!$J$6:$J$2005,往来单位!$B$100,资金流水!$R$6:$R$2005,"&lt;0",资金流水!$X$6:$X$2005,"&lt;&gt;账户互转",资金流水!$B$6:$B$2005,"&gt;="&amp;$C$4,资金流水!$B$6:$B$2005,"&lt;="&amp;$E$4))</f>
        <v>0</v>
      </c>
      <c r="AA97" s="2">
        <f>IF(Z97&gt;0,Z97+(301-97)/1000000,0)</f>
        <v>0</v>
      </c>
    </row>
    <row r="98">
      <c r="A98" s="94">
        <f>IF($B98="","",6)</f>
        <v>6</v>
      </c>
      <c r="B98" s="96" t="str">
        <f>基础资料!$S$10&amp;""</f>
        <v>账户互转</v>
      </c>
      <c r="C98" s="96" t="str">
        <f>基础资料!$U$10&amp;""</f>
        <v>账户互转</v>
      </c>
      <c r="D98" s="21">
        <f t="shared" si="20"/>
        <v>5200</v>
      </c>
      <c r="E98" s="21">
        <f t="shared" si="8"/>
        <v>100000</v>
      </c>
      <c r="F98" s="21">
        <f t="shared" si="13"/>
        <v>0</v>
      </c>
      <c r="G98" s="21">
        <f t="shared" si="24"/>
        <v>0</v>
      </c>
      <c r="H98" s="21">
        <f t="shared" si="27"/>
        <v>-94800</v>
      </c>
      <c r="I98" s="106">
        <f t="shared" si="29"/>
        <v>5</v>
      </c>
      <c r="J98" s="21">
        <f t="shared" si="30"/>
        <v>-437200</v>
      </c>
      <c r="K98" s="96" t="str">
        <f t="shared" si="31"/>
        <v>自己账户之间倒钱，不算收支</v>
      </c>
      <c r="Z98" s="2">
        <f>IF(往来单位!$B$101="",0,-SUMIFS(资金流水!$R$6:$R$2005,资金流水!$J$6:$J$2005,往来单位!$B$101,资金流水!$R$6:$R$2005,"&lt;0",资金流水!$X$6:$X$2005,"&lt;&gt;账户互转",资金流水!$B$6:$B$2005,"&gt;="&amp;$C$4,资金流水!$B$6:$B$2005,"&lt;="&amp;$E$4))</f>
        <v>0</v>
      </c>
      <c r="AA98" s="2">
        <f>IF(Z98&gt;0,Z98+(301-98)/1000000,0)</f>
        <v>0</v>
      </c>
    </row>
    <row r="99">
      <c r="A99" s="94">
        <f>IF($B99="","",7)</f>
        <v>7</v>
      </c>
      <c r="B99" s="96" t="str">
        <f>基础资料!$S$11&amp;""</f>
        <v>材料费</v>
      </c>
      <c r="C99" s="96" t="str">
        <f>基础资料!$U$11&amp;""</f>
        <v>材料费</v>
      </c>
      <c r="D99" s="21">
        <f t="shared" si="20"/>
        <v>0</v>
      </c>
      <c r="E99" s="21">
        <f t="shared" si="8"/>
        <v>0</v>
      </c>
      <c r="F99" s="21">
        <f t="shared" si="13"/>
        <v>0</v>
      </c>
      <c r="G99" s="21">
        <f t="shared" si="24"/>
        <v>0</v>
      </c>
      <c r="H99" s="21">
        <f t="shared" si="27"/>
        <v>0</v>
      </c>
      <c r="I99" s="106">
        <f t="shared" si="29"/>
        <v>0</v>
      </c>
      <c r="J99" s="21">
        <f t="shared" si="30"/>
        <v>-173014.4</v>
      </c>
      <c r="K99" s="96">
        <f t="shared" si="31"/>
      </c>
      <c r="Z99" s="2">
        <f>IF(往来单位!$B$102="",0,-SUMIFS(资金流水!$R$6:$R$2005,资金流水!$J$6:$J$2005,往来单位!$B$102,资金流水!$R$6:$R$2005,"&lt;0",资金流水!$X$6:$X$2005,"&lt;&gt;账户互转",资金流水!$B$6:$B$2005,"&gt;="&amp;$C$4,资金流水!$B$6:$B$2005,"&lt;="&amp;$E$4))</f>
        <v>0</v>
      </c>
      <c r="AA99" s="2">
        <f>IF(Z99&gt;0,Z99+(301-99)/1000000,0)</f>
        <v>0</v>
      </c>
    </row>
    <row r="100">
      <c r="A100" s="94">
        <f>IF($B100="","",8)</f>
        <v>8</v>
      </c>
      <c r="B100" s="96" t="str">
        <f>基础资料!$S$12&amp;""</f>
        <v>分包费</v>
      </c>
      <c r="C100" s="96" t="str">
        <f>基础资料!$U$12&amp;""</f>
        <v>分包费</v>
      </c>
      <c r="D100" s="21">
        <f t="shared" si="20"/>
        <v>0</v>
      </c>
      <c r="E100" s="21">
        <f t="shared" si="8"/>
        <v>0</v>
      </c>
      <c r="F100" s="21">
        <f t="shared" si="13"/>
        <v>0</v>
      </c>
      <c r="G100" s="21">
        <f t="shared" si="24"/>
        <v>0</v>
      </c>
      <c r="H100" s="21">
        <f t="shared" si="27"/>
        <v>0</v>
      </c>
      <c r="I100" s="106">
        <f t="shared" si="29"/>
        <v>0</v>
      </c>
      <c r="J100" s="21">
        <f t="shared" si="30"/>
        <v>0</v>
      </c>
      <c r="K100" s="96">
        <f t="shared" si="31"/>
      </c>
      <c r="Z100" s="2">
        <f>IF(往来单位!$B$103="",0,-SUMIFS(资金流水!$R$6:$R$2005,资金流水!$J$6:$J$2005,往来单位!$B$103,资金流水!$R$6:$R$2005,"&lt;0",资金流水!$X$6:$X$2005,"&lt;&gt;账户互转",资金流水!$B$6:$B$2005,"&gt;="&amp;$C$4,资金流水!$B$6:$B$2005,"&lt;="&amp;$E$4))</f>
        <v>0</v>
      </c>
      <c r="AA100" s="2">
        <f>IF(Z100&gt;0,Z100+(301-100)/1000000,0)</f>
        <v>0</v>
      </c>
    </row>
    <row r="101">
      <c r="A101" s="94">
        <f>IF($B101="","",9)</f>
        <v>9</v>
      </c>
      <c r="B101" s="96" t="str">
        <f>基础资料!$S$13&amp;""</f>
        <v>机械运输费</v>
      </c>
      <c r="C101" s="96" t="str">
        <f>基础资料!$U$13&amp;""</f>
        <v>机械运输费</v>
      </c>
      <c r="D101" s="21">
        <f t="shared" si="20"/>
        <v>0</v>
      </c>
      <c r="E101" s="21">
        <f t="shared" si="8"/>
        <v>0</v>
      </c>
      <c r="F101" s="21">
        <f t="shared" si="13"/>
        <v>0</v>
      </c>
      <c r="G101" s="21">
        <f t="shared" si="24"/>
        <v>0</v>
      </c>
      <c r="H101" s="21">
        <f t="shared" si="27"/>
        <v>0</v>
      </c>
      <c r="I101" s="106">
        <f t="shared" si="29"/>
        <v>0</v>
      </c>
      <c r="J101" s="21">
        <f t="shared" si="30"/>
        <v>-8000</v>
      </c>
      <c r="K101" s="96">
        <f t="shared" si="31"/>
      </c>
      <c r="Z101" s="2">
        <f>IF(往来单位!$B$104="",0,-SUMIFS(资金流水!$R$6:$R$2005,资金流水!$J$6:$J$2005,往来单位!$B$104,资金流水!$R$6:$R$2005,"&lt;0",资金流水!$X$6:$X$2005,"&lt;&gt;账户互转",资金流水!$B$6:$B$2005,"&gt;="&amp;$C$4,资金流水!$B$6:$B$2005,"&lt;="&amp;$E$4))</f>
        <v>0</v>
      </c>
      <c r="AA101" s="2">
        <f>IF(Z101&gt;0,Z101+(301-101)/1000000,0)</f>
        <v>0</v>
      </c>
    </row>
    <row r="102">
      <c r="A102" s="94">
        <f>IF($B102="","",10)</f>
        <v>10</v>
      </c>
      <c r="B102" s="96" t="str">
        <f>基础资料!$S$14&amp;""</f>
        <v>其他直接费</v>
      </c>
      <c r="C102" s="96" t="str">
        <f>基础资料!$U$14&amp;""</f>
        <v>其他直接费</v>
      </c>
      <c r="D102" s="21">
        <f t="shared" si="20"/>
        <v>0</v>
      </c>
      <c r="E102" s="21">
        <f t="shared" si="8"/>
        <v>1470</v>
      </c>
      <c r="F102" s="21">
        <f t="shared" si="13"/>
        <v>0</v>
      </c>
      <c r="G102" s="21">
        <f t="shared" si="24"/>
        <v>0</v>
      </c>
      <c r="H102" s="21">
        <f t="shared" si="27"/>
        <v>-1470</v>
      </c>
      <c r="I102" s="106">
        <f t="shared" si="29"/>
        <v>1</v>
      </c>
      <c r="J102" s="21">
        <f t="shared" si="30"/>
        <v>-18547</v>
      </c>
      <c r="K102" s="96">
        <f t="shared" si="31"/>
      </c>
      <c r="Z102" s="2">
        <f>IF(往来单位!$B$105="",0,-SUMIFS(资金流水!$R$6:$R$2005,资金流水!$J$6:$J$2005,往来单位!$B$105,资金流水!$R$6:$R$2005,"&lt;0",资金流水!$X$6:$X$2005,"&lt;&gt;账户互转",资金流水!$B$6:$B$2005,"&gt;="&amp;$C$4,资金流水!$B$6:$B$2005,"&lt;="&amp;$E$4))</f>
        <v>0</v>
      </c>
      <c r="AA102" s="2">
        <f>IF(Z102&gt;0,Z102+(301-102)/1000000,0)</f>
        <v>0</v>
      </c>
    </row>
    <row r="103">
      <c r="A103" s="94">
        <f>IF($B103="","",11)</f>
        <v>11</v>
      </c>
      <c r="B103" s="96" t="str">
        <f>基础资料!$S$15&amp;""</f>
        <v>票据贴息</v>
      </c>
      <c r="C103" s="96" t="str">
        <f>基础资料!$U$15&amp;""</f>
        <v>票据贴息</v>
      </c>
      <c r="D103" s="21">
        <f t="shared" si="20"/>
        <v>0</v>
      </c>
      <c r="E103" s="21">
        <f t="shared" si="8"/>
        <v>0</v>
      </c>
      <c r="F103" s="21">
        <f t="shared" si="13"/>
        <v>0</v>
      </c>
      <c r="G103" s="21">
        <f t="shared" si="24"/>
        <v>0</v>
      </c>
      <c r="H103" s="21">
        <f t="shared" si="27"/>
        <v>0</v>
      </c>
      <c r="I103" s="106">
        <f t="shared" si="29"/>
        <v>0</v>
      </c>
      <c r="J103" s="21">
        <f t="shared" si="30"/>
        <v>-1589.12</v>
      </c>
      <c r="K103" s="96">
        <f t="shared" si="31"/>
      </c>
      <c r="Z103" s="2">
        <f>IF(往来单位!$B$106="",0,-SUMIFS(资金流水!$R$6:$R$2005,资金流水!$J$6:$J$2005,往来单位!$B$106,资金流水!$R$6:$R$2005,"&lt;0",资金流水!$X$6:$X$2005,"&lt;&gt;账户互转",资金流水!$B$6:$B$2005,"&gt;="&amp;$C$4,资金流水!$B$6:$B$2005,"&lt;="&amp;$E$4))</f>
        <v>0</v>
      </c>
      <c r="AA103" s="2">
        <f>IF(Z103&gt;0,Z103+(301-103)/1000000,0)</f>
        <v>0</v>
      </c>
    </row>
    <row r="104">
      <c r="A104" s="94">
        <f>IF($B104="","",12)</f>
        <v>12</v>
      </c>
      <c r="B104" s="96" t="str">
        <f>基础资料!$S$16&amp;""</f>
        <v>办公费</v>
      </c>
      <c r="C104" s="96" t="str">
        <f>基础资料!$U$16&amp;""</f>
        <v>办公费</v>
      </c>
      <c r="D104" s="21">
        <f t="shared" si="20"/>
        <v>0</v>
      </c>
      <c r="E104" s="21">
        <f t="shared" si="8"/>
        <v>0</v>
      </c>
      <c r="F104" s="21">
        <f t="shared" si="13"/>
        <v>0</v>
      </c>
      <c r="G104" s="21">
        <f t="shared" si="24"/>
        <v>0</v>
      </c>
      <c r="H104" s="21">
        <f t="shared" si="27"/>
        <v>0</v>
      </c>
      <c r="I104" s="106">
        <f t="shared" si="29"/>
        <v>0</v>
      </c>
      <c r="J104" s="21">
        <f t="shared" si="30"/>
        <v>-13019</v>
      </c>
      <c r="K104" s="96">
        <f t="shared" si="31"/>
      </c>
      <c r="Z104" s="2">
        <f>IF(往来单位!$B$107="",0,-SUMIFS(资金流水!$R$6:$R$2005,资金流水!$J$6:$J$2005,往来单位!$B$107,资金流水!$R$6:$R$2005,"&lt;0",资金流水!$X$6:$X$2005,"&lt;&gt;账户互转",资金流水!$B$6:$B$2005,"&gt;="&amp;$C$4,资金流水!$B$6:$B$2005,"&lt;="&amp;$E$4))</f>
        <v>0</v>
      </c>
      <c r="AA104" s="2">
        <f>IF(Z104&gt;0,Z104+(301-104)/1000000,0)</f>
        <v>0</v>
      </c>
    </row>
    <row r="105">
      <c r="A105" s="94">
        <f>IF($B105="","",13)</f>
        <v>13</v>
      </c>
      <c r="B105" s="96" t="str">
        <f>基础资料!$S$17&amp;""</f>
        <v>食堂伙食</v>
      </c>
      <c r="C105" s="96" t="str">
        <f>基础资料!$U$17&amp;""</f>
        <v>食堂伙食</v>
      </c>
      <c r="D105" s="21">
        <f t="shared" si="20"/>
        <v>0</v>
      </c>
      <c r="E105" s="21">
        <f t="shared" si="8"/>
        <v>0</v>
      </c>
      <c r="F105" s="21">
        <f t="shared" si="13"/>
        <v>0</v>
      </c>
      <c r="G105" s="21">
        <f t="shared" si="24"/>
        <v>0</v>
      </c>
      <c r="H105" s="21">
        <f t="shared" si="27"/>
        <v>0</v>
      </c>
      <c r="I105" s="106">
        <f t="shared" si="29"/>
        <v>0</v>
      </c>
      <c r="J105" s="21">
        <f t="shared" si="30"/>
        <v>-627.6</v>
      </c>
      <c r="K105" s="96">
        <f t="shared" si="31"/>
      </c>
      <c r="Z105" s="2">
        <f>IF(往来单位!$B$108="",0,-SUMIFS(资金流水!$R$6:$R$2005,资金流水!$J$6:$J$2005,往来单位!$B$108,资金流水!$R$6:$R$2005,"&lt;0",资金流水!$X$6:$X$2005,"&lt;&gt;账户互转",资金流水!$B$6:$B$2005,"&gt;="&amp;$C$4,资金流水!$B$6:$B$2005,"&lt;="&amp;$E$4))</f>
        <v>0</v>
      </c>
      <c r="AA105" s="2">
        <f>IF(Z105&gt;0,Z105+(301-105)/1000000,0)</f>
        <v>0</v>
      </c>
    </row>
    <row r="106">
      <c r="A106" s="94">
        <f>IF($B106="","",14)</f>
        <v>14</v>
      </c>
      <c r="B106" s="96" t="str">
        <f>基础资料!$S$18&amp;""</f>
        <v>业务招待费</v>
      </c>
      <c r="C106" s="96" t="str">
        <f>基础资料!$U$18&amp;""</f>
        <v>业务招待费</v>
      </c>
      <c r="D106" s="21">
        <f t="shared" si="20"/>
        <v>0</v>
      </c>
      <c r="E106" s="21">
        <f t="shared" si="8"/>
        <v>0</v>
      </c>
      <c r="F106" s="21">
        <f t="shared" si="13"/>
        <v>0</v>
      </c>
      <c r="G106" s="21">
        <f t="shared" si="24"/>
        <v>0</v>
      </c>
      <c r="H106" s="21">
        <f t="shared" si="27"/>
        <v>0</v>
      </c>
      <c r="I106" s="106">
        <f t="shared" si="29"/>
        <v>0</v>
      </c>
      <c r="J106" s="21">
        <f t="shared" si="30"/>
        <v>-24924</v>
      </c>
      <c r="K106" s="96">
        <f t="shared" si="31"/>
      </c>
      <c r="Z106" s="2">
        <f>IF(往来单位!$B$109="",0,-SUMIFS(资金流水!$R$6:$R$2005,资金流水!$J$6:$J$2005,往来单位!$B$109,资金流水!$R$6:$R$2005,"&lt;0",资金流水!$X$6:$X$2005,"&lt;&gt;账户互转",资金流水!$B$6:$B$2005,"&gt;="&amp;$C$4,资金流水!$B$6:$B$2005,"&lt;="&amp;$E$4))</f>
        <v>0</v>
      </c>
      <c r="AA106" s="2">
        <f>IF(Z106&gt;0,Z106+(301-106)/1000000,0)</f>
        <v>0</v>
      </c>
    </row>
    <row r="107">
      <c r="A107" s="94">
        <f>IF($B107="","",15)</f>
        <v>15</v>
      </c>
      <c r="B107" s="96" t="str">
        <f>基础资料!$S$19&amp;""</f>
        <v>车辆差旅</v>
      </c>
      <c r="C107" s="96" t="str">
        <f>基础资料!$U$19&amp;""</f>
        <v>车辆差旅</v>
      </c>
      <c r="D107" s="21">
        <f t="shared" si="20"/>
        <v>0</v>
      </c>
      <c r="E107" s="21">
        <f t="shared" si="8"/>
        <v>0</v>
      </c>
      <c r="F107" s="21">
        <f t="shared" si="13"/>
        <v>0</v>
      </c>
      <c r="G107" s="21">
        <f t="shared" si="24"/>
        <v>0</v>
      </c>
      <c r="H107" s="21">
        <f t="shared" si="27"/>
        <v>0</v>
      </c>
      <c r="I107" s="106">
        <f t="shared" si="29"/>
        <v>0</v>
      </c>
      <c r="J107" s="21">
        <f t="shared" si="30"/>
        <v>-1996.8</v>
      </c>
      <c r="K107" s="96">
        <f t="shared" si="31"/>
      </c>
      <c r="Z107" s="2">
        <f>IF(往来单位!$B$110="",0,-SUMIFS(资金流水!$R$6:$R$2005,资金流水!$J$6:$J$2005,往来单位!$B$110,资金流水!$R$6:$R$2005,"&lt;0",资金流水!$X$6:$X$2005,"&lt;&gt;账户互转",资金流水!$B$6:$B$2005,"&gt;="&amp;$C$4,资金流水!$B$6:$B$2005,"&lt;="&amp;$E$4))</f>
        <v>0</v>
      </c>
      <c r="AA107" s="2">
        <f>IF(Z107&gt;0,Z107+(301-107)/1000000,0)</f>
        <v>0</v>
      </c>
    </row>
    <row r="108">
      <c r="A108" s="94">
        <f>IF($B108="","",16)</f>
        <v>16</v>
      </c>
      <c r="B108" s="96" t="str">
        <f>基础资料!$S$20&amp;""</f>
        <v>社保费</v>
      </c>
      <c r="C108" s="96" t="str">
        <f>基础资料!$U$20&amp;""</f>
        <v>社保费</v>
      </c>
      <c r="D108" s="21">
        <f t="shared" si="20"/>
        <v>0</v>
      </c>
      <c r="E108" s="21">
        <f t="shared" si="8"/>
        <v>2038.96</v>
      </c>
      <c r="F108" s="21">
        <f t="shared" si="13"/>
        <v>0</v>
      </c>
      <c r="G108" s="21">
        <f t="shared" si="24"/>
        <v>0</v>
      </c>
      <c r="H108" s="21">
        <f t="shared" si="27"/>
        <v>-2038.96</v>
      </c>
      <c r="I108" s="106">
        <f t="shared" si="29"/>
        <v>2</v>
      </c>
      <c r="J108" s="21">
        <f t="shared" si="30"/>
        <v>-8155.84</v>
      </c>
      <c r="K108" s="96">
        <f t="shared" si="31"/>
      </c>
      <c r="Z108" s="2">
        <f>IF(往来单位!$B$111="",0,-SUMIFS(资金流水!$R$6:$R$2005,资金流水!$J$6:$J$2005,往来单位!$B$111,资金流水!$R$6:$R$2005,"&lt;0",资金流水!$X$6:$X$2005,"&lt;&gt;账户互转",资金流水!$B$6:$B$2005,"&gt;="&amp;$C$4,资金流水!$B$6:$B$2005,"&lt;="&amp;$E$4))</f>
        <v>0</v>
      </c>
      <c r="AA108" s="2">
        <f>IF(Z108&gt;0,Z108+(301-108)/1000000,0)</f>
        <v>0</v>
      </c>
    </row>
    <row r="109">
      <c r="A109" s="94">
        <f>IF($B109="","",17)</f>
        <v>17</v>
      </c>
      <c r="B109" s="96" t="str">
        <f>基础资料!$S$21&amp;""</f>
        <v>其他管理费</v>
      </c>
      <c r="C109" s="96" t="str">
        <f>基础资料!$U$21&amp;""</f>
        <v>其他管理费</v>
      </c>
      <c r="D109" s="21">
        <f t="shared" si="20"/>
        <v>0</v>
      </c>
      <c r="E109" s="21">
        <f t="shared" si="8"/>
        <v>0</v>
      </c>
      <c r="F109" s="21">
        <f t="shared" si="13"/>
        <v>0</v>
      </c>
      <c r="G109" s="21">
        <f t="shared" si="24"/>
        <v>0</v>
      </c>
      <c r="H109" s="21">
        <f t="shared" si="27"/>
        <v>0</v>
      </c>
      <c r="I109" s="106">
        <f t="shared" si="29"/>
        <v>0</v>
      </c>
      <c r="J109" s="21">
        <f t="shared" si="30"/>
        <v>0</v>
      </c>
      <c r="K109" s="96">
        <f t="shared" si="31"/>
      </c>
      <c r="Z109" s="2">
        <f>IF(往来单位!$B$112="",0,-SUMIFS(资金流水!$R$6:$R$2005,资金流水!$J$6:$J$2005,往来单位!$B$112,资金流水!$R$6:$R$2005,"&lt;0",资金流水!$X$6:$X$2005,"&lt;&gt;账户互转",资金流水!$B$6:$B$2005,"&gt;="&amp;$C$4,资金流水!$B$6:$B$2005,"&lt;="&amp;$E$4))</f>
        <v>0</v>
      </c>
      <c r="AA109" s="2">
        <f>IF(Z109&gt;0,Z109+(301-109)/1000000,0)</f>
        <v>0</v>
      </c>
    </row>
    <row r="110">
      <c r="A110" s="94">
        <f>IF($B110="","",18)</f>
        <v>18</v>
      </c>
      <c r="B110" s="96" t="str">
        <f>基础资料!$S$22&amp;""</f>
        <v>利息支出</v>
      </c>
      <c r="C110" s="96" t="str">
        <f>基础资料!$U$22&amp;""</f>
        <v>利息支出</v>
      </c>
      <c r="D110" s="21">
        <f t="shared" si="20"/>
        <v>0</v>
      </c>
      <c r="E110" s="21">
        <f t="shared" si="8"/>
        <v>1088.01</v>
      </c>
      <c r="F110" s="21">
        <f t="shared" si="13"/>
        <v>0</v>
      </c>
      <c r="G110" s="21">
        <f t="shared" si="24"/>
        <v>0</v>
      </c>
      <c r="H110" s="21">
        <f t="shared" si="27"/>
        <v>-1088.01</v>
      </c>
      <c r="I110" s="106">
        <f t="shared" si="29"/>
        <v>1</v>
      </c>
      <c r="J110" s="21">
        <f t="shared" si="30"/>
        <v>-5755.94</v>
      </c>
      <c r="K110" s="96">
        <f t="shared" si="31"/>
      </c>
      <c r="Z110" s="2">
        <f>IF(往来单位!$B$113="",0,-SUMIFS(资金流水!$R$6:$R$2005,资金流水!$J$6:$J$2005,往来单位!$B$113,资金流水!$R$6:$R$2005,"&lt;0",资金流水!$X$6:$X$2005,"&lt;&gt;账户互转",资金流水!$B$6:$B$2005,"&gt;="&amp;$C$4,资金流水!$B$6:$B$2005,"&lt;="&amp;$E$4))</f>
        <v>0</v>
      </c>
      <c r="AA110" s="2">
        <f>IF(Z110&gt;0,Z110+(301-110)/1000000,0)</f>
        <v>0</v>
      </c>
    </row>
    <row r="111">
      <c r="A111" s="94">
        <f>IF($B111="","",19)</f>
        <v>19</v>
      </c>
      <c r="B111" s="96" t="str">
        <f>基础资料!$S$23&amp;""</f>
        <v>银行手续费</v>
      </c>
      <c r="C111" s="96" t="str">
        <f>基础资料!$U$23&amp;""</f>
        <v>手续费</v>
      </c>
      <c r="D111" s="21">
        <f t="shared" si="20"/>
        <v>0</v>
      </c>
      <c r="E111" s="21">
        <f t="shared" si="8"/>
        <v>0</v>
      </c>
      <c r="F111" s="21">
        <f t="shared" si="13"/>
        <v>0</v>
      </c>
      <c r="G111" s="21">
        <f t="shared" si="24"/>
        <v>0</v>
      </c>
      <c r="H111" s="21">
        <f t="shared" si="27"/>
        <v>0</v>
      </c>
      <c r="I111" s="106">
        <f t="shared" si="29"/>
        <v>0</v>
      </c>
      <c r="J111" s="21">
        <f t="shared" si="30"/>
        <v>-250.59</v>
      </c>
      <c r="K111" s="96">
        <f t="shared" si="31"/>
      </c>
      <c r="Z111" s="2">
        <f>IF(往来单位!$B$114="",0,-SUMIFS(资金流水!$R$6:$R$2005,资金流水!$J$6:$J$2005,往来单位!$B$114,资金流水!$R$6:$R$2005,"&lt;0",资金流水!$X$6:$X$2005,"&lt;&gt;账户互转",资金流水!$B$6:$B$2005,"&gt;="&amp;$C$4,资金流水!$B$6:$B$2005,"&lt;="&amp;$E$4))</f>
        <v>0</v>
      </c>
      <c r="AA111" s="2">
        <f>IF(Z111&gt;0,Z111+(301-111)/1000000,0)</f>
        <v>0</v>
      </c>
    </row>
    <row r="112">
      <c r="A112" s="94">
        <f>IF($B112="","",20)</f>
        <v>20</v>
      </c>
      <c r="B112" s="96" t="str">
        <f>基础资料!$S$24&amp;""</f>
        <v>利息收入</v>
      </c>
      <c r="C112" s="96" t="str">
        <f>基础资料!$U$24&amp;""</f>
        <v>利息收入</v>
      </c>
      <c r="D112" s="21">
        <f t="shared" si="20"/>
        <v>0</v>
      </c>
      <c r="E112" s="21">
        <f t="shared" si="8"/>
        <v>0</v>
      </c>
      <c r="F112" s="21">
        <f t="shared" si="13"/>
        <v>0</v>
      </c>
      <c r="G112" s="21">
        <f t="shared" si="24"/>
        <v>0</v>
      </c>
      <c r="H112" s="21">
        <f t="shared" si="27"/>
        <v>0</v>
      </c>
      <c r="I112" s="106">
        <f t="shared" si="29"/>
        <v>0</v>
      </c>
      <c r="J112" s="21">
        <f t="shared" si="30"/>
        <v>5.32</v>
      </c>
      <c r="K112" s="96">
        <f t="shared" si="31"/>
      </c>
      <c r="Z112" s="2">
        <f>IF(往来单位!$B$115="",0,-SUMIFS(资金流水!$R$6:$R$2005,资金流水!$J$6:$J$2005,往来单位!$B$115,资金流水!$R$6:$R$2005,"&lt;0",资金流水!$X$6:$X$2005,"&lt;&gt;账户互转",资金流水!$B$6:$B$2005,"&gt;="&amp;$C$4,资金流水!$B$6:$B$2005,"&lt;="&amp;$E$4))</f>
        <v>0</v>
      </c>
      <c r="AA112" s="2">
        <f>IF(Z112&gt;0,Z112+(301-112)/1000000,0)</f>
        <v>0</v>
      </c>
    </row>
    <row r="113">
      <c r="A113" s="94">
        <f>IF($B113="","",21)</f>
        <v>21</v>
      </c>
      <c r="B113" s="96" t="str">
        <f>基础资料!$S$25&amp;""</f>
        <v>其他收入</v>
      </c>
      <c r="C113" s="96" t="str">
        <f>基础资料!$U$25&amp;""</f>
        <v>其他收入</v>
      </c>
      <c r="D113" s="21">
        <f t="shared" si="20"/>
        <v>0</v>
      </c>
      <c r="E113" s="21">
        <f t="shared" si="8"/>
        <v>0</v>
      </c>
      <c r="F113" s="21">
        <f t="shared" si="13"/>
        <v>0</v>
      </c>
      <c r="G113" s="21">
        <f t="shared" si="24"/>
        <v>0</v>
      </c>
      <c r="H113" s="21">
        <f t="shared" si="27"/>
        <v>0</v>
      </c>
      <c r="I113" s="106">
        <f t="shared" si="29"/>
        <v>0</v>
      </c>
      <c r="J113" s="21">
        <f t="shared" si="30"/>
        <v>0</v>
      </c>
      <c r="K113" s="96">
        <f t="shared" si="31"/>
      </c>
      <c r="Z113" s="2">
        <f>IF(往来单位!$B$116="",0,-SUMIFS(资金流水!$R$6:$R$2005,资金流水!$J$6:$J$2005,往来单位!$B$116,资金流水!$R$6:$R$2005,"&lt;0",资金流水!$X$6:$X$2005,"&lt;&gt;账户互转",资金流水!$B$6:$B$2005,"&gt;="&amp;$C$4,资金流水!$B$6:$B$2005,"&lt;="&amp;$E$4))</f>
        <v>0</v>
      </c>
      <c r="AA113" s="2">
        <f>IF(Z113&gt;0,Z113+(301-113)/1000000,0)</f>
        <v>0</v>
      </c>
    </row>
    <row r="114">
      <c r="A114" s="94">
        <f>IF($B114="","",22)</f>
        <v>22</v>
      </c>
      <c r="B114" s="96" t="str">
        <f>基础资料!$S$26&amp;""</f>
        <v>其他支出</v>
      </c>
      <c r="C114" s="96" t="str">
        <f>基础资料!$U$26&amp;""</f>
        <v>其他支出</v>
      </c>
      <c r="D114" s="21">
        <f t="shared" si="20"/>
        <v>0</v>
      </c>
      <c r="E114" s="21">
        <f t="shared" si="8"/>
        <v>0</v>
      </c>
      <c r="F114" s="21">
        <f t="shared" si="13"/>
        <v>0</v>
      </c>
      <c r="G114" s="21">
        <f t="shared" si="24"/>
        <v>0</v>
      </c>
      <c r="H114" s="21">
        <f t="shared" si="27"/>
        <v>0</v>
      </c>
      <c r="I114" s="106">
        <f t="shared" si="29"/>
        <v>0</v>
      </c>
      <c r="J114" s="21">
        <f t="shared" si="30"/>
        <v>0</v>
      </c>
      <c r="K114" s="96">
        <f t="shared" si="31"/>
      </c>
      <c r="Z114" s="2">
        <f>IF(往来单位!$B$117="",0,-SUMIFS(资金流水!$R$6:$R$2005,资金流水!$J$6:$J$2005,往来单位!$B$117,资金流水!$R$6:$R$2005,"&lt;0",资金流水!$X$6:$X$2005,"&lt;&gt;账户互转",资金流水!$B$6:$B$2005,"&gt;="&amp;$C$4,资金流水!$B$6:$B$2005,"&lt;="&amp;$E$4))</f>
        <v>0</v>
      </c>
      <c r="AA114" s="2">
        <f>IF(Z114&gt;0,Z114+(301-114)/1000000,0)</f>
        <v>0</v>
      </c>
    </row>
    <row r="115">
      <c r="A115" s="94">
        <f>IF($B115="","",23)</f>
        <v>23</v>
      </c>
      <c r="B115" s="96" t="str">
        <f>基础资料!$S$27&amp;""</f>
        <v>其他税费</v>
      </c>
      <c r="C115" s="96" t="str">
        <f>基础资料!$U$27&amp;""</f>
        <v>其他税费</v>
      </c>
      <c r="D115" s="21">
        <f t="shared" si="20"/>
        <v>0</v>
      </c>
      <c r="E115" s="21">
        <f t="shared" si="8"/>
        <v>0</v>
      </c>
      <c r="F115" s="21">
        <f t="shared" si="13"/>
        <v>0</v>
      </c>
      <c r="G115" s="21">
        <f t="shared" si="24"/>
        <v>0</v>
      </c>
      <c r="H115" s="21">
        <f t="shared" si="27"/>
        <v>0</v>
      </c>
      <c r="I115" s="106">
        <f t="shared" si="29"/>
        <v>0</v>
      </c>
      <c r="J115" s="21">
        <f t="shared" si="30"/>
        <v>0</v>
      </c>
      <c r="K115" s="96">
        <f t="shared" si="31"/>
      </c>
      <c r="Z115" s="2">
        <f>IF(往来单位!$B$118="",0,-SUMIFS(资金流水!$R$6:$R$2005,资金流水!$J$6:$J$2005,往来单位!$B$118,资金流水!$R$6:$R$2005,"&lt;0",资金流水!$X$6:$X$2005,"&lt;&gt;账户互转",资金流水!$B$6:$B$2005,"&gt;="&amp;$C$4,资金流水!$B$6:$B$2005,"&lt;="&amp;$E$4))</f>
        <v>0</v>
      </c>
      <c r="AA115" s="2">
        <f>IF(Z115&gt;0,Z115+(301-115)/1000000,0)</f>
        <v>0</v>
      </c>
    </row>
    <row r="116">
      <c r="A116" s="94">
        <f>IF($B116="","",24)</f>
        <v>24</v>
      </c>
      <c r="B116" s="96" t="str">
        <f>基础资料!$S$28&amp;""</f>
        <v>所得税</v>
      </c>
      <c r="C116" s="96" t="str">
        <f>基础资料!$U$28&amp;""</f>
        <v>所得税</v>
      </c>
      <c r="D116" s="21">
        <f t="shared" si="20"/>
        <v>0</v>
      </c>
      <c r="E116" s="21">
        <f t="shared" si="8"/>
        <v>93.94</v>
      </c>
      <c r="F116" s="21">
        <f t="shared" si="13"/>
        <v>0</v>
      </c>
      <c r="G116" s="21">
        <f t="shared" si="24"/>
        <v>0</v>
      </c>
      <c r="H116" s="21">
        <f t="shared" si="27"/>
        <v>-93.94</v>
      </c>
      <c r="I116" s="106">
        <f t="shared" si="29"/>
        <v>1</v>
      </c>
      <c r="J116" s="21">
        <f t="shared" si="30"/>
        <v>-93.94</v>
      </c>
      <c r="K116" s="96">
        <f t="shared" si="31"/>
      </c>
      <c r="Z116" s="2">
        <f>IF(往来单位!$B$119="",0,-SUMIFS(资金流水!$R$6:$R$2005,资金流水!$J$6:$J$2005,往来单位!$B$119,资金流水!$R$6:$R$2005,"&lt;0",资金流水!$X$6:$X$2005,"&lt;&gt;账户互转",资金流水!$B$6:$B$2005,"&gt;="&amp;$C$4,资金流水!$B$6:$B$2005,"&lt;="&amp;$E$4))</f>
        <v>0</v>
      </c>
      <c r="AA116" s="2">
        <f>IF(Z116&gt;0,Z116+(301-116)/1000000,0)</f>
        <v>0</v>
      </c>
    </row>
    <row r="117">
      <c r="A117" s="94">
        <f>IF($B117="","",25)</f>
        <v>25</v>
      </c>
      <c r="B117" s="96" t="str">
        <f>基础资料!$S$29&amp;""</f>
        <v>缴增值税及附加</v>
      </c>
      <c r="C117" s="96" t="str">
        <f>基础资料!$U$29&amp;""</f>
        <v>应交税费</v>
      </c>
      <c r="D117" s="21">
        <f t="shared" si="20"/>
        <v>0</v>
      </c>
      <c r="E117" s="21">
        <f t="shared" si="8"/>
        <v>962.93</v>
      </c>
      <c r="F117" s="21">
        <f t="shared" si="13"/>
        <v>0</v>
      </c>
      <c r="G117" s="21">
        <f t="shared" si="24"/>
        <v>0</v>
      </c>
      <c r="H117" s="21">
        <f t="shared" si="27"/>
        <v>-962.93</v>
      </c>
      <c r="I117" s="106">
        <f t="shared" si="29"/>
        <v>1</v>
      </c>
      <c r="J117" s="21">
        <f t="shared" si="30"/>
        <v>-10494.99</v>
      </c>
      <c r="K117" s="96">
        <f t="shared" si="31"/>
      </c>
      <c r="Z117" s="2">
        <f>IF(往来单位!$B$120="",0,-SUMIFS(资金流水!$R$6:$R$2005,资金流水!$J$6:$J$2005,往来单位!$B$120,资金流水!$R$6:$R$2005,"&lt;0",资金流水!$X$6:$X$2005,"&lt;&gt;账户互转",资金流水!$B$6:$B$2005,"&gt;="&amp;$C$4,资金流水!$B$6:$B$2005,"&lt;="&amp;$E$4))</f>
        <v>0</v>
      </c>
      <c r="AA117" s="2">
        <f>IF(Z117&gt;0,Z117+(301-117)/1000000,0)</f>
        <v>0</v>
      </c>
    </row>
    <row r="118">
      <c r="A118" s="94">
        <f>IF($B118="","",26)</f>
        <v>26</v>
      </c>
      <c r="B118" s="96" t="str">
        <f>基础资料!$S$30&amp;""</f>
        <v>代缴个税</v>
      </c>
      <c r="C118" s="96" t="str">
        <f>基础资料!$U$30&amp;""</f>
        <v>应交税费</v>
      </c>
      <c r="D118" s="21">
        <f t="shared" si="20"/>
        <v>0</v>
      </c>
      <c r="E118" s="21">
        <f t="shared" si="8"/>
        <v>0</v>
      </c>
      <c r="F118" s="21">
        <f t="shared" si="13"/>
        <v>0</v>
      </c>
      <c r="G118" s="21">
        <f t="shared" si="24"/>
        <v>0</v>
      </c>
      <c r="H118" s="21">
        <f t="shared" si="27"/>
        <v>0</v>
      </c>
      <c r="I118" s="106">
        <f t="shared" si="29"/>
        <v>0</v>
      </c>
      <c r="J118" s="21">
        <f t="shared" si="30"/>
        <v>-2241.81</v>
      </c>
      <c r="K118" s="96">
        <f t="shared" si="31"/>
      </c>
      <c r="Z118" s="2">
        <f>IF(往来单位!$B$121="",0,-SUMIFS(资金流水!$R$6:$R$2005,资金流水!$J$6:$J$2005,往来单位!$B$121,资金流水!$R$6:$R$2005,"&lt;0",资金流水!$X$6:$X$2005,"&lt;&gt;账户互转",资金流水!$B$6:$B$2005,"&gt;="&amp;$C$4,资金流水!$B$6:$B$2005,"&lt;="&amp;$E$4))</f>
        <v>0</v>
      </c>
      <c r="AA118" s="2">
        <f>IF(Z118&gt;0,Z118+(301-118)/1000000,0)</f>
        <v>0</v>
      </c>
    </row>
    <row r="119">
      <c r="A119" s="94">
        <f>IF($B119="","",27)</f>
        <v>27</v>
      </c>
      <c r="B119" s="96" t="str">
        <f>基础资料!$S$31&amp;""</f>
        <v>银行贷款</v>
      </c>
      <c r="C119" s="96" t="str">
        <f>基础资料!$U$31&amp;""</f>
        <v>短期借款</v>
      </c>
      <c r="D119" s="21">
        <f t="shared" si="20"/>
        <v>0</v>
      </c>
      <c r="E119" s="21">
        <f t="shared" si="8"/>
        <v>0</v>
      </c>
      <c r="F119" s="21">
        <f t="shared" si="13"/>
        <v>0</v>
      </c>
      <c r="G119" s="21">
        <f t="shared" si="24"/>
        <v>0</v>
      </c>
      <c r="H119" s="21">
        <f t="shared" si="27"/>
        <v>0</v>
      </c>
      <c r="I119" s="106">
        <f t="shared" si="29"/>
        <v>0</v>
      </c>
      <c r="J119" s="21">
        <f t="shared" si="30"/>
        <v>361000</v>
      </c>
      <c r="K119" s="96">
        <f t="shared" si="31"/>
      </c>
      <c r="Z119" s="2">
        <f>IF(往来单位!$B$122="",0,-SUMIFS(资金流水!$R$6:$R$2005,资金流水!$J$6:$J$2005,往来单位!$B$122,资金流水!$R$6:$R$2005,"&lt;0",资金流水!$X$6:$X$2005,"&lt;&gt;账户互转",资金流水!$B$6:$B$2005,"&gt;="&amp;$C$4,资金流水!$B$6:$B$2005,"&lt;="&amp;$E$4))</f>
        <v>0</v>
      </c>
      <c r="AA119" s="2">
        <f>IF(Z119&gt;0,Z119+(301-119)/1000000,0)</f>
        <v>0</v>
      </c>
    </row>
    <row r="120">
      <c r="A120" s="94">
        <f>IF($B120="","",28)</f>
        <v>28</v>
      </c>
      <c r="B120" s="96" t="str">
        <f>基础资料!$S$32&amp;""</f>
        <v>保证金押金</v>
      </c>
      <c r="C120" s="96" t="str">
        <f>基础资料!$U$32&amp;""</f>
        <v>其他应收款</v>
      </c>
      <c r="D120" s="21">
        <f t="shared" si="20"/>
        <v>0</v>
      </c>
      <c r="E120" s="21">
        <f t="shared" si="8"/>
        <v>0</v>
      </c>
      <c r="F120" s="21">
        <f t="shared" si="13"/>
        <v>0</v>
      </c>
      <c r="G120" s="21">
        <f t="shared" si="24"/>
        <v>0</v>
      </c>
      <c r="H120" s="21">
        <f t="shared" si="27"/>
        <v>0</v>
      </c>
      <c r="I120" s="106">
        <f t="shared" si="29"/>
        <v>0</v>
      </c>
      <c r="J120" s="21">
        <f t="shared" si="30"/>
        <v>0</v>
      </c>
      <c r="K120" s="96">
        <f t="shared" si="31"/>
      </c>
      <c r="Z120" s="2">
        <f>IF(往来单位!$B$123="",0,-SUMIFS(资金流水!$R$6:$R$2005,资金流水!$J$6:$J$2005,往来单位!$B$123,资金流水!$R$6:$R$2005,"&lt;0",资金流水!$X$6:$X$2005,"&lt;&gt;账户互转",资金流水!$B$6:$B$2005,"&gt;="&amp;$C$4,资金流水!$B$6:$B$2005,"&lt;="&amp;$E$4))</f>
        <v>0</v>
      </c>
      <c r="AA120" s="2">
        <f>IF(Z120&gt;0,Z120+(301-120)/1000000,0)</f>
        <v>0</v>
      </c>
    </row>
    <row r="121">
      <c r="A121" s="94">
        <f>IF($B121="","",29)</f>
        <v>29</v>
      </c>
      <c r="B121" s="96" t="str">
        <f>基础资料!$S$33&amp;""</f>
        <v>固定资产购置</v>
      </c>
      <c r="C121" s="96" t="str">
        <f>基础资料!$U$33&amp;""</f>
        <v>应付设备款</v>
      </c>
      <c r="D121" s="21">
        <f t="shared" si="20"/>
        <v>0</v>
      </c>
      <c r="E121" s="21">
        <f t="shared" si="8"/>
        <v>0</v>
      </c>
      <c r="F121" s="21">
        <f t="shared" si="13"/>
        <v>0</v>
      </c>
      <c r="G121" s="21">
        <f t="shared" si="24"/>
        <v>0</v>
      </c>
      <c r="H121" s="21">
        <f t="shared" si="27"/>
        <v>0</v>
      </c>
      <c r="I121" s="106">
        <f t="shared" si="29"/>
        <v>0</v>
      </c>
      <c r="J121" s="21">
        <f t="shared" si="30"/>
        <v>0</v>
      </c>
      <c r="K121" s="96">
        <f t="shared" si="31"/>
      </c>
      <c r="Z121" s="2">
        <f>IF(往来单位!$B$124="",0,-SUMIFS(资金流水!$R$6:$R$2005,资金流水!$J$6:$J$2005,往来单位!$B$124,资金流水!$R$6:$R$2005,"&lt;0",资金流水!$X$6:$X$2005,"&lt;&gt;账户互转",资金流水!$B$6:$B$2005,"&gt;="&amp;$C$4,资金流水!$B$6:$B$2005,"&lt;="&amp;$E$4))</f>
        <v>0</v>
      </c>
      <c r="AA121" s="2">
        <f>IF(Z121&gt;0,Z121+(301-121)/1000000,0)</f>
        <v>0</v>
      </c>
    </row>
    <row r="122">
      <c r="A122" s="94">
        <f>IF($B122="","",30)</f>
        <v>30</v>
      </c>
      <c r="B122" s="96" t="str">
        <f>基础资料!$S$34&amp;""</f>
        <v>实收资本</v>
      </c>
      <c r="C122" s="96" t="str">
        <f>基础资料!$U$34&amp;""</f>
        <v>实收资本</v>
      </c>
      <c r="D122" s="21">
        <f t="shared" si="20"/>
        <v>0</v>
      </c>
      <c r="E122" s="21">
        <f t="shared" si="8"/>
        <v>0</v>
      </c>
      <c r="F122" s="21">
        <f t="shared" si="13"/>
        <v>0</v>
      </c>
      <c r="G122" s="21">
        <f t="shared" si="24"/>
        <v>0</v>
      </c>
      <c r="H122" s="21">
        <f t="shared" si="27"/>
        <v>0</v>
      </c>
      <c r="I122" s="106">
        <f t="shared" si="29"/>
        <v>0</v>
      </c>
      <c r="J122" s="21">
        <f t="shared" si="30"/>
        <v>0</v>
      </c>
      <c r="K122" s="96">
        <f t="shared" si="31"/>
      </c>
      <c r="Z122" s="2">
        <f>IF(往来单位!$B$125="",0,-SUMIFS(资金流水!$R$6:$R$2005,资金流水!$J$6:$J$2005,往来单位!$B$125,资金流水!$R$6:$R$2005,"&lt;0",资金流水!$X$6:$X$2005,"&lt;&gt;账户互转",资金流水!$B$6:$B$2005,"&gt;="&amp;$C$4,资金流水!$B$6:$B$2005,"&lt;="&amp;$E$4))</f>
        <v>0</v>
      </c>
      <c r="AA122" s="2">
        <f>IF(Z122&gt;0,Z122+(301-122)/1000000,0)</f>
        <v>0</v>
      </c>
    </row>
    <row r="123">
      <c r="A123" s="94">
        <f>IF($B123="","",31)</f>
        <v>31</v>
      </c>
      <c r="B123" s="96" t="str">
        <f>基础资料!$S$35&amp;""</f>
        <v>管理人员工资</v>
      </c>
      <c r="C123" s="96" t="str">
        <f>基础资料!$U$35&amp;""</f>
        <v>管理人员工资</v>
      </c>
      <c r="D123" s="21">
        <f t="shared" si="20"/>
        <v>0</v>
      </c>
      <c r="E123" s="21">
        <f t="shared" si="8"/>
        <v>0</v>
      </c>
      <c r="F123" s="21">
        <f t="shared" si="13"/>
        <v>0</v>
      </c>
      <c r="G123" s="21">
        <f t="shared" si="24"/>
        <v>0</v>
      </c>
      <c r="H123" s="21">
        <f t="shared" si="27"/>
        <v>0</v>
      </c>
      <c r="I123" s="106">
        <f t="shared" si="29"/>
        <v>0</v>
      </c>
      <c r="J123" s="21">
        <f t="shared" si="30"/>
        <v>0</v>
      </c>
      <c r="K123" s="96">
        <f t="shared" si="31"/>
      </c>
      <c r="Z123" s="2">
        <f>IF(往来单位!$B$126="",0,-SUMIFS(资金流水!$R$6:$R$2005,资金流水!$J$6:$J$2005,往来单位!$B$126,资金流水!$R$6:$R$2005,"&lt;0",资金流水!$X$6:$X$2005,"&lt;&gt;账户互转",资金流水!$B$6:$B$2005,"&gt;="&amp;$C$4,资金流水!$B$6:$B$2005,"&lt;="&amp;$E$4))</f>
        <v>0</v>
      </c>
      <c r="AA123" s="2">
        <f>IF(Z123&gt;0,Z123+(301-123)/1000000,0)</f>
        <v>0</v>
      </c>
    </row>
    <row r="124">
      <c r="A124" s="94">
        <f>IF($B124="","",32)</f>
        <v>32</v>
      </c>
      <c r="B124" s="96" t="str">
        <f>基础资料!$S$36&amp;""</f>
        <v>折旧费</v>
      </c>
      <c r="C124" s="96" t="str">
        <f>基础资料!$U$36&amp;""</f>
        <v>折旧费</v>
      </c>
      <c r="D124" s="21">
        <f t="shared" si="20"/>
        <v>0</v>
      </c>
      <c r="E124" s="21">
        <f t="shared" si="8"/>
        <v>0</v>
      </c>
      <c r="F124" s="21">
        <f t="shared" si="13"/>
        <v>0</v>
      </c>
      <c r="G124" s="21">
        <f t="shared" si="24"/>
        <v>0</v>
      </c>
      <c r="H124" s="21">
        <f t="shared" si="27"/>
        <v>0</v>
      </c>
      <c r="I124" s="106">
        <f t="shared" si="29"/>
        <v>0</v>
      </c>
      <c r="J124" s="21">
        <f t="shared" si="30"/>
        <v>0</v>
      </c>
      <c r="K124" s="96">
        <f t="shared" si="31"/>
      </c>
      <c r="Z124" s="2">
        <f>IF(往来单位!$B$127="",0,-SUMIFS(资金流水!$R$6:$R$2005,资金流水!$J$6:$J$2005,往来单位!$B$127,资金流水!$R$6:$R$2005,"&lt;0",资金流水!$X$6:$X$2005,"&lt;&gt;账户互转",资金流水!$B$6:$B$2005,"&gt;="&amp;$C$4,资金流水!$B$6:$B$2005,"&lt;="&amp;$E$4))</f>
        <v>0</v>
      </c>
      <c r="AA124" s="2">
        <f>IF(Z124&gt;0,Z124+(301-124)/1000000,0)</f>
        <v>0</v>
      </c>
    </row>
    <row r="125">
      <c r="A125" s="94">
        <f>IF($B125="","",33)</f>
      </c>
      <c r="B125" s="96">
        <f>基础资料!$S$37&amp;""</f>
      </c>
      <c r="C125" s="96">
        <f>基础资料!$U$37&amp;""</f>
      </c>
      <c r="D125" s="21">
        <f t="shared" si="20"/>
      </c>
      <c r="E125" s="21">
        <f t="shared" si="8"/>
      </c>
      <c r="F125" s="21">
        <f t="shared" si="13"/>
      </c>
      <c r="G125" s="21">
        <f t="shared" si="24"/>
      </c>
      <c r="H125" s="21">
        <f t="shared" si="27"/>
      </c>
      <c r="I125" s="106">
        <f t="shared" si="29"/>
      </c>
      <c r="J125" s="21">
        <f t="shared" si="30"/>
      </c>
      <c r="K125" s="96">
        <f t="shared" si="31"/>
      </c>
      <c r="Z125" s="2">
        <f>IF(往来单位!$B$128="",0,-SUMIFS(资金流水!$R$6:$R$2005,资金流水!$J$6:$J$2005,往来单位!$B$128,资金流水!$R$6:$R$2005,"&lt;0",资金流水!$X$6:$X$2005,"&lt;&gt;账户互转",资金流水!$B$6:$B$2005,"&gt;="&amp;$C$4,资金流水!$B$6:$B$2005,"&lt;="&amp;$E$4))</f>
        <v>0</v>
      </c>
      <c r="AA125" s="2">
        <f>IF(Z125&gt;0,Z125+(301-125)/1000000,0)</f>
        <v>0</v>
      </c>
    </row>
    <row r="126">
      <c r="A126" s="94">
        <f>IF($B126="","",34)</f>
      </c>
      <c r="B126" s="96">
        <f>基础资料!$S$38&amp;""</f>
      </c>
      <c r="C126" s="96">
        <f>基础资料!$U$38&amp;""</f>
      </c>
      <c r="D126" s="21">
        <f t="shared" si="20"/>
      </c>
      <c r="E126" s="21">
        <f t="shared" si="8"/>
      </c>
      <c r="F126" s="21">
        <f t="shared" si="13"/>
      </c>
      <c r="G126" s="21">
        <f t="shared" si="24"/>
      </c>
      <c r="H126" s="21">
        <f t="shared" si="27"/>
      </c>
      <c r="I126" s="106">
        <f t="shared" si="29"/>
      </c>
      <c r="J126" s="21">
        <f t="shared" si="30"/>
      </c>
      <c r="K126" s="96">
        <f t="shared" si="31"/>
      </c>
      <c r="Z126" s="2">
        <f>IF(往来单位!$B$129="",0,-SUMIFS(资金流水!$R$6:$R$2005,资金流水!$J$6:$J$2005,往来单位!$B$129,资金流水!$R$6:$R$2005,"&lt;0",资金流水!$X$6:$X$2005,"&lt;&gt;账户互转",资金流水!$B$6:$B$2005,"&gt;="&amp;$C$4,资金流水!$B$6:$B$2005,"&lt;="&amp;$E$4))</f>
        <v>0</v>
      </c>
      <c r="AA126" s="2">
        <f>IF(Z126&gt;0,Z126+(301-126)/1000000,0)</f>
        <v>0</v>
      </c>
    </row>
    <row r="127">
      <c r="A127" s="94">
        <f>IF($B127="","",35)</f>
      </c>
      <c r="B127" s="96">
        <f>基础资料!$S$39&amp;""</f>
      </c>
      <c r="C127" s="96">
        <f>基础资料!$U$39&amp;""</f>
      </c>
      <c r="D127" s="21">
        <f t="shared" si="20"/>
      </c>
      <c r="E127" s="21">
        <f t="shared" si="8"/>
      </c>
      <c r="F127" s="21">
        <f t="shared" si="13"/>
      </c>
      <c r="G127" s="21">
        <f t="shared" si="24"/>
      </c>
      <c r="H127" s="21">
        <f t="shared" si="27"/>
      </c>
      <c r="I127" s="106">
        <f t="shared" si="29"/>
      </c>
      <c r="J127" s="21">
        <f t="shared" si="30"/>
      </c>
      <c r="K127" s="96">
        <f t="shared" si="31"/>
      </c>
      <c r="Z127" s="2">
        <f>IF(往来单位!$B$130="",0,-SUMIFS(资金流水!$R$6:$R$2005,资金流水!$J$6:$J$2005,往来单位!$B$130,资金流水!$R$6:$R$2005,"&lt;0",资金流水!$X$6:$X$2005,"&lt;&gt;账户互转",资金流水!$B$6:$B$2005,"&gt;="&amp;$C$4,资金流水!$B$6:$B$2005,"&lt;="&amp;$E$4))</f>
        <v>0</v>
      </c>
      <c r="AA127" s="2">
        <f>IF(Z127&gt;0,Z127+(301-127)/1000000,0)</f>
        <v>0</v>
      </c>
    </row>
    <row r="128">
      <c r="A128" s="94">
        <f>IF($B128="","",36)</f>
      </c>
      <c r="B128" s="96">
        <f>基础资料!$S$40&amp;""</f>
      </c>
      <c r="C128" s="96">
        <f>基础资料!$U$40&amp;""</f>
      </c>
      <c r="D128" s="21">
        <f t="shared" si="20"/>
      </c>
      <c r="E128" s="21">
        <f t="shared" si="8"/>
      </c>
      <c r="F128" s="21">
        <f t="shared" si="13"/>
      </c>
      <c r="G128" s="21">
        <f t="shared" si="24"/>
      </c>
      <c r="H128" s="21">
        <f t="shared" si="27"/>
      </c>
      <c r="I128" s="106">
        <f t="shared" si="29"/>
      </c>
      <c r="J128" s="21">
        <f t="shared" si="30"/>
      </c>
      <c r="K128" s="96">
        <f t="shared" si="31"/>
      </c>
      <c r="Z128" s="2">
        <f>IF(往来单位!$B$131="",0,-SUMIFS(资金流水!$R$6:$R$2005,资金流水!$J$6:$J$2005,往来单位!$B$131,资金流水!$R$6:$R$2005,"&lt;0",资金流水!$X$6:$X$2005,"&lt;&gt;账户互转",资金流水!$B$6:$B$2005,"&gt;="&amp;$C$4,资金流水!$B$6:$B$2005,"&lt;="&amp;$E$4))</f>
        <v>0</v>
      </c>
      <c r="AA128" s="2">
        <f>IF(Z128&gt;0,Z128+(301-128)/1000000,0)</f>
        <v>0</v>
      </c>
    </row>
    <row r="129">
      <c r="A129" s="94">
        <f>IF($B129="","",37)</f>
      </c>
      <c r="B129" s="96">
        <f>基础资料!$S$41&amp;""</f>
      </c>
      <c r="C129" s="96">
        <f>基础资料!$U$41&amp;""</f>
      </c>
      <c r="D129" s="21">
        <f t="shared" si="20"/>
      </c>
      <c r="E129" s="21">
        <f t="shared" si="8"/>
      </c>
      <c r="F129" s="21">
        <f t="shared" si="13"/>
      </c>
      <c r="G129" s="21">
        <f t="shared" si="24"/>
      </c>
      <c r="H129" s="21">
        <f t="shared" si="27"/>
      </c>
      <c r="I129" s="106">
        <f t="shared" si="29"/>
      </c>
      <c r="J129" s="21">
        <f t="shared" si="30"/>
      </c>
      <c r="K129" s="96">
        <f t="shared" si="31"/>
      </c>
      <c r="Z129" s="2">
        <f>IF(往来单位!$B$132="",0,-SUMIFS(资金流水!$R$6:$R$2005,资金流水!$J$6:$J$2005,往来单位!$B$132,资金流水!$R$6:$R$2005,"&lt;0",资金流水!$X$6:$X$2005,"&lt;&gt;账户互转",资金流水!$B$6:$B$2005,"&gt;="&amp;$C$4,资金流水!$B$6:$B$2005,"&lt;="&amp;$E$4))</f>
        <v>0</v>
      </c>
      <c r="AA129" s="2">
        <f>IF(Z129&gt;0,Z129+(301-129)/1000000,0)</f>
        <v>0</v>
      </c>
    </row>
    <row r="130">
      <c r="A130" s="94">
        <f>IF($B130="","",38)</f>
      </c>
      <c r="B130" s="96">
        <f>基础资料!$S$42&amp;""</f>
      </c>
      <c r="C130" s="96">
        <f>基础资料!$U$42&amp;""</f>
      </c>
      <c r="D130" s="21">
        <f t="shared" si="20"/>
      </c>
      <c r="E130" s="21">
        <f t="shared" si="8"/>
      </c>
      <c r="F130" s="21">
        <f t="shared" si="13"/>
      </c>
      <c r="G130" s="21">
        <f t="shared" si="24"/>
      </c>
      <c r="H130" s="21">
        <f t="shared" si="27"/>
      </c>
      <c r="I130" s="106">
        <f t="shared" si="29"/>
      </c>
      <c r="J130" s="21">
        <f t="shared" si="30"/>
      </c>
      <c r="K130" s="96">
        <f t="shared" si="31"/>
      </c>
      <c r="Z130" s="2">
        <f>IF(往来单位!$B$133="",0,-SUMIFS(资金流水!$R$6:$R$2005,资金流水!$J$6:$J$2005,往来单位!$B$133,资金流水!$R$6:$R$2005,"&lt;0",资金流水!$X$6:$X$2005,"&lt;&gt;账户互转",资金流水!$B$6:$B$2005,"&gt;="&amp;$C$4,资金流水!$B$6:$B$2005,"&lt;="&amp;$E$4))</f>
        <v>0</v>
      </c>
      <c r="AA130" s="2">
        <f>IF(Z130&gt;0,Z130+(301-130)/1000000,0)</f>
        <v>0</v>
      </c>
    </row>
    <row r="131">
      <c r="A131" s="94">
        <f>IF($B131="","",39)</f>
      </c>
      <c r="B131" s="96">
        <f>基础资料!$S$43&amp;""</f>
      </c>
      <c r="C131" s="96">
        <f>基础资料!$U$43&amp;""</f>
      </c>
      <c r="D131" s="21">
        <f t="shared" si="20"/>
      </c>
      <c r="E131" s="21">
        <f t="shared" si="8"/>
      </c>
      <c r="F131" s="21">
        <f t="shared" si="13"/>
      </c>
      <c r="G131" s="21">
        <f t="shared" si="24"/>
      </c>
      <c r="H131" s="21">
        <f t="shared" si="27"/>
      </c>
      <c r="I131" s="106">
        <f t="shared" si="29"/>
      </c>
      <c r="J131" s="21">
        <f t="shared" si="30"/>
      </c>
      <c r="K131" s="96">
        <f t="shared" si="31"/>
      </c>
      <c r="Z131" s="2">
        <f>IF(往来单位!$B$134="",0,-SUMIFS(资金流水!$R$6:$R$2005,资金流水!$J$6:$J$2005,往来单位!$B$134,资金流水!$R$6:$R$2005,"&lt;0",资金流水!$X$6:$X$2005,"&lt;&gt;账户互转",资金流水!$B$6:$B$2005,"&gt;="&amp;$C$4,资金流水!$B$6:$B$2005,"&lt;="&amp;$E$4))</f>
        <v>0</v>
      </c>
      <c r="AA131" s="2">
        <f>IF(Z131&gt;0,Z131+(301-131)/1000000,0)</f>
        <v>0</v>
      </c>
    </row>
    <row r="132">
      <c r="A132" s="94">
        <f>IF($B132="","",40)</f>
      </c>
      <c r="B132" s="96">
        <f>基础资料!$S$44&amp;""</f>
      </c>
      <c r="C132" s="96">
        <f>基础资料!$U$44&amp;""</f>
      </c>
      <c r="D132" s="21">
        <f t="shared" si="20"/>
      </c>
      <c r="E132" s="21">
        <f t="shared" si="8"/>
      </c>
      <c r="F132" s="21">
        <f t="shared" si="13"/>
      </c>
      <c r="G132" s="21">
        <f t="shared" si="24"/>
      </c>
      <c r="H132" s="21">
        <f t="shared" si="27"/>
      </c>
      <c r="I132" s="106">
        <f t="shared" si="29"/>
      </c>
      <c r="J132" s="21">
        <f t="shared" si="30"/>
      </c>
      <c r="K132" s="96">
        <f t="shared" si="31"/>
      </c>
      <c r="Z132" s="2">
        <f>IF(往来单位!$B$135="",0,-SUMIFS(资金流水!$R$6:$R$2005,资金流水!$J$6:$J$2005,往来单位!$B$135,资金流水!$R$6:$R$2005,"&lt;0",资金流水!$X$6:$X$2005,"&lt;&gt;账户互转",资金流水!$B$6:$B$2005,"&gt;="&amp;$C$4,资金流水!$B$6:$B$2005,"&lt;="&amp;$E$4))</f>
        <v>0</v>
      </c>
      <c r="AA132" s="2">
        <f>IF(Z132&gt;0,Z132+(301-132)/1000000,0)</f>
        <v>0</v>
      </c>
    </row>
    <row r="133">
      <c r="A133" s="94">
        <f>IF($B133="","",41)</f>
      </c>
      <c r="B133" s="96">
        <f>基础资料!$S$45&amp;""</f>
      </c>
      <c r="C133" s="96">
        <f>基础资料!$U$45&amp;""</f>
      </c>
      <c r="D133" s="21">
        <f t="shared" si="20"/>
      </c>
      <c r="E133" s="21">
        <f t="shared" si="8"/>
      </c>
      <c r="F133" s="21">
        <f t="shared" si="13"/>
      </c>
      <c r="G133" s="21">
        <f t="shared" si="24"/>
      </c>
      <c r="H133" s="21">
        <f t="shared" si="27"/>
      </c>
      <c r="I133" s="106">
        <f t="shared" si="29"/>
      </c>
      <c r="J133" s="21">
        <f t="shared" si="30"/>
      </c>
      <c r="K133" s="96">
        <f t="shared" si="31"/>
      </c>
      <c r="Z133" s="2">
        <f>IF(往来单位!$B$136="",0,-SUMIFS(资金流水!$R$6:$R$2005,资金流水!$J$6:$J$2005,往来单位!$B$136,资金流水!$R$6:$R$2005,"&lt;0",资金流水!$X$6:$X$2005,"&lt;&gt;账户互转",资金流水!$B$6:$B$2005,"&gt;="&amp;$C$4,资金流水!$B$6:$B$2005,"&lt;="&amp;$E$4))</f>
        <v>0</v>
      </c>
      <c r="AA133" s="2">
        <f>IF(Z133&gt;0,Z133+(301-133)/1000000,0)</f>
        <v>0</v>
      </c>
    </row>
    <row r="134">
      <c r="A134" s="94">
        <f>IF($B134="","",42)</f>
      </c>
      <c r="B134" s="96">
        <f>基础资料!$S$46&amp;""</f>
      </c>
      <c r="C134" s="96">
        <f>基础资料!$U$46&amp;""</f>
      </c>
      <c r="D134" s="21">
        <f t="shared" si="20"/>
      </c>
      <c r="E134" s="21">
        <f t="shared" si="8"/>
      </c>
      <c r="F134" s="21">
        <f t="shared" si="13"/>
      </c>
      <c r="G134" s="21">
        <f t="shared" si="24"/>
      </c>
      <c r="H134" s="21">
        <f t="shared" si="27"/>
      </c>
      <c r="I134" s="106">
        <f t="shared" si="29"/>
      </c>
      <c r="J134" s="21">
        <f t="shared" si="30"/>
      </c>
      <c r="K134" s="96">
        <f t="shared" si="31"/>
      </c>
      <c r="Z134" s="2">
        <f>IF(往来单位!$B$137="",0,-SUMIFS(资金流水!$R$6:$R$2005,资金流水!$J$6:$J$2005,往来单位!$B$137,资金流水!$R$6:$R$2005,"&lt;0",资金流水!$X$6:$X$2005,"&lt;&gt;账户互转",资金流水!$B$6:$B$2005,"&gt;="&amp;$C$4,资金流水!$B$6:$B$2005,"&lt;="&amp;$E$4))</f>
        <v>0</v>
      </c>
      <c r="AA134" s="2">
        <f>IF(Z134&gt;0,Z134+(301-134)/1000000,0)</f>
        <v>0</v>
      </c>
    </row>
    <row r="135">
      <c r="A135" s="94">
        <f>IF($B135="","",43)</f>
      </c>
      <c r="B135" s="96">
        <f>基础资料!$S$47&amp;""</f>
      </c>
      <c r="C135" s="96">
        <f>基础资料!$U$47&amp;""</f>
      </c>
      <c r="D135" s="21">
        <f t="shared" si="20"/>
      </c>
      <c r="E135" s="21">
        <f t="shared" si="8"/>
      </c>
      <c r="F135" s="21">
        <f t="shared" si="13"/>
      </c>
      <c r="G135" s="21">
        <f t="shared" si="24"/>
      </c>
      <c r="H135" s="21">
        <f t="shared" si="27"/>
      </c>
      <c r="I135" s="106">
        <f t="shared" si="29"/>
      </c>
      <c r="J135" s="21">
        <f t="shared" si="30"/>
      </c>
      <c r="K135" s="96">
        <f t="shared" si="31"/>
      </c>
      <c r="Z135" s="2">
        <f>IF(往来单位!$B$138="",0,-SUMIFS(资金流水!$R$6:$R$2005,资金流水!$J$6:$J$2005,往来单位!$B$138,资金流水!$R$6:$R$2005,"&lt;0",资金流水!$X$6:$X$2005,"&lt;&gt;账户互转",资金流水!$B$6:$B$2005,"&gt;="&amp;$C$4,资金流水!$B$6:$B$2005,"&lt;="&amp;$E$4))</f>
        <v>0</v>
      </c>
      <c r="AA135" s="2">
        <f>IF(Z135&gt;0,Z135+(301-135)/1000000,0)</f>
        <v>0</v>
      </c>
    </row>
    <row r="136">
      <c r="A136" s="94">
        <f>IF($B136="","",44)</f>
      </c>
      <c r="B136" s="96">
        <f>基础资料!$S$48&amp;""</f>
      </c>
      <c r="C136" s="96">
        <f>基础资料!$U$48&amp;""</f>
      </c>
      <c r="D136" s="21">
        <f t="shared" si="20"/>
      </c>
      <c r="E136" s="21">
        <f t="shared" si="8"/>
      </c>
      <c r="F136" s="21">
        <f t="shared" si="13"/>
      </c>
      <c r="G136" s="21">
        <f t="shared" si="24"/>
      </c>
      <c r="H136" s="21">
        <f t="shared" si="27"/>
      </c>
      <c r="I136" s="106">
        <f t="shared" si="29"/>
      </c>
      <c r="J136" s="21">
        <f t="shared" si="30"/>
      </c>
      <c r="K136" s="96">
        <f t="shared" si="31"/>
      </c>
      <c r="Z136" s="2">
        <f>IF(往来单位!$B$139="",0,-SUMIFS(资金流水!$R$6:$R$2005,资金流水!$J$6:$J$2005,往来单位!$B$139,资金流水!$R$6:$R$2005,"&lt;0",资金流水!$X$6:$X$2005,"&lt;&gt;账户互转",资金流水!$B$6:$B$2005,"&gt;="&amp;$C$4,资金流水!$B$6:$B$2005,"&lt;="&amp;$E$4))</f>
        <v>0</v>
      </c>
      <c r="AA136" s="2">
        <f>IF(Z136&gt;0,Z136+(301-136)/1000000,0)</f>
        <v>0</v>
      </c>
    </row>
    <row r="137">
      <c r="A137" s="94">
        <f>IF($B137="","",45)</f>
      </c>
      <c r="B137" s="96">
        <f>基础资料!$S$49&amp;""</f>
      </c>
      <c r="C137" s="96">
        <f>基础资料!$U$49&amp;""</f>
      </c>
      <c r="D137" s="21">
        <f t="shared" si="20"/>
      </c>
      <c r="E137" s="21">
        <f t="shared" si="8"/>
      </c>
      <c r="F137" s="21">
        <f t="shared" si="13"/>
      </c>
      <c r="G137" s="21">
        <f t="shared" si="24"/>
      </c>
      <c r="H137" s="21">
        <f t="shared" si="27"/>
      </c>
      <c r="I137" s="106">
        <f t="shared" si="29"/>
      </c>
      <c r="J137" s="21">
        <f t="shared" si="30"/>
      </c>
      <c r="K137" s="96">
        <f t="shared" si="31"/>
      </c>
      <c r="Z137" s="2">
        <f>IF(往来单位!$B$140="",0,-SUMIFS(资金流水!$R$6:$R$2005,资金流水!$J$6:$J$2005,往来单位!$B$140,资金流水!$R$6:$R$2005,"&lt;0",资金流水!$X$6:$X$2005,"&lt;&gt;账户互转",资金流水!$B$6:$B$2005,"&gt;="&amp;$C$4,资金流水!$B$6:$B$2005,"&lt;="&amp;$E$4))</f>
        <v>0</v>
      </c>
      <c r="AA137" s="2">
        <f>IF(Z137&gt;0,Z137+(301-137)/1000000,0)</f>
        <v>0</v>
      </c>
    </row>
    <row r="138">
      <c r="A138" s="94">
        <f>IF($B138="","",46)</f>
      </c>
      <c r="B138" s="96">
        <f>基础资料!$S$50&amp;""</f>
      </c>
      <c r="C138" s="96">
        <f>基础资料!$U$50&amp;""</f>
      </c>
      <c r="D138" s="21">
        <f t="shared" si="20"/>
      </c>
      <c r="E138" s="21">
        <f t="shared" si="8"/>
      </c>
      <c r="F138" s="21">
        <f t="shared" si="13"/>
      </c>
      <c r="G138" s="21">
        <f t="shared" si="24"/>
      </c>
      <c r="H138" s="21">
        <f t="shared" si="27"/>
      </c>
      <c r="I138" s="106">
        <f t="shared" si="29"/>
      </c>
      <c r="J138" s="21">
        <f t="shared" si="30"/>
      </c>
      <c r="K138" s="96">
        <f t="shared" si="31"/>
      </c>
      <c r="Z138" s="2">
        <f>IF(往来单位!$B$141="",0,-SUMIFS(资金流水!$R$6:$R$2005,资金流水!$J$6:$J$2005,往来单位!$B$141,资金流水!$R$6:$R$2005,"&lt;0",资金流水!$X$6:$X$2005,"&lt;&gt;账户互转",资金流水!$B$6:$B$2005,"&gt;="&amp;$C$4,资金流水!$B$6:$B$2005,"&lt;="&amp;$E$4))</f>
        <v>0</v>
      </c>
      <c r="AA138" s="2">
        <f>IF(Z138&gt;0,Z138+(301-138)/1000000,0)</f>
        <v>0</v>
      </c>
    </row>
    <row r="139">
      <c r="A139" s="94">
        <f>IF($B139="","",47)</f>
      </c>
      <c r="B139" s="96">
        <f>基础资料!$S$51&amp;""</f>
      </c>
      <c r="C139" s="96">
        <f>基础资料!$U$51&amp;""</f>
      </c>
      <c r="D139" s="21">
        <f t="shared" si="20"/>
      </c>
      <c r="E139" s="21">
        <f t="shared" si="8"/>
      </c>
      <c r="F139" s="21">
        <f t="shared" si="13"/>
      </c>
      <c r="G139" s="21">
        <f t="shared" si="24"/>
      </c>
      <c r="H139" s="21">
        <f t="shared" si="27"/>
      </c>
      <c r="I139" s="106">
        <f t="shared" si="29"/>
      </c>
      <c r="J139" s="21">
        <f t="shared" si="30"/>
      </c>
      <c r="K139" s="96">
        <f t="shared" si="31"/>
      </c>
      <c r="Z139" s="2">
        <f>IF(往来单位!$B$142="",0,-SUMIFS(资金流水!$R$6:$R$2005,资金流水!$J$6:$J$2005,往来单位!$B$142,资金流水!$R$6:$R$2005,"&lt;0",资金流水!$X$6:$X$2005,"&lt;&gt;账户互转",资金流水!$B$6:$B$2005,"&gt;="&amp;$C$4,资金流水!$B$6:$B$2005,"&lt;="&amp;$E$4))</f>
        <v>0</v>
      </c>
      <c r="AA139" s="2">
        <f>IF(Z139&gt;0,Z139+(301-139)/1000000,0)</f>
        <v>0</v>
      </c>
    </row>
    <row r="140">
      <c r="A140" s="94">
        <f>IF($B140="","",48)</f>
      </c>
      <c r="B140" s="96">
        <f>基础资料!$S$52&amp;""</f>
      </c>
      <c r="C140" s="96">
        <f>基础资料!$U$52&amp;""</f>
      </c>
      <c r="D140" s="21">
        <f t="shared" si="20"/>
      </c>
      <c r="E140" s="21">
        <f t="shared" si="8"/>
      </c>
      <c r="F140" s="21">
        <f t="shared" si="13"/>
      </c>
      <c r="G140" s="21">
        <f t="shared" si="24"/>
      </c>
      <c r="H140" s="21">
        <f t="shared" si="27"/>
      </c>
      <c r="I140" s="106">
        <f t="shared" si="29"/>
      </c>
      <c r="J140" s="21">
        <f t="shared" si="30"/>
      </c>
      <c r="K140" s="96">
        <f t="shared" si="31"/>
      </c>
      <c r="Z140" s="2">
        <f>IF(往来单位!$B$143="",0,-SUMIFS(资金流水!$R$6:$R$2005,资金流水!$J$6:$J$2005,往来单位!$B$143,资金流水!$R$6:$R$2005,"&lt;0",资金流水!$X$6:$X$2005,"&lt;&gt;账户互转",资金流水!$B$6:$B$2005,"&gt;="&amp;$C$4,资金流水!$B$6:$B$2005,"&lt;="&amp;$E$4))</f>
        <v>0</v>
      </c>
      <c r="AA140" s="2">
        <f>IF(Z140&gt;0,Z140+(301-140)/1000000,0)</f>
        <v>0</v>
      </c>
    </row>
    <row r="141">
      <c r="A141" s="94">
        <f>IF($B141="","",49)</f>
      </c>
      <c r="B141" s="96">
        <f>基础资料!$S$53&amp;""</f>
      </c>
      <c r="C141" s="96">
        <f>基础资料!$U$53&amp;""</f>
      </c>
      <c r="D141" s="21">
        <f t="shared" si="20"/>
      </c>
      <c r="E141" s="21">
        <f t="shared" si="8"/>
      </c>
      <c r="F141" s="21">
        <f t="shared" si="13"/>
      </c>
      <c r="G141" s="21">
        <f t="shared" si="24"/>
      </c>
      <c r="H141" s="21">
        <f t="shared" si="27"/>
      </c>
      <c r="I141" s="106">
        <f t="shared" si="29"/>
      </c>
      <c r="J141" s="21">
        <f t="shared" si="30"/>
      </c>
      <c r="K141" s="96">
        <f t="shared" si="31"/>
      </c>
      <c r="Z141" s="2">
        <f>IF(往来单位!$B$144="",0,-SUMIFS(资金流水!$R$6:$R$2005,资金流水!$J$6:$J$2005,往来单位!$B$144,资金流水!$R$6:$R$2005,"&lt;0",资金流水!$X$6:$X$2005,"&lt;&gt;账户互转",资金流水!$B$6:$B$2005,"&gt;="&amp;$C$4,资金流水!$B$6:$B$2005,"&lt;="&amp;$E$4))</f>
        <v>0</v>
      </c>
      <c r="AA141" s="2">
        <f>IF(Z141&gt;0,Z141+(301-141)/1000000,0)</f>
        <v>0</v>
      </c>
    </row>
    <row r="142">
      <c r="A142" s="94">
        <f>IF($B142="","",50)</f>
      </c>
      <c r="B142" s="96">
        <f>基础资料!$S$54&amp;""</f>
      </c>
      <c r="C142" s="96">
        <f>基础资料!$U$54&amp;""</f>
      </c>
      <c r="D142" s="21">
        <f t="shared" si="20"/>
      </c>
      <c r="E142" s="21">
        <f t="shared" si="8"/>
      </c>
      <c r="F142" s="21">
        <f t="shared" si="13"/>
      </c>
      <c r="G142" s="21">
        <f t="shared" si="24"/>
      </c>
      <c r="H142" s="21">
        <f t="shared" si="27"/>
      </c>
      <c r="I142" s="106">
        <f t="shared" si="29"/>
      </c>
      <c r="J142" s="21">
        <f t="shared" si="30"/>
      </c>
      <c r="K142" s="96">
        <f t="shared" si="31"/>
      </c>
      <c r="Z142" s="2">
        <f>IF(往来单位!$B$145="",0,-SUMIFS(资金流水!$R$6:$R$2005,资金流水!$J$6:$J$2005,往来单位!$B$145,资金流水!$R$6:$R$2005,"&lt;0",资金流水!$X$6:$X$2005,"&lt;&gt;账户互转",资金流水!$B$6:$B$2005,"&gt;="&amp;$C$4,资金流水!$B$6:$B$2005,"&lt;="&amp;$E$4))</f>
        <v>0</v>
      </c>
      <c r="AA142" s="2">
        <f>IF(Z142&gt;0,Z142+(301-142)/1000000,0)</f>
        <v>0</v>
      </c>
    </row>
    <row r="143">
      <c r="A143" s="94">
        <f>IF($B143="","",51)</f>
      </c>
      <c r="B143" s="96">
        <f>基础资料!$S$55&amp;""</f>
      </c>
      <c r="C143" s="96">
        <f>基础资料!$U$55&amp;""</f>
      </c>
      <c r="D143" s="21">
        <f t="shared" si="20"/>
      </c>
      <c r="E143" s="21">
        <f t="shared" si="8"/>
      </c>
      <c r="F143" s="21">
        <f t="shared" si="13"/>
      </c>
      <c r="G143" s="21">
        <f t="shared" si="24"/>
      </c>
      <c r="H143" s="21">
        <f t="shared" si="27"/>
      </c>
      <c r="I143" s="106">
        <f t="shared" si="29"/>
      </c>
      <c r="J143" s="21">
        <f t="shared" si="30"/>
      </c>
      <c r="K143" s="96">
        <f t="shared" si="31"/>
      </c>
      <c r="Z143" s="2">
        <f>IF(往来单位!$B$146="",0,-SUMIFS(资金流水!$R$6:$R$2005,资金流水!$J$6:$J$2005,往来单位!$B$146,资金流水!$R$6:$R$2005,"&lt;0",资金流水!$X$6:$X$2005,"&lt;&gt;账户互转",资金流水!$B$6:$B$2005,"&gt;="&amp;$C$4,资金流水!$B$6:$B$2005,"&lt;="&amp;$E$4))</f>
        <v>0</v>
      </c>
      <c r="AA143" s="2">
        <f>IF(Z143&gt;0,Z143+(301-143)/1000000,0)</f>
        <v>0</v>
      </c>
    </row>
    <row r="144">
      <c r="A144" s="94">
        <f>IF($B144="","",52)</f>
      </c>
      <c r="B144" s="96">
        <f>基础资料!$S$56&amp;""</f>
      </c>
      <c r="C144" s="96">
        <f>基础资料!$U$56&amp;""</f>
      </c>
      <c r="D144" s="21">
        <f t="shared" si="20"/>
      </c>
      <c r="E144" s="21">
        <f t="shared" si="8"/>
      </c>
      <c r="F144" s="21">
        <f t="shared" si="13"/>
      </c>
      <c r="G144" s="21">
        <f t="shared" si="24"/>
      </c>
      <c r="H144" s="21">
        <f t="shared" si="27"/>
      </c>
      <c r="I144" s="106">
        <f t="shared" si="29"/>
      </c>
      <c r="J144" s="21">
        <f t="shared" si="30"/>
      </c>
      <c r="K144" s="96">
        <f t="shared" si="31"/>
      </c>
      <c r="Z144" s="2">
        <f>IF(往来单位!$B$147="",0,-SUMIFS(资金流水!$R$6:$R$2005,资金流水!$J$6:$J$2005,往来单位!$B$147,资金流水!$R$6:$R$2005,"&lt;0",资金流水!$X$6:$X$2005,"&lt;&gt;账户互转",资金流水!$B$6:$B$2005,"&gt;="&amp;$C$4,资金流水!$B$6:$B$2005,"&lt;="&amp;$E$4))</f>
        <v>0</v>
      </c>
      <c r="AA144" s="2">
        <f>IF(Z144&gt;0,Z144+(301-144)/1000000,0)</f>
        <v>0</v>
      </c>
    </row>
    <row r="145">
      <c r="A145" s="94">
        <f>IF($B145="","",53)</f>
      </c>
      <c r="B145" s="96">
        <f>基础资料!$S$57&amp;""</f>
      </c>
      <c r="C145" s="96">
        <f>基础资料!$U$57&amp;""</f>
      </c>
      <c r="D145" s="21">
        <f t="shared" si="20"/>
      </c>
      <c r="E145" s="21">
        <f t="shared" si="8"/>
      </c>
      <c r="F145" s="21">
        <f t="shared" si="13"/>
      </c>
      <c r="G145" s="21">
        <f t="shared" si="24"/>
      </c>
      <c r="H145" s="21">
        <f t="shared" si="27"/>
      </c>
      <c r="I145" s="106">
        <f t="shared" si="29"/>
      </c>
      <c r="J145" s="21">
        <f t="shared" si="30"/>
      </c>
      <c r="K145" s="96">
        <f t="shared" si="31"/>
      </c>
      <c r="Z145" s="2">
        <f>IF(往来单位!$B$148="",0,-SUMIFS(资金流水!$R$6:$R$2005,资金流水!$J$6:$J$2005,往来单位!$B$148,资金流水!$R$6:$R$2005,"&lt;0",资金流水!$X$6:$X$2005,"&lt;&gt;账户互转",资金流水!$B$6:$B$2005,"&gt;="&amp;$C$4,资金流水!$B$6:$B$2005,"&lt;="&amp;$E$4))</f>
        <v>0</v>
      </c>
      <c r="AA145" s="2">
        <f>IF(Z145&gt;0,Z145+(301-145)/1000000,0)</f>
        <v>0</v>
      </c>
    </row>
    <row r="146">
      <c r="A146" s="94">
        <f>IF($B146="","",54)</f>
      </c>
      <c r="B146" s="96">
        <f>基础资料!$S$58&amp;""</f>
      </c>
      <c r="C146" s="96">
        <f>基础资料!$U$58&amp;""</f>
      </c>
      <c r="D146" s="21">
        <f t="shared" si="20"/>
      </c>
      <c r="E146" s="21">
        <f t="shared" si="8"/>
      </c>
      <c r="F146" s="21">
        <f t="shared" si="13"/>
      </c>
      <c r="G146" s="21">
        <f t="shared" si="24"/>
      </c>
      <c r="H146" s="21">
        <f t="shared" si="27"/>
      </c>
      <c r="I146" s="106">
        <f t="shared" si="29"/>
      </c>
      <c r="J146" s="21">
        <f t="shared" si="30"/>
      </c>
      <c r="K146" s="96">
        <f t="shared" si="31"/>
      </c>
      <c r="Z146" s="2">
        <f>IF(往来单位!$B$149="",0,-SUMIFS(资金流水!$R$6:$R$2005,资金流水!$J$6:$J$2005,往来单位!$B$149,资金流水!$R$6:$R$2005,"&lt;0",资金流水!$X$6:$X$2005,"&lt;&gt;账户互转",资金流水!$B$6:$B$2005,"&gt;="&amp;$C$4,资金流水!$B$6:$B$2005,"&lt;="&amp;$E$4))</f>
        <v>0</v>
      </c>
      <c r="AA146" s="2">
        <f>IF(Z146&gt;0,Z146+(301-146)/1000000,0)</f>
        <v>0</v>
      </c>
    </row>
    <row r="147">
      <c r="A147" s="94">
        <f>IF($B147="","",55)</f>
      </c>
      <c r="B147" s="96">
        <f>基础资料!$S$59&amp;""</f>
      </c>
      <c r="C147" s="96">
        <f>基础资料!$U$59&amp;""</f>
      </c>
      <c r="D147" s="21">
        <f t="shared" si="20"/>
      </c>
      <c r="E147" s="21">
        <f t="shared" si="8"/>
      </c>
      <c r="F147" s="21">
        <f t="shared" si="13"/>
      </c>
      <c r="G147" s="21">
        <f t="shared" si="24"/>
      </c>
      <c r="H147" s="21">
        <f t="shared" si="27"/>
      </c>
      <c r="I147" s="106">
        <f t="shared" si="29"/>
      </c>
      <c r="J147" s="21">
        <f t="shared" si="30"/>
      </c>
      <c r="K147" s="96">
        <f t="shared" si="31"/>
      </c>
      <c r="Z147" s="2">
        <f>IF(往来单位!$B$150="",0,-SUMIFS(资金流水!$R$6:$R$2005,资金流水!$J$6:$J$2005,往来单位!$B$150,资金流水!$R$6:$R$2005,"&lt;0",资金流水!$X$6:$X$2005,"&lt;&gt;账户互转",资金流水!$B$6:$B$2005,"&gt;="&amp;$C$4,资金流水!$B$6:$B$2005,"&lt;="&amp;$E$4))</f>
        <v>0</v>
      </c>
      <c r="AA147" s="2">
        <f>IF(Z147&gt;0,Z147+(301-147)/1000000,0)</f>
        <v>0</v>
      </c>
    </row>
    <row r="148">
      <c r="A148" s="94">
        <f>IF($B148="","",56)</f>
      </c>
      <c r="B148" s="96">
        <f>基础资料!$S$60&amp;""</f>
      </c>
      <c r="C148" s="96">
        <f>基础资料!$U$60&amp;""</f>
      </c>
      <c r="D148" s="21">
        <f t="shared" si="20"/>
      </c>
      <c r="E148" s="21">
        <f t="shared" si="8"/>
      </c>
      <c r="F148" s="21">
        <f t="shared" si="13"/>
      </c>
      <c r="G148" s="21">
        <f t="shared" si="24"/>
      </c>
      <c r="H148" s="21">
        <f t="shared" si="27"/>
      </c>
      <c r="I148" s="106">
        <f t="shared" si="29"/>
      </c>
      <c r="J148" s="21">
        <f t="shared" si="30"/>
      </c>
      <c r="K148" s="96">
        <f t="shared" si="31"/>
      </c>
      <c r="Z148" s="2">
        <f>IF(往来单位!$B$151="",0,-SUMIFS(资金流水!$R$6:$R$2005,资金流水!$J$6:$J$2005,往来单位!$B$151,资金流水!$R$6:$R$2005,"&lt;0",资金流水!$X$6:$X$2005,"&lt;&gt;账户互转",资金流水!$B$6:$B$2005,"&gt;="&amp;$C$4,资金流水!$B$6:$B$2005,"&lt;="&amp;$E$4))</f>
        <v>0</v>
      </c>
      <c r="AA148" s="2">
        <f>IF(Z148&gt;0,Z148+(301-148)/1000000,0)</f>
        <v>0</v>
      </c>
    </row>
    <row r="149">
      <c r="A149" s="94">
        <f>IF($B149="","",57)</f>
      </c>
      <c r="B149" s="96">
        <f>基础资料!$S$61&amp;""</f>
      </c>
      <c r="C149" s="96">
        <f>基础资料!$U$61&amp;""</f>
      </c>
      <c r="D149" s="21">
        <f t="shared" si="20"/>
      </c>
      <c r="E149" s="21">
        <f t="shared" si="8"/>
      </c>
      <c r="F149" s="21">
        <f t="shared" si="13"/>
      </c>
      <c r="G149" s="21">
        <f t="shared" si="24"/>
      </c>
      <c r="H149" s="21">
        <f t="shared" si="27"/>
      </c>
      <c r="I149" s="106">
        <f t="shared" si="29"/>
      </c>
      <c r="J149" s="21">
        <f t="shared" si="30"/>
      </c>
      <c r="K149" s="96">
        <f t="shared" si="31"/>
      </c>
      <c r="Z149" s="2">
        <f>IF(往来单位!$B$152="",0,-SUMIFS(资金流水!$R$6:$R$2005,资金流水!$J$6:$J$2005,往来单位!$B$152,资金流水!$R$6:$R$2005,"&lt;0",资金流水!$X$6:$X$2005,"&lt;&gt;账户互转",资金流水!$B$6:$B$2005,"&gt;="&amp;$C$4,资金流水!$B$6:$B$2005,"&lt;="&amp;$E$4))</f>
        <v>0</v>
      </c>
      <c r="AA149" s="2">
        <f>IF(Z149&gt;0,Z149+(301-149)/1000000,0)</f>
        <v>0</v>
      </c>
    </row>
    <row r="150">
      <c r="A150" s="94">
        <f>IF($B150="","",58)</f>
      </c>
      <c r="B150" s="96">
        <f>基础资料!$S$62&amp;""</f>
      </c>
      <c r="C150" s="96">
        <f>基础资料!$U$62&amp;""</f>
      </c>
      <c r="D150" s="21">
        <f t="shared" si="20"/>
      </c>
      <c r="E150" s="21">
        <f t="shared" si="8"/>
      </c>
      <c r="F150" s="21">
        <f t="shared" si="13"/>
      </c>
      <c r="G150" s="21">
        <f t="shared" si="24"/>
      </c>
      <c r="H150" s="21">
        <f t="shared" si="27"/>
      </c>
      <c r="I150" s="106">
        <f t="shared" si="29"/>
      </c>
      <c r="J150" s="21">
        <f t="shared" si="30"/>
      </c>
      <c r="K150" s="96">
        <f t="shared" si="31"/>
      </c>
      <c r="Z150" s="2">
        <f>IF(往来单位!$B$153="",0,-SUMIFS(资金流水!$R$6:$R$2005,资金流水!$J$6:$J$2005,往来单位!$B$153,资金流水!$R$6:$R$2005,"&lt;0",资金流水!$X$6:$X$2005,"&lt;&gt;账户互转",资金流水!$B$6:$B$2005,"&gt;="&amp;$C$4,资金流水!$B$6:$B$2005,"&lt;="&amp;$E$4))</f>
        <v>0</v>
      </c>
      <c r="AA150" s="2">
        <f>IF(Z150&gt;0,Z150+(301-150)/1000000,0)</f>
        <v>0</v>
      </c>
    </row>
    <row r="151">
      <c r="A151" s="94">
        <f>IF($B151="","",59)</f>
      </c>
      <c r="B151" s="96">
        <f>基础资料!$S$63&amp;""</f>
      </c>
      <c r="C151" s="96">
        <f>基础资料!$U$63&amp;""</f>
      </c>
      <c r="D151" s="21">
        <f t="shared" si="20"/>
      </c>
      <c r="E151" s="21">
        <f t="shared" si="8"/>
      </c>
      <c r="F151" s="21">
        <f t="shared" si="13"/>
      </c>
      <c r="G151" s="21">
        <f t="shared" si="24"/>
      </c>
      <c r="H151" s="21">
        <f t="shared" si="27"/>
      </c>
      <c r="I151" s="106">
        <f t="shared" si="29"/>
      </c>
      <c r="J151" s="21">
        <f t="shared" si="30"/>
      </c>
      <c r="K151" s="96">
        <f t="shared" si="31"/>
      </c>
      <c r="Z151" s="2">
        <f>IF(往来单位!$B$154="",0,-SUMIFS(资金流水!$R$6:$R$2005,资金流水!$J$6:$J$2005,往来单位!$B$154,资金流水!$R$6:$R$2005,"&lt;0",资金流水!$X$6:$X$2005,"&lt;&gt;账户互转",资金流水!$B$6:$B$2005,"&gt;="&amp;$C$4,资金流水!$B$6:$B$2005,"&lt;="&amp;$E$4))</f>
        <v>0</v>
      </c>
      <c r="AA151" s="2">
        <f>IF(Z151&gt;0,Z151+(301-151)/1000000,0)</f>
        <v>0</v>
      </c>
    </row>
    <row r="152">
      <c r="A152" s="94">
        <f>IF($B152="","",60)</f>
      </c>
      <c r="B152" s="96">
        <f>基础资料!$S$64&amp;""</f>
      </c>
      <c r="C152" s="96">
        <f>基础资料!$U$64&amp;""</f>
      </c>
      <c r="D152" s="21">
        <f t="shared" si="20"/>
      </c>
      <c r="E152" s="21">
        <f t="shared" si="8"/>
      </c>
      <c r="F152" s="21">
        <f t="shared" si="13"/>
      </c>
      <c r="G152" s="21">
        <f t="shared" si="24"/>
      </c>
      <c r="H152" s="21">
        <f t="shared" si="27"/>
      </c>
      <c r="I152" s="106">
        <f t="shared" si="29"/>
      </c>
      <c r="J152" s="21">
        <f t="shared" si="30"/>
      </c>
      <c r="K152" s="96">
        <f t="shared" si="31"/>
      </c>
      <c r="Z152" s="2">
        <f>IF(往来单位!$B$155="",0,-SUMIFS(资金流水!$R$6:$R$2005,资金流水!$J$6:$J$2005,往来单位!$B$155,资金流水!$R$6:$R$2005,"&lt;0",资金流水!$X$6:$X$2005,"&lt;&gt;账户互转",资金流水!$B$6:$B$2005,"&gt;="&amp;$C$4,资金流水!$B$6:$B$2005,"&lt;="&amp;$E$4))</f>
        <v>0</v>
      </c>
      <c r="AA152" s="2">
        <f>IF(Z152&gt;0,Z152+(301-152)/1000000,0)</f>
        <v>0</v>
      </c>
    </row>
    <row r="153">
      <c r="A153" s="12" t="n"/>
      <c r="B153" s="19" t="inlineStr">
        <is>
          <t>没认出类别的</t>
        </is>
      </c>
      <c r="C153" s="12" t="n"/>
      <c r="D153" s="12" t="n"/>
      <c r="E153" s="12" t="n"/>
      <c r="F153" s="12" t="n"/>
      <c r="G153" s="12" t="n"/>
      <c r="H153" s="21">
        <f>SUMIFS(资金流水!$R$6:$R$2005,资金流水!$X$6:$X$2005,"待分类",资金流水!$B$6:$B$2005,"&gt;="&amp;$C$4,资金流水!$B$6:$B$2005,"&lt;="&amp;$E$4)</f>
        <v>0</v>
      </c>
      <c r="I153" s="106">
        <f>COUNTIFS(资金流水!$X$6:$X$2005,"待分类",资金流水!$B$6:$B$2005,"&gt;="&amp;$C$4,资金流水!$B$6:$B$2005,"&lt;="&amp;$E$4)</f>
        <v>0</v>
      </c>
      <c r="J153" s="12" t="n"/>
      <c r="K153" s="28" t="inlineStr">
        <is>
          <t>去【资金流水】看 ✗ 的行</t>
        </is>
      </c>
      <c r="Z153" s="2">
        <f>IF(往来单位!$B$156="",0,-SUMIFS(资金流水!$R$6:$R$2005,资金流水!$J$6:$J$2005,往来单位!$B$156,资金流水!$R$6:$R$2005,"&lt;0",资金流水!$X$6:$X$2005,"&lt;&gt;账户互转",资金流水!$B$6:$B$2005,"&gt;="&amp;$C$4,资金流水!$B$6:$B$2005,"&lt;="&amp;$E$4))</f>
        <v>0</v>
      </c>
      <c r="AA153" s="2">
        <f>IF(Z153&gt;0,Z153+(301-153)/1000000,0)</f>
        <v>0</v>
      </c>
    </row>
    <row r="154">
      <c r="A154" s="105" t="n"/>
      <c r="B154" s="107" t="inlineStr">
        <is>
          <t>合计（不含账户互转）</t>
        </is>
      </c>
      <c r="C154" s="10" t="n"/>
      <c r="D154" s="77">
        <f>SUM(D93:D153)-SUMIFS(D93:D152,$B93:$B152,"账户互转")</f>
        <v>702062.4</v>
      </c>
      <c r="E154" s="77">
        <f>SUM(E93:E153)-SUMIFS(E93:E152,$B93:$B152,"账户互转")</f>
        <v>156293.84</v>
      </c>
      <c r="F154" s="77">
        <f>SUM(F93:F153)-SUMIFS(F93:F152,$B93:$B152,"账户互转")</f>
        <v>0</v>
      </c>
      <c r="G154" s="77">
        <f>SUM(G93:G153)-SUMIFS(G93:G152,$B93:$B152,"账户互转")</f>
        <v>0</v>
      </c>
      <c r="H154" s="77">
        <f>SUM(H93:H153)-SUMIFS(H93:H152,$B93:$B152,"账户互转")</f>
        <v>545768.56</v>
      </c>
      <c r="I154" s="108">
        <f>SUM(I93:I153)-SUMIFS(I93:I152,$B93:$B152,"账户互转")</f>
        <v>29</v>
      </c>
      <c r="J154" s="77">
        <f>SUM(J93:J153)-SUMIFS(J93:J152,$B93:$B152,"账户互转")</f>
        <v>834436.86</v>
      </c>
      <c r="K154" s="105" t="n"/>
      <c r="Z154" s="2">
        <f>IF(往来单位!$B$157="",0,-SUMIFS(资金流水!$R$6:$R$2005,资金流水!$J$6:$J$2005,往来单位!$B$157,资金流水!$R$6:$R$2005,"&lt;0",资金流水!$X$6:$X$2005,"&lt;&gt;账户互转",资金流水!$B$6:$B$2005,"&gt;="&amp;$C$4,资金流水!$B$6:$B$2005,"&lt;="&amp;$E$4))</f>
        <v>0</v>
      </c>
      <c r="AA154" s="2">
        <f>IF(Z154&gt;0,Z154+(301-154)/1000000,0)</f>
        <v>0</v>
      </c>
    </row>
    <row r="155">
      <c r="Z155" s="2">
        <f>IF(往来单位!$B$158="",0,-SUMIFS(资金流水!$R$6:$R$2005,资金流水!$J$6:$J$2005,往来单位!$B$158,资金流水!$R$6:$R$2005,"&lt;0",资金流水!$X$6:$X$2005,"&lt;&gt;账户互转",资金流水!$B$6:$B$2005,"&gt;="&amp;$C$4,资金流水!$B$6:$B$2005,"&lt;="&amp;$E$4))</f>
        <v>0</v>
      </c>
      <c r="AA155" s="2">
        <f>IF(Z155&gt;0,Z155+(301-155)/1000000,0)</f>
        <v>0</v>
      </c>
    </row>
    <row r="156">
      <c r="Z156" s="2">
        <f>IF(往来单位!$B$159="",0,-SUMIFS(资金流水!$R$6:$R$2005,资金流水!$J$6:$J$2005,往来单位!$B$159,资金流水!$R$6:$R$2005,"&lt;0",资金流水!$X$6:$X$2005,"&lt;&gt;账户互转",资金流水!$B$6:$B$2005,"&gt;="&amp;$C$4,资金流水!$B$6:$B$2005,"&lt;="&amp;$E$4))</f>
        <v>0</v>
      </c>
      <c r="AA156" s="2">
        <f>IF(Z156&gt;0,Z156+(301-156)/1000000,0)</f>
        <v>0</v>
      </c>
    </row>
    <row r="157">
      <c r="Z157" s="2">
        <f>IF(往来单位!$B$160="",0,-SUMIFS(资金流水!$R$6:$R$2005,资金流水!$J$6:$J$2005,往来单位!$B$160,资金流水!$R$6:$R$2005,"&lt;0",资金流水!$X$6:$X$2005,"&lt;&gt;账户互转",资金流水!$B$6:$B$2005,"&gt;="&amp;$C$4,资金流水!$B$6:$B$2005,"&lt;="&amp;$E$4))</f>
        <v>0</v>
      </c>
      <c r="AA157" s="2">
        <f>IF(Z157&gt;0,Z157+(301-157)/1000000,0)</f>
        <v>0</v>
      </c>
    </row>
    <row r="158">
      <c r="Z158" s="2">
        <f>IF(往来单位!$B$161="",0,-SUMIFS(资金流水!$R$6:$R$2005,资金流水!$J$6:$J$2005,往来单位!$B$161,资金流水!$R$6:$R$2005,"&lt;0",资金流水!$X$6:$X$2005,"&lt;&gt;账户互转",资金流水!$B$6:$B$2005,"&gt;="&amp;$C$4,资金流水!$B$6:$B$2005,"&lt;="&amp;$E$4))</f>
        <v>0</v>
      </c>
      <c r="AA158" s="2">
        <f>IF(Z158&gt;0,Z158+(301-158)/1000000,0)</f>
        <v>0</v>
      </c>
    </row>
    <row r="159">
      <c r="Z159" s="2">
        <f>IF(往来单位!$B$162="",0,-SUMIFS(资金流水!$R$6:$R$2005,资金流水!$J$6:$J$2005,往来单位!$B$162,资金流水!$R$6:$R$2005,"&lt;0",资金流水!$X$6:$X$2005,"&lt;&gt;账户互转",资金流水!$B$6:$B$2005,"&gt;="&amp;$C$4,资金流水!$B$6:$B$2005,"&lt;="&amp;$E$4))</f>
        <v>0</v>
      </c>
      <c r="AA159" s="2">
        <f>IF(Z159&gt;0,Z159+(301-159)/1000000,0)</f>
        <v>0</v>
      </c>
    </row>
    <row r="160">
      <c r="Z160" s="2">
        <f>IF(往来单位!$B$163="",0,-SUMIFS(资金流水!$R$6:$R$2005,资金流水!$J$6:$J$2005,往来单位!$B$163,资金流水!$R$6:$R$2005,"&lt;0",资金流水!$X$6:$X$2005,"&lt;&gt;账户互转",资金流水!$B$6:$B$2005,"&gt;="&amp;$C$4,资金流水!$B$6:$B$2005,"&lt;="&amp;$E$4))</f>
        <v>0</v>
      </c>
      <c r="AA160" s="2">
        <f>IF(Z160&gt;0,Z160+(301-160)/1000000,0)</f>
        <v>0</v>
      </c>
    </row>
    <row r="161">
      <c r="Z161" s="2">
        <f>IF(往来单位!$B$164="",0,-SUMIFS(资金流水!$R$6:$R$2005,资金流水!$J$6:$J$2005,往来单位!$B$164,资金流水!$R$6:$R$2005,"&lt;0",资金流水!$X$6:$X$2005,"&lt;&gt;账户互转",资金流水!$B$6:$B$2005,"&gt;="&amp;$C$4,资金流水!$B$6:$B$2005,"&lt;="&amp;$E$4))</f>
        <v>0</v>
      </c>
      <c r="AA161" s="2">
        <f>IF(Z161&gt;0,Z161+(301-161)/1000000,0)</f>
        <v>0</v>
      </c>
    </row>
    <row r="162">
      <c r="Z162" s="2">
        <f>IF(往来单位!$B$165="",0,-SUMIFS(资金流水!$R$6:$R$2005,资金流水!$J$6:$J$2005,往来单位!$B$165,资金流水!$R$6:$R$2005,"&lt;0",资金流水!$X$6:$X$2005,"&lt;&gt;账户互转",资金流水!$B$6:$B$2005,"&gt;="&amp;$C$4,资金流水!$B$6:$B$2005,"&lt;="&amp;$E$4))</f>
        <v>0</v>
      </c>
      <c r="AA162" s="2">
        <f>IF(Z162&gt;0,Z162+(301-162)/1000000,0)</f>
        <v>0</v>
      </c>
    </row>
    <row r="163">
      <c r="Z163" s="2">
        <f>IF(往来单位!$B$166="",0,-SUMIFS(资金流水!$R$6:$R$2005,资金流水!$J$6:$J$2005,往来单位!$B$166,资金流水!$R$6:$R$2005,"&lt;0",资金流水!$X$6:$X$2005,"&lt;&gt;账户互转",资金流水!$B$6:$B$2005,"&gt;="&amp;$C$4,资金流水!$B$6:$B$2005,"&lt;="&amp;$E$4))</f>
        <v>0</v>
      </c>
      <c r="AA163" s="2">
        <f>IF(Z163&gt;0,Z163+(301-163)/1000000,0)</f>
        <v>0</v>
      </c>
    </row>
    <row r="164">
      <c r="Z164" s="2">
        <f>IF(往来单位!$B$167="",0,-SUMIFS(资金流水!$R$6:$R$2005,资金流水!$J$6:$J$2005,往来单位!$B$167,资金流水!$R$6:$R$2005,"&lt;0",资金流水!$X$6:$X$2005,"&lt;&gt;账户互转",资金流水!$B$6:$B$2005,"&gt;="&amp;$C$4,资金流水!$B$6:$B$2005,"&lt;="&amp;$E$4))</f>
        <v>0</v>
      </c>
      <c r="AA164" s="2">
        <f>IF(Z164&gt;0,Z164+(301-164)/1000000,0)</f>
        <v>0</v>
      </c>
    </row>
    <row r="165">
      <c r="Z165" s="2">
        <f>IF(往来单位!$B$168="",0,-SUMIFS(资金流水!$R$6:$R$2005,资金流水!$J$6:$J$2005,往来单位!$B$168,资金流水!$R$6:$R$2005,"&lt;0",资金流水!$X$6:$X$2005,"&lt;&gt;账户互转",资金流水!$B$6:$B$2005,"&gt;="&amp;$C$4,资金流水!$B$6:$B$2005,"&lt;="&amp;$E$4))</f>
        <v>0</v>
      </c>
      <c r="AA165" s="2">
        <f>IF(Z165&gt;0,Z165+(301-165)/1000000,0)</f>
        <v>0</v>
      </c>
    </row>
    <row r="166">
      <c r="Z166" s="2">
        <f>IF(往来单位!$B$169="",0,-SUMIFS(资金流水!$R$6:$R$2005,资金流水!$J$6:$J$2005,往来单位!$B$169,资金流水!$R$6:$R$2005,"&lt;0",资金流水!$X$6:$X$2005,"&lt;&gt;账户互转",资金流水!$B$6:$B$2005,"&gt;="&amp;$C$4,资金流水!$B$6:$B$2005,"&lt;="&amp;$E$4))</f>
        <v>0</v>
      </c>
      <c r="AA166" s="2">
        <f>IF(Z166&gt;0,Z166+(301-166)/1000000,0)</f>
        <v>0</v>
      </c>
    </row>
    <row r="167">
      <c r="Z167" s="2">
        <f>IF(往来单位!$B$170="",0,-SUMIFS(资金流水!$R$6:$R$2005,资金流水!$J$6:$J$2005,往来单位!$B$170,资金流水!$R$6:$R$2005,"&lt;0",资金流水!$X$6:$X$2005,"&lt;&gt;账户互转",资金流水!$B$6:$B$2005,"&gt;="&amp;$C$4,资金流水!$B$6:$B$2005,"&lt;="&amp;$E$4))</f>
        <v>0</v>
      </c>
      <c r="AA167" s="2">
        <f>IF(Z167&gt;0,Z167+(301-167)/1000000,0)</f>
        <v>0</v>
      </c>
    </row>
    <row r="168">
      <c r="Z168" s="2">
        <f>IF(往来单位!$B$171="",0,-SUMIFS(资金流水!$R$6:$R$2005,资金流水!$J$6:$J$2005,往来单位!$B$171,资金流水!$R$6:$R$2005,"&lt;0",资金流水!$X$6:$X$2005,"&lt;&gt;账户互转",资金流水!$B$6:$B$2005,"&gt;="&amp;$C$4,资金流水!$B$6:$B$2005,"&lt;="&amp;$E$4))</f>
        <v>0</v>
      </c>
      <c r="AA168" s="2">
        <f>IF(Z168&gt;0,Z168+(301-168)/1000000,0)</f>
        <v>0</v>
      </c>
    </row>
    <row r="169">
      <c r="Z169" s="2">
        <f>IF(往来单位!$B$172="",0,-SUMIFS(资金流水!$R$6:$R$2005,资金流水!$J$6:$J$2005,往来单位!$B$172,资金流水!$R$6:$R$2005,"&lt;0",资金流水!$X$6:$X$2005,"&lt;&gt;账户互转",资金流水!$B$6:$B$2005,"&gt;="&amp;$C$4,资金流水!$B$6:$B$2005,"&lt;="&amp;$E$4))</f>
        <v>0</v>
      </c>
      <c r="AA169" s="2">
        <f>IF(Z169&gt;0,Z169+(301-169)/1000000,0)</f>
        <v>0</v>
      </c>
    </row>
    <row r="170">
      <c r="Z170" s="2">
        <f>IF(往来单位!$B$173="",0,-SUMIFS(资金流水!$R$6:$R$2005,资金流水!$J$6:$J$2005,往来单位!$B$173,资金流水!$R$6:$R$2005,"&lt;0",资金流水!$X$6:$X$2005,"&lt;&gt;账户互转",资金流水!$B$6:$B$2005,"&gt;="&amp;$C$4,资金流水!$B$6:$B$2005,"&lt;="&amp;$E$4))</f>
        <v>0</v>
      </c>
      <c r="AA170" s="2">
        <f>IF(Z170&gt;0,Z170+(301-170)/1000000,0)</f>
        <v>0</v>
      </c>
    </row>
    <row r="171">
      <c r="Z171" s="2">
        <f>IF(往来单位!$B$174="",0,-SUMIFS(资金流水!$R$6:$R$2005,资金流水!$J$6:$J$2005,往来单位!$B$174,资金流水!$R$6:$R$2005,"&lt;0",资金流水!$X$6:$X$2005,"&lt;&gt;账户互转",资金流水!$B$6:$B$2005,"&gt;="&amp;$C$4,资金流水!$B$6:$B$2005,"&lt;="&amp;$E$4))</f>
        <v>0</v>
      </c>
      <c r="AA171" s="2">
        <f>IF(Z171&gt;0,Z171+(301-171)/1000000,0)</f>
        <v>0</v>
      </c>
    </row>
    <row r="172">
      <c r="Z172" s="2">
        <f>IF(往来单位!$B$175="",0,-SUMIFS(资金流水!$R$6:$R$2005,资金流水!$J$6:$J$2005,往来单位!$B$175,资金流水!$R$6:$R$2005,"&lt;0",资金流水!$X$6:$X$2005,"&lt;&gt;账户互转",资金流水!$B$6:$B$2005,"&gt;="&amp;$C$4,资金流水!$B$6:$B$2005,"&lt;="&amp;$E$4))</f>
        <v>0</v>
      </c>
      <c r="AA172" s="2">
        <f>IF(Z172&gt;0,Z172+(301-172)/1000000,0)</f>
        <v>0</v>
      </c>
    </row>
    <row r="173">
      <c r="Z173" s="2">
        <f>IF(往来单位!$B$176="",0,-SUMIFS(资金流水!$R$6:$R$2005,资金流水!$J$6:$J$2005,往来单位!$B$176,资金流水!$R$6:$R$2005,"&lt;0",资金流水!$X$6:$X$2005,"&lt;&gt;账户互转",资金流水!$B$6:$B$2005,"&gt;="&amp;$C$4,资金流水!$B$6:$B$2005,"&lt;="&amp;$E$4))</f>
        <v>0</v>
      </c>
      <c r="AA173" s="2">
        <f>IF(Z173&gt;0,Z173+(301-173)/1000000,0)</f>
        <v>0</v>
      </c>
    </row>
    <row r="174">
      <c r="Z174" s="2">
        <f>IF(往来单位!$B$177="",0,-SUMIFS(资金流水!$R$6:$R$2005,资金流水!$J$6:$J$2005,往来单位!$B$177,资金流水!$R$6:$R$2005,"&lt;0",资金流水!$X$6:$X$2005,"&lt;&gt;账户互转",资金流水!$B$6:$B$2005,"&gt;="&amp;$C$4,资金流水!$B$6:$B$2005,"&lt;="&amp;$E$4))</f>
        <v>0</v>
      </c>
      <c r="AA174" s="2">
        <f>IF(Z174&gt;0,Z174+(301-174)/1000000,0)</f>
        <v>0</v>
      </c>
    </row>
    <row r="175">
      <c r="Z175" s="2">
        <f>IF(往来单位!$B$178="",0,-SUMIFS(资金流水!$R$6:$R$2005,资金流水!$J$6:$J$2005,往来单位!$B$178,资金流水!$R$6:$R$2005,"&lt;0",资金流水!$X$6:$X$2005,"&lt;&gt;账户互转",资金流水!$B$6:$B$2005,"&gt;="&amp;$C$4,资金流水!$B$6:$B$2005,"&lt;="&amp;$E$4))</f>
        <v>0</v>
      </c>
      <c r="AA175" s="2">
        <f>IF(Z175&gt;0,Z175+(301-175)/1000000,0)</f>
        <v>0</v>
      </c>
    </row>
    <row r="176">
      <c r="Z176" s="2">
        <f>IF(往来单位!$B$179="",0,-SUMIFS(资金流水!$R$6:$R$2005,资金流水!$J$6:$J$2005,往来单位!$B$179,资金流水!$R$6:$R$2005,"&lt;0",资金流水!$X$6:$X$2005,"&lt;&gt;账户互转",资金流水!$B$6:$B$2005,"&gt;="&amp;$C$4,资金流水!$B$6:$B$2005,"&lt;="&amp;$E$4))</f>
        <v>0</v>
      </c>
      <c r="AA176" s="2">
        <f>IF(Z176&gt;0,Z176+(301-176)/1000000,0)</f>
        <v>0</v>
      </c>
    </row>
    <row r="177">
      <c r="Z177" s="2">
        <f>IF(往来单位!$B$180="",0,-SUMIFS(资金流水!$R$6:$R$2005,资金流水!$J$6:$J$2005,往来单位!$B$180,资金流水!$R$6:$R$2005,"&lt;0",资金流水!$X$6:$X$2005,"&lt;&gt;账户互转",资金流水!$B$6:$B$2005,"&gt;="&amp;$C$4,资金流水!$B$6:$B$2005,"&lt;="&amp;$E$4))</f>
        <v>0</v>
      </c>
      <c r="AA177" s="2">
        <f>IF(Z177&gt;0,Z177+(301-177)/1000000,0)</f>
        <v>0</v>
      </c>
    </row>
    <row r="178">
      <c r="Z178" s="2">
        <f>IF(往来单位!$B$181="",0,-SUMIFS(资金流水!$R$6:$R$2005,资金流水!$J$6:$J$2005,往来单位!$B$181,资金流水!$R$6:$R$2005,"&lt;0",资金流水!$X$6:$X$2005,"&lt;&gt;账户互转",资金流水!$B$6:$B$2005,"&gt;="&amp;$C$4,资金流水!$B$6:$B$2005,"&lt;="&amp;$E$4))</f>
        <v>0</v>
      </c>
      <c r="AA178" s="2">
        <f>IF(Z178&gt;0,Z178+(301-178)/1000000,0)</f>
        <v>0</v>
      </c>
    </row>
    <row r="179">
      <c r="Z179" s="2">
        <f>IF(往来单位!$B$182="",0,-SUMIFS(资金流水!$R$6:$R$2005,资金流水!$J$6:$J$2005,往来单位!$B$182,资金流水!$R$6:$R$2005,"&lt;0",资金流水!$X$6:$X$2005,"&lt;&gt;账户互转",资金流水!$B$6:$B$2005,"&gt;="&amp;$C$4,资金流水!$B$6:$B$2005,"&lt;="&amp;$E$4))</f>
        <v>0</v>
      </c>
      <c r="AA179" s="2">
        <f>IF(Z179&gt;0,Z179+(301-179)/1000000,0)</f>
        <v>0</v>
      </c>
    </row>
    <row r="180">
      <c r="Z180" s="2">
        <f>IF(往来单位!$B$183="",0,-SUMIFS(资金流水!$R$6:$R$2005,资金流水!$J$6:$J$2005,往来单位!$B$183,资金流水!$R$6:$R$2005,"&lt;0",资金流水!$X$6:$X$2005,"&lt;&gt;账户互转",资金流水!$B$6:$B$2005,"&gt;="&amp;$C$4,资金流水!$B$6:$B$2005,"&lt;="&amp;$E$4))</f>
        <v>0</v>
      </c>
      <c r="AA180" s="2">
        <f>IF(Z180&gt;0,Z180+(301-180)/1000000,0)</f>
        <v>0</v>
      </c>
    </row>
    <row r="181">
      <c r="Z181" s="2">
        <f>IF(往来单位!$B$184="",0,-SUMIFS(资金流水!$R$6:$R$2005,资金流水!$J$6:$J$2005,往来单位!$B$184,资金流水!$R$6:$R$2005,"&lt;0",资金流水!$X$6:$X$2005,"&lt;&gt;账户互转",资金流水!$B$6:$B$2005,"&gt;="&amp;$C$4,资金流水!$B$6:$B$2005,"&lt;="&amp;$E$4))</f>
        <v>0</v>
      </c>
      <c r="AA181" s="2">
        <f>IF(Z181&gt;0,Z181+(301-181)/1000000,0)</f>
        <v>0</v>
      </c>
    </row>
    <row r="182">
      <c r="Z182" s="2">
        <f>IF(往来单位!$B$185="",0,-SUMIFS(资金流水!$R$6:$R$2005,资金流水!$J$6:$J$2005,往来单位!$B$185,资金流水!$R$6:$R$2005,"&lt;0",资金流水!$X$6:$X$2005,"&lt;&gt;账户互转",资金流水!$B$6:$B$2005,"&gt;="&amp;$C$4,资金流水!$B$6:$B$2005,"&lt;="&amp;$E$4))</f>
        <v>0</v>
      </c>
      <c r="AA182" s="2">
        <f>IF(Z182&gt;0,Z182+(301-182)/1000000,0)</f>
        <v>0</v>
      </c>
    </row>
    <row r="183">
      <c r="Z183" s="2">
        <f>IF(往来单位!$B$186="",0,-SUMIFS(资金流水!$R$6:$R$2005,资金流水!$J$6:$J$2005,往来单位!$B$186,资金流水!$R$6:$R$2005,"&lt;0",资金流水!$X$6:$X$2005,"&lt;&gt;账户互转",资金流水!$B$6:$B$2005,"&gt;="&amp;$C$4,资金流水!$B$6:$B$2005,"&lt;="&amp;$E$4))</f>
        <v>0</v>
      </c>
      <c r="AA183" s="2">
        <f>IF(Z183&gt;0,Z183+(301-183)/1000000,0)</f>
        <v>0</v>
      </c>
    </row>
    <row r="184">
      <c r="Z184" s="2">
        <f>IF(往来单位!$B$187="",0,-SUMIFS(资金流水!$R$6:$R$2005,资金流水!$J$6:$J$2005,往来单位!$B$187,资金流水!$R$6:$R$2005,"&lt;0",资金流水!$X$6:$X$2005,"&lt;&gt;账户互转",资金流水!$B$6:$B$2005,"&gt;="&amp;$C$4,资金流水!$B$6:$B$2005,"&lt;="&amp;$E$4))</f>
        <v>0</v>
      </c>
      <c r="AA184" s="2">
        <f>IF(Z184&gt;0,Z184+(301-184)/1000000,0)</f>
        <v>0</v>
      </c>
    </row>
    <row r="185">
      <c r="Z185" s="2">
        <f>IF(往来单位!$B$188="",0,-SUMIFS(资金流水!$R$6:$R$2005,资金流水!$J$6:$J$2005,往来单位!$B$188,资金流水!$R$6:$R$2005,"&lt;0",资金流水!$X$6:$X$2005,"&lt;&gt;账户互转",资金流水!$B$6:$B$2005,"&gt;="&amp;$C$4,资金流水!$B$6:$B$2005,"&lt;="&amp;$E$4))</f>
        <v>0</v>
      </c>
      <c r="AA185" s="2">
        <f>IF(Z185&gt;0,Z185+(301-185)/1000000,0)</f>
        <v>0</v>
      </c>
    </row>
    <row r="186">
      <c r="Z186" s="2">
        <f>IF(往来单位!$B$189="",0,-SUMIFS(资金流水!$R$6:$R$2005,资金流水!$J$6:$J$2005,往来单位!$B$189,资金流水!$R$6:$R$2005,"&lt;0",资金流水!$X$6:$X$2005,"&lt;&gt;账户互转",资金流水!$B$6:$B$2005,"&gt;="&amp;$C$4,资金流水!$B$6:$B$2005,"&lt;="&amp;$E$4))</f>
        <v>0</v>
      </c>
      <c r="AA186" s="2">
        <f>IF(Z186&gt;0,Z186+(301-186)/1000000,0)</f>
        <v>0</v>
      </c>
    </row>
    <row r="187">
      <c r="Z187" s="2">
        <f>IF(往来单位!$B$190="",0,-SUMIFS(资金流水!$R$6:$R$2005,资金流水!$J$6:$J$2005,往来单位!$B$190,资金流水!$R$6:$R$2005,"&lt;0",资金流水!$X$6:$X$2005,"&lt;&gt;账户互转",资金流水!$B$6:$B$2005,"&gt;="&amp;$C$4,资金流水!$B$6:$B$2005,"&lt;="&amp;$E$4))</f>
        <v>0</v>
      </c>
      <c r="AA187" s="2">
        <f>IF(Z187&gt;0,Z187+(301-187)/1000000,0)</f>
        <v>0</v>
      </c>
    </row>
    <row r="188">
      <c r="Z188" s="2">
        <f>IF(往来单位!$B$191="",0,-SUMIFS(资金流水!$R$6:$R$2005,资金流水!$J$6:$J$2005,往来单位!$B$191,资金流水!$R$6:$R$2005,"&lt;0",资金流水!$X$6:$X$2005,"&lt;&gt;账户互转",资金流水!$B$6:$B$2005,"&gt;="&amp;$C$4,资金流水!$B$6:$B$2005,"&lt;="&amp;$E$4))</f>
        <v>0</v>
      </c>
      <c r="AA188" s="2">
        <f>IF(Z188&gt;0,Z188+(301-188)/1000000,0)</f>
        <v>0</v>
      </c>
    </row>
    <row r="189">
      <c r="Z189" s="2">
        <f>IF(往来单位!$B$192="",0,-SUMIFS(资金流水!$R$6:$R$2005,资金流水!$J$6:$J$2005,往来单位!$B$192,资金流水!$R$6:$R$2005,"&lt;0",资金流水!$X$6:$X$2005,"&lt;&gt;账户互转",资金流水!$B$6:$B$2005,"&gt;="&amp;$C$4,资金流水!$B$6:$B$2005,"&lt;="&amp;$E$4))</f>
        <v>0</v>
      </c>
      <c r="AA189" s="2">
        <f>IF(Z189&gt;0,Z189+(301-189)/1000000,0)</f>
        <v>0</v>
      </c>
    </row>
    <row r="190">
      <c r="Z190" s="2">
        <f>IF(往来单位!$B$193="",0,-SUMIFS(资金流水!$R$6:$R$2005,资金流水!$J$6:$J$2005,往来单位!$B$193,资金流水!$R$6:$R$2005,"&lt;0",资金流水!$X$6:$X$2005,"&lt;&gt;账户互转",资金流水!$B$6:$B$2005,"&gt;="&amp;$C$4,资金流水!$B$6:$B$2005,"&lt;="&amp;$E$4))</f>
        <v>0</v>
      </c>
      <c r="AA190" s="2">
        <f>IF(Z190&gt;0,Z190+(301-190)/1000000,0)</f>
        <v>0</v>
      </c>
    </row>
    <row r="191">
      <c r="Z191" s="2">
        <f>IF(往来单位!$B$194="",0,-SUMIFS(资金流水!$R$6:$R$2005,资金流水!$J$6:$J$2005,往来单位!$B$194,资金流水!$R$6:$R$2005,"&lt;0",资金流水!$X$6:$X$2005,"&lt;&gt;账户互转",资金流水!$B$6:$B$2005,"&gt;="&amp;$C$4,资金流水!$B$6:$B$2005,"&lt;="&amp;$E$4))</f>
        <v>0</v>
      </c>
      <c r="AA191" s="2">
        <f>IF(Z191&gt;0,Z191+(301-191)/1000000,0)</f>
        <v>0</v>
      </c>
    </row>
    <row r="192">
      <c r="Z192" s="2">
        <f>IF(往来单位!$B$195="",0,-SUMIFS(资金流水!$R$6:$R$2005,资金流水!$J$6:$J$2005,往来单位!$B$195,资金流水!$R$6:$R$2005,"&lt;0",资金流水!$X$6:$X$2005,"&lt;&gt;账户互转",资金流水!$B$6:$B$2005,"&gt;="&amp;$C$4,资金流水!$B$6:$B$2005,"&lt;="&amp;$E$4))</f>
        <v>0</v>
      </c>
      <c r="AA192" s="2">
        <f>IF(Z192&gt;0,Z192+(301-192)/1000000,0)</f>
        <v>0</v>
      </c>
    </row>
    <row r="193">
      <c r="Z193" s="2">
        <f>IF(往来单位!$B$196="",0,-SUMIFS(资金流水!$R$6:$R$2005,资金流水!$J$6:$J$2005,往来单位!$B$196,资金流水!$R$6:$R$2005,"&lt;0",资金流水!$X$6:$X$2005,"&lt;&gt;账户互转",资金流水!$B$6:$B$2005,"&gt;="&amp;$C$4,资金流水!$B$6:$B$2005,"&lt;="&amp;$E$4))</f>
        <v>0</v>
      </c>
      <c r="AA193" s="2">
        <f>IF(Z193&gt;0,Z193+(301-193)/1000000,0)</f>
        <v>0</v>
      </c>
    </row>
    <row r="194">
      <c r="Z194" s="2">
        <f>IF(往来单位!$B$197="",0,-SUMIFS(资金流水!$R$6:$R$2005,资金流水!$J$6:$J$2005,往来单位!$B$197,资金流水!$R$6:$R$2005,"&lt;0",资金流水!$X$6:$X$2005,"&lt;&gt;账户互转",资金流水!$B$6:$B$2005,"&gt;="&amp;$C$4,资金流水!$B$6:$B$2005,"&lt;="&amp;$E$4))</f>
        <v>0</v>
      </c>
      <c r="AA194" s="2">
        <f>IF(Z194&gt;0,Z194+(301-194)/1000000,0)</f>
        <v>0</v>
      </c>
    </row>
    <row r="195">
      <c r="Z195" s="2">
        <f>IF(往来单位!$B$198="",0,-SUMIFS(资金流水!$R$6:$R$2005,资金流水!$J$6:$J$2005,往来单位!$B$198,资金流水!$R$6:$R$2005,"&lt;0",资金流水!$X$6:$X$2005,"&lt;&gt;账户互转",资金流水!$B$6:$B$2005,"&gt;="&amp;$C$4,资金流水!$B$6:$B$2005,"&lt;="&amp;$E$4))</f>
        <v>0</v>
      </c>
      <c r="AA195" s="2">
        <f>IF(Z195&gt;0,Z195+(301-195)/1000000,0)</f>
        <v>0</v>
      </c>
    </row>
    <row r="196">
      <c r="Z196" s="2">
        <f>IF(往来单位!$B$199="",0,-SUMIFS(资金流水!$R$6:$R$2005,资金流水!$J$6:$J$2005,往来单位!$B$199,资金流水!$R$6:$R$2005,"&lt;0",资金流水!$X$6:$X$2005,"&lt;&gt;账户互转",资金流水!$B$6:$B$2005,"&gt;="&amp;$C$4,资金流水!$B$6:$B$2005,"&lt;="&amp;$E$4))</f>
        <v>0</v>
      </c>
      <c r="AA196" s="2">
        <f>IF(Z196&gt;0,Z196+(301-196)/1000000,0)</f>
        <v>0</v>
      </c>
    </row>
    <row r="197">
      <c r="Z197" s="2">
        <f>IF(往来单位!$B$200="",0,-SUMIFS(资金流水!$R$6:$R$2005,资金流水!$J$6:$J$2005,往来单位!$B$200,资金流水!$R$6:$R$2005,"&lt;0",资金流水!$X$6:$X$2005,"&lt;&gt;账户互转",资金流水!$B$6:$B$2005,"&gt;="&amp;$C$4,资金流水!$B$6:$B$2005,"&lt;="&amp;$E$4))</f>
        <v>0</v>
      </c>
      <c r="AA197" s="2">
        <f>IF(Z197&gt;0,Z197+(301-197)/1000000,0)</f>
        <v>0</v>
      </c>
    </row>
    <row r="198">
      <c r="Z198" s="2">
        <f>IF(往来单位!$B$201="",0,-SUMIFS(资金流水!$R$6:$R$2005,资金流水!$J$6:$J$2005,往来单位!$B$201,资金流水!$R$6:$R$2005,"&lt;0",资金流水!$X$6:$X$2005,"&lt;&gt;账户互转",资金流水!$B$6:$B$2005,"&gt;="&amp;$C$4,资金流水!$B$6:$B$2005,"&lt;="&amp;$E$4))</f>
        <v>0</v>
      </c>
      <c r="AA198" s="2">
        <f>IF(Z198&gt;0,Z198+(301-198)/1000000,0)</f>
        <v>0</v>
      </c>
    </row>
    <row r="199">
      <c r="Z199" s="2">
        <f>IF(往来单位!$B$202="",0,-SUMIFS(资金流水!$R$6:$R$2005,资金流水!$J$6:$J$2005,往来单位!$B$202,资金流水!$R$6:$R$2005,"&lt;0",资金流水!$X$6:$X$2005,"&lt;&gt;账户互转",资金流水!$B$6:$B$2005,"&gt;="&amp;$C$4,资金流水!$B$6:$B$2005,"&lt;="&amp;$E$4))</f>
        <v>0</v>
      </c>
      <c r="AA199" s="2">
        <f>IF(Z199&gt;0,Z199+(301-199)/1000000,0)</f>
        <v>0</v>
      </c>
    </row>
    <row r="200">
      <c r="Z200" s="2">
        <f>IF(往来单位!$B$203="",0,-SUMIFS(资金流水!$R$6:$R$2005,资金流水!$J$6:$J$2005,往来单位!$B$203,资金流水!$R$6:$R$2005,"&lt;0",资金流水!$X$6:$X$2005,"&lt;&gt;账户互转",资金流水!$B$6:$B$2005,"&gt;="&amp;$C$4,资金流水!$B$6:$B$2005,"&lt;="&amp;$E$4))</f>
        <v>0</v>
      </c>
      <c r="AA200" s="2">
        <f>IF(Z200&gt;0,Z200+(301-200)/1000000,0)</f>
        <v>0</v>
      </c>
    </row>
    <row r="201">
      <c r="Z201" s="2">
        <f>IF(往来单位!$B$204="",0,-SUMIFS(资金流水!$R$6:$R$2005,资金流水!$J$6:$J$2005,往来单位!$B$204,资金流水!$R$6:$R$2005,"&lt;0",资金流水!$X$6:$X$2005,"&lt;&gt;账户互转",资金流水!$B$6:$B$2005,"&gt;="&amp;$C$4,资金流水!$B$6:$B$2005,"&lt;="&amp;$E$4))</f>
        <v>0</v>
      </c>
      <c r="AA201" s="2">
        <f>IF(Z201&gt;0,Z201+(301-201)/1000000,0)</f>
        <v>0</v>
      </c>
    </row>
    <row r="202">
      <c r="Z202" s="2">
        <f>IF(往来单位!$B$205="",0,-SUMIFS(资金流水!$R$6:$R$2005,资金流水!$J$6:$J$2005,往来单位!$B$205,资金流水!$R$6:$R$2005,"&lt;0",资金流水!$X$6:$X$2005,"&lt;&gt;账户互转",资金流水!$B$6:$B$2005,"&gt;="&amp;$C$4,资金流水!$B$6:$B$2005,"&lt;="&amp;$E$4))</f>
        <v>0</v>
      </c>
      <c r="AA202" s="2">
        <f>IF(Z202&gt;0,Z202+(301-202)/1000000,0)</f>
        <v>0</v>
      </c>
    </row>
    <row r="203">
      <c r="Z203" s="2">
        <f>IF(往来单位!$B$206="",0,-SUMIFS(资金流水!$R$6:$R$2005,资金流水!$J$6:$J$2005,往来单位!$B$206,资金流水!$R$6:$R$2005,"&lt;0",资金流水!$X$6:$X$2005,"&lt;&gt;账户互转",资金流水!$B$6:$B$2005,"&gt;="&amp;$C$4,资金流水!$B$6:$B$2005,"&lt;="&amp;$E$4))</f>
        <v>0</v>
      </c>
      <c r="AA203" s="2">
        <f>IF(Z203&gt;0,Z203+(301-203)/1000000,0)</f>
        <v>0</v>
      </c>
    </row>
    <row r="204">
      <c r="Z204" s="2">
        <f>IF(往来单位!$B$207="",0,-SUMIFS(资金流水!$R$6:$R$2005,资金流水!$J$6:$J$2005,往来单位!$B$207,资金流水!$R$6:$R$2005,"&lt;0",资金流水!$X$6:$X$2005,"&lt;&gt;账户互转",资金流水!$B$6:$B$2005,"&gt;="&amp;$C$4,资金流水!$B$6:$B$2005,"&lt;="&amp;$E$4))</f>
        <v>0</v>
      </c>
      <c r="AA204" s="2">
        <f>IF(Z204&gt;0,Z204+(301-204)/1000000,0)</f>
        <v>0</v>
      </c>
    </row>
    <row r="205">
      <c r="Z205" s="2">
        <f>IF(往来单位!$B$208="",0,-SUMIFS(资金流水!$R$6:$R$2005,资金流水!$J$6:$J$2005,往来单位!$B$208,资金流水!$R$6:$R$2005,"&lt;0",资金流水!$X$6:$X$2005,"&lt;&gt;账户互转",资金流水!$B$6:$B$2005,"&gt;="&amp;$C$4,资金流水!$B$6:$B$2005,"&lt;="&amp;$E$4))</f>
        <v>0</v>
      </c>
      <c r="AA205" s="2">
        <f>IF(Z205&gt;0,Z205+(301-205)/1000000,0)</f>
        <v>0</v>
      </c>
    </row>
    <row r="206">
      <c r="Z206" s="2">
        <f>IF(往来单位!$B$209="",0,-SUMIFS(资金流水!$R$6:$R$2005,资金流水!$J$6:$J$2005,往来单位!$B$209,资金流水!$R$6:$R$2005,"&lt;0",资金流水!$X$6:$X$2005,"&lt;&gt;账户互转",资金流水!$B$6:$B$2005,"&gt;="&amp;$C$4,资金流水!$B$6:$B$2005,"&lt;="&amp;$E$4))</f>
        <v>0</v>
      </c>
      <c r="AA206" s="2">
        <f>IF(Z206&gt;0,Z206+(301-206)/1000000,0)</f>
        <v>0</v>
      </c>
    </row>
    <row r="207">
      <c r="Z207" s="2">
        <f>IF(往来单位!$B$210="",0,-SUMIFS(资金流水!$R$6:$R$2005,资金流水!$J$6:$J$2005,往来单位!$B$210,资金流水!$R$6:$R$2005,"&lt;0",资金流水!$X$6:$X$2005,"&lt;&gt;账户互转",资金流水!$B$6:$B$2005,"&gt;="&amp;$C$4,资金流水!$B$6:$B$2005,"&lt;="&amp;$E$4))</f>
        <v>0</v>
      </c>
      <c r="AA207" s="2">
        <f>IF(Z207&gt;0,Z207+(301-207)/1000000,0)</f>
        <v>0</v>
      </c>
    </row>
    <row r="208">
      <c r="Z208" s="2">
        <f>IF(往来单位!$B$211="",0,-SUMIFS(资金流水!$R$6:$R$2005,资金流水!$J$6:$J$2005,往来单位!$B$211,资金流水!$R$6:$R$2005,"&lt;0",资金流水!$X$6:$X$2005,"&lt;&gt;账户互转",资金流水!$B$6:$B$2005,"&gt;="&amp;$C$4,资金流水!$B$6:$B$2005,"&lt;="&amp;$E$4))</f>
        <v>0</v>
      </c>
      <c r="AA208" s="2">
        <f>IF(Z208&gt;0,Z208+(301-208)/1000000,0)</f>
        <v>0</v>
      </c>
    </row>
    <row r="209">
      <c r="Z209" s="2">
        <f>IF(往来单位!$B$212="",0,-SUMIFS(资金流水!$R$6:$R$2005,资金流水!$J$6:$J$2005,往来单位!$B$212,资金流水!$R$6:$R$2005,"&lt;0",资金流水!$X$6:$X$2005,"&lt;&gt;账户互转",资金流水!$B$6:$B$2005,"&gt;="&amp;$C$4,资金流水!$B$6:$B$2005,"&lt;="&amp;$E$4))</f>
        <v>0</v>
      </c>
      <c r="AA209" s="2">
        <f>IF(Z209&gt;0,Z209+(301-209)/1000000,0)</f>
        <v>0</v>
      </c>
    </row>
    <row r="210">
      <c r="Z210" s="2">
        <f>IF(往来单位!$B$213="",0,-SUMIFS(资金流水!$R$6:$R$2005,资金流水!$J$6:$J$2005,往来单位!$B$213,资金流水!$R$6:$R$2005,"&lt;0",资金流水!$X$6:$X$2005,"&lt;&gt;账户互转",资金流水!$B$6:$B$2005,"&gt;="&amp;$C$4,资金流水!$B$6:$B$2005,"&lt;="&amp;$E$4))</f>
        <v>0</v>
      </c>
      <c r="AA210" s="2">
        <f>IF(Z210&gt;0,Z210+(301-210)/1000000,0)</f>
        <v>0</v>
      </c>
    </row>
    <row r="211">
      <c r="Z211" s="2">
        <f>IF(往来单位!$B$214="",0,-SUMIFS(资金流水!$R$6:$R$2005,资金流水!$J$6:$J$2005,往来单位!$B$214,资金流水!$R$6:$R$2005,"&lt;0",资金流水!$X$6:$X$2005,"&lt;&gt;账户互转",资金流水!$B$6:$B$2005,"&gt;="&amp;$C$4,资金流水!$B$6:$B$2005,"&lt;="&amp;$E$4))</f>
        <v>0</v>
      </c>
      <c r="AA211" s="2">
        <f>IF(Z211&gt;0,Z211+(301-211)/1000000,0)</f>
        <v>0</v>
      </c>
    </row>
    <row r="212">
      <c r="Z212" s="2">
        <f>IF(往来单位!$B$215="",0,-SUMIFS(资金流水!$R$6:$R$2005,资金流水!$J$6:$J$2005,往来单位!$B$215,资金流水!$R$6:$R$2005,"&lt;0",资金流水!$X$6:$X$2005,"&lt;&gt;账户互转",资金流水!$B$6:$B$2005,"&gt;="&amp;$C$4,资金流水!$B$6:$B$2005,"&lt;="&amp;$E$4))</f>
        <v>0</v>
      </c>
      <c r="AA212" s="2">
        <f>IF(Z212&gt;0,Z212+(301-212)/1000000,0)</f>
        <v>0</v>
      </c>
    </row>
    <row r="213">
      <c r="Z213" s="2">
        <f>IF(往来单位!$B$216="",0,-SUMIFS(资金流水!$R$6:$R$2005,资金流水!$J$6:$J$2005,往来单位!$B$216,资金流水!$R$6:$R$2005,"&lt;0",资金流水!$X$6:$X$2005,"&lt;&gt;账户互转",资金流水!$B$6:$B$2005,"&gt;="&amp;$C$4,资金流水!$B$6:$B$2005,"&lt;="&amp;$E$4))</f>
        <v>0</v>
      </c>
      <c r="AA213" s="2">
        <f>IF(Z213&gt;0,Z213+(301-213)/1000000,0)</f>
        <v>0</v>
      </c>
    </row>
    <row r="214">
      <c r="Z214" s="2">
        <f>IF(往来单位!$B$217="",0,-SUMIFS(资金流水!$R$6:$R$2005,资金流水!$J$6:$J$2005,往来单位!$B$217,资金流水!$R$6:$R$2005,"&lt;0",资金流水!$X$6:$X$2005,"&lt;&gt;账户互转",资金流水!$B$6:$B$2005,"&gt;="&amp;$C$4,资金流水!$B$6:$B$2005,"&lt;="&amp;$E$4))</f>
        <v>0</v>
      </c>
      <c r="AA214" s="2">
        <f>IF(Z214&gt;0,Z214+(301-214)/1000000,0)</f>
        <v>0</v>
      </c>
    </row>
    <row r="215">
      <c r="Z215" s="2">
        <f>IF(往来单位!$B$218="",0,-SUMIFS(资金流水!$R$6:$R$2005,资金流水!$J$6:$J$2005,往来单位!$B$218,资金流水!$R$6:$R$2005,"&lt;0",资金流水!$X$6:$X$2005,"&lt;&gt;账户互转",资金流水!$B$6:$B$2005,"&gt;="&amp;$C$4,资金流水!$B$6:$B$2005,"&lt;="&amp;$E$4))</f>
        <v>0</v>
      </c>
      <c r="AA215" s="2">
        <f>IF(Z215&gt;0,Z215+(301-215)/1000000,0)</f>
        <v>0</v>
      </c>
    </row>
    <row r="216">
      <c r="Z216" s="2">
        <f>IF(往来单位!$B$219="",0,-SUMIFS(资金流水!$R$6:$R$2005,资金流水!$J$6:$J$2005,往来单位!$B$219,资金流水!$R$6:$R$2005,"&lt;0",资金流水!$X$6:$X$2005,"&lt;&gt;账户互转",资金流水!$B$6:$B$2005,"&gt;="&amp;$C$4,资金流水!$B$6:$B$2005,"&lt;="&amp;$E$4))</f>
        <v>0</v>
      </c>
      <c r="AA216" s="2">
        <f>IF(Z216&gt;0,Z216+(301-216)/1000000,0)</f>
        <v>0</v>
      </c>
    </row>
    <row r="217">
      <c r="Z217" s="2">
        <f>IF(往来单位!$B$220="",0,-SUMIFS(资金流水!$R$6:$R$2005,资金流水!$J$6:$J$2005,往来单位!$B$220,资金流水!$R$6:$R$2005,"&lt;0",资金流水!$X$6:$X$2005,"&lt;&gt;账户互转",资金流水!$B$6:$B$2005,"&gt;="&amp;$C$4,资金流水!$B$6:$B$2005,"&lt;="&amp;$E$4))</f>
        <v>0</v>
      </c>
      <c r="AA217" s="2">
        <f>IF(Z217&gt;0,Z217+(301-217)/1000000,0)</f>
        <v>0</v>
      </c>
    </row>
    <row r="218">
      <c r="Z218" s="2">
        <f>IF(往来单位!$B$221="",0,-SUMIFS(资金流水!$R$6:$R$2005,资金流水!$J$6:$J$2005,往来单位!$B$221,资金流水!$R$6:$R$2005,"&lt;0",资金流水!$X$6:$X$2005,"&lt;&gt;账户互转",资金流水!$B$6:$B$2005,"&gt;="&amp;$C$4,资金流水!$B$6:$B$2005,"&lt;="&amp;$E$4))</f>
        <v>0</v>
      </c>
      <c r="AA218" s="2">
        <f>IF(Z218&gt;0,Z218+(301-218)/1000000,0)</f>
        <v>0</v>
      </c>
    </row>
    <row r="219">
      <c r="Z219" s="2">
        <f>IF(往来单位!$B$222="",0,-SUMIFS(资金流水!$R$6:$R$2005,资金流水!$J$6:$J$2005,往来单位!$B$222,资金流水!$R$6:$R$2005,"&lt;0",资金流水!$X$6:$X$2005,"&lt;&gt;账户互转",资金流水!$B$6:$B$2005,"&gt;="&amp;$C$4,资金流水!$B$6:$B$2005,"&lt;="&amp;$E$4))</f>
        <v>0</v>
      </c>
      <c r="AA219" s="2">
        <f>IF(Z219&gt;0,Z219+(301-219)/1000000,0)</f>
        <v>0</v>
      </c>
    </row>
    <row r="220">
      <c r="Z220" s="2">
        <f>IF(往来单位!$B$223="",0,-SUMIFS(资金流水!$R$6:$R$2005,资金流水!$J$6:$J$2005,往来单位!$B$223,资金流水!$R$6:$R$2005,"&lt;0",资金流水!$X$6:$X$2005,"&lt;&gt;账户互转",资金流水!$B$6:$B$2005,"&gt;="&amp;$C$4,资金流水!$B$6:$B$2005,"&lt;="&amp;$E$4))</f>
        <v>0</v>
      </c>
      <c r="AA220" s="2">
        <f>IF(Z220&gt;0,Z220+(301-220)/1000000,0)</f>
        <v>0</v>
      </c>
    </row>
    <row r="221">
      <c r="Z221" s="2">
        <f>IF(往来单位!$B$224="",0,-SUMIFS(资金流水!$R$6:$R$2005,资金流水!$J$6:$J$2005,往来单位!$B$224,资金流水!$R$6:$R$2005,"&lt;0",资金流水!$X$6:$X$2005,"&lt;&gt;账户互转",资金流水!$B$6:$B$2005,"&gt;="&amp;$C$4,资金流水!$B$6:$B$2005,"&lt;="&amp;$E$4))</f>
        <v>0</v>
      </c>
      <c r="AA221" s="2">
        <f>IF(Z221&gt;0,Z221+(301-221)/1000000,0)</f>
        <v>0</v>
      </c>
    </row>
    <row r="222">
      <c r="Z222" s="2">
        <f>IF(往来单位!$B$225="",0,-SUMIFS(资金流水!$R$6:$R$2005,资金流水!$J$6:$J$2005,往来单位!$B$225,资金流水!$R$6:$R$2005,"&lt;0",资金流水!$X$6:$X$2005,"&lt;&gt;账户互转",资金流水!$B$6:$B$2005,"&gt;="&amp;$C$4,资金流水!$B$6:$B$2005,"&lt;="&amp;$E$4))</f>
        <v>0</v>
      </c>
      <c r="AA222" s="2">
        <f>IF(Z222&gt;0,Z222+(301-222)/1000000,0)</f>
        <v>0</v>
      </c>
    </row>
    <row r="223">
      <c r="Z223" s="2">
        <f>IF(往来单位!$B$226="",0,-SUMIFS(资金流水!$R$6:$R$2005,资金流水!$J$6:$J$2005,往来单位!$B$226,资金流水!$R$6:$R$2005,"&lt;0",资金流水!$X$6:$X$2005,"&lt;&gt;账户互转",资金流水!$B$6:$B$2005,"&gt;="&amp;$C$4,资金流水!$B$6:$B$2005,"&lt;="&amp;$E$4))</f>
        <v>0</v>
      </c>
      <c r="AA223" s="2">
        <f>IF(Z223&gt;0,Z223+(301-223)/1000000,0)</f>
        <v>0</v>
      </c>
    </row>
    <row r="224">
      <c r="Z224" s="2">
        <f>IF(往来单位!$B$227="",0,-SUMIFS(资金流水!$R$6:$R$2005,资金流水!$J$6:$J$2005,往来单位!$B$227,资金流水!$R$6:$R$2005,"&lt;0",资金流水!$X$6:$X$2005,"&lt;&gt;账户互转",资金流水!$B$6:$B$2005,"&gt;="&amp;$C$4,资金流水!$B$6:$B$2005,"&lt;="&amp;$E$4))</f>
        <v>0</v>
      </c>
      <c r="AA224" s="2">
        <f>IF(Z224&gt;0,Z224+(301-224)/1000000,0)</f>
        <v>0</v>
      </c>
    </row>
    <row r="225">
      <c r="Z225" s="2">
        <f>IF(往来单位!$B$228="",0,-SUMIFS(资金流水!$R$6:$R$2005,资金流水!$J$6:$J$2005,往来单位!$B$228,资金流水!$R$6:$R$2005,"&lt;0",资金流水!$X$6:$X$2005,"&lt;&gt;账户互转",资金流水!$B$6:$B$2005,"&gt;="&amp;$C$4,资金流水!$B$6:$B$2005,"&lt;="&amp;$E$4))</f>
        <v>0</v>
      </c>
      <c r="AA225" s="2">
        <f>IF(Z225&gt;0,Z225+(301-225)/1000000,0)</f>
        <v>0</v>
      </c>
    </row>
    <row r="226">
      <c r="Z226" s="2">
        <f>IF(往来单位!$B$229="",0,-SUMIFS(资金流水!$R$6:$R$2005,资金流水!$J$6:$J$2005,往来单位!$B$229,资金流水!$R$6:$R$2005,"&lt;0",资金流水!$X$6:$X$2005,"&lt;&gt;账户互转",资金流水!$B$6:$B$2005,"&gt;="&amp;$C$4,资金流水!$B$6:$B$2005,"&lt;="&amp;$E$4))</f>
        <v>0</v>
      </c>
      <c r="AA226" s="2">
        <f>IF(Z226&gt;0,Z226+(301-226)/1000000,0)</f>
        <v>0</v>
      </c>
    </row>
    <row r="227">
      <c r="Z227" s="2">
        <f>IF(往来单位!$B$230="",0,-SUMIFS(资金流水!$R$6:$R$2005,资金流水!$J$6:$J$2005,往来单位!$B$230,资金流水!$R$6:$R$2005,"&lt;0",资金流水!$X$6:$X$2005,"&lt;&gt;账户互转",资金流水!$B$6:$B$2005,"&gt;="&amp;$C$4,资金流水!$B$6:$B$2005,"&lt;="&amp;$E$4))</f>
        <v>0</v>
      </c>
      <c r="AA227" s="2">
        <f>IF(Z227&gt;0,Z227+(301-227)/1000000,0)</f>
        <v>0</v>
      </c>
    </row>
    <row r="228">
      <c r="Z228" s="2">
        <f>IF(往来单位!$B$231="",0,-SUMIFS(资金流水!$R$6:$R$2005,资金流水!$J$6:$J$2005,往来单位!$B$231,资金流水!$R$6:$R$2005,"&lt;0",资金流水!$X$6:$X$2005,"&lt;&gt;账户互转",资金流水!$B$6:$B$2005,"&gt;="&amp;$C$4,资金流水!$B$6:$B$2005,"&lt;="&amp;$E$4))</f>
        <v>0</v>
      </c>
      <c r="AA228" s="2">
        <f>IF(Z228&gt;0,Z228+(301-228)/1000000,0)</f>
        <v>0</v>
      </c>
    </row>
    <row r="229">
      <c r="Z229" s="2">
        <f>IF(往来单位!$B$232="",0,-SUMIFS(资金流水!$R$6:$R$2005,资金流水!$J$6:$J$2005,往来单位!$B$232,资金流水!$R$6:$R$2005,"&lt;0",资金流水!$X$6:$X$2005,"&lt;&gt;账户互转",资金流水!$B$6:$B$2005,"&gt;="&amp;$C$4,资金流水!$B$6:$B$2005,"&lt;="&amp;$E$4))</f>
        <v>0</v>
      </c>
      <c r="AA229" s="2">
        <f>IF(Z229&gt;0,Z229+(301-229)/1000000,0)</f>
        <v>0</v>
      </c>
    </row>
    <row r="230">
      <c r="Z230" s="2">
        <f>IF(往来单位!$B$233="",0,-SUMIFS(资金流水!$R$6:$R$2005,资金流水!$J$6:$J$2005,往来单位!$B$233,资金流水!$R$6:$R$2005,"&lt;0",资金流水!$X$6:$X$2005,"&lt;&gt;账户互转",资金流水!$B$6:$B$2005,"&gt;="&amp;$C$4,资金流水!$B$6:$B$2005,"&lt;="&amp;$E$4))</f>
        <v>0</v>
      </c>
      <c r="AA230" s="2">
        <f>IF(Z230&gt;0,Z230+(301-230)/1000000,0)</f>
        <v>0</v>
      </c>
    </row>
    <row r="231">
      <c r="Z231" s="2">
        <f>IF(往来单位!$B$234="",0,-SUMIFS(资金流水!$R$6:$R$2005,资金流水!$J$6:$J$2005,往来单位!$B$234,资金流水!$R$6:$R$2005,"&lt;0",资金流水!$X$6:$X$2005,"&lt;&gt;账户互转",资金流水!$B$6:$B$2005,"&gt;="&amp;$C$4,资金流水!$B$6:$B$2005,"&lt;="&amp;$E$4))</f>
        <v>0</v>
      </c>
      <c r="AA231" s="2">
        <f>IF(Z231&gt;0,Z231+(301-231)/1000000,0)</f>
        <v>0</v>
      </c>
    </row>
    <row r="232">
      <c r="Z232" s="2">
        <f>IF(往来单位!$B$235="",0,-SUMIFS(资金流水!$R$6:$R$2005,资金流水!$J$6:$J$2005,往来单位!$B$235,资金流水!$R$6:$R$2005,"&lt;0",资金流水!$X$6:$X$2005,"&lt;&gt;账户互转",资金流水!$B$6:$B$2005,"&gt;="&amp;$C$4,资金流水!$B$6:$B$2005,"&lt;="&amp;$E$4))</f>
        <v>0</v>
      </c>
      <c r="AA232" s="2">
        <f>IF(Z232&gt;0,Z232+(301-232)/1000000,0)</f>
        <v>0</v>
      </c>
    </row>
    <row r="233">
      <c r="Z233" s="2">
        <f>IF(往来单位!$B$236="",0,-SUMIFS(资金流水!$R$6:$R$2005,资金流水!$J$6:$J$2005,往来单位!$B$236,资金流水!$R$6:$R$2005,"&lt;0",资金流水!$X$6:$X$2005,"&lt;&gt;账户互转",资金流水!$B$6:$B$2005,"&gt;="&amp;$C$4,资金流水!$B$6:$B$2005,"&lt;="&amp;$E$4))</f>
        <v>0</v>
      </c>
      <c r="AA233" s="2">
        <f>IF(Z233&gt;0,Z233+(301-233)/1000000,0)</f>
        <v>0</v>
      </c>
    </row>
    <row r="234">
      <c r="Z234" s="2">
        <f>IF(往来单位!$B$237="",0,-SUMIFS(资金流水!$R$6:$R$2005,资金流水!$J$6:$J$2005,往来单位!$B$237,资金流水!$R$6:$R$2005,"&lt;0",资金流水!$X$6:$X$2005,"&lt;&gt;账户互转",资金流水!$B$6:$B$2005,"&gt;="&amp;$C$4,资金流水!$B$6:$B$2005,"&lt;="&amp;$E$4))</f>
        <v>0</v>
      </c>
      <c r="AA234" s="2">
        <f>IF(Z234&gt;0,Z234+(301-234)/1000000,0)</f>
        <v>0</v>
      </c>
    </row>
    <row r="235">
      <c r="Z235" s="2">
        <f>IF(往来单位!$B$238="",0,-SUMIFS(资金流水!$R$6:$R$2005,资金流水!$J$6:$J$2005,往来单位!$B$238,资金流水!$R$6:$R$2005,"&lt;0",资金流水!$X$6:$X$2005,"&lt;&gt;账户互转",资金流水!$B$6:$B$2005,"&gt;="&amp;$C$4,资金流水!$B$6:$B$2005,"&lt;="&amp;$E$4))</f>
        <v>0</v>
      </c>
      <c r="AA235" s="2">
        <f>IF(Z235&gt;0,Z235+(301-235)/1000000,0)</f>
        <v>0</v>
      </c>
    </row>
    <row r="236">
      <c r="Z236" s="2">
        <f>IF(往来单位!$B$239="",0,-SUMIFS(资金流水!$R$6:$R$2005,资金流水!$J$6:$J$2005,往来单位!$B$239,资金流水!$R$6:$R$2005,"&lt;0",资金流水!$X$6:$X$2005,"&lt;&gt;账户互转",资金流水!$B$6:$B$2005,"&gt;="&amp;$C$4,资金流水!$B$6:$B$2005,"&lt;="&amp;$E$4))</f>
        <v>0</v>
      </c>
      <c r="AA236" s="2">
        <f>IF(Z236&gt;0,Z236+(301-236)/1000000,0)</f>
        <v>0</v>
      </c>
    </row>
    <row r="237">
      <c r="Z237" s="2">
        <f>IF(往来单位!$B$240="",0,-SUMIFS(资金流水!$R$6:$R$2005,资金流水!$J$6:$J$2005,往来单位!$B$240,资金流水!$R$6:$R$2005,"&lt;0",资金流水!$X$6:$X$2005,"&lt;&gt;账户互转",资金流水!$B$6:$B$2005,"&gt;="&amp;$C$4,资金流水!$B$6:$B$2005,"&lt;="&amp;$E$4))</f>
        <v>0</v>
      </c>
      <c r="AA237" s="2">
        <f>IF(Z237&gt;0,Z237+(301-237)/1000000,0)</f>
        <v>0</v>
      </c>
    </row>
    <row r="238">
      <c r="Z238" s="2">
        <f>IF(往来单位!$B$241="",0,-SUMIFS(资金流水!$R$6:$R$2005,资金流水!$J$6:$J$2005,往来单位!$B$241,资金流水!$R$6:$R$2005,"&lt;0",资金流水!$X$6:$X$2005,"&lt;&gt;账户互转",资金流水!$B$6:$B$2005,"&gt;="&amp;$C$4,资金流水!$B$6:$B$2005,"&lt;="&amp;$E$4))</f>
        <v>0</v>
      </c>
      <c r="AA238" s="2">
        <f>IF(Z238&gt;0,Z238+(301-238)/1000000,0)</f>
        <v>0</v>
      </c>
    </row>
    <row r="239">
      <c r="Z239" s="2">
        <f>IF(往来单位!$B$242="",0,-SUMIFS(资金流水!$R$6:$R$2005,资金流水!$J$6:$J$2005,往来单位!$B$242,资金流水!$R$6:$R$2005,"&lt;0",资金流水!$X$6:$X$2005,"&lt;&gt;账户互转",资金流水!$B$6:$B$2005,"&gt;="&amp;$C$4,资金流水!$B$6:$B$2005,"&lt;="&amp;$E$4))</f>
        <v>0</v>
      </c>
      <c r="AA239" s="2">
        <f>IF(Z239&gt;0,Z239+(301-239)/1000000,0)</f>
        <v>0</v>
      </c>
    </row>
    <row r="240">
      <c r="Z240" s="2">
        <f>IF(往来单位!$B$243="",0,-SUMIFS(资金流水!$R$6:$R$2005,资金流水!$J$6:$J$2005,往来单位!$B$243,资金流水!$R$6:$R$2005,"&lt;0",资金流水!$X$6:$X$2005,"&lt;&gt;账户互转",资金流水!$B$6:$B$2005,"&gt;="&amp;$C$4,资金流水!$B$6:$B$2005,"&lt;="&amp;$E$4))</f>
        <v>0</v>
      </c>
      <c r="AA240" s="2">
        <f>IF(Z240&gt;0,Z240+(301-240)/1000000,0)</f>
        <v>0</v>
      </c>
    </row>
    <row r="241">
      <c r="Z241" s="2">
        <f>IF(往来单位!$B$244="",0,-SUMIFS(资金流水!$R$6:$R$2005,资金流水!$J$6:$J$2005,往来单位!$B$244,资金流水!$R$6:$R$2005,"&lt;0",资金流水!$X$6:$X$2005,"&lt;&gt;账户互转",资金流水!$B$6:$B$2005,"&gt;="&amp;$C$4,资金流水!$B$6:$B$2005,"&lt;="&amp;$E$4))</f>
        <v>0</v>
      </c>
      <c r="AA241" s="2">
        <f>IF(Z241&gt;0,Z241+(301-241)/1000000,0)</f>
        <v>0</v>
      </c>
    </row>
    <row r="242">
      <c r="Z242" s="2">
        <f>IF(往来单位!$B$245="",0,-SUMIFS(资金流水!$R$6:$R$2005,资金流水!$J$6:$J$2005,往来单位!$B$245,资金流水!$R$6:$R$2005,"&lt;0",资金流水!$X$6:$X$2005,"&lt;&gt;账户互转",资金流水!$B$6:$B$2005,"&gt;="&amp;$C$4,资金流水!$B$6:$B$2005,"&lt;="&amp;$E$4))</f>
        <v>0</v>
      </c>
      <c r="AA242" s="2">
        <f>IF(Z242&gt;0,Z242+(301-242)/1000000,0)</f>
        <v>0</v>
      </c>
    </row>
    <row r="243">
      <c r="Z243" s="2">
        <f>IF(往来单位!$B$246="",0,-SUMIFS(资金流水!$R$6:$R$2005,资金流水!$J$6:$J$2005,往来单位!$B$246,资金流水!$R$6:$R$2005,"&lt;0",资金流水!$X$6:$X$2005,"&lt;&gt;账户互转",资金流水!$B$6:$B$2005,"&gt;="&amp;$C$4,资金流水!$B$6:$B$2005,"&lt;="&amp;$E$4))</f>
        <v>0</v>
      </c>
      <c r="AA243" s="2">
        <f>IF(Z243&gt;0,Z243+(301-243)/1000000,0)</f>
        <v>0</v>
      </c>
    </row>
    <row r="244">
      <c r="Z244" s="2">
        <f>IF(往来单位!$B$247="",0,-SUMIFS(资金流水!$R$6:$R$2005,资金流水!$J$6:$J$2005,往来单位!$B$247,资金流水!$R$6:$R$2005,"&lt;0",资金流水!$X$6:$X$2005,"&lt;&gt;账户互转",资金流水!$B$6:$B$2005,"&gt;="&amp;$C$4,资金流水!$B$6:$B$2005,"&lt;="&amp;$E$4))</f>
        <v>0</v>
      </c>
      <c r="AA244" s="2">
        <f>IF(Z244&gt;0,Z244+(301-244)/1000000,0)</f>
        <v>0</v>
      </c>
    </row>
    <row r="245">
      <c r="Z245" s="2">
        <f>IF(往来单位!$B$248="",0,-SUMIFS(资金流水!$R$6:$R$2005,资金流水!$J$6:$J$2005,往来单位!$B$248,资金流水!$R$6:$R$2005,"&lt;0",资金流水!$X$6:$X$2005,"&lt;&gt;账户互转",资金流水!$B$6:$B$2005,"&gt;="&amp;$C$4,资金流水!$B$6:$B$2005,"&lt;="&amp;$E$4))</f>
        <v>0</v>
      </c>
      <c r="AA245" s="2">
        <f>IF(Z245&gt;0,Z245+(301-245)/1000000,0)</f>
        <v>0</v>
      </c>
    </row>
    <row r="246">
      <c r="Z246" s="2">
        <f>IF(往来单位!$B$249="",0,-SUMIFS(资金流水!$R$6:$R$2005,资金流水!$J$6:$J$2005,往来单位!$B$249,资金流水!$R$6:$R$2005,"&lt;0",资金流水!$X$6:$X$2005,"&lt;&gt;账户互转",资金流水!$B$6:$B$2005,"&gt;="&amp;$C$4,资金流水!$B$6:$B$2005,"&lt;="&amp;$E$4))</f>
        <v>0</v>
      </c>
      <c r="AA246" s="2">
        <f>IF(Z246&gt;0,Z246+(301-246)/1000000,0)</f>
        <v>0</v>
      </c>
    </row>
    <row r="247">
      <c r="Z247" s="2">
        <f>IF(往来单位!$B$250="",0,-SUMIFS(资金流水!$R$6:$R$2005,资金流水!$J$6:$J$2005,往来单位!$B$250,资金流水!$R$6:$R$2005,"&lt;0",资金流水!$X$6:$X$2005,"&lt;&gt;账户互转",资金流水!$B$6:$B$2005,"&gt;="&amp;$C$4,资金流水!$B$6:$B$2005,"&lt;="&amp;$E$4))</f>
        <v>0</v>
      </c>
      <c r="AA247" s="2">
        <f>IF(Z247&gt;0,Z247+(301-247)/1000000,0)</f>
        <v>0</v>
      </c>
    </row>
    <row r="248">
      <c r="Z248" s="2">
        <f>IF(往来单位!$B$251="",0,-SUMIFS(资金流水!$R$6:$R$2005,资金流水!$J$6:$J$2005,往来单位!$B$251,资金流水!$R$6:$R$2005,"&lt;0",资金流水!$X$6:$X$2005,"&lt;&gt;账户互转",资金流水!$B$6:$B$2005,"&gt;="&amp;$C$4,资金流水!$B$6:$B$2005,"&lt;="&amp;$E$4))</f>
        <v>0</v>
      </c>
      <c r="AA248" s="2">
        <f>IF(Z248&gt;0,Z248+(301-248)/1000000,0)</f>
        <v>0</v>
      </c>
    </row>
    <row r="249">
      <c r="Z249" s="2">
        <f>IF(往来单位!$B$252="",0,-SUMIFS(资金流水!$R$6:$R$2005,资金流水!$J$6:$J$2005,往来单位!$B$252,资金流水!$R$6:$R$2005,"&lt;0",资金流水!$X$6:$X$2005,"&lt;&gt;账户互转",资金流水!$B$6:$B$2005,"&gt;="&amp;$C$4,资金流水!$B$6:$B$2005,"&lt;="&amp;$E$4))</f>
        <v>0</v>
      </c>
      <c r="AA249" s="2">
        <f>IF(Z249&gt;0,Z249+(301-249)/1000000,0)</f>
        <v>0</v>
      </c>
    </row>
    <row r="250">
      <c r="Z250" s="2">
        <f>IF(往来单位!$B$253="",0,-SUMIFS(资金流水!$R$6:$R$2005,资金流水!$J$6:$J$2005,往来单位!$B$253,资金流水!$R$6:$R$2005,"&lt;0",资金流水!$X$6:$X$2005,"&lt;&gt;账户互转",资金流水!$B$6:$B$2005,"&gt;="&amp;$C$4,资金流水!$B$6:$B$2005,"&lt;="&amp;$E$4))</f>
        <v>0</v>
      </c>
      <c r="AA250" s="2">
        <f>IF(Z250&gt;0,Z250+(301-250)/1000000,0)</f>
        <v>0</v>
      </c>
    </row>
    <row r="251">
      <c r="Z251" s="2">
        <f>IF(往来单位!$B$254="",0,-SUMIFS(资金流水!$R$6:$R$2005,资金流水!$J$6:$J$2005,往来单位!$B$254,资金流水!$R$6:$R$2005,"&lt;0",资金流水!$X$6:$X$2005,"&lt;&gt;账户互转",资金流水!$B$6:$B$2005,"&gt;="&amp;$C$4,资金流水!$B$6:$B$2005,"&lt;="&amp;$E$4))</f>
        <v>0</v>
      </c>
      <c r="AA251" s="2">
        <f>IF(Z251&gt;0,Z251+(301-251)/1000000,0)</f>
        <v>0</v>
      </c>
    </row>
    <row r="252">
      <c r="Z252" s="2">
        <f>IF(往来单位!$B$255="",0,-SUMIFS(资金流水!$R$6:$R$2005,资金流水!$J$6:$J$2005,往来单位!$B$255,资金流水!$R$6:$R$2005,"&lt;0",资金流水!$X$6:$X$2005,"&lt;&gt;账户互转",资金流水!$B$6:$B$2005,"&gt;="&amp;$C$4,资金流水!$B$6:$B$2005,"&lt;="&amp;$E$4))</f>
        <v>0</v>
      </c>
      <c r="AA252" s="2">
        <f>IF(Z252&gt;0,Z252+(301-252)/1000000,0)</f>
        <v>0</v>
      </c>
    </row>
    <row r="253">
      <c r="Z253" s="2">
        <f>IF(往来单位!$B$256="",0,-SUMIFS(资金流水!$R$6:$R$2005,资金流水!$J$6:$J$2005,往来单位!$B$256,资金流水!$R$6:$R$2005,"&lt;0",资金流水!$X$6:$X$2005,"&lt;&gt;账户互转",资金流水!$B$6:$B$2005,"&gt;="&amp;$C$4,资金流水!$B$6:$B$2005,"&lt;="&amp;$E$4))</f>
        <v>0</v>
      </c>
      <c r="AA253" s="2">
        <f>IF(Z253&gt;0,Z253+(301-253)/1000000,0)</f>
        <v>0</v>
      </c>
    </row>
    <row r="254">
      <c r="Z254" s="2">
        <f>IF(往来单位!$B$257="",0,-SUMIFS(资金流水!$R$6:$R$2005,资金流水!$J$6:$J$2005,往来单位!$B$257,资金流水!$R$6:$R$2005,"&lt;0",资金流水!$X$6:$X$2005,"&lt;&gt;账户互转",资金流水!$B$6:$B$2005,"&gt;="&amp;$C$4,资金流水!$B$6:$B$2005,"&lt;="&amp;$E$4))</f>
        <v>0</v>
      </c>
      <c r="AA254" s="2">
        <f>IF(Z254&gt;0,Z254+(301-254)/1000000,0)</f>
        <v>0</v>
      </c>
    </row>
    <row r="255">
      <c r="Z255" s="2">
        <f>IF(往来单位!$B$258="",0,-SUMIFS(资金流水!$R$6:$R$2005,资金流水!$J$6:$J$2005,往来单位!$B$258,资金流水!$R$6:$R$2005,"&lt;0",资金流水!$X$6:$X$2005,"&lt;&gt;账户互转",资金流水!$B$6:$B$2005,"&gt;="&amp;$C$4,资金流水!$B$6:$B$2005,"&lt;="&amp;$E$4))</f>
        <v>0</v>
      </c>
      <c r="AA255" s="2">
        <f>IF(Z255&gt;0,Z255+(301-255)/1000000,0)</f>
        <v>0</v>
      </c>
    </row>
    <row r="256">
      <c r="Z256" s="2">
        <f>IF(往来单位!$B$259="",0,-SUMIFS(资金流水!$R$6:$R$2005,资金流水!$J$6:$J$2005,往来单位!$B$259,资金流水!$R$6:$R$2005,"&lt;0",资金流水!$X$6:$X$2005,"&lt;&gt;账户互转",资金流水!$B$6:$B$2005,"&gt;="&amp;$C$4,资金流水!$B$6:$B$2005,"&lt;="&amp;$E$4))</f>
        <v>0</v>
      </c>
      <c r="AA256" s="2">
        <f>IF(Z256&gt;0,Z256+(301-256)/1000000,0)</f>
        <v>0</v>
      </c>
    </row>
    <row r="257">
      <c r="Z257" s="2">
        <f>IF(往来单位!$B$260="",0,-SUMIFS(资金流水!$R$6:$R$2005,资金流水!$J$6:$J$2005,往来单位!$B$260,资金流水!$R$6:$R$2005,"&lt;0",资金流水!$X$6:$X$2005,"&lt;&gt;账户互转",资金流水!$B$6:$B$2005,"&gt;="&amp;$C$4,资金流水!$B$6:$B$2005,"&lt;="&amp;$E$4))</f>
        <v>0</v>
      </c>
      <c r="AA257" s="2">
        <f>IF(Z257&gt;0,Z257+(301-257)/1000000,0)</f>
        <v>0</v>
      </c>
    </row>
    <row r="258">
      <c r="Z258" s="2">
        <f>IF(往来单位!$B$261="",0,-SUMIFS(资金流水!$R$6:$R$2005,资金流水!$J$6:$J$2005,往来单位!$B$261,资金流水!$R$6:$R$2005,"&lt;0",资金流水!$X$6:$X$2005,"&lt;&gt;账户互转",资金流水!$B$6:$B$2005,"&gt;="&amp;$C$4,资金流水!$B$6:$B$2005,"&lt;="&amp;$E$4))</f>
        <v>0</v>
      </c>
      <c r="AA258" s="2">
        <f>IF(Z258&gt;0,Z258+(301-258)/1000000,0)</f>
        <v>0</v>
      </c>
    </row>
    <row r="259">
      <c r="Z259" s="2">
        <f>IF(往来单位!$B$262="",0,-SUMIFS(资金流水!$R$6:$R$2005,资金流水!$J$6:$J$2005,往来单位!$B$262,资金流水!$R$6:$R$2005,"&lt;0",资金流水!$X$6:$X$2005,"&lt;&gt;账户互转",资金流水!$B$6:$B$2005,"&gt;="&amp;$C$4,资金流水!$B$6:$B$2005,"&lt;="&amp;$E$4))</f>
        <v>0</v>
      </c>
      <c r="AA259" s="2">
        <f>IF(Z259&gt;0,Z259+(301-259)/1000000,0)</f>
        <v>0</v>
      </c>
    </row>
    <row r="260">
      <c r="Z260" s="2">
        <f>IF(往来单位!$B$263="",0,-SUMIFS(资金流水!$R$6:$R$2005,资金流水!$J$6:$J$2005,往来单位!$B$263,资金流水!$R$6:$R$2005,"&lt;0",资金流水!$X$6:$X$2005,"&lt;&gt;账户互转",资金流水!$B$6:$B$2005,"&gt;="&amp;$C$4,资金流水!$B$6:$B$2005,"&lt;="&amp;$E$4))</f>
        <v>0</v>
      </c>
      <c r="AA260" s="2">
        <f>IF(Z260&gt;0,Z260+(301-260)/1000000,0)</f>
        <v>0</v>
      </c>
    </row>
    <row r="261">
      <c r="Z261" s="2">
        <f>IF(往来单位!$B$264="",0,-SUMIFS(资金流水!$R$6:$R$2005,资金流水!$J$6:$J$2005,往来单位!$B$264,资金流水!$R$6:$R$2005,"&lt;0",资金流水!$X$6:$X$2005,"&lt;&gt;账户互转",资金流水!$B$6:$B$2005,"&gt;="&amp;$C$4,资金流水!$B$6:$B$2005,"&lt;="&amp;$E$4))</f>
        <v>0</v>
      </c>
      <c r="AA261" s="2">
        <f>IF(Z261&gt;0,Z261+(301-261)/1000000,0)</f>
        <v>0</v>
      </c>
    </row>
    <row r="262">
      <c r="Z262" s="2">
        <f>IF(往来单位!$B$265="",0,-SUMIFS(资金流水!$R$6:$R$2005,资金流水!$J$6:$J$2005,往来单位!$B$265,资金流水!$R$6:$R$2005,"&lt;0",资金流水!$X$6:$X$2005,"&lt;&gt;账户互转",资金流水!$B$6:$B$2005,"&gt;="&amp;$C$4,资金流水!$B$6:$B$2005,"&lt;="&amp;$E$4))</f>
        <v>0</v>
      </c>
      <c r="AA262" s="2">
        <f>IF(Z262&gt;0,Z262+(301-262)/1000000,0)</f>
        <v>0</v>
      </c>
    </row>
    <row r="263">
      <c r="Z263" s="2">
        <f>IF(往来单位!$B$266="",0,-SUMIFS(资金流水!$R$6:$R$2005,资金流水!$J$6:$J$2005,往来单位!$B$266,资金流水!$R$6:$R$2005,"&lt;0",资金流水!$X$6:$X$2005,"&lt;&gt;账户互转",资金流水!$B$6:$B$2005,"&gt;="&amp;$C$4,资金流水!$B$6:$B$2005,"&lt;="&amp;$E$4))</f>
        <v>0</v>
      </c>
      <c r="AA263" s="2">
        <f>IF(Z263&gt;0,Z263+(301-263)/1000000,0)</f>
        <v>0</v>
      </c>
    </row>
    <row r="264">
      <c r="Z264" s="2">
        <f>IF(往来单位!$B$267="",0,-SUMIFS(资金流水!$R$6:$R$2005,资金流水!$J$6:$J$2005,往来单位!$B$267,资金流水!$R$6:$R$2005,"&lt;0",资金流水!$X$6:$X$2005,"&lt;&gt;账户互转",资金流水!$B$6:$B$2005,"&gt;="&amp;$C$4,资金流水!$B$6:$B$2005,"&lt;="&amp;$E$4))</f>
        <v>0</v>
      </c>
      <c r="AA264" s="2">
        <f>IF(Z264&gt;0,Z264+(301-264)/1000000,0)</f>
        <v>0</v>
      </c>
    </row>
    <row r="265">
      <c r="Z265" s="2">
        <f>IF(往来单位!$B$268="",0,-SUMIFS(资金流水!$R$6:$R$2005,资金流水!$J$6:$J$2005,往来单位!$B$268,资金流水!$R$6:$R$2005,"&lt;0",资金流水!$X$6:$X$2005,"&lt;&gt;账户互转",资金流水!$B$6:$B$2005,"&gt;="&amp;$C$4,资金流水!$B$6:$B$2005,"&lt;="&amp;$E$4))</f>
        <v>0</v>
      </c>
      <c r="AA265" s="2">
        <f>IF(Z265&gt;0,Z265+(301-265)/1000000,0)</f>
        <v>0</v>
      </c>
    </row>
    <row r="266">
      <c r="Z266" s="2">
        <f>IF(往来单位!$B$269="",0,-SUMIFS(资金流水!$R$6:$R$2005,资金流水!$J$6:$J$2005,往来单位!$B$269,资金流水!$R$6:$R$2005,"&lt;0",资金流水!$X$6:$X$2005,"&lt;&gt;账户互转",资金流水!$B$6:$B$2005,"&gt;="&amp;$C$4,资金流水!$B$6:$B$2005,"&lt;="&amp;$E$4))</f>
        <v>0</v>
      </c>
      <c r="AA266" s="2">
        <f>IF(Z266&gt;0,Z266+(301-266)/1000000,0)</f>
        <v>0</v>
      </c>
    </row>
    <row r="267">
      <c r="Z267" s="2">
        <f>IF(往来单位!$B$270="",0,-SUMIFS(资金流水!$R$6:$R$2005,资金流水!$J$6:$J$2005,往来单位!$B$270,资金流水!$R$6:$R$2005,"&lt;0",资金流水!$X$6:$X$2005,"&lt;&gt;账户互转",资金流水!$B$6:$B$2005,"&gt;="&amp;$C$4,资金流水!$B$6:$B$2005,"&lt;="&amp;$E$4))</f>
        <v>0</v>
      </c>
      <c r="AA267" s="2">
        <f>IF(Z267&gt;0,Z267+(301-267)/1000000,0)</f>
        <v>0</v>
      </c>
    </row>
    <row r="268">
      <c r="Z268" s="2">
        <f>IF(往来单位!$B$271="",0,-SUMIFS(资金流水!$R$6:$R$2005,资金流水!$J$6:$J$2005,往来单位!$B$271,资金流水!$R$6:$R$2005,"&lt;0",资金流水!$X$6:$X$2005,"&lt;&gt;账户互转",资金流水!$B$6:$B$2005,"&gt;="&amp;$C$4,资金流水!$B$6:$B$2005,"&lt;="&amp;$E$4))</f>
        <v>0</v>
      </c>
      <c r="AA268" s="2">
        <f>IF(Z268&gt;0,Z268+(301-268)/1000000,0)</f>
        <v>0</v>
      </c>
    </row>
    <row r="269">
      <c r="Z269" s="2">
        <f>IF(往来单位!$B$272="",0,-SUMIFS(资金流水!$R$6:$R$2005,资金流水!$J$6:$J$2005,往来单位!$B$272,资金流水!$R$6:$R$2005,"&lt;0",资金流水!$X$6:$X$2005,"&lt;&gt;账户互转",资金流水!$B$6:$B$2005,"&gt;="&amp;$C$4,资金流水!$B$6:$B$2005,"&lt;="&amp;$E$4))</f>
        <v>0</v>
      </c>
      <c r="AA269" s="2">
        <f>IF(Z269&gt;0,Z269+(301-269)/1000000,0)</f>
        <v>0</v>
      </c>
    </row>
    <row r="270">
      <c r="Z270" s="2">
        <f>IF(往来单位!$B$273="",0,-SUMIFS(资金流水!$R$6:$R$2005,资金流水!$J$6:$J$2005,往来单位!$B$273,资金流水!$R$6:$R$2005,"&lt;0",资金流水!$X$6:$X$2005,"&lt;&gt;账户互转",资金流水!$B$6:$B$2005,"&gt;="&amp;$C$4,资金流水!$B$6:$B$2005,"&lt;="&amp;$E$4))</f>
        <v>0</v>
      </c>
      <c r="AA270" s="2">
        <f>IF(Z270&gt;0,Z270+(301-270)/1000000,0)</f>
        <v>0</v>
      </c>
    </row>
    <row r="271">
      <c r="Z271" s="2">
        <f>IF(往来单位!$B$274="",0,-SUMIFS(资金流水!$R$6:$R$2005,资金流水!$J$6:$J$2005,往来单位!$B$274,资金流水!$R$6:$R$2005,"&lt;0",资金流水!$X$6:$X$2005,"&lt;&gt;账户互转",资金流水!$B$6:$B$2005,"&gt;="&amp;$C$4,资金流水!$B$6:$B$2005,"&lt;="&amp;$E$4))</f>
        <v>0</v>
      </c>
      <c r="AA271" s="2">
        <f>IF(Z271&gt;0,Z271+(301-271)/1000000,0)</f>
        <v>0</v>
      </c>
    </row>
    <row r="272">
      <c r="Z272" s="2">
        <f>IF(往来单位!$B$275="",0,-SUMIFS(资金流水!$R$6:$R$2005,资金流水!$J$6:$J$2005,往来单位!$B$275,资金流水!$R$6:$R$2005,"&lt;0",资金流水!$X$6:$X$2005,"&lt;&gt;账户互转",资金流水!$B$6:$B$2005,"&gt;="&amp;$C$4,资金流水!$B$6:$B$2005,"&lt;="&amp;$E$4))</f>
        <v>0</v>
      </c>
      <c r="AA272" s="2">
        <f>IF(Z272&gt;0,Z272+(301-272)/1000000,0)</f>
        <v>0</v>
      </c>
    </row>
    <row r="273">
      <c r="Z273" s="2">
        <f>IF(往来单位!$B$276="",0,-SUMIFS(资金流水!$R$6:$R$2005,资金流水!$J$6:$J$2005,往来单位!$B$276,资金流水!$R$6:$R$2005,"&lt;0",资金流水!$X$6:$X$2005,"&lt;&gt;账户互转",资金流水!$B$6:$B$2005,"&gt;="&amp;$C$4,资金流水!$B$6:$B$2005,"&lt;="&amp;$E$4))</f>
        <v>0</v>
      </c>
      <c r="AA273" s="2">
        <f>IF(Z273&gt;0,Z273+(301-273)/1000000,0)</f>
        <v>0</v>
      </c>
    </row>
    <row r="274">
      <c r="Z274" s="2">
        <f>IF(往来单位!$B$277="",0,-SUMIFS(资金流水!$R$6:$R$2005,资金流水!$J$6:$J$2005,往来单位!$B$277,资金流水!$R$6:$R$2005,"&lt;0",资金流水!$X$6:$X$2005,"&lt;&gt;账户互转",资金流水!$B$6:$B$2005,"&gt;="&amp;$C$4,资金流水!$B$6:$B$2005,"&lt;="&amp;$E$4))</f>
        <v>0</v>
      </c>
      <c r="AA274" s="2">
        <f>IF(Z274&gt;0,Z274+(301-274)/1000000,0)</f>
        <v>0</v>
      </c>
    </row>
    <row r="275">
      <c r="Z275" s="2">
        <f>IF(往来单位!$B$278="",0,-SUMIFS(资金流水!$R$6:$R$2005,资金流水!$J$6:$J$2005,往来单位!$B$278,资金流水!$R$6:$R$2005,"&lt;0",资金流水!$X$6:$X$2005,"&lt;&gt;账户互转",资金流水!$B$6:$B$2005,"&gt;="&amp;$C$4,资金流水!$B$6:$B$2005,"&lt;="&amp;$E$4))</f>
        <v>0</v>
      </c>
      <c r="AA275" s="2">
        <f>IF(Z275&gt;0,Z275+(301-275)/1000000,0)</f>
        <v>0</v>
      </c>
    </row>
    <row r="276">
      <c r="Z276" s="2">
        <f>IF(往来单位!$B$279="",0,-SUMIFS(资金流水!$R$6:$R$2005,资金流水!$J$6:$J$2005,往来单位!$B$279,资金流水!$R$6:$R$2005,"&lt;0",资金流水!$X$6:$X$2005,"&lt;&gt;账户互转",资金流水!$B$6:$B$2005,"&gt;="&amp;$C$4,资金流水!$B$6:$B$2005,"&lt;="&amp;$E$4))</f>
        <v>0</v>
      </c>
      <c r="AA276" s="2">
        <f>IF(Z276&gt;0,Z276+(301-276)/1000000,0)</f>
        <v>0</v>
      </c>
    </row>
    <row r="277">
      <c r="Z277" s="2">
        <f>IF(往来单位!$B$280="",0,-SUMIFS(资金流水!$R$6:$R$2005,资金流水!$J$6:$J$2005,往来单位!$B$280,资金流水!$R$6:$R$2005,"&lt;0",资金流水!$X$6:$X$2005,"&lt;&gt;账户互转",资金流水!$B$6:$B$2005,"&gt;="&amp;$C$4,资金流水!$B$6:$B$2005,"&lt;="&amp;$E$4))</f>
        <v>0</v>
      </c>
      <c r="AA277" s="2">
        <f>IF(Z277&gt;0,Z277+(301-277)/1000000,0)</f>
        <v>0</v>
      </c>
    </row>
    <row r="278">
      <c r="Z278" s="2">
        <f>IF(往来单位!$B$281="",0,-SUMIFS(资金流水!$R$6:$R$2005,资金流水!$J$6:$J$2005,往来单位!$B$281,资金流水!$R$6:$R$2005,"&lt;0",资金流水!$X$6:$X$2005,"&lt;&gt;账户互转",资金流水!$B$6:$B$2005,"&gt;="&amp;$C$4,资金流水!$B$6:$B$2005,"&lt;="&amp;$E$4))</f>
        <v>0</v>
      </c>
      <c r="AA278" s="2">
        <f>IF(Z278&gt;0,Z278+(301-278)/1000000,0)</f>
        <v>0</v>
      </c>
    </row>
    <row r="279">
      <c r="Z279" s="2">
        <f>IF(往来单位!$B$282="",0,-SUMIFS(资金流水!$R$6:$R$2005,资金流水!$J$6:$J$2005,往来单位!$B$282,资金流水!$R$6:$R$2005,"&lt;0",资金流水!$X$6:$X$2005,"&lt;&gt;账户互转",资金流水!$B$6:$B$2005,"&gt;="&amp;$C$4,资金流水!$B$6:$B$2005,"&lt;="&amp;$E$4))</f>
        <v>0</v>
      </c>
      <c r="AA279" s="2">
        <f>IF(Z279&gt;0,Z279+(301-279)/1000000,0)</f>
        <v>0</v>
      </c>
    </row>
    <row r="280">
      <c r="Z280" s="2">
        <f>IF(往来单位!$B$283="",0,-SUMIFS(资金流水!$R$6:$R$2005,资金流水!$J$6:$J$2005,往来单位!$B$283,资金流水!$R$6:$R$2005,"&lt;0",资金流水!$X$6:$X$2005,"&lt;&gt;账户互转",资金流水!$B$6:$B$2005,"&gt;="&amp;$C$4,资金流水!$B$6:$B$2005,"&lt;="&amp;$E$4))</f>
        <v>0</v>
      </c>
      <c r="AA280" s="2">
        <f>IF(Z280&gt;0,Z280+(301-280)/1000000,0)</f>
        <v>0</v>
      </c>
    </row>
    <row r="281">
      <c r="Z281" s="2">
        <f>IF(往来单位!$B$284="",0,-SUMIFS(资金流水!$R$6:$R$2005,资金流水!$J$6:$J$2005,往来单位!$B$284,资金流水!$R$6:$R$2005,"&lt;0",资金流水!$X$6:$X$2005,"&lt;&gt;账户互转",资金流水!$B$6:$B$2005,"&gt;="&amp;$C$4,资金流水!$B$6:$B$2005,"&lt;="&amp;$E$4))</f>
        <v>0</v>
      </c>
      <c r="AA281" s="2">
        <f>IF(Z281&gt;0,Z281+(301-281)/1000000,0)</f>
        <v>0</v>
      </c>
    </row>
    <row r="282">
      <c r="Z282" s="2">
        <f>IF(往来单位!$B$285="",0,-SUMIFS(资金流水!$R$6:$R$2005,资金流水!$J$6:$J$2005,往来单位!$B$285,资金流水!$R$6:$R$2005,"&lt;0",资金流水!$X$6:$X$2005,"&lt;&gt;账户互转",资金流水!$B$6:$B$2005,"&gt;="&amp;$C$4,资金流水!$B$6:$B$2005,"&lt;="&amp;$E$4))</f>
        <v>0</v>
      </c>
      <c r="AA282" s="2">
        <f>IF(Z282&gt;0,Z282+(301-282)/1000000,0)</f>
        <v>0</v>
      </c>
    </row>
    <row r="283">
      <c r="Z283" s="2">
        <f>IF(往来单位!$B$286="",0,-SUMIFS(资金流水!$R$6:$R$2005,资金流水!$J$6:$J$2005,往来单位!$B$286,资金流水!$R$6:$R$2005,"&lt;0",资金流水!$X$6:$X$2005,"&lt;&gt;账户互转",资金流水!$B$6:$B$2005,"&gt;="&amp;$C$4,资金流水!$B$6:$B$2005,"&lt;="&amp;$E$4))</f>
        <v>0</v>
      </c>
      <c r="AA283" s="2">
        <f>IF(Z283&gt;0,Z283+(301-283)/1000000,0)</f>
        <v>0</v>
      </c>
    </row>
    <row r="284">
      <c r="Z284" s="2">
        <f>IF(往来单位!$B$287="",0,-SUMIFS(资金流水!$R$6:$R$2005,资金流水!$J$6:$J$2005,往来单位!$B$287,资金流水!$R$6:$R$2005,"&lt;0",资金流水!$X$6:$X$2005,"&lt;&gt;账户互转",资金流水!$B$6:$B$2005,"&gt;="&amp;$C$4,资金流水!$B$6:$B$2005,"&lt;="&amp;$E$4))</f>
        <v>0</v>
      </c>
      <c r="AA284" s="2">
        <f>IF(Z284&gt;0,Z284+(301-284)/1000000,0)</f>
        <v>0</v>
      </c>
    </row>
    <row r="285">
      <c r="Z285" s="2">
        <f>IF(往来单位!$B$288="",0,-SUMIFS(资金流水!$R$6:$R$2005,资金流水!$J$6:$J$2005,往来单位!$B$288,资金流水!$R$6:$R$2005,"&lt;0",资金流水!$X$6:$X$2005,"&lt;&gt;账户互转",资金流水!$B$6:$B$2005,"&gt;="&amp;$C$4,资金流水!$B$6:$B$2005,"&lt;="&amp;$E$4))</f>
        <v>0</v>
      </c>
      <c r="AA285" s="2">
        <f>IF(Z285&gt;0,Z285+(301-285)/1000000,0)</f>
        <v>0</v>
      </c>
    </row>
    <row r="286">
      <c r="Z286" s="2">
        <f>IF(往来单位!$B$289="",0,-SUMIFS(资金流水!$R$6:$R$2005,资金流水!$J$6:$J$2005,往来单位!$B$289,资金流水!$R$6:$R$2005,"&lt;0",资金流水!$X$6:$X$2005,"&lt;&gt;账户互转",资金流水!$B$6:$B$2005,"&gt;="&amp;$C$4,资金流水!$B$6:$B$2005,"&lt;="&amp;$E$4))</f>
        <v>0</v>
      </c>
      <c r="AA286" s="2">
        <f>IF(Z286&gt;0,Z286+(301-286)/1000000,0)</f>
        <v>0</v>
      </c>
    </row>
    <row r="287">
      <c r="Z287" s="2">
        <f>IF(往来单位!$B$290="",0,-SUMIFS(资金流水!$R$6:$R$2005,资金流水!$J$6:$J$2005,往来单位!$B$290,资金流水!$R$6:$R$2005,"&lt;0",资金流水!$X$6:$X$2005,"&lt;&gt;账户互转",资金流水!$B$6:$B$2005,"&gt;="&amp;$C$4,资金流水!$B$6:$B$2005,"&lt;="&amp;$E$4))</f>
        <v>0</v>
      </c>
      <c r="AA287" s="2">
        <f>IF(Z287&gt;0,Z287+(301-287)/1000000,0)</f>
        <v>0</v>
      </c>
    </row>
    <row r="288">
      <c r="Z288" s="2">
        <f>IF(往来单位!$B$291="",0,-SUMIFS(资金流水!$R$6:$R$2005,资金流水!$J$6:$J$2005,往来单位!$B$291,资金流水!$R$6:$R$2005,"&lt;0",资金流水!$X$6:$X$2005,"&lt;&gt;账户互转",资金流水!$B$6:$B$2005,"&gt;="&amp;$C$4,资金流水!$B$6:$B$2005,"&lt;="&amp;$E$4))</f>
        <v>0</v>
      </c>
      <c r="AA288" s="2">
        <f>IF(Z288&gt;0,Z288+(301-288)/1000000,0)</f>
        <v>0</v>
      </c>
    </row>
    <row r="289">
      <c r="Z289" s="2">
        <f>IF(往来单位!$B$292="",0,-SUMIFS(资金流水!$R$6:$R$2005,资金流水!$J$6:$J$2005,往来单位!$B$292,资金流水!$R$6:$R$2005,"&lt;0",资金流水!$X$6:$X$2005,"&lt;&gt;账户互转",资金流水!$B$6:$B$2005,"&gt;="&amp;$C$4,资金流水!$B$6:$B$2005,"&lt;="&amp;$E$4))</f>
        <v>0</v>
      </c>
      <c r="AA289" s="2">
        <f>IF(Z289&gt;0,Z289+(301-289)/1000000,0)</f>
        <v>0</v>
      </c>
    </row>
    <row r="290">
      <c r="Z290" s="2">
        <f>IF(往来单位!$B$293="",0,-SUMIFS(资金流水!$R$6:$R$2005,资金流水!$J$6:$J$2005,往来单位!$B$293,资金流水!$R$6:$R$2005,"&lt;0",资金流水!$X$6:$X$2005,"&lt;&gt;账户互转",资金流水!$B$6:$B$2005,"&gt;="&amp;$C$4,资金流水!$B$6:$B$2005,"&lt;="&amp;$E$4))</f>
        <v>0</v>
      </c>
      <c r="AA290" s="2">
        <f>IF(Z290&gt;0,Z290+(301-290)/1000000,0)</f>
        <v>0</v>
      </c>
    </row>
    <row r="291">
      <c r="Z291" s="2">
        <f>IF(往来单位!$B$294="",0,-SUMIFS(资金流水!$R$6:$R$2005,资金流水!$J$6:$J$2005,往来单位!$B$294,资金流水!$R$6:$R$2005,"&lt;0",资金流水!$X$6:$X$2005,"&lt;&gt;账户互转",资金流水!$B$6:$B$2005,"&gt;="&amp;$C$4,资金流水!$B$6:$B$2005,"&lt;="&amp;$E$4))</f>
        <v>0</v>
      </c>
      <c r="AA291" s="2">
        <f>IF(Z291&gt;0,Z291+(301-291)/1000000,0)</f>
        <v>0</v>
      </c>
    </row>
    <row r="292">
      <c r="Z292" s="2">
        <f>IF(往来单位!$B$295="",0,-SUMIFS(资金流水!$R$6:$R$2005,资金流水!$J$6:$J$2005,往来单位!$B$295,资金流水!$R$6:$R$2005,"&lt;0",资金流水!$X$6:$X$2005,"&lt;&gt;账户互转",资金流水!$B$6:$B$2005,"&gt;="&amp;$C$4,资金流水!$B$6:$B$2005,"&lt;="&amp;$E$4))</f>
        <v>0</v>
      </c>
      <c r="AA292" s="2">
        <f>IF(Z292&gt;0,Z292+(301-292)/1000000,0)</f>
        <v>0</v>
      </c>
    </row>
    <row r="293">
      <c r="Z293" s="2">
        <f>IF(往来单位!$B$296="",0,-SUMIFS(资金流水!$R$6:$R$2005,资金流水!$J$6:$J$2005,往来单位!$B$296,资金流水!$R$6:$R$2005,"&lt;0",资金流水!$X$6:$X$2005,"&lt;&gt;账户互转",资金流水!$B$6:$B$2005,"&gt;="&amp;$C$4,资金流水!$B$6:$B$2005,"&lt;="&amp;$E$4))</f>
        <v>0</v>
      </c>
      <c r="AA293" s="2">
        <f>IF(Z293&gt;0,Z293+(301-293)/1000000,0)</f>
        <v>0</v>
      </c>
    </row>
    <row r="294">
      <c r="Z294" s="2">
        <f>IF(往来单位!$B$297="",0,-SUMIFS(资金流水!$R$6:$R$2005,资金流水!$J$6:$J$2005,往来单位!$B$297,资金流水!$R$6:$R$2005,"&lt;0",资金流水!$X$6:$X$2005,"&lt;&gt;账户互转",资金流水!$B$6:$B$2005,"&gt;="&amp;$C$4,资金流水!$B$6:$B$2005,"&lt;="&amp;$E$4))</f>
        <v>0</v>
      </c>
      <c r="AA294" s="2">
        <f>IF(Z294&gt;0,Z294+(301-294)/1000000,0)</f>
        <v>0</v>
      </c>
    </row>
    <row r="295">
      <c r="Z295" s="2">
        <f>IF(往来单位!$B$298="",0,-SUMIFS(资金流水!$R$6:$R$2005,资金流水!$J$6:$J$2005,往来单位!$B$298,资金流水!$R$6:$R$2005,"&lt;0",资金流水!$X$6:$X$2005,"&lt;&gt;账户互转",资金流水!$B$6:$B$2005,"&gt;="&amp;$C$4,资金流水!$B$6:$B$2005,"&lt;="&amp;$E$4))</f>
        <v>0</v>
      </c>
      <c r="AA295" s="2">
        <f>IF(Z295&gt;0,Z295+(301-295)/1000000,0)</f>
        <v>0</v>
      </c>
    </row>
    <row r="296">
      <c r="Z296" s="2">
        <f>IF(往来单位!$B$299="",0,-SUMIFS(资金流水!$R$6:$R$2005,资金流水!$J$6:$J$2005,往来单位!$B$299,资金流水!$R$6:$R$2005,"&lt;0",资金流水!$X$6:$X$2005,"&lt;&gt;账户互转",资金流水!$B$6:$B$2005,"&gt;="&amp;$C$4,资金流水!$B$6:$B$2005,"&lt;="&amp;$E$4))</f>
        <v>0</v>
      </c>
      <c r="AA296" s="2">
        <f>IF(Z296&gt;0,Z296+(301-296)/1000000,0)</f>
        <v>0</v>
      </c>
    </row>
    <row r="297">
      <c r="Z297" s="2">
        <f>IF(往来单位!$B$300="",0,-SUMIFS(资金流水!$R$6:$R$2005,资金流水!$J$6:$J$2005,往来单位!$B$300,资金流水!$R$6:$R$2005,"&lt;0",资金流水!$X$6:$X$2005,"&lt;&gt;账户互转",资金流水!$B$6:$B$2005,"&gt;="&amp;$C$4,资金流水!$B$6:$B$2005,"&lt;="&amp;$E$4))</f>
        <v>0</v>
      </c>
      <c r="AA297" s="2">
        <f>IF(Z297&gt;0,Z297+(301-297)/1000000,0)</f>
        <v>0</v>
      </c>
    </row>
    <row r="298">
      <c r="Z298" s="2">
        <f>IF(往来单位!$B$301="",0,-SUMIFS(资金流水!$R$6:$R$2005,资金流水!$J$6:$J$2005,往来单位!$B$301,资金流水!$R$6:$R$2005,"&lt;0",资金流水!$X$6:$X$2005,"&lt;&gt;账户互转",资金流水!$B$6:$B$2005,"&gt;="&amp;$C$4,资金流水!$B$6:$B$2005,"&lt;="&amp;$E$4))</f>
        <v>0</v>
      </c>
      <c r="AA298" s="2">
        <f>IF(Z298&gt;0,Z298+(301-298)/1000000,0)</f>
        <v>0</v>
      </c>
    </row>
    <row r="299">
      <c r="Z299" s="2">
        <f>IF(往来单位!$B$302="",0,-SUMIFS(资金流水!$R$6:$R$2005,资金流水!$J$6:$J$2005,往来单位!$B$302,资金流水!$R$6:$R$2005,"&lt;0",资金流水!$X$6:$X$2005,"&lt;&gt;账户互转",资金流水!$B$6:$B$2005,"&gt;="&amp;$C$4,资金流水!$B$6:$B$2005,"&lt;="&amp;$E$4))</f>
        <v>0</v>
      </c>
      <c r="AA299" s="2">
        <f>IF(Z299&gt;0,Z299+(301-299)/1000000,0)</f>
        <v>0</v>
      </c>
    </row>
    <row r="300">
      <c r="Z300" s="2">
        <f>IF(往来单位!$B$303="",0,-SUMIFS(资金流水!$R$6:$R$2005,资金流水!$J$6:$J$2005,往来单位!$B$303,资金流水!$R$6:$R$2005,"&lt;0",资金流水!$X$6:$X$2005,"&lt;&gt;账户互转",资金流水!$B$6:$B$2005,"&gt;="&amp;$C$4,资金流水!$B$6:$B$2005,"&lt;="&amp;$E$4))</f>
        <v>0</v>
      </c>
      <c r="AA300" s="2">
        <f>IF(Z300&gt;0,Z300+(301-300)/1000000,0)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49">
    <mergeCell ref="F86:K86"/>
    <mergeCell ref="H66:K66"/>
    <mergeCell ref="F80:K80"/>
    <mergeCell ref="H65:K65"/>
    <mergeCell ref="F85:K85"/>
    <mergeCell ref="F76:K76"/>
    <mergeCell ref="A73:K73"/>
    <mergeCell ref="F79:K79"/>
    <mergeCell ref="A49:K49"/>
    <mergeCell ref="H62:K62"/>
    <mergeCell ref="F75:K75"/>
    <mergeCell ref="A1:K1"/>
    <mergeCell ref="B154:C154"/>
    <mergeCell ref="A6:K6"/>
    <mergeCell ref="F81:K81"/>
    <mergeCell ref="F4:I4"/>
    <mergeCell ref="H53:K53"/>
    <mergeCell ref="H67:K67"/>
    <mergeCell ref="H54:K54"/>
    <mergeCell ref="H63:K63"/>
    <mergeCell ref="F77:K77"/>
    <mergeCell ref="H55:K55"/>
    <mergeCell ref="H50:K50"/>
    <mergeCell ref="F82:K82"/>
    <mergeCell ref="H58:K58"/>
    <mergeCell ref="B29:C29"/>
    <mergeCell ref="H56:K56"/>
    <mergeCell ref="B28:C28"/>
    <mergeCell ref="A2:K2"/>
    <mergeCell ref="A33:K33"/>
    <mergeCell ref="H68:K68"/>
    <mergeCell ref="H64:K64"/>
    <mergeCell ref="H59:K59"/>
    <mergeCell ref="H60:K60"/>
    <mergeCell ref="F88:K88"/>
    <mergeCell ref="H51:K51"/>
    <mergeCell ref="F78:K78"/>
    <mergeCell ref="F87:K87"/>
    <mergeCell ref="A91:K91"/>
    <mergeCell ref="B30:C30"/>
    <mergeCell ref="H52:K52"/>
    <mergeCell ref="H70:K70"/>
    <mergeCell ref="H61:K61"/>
    <mergeCell ref="F84:K84"/>
    <mergeCell ref="H69:K69"/>
    <mergeCell ref="F83:K83"/>
    <mergeCell ref="F89:K89"/>
    <mergeCell ref="F74:K74"/>
    <mergeCell ref="H57:K57"/>
  </mergeCells>
  <conditionalFormatting sqref="A93:K152">
    <cfRule type="expression" priority="1" dxfId="8">
      <formula>AND($B93&lt;&gt;"",$I93=0)</formula>
    </cfRule>
    <cfRule type="expression" priority="2" dxfId="9">
      <formula>$B93="账户互转"</formula>
    </cfRule>
  </conditionalFormatting>
  <dataValidations count="4">
    <dataValidation sqref="C3" showDropDown="0" showInputMessage="0" showErrorMessage="1" allowBlank="1" errorTitle="不在清单里" error="请从下拉里选；清单里没有的，先到【基础资料】/【往来单位】里登记" type="list" errorStyle="stop">
      <formula1>"周报,月报,自定义"</formula1>
    </dataValidation>
    <dataValidation sqref="E3" showDropDown="0" showInputMessage="0" showErrorMessage="1" allowBlank="1" errorTitle="日期" error="要像 2026/9/1 这样填日期" type="date" errorStyle="warning" operator="between">
      <formula1>36526</formula1>
      <formula2>73050</formula2>
    </dataValidation>
    <dataValidation sqref="G3" showDropDown="0" showInputMessage="0" showErrorMessage="1" allowBlank="1" errorTitle="日期" error="要像 2026/9/1 这样填日期" type="date" errorStyle="warning" operator="between">
      <formula1>36526</formula1>
      <formula2>73050</formula2>
    </dataValidation>
    <dataValidation sqref="I3" showDropDown="0" showInputMessage="0" showErrorMessage="1" allowBlank="1" errorTitle="日期" error="要像 2026/9/1 这样填日期" type="date" errorStyle="warning" operator="between">
      <formula1>36526</formula1>
      <formula2>73050</formula2>
    </dataValidation>
  </dataValidations>
  <hyperlinks>
    <hyperlink ref="L1" location="'首页'!A1" display="← 回首页"/>
  </hyperlinks>
  <pageMargins left="0.3" right="0.3" top="0.5" bottom="0.5" header="0.5" footer="0.5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AX65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15" customWidth="1" min="4" max="4"/>
    <col width="15" customWidth="1" min="5" max="5"/>
    <col width="15" customWidth="1" min="6" max="6"/>
    <col width="15" customWidth="1" min="7" max="7"/>
    <col width="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2.5" customWidth="1" min="14" max="14"/>
    <col width="15" customWidth="1" min="15" max="15"/>
    <col width="12.5" customWidth="1" min="16" max="16"/>
    <col width="8" customWidth="1" min="17" max="17"/>
    <col width="15" customWidth="1" min="18" max="18"/>
    <col width="15" customWidth="1" min="19" max="19"/>
    <col width="15" customWidth="1" min="20" max="20"/>
    <col width="15" customWidth="1" min="21" max="21"/>
    <col width="10" customWidth="1" min="22" max="22"/>
    <col width="15" customWidth="1" min="23" max="23"/>
    <col width="11" customWidth="1" min="24" max="24"/>
    <col width="26" customWidth="1" min="25" max="25"/>
    <col width="13" customWidth="1" min="26" max="26"/>
    <col hidden="1" width="13" customWidth="1" min="50" max="50"/>
  </cols>
  <sheetData>
    <row r="1" ht="33" customHeight="1">
      <c r="A1" s="51" t="inlineStr">
        <is>
          <t>应 收 账 款 总 表（每个项目：确认了多少、收了多少、还欠多少、欠了多久）</t>
        </is>
      </c>
      <c r="Z1" s="33" t="inlineStr">
        <is>
          <t>← 回首页</t>
        </is>
      </c>
    </row>
    <row r="2" ht="24" customHeight="1">
      <c r="A2" s="3" t="inlineStr">
        <is>
          <t>💡 全自动，到首页选的截止日为止。应收金额＝甲方/总包确认的产值（【收入确认】＋期初），已收＝收到的工程款＋总包代发工资等抵账。质保金没到期的不算「可催收」。账龄按「先确认的先收回」算：还欠的钱是最近几次确认的那些。开票未回款＝开了票还没收到钱的（要重点催）。点项目名跳到【项目账】，在那边黄格子选这个项目就能看全部明细。</t>
        </is>
      </c>
    </row>
    <row r="3">
      <c r="B3" s="98" t="str">
        <f>"截止 "&amp;TEXT(_辅助!$J$9,"yyyy年m月d日")</f>
        <v>截止 2026年8月31日</v>
      </c>
    </row>
    <row r="4" ht="20" customHeight="1">
      <c r="A4" s="105" t="n"/>
      <c r="B4" s="76" t="inlineStr">
        <is>
          <t>合计</t>
        </is>
      </c>
      <c r="C4" s="105" t="n"/>
      <c r="D4" s="77">
        <f>SUM(D6:D65)</f>
        <v>10164681.91</v>
      </c>
      <c r="E4" s="77">
        <f>SUM(E6:E65)</f>
        <v>10164681.91</v>
      </c>
      <c r="F4" s="77">
        <f>SUM(F6:F65)</f>
        <v>10164681.91</v>
      </c>
      <c r="G4" s="77">
        <f>SUM(G6:G65)</f>
        <v>6837016.85</v>
      </c>
      <c r="H4" s="109">
        <f>IF(N(F4)=0,"",G4/F4)</f>
        <v>0.672624771786882</v>
      </c>
      <c r="I4" s="77">
        <f>SUM(I6:I65)</f>
        <v>3327665.06</v>
      </c>
      <c r="J4" s="77">
        <f>SUM(J6:J65)</f>
        <v>5290383.34</v>
      </c>
      <c r="K4" s="77">
        <f>SUM(K6:K65)</f>
        <v>4874298.57</v>
      </c>
      <c r="L4" s="77">
        <f>SUM(L6:L65)</f>
        <v>135731.76</v>
      </c>
      <c r="M4" s="77">
        <f>SUM(M6:M65)</f>
        <v>0</v>
      </c>
      <c r="N4" s="105" t="n"/>
      <c r="O4" s="77">
        <f>SUM(O6:O65)</f>
        <v>4113030.33</v>
      </c>
      <c r="P4" s="105" t="n"/>
      <c r="Q4" s="105" t="n"/>
      <c r="R4" s="77">
        <f>SUM(R6:R65)</f>
        <v>8992</v>
      </c>
      <c r="S4" s="77">
        <f>SUM(S6:S65)</f>
        <v>0</v>
      </c>
      <c r="T4" s="77">
        <f>SUM(T6:T65)</f>
        <v>0</v>
      </c>
      <c r="U4" s="77">
        <f>SUM(U6:U65)</f>
        <v>4104038.33</v>
      </c>
      <c r="V4" s="105" t="n"/>
      <c r="W4" s="77">
        <f>SUM(W6:W65)</f>
        <v>0</v>
      </c>
      <c r="X4" s="109">
        <f>IF(N(E4)=0,"",F4/E4)</f>
        <v>1</v>
      </c>
      <c r="Y4" s="105" t="n"/>
    </row>
    <row r="5" ht="40" customHeight="1">
      <c r="A5" s="42" t="inlineStr">
        <is>
          <t>序号</t>
        </is>
      </c>
      <c r="B5" s="42" t="inlineStr">
        <is>
          <t>项目</t>
        </is>
      </c>
      <c r="C5" s="42" t="inlineStr">
        <is>
          <t>甲方 / 总包</t>
        </is>
      </c>
      <c r="D5" s="42" t="inlineStr">
        <is>
          <t>合同额</t>
        </is>
      </c>
      <c r="E5" s="42" t="inlineStr">
        <is>
          <t>总价
（结算/合同＋变更）</t>
        </is>
      </c>
      <c r="F5" s="42" t="inlineStr">
        <is>
          <t>应收金额
（累计确认产值）</t>
        </is>
      </c>
      <c r="G5" s="42" t="inlineStr">
        <is>
          <t>已收金额
（含抵账）</t>
        </is>
      </c>
      <c r="H5" s="42" t="inlineStr">
        <is>
          <t>回款
比例</t>
        </is>
      </c>
      <c r="I5" s="42" t="inlineStr">
        <is>
          <t>未收金额
（应收余额）</t>
        </is>
      </c>
      <c r="J5" s="42" t="inlineStr">
        <is>
          <t>已开票</t>
        </is>
      </c>
      <c r="K5" s="42" t="inlineStr">
        <is>
          <t>未开票
（确认−开票）</t>
        </is>
      </c>
      <c r="L5" s="42" t="inlineStr">
        <is>
          <t>开票未回款</t>
        </is>
      </c>
      <c r="M5" s="42" t="inlineStr">
        <is>
          <t>质保金</t>
        </is>
      </c>
      <c r="N5" s="42" t="inlineStr">
        <is>
          <t>质保到期</t>
        </is>
      </c>
      <c r="O5" s="42" t="inlineStr">
        <is>
          <t>可催收
（不含未到期质保）</t>
        </is>
      </c>
      <c r="P5" s="42" t="inlineStr">
        <is>
          <t>最后回款日</t>
        </is>
      </c>
      <c r="Q5" s="42" t="inlineStr">
        <is>
          <t>多久
没回款(天)</t>
        </is>
      </c>
      <c r="R5" s="42" t="inlineStr">
        <is>
          <t>3个月内</t>
        </is>
      </c>
      <c r="S5" s="42" t="inlineStr">
        <is>
          <t>3～6个月</t>
        </is>
      </c>
      <c r="T5" s="42" t="inlineStr">
        <is>
          <t>6～12个月</t>
        </is>
      </c>
      <c r="U5" s="42" t="inlineStr">
        <is>
          <t>1年以上
（含建账前）</t>
        </is>
      </c>
      <c r="V5" s="42" t="inlineStr">
        <is>
          <t>状态</t>
        </is>
      </c>
      <c r="W5" s="42" t="inlineStr">
        <is>
          <t>还没确认的
（总价−确认）</t>
        </is>
      </c>
      <c r="X5" s="42" t="inlineStr">
        <is>
          <t>确认进度</t>
        </is>
      </c>
      <c r="Y5" s="42" t="inlineStr">
        <is>
          <t>提示</t>
        </is>
      </c>
    </row>
    <row r="6">
      <c r="A6" s="94">
        <f>IF($B6="","",1)</f>
        <v>1</v>
      </c>
      <c r="B6" s="110" t="str">
        <f>IF(项目档案!$B$4="","",HYPERLINK("#'项目账'!C3",项目档案!$B$4&amp;""))</f>
        <v>德安养老中心</v>
      </c>
      <c r="C6" s="96" t="str">
        <f>项目档案!$D$4&amp;""</f>
        <v>九江浔辉建筑工程有限公司</v>
      </c>
      <c r="D6" s="21">
        <f>IF($B6="","",N(项目档案!$E$4))</f>
        <v>4362576.49</v>
      </c>
      <c r="E6" s="21">
        <f>IF($B6="","",N(项目档案!$T$4))</f>
        <v>4362576.49</v>
      </c>
      <c r="F6" s="21">
        <f>IF($B6="","",SUMIFS(期初余额!$C$5:$C$64,期初余额!$B$5:$B$64,$B6)+_项目汇总!$B$3+_项目汇总!$C$3)</f>
        <v>4362576.49</v>
      </c>
      <c r="G6" s="21">
        <f>IF($B6="","",SUMIFS(期初余额!$D$5:$D$64,期初余额!$B$5:$B$64,$B6)+_项目汇总!$D$3+_项目汇总!$E$3+_项目汇总!$F$3+_项目汇总!$G$3)</f>
        <v>2658453.36</v>
      </c>
      <c r="H6" s="22">
        <f t="shared" ref="H6:H65" si="0">IF(OR($B6="",N(F6)=0),"",G6/F6)</f>
        <v>0.609376905160006</v>
      </c>
      <c r="I6" s="21">
        <f>IF($B6="","",_项目汇总!$AV$3)</f>
        <v>1704123.13</v>
      </c>
      <c r="J6" s="21">
        <f>IF($B6="","",SUMIFS(期初余额!$E$5:$E$64,期初余额!$B$5:$B$64,$B6)+_项目汇总!$H$3+_项目汇总!$I$3)</f>
        <v>2658453.36</v>
      </c>
      <c r="K6" s="21">
        <f t="shared" ref="K6:K65" si="1">IF($B6="","",F6-J6)</f>
        <v>1704123.13</v>
      </c>
      <c r="L6" s="21">
        <f t="shared" ref="L6:L65" si="2">IF($B6="","",MAX(J6-G6,0))</f>
        <v>0</v>
      </c>
      <c r="M6" s="21">
        <f>IF($B6="","",ROUND(E6*N(项目档案!$H$4),2))</f>
        <v>0</v>
      </c>
      <c r="N6" s="95">
        <f>IF(OR($B6="",NOT(ISNUMBER(项目档案!$I$4))),"",项目档案!$I$4)</f>
      </c>
      <c r="O6" s="21">
        <f t="shared" ref="O6:O65" si="3">IF($B6="","",MAX(0,I6-IF(AND(ISNUMBER(N6),N6&lt;=_辅助!$J$9),0,MIN(MAX(I6,0),M6))))</f>
        <v>1704123.13</v>
      </c>
      <c r="P6" s="95">
        <f t="shared" ref="P6:P65" si="10">IF(N($AX6)=0,"",$AX6)</f>
        <v>46198.0</v>
      </c>
      <c r="Q6" s="106">
        <f t="shared" ref="Q6:Q65" si="11">IF(OR($B6="",N(I6)&lt;=0),"",IF(P6="","建账后没收过",_辅助!$J$9-P6))</f>
        <v>67</v>
      </c>
      <c r="R6" s="21">
        <f t="shared" ref="R6:R65" si="4">IF($B6="","",MIN(MAX(I6,0),SUMIFS(收入确认!$E$5:$E$204,收入确认!$C$5:$C$204,$B6,收入确认!$E$5:$E$204,"&gt;0",收入确认!$B$5:$B$204,"&gt;"&amp;(_辅助!$J$9-91),收入确认!$B$5:$B$204,"&lt;="&amp;_辅助!$J$9)))</f>
        <v>0</v>
      </c>
      <c r="S6" s="21">
        <f t="shared" ref="S6:S65" si="5">IF($B6="","",MIN(MAX(I6,0),SUMIFS(收入确认!$E$5:$E$204,收入确认!$C$5:$C$204,$B6,收入确认!$E$5:$E$204,"&gt;0",收入确认!$B$5:$B$204,"&gt;"&amp;(_辅助!$J$9-183),收入确认!$B$5:$B$204,"&lt;="&amp;_辅助!$J$9))-MIN(MAX(I6,0),SUMIFS(收入确认!$E$5:$E$204,收入确认!$C$5:$C$204,$B6,收入确认!$E$5:$E$204,"&gt;0",收入确认!$B$5:$B$204,"&gt;"&amp;(_辅助!$J$9-91),收入确认!$B$5:$B$204,"&lt;="&amp;_辅助!$J$9)))</f>
        <v>0</v>
      </c>
      <c r="T6" s="21">
        <f t="shared" ref="T6:T65" si="6">IF($B6="","",MIN(MAX(I6,0),SUMIFS(收入确认!$E$5:$E$204,收入确认!$C$5:$C$204,$B6,收入确认!$E$5:$E$204,"&gt;0",收入确认!$B$5:$B$204,"&gt;"&amp;(_辅助!$J$9-365),收入确认!$B$5:$B$204,"&lt;="&amp;_辅助!$J$9))-MIN(MAX(I6,0),SUMIFS(收入确认!$E$5:$E$204,收入确认!$C$5:$C$204,$B6,收入确认!$E$5:$E$204,"&gt;0",收入确认!$B$5:$B$204,"&gt;"&amp;(_辅助!$J$9-183),收入确认!$B$5:$B$204,"&lt;="&amp;_辅助!$J$9)))</f>
        <v>0</v>
      </c>
      <c r="U6" s="21">
        <f t="shared" ref="U6:U65" si="7">IF($B6="","",MAX(I6,0)-MIN(MAX(I6,0),SUMIFS(收入确认!$E$5:$E$204,收入确认!$C$5:$C$204,$B6,收入确认!$E$5:$E$204,"&gt;0",收入确认!$B$5:$B$204,"&gt;"&amp;(_辅助!$J$9-365),收入确认!$B$5:$B$204,"&lt;="&amp;_辅助!$J$9)))</f>
        <v>1704123.13</v>
      </c>
      <c r="V6" s="94" t="str">
        <f>项目档案!$M$4&amp;""</f>
        <v>在建</v>
      </c>
      <c r="W6" s="21">
        <f t="shared" ref="W6:W65" si="8">IF(OR($B6="",N(E6)=0),"",E6-F6)</f>
        <v>0</v>
      </c>
      <c r="X6" s="22">
        <f t="shared" ref="X6:X65" si="9">IF(OR($B6="",N(E6)=0),"",F6/E6)</f>
        <v>1</v>
      </c>
      <c r="Y6" s="96">
        <f t="shared" ref="Y6:Y65" si="12">IF($B6="","",IF(N(I6)&lt;0,"预收了（收的比确认的多，记得补确认产值）",IF(AND(ISNUMBER(N6),N6&lt;=_辅助!$J$9,N(I6)&gt;0,N(M6)&gt;0),"质保金已到期，可以催",IF(N(L6)&gt;0,"开了票没收到钱",IF(AND(ISNUMBER(Q6),N(Q6)&gt;180),"半年多没回款","")))))</f>
      </c>
      <c r="AX6" s="2">
        <f t="shared" ref="AX6:AX65" si="13">IF($B6="",0,MAX(IF(COUNTIFS(资金流水!$H$6:$H$2005,$B6,资金流水!$X$6:$X$2005,"应收账款",资金流水!$R$6:$R$2005,"&gt;0",资金流水!$AN$6:$AN$2005,"&gt;0",资金流水!$AN$6:$AN$2005,"&lt;="&amp;_辅助!$J$9)=0,0,IFERROR(INDEX(资金流水!$AN$6:$AN$2005,MATCH($B6&amp;"|"&amp;COUNTIFS(资金流水!$H$6:$H$2005,$B6,资金流水!$X$6:$X$2005,"应收账款",资金流水!$R$6:$R$2005,"&gt;0",资金流水!$AN$6:$AN$2005,"&gt;0",资金流水!$AN$6:$AN$2005,"&lt;="&amp;_辅助!$J$9),资金流水!$AO$6:$AO$2005,0)),0)),IF((COUNTIFS(代发抵账!$C$5:$C$304,$B6,代发抵账!$D$5:$D$304,"总包代发工资",代发抵账!$K$5:$K$304,"&gt;0",代发抵账!$K$5:$K$304,"&lt;="&amp;_辅助!$J$9)+COUNTIFS(代发抵账!$C$5:$C$304,$B6,代发抵账!$D$5:$D$304,"总包代付材料分包款",代发抵账!$K$5:$K$304,"&gt;0",代发抵账!$K$5:$K$304,"&lt;="&amp;_辅助!$J$9))=0,0,IFERROR(INDEX(代发抵账!$K$5:$K$304,MATCH($B6&amp;"|"&amp;(COUNTIFS(代发抵账!$C$5:$C$304,$B6,代发抵账!$D$5:$D$304,"总包代发工资",代发抵账!$K$5:$K$304,"&gt;0",代发抵账!$K$5:$K$304,"&lt;="&amp;_辅助!$J$9)+COUNTIFS(代发抵账!$C$5:$C$304,$B6,代发抵账!$D$5:$D$304,"总包代付材料分包款",代发抵账!$K$5:$K$304,"&gt;0",代发抵账!$K$5:$K$304,"&lt;="&amp;_辅助!$J$9)),代发抵账!$L$5:$L$304,0)),0))))</f>
        <v>46198</v>
      </c>
    </row>
    <row r="7">
      <c r="A7" s="94">
        <f>IF($B7="","",2)</f>
        <v>2</v>
      </c>
      <c r="B7" s="110" t="str">
        <f>IF(项目档案!$B$5="","",HYPERLINK("#'项目账'!C3",项目档案!$B$5&amp;""))</f>
        <v>科创中心</v>
      </c>
      <c r="C7" s="96" t="str">
        <f>项目档案!$D$5&amp;""</f>
        <v>德安县市政工程公司</v>
      </c>
      <c r="D7" s="21">
        <f>IF($B7="","",N(项目档案!$E$5))</f>
        <v>1641809</v>
      </c>
      <c r="E7" s="21">
        <f>IF($B7="","",N(项目档案!$T$5))</f>
        <v>1641809</v>
      </c>
      <c r="F7" s="21">
        <f>IF($B7="","",SUMIFS(期初余额!$C$5:$C$64,期初余额!$B$5:$B$64,$B7)+_项目汇总!$B$4+_项目汇总!$C$4)</f>
        <v>1641809</v>
      </c>
      <c r="G7" s="21">
        <f>IF($B7="","",SUMIFS(期初余额!$D$5:$D$64,期初余额!$B$5:$B$64,$B7)+_项目汇总!$D$4+_项目汇总!$E$4+_项目汇总!$F$4+_项目汇总!$G$4)</f>
        <v>1148361.8</v>
      </c>
      <c r="H7" s="22">
        <f t="shared" si="0"/>
        <v>0.699449083297753</v>
      </c>
      <c r="I7" s="21">
        <f>IF($B7="","",_项目汇总!$AV$4)</f>
        <v>493447.2</v>
      </c>
      <c r="J7" s="21">
        <f>IF($B7="","",SUMIFS(期初余额!$E$5:$E$64,期初余额!$B$5:$B$64,$B7)+_项目汇总!$H$4+_项目汇总!$I$4)</f>
        <v>1148361.8</v>
      </c>
      <c r="K7" s="21">
        <f t="shared" si="1"/>
        <v>493447.2</v>
      </c>
      <c r="L7" s="21">
        <f t="shared" si="2"/>
        <v>0</v>
      </c>
      <c r="M7" s="21">
        <f>IF($B7="","",ROUND(E7*N(项目档案!$H$5),2))</f>
        <v>0</v>
      </c>
      <c r="N7" s="95">
        <f>IF(OR($B7="",NOT(ISNUMBER(项目档案!$I$5))),"",项目档案!$I$5)</f>
      </c>
      <c r="O7" s="21">
        <f t="shared" si="3"/>
        <v>493447.2</v>
      </c>
      <c r="P7" s="95">
        <f t="shared" si="10"/>
      </c>
      <c r="Q7" s="106" t="str">
        <f t="shared" si="11"/>
        <v>建账后没收过</v>
      </c>
      <c r="R7" s="21">
        <f t="shared" si="4"/>
        <v>0</v>
      </c>
      <c r="S7" s="21">
        <f t="shared" si="5"/>
        <v>0</v>
      </c>
      <c r="T7" s="21">
        <f t="shared" si="6"/>
        <v>0</v>
      </c>
      <c r="U7" s="21">
        <f t="shared" si="7"/>
        <v>493447.2</v>
      </c>
      <c r="V7" s="94" t="str">
        <f>项目档案!$M$5&amp;""</f>
        <v>在建</v>
      </c>
      <c r="W7" s="21">
        <f t="shared" si="8"/>
        <v>0</v>
      </c>
      <c r="X7" s="22">
        <f t="shared" si="9"/>
        <v>1</v>
      </c>
      <c r="Y7" s="96">
        <f t="shared" si="12"/>
      </c>
      <c r="AX7" s="2">
        <f t="shared" si="13"/>
        <v>0</v>
      </c>
    </row>
    <row r="8">
      <c r="A8" s="94">
        <f>IF($B8="","",3)</f>
        <v>3</v>
      </c>
      <c r="B8" s="110" t="str">
        <f>IF(项目档案!$B$6="","",HYPERLINK("#'项目账'!C3",项目档案!$B$6&amp;""))</f>
        <v>九安架空层</v>
      </c>
      <c r="C8" s="96" t="str">
        <f>项目档案!$D$6&amp;""</f>
        <v>九江浔辉建筑工程有限公司</v>
      </c>
      <c r="D8" s="21">
        <f>IF($B8="","",N(项目档案!$E$6))</f>
        <v>1500000</v>
      </c>
      <c r="E8" s="21">
        <f>IF($B8="","",N(项目档案!$T$6))</f>
        <v>1500000</v>
      </c>
      <c r="F8" s="21">
        <f>IF($B8="","",SUMIFS(期初余额!$C$5:$C$64,期初余额!$B$5:$B$64,$B8)+_项目汇总!$B$5+_项目汇总!$C$5)</f>
        <v>1500000</v>
      </c>
      <c r="G8" s="21">
        <f>IF($B8="","",SUMIFS(期初余额!$D$5:$D$64,期初余额!$B$5:$B$64,$B8)+_项目汇总!$D$5+_项目汇总!$E$5+_项目汇总!$F$5+_项目汇总!$G$5)</f>
        <v>670000</v>
      </c>
      <c r="H8" s="22">
        <f t="shared" si="0"/>
        <v>0.446666666666667</v>
      </c>
      <c r="I8" s="21">
        <f>IF($B8="","",_项目汇总!$AV$5)</f>
        <v>830000</v>
      </c>
      <c r="J8" s="21">
        <f>IF($B8="","",SUMIFS(期初余额!$E$5:$E$64,期初余额!$B$5:$B$64,$B8)+_项目汇总!$H$5+_项目汇总!$I$5)</f>
        <v>0</v>
      </c>
      <c r="K8" s="21">
        <f t="shared" si="1"/>
        <v>1500000</v>
      </c>
      <c r="L8" s="21">
        <f t="shared" si="2"/>
        <v>0</v>
      </c>
      <c r="M8" s="21">
        <f>IF($B8="","",ROUND(E8*N(项目档案!$H$6),2))</f>
        <v>0</v>
      </c>
      <c r="N8" s="95">
        <f>IF(OR($B8="",NOT(ISNUMBER(项目档案!$I$6))),"",项目档案!$I$6)</f>
      </c>
      <c r="O8" s="21">
        <f t="shared" si="3"/>
        <v>830000</v>
      </c>
      <c r="P8" s="95">
        <f t="shared" si="10"/>
      </c>
      <c r="Q8" s="106" t="str">
        <f t="shared" si="11"/>
        <v>建账后没收过</v>
      </c>
      <c r="R8" s="21">
        <f t="shared" si="4"/>
        <v>0</v>
      </c>
      <c r="S8" s="21">
        <f t="shared" si="5"/>
        <v>0</v>
      </c>
      <c r="T8" s="21">
        <f t="shared" si="6"/>
        <v>0</v>
      </c>
      <c r="U8" s="21">
        <f t="shared" si="7"/>
        <v>830000</v>
      </c>
      <c r="V8" s="94" t="str">
        <f>项目档案!$M$6&amp;""</f>
        <v>在建</v>
      </c>
      <c r="W8" s="21">
        <f t="shared" si="8"/>
        <v>0</v>
      </c>
      <c r="X8" s="22">
        <f t="shared" si="9"/>
        <v>1</v>
      </c>
      <c r="Y8" s="96">
        <f t="shared" si="12"/>
      </c>
      <c r="AX8" s="2">
        <f t="shared" si="13"/>
        <v>0</v>
      </c>
    </row>
    <row r="9">
      <c r="A9" s="94">
        <f>IF($B9="","",4)</f>
        <v>4</v>
      </c>
      <c r="B9" s="110" t="str">
        <f>IF(项目档案!$B$7="","",HYPERLINK("#'项目账'!C3",项目档案!$B$7&amp;""))</f>
        <v>数字产业园</v>
      </c>
      <c r="C9" s="96">
        <f>项目档案!$D$7&amp;""</f>
      </c>
      <c r="D9" s="21">
        <f>IF($B9="","",N(项目档案!$E$7))</f>
        <v>325612.18</v>
      </c>
      <c r="E9" s="21">
        <f>IF($B9="","",N(项目档案!$T$7))</f>
        <v>325612.18</v>
      </c>
      <c r="F9" s="21">
        <f>IF($B9="","",SUMIFS(期初余额!$C$5:$C$64,期初余额!$B$5:$B$64,$B9)+_项目汇总!$B$6+_项目汇总!$C$6)</f>
        <v>325612.18</v>
      </c>
      <c r="G9" s="21">
        <f>IF($B9="","",SUMIFS(期初余额!$D$5:$D$64,期初余额!$B$5:$B$64,$B9)+_项目汇总!$D$6+_项目汇总!$E$6+_项目汇总!$F$6+_项目汇总!$G$6)</f>
        <v>227000</v>
      </c>
      <c r="H9" s="22">
        <f t="shared" si="0"/>
        <v>0.697148368344206</v>
      </c>
      <c r="I9" s="21">
        <f>IF($B9="","",_项目汇总!$AV$6)</f>
        <v>98612.18</v>
      </c>
      <c r="J9" s="21">
        <f>IF($B9="","",SUMIFS(期初余额!$E$5:$E$64,期初余额!$B$5:$B$64,$B9)+_项目汇总!$H$6+_项目汇总!$I$6)</f>
        <v>0</v>
      </c>
      <c r="K9" s="21">
        <f t="shared" si="1"/>
        <v>325612.18</v>
      </c>
      <c r="L9" s="21">
        <f t="shared" si="2"/>
        <v>0</v>
      </c>
      <c r="M9" s="21">
        <f>IF($B9="","",ROUND(E9*N(项目档案!$H$7),2))</f>
        <v>0</v>
      </c>
      <c r="N9" s="95">
        <f>IF(OR($B9="",NOT(ISNUMBER(项目档案!$I$7))),"",项目档案!$I$7)</f>
      </c>
      <c r="O9" s="21">
        <f t="shared" si="3"/>
        <v>98612.18</v>
      </c>
      <c r="P9" s="95">
        <f t="shared" si="10"/>
      </c>
      <c r="Q9" s="106" t="str">
        <f t="shared" si="11"/>
        <v>建账后没收过</v>
      </c>
      <c r="R9" s="21">
        <f t="shared" si="4"/>
        <v>0</v>
      </c>
      <c r="S9" s="21">
        <f t="shared" si="5"/>
        <v>0</v>
      </c>
      <c r="T9" s="21">
        <f t="shared" si="6"/>
        <v>0</v>
      </c>
      <c r="U9" s="21">
        <f t="shared" si="7"/>
        <v>98612.18</v>
      </c>
      <c r="V9" s="94" t="str">
        <f>项目档案!$M$7&amp;""</f>
        <v>在建</v>
      </c>
      <c r="W9" s="21">
        <f t="shared" si="8"/>
        <v>0</v>
      </c>
      <c r="X9" s="22">
        <f t="shared" si="9"/>
        <v>1</v>
      </c>
      <c r="Y9" s="96">
        <f t="shared" si="12"/>
      </c>
      <c r="AX9" s="2">
        <f t="shared" si="13"/>
        <v>0</v>
      </c>
    </row>
    <row r="10">
      <c r="A10" s="94">
        <f>IF($B10="","",5)</f>
        <v>5</v>
      </c>
      <c r="B10" s="110" t="str">
        <f>IF(项目档案!$B$8="","",HYPERLINK("#'项目账'!C3",项目档案!$B$8&amp;""))</f>
        <v>邹桥派出所</v>
      </c>
      <c r="C10" s="96" t="str">
        <f>项目档案!$D$8&amp;""</f>
        <v>德安县水利水电建筑工程公司</v>
      </c>
      <c r="D10" s="21">
        <f>IF($B10="","",N(项目档案!$E$8))</f>
        <v>95560.56</v>
      </c>
      <c r="E10" s="21">
        <f>IF($B10="","",N(项目档案!$T$8))</f>
        <v>95560.56</v>
      </c>
      <c r="F10" s="21">
        <f>IF($B10="","",SUMIFS(期初余额!$C$5:$C$64,期初余额!$B$5:$B$64,$B10)+_项目汇总!$B$7+_项目汇总!$C$7)</f>
        <v>95560.56</v>
      </c>
      <c r="G10" s="21">
        <f>IF($B10="","",SUMIFS(期初余额!$D$5:$D$64,期初余额!$B$5:$B$64,$B10)+_项目汇总!$D$7+_项目汇总!$E$7+_项目汇总!$F$7+_项目汇总!$G$7)</f>
        <v>63746.59</v>
      </c>
      <c r="H10" s="22">
        <f t="shared" si="0"/>
        <v>0.667080540340073</v>
      </c>
      <c r="I10" s="21">
        <f>IF($B10="","",_项目汇总!$AV$7)</f>
        <v>31813.97</v>
      </c>
      <c r="J10" s="21">
        <f>IF($B10="","",SUMIFS(期初余额!$E$5:$E$64,期初余额!$B$5:$B$64,$B10)+_项目汇总!$H$7+_项目汇总!$I$7)</f>
        <v>88334.56</v>
      </c>
      <c r="K10" s="21">
        <f t="shared" si="1"/>
        <v>7226</v>
      </c>
      <c r="L10" s="21">
        <f t="shared" si="2"/>
        <v>24587.97</v>
      </c>
      <c r="M10" s="21">
        <f>IF($B10="","",ROUND(E10*N(项目档案!$H$8),2))</f>
        <v>0</v>
      </c>
      <c r="N10" s="95">
        <f>IF(OR($B10="",NOT(ISNUMBER(项目档案!$I$8))),"",项目档案!$I$8)</f>
      </c>
      <c r="O10" s="21">
        <f t="shared" si="3"/>
        <v>31813.97</v>
      </c>
      <c r="P10" s="95">
        <f t="shared" si="10"/>
        <v>46202.0</v>
      </c>
      <c r="Q10" s="106">
        <f t="shared" si="11"/>
        <v>63</v>
      </c>
      <c r="R10" s="21">
        <f t="shared" si="4"/>
        <v>0</v>
      </c>
      <c r="S10" s="21">
        <f t="shared" si="5"/>
        <v>0</v>
      </c>
      <c r="T10" s="21">
        <f t="shared" si="6"/>
        <v>0</v>
      </c>
      <c r="U10" s="21">
        <f t="shared" si="7"/>
        <v>31813.97</v>
      </c>
      <c r="V10" s="94" t="str">
        <f>项目档案!$M$8&amp;""</f>
        <v>在建</v>
      </c>
      <c r="W10" s="21">
        <f t="shared" si="8"/>
        <v>0</v>
      </c>
      <c r="X10" s="22">
        <f t="shared" si="9"/>
        <v>1</v>
      </c>
      <c r="Y10" s="96" t="str">
        <f t="shared" si="12"/>
        <v>开了票没收到钱</v>
      </c>
      <c r="AX10" s="2">
        <f t="shared" si="13"/>
        <v>46202</v>
      </c>
    </row>
    <row r="11">
      <c r="A11" s="94">
        <f>IF($B11="","",6)</f>
        <v>6</v>
      </c>
      <c r="B11" s="110" t="str">
        <f>IF(项目档案!$B$9="","",HYPERLINK("#'项目账'!C3",项目档案!$B$9&amp;""))</f>
        <v>抚州1号楼</v>
      </c>
      <c r="C11" s="96" t="str">
        <f>项目档案!$D$9&amp;""</f>
        <v>江西揽之建设工程有限公司</v>
      </c>
      <c r="D11" s="21">
        <f>IF($B11="","",N(项目档案!$E$9))</f>
        <v>695372.72</v>
      </c>
      <c r="E11" s="21">
        <f>IF($B11="","",N(项目档案!$T$9))</f>
        <v>695372.72</v>
      </c>
      <c r="F11" s="21">
        <f>IF($B11="","",SUMIFS(期初余额!$C$5:$C$64,期初余额!$B$5:$B$64,$B11)+_项目汇总!$B$8+_项目汇总!$C$8)</f>
        <v>695372.72</v>
      </c>
      <c r="G11" s="21">
        <f>IF($B11="","",SUMIFS(期初余额!$D$5:$D$64,期初余额!$B$5:$B$64,$B11)+_项目汇总!$D$8+_项目汇总!$E$8+_项目汇总!$F$8+_项目汇总!$G$8)</f>
        <v>562296</v>
      </c>
      <c r="H11" s="22">
        <f t="shared" si="0"/>
        <v>0.808625336927224</v>
      </c>
      <c r="I11" s="21">
        <f>IF($B11="","",_项目汇总!$AV$8)</f>
        <v>133076.72</v>
      </c>
      <c r="J11" s="21">
        <f>IF($B11="","",SUMIFS(期初余额!$E$5:$E$64,期初余额!$B$5:$B$64,$B11)+_项目汇总!$H$8+_项目汇总!$I$8)</f>
        <v>562296</v>
      </c>
      <c r="K11" s="21">
        <f t="shared" si="1"/>
        <v>133076.72</v>
      </c>
      <c r="L11" s="21">
        <f t="shared" si="2"/>
        <v>0</v>
      </c>
      <c r="M11" s="21">
        <f>IF($B11="","",ROUND(E11*N(项目档案!$H$9),2))</f>
        <v>0</v>
      </c>
      <c r="N11" s="95">
        <f>IF(OR($B11="",NOT(ISNUMBER(项目档案!$I$9))),"",项目档案!$I$9)</f>
      </c>
      <c r="O11" s="21">
        <f t="shared" si="3"/>
        <v>133076.72</v>
      </c>
      <c r="P11" s="95">
        <f t="shared" si="10"/>
      </c>
      <c r="Q11" s="106" t="str">
        <f t="shared" si="11"/>
        <v>建账后没收过</v>
      </c>
      <c r="R11" s="21">
        <f t="shared" si="4"/>
        <v>0</v>
      </c>
      <c r="S11" s="21">
        <f t="shared" si="5"/>
        <v>0</v>
      </c>
      <c r="T11" s="21">
        <f t="shared" si="6"/>
        <v>0</v>
      </c>
      <c r="U11" s="21">
        <f t="shared" si="7"/>
        <v>133076.72</v>
      </c>
      <c r="V11" s="94" t="str">
        <f>项目档案!$M$9&amp;""</f>
        <v>在建</v>
      </c>
      <c r="W11" s="21">
        <f t="shared" si="8"/>
        <v>0</v>
      </c>
      <c r="X11" s="22">
        <f t="shared" si="9"/>
        <v>1</v>
      </c>
      <c r="Y11" s="96">
        <f t="shared" si="12"/>
      </c>
      <c r="AX11" s="2">
        <f t="shared" si="13"/>
        <v>0</v>
      </c>
    </row>
    <row r="12">
      <c r="A12" s="94">
        <f>IF($B12="","",7)</f>
        <v>7</v>
      </c>
      <c r="B12" s="110" t="str">
        <f>IF(项目档案!$B$10="","",HYPERLINK("#'项目账'!C3",项目档案!$B$10&amp;""))</f>
        <v>抚州8号楼</v>
      </c>
      <c r="C12" s="96" t="str">
        <f>项目档案!$D$10&amp;""</f>
        <v>江西揽之建设工程有限公司</v>
      </c>
      <c r="D12" s="21">
        <f>IF($B12="","",N(项目档案!$E$10))</f>
        <v>960000</v>
      </c>
      <c r="E12" s="21">
        <f>IF($B12="","",N(项目档案!$T$10))</f>
        <v>960000</v>
      </c>
      <c r="F12" s="21">
        <f>IF($B12="","",SUMIFS(期初余额!$C$5:$C$64,期初余额!$B$5:$B$64,$B12)+_项目汇总!$B$9+_项目汇总!$C$9)</f>
        <v>960000</v>
      </c>
      <c r="G12" s="21">
        <f>IF($B12="","",SUMIFS(期初余额!$D$5:$D$64,期初余额!$B$5:$B$64,$B12)+_项目汇总!$D$9+_项目汇总!$E$9+_项目汇总!$F$9+_项目汇总!$G$9)</f>
        <v>670593.83</v>
      </c>
      <c r="H12" s="22">
        <f t="shared" si="0"/>
        <v>0.698535239583333</v>
      </c>
      <c r="I12" s="21">
        <f>IF($B12="","",_项目汇总!$AV$9)</f>
        <v>289406.17</v>
      </c>
      <c r="J12" s="21">
        <f>IF($B12="","",SUMIFS(期初余额!$E$5:$E$64,期初余额!$B$5:$B$64,$B12)+_项目汇总!$H$9+_项目汇总!$I$9)</f>
        <v>670593.83</v>
      </c>
      <c r="K12" s="21">
        <f t="shared" si="1"/>
        <v>289406.17</v>
      </c>
      <c r="L12" s="21">
        <f t="shared" si="2"/>
        <v>0</v>
      </c>
      <c r="M12" s="21">
        <f>IF($B12="","",ROUND(E12*N(项目档案!$H$10),2))</f>
        <v>0</v>
      </c>
      <c r="N12" s="95">
        <f>IF(OR($B12="",NOT(ISNUMBER(项目档案!$I$10))),"",项目档案!$I$10)</f>
      </c>
      <c r="O12" s="21">
        <f t="shared" si="3"/>
        <v>289406.17</v>
      </c>
      <c r="P12" s="95">
        <f t="shared" si="10"/>
        <v>46232.0</v>
      </c>
      <c r="Q12" s="106">
        <f t="shared" si="11"/>
        <v>33</v>
      </c>
      <c r="R12" s="21">
        <f t="shared" si="4"/>
        <v>0</v>
      </c>
      <c r="S12" s="21">
        <f t="shared" si="5"/>
        <v>0</v>
      </c>
      <c r="T12" s="21">
        <f t="shared" si="6"/>
        <v>0</v>
      </c>
      <c r="U12" s="21">
        <f t="shared" si="7"/>
        <v>289406.17</v>
      </c>
      <c r="V12" s="94" t="str">
        <f>项目档案!$M$10&amp;""</f>
        <v>在建</v>
      </c>
      <c r="W12" s="21">
        <f t="shared" si="8"/>
        <v>0</v>
      </c>
      <c r="X12" s="22">
        <f t="shared" si="9"/>
        <v>1</v>
      </c>
      <c r="Y12" s="96">
        <f t="shared" si="12"/>
      </c>
      <c r="AX12" s="2">
        <f t="shared" si="13"/>
        <v>46232</v>
      </c>
    </row>
    <row r="13">
      <c r="A13" s="94">
        <f>IF($B13="","",8)</f>
        <v>8</v>
      </c>
      <c r="B13" s="110" t="str">
        <f>IF(项目档案!$B$11="","",HYPERLINK("#'项目账'!C3",项目档案!$B$11&amp;""))</f>
        <v>抚州2号楼</v>
      </c>
      <c r="C13" s="96" t="str">
        <f>项目档案!$D$11&amp;""</f>
        <v>江西揽之建设工程有限公司</v>
      </c>
      <c r="D13" s="21">
        <f>IF($B13="","",N(项目档案!$E$11))</f>
        <v>64000</v>
      </c>
      <c r="E13" s="21">
        <f>IF($B13="","",N(项目档案!$T$11))</f>
        <v>64000</v>
      </c>
      <c r="F13" s="21">
        <f>IF($B13="","",SUMIFS(期初余额!$C$5:$C$64,期初余额!$B$5:$B$64,$B13)+_项目汇总!$B$10+_项目汇总!$C$10)</f>
        <v>64000</v>
      </c>
      <c r="G13" s="21">
        <f>IF($B13="","",SUMIFS(期初余额!$D$5:$D$64,期初余额!$B$5:$B$64,$B13)+_项目汇总!$D$10+_项目汇总!$E$10+_项目汇总!$F$10+_项目汇总!$G$10)</f>
        <v>51200</v>
      </c>
      <c r="H13" s="22">
        <f t="shared" si="0"/>
        <v>0.8</v>
      </c>
      <c r="I13" s="21">
        <f>IF($B13="","",_项目汇总!$AV$10)</f>
        <v>12800</v>
      </c>
      <c r="J13" s="21">
        <f>IF($B13="","",SUMIFS(期初余额!$E$5:$E$64,期初余额!$B$5:$B$64,$B13)+_项目汇总!$H$10+_项目汇总!$I$10)</f>
        <v>51200</v>
      </c>
      <c r="K13" s="21">
        <f t="shared" si="1"/>
        <v>12800</v>
      </c>
      <c r="L13" s="21">
        <f t="shared" si="2"/>
        <v>0</v>
      </c>
      <c r="M13" s="21">
        <f>IF($B13="","",ROUND(E13*N(项目档案!$H$11),2))</f>
        <v>0</v>
      </c>
      <c r="N13" s="95">
        <f>IF(OR($B13="",NOT(ISNUMBER(项目档案!$I$11))),"",项目档案!$I$11)</f>
      </c>
      <c r="O13" s="21">
        <f t="shared" si="3"/>
        <v>12800</v>
      </c>
      <c r="P13" s="95">
        <f t="shared" si="10"/>
        <v>46262.0</v>
      </c>
      <c r="Q13" s="106">
        <f t="shared" si="11"/>
        <v>3</v>
      </c>
      <c r="R13" s="21">
        <f t="shared" si="4"/>
        <v>0</v>
      </c>
      <c r="S13" s="21">
        <f t="shared" si="5"/>
        <v>0</v>
      </c>
      <c r="T13" s="21">
        <f t="shared" si="6"/>
        <v>0</v>
      </c>
      <c r="U13" s="21">
        <f t="shared" si="7"/>
        <v>12800</v>
      </c>
      <c r="V13" s="94" t="str">
        <f>项目档案!$M$11&amp;""</f>
        <v>在建</v>
      </c>
      <c r="W13" s="21">
        <f t="shared" si="8"/>
        <v>0</v>
      </c>
      <c r="X13" s="22">
        <f t="shared" si="9"/>
        <v>1</v>
      </c>
      <c r="Y13" s="96">
        <f t="shared" si="12"/>
      </c>
      <c r="AX13" s="2">
        <f t="shared" si="13"/>
        <v>46262</v>
      </c>
    </row>
    <row r="14">
      <c r="A14" s="94">
        <f>IF($B14="","",9)</f>
        <v>9</v>
      </c>
      <c r="B14" s="110" t="str">
        <f>IF(项目档案!$B$12="","",HYPERLINK("#'项目账'!C3",项目档案!$B$12&amp;""))</f>
        <v>博河科创中心</v>
      </c>
      <c r="C14" s="96" t="str">
        <f>项目档案!$D$12&amp;""</f>
        <v>德安县博河产业控股集团有限公司</v>
      </c>
      <c r="D14" s="21">
        <f>IF($B14="","",N(项目档案!$E$12))</f>
        <v>510758.96</v>
      </c>
      <c r="E14" s="21">
        <f>IF($B14="","",N(项目档案!$T$12))</f>
        <v>510758.96</v>
      </c>
      <c r="F14" s="21">
        <f>IF($B14="","",SUMIFS(期初余额!$C$5:$C$64,期初余额!$B$5:$B$64,$B14)+_项目汇总!$B$11+_项目汇总!$C$11)</f>
        <v>510758.96</v>
      </c>
      <c r="G14" s="21">
        <f>IF($B14="","",SUMIFS(期初余额!$D$5:$D$64,期初余额!$B$5:$B$64,$B14)+_项目汇总!$D$11+_项目汇总!$E$11+_项目汇总!$F$11+_项目汇总!$G$11)</f>
        <v>0</v>
      </c>
      <c r="H14" s="22">
        <f t="shared" si="0"/>
        <v>0</v>
      </c>
      <c r="I14" s="21">
        <f>IF($B14="","",_项目汇总!$AV$11)</f>
        <v>510758.96</v>
      </c>
      <c r="J14" s="21">
        <f>IF($B14="","",SUMIFS(期初余额!$E$5:$E$64,期初余额!$B$5:$B$64,$B14)+_项目汇总!$H$11+_项目汇总!$I$11)</f>
        <v>102151.79</v>
      </c>
      <c r="K14" s="21">
        <f t="shared" si="1"/>
        <v>408607.17</v>
      </c>
      <c r="L14" s="21">
        <f t="shared" si="2"/>
        <v>102151.79</v>
      </c>
      <c r="M14" s="21">
        <f>IF($B14="","",ROUND(E14*N(项目档案!$H$12),2))</f>
        <v>0</v>
      </c>
      <c r="N14" s="95">
        <f>IF(OR($B14="",NOT(ISNUMBER(项目档案!$I$12))),"",项目档案!$I$12)</f>
      </c>
      <c r="O14" s="21">
        <f t="shared" si="3"/>
        <v>510758.96</v>
      </c>
      <c r="P14" s="95">
        <f t="shared" si="10"/>
      </c>
      <c r="Q14" s="106" t="str">
        <f t="shared" si="11"/>
        <v>建账后没收过</v>
      </c>
      <c r="R14" s="21">
        <f t="shared" si="4"/>
        <v>0</v>
      </c>
      <c r="S14" s="21">
        <f t="shared" si="5"/>
        <v>0</v>
      </c>
      <c r="T14" s="21">
        <f t="shared" si="6"/>
        <v>0</v>
      </c>
      <c r="U14" s="21">
        <f t="shared" si="7"/>
        <v>510758.96</v>
      </c>
      <c r="V14" s="94" t="str">
        <f>项目档案!$M$12&amp;""</f>
        <v>在建</v>
      </c>
      <c r="W14" s="21">
        <f t="shared" si="8"/>
        <v>0</v>
      </c>
      <c r="X14" s="22">
        <f t="shared" si="9"/>
        <v>1</v>
      </c>
      <c r="Y14" s="96" t="str">
        <f t="shared" si="12"/>
        <v>开了票没收到钱</v>
      </c>
      <c r="AX14" s="2">
        <f t="shared" si="13"/>
        <v>0</v>
      </c>
    </row>
    <row r="15">
      <c r="A15" s="94">
        <f>IF($B15="","",10)</f>
        <v>10</v>
      </c>
      <c r="B15" s="110" t="str">
        <f>IF(项目档案!$B$13="","",HYPERLINK("#'项目账'!C3",项目档案!$B$13&amp;""))</f>
        <v>德安农商行总部</v>
      </c>
      <c r="C15" s="96" t="str">
        <f>项目档案!$D$13&amp;""</f>
        <v>德安农商银行</v>
      </c>
      <c r="D15" s="21">
        <f>IF($B15="","",N(项目档案!$E$13))</f>
        <v>8992</v>
      </c>
      <c r="E15" s="21">
        <f>IF($B15="","",N(项目档案!$T$13))</f>
        <v>8992</v>
      </c>
      <c r="F15" s="21">
        <f>IF($B15="","",SUMIFS(期初余额!$C$5:$C$64,期初余额!$B$5:$B$64,$B15)+_项目汇总!$B$12+_项目汇总!$C$12)</f>
        <v>8992</v>
      </c>
      <c r="G15" s="21">
        <f>IF($B15="","",SUMIFS(期初余额!$D$5:$D$64,期初余额!$B$5:$B$64,$B15)+_项目汇总!$D$12+_项目汇总!$E$12+_项目汇总!$F$12+_项目汇总!$G$12)</f>
        <v>0</v>
      </c>
      <c r="H15" s="22">
        <f t="shared" si="0"/>
        <v>0</v>
      </c>
      <c r="I15" s="21">
        <f>IF($B15="","",_项目汇总!$AV$12)</f>
        <v>8992</v>
      </c>
      <c r="J15" s="21">
        <f>IF($B15="","",SUMIFS(期初余额!$E$5:$E$64,期初余额!$B$5:$B$64,$B15)+_项目汇总!$H$12+_项目汇总!$I$12)</f>
        <v>8992</v>
      </c>
      <c r="K15" s="21">
        <f t="shared" si="1"/>
        <v>0</v>
      </c>
      <c r="L15" s="21">
        <f t="shared" si="2"/>
        <v>8992</v>
      </c>
      <c r="M15" s="21">
        <f>IF($B15="","",ROUND(E15*N(项目档案!$H$13),2))</f>
        <v>0</v>
      </c>
      <c r="N15" s="95">
        <f>IF(OR($B15="",NOT(ISNUMBER(项目档案!$I$13))),"",项目档案!$I$13)</f>
      </c>
      <c r="O15" s="21">
        <f t="shared" si="3"/>
        <v>8992</v>
      </c>
      <c r="P15" s="95">
        <f t="shared" si="10"/>
      </c>
      <c r="Q15" s="106" t="str">
        <f t="shared" si="11"/>
        <v>建账后没收过</v>
      </c>
      <c r="R15" s="21">
        <f t="shared" si="4"/>
        <v>8992</v>
      </c>
      <c r="S15" s="21">
        <f t="shared" si="5"/>
        <v>0</v>
      </c>
      <c r="T15" s="21">
        <f t="shared" si="6"/>
        <v>0</v>
      </c>
      <c r="U15" s="21">
        <f t="shared" si="7"/>
        <v>0</v>
      </c>
      <c r="V15" s="94" t="str">
        <f>项目档案!$M$13&amp;""</f>
        <v>在建</v>
      </c>
      <c r="W15" s="21">
        <f t="shared" si="8"/>
        <v>0</v>
      </c>
      <c r="X15" s="22">
        <f t="shared" si="9"/>
        <v>1</v>
      </c>
      <c r="Y15" s="96" t="str">
        <f t="shared" si="12"/>
        <v>开了票没收到钱</v>
      </c>
      <c r="AX15" s="2">
        <f t="shared" si="13"/>
        <v>0</v>
      </c>
    </row>
    <row r="16">
      <c r="A16" s="94">
        <f>IF($B16="","",11)</f>
        <v>11</v>
      </c>
      <c r="B16" s="110" t="str">
        <f>IF(项目档案!$B$14="","",HYPERLINK("#'项目账'!C3",项目档案!$B$14&amp;""))</f>
        <v>示范园</v>
      </c>
      <c r="C16" s="96">
        <f>项目档案!$D$14&amp;""</f>
      </c>
      <c r="D16" s="21">
        <f>IF($B16="","",N(项目档案!$E$14))</f>
        <v>0</v>
      </c>
      <c r="E16" s="21">
        <f>IF($B16="","",N(项目档案!$T$14))</f>
        <v>0</v>
      </c>
      <c r="F16" s="21">
        <f>IF($B16="","",SUMIFS(期初余额!$C$5:$C$64,期初余额!$B$5:$B$64,$B16)+_项目汇总!$B$13+_项目汇总!$C$13)</f>
        <v>0</v>
      </c>
      <c r="G16" s="21">
        <f>IF($B16="","",SUMIFS(期初余额!$D$5:$D$64,期初余额!$B$5:$B$64,$B16)+_项目汇总!$D$13+_项目汇总!$E$13+_项目汇总!$F$13+_项目汇总!$G$13)</f>
        <v>0</v>
      </c>
      <c r="H16" s="22">
        <f t="shared" si="0"/>
      </c>
      <c r="I16" s="21">
        <f>IF($B16="","",_项目汇总!$AV$13)</f>
        <v>0</v>
      </c>
      <c r="J16" s="21">
        <f>IF($B16="","",SUMIFS(期初余额!$E$5:$E$64,期初余额!$B$5:$B$64,$B16)+_项目汇总!$H$13+_项目汇总!$I$13)</f>
        <v>0</v>
      </c>
      <c r="K16" s="21">
        <f t="shared" si="1"/>
        <v>0</v>
      </c>
      <c r="L16" s="21">
        <f t="shared" si="2"/>
        <v>0</v>
      </c>
      <c r="M16" s="21">
        <f>IF($B16="","",ROUND(E16*N(项目档案!$H$14),2))</f>
        <v>0</v>
      </c>
      <c r="N16" s="95">
        <f>IF(OR($B16="",NOT(ISNUMBER(项目档案!$I$14))),"",项目档案!$I$14)</f>
      </c>
      <c r="O16" s="21">
        <f t="shared" si="3"/>
        <v>0</v>
      </c>
      <c r="P16" s="95">
        <f t="shared" si="10"/>
      </c>
      <c r="Q16" s="106">
        <f t="shared" si="11"/>
      </c>
      <c r="R16" s="21">
        <f t="shared" si="4"/>
        <v>0</v>
      </c>
      <c r="S16" s="21">
        <f t="shared" si="5"/>
        <v>0</v>
      </c>
      <c r="T16" s="21">
        <f t="shared" si="6"/>
        <v>0</v>
      </c>
      <c r="U16" s="21">
        <f t="shared" si="7"/>
        <v>0</v>
      </c>
      <c r="V16" s="94" t="str">
        <f>项目档案!$M$14&amp;""</f>
        <v>在建</v>
      </c>
      <c r="W16" s="21">
        <f t="shared" si="8"/>
      </c>
      <c r="X16" s="22">
        <f t="shared" si="9"/>
      </c>
      <c r="Y16" s="96">
        <f t="shared" si="12"/>
      </c>
      <c r="AX16" s="2">
        <f t="shared" si="13"/>
        <v>0</v>
      </c>
    </row>
    <row r="17">
      <c r="A17" s="94">
        <f>IF($B17="","",12)</f>
        <v>12</v>
      </c>
      <c r="B17" s="110" t="str">
        <f>IF(项目档案!$B$15="","",HYPERLINK("#'项目账'!C3",项目档案!$B$15&amp;""))</f>
        <v>恒科华府</v>
      </c>
      <c r="C17" s="96">
        <f>项目档案!$D$15&amp;""</f>
      </c>
      <c r="D17" s="21">
        <f>IF($B17="","",N(项目档案!$E$15))</f>
        <v>0</v>
      </c>
      <c r="E17" s="21">
        <f>IF($B17="","",N(项目档案!$T$15))</f>
        <v>0</v>
      </c>
      <c r="F17" s="21">
        <f>IF($B17="","",SUMIFS(期初余额!$C$5:$C$64,期初余额!$B$5:$B$64,$B17)+_项目汇总!$B$14+_项目汇总!$C$14)</f>
        <v>0</v>
      </c>
      <c r="G17" s="21">
        <f>IF($B17="","",SUMIFS(期初余额!$D$5:$D$64,期初余额!$B$5:$B$64,$B17)+_项目汇总!$D$14+_项目汇总!$E$14+_项目汇总!$F$14+_项目汇总!$G$14)</f>
        <v>0</v>
      </c>
      <c r="H17" s="22">
        <f t="shared" si="0"/>
      </c>
      <c r="I17" s="21">
        <f>IF($B17="","",_项目汇总!$AV$14)</f>
        <v>0</v>
      </c>
      <c r="J17" s="21">
        <f>IF($B17="","",SUMIFS(期初余额!$E$5:$E$64,期初余额!$B$5:$B$64,$B17)+_项目汇总!$H$14+_项目汇总!$I$14)</f>
        <v>0</v>
      </c>
      <c r="K17" s="21">
        <f t="shared" si="1"/>
        <v>0</v>
      </c>
      <c r="L17" s="21">
        <f t="shared" si="2"/>
        <v>0</v>
      </c>
      <c r="M17" s="21">
        <f>IF($B17="","",ROUND(E17*N(项目档案!$H$15),2))</f>
        <v>0</v>
      </c>
      <c r="N17" s="95">
        <f>IF(OR($B17="",NOT(ISNUMBER(项目档案!$I$15))),"",项目档案!$I$15)</f>
      </c>
      <c r="O17" s="21">
        <f t="shared" si="3"/>
        <v>0</v>
      </c>
      <c r="P17" s="95">
        <f t="shared" si="10"/>
      </c>
      <c r="Q17" s="106">
        <f t="shared" si="11"/>
      </c>
      <c r="R17" s="21">
        <f t="shared" si="4"/>
        <v>0</v>
      </c>
      <c r="S17" s="21">
        <f t="shared" si="5"/>
        <v>0</v>
      </c>
      <c r="T17" s="21">
        <f t="shared" si="6"/>
        <v>0</v>
      </c>
      <c r="U17" s="21">
        <f t="shared" si="7"/>
        <v>0</v>
      </c>
      <c r="V17" s="94" t="str">
        <f>项目档案!$M$15&amp;""</f>
        <v>在建</v>
      </c>
      <c r="W17" s="21">
        <f t="shared" si="8"/>
      </c>
      <c r="X17" s="22">
        <f t="shared" si="9"/>
      </c>
      <c r="Y17" s="96">
        <f t="shared" si="12"/>
      </c>
      <c r="AX17" s="2">
        <f t="shared" si="13"/>
        <v>0</v>
      </c>
    </row>
    <row r="18">
      <c r="A18" s="94">
        <f>IF($B18="","",13)</f>
        <v>13</v>
      </c>
      <c r="B18" s="110" t="str">
        <f>IF(项目档案!$B$16="","",HYPERLINK("#'项目账'!C3",项目档案!$B$16&amp;""))</f>
        <v>赣粤高速</v>
      </c>
      <c r="C18" s="96" t="str">
        <f>项目档案!$D$16&amp;""</f>
        <v>江西赣粤高速公路</v>
      </c>
      <c r="D18" s="21">
        <f>IF($B18="","",N(项目档案!$E$16))</f>
        <v>0</v>
      </c>
      <c r="E18" s="21">
        <f>IF($B18="","",N(项目档案!$T$16))</f>
        <v>0</v>
      </c>
      <c r="F18" s="21">
        <f>IF($B18="","",SUMIFS(期初余额!$C$5:$C$64,期初余额!$B$5:$B$64,$B18)+_项目汇总!$B$15+_项目汇总!$C$15)</f>
        <v>0</v>
      </c>
      <c r="G18" s="21">
        <f>IF($B18="","",SUMIFS(期初余额!$D$5:$D$64,期初余额!$B$5:$B$64,$B18)+_项目汇总!$D$15+_项目汇总!$E$15+_项目汇总!$F$15+_项目汇总!$G$15)</f>
        <v>14502.87</v>
      </c>
      <c r="H18" s="22">
        <f t="shared" si="0"/>
      </c>
      <c r="I18" s="21">
        <f>IF($B18="","",_项目汇总!$AV$15)</f>
        <v>-14502.87</v>
      </c>
      <c r="J18" s="21">
        <f>IF($B18="","",SUMIFS(期初余额!$E$5:$E$64,期初余额!$B$5:$B$64,$B18)+_项目汇总!$H$15+_项目汇总!$I$15)</f>
        <v>0</v>
      </c>
      <c r="K18" s="21">
        <f t="shared" si="1"/>
        <v>0</v>
      </c>
      <c r="L18" s="21">
        <f t="shared" si="2"/>
        <v>0</v>
      </c>
      <c r="M18" s="21">
        <f>IF($B18="","",ROUND(E18*N(项目档案!$H$16),2))</f>
        <v>0</v>
      </c>
      <c r="N18" s="95">
        <f>IF(OR($B18="",NOT(ISNUMBER(项目档案!$I$16))),"",项目档案!$I$16)</f>
      </c>
      <c r="O18" s="21">
        <f t="shared" si="3"/>
        <v>0</v>
      </c>
      <c r="P18" s="95">
        <f t="shared" si="10"/>
        <v>46163.0</v>
      </c>
      <c r="Q18" s="106">
        <f t="shared" si="11"/>
      </c>
      <c r="R18" s="21">
        <f t="shared" si="4"/>
        <v>0</v>
      </c>
      <c r="S18" s="21">
        <f t="shared" si="5"/>
        <v>0</v>
      </c>
      <c r="T18" s="21">
        <f t="shared" si="6"/>
        <v>0</v>
      </c>
      <c r="U18" s="21">
        <f t="shared" si="7"/>
        <v>0</v>
      </c>
      <c r="V18" s="94" t="str">
        <f>项目档案!$M$16&amp;""</f>
        <v>在建</v>
      </c>
      <c r="W18" s="21">
        <f t="shared" si="8"/>
      </c>
      <c r="X18" s="22">
        <f t="shared" si="9"/>
      </c>
      <c r="Y18" s="96" t="str">
        <f t="shared" si="12"/>
        <v>预收了（收的比确认的多，记得补确认产值）</v>
      </c>
      <c r="AX18" s="2">
        <f t="shared" si="13"/>
        <v>46163</v>
      </c>
    </row>
    <row r="19">
      <c r="A19" s="94">
        <f>IF($B19="","",14)</f>
        <v>14</v>
      </c>
      <c r="B19" s="110" t="str">
        <f>IF(项目档案!$B$17="","",HYPERLINK("#'项目账'!C3",项目档案!$B$17&amp;""))</f>
        <v>隆世光伏</v>
      </c>
      <c r="C19" s="96">
        <f>项目档案!$D$17&amp;""</f>
      </c>
      <c r="D19" s="21">
        <f>IF($B19="","",N(项目档案!$E$17))</f>
        <v>0</v>
      </c>
      <c r="E19" s="21">
        <f>IF($B19="","",N(项目档案!$T$17))</f>
        <v>0</v>
      </c>
      <c r="F19" s="21">
        <f>IF($B19="","",SUMIFS(期初余额!$C$5:$C$64,期初余额!$B$5:$B$64,$B19)+_项目汇总!$B$16+_项目汇总!$C$16)</f>
        <v>0</v>
      </c>
      <c r="G19" s="21">
        <f>IF($B19="","",SUMIFS(期初余额!$D$5:$D$64,期初余额!$B$5:$B$64,$B19)+_项目汇总!$D$16+_项目汇总!$E$16+_项目汇总!$F$16+_项目汇总!$G$16)</f>
        <v>120000</v>
      </c>
      <c r="H19" s="22">
        <f t="shared" si="0"/>
      </c>
      <c r="I19" s="21">
        <f>IF($B19="","",_项目汇总!$AV$16)</f>
        <v>-120000</v>
      </c>
      <c r="J19" s="21">
        <f>IF($B19="","",SUMIFS(期初余额!$E$5:$E$64,期初余额!$B$5:$B$64,$B19)+_项目汇总!$H$16+_项目汇总!$I$16)</f>
        <v>0</v>
      </c>
      <c r="K19" s="21">
        <f t="shared" si="1"/>
        <v>0</v>
      </c>
      <c r="L19" s="21">
        <f t="shared" si="2"/>
        <v>0</v>
      </c>
      <c r="M19" s="21">
        <f>IF($B19="","",ROUND(E19*N(项目档案!$H$17),2))</f>
        <v>0</v>
      </c>
      <c r="N19" s="95">
        <f>IF(OR($B19="",NOT(ISNUMBER(项目档案!$I$17))),"",项目档案!$I$17)</f>
      </c>
      <c r="O19" s="21">
        <f t="shared" si="3"/>
        <v>0</v>
      </c>
      <c r="P19" s="95">
        <f t="shared" si="10"/>
        <v>46226.0</v>
      </c>
      <c r="Q19" s="106">
        <f t="shared" si="11"/>
      </c>
      <c r="R19" s="21">
        <f t="shared" si="4"/>
        <v>0</v>
      </c>
      <c r="S19" s="21">
        <f t="shared" si="5"/>
        <v>0</v>
      </c>
      <c r="T19" s="21">
        <f t="shared" si="6"/>
        <v>0</v>
      </c>
      <c r="U19" s="21">
        <f t="shared" si="7"/>
        <v>0</v>
      </c>
      <c r="V19" s="94" t="str">
        <f>项目档案!$M$17&amp;""</f>
        <v>在建</v>
      </c>
      <c r="W19" s="21">
        <f t="shared" si="8"/>
      </c>
      <c r="X19" s="22">
        <f t="shared" si="9"/>
      </c>
      <c r="Y19" s="96" t="str">
        <f t="shared" si="12"/>
        <v>预收了（收的比确认的多，记得补确认产值）</v>
      </c>
      <c r="AX19" s="2">
        <f t="shared" si="13"/>
        <v>46226</v>
      </c>
    </row>
    <row r="20">
      <c r="A20" s="94">
        <f>IF($B20="","",15)</f>
        <v>15</v>
      </c>
      <c r="B20" s="110" t="str">
        <f>IF(项目档案!$B$18="","",HYPERLINK("#'项目账'!C3",项目档案!$B$18&amp;""))</f>
        <v>中国联项目</v>
      </c>
      <c r="C20" s="96">
        <f>项目档案!$D$18&amp;""</f>
      </c>
      <c r="D20" s="21">
        <f>IF($B20="","",N(项目档案!$E$18))</f>
        <v>0</v>
      </c>
      <c r="E20" s="21">
        <f>IF($B20="","",N(项目档案!$T$18))</f>
        <v>0</v>
      </c>
      <c r="F20" s="21">
        <f>IF($B20="","",SUMIFS(期初余额!$C$5:$C$64,期初余额!$B$5:$B$64,$B20)+_项目汇总!$B$17+_项目汇总!$C$17)</f>
        <v>0</v>
      </c>
      <c r="G20" s="21">
        <f>IF($B20="","",SUMIFS(期初余额!$D$5:$D$64,期初余额!$B$5:$B$64,$B20)+_项目汇总!$D$17+_项目汇总!$E$17+_项目汇总!$F$17+_项目汇总!$G$17)</f>
        <v>650862.4</v>
      </c>
      <c r="H20" s="22">
        <f t="shared" si="0"/>
      </c>
      <c r="I20" s="21">
        <f>IF($B20="","",_项目汇总!$AV$17)</f>
        <v>-650862.4</v>
      </c>
      <c r="J20" s="21">
        <f>IF($B20="","",SUMIFS(期初余额!$E$5:$E$64,期初余额!$B$5:$B$64,$B20)+_项目汇总!$H$17+_项目汇总!$I$17)</f>
        <v>0</v>
      </c>
      <c r="K20" s="21">
        <f t="shared" si="1"/>
        <v>0</v>
      </c>
      <c r="L20" s="21">
        <f t="shared" si="2"/>
        <v>0</v>
      </c>
      <c r="M20" s="21">
        <f>IF($B20="","",ROUND(E20*N(项目档案!$H$18),2))</f>
        <v>0</v>
      </c>
      <c r="N20" s="95">
        <f>IF(OR($B20="",NOT(ISNUMBER(项目档案!$I$18))),"",项目档案!$I$18)</f>
      </c>
      <c r="O20" s="21">
        <f t="shared" si="3"/>
        <v>0</v>
      </c>
      <c r="P20" s="95">
        <f t="shared" si="10"/>
        <v>46262.0</v>
      </c>
      <c r="Q20" s="106">
        <f t="shared" si="11"/>
      </c>
      <c r="R20" s="21">
        <f t="shared" si="4"/>
        <v>0</v>
      </c>
      <c r="S20" s="21">
        <f t="shared" si="5"/>
        <v>0</v>
      </c>
      <c r="T20" s="21">
        <f t="shared" si="6"/>
        <v>0</v>
      </c>
      <c r="U20" s="21">
        <f t="shared" si="7"/>
        <v>0</v>
      </c>
      <c r="V20" s="94" t="str">
        <f>项目档案!$M$18&amp;""</f>
        <v>在建</v>
      </c>
      <c r="W20" s="21">
        <f t="shared" si="8"/>
      </c>
      <c r="X20" s="22">
        <f t="shared" si="9"/>
      </c>
      <c r="Y20" s="96" t="str">
        <f t="shared" si="12"/>
        <v>预收了（收的比确认的多，记得补确认产值）</v>
      </c>
      <c r="AX20" s="2">
        <f t="shared" si="13"/>
        <v>46262</v>
      </c>
    </row>
    <row r="21">
      <c r="A21" s="94">
        <f>IF($B21="","",16)</f>
        <v>16</v>
      </c>
      <c r="B21" s="110" t="str">
        <f>IF(项目档案!$B$19="","",HYPERLINK("#'项目账'!C3",项目档案!$B$19&amp;""))</f>
        <v>吴山政府项目</v>
      </c>
      <c r="C21" s="96">
        <f>项目档案!$D$19&amp;""</f>
      </c>
      <c r="D21" s="21">
        <f>IF($B21="","",N(项目档案!$E$19))</f>
        <v>0</v>
      </c>
      <c r="E21" s="21">
        <f>IF($B21="","",N(项目档案!$T$19))</f>
        <v>0</v>
      </c>
      <c r="F21" s="21">
        <f>IF($B21="","",SUMIFS(期初余额!$C$5:$C$64,期初余额!$B$5:$B$64,$B21)+_项目汇总!$B$18+_项目汇总!$C$18)</f>
        <v>0</v>
      </c>
      <c r="G21" s="21">
        <f>IF($B21="","",SUMIFS(期初余额!$D$5:$D$64,期初余额!$B$5:$B$64,$B21)+_项目汇总!$D$18+_项目汇总!$E$18+_项目汇总!$F$18+_项目汇总!$G$18)</f>
        <v>0</v>
      </c>
      <c r="H21" s="22">
        <f t="shared" si="0"/>
      </c>
      <c r="I21" s="21">
        <f>IF($B21="","",_项目汇总!$AV$18)</f>
        <v>0</v>
      </c>
      <c r="J21" s="21">
        <f>IF($B21="","",SUMIFS(期初余额!$E$5:$E$64,期初余额!$B$5:$B$64,$B21)+_项目汇总!$H$18+_项目汇总!$I$18)</f>
        <v>0</v>
      </c>
      <c r="K21" s="21">
        <f t="shared" si="1"/>
        <v>0</v>
      </c>
      <c r="L21" s="21">
        <f t="shared" si="2"/>
        <v>0</v>
      </c>
      <c r="M21" s="21">
        <f>IF($B21="","",ROUND(E21*N(项目档案!$H$19),2))</f>
        <v>0</v>
      </c>
      <c r="N21" s="95">
        <f>IF(OR($B21="",NOT(ISNUMBER(项目档案!$I$19))),"",项目档案!$I$19)</f>
      </c>
      <c r="O21" s="21">
        <f t="shared" si="3"/>
        <v>0</v>
      </c>
      <c r="P21" s="95">
        <f t="shared" si="10"/>
      </c>
      <c r="Q21" s="106">
        <f t="shared" si="11"/>
      </c>
      <c r="R21" s="21">
        <f t="shared" si="4"/>
        <v>0</v>
      </c>
      <c r="S21" s="21">
        <f t="shared" si="5"/>
        <v>0</v>
      </c>
      <c r="T21" s="21">
        <f t="shared" si="6"/>
        <v>0</v>
      </c>
      <c r="U21" s="21">
        <f t="shared" si="7"/>
        <v>0</v>
      </c>
      <c r="V21" s="94" t="str">
        <f>项目档案!$M$19&amp;""</f>
        <v>在建</v>
      </c>
      <c r="W21" s="21">
        <f t="shared" si="8"/>
      </c>
      <c r="X21" s="22">
        <f t="shared" si="9"/>
      </c>
      <c r="Y21" s="96">
        <f t="shared" si="12"/>
      </c>
      <c r="AX21" s="2">
        <f t="shared" si="13"/>
        <v>0</v>
      </c>
    </row>
    <row r="22">
      <c r="A22" s="94">
        <f>IF($B22="","",17)</f>
      </c>
      <c r="B22" s="110">
        <f>IF(项目档案!$B$20="","",HYPERLINK("#'项目账'!C3",项目档案!$B$20&amp;""))</f>
      </c>
      <c r="C22" s="96">
        <f>项目档案!$D$20&amp;""</f>
      </c>
      <c r="D22" s="21">
        <f>IF($B22="","",N(项目档案!$E$20))</f>
      </c>
      <c r="E22" s="21">
        <f>IF($B22="","",N(项目档案!$T$20))</f>
      </c>
      <c r="F22" s="21">
        <f>IF($B22="","",SUMIFS(期初余额!$C$5:$C$64,期初余额!$B$5:$B$64,$B22)+_项目汇总!$B$19+_项目汇总!$C$19)</f>
      </c>
      <c r="G22" s="21">
        <f>IF($B22="","",SUMIFS(期初余额!$D$5:$D$64,期初余额!$B$5:$B$64,$B22)+_项目汇总!$D$19+_项目汇总!$E$19+_项目汇总!$F$19+_项目汇总!$G$19)</f>
      </c>
      <c r="H22" s="22">
        <f t="shared" si="0"/>
      </c>
      <c r="I22" s="21">
        <f>IF($B22="","",_项目汇总!$AV$19)</f>
      </c>
      <c r="J22" s="21">
        <f>IF($B22="","",SUMIFS(期初余额!$E$5:$E$64,期初余额!$B$5:$B$64,$B22)+_项目汇总!$H$19+_项目汇总!$I$19)</f>
      </c>
      <c r="K22" s="21">
        <f t="shared" si="1"/>
      </c>
      <c r="L22" s="21">
        <f t="shared" si="2"/>
      </c>
      <c r="M22" s="21">
        <f>IF($B22="","",ROUND(E22*N(项目档案!$H$20),2))</f>
      </c>
      <c r="N22" s="95">
        <f>IF(OR($B22="",NOT(ISNUMBER(项目档案!$I$20))),"",项目档案!$I$20)</f>
      </c>
      <c r="O22" s="21">
        <f t="shared" si="3"/>
      </c>
      <c r="P22" s="95">
        <f t="shared" si="10"/>
      </c>
      <c r="Q22" s="106">
        <f t="shared" si="11"/>
      </c>
      <c r="R22" s="21">
        <f t="shared" si="4"/>
      </c>
      <c r="S22" s="21">
        <f t="shared" si="5"/>
      </c>
      <c r="T22" s="21">
        <f t="shared" si="6"/>
      </c>
      <c r="U22" s="21">
        <f t="shared" si="7"/>
      </c>
      <c r="V22" s="94">
        <f>项目档案!$M$20&amp;""</f>
      </c>
      <c r="W22" s="21">
        <f t="shared" si="8"/>
      </c>
      <c r="X22" s="22">
        <f t="shared" si="9"/>
      </c>
      <c r="Y22" s="96">
        <f t="shared" si="12"/>
      </c>
      <c r="AX22" s="2">
        <f t="shared" si="13"/>
        <v>0</v>
      </c>
    </row>
    <row r="23">
      <c r="A23" s="94">
        <f>IF($B23="","",18)</f>
      </c>
      <c r="B23" s="110">
        <f>IF(项目档案!$B$21="","",HYPERLINK("#'项目账'!C3",项目档案!$B$21&amp;""))</f>
      </c>
      <c r="C23" s="96">
        <f>项目档案!$D$21&amp;""</f>
      </c>
      <c r="D23" s="21">
        <f>IF($B23="","",N(项目档案!$E$21))</f>
      </c>
      <c r="E23" s="21">
        <f>IF($B23="","",N(项目档案!$T$21))</f>
      </c>
      <c r="F23" s="21">
        <f>IF($B23="","",SUMIFS(期初余额!$C$5:$C$64,期初余额!$B$5:$B$64,$B23)+_项目汇总!$B$20+_项目汇总!$C$20)</f>
      </c>
      <c r="G23" s="21">
        <f>IF($B23="","",SUMIFS(期初余额!$D$5:$D$64,期初余额!$B$5:$B$64,$B23)+_项目汇总!$D$20+_项目汇总!$E$20+_项目汇总!$F$20+_项目汇总!$G$20)</f>
      </c>
      <c r="H23" s="22">
        <f t="shared" si="0"/>
      </c>
      <c r="I23" s="21">
        <f>IF($B23="","",_项目汇总!$AV$20)</f>
      </c>
      <c r="J23" s="21">
        <f>IF($B23="","",SUMIFS(期初余额!$E$5:$E$64,期初余额!$B$5:$B$64,$B23)+_项目汇总!$H$20+_项目汇总!$I$20)</f>
      </c>
      <c r="K23" s="21">
        <f t="shared" si="1"/>
      </c>
      <c r="L23" s="21">
        <f t="shared" si="2"/>
      </c>
      <c r="M23" s="21">
        <f>IF($B23="","",ROUND(E23*N(项目档案!$H$21),2))</f>
      </c>
      <c r="N23" s="95">
        <f>IF(OR($B23="",NOT(ISNUMBER(项目档案!$I$21))),"",项目档案!$I$21)</f>
      </c>
      <c r="O23" s="21">
        <f t="shared" si="3"/>
      </c>
      <c r="P23" s="95">
        <f t="shared" si="10"/>
      </c>
      <c r="Q23" s="106">
        <f t="shared" si="11"/>
      </c>
      <c r="R23" s="21">
        <f t="shared" si="4"/>
      </c>
      <c r="S23" s="21">
        <f t="shared" si="5"/>
      </c>
      <c r="T23" s="21">
        <f t="shared" si="6"/>
      </c>
      <c r="U23" s="21">
        <f t="shared" si="7"/>
      </c>
      <c r="V23" s="94">
        <f>项目档案!$M$21&amp;""</f>
      </c>
      <c r="W23" s="21">
        <f t="shared" si="8"/>
      </c>
      <c r="X23" s="22">
        <f t="shared" si="9"/>
      </c>
      <c r="Y23" s="96">
        <f t="shared" si="12"/>
      </c>
      <c r="AX23" s="2">
        <f t="shared" si="13"/>
        <v>0</v>
      </c>
    </row>
    <row r="24">
      <c r="A24" s="94">
        <f>IF($B24="","",19)</f>
      </c>
      <c r="B24" s="110">
        <f>IF(项目档案!$B$22="","",HYPERLINK("#'项目账'!C3",项目档案!$B$22&amp;""))</f>
      </c>
      <c r="C24" s="96">
        <f>项目档案!$D$22&amp;""</f>
      </c>
      <c r="D24" s="21">
        <f>IF($B24="","",N(项目档案!$E$22))</f>
      </c>
      <c r="E24" s="21">
        <f>IF($B24="","",N(项目档案!$T$22))</f>
      </c>
      <c r="F24" s="21">
        <f>IF($B24="","",SUMIFS(期初余额!$C$5:$C$64,期初余额!$B$5:$B$64,$B24)+_项目汇总!$B$21+_项目汇总!$C$21)</f>
      </c>
      <c r="G24" s="21">
        <f>IF($B24="","",SUMIFS(期初余额!$D$5:$D$64,期初余额!$B$5:$B$64,$B24)+_项目汇总!$D$21+_项目汇总!$E$21+_项目汇总!$F$21+_项目汇总!$G$21)</f>
      </c>
      <c r="H24" s="22">
        <f t="shared" si="0"/>
      </c>
      <c r="I24" s="21">
        <f>IF($B24="","",_项目汇总!$AV$21)</f>
      </c>
      <c r="J24" s="21">
        <f>IF($B24="","",SUMIFS(期初余额!$E$5:$E$64,期初余额!$B$5:$B$64,$B24)+_项目汇总!$H$21+_项目汇总!$I$21)</f>
      </c>
      <c r="K24" s="21">
        <f t="shared" si="1"/>
      </c>
      <c r="L24" s="21">
        <f t="shared" si="2"/>
      </c>
      <c r="M24" s="21">
        <f>IF($B24="","",ROUND(E24*N(项目档案!$H$22),2))</f>
      </c>
      <c r="N24" s="95">
        <f>IF(OR($B24="",NOT(ISNUMBER(项目档案!$I$22))),"",项目档案!$I$22)</f>
      </c>
      <c r="O24" s="21">
        <f t="shared" si="3"/>
      </c>
      <c r="P24" s="95">
        <f t="shared" si="10"/>
      </c>
      <c r="Q24" s="106">
        <f t="shared" si="11"/>
      </c>
      <c r="R24" s="21">
        <f t="shared" si="4"/>
      </c>
      <c r="S24" s="21">
        <f t="shared" si="5"/>
      </c>
      <c r="T24" s="21">
        <f t="shared" si="6"/>
      </c>
      <c r="U24" s="21">
        <f t="shared" si="7"/>
      </c>
      <c r="V24" s="94">
        <f>项目档案!$M$22&amp;""</f>
      </c>
      <c r="W24" s="21">
        <f t="shared" si="8"/>
      </c>
      <c r="X24" s="22">
        <f t="shared" si="9"/>
      </c>
      <c r="Y24" s="96">
        <f t="shared" si="12"/>
      </c>
      <c r="AX24" s="2">
        <f t="shared" si="13"/>
        <v>0</v>
      </c>
    </row>
    <row r="25">
      <c r="A25" s="94">
        <f>IF($B25="","",20)</f>
      </c>
      <c r="B25" s="110">
        <f>IF(项目档案!$B$23="","",HYPERLINK("#'项目账'!C3",项目档案!$B$23&amp;""))</f>
      </c>
      <c r="C25" s="96">
        <f>项目档案!$D$23&amp;""</f>
      </c>
      <c r="D25" s="21">
        <f>IF($B25="","",N(项目档案!$E$23))</f>
      </c>
      <c r="E25" s="21">
        <f>IF($B25="","",N(项目档案!$T$23))</f>
      </c>
      <c r="F25" s="21">
        <f>IF($B25="","",SUMIFS(期初余额!$C$5:$C$64,期初余额!$B$5:$B$64,$B25)+_项目汇总!$B$22+_项目汇总!$C$22)</f>
      </c>
      <c r="G25" s="21">
        <f>IF($B25="","",SUMIFS(期初余额!$D$5:$D$64,期初余额!$B$5:$B$64,$B25)+_项目汇总!$D$22+_项目汇总!$E$22+_项目汇总!$F$22+_项目汇总!$G$22)</f>
      </c>
      <c r="H25" s="22">
        <f t="shared" si="0"/>
      </c>
      <c r="I25" s="21">
        <f>IF($B25="","",_项目汇总!$AV$22)</f>
      </c>
      <c r="J25" s="21">
        <f>IF($B25="","",SUMIFS(期初余额!$E$5:$E$64,期初余额!$B$5:$B$64,$B25)+_项目汇总!$H$22+_项目汇总!$I$22)</f>
      </c>
      <c r="K25" s="21">
        <f t="shared" si="1"/>
      </c>
      <c r="L25" s="21">
        <f t="shared" si="2"/>
      </c>
      <c r="M25" s="21">
        <f>IF($B25="","",ROUND(E25*N(项目档案!$H$23),2))</f>
      </c>
      <c r="N25" s="95">
        <f>IF(OR($B25="",NOT(ISNUMBER(项目档案!$I$23))),"",项目档案!$I$23)</f>
      </c>
      <c r="O25" s="21">
        <f t="shared" si="3"/>
      </c>
      <c r="P25" s="95">
        <f t="shared" si="10"/>
      </c>
      <c r="Q25" s="106">
        <f t="shared" si="11"/>
      </c>
      <c r="R25" s="21">
        <f t="shared" si="4"/>
      </c>
      <c r="S25" s="21">
        <f t="shared" si="5"/>
      </c>
      <c r="T25" s="21">
        <f t="shared" si="6"/>
      </c>
      <c r="U25" s="21">
        <f t="shared" si="7"/>
      </c>
      <c r="V25" s="94">
        <f>项目档案!$M$23&amp;""</f>
      </c>
      <c r="W25" s="21">
        <f t="shared" si="8"/>
      </c>
      <c r="X25" s="22">
        <f t="shared" si="9"/>
      </c>
      <c r="Y25" s="96">
        <f t="shared" si="12"/>
      </c>
      <c r="AX25" s="2">
        <f t="shared" si="13"/>
        <v>0</v>
      </c>
    </row>
    <row r="26">
      <c r="A26" s="94">
        <f>IF($B26="","",21)</f>
      </c>
      <c r="B26" s="110">
        <f>IF(项目档案!$B$24="","",HYPERLINK("#'项目账'!C3",项目档案!$B$24&amp;""))</f>
      </c>
      <c r="C26" s="96">
        <f>项目档案!$D$24&amp;""</f>
      </c>
      <c r="D26" s="21">
        <f>IF($B26="","",N(项目档案!$E$24))</f>
      </c>
      <c r="E26" s="21">
        <f>IF($B26="","",N(项目档案!$T$24))</f>
      </c>
      <c r="F26" s="21">
        <f>IF($B26="","",SUMIFS(期初余额!$C$5:$C$64,期初余额!$B$5:$B$64,$B26)+_项目汇总!$B$23+_项目汇总!$C$23)</f>
      </c>
      <c r="G26" s="21">
        <f>IF($B26="","",SUMIFS(期初余额!$D$5:$D$64,期初余额!$B$5:$B$64,$B26)+_项目汇总!$D$23+_项目汇总!$E$23+_项目汇总!$F$23+_项目汇总!$G$23)</f>
      </c>
      <c r="H26" s="22">
        <f t="shared" si="0"/>
      </c>
      <c r="I26" s="21">
        <f>IF($B26="","",_项目汇总!$AV$23)</f>
      </c>
      <c r="J26" s="21">
        <f>IF($B26="","",SUMIFS(期初余额!$E$5:$E$64,期初余额!$B$5:$B$64,$B26)+_项目汇总!$H$23+_项目汇总!$I$23)</f>
      </c>
      <c r="K26" s="21">
        <f t="shared" si="1"/>
      </c>
      <c r="L26" s="21">
        <f t="shared" si="2"/>
      </c>
      <c r="M26" s="21">
        <f>IF($B26="","",ROUND(E26*N(项目档案!$H$24),2))</f>
      </c>
      <c r="N26" s="95">
        <f>IF(OR($B26="",NOT(ISNUMBER(项目档案!$I$24))),"",项目档案!$I$24)</f>
      </c>
      <c r="O26" s="21">
        <f t="shared" si="3"/>
      </c>
      <c r="P26" s="95">
        <f t="shared" si="10"/>
      </c>
      <c r="Q26" s="106">
        <f t="shared" si="11"/>
      </c>
      <c r="R26" s="21">
        <f t="shared" si="4"/>
      </c>
      <c r="S26" s="21">
        <f t="shared" si="5"/>
      </c>
      <c r="T26" s="21">
        <f t="shared" si="6"/>
      </c>
      <c r="U26" s="21">
        <f t="shared" si="7"/>
      </c>
      <c r="V26" s="94">
        <f>项目档案!$M$24&amp;""</f>
      </c>
      <c r="W26" s="21">
        <f t="shared" si="8"/>
      </c>
      <c r="X26" s="22">
        <f t="shared" si="9"/>
      </c>
      <c r="Y26" s="96">
        <f t="shared" si="12"/>
      </c>
      <c r="AX26" s="2">
        <f t="shared" si="13"/>
        <v>0</v>
      </c>
    </row>
    <row r="27">
      <c r="A27" s="94">
        <f>IF($B27="","",22)</f>
      </c>
      <c r="B27" s="110">
        <f>IF(项目档案!$B$25="","",HYPERLINK("#'项目账'!C3",项目档案!$B$25&amp;""))</f>
      </c>
      <c r="C27" s="96">
        <f>项目档案!$D$25&amp;""</f>
      </c>
      <c r="D27" s="21">
        <f>IF($B27="","",N(项目档案!$E$25))</f>
      </c>
      <c r="E27" s="21">
        <f>IF($B27="","",N(项目档案!$T$25))</f>
      </c>
      <c r="F27" s="21">
        <f>IF($B27="","",SUMIFS(期初余额!$C$5:$C$64,期初余额!$B$5:$B$64,$B27)+_项目汇总!$B$24+_项目汇总!$C$24)</f>
      </c>
      <c r="G27" s="21">
        <f>IF($B27="","",SUMIFS(期初余额!$D$5:$D$64,期初余额!$B$5:$B$64,$B27)+_项目汇总!$D$24+_项目汇总!$E$24+_项目汇总!$F$24+_项目汇总!$G$24)</f>
      </c>
      <c r="H27" s="22">
        <f t="shared" si="0"/>
      </c>
      <c r="I27" s="21">
        <f>IF($B27="","",_项目汇总!$AV$24)</f>
      </c>
      <c r="J27" s="21">
        <f>IF($B27="","",SUMIFS(期初余额!$E$5:$E$64,期初余额!$B$5:$B$64,$B27)+_项目汇总!$H$24+_项目汇总!$I$24)</f>
      </c>
      <c r="K27" s="21">
        <f t="shared" si="1"/>
      </c>
      <c r="L27" s="21">
        <f t="shared" si="2"/>
      </c>
      <c r="M27" s="21">
        <f>IF($B27="","",ROUND(E27*N(项目档案!$H$25),2))</f>
      </c>
      <c r="N27" s="95">
        <f>IF(OR($B27="",NOT(ISNUMBER(项目档案!$I$25))),"",项目档案!$I$25)</f>
      </c>
      <c r="O27" s="21">
        <f t="shared" si="3"/>
      </c>
      <c r="P27" s="95">
        <f t="shared" si="10"/>
      </c>
      <c r="Q27" s="106">
        <f t="shared" si="11"/>
      </c>
      <c r="R27" s="21">
        <f t="shared" si="4"/>
      </c>
      <c r="S27" s="21">
        <f t="shared" si="5"/>
      </c>
      <c r="T27" s="21">
        <f t="shared" si="6"/>
      </c>
      <c r="U27" s="21">
        <f t="shared" si="7"/>
      </c>
      <c r="V27" s="94">
        <f>项目档案!$M$25&amp;""</f>
      </c>
      <c r="W27" s="21">
        <f t="shared" si="8"/>
      </c>
      <c r="X27" s="22">
        <f t="shared" si="9"/>
      </c>
      <c r="Y27" s="96">
        <f t="shared" si="12"/>
      </c>
      <c r="AX27" s="2">
        <f t="shared" si="13"/>
        <v>0</v>
      </c>
    </row>
    <row r="28">
      <c r="A28" s="94">
        <f>IF($B28="","",23)</f>
      </c>
      <c r="B28" s="110">
        <f>IF(项目档案!$B$26="","",HYPERLINK("#'项目账'!C3",项目档案!$B$26&amp;""))</f>
      </c>
      <c r="C28" s="96">
        <f>项目档案!$D$26&amp;""</f>
      </c>
      <c r="D28" s="21">
        <f>IF($B28="","",N(项目档案!$E$26))</f>
      </c>
      <c r="E28" s="21">
        <f>IF($B28="","",N(项目档案!$T$26))</f>
      </c>
      <c r="F28" s="21">
        <f>IF($B28="","",SUMIFS(期初余额!$C$5:$C$64,期初余额!$B$5:$B$64,$B28)+_项目汇总!$B$25+_项目汇总!$C$25)</f>
      </c>
      <c r="G28" s="21">
        <f>IF($B28="","",SUMIFS(期初余额!$D$5:$D$64,期初余额!$B$5:$B$64,$B28)+_项目汇总!$D$25+_项目汇总!$E$25+_项目汇总!$F$25+_项目汇总!$G$25)</f>
      </c>
      <c r="H28" s="22">
        <f t="shared" si="0"/>
      </c>
      <c r="I28" s="21">
        <f>IF($B28="","",_项目汇总!$AV$25)</f>
      </c>
      <c r="J28" s="21">
        <f>IF($B28="","",SUMIFS(期初余额!$E$5:$E$64,期初余额!$B$5:$B$64,$B28)+_项目汇总!$H$25+_项目汇总!$I$25)</f>
      </c>
      <c r="K28" s="21">
        <f t="shared" si="1"/>
      </c>
      <c r="L28" s="21">
        <f t="shared" si="2"/>
      </c>
      <c r="M28" s="21">
        <f>IF($B28="","",ROUND(E28*N(项目档案!$H$26),2))</f>
      </c>
      <c r="N28" s="95">
        <f>IF(OR($B28="",NOT(ISNUMBER(项目档案!$I$26))),"",项目档案!$I$26)</f>
      </c>
      <c r="O28" s="21">
        <f t="shared" si="3"/>
      </c>
      <c r="P28" s="95">
        <f t="shared" si="10"/>
      </c>
      <c r="Q28" s="106">
        <f t="shared" si="11"/>
      </c>
      <c r="R28" s="21">
        <f t="shared" si="4"/>
      </c>
      <c r="S28" s="21">
        <f t="shared" si="5"/>
      </c>
      <c r="T28" s="21">
        <f t="shared" si="6"/>
      </c>
      <c r="U28" s="21">
        <f t="shared" si="7"/>
      </c>
      <c r="V28" s="94">
        <f>项目档案!$M$26&amp;""</f>
      </c>
      <c r="W28" s="21">
        <f t="shared" si="8"/>
      </c>
      <c r="X28" s="22">
        <f t="shared" si="9"/>
      </c>
      <c r="Y28" s="96">
        <f t="shared" si="12"/>
      </c>
      <c r="AX28" s="2">
        <f t="shared" si="13"/>
        <v>0</v>
      </c>
    </row>
    <row r="29">
      <c r="A29" s="94">
        <f>IF($B29="","",24)</f>
      </c>
      <c r="B29" s="110">
        <f>IF(项目档案!$B$27="","",HYPERLINK("#'项目账'!C3",项目档案!$B$27&amp;""))</f>
      </c>
      <c r="C29" s="96">
        <f>项目档案!$D$27&amp;""</f>
      </c>
      <c r="D29" s="21">
        <f>IF($B29="","",N(项目档案!$E$27))</f>
      </c>
      <c r="E29" s="21">
        <f>IF($B29="","",N(项目档案!$T$27))</f>
      </c>
      <c r="F29" s="21">
        <f>IF($B29="","",SUMIFS(期初余额!$C$5:$C$64,期初余额!$B$5:$B$64,$B29)+_项目汇总!$B$26+_项目汇总!$C$26)</f>
      </c>
      <c r="G29" s="21">
        <f>IF($B29="","",SUMIFS(期初余额!$D$5:$D$64,期初余额!$B$5:$B$64,$B29)+_项目汇总!$D$26+_项目汇总!$E$26+_项目汇总!$F$26+_项目汇总!$G$26)</f>
      </c>
      <c r="H29" s="22">
        <f t="shared" si="0"/>
      </c>
      <c r="I29" s="21">
        <f>IF($B29="","",_项目汇总!$AV$26)</f>
      </c>
      <c r="J29" s="21">
        <f>IF($B29="","",SUMIFS(期初余额!$E$5:$E$64,期初余额!$B$5:$B$64,$B29)+_项目汇总!$H$26+_项目汇总!$I$26)</f>
      </c>
      <c r="K29" s="21">
        <f t="shared" si="1"/>
      </c>
      <c r="L29" s="21">
        <f t="shared" si="2"/>
      </c>
      <c r="M29" s="21">
        <f>IF($B29="","",ROUND(E29*N(项目档案!$H$27),2))</f>
      </c>
      <c r="N29" s="95">
        <f>IF(OR($B29="",NOT(ISNUMBER(项目档案!$I$27))),"",项目档案!$I$27)</f>
      </c>
      <c r="O29" s="21">
        <f t="shared" si="3"/>
      </c>
      <c r="P29" s="95">
        <f t="shared" si="10"/>
      </c>
      <c r="Q29" s="106">
        <f t="shared" si="11"/>
      </c>
      <c r="R29" s="21">
        <f t="shared" si="4"/>
      </c>
      <c r="S29" s="21">
        <f t="shared" si="5"/>
      </c>
      <c r="T29" s="21">
        <f t="shared" si="6"/>
      </c>
      <c r="U29" s="21">
        <f t="shared" si="7"/>
      </c>
      <c r="V29" s="94">
        <f>项目档案!$M$27&amp;""</f>
      </c>
      <c r="W29" s="21">
        <f t="shared" si="8"/>
      </c>
      <c r="X29" s="22">
        <f t="shared" si="9"/>
      </c>
      <c r="Y29" s="96">
        <f t="shared" si="12"/>
      </c>
      <c r="AX29" s="2">
        <f t="shared" si="13"/>
        <v>0</v>
      </c>
    </row>
    <row r="30">
      <c r="A30" s="94">
        <f>IF($B30="","",25)</f>
      </c>
      <c r="B30" s="110">
        <f>IF(项目档案!$B$28="","",HYPERLINK("#'项目账'!C3",项目档案!$B$28&amp;""))</f>
      </c>
      <c r="C30" s="96">
        <f>项目档案!$D$28&amp;""</f>
      </c>
      <c r="D30" s="21">
        <f>IF($B30="","",N(项目档案!$E$28))</f>
      </c>
      <c r="E30" s="21">
        <f>IF($B30="","",N(项目档案!$T$28))</f>
      </c>
      <c r="F30" s="21">
        <f>IF($B30="","",SUMIFS(期初余额!$C$5:$C$64,期初余额!$B$5:$B$64,$B30)+_项目汇总!$B$27+_项目汇总!$C$27)</f>
      </c>
      <c r="G30" s="21">
        <f>IF($B30="","",SUMIFS(期初余额!$D$5:$D$64,期初余额!$B$5:$B$64,$B30)+_项目汇总!$D$27+_项目汇总!$E$27+_项目汇总!$F$27+_项目汇总!$G$27)</f>
      </c>
      <c r="H30" s="22">
        <f t="shared" si="0"/>
      </c>
      <c r="I30" s="21">
        <f>IF($B30="","",_项目汇总!$AV$27)</f>
      </c>
      <c r="J30" s="21">
        <f>IF($B30="","",SUMIFS(期初余额!$E$5:$E$64,期初余额!$B$5:$B$64,$B30)+_项目汇总!$H$27+_项目汇总!$I$27)</f>
      </c>
      <c r="K30" s="21">
        <f t="shared" si="1"/>
      </c>
      <c r="L30" s="21">
        <f t="shared" si="2"/>
      </c>
      <c r="M30" s="21">
        <f>IF($B30="","",ROUND(E30*N(项目档案!$H$28),2))</f>
      </c>
      <c r="N30" s="95">
        <f>IF(OR($B30="",NOT(ISNUMBER(项目档案!$I$28))),"",项目档案!$I$28)</f>
      </c>
      <c r="O30" s="21">
        <f t="shared" si="3"/>
      </c>
      <c r="P30" s="95">
        <f t="shared" si="10"/>
      </c>
      <c r="Q30" s="106">
        <f t="shared" si="11"/>
      </c>
      <c r="R30" s="21">
        <f t="shared" si="4"/>
      </c>
      <c r="S30" s="21">
        <f t="shared" si="5"/>
      </c>
      <c r="T30" s="21">
        <f t="shared" si="6"/>
      </c>
      <c r="U30" s="21">
        <f t="shared" si="7"/>
      </c>
      <c r="V30" s="94">
        <f>项目档案!$M$28&amp;""</f>
      </c>
      <c r="W30" s="21">
        <f t="shared" si="8"/>
      </c>
      <c r="X30" s="22">
        <f t="shared" si="9"/>
      </c>
      <c r="Y30" s="96">
        <f t="shared" si="12"/>
      </c>
      <c r="AX30" s="2">
        <f t="shared" si="13"/>
        <v>0</v>
      </c>
    </row>
    <row r="31">
      <c r="A31" s="94">
        <f>IF($B31="","",26)</f>
      </c>
      <c r="B31" s="110">
        <f>IF(项目档案!$B$29="","",HYPERLINK("#'项目账'!C3",项目档案!$B$29&amp;""))</f>
      </c>
      <c r="C31" s="96">
        <f>项目档案!$D$29&amp;""</f>
      </c>
      <c r="D31" s="21">
        <f>IF($B31="","",N(项目档案!$E$29))</f>
      </c>
      <c r="E31" s="21">
        <f>IF($B31="","",N(项目档案!$T$29))</f>
      </c>
      <c r="F31" s="21">
        <f>IF($B31="","",SUMIFS(期初余额!$C$5:$C$64,期初余额!$B$5:$B$64,$B31)+_项目汇总!$B$28+_项目汇总!$C$28)</f>
      </c>
      <c r="G31" s="21">
        <f>IF($B31="","",SUMIFS(期初余额!$D$5:$D$64,期初余额!$B$5:$B$64,$B31)+_项目汇总!$D$28+_项目汇总!$E$28+_项目汇总!$F$28+_项目汇总!$G$28)</f>
      </c>
      <c r="H31" s="22">
        <f t="shared" si="0"/>
      </c>
      <c r="I31" s="21">
        <f>IF($B31="","",_项目汇总!$AV$28)</f>
      </c>
      <c r="J31" s="21">
        <f>IF($B31="","",SUMIFS(期初余额!$E$5:$E$64,期初余额!$B$5:$B$64,$B31)+_项目汇总!$H$28+_项目汇总!$I$28)</f>
      </c>
      <c r="K31" s="21">
        <f t="shared" si="1"/>
      </c>
      <c r="L31" s="21">
        <f t="shared" si="2"/>
      </c>
      <c r="M31" s="21">
        <f>IF($B31="","",ROUND(E31*N(项目档案!$H$29),2))</f>
      </c>
      <c r="N31" s="95">
        <f>IF(OR($B31="",NOT(ISNUMBER(项目档案!$I$29))),"",项目档案!$I$29)</f>
      </c>
      <c r="O31" s="21">
        <f t="shared" si="3"/>
      </c>
      <c r="P31" s="95">
        <f t="shared" si="10"/>
      </c>
      <c r="Q31" s="106">
        <f t="shared" si="11"/>
      </c>
      <c r="R31" s="21">
        <f t="shared" si="4"/>
      </c>
      <c r="S31" s="21">
        <f t="shared" si="5"/>
      </c>
      <c r="T31" s="21">
        <f t="shared" si="6"/>
      </c>
      <c r="U31" s="21">
        <f t="shared" si="7"/>
      </c>
      <c r="V31" s="94">
        <f>项目档案!$M$29&amp;""</f>
      </c>
      <c r="W31" s="21">
        <f t="shared" si="8"/>
      </c>
      <c r="X31" s="22">
        <f t="shared" si="9"/>
      </c>
      <c r="Y31" s="96">
        <f t="shared" si="12"/>
      </c>
      <c r="AX31" s="2">
        <f t="shared" si="13"/>
        <v>0</v>
      </c>
    </row>
    <row r="32">
      <c r="A32" s="94">
        <f>IF($B32="","",27)</f>
      </c>
      <c r="B32" s="110">
        <f>IF(项目档案!$B$30="","",HYPERLINK("#'项目账'!C3",项目档案!$B$30&amp;""))</f>
      </c>
      <c r="C32" s="96">
        <f>项目档案!$D$30&amp;""</f>
      </c>
      <c r="D32" s="21">
        <f>IF($B32="","",N(项目档案!$E$30))</f>
      </c>
      <c r="E32" s="21">
        <f>IF($B32="","",N(项目档案!$T$30))</f>
      </c>
      <c r="F32" s="21">
        <f>IF($B32="","",SUMIFS(期初余额!$C$5:$C$64,期初余额!$B$5:$B$64,$B32)+_项目汇总!$B$29+_项目汇总!$C$29)</f>
      </c>
      <c r="G32" s="21">
        <f>IF($B32="","",SUMIFS(期初余额!$D$5:$D$64,期初余额!$B$5:$B$64,$B32)+_项目汇总!$D$29+_项目汇总!$E$29+_项目汇总!$F$29+_项目汇总!$G$29)</f>
      </c>
      <c r="H32" s="22">
        <f t="shared" si="0"/>
      </c>
      <c r="I32" s="21">
        <f>IF($B32="","",_项目汇总!$AV$29)</f>
      </c>
      <c r="J32" s="21">
        <f>IF($B32="","",SUMIFS(期初余额!$E$5:$E$64,期初余额!$B$5:$B$64,$B32)+_项目汇总!$H$29+_项目汇总!$I$29)</f>
      </c>
      <c r="K32" s="21">
        <f t="shared" si="1"/>
      </c>
      <c r="L32" s="21">
        <f t="shared" si="2"/>
      </c>
      <c r="M32" s="21">
        <f>IF($B32="","",ROUND(E32*N(项目档案!$H$30),2))</f>
      </c>
      <c r="N32" s="95">
        <f>IF(OR($B32="",NOT(ISNUMBER(项目档案!$I$30))),"",项目档案!$I$30)</f>
      </c>
      <c r="O32" s="21">
        <f t="shared" si="3"/>
      </c>
      <c r="P32" s="95">
        <f t="shared" si="10"/>
      </c>
      <c r="Q32" s="106">
        <f t="shared" si="11"/>
      </c>
      <c r="R32" s="21">
        <f t="shared" si="4"/>
      </c>
      <c r="S32" s="21">
        <f t="shared" si="5"/>
      </c>
      <c r="T32" s="21">
        <f t="shared" si="6"/>
      </c>
      <c r="U32" s="21">
        <f t="shared" si="7"/>
      </c>
      <c r="V32" s="94">
        <f>项目档案!$M$30&amp;""</f>
      </c>
      <c r="W32" s="21">
        <f t="shared" si="8"/>
      </c>
      <c r="X32" s="22">
        <f t="shared" si="9"/>
      </c>
      <c r="Y32" s="96">
        <f t="shared" si="12"/>
      </c>
      <c r="AX32" s="2">
        <f t="shared" si="13"/>
        <v>0</v>
      </c>
    </row>
    <row r="33">
      <c r="A33" s="94">
        <f>IF($B33="","",28)</f>
      </c>
      <c r="B33" s="110">
        <f>IF(项目档案!$B$31="","",HYPERLINK("#'项目账'!C3",项目档案!$B$31&amp;""))</f>
      </c>
      <c r="C33" s="96">
        <f>项目档案!$D$31&amp;""</f>
      </c>
      <c r="D33" s="21">
        <f>IF($B33="","",N(项目档案!$E$31))</f>
      </c>
      <c r="E33" s="21">
        <f>IF($B33="","",N(项目档案!$T$31))</f>
      </c>
      <c r="F33" s="21">
        <f>IF($B33="","",SUMIFS(期初余额!$C$5:$C$64,期初余额!$B$5:$B$64,$B33)+_项目汇总!$B$30+_项目汇总!$C$30)</f>
      </c>
      <c r="G33" s="21">
        <f>IF($B33="","",SUMIFS(期初余额!$D$5:$D$64,期初余额!$B$5:$B$64,$B33)+_项目汇总!$D$30+_项目汇总!$E$30+_项目汇总!$F$30+_项目汇总!$G$30)</f>
      </c>
      <c r="H33" s="22">
        <f t="shared" si="0"/>
      </c>
      <c r="I33" s="21">
        <f>IF($B33="","",_项目汇总!$AV$30)</f>
      </c>
      <c r="J33" s="21">
        <f>IF($B33="","",SUMIFS(期初余额!$E$5:$E$64,期初余额!$B$5:$B$64,$B33)+_项目汇总!$H$30+_项目汇总!$I$30)</f>
      </c>
      <c r="K33" s="21">
        <f t="shared" si="1"/>
      </c>
      <c r="L33" s="21">
        <f t="shared" si="2"/>
      </c>
      <c r="M33" s="21">
        <f>IF($B33="","",ROUND(E33*N(项目档案!$H$31),2))</f>
      </c>
      <c r="N33" s="95">
        <f>IF(OR($B33="",NOT(ISNUMBER(项目档案!$I$31))),"",项目档案!$I$31)</f>
      </c>
      <c r="O33" s="21">
        <f t="shared" si="3"/>
      </c>
      <c r="P33" s="95">
        <f t="shared" si="10"/>
      </c>
      <c r="Q33" s="106">
        <f t="shared" si="11"/>
      </c>
      <c r="R33" s="21">
        <f t="shared" si="4"/>
      </c>
      <c r="S33" s="21">
        <f t="shared" si="5"/>
      </c>
      <c r="T33" s="21">
        <f t="shared" si="6"/>
      </c>
      <c r="U33" s="21">
        <f t="shared" si="7"/>
      </c>
      <c r="V33" s="94">
        <f>项目档案!$M$31&amp;""</f>
      </c>
      <c r="W33" s="21">
        <f t="shared" si="8"/>
      </c>
      <c r="X33" s="22">
        <f t="shared" si="9"/>
      </c>
      <c r="Y33" s="96">
        <f t="shared" si="12"/>
      </c>
      <c r="AX33" s="2">
        <f t="shared" si="13"/>
        <v>0</v>
      </c>
    </row>
    <row r="34">
      <c r="A34" s="94">
        <f>IF($B34="","",29)</f>
      </c>
      <c r="B34" s="110">
        <f>IF(项目档案!$B$32="","",HYPERLINK("#'项目账'!C3",项目档案!$B$32&amp;""))</f>
      </c>
      <c r="C34" s="96">
        <f>项目档案!$D$32&amp;""</f>
      </c>
      <c r="D34" s="21">
        <f>IF($B34="","",N(项目档案!$E$32))</f>
      </c>
      <c r="E34" s="21">
        <f>IF($B34="","",N(项目档案!$T$32))</f>
      </c>
      <c r="F34" s="21">
        <f>IF($B34="","",SUMIFS(期初余额!$C$5:$C$64,期初余额!$B$5:$B$64,$B34)+_项目汇总!$B$31+_项目汇总!$C$31)</f>
      </c>
      <c r="G34" s="21">
        <f>IF($B34="","",SUMIFS(期初余额!$D$5:$D$64,期初余额!$B$5:$B$64,$B34)+_项目汇总!$D$31+_项目汇总!$E$31+_项目汇总!$F$31+_项目汇总!$G$31)</f>
      </c>
      <c r="H34" s="22">
        <f t="shared" si="0"/>
      </c>
      <c r="I34" s="21">
        <f>IF($B34="","",_项目汇总!$AV$31)</f>
      </c>
      <c r="J34" s="21">
        <f>IF($B34="","",SUMIFS(期初余额!$E$5:$E$64,期初余额!$B$5:$B$64,$B34)+_项目汇总!$H$31+_项目汇总!$I$31)</f>
      </c>
      <c r="K34" s="21">
        <f t="shared" si="1"/>
      </c>
      <c r="L34" s="21">
        <f t="shared" si="2"/>
      </c>
      <c r="M34" s="21">
        <f>IF($B34="","",ROUND(E34*N(项目档案!$H$32),2))</f>
      </c>
      <c r="N34" s="95">
        <f>IF(OR($B34="",NOT(ISNUMBER(项目档案!$I$32))),"",项目档案!$I$32)</f>
      </c>
      <c r="O34" s="21">
        <f t="shared" si="3"/>
      </c>
      <c r="P34" s="95">
        <f t="shared" si="10"/>
      </c>
      <c r="Q34" s="106">
        <f t="shared" si="11"/>
      </c>
      <c r="R34" s="21">
        <f t="shared" si="4"/>
      </c>
      <c r="S34" s="21">
        <f t="shared" si="5"/>
      </c>
      <c r="T34" s="21">
        <f t="shared" si="6"/>
      </c>
      <c r="U34" s="21">
        <f t="shared" si="7"/>
      </c>
      <c r="V34" s="94">
        <f>项目档案!$M$32&amp;""</f>
      </c>
      <c r="W34" s="21">
        <f t="shared" si="8"/>
      </c>
      <c r="X34" s="22">
        <f t="shared" si="9"/>
      </c>
      <c r="Y34" s="96">
        <f t="shared" si="12"/>
      </c>
      <c r="AX34" s="2">
        <f t="shared" si="13"/>
        <v>0</v>
      </c>
    </row>
    <row r="35">
      <c r="A35" s="94">
        <f>IF($B35="","",30)</f>
      </c>
      <c r="B35" s="110">
        <f>IF(项目档案!$B$33="","",HYPERLINK("#'项目账'!C3",项目档案!$B$33&amp;""))</f>
      </c>
      <c r="C35" s="96">
        <f>项目档案!$D$33&amp;""</f>
      </c>
      <c r="D35" s="21">
        <f>IF($B35="","",N(项目档案!$E$33))</f>
      </c>
      <c r="E35" s="21">
        <f>IF($B35="","",N(项目档案!$T$33))</f>
      </c>
      <c r="F35" s="21">
        <f>IF($B35="","",SUMIFS(期初余额!$C$5:$C$64,期初余额!$B$5:$B$64,$B35)+_项目汇总!$B$32+_项目汇总!$C$32)</f>
      </c>
      <c r="G35" s="21">
        <f>IF($B35="","",SUMIFS(期初余额!$D$5:$D$64,期初余额!$B$5:$B$64,$B35)+_项目汇总!$D$32+_项目汇总!$E$32+_项目汇总!$F$32+_项目汇总!$G$32)</f>
      </c>
      <c r="H35" s="22">
        <f t="shared" si="0"/>
      </c>
      <c r="I35" s="21">
        <f>IF($B35="","",_项目汇总!$AV$32)</f>
      </c>
      <c r="J35" s="21">
        <f>IF($B35="","",SUMIFS(期初余额!$E$5:$E$64,期初余额!$B$5:$B$64,$B35)+_项目汇总!$H$32+_项目汇总!$I$32)</f>
      </c>
      <c r="K35" s="21">
        <f t="shared" si="1"/>
      </c>
      <c r="L35" s="21">
        <f t="shared" si="2"/>
      </c>
      <c r="M35" s="21">
        <f>IF($B35="","",ROUND(E35*N(项目档案!$H$33),2))</f>
      </c>
      <c r="N35" s="95">
        <f>IF(OR($B35="",NOT(ISNUMBER(项目档案!$I$33))),"",项目档案!$I$33)</f>
      </c>
      <c r="O35" s="21">
        <f t="shared" si="3"/>
      </c>
      <c r="P35" s="95">
        <f t="shared" si="10"/>
      </c>
      <c r="Q35" s="106">
        <f t="shared" si="11"/>
      </c>
      <c r="R35" s="21">
        <f t="shared" si="4"/>
      </c>
      <c r="S35" s="21">
        <f t="shared" si="5"/>
      </c>
      <c r="T35" s="21">
        <f t="shared" si="6"/>
      </c>
      <c r="U35" s="21">
        <f t="shared" si="7"/>
      </c>
      <c r="V35" s="94">
        <f>项目档案!$M$33&amp;""</f>
      </c>
      <c r="W35" s="21">
        <f t="shared" si="8"/>
      </c>
      <c r="X35" s="22">
        <f t="shared" si="9"/>
      </c>
      <c r="Y35" s="96">
        <f t="shared" si="12"/>
      </c>
      <c r="AX35" s="2">
        <f t="shared" si="13"/>
        <v>0</v>
      </c>
    </row>
    <row r="36">
      <c r="A36" s="94">
        <f>IF($B36="","",31)</f>
      </c>
      <c r="B36" s="110">
        <f>IF(项目档案!$B$34="","",HYPERLINK("#'项目账'!C3",项目档案!$B$34&amp;""))</f>
      </c>
      <c r="C36" s="96">
        <f>项目档案!$D$34&amp;""</f>
      </c>
      <c r="D36" s="21">
        <f>IF($B36="","",N(项目档案!$E$34))</f>
      </c>
      <c r="E36" s="21">
        <f>IF($B36="","",N(项目档案!$T$34))</f>
      </c>
      <c r="F36" s="21">
        <f>IF($B36="","",SUMIFS(期初余额!$C$5:$C$64,期初余额!$B$5:$B$64,$B36)+_项目汇总!$B$33+_项目汇总!$C$33)</f>
      </c>
      <c r="G36" s="21">
        <f>IF($B36="","",SUMIFS(期初余额!$D$5:$D$64,期初余额!$B$5:$B$64,$B36)+_项目汇总!$D$33+_项目汇总!$E$33+_项目汇总!$F$33+_项目汇总!$G$33)</f>
      </c>
      <c r="H36" s="22">
        <f t="shared" si="0"/>
      </c>
      <c r="I36" s="21">
        <f>IF($B36="","",_项目汇总!$AV$33)</f>
      </c>
      <c r="J36" s="21">
        <f>IF($B36="","",SUMIFS(期初余额!$E$5:$E$64,期初余额!$B$5:$B$64,$B36)+_项目汇总!$H$33+_项目汇总!$I$33)</f>
      </c>
      <c r="K36" s="21">
        <f t="shared" si="1"/>
      </c>
      <c r="L36" s="21">
        <f t="shared" si="2"/>
      </c>
      <c r="M36" s="21">
        <f>IF($B36="","",ROUND(E36*N(项目档案!$H$34),2))</f>
      </c>
      <c r="N36" s="95">
        <f>IF(OR($B36="",NOT(ISNUMBER(项目档案!$I$34))),"",项目档案!$I$34)</f>
      </c>
      <c r="O36" s="21">
        <f t="shared" si="3"/>
      </c>
      <c r="P36" s="95">
        <f t="shared" si="10"/>
      </c>
      <c r="Q36" s="106">
        <f t="shared" si="11"/>
      </c>
      <c r="R36" s="21">
        <f t="shared" si="4"/>
      </c>
      <c r="S36" s="21">
        <f t="shared" si="5"/>
      </c>
      <c r="T36" s="21">
        <f t="shared" si="6"/>
      </c>
      <c r="U36" s="21">
        <f t="shared" si="7"/>
      </c>
      <c r="V36" s="94">
        <f>项目档案!$M$34&amp;""</f>
      </c>
      <c r="W36" s="21">
        <f t="shared" si="8"/>
      </c>
      <c r="X36" s="22">
        <f t="shared" si="9"/>
      </c>
      <c r="Y36" s="96">
        <f t="shared" si="12"/>
      </c>
      <c r="AX36" s="2">
        <f t="shared" si="13"/>
        <v>0</v>
      </c>
    </row>
    <row r="37">
      <c r="A37" s="94">
        <f>IF($B37="","",32)</f>
      </c>
      <c r="B37" s="110">
        <f>IF(项目档案!$B$35="","",HYPERLINK("#'项目账'!C3",项目档案!$B$35&amp;""))</f>
      </c>
      <c r="C37" s="96">
        <f>项目档案!$D$35&amp;""</f>
      </c>
      <c r="D37" s="21">
        <f>IF($B37="","",N(项目档案!$E$35))</f>
      </c>
      <c r="E37" s="21">
        <f>IF($B37="","",N(项目档案!$T$35))</f>
      </c>
      <c r="F37" s="21">
        <f>IF($B37="","",SUMIFS(期初余额!$C$5:$C$64,期初余额!$B$5:$B$64,$B37)+_项目汇总!$B$34+_项目汇总!$C$34)</f>
      </c>
      <c r="G37" s="21">
        <f>IF($B37="","",SUMIFS(期初余额!$D$5:$D$64,期初余额!$B$5:$B$64,$B37)+_项目汇总!$D$34+_项目汇总!$E$34+_项目汇总!$F$34+_项目汇总!$G$34)</f>
      </c>
      <c r="H37" s="22">
        <f t="shared" si="0"/>
      </c>
      <c r="I37" s="21">
        <f>IF($B37="","",_项目汇总!$AV$34)</f>
      </c>
      <c r="J37" s="21">
        <f>IF($B37="","",SUMIFS(期初余额!$E$5:$E$64,期初余额!$B$5:$B$64,$B37)+_项目汇总!$H$34+_项目汇总!$I$34)</f>
      </c>
      <c r="K37" s="21">
        <f t="shared" si="1"/>
      </c>
      <c r="L37" s="21">
        <f t="shared" si="2"/>
      </c>
      <c r="M37" s="21">
        <f>IF($B37="","",ROUND(E37*N(项目档案!$H$35),2))</f>
      </c>
      <c r="N37" s="95">
        <f>IF(OR($B37="",NOT(ISNUMBER(项目档案!$I$35))),"",项目档案!$I$35)</f>
      </c>
      <c r="O37" s="21">
        <f t="shared" si="3"/>
      </c>
      <c r="P37" s="95">
        <f t="shared" si="10"/>
      </c>
      <c r="Q37" s="106">
        <f t="shared" si="11"/>
      </c>
      <c r="R37" s="21">
        <f t="shared" si="4"/>
      </c>
      <c r="S37" s="21">
        <f t="shared" si="5"/>
      </c>
      <c r="T37" s="21">
        <f t="shared" si="6"/>
      </c>
      <c r="U37" s="21">
        <f t="shared" si="7"/>
      </c>
      <c r="V37" s="94">
        <f>项目档案!$M$35&amp;""</f>
      </c>
      <c r="W37" s="21">
        <f t="shared" si="8"/>
      </c>
      <c r="X37" s="22">
        <f t="shared" si="9"/>
      </c>
      <c r="Y37" s="96">
        <f t="shared" si="12"/>
      </c>
      <c r="AX37" s="2">
        <f t="shared" si="13"/>
        <v>0</v>
      </c>
    </row>
    <row r="38">
      <c r="A38" s="94">
        <f>IF($B38="","",33)</f>
      </c>
      <c r="B38" s="110">
        <f>IF(项目档案!$B$36="","",HYPERLINK("#'项目账'!C3",项目档案!$B$36&amp;""))</f>
      </c>
      <c r="C38" s="96">
        <f>项目档案!$D$36&amp;""</f>
      </c>
      <c r="D38" s="21">
        <f>IF($B38="","",N(项目档案!$E$36))</f>
      </c>
      <c r="E38" s="21">
        <f>IF($B38="","",N(项目档案!$T$36))</f>
      </c>
      <c r="F38" s="21">
        <f>IF($B38="","",SUMIFS(期初余额!$C$5:$C$64,期初余额!$B$5:$B$64,$B38)+_项目汇总!$B$35+_项目汇总!$C$35)</f>
      </c>
      <c r="G38" s="21">
        <f>IF($B38="","",SUMIFS(期初余额!$D$5:$D$64,期初余额!$B$5:$B$64,$B38)+_项目汇总!$D$35+_项目汇总!$E$35+_项目汇总!$F$35+_项目汇总!$G$35)</f>
      </c>
      <c r="H38" s="22">
        <f t="shared" si="0"/>
      </c>
      <c r="I38" s="21">
        <f>IF($B38="","",_项目汇总!$AV$35)</f>
      </c>
      <c r="J38" s="21">
        <f>IF($B38="","",SUMIFS(期初余额!$E$5:$E$64,期初余额!$B$5:$B$64,$B38)+_项目汇总!$H$35+_项目汇总!$I$35)</f>
      </c>
      <c r="K38" s="21">
        <f t="shared" si="1"/>
      </c>
      <c r="L38" s="21">
        <f t="shared" si="2"/>
      </c>
      <c r="M38" s="21">
        <f>IF($B38="","",ROUND(E38*N(项目档案!$H$36),2))</f>
      </c>
      <c r="N38" s="95">
        <f>IF(OR($B38="",NOT(ISNUMBER(项目档案!$I$36))),"",项目档案!$I$36)</f>
      </c>
      <c r="O38" s="21">
        <f t="shared" si="3"/>
      </c>
      <c r="P38" s="95">
        <f t="shared" si="10"/>
      </c>
      <c r="Q38" s="106">
        <f t="shared" si="11"/>
      </c>
      <c r="R38" s="21">
        <f t="shared" si="4"/>
      </c>
      <c r="S38" s="21">
        <f t="shared" si="5"/>
      </c>
      <c r="T38" s="21">
        <f t="shared" si="6"/>
      </c>
      <c r="U38" s="21">
        <f t="shared" si="7"/>
      </c>
      <c r="V38" s="94">
        <f>项目档案!$M$36&amp;""</f>
      </c>
      <c r="W38" s="21">
        <f t="shared" si="8"/>
      </c>
      <c r="X38" s="22">
        <f t="shared" si="9"/>
      </c>
      <c r="Y38" s="96">
        <f t="shared" si="12"/>
      </c>
      <c r="AX38" s="2">
        <f t="shared" si="13"/>
        <v>0</v>
      </c>
    </row>
    <row r="39">
      <c r="A39" s="94">
        <f>IF($B39="","",34)</f>
      </c>
      <c r="B39" s="110">
        <f>IF(项目档案!$B$37="","",HYPERLINK("#'项目账'!C3",项目档案!$B$37&amp;""))</f>
      </c>
      <c r="C39" s="96">
        <f>项目档案!$D$37&amp;""</f>
      </c>
      <c r="D39" s="21">
        <f>IF($B39="","",N(项目档案!$E$37))</f>
      </c>
      <c r="E39" s="21">
        <f>IF($B39="","",N(项目档案!$T$37))</f>
      </c>
      <c r="F39" s="21">
        <f>IF($B39="","",SUMIFS(期初余额!$C$5:$C$64,期初余额!$B$5:$B$64,$B39)+_项目汇总!$B$36+_项目汇总!$C$36)</f>
      </c>
      <c r="G39" s="21">
        <f>IF($B39="","",SUMIFS(期初余额!$D$5:$D$64,期初余额!$B$5:$B$64,$B39)+_项目汇总!$D$36+_项目汇总!$E$36+_项目汇总!$F$36+_项目汇总!$G$36)</f>
      </c>
      <c r="H39" s="22">
        <f t="shared" si="0"/>
      </c>
      <c r="I39" s="21">
        <f>IF($B39="","",_项目汇总!$AV$36)</f>
      </c>
      <c r="J39" s="21">
        <f>IF($B39="","",SUMIFS(期初余额!$E$5:$E$64,期初余额!$B$5:$B$64,$B39)+_项目汇总!$H$36+_项目汇总!$I$36)</f>
      </c>
      <c r="K39" s="21">
        <f t="shared" si="1"/>
      </c>
      <c r="L39" s="21">
        <f t="shared" si="2"/>
      </c>
      <c r="M39" s="21">
        <f>IF($B39="","",ROUND(E39*N(项目档案!$H$37),2))</f>
      </c>
      <c r="N39" s="95">
        <f>IF(OR($B39="",NOT(ISNUMBER(项目档案!$I$37))),"",项目档案!$I$37)</f>
      </c>
      <c r="O39" s="21">
        <f t="shared" si="3"/>
      </c>
      <c r="P39" s="95">
        <f t="shared" si="10"/>
      </c>
      <c r="Q39" s="106">
        <f t="shared" si="11"/>
      </c>
      <c r="R39" s="21">
        <f t="shared" si="4"/>
      </c>
      <c r="S39" s="21">
        <f t="shared" si="5"/>
      </c>
      <c r="T39" s="21">
        <f t="shared" si="6"/>
      </c>
      <c r="U39" s="21">
        <f t="shared" si="7"/>
      </c>
      <c r="V39" s="94">
        <f>项目档案!$M$37&amp;""</f>
      </c>
      <c r="W39" s="21">
        <f t="shared" si="8"/>
      </c>
      <c r="X39" s="22">
        <f t="shared" si="9"/>
      </c>
      <c r="Y39" s="96">
        <f t="shared" si="12"/>
      </c>
      <c r="AX39" s="2">
        <f t="shared" si="13"/>
        <v>0</v>
      </c>
    </row>
    <row r="40">
      <c r="A40" s="94">
        <f>IF($B40="","",35)</f>
      </c>
      <c r="B40" s="110">
        <f>IF(项目档案!$B$38="","",HYPERLINK("#'项目账'!C3",项目档案!$B$38&amp;""))</f>
      </c>
      <c r="C40" s="96">
        <f>项目档案!$D$38&amp;""</f>
      </c>
      <c r="D40" s="21">
        <f>IF($B40="","",N(项目档案!$E$38))</f>
      </c>
      <c r="E40" s="21">
        <f>IF($B40="","",N(项目档案!$T$38))</f>
      </c>
      <c r="F40" s="21">
        <f>IF($B40="","",SUMIFS(期初余额!$C$5:$C$64,期初余额!$B$5:$B$64,$B40)+_项目汇总!$B$37+_项目汇总!$C$37)</f>
      </c>
      <c r="G40" s="21">
        <f>IF($B40="","",SUMIFS(期初余额!$D$5:$D$64,期初余额!$B$5:$B$64,$B40)+_项目汇总!$D$37+_项目汇总!$E$37+_项目汇总!$F$37+_项目汇总!$G$37)</f>
      </c>
      <c r="H40" s="22">
        <f t="shared" si="0"/>
      </c>
      <c r="I40" s="21">
        <f>IF($B40="","",_项目汇总!$AV$37)</f>
      </c>
      <c r="J40" s="21">
        <f>IF($B40="","",SUMIFS(期初余额!$E$5:$E$64,期初余额!$B$5:$B$64,$B40)+_项目汇总!$H$37+_项目汇总!$I$37)</f>
      </c>
      <c r="K40" s="21">
        <f t="shared" si="1"/>
      </c>
      <c r="L40" s="21">
        <f t="shared" si="2"/>
      </c>
      <c r="M40" s="21">
        <f>IF($B40="","",ROUND(E40*N(项目档案!$H$38),2))</f>
      </c>
      <c r="N40" s="95">
        <f>IF(OR($B40="",NOT(ISNUMBER(项目档案!$I$38))),"",项目档案!$I$38)</f>
      </c>
      <c r="O40" s="21">
        <f t="shared" si="3"/>
      </c>
      <c r="P40" s="95">
        <f t="shared" si="10"/>
      </c>
      <c r="Q40" s="106">
        <f t="shared" si="11"/>
      </c>
      <c r="R40" s="21">
        <f t="shared" si="4"/>
      </c>
      <c r="S40" s="21">
        <f t="shared" si="5"/>
      </c>
      <c r="T40" s="21">
        <f t="shared" si="6"/>
      </c>
      <c r="U40" s="21">
        <f t="shared" si="7"/>
      </c>
      <c r="V40" s="94">
        <f>项目档案!$M$38&amp;""</f>
      </c>
      <c r="W40" s="21">
        <f t="shared" si="8"/>
      </c>
      <c r="X40" s="22">
        <f t="shared" si="9"/>
      </c>
      <c r="Y40" s="96">
        <f t="shared" si="12"/>
      </c>
      <c r="AX40" s="2">
        <f t="shared" si="13"/>
        <v>0</v>
      </c>
    </row>
    <row r="41">
      <c r="A41" s="94">
        <f>IF($B41="","",36)</f>
      </c>
      <c r="B41" s="110">
        <f>IF(项目档案!$B$39="","",HYPERLINK("#'项目账'!C3",项目档案!$B$39&amp;""))</f>
      </c>
      <c r="C41" s="96">
        <f>项目档案!$D$39&amp;""</f>
      </c>
      <c r="D41" s="21">
        <f>IF($B41="","",N(项目档案!$E$39))</f>
      </c>
      <c r="E41" s="21">
        <f>IF($B41="","",N(项目档案!$T$39))</f>
      </c>
      <c r="F41" s="21">
        <f>IF($B41="","",SUMIFS(期初余额!$C$5:$C$64,期初余额!$B$5:$B$64,$B41)+_项目汇总!$B$38+_项目汇总!$C$38)</f>
      </c>
      <c r="G41" s="21">
        <f>IF($B41="","",SUMIFS(期初余额!$D$5:$D$64,期初余额!$B$5:$B$64,$B41)+_项目汇总!$D$38+_项目汇总!$E$38+_项目汇总!$F$38+_项目汇总!$G$38)</f>
      </c>
      <c r="H41" s="22">
        <f t="shared" si="0"/>
      </c>
      <c r="I41" s="21">
        <f>IF($B41="","",_项目汇总!$AV$38)</f>
      </c>
      <c r="J41" s="21">
        <f>IF($B41="","",SUMIFS(期初余额!$E$5:$E$64,期初余额!$B$5:$B$64,$B41)+_项目汇总!$H$38+_项目汇总!$I$38)</f>
      </c>
      <c r="K41" s="21">
        <f t="shared" si="1"/>
      </c>
      <c r="L41" s="21">
        <f t="shared" si="2"/>
      </c>
      <c r="M41" s="21">
        <f>IF($B41="","",ROUND(E41*N(项目档案!$H$39),2))</f>
      </c>
      <c r="N41" s="95">
        <f>IF(OR($B41="",NOT(ISNUMBER(项目档案!$I$39))),"",项目档案!$I$39)</f>
      </c>
      <c r="O41" s="21">
        <f t="shared" si="3"/>
      </c>
      <c r="P41" s="95">
        <f t="shared" si="10"/>
      </c>
      <c r="Q41" s="106">
        <f t="shared" si="11"/>
      </c>
      <c r="R41" s="21">
        <f t="shared" si="4"/>
      </c>
      <c r="S41" s="21">
        <f t="shared" si="5"/>
      </c>
      <c r="T41" s="21">
        <f t="shared" si="6"/>
      </c>
      <c r="U41" s="21">
        <f t="shared" si="7"/>
      </c>
      <c r="V41" s="94">
        <f>项目档案!$M$39&amp;""</f>
      </c>
      <c r="W41" s="21">
        <f t="shared" si="8"/>
      </c>
      <c r="X41" s="22">
        <f t="shared" si="9"/>
      </c>
      <c r="Y41" s="96">
        <f t="shared" si="12"/>
      </c>
      <c r="AX41" s="2">
        <f t="shared" si="13"/>
        <v>0</v>
      </c>
    </row>
    <row r="42">
      <c r="A42" s="94">
        <f>IF($B42="","",37)</f>
      </c>
      <c r="B42" s="110">
        <f>IF(项目档案!$B$40="","",HYPERLINK("#'项目账'!C3",项目档案!$B$40&amp;""))</f>
      </c>
      <c r="C42" s="96">
        <f>项目档案!$D$40&amp;""</f>
      </c>
      <c r="D42" s="21">
        <f>IF($B42="","",N(项目档案!$E$40))</f>
      </c>
      <c r="E42" s="21">
        <f>IF($B42="","",N(项目档案!$T$40))</f>
      </c>
      <c r="F42" s="21">
        <f>IF($B42="","",SUMIFS(期初余额!$C$5:$C$64,期初余额!$B$5:$B$64,$B42)+_项目汇总!$B$39+_项目汇总!$C$39)</f>
      </c>
      <c r="G42" s="21">
        <f>IF($B42="","",SUMIFS(期初余额!$D$5:$D$64,期初余额!$B$5:$B$64,$B42)+_项目汇总!$D$39+_项目汇总!$E$39+_项目汇总!$F$39+_项目汇总!$G$39)</f>
      </c>
      <c r="H42" s="22">
        <f t="shared" si="0"/>
      </c>
      <c r="I42" s="21">
        <f>IF($B42="","",_项目汇总!$AV$39)</f>
      </c>
      <c r="J42" s="21">
        <f>IF($B42="","",SUMIFS(期初余额!$E$5:$E$64,期初余额!$B$5:$B$64,$B42)+_项目汇总!$H$39+_项目汇总!$I$39)</f>
      </c>
      <c r="K42" s="21">
        <f t="shared" si="1"/>
      </c>
      <c r="L42" s="21">
        <f t="shared" si="2"/>
      </c>
      <c r="M42" s="21">
        <f>IF($B42="","",ROUND(E42*N(项目档案!$H$40),2))</f>
      </c>
      <c r="N42" s="95">
        <f>IF(OR($B42="",NOT(ISNUMBER(项目档案!$I$40))),"",项目档案!$I$40)</f>
      </c>
      <c r="O42" s="21">
        <f t="shared" si="3"/>
      </c>
      <c r="P42" s="95">
        <f t="shared" si="10"/>
      </c>
      <c r="Q42" s="106">
        <f t="shared" si="11"/>
      </c>
      <c r="R42" s="21">
        <f t="shared" si="4"/>
      </c>
      <c r="S42" s="21">
        <f t="shared" si="5"/>
      </c>
      <c r="T42" s="21">
        <f t="shared" si="6"/>
      </c>
      <c r="U42" s="21">
        <f t="shared" si="7"/>
      </c>
      <c r="V42" s="94">
        <f>项目档案!$M$40&amp;""</f>
      </c>
      <c r="W42" s="21">
        <f t="shared" si="8"/>
      </c>
      <c r="X42" s="22">
        <f t="shared" si="9"/>
      </c>
      <c r="Y42" s="96">
        <f t="shared" si="12"/>
      </c>
      <c r="AX42" s="2">
        <f t="shared" si="13"/>
        <v>0</v>
      </c>
    </row>
    <row r="43">
      <c r="A43" s="94">
        <f>IF($B43="","",38)</f>
      </c>
      <c r="B43" s="110">
        <f>IF(项目档案!$B$41="","",HYPERLINK("#'项目账'!C3",项目档案!$B$41&amp;""))</f>
      </c>
      <c r="C43" s="96">
        <f>项目档案!$D$41&amp;""</f>
      </c>
      <c r="D43" s="21">
        <f>IF($B43="","",N(项目档案!$E$41))</f>
      </c>
      <c r="E43" s="21">
        <f>IF($B43="","",N(项目档案!$T$41))</f>
      </c>
      <c r="F43" s="21">
        <f>IF($B43="","",SUMIFS(期初余额!$C$5:$C$64,期初余额!$B$5:$B$64,$B43)+_项目汇总!$B$40+_项目汇总!$C$40)</f>
      </c>
      <c r="G43" s="21">
        <f>IF($B43="","",SUMIFS(期初余额!$D$5:$D$64,期初余额!$B$5:$B$64,$B43)+_项目汇总!$D$40+_项目汇总!$E$40+_项目汇总!$F$40+_项目汇总!$G$40)</f>
      </c>
      <c r="H43" s="22">
        <f t="shared" si="0"/>
      </c>
      <c r="I43" s="21">
        <f>IF($B43="","",_项目汇总!$AV$40)</f>
      </c>
      <c r="J43" s="21">
        <f>IF($B43="","",SUMIFS(期初余额!$E$5:$E$64,期初余额!$B$5:$B$64,$B43)+_项目汇总!$H$40+_项目汇总!$I$40)</f>
      </c>
      <c r="K43" s="21">
        <f t="shared" si="1"/>
      </c>
      <c r="L43" s="21">
        <f t="shared" si="2"/>
      </c>
      <c r="M43" s="21">
        <f>IF($B43="","",ROUND(E43*N(项目档案!$H$41),2))</f>
      </c>
      <c r="N43" s="95">
        <f>IF(OR($B43="",NOT(ISNUMBER(项目档案!$I$41))),"",项目档案!$I$41)</f>
      </c>
      <c r="O43" s="21">
        <f t="shared" si="3"/>
      </c>
      <c r="P43" s="95">
        <f t="shared" si="10"/>
      </c>
      <c r="Q43" s="106">
        <f t="shared" si="11"/>
      </c>
      <c r="R43" s="21">
        <f t="shared" si="4"/>
      </c>
      <c r="S43" s="21">
        <f t="shared" si="5"/>
      </c>
      <c r="T43" s="21">
        <f t="shared" si="6"/>
      </c>
      <c r="U43" s="21">
        <f t="shared" si="7"/>
      </c>
      <c r="V43" s="94">
        <f>项目档案!$M$41&amp;""</f>
      </c>
      <c r="W43" s="21">
        <f t="shared" si="8"/>
      </c>
      <c r="X43" s="22">
        <f t="shared" si="9"/>
      </c>
      <c r="Y43" s="96">
        <f t="shared" si="12"/>
      </c>
      <c r="AX43" s="2">
        <f t="shared" si="13"/>
        <v>0</v>
      </c>
    </row>
    <row r="44">
      <c r="A44" s="94">
        <f>IF($B44="","",39)</f>
      </c>
      <c r="B44" s="110">
        <f>IF(项目档案!$B$42="","",HYPERLINK("#'项目账'!C3",项目档案!$B$42&amp;""))</f>
      </c>
      <c r="C44" s="96">
        <f>项目档案!$D$42&amp;""</f>
      </c>
      <c r="D44" s="21">
        <f>IF($B44="","",N(项目档案!$E$42))</f>
      </c>
      <c r="E44" s="21">
        <f>IF($B44="","",N(项目档案!$T$42))</f>
      </c>
      <c r="F44" s="21">
        <f>IF($B44="","",SUMIFS(期初余额!$C$5:$C$64,期初余额!$B$5:$B$64,$B44)+_项目汇总!$B$41+_项目汇总!$C$41)</f>
      </c>
      <c r="G44" s="21">
        <f>IF($B44="","",SUMIFS(期初余额!$D$5:$D$64,期初余额!$B$5:$B$64,$B44)+_项目汇总!$D$41+_项目汇总!$E$41+_项目汇总!$F$41+_项目汇总!$G$41)</f>
      </c>
      <c r="H44" s="22">
        <f t="shared" si="0"/>
      </c>
      <c r="I44" s="21">
        <f>IF($B44="","",_项目汇总!$AV$41)</f>
      </c>
      <c r="J44" s="21">
        <f>IF($B44="","",SUMIFS(期初余额!$E$5:$E$64,期初余额!$B$5:$B$64,$B44)+_项目汇总!$H$41+_项目汇总!$I$41)</f>
      </c>
      <c r="K44" s="21">
        <f t="shared" si="1"/>
      </c>
      <c r="L44" s="21">
        <f t="shared" si="2"/>
      </c>
      <c r="M44" s="21">
        <f>IF($B44="","",ROUND(E44*N(项目档案!$H$42),2))</f>
      </c>
      <c r="N44" s="95">
        <f>IF(OR($B44="",NOT(ISNUMBER(项目档案!$I$42))),"",项目档案!$I$42)</f>
      </c>
      <c r="O44" s="21">
        <f t="shared" si="3"/>
      </c>
      <c r="P44" s="95">
        <f t="shared" si="10"/>
      </c>
      <c r="Q44" s="106">
        <f t="shared" si="11"/>
      </c>
      <c r="R44" s="21">
        <f t="shared" si="4"/>
      </c>
      <c r="S44" s="21">
        <f t="shared" si="5"/>
      </c>
      <c r="T44" s="21">
        <f t="shared" si="6"/>
      </c>
      <c r="U44" s="21">
        <f t="shared" si="7"/>
      </c>
      <c r="V44" s="94">
        <f>项目档案!$M$42&amp;""</f>
      </c>
      <c r="W44" s="21">
        <f t="shared" si="8"/>
      </c>
      <c r="X44" s="22">
        <f t="shared" si="9"/>
      </c>
      <c r="Y44" s="96">
        <f t="shared" si="12"/>
      </c>
      <c r="AX44" s="2">
        <f t="shared" si="13"/>
        <v>0</v>
      </c>
    </row>
    <row r="45">
      <c r="A45" s="94">
        <f>IF($B45="","",40)</f>
      </c>
      <c r="B45" s="110">
        <f>IF(项目档案!$B$43="","",HYPERLINK("#'项目账'!C3",项目档案!$B$43&amp;""))</f>
      </c>
      <c r="C45" s="96">
        <f>项目档案!$D$43&amp;""</f>
      </c>
      <c r="D45" s="21">
        <f>IF($B45="","",N(项目档案!$E$43))</f>
      </c>
      <c r="E45" s="21">
        <f>IF($B45="","",N(项目档案!$T$43))</f>
      </c>
      <c r="F45" s="21">
        <f>IF($B45="","",SUMIFS(期初余额!$C$5:$C$64,期初余额!$B$5:$B$64,$B45)+_项目汇总!$B$42+_项目汇总!$C$42)</f>
      </c>
      <c r="G45" s="21">
        <f>IF($B45="","",SUMIFS(期初余额!$D$5:$D$64,期初余额!$B$5:$B$64,$B45)+_项目汇总!$D$42+_项目汇总!$E$42+_项目汇总!$F$42+_项目汇总!$G$42)</f>
      </c>
      <c r="H45" s="22">
        <f t="shared" si="0"/>
      </c>
      <c r="I45" s="21">
        <f>IF($B45="","",_项目汇总!$AV$42)</f>
      </c>
      <c r="J45" s="21">
        <f>IF($B45="","",SUMIFS(期初余额!$E$5:$E$64,期初余额!$B$5:$B$64,$B45)+_项目汇总!$H$42+_项目汇总!$I$42)</f>
      </c>
      <c r="K45" s="21">
        <f t="shared" si="1"/>
      </c>
      <c r="L45" s="21">
        <f t="shared" si="2"/>
      </c>
      <c r="M45" s="21">
        <f>IF($B45="","",ROUND(E45*N(项目档案!$H$43),2))</f>
      </c>
      <c r="N45" s="95">
        <f>IF(OR($B45="",NOT(ISNUMBER(项目档案!$I$43))),"",项目档案!$I$43)</f>
      </c>
      <c r="O45" s="21">
        <f t="shared" si="3"/>
      </c>
      <c r="P45" s="95">
        <f t="shared" si="10"/>
      </c>
      <c r="Q45" s="106">
        <f t="shared" si="11"/>
      </c>
      <c r="R45" s="21">
        <f t="shared" si="4"/>
      </c>
      <c r="S45" s="21">
        <f t="shared" si="5"/>
      </c>
      <c r="T45" s="21">
        <f t="shared" si="6"/>
      </c>
      <c r="U45" s="21">
        <f t="shared" si="7"/>
      </c>
      <c r="V45" s="94">
        <f>项目档案!$M$43&amp;""</f>
      </c>
      <c r="W45" s="21">
        <f t="shared" si="8"/>
      </c>
      <c r="X45" s="22">
        <f t="shared" si="9"/>
      </c>
      <c r="Y45" s="96">
        <f t="shared" si="12"/>
      </c>
      <c r="AX45" s="2">
        <f t="shared" si="13"/>
        <v>0</v>
      </c>
    </row>
    <row r="46">
      <c r="A46" s="94">
        <f>IF($B46="","",41)</f>
      </c>
      <c r="B46" s="110">
        <f>IF(项目档案!$B$44="","",HYPERLINK("#'项目账'!C3",项目档案!$B$44&amp;""))</f>
      </c>
      <c r="C46" s="96">
        <f>项目档案!$D$44&amp;""</f>
      </c>
      <c r="D46" s="21">
        <f>IF($B46="","",N(项目档案!$E$44))</f>
      </c>
      <c r="E46" s="21">
        <f>IF($B46="","",N(项目档案!$T$44))</f>
      </c>
      <c r="F46" s="21">
        <f>IF($B46="","",SUMIFS(期初余额!$C$5:$C$64,期初余额!$B$5:$B$64,$B46)+_项目汇总!$B$43+_项目汇总!$C$43)</f>
      </c>
      <c r="G46" s="21">
        <f>IF($B46="","",SUMIFS(期初余额!$D$5:$D$64,期初余额!$B$5:$B$64,$B46)+_项目汇总!$D$43+_项目汇总!$E$43+_项目汇总!$F$43+_项目汇总!$G$43)</f>
      </c>
      <c r="H46" s="22">
        <f t="shared" si="0"/>
      </c>
      <c r="I46" s="21">
        <f>IF($B46="","",_项目汇总!$AV$43)</f>
      </c>
      <c r="J46" s="21">
        <f>IF($B46="","",SUMIFS(期初余额!$E$5:$E$64,期初余额!$B$5:$B$64,$B46)+_项目汇总!$H$43+_项目汇总!$I$43)</f>
      </c>
      <c r="K46" s="21">
        <f t="shared" si="1"/>
      </c>
      <c r="L46" s="21">
        <f t="shared" si="2"/>
      </c>
      <c r="M46" s="21">
        <f>IF($B46="","",ROUND(E46*N(项目档案!$H$44),2))</f>
      </c>
      <c r="N46" s="95">
        <f>IF(OR($B46="",NOT(ISNUMBER(项目档案!$I$44))),"",项目档案!$I$44)</f>
      </c>
      <c r="O46" s="21">
        <f t="shared" si="3"/>
      </c>
      <c r="P46" s="95">
        <f t="shared" si="10"/>
      </c>
      <c r="Q46" s="106">
        <f t="shared" si="11"/>
      </c>
      <c r="R46" s="21">
        <f t="shared" si="4"/>
      </c>
      <c r="S46" s="21">
        <f t="shared" si="5"/>
      </c>
      <c r="T46" s="21">
        <f t="shared" si="6"/>
      </c>
      <c r="U46" s="21">
        <f t="shared" si="7"/>
      </c>
      <c r="V46" s="94">
        <f>项目档案!$M$44&amp;""</f>
      </c>
      <c r="W46" s="21">
        <f t="shared" si="8"/>
      </c>
      <c r="X46" s="22">
        <f t="shared" si="9"/>
      </c>
      <c r="Y46" s="96">
        <f t="shared" si="12"/>
      </c>
      <c r="AX46" s="2">
        <f t="shared" si="13"/>
        <v>0</v>
      </c>
    </row>
    <row r="47">
      <c r="A47" s="94">
        <f>IF($B47="","",42)</f>
      </c>
      <c r="B47" s="110">
        <f>IF(项目档案!$B$45="","",HYPERLINK("#'项目账'!C3",项目档案!$B$45&amp;""))</f>
      </c>
      <c r="C47" s="96">
        <f>项目档案!$D$45&amp;""</f>
      </c>
      <c r="D47" s="21">
        <f>IF($B47="","",N(项目档案!$E$45))</f>
      </c>
      <c r="E47" s="21">
        <f>IF($B47="","",N(项目档案!$T$45))</f>
      </c>
      <c r="F47" s="21">
        <f>IF($B47="","",SUMIFS(期初余额!$C$5:$C$64,期初余额!$B$5:$B$64,$B47)+_项目汇总!$B$44+_项目汇总!$C$44)</f>
      </c>
      <c r="G47" s="21">
        <f>IF($B47="","",SUMIFS(期初余额!$D$5:$D$64,期初余额!$B$5:$B$64,$B47)+_项目汇总!$D$44+_项目汇总!$E$44+_项目汇总!$F$44+_项目汇总!$G$44)</f>
      </c>
      <c r="H47" s="22">
        <f t="shared" si="0"/>
      </c>
      <c r="I47" s="21">
        <f>IF($B47="","",_项目汇总!$AV$44)</f>
      </c>
      <c r="J47" s="21">
        <f>IF($B47="","",SUMIFS(期初余额!$E$5:$E$64,期初余额!$B$5:$B$64,$B47)+_项目汇总!$H$44+_项目汇总!$I$44)</f>
      </c>
      <c r="K47" s="21">
        <f t="shared" si="1"/>
      </c>
      <c r="L47" s="21">
        <f t="shared" si="2"/>
      </c>
      <c r="M47" s="21">
        <f>IF($B47="","",ROUND(E47*N(项目档案!$H$45),2))</f>
      </c>
      <c r="N47" s="95">
        <f>IF(OR($B47="",NOT(ISNUMBER(项目档案!$I$45))),"",项目档案!$I$45)</f>
      </c>
      <c r="O47" s="21">
        <f t="shared" si="3"/>
      </c>
      <c r="P47" s="95">
        <f t="shared" si="10"/>
      </c>
      <c r="Q47" s="106">
        <f t="shared" si="11"/>
      </c>
      <c r="R47" s="21">
        <f t="shared" si="4"/>
      </c>
      <c r="S47" s="21">
        <f t="shared" si="5"/>
      </c>
      <c r="T47" s="21">
        <f t="shared" si="6"/>
      </c>
      <c r="U47" s="21">
        <f t="shared" si="7"/>
      </c>
      <c r="V47" s="94">
        <f>项目档案!$M$45&amp;""</f>
      </c>
      <c r="W47" s="21">
        <f t="shared" si="8"/>
      </c>
      <c r="X47" s="22">
        <f t="shared" si="9"/>
      </c>
      <c r="Y47" s="96">
        <f t="shared" si="12"/>
      </c>
      <c r="AX47" s="2">
        <f t="shared" si="13"/>
        <v>0</v>
      </c>
    </row>
    <row r="48">
      <c r="A48" s="94">
        <f>IF($B48="","",43)</f>
      </c>
      <c r="B48" s="110">
        <f>IF(项目档案!$B$46="","",HYPERLINK("#'项目账'!C3",项目档案!$B$46&amp;""))</f>
      </c>
      <c r="C48" s="96">
        <f>项目档案!$D$46&amp;""</f>
      </c>
      <c r="D48" s="21">
        <f>IF($B48="","",N(项目档案!$E$46))</f>
      </c>
      <c r="E48" s="21">
        <f>IF($B48="","",N(项目档案!$T$46))</f>
      </c>
      <c r="F48" s="21">
        <f>IF($B48="","",SUMIFS(期初余额!$C$5:$C$64,期初余额!$B$5:$B$64,$B48)+_项目汇总!$B$45+_项目汇总!$C$45)</f>
      </c>
      <c r="G48" s="21">
        <f>IF($B48="","",SUMIFS(期初余额!$D$5:$D$64,期初余额!$B$5:$B$64,$B48)+_项目汇总!$D$45+_项目汇总!$E$45+_项目汇总!$F$45+_项目汇总!$G$45)</f>
      </c>
      <c r="H48" s="22">
        <f t="shared" si="0"/>
      </c>
      <c r="I48" s="21">
        <f>IF($B48="","",_项目汇总!$AV$45)</f>
      </c>
      <c r="J48" s="21">
        <f>IF($B48="","",SUMIFS(期初余额!$E$5:$E$64,期初余额!$B$5:$B$64,$B48)+_项目汇总!$H$45+_项目汇总!$I$45)</f>
      </c>
      <c r="K48" s="21">
        <f t="shared" si="1"/>
      </c>
      <c r="L48" s="21">
        <f t="shared" si="2"/>
      </c>
      <c r="M48" s="21">
        <f>IF($B48="","",ROUND(E48*N(项目档案!$H$46),2))</f>
      </c>
      <c r="N48" s="95">
        <f>IF(OR($B48="",NOT(ISNUMBER(项目档案!$I$46))),"",项目档案!$I$46)</f>
      </c>
      <c r="O48" s="21">
        <f t="shared" si="3"/>
      </c>
      <c r="P48" s="95">
        <f t="shared" si="10"/>
      </c>
      <c r="Q48" s="106">
        <f t="shared" si="11"/>
      </c>
      <c r="R48" s="21">
        <f t="shared" si="4"/>
      </c>
      <c r="S48" s="21">
        <f t="shared" si="5"/>
      </c>
      <c r="T48" s="21">
        <f t="shared" si="6"/>
      </c>
      <c r="U48" s="21">
        <f t="shared" si="7"/>
      </c>
      <c r="V48" s="94">
        <f>项目档案!$M$46&amp;""</f>
      </c>
      <c r="W48" s="21">
        <f t="shared" si="8"/>
      </c>
      <c r="X48" s="22">
        <f t="shared" si="9"/>
      </c>
      <c r="Y48" s="96">
        <f t="shared" si="12"/>
      </c>
      <c r="AX48" s="2">
        <f t="shared" si="13"/>
        <v>0</v>
      </c>
    </row>
    <row r="49">
      <c r="A49" s="94">
        <f>IF($B49="","",44)</f>
      </c>
      <c r="B49" s="110">
        <f>IF(项目档案!$B$47="","",HYPERLINK("#'项目账'!C3",项目档案!$B$47&amp;""))</f>
      </c>
      <c r="C49" s="96">
        <f>项目档案!$D$47&amp;""</f>
      </c>
      <c r="D49" s="21">
        <f>IF($B49="","",N(项目档案!$E$47))</f>
      </c>
      <c r="E49" s="21">
        <f>IF($B49="","",N(项目档案!$T$47))</f>
      </c>
      <c r="F49" s="21">
        <f>IF($B49="","",SUMIFS(期初余额!$C$5:$C$64,期初余额!$B$5:$B$64,$B49)+_项目汇总!$B$46+_项目汇总!$C$46)</f>
      </c>
      <c r="G49" s="21">
        <f>IF($B49="","",SUMIFS(期初余额!$D$5:$D$64,期初余额!$B$5:$B$64,$B49)+_项目汇总!$D$46+_项目汇总!$E$46+_项目汇总!$F$46+_项目汇总!$G$46)</f>
      </c>
      <c r="H49" s="22">
        <f t="shared" si="0"/>
      </c>
      <c r="I49" s="21">
        <f>IF($B49="","",_项目汇总!$AV$46)</f>
      </c>
      <c r="J49" s="21">
        <f>IF($B49="","",SUMIFS(期初余额!$E$5:$E$64,期初余额!$B$5:$B$64,$B49)+_项目汇总!$H$46+_项目汇总!$I$46)</f>
      </c>
      <c r="K49" s="21">
        <f t="shared" si="1"/>
      </c>
      <c r="L49" s="21">
        <f t="shared" si="2"/>
      </c>
      <c r="M49" s="21">
        <f>IF($B49="","",ROUND(E49*N(项目档案!$H$47),2))</f>
      </c>
      <c r="N49" s="95">
        <f>IF(OR($B49="",NOT(ISNUMBER(项目档案!$I$47))),"",项目档案!$I$47)</f>
      </c>
      <c r="O49" s="21">
        <f t="shared" si="3"/>
      </c>
      <c r="P49" s="95">
        <f t="shared" si="10"/>
      </c>
      <c r="Q49" s="106">
        <f t="shared" si="11"/>
      </c>
      <c r="R49" s="21">
        <f t="shared" si="4"/>
      </c>
      <c r="S49" s="21">
        <f t="shared" si="5"/>
      </c>
      <c r="T49" s="21">
        <f t="shared" si="6"/>
      </c>
      <c r="U49" s="21">
        <f t="shared" si="7"/>
      </c>
      <c r="V49" s="94">
        <f>项目档案!$M$47&amp;""</f>
      </c>
      <c r="W49" s="21">
        <f t="shared" si="8"/>
      </c>
      <c r="X49" s="22">
        <f t="shared" si="9"/>
      </c>
      <c r="Y49" s="96">
        <f t="shared" si="12"/>
      </c>
      <c r="AX49" s="2">
        <f t="shared" si="13"/>
        <v>0</v>
      </c>
    </row>
    <row r="50">
      <c r="A50" s="94">
        <f>IF($B50="","",45)</f>
      </c>
      <c r="B50" s="110">
        <f>IF(项目档案!$B$48="","",HYPERLINK("#'项目账'!C3",项目档案!$B$48&amp;""))</f>
      </c>
      <c r="C50" s="96">
        <f>项目档案!$D$48&amp;""</f>
      </c>
      <c r="D50" s="21">
        <f>IF($B50="","",N(项目档案!$E$48))</f>
      </c>
      <c r="E50" s="21">
        <f>IF($B50="","",N(项目档案!$T$48))</f>
      </c>
      <c r="F50" s="21">
        <f>IF($B50="","",SUMIFS(期初余额!$C$5:$C$64,期初余额!$B$5:$B$64,$B50)+_项目汇总!$B$47+_项目汇总!$C$47)</f>
      </c>
      <c r="G50" s="21">
        <f>IF($B50="","",SUMIFS(期初余额!$D$5:$D$64,期初余额!$B$5:$B$64,$B50)+_项目汇总!$D$47+_项目汇总!$E$47+_项目汇总!$F$47+_项目汇总!$G$47)</f>
      </c>
      <c r="H50" s="22">
        <f t="shared" si="0"/>
      </c>
      <c r="I50" s="21">
        <f>IF($B50="","",_项目汇总!$AV$47)</f>
      </c>
      <c r="J50" s="21">
        <f>IF($B50="","",SUMIFS(期初余额!$E$5:$E$64,期初余额!$B$5:$B$64,$B50)+_项目汇总!$H$47+_项目汇总!$I$47)</f>
      </c>
      <c r="K50" s="21">
        <f t="shared" si="1"/>
      </c>
      <c r="L50" s="21">
        <f t="shared" si="2"/>
      </c>
      <c r="M50" s="21">
        <f>IF($B50="","",ROUND(E50*N(项目档案!$H$48),2))</f>
      </c>
      <c r="N50" s="95">
        <f>IF(OR($B50="",NOT(ISNUMBER(项目档案!$I$48))),"",项目档案!$I$48)</f>
      </c>
      <c r="O50" s="21">
        <f t="shared" si="3"/>
      </c>
      <c r="P50" s="95">
        <f t="shared" si="10"/>
      </c>
      <c r="Q50" s="106">
        <f t="shared" si="11"/>
      </c>
      <c r="R50" s="21">
        <f t="shared" si="4"/>
      </c>
      <c r="S50" s="21">
        <f t="shared" si="5"/>
      </c>
      <c r="T50" s="21">
        <f t="shared" si="6"/>
      </c>
      <c r="U50" s="21">
        <f t="shared" si="7"/>
      </c>
      <c r="V50" s="94">
        <f>项目档案!$M$48&amp;""</f>
      </c>
      <c r="W50" s="21">
        <f t="shared" si="8"/>
      </c>
      <c r="X50" s="22">
        <f t="shared" si="9"/>
      </c>
      <c r="Y50" s="96">
        <f t="shared" si="12"/>
      </c>
      <c r="AX50" s="2">
        <f t="shared" si="13"/>
        <v>0</v>
      </c>
    </row>
    <row r="51">
      <c r="A51" s="94">
        <f>IF($B51="","",46)</f>
      </c>
      <c r="B51" s="110">
        <f>IF(项目档案!$B$49="","",HYPERLINK("#'项目账'!C3",项目档案!$B$49&amp;""))</f>
      </c>
      <c r="C51" s="96">
        <f>项目档案!$D$49&amp;""</f>
      </c>
      <c r="D51" s="21">
        <f>IF($B51="","",N(项目档案!$E$49))</f>
      </c>
      <c r="E51" s="21">
        <f>IF($B51="","",N(项目档案!$T$49))</f>
      </c>
      <c r="F51" s="21">
        <f>IF($B51="","",SUMIFS(期初余额!$C$5:$C$64,期初余额!$B$5:$B$64,$B51)+_项目汇总!$B$48+_项目汇总!$C$48)</f>
      </c>
      <c r="G51" s="21">
        <f>IF($B51="","",SUMIFS(期初余额!$D$5:$D$64,期初余额!$B$5:$B$64,$B51)+_项目汇总!$D$48+_项目汇总!$E$48+_项目汇总!$F$48+_项目汇总!$G$48)</f>
      </c>
      <c r="H51" s="22">
        <f t="shared" si="0"/>
      </c>
      <c r="I51" s="21">
        <f>IF($B51="","",_项目汇总!$AV$48)</f>
      </c>
      <c r="J51" s="21">
        <f>IF($B51="","",SUMIFS(期初余额!$E$5:$E$64,期初余额!$B$5:$B$64,$B51)+_项目汇总!$H$48+_项目汇总!$I$48)</f>
      </c>
      <c r="K51" s="21">
        <f t="shared" si="1"/>
      </c>
      <c r="L51" s="21">
        <f t="shared" si="2"/>
      </c>
      <c r="M51" s="21">
        <f>IF($B51="","",ROUND(E51*N(项目档案!$H$49),2))</f>
      </c>
      <c r="N51" s="95">
        <f>IF(OR($B51="",NOT(ISNUMBER(项目档案!$I$49))),"",项目档案!$I$49)</f>
      </c>
      <c r="O51" s="21">
        <f t="shared" si="3"/>
      </c>
      <c r="P51" s="95">
        <f t="shared" si="10"/>
      </c>
      <c r="Q51" s="106">
        <f t="shared" si="11"/>
      </c>
      <c r="R51" s="21">
        <f t="shared" si="4"/>
      </c>
      <c r="S51" s="21">
        <f t="shared" si="5"/>
      </c>
      <c r="T51" s="21">
        <f t="shared" si="6"/>
      </c>
      <c r="U51" s="21">
        <f t="shared" si="7"/>
      </c>
      <c r="V51" s="94">
        <f>项目档案!$M$49&amp;""</f>
      </c>
      <c r="W51" s="21">
        <f t="shared" si="8"/>
      </c>
      <c r="X51" s="22">
        <f t="shared" si="9"/>
      </c>
      <c r="Y51" s="96">
        <f t="shared" si="12"/>
      </c>
      <c r="AX51" s="2">
        <f t="shared" si="13"/>
        <v>0</v>
      </c>
    </row>
    <row r="52">
      <c r="A52" s="94">
        <f>IF($B52="","",47)</f>
      </c>
      <c r="B52" s="110">
        <f>IF(项目档案!$B$50="","",HYPERLINK("#'项目账'!C3",项目档案!$B$50&amp;""))</f>
      </c>
      <c r="C52" s="96">
        <f>项目档案!$D$50&amp;""</f>
      </c>
      <c r="D52" s="21">
        <f>IF($B52="","",N(项目档案!$E$50))</f>
      </c>
      <c r="E52" s="21">
        <f>IF($B52="","",N(项目档案!$T$50))</f>
      </c>
      <c r="F52" s="21">
        <f>IF($B52="","",SUMIFS(期初余额!$C$5:$C$64,期初余额!$B$5:$B$64,$B52)+_项目汇总!$B$49+_项目汇总!$C$49)</f>
      </c>
      <c r="G52" s="21">
        <f>IF($B52="","",SUMIFS(期初余额!$D$5:$D$64,期初余额!$B$5:$B$64,$B52)+_项目汇总!$D$49+_项目汇总!$E$49+_项目汇总!$F$49+_项目汇总!$G$49)</f>
      </c>
      <c r="H52" s="22">
        <f t="shared" si="0"/>
      </c>
      <c r="I52" s="21">
        <f>IF($B52="","",_项目汇总!$AV$49)</f>
      </c>
      <c r="J52" s="21">
        <f>IF($B52="","",SUMIFS(期初余额!$E$5:$E$64,期初余额!$B$5:$B$64,$B52)+_项目汇总!$H$49+_项目汇总!$I$49)</f>
      </c>
      <c r="K52" s="21">
        <f t="shared" si="1"/>
      </c>
      <c r="L52" s="21">
        <f t="shared" si="2"/>
      </c>
      <c r="M52" s="21">
        <f>IF($B52="","",ROUND(E52*N(项目档案!$H$50),2))</f>
      </c>
      <c r="N52" s="95">
        <f>IF(OR($B52="",NOT(ISNUMBER(项目档案!$I$50))),"",项目档案!$I$50)</f>
      </c>
      <c r="O52" s="21">
        <f t="shared" si="3"/>
      </c>
      <c r="P52" s="95">
        <f t="shared" si="10"/>
      </c>
      <c r="Q52" s="106">
        <f t="shared" si="11"/>
      </c>
      <c r="R52" s="21">
        <f t="shared" si="4"/>
      </c>
      <c r="S52" s="21">
        <f t="shared" si="5"/>
      </c>
      <c r="T52" s="21">
        <f t="shared" si="6"/>
      </c>
      <c r="U52" s="21">
        <f t="shared" si="7"/>
      </c>
      <c r="V52" s="94">
        <f>项目档案!$M$50&amp;""</f>
      </c>
      <c r="W52" s="21">
        <f t="shared" si="8"/>
      </c>
      <c r="X52" s="22">
        <f t="shared" si="9"/>
      </c>
      <c r="Y52" s="96">
        <f t="shared" si="12"/>
      </c>
      <c r="AX52" s="2">
        <f t="shared" si="13"/>
        <v>0</v>
      </c>
    </row>
    <row r="53">
      <c r="A53" s="94">
        <f>IF($B53="","",48)</f>
      </c>
      <c r="B53" s="110">
        <f>IF(项目档案!$B$51="","",HYPERLINK("#'项目账'!C3",项目档案!$B$51&amp;""))</f>
      </c>
      <c r="C53" s="96">
        <f>项目档案!$D$51&amp;""</f>
      </c>
      <c r="D53" s="21">
        <f>IF($B53="","",N(项目档案!$E$51))</f>
      </c>
      <c r="E53" s="21">
        <f>IF($B53="","",N(项目档案!$T$51))</f>
      </c>
      <c r="F53" s="21">
        <f>IF($B53="","",SUMIFS(期初余额!$C$5:$C$64,期初余额!$B$5:$B$64,$B53)+_项目汇总!$B$50+_项目汇总!$C$50)</f>
      </c>
      <c r="G53" s="21">
        <f>IF($B53="","",SUMIFS(期初余额!$D$5:$D$64,期初余额!$B$5:$B$64,$B53)+_项目汇总!$D$50+_项目汇总!$E$50+_项目汇总!$F$50+_项目汇总!$G$50)</f>
      </c>
      <c r="H53" s="22">
        <f t="shared" si="0"/>
      </c>
      <c r="I53" s="21">
        <f>IF($B53="","",_项目汇总!$AV$50)</f>
      </c>
      <c r="J53" s="21">
        <f>IF($B53="","",SUMIFS(期初余额!$E$5:$E$64,期初余额!$B$5:$B$64,$B53)+_项目汇总!$H$50+_项目汇总!$I$50)</f>
      </c>
      <c r="K53" s="21">
        <f t="shared" si="1"/>
      </c>
      <c r="L53" s="21">
        <f t="shared" si="2"/>
      </c>
      <c r="M53" s="21">
        <f>IF($B53="","",ROUND(E53*N(项目档案!$H$51),2))</f>
      </c>
      <c r="N53" s="95">
        <f>IF(OR($B53="",NOT(ISNUMBER(项目档案!$I$51))),"",项目档案!$I$51)</f>
      </c>
      <c r="O53" s="21">
        <f t="shared" si="3"/>
      </c>
      <c r="P53" s="95">
        <f t="shared" si="10"/>
      </c>
      <c r="Q53" s="106">
        <f t="shared" si="11"/>
      </c>
      <c r="R53" s="21">
        <f t="shared" si="4"/>
      </c>
      <c r="S53" s="21">
        <f t="shared" si="5"/>
      </c>
      <c r="T53" s="21">
        <f t="shared" si="6"/>
      </c>
      <c r="U53" s="21">
        <f t="shared" si="7"/>
      </c>
      <c r="V53" s="94">
        <f>项目档案!$M$51&amp;""</f>
      </c>
      <c r="W53" s="21">
        <f t="shared" si="8"/>
      </c>
      <c r="X53" s="22">
        <f t="shared" si="9"/>
      </c>
      <c r="Y53" s="96">
        <f t="shared" si="12"/>
      </c>
      <c r="AX53" s="2">
        <f t="shared" si="13"/>
        <v>0</v>
      </c>
    </row>
    <row r="54">
      <c r="A54" s="94">
        <f>IF($B54="","",49)</f>
      </c>
      <c r="B54" s="110">
        <f>IF(项目档案!$B$52="","",HYPERLINK("#'项目账'!C3",项目档案!$B$52&amp;""))</f>
      </c>
      <c r="C54" s="96">
        <f>项目档案!$D$52&amp;""</f>
      </c>
      <c r="D54" s="21">
        <f>IF($B54="","",N(项目档案!$E$52))</f>
      </c>
      <c r="E54" s="21">
        <f>IF($B54="","",N(项目档案!$T$52))</f>
      </c>
      <c r="F54" s="21">
        <f>IF($B54="","",SUMIFS(期初余额!$C$5:$C$64,期初余额!$B$5:$B$64,$B54)+_项目汇总!$B$51+_项目汇总!$C$51)</f>
      </c>
      <c r="G54" s="21">
        <f>IF($B54="","",SUMIFS(期初余额!$D$5:$D$64,期初余额!$B$5:$B$64,$B54)+_项目汇总!$D$51+_项目汇总!$E$51+_项目汇总!$F$51+_项目汇总!$G$51)</f>
      </c>
      <c r="H54" s="22">
        <f t="shared" si="0"/>
      </c>
      <c r="I54" s="21">
        <f>IF($B54="","",_项目汇总!$AV$51)</f>
      </c>
      <c r="J54" s="21">
        <f>IF($B54="","",SUMIFS(期初余额!$E$5:$E$64,期初余额!$B$5:$B$64,$B54)+_项目汇总!$H$51+_项目汇总!$I$51)</f>
      </c>
      <c r="K54" s="21">
        <f t="shared" si="1"/>
      </c>
      <c r="L54" s="21">
        <f t="shared" si="2"/>
      </c>
      <c r="M54" s="21">
        <f>IF($B54="","",ROUND(E54*N(项目档案!$H$52),2))</f>
      </c>
      <c r="N54" s="95">
        <f>IF(OR($B54="",NOT(ISNUMBER(项目档案!$I$52))),"",项目档案!$I$52)</f>
      </c>
      <c r="O54" s="21">
        <f t="shared" si="3"/>
      </c>
      <c r="P54" s="95">
        <f t="shared" si="10"/>
      </c>
      <c r="Q54" s="106">
        <f t="shared" si="11"/>
      </c>
      <c r="R54" s="21">
        <f t="shared" si="4"/>
      </c>
      <c r="S54" s="21">
        <f t="shared" si="5"/>
      </c>
      <c r="T54" s="21">
        <f t="shared" si="6"/>
      </c>
      <c r="U54" s="21">
        <f t="shared" si="7"/>
      </c>
      <c r="V54" s="94">
        <f>项目档案!$M$52&amp;""</f>
      </c>
      <c r="W54" s="21">
        <f t="shared" si="8"/>
      </c>
      <c r="X54" s="22">
        <f t="shared" si="9"/>
      </c>
      <c r="Y54" s="96">
        <f t="shared" si="12"/>
      </c>
      <c r="AX54" s="2">
        <f t="shared" si="13"/>
        <v>0</v>
      </c>
    </row>
    <row r="55">
      <c r="A55" s="94">
        <f>IF($B55="","",50)</f>
      </c>
      <c r="B55" s="110">
        <f>IF(项目档案!$B$53="","",HYPERLINK("#'项目账'!C3",项目档案!$B$53&amp;""))</f>
      </c>
      <c r="C55" s="96">
        <f>项目档案!$D$53&amp;""</f>
      </c>
      <c r="D55" s="21">
        <f>IF($B55="","",N(项目档案!$E$53))</f>
      </c>
      <c r="E55" s="21">
        <f>IF($B55="","",N(项目档案!$T$53))</f>
      </c>
      <c r="F55" s="21">
        <f>IF($B55="","",SUMIFS(期初余额!$C$5:$C$64,期初余额!$B$5:$B$64,$B55)+_项目汇总!$B$52+_项目汇总!$C$52)</f>
      </c>
      <c r="G55" s="21">
        <f>IF($B55="","",SUMIFS(期初余额!$D$5:$D$64,期初余额!$B$5:$B$64,$B55)+_项目汇总!$D$52+_项目汇总!$E$52+_项目汇总!$F$52+_项目汇总!$G$52)</f>
      </c>
      <c r="H55" s="22">
        <f t="shared" si="0"/>
      </c>
      <c r="I55" s="21">
        <f>IF($B55="","",_项目汇总!$AV$52)</f>
      </c>
      <c r="J55" s="21">
        <f>IF($B55="","",SUMIFS(期初余额!$E$5:$E$64,期初余额!$B$5:$B$64,$B55)+_项目汇总!$H$52+_项目汇总!$I$52)</f>
      </c>
      <c r="K55" s="21">
        <f t="shared" si="1"/>
      </c>
      <c r="L55" s="21">
        <f t="shared" si="2"/>
      </c>
      <c r="M55" s="21">
        <f>IF($B55="","",ROUND(E55*N(项目档案!$H$53),2))</f>
      </c>
      <c r="N55" s="95">
        <f>IF(OR($B55="",NOT(ISNUMBER(项目档案!$I$53))),"",项目档案!$I$53)</f>
      </c>
      <c r="O55" s="21">
        <f t="shared" si="3"/>
      </c>
      <c r="P55" s="95">
        <f t="shared" si="10"/>
      </c>
      <c r="Q55" s="106">
        <f t="shared" si="11"/>
      </c>
      <c r="R55" s="21">
        <f t="shared" si="4"/>
      </c>
      <c r="S55" s="21">
        <f t="shared" si="5"/>
      </c>
      <c r="T55" s="21">
        <f t="shared" si="6"/>
      </c>
      <c r="U55" s="21">
        <f t="shared" si="7"/>
      </c>
      <c r="V55" s="94">
        <f>项目档案!$M$53&amp;""</f>
      </c>
      <c r="W55" s="21">
        <f t="shared" si="8"/>
      </c>
      <c r="X55" s="22">
        <f t="shared" si="9"/>
      </c>
      <c r="Y55" s="96">
        <f t="shared" si="12"/>
      </c>
      <c r="AX55" s="2">
        <f t="shared" si="13"/>
        <v>0</v>
      </c>
    </row>
    <row r="56">
      <c r="A56" s="94">
        <f>IF($B56="","",51)</f>
      </c>
      <c r="B56" s="110">
        <f>IF(项目档案!$B$54="","",HYPERLINK("#'项目账'!C3",项目档案!$B$54&amp;""))</f>
      </c>
      <c r="C56" s="96">
        <f>项目档案!$D$54&amp;""</f>
      </c>
      <c r="D56" s="21">
        <f>IF($B56="","",N(项目档案!$E$54))</f>
      </c>
      <c r="E56" s="21">
        <f>IF($B56="","",N(项目档案!$T$54))</f>
      </c>
      <c r="F56" s="21">
        <f>IF($B56="","",SUMIFS(期初余额!$C$5:$C$64,期初余额!$B$5:$B$64,$B56)+_项目汇总!$B$53+_项目汇总!$C$53)</f>
      </c>
      <c r="G56" s="21">
        <f>IF($B56="","",SUMIFS(期初余额!$D$5:$D$64,期初余额!$B$5:$B$64,$B56)+_项目汇总!$D$53+_项目汇总!$E$53+_项目汇总!$F$53+_项目汇总!$G$53)</f>
      </c>
      <c r="H56" s="22">
        <f t="shared" si="0"/>
      </c>
      <c r="I56" s="21">
        <f>IF($B56="","",_项目汇总!$AV$53)</f>
      </c>
      <c r="J56" s="21">
        <f>IF($B56="","",SUMIFS(期初余额!$E$5:$E$64,期初余额!$B$5:$B$64,$B56)+_项目汇总!$H$53+_项目汇总!$I$53)</f>
      </c>
      <c r="K56" s="21">
        <f t="shared" si="1"/>
      </c>
      <c r="L56" s="21">
        <f t="shared" si="2"/>
      </c>
      <c r="M56" s="21">
        <f>IF($B56="","",ROUND(E56*N(项目档案!$H$54),2))</f>
      </c>
      <c r="N56" s="95">
        <f>IF(OR($B56="",NOT(ISNUMBER(项目档案!$I$54))),"",项目档案!$I$54)</f>
      </c>
      <c r="O56" s="21">
        <f t="shared" si="3"/>
      </c>
      <c r="P56" s="95">
        <f t="shared" si="10"/>
      </c>
      <c r="Q56" s="106">
        <f t="shared" si="11"/>
      </c>
      <c r="R56" s="21">
        <f t="shared" si="4"/>
      </c>
      <c r="S56" s="21">
        <f t="shared" si="5"/>
      </c>
      <c r="T56" s="21">
        <f t="shared" si="6"/>
      </c>
      <c r="U56" s="21">
        <f t="shared" si="7"/>
      </c>
      <c r="V56" s="94">
        <f>项目档案!$M$54&amp;""</f>
      </c>
      <c r="W56" s="21">
        <f t="shared" si="8"/>
      </c>
      <c r="X56" s="22">
        <f t="shared" si="9"/>
      </c>
      <c r="Y56" s="96">
        <f t="shared" si="12"/>
      </c>
      <c r="AX56" s="2">
        <f t="shared" si="13"/>
        <v>0</v>
      </c>
    </row>
    <row r="57">
      <c r="A57" s="94">
        <f>IF($B57="","",52)</f>
      </c>
      <c r="B57" s="110">
        <f>IF(项目档案!$B$55="","",HYPERLINK("#'项目账'!C3",项目档案!$B$55&amp;""))</f>
      </c>
      <c r="C57" s="96">
        <f>项目档案!$D$55&amp;""</f>
      </c>
      <c r="D57" s="21">
        <f>IF($B57="","",N(项目档案!$E$55))</f>
      </c>
      <c r="E57" s="21">
        <f>IF($B57="","",N(项目档案!$T$55))</f>
      </c>
      <c r="F57" s="21">
        <f>IF($B57="","",SUMIFS(期初余额!$C$5:$C$64,期初余额!$B$5:$B$64,$B57)+_项目汇总!$B$54+_项目汇总!$C$54)</f>
      </c>
      <c r="G57" s="21">
        <f>IF($B57="","",SUMIFS(期初余额!$D$5:$D$64,期初余额!$B$5:$B$64,$B57)+_项目汇总!$D$54+_项目汇总!$E$54+_项目汇总!$F$54+_项目汇总!$G$54)</f>
      </c>
      <c r="H57" s="22">
        <f t="shared" si="0"/>
      </c>
      <c r="I57" s="21">
        <f>IF($B57="","",_项目汇总!$AV$54)</f>
      </c>
      <c r="J57" s="21">
        <f>IF($B57="","",SUMIFS(期初余额!$E$5:$E$64,期初余额!$B$5:$B$64,$B57)+_项目汇总!$H$54+_项目汇总!$I$54)</f>
      </c>
      <c r="K57" s="21">
        <f t="shared" si="1"/>
      </c>
      <c r="L57" s="21">
        <f t="shared" si="2"/>
      </c>
      <c r="M57" s="21">
        <f>IF($B57="","",ROUND(E57*N(项目档案!$H$55),2))</f>
      </c>
      <c r="N57" s="95">
        <f>IF(OR($B57="",NOT(ISNUMBER(项目档案!$I$55))),"",项目档案!$I$55)</f>
      </c>
      <c r="O57" s="21">
        <f t="shared" si="3"/>
      </c>
      <c r="P57" s="95">
        <f t="shared" si="10"/>
      </c>
      <c r="Q57" s="106">
        <f t="shared" si="11"/>
      </c>
      <c r="R57" s="21">
        <f t="shared" si="4"/>
      </c>
      <c r="S57" s="21">
        <f t="shared" si="5"/>
      </c>
      <c r="T57" s="21">
        <f t="shared" si="6"/>
      </c>
      <c r="U57" s="21">
        <f t="shared" si="7"/>
      </c>
      <c r="V57" s="94">
        <f>项目档案!$M$55&amp;""</f>
      </c>
      <c r="W57" s="21">
        <f t="shared" si="8"/>
      </c>
      <c r="X57" s="22">
        <f t="shared" si="9"/>
      </c>
      <c r="Y57" s="96">
        <f t="shared" si="12"/>
      </c>
      <c r="AX57" s="2">
        <f t="shared" si="13"/>
        <v>0</v>
      </c>
    </row>
    <row r="58">
      <c r="A58" s="94">
        <f>IF($B58="","",53)</f>
      </c>
      <c r="B58" s="110">
        <f>IF(项目档案!$B$56="","",HYPERLINK("#'项目账'!C3",项目档案!$B$56&amp;""))</f>
      </c>
      <c r="C58" s="96">
        <f>项目档案!$D$56&amp;""</f>
      </c>
      <c r="D58" s="21">
        <f>IF($B58="","",N(项目档案!$E$56))</f>
      </c>
      <c r="E58" s="21">
        <f>IF($B58="","",N(项目档案!$T$56))</f>
      </c>
      <c r="F58" s="21">
        <f>IF($B58="","",SUMIFS(期初余额!$C$5:$C$64,期初余额!$B$5:$B$64,$B58)+_项目汇总!$B$55+_项目汇总!$C$55)</f>
      </c>
      <c r="G58" s="21">
        <f>IF($B58="","",SUMIFS(期初余额!$D$5:$D$64,期初余额!$B$5:$B$64,$B58)+_项目汇总!$D$55+_项目汇总!$E$55+_项目汇总!$F$55+_项目汇总!$G$55)</f>
      </c>
      <c r="H58" s="22">
        <f t="shared" si="0"/>
      </c>
      <c r="I58" s="21">
        <f>IF($B58="","",_项目汇总!$AV$55)</f>
      </c>
      <c r="J58" s="21">
        <f>IF($B58="","",SUMIFS(期初余额!$E$5:$E$64,期初余额!$B$5:$B$64,$B58)+_项目汇总!$H$55+_项目汇总!$I$55)</f>
      </c>
      <c r="K58" s="21">
        <f t="shared" si="1"/>
      </c>
      <c r="L58" s="21">
        <f t="shared" si="2"/>
      </c>
      <c r="M58" s="21">
        <f>IF($B58="","",ROUND(E58*N(项目档案!$H$56),2))</f>
      </c>
      <c r="N58" s="95">
        <f>IF(OR($B58="",NOT(ISNUMBER(项目档案!$I$56))),"",项目档案!$I$56)</f>
      </c>
      <c r="O58" s="21">
        <f t="shared" si="3"/>
      </c>
      <c r="P58" s="95">
        <f t="shared" si="10"/>
      </c>
      <c r="Q58" s="106">
        <f t="shared" si="11"/>
      </c>
      <c r="R58" s="21">
        <f t="shared" si="4"/>
      </c>
      <c r="S58" s="21">
        <f t="shared" si="5"/>
      </c>
      <c r="T58" s="21">
        <f t="shared" si="6"/>
      </c>
      <c r="U58" s="21">
        <f t="shared" si="7"/>
      </c>
      <c r="V58" s="94">
        <f>项目档案!$M$56&amp;""</f>
      </c>
      <c r="W58" s="21">
        <f t="shared" si="8"/>
      </c>
      <c r="X58" s="22">
        <f t="shared" si="9"/>
      </c>
      <c r="Y58" s="96">
        <f t="shared" si="12"/>
      </c>
      <c r="AX58" s="2">
        <f t="shared" si="13"/>
        <v>0</v>
      </c>
    </row>
    <row r="59">
      <c r="A59" s="94">
        <f>IF($B59="","",54)</f>
      </c>
      <c r="B59" s="110">
        <f>IF(项目档案!$B$57="","",HYPERLINK("#'项目账'!C3",项目档案!$B$57&amp;""))</f>
      </c>
      <c r="C59" s="96">
        <f>项目档案!$D$57&amp;""</f>
      </c>
      <c r="D59" s="21">
        <f>IF($B59="","",N(项目档案!$E$57))</f>
      </c>
      <c r="E59" s="21">
        <f>IF($B59="","",N(项目档案!$T$57))</f>
      </c>
      <c r="F59" s="21">
        <f>IF($B59="","",SUMIFS(期初余额!$C$5:$C$64,期初余额!$B$5:$B$64,$B59)+_项目汇总!$B$56+_项目汇总!$C$56)</f>
      </c>
      <c r="G59" s="21">
        <f>IF($B59="","",SUMIFS(期初余额!$D$5:$D$64,期初余额!$B$5:$B$64,$B59)+_项目汇总!$D$56+_项目汇总!$E$56+_项目汇总!$F$56+_项目汇总!$G$56)</f>
      </c>
      <c r="H59" s="22">
        <f t="shared" si="0"/>
      </c>
      <c r="I59" s="21">
        <f>IF($B59="","",_项目汇总!$AV$56)</f>
      </c>
      <c r="J59" s="21">
        <f>IF($B59="","",SUMIFS(期初余额!$E$5:$E$64,期初余额!$B$5:$B$64,$B59)+_项目汇总!$H$56+_项目汇总!$I$56)</f>
      </c>
      <c r="K59" s="21">
        <f t="shared" si="1"/>
      </c>
      <c r="L59" s="21">
        <f t="shared" si="2"/>
      </c>
      <c r="M59" s="21">
        <f>IF($B59="","",ROUND(E59*N(项目档案!$H$57),2))</f>
      </c>
      <c r="N59" s="95">
        <f>IF(OR($B59="",NOT(ISNUMBER(项目档案!$I$57))),"",项目档案!$I$57)</f>
      </c>
      <c r="O59" s="21">
        <f t="shared" si="3"/>
      </c>
      <c r="P59" s="95">
        <f t="shared" si="10"/>
      </c>
      <c r="Q59" s="106">
        <f t="shared" si="11"/>
      </c>
      <c r="R59" s="21">
        <f t="shared" si="4"/>
      </c>
      <c r="S59" s="21">
        <f t="shared" si="5"/>
      </c>
      <c r="T59" s="21">
        <f t="shared" si="6"/>
      </c>
      <c r="U59" s="21">
        <f t="shared" si="7"/>
      </c>
      <c r="V59" s="94">
        <f>项目档案!$M$57&amp;""</f>
      </c>
      <c r="W59" s="21">
        <f t="shared" si="8"/>
      </c>
      <c r="X59" s="22">
        <f t="shared" si="9"/>
      </c>
      <c r="Y59" s="96">
        <f t="shared" si="12"/>
      </c>
      <c r="AX59" s="2">
        <f t="shared" si="13"/>
        <v>0</v>
      </c>
    </row>
    <row r="60">
      <c r="A60" s="94">
        <f>IF($B60="","",55)</f>
      </c>
      <c r="B60" s="110">
        <f>IF(项目档案!$B$58="","",HYPERLINK("#'项目账'!C3",项目档案!$B$58&amp;""))</f>
      </c>
      <c r="C60" s="96">
        <f>项目档案!$D$58&amp;""</f>
      </c>
      <c r="D60" s="21">
        <f>IF($B60="","",N(项目档案!$E$58))</f>
      </c>
      <c r="E60" s="21">
        <f>IF($B60="","",N(项目档案!$T$58))</f>
      </c>
      <c r="F60" s="21">
        <f>IF($B60="","",SUMIFS(期初余额!$C$5:$C$64,期初余额!$B$5:$B$64,$B60)+_项目汇总!$B$57+_项目汇总!$C$57)</f>
      </c>
      <c r="G60" s="21">
        <f>IF($B60="","",SUMIFS(期初余额!$D$5:$D$64,期初余额!$B$5:$B$64,$B60)+_项目汇总!$D$57+_项目汇总!$E$57+_项目汇总!$F$57+_项目汇总!$G$57)</f>
      </c>
      <c r="H60" s="22">
        <f t="shared" si="0"/>
      </c>
      <c r="I60" s="21">
        <f>IF($B60="","",_项目汇总!$AV$57)</f>
      </c>
      <c r="J60" s="21">
        <f>IF($B60="","",SUMIFS(期初余额!$E$5:$E$64,期初余额!$B$5:$B$64,$B60)+_项目汇总!$H$57+_项目汇总!$I$57)</f>
      </c>
      <c r="K60" s="21">
        <f t="shared" si="1"/>
      </c>
      <c r="L60" s="21">
        <f t="shared" si="2"/>
      </c>
      <c r="M60" s="21">
        <f>IF($B60="","",ROUND(E60*N(项目档案!$H$58),2))</f>
      </c>
      <c r="N60" s="95">
        <f>IF(OR($B60="",NOT(ISNUMBER(项目档案!$I$58))),"",项目档案!$I$58)</f>
      </c>
      <c r="O60" s="21">
        <f t="shared" si="3"/>
      </c>
      <c r="P60" s="95">
        <f t="shared" si="10"/>
      </c>
      <c r="Q60" s="106">
        <f t="shared" si="11"/>
      </c>
      <c r="R60" s="21">
        <f t="shared" si="4"/>
      </c>
      <c r="S60" s="21">
        <f t="shared" si="5"/>
      </c>
      <c r="T60" s="21">
        <f t="shared" si="6"/>
      </c>
      <c r="U60" s="21">
        <f t="shared" si="7"/>
      </c>
      <c r="V60" s="94">
        <f>项目档案!$M$58&amp;""</f>
      </c>
      <c r="W60" s="21">
        <f t="shared" si="8"/>
      </c>
      <c r="X60" s="22">
        <f t="shared" si="9"/>
      </c>
      <c r="Y60" s="96">
        <f t="shared" si="12"/>
      </c>
      <c r="AX60" s="2">
        <f t="shared" si="13"/>
        <v>0</v>
      </c>
    </row>
    <row r="61">
      <c r="A61" s="94">
        <f>IF($B61="","",56)</f>
      </c>
      <c r="B61" s="110">
        <f>IF(项目档案!$B$59="","",HYPERLINK("#'项目账'!C3",项目档案!$B$59&amp;""))</f>
      </c>
      <c r="C61" s="96">
        <f>项目档案!$D$59&amp;""</f>
      </c>
      <c r="D61" s="21">
        <f>IF($B61="","",N(项目档案!$E$59))</f>
      </c>
      <c r="E61" s="21">
        <f>IF($B61="","",N(项目档案!$T$59))</f>
      </c>
      <c r="F61" s="21">
        <f>IF($B61="","",SUMIFS(期初余额!$C$5:$C$64,期初余额!$B$5:$B$64,$B61)+_项目汇总!$B$58+_项目汇总!$C$58)</f>
      </c>
      <c r="G61" s="21">
        <f>IF($B61="","",SUMIFS(期初余额!$D$5:$D$64,期初余额!$B$5:$B$64,$B61)+_项目汇总!$D$58+_项目汇总!$E$58+_项目汇总!$F$58+_项目汇总!$G$58)</f>
      </c>
      <c r="H61" s="22">
        <f t="shared" si="0"/>
      </c>
      <c r="I61" s="21">
        <f>IF($B61="","",_项目汇总!$AV$58)</f>
      </c>
      <c r="J61" s="21">
        <f>IF($B61="","",SUMIFS(期初余额!$E$5:$E$64,期初余额!$B$5:$B$64,$B61)+_项目汇总!$H$58+_项目汇总!$I$58)</f>
      </c>
      <c r="K61" s="21">
        <f t="shared" si="1"/>
      </c>
      <c r="L61" s="21">
        <f t="shared" si="2"/>
      </c>
      <c r="M61" s="21">
        <f>IF($B61="","",ROUND(E61*N(项目档案!$H$59),2))</f>
      </c>
      <c r="N61" s="95">
        <f>IF(OR($B61="",NOT(ISNUMBER(项目档案!$I$59))),"",项目档案!$I$59)</f>
      </c>
      <c r="O61" s="21">
        <f t="shared" si="3"/>
      </c>
      <c r="P61" s="95">
        <f t="shared" si="10"/>
      </c>
      <c r="Q61" s="106">
        <f t="shared" si="11"/>
      </c>
      <c r="R61" s="21">
        <f t="shared" si="4"/>
      </c>
      <c r="S61" s="21">
        <f t="shared" si="5"/>
      </c>
      <c r="T61" s="21">
        <f t="shared" si="6"/>
      </c>
      <c r="U61" s="21">
        <f t="shared" si="7"/>
      </c>
      <c r="V61" s="94">
        <f>项目档案!$M$59&amp;""</f>
      </c>
      <c r="W61" s="21">
        <f t="shared" si="8"/>
      </c>
      <c r="X61" s="22">
        <f t="shared" si="9"/>
      </c>
      <c r="Y61" s="96">
        <f t="shared" si="12"/>
      </c>
      <c r="AX61" s="2">
        <f t="shared" si="13"/>
        <v>0</v>
      </c>
    </row>
    <row r="62">
      <c r="A62" s="94">
        <f>IF($B62="","",57)</f>
      </c>
      <c r="B62" s="110">
        <f>IF(项目档案!$B$60="","",HYPERLINK("#'项目账'!C3",项目档案!$B$60&amp;""))</f>
      </c>
      <c r="C62" s="96">
        <f>项目档案!$D$60&amp;""</f>
      </c>
      <c r="D62" s="21">
        <f>IF($B62="","",N(项目档案!$E$60))</f>
      </c>
      <c r="E62" s="21">
        <f>IF($B62="","",N(项目档案!$T$60))</f>
      </c>
      <c r="F62" s="21">
        <f>IF($B62="","",SUMIFS(期初余额!$C$5:$C$64,期初余额!$B$5:$B$64,$B62)+_项目汇总!$B$59+_项目汇总!$C$59)</f>
      </c>
      <c r="G62" s="21">
        <f>IF($B62="","",SUMIFS(期初余额!$D$5:$D$64,期初余额!$B$5:$B$64,$B62)+_项目汇总!$D$59+_项目汇总!$E$59+_项目汇总!$F$59+_项目汇总!$G$59)</f>
      </c>
      <c r="H62" s="22">
        <f t="shared" si="0"/>
      </c>
      <c r="I62" s="21">
        <f>IF($B62="","",_项目汇总!$AV$59)</f>
      </c>
      <c r="J62" s="21">
        <f>IF($B62="","",SUMIFS(期初余额!$E$5:$E$64,期初余额!$B$5:$B$64,$B62)+_项目汇总!$H$59+_项目汇总!$I$59)</f>
      </c>
      <c r="K62" s="21">
        <f t="shared" si="1"/>
      </c>
      <c r="L62" s="21">
        <f t="shared" si="2"/>
      </c>
      <c r="M62" s="21">
        <f>IF($B62="","",ROUND(E62*N(项目档案!$H$60),2))</f>
      </c>
      <c r="N62" s="95">
        <f>IF(OR($B62="",NOT(ISNUMBER(项目档案!$I$60))),"",项目档案!$I$60)</f>
      </c>
      <c r="O62" s="21">
        <f t="shared" si="3"/>
      </c>
      <c r="P62" s="95">
        <f t="shared" si="10"/>
      </c>
      <c r="Q62" s="106">
        <f t="shared" si="11"/>
      </c>
      <c r="R62" s="21">
        <f t="shared" si="4"/>
      </c>
      <c r="S62" s="21">
        <f t="shared" si="5"/>
      </c>
      <c r="T62" s="21">
        <f t="shared" si="6"/>
      </c>
      <c r="U62" s="21">
        <f t="shared" si="7"/>
      </c>
      <c r="V62" s="94">
        <f>项目档案!$M$60&amp;""</f>
      </c>
      <c r="W62" s="21">
        <f t="shared" si="8"/>
      </c>
      <c r="X62" s="22">
        <f t="shared" si="9"/>
      </c>
      <c r="Y62" s="96">
        <f t="shared" si="12"/>
      </c>
      <c r="AX62" s="2">
        <f t="shared" si="13"/>
        <v>0</v>
      </c>
    </row>
    <row r="63">
      <c r="A63" s="94">
        <f>IF($B63="","",58)</f>
      </c>
      <c r="B63" s="110">
        <f>IF(项目档案!$B$61="","",HYPERLINK("#'项目账'!C3",项目档案!$B$61&amp;""))</f>
      </c>
      <c r="C63" s="96">
        <f>项目档案!$D$61&amp;""</f>
      </c>
      <c r="D63" s="21">
        <f>IF($B63="","",N(项目档案!$E$61))</f>
      </c>
      <c r="E63" s="21">
        <f>IF($B63="","",N(项目档案!$T$61))</f>
      </c>
      <c r="F63" s="21">
        <f>IF($B63="","",SUMIFS(期初余额!$C$5:$C$64,期初余额!$B$5:$B$64,$B63)+_项目汇总!$B$60+_项目汇总!$C$60)</f>
      </c>
      <c r="G63" s="21">
        <f>IF($B63="","",SUMIFS(期初余额!$D$5:$D$64,期初余额!$B$5:$B$64,$B63)+_项目汇总!$D$60+_项目汇总!$E$60+_项目汇总!$F$60+_项目汇总!$G$60)</f>
      </c>
      <c r="H63" s="22">
        <f t="shared" si="0"/>
      </c>
      <c r="I63" s="21">
        <f>IF($B63="","",_项目汇总!$AV$60)</f>
      </c>
      <c r="J63" s="21">
        <f>IF($B63="","",SUMIFS(期初余额!$E$5:$E$64,期初余额!$B$5:$B$64,$B63)+_项目汇总!$H$60+_项目汇总!$I$60)</f>
      </c>
      <c r="K63" s="21">
        <f t="shared" si="1"/>
      </c>
      <c r="L63" s="21">
        <f t="shared" si="2"/>
      </c>
      <c r="M63" s="21">
        <f>IF($B63="","",ROUND(E63*N(项目档案!$H$61),2))</f>
      </c>
      <c r="N63" s="95">
        <f>IF(OR($B63="",NOT(ISNUMBER(项目档案!$I$61))),"",项目档案!$I$61)</f>
      </c>
      <c r="O63" s="21">
        <f t="shared" si="3"/>
      </c>
      <c r="P63" s="95">
        <f t="shared" si="10"/>
      </c>
      <c r="Q63" s="106">
        <f t="shared" si="11"/>
      </c>
      <c r="R63" s="21">
        <f t="shared" si="4"/>
      </c>
      <c r="S63" s="21">
        <f t="shared" si="5"/>
      </c>
      <c r="T63" s="21">
        <f t="shared" si="6"/>
      </c>
      <c r="U63" s="21">
        <f t="shared" si="7"/>
      </c>
      <c r="V63" s="94">
        <f>项目档案!$M$61&amp;""</f>
      </c>
      <c r="W63" s="21">
        <f t="shared" si="8"/>
      </c>
      <c r="X63" s="22">
        <f t="shared" si="9"/>
      </c>
      <c r="Y63" s="96">
        <f t="shared" si="12"/>
      </c>
      <c r="AX63" s="2">
        <f t="shared" si="13"/>
        <v>0</v>
      </c>
    </row>
    <row r="64">
      <c r="A64" s="94">
        <f>IF($B64="","",59)</f>
      </c>
      <c r="B64" s="110">
        <f>IF(项目档案!$B$62="","",HYPERLINK("#'项目账'!C3",项目档案!$B$62&amp;""))</f>
      </c>
      <c r="C64" s="96">
        <f>项目档案!$D$62&amp;""</f>
      </c>
      <c r="D64" s="21">
        <f>IF($B64="","",N(项目档案!$E$62))</f>
      </c>
      <c r="E64" s="21">
        <f>IF($B64="","",N(项目档案!$T$62))</f>
      </c>
      <c r="F64" s="21">
        <f>IF($B64="","",SUMIFS(期初余额!$C$5:$C$64,期初余额!$B$5:$B$64,$B64)+_项目汇总!$B$61+_项目汇总!$C$61)</f>
      </c>
      <c r="G64" s="21">
        <f>IF($B64="","",SUMIFS(期初余额!$D$5:$D$64,期初余额!$B$5:$B$64,$B64)+_项目汇总!$D$61+_项目汇总!$E$61+_项目汇总!$F$61+_项目汇总!$G$61)</f>
      </c>
      <c r="H64" s="22">
        <f t="shared" si="0"/>
      </c>
      <c r="I64" s="21">
        <f>IF($B64="","",_项目汇总!$AV$61)</f>
      </c>
      <c r="J64" s="21">
        <f>IF($B64="","",SUMIFS(期初余额!$E$5:$E$64,期初余额!$B$5:$B$64,$B64)+_项目汇总!$H$61+_项目汇总!$I$61)</f>
      </c>
      <c r="K64" s="21">
        <f t="shared" si="1"/>
      </c>
      <c r="L64" s="21">
        <f t="shared" si="2"/>
      </c>
      <c r="M64" s="21">
        <f>IF($B64="","",ROUND(E64*N(项目档案!$H$62),2))</f>
      </c>
      <c r="N64" s="95">
        <f>IF(OR($B64="",NOT(ISNUMBER(项目档案!$I$62))),"",项目档案!$I$62)</f>
      </c>
      <c r="O64" s="21">
        <f t="shared" si="3"/>
      </c>
      <c r="P64" s="95">
        <f t="shared" si="10"/>
      </c>
      <c r="Q64" s="106">
        <f t="shared" si="11"/>
      </c>
      <c r="R64" s="21">
        <f t="shared" si="4"/>
      </c>
      <c r="S64" s="21">
        <f t="shared" si="5"/>
      </c>
      <c r="T64" s="21">
        <f t="shared" si="6"/>
      </c>
      <c r="U64" s="21">
        <f t="shared" si="7"/>
      </c>
      <c r="V64" s="94">
        <f>项目档案!$M$62&amp;""</f>
      </c>
      <c r="W64" s="21">
        <f t="shared" si="8"/>
      </c>
      <c r="X64" s="22">
        <f t="shared" si="9"/>
      </c>
      <c r="Y64" s="96">
        <f t="shared" si="12"/>
      </c>
      <c r="AX64" s="2">
        <f t="shared" si="13"/>
        <v>0</v>
      </c>
    </row>
    <row r="65">
      <c r="A65" s="94">
        <f>IF($B65="","",60)</f>
      </c>
      <c r="B65" s="110">
        <f>IF(项目档案!$B$63="","",HYPERLINK("#'项目账'!C3",项目档案!$B$63&amp;""))</f>
      </c>
      <c r="C65" s="96">
        <f>项目档案!$D$63&amp;""</f>
      </c>
      <c r="D65" s="21">
        <f>IF($B65="","",N(项目档案!$E$63))</f>
      </c>
      <c r="E65" s="21">
        <f>IF($B65="","",N(项目档案!$T$63))</f>
      </c>
      <c r="F65" s="21">
        <f>IF($B65="","",SUMIFS(期初余额!$C$5:$C$64,期初余额!$B$5:$B$64,$B65)+_项目汇总!$B$62+_项目汇总!$C$62)</f>
      </c>
      <c r="G65" s="21">
        <f>IF($B65="","",SUMIFS(期初余额!$D$5:$D$64,期初余额!$B$5:$B$64,$B65)+_项目汇总!$D$62+_项目汇总!$E$62+_项目汇总!$F$62+_项目汇总!$G$62)</f>
      </c>
      <c r="H65" s="22">
        <f t="shared" si="0"/>
      </c>
      <c r="I65" s="21">
        <f>IF($B65="","",_项目汇总!$AV$62)</f>
      </c>
      <c r="J65" s="21">
        <f>IF($B65="","",SUMIFS(期初余额!$E$5:$E$64,期初余额!$B$5:$B$64,$B65)+_项目汇总!$H$62+_项目汇总!$I$62)</f>
      </c>
      <c r="K65" s="21">
        <f t="shared" si="1"/>
      </c>
      <c r="L65" s="21">
        <f t="shared" si="2"/>
      </c>
      <c r="M65" s="21">
        <f>IF($B65="","",ROUND(E65*N(项目档案!$H$63),2))</f>
      </c>
      <c r="N65" s="95">
        <f>IF(OR($B65="",NOT(ISNUMBER(项目档案!$I$63))),"",项目档案!$I$63)</f>
      </c>
      <c r="O65" s="21">
        <f t="shared" si="3"/>
      </c>
      <c r="P65" s="95">
        <f t="shared" si="10"/>
      </c>
      <c r="Q65" s="106">
        <f t="shared" si="11"/>
      </c>
      <c r="R65" s="21">
        <f t="shared" si="4"/>
      </c>
      <c r="S65" s="21">
        <f t="shared" si="5"/>
      </c>
      <c r="T65" s="21">
        <f t="shared" si="6"/>
      </c>
      <c r="U65" s="21">
        <f t="shared" si="7"/>
      </c>
      <c r="V65" s="94">
        <f>项目档案!$M$63&amp;""</f>
      </c>
      <c r="W65" s="21">
        <f t="shared" si="8"/>
      </c>
      <c r="X65" s="22">
        <f t="shared" si="9"/>
      </c>
      <c r="Y65" s="96">
        <f t="shared" si="12"/>
      </c>
      <c r="AX65" s="2">
        <f t="shared" si="13"/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5:Y65"/>
  <mergeCells count="3">
    <mergeCell ref="B3:D3"/>
    <mergeCell ref="A2:Y2"/>
    <mergeCell ref="A1:Y1"/>
  </mergeCells>
  <conditionalFormatting sqref="Y6:Y65">
    <cfRule type="expression" priority="1" dxfId="1">
      <formula>$Y6&lt;&gt;""</formula>
    </cfRule>
  </conditionalFormatting>
  <conditionalFormatting sqref="U6:U65">
    <cfRule type="expression" priority="2" dxfId="10">
      <formula>N($U6)&gt;0</formula>
    </cfRule>
  </conditionalFormatting>
  <hyperlinks>
    <hyperlink ref="Z1" location="'首页'!A1" display="← 回首页"/>
  </hyperlinks>
  <pageMargins left="0.3" right="0.3" top="0.5" bottom="0.5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CE2001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15" customWidth="1" min="4" max="4"/>
    <col width="15" customWidth="1" min="5" max="5"/>
    <col width="15" customWidth="1" min="6" max="6"/>
    <col width="8" customWidth="1" min="7" max="7"/>
    <col width="15" customWidth="1" min="8" max="8"/>
    <col width="15" customWidth="1" min="9" max="9"/>
    <col width="19.0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3" customWidth="1" min="24" max="24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</cols>
  <sheetData>
    <row r="1" ht="33" customHeight="1">
      <c r="A1" s="51" t="inlineStr">
        <is>
          <t>应 付 账 款 总 表（材料商 · 分包 · 机械运输：欠谁多少、各项目多少）＋ 对账单</t>
        </is>
      </c>
      <c r="X1" s="33" t="inlineStr">
        <is>
          <t>← 回首页</t>
        </is>
      </c>
      <c r="AZ1" s="2">
        <f>SUM(CA1:CA1)</f>
        <v>0</v>
      </c>
      <c r="BA1" s="2">
        <f>SUM(CB1:CB1)</f>
        <v>1</v>
      </c>
      <c r="BB1" s="2">
        <f>SUM(CC1:CC1)</f>
        <v>1</v>
      </c>
      <c r="BC1" s="2">
        <f>SUM(CD1:CD1)</f>
        <v>0</v>
      </c>
      <c r="BD1" s="2">
        <f>COUNT(BD2:BD2001)</f>
        <v>1</v>
      </c>
      <c r="BE1" s="2">
        <f>SUM(CE1:CE1)</f>
        <v>0</v>
      </c>
      <c r="CA1" s="2">
        <f>IF(AND(OR(_余额!$B$3="材料供应商",_余额!$B$3="分包",_余额!$B$3="机械运输",_余额!$B$3="其他"),OR($C$3="全部",_余额!$B$3=$C$3),OR(_余额!$G$3&lt;&gt;0,_余额!$H$3&lt;&gt;0)),1,0)</f>
        <v>0</v>
      </c>
      <c r="CB1" s="2">
        <f>IF(AND(项目档案!$B$4&lt;&gt;"",SUMIFS(期初余额!$R$5:$R$204,期初余额!$Q$5:$Q$204,项目档案!$B$4,期初余额!$V$5:$V$204,IF($C$3="全部","*",$C$3))+SUMIFS(应付登记!$G$5:$G$1004,应付登记!$E$5:$E$1004,项目档案!$B$4,应付登记!$L$5:$L$1004,IF($C$3="全部","*",$C$3),应付登记!$J$5:$J$1004,"&gt;="&amp;_辅助!$J$4,应付登记!$J$5:$J$1004,"&lt;="&amp;_辅助!$J$2)&lt;&gt;0),1,0)</f>
        <v>1</v>
      </c>
      <c r="CC1" s="2">
        <f>IF(AND($C$130&lt;&gt;"",期初余额!$P$5=$C$130),1,0)</f>
        <v>1</v>
      </c>
      <c r="CD1" s="2">
        <f>IF(($C$130&lt;&gt;"")*(应付登记!$D$5=$C$130)*ISNUMBER(应付登记!$J$5)*(应付登记!$J$5&gt;=_辅助!$J$4)*(应付登记!$J$5&lt;=_辅助!$J$2),1,0)</f>
        <v>0</v>
      </c>
      <c r="CE1" s="2">
        <f>IF(($C$130&lt;&gt;"")*(代发抵账!$E$5=$C$130)*(代发抵账!$D$5="总包代付材料分包款")*ISNUMBER(代发抵账!$H$5)*(代发抵账!$H$5&lt;=_辅助!$J$2),1,0)</f>
        <v>0</v>
      </c>
    </row>
    <row r="2" ht="38" customHeight="1">
      <c r="A2" s="3" t="inlineStr">
        <is>
          <t>💡 黄格子选类型：「材料供应商」＝你原来的应付账款总表，「分包」＝应付分包商账款，「机械运输」＝机械费汇总；「全部」＝都列出来。应付＝【应付登记】＋【期初余额】②，已付＝【资金流水】里付给他的（类别「付应付款」）＋总包代付。后面几列是这家在各项目的应付。最下面「对账单」：选一家，列出他所有的应付和付款，跟他对账用。</t>
        </is>
      </c>
      <c r="AZ2" s="2">
        <f>SUM(CA1:CA2)</f>
        <v>0</v>
      </c>
      <c r="BA2" s="2">
        <f>SUM(CB1:CB2)</f>
        <v>2</v>
      </c>
      <c r="BB2" s="2">
        <f>SUM(CC1:CC2)</f>
        <v>2</v>
      </c>
      <c r="BC2" s="2">
        <f>SUM(CD1:CD2)</f>
        <v>0</v>
      </c>
      <c r="BD2" s="2">
        <f>IF(AND($C$130&lt;&gt;"",资金流水!$J$6=$C$130,ISNUMBER(资金流水!$B$6),ISNUMBER(资金流水!$S$6),资金流水!$S$6&gt;=_辅助!$J$4,资金流水!$S$6&lt;=_辅助!$J$2,OR(资金流水!$X$6="应付材料款",资金流水!$X$6="应付分包款",资金流水!$X$6="应付机械运输费",资金流水!$X$6="应付其他款")),INT(资金流水!$B$6)*10000+1,"")</f>
      </c>
      <c r="BE2" s="2">
        <f>SUM(CE1:CE2)</f>
        <v>0</v>
      </c>
      <c r="CA2" s="2">
        <f>IF(AND(OR(_余额!$B$4="材料供应商",_余额!$B$4="分包",_余额!$B$4="机械运输",_余额!$B$4="其他"),OR($C$3="全部",_余额!$B$4=$C$3),OR(_余额!$G$4&lt;&gt;0,_余额!$H$4&lt;&gt;0)),1,0)</f>
        <v>0</v>
      </c>
      <c r="CB2" s="2">
        <f>IF(AND(项目档案!$B$5&lt;&gt;"",SUMIFS(期初余额!$R$5:$R$204,期初余额!$Q$5:$Q$204,项目档案!$B$5,期初余额!$V$5:$V$204,IF($C$3="全部","*",$C$3))+SUMIFS(应付登记!$G$5:$G$1004,应付登记!$E$5:$E$1004,项目档案!$B$5,应付登记!$L$5:$L$1004,IF($C$3="全部","*",$C$3),应付登记!$J$5:$J$1004,"&gt;="&amp;_辅助!$J$4,应付登记!$J$5:$J$1004,"&lt;="&amp;_辅助!$J$2)&lt;&gt;0),1,0)</f>
        <v>1</v>
      </c>
      <c r="CC2" s="2">
        <f>IF(AND($C$130&lt;&gt;"",期初余额!$P$6=$C$130),1,0)</f>
        <v>1</v>
      </c>
      <c r="CD2" s="2">
        <f>IF(($C$130&lt;&gt;"")*(应付登记!$D$6=$C$130)*ISNUMBER(应付登记!$J$6)*(应付登记!$J$6&gt;=_辅助!$J$4)*(应付登记!$J$6&lt;=_辅助!$J$2),1,0)</f>
        <v>0</v>
      </c>
      <c r="CE2" s="2">
        <f>IF(($C$130&lt;&gt;"")*(代发抵账!$E$6=$C$130)*(代发抵账!$D$6="总包代付材料分包款")*ISNUMBER(代发抵账!$H$6)*(代发抵账!$H$6&lt;=_辅助!$J$2),1,0)</f>
        <v>0</v>
      </c>
    </row>
    <row r="3">
      <c r="B3" s="4" t="inlineStr">
        <is>
          <t>类型</t>
        </is>
      </c>
      <c r="C3" s="88" t="inlineStr">
        <is>
          <t>全部</t>
        </is>
      </c>
      <c r="D3" s="98" t="str">
        <f>"截止 "&amp;TEXT(_辅助!$J$9,"yyyy年m月d日")</f>
        <v>截止 2026年8月31日</v>
      </c>
      <c r="G3" s="90">
        <f>IF($AZ$300&gt;120,"⚠ 有"&amp;$AZ$300&amp;"家，只列前120家","")&amp;IF($BA$60&gt;12,"  ⚠ 有"&amp;$BA$60&amp;"个项目，前12个单列，其余在「没分项目或其他项目」","")</f>
      </c>
      <c r="AZ3" s="2">
        <f>SUM(CA1:CA3)</f>
        <v>0</v>
      </c>
      <c r="BA3" s="2">
        <f>SUM(CB1:CB3)</f>
        <v>3</v>
      </c>
      <c r="BB3" s="2">
        <f>SUM(CC1:CC3)</f>
        <v>3</v>
      </c>
      <c r="BC3" s="2">
        <f>SUM(CD1:CD3)</f>
        <v>0</v>
      </c>
      <c r="BD3" s="2">
        <f>IF(AND($C$130&lt;&gt;"",资金流水!$J$7=$C$130,ISNUMBER(资金流水!$B$7),ISNUMBER(资金流水!$S$7),资金流水!$S$7&gt;=_辅助!$J$4,资金流水!$S$7&lt;=_辅助!$J$2,OR(资金流水!$X$7="应付材料款",资金流水!$X$7="应付分包款",资金流水!$X$7="应付机械运输费",资金流水!$X$7="应付其他款")),INT(资金流水!$B$7)*10000+2,"")</f>
      </c>
      <c r="BE3" s="2">
        <f>SUM(CE1:CE3)</f>
        <v>0</v>
      </c>
      <c r="CA3" s="2">
        <f>IF(AND(OR(_余额!$B$5="材料供应商",_余额!$B$5="分包",_余额!$B$5="机械运输",_余额!$B$5="其他"),OR($C$3="全部",_余额!$B$5=$C$3),OR(_余额!$G$5&lt;&gt;0,_余额!$H$5&lt;&gt;0)),1,0)</f>
        <v>0</v>
      </c>
      <c r="CB3" s="2">
        <f>IF(AND(项目档案!$B$6&lt;&gt;"",SUMIFS(期初余额!$R$5:$R$204,期初余额!$Q$5:$Q$204,项目档案!$B$6,期初余额!$V$5:$V$204,IF($C$3="全部","*",$C$3))+SUMIFS(应付登记!$G$5:$G$1004,应付登记!$E$5:$E$1004,项目档案!$B$6,应付登记!$L$5:$L$1004,IF($C$3="全部","*",$C$3),应付登记!$J$5:$J$1004,"&gt;="&amp;_辅助!$J$4,应付登记!$J$5:$J$1004,"&lt;="&amp;_辅助!$J$2)&lt;&gt;0),1,0)</f>
        <v>1</v>
      </c>
      <c r="CC3" s="2">
        <f>IF(AND($C$130&lt;&gt;"",期初余额!$P$7=$C$130),1,0)</f>
        <v>1</v>
      </c>
      <c r="CD3" s="2">
        <f>IF(($C$130&lt;&gt;"")*(应付登记!$D$7=$C$130)*ISNUMBER(应付登记!$J$7)*(应付登记!$J$7&gt;=_辅助!$J$4)*(应付登记!$J$7&lt;=_辅助!$J$2),1,0)</f>
        <v>0</v>
      </c>
      <c r="CE3" s="2">
        <f>IF(($C$130&lt;&gt;"")*(代发抵账!$E$7=$C$130)*(代发抵账!$D$7="总包代付材料分包款")*ISNUMBER(代发抵账!$H$7)*(代发抵账!$H$7&lt;=_辅助!$J$2),1,0)</f>
        <v>0</v>
      </c>
    </row>
    <row r="4">
      <c r="A4" s="105" t="n"/>
      <c r="B4" s="76" t="inlineStr">
        <is>
          <t>合计</t>
        </is>
      </c>
      <c r="C4" s="105" t="n"/>
      <c r="D4" s="77">
        <f>SUM(D7:D126)</f>
        <v>4766568.84</v>
      </c>
      <c r="E4" s="77">
        <f>SUM(E7:E126)</f>
        <v>4362795.46</v>
      </c>
      <c r="F4" s="77">
        <f>SUM(F7:F126)</f>
        <v>403773.38</v>
      </c>
      <c r="G4" s="109">
        <f>IF(N(D4)=0,"",E4/D4)</f>
        <v>0.915290559403733</v>
      </c>
      <c r="H4" s="77">
        <f>SUM(H7:H126)</f>
        <v>6346.94</v>
      </c>
      <c r="I4" s="77">
        <f>SUM(I7:I126)</f>
        <v>4760221.9</v>
      </c>
      <c r="J4" s="105" t="n"/>
      <c r="K4" s="77">
        <f>SUM(K7:K126)</f>
        <v>95758.6100000001</v>
      </c>
      <c r="L4" s="77">
        <f>SUM(L7:L126)</f>
        <v>2392010.32</v>
      </c>
      <c r="M4" s="77">
        <f>SUM(M7:M126)</f>
        <v>629042.88</v>
      </c>
      <c r="N4" s="77">
        <f>SUM(N7:N126)</f>
        <v>252958.97</v>
      </c>
      <c r="O4" s="77">
        <f>SUM(O7:O126)</f>
        <v>105285.01</v>
      </c>
      <c r="P4" s="77">
        <f>SUM(P7:P126)</f>
        <v>36580</v>
      </c>
      <c r="Q4" s="77">
        <f>SUM(Q7:Q126)</f>
        <v>563762.17</v>
      </c>
      <c r="R4" s="77">
        <f>SUM(R7:R126)</f>
        <v>689823.94</v>
      </c>
      <c r="S4" s="77">
        <f>SUM(S7:S126)</f>
        <v>1346.94</v>
      </c>
      <c r="T4" s="77">
        <f>SUM(T7:T126)</f>
        <v>0</v>
      </c>
      <c r="U4" s="77">
        <f>SUM(U7:U126)</f>
        <v>0</v>
      </c>
      <c r="V4" s="77">
        <f>SUM(V7:V126)</f>
        <v>0</v>
      </c>
      <c r="W4" s="77">
        <f>SUM(W7:W126)</f>
        <v>0</v>
      </c>
      <c r="AZ4" s="2">
        <f>SUM(CA1:CA4)</f>
        <v>0</v>
      </c>
      <c r="BA4" s="2">
        <f>SUM(CB1:CB4)</f>
        <v>4</v>
      </c>
      <c r="BB4" s="2">
        <f>SUM(CC1:CC4)</f>
        <v>4</v>
      </c>
      <c r="BC4" s="2">
        <f>SUM(CD1:CD4)</f>
        <v>0</v>
      </c>
      <c r="BD4" s="2">
        <f>IF(AND($C$130&lt;&gt;"",资金流水!$J$8=$C$130,ISNUMBER(资金流水!$B$8),ISNUMBER(资金流水!$S$8),资金流水!$S$8&gt;=_辅助!$J$4,资金流水!$S$8&lt;=_辅助!$J$2,OR(资金流水!$X$8="应付材料款",资金流水!$X$8="应付分包款",资金流水!$X$8="应付机械运输费",资金流水!$X$8="应付其他款")),INT(资金流水!$B$8)*10000+3,"")</f>
      </c>
      <c r="BE4" s="2">
        <f>SUM(CE1:CE4)</f>
        <v>0</v>
      </c>
      <c r="CA4" s="2">
        <f>IF(AND(OR(_余额!$B$6="材料供应商",_余额!$B$6="分包",_余额!$B$6="机械运输",_余额!$B$6="其他"),OR($C$3="全部",_余额!$B$6=$C$3),OR(_余额!$G$6&lt;&gt;0,_余额!$H$6&lt;&gt;0)),1,0)</f>
        <v>0</v>
      </c>
      <c r="CB4" s="2">
        <f>IF(AND(项目档案!$B$7&lt;&gt;"",SUMIFS(期初余额!$R$5:$R$204,期初余额!$Q$5:$Q$204,项目档案!$B$7,期初余额!$V$5:$V$204,IF($C$3="全部","*",$C$3))+SUMIFS(应付登记!$G$5:$G$1004,应付登记!$E$5:$E$1004,项目档案!$B$7,应付登记!$L$5:$L$1004,IF($C$3="全部","*",$C$3),应付登记!$J$5:$J$1004,"&gt;="&amp;_辅助!$J$4,应付登记!$J$5:$J$1004,"&lt;="&amp;_辅助!$J$2)&lt;&gt;0),1,0)</f>
        <v>1</v>
      </c>
      <c r="CC4" s="2">
        <f>IF(AND($C$130&lt;&gt;"",期初余额!$P$8=$C$130),1,0)</f>
        <v>1</v>
      </c>
      <c r="CD4" s="2">
        <f>IF(($C$130&lt;&gt;"")*(应付登记!$D$8=$C$130)*ISNUMBER(应付登记!$J$8)*(应付登记!$J$8&gt;=_辅助!$J$4)*(应付登记!$J$8&lt;=_辅助!$J$2),1,0)</f>
        <v>0</v>
      </c>
      <c r="CE4" s="2">
        <f>IF(($C$130&lt;&gt;"")*(代发抵账!$E$8=$C$130)*(代发抵账!$D$8="总包代付材料分包款")*ISNUMBER(代发抵账!$H$8)*(代发抵账!$H$8&lt;=_辅助!$J$2),1,0)</f>
        <v>0</v>
      </c>
    </row>
    <row r="5">
      <c r="AZ5" s="2">
        <f>SUM(CA1:CA5)</f>
        <v>0</v>
      </c>
      <c r="BA5" s="2">
        <f>SUM(CB1:CB5)</f>
        <v>5</v>
      </c>
      <c r="BB5" s="2">
        <f>SUM(CC1:CC5)</f>
        <v>5</v>
      </c>
      <c r="BC5" s="2">
        <f>SUM(CD1:CD5)</f>
        <v>0</v>
      </c>
      <c r="BD5" s="2">
        <f>IF(AND($C$130&lt;&gt;"",资金流水!$J$9=$C$130,ISNUMBER(资金流水!$B$9),ISNUMBER(资金流水!$S$9),资金流水!$S$9&gt;=_辅助!$J$4,资金流水!$S$9&lt;=_辅助!$J$2,OR(资金流水!$X$9="应付材料款",资金流水!$X$9="应付分包款",资金流水!$X$9="应付机械运输费",资金流水!$X$9="应付其他款")),INT(资金流水!$B$9)*10000+4,"")</f>
      </c>
      <c r="BE5" s="2">
        <f>SUM(CE1:CE5)</f>
        <v>0</v>
      </c>
      <c r="CA5" s="2">
        <f>IF(AND(OR(_余额!$B$7="材料供应商",_余额!$B$7="分包",_余额!$B$7="机械运输",_余额!$B$7="其他"),OR($C$3="全部",_余额!$B$7=$C$3),OR(_余额!$G$7&lt;&gt;0,_余额!$H$7&lt;&gt;0)),1,0)</f>
        <v>0</v>
      </c>
      <c r="CB5" s="2">
        <f>IF(AND(项目档案!$B$8&lt;&gt;"",SUMIFS(期初余额!$R$5:$R$204,期初余额!$Q$5:$Q$204,项目档案!$B$8,期初余额!$V$5:$V$204,IF($C$3="全部","*",$C$3))+SUMIFS(应付登记!$G$5:$G$1004,应付登记!$E$5:$E$1004,项目档案!$B$8,应付登记!$L$5:$L$1004,IF($C$3="全部","*",$C$3),应付登记!$J$5:$J$1004,"&gt;="&amp;_辅助!$J$4,应付登记!$J$5:$J$1004,"&lt;="&amp;_辅助!$J$2)&lt;&gt;0),1,0)</f>
        <v>1</v>
      </c>
      <c r="CC5" s="2">
        <f>IF(AND($C$130&lt;&gt;"",期初余额!$P$9=$C$130),1,0)</f>
        <v>1</v>
      </c>
      <c r="CD5" s="2">
        <f>IF(($C$130&lt;&gt;"")*(应付登记!$D$9=$C$130)*ISNUMBER(应付登记!$J$9)*(应付登记!$J$9&gt;=_辅助!$J$4)*(应付登记!$J$9&lt;=_辅助!$J$2),1,0)</f>
        <v>0</v>
      </c>
      <c r="CE5" s="2">
        <f>IF(($C$130&lt;&gt;"")*(代发抵账!$E$9=$C$130)*(代发抵账!$D$9="总包代付材料分包款")*ISNUMBER(代发抵账!$H$9)*(代发抵账!$H$9&lt;=_辅助!$J$2),1,0)</f>
        <v>0</v>
      </c>
    </row>
    <row r="6" ht="40" customHeight="1">
      <c r="A6" s="42" t="inlineStr">
        <is>
          <t>序号</t>
        </is>
      </c>
      <c r="B6" s="42" t="inlineStr">
        <is>
          <t>单位</t>
        </is>
      </c>
      <c r="C6" s="42" t="inlineStr">
        <is>
          <t>类型</t>
        </is>
      </c>
      <c r="D6" s="42" t="inlineStr">
        <is>
          <t>应付总额</t>
        </is>
      </c>
      <c r="E6" s="42" t="inlineStr">
        <is>
          <t>已付总额</t>
        </is>
      </c>
      <c r="F6" s="42" t="inlineStr">
        <is>
          <t>剩余未付</t>
        </is>
      </c>
      <c r="G6" s="42" t="inlineStr">
        <is>
          <t>付款
比例</t>
        </is>
      </c>
      <c r="H6" s="42" t="inlineStr">
        <is>
          <t>已收票</t>
        </is>
      </c>
      <c r="I6" s="42" t="inlineStr">
        <is>
          <t>未收票
（应付−收票）</t>
        </is>
      </c>
      <c r="J6" s="42" t="inlineStr">
        <is>
          <t>最后付款日</t>
        </is>
      </c>
      <c r="K6" s="42" t="inlineStr">
        <is>
          <t>没分项目
或其他项目</t>
        </is>
      </c>
      <c r="L6" s="42" t="str">
        <f>IFERROR(INDEX(项目档案!$B$4:$B$63,MATCH(1,$BA$1:$BA$60,0)),"")</f>
        <v>德安养老中心</v>
      </c>
      <c r="M6" s="42" t="str">
        <f>IFERROR(INDEX(项目档案!$B$4:$B$63,MATCH(2,$BA$1:$BA$60,0)),"")</f>
        <v>科创中心</v>
      </c>
      <c r="N6" s="42" t="str">
        <f>IFERROR(INDEX(项目档案!$B$4:$B$63,MATCH(3,$BA$1:$BA$60,0)),"")</f>
        <v>九安架空层</v>
      </c>
      <c r="O6" s="42" t="str">
        <f>IFERROR(INDEX(项目档案!$B$4:$B$63,MATCH(4,$BA$1:$BA$60,0)),"")</f>
        <v>数字产业园</v>
      </c>
      <c r="P6" s="42" t="str">
        <f>IFERROR(INDEX(项目档案!$B$4:$B$63,MATCH(5,$BA$1:$BA$60,0)),"")</f>
        <v>邹桥派出所</v>
      </c>
      <c r="Q6" s="42" t="str">
        <f>IFERROR(INDEX(项目档案!$B$4:$B$63,MATCH(6,$BA$1:$BA$60,0)),"")</f>
        <v>抚州1号楼</v>
      </c>
      <c r="R6" s="42" t="str">
        <f>IFERROR(INDEX(项目档案!$B$4:$B$63,MATCH(7,$BA$1:$BA$60,0)),"")</f>
        <v>抚州8号楼</v>
      </c>
      <c r="S6" s="42" t="str">
        <f>IFERROR(INDEX(项目档案!$B$4:$B$63,MATCH(8,$BA$1:$BA$60,0)),"")</f>
        <v>德安农商行总部</v>
      </c>
      <c r="T6" s="42">
        <f>IFERROR(INDEX(项目档案!$B$4:$B$63,MATCH(9,$BA$1:$BA$60,0)),"")</f>
      </c>
      <c r="U6" s="42">
        <f>IFERROR(INDEX(项目档案!$B$4:$B$63,MATCH(10,$BA$1:$BA$60,0)),"")</f>
      </c>
      <c r="V6" s="42">
        <f>IFERROR(INDEX(项目档案!$B$4:$B$63,MATCH(11,$BA$1:$BA$60,0)),"")</f>
      </c>
      <c r="W6" s="42">
        <f>IFERROR(INDEX(项目档案!$B$4:$B$63,MATCH(12,$BA$1:$BA$60,0)),"")</f>
      </c>
      <c r="AZ6" s="2">
        <f>SUM(CA1:CA6)</f>
        <v>0</v>
      </c>
      <c r="BA6" s="2">
        <f>SUM(CB1:CB6)</f>
        <v>6</v>
      </c>
      <c r="BB6" s="2">
        <f>SUM(CC1:CC6)</f>
        <v>6</v>
      </c>
      <c r="BC6" s="2">
        <f>SUM(CD1:CD6)</f>
        <v>0</v>
      </c>
      <c r="BD6" s="2">
        <f>IF(AND($C$130&lt;&gt;"",资金流水!$J$10=$C$130,ISNUMBER(资金流水!$B$10),ISNUMBER(资金流水!$S$10),资金流水!$S$10&gt;=_辅助!$J$4,资金流水!$S$10&lt;=_辅助!$J$2,OR(资金流水!$X$10="应付材料款",资金流水!$X$10="应付分包款",资金流水!$X$10="应付机械运输费",资金流水!$X$10="应付其他款")),INT(资金流水!$B$10)*10000+5,"")</f>
      </c>
      <c r="BE6" s="2">
        <f>SUM(CE1:CE6)</f>
        <v>0</v>
      </c>
      <c r="CA6" s="2">
        <f>IF(AND(OR(_余额!$B$8="材料供应商",_余额!$B$8="分包",_余额!$B$8="机械运输",_余额!$B$8="其他"),OR($C$3="全部",_余额!$B$8=$C$3),OR(_余额!$G$8&lt;&gt;0,_余额!$H$8&lt;&gt;0)),1,0)</f>
        <v>0</v>
      </c>
      <c r="CB6" s="2">
        <f>IF(AND(项目档案!$B$9&lt;&gt;"",SUMIFS(期初余额!$R$5:$R$204,期初余额!$Q$5:$Q$204,项目档案!$B$9,期初余额!$V$5:$V$204,IF($C$3="全部","*",$C$3))+SUMIFS(应付登记!$G$5:$G$1004,应付登记!$E$5:$E$1004,项目档案!$B$9,应付登记!$L$5:$L$1004,IF($C$3="全部","*",$C$3),应付登记!$J$5:$J$1004,"&gt;="&amp;_辅助!$J$4,应付登记!$J$5:$J$1004,"&lt;="&amp;_辅助!$J$2)&lt;&gt;0),1,0)</f>
        <v>1</v>
      </c>
      <c r="CC6" s="2">
        <f>IF(AND($C$130&lt;&gt;"",期初余额!$P$10=$C$130),1,0)</f>
        <v>1</v>
      </c>
      <c r="CD6" s="2">
        <f>IF(($C$130&lt;&gt;"")*(应付登记!$D$10=$C$130)*ISNUMBER(应付登记!$J$10)*(应付登记!$J$10&gt;=_辅助!$J$4)*(应付登记!$J$10&lt;=_辅助!$J$2),1,0)</f>
        <v>0</v>
      </c>
      <c r="CE6" s="2">
        <f>IF(($C$130&lt;&gt;"")*(代发抵账!$E$10=$C$130)*(代发抵账!$D$10="总包代付材料分包款")*ISNUMBER(代发抵账!$H$10)*(代发抵账!$H$10&lt;=_辅助!$J$2),1,0)</f>
        <v>0</v>
      </c>
    </row>
    <row r="7">
      <c r="A7" s="94">
        <f>IF($AY7=0,"",1)</f>
        <v>1</v>
      </c>
      <c r="B7" s="96" t="str">
        <f t="shared" ref="B7:B126" si="24">IF($AY7=0,"",INDEX(往来单位!$B$4:$B$303,$AY7))</f>
        <v>筑强</v>
      </c>
      <c r="C7" s="94" t="str">
        <f t="shared" ref="C7:C126" si="26">IF($AY7=0,"",INDEX(往来单位!$C$4:$C$303,$AY7))</f>
        <v>材料供应商</v>
      </c>
      <c r="D7" s="21">
        <f t="shared" ref="D7:D126" si="0">IF($AY7=0,"",INDEX(_余额!$G$3:$G$302,$AY7))</f>
        <v>1532992.03</v>
      </c>
      <c r="E7" s="21">
        <f t="shared" ref="E7:E126" si="3">IF($AY7=0,"",INDEX(_余额!$H$3:$H$302,$AY7))</f>
        <v>1308939.18</v>
      </c>
      <c r="F7" s="21">
        <f t="shared" ref="F7:F126" si="5">IF($AY7=0,"",INDEX(_余额!$C$3:$C$302,$AY7))</f>
        <v>224052.85</v>
      </c>
      <c r="G7" s="22">
        <f t="shared" ref="G7:G126" si="2">IF(OR($AY7=0,N(D7)=0),"",E7/D7)</f>
        <v>0.853846043804937</v>
      </c>
      <c r="H7" s="21">
        <f t="shared" ref="H7:H126" si="6">IF($AY7=0,"",INDEX(_余额!$I$3:$I$302,$AY7))</f>
        <v>546.94</v>
      </c>
      <c r="I7" s="21">
        <f t="shared" ref="I7:I126" si="8">IF($AY7=0,"",D7-H7)</f>
        <v>1532445.09</v>
      </c>
      <c r="J7" s="95">
        <f t="shared" ref="J7:J126" si="28">IF(OR($AY7=0,N($AX7)=0),"",$AX7)</f>
        <v>46262.0</v>
      </c>
      <c r="K7" s="21">
        <f t="shared" ref="K7:K126" si="10">IF($AY7=0,"",D7-(N(L7)+N(M7)+N(N7)+N(O7)+N(P7)+N(Q7)+N(R7)+N(S7)+N(T7)+N(U7)+N(V7)+N(W7)))</f>
        <v>40426.6100000001</v>
      </c>
      <c r="L7" s="21">
        <f t="shared" ref="L7:L126" si="12">IF(OR($AY7=0,L$6=""),"",SUMIFS(期初余额!$R$5:$R$204,期初余额!$P$5:$P$204,$B7,期初余额!$Q$5:$Q$204,L$6)+SUMIFS(应付登记!$G$5:$G$1004,应付登记!$D$5:$D$1004,$B7,应付登记!$E$5:$E$1004,L$6,应付登记!$J$5:$J$1004,"&gt;="&amp;_辅助!$J$4,应付登记!$J$5:$J$1004,"&lt;="&amp;_辅助!$J$2))</f>
        <v>604482.11</v>
      </c>
      <c r="M7" s="21">
        <f t="shared" ref="M7:M126" si="13">IF(OR($AY7=0,M$6=""),"",SUMIFS(期初余额!$R$5:$R$204,期初余额!$P$5:$P$204,$B7,期初余额!$Q$5:$Q$204,M$6)+SUMIFS(应付登记!$G$5:$G$1004,应付登记!$D$5:$D$1004,$B7,应付登记!$E$5:$E$1004,M$6,应付登记!$J$5:$J$1004,"&gt;="&amp;_辅助!$J$4,应付登记!$J$5:$J$1004,"&lt;="&amp;_辅助!$J$2))</f>
        <v>446419.88</v>
      </c>
      <c r="N7" s="21">
        <f t="shared" ref="N7:N126" si="14">IF(OR($AY7=0,N$6=""),"",SUMIFS(期初余额!$R$5:$R$204,期初余额!$P$5:$P$204,$B7,期初余额!$Q$5:$Q$204,N$6)+SUMIFS(应付登记!$G$5:$G$1004,应付登记!$D$5:$D$1004,$B7,应付登记!$E$5:$E$1004,N$6,应付登记!$J$5:$J$1004,"&gt;="&amp;_辅助!$J$4,应付登记!$J$5:$J$1004,"&lt;="&amp;_辅助!$J$2))</f>
        <v>44610.37</v>
      </c>
      <c r="O7" s="21">
        <f t="shared" ref="O7:O126" si="15">IF(OR($AY7=0,O$6=""),"",SUMIFS(期初余额!$R$5:$R$204,期初余额!$P$5:$P$204,$B7,期初余额!$Q$5:$Q$204,O$6)+SUMIFS(应付登记!$G$5:$G$1004,应付登记!$D$5:$D$1004,$B7,应付登记!$E$5:$E$1004,O$6,应付登记!$J$5:$J$1004,"&gt;="&amp;_辅助!$J$4,应付登记!$J$5:$J$1004,"&lt;="&amp;_辅助!$J$2))</f>
        <v>33897.01</v>
      </c>
      <c r="P7" s="21">
        <f t="shared" ref="P7:P126" si="16">IF(OR($AY7=0,P$6=""),"",SUMIFS(期初余额!$R$5:$R$204,期初余额!$P$5:$P$204,$B7,期初余额!$Q$5:$Q$204,P$6)+SUMIFS(应付登记!$G$5:$G$1004,应付登记!$D$5:$D$1004,$B7,应付登记!$E$5:$E$1004,P$6,应付登记!$J$5:$J$1004,"&gt;="&amp;_辅助!$J$4,应付登记!$J$5:$J$1004,"&lt;="&amp;_辅助!$J$2))</f>
        <v>0</v>
      </c>
      <c r="Q7" s="21">
        <f t="shared" ref="Q7:Q126" si="17">IF(OR($AY7=0,Q$6=""),"",SUMIFS(期初余额!$R$5:$R$204,期初余额!$P$5:$P$204,$B7,期初余额!$Q$5:$Q$204,Q$6)+SUMIFS(应付登记!$G$5:$G$1004,应付登记!$D$5:$D$1004,$B7,应付登记!$E$5:$E$1004,Q$6,应付登记!$J$5:$J$1004,"&gt;="&amp;_辅助!$J$4,应付登记!$J$5:$J$1004,"&lt;="&amp;_辅助!$J$2))</f>
        <v>196807.17</v>
      </c>
      <c r="R7" s="21">
        <f t="shared" ref="R7:R126" si="18">IF(OR($AY7=0,R$6=""),"",SUMIFS(期初余额!$R$5:$R$204,期初余额!$P$5:$P$204,$B7,期初余额!$Q$5:$Q$204,R$6)+SUMIFS(应付登记!$G$5:$G$1004,应付登记!$D$5:$D$1004,$B7,应付登记!$E$5:$E$1004,R$6,应付登记!$J$5:$J$1004,"&gt;="&amp;_辅助!$J$4,应付登记!$J$5:$J$1004,"&lt;="&amp;_辅助!$J$2))</f>
        <v>165801.94</v>
      </c>
      <c r="S7" s="21">
        <f t="shared" ref="S7:S126" si="19">IF(OR($AY7=0,S$6=""),"",SUMIFS(期初余额!$R$5:$R$204,期初余额!$P$5:$P$204,$B7,期初余额!$Q$5:$Q$204,S$6)+SUMIFS(应付登记!$G$5:$G$1004,应付登记!$D$5:$D$1004,$B7,应付登记!$E$5:$E$1004,S$6,应付登记!$J$5:$J$1004,"&gt;="&amp;_辅助!$J$4,应付登记!$J$5:$J$1004,"&lt;="&amp;_辅助!$J$2))</f>
        <v>546.94</v>
      </c>
      <c r="T7" s="21">
        <f t="shared" ref="T7:T126" si="20">IF(OR($AY7=0,T$6=""),"",SUMIFS(期初余额!$R$5:$R$204,期初余额!$P$5:$P$204,$B7,期初余额!$Q$5:$Q$204,T$6)+SUMIFS(应付登记!$G$5:$G$1004,应付登记!$D$5:$D$1004,$B7,应付登记!$E$5:$E$1004,T$6,应付登记!$J$5:$J$1004,"&gt;="&amp;_辅助!$J$4,应付登记!$J$5:$J$1004,"&lt;="&amp;_辅助!$J$2))</f>
      </c>
      <c r="U7" s="21">
        <f t="shared" ref="U7:U126" si="21">IF(OR($AY7=0,U$6=""),"",SUMIFS(期初余额!$R$5:$R$204,期初余额!$P$5:$P$204,$B7,期初余额!$Q$5:$Q$204,U$6)+SUMIFS(应付登记!$G$5:$G$1004,应付登记!$D$5:$D$1004,$B7,应付登记!$E$5:$E$1004,U$6,应付登记!$J$5:$J$1004,"&gt;="&amp;_辅助!$J$4,应付登记!$J$5:$J$1004,"&lt;="&amp;_辅助!$J$2))</f>
      </c>
      <c r="V7" s="21">
        <f t="shared" ref="V7:V126" si="22">IF(OR($AY7=0,V$6=""),"",SUMIFS(期初余额!$R$5:$R$204,期初余额!$P$5:$P$204,$B7,期初余额!$Q$5:$Q$204,V$6)+SUMIFS(应付登记!$G$5:$G$1004,应付登记!$D$5:$D$1004,$B7,应付登记!$E$5:$E$1004,V$6,应付登记!$J$5:$J$1004,"&gt;="&amp;_辅助!$J$4,应付登记!$J$5:$J$1004,"&lt;="&amp;_辅助!$J$2))</f>
      </c>
      <c r="W7" s="21">
        <f t="shared" ref="W7:W126" si="23">IF(OR($AY7=0,W$6=""),"",SUMIFS(期初余额!$R$5:$R$204,期初余额!$P$5:$P$204,$B7,期初余额!$Q$5:$Q$204,W$6)+SUMIFS(应付登记!$G$5:$G$1004,应付登记!$D$5:$D$1004,$B7,应付登记!$E$5:$E$1004,W$6,应付登记!$J$5:$J$1004,"&gt;="&amp;_辅助!$J$4,应付登记!$J$5:$J$1004,"&lt;="&amp;_辅助!$J$2))</f>
      </c>
      <c r="AX7" s="2">
        <f t="shared" ref="AX7:AX126" si="30">IF($AY7=0,0,IF(COUNTIFS(资金流水!$J$6:$J$2005,$B7,资金流水!$R$6:$R$2005,"&lt;0",资金流水!$AN$6:$AN$2005,"&gt;0",资金流水!$AN$6:$AN$2005,"&lt;="&amp;_辅助!$J$9)=0,0,IFERROR(INDEX(资金流水!$AN$6:$AN$2005,MATCH($B7&amp;"|"&amp;COUNTIFS(资金流水!$J$6:$J$2005,$B7,资金流水!$R$6:$R$2005,"&lt;0",资金流水!$AN$6:$AN$2005,"&gt;0",资金流水!$AN$6:$AN$2005,"&lt;="&amp;_辅助!$J$9),资金流水!$AP$6:$AP$2005,0)),0)))</f>
        <v>46262</v>
      </c>
      <c r="AY7" s="2">
        <f>IF(1&gt;$AZ$300,0,IFERROR(MATCH(1,$AZ$1:$AZ$300,0),0))</f>
        <v>8</v>
      </c>
      <c r="AZ7" s="2">
        <f>SUM(CA1:CA7)</f>
        <v>0</v>
      </c>
      <c r="BA7" s="2">
        <f>SUM(CB1:CB7)</f>
        <v>7</v>
      </c>
      <c r="BB7" s="2">
        <f>SUM(CC1:CC7)</f>
        <v>7</v>
      </c>
      <c r="BC7" s="2">
        <f>SUM(CD1:CD7)</f>
        <v>0</v>
      </c>
      <c r="BD7" s="2">
        <f>IF(AND($C$130&lt;&gt;"",资金流水!$J$11=$C$130,ISNUMBER(资金流水!$B$11),ISNUMBER(资金流水!$S$11),资金流水!$S$11&gt;=_辅助!$J$4,资金流水!$S$11&lt;=_辅助!$J$2,OR(资金流水!$X$11="应付材料款",资金流水!$X$11="应付分包款",资金流水!$X$11="应付机械运输费",资金流水!$X$11="应付其他款")),INT(资金流水!$B$11)*10000+6,"")</f>
      </c>
      <c r="BE7" s="2">
        <f>SUM(CE1:CE7)</f>
        <v>0</v>
      </c>
      <c r="CA7" s="2">
        <f>IF(AND(OR(_余额!$B$9="材料供应商",_余额!$B$9="分包",_余额!$B$9="机械运输",_余额!$B$9="其他"),OR($C$3="全部",_余额!$B$9=$C$3),OR(_余额!$G$9&lt;&gt;0,_余额!$H$9&lt;&gt;0)),1,0)</f>
        <v>0</v>
      </c>
      <c r="CB7" s="2">
        <f>IF(AND(项目档案!$B$10&lt;&gt;"",SUMIFS(期初余额!$R$5:$R$204,期初余额!$Q$5:$Q$204,项目档案!$B$10,期初余额!$V$5:$V$204,IF($C$3="全部","*",$C$3))+SUMIFS(应付登记!$G$5:$G$1004,应付登记!$E$5:$E$1004,项目档案!$B$10,应付登记!$L$5:$L$1004,IF($C$3="全部","*",$C$3),应付登记!$J$5:$J$1004,"&gt;="&amp;_辅助!$J$4,应付登记!$J$5:$J$1004,"&lt;="&amp;_辅助!$J$2)&lt;&gt;0),1,0)</f>
        <v>1</v>
      </c>
      <c r="CC7" s="2">
        <f>IF(AND($C$130&lt;&gt;"",期初余额!$P$11=$C$130),1,0)</f>
        <v>1</v>
      </c>
      <c r="CD7" s="2">
        <f>IF(($C$130&lt;&gt;"")*(应付登记!$D$11=$C$130)*ISNUMBER(应付登记!$J$11)*(应付登记!$J$11&gt;=_辅助!$J$4)*(应付登记!$J$11&lt;=_辅助!$J$2),1,0)</f>
        <v>0</v>
      </c>
      <c r="CE7" s="2">
        <f>IF(($C$130&lt;&gt;"")*(代发抵账!$E$11=$C$130)*(代发抵账!$D$11="总包代付材料分包款")*ISNUMBER(代发抵账!$H$11)*(代发抵账!$H$11&lt;=_辅助!$J$2),1,0)</f>
        <v>0</v>
      </c>
    </row>
    <row r="8">
      <c r="A8" s="94">
        <f>IF($AY8=0,"",2)</f>
        <v>2</v>
      </c>
      <c r="B8" s="96" t="str">
        <f t="shared" si="24"/>
        <v>九江安洋钢材熊总</v>
      </c>
      <c r="C8" s="94" t="str">
        <f t="shared" si="26"/>
        <v>材料供应商</v>
      </c>
      <c r="D8" s="21">
        <f t="shared" si="0"/>
        <v>331446.38</v>
      </c>
      <c r="E8" s="21">
        <f t="shared" si="3"/>
        <v>331446.38</v>
      </c>
      <c r="F8" s="21">
        <f t="shared" si="5"/>
        <v>0</v>
      </c>
      <c r="G8" s="22">
        <f t="shared" si="2"/>
        <v>1</v>
      </c>
      <c r="H8" s="21">
        <f t="shared" si="6"/>
        <v>0</v>
      </c>
      <c r="I8" s="21">
        <f t="shared" si="8"/>
        <v>331446.38</v>
      </c>
      <c r="J8" s="95">
        <f t="shared" si="28"/>
      </c>
      <c r="K8" s="21">
        <f t="shared" si="10"/>
        <v>0</v>
      </c>
      <c r="L8" s="21">
        <f t="shared" si="12"/>
        <v>331446.38</v>
      </c>
      <c r="M8" s="21">
        <f t="shared" si="13"/>
        <v>0</v>
      </c>
      <c r="N8" s="21">
        <f t="shared" si="14"/>
        <v>0</v>
      </c>
      <c r="O8" s="21">
        <f t="shared" si="15"/>
        <v>0</v>
      </c>
      <c r="P8" s="21">
        <f t="shared" si="16"/>
        <v>0</v>
      </c>
      <c r="Q8" s="21">
        <f t="shared" si="17"/>
        <v>0</v>
      </c>
      <c r="R8" s="21">
        <f t="shared" si="18"/>
        <v>0</v>
      </c>
      <c r="S8" s="21">
        <f t="shared" si="19"/>
        <v>0</v>
      </c>
      <c r="T8" s="21">
        <f t="shared" si="20"/>
      </c>
      <c r="U8" s="21">
        <f t="shared" si="21"/>
      </c>
      <c r="V8" s="21">
        <f t="shared" si="22"/>
      </c>
      <c r="W8" s="21">
        <f t="shared" si="23"/>
      </c>
      <c r="AX8" s="2">
        <f t="shared" si="30"/>
        <v>0</v>
      </c>
      <c r="AY8" s="2">
        <f>IF(2&gt;$AZ$300,0,IFERROR(MATCH(2,$AZ$1:$AZ$300,0),0))</f>
        <v>9</v>
      </c>
      <c r="AZ8" s="2">
        <f>SUM(CA1:CA8)</f>
        <v>1</v>
      </c>
      <c r="BA8" s="2">
        <f>SUM(CB1:CB8)</f>
        <v>7</v>
      </c>
      <c r="BB8" s="2">
        <f>SUM(CC1:CC8)</f>
        <v>8</v>
      </c>
      <c r="BC8" s="2">
        <f>SUM(CD1:CD8)</f>
        <v>0</v>
      </c>
      <c r="BD8" s="2">
        <f>IF(AND($C$130&lt;&gt;"",资金流水!$J$12=$C$130,ISNUMBER(资金流水!$B$12),ISNUMBER(资金流水!$S$12),资金流水!$S$12&gt;=_辅助!$J$4,资金流水!$S$12&lt;=_辅助!$J$2,OR(资金流水!$X$12="应付材料款",资金流水!$X$12="应付分包款",资金流水!$X$12="应付机械运输费",资金流水!$X$12="应付其他款")),INT(资金流水!$B$12)*10000+7,"")</f>
      </c>
      <c r="BE8" s="2">
        <f>SUM(CE1:CE8)</f>
        <v>0</v>
      </c>
      <c r="CA8" s="2">
        <f>IF(AND(OR(_余额!$B$10="材料供应商",_余额!$B$10="分包",_余额!$B$10="机械运输",_余额!$B$10="其他"),OR($C$3="全部",_余额!$B$10=$C$3),OR(_余额!$G$10&lt;&gt;0,_余额!$H$10&lt;&gt;0)),1,0)</f>
        <v>1</v>
      </c>
      <c r="CB8" s="2">
        <f>IF(AND(项目档案!$B$11&lt;&gt;"",SUMIFS(期初余额!$R$5:$R$204,期初余额!$Q$5:$Q$204,项目档案!$B$11,期初余额!$V$5:$V$204,IF($C$3="全部","*",$C$3))+SUMIFS(应付登记!$G$5:$G$1004,应付登记!$E$5:$E$1004,项目档案!$B$11,应付登记!$L$5:$L$1004,IF($C$3="全部","*",$C$3),应付登记!$J$5:$J$1004,"&gt;="&amp;_辅助!$J$4,应付登记!$J$5:$J$1004,"&lt;="&amp;_辅助!$J$2)&lt;&gt;0),1,0)</f>
        <v>0</v>
      </c>
      <c r="CC8" s="2">
        <f>IF(AND($C$130&lt;&gt;"",期初余额!$P$12=$C$130),1,0)</f>
        <v>1</v>
      </c>
      <c r="CD8" s="2">
        <f>IF(($C$130&lt;&gt;"")*(应付登记!$D$12=$C$130)*ISNUMBER(应付登记!$J$12)*(应付登记!$J$12&gt;=_辅助!$J$4)*(应付登记!$J$12&lt;=_辅助!$J$2),1,0)</f>
        <v>0</v>
      </c>
      <c r="CE8" s="2">
        <f>IF(($C$130&lt;&gt;"")*(代发抵账!$E$12=$C$130)*(代发抵账!$D$12="总包代付材料分包款")*ISNUMBER(代发抵账!$H$12)*(代发抵账!$H$12&lt;=_辅助!$J$2),1,0)</f>
        <v>0</v>
      </c>
    </row>
    <row r="9">
      <c r="A9" s="94">
        <f>IF($AY9=0,"",3)</f>
        <v>3</v>
      </c>
      <c r="B9" s="96" t="str">
        <f t="shared" si="24"/>
        <v>鑫城五金庄总</v>
      </c>
      <c r="C9" s="94" t="str">
        <f t="shared" si="26"/>
        <v>材料供应商</v>
      </c>
      <c r="D9" s="21">
        <f t="shared" si="0"/>
        <v>256240</v>
      </c>
      <c r="E9" s="21">
        <f t="shared" si="3"/>
        <v>256240</v>
      </c>
      <c r="F9" s="21">
        <f t="shared" si="5"/>
        <v>0</v>
      </c>
      <c r="G9" s="22">
        <f t="shared" si="2"/>
        <v>1</v>
      </c>
      <c r="H9" s="21">
        <f t="shared" si="6"/>
        <v>0</v>
      </c>
      <c r="I9" s="21">
        <f t="shared" si="8"/>
        <v>256240</v>
      </c>
      <c r="J9" s="95">
        <f t="shared" si="28"/>
      </c>
      <c r="K9" s="21">
        <f t="shared" si="10"/>
        <v>19240</v>
      </c>
      <c r="L9" s="21">
        <f t="shared" si="12"/>
        <v>64938.4</v>
      </c>
      <c r="M9" s="21">
        <f t="shared" si="13"/>
        <v>0</v>
      </c>
      <c r="N9" s="21">
        <f t="shared" si="14"/>
        <v>172061.6</v>
      </c>
      <c r="O9" s="21">
        <f t="shared" si="15"/>
        <v>0</v>
      </c>
      <c r="P9" s="21">
        <f t="shared" si="16"/>
        <v>0</v>
      </c>
      <c r="Q9" s="21">
        <f t="shared" si="17"/>
        <v>0</v>
      </c>
      <c r="R9" s="21">
        <f t="shared" si="18"/>
        <v>0</v>
      </c>
      <c r="S9" s="21">
        <f t="shared" si="19"/>
        <v>0</v>
      </c>
      <c r="T9" s="21">
        <f t="shared" si="20"/>
      </c>
      <c r="U9" s="21">
        <f t="shared" si="21"/>
      </c>
      <c r="V9" s="21">
        <f t="shared" si="22"/>
      </c>
      <c r="W9" s="21">
        <f t="shared" si="23"/>
      </c>
      <c r="AX9" s="2">
        <f t="shared" si="30"/>
        <v>0</v>
      </c>
      <c r="AY9" s="2">
        <f>IF(3&gt;$AZ$300,0,IFERROR(MATCH(3,$AZ$1:$AZ$300,0),0))</f>
        <v>10</v>
      </c>
      <c r="AZ9" s="2">
        <f>SUM(CA1:CA9)</f>
        <v>2</v>
      </c>
      <c r="BA9" s="2">
        <f>SUM(CB1:CB9)</f>
        <v>7</v>
      </c>
      <c r="BB9" s="2">
        <f>SUM(CC1:CC9)</f>
        <v>8</v>
      </c>
      <c r="BC9" s="2">
        <f>SUM(CD1:CD9)</f>
        <v>0</v>
      </c>
      <c r="BD9" s="2">
        <f>IF(AND($C$130&lt;&gt;"",资金流水!$J$13=$C$130,ISNUMBER(资金流水!$B$13),ISNUMBER(资金流水!$S$13),资金流水!$S$13&gt;=_辅助!$J$4,资金流水!$S$13&lt;=_辅助!$J$2,OR(资金流水!$X$13="应付材料款",资金流水!$X$13="应付分包款",资金流水!$X$13="应付机械运输费",资金流水!$X$13="应付其他款")),INT(资金流水!$B$13)*10000+8,"")</f>
      </c>
      <c r="BE9" s="2">
        <f>SUM(CE1:CE9)</f>
        <v>0</v>
      </c>
      <c r="CA9" s="2">
        <f>IF(AND(OR(_余额!$B$11="材料供应商",_余额!$B$11="分包",_余额!$B$11="机械运输",_余额!$B$11="其他"),OR($C$3="全部",_余额!$B$11=$C$3),OR(_余额!$G$11&lt;&gt;0,_余额!$H$11&lt;&gt;0)),1,0)</f>
        <v>1</v>
      </c>
      <c r="CB9" s="2">
        <f>IF(AND(项目档案!$B$12&lt;&gt;"",SUMIFS(期初余额!$R$5:$R$204,期初余额!$Q$5:$Q$204,项目档案!$B$12,期初余额!$V$5:$V$204,IF($C$3="全部","*",$C$3))+SUMIFS(应付登记!$G$5:$G$1004,应付登记!$E$5:$E$1004,项目档案!$B$12,应付登记!$L$5:$L$1004,IF($C$3="全部","*",$C$3),应付登记!$J$5:$J$1004,"&gt;="&amp;_辅助!$J$4,应付登记!$J$5:$J$1004,"&lt;="&amp;_辅助!$J$2)&lt;&gt;0),1,0)</f>
        <v>0</v>
      </c>
      <c r="CC9" s="2">
        <f>IF(AND($C$130&lt;&gt;"",期初余额!$P$13=$C$130),1,0)</f>
        <v>0</v>
      </c>
      <c r="CD9" s="2">
        <f>IF(($C$130&lt;&gt;"")*(应付登记!$D$13=$C$130)*ISNUMBER(应付登记!$J$13)*(应付登记!$J$13&gt;=_辅助!$J$4)*(应付登记!$J$13&lt;=_辅助!$J$2),1,0)</f>
        <v>0</v>
      </c>
      <c r="CE9" s="2">
        <f>IF(($C$130&lt;&gt;"")*(代发抵账!$E$13=$C$130)*(代发抵账!$D$13="总包代付材料分包款")*ISNUMBER(代发抵账!$H$13)*(代发抵账!$H$13&lt;=_辅助!$J$2),1,0)</f>
        <v>0</v>
      </c>
    </row>
    <row r="10">
      <c r="A10" s="94">
        <f>IF($AY10=0,"",4)</f>
        <v>4</v>
      </c>
      <c r="B10" s="96" t="str">
        <f t="shared" si="24"/>
        <v>浔阳楼电缆</v>
      </c>
      <c r="C10" s="94" t="str">
        <f t="shared" si="26"/>
        <v>材料供应商</v>
      </c>
      <c r="D10" s="21">
        <f t="shared" si="0"/>
        <v>222007</v>
      </c>
      <c r="E10" s="21">
        <f t="shared" si="3"/>
        <v>187470</v>
      </c>
      <c r="F10" s="21">
        <f t="shared" si="5"/>
        <v>34537</v>
      </c>
      <c r="G10" s="22">
        <f t="shared" si="2"/>
        <v>0.844432833198953</v>
      </c>
      <c r="H10" s="21">
        <f t="shared" si="6"/>
        <v>0</v>
      </c>
      <c r="I10" s="21">
        <f t="shared" si="8"/>
        <v>222007</v>
      </c>
      <c r="J10" s="95">
        <f t="shared" si="28"/>
        <v>46198.0</v>
      </c>
      <c r="K10" s="21">
        <f t="shared" si="10"/>
        <v>15412</v>
      </c>
      <c r="L10" s="21">
        <f t="shared" si="12"/>
        <v>128958</v>
      </c>
      <c r="M10" s="21">
        <f t="shared" si="13"/>
        <v>11971</v>
      </c>
      <c r="N10" s="21">
        <f t="shared" si="14"/>
        <v>0</v>
      </c>
      <c r="O10" s="21">
        <f t="shared" si="15"/>
        <v>0</v>
      </c>
      <c r="P10" s="21">
        <f t="shared" si="16"/>
        <v>0</v>
      </c>
      <c r="Q10" s="21">
        <f t="shared" si="17"/>
        <v>5808</v>
      </c>
      <c r="R10" s="21">
        <f t="shared" si="18"/>
        <v>59858</v>
      </c>
      <c r="S10" s="21">
        <f t="shared" si="19"/>
        <v>0</v>
      </c>
      <c r="T10" s="21">
        <f t="shared" si="20"/>
      </c>
      <c r="U10" s="21">
        <f t="shared" si="21"/>
      </c>
      <c r="V10" s="21">
        <f t="shared" si="22"/>
      </c>
      <c r="W10" s="21">
        <f t="shared" si="23"/>
      </c>
      <c r="AX10" s="2">
        <f t="shared" si="30"/>
        <v>46198</v>
      </c>
      <c r="AY10" s="2">
        <f>IF(4&gt;$AZ$300,0,IFERROR(MATCH(4,$AZ$1:$AZ$300,0),0))</f>
        <v>11</v>
      </c>
      <c r="AZ10" s="2">
        <f>SUM(CA1:CA10)</f>
        <v>3</v>
      </c>
      <c r="BA10" s="2">
        <f>SUM(CB1:CB10)</f>
        <v>8</v>
      </c>
      <c r="BB10" s="2">
        <f>SUM(CC1:CC10)</f>
        <v>8</v>
      </c>
      <c r="BC10" s="2">
        <f>SUM(CD1:CD10)</f>
        <v>0</v>
      </c>
      <c r="BD10" s="2">
        <f>IF(AND($C$130&lt;&gt;"",资金流水!$J$14=$C$130,ISNUMBER(资金流水!$B$14),ISNUMBER(资金流水!$S$14),资金流水!$S$14&gt;=_辅助!$J$4,资金流水!$S$14&lt;=_辅助!$J$2,OR(资金流水!$X$14="应付材料款",资金流水!$X$14="应付分包款",资金流水!$X$14="应付机械运输费",资金流水!$X$14="应付其他款")),INT(资金流水!$B$14)*10000+9,"")</f>
      </c>
      <c r="BE10" s="2">
        <f>SUM(CE1:CE10)</f>
        <v>0</v>
      </c>
      <c r="CA10" s="2">
        <f>IF(AND(OR(_余额!$B$12="材料供应商",_余额!$B$12="分包",_余额!$B$12="机械运输",_余额!$B$12="其他"),OR($C$3="全部",_余额!$B$12=$C$3),OR(_余额!$G$12&lt;&gt;0,_余额!$H$12&lt;&gt;0)),1,0)</f>
        <v>1</v>
      </c>
      <c r="CB10" s="2">
        <f>IF(AND(项目档案!$B$13&lt;&gt;"",SUMIFS(期初余额!$R$5:$R$204,期初余额!$Q$5:$Q$204,项目档案!$B$13,期初余额!$V$5:$V$204,IF($C$3="全部","*",$C$3))+SUMIFS(应付登记!$G$5:$G$1004,应付登记!$E$5:$E$1004,项目档案!$B$13,应付登记!$L$5:$L$1004,IF($C$3="全部","*",$C$3),应付登记!$J$5:$J$1004,"&gt;="&amp;_辅助!$J$4,应付登记!$J$5:$J$1004,"&lt;="&amp;_辅助!$J$2)&lt;&gt;0),1,0)</f>
        <v>1</v>
      </c>
      <c r="CC10" s="2">
        <f>IF(AND($C$130&lt;&gt;"",期初余额!$P$14=$C$130),1,0)</f>
        <v>0</v>
      </c>
      <c r="CD10" s="2">
        <f>IF(($C$130&lt;&gt;"")*(应付登记!$D$14=$C$130)*ISNUMBER(应付登记!$J$14)*(应付登记!$J$14&gt;=_辅助!$J$4)*(应付登记!$J$14&lt;=_辅助!$J$2),1,0)</f>
        <v>0</v>
      </c>
      <c r="CE10" s="2">
        <f>IF(($C$130&lt;&gt;"")*(代发抵账!$E$14=$C$130)*(代发抵账!$D$14="总包代付材料分包款")*ISNUMBER(代发抵账!$H$14)*(代发抵账!$H$14&lt;=_辅助!$J$2),1,0)</f>
        <v>0</v>
      </c>
    </row>
    <row r="11">
      <c r="A11" s="94">
        <f>IF($AY11=0,"",5)</f>
        <v>5</v>
      </c>
      <c r="B11" s="96" t="str">
        <f t="shared" si="24"/>
        <v>启航五金</v>
      </c>
      <c r="C11" s="94" t="str">
        <f t="shared" si="26"/>
        <v>材料供应商</v>
      </c>
      <c r="D11" s="21">
        <f t="shared" si="0"/>
        <v>30949</v>
      </c>
      <c r="E11" s="21">
        <f t="shared" si="3"/>
        <v>22490</v>
      </c>
      <c r="F11" s="21">
        <f t="shared" si="5"/>
        <v>8459</v>
      </c>
      <c r="G11" s="22">
        <f t="shared" si="2"/>
        <v>0.726679375747197</v>
      </c>
      <c r="H11" s="21">
        <f t="shared" si="6"/>
        <v>0</v>
      </c>
      <c r="I11" s="21">
        <f t="shared" si="8"/>
        <v>30949</v>
      </c>
      <c r="J11" s="95">
        <f t="shared" si="28"/>
        <v>46198.0</v>
      </c>
      <c r="K11" s="21">
        <f t="shared" si="10"/>
        <v>1697</v>
      </c>
      <c r="L11" s="21">
        <f t="shared" si="12"/>
        <v>19835</v>
      </c>
      <c r="M11" s="21">
        <f t="shared" si="13"/>
        <v>8112</v>
      </c>
      <c r="N11" s="21">
        <f t="shared" si="14"/>
        <v>327</v>
      </c>
      <c r="O11" s="21">
        <f t="shared" si="15"/>
        <v>978</v>
      </c>
      <c r="P11" s="21">
        <f t="shared" si="16"/>
        <v>0</v>
      </c>
      <c r="Q11" s="21">
        <f t="shared" si="17"/>
        <v>0</v>
      </c>
      <c r="R11" s="21">
        <f t="shared" si="18"/>
        <v>0</v>
      </c>
      <c r="S11" s="21">
        <f t="shared" si="19"/>
        <v>0</v>
      </c>
      <c r="T11" s="21">
        <f t="shared" si="20"/>
      </c>
      <c r="U11" s="21">
        <f t="shared" si="21"/>
      </c>
      <c r="V11" s="21">
        <f t="shared" si="22"/>
      </c>
      <c r="W11" s="21">
        <f t="shared" si="23"/>
      </c>
      <c r="AX11" s="2">
        <f t="shared" si="30"/>
        <v>46198</v>
      </c>
      <c r="AY11" s="2">
        <f>IF(5&gt;$AZ$300,0,IFERROR(MATCH(5,$AZ$1:$AZ$300,0),0))</f>
        <v>12</v>
      </c>
      <c r="AZ11" s="2">
        <f>SUM(CA1:CA11)</f>
        <v>4</v>
      </c>
      <c r="BA11" s="2">
        <f>SUM(CB1:CB11)</f>
        <v>8</v>
      </c>
      <c r="BB11" s="2">
        <f>SUM(CC1:CC11)</f>
        <v>8</v>
      </c>
      <c r="BC11" s="2">
        <f>SUM(CD1:CD11)</f>
        <v>0</v>
      </c>
      <c r="BD11" s="2">
        <f>IF(AND($C$130&lt;&gt;"",资金流水!$J$15=$C$130,ISNUMBER(资金流水!$B$15),ISNUMBER(资金流水!$S$15),资金流水!$S$15&gt;=_辅助!$J$4,资金流水!$S$15&lt;=_辅助!$J$2,OR(资金流水!$X$15="应付材料款",资金流水!$X$15="应付分包款",资金流水!$X$15="应付机械运输费",资金流水!$X$15="应付其他款")),INT(资金流水!$B$15)*10000+10,"")</f>
      </c>
      <c r="BE11" s="2">
        <f>SUM(CE1:CE11)</f>
        <v>0</v>
      </c>
      <c r="CA11" s="2">
        <f>IF(AND(OR(_余额!$B$13="材料供应商",_余额!$B$13="分包",_余额!$B$13="机械运输",_余额!$B$13="其他"),OR($C$3="全部",_余额!$B$13=$C$3),OR(_余额!$G$13&lt;&gt;0,_余额!$H$13&lt;&gt;0)),1,0)</f>
        <v>1</v>
      </c>
      <c r="CB11" s="2">
        <f>IF(AND(项目档案!$B$14&lt;&gt;"",SUMIFS(期初余额!$R$5:$R$204,期初余额!$Q$5:$Q$204,项目档案!$B$14,期初余额!$V$5:$V$204,IF($C$3="全部","*",$C$3))+SUMIFS(应付登记!$G$5:$G$1004,应付登记!$E$5:$E$1004,项目档案!$B$14,应付登记!$L$5:$L$1004,IF($C$3="全部","*",$C$3),应付登记!$J$5:$J$1004,"&gt;="&amp;_辅助!$J$4,应付登记!$J$5:$J$1004,"&lt;="&amp;_辅助!$J$2)&lt;&gt;0),1,0)</f>
        <v>0</v>
      </c>
      <c r="CC11" s="2">
        <f>IF(AND($C$130&lt;&gt;"",期初余额!$P$15=$C$130),1,0)</f>
        <v>0</v>
      </c>
      <c r="CD11" s="2">
        <f>IF(($C$130&lt;&gt;"")*(应付登记!$D$15=$C$130)*ISNUMBER(应付登记!$J$15)*(应付登记!$J$15&gt;=_辅助!$J$4)*(应付登记!$J$15&lt;=_辅助!$J$2),1,0)</f>
        <v>0</v>
      </c>
      <c r="CE11" s="2">
        <f>IF(($C$130&lt;&gt;"")*(代发抵账!$E$15=$C$130)*(代发抵账!$D$15="总包代付材料分包款")*ISNUMBER(代发抵账!$H$15)*(代发抵账!$H$15&lt;=_辅助!$J$2),1,0)</f>
        <v>0</v>
      </c>
    </row>
    <row r="12">
      <c r="A12" s="94">
        <f>IF($AY12=0,"",6)</f>
        <v>6</v>
      </c>
      <c r="B12" s="96" t="str">
        <f t="shared" si="24"/>
        <v>杭州行消物资贸易</v>
      </c>
      <c r="C12" s="94" t="str">
        <f t="shared" si="26"/>
        <v>材料供应商</v>
      </c>
      <c r="D12" s="21">
        <f t="shared" si="0"/>
        <v>36511</v>
      </c>
      <c r="E12" s="21">
        <f t="shared" si="3"/>
        <v>36511</v>
      </c>
      <c r="F12" s="21">
        <f t="shared" si="5"/>
        <v>0</v>
      </c>
      <c r="G12" s="22">
        <f t="shared" si="2"/>
        <v>1</v>
      </c>
      <c r="H12" s="21">
        <f t="shared" si="6"/>
        <v>0</v>
      </c>
      <c r="I12" s="21">
        <f t="shared" si="8"/>
        <v>36511</v>
      </c>
      <c r="J12" s="95">
        <f t="shared" si="28"/>
        <v>46091.0</v>
      </c>
      <c r="K12" s="21">
        <f t="shared" si="10"/>
        <v>0</v>
      </c>
      <c r="L12" s="21">
        <f t="shared" si="12"/>
        <v>10338</v>
      </c>
      <c r="M12" s="21">
        <f t="shared" si="13"/>
        <v>10121</v>
      </c>
      <c r="N12" s="21">
        <f t="shared" si="14"/>
        <v>0</v>
      </c>
      <c r="O12" s="21">
        <f t="shared" si="15"/>
        <v>0</v>
      </c>
      <c r="P12" s="21">
        <f t="shared" si="16"/>
        <v>0</v>
      </c>
      <c r="Q12" s="21">
        <f t="shared" si="17"/>
        <v>10068</v>
      </c>
      <c r="R12" s="21">
        <f t="shared" si="18"/>
        <v>5984</v>
      </c>
      <c r="S12" s="21">
        <f t="shared" si="19"/>
        <v>0</v>
      </c>
      <c r="T12" s="21">
        <f t="shared" si="20"/>
      </c>
      <c r="U12" s="21">
        <f t="shared" si="21"/>
      </c>
      <c r="V12" s="21">
        <f t="shared" si="22"/>
      </c>
      <c r="W12" s="21">
        <f t="shared" si="23"/>
      </c>
      <c r="AX12" s="2">
        <f t="shared" si="30"/>
        <v>46091</v>
      </c>
      <c r="AY12" s="2">
        <f>IF(6&gt;$AZ$300,0,IFERROR(MATCH(6,$AZ$1:$AZ$300,0),0))</f>
        <v>13</v>
      </c>
      <c r="AZ12" s="2">
        <f>SUM(CA1:CA12)</f>
        <v>5</v>
      </c>
      <c r="BA12" s="2">
        <f>SUM(CB1:CB12)</f>
        <v>8</v>
      </c>
      <c r="BB12" s="2">
        <f>SUM(CC1:CC12)</f>
        <v>8</v>
      </c>
      <c r="BC12" s="2">
        <f>SUM(CD1:CD12)</f>
        <v>0</v>
      </c>
      <c r="BD12" s="2">
        <f>IF(AND($C$130&lt;&gt;"",资金流水!$J$16=$C$130,ISNUMBER(资金流水!$B$16),ISNUMBER(资金流水!$S$16),资金流水!$S$16&gt;=_辅助!$J$4,资金流水!$S$16&lt;=_辅助!$J$2,OR(资金流水!$X$16="应付材料款",资金流水!$X$16="应付分包款",资金流水!$X$16="应付机械运输费",资金流水!$X$16="应付其他款")),INT(资金流水!$B$16)*10000+11,"")</f>
      </c>
      <c r="BE12" s="2">
        <f>SUM(CE1:CE12)</f>
        <v>0</v>
      </c>
      <c r="CA12" s="2">
        <f>IF(AND(OR(_余额!$B$14="材料供应商",_余额!$B$14="分包",_余额!$B$14="机械运输",_余额!$B$14="其他"),OR($C$3="全部",_余额!$B$14=$C$3),OR(_余额!$G$14&lt;&gt;0,_余额!$H$14&lt;&gt;0)),1,0)</f>
        <v>1</v>
      </c>
      <c r="CB12" s="2">
        <f>IF(AND(项目档案!$B$15&lt;&gt;"",SUMIFS(期初余额!$R$5:$R$204,期初余额!$Q$5:$Q$204,项目档案!$B$15,期初余额!$V$5:$V$204,IF($C$3="全部","*",$C$3))+SUMIFS(应付登记!$G$5:$G$1004,应付登记!$E$5:$E$1004,项目档案!$B$15,应付登记!$L$5:$L$1004,IF($C$3="全部","*",$C$3),应付登记!$J$5:$J$1004,"&gt;="&amp;_辅助!$J$4,应付登记!$J$5:$J$1004,"&lt;="&amp;_辅助!$J$2)&lt;&gt;0),1,0)</f>
        <v>0</v>
      </c>
      <c r="CC12" s="2">
        <f>IF(AND($C$130&lt;&gt;"",期初余额!$P$16=$C$130),1,0)</f>
        <v>0</v>
      </c>
      <c r="CD12" s="2">
        <f>IF(($C$130&lt;&gt;"")*(应付登记!$D$16=$C$130)*ISNUMBER(应付登记!$J$16)*(应付登记!$J$16&gt;=_辅助!$J$4)*(应付登记!$J$16&lt;=_辅助!$J$2),1,0)</f>
        <v>0</v>
      </c>
      <c r="CE12" s="2">
        <f>IF(($C$130&lt;&gt;"")*(代发抵账!$E$16=$C$130)*(代发抵账!$D$16="总包代付材料分包款")*ISNUMBER(代发抵账!$H$16)*(代发抵账!$H$16&lt;=_辅助!$J$2),1,0)</f>
        <v>0</v>
      </c>
    </row>
    <row r="13">
      <c r="A13" s="94">
        <f>IF($AY13=0,"",7)</f>
        <v>7</v>
      </c>
      <c r="B13" s="96" t="str">
        <f t="shared" si="24"/>
        <v>南昌盈厚建材</v>
      </c>
      <c r="C13" s="94" t="str">
        <f t="shared" si="26"/>
        <v>材料供应商</v>
      </c>
      <c r="D13" s="21">
        <f t="shared" si="0"/>
        <v>34674</v>
      </c>
      <c r="E13" s="21">
        <f t="shared" si="3"/>
        <v>34674</v>
      </c>
      <c r="F13" s="21">
        <f t="shared" si="5"/>
        <v>0</v>
      </c>
      <c r="G13" s="22">
        <f t="shared" si="2"/>
        <v>1</v>
      </c>
      <c r="H13" s="21">
        <f t="shared" si="6"/>
        <v>0</v>
      </c>
      <c r="I13" s="21">
        <f t="shared" si="8"/>
        <v>34674</v>
      </c>
      <c r="J13" s="95">
        <f t="shared" si="28"/>
      </c>
      <c r="K13" s="21">
        <f t="shared" si="10"/>
        <v>0</v>
      </c>
      <c r="L13" s="21">
        <f t="shared" si="12"/>
        <v>24954</v>
      </c>
      <c r="M13" s="21">
        <f t="shared" si="13"/>
        <v>0</v>
      </c>
      <c r="N13" s="21">
        <f t="shared" si="14"/>
        <v>0</v>
      </c>
      <c r="O13" s="21">
        <f t="shared" si="15"/>
        <v>0</v>
      </c>
      <c r="P13" s="21">
        <f t="shared" si="16"/>
        <v>0</v>
      </c>
      <c r="Q13" s="21">
        <f t="shared" si="17"/>
        <v>9720</v>
      </c>
      <c r="R13" s="21">
        <f t="shared" si="18"/>
        <v>0</v>
      </c>
      <c r="S13" s="21">
        <f t="shared" si="19"/>
        <v>0</v>
      </c>
      <c r="T13" s="21">
        <f t="shared" si="20"/>
      </c>
      <c r="U13" s="21">
        <f t="shared" si="21"/>
      </c>
      <c r="V13" s="21">
        <f t="shared" si="22"/>
      </c>
      <c r="W13" s="21">
        <f t="shared" si="23"/>
      </c>
      <c r="AX13" s="2">
        <f t="shared" si="30"/>
        <v>0</v>
      </c>
      <c r="AY13" s="2">
        <f>IF(7&gt;$AZ$300,0,IFERROR(MATCH(7,$AZ$1:$AZ$300,0),0))</f>
        <v>14</v>
      </c>
      <c r="AZ13" s="2">
        <f>SUM(CA1:CA13)</f>
        <v>6</v>
      </c>
      <c r="BA13" s="2">
        <f>SUM(CB1:CB13)</f>
        <v>8</v>
      </c>
      <c r="BB13" s="2">
        <f>SUM(CC1:CC13)</f>
        <v>8</v>
      </c>
      <c r="BC13" s="2">
        <f>SUM(CD1:CD13)</f>
        <v>0</v>
      </c>
      <c r="BD13" s="2">
        <f>IF(AND($C$130&lt;&gt;"",资金流水!$J$17=$C$130,ISNUMBER(资金流水!$B$17),ISNUMBER(资金流水!$S$17),资金流水!$S$17&gt;=_辅助!$J$4,资金流水!$S$17&lt;=_辅助!$J$2,OR(资金流水!$X$17="应付材料款",资金流水!$X$17="应付分包款",资金流水!$X$17="应付机械运输费",资金流水!$X$17="应付其他款")),INT(资金流水!$B$17)*10000+12,"")</f>
      </c>
      <c r="BE13" s="2">
        <f>SUM(CE1:CE13)</f>
        <v>0</v>
      </c>
      <c r="CA13" s="2">
        <f>IF(AND(OR(_余额!$B$15="材料供应商",_余额!$B$15="分包",_余额!$B$15="机械运输",_余额!$B$15="其他"),OR($C$3="全部",_余额!$B$15=$C$3),OR(_余额!$G$15&lt;&gt;0,_余额!$H$15&lt;&gt;0)),1,0)</f>
        <v>1</v>
      </c>
      <c r="CB13" s="2">
        <f>IF(AND(项目档案!$B$16&lt;&gt;"",SUMIFS(期初余额!$R$5:$R$204,期初余额!$Q$5:$Q$204,项目档案!$B$16,期初余额!$V$5:$V$204,IF($C$3="全部","*",$C$3))+SUMIFS(应付登记!$G$5:$G$1004,应付登记!$E$5:$E$1004,项目档案!$B$16,应付登记!$L$5:$L$1004,IF($C$3="全部","*",$C$3),应付登记!$J$5:$J$1004,"&gt;="&amp;_辅助!$J$4,应付登记!$J$5:$J$1004,"&lt;="&amp;_辅助!$J$2)&lt;&gt;0),1,0)</f>
        <v>0</v>
      </c>
      <c r="CC13" s="2">
        <f>IF(AND($C$130&lt;&gt;"",期初余额!$P$17=$C$130),1,0)</f>
        <v>0</v>
      </c>
      <c r="CD13" s="2">
        <f>IF(($C$130&lt;&gt;"")*(应付登记!$D$17=$C$130)*ISNUMBER(应付登记!$J$17)*(应付登记!$J$17&gt;=_辅助!$J$4)*(应付登记!$J$17&lt;=_辅助!$J$2),1,0)</f>
        <v>0</v>
      </c>
      <c r="CE13" s="2">
        <f>IF(($C$130&lt;&gt;"")*(代发抵账!$E$17=$C$130)*(代发抵账!$D$17="总包代付材料分包款")*ISNUMBER(代发抵账!$H$17)*(代发抵账!$H$17&lt;=_辅助!$J$2),1,0)</f>
        <v>0</v>
      </c>
    </row>
    <row r="14">
      <c r="A14" s="94">
        <f>IF($AY14=0,"",8)</f>
        <v>8</v>
      </c>
      <c r="B14" s="96" t="str">
        <f t="shared" si="24"/>
        <v>浙缆元通电缆</v>
      </c>
      <c r="C14" s="94" t="str">
        <f t="shared" si="26"/>
        <v>材料供应商</v>
      </c>
      <c r="D14" s="21">
        <f t="shared" si="0"/>
        <v>74807.4</v>
      </c>
      <c r="E14" s="21">
        <f t="shared" si="3"/>
        <v>74807.4</v>
      </c>
      <c r="F14" s="21">
        <f t="shared" si="5"/>
        <v>0</v>
      </c>
      <c r="G14" s="22">
        <f t="shared" si="2"/>
        <v>1</v>
      </c>
      <c r="H14" s="21">
        <f t="shared" si="6"/>
        <v>0</v>
      </c>
      <c r="I14" s="21">
        <f t="shared" si="8"/>
        <v>74807.4</v>
      </c>
      <c r="J14" s="95">
        <f t="shared" si="28"/>
      </c>
      <c r="K14" s="21">
        <f t="shared" si="10"/>
        <v>0</v>
      </c>
      <c r="L14" s="21">
        <f t="shared" si="12"/>
        <v>38175.4</v>
      </c>
      <c r="M14" s="21">
        <f t="shared" si="13"/>
        <v>0</v>
      </c>
      <c r="N14" s="21">
        <f t="shared" si="14"/>
        <v>0</v>
      </c>
      <c r="O14" s="21">
        <f t="shared" si="15"/>
        <v>0</v>
      </c>
      <c r="P14" s="21">
        <f t="shared" si="16"/>
        <v>0</v>
      </c>
      <c r="Q14" s="21">
        <f t="shared" si="17"/>
        <v>36632</v>
      </c>
      <c r="R14" s="21">
        <f t="shared" si="18"/>
        <v>0</v>
      </c>
      <c r="S14" s="21">
        <f t="shared" si="19"/>
        <v>0</v>
      </c>
      <c r="T14" s="21">
        <f t="shared" si="20"/>
      </c>
      <c r="U14" s="21">
        <f t="shared" si="21"/>
      </c>
      <c r="V14" s="21">
        <f t="shared" si="22"/>
      </c>
      <c r="W14" s="21">
        <f t="shared" si="23"/>
      </c>
      <c r="AX14" s="2">
        <f t="shared" si="30"/>
        <v>0</v>
      </c>
      <c r="AY14" s="2">
        <f>IF(8&gt;$AZ$300,0,IFERROR(MATCH(8,$AZ$1:$AZ$300,0),0))</f>
        <v>15</v>
      </c>
      <c r="AZ14" s="2">
        <f>SUM(CA1:CA14)</f>
        <v>7</v>
      </c>
      <c r="BA14" s="2">
        <f>SUM(CB1:CB14)</f>
        <v>8</v>
      </c>
      <c r="BB14" s="2">
        <f>SUM(CC1:CC14)</f>
        <v>8</v>
      </c>
      <c r="BC14" s="2">
        <f>SUM(CD1:CD14)</f>
        <v>0</v>
      </c>
      <c r="BD14" s="2">
        <f>IF(AND($C$130&lt;&gt;"",资金流水!$J$18=$C$130,ISNUMBER(资金流水!$B$18),ISNUMBER(资金流水!$S$18),资金流水!$S$18&gt;=_辅助!$J$4,资金流水!$S$18&lt;=_辅助!$J$2,OR(资金流水!$X$18="应付材料款",资金流水!$X$18="应付分包款",资金流水!$X$18="应付机械运输费",资金流水!$X$18="应付其他款")),INT(资金流水!$B$18)*10000+13,"")</f>
      </c>
      <c r="BE14" s="2">
        <f>SUM(CE1:CE14)</f>
        <v>0</v>
      </c>
      <c r="CA14" s="2">
        <f>IF(AND(OR(_余额!$B$16="材料供应商",_余额!$B$16="分包",_余额!$B$16="机械运输",_余额!$B$16="其他"),OR($C$3="全部",_余额!$B$16=$C$3),OR(_余额!$G$16&lt;&gt;0,_余额!$H$16&lt;&gt;0)),1,0)</f>
        <v>1</v>
      </c>
      <c r="CB14" s="2">
        <f>IF(AND(项目档案!$B$17&lt;&gt;"",SUMIFS(期初余额!$R$5:$R$204,期初余额!$Q$5:$Q$204,项目档案!$B$17,期初余额!$V$5:$V$204,IF($C$3="全部","*",$C$3))+SUMIFS(应付登记!$G$5:$G$1004,应付登记!$E$5:$E$1004,项目档案!$B$17,应付登记!$L$5:$L$1004,IF($C$3="全部","*",$C$3),应付登记!$J$5:$J$1004,"&gt;="&amp;_辅助!$J$4,应付登记!$J$5:$J$1004,"&lt;="&amp;_辅助!$J$2)&lt;&gt;0),1,0)</f>
        <v>0</v>
      </c>
      <c r="CC14" s="2">
        <f>IF(AND($C$130&lt;&gt;"",期初余额!$P$18=$C$130),1,0)</f>
        <v>0</v>
      </c>
      <c r="CD14" s="2">
        <f>IF(($C$130&lt;&gt;"")*(应付登记!$D$18=$C$130)*ISNUMBER(应付登记!$J$18)*(应付登记!$J$18&gt;=_辅助!$J$4)*(应付登记!$J$18&lt;=_辅助!$J$2),1,0)</f>
        <v>0</v>
      </c>
      <c r="CE14" s="2">
        <f>IF(($C$130&lt;&gt;"")*(代发抵账!$E$18=$C$130)*(代发抵账!$D$18="总包代付材料分包款")*ISNUMBER(代发抵账!$H$18)*(代发抵账!$H$18&lt;=_辅助!$J$2),1,0)</f>
        <v>0</v>
      </c>
    </row>
    <row r="15">
      <c r="A15" s="94">
        <f>IF($AY15=0,"",9)</f>
        <v>9</v>
      </c>
      <c r="B15" s="96" t="str">
        <f t="shared" si="24"/>
        <v>江西允诺消防</v>
      </c>
      <c r="C15" s="94" t="str">
        <f t="shared" si="26"/>
        <v>材料供应商</v>
      </c>
      <c r="D15" s="21">
        <f t="shared" si="0"/>
        <v>45881</v>
      </c>
      <c r="E15" s="21">
        <f t="shared" si="3"/>
        <v>45881</v>
      </c>
      <c r="F15" s="21">
        <f t="shared" si="5"/>
        <v>0</v>
      </c>
      <c r="G15" s="22">
        <f t="shared" si="2"/>
        <v>1</v>
      </c>
      <c r="H15" s="21">
        <f t="shared" si="6"/>
        <v>0</v>
      </c>
      <c r="I15" s="21">
        <f t="shared" si="8"/>
        <v>45881</v>
      </c>
      <c r="J15" s="95">
        <f t="shared" si="28"/>
      </c>
      <c r="K15" s="21">
        <f t="shared" si="10"/>
        <v>0</v>
      </c>
      <c r="L15" s="21">
        <f t="shared" si="12"/>
        <v>45881</v>
      </c>
      <c r="M15" s="21">
        <f t="shared" si="13"/>
        <v>0</v>
      </c>
      <c r="N15" s="21">
        <f t="shared" si="14"/>
        <v>0</v>
      </c>
      <c r="O15" s="21">
        <f t="shared" si="15"/>
        <v>0</v>
      </c>
      <c r="P15" s="21">
        <f t="shared" si="16"/>
        <v>0</v>
      </c>
      <c r="Q15" s="21">
        <f t="shared" si="17"/>
        <v>0</v>
      </c>
      <c r="R15" s="21">
        <f t="shared" si="18"/>
        <v>0</v>
      </c>
      <c r="S15" s="21">
        <f t="shared" si="19"/>
        <v>0</v>
      </c>
      <c r="T15" s="21">
        <f t="shared" si="20"/>
      </c>
      <c r="U15" s="21">
        <f t="shared" si="21"/>
      </c>
      <c r="V15" s="21">
        <f t="shared" si="22"/>
      </c>
      <c r="W15" s="21">
        <f t="shared" si="23"/>
      </c>
      <c r="AX15" s="2">
        <f t="shared" si="30"/>
        <v>0</v>
      </c>
      <c r="AY15" s="2">
        <f>IF(9&gt;$AZ$300,0,IFERROR(MATCH(9,$AZ$1:$AZ$300,0),0))</f>
        <v>16</v>
      </c>
      <c r="AZ15" s="2">
        <f>SUM(CA1:CA15)</f>
        <v>8</v>
      </c>
      <c r="BA15" s="2">
        <f>SUM(CB1:CB15)</f>
        <v>8</v>
      </c>
      <c r="BB15" s="2">
        <f>SUM(CC1:CC15)</f>
        <v>8</v>
      </c>
      <c r="BC15" s="2">
        <f>SUM(CD1:CD15)</f>
        <v>0</v>
      </c>
      <c r="BD15" s="2">
        <f>IF(AND($C$130&lt;&gt;"",资金流水!$J$19=$C$130,ISNUMBER(资金流水!$B$19),ISNUMBER(资金流水!$S$19),资金流水!$S$19&gt;=_辅助!$J$4,资金流水!$S$19&lt;=_辅助!$J$2,OR(资金流水!$X$19="应付材料款",资金流水!$X$19="应付分包款",资金流水!$X$19="应付机械运输费",资金流水!$X$19="应付其他款")),INT(资金流水!$B$19)*10000+14,"")</f>
      </c>
      <c r="BE15" s="2">
        <f>SUM(CE1:CE15)</f>
        <v>0</v>
      </c>
      <c r="CA15" s="2">
        <f>IF(AND(OR(_余额!$B$17="材料供应商",_余额!$B$17="分包",_余额!$B$17="机械运输",_余额!$B$17="其他"),OR($C$3="全部",_余额!$B$17=$C$3),OR(_余额!$G$17&lt;&gt;0,_余额!$H$17&lt;&gt;0)),1,0)</f>
        <v>1</v>
      </c>
      <c r="CB15" s="2">
        <f>IF(AND(项目档案!$B$18&lt;&gt;"",SUMIFS(期初余额!$R$5:$R$204,期初余额!$Q$5:$Q$204,项目档案!$B$18,期初余额!$V$5:$V$204,IF($C$3="全部","*",$C$3))+SUMIFS(应付登记!$G$5:$G$1004,应付登记!$E$5:$E$1004,项目档案!$B$18,应付登记!$L$5:$L$1004,IF($C$3="全部","*",$C$3),应付登记!$J$5:$J$1004,"&gt;="&amp;_辅助!$J$4,应付登记!$J$5:$J$1004,"&lt;="&amp;_辅助!$J$2)&lt;&gt;0),1,0)</f>
        <v>0</v>
      </c>
      <c r="CC15" s="2">
        <f>IF(AND($C$130&lt;&gt;"",期初余额!$P$19=$C$130),1,0)</f>
        <v>0</v>
      </c>
      <c r="CD15" s="2">
        <f>IF(($C$130&lt;&gt;"")*(应付登记!$D$19=$C$130)*ISNUMBER(应付登记!$J$19)*(应付登记!$J$19&gt;=_辅助!$J$4)*(应付登记!$J$19&lt;=_辅助!$J$2),1,0)</f>
        <v>0</v>
      </c>
      <c r="CE15" s="2">
        <f>IF(($C$130&lt;&gt;"")*(代发抵账!$E$19=$C$130)*(代发抵账!$D$19="总包代付材料分包款")*ISNUMBER(代发抵账!$H$19)*(代发抵账!$H$19&lt;=_辅助!$J$2),1,0)</f>
        <v>0</v>
      </c>
    </row>
    <row r="16">
      <c r="A16" s="94">
        <f>IF($AY16=0,"",10)</f>
        <v>10</v>
      </c>
      <c r="B16" s="96" t="str">
        <f t="shared" si="24"/>
        <v>江西沐丰水箱</v>
      </c>
      <c r="C16" s="94" t="str">
        <f t="shared" si="26"/>
        <v>材料供应商</v>
      </c>
      <c r="D16" s="21">
        <f t="shared" si="0"/>
        <v>55000</v>
      </c>
      <c r="E16" s="21">
        <f t="shared" si="3"/>
        <v>53500</v>
      </c>
      <c r="F16" s="21">
        <f t="shared" si="5"/>
        <v>1500</v>
      </c>
      <c r="G16" s="22">
        <f t="shared" si="2"/>
        <v>0.972727272727273</v>
      </c>
      <c r="H16" s="21">
        <f t="shared" si="6"/>
        <v>0</v>
      </c>
      <c r="I16" s="21">
        <f t="shared" si="8"/>
        <v>55000</v>
      </c>
      <c r="J16" s="95">
        <f t="shared" si="28"/>
        <v>46158.0</v>
      </c>
      <c r="K16" s="21">
        <f t="shared" si="10"/>
        <v>0</v>
      </c>
      <c r="L16" s="21">
        <f t="shared" si="12"/>
        <v>0</v>
      </c>
      <c r="M16" s="21">
        <f t="shared" si="13"/>
        <v>31500</v>
      </c>
      <c r="N16" s="21">
        <f t="shared" si="14"/>
        <v>0</v>
      </c>
      <c r="O16" s="21">
        <f t="shared" si="15"/>
        <v>0</v>
      </c>
      <c r="P16" s="21">
        <f t="shared" si="16"/>
        <v>23500</v>
      </c>
      <c r="Q16" s="21">
        <f t="shared" si="17"/>
        <v>0</v>
      </c>
      <c r="R16" s="21">
        <f t="shared" si="18"/>
        <v>0</v>
      </c>
      <c r="S16" s="21">
        <f t="shared" si="19"/>
        <v>0</v>
      </c>
      <c r="T16" s="21">
        <f t="shared" si="20"/>
      </c>
      <c r="U16" s="21">
        <f t="shared" si="21"/>
      </c>
      <c r="V16" s="21">
        <f t="shared" si="22"/>
      </c>
      <c r="W16" s="21">
        <f t="shared" si="23"/>
      </c>
      <c r="AX16" s="2">
        <f t="shared" si="30"/>
        <v>46158</v>
      </c>
      <c r="AY16" s="2">
        <f>IF(10&gt;$AZ$300,0,IFERROR(MATCH(10,$AZ$1:$AZ$300,0),0))</f>
        <v>17</v>
      </c>
      <c r="AZ16" s="2">
        <f>SUM(CA1:CA16)</f>
        <v>9</v>
      </c>
      <c r="BA16" s="2">
        <f>SUM(CB1:CB16)</f>
        <v>8</v>
      </c>
      <c r="BB16" s="2">
        <f>SUM(CC1:CC16)</f>
        <v>8</v>
      </c>
      <c r="BC16" s="2">
        <f>SUM(CD1:CD16)</f>
        <v>0</v>
      </c>
      <c r="BD16" s="2">
        <f>IF(AND($C$130&lt;&gt;"",资金流水!$J$20=$C$130,ISNUMBER(资金流水!$B$20),ISNUMBER(资金流水!$S$20),资金流水!$S$20&gt;=_辅助!$J$4,资金流水!$S$20&lt;=_辅助!$J$2,OR(资金流水!$X$20="应付材料款",资金流水!$X$20="应付分包款",资金流水!$X$20="应付机械运输费",资金流水!$X$20="应付其他款")),INT(资金流水!$B$20)*10000+15,"")</f>
      </c>
      <c r="BE16" s="2">
        <f>SUM(CE1:CE16)</f>
        <v>0</v>
      </c>
      <c r="CA16" s="2">
        <f>IF(AND(OR(_余额!$B$18="材料供应商",_余额!$B$18="分包",_余额!$B$18="机械运输",_余额!$B$18="其他"),OR($C$3="全部",_余额!$B$18=$C$3),OR(_余额!$G$18&lt;&gt;0,_余额!$H$18&lt;&gt;0)),1,0)</f>
        <v>1</v>
      </c>
      <c r="CB16" s="2">
        <f>IF(AND(项目档案!$B$19&lt;&gt;"",SUMIFS(期初余额!$R$5:$R$204,期初余额!$Q$5:$Q$204,项目档案!$B$19,期初余额!$V$5:$V$204,IF($C$3="全部","*",$C$3))+SUMIFS(应付登记!$G$5:$G$1004,应付登记!$E$5:$E$1004,项目档案!$B$19,应付登记!$L$5:$L$1004,IF($C$3="全部","*",$C$3),应付登记!$J$5:$J$1004,"&gt;="&amp;_辅助!$J$4,应付登记!$J$5:$J$1004,"&lt;="&amp;_辅助!$J$2)&lt;&gt;0),1,0)</f>
        <v>0</v>
      </c>
      <c r="CC16" s="2">
        <f>IF(AND($C$130&lt;&gt;"",期初余额!$P$20=$C$130),1,0)</f>
        <v>0</v>
      </c>
      <c r="CD16" s="2">
        <f>IF(($C$130&lt;&gt;"")*(应付登记!$D$20=$C$130)*ISNUMBER(应付登记!$J$20)*(应付登记!$J$20&gt;=_辅助!$J$4)*(应付登记!$J$20&lt;=_辅助!$J$2),1,0)</f>
        <v>0</v>
      </c>
      <c r="CE16" s="2">
        <f>IF(($C$130&lt;&gt;"")*(代发抵账!$E$20=$C$130)*(代发抵账!$D$20="总包代付材料分包款")*ISNUMBER(代发抵账!$H$20)*(代发抵账!$H$20&lt;=_辅助!$J$2),1,0)</f>
        <v>0</v>
      </c>
    </row>
    <row r="17">
      <c r="A17" s="94">
        <f>IF($AY17=0,"",11)</f>
        <v>11</v>
      </c>
      <c r="B17" s="96" t="str">
        <f t="shared" si="24"/>
        <v>上海诚果泵阀</v>
      </c>
      <c r="C17" s="94" t="str">
        <f t="shared" si="26"/>
        <v>材料供应商</v>
      </c>
      <c r="D17" s="21">
        <f t="shared" si="0"/>
        <v>90744</v>
      </c>
      <c r="E17" s="21">
        <f t="shared" si="3"/>
        <v>90744</v>
      </c>
      <c r="F17" s="21">
        <f t="shared" si="5"/>
        <v>0</v>
      </c>
      <c r="G17" s="22">
        <f t="shared" si="2"/>
        <v>1</v>
      </c>
      <c r="H17" s="21">
        <f t="shared" si="6"/>
        <v>0</v>
      </c>
      <c r="I17" s="21">
        <f t="shared" si="8"/>
        <v>90744</v>
      </c>
      <c r="J17" s="95">
        <f t="shared" si="28"/>
        <v>46091.0</v>
      </c>
      <c r="K17" s="21">
        <f t="shared" si="10"/>
        <v>0</v>
      </c>
      <c r="L17" s="21">
        <f t="shared" si="12"/>
        <v>63800</v>
      </c>
      <c r="M17" s="21">
        <f t="shared" si="13"/>
        <v>15144</v>
      </c>
      <c r="N17" s="21">
        <f t="shared" si="14"/>
        <v>0</v>
      </c>
      <c r="O17" s="21">
        <f t="shared" si="15"/>
        <v>0</v>
      </c>
      <c r="P17" s="21">
        <f t="shared" si="16"/>
        <v>11800</v>
      </c>
      <c r="Q17" s="21">
        <f t="shared" si="17"/>
        <v>0</v>
      </c>
      <c r="R17" s="21">
        <f t="shared" si="18"/>
        <v>0</v>
      </c>
      <c r="S17" s="21">
        <f t="shared" si="19"/>
        <v>0</v>
      </c>
      <c r="T17" s="21">
        <f t="shared" si="20"/>
      </c>
      <c r="U17" s="21">
        <f t="shared" si="21"/>
      </c>
      <c r="V17" s="21">
        <f t="shared" si="22"/>
      </c>
      <c r="W17" s="21">
        <f t="shared" si="23"/>
      </c>
      <c r="AX17" s="2">
        <f t="shared" si="30"/>
        <v>46091</v>
      </c>
      <c r="AY17" s="2">
        <f>IF(11&gt;$AZ$300,0,IFERROR(MATCH(11,$AZ$1:$AZ$300,0),0))</f>
        <v>18</v>
      </c>
      <c r="AZ17" s="2">
        <f>SUM(CA1:CA17)</f>
        <v>10</v>
      </c>
      <c r="BA17" s="2">
        <f>SUM(CB1:CB17)</f>
        <v>8</v>
      </c>
      <c r="BB17" s="2">
        <f>SUM(CC1:CC17)</f>
        <v>8</v>
      </c>
      <c r="BC17" s="2">
        <f>SUM(CD1:CD17)</f>
        <v>0</v>
      </c>
      <c r="BD17" s="2">
        <f>IF(AND($C$130&lt;&gt;"",资金流水!$J$21=$C$130,ISNUMBER(资金流水!$B$21),ISNUMBER(资金流水!$S$21),资金流水!$S$21&gt;=_辅助!$J$4,资金流水!$S$21&lt;=_辅助!$J$2,OR(资金流水!$X$21="应付材料款",资金流水!$X$21="应付分包款",资金流水!$X$21="应付机械运输费",资金流水!$X$21="应付其他款")),INT(资金流水!$B$21)*10000+16,"")</f>
      </c>
      <c r="BE17" s="2">
        <f>SUM(CE1:CE17)</f>
        <v>0</v>
      </c>
      <c r="CA17" s="2">
        <f>IF(AND(OR(_余额!$B$19="材料供应商",_余额!$B$19="分包",_余额!$B$19="机械运输",_余额!$B$19="其他"),OR($C$3="全部",_余额!$B$19=$C$3),OR(_余额!$G$19&lt;&gt;0,_余额!$H$19&lt;&gt;0)),1,0)</f>
        <v>1</v>
      </c>
      <c r="CB17" s="2">
        <f>IF(AND(项目档案!$B$20&lt;&gt;"",SUMIFS(期初余额!$R$5:$R$204,期初余额!$Q$5:$Q$204,项目档案!$B$20,期初余额!$V$5:$V$204,IF($C$3="全部","*",$C$3))+SUMIFS(应付登记!$G$5:$G$1004,应付登记!$E$5:$E$1004,项目档案!$B$20,应付登记!$L$5:$L$1004,IF($C$3="全部","*",$C$3),应付登记!$J$5:$J$1004,"&gt;="&amp;_辅助!$J$4,应付登记!$J$5:$J$1004,"&lt;="&amp;_辅助!$J$2)&lt;&gt;0),1,0)</f>
        <v>0</v>
      </c>
      <c r="CC17" s="2">
        <f>IF(AND($C$130&lt;&gt;"",期初余额!$P$21=$C$130),1,0)</f>
        <v>0</v>
      </c>
      <c r="CD17" s="2">
        <f>IF(($C$130&lt;&gt;"")*(应付登记!$D$21=$C$130)*ISNUMBER(应付登记!$J$21)*(应付登记!$J$21&gt;=_辅助!$J$4)*(应付登记!$J$21&lt;=_辅助!$J$2),1,0)</f>
        <v>0</v>
      </c>
      <c r="CE17" s="2">
        <f>IF(($C$130&lt;&gt;"")*(代发抵账!$E$21=$C$130)*(代发抵账!$D$21="总包代付材料分包款")*ISNUMBER(代发抵账!$H$21)*(代发抵账!$H$21&lt;=_辅助!$J$2),1,0)</f>
        <v>0</v>
      </c>
    </row>
    <row r="18">
      <c r="A18" s="94">
        <f>IF($AY18=0,"",12)</f>
        <v>12</v>
      </c>
      <c r="B18" s="96" t="str">
        <f t="shared" si="24"/>
        <v>佩力通风</v>
      </c>
      <c r="C18" s="94" t="str">
        <f t="shared" si="26"/>
        <v>材料供应商</v>
      </c>
      <c r="D18" s="21">
        <f t="shared" si="0"/>
        <v>112695</v>
      </c>
      <c r="E18" s="21">
        <f t="shared" si="3"/>
        <v>114368</v>
      </c>
      <c r="F18" s="21">
        <f t="shared" si="5"/>
        <v>-1673</v>
      </c>
      <c r="G18" s="22">
        <f t="shared" si="2"/>
        <v>1.01484537912064</v>
      </c>
      <c r="H18" s="21">
        <f t="shared" si="6"/>
        <v>0</v>
      </c>
      <c r="I18" s="21">
        <f t="shared" si="8"/>
        <v>112695</v>
      </c>
      <c r="J18" s="95">
        <f t="shared" si="28"/>
        <v>46217.0</v>
      </c>
      <c r="K18" s="21">
        <f t="shared" si="10"/>
        <v>0</v>
      </c>
      <c r="L18" s="21">
        <f t="shared" si="12"/>
        <v>112695</v>
      </c>
      <c r="M18" s="21">
        <f t="shared" si="13"/>
        <v>0</v>
      </c>
      <c r="N18" s="21">
        <f t="shared" si="14"/>
        <v>0</v>
      </c>
      <c r="O18" s="21">
        <f t="shared" si="15"/>
        <v>0</v>
      </c>
      <c r="P18" s="21">
        <f t="shared" si="16"/>
        <v>0</v>
      </c>
      <c r="Q18" s="21">
        <f t="shared" si="17"/>
        <v>0</v>
      </c>
      <c r="R18" s="21">
        <f t="shared" si="18"/>
        <v>0</v>
      </c>
      <c r="S18" s="21">
        <f t="shared" si="19"/>
        <v>0</v>
      </c>
      <c r="T18" s="21">
        <f t="shared" si="20"/>
      </c>
      <c r="U18" s="21">
        <f t="shared" si="21"/>
      </c>
      <c r="V18" s="21">
        <f t="shared" si="22"/>
      </c>
      <c r="W18" s="21">
        <f t="shared" si="23"/>
      </c>
      <c r="AX18" s="2">
        <f t="shared" si="30"/>
        <v>46217</v>
      </c>
      <c r="AY18" s="2">
        <f>IF(12&gt;$AZ$300,0,IFERROR(MATCH(12,$AZ$1:$AZ$300,0),0))</f>
        <v>19</v>
      </c>
      <c r="AZ18" s="2">
        <f>SUM(CA1:CA18)</f>
        <v>11</v>
      </c>
      <c r="BA18" s="2">
        <f>SUM(CB1:CB18)</f>
        <v>8</v>
      </c>
      <c r="BB18" s="2">
        <f>SUM(CC1:CC18)</f>
        <v>8</v>
      </c>
      <c r="BC18" s="2">
        <f>SUM(CD1:CD18)</f>
        <v>0</v>
      </c>
      <c r="BD18" s="2">
        <f>IF(AND($C$130&lt;&gt;"",资金流水!$J$22=$C$130,ISNUMBER(资金流水!$B$22),ISNUMBER(资金流水!$S$22),资金流水!$S$22&gt;=_辅助!$J$4,资金流水!$S$22&lt;=_辅助!$J$2,OR(资金流水!$X$22="应付材料款",资金流水!$X$22="应付分包款",资金流水!$X$22="应付机械运输费",资金流水!$X$22="应付其他款")),INT(资金流水!$B$22)*10000+17,"")</f>
      </c>
      <c r="BE18" s="2">
        <f>SUM(CE1:CE18)</f>
        <v>0</v>
      </c>
      <c r="CA18" s="2">
        <f>IF(AND(OR(_余额!$B$20="材料供应商",_余额!$B$20="分包",_余额!$B$20="机械运输",_余额!$B$20="其他"),OR($C$3="全部",_余额!$B$20=$C$3),OR(_余额!$G$20&lt;&gt;0,_余额!$H$20&lt;&gt;0)),1,0)</f>
        <v>1</v>
      </c>
      <c r="CB18" s="2">
        <f>IF(AND(项目档案!$B$21&lt;&gt;"",SUMIFS(期初余额!$R$5:$R$204,期初余额!$Q$5:$Q$204,项目档案!$B$21,期初余额!$V$5:$V$204,IF($C$3="全部","*",$C$3))+SUMIFS(应付登记!$G$5:$G$1004,应付登记!$E$5:$E$1004,项目档案!$B$21,应付登记!$L$5:$L$1004,IF($C$3="全部","*",$C$3),应付登记!$J$5:$J$1004,"&gt;="&amp;_辅助!$J$4,应付登记!$J$5:$J$1004,"&lt;="&amp;_辅助!$J$2)&lt;&gt;0),1,0)</f>
        <v>0</v>
      </c>
      <c r="CC18" s="2">
        <f>IF(AND($C$130&lt;&gt;"",期初余额!$P$22=$C$130),1,0)</f>
        <v>0</v>
      </c>
      <c r="CD18" s="2">
        <f>IF(($C$130&lt;&gt;"")*(应付登记!$D$22=$C$130)*ISNUMBER(应付登记!$J$22)*(应付登记!$J$22&gt;=_辅助!$J$4)*(应付登记!$J$22&lt;=_辅助!$J$2),1,0)</f>
        <v>0</v>
      </c>
      <c r="CE18" s="2">
        <f>IF(($C$130&lt;&gt;"")*(代发抵账!$E$22=$C$130)*(代发抵账!$D$22="总包代付材料分包款")*ISNUMBER(代发抵账!$H$22)*(代发抵账!$H$22&lt;=_辅助!$J$2),1,0)</f>
        <v>0</v>
      </c>
    </row>
    <row r="19">
      <c r="A19" s="94">
        <f>IF($AY19=0,"",13)</f>
        <v>13</v>
      </c>
      <c r="B19" s="96" t="str">
        <f t="shared" si="24"/>
        <v>浙江寅盾智能</v>
      </c>
      <c r="C19" s="94" t="str">
        <f t="shared" si="26"/>
        <v>材料供应商</v>
      </c>
      <c r="D19" s="21">
        <f t="shared" si="0"/>
        <v>42600</v>
      </c>
      <c r="E19" s="21">
        <f t="shared" si="3"/>
        <v>42600</v>
      </c>
      <c r="F19" s="21">
        <f t="shared" si="5"/>
        <v>0</v>
      </c>
      <c r="G19" s="22">
        <f t="shared" si="2"/>
        <v>1</v>
      </c>
      <c r="H19" s="21">
        <f t="shared" si="6"/>
        <v>0</v>
      </c>
      <c r="I19" s="21">
        <f t="shared" si="8"/>
        <v>42600</v>
      </c>
      <c r="J19" s="95">
        <f t="shared" si="28"/>
      </c>
      <c r="K19" s="21">
        <f t="shared" si="10"/>
        <v>0</v>
      </c>
      <c r="L19" s="21">
        <f t="shared" si="12"/>
        <v>42600</v>
      </c>
      <c r="M19" s="21">
        <f t="shared" si="13"/>
        <v>0</v>
      </c>
      <c r="N19" s="21">
        <f t="shared" si="14"/>
        <v>0</v>
      </c>
      <c r="O19" s="21">
        <f t="shared" si="15"/>
        <v>0</v>
      </c>
      <c r="P19" s="21">
        <f t="shared" si="16"/>
        <v>0</v>
      </c>
      <c r="Q19" s="21">
        <f t="shared" si="17"/>
        <v>0</v>
      </c>
      <c r="R19" s="21">
        <f t="shared" si="18"/>
        <v>0</v>
      </c>
      <c r="S19" s="21">
        <f t="shared" si="19"/>
        <v>0</v>
      </c>
      <c r="T19" s="21">
        <f t="shared" si="20"/>
      </c>
      <c r="U19" s="21">
        <f t="shared" si="21"/>
      </c>
      <c r="V19" s="21">
        <f t="shared" si="22"/>
      </c>
      <c r="W19" s="21">
        <f t="shared" si="23"/>
      </c>
      <c r="AX19" s="2">
        <f t="shared" si="30"/>
        <v>0</v>
      </c>
      <c r="AY19" s="2">
        <f>IF(13&gt;$AZ$300,0,IFERROR(MATCH(13,$AZ$1:$AZ$300,0),0))</f>
        <v>20</v>
      </c>
      <c r="AZ19" s="2">
        <f>SUM(CA1:CA19)</f>
        <v>12</v>
      </c>
      <c r="BA19" s="2">
        <f>SUM(CB1:CB19)</f>
        <v>8</v>
      </c>
      <c r="BB19" s="2">
        <f>SUM(CC1:CC19)</f>
        <v>8</v>
      </c>
      <c r="BC19" s="2">
        <f>SUM(CD1:CD19)</f>
        <v>0</v>
      </c>
      <c r="BD19" s="2">
        <f>IF(AND($C$130&lt;&gt;"",资金流水!$J$23=$C$130,ISNUMBER(资金流水!$B$23),ISNUMBER(资金流水!$S$23),资金流水!$S$23&gt;=_辅助!$J$4,资金流水!$S$23&lt;=_辅助!$J$2,OR(资金流水!$X$23="应付材料款",资金流水!$X$23="应付分包款",资金流水!$X$23="应付机械运输费",资金流水!$X$23="应付其他款")),INT(资金流水!$B$23)*10000+18,"")</f>
      </c>
      <c r="BE19" s="2">
        <f>SUM(CE1:CE19)</f>
        <v>0</v>
      </c>
      <c r="CA19" s="2">
        <f>IF(AND(OR(_余额!$B$21="材料供应商",_余额!$B$21="分包",_余额!$B$21="机械运输",_余额!$B$21="其他"),OR($C$3="全部",_余额!$B$21=$C$3),OR(_余额!$G$21&lt;&gt;0,_余额!$H$21&lt;&gt;0)),1,0)</f>
        <v>1</v>
      </c>
      <c r="CB19" s="2">
        <f>IF(AND(项目档案!$B$22&lt;&gt;"",SUMIFS(期初余额!$R$5:$R$204,期初余额!$Q$5:$Q$204,项目档案!$B$22,期初余额!$V$5:$V$204,IF($C$3="全部","*",$C$3))+SUMIFS(应付登记!$G$5:$G$1004,应付登记!$E$5:$E$1004,项目档案!$B$22,应付登记!$L$5:$L$1004,IF($C$3="全部","*",$C$3),应付登记!$J$5:$J$1004,"&gt;="&amp;_辅助!$J$4,应付登记!$J$5:$J$1004,"&lt;="&amp;_辅助!$J$2)&lt;&gt;0),1,0)</f>
        <v>0</v>
      </c>
      <c r="CC19" s="2">
        <f>IF(AND($C$130&lt;&gt;"",期初余额!$P$23=$C$130),1,0)</f>
        <v>0</v>
      </c>
      <c r="CD19" s="2">
        <f>IF(($C$130&lt;&gt;"")*(应付登记!$D$23=$C$130)*ISNUMBER(应付登记!$J$23)*(应付登记!$J$23&gt;=_辅助!$J$4)*(应付登记!$J$23&lt;=_辅助!$J$2),1,0)</f>
        <v>0</v>
      </c>
      <c r="CE19" s="2">
        <f>IF(($C$130&lt;&gt;"")*(代发抵账!$E$23=$C$130)*(代发抵账!$D$23="总包代付材料分包款")*ISNUMBER(代发抵账!$H$23)*(代发抵账!$H$23&lt;=_辅助!$J$2),1,0)</f>
        <v>0</v>
      </c>
    </row>
    <row r="20">
      <c r="A20" s="94">
        <f>IF($AY20=0,"",14)</f>
        <v>14</v>
      </c>
      <c r="B20" s="96" t="str">
        <f t="shared" si="24"/>
        <v>恩旗老叶</v>
      </c>
      <c r="C20" s="94" t="str">
        <f t="shared" si="26"/>
        <v>分包</v>
      </c>
      <c r="D20" s="21">
        <f t="shared" si="0"/>
        <v>558437.5</v>
      </c>
      <c r="E20" s="21">
        <f t="shared" si="3"/>
        <v>558437.5</v>
      </c>
      <c r="F20" s="21">
        <f t="shared" si="5"/>
        <v>0</v>
      </c>
      <c r="G20" s="22">
        <f t="shared" si="2"/>
        <v>1</v>
      </c>
      <c r="H20" s="21">
        <f t="shared" si="6"/>
        <v>0</v>
      </c>
      <c r="I20" s="21">
        <f t="shared" si="8"/>
        <v>558437.5</v>
      </c>
      <c r="J20" s="95">
        <f t="shared" si="28"/>
        <v>46157.0</v>
      </c>
      <c r="K20" s="21">
        <f t="shared" si="10"/>
        <v>0</v>
      </c>
      <c r="L20" s="21">
        <f t="shared" si="12"/>
        <v>520437.5</v>
      </c>
      <c r="M20" s="21">
        <f t="shared" si="13"/>
        <v>0</v>
      </c>
      <c r="N20" s="21">
        <f t="shared" si="14"/>
        <v>0</v>
      </c>
      <c r="O20" s="21">
        <f t="shared" si="15"/>
        <v>0</v>
      </c>
      <c r="P20" s="21">
        <f t="shared" si="16"/>
        <v>0</v>
      </c>
      <c r="Q20" s="21">
        <f t="shared" si="17"/>
        <v>38000</v>
      </c>
      <c r="R20" s="21">
        <f t="shared" si="18"/>
        <v>0</v>
      </c>
      <c r="S20" s="21">
        <f t="shared" si="19"/>
        <v>0</v>
      </c>
      <c r="T20" s="21">
        <f t="shared" si="20"/>
      </c>
      <c r="U20" s="21">
        <f t="shared" si="21"/>
      </c>
      <c r="V20" s="21">
        <f t="shared" si="22"/>
      </c>
      <c r="W20" s="21">
        <f t="shared" si="23"/>
      </c>
      <c r="AX20" s="2">
        <f t="shared" si="30"/>
        <v>46157</v>
      </c>
      <c r="AY20" s="2">
        <f>IF(14&gt;$AZ$300,0,IFERROR(MATCH(14,$AZ$1:$AZ$300,0),0))</f>
        <v>25</v>
      </c>
      <c r="AZ20" s="2">
        <f>SUM(CA1:CA20)</f>
        <v>13</v>
      </c>
      <c r="BA20" s="2">
        <f>SUM(CB1:CB20)</f>
        <v>8</v>
      </c>
      <c r="BB20" s="2">
        <f>SUM(CC1:CC20)</f>
        <v>8</v>
      </c>
      <c r="BC20" s="2">
        <f>SUM(CD1:CD20)</f>
        <v>0</v>
      </c>
      <c r="BD20" s="2">
        <f>IF(AND($C$130&lt;&gt;"",资金流水!$J$24=$C$130,ISNUMBER(资金流水!$B$24),ISNUMBER(资金流水!$S$24),资金流水!$S$24&gt;=_辅助!$J$4,资金流水!$S$24&lt;=_辅助!$J$2,OR(资金流水!$X$24="应付材料款",资金流水!$X$24="应付分包款",资金流水!$X$24="应付机械运输费",资金流水!$X$24="应付其他款")),INT(资金流水!$B$24)*10000+19,"")</f>
      </c>
      <c r="BE20" s="2">
        <f>SUM(CE1:CE20)</f>
        <v>0</v>
      </c>
      <c r="CA20" s="2">
        <f>IF(AND(OR(_余额!$B$22="材料供应商",_余额!$B$22="分包",_余额!$B$22="机械运输",_余额!$B$22="其他"),OR($C$3="全部",_余额!$B$22=$C$3),OR(_余额!$G$22&lt;&gt;0,_余额!$H$22&lt;&gt;0)),1,0)</f>
        <v>1</v>
      </c>
      <c r="CB20" s="2">
        <f>IF(AND(项目档案!$B$23&lt;&gt;"",SUMIFS(期初余额!$R$5:$R$204,期初余额!$Q$5:$Q$204,项目档案!$B$23,期初余额!$V$5:$V$204,IF($C$3="全部","*",$C$3))+SUMIFS(应付登记!$G$5:$G$1004,应付登记!$E$5:$E$1004,项目档案!$B$23,应付登记!$L$5:$L$1004,IF($C$3="全部","*",$C$3),应付登记!$J$5:$J$1004,"&gt;="&amp;_辅助!$J$4,应付登记!$J$5:$J$1004,"&lt;="&amp;_辅助!$J$2)&lt;&gt;0),1,0)</f>
        <v>0</v>
      </c>
      <c r="CC20" s="2">
        <f>IF(AND($C$130&lt;&gt;"",期初余额!$P$24=$C$130),1,0)</f>
        <v>0</v>
      </c>
      <c r="CD20" s="2">
        <f>IF(($C$130&lt;&gt;"")*(应付登记!$D$24=$C$130)*ISNUMBER(应付登记!$J$24)*(应付登记!$J$24&gt;=_辅助!$J$4)*(应付登记!$J$24&lt;=_辅助!$J$2),1,0)</f>
        <v>0</v>
      </c>
      <c r="CE20" s="2">
        <f>IF(($C$130&lt;&gt;"")*(代发抵账!$E$24=$C$130)*(代发抵账!$D$24="总包代付材料分包款")*ISNUMBER(代发抵账!$H$24)*(代发抵账!$H$24&lt;=_辅助!$J$2),1,0)</f>
        <v>0</v>
      </c>
    </row>
    <row r="21">
      <c r="A21" s="94">
        <f>IF($AY21=0,"",15)</f>
        <v>15</v>
      </c>
      <c r="B21" s="96" t="str">
        <f t="shared" si="24"/>
        <v>吴群</v>
      </c>
      <c r="C21" s="94" t="str">
        <f t="shared" si="26"/>
        <v>分包</v>
      </c>
      <c r="D21" s="21">
        <f t="shared" si="0"/>
        <v>78100</v>
      </c>
      <c r="E21" s="21">
        <f t="shared" si="3"/>
        <v>78100</v>
      </c>
      <c r="F21" s="21">
        <f t="shared" si="5"/>
        <v>0</v>
      </c>
      <c r="G21" s="22">
        <f t="shared" si="2"/>
        <v>1</v>
      </c>
      <c r="H21" s="21">
        <f t="shared" si="6"/>
        <v>0</v>
      </c>
      <c r="I21" s="21">
        <f t="shared" si="8"/>
        <v>78100</v>
      </c>
      <c r="J21" s="95">
        <f t="shared" si="28"/>
        <v>46143.0</v>
      </c>
      <c r="K21" s="21">
        <f t="shared" si="10"/>
        <v>0</v>
      </c>
      <c r="L21" s="21">
        <f t="shared" si="12"/>
        <v>78100</v>
      </c>
      <c r="M21" s="21">
        <f t="shared" si="13"/>
        <v>0</v>
      </c>
      <c r="N21" s="21">
        <f t="shared" si="14"/>
        <v>0</v>
      </c>
      <c r="O21" s="21">
        <f t="shared" si="15"/>
        <v>0</v>
      </c>
      <c r="P21" s="21">
        <f t="shared" si="16"/>
        <v>0</v>
      </c>
      <c r="Q21" s="21">
        <f t="shared" si="17"/>
        <v>0</v>
      </c>
      <c r="R21" s="21">
        <f t="shared" si="18"/>
        <v>0</v>
      </c>
      <c r="S21" s="21">
        <f t="shared" si="19"/>
        <v>0</v>
      </c>
      <c r="T21" s="21">
        <f t="shared" si="20"/>
      </c>
      <c r="U21" s="21">
        <f t="shared" si="21"/>
      </c>
      <c r="V21" s="21">
        <f t="shared" si="22"/>
      </c>
      <c r="W21" s="21">
        <f t="shared" si="23"/>
      </c>
      <c r="AX21" s="2">
        <f t="shared" si="30"/>
        <v>46143</v>
      </c>
      <c r="AY21" s="2">
        <f>IF(15&gt;$AZ$300,0,IFERROR(MATCH(15,$AZ$1:$AZ$300,0),0))</f>
        <v>26</v>
      </c>
      <c r="AZ21" s="2">
        <f>SUM(CA1:CA21)</f>
        <v>13</v>
      </c>
      <c r="BA21" s="2">
        <f>SUM(CB1:CB21)</f>
        <v>8</v>
      </c>
      <c r="BB21" s="2">
        <f>SUM(CC1:CC21)</f>
        <v>8</v>
      </c>
      <c r="BC21" s="2">
        <f>SUM(CD1:CD21)</f>
        <v>0</v>
      </c>
      <c r="BD21" s="2">
        <f>IF(AND($C$130&lt;&gt;"",资金流水!$J$25=$C$130,ISNUMBER(资金流水!$B$25),ISNUMBER(资金流水!$S$25),资金流水!$S$25&gt;=_辅助!$J$4,资金流水!$S$25&lt;=_辅助!$J$2,OR(资金流水!$X$25="应付材料款",资金流水!$X$25="应付分包款",资金流水!$X$25="应付机械运输费",资金流水!$X$25="应付其他款")),INT(资金流水!$B$25)*10000+20,"")</f>
      </c>
      <c r="BE21" s="2">
        <f>SUM(CE1:CE21)</f>
        <v>0</v>
      </c>
      <c r="CA21" s="2">
        <f>IF(AND(OR(_余额!$B$23="材料供应商",_余额!$B$23="分包",_余额!$B$23="机械运输",_余额!$B$23="其他"),OR($C$3="全部",_余额!$B$23=$C$3),OR(_余额!$G$23&lt;&gt;0,_余额!$H$23&lt;&gt;0)),1,0)</f>
        <v>0</v>
      </c>
      <c r="CB21" s="2">
        <f>IF(AND(项目档案!$B$24&lt;&gt;"",SUMIFS(期初余额!$R$5:$R$204,期初余额!$Q$5:$Q$204,项目档案!$B$24,期初余额!$V$5:$V$204,IF($C$3="全部","*",$C$3))+SUMIFS(应付登记!$G$5:$G$1004,应付登记!$E$5:$E$1004,项目档案!$B$24,应付登记!$L$5:$L$1004,IF($C$3="全部","*",$C$3),应付登记!$J$5:$J$1004,"&gt;="&amp;_辅助!$J$4,应付登记!$J$5:$J$1004,"&lt;="&amp;_辅助!$J$2)&lt;&gt;0),1,0)</f>
        <v>0</v>
      </c>
      <c r="CC21" s="2">
        <f>IF(AND($C$130&lt;&gt;"",期初余额!$P$25=$C$130),1,0)</f>
        <v>0</v>
      </c>
      <c r="CD21" s="2">
        <f>IF(($C$130&lt;&gt;"")*(应付登记!$D$25=$C$130)*ISNUMBER(应付登记!$J$25)*(应付登记!$J$25&gt;=_辅助!$J$4)*(应付登记!$J$25&lt;=_辅助!$J$2),1,0)</f>
        <v>0</v>
      </c>
      <c r="CE21" s="2">
        <f>IF(($C$130&lt;&gt;"")*(代发抵账!$E$25=$C$130)*(代发抵账!$D$25="总包代付材料分包款")*ISNUMBER(代发抵账!$H$25)*(代发抵账!$H$25&lt;=_辅助!$J$2),1,0)</f>
        <v>0</v>
      </c>
    </row>
    <row r="22">
      <c r="A22" s="94">
        <f>IF($AY22=0,"",16)</f>
        <v>16</v>
      </c>
      <c r="B22" s="96" t="str">
        <f t="shared" si="24"/>
        <v>吴聪</v>
      </c>
      <c r="C22" s="94" t="str">
        <f t="shared" si="26"/>
        <v>分包</v>
      </c>
      <c r="D22" s="21">
        <f t="shared" si="0"/>
        <v>28000</v>
      </c>
      <c r="E22" s="21">
        <f t="shared" si="3"/>
        <v>28000</v>
      </c>
      <c r="F22" s="21">
        <f t="shared" si="5"/>
        <v>0</v>
      </c>
      <c r="G22" s="22">
        <f t="shared" si="2"/>
        <v>1</v>
      </c>
      <c r="H22" s="21">
        <f t="shared" si="6"/>
        <v>0</v>
      </c>
      <c r="I22" s="21">
        <f t="shared" si="8"/>
        <v>28000</v>
      </c>
      <c r="J22" s="95">
        <f t="shared" si="28"/>
      </c>
      <c r="K22" s="21">
        <f t="shared" si="10"/>
        <v>0</v>
      </c>
      <c r="L22" s="21">
        <f t="shared" si="12"/>
        <v>28000</v>
      </c>
      <c r="M22" s="21">
        <f t="shared" si="13"/>
        <v>0</v>
      </c>
      <c r="N22" s="21">
        <f t="shared" si="14"/>
        <v>0</v>
      </c>
      <c r="O22" s="21">
        <f t="shared" si="15"/>
        <v>0</v>
      </c>
      <c r="P22" s="21">
        <f t="shared" si="16"/>
        <v>0</v>
      </c>
      <c r="Q22" s="21">
        <f t="shared" si="17"/>
        <v>0</v>
      </c>
      <c r="R22" s="21">
        <f t="shared" si="18"/>
        <v>0</v>
      </c>
      <c r="S22" s="21">
        <f t="shared" si="19"/>
        <v>0</v>
      </c>
      <c r="T22" s="21">
        <f t="shared" si="20"/>
      </c>
      <c r="U22" s="21">
        <f t="shared" si="21"/>
      </c>
      <c r="V22" s="21">
        <f t="shared" si="22"/>
      </c>
      <c r="W22" s="21">
        <f t="shared" si="23"/>
      </c>
      <c r="AX22" s="2">
        <f t="shared" si="30"/>
        <v>0</v>
      </c>
      <c r="AY22" s="2">
        <f>IF(16&gt;$AZ$300,0,IFERROR(MATCH(16,$AZ$1:$AZ$300,0),0))</f>
        <v>27</v>
      </c>
      <c r="AZ22" s="2">
        <f>SUM(CA1:CA22)</f>
        <v>13</v>
      </c>
      <c r="BA22" s="2">
        <f>SUM(CB1:CB22)</f>
        <v>8</v>
      </c>
      <c r="BB22" s="2">
        <f>SUM(CC1:CC22)</f>
        <v>8</v>
      </c>
      <c r="BC22" s="2">
        <f>SUM(CD1:CD22)</f>
        <v>0</v>
      </c>
      <c r="BD22" s="2">
        <f>IF(AND($C$130&lt;&gt;"",资金流水!$J$26=$C$130,ISNUMBER(资金流水!$B$26),ISNUMBER(资金流水!$S$26),资金流水!$S$26&gt;=_辅助!$J$4,资金流水!$S$26&lt;=_辅助!$J$2,OR(资金流水!$X$26="应付材料款",资金流水!$X$26="应付分包款",资金流水!$X$26="应付机械运输费",资金流水!$X$26="应付其他款")),INT(资金流水!$B$26)*10000+21,"")</f>
      </c>
      <c r="BE22" s="2">
        <f>SUM(CE1:CE22)</f>
        <v>0</v>
      </c>
      <c r="CA22" s="2">
        <f>IF(AND(OR(_余额!$B$24="材料供应商",_余额!$B$24="分包",_余额!$B$24="机械运输",_余额!$B$24="其他"),OR($C$3="全部",_余额!$B$24=$C$3),OR(_余额!$G$24&lt;&gt;0,_余额!$H$24&lt;&gt;0)),1,0)</f>
        <v>0</v>
      </c>
      <c r="CB22" s="2">
        <f>IF(AND(项目档案!$B$25&lt;&gt;"",SUMIFS(期初余额!$R$5:$R$204,期初余额!$Q$5:$Q$204,项目档案!$B$25,期初余额!$V$5:$V$204,IF($C$3="全部","*",$C$3))+SUMIFS(应付登记!$G$5:$G$1004,应付登记!$E$5:$E$1004,项目档案!$B$25,应付登记!$L$5:$L$1004,IF($C$3="全部","*",$C$3),应付登记!$J$5:$J$1004,"&gt;="&amp;_辅助!$J$4,应付登记!$J$5:$J$1004,"&lt;="&amp;_辅助!$J$2)&lt;&gt;0),1,0)</f>
        <v>0</v>
      </c>
      <c r="CC22" s="2">
        <f>IF(AND($C$130&lt;&gt;"",期初余额!$P$26=$C$130),1,0)</f>
        <v>0</v>
      </c>
      <c r="CD22" s="2">
        <f>IF(($C$130&lt;&gt;"")*(应付登记!$D$26=$C$130)*ISNUMBER(应付登记!$J$26)*(应付登记!$J$26&gt;=_辅助!$J$4)*(应付登记!$J$26&lt;=_辅助!$J$2),1,0)</f>
        <v>0</v>
      </c>
      <c r="CE22" s="2">
        <f>IF(($C$130&lt;&gt;"")*(代发抵账!$E$26=$C$130)*(代发抵账!$D$26="总包代付材料分包款")*ISNUMBER(代发抵账!$H$26)*(代发抵账!$H$26&lt;=_辅助!$J$2),1,0)</f>
        <v>0</v>
      </c>
    </row>
    <row r="23">
      <c r="A23" s="94">
        <f>IF($AY23=0,"",17)</f>
        <v>17</v>
      </c>
      <c r="B23" s="96" t="str">
        <f t="shared" si="24"/>
        <v>九江朱总</v>
      </c>
      <c r="C23" s="94" t="str">
        <f t="shared" si="26"/>
        <v>分包</v>
      </c>
      <c r="D23" s="21">
        <f t="shared" si="0"/>
        <v>55000</v>
      </c>
      <c r="E23" s="21">
        <f t="shared" si="3"/>
        <v>55400</v>
      </c>
      <c r="F23" s="21">
        <f t="shared" si="5"/>
        <v>-400</v>
      </c>
      <c r="G23" s="22">
        <f t="shared" si="2"/>
        <v>1.00727272727273</v>
      </c>
      <c r="H23" s="21">
        <f t="shared" si="6"/>
        <v>0</v>
      </c>
      <c r="I23" s="21">
        <f t="shared" si="8"/>
        <v>55000</v>
      </c>
      <c r="J23" s="95">
        <f t="shared" si="28"/>
      </c>
      <c r="K23" s="21">
        <f t="shared" si="10"/>
        <v>0</v>
      </c>
      <c r="L23" s="21">
        <f t="shared" si="12"/>
        <v>55000</v>
      </c>
      <c r="M23" s="21">
        <f t="shared" si="13"/>
        <v>0</v>
      </c>
      <c r="N23" s="21">
        <f t="shared" si="14"/>
        <v>0</v>
      </c>
      <c r="O23" s="21">
        <f t="shared" si="15"/>
        <v>0</v>
      </c>
      <c r="P23" s="21">
        <f t="shared" si="16"/>
        <v>0</v>
      </c>
      <c r="Q23" s="21">
        <f t="shared" si="17"/>
        <v>0</v>
      </c>
      <c r="R23" s="21">
        <f t="shared" si="18"/>
        <v>0</v>
      </c>
      <c r="S23" s="21">
        <f t="shared" si="19"/>
        <v>0</v>
      </c>
      <c r="T23" s="21">
        <f t="shared" si="20"/>
      </c>
      <c r="U23" s="21">
        <f t="shared" si="21"/>
      </c>
      <c r="V23" s="21">
        <f t="shared" si="22"/>
      </c>
      <c r="W23" s="21">
        <f t="shared" si="23"/>
      </c>
      <c r="AX23" s="2">
        <f t="shared" si="30"/>
        <v>0</v>
      </c>
      <c r="AY23" s="2">
        <f>IF(17&gt;$AZ$300,0,IFERROR(MATCH(17,$AZ$1:$AZ$300,0),0))</f>
        <v>28</v>
      </c>
      <c r="AZ23" s="2">
        <f>SUM(CA1:CA23)</f>
        <v>13</v>
      </c>
      <c r="BA23" s="2">
        <f>SUM(CB1:CB23)</f>
        <v>8</v>
      </c>
      <c r="BB23" s="2">
        <f>SUM(CC1:CC23)</f>
        <v>8</v>
      </c>
      <c r="BC23" s="2">
        <f>SUM(CD1:CD23)</f>
        <v>0</v>
      </c>
      <c r="BD23" s="2">
        <f>IF(AND($C$130&lt;&gt;"",资金流水!$J$27=$C$130,ISNUMBER(资金流水!$B$27),ISNUMBER(资金流水!$S$27),资金流水!$S$27&gt;=_辅助!$J$4,资金流水!$S$27&lt;=_辅助!$J$2,OR(资金流水!$X$27="应付材料款",资金流水!$X$27="应付分包款",资金流水!$X$27="应付机械运输费",资金流水!$X$27="应付其他款")),INT(资金流水!$B$27)*10000+22,"")</f>
      </c>
      <c r="BE23" s="2">
        <f>SUM(CE1:CE23)</f>
        <v>0</v>
      </c>
      <c r="CA23" s="2">
        <f>IF(AND(OR(_余额!$B$25="材料供应商",_余额!$B$25="分包",_余额!$B$25="机械运输",_余额!$B$25="其他"),OR($C$3="全部",_余额!$B$25=$C$3),OR(_余额!$G$25&lt;&gt;0,_余额!$H$25&lt;&gt;0)),1,0)</f>
        <v>0</v>
      </c>
      <c r="CB23" s="2">
        <f>IF(AND(项目档案!$B$26&lt;&gt;"",SUMIFS(期初余额!$R$5:$R$204,期初余额!$Q$5:$Q$204,项目档案!$B$26,期初余额!$V$5:$V$204,IF($C$3="全部","*",$C$3))+SUMIFS(应付登记!$G$5:$G$1004,应付登记!$E$5:$E$1004,项目档案!$B$26,应付登记!$L$5:$L$1004,IF($C$3="全部","*",$C$3),应付登记!$J$5:$J$1004,"&gt;="&amp;_辅助!$J$4,应付登记!$J$5:$J$1004,"&lt;="&amp;_辅助!$J$2)&lt;&gt;0),1,0)</f>
        <v>0</v>
      </c>
      <c r="CC23" s="2">
        <f>IF(AND($C$130&lt;&gt;"",期初余额!$P$27=$C$130),1,0)</f>
        <v>0</v>
      </c>
      <c r="CD23" s="2">
        <f>IF(($C$130&lt;&gt;"")*(应付登记!$D$27=$C$130)*ISNUMBER(应付登记!$J$27)*(应付登记!$J$27&gt;=_辅助!$J$4)*(应付登记!$J$27&lt;=_辅助!$J$2),1,0)</f>
        <v>0</v>
      </c>
      <c r="CE23" s="2">
        <f>IF(($C$130&lt;&gt;"")*(代发抵账!$E$27=$C$130)*(代发抵账!$D$27="总包代付材料分包款")*ISNUMBER(代发抵账!$H$27)*(代发抵账!$H$27&lt;=_辅助!$J$2),1,0)</f>
        <v>0</v>
      </c>
    </row>
    <row r="24">
      <c r="A24" s="94">
        <f>IF($AY24=0,"",18)</f>
        <v>18</v>
      </c>
      <c r="B24" s="96" t="str">
        <f t="shared" si="24"/>
        <v>共安门业</v>
      </c>
      <c r="C24" s="94" t="str">
        <f t="shared" si="26"/>
        <v>分包</v>
      </c>
      <c r="D24" s="21">
        <f t="shared" si="0"/>
        <v>128922.53</v>
      </c>
      <c r="E24" s="21">
        <f t="shared" si="3"/>
        <v>128922</v>
      </c>
      <c r="F24" s="21">
        <f t="shared" si="5"/>
        <v>0.53</v>
      </c>
      <c r="G24" s="22">
        <f t="shared" si="2"/>
        <v>0.99999588900404</v>
      </c>
      <c r="H24" s="21">
        <f t="shared" si="6"/>
        <v>0</v>
      </c>
      <c r="I24" s="21">
        <f t="shared" si="8"/>
        <v>128922.53</v>
      </c>
      <c r="J24" s="95">
        <f t="shared" si="28"/>
        <v>46148.0</v>
      </c>
      <c r="K24" s="21">
        <f t="shared" si="10"/>
        <v>0</v>
      </c>
      <c r="L24" s="21">
        <f t="shared" si="12"/>
        <v>101842.53</v>
      </c>
      <c r="M24" s="21">
        <f t="shared" si="13"/>
        <v>0</v>
      </c>
      <c r="N24" s="21">
        <f t="shared" si="14"/>
        <v>0</v>
      </c>
      <c r="O24" s="21">
        <f t="shared" si="15"/>
        <v>0</v>
      </c>
      <c r="P24" s="21">
        <f t="shared" si="16"/>
        <v>0</v>
      </c>
      <c r="Q24" s="21">
        <f t="shared" si="17"/>
        <v>14680</v>
      </c>
      <c r="R24" s="21">
        <f t="shared" si="18"/>
        <v>12400</v>
      </c>
      <c r="S24" s="21">
        <f t="shared" si="19"/>
        <v>0</v>
      </c>
      <c r="T24" s="21">
        <f t="shared" si="20"/>
      </c>
      <c r="U24" s="21">
        <f t="shared" si="21"/>
      </c>
      <c r="V24" s="21">
        <f t="shared" si="22"/>
      </c>
      <c r="W24" s="21">
        <f t="shared" si="23"/>
      </c>
      <c r="AX24" s="2">
        <f t="shared" si="30"/>
        <v>46148</v>
      </c>
      <c r="AY24" s="2">
        <f>IF(18&gt;$AZ$300,0,IFERROR(MATCH(18,$AZ$1:$AZ$300,0),0))</f>
        <v>29</v>
      </c>
      <c r="AZ24" s="2">
        <f>SUM(CA1:CA24)</f>
        <v>13</v>
      </c>
      <c r="BA24" s="2">
        <f>SUM(CB1:CB24)</f>
        <v>8</v>
      </c>
      <c r="BB24" s="2">
        <f>SUM(CC1:CC24)</f>
        <v>8</v>
      </c>
      <c r="BC24" s="2">
        <f>SUM(CD1:CD24)</f>
        <v>0</v>
      </c>
      <c r="BD24" s="2">
        <f>IF(AND($C$130&lt;&gt;"",资金流水!$J$28=$C$130,ISNUMBER(资金流水!$B$28),ISNUMBER(资金流水!$S$28),资金流水!$S$28&gt;=_辅助!$J$4,资金流水!$S$28&lt;=_辅助!$J$2,OR(资金流水!$X$28="应付材料款",资金流水!$X$28="应付分包款",资金流水!$X$28="应付机械运输费",资金流水!$X$28="应付其他款")),INT(资金流水!$B$28)*10000+23,"")</f>
      </c>
      <c r="BE24" s="2">
        <f>SUM(CE1:CE24)</f>
        <v>0</v>
      </c>
      <c r="CA24" s="2">
        <f>IF(AND(OR(_余额!$B$26="材料供应商",_余额!$B$26="分包",_余额!$B$26="机械运输",_余额!$B$26="其他"),OR($C$3="全部",_余额!$B$26=$C$3),OR(_余额!$G$26&lt;&gt;0,_余额!$H$26&lt;&gt;0)),1,0)</f>
        <v>0</v>
      </c>
      <c r="CB24" s="2">
        <f>IF(AND(项目档案!$B$27&lt;&gt;"",SUMIFS(期初余额!$R$5:$R$204,期初余额!$Q$5:$Q$204,项目档案!$B$27,期初余额!$V$5:$V$204,IF($C$3="全部","*",$C$3))+SUMIFS(应付登记!$G$5:$G$1004,应付登记!$E$5:$E$1004,项目档案!$B$27,应付登记!$L$5:$L$1004,IF($C$3="全部","*",$C$3),应付登记!$J$5:$J$1004,"&gt;="&amp;_辅助!$J$4,应付登记!$J$5:$J$1004,"&lt;="&amp;_辅助!$J$2)&lt;&gt;0),1,0)</f>
        <v>0</v>
      </c>
      <c r="CC24" s="2">
        <f>IF(AND($C$130&lt;&gt;"",期初余额!$P$28=$C$130),1,0)</f>
        <v>0</v>
      </c>
      <c r="CD24" s="2">
        <f>IF(($C$130&lt;&gt;"")*(应付登记!$D$28=$C$130)*ISNUMBER(应付登记!$J$28)*(应付登记!$J$28&gt;=_辅助!$J$4)*(应付登记!$J$28&lt;=_辅助!$J$2),1,0)</f>
        <v>0</v>
      </c>
      <c r="CE24" s="2">
        <f>IF(($C$130&lt;&gt;"")*(代发抵账!$E$28=$C$130)*(代发抵账!$D$28="总包代付材料分包款")*ISNUMBER(代发抵账!$H$28)*(代发抵账!$H$28&lt;=_辅助!$J$2),1,0)</f>
        <v>0</v>
      </c>
    </row>
    <row r="25">
      <c r="A25" s="94">
        <f>IF($AY25=0,"",19)</f>
        <v>19</v>
      </c>
      <c r="B25" s="96" t="str">
        <f t="shared" si="24"/>
        <v>图揽成善</v>
      </c>
      <c r="C25" s="94" t="str">
        <f t="shared" si="26"/>
        <v>分包</v>
      </c>
      <c r="D25" s="21">
        <f t="shared" si="0"/>
        <v>155462</v>
      </c>
      <c r="E25" s="21">
        <f t="shared" si="3"/>
        <v>101245</v>
      </c>
      <c r="F25" s="21">
        <f t="shared" si="5"/>
        <v>54217</v>
      </c>
      <c r="G25" s="22">
        <f t="shared" si="2"/>
        <v>0.651252396083931</v>
      </c>
      <c r="H25" s="21">
        <f t="shared" si="6"/>
        <v>0</v>
      </c>
      <c r="I25" s="21">
        <f t="shared" si="8"/>
        <v>155462</v>
      </c>
      <c r="J25" s="95">
        <f t="shared" si="28"/>
        <v>46198.0</v>
      </c>
      <c r="K25" s="21">
        <f t="shared" si="10"/>
        <v>1268</v>
      </c>
      <c r="L25" s="21">
        <f t="shared" si="12"/>
        <v>120527</v>
      </c>
      <c r="M25" s="21">
        <f t="shared" si="13"/>
        <v>0</v>
      </c>
      <c r="N25" s="21">
        <f t="shared" si="14"/>
        <v>0</v>
      </c>
      <c r="O25" s="21">
        <f t="shared" si="15"/>
        <v>0</v>
      </c>
      <c r="P25" s="21">
        <f t="shared" si="16"/>
        <v>0</v>
      </c>
      <c r="Q25" s="21">
        <f t="shared" si="17"/>
        <v>22812</v>
      </c>
      <c r="R25" s="21">
        <f t="shared" si="18"/>
        <v>10855</v>
      </c>
      <c r="S25" s="21">
        <f t="shared" si="19"/>
        <v>0</v>
      </c>
      <c r="T25" s="21">
        <f t="shared" si="20"/>
      </c>
      <c r="U25" s="21">
        <f t="shared" si="21"/>
      </c>
      <c r="V25" s="21">
        <f t="shared" si="22"/>
      </c>
      <c r="W25" s="21">
        <f t="shared" si="23"/>
      </c>
      <c r="AX25" s="2">
        <f t="shared" si="30"/>
        <v>46198</v>
      </c>
      <c r="AY25" s="2">
        <f>IF(19&gt;$AZ$300,0,IFERROR(MATCH(19,$AZ$1:$AZ$300,0),0))</f>
        <v>30</v>
      </c>
      <c r="AZ25" s="2">
        <f>SUM(CA1:CA25)</f>
        <v>14</v>
      </c>
      <c r="BA25" s="2">
        <f>SUM(CB1:CB25)</f>
        <v>8</v>
      </c>
      <c r="BB25" s="2">
        <f>SUM(CC1:CC25)</f>
        <v>8</v>
      </c>
      <c r="BC25" s="2">
        <f>SUM(CD1:CD25)</f>
        <v>0</v>
      </c>
      <c r="BD25" s="2">
        <f>IF(AND($C$130&lt;&gt;"",资金流水!$J$29=$C$130,ISNUMBER(资金流水!$B$29),ISNUMBER(资金流水!$S$29),资金流水!$S$29&gt;=_辅助!$J$4,资金流水!$S$29&lt;=_辅助!$J$2,OR(资金流水!$X$29="应付材料款",资金流水!$X$29="应付分包款",资金流水!$X$29="应付机械运输费",资金流水!$X$29="应付其他款")),INT(资金流水!$B$29)*10000+24,"")</f>
      </c>
      <c r="BE25" s="2">
        <f>SUM(CE1:CE25)</f>
        <v>0</v>
      </c>
      <c r="CA25" s="2">
        <f>IF(AND(OR(_余额!$B$27="材料供应商",_余额!$B$27="分包",_余额!$B$27="机械运输",_余额!$B$27="其他"),OR($C$3="全部",_余额!$B$27=$C$3),OR(_余额!$G$27&lt;&gt;0,_余额!$H$27&lt;&gt;0)),1,0)</f>
        <v>1</v>
      </c>
      <c r="CB25" s="2">
        <f>IF(AND(项目档案!$B$28&lt;&gt;"",SUMIFS(期初余额!$R$5:$R$204,期初余额!$Q$5:$Q$204,项目档案!$B$28,期初余额!$V$5:$V$204,IF($C$3="全部","*",$C$3))+SUMIFS(应付登记!$G$5:$G$1004,应付登记!$E$5:$E$1004,项目档案!$B$28,应付登记!$L$5:$L$1004,IF($C$3="全部","*",$C$3),应付登记!$J$5:$J$1004,"&gt;="&amp;_辅助!$J$4,应付登记!$J$5:$J$1004,"&lt;="&amp;_辅助!$J$2)&lt;&gt;0),1,0)</f>
        <v>0</v>
      </c>
      <c r="CC25" s="2">
        <f>IF(AND($C$130&lt;&gt;"",期初余额!$P$29=$C$130),1,0)</f>
        <v>0</v>
      </c>
      <c r="CD25" s="2">
        <f>IF(($C$130&lt;&gt;"")*(应付登记!$D$29=$C$130)*ISNUMBER(应付登记!$J$29)*(应付登记!$J$29&gt;=_辅助!$J$4)*(应付登记!$J$29&lt;=_辅助!$J$2),1,0)</f>
        <v>0</v>
      </c>
      <c r="CE25" s="2">
        <f>IF(($C$130&lt;&gt;"")*(代发抵账!$E$29=$C$130)*(代发抵账!$D$29="总包代付材料分包款")*ISNUMBER(代发抵账!$H$29)*(代发抵账!$H$29&lt;=_辅助!$J$2),1,0)</f>
        <v>0</v>
      </c>
    </row>
    <row r="26">
      <c r="A26" s="94">
        <f>IF($AY26=0,"",20)</f>
        <v>20</v>
      </c>
      <c r="B26" s="96" t="str">
        <f t="shared" si="24"/>
        <v>祝冬冬</v>
      </c>
      <c r="C26" s="94" t="str">
        <f t="shared" si="26"/>
        <v>分包</v>
      </c>
      <c r="D26" s="21">
        <f t="shared" si="0"/>
        <v>140000</v>
      </c>
      <c r="E26" s="21">
        <f t="shared" si="3"/>
        <v>132000</v>
      </c>
      <c r="F26" s="21">
        <f t="shared" si="5"/>
        <v>8000</v>
      </c>
      <c r="G26" s="22">
        <f t="shared" si="2"/>
        <v>0.942857142857143</v>
      </c>
      <c r="H26" s="21">
        <f t="shared" si="6"/>
        <v>0</v>
      </c>
      <c r="I26" s="21">
        <f t="shared" si="8"/>
        <v>140000</v>
      </c>
      <c r="J26" s="95">
        <f t="shared" si="28"/>
        <v>46262.0</v>
      </c>
      <c r="K26" s="21">
        <f t="shared" si="10"/>
        <v>0</v>
      </c>
      <c r="L26" s="21">
        <f t="shared" si="12"/>
        <v>0</v>
      </c>
      <c r="M26" s="21">
        <f t="shared" si="13"/>
        <v>0</v>
      </c>
      <c r="N26" s="21">
        <f t="shared" si="14"/>
        <v>0</v>
      </c>
      <c r="O26" s="21">
        <f t="shared" si="15"/>
        <v>0</v>
      </c>
      <c r="P26" s="21">
        <f t="shared" si="16"/>
        <v>0</v>
      </c>
      <c r="Q26" s="21">
        <f t="shared" si="17"/>
        <v>0</v>
      </c>
      <c r="R26" s="21">
        <f t="shared" si="18"/>
        <v>140000</v>
      </c>
      <c r="S26" s="21">
        <f t="shared" si="19"/>
        <v>0</v>
      </c>
      <c r="T26" s="21">
        <f t="shared" si="20"/>
      </c>
      <c r="U26" s="21">
        <f t="shared" si="21"/>
      </c>
      <c r="V26" s="21">
        <f t="shared" si="22"/>
      </c>
      <c r="W26" s="21">
        <f t="shared" si="23"/>
      </c>
      <c r="AX26" s="2">
        <f t="shared" si="30"/>
        <v>46262</v>
      </c>
      <c r="AY26" s="2">
        <f>IF(20&gt;$AZ$300,0,IFERROR(MATCH(20,$AZ$1:$AZ$300,0),0))</f>
        <v>31</v>
      </c>
      <c r="AZ26" s="2">
        <f>SUM(CA1:CA26)</f>
        <v>15</v>
      </c>
      <c r="BA26" s="2">
        <f>SUM(CB1:CB26)</f>
        <v>8</v>
      </c>
      <c r="BB26" s="2">
        <f>SUM(CC1:CC26)</f>
        <v>8</v>
      </c>
      <c r="BC26" s="2">
        <f>SUM(CD1:CD26)</f>
        <v>0</v>
      </c>
      <c r="BD26" s="2">
        <f>IF(AND($C$130&lt;&gt;"",资金流水!$J$30=$C$130,ISNUMBER(资金流水!$B$30),ISNUMBER(资金流水!$S$30),资金流水!$S$30&gt;=_辅助!$J$4,资金流水!$S$30&lt;=_辅助!$J$2,OR(资金流水!$X$30="应付材料款",资金流水!$X$30="应付分包款",资金流水!$X$30="应付机械运输费",资金流水!$X$30="应付其他款")),INT(资金流水!$B$30)*10000+25,"")</f>
      </c>
      <c r="BE26" s="2">
        <f>SUM(CE1:CE26)</f>
        <v>0</v>
      </c>
      <c r="CA26" s="2">
        <f>IF(AND(OR(_余额!$B$28="材料供应商",_余额!$B$28="分包",_余额!$B$28="机械运输",_余额!$B$28="其他"),OR($C$3="全部",_余额!$B$28=$C$3),OR(_余额!$G$28&lt;&gt;0,_余额!$H$28&lt;&gt;0)),1,0)</f>
        <v>1</v>
      </c>
      <c r="CB26" s="2">
        <f>IF(AND(项目档案!$B$29&lt;&gt;"",SUMIFS(期初余额!$R$5:$R$204,期初余额!$Q$5:$Q$204,项目档案!$B$29,期初余额!$V$5:$V$204,IF($C$3="全部","*",$C$3))+SUMIFS(应付登记!$G$5:$G$1004,应付登记!$E$5:$E$1004,项目档案!$B$29,应付登记!$L$5:$L$1004,IF($C$3="全部","*",$C$3),应付登记!$J$5:$J$1004,"&gt;="&amp;_辅助!$J$4,应付登记!$J$5:$J$1004,"&lt;="&amp;_辅助!$J$2)&lt;&gt;0),1,0)</f>
        <v>0</v>
      </c>
      <c r="CC26" s="2">
        <f>IF(AND($C$130&lt;&gt;"",期初余额!$P$30=$C$130),1,0)</f>
        <v>0</v>
      </c>
      <c r="CD26" s="2">
        <f>IF(($C$130&lt;&gt;"")*(应付登记!$D$30=$C$130)*ISNUMBER(应付登记!$J$30)*(应付登记!$J$30&gt;=_辅助!$J$4)*(应付登记!$J$30&lt;=_辅助!$J$2),1,0)</f>
        <v>0</v>
      </c>
      <c r="CE26" s="2">
        <f>IF(($C$130&lt;&gt;"")*(代发抵账!$E$30=$C$130)*(代发抵账!$D$30="总包代付材料分包款")*ISNUMBER(代发抵账!$H$30)*(代发抵账!$H$30&lt;=_辅助!$J$2),1,0)</f>
        <v>0</v>
      </c>
    </row>
    <row r="27">
      <c r="A27" s="94">
        <f>IF($AY27=0,"",21)</f>
        <v>21</v>
      </c>
      <c r="B27" s="96" t="str">
        <f t="shared" si="24"/>
        <v>张小朋（分包）</v>
      </c>
      <c r="C27" s="94" t="str">
        <f t="shared" si="26"/>
        <v>分包</v>
      </c>
      <c r="D27" s="21">
        <f t="shared" si="0"/>
        <v>52410</v>
      </c>
      <c r="E27" s="21">
        <f t="shared" si="3"/>
        <v>50260</v>
      </c>
      <c r="F27" s="21">
        <f t="shared" si="5"/>
        <v>2150</v>
      </c>
      <c r="G27" s="22">
        <f t="shared" si="2"/>
        <v>0.958977294409464</v>
      </c>
      <c r="H27" s="21">
        <f t="shared" si="6"/>
        <v>0</v>
      </c>
      <c r="I27" s="21">
        <f t="shared" si="8"/>
        <v>52410</v>
      </c>
      <c r="J27" s="95">
        <f t="shared" si="28"/>
      </c>
      <c r="K27" s="21">
        <f t="shared" si="10"/>
        <v>0</v>
      </c>
      <c r="L27" s="21">
        <f t="shared" si="12"/>
        <v>0</v>
      </c>
      <c r="M27" s="21">
        <f t="shared" si="13"/>
        <v>0</v>
      </c>
      <c r="N27" s="21">
        <f t="shared" si="14"/>
        <v>0</v>
      </c>
      <c r="O27" s="21">
        <f t="shared" si="15"/>
        <v>52410</v>
      </c>
      <c r="P27" s="21">
        <f t="shared" si="16"/>
        <v>0</v>
      </c>
      <c r="Q27" s="21">
        <f t="shared" si="17"/>
        <v>0</v>
      </c>
      <c r="R27" s="21">
        <f t="shared" si="18"/>
        <v>0</v>
      </c>
      <c r="S27" s="21">
        <f t="shared" si="19"/>
        <v>0</v>
      </c>
      <c r="T27" s="21">
        <f t="shared" si="20"/>
      </c>
      <c r="U27" s="21">
        <f t="shared" si="21"/>
      </c>
      <c r="V27" s="21">
        <f t="shared" si="22"/>
      </c>
      <c r="W27" s="21">
        <f t="shared" si="23"/>
      </c>
      <c r="AX27" s="2">
        <f t="shared" si="30"/>
        <v>0</v>
      </c>
      <c r="AY27" s="2">
        <f>IF(21&gt;$AZ$300,0,IFERROR(MATCH(21,$AZ$1:$AZ$300,0),0))</f>
        <v>32</v>
      </c>
      <c r="AZ27" s="2">
        <f>SUM(CA1:CA27)</f>
        <v>16</v>
      </c>
      <c r="BA27" s="2">
        <f>SUM(CB1:CB27)</f>
        <v>8</v>
      </c>
      <c r="BB27" s="2">
        <f>SUM(CC1:CC27)</f>
        <v>8</v>
      </c>
      <c r="BC27" s="2">
        <f>SUM(CD1:CD27)</f>
        <v>0</v>
      </c>
      <c r="BD27" s="2">
        <f>IF(AND($C$130&lt;&gt;"",资金流水!$J$31=$C$130,ISNUMBER(资金流水!$B$31),ISNUMBER(资金流水!$S$31),资金流水!$S$31&gt;=_辅助!$J$4,资金流水!$S$31&lt;=_辅助!$J$2,OR(资金流水!$X$31="应付材料款",资金流水!$X$31="应付分包款",资金流水!$X$31="应付机械运输费",资金流水!$X$31="应付其他款")),INT(资金流水!$B$31)*10000+26,"")</f>
      </c>
      <c r="BE27" s="2">
        <f>SUM(CE1:CE27)</f>
        <v>0</v>
      </c>
      <c r="CA27" s="2">
        <f>IF(AND(OR(_余额!$B$29="材料供应商",_余额!$B$29="分包",_余额!$B$29="机械运输",_余额!$B$29="其他"),OR($C$3="全部",_余额!$B$29=$C$3),OR(_余额!$G$29&lt;&gt;0,_余额!$H$29&lt;&gt;0)),1,0)</f>
        <v>1</v>
      </c>
      <c r="CB27" s="2">
        <f>IF(AND(项目档案!$B$30&lt;&gt;"",SUMIFS(期初余额!$R$5:$R$204,期初余额!$Q$5:$Q$204,项目档案!$B$30,期初余额!$V$5:$V$204,IF($C$3="全部","*",$C$3))+SUMIFS(应付登记!$G$5:$G$1004,应付登记!$E$5:$E$1004,项目档案!$B$30,应付登记!$L$5:$L$1004,IF($C$3="全部","*",$C$3),应付登记!$J$5:$J$1004,"&gt;="&amp;_辅助!$J$4,应付登记!$J$5:$J$1004,"&lt;="&amp;_辅助!$J$2)&lt;&gt;0),1,0)</f>
        <v>0</v>
      </c>
      <c r="CC27" s="2">
        <f>IF(AND($C$130&lt;&gt;"",期初余额!$P$31=$C$130),1,0)</f>
        <v>0</v>
      </c>
      <c r="CD27" s="2">
        <f>IF(($C$130&lt;&gt;"")*(应付登记!$D$31=$C$130)*ISNUMBER(应付登记!$J$31)*(应付登记!$J$31&gt;=_辅助!$J$4)*(应付登记!$J$31&lt;=_辅助!$J$2),1,0)</f>
        <v>0</v>
      </c>
      <c r="CE27" s="2">
        <f>IF(($C$130&lt;&gt;"")*(代发抵账!$E$31=$C$130)*(代发抵账!$D$31="总包代付材料分包款")*ISNUMBER(代发抵账!$H$31)*(代发抵账!$H$31&lt;=_辅助!$J$2),1,0)</f>
        <v>0</v>
      </c>
    </row>
    <row r="28">
      <c r="A28" s="94">
        <f>IF($AY28=0,"",22)</f>
        <v>22</v>
      </c>
      <c r="B28" s="96" t="str">
        <f t="shared" si="24"/>
        <v>徐怀生</v>
      </c>
      <c r="C28" s="94" t="str">
        <f t="shared" si="26"/>
        <v>分包</v>
      </c>
      <c r="D28" s="21">
        <f t="shared" si="0"/>
        <v>35960</v>
      </c>
      <c r="E28" s="21">
        <f t="shared" si="3"/>
        <v>35960</v>
      </c>
      <c r="F28" s="21">
        <f t="shared" si="5"/>
        <v>0</v>
      </c>
      <c r="G28" s="22">
        <f t="shared" si="2"/>
        <v>1</v>
      </c>
      <c r="H28" s="21">
        <f t="shared" si="6"/>
        <v>0</v>
      </c>
      <c r="I28" s="21">
        <f t="shared" si="8"/>
        <v>35960</v>
      </c>
      <c r="J28" s="95">
        <f t="shared" si="28"/>
      </c>
      <c r="K28" s="21">
        <f t="shared" si="10"/>
        <v>0</v>
      </c>
      <c r="L28" s="21">
        <f t="shared" si="12"/>
        <v>0</v>
      </c>
      <c r="M28" s="21">
        <f t="shared" si="13"/>
        <v>0</v>
      </c>
      <c r="N28" s="21">
        <f t="shared" si="14"/>
        <v>35960</v>
      </c>
      <c r="O28" s="21">
        <f t="shared" si="15"/>
        <v>0</v>
      </c>
      <c r="P28" s="21">
        <f t="shared" si="16"/>
        <v>0</v>
      </c>
      <c r="Q28" s="21">
        <f t="shared" si="17"/>
        <v>0</v>
      </c>
      <c r="R28" s="21">
        <f t="shared" si="18"/>
        <v>0</v>
      </c>
      <c r="S28" s="21">
        <f t="shared" si="19"/>
        <v>0</v>
      </c>
      <c r="T28" s="21">
        <f t="shared" si="20"/>
      </c>
      <c r="U28" s="21">
        <f t="shared" si="21"/>
      </c>
      <c r="V28" s="21">
        <f t="shared" si="22"/>
      </c>
      <c r="W28" s="21">
        <f t="shared" si="23"/>
      </c>
      <c r="AX28" s="2">
        <f t="shared" si="30"/>
        <v>0</v>
      </c>
      <c r="AY28" s="2">
        <f>IF(22&gt;$AZ$300,0,IFERROR(MATCH(22,$AZ$1:$AZ$300,0),0))</f>
        <v>33</v>
      </c>
      <c r="AZ28" s="2">
        <f>SUM(CA1:CA28)</f>
        <v>17</v>
      </c>
      <c r="BA28" s="2">
        <f>SUM(CB1:CB28)</f>
        <v>8</v>
      </c>
      <c r="BB28" s="2">
        <f>SUM(CC1:CC28)</f>
        <v>8</v>
      </c>
      <c r="BC28" s="2">
        <f>SUM(CD1:CD28)</f>
        <v>0</v>
      </c>
      <c r="BD28" s="2">
        <f>IF(AND($C$130&lt;&gt;"",资金流水!$J$32=$C$130,ISNUMBER(资金流水!$B$32),ISNUMBER(资金流水!$S$32),资金流水!$S$32&gt;=_辅助!$J$4,资金流水!$S$32&lt;=_辅助!$J$2,OR(资金流水!$X$32="应付材料款",资金流水!$X$32="应付分包款",资金流水!$X$32="应付机械运输费",资金流水!$X$32="应付其他款")),INT(资金流水!$B$32)*10000+27,"")</f>
      </c>
      <c r="BE28" s="2">
        <f>SUM(CE1:CE28)</f>
        <v>0</v>
      </c>
      <c r="CA28" s="2">
        <f>IF(AND(OR(_余额!$B$30="材料供应商",_余额!$B$30="分包",_余额!$B$30="机械运输",_余额!$B$30="其他"),OR($C$3="全部",_余额!$B$30=$C$3),OR(_余额!$G$30&lt;&gt;0,_余额!$H$30&lt;&gt;0)),1,0)</f>
        <v>1</v>
      </c>
      <c r="CB28" s="2">
        <f>IF(AND(项目档案!$B$31&lt;&gt;"",SUMIFS(期初余额!$R$5:$R$204,期初余额!$Q$5:$Q$204,项目档案!$B$31,期初余额!$V$5:$V$204,IF($C$3="全部","*",$C$3))+SUMIFS(应付登记!$G$5:$G$1004,应付登记!$E$5:$E$1004,项目档案!$B$31,应付登记!$L$5:$L$1004,IF($C$3="全部","*",$C$3),应付登记!$J$5:$J$1004,"&gt;="&amp;_辅助!$J$4,应付登记!$J$5:$J$1004,"&lt;="&amp;_辅助!$J$2)&lt;&gt;0),1,0)</f>
        <v>0</v>
      </c>
      <c r="CC28" s="2">
        <f>IF(AND($C$130&lt;&gt;"",期初余额!$P$32=$C$130),1,0)</f>
        <v>0</v>
      </c>
      <c r="CD28" s="2">
        <f>IF(($C$130&lt;&gt;"")*(应付登记!$D$32=$C$130)*ISNUMBER(应付登记!$J$32)*(应付登记!$J$32&gt;=_辅助!$J$4)*(应付登记!$J$32&lt;=_辅助!$J$2),1,0)</f>
        <v>0</v>
      </c>
      <c r="CE28" s="2">
        <f>IF(($C$130&lt;&gt;"")*(代发抵账!$E$32=$C$130)*(代发抵账!$D$32="总包代付材料分包款")*ISNUMBER(代发抵账!$H$32)*(代发抵账!$H$32&lt;=_辅助!$J$2),1,0)</f>
        <v>0</v>
      </c>
    </row>
    <row r="29">
      <c r="A29" s="94">
        <f>IF($AY29=0,"",23)</f>
        <v>23</v>
      </c>
      <c r="B29" s="96" t="str">
        <f t="shared" si="24"/>
        <v>龚文坚</v>
      </c>
      <c r="C29" s="94" t="str">
        <f t="shared" si="26"/>
        <v>分包</v>
      </c>
      <c r="D29" s="21">
        <f t="shared" si="0"/>
        <v>541875</v>
      </c>
      <c r="E29" s="21">
        <f t="shared" si="3"/>
        <v>545720</v>
      </c>
      <c r="F29" s="21">
        <f t="shared" si="5"/>
        <v>-3845</v>
      </c>
      <c r="G29" s="22">
        <f t="shared" si="2"/>
        <v>1.00709573241061</v>
      </c>
      <c r="H29" s="21">
        <f t="shared" si="6"/>
        <v>0</v>
      </c>
      <c r="I29" s="21">
        <f t="shared" si="8"/>
        <v>541875</v>
      </c>
      <c r="J29" s="95">
        <f t="shared" si="28"/>
      </c>
      <c r="K29" s="21">
        <f t="shared" si="10"/>
        <v>17715</v>
      </c>
      <c r="L29" s="21">
        <f t="shared" si="12"/>
        <v>0</v>
      </c>
      <c r="M29" s="21">
        <f t="shared" si="13"/>
        <v>0</v>
      </c>
      <c r="N29" s="21">
        <f t="shared" si="14"/>
        <v>0</v>
      </c>
      <c r="O29" s="21">
        <f t="shared" si="15"/>
        <v>0</v>
      </c>
      <c r="P29" s="21">
        <f t="shared" si="16"/>
        <v>0</v>
      </c>
      <c r="Q29" s="21">
        <f t="shared" si="17"/>
        <v>229235</v>
      </c>
      <c r="R29" s="21">
        <f t="shared" si="18"/>
        <v>294925</v>
      </c>
      <c r="S29" s="21">
        <f t="shared" si="19"/>
        <v>0</v>
      </c>
      <c r="T29" s="21">
        <f t="shared" si="20"/>
      </c>
      <c r="U29" s="21">
        <f t="shared" si="21"/>
      </c>
      <c r="V29" s="21">
        <f t="shared" si="22"/>
      </c>
      <c r="W29" s="21">
        <f t="shared" si="23"/>
      </c>
      <c r="AX29" s="2">
        <f t="shared" si="30"/>
        <v>0</v>
      </c>
      <c r="AY29" s="2">
        <f>IF(23&gt;$AZ$300,0,IFERROR(MATCH(23,$AZ$1:$AZ$300,0),0))</f>
        <v>34</v>
      </c>
      <c r="AZ29" s="2">
        <f>SUM(CA1:CA29)</f>
        <v>18</v>
      </c>
      <c r="BA29" s="2">
        <f>SUM(CB1:CB29)</f>
        <v>8</v>
      </c>
      <c r="BB29" s="2">
        <f>SUM(CC1:CC29)</f>
        <v>8</v>
      </c>
      <c r="BC29" s="2">
        <f>SUM(CD1:CD29)</f>
        <v>0</v>
      </c>
      <c r="BD29" s="2">
        <f>IF(AND($C$130&lt;&gt;"",资金流水!$J$33=$C$130,ISNUMBER(资金流水!$B$33),ISNUMBER(资金流水!$S$33),资金流水!$S$33&gt;=_辅助!$J$4,资金流水!$S$33&lt;=_辅助!$J$2,OR(资金流水!$X$33="应付材料款",资金流水!$X$33="应付分包款",资金流水!$X$33="应付机械运输费",资金流水!$X$33="应付其他款")),INT(资金流水!$B$33)*10000+28,"")</f>
      </c>
      <c r="BE29" s="2">
        <f>SUM(CE1:CE29)</f>
        <v>0</v>
      </c>
      <c r="CA29" s="2">
        <f>IF(AND(OR(_余额!$B$31="材料供应商",_余额!$B$31="分包",_余额!$B$31="机械运输",_余额!$B$31="其他"),OR($C$3="全部",_余额!$B$31=$C$3),OR(_余额!$G$31&lt;&gt;0,_余额!$H$31&lt;&gt;0)),1,0)</f>
        <v>1</v>
      </c>
      <c r="CB29" s="2">
        <f>IF(AND(项目档案!$B$32&lt;&gt;"",SUMIFS(期初余额!$R$5:$R$204,期初余额!$Q$5:$Q$204,项目档案!$B$32,期初余额!$V$5:$V$204,IF($C$3="全部","*",$C$3))+SUMIFS(应付登记!$G$5:$G$1004,应付登记!$E$5:$E$1004,项目档案!$B$32,应付登记!$L$5:$L$1004,IF($C$3="全部","*",$C$3),应付登记!$J$5:$J$1004,"&gt;="&amp;_辅助!$J$4,应付登记!$J$5:$J$1004,"&lt;="&amp;_辅助!$J$2)&lt;&gt;0),1,0)</f>
        <v>0</v>
      </c>
      <c r="CC29" s="2">
        <f>IF(AND($C$130&lt;&gt;"",期初余额!$P$33=$C$130),1,0)</f>
        <v>0</v>
      </c>
      <c r="CD29" s="2">
        <f>IF(($C$130&lt;&gt;"")*(应付登记!$D$33=$C$130)*ISNUMBER(应付登记!$J$33)*(应付登记!$J$33&gt;=_辅助!$J$4)*(应付登记!$J$33&lt;=_辅助!$J$2),1,0)</f>
        <v>0</v>
      </c>
      <c r="CE29" s="2">
        <f>IF(($C$130&lt;&gt;"")*(代发抵账!$E$33=$C$130)*(代发抵账!$D$33="总包代付材料分包款")*ISNUMBER(代发抵账!$H$33)*(代发抵账!$H$33&lt;=_辅助!$J$2),1,0)</f>
        <v>0</v>
      </c>
    </row>
    <row r="30">
      <c r="A30" s="94">
        <f>IF($AY30=0,"",24)</f>
        <v>24</v>
      </c>
      <c r="B30" s="96" t="str">
        <f t="shared" si="24"/>
        <v>程章赐（分包）</v>
      </c>
      <c r="C30" s="94" t="str">
        <f t="shared" si="26"/>
        <v>分包</v>
      </c>
      <c r="D30" s="21">
        <f t="shared" si="0"/>
        <v>18000</v>
      </c>
      <c r="E30" s="21">
        <f t="shared" si="3"/>
        <v>12000</v>
      </c>
      <c r="F30" s="21">
        <f t="shared" si="5"/>
        <v>6000</v>
      </c>
      <c r="G30" s="22">
        <f t="shared" si="2"/>
        <v>0.666666666666667</v>
      </c>
      <c r="H30" s="21">
        <f t="shared" si="6"/>
        <v>0</v>
      </c>
      <c r="I30" s="21">
        <f t="shared" si="8"/>
        <v>18000</v>
      </c>
      <c r="J30" s="95">
        <f t="shared" si="28"/>
      </c>
      <c r="K30" s="21">
        <f t="shared" si="10"/>
        <v>0</v>
      </c>
      <c r="L30" s="21">
        <f t="shared" si="12"/>
        <v>0</v>
      </c>
      <c r="M30" s="21">
        <f t="shared" si="13"/>
        <v>0</v>
      </c>
      <c r="N30" s="21">
        <f t="shared" si="14"/>
        <v>0</v>
      </c>
      <c r="O30" s="21">
        <f t="shared" si="15"/>
        <v>18000</v>
      </c>
      <c r="P30" s="21">
        <f t="shared" si="16"/>
        <v>0</v>
      </c>
      <c r="Q30" s="21">
        <f t="shared" si="17"/>
        <v>0</v>
      </c>
      <c r="R30" s="21">
        <f t="shared" si="18"/>
        <v>0</v>
      </c>
      <c r="S30" s="21">
        <f t="shared" si="19"/>
        <v>0</v>
      </c>
      <c r="T30" s="21">
        <f t="shared" si="20"/>
      </c>
      <c r="U30" s="21">
        <f t="shared" si="21"/>
      </c>
      <c r="V30" s="21">
        <f t="shared" si="22"/>
      </c>
      <c r="W30" s="21">
        <f t="shared" si="23"/>
      </c>
      <c r="AX30" s="2">
        <f t="shared" si="30"/>
        <v>0</v>
      </c>
      <c r="AY30" s="2">
        <f>IF(24&gt;$AZ$300,0,IFERROR(MATCH(24,$AZ$1:$AZ$300,0),0))</f>
        <v>35</v>
      </c>
      <c r="AZ30" s="2">
        <f>SUM(CA1:CA30)</f>
        <v>19</v>
      </c>
      <c r="BA30" s="2">
        <f>SUM(CB1:CB30)</f>
        <v>8</v>
      </c>
      <c r="BB30" s="2">
        <f>SUM(CC1:CC30)</f>
        <v>8</v>
      </c>
      <c r="BC30" s="2">
        <f>SUM(CD1:CD30)</f>
        <v>0</v>
      </c>
      <c r="BD30" s="2">
        <f>IF(AND($C$130&lt;&gt;"",资金流水!$J$34=$C$130,ISNUMBER(资金流水!$B$34),ISNUMBER(资金流水!$S$34),资金流水!$S$34&gt;=_辅助!$J$4,资金流水!$S$34&lt;=_辅助!$J$2,OR(资金流水!$X$34="应付材料款",资金流水!$X$34="应付分包款",资金流水!$X$34="应付机械运输费",资金流水!$X$34="应付其他款")),INT(资金流水!$B$34)*10000+29,"")</f>
      </c>
      <c r="BE30" s="2">
        <f>SUM(CE1:CE30)</f>
        <v>0</v>
      </c>
      <c r="CA30" s="2">
        <f>IF(AND(OR(_余额!$B$32="材料供应商",_余额!$B$32="分包",_余额!$B$32="机械运输",_余额!$B$32="其他"),OR($C$3="全部",_余额!$B$32=$C$3),OR(_余额!$G$32&lt;&gt;0,_余额!$H$32&lt;&gt;0)),1,0)</f>
        <v>1</v>
      </c>
      <c r="CB30" s="2">
        <f>IF(AND(项目档案!$B$33&lt;&gt;"",SUMIFS(期初余额!$R$5:$R$204,期初余额!$Q$5:$Q$204,项目档案!$B$33,期初余额!$V$5:$V$204,IF($C$3="全部","*",$C$3))+SUMIFS(应付登记!$G$5:$G$1004,应付登记!$E$5:$E$1004,项目档案!$B$33,应付登记!$L$5:$L$1004,IF($C$3="全部","*",$C$3),应付登记!$J$5:$J$1004,"&gt;="&amp;_辅助!$J$4,应付登记!$J$5:$J$1004,"&lt;="&amp;_辅助!$J$2)&lt;&gt;0),1,0)</f>
        <v>0</v>
      </c>
      <c r="CC30" s="2">
        <f>IF(AND($C$130&lt;&gt;"",期初余额!$P$34=$C$130),1,0)</f>
        <v>0</v>
      </c>
      <c r="CD30" s="2">
        <f>IF(($C$130&lt;&gt;"")*(应付登记!$D$34=$C$130)*ISNUMBER(应付登记!$J$34)*(应付登记!$J$34&gt;=_辅助!$J$4)*(应付登记!$J$34&lt;=_辅助!$J$2),1,0)</f>
        <v>0</v>
      </c>
      <c r="CE30" s="2">
        <f>IF(($C$130&lt;&gt;"")*(代发抵账!$E$34=$C$130)*(代发抵账!$D$34="总包代付材料分包款")*ISNUMBER(代发抵账!$H$34)*(代发抵账!$H$34&lt;=_辅助!$J$2),1,0)</f>
        <v>0</v>
      </c>
    </row>
    <row r="31">
      <c r="A31" s="94">
        <f>IF($AY31=0,"",25)</f>
        <v>25</v>
      </c>
      <c r="B31" s="96" t="str">
        <f t="shared" si="24"/>
        <v>杨工</v>
      </c>
      <c r="C31" s="94" t="str">
        <f t="shared" si="26"/>
        <v>机械运输</v>
      </c>
      <c r="D31" s="21">
        <f t="shared" si="0"/>
        <v>98875</v>
      </c>
      <c r="E31" s="21">
        <f t="shared" si="3"/>
        <v>30000</v>
      </c>
      <c r="F31" s="21">
        <f t="shared" si="5"/>
        <v>68875</v>
      </c>
      <c r="G31" s="22">
        <f t="shared" si="2"/>
        <v>0.303413400758534</v>
      </c>
      <c r="H31" s="21">
        <f t="shared" si="6"/>
        <v>0</v>
      </c>
      <c r="I31" s="21">
        <f t="shared" si="8"/>
        <v>98875</v>
      </c>
      <c r="J31" s="95">
        <f t="shared" si="28"/>
      </c>
      <c r="K31" s="21">
        <f t="shared" si="10"/>
        <v>0</v>
      </c>
      <c r="L31" s="21">
        <f t="shared" si="12"/>
        <v>0</v>
      </c>
      <c r="M31" s="21">
        <f t="shared" si="13"/>
        <v>98875</v>
      </c>
      <c r="N31" s="21">
        <f t="shared" si="14"/>
        <v>0</v>
      </c>
      <c r="O31" s="21">
        <f t="shared" si="15"/>
        <v>0</v>
      </c>
      <c r="P31" s="21">
        <f t="shared" si="16"/>
        <v>0</v>
      </c>
      <c r="Q31" s="21">
        <f t="shared" si="17"/>
        <v>0</v>
      </c>
      <c r="R31" s="21">
        <f t="shared" si="18"/>
        <v>0</v>
      </c>
      <c r="S31" s="21">
        <f t="shared" si="19"/>
        <v>0</v>
      </c>
      <c r="T31" s="21">
        <f t="shared" si="20"/>
      </c>
      <c r="U31" s="21">
        <f t="shared" si="21"/>
      </c>
      <c r="V31" s="21">
        <f t="shared" si="22"/>
      </c>
      <c r="W31" s="21">
        <f t="shared" si="23"/>
      </c>
      <c r="AX31" s="2">
        <f t="shared" si="30"/>
        <v>0</v>
      </c>
      <c r="AY31" s="2">
        <f>IF(25&gt;$AZ$300,0,IFERROR(MATCH(25,$AZ$1:$AZ$300,0),0))</f>
        <v>36</v>
      </c>
      <c r="AZ31" s="2">
        <f>SUM(CA1:CA31)</f>
        <v>20</v>
      </c>
      <c r="BA31" s="2">
        <f>SUM(CB1:CB31)</f>
        <v>8</v>
      </c>
      <c r="BB31" s="2">
        <f>SUM(CC1:CC31)</f>
        <v>8</v>
      </c>
      <c r="BC31" s="2">
        <f>SUM(CD1:CD31)</f>
        <v>0</v>
      </c>
      <c r="BD31" s="2">
        <f>IF(AND($C$130&lt;&gt;"",资金流水!$J$35=$C$130,ISNUMBER(资金流水!$B$35),ISNUMBER(资金流水!$S$35),资金流水!$S$35&gt;=_辅助!$J$4,资金流水!$S$35&lt;=_辅助!$J$2,OR(资金流水!$X$35="应付材料款",资金流水!$X$35="应付分包款",资金流水!$X$35="应付机械运输费",资金流水!$X$35="应付其他款")),INT(资金流水!$B$35)*10000+30,"")</f>
      </c>
      <c r="BE31" s="2">
        <f>SUM(CE1:CE31)</f>
        <v>0</v>
      </c>
      <c r="CA31" s="2">
        <f>IF(AND(OR(_余额!$B$33="材料供应商",_余额!$B$33="分包",_余额!$B$33="机械运输",_余额!$B$33="其他"),OR($C$3="全部",_余额!$B$33=$C$3),OR(_余额!$G$33&lt;&gt;0,_余额!$H$33&lt;&gt;0)),1,0)</f>
        <v>1</v>
      </c>
      <c r="CB31" s="2">
        <f>IF(AND(项目档案!$B$34&lt;&gt;"",SUMIFS(期初余额!$R$5:$R$204,期初余额!$Q$5:$Q$204,项目档案!$B$34,期初余额!$V$5:$V$204,IF($C$3="全部","*",$C$3))+SUMIFS(应付登记!$G$5:$G$1004,应付登记!$E$5:$E$1004,项目档案!$B$34,应付登记!$L$5:$L$1004,IF($C$3="全部","*",$C$3),应付登记!$J$5:$J$1004,"&gt;="&amp;_辅助!$J$4,应付登记!$J$5:$J$1004,"&lt;="&amp;_辅助!$J$2)&lt;&gt;0),1,0)</f>
        <v>0</v>
      </c>
      <c r="CC31" s="2">
        <f>IF(AND($C$130&lt;&gt;"",期初余额!$P$35=$C$130),1,0)</f>
        <v>0</v>
      </c>
      <c r="CD31" s="2">
        <f>IF(($C$130&lt;&gt;"")*(应付登记!$D$35=$C$130)*ISNUMBER(应付登记!$J$35)*(应付登记!$J$35&gt;=_辅助!$J$4)*(应付登记!$J$35&lt;=_辅助!$J$2),1,0)</f>
        <v>0</v>
      </c>
      <c r="CE31" s="2">
        <f>IF(($C$130&lt;&gt;"")*(代发抵账!$E$35=$C$130)*(代发抵账!$D$35="总包代付材料分包款")*ISNUMBER(代发抵账!$H$35)*(代发抵账!$H$35&lt;=_辅助!$J$2),1,0)</f>
        <v>0</v>
      </c>
    </row>
    <row r="32">
      <c r="A32" s="94">
        <f>IF($AY32=0,"",26)</f>
        <v>26</v>
      </c>
      <c r="B32" s="96" t="str">
        <f t="shared" si="24"/>
        <v>徐工</v>
      </c>
      <c r="C32" s="94" t="str">
        <f t="shared" si="26"/>
        <v>机械运输</v>
      </c>
      <c r="D32" s="21">
        <f t="shared" si="0"/>
        <v>6900</v>
      </c>
      <c r="E32" s="21">
        <f t="shared" si="3"/>
        <v>5000</v>
      </c>
      <c r="F32" s="21">
        <f t="shared" si="5"/>
        <v>1900</v>
      </c>
      <c r="G32" s="22">
        <f t="shared" si="2"/>
        <v>0.72463768115942</v>
      </c>
      <c r="H32" s="21">
        <f t="shared" si="6"/>
        <v>5000</v>
      </c>
      <c r="I32" s="21">
        <f t="shared" si="8"/>
        <v>1900</v>
      </c>
      <c r="J32" s="95">
        <f t="shared" si="28"/>
      </c>
      <c r="K32" s="21">
        <f t="shared" si="10"/>
        <v>0</v>
      </c>
      <c r="L32" s="21">
        <f t="shared" si="12"/>
        <v>0</v>
      </c>
      <c r="M32" s="21">
        <f t="shared" si="13"/>
        <v>6900</v>
      </c>
      <c r="N32" s="21">
        <f t="shared" si="14"/>
        <v>0</v>
      </c>
      <c r="O32" s="21">
        <f t="shared" si="15"/>
        <v>0</v>
      </c>
      <c r="P32" s="21">
        <f t="shared" si="16"/>
        <v>0</v>
      </c>
      <c r="Q32" s="21">
        <f t="shared" si="17"/>
        <v>0</v>
      </c>
      <c r="R32" s="21">
        <f t="shared" si="18"/>
        <v>0</v>
      </c>
      <c r="S32" s="21">
        <f t="shared" si="19"/>
        <v>0</v>
      </c>
      <c r="T32" s="21">
        <f t="shared" si="20"/>
      </c>
      <c r="U32" s="21">
        <f t="shared" si="21"/>
      </c>
      <c r="V32" s="21">
        <f t="shared" si="22"/>
      </c>
      <c r="W32" s="21">
        <f t="shared" si="23"/>
      </c>
      <c r="AX32" s="2">
        <f t="shared" si="30"/>
        <v>0</v>
      </c>
      <c r="AY32" s="2">
        <f>IF(26&gt;$AZ$300,0,IFERROR(MATCH(26,$AZ$1:$AZ$300,0),0))</f>
        <v>37</v>
      </c>
      <c r="AZ32" s="2">
        <f>SUM(CA1:CA32)</f>
        <v>21</v>
      </c>
      <c r="BA32" s="2">
        <f>SUM(CB1:CB32)</f>
        <v>8</v>
      </c>
      <c r="BB32" s="2">
        <f>SUM(CC1:CC32)</f>
        <v>8</v>
      </c>
      <c r="BC32" s="2">
        <f>SUM(CD1:CD32)</f>
        <v>0</v>
      </c>
      <c r="BD32" s="2">
        <f>IF(AND($C$130&lt;&gt;"",资金流水!$J$36=$C$130,ISNUMBER(资金流水!$B$36),ISNUMBER(资金流水!$S$36),资金流水!$S$36&gt;=_辅助!$J$4,资金流水!$S$36&lt;=_辅助!$J$2,OR(资金流水!$X$36="应付材料款",资金流水!$X$36="应付分包款",资金流水!$X$36="应付机械运输费",资金流水!$X$36="应付其他款")),INT(资金流水!$B$36)*10000+31,"")</f>
      </c>
      <c r="BE32" s="2">
        <f>SUM(CE1:CE32)</f>
        <v>0</v>
      </c>
      <c r="CA32" s="2">
        <f>IF(AND(OR(_余额!$B$34="材料供应商",_余额!$B$34="分包",_余额!$B$34="机械运输",_余额!$B$34="其他"),OR($C$3="全部",_余额!$B$34=$C$3),OR(_余额!$G$34&lt;&gt;0,_余额!$H$34&lt;&gt;0)),1,0)</f>
        <v>1</v>
      </c>
      <c r="CB32" s="2">
        <f>IF(AND(项目档案!$B$35&lt;&gt;"",SUMIFS(期初余额!$R$5:$R$204,期初余额!$Q$5:$Q$204,项目档案!$B$35,期初余额!$V$5:$V$204,IF($C$3="全部","*",$C$3))+SUMIFS(应付登记!$G$5:$G$1004,应付登记!$E$5:$E$1004,项目档案!$B$35,应付登记!$L$5:$L$1004,IF($C$3="全部","*",$C$3),应付登记!$J$5:$J$1004,"&gt;="&amp;_辅助!$J$4,应付登记!$J$5:$J$1004,"&lt;="&amp;_辅助!$J$2)&lt;&gt;0),1,0)</f>
        <v>0</v>
      </c>
      <c r="CC32" s="2">
        <f>IF(AND($C$130&lt;&gt;"",期初余额!$P$36=$C$130),1,0)</f>
        <v>0</v>
      </c>
      <c r="CD32" s="2">
        <f>IF(($C$130&lt;&gt;"")*(应付登记!$D$36=$C$130)*ISNUMBER(应付登记!$J$36)*(应付登记!$J$36&gt;=_辅助!$J$4)*(应付登记!$J$36&lt;=_辅助!$J$2),1,0)</f>
        <v>0</v>
      </c>
      <c r="CE32" s="2">
        <f>IF(($C$130&lt;&gt;"")*(代发抵账!$E$36=$C$130)*(代发抵账!$D$36="总包代付材料分包款")*ISNUMBER(代发抵账!$H$36)*(代发抵账!$H$36&lt;=_辅助!$J$2),1,0)</f>
        <v>0</v>
      </c>
    </row>
    <row r="33">
      <c r="A33" s="94">
        <f>IF($AY33=0,"",27)</f>
        <v>27</v>
      </c>
      <c r="B33" s="96" t="str">
        <f t="shared" si="24"/>
        <v>德安县恒建工程部</v>
      </c>
      <c r="C33" s="94" t="str">
        <f t="shared" si="26"/>
        <v>机械运输</v>
      </c>
      <c r="D33" s="21">
        <f t="shared" si="0"/>
        <v>800</v>
      </c>
      <c r="E33" s="21">
        <f t="shared" si="3"/>
        <v>800</v>
      </c>
      <c r="F33" s="21">
        <f t="shared" si="5"/>
        <v>0</v>
      </c>
      <c r="G33" s="22">
        <f t="shared" si="2"/>
        <v>1</v>
      </c>
      <c r="H33" s="21">
        <f t="shared" si="6"/>
        <v>800</v>
      </c>
      <c r="I33" s="21">
        <f t="shared" si="8"/>
        <v>0</v>
      </c>
      <c r="J33" s="95">
        <f t="shared" si="28"/>
        <v>46205.0</v>
      </c>
      <c r="K33" s="21">
        <f t="shared" si="10"/>
        <v>0</v>
      </c>
      <c r="L33" s="21">
        <f t="shared" si="12"/>
        <v>0</v>
      </c>
      <c r="M33" s="21">
        <f t="shared" si="13"/>
        <v>0</v>
      </c>
      <c r="N33" s="21">
        <f t="shared" si="14"/>
        <v>0</v>
      </c>
      <c r="O33" s="21">
        <f t="shared" si="15"/>
        <v>0</v>
      </c>
      <c r="P33" s="21">
        <f t="shared" si="16"/>
        <v>0</v>
      </c>
      <c r="Q33" s="21">
        <f t="shared" si="17"/>
        <v>0</v>
      </c>
      <c r="R33" s="21">
        <f t="shared" si="18"/>
        <v>0</v>
      </c>
      <c r="S33" s="21">
        <f t="shared" si="19"/>
        <v>800</v>
      </c>
      <c r="T33" s="21">
        <f t="shared" si="20"/>
      </c>
      <c r="U33" s="21">
        <f t="shared" si="21"/>
      </c>
      <c r="V33" s="21">
        <f t="shared" si="22"/>
      </c>
      <c r="W33" s="21">
        <f t="shared" si="23"/>
      </c>
      <c r="AX33" s="2">
        <f t="shared" si="30"/>
        <v>46205</v>
      </c>
      <c r="AY33" s="2">
        <f>IF(27&gt;$AZ$300,0,IFERROR(MATCH(27,$AZ$1:$AZ$300,0),0))</f>
        <v>38</v>
      </c>
      <c r="AZ33" s="2">
        <f>SUM(CA1:CA33)</f>
        <v>22</v>
      </c>
      <c r="BA33" s="2">
        <f>SUM(CB1:CB33)</f>
        <v>8</v>
      </c>
      <c r="BB33" s="2">
        <f>SUM(CC1:CC33)</f>
        <v>8</v>
      </c>
      <c r="BC33" s="2">
        <f>SUM(CD1:CD33)</f>
        <v>0</v>
      </c>
      <c r="BD33" s="2">
        <f>IF(AND($C$130&lt;&gt;"",资金流水!$J$37=$C$130,ISNUMBER(资金流水!$B$37),ISNUMBER(资金流水!$S$37),资金流水!$S$37&gt;=_辅助!$J$4,资金流水!$S$37&lt;=_辅助!$J$2,OR(资金流水!$X$37="应付材料款",资金流水!$X$37="应付分包款",资金流水!$X$37="应付机械运输费",资金流水!$X$37="应付其他款")),INT(资金流水!$B$37)*10000+32,"")</f>
      </c>
      <c r="BE33" s="2">
        <f>SUM(CE1:CE33)</f>
        <v>0</v>
      </c>
      <c r="CA33" s="2">
        <f>IF(AND(OR(_余额!$B$35="材料供应商",_余额!$B$35="分包",_余额!$B$35="机械运输",_余额!$B$35="其他"),OR($C$3="全部",_余额!$B$35=$C$3),OR(_余额!$G$35&lt;&gt;0,_余额!$H$35&lt;&gt;0)),1,0)</f>
        <v>1</v>
      </c>
      <c r="CB33" s="2">
        <f>IF(AND(项目档案!$B$36&lt;&gt;"",SUMIFS(期初余额!$R$5:$R$204,期初余额!$Q$5:$Q$204,项目档案!$B$36,期初余额!$V$5:$V$204,IF($C$3="全部","*",$C$3))+SUMIFS(应付登记!$G$5:$G$1004,应付登记!$E$5:$E$1004,项目档案!$B$36,应付登记!$L$5:$L$1004,IF($C$3="全部","*",$C$3),应付登记!$J$5:$J$1004,"&gt;="&amp;_辅助!$J$4,应付登记!$J$5:$J$1004,"&lt;="&amp;_辅助!$J$2)&lt;&gt;0),1,0)</f>
        <v>0</v>
      </c>
      <c r="CC33" s="2">
        <f>IF(AND($C$130&lt;&gt;"",期初余额!$P$37=$C$130),1,0)</f>
        <v>0</v>
      </c>
      <c r="CD33" s="2">
        <f>IF(($C$130&lt;&gt;"")*(应付登记!$D$37=$C$130)*ISNUMBER(应付登记!$J$37)*(应付登记!$J$37&gt;=_辅助!$J$4)*(应付登记!$J$37&lt;=_辅助!$J$2),1,0)</f>
        <v>0</v>
      </c>
      <c r="CE33" s="2">
        <f>IF(($C$130&lt;&gt;"")*(代发抵账!$E$37=$C$130)*(代发抵账!$D$37="总包代付材料分包款")*ISNUMBER(代发抵账!$H$37)*(代发抵账!$H$37&lt;=_辅助!$J$2),1,0)</f>
        <v>0</v>
      </c>
    </row>
    <row r="34">
      <c r="A34" s="94">
        <f>IF($AY34=0,"",28)</f>
        <v>28</v>
      </c>
      <c r="B34" s="96" t="str">
        <f t="shared" si="24"/>
        <v>航帆增辉</v>
      </c>
      <c r="C34" s="94" t="str">
        <f t="shared" si="26"/>
        <v>机械运输</v>
      </c>
      <c r="D34" s="21">
        <f t="shared" si="0"/>
        <v>1000</v>
      </c>
      <c r="E34" s="21">
        <f t="shared" si="3"/>
        <v>1000</v>
      </c>
      <c r="F34" s="21">
        <f t="shared" si="5"/>
        <v>0</v>
      </c>
      <c r="G34" s="22">
        <f t="shared" si="2"/>
        <v>1</v>
      </c>
      <c r="H34" s="21">
        <f t="shared" si="6"/>
        <v>0</v>
      </c>
      <c r="I34" s="21">
        <f t="shared" si="8"/>
        <v>1000</v>
      </c>
      <c r="J34" s="95">
        <f t="shared" si="28"/>
        <v>46173.0</v>
      </c>
      <c r="K34" s="21">
        <f t="shared" si="10"/>
        <v>0</v>
      </c>
      <c r="L34" s="21">
        <f t="shared" si="12"/>
        <v>0</v>
      </c>
      <c r="M34" s="21">
        <f t="shared" si="13"/>
        <v>0</v>
      </c>
      <c r="N34" s="21">
        <f t="shared" si="14"/>
        <v>0</v>
      </c>
      <c r="O34" s="21">
        <f t="shared" si="15"/>
        <v>0</v>
      </c>
      <c r="P34" s="21">
        <f t="shared" si="16"/>
        <v>1000</v>
      </c>
      <c r="Q34" s="21">
        <f t="shared" si="17"/>
        <v>0</v>
      </c>
      <c r="R34" s="21">
        <f t="shared" si="18"/>
        <v>0</v>
      </c>
      <c r="S34" s="21">
        <f t="shared" si="19"/>
        <v>0</v>
      </c>
      <c r="T34" s="21">
        <f t="shared" si="20"/>
      </c>
      <c r="U34" s="21">
        <f t="shared" si="21"/>
      </c>
      <c r="V34" s="21">
        <f t="shared" si="22"/>
      </c>
      <c r="W34" s="21">
        <f t="shared" si="23"/>
      </c>
      <c r="AX34" s="2">
        <f t="shared" si="30"/>
        <v>46173</v>
      </c>
      <c r="AY34" s="2">
        <f>IF(28&gt;$AZ$300,0,IFERROR(MATCH(28,$AZ$1:$AZ$300,0),0))</f>
        <v>39</v>
      </c>
      <c r="AZ34" s="2">
        <f>SUM(CA1:CA34)</f>
        <v>23</v>
      </c>
      <c r="BA34" s="2">
        <f>SUM(CB1:CB34)</f>
        <v>8</v>
      </c>
      <c r="BB34" s="2">
        <f>SUM(CC1:CC34)</f>
        <v>8</v>
      </c>
      <c r="BC34" s="2">
        <f>SUM(CD1:CD34)</f>
        <v>0</v>
      </c>
      <c r="BD34" s="2">
        <f>IF(AND($C$130&lt;&gt;"",资金流水!$J$38=$C$130,ISNUMBER(资金流水!$B$38),ISNUMBER(资金流水!$S$38),资金流水!$S$38&gt;=_辅助!$J$4,资金流水!$S$38&lt;=_辅助!$J$2,OR(资金流水!$X$38="应付材料款",资金流水!$X$38="应付分包款",资金流水!$X$38="应付机械运输费",资金流水!$X$38="应付其他款")),INT(资金流水!$B$38)*10000+33,"")</f>
      </c>
      <c r="BE34" s="2">
        <f>SUM(CE1:CE34)</f>
        <v>0</v>
      </c>
      <c r="CA34" s="2">
        <f>IF(AND(OR(_余额!$B$36="材料供应商",_余额!$B$36="分包",_余额!$B$36="机械运输",_余额!$B$36="其他"),OR($C$3="全部",_余额!$B$36=$C$3),OR(_余额!$G$36&lt;&gt;0,_余额!$H$36&lt;&gt;0)),1,0)</f>
        <v>1</v>
      </c>
      <c r="CB34" s="2">
        <f>IF(AND(项目档案!$B$37&lt;&gt;"",SUMIFS(期初余额!$R$5:$R$204,期初余额!$Q$5:$Q$204,项目档案!$B$37,期初余额!$V$5:$V$204,IF($C$3="全部","*",$C$3))+SUMIFS(应付登记!$G$5:$G$1004,应付登记!$E$5:$E$1004,项目档案!$B$37,应付登记!$L$5:$L$1004,IF($C$3="全部","*",$C$3),应付登记!$J$5:$J$1004,"&gt;="&amp;_辅助!$J$4,应付登记!$J$5:$J$1004,"&lt;="&amp;_辅助!$J$2)&lt;&gt;0),1,0)</f>
        <v>0</v>
      </c>
      <c r="CC34" s="2">
        <f>IF(AND($C$130&lt;&gt;"",期初余额!$P$38=$C$130),1,0)</f>
        <v>0</v>
      </c>
      <c r="CD34" s="2">
        <f>IF(($C$130&lt;&gt;"")*(应付登记!$D$38=$C$130)*ISNUMBER(应付登记!$J$38)*(应付登记!$J$38&gt;=_辅助!$J$4)*(应付登记!$J$38&lt;=_辅助!$J$2),1,0)</f>
        <v>0</v>
      </c>
      <c r="CE34" s="2">
        <f>IF(($C$130&lt;&gt;"")*(代发抵账!$E$38=$C$130)*(代发抵账!$D$38="总包代付材料分包款")*ISNUMBER(代发抵账!$H$38)*(代发抵账!$H$38&lt;=_辅助!$J$2),1,0)</f>
        <v>0</v>
      </c>
    </row>
    <row r="35">
      <c r="A35" s="94">
        <f>IF($AY35=0,"",29)</f>
        <v>29</v>
      </c>
      <c r="B35" s="96" t="str">
        <f t="shared" si="24"/>
        <v>章德吉货运</v>
      </c>
      <c r="C35" s="94" t="str">
        <f t="shared" si="26"/>
        <v>机械运输</v>
      </c>
      <c r="D35" s="21">
        <f t="shared" si="0"/>
        <v>280</v>
      </c>
      <c r="E35" s="21">
        <f t="shared" si="3"/>
        <v>280</v>
      </c>
      <c r="F35" s="21">
        <f t="shared" si="5"/>
        <v>0</v>
      </c>
      <c r="G35" s="22">
        <f t="shared" si="2"/>
        <v>1</v>
      </c>
      <c r="H35" s="21">
        <f t="shared" si="6"/>
        <v>0</v>
      </c>
      <c r="I35" s="21">
        <f t="shared" si="8"/>
        <v>280</v>
      </c>
      <c r="J35" s="95">
        <f t="shared" si="28"/>
        <v>46172.0</v>
      </c>
      <c r="K35" s="21">
        <f t="shared" si="10"/>
        <v>0</v>
      </c>
      <c r="L35" s="21">
        <f t="shared" si="12"/>
        <v>0</v>
      </c>
      <c r="M35" s="21">
        <f t="shared" si="13"/>
        <v>0</v>
      </c>
      <c r="N35" s="21">
        <f t="shared" si="14"/>
        <v>0</v>
      </c>
      <c r="O35" s="21">
        <f t="shared" si="15"/>
        <v>0</v>
      </c>
      <c r="P35" s="21">
        <f t="shared" si="16"/>
        <v>280</v>
      </c>
      <c r="Q35" s="21">
        <f t="shared" si="17"/>
        <v>0</v>
      </c>
      <c r="R35" s="21">
        <f t="shared" si="18"/>
        <v>0</v>
      </c>
      <c r="S35" s="21">
        <f t="shared" si="19"/>
        <v>0</v>
      </c>
      <c r="T35" s="21">
        <f t="shared" si="20"/>
      </c>
      <c r="U35" s="21">
        <f t="shared" si="21"/>
      </c>
      <c r="V35" s="21">
        <f t="shared" si="22"/>
      </c>
      <c r="W35" s="21">
        <f t="shared" si="23"/>
      </c>
      <c r="AX35" s="2">
        <f t="shared" si="30"/>
        <v>46172</v>
      </c>
      <c r="AY35" s="2">
        <f>IF(29&gt;$AZ$300,0,IFERROR(MATCH(29,$AZ$1:$AZ$300,0),0))</f>
        <v>40</v>
      </c>
      <c r="AZ35" s="2">
        <f>SUM(CA1:CA35)</f>
        <v>24</v>
      </c>
      <c r="BA35" s="2">
        <f>SUM(CB1:CB35)</f>
        <v>8</v>
      </c>
      <c r="BB35" s="2">
        <f>SUM(CC1:CC35)</f>
        <v>8</v>
      </c>
      <c r="BC35" s="2">
        <f>SUM(CD1:CD35)</f>
        <v>0</v>
      </c>
      <c r="BD35" s="2">
        <f>IF(AND($C$130&lt;&gt;"",资金流水!$J$39=$C$130,ISNUMBER(资金流水!$B$39),ISNUMBER(资金流水!$S$39),资金流水!$S$39&gt;=_辅助!$J$4,资金流水!$S$39&lt;=_辅助!$J$2,OR(资金流水!$X$39="应付材料款",资金流水!$X$39="应付分包款",资金流水!$X$39="应付机械运输费",资金流水!$X$39="应付其他款")),INT(资金流水!$B$39)*10000+34,"")</f>
      </c>
      <c r="BE35" s="2">
        <f>SUM(CE1:CE35)</f>
        <v>0</v>
      </c>
      <c r="CA35" s="2">
        <f>IF(AND(OR(_余额!$B$37="材料供应商",_余额!$B$37="分包",_余额!$B$37="机械运输",_余额!$B$37="其他"),OR($C$3="全部",_余额!$B$37=$C$3),OR(_余额!$G$37&lt;&gt;0,_余额!$H$37&lt;&gt;0)),1,0)</f>
        <v>1</v>
      </c>
      <c r="CB35" s="2">
        <f>IF(AND(项目档案!$B$38&lt;&gt;"",SUMIFS(期初余额!$R$5:$R$204,期初余额!$Q$5:$Q$204,项目档案!$B$38,期初余额!$V$5:$V$204,IF($C$3="全部","*",$C$3))+SUMIFS(应付登记!$G$5:$G$1004,应付登记!$E$5:$E$1004,项目档案!$B$38,应付登记!$L$5:$L$1004,IF($C$3="全部","*",$C$3),应付登记!$J$5:$J$1004,"&gt;="&amp;_辅助!$J$4,应付登记!$J$5:$J$1004,"&lt;="&amp;_辅助!$J$2)&lt;&gt;0),1,0)</f>
        <v>0</v>
      </c>
      <c r="CC35" s="2">
        <f>IF(AND($C$130&lt;&gt;"",期初余额!$P$39=$C$130),1,0)</f>
        <v>0</v>
      </c>
      <c r="CD35" s="2">
        <f>IF(($C$130&lt;&gt;"")*(应付登记!$D$39=$C$130)*ISNUMBER(应付登记!$J$39)*(应付登记!$J$39&gt;=_辅助!$J$4)*(应付登记!$J$39&lt;=_辅助!$J$2),1,0)</f>
        <v>0</v>
      </c>
      <c r="CE35" s="2">
        <f>IF(($C$130&lt;&gt;"")*(代发抵账!$E$39=$C$130)*(代发抵账!$D$39="总包代付材料分包款")*ISNUMBER(代发抵账!$H$39)*(代发抵账!$H$39&lt;=_辅助!$J$2),1,0)</f>
        <v>0</v>
      </c>
    </row>
    <row r="36">
      <c r="A36" s="94">
        <f>IF($AY36=0,"",30)</f>
      </c>
      <c r="B36" s="96">
        <f t="shared" si="24"/>
      </c>
      <c r="C36" s="94">
        <f t="shared" si="26"/>
      </c>
      <c r="D36" s="21">
        <f t="shared" si="0"/>
      </c>
      <c r="E36" s="21">
        <f t="shared" si="3"/>
      </c>
      <c r="F36" s="21">
        <f t="shared" si="5"/>
      </c>
      <c r="G36" s="22">
        <f t="shared" si="2"/>
      </c>
      <c r="H36" s="21">
        <f t="shared" si="6"/>
      </c>
      <c r="I36" s="21">
        <f t="shared" si="8"/>
      </c>
      <c r="J36" s="95">
        <f t="shared" si="28"/>
      </c>
      <c r="K36" s="21">
        <f t="shared" si="10"/>
      </c>
      <c r="L36" s="21">
        <f t="shared" si="12"/>
      </c>
      <c r="M36" s="21">
        <f t="shared" si="13"/>
      </c>
      <c r="N36" s="21">
        <f t="shared" si="14"/>
      </c>
      <c r="O36" s="21">
        <f t="shared" si="15"/>
      </c>
      <c r="P36" s="21">
        <f t="shared" si="16"/>
      </c>
      <c r="Q36" s="21">
        <f t="shared" si="17"/>
      </c>
      <c r="R36" s="21">
        <f t="shared" si="18"/>
      </c>
      <c r="S36" s="21">
        <f t="shared" si="19"/>
      </c>
      <c r="T36" s="21">
        <f t="shared" si="20"/>
      </c>
      <c r="U36" s="21">
        <f t="shared" si="21"/>
      </c>
      <c r="V36" s="21">
        <f t="shared" si="22"/>
      </c>
      <c r="W36" s="21">
        <f t="shared" si="23"/>
      </c>
      <c r="AX36" s="2">
        <f t="shared" si="30"/>
        <v>0</v>
      </c>
      <c r="AY36" s="2">
        <f>IF(30&gt;$AZ$300,0,IFERROR(MATCH(30,$AZ$1:$AZ$300,0),0))</f>
        <v>0</v>
      </c>
      <c r="AZ36" s="2">
        <f>SUM(CA1:CA36)</f>
        <v>25</v>
      </c>
      <c r="BA36" s="2">
        <f>SUM(CB1:CB36)</f>
        <v>8</v>
      </c>
      <c r="BB36" s="2">
        <f>SUM(CC1:CC36)</f>
        <v>8</v>
      </c>
      <c r="BC36" s="2">
        <f>SUM(CD1:CD36)</f>
        <v>0</v>
      </c>
      <c r="BD36" s="2">
        <f>IF(AND($C$130&lt;&gt;"",资金流水!$J$40=$C$130,ISNUMBER(资金流水!$B$40),ISNUMBER(资金流水!$S$40),资金流水!$S$40&gt;=_辅助!$J$4,资金流水!$S$40&lt;=_辅助!$J$2,OR(资金流水!$X$40="应付材料款",资金流水!$X$40="应付分包款",资金流水!$X$40="应付机械运输费",资金流水!$X$40="应付其他款")),INT(资金流水!$B$40)*10000+35,"")</f>
      </c>
      <c r="BE36" s="2">
        <f>SUM(CE1:CE36)</f>
        <v>0</v>
      </c>
      <c r="CA36" s="2">
        <f>IF(AND(OR(_余额!$B$38="材料供应商",_余额!$B$38="分包",_余额!$B$38="机械运输",_余额!$B$38="其他"),OR($C$3="全部",_余额!$B$38=$C$3),OR(_余额!$G$38&lt;&gt;0,_余额!$H$38&lt;&gt;0)),1,0)</f>
        <v>1</v>
      </c>
      <c r="CB36" s="2">
        <f>IF(AND(项目档案!$B$39&lt;&gt;"",SUMIFS(期初余额!$R$5:$R$204,期初余额!$Q$5:$Q$204,项目档案!$B$39,期初余额!$V$5:$V$204,IF($C$3="全部","*",$C$3))+SUMIFS(应付登记!$G$5:$G$1004,应付登记!$E$5:$E$1004,项目档案!$B$39,应付登记!$L$5:$L$1004,IF($C$3="全部","*",$C$3),应付登记!$J$5:$J$1004,"&gt;="&amp;_辅助!$J$4,应付登记!$J$5:$J$1004,"&lt;="&amp;_辅助!$J$2)&lt;&gt;0),1,0)</f>
        <v>0</v>
      </c>
      <c r="CC36" s="2">
        <f>IF(AND($C$130&lt;&gt;"",期初余额!$P$40=$C$130),1,0)</f>
        <v>0</v>
      </c>
      <c r="CD36" s="2">
        <f>IF(($C$130&lt;&gt;"")*(应付登记!$D$40=$C$130)*ISNUMBER(应付登记!$J$40)*(应付登记!$J$40&gt;=_辅助!$J$4)*(应付登记!$J$40&lt;=_辅助!$J$2),1,0)</f>
        <v>0</v>
      </c>
      <c r="CE36" s="2">
        <f>IF(($C$130&lt;&gt;"")*(代发抵账!$E$40=$C$130)*(代发抵账!$D$40="总包代付材料分包款")*ISNUMBER(代发抵账!$H$40)*(代发抵账!$H$40&lt;=_辅助!$J$2),1,0)</f>
        <v>0</v>
      </c>
    </row>
    <row r="37">
      <c r="A37" s="94">
        <f>IF($AY37=0,"",31)</f>
      </c>
      <c r="B37" s="96">
        <f t="shared" si="24"/>
      </c>
      <c r="C37" s="94">
        <f t="shared" si="26"/>
      </c>
      <c r="D37" s="21">
        <f t="shared" si="0"/>
      </c>
      <c r="E37" s="21">
        <f t="shared" si="3"/>
      </c>
      <c r="F37" s="21">
        <f t="shared" si="5"/>
      </c>
      <c r="G37" s="22">
        <f t="shared" si="2"/>
      </c>
      <c r="H37" s="21">
        <f t="shared" si="6"/>
      </c>
      <c r="I37" s="21">
        <f t="shared" si="8"/>
      </c>
      <c r="J37" s="95">
        <f t="shared" si="28"/>
      </c>
      <c r="K37" s="21">
        <f t="shared" si="10"/>
      </c>
      <c r="L37" s="21">
        <f t="shared" si="12"/>
      </c>
      <c r="M37" s="21">
        <f t="shared" si="13"/>
      </c>
      <c r="N37" s="21">
        <f t="shared" si="14"/>
      </c>
      <c r="O37" s="21">
        <f t="shared" si="15"/>
      </c>
      <c r="P37" s="21">
        <f t="shared" si="16"/>
      </c>
      <c r="Q37" s="21">
        <f t="shared" si="17"/>
      </c>
      <c r="R37" s="21">
        <f t="shared" si="18"/>
      </c>
      <c r="S37" s="21">
        <f t="shared" si="19"/>
      </c>
      <c r="T37" s="21">
        <f t="shared" si="20"/>
      </c>
      <c r="U37" s="21">
        <f t="shared" si="21"/>
      </c>
      <c r="V37" s="21">
        <f t="shared" si="22"/>
      </c>
      <c r="W37" s="21">
        <f t="shared" si="23"/>
      </c>
      <c r="AX37" s="2">
        <f t="shared" si="30"/>
        <v>0</v>
      </c>
      <c r="AY37" s="2">
        <f>IF(31&gt;$AZ$300,0,IFERROR(MATCH(31,$AZ$1:$AZ$300,0),0))</f>
        <v>0</v>
      </c>
      <c r="AZ37" s="2">
        <f>SUM(CA1:CA37)</f>
        <v>26</v>
      </c>
      <c r="BA37" s="2">
        <f>SUM(CB1:CB37)</f>
        <v>8</v>
      </c>
      <c r="BB37" s="2">
        <f>SUM(CC1:CC37)</f>
        <v>8</v>
      </c>
      <c r="BC37" s="2">
        <f>SUM(CD1:CD37)</f>
        <v>0</v>
      </c>
      <c r="BD37" s="2">
        <f>IF(AND($C$130&lt;&gt;"",资金流水!$J$41=$C$130,ISNUMBER(资金流水!$B$41),ISNUMBER(资金流水!$S$41),资金流水!$S$41&gt;=_辅助!$J$4,资金流水!$S$41&lt;=_辅助!$J$2,OR(资金流水!$X$41="应付材料款",资金流水!$X$41="应付分包款",资金流水!$X$41="应付机械运输费",资金流水!$X$41="应付其他款")),INT(资金流水!$B$41)*10000+36,"")</f>
      </c>
      <c r="BE37" s="2">
        <f>SUM(CE1:CE37)</f>
        <v>0</v>
      </c>
      <c r="CA37" s="2">
        <f>IF(AND(OR(_余额!$B$39="材料供应商",_余额!$B$39="分包",_余额!$B$39="机械运输",_余额!$B$39="其他"),OR($C$3="全部",_余额!$B$39=$C$3),OR(_余额!$G$39&lt;&gt;0,_余额!$H$39&lt;&gt;0)),1,0)</f>
        <v>1</v>
      </c>
      <c r="CB37" s="2">
        <f>IF(AND(项目档案!$B$40&lt;&gt;"",SUMIFS(期初余额!$R$5:$R$204,期初余额!$Q$5:$Q$204,项目档案!$B$40,期初余额!$V$5:$V$204,IF($C$3="全部","*",$C$3))+SUMIFS(应付登记!$G$5:$G$1004,应付登记!$E$5:$E$1004,项目档案!$B$40,应付登记!$L$5:$L$1004,IF($C$3="全部","*",$C$3),应付登记!$J$5:$J$1004,"&gt;="&amp;_辅助!$J$4,应付登记!$J$5:$J$1004,"&lt;="&amp;_辅助!$J$2)&lt;&gt;0),1,0)</f>
        <v>0</v>
      </c>
      <c r="CC37" s="2">
        <f>IF(AND($C$130&lt;&gt;"",期初余额!$P$41=$C$130),1,0)</f>
        <v>0</v>
      </c>
      <c r="CD37" s="2">
        <f>IF(($C$130&lt;&gt;"")*(应付登记!$D$41=$C$130)*ISNUMBER(应付登记!$J$41)*(应付登记!$J$41&gt;=_辅助!$J$4)*(应付登记!$J$41&lt;=_辅助!$J$2),1,0)</f>
        <v>0</v>
      </c>
      <c r="CE37" s="2">
        <f>IF(($C$130&lt;&gt;"")*(代发抵账!$E$41=$C$130)*(代发抵账!$D$41="总包代付材料分包款")*ISNUMBER(代发抵账!$H$41)*(代发抵账!$H$41&lt;=_辅助!$J$2),1,0)</f>
        <v>0</v>
      </c>
    </row>
    <row r="38">
      <c r="A38" s="94">
        <f>IF($AY38=0,"",32)</f>
      </c>
      <c r="B38" s="96">
        <f t="shared" si="24"/>
      </c>
      <c r="C38" s="94">
        <f t="shared" si="26"/>
      </c>
      <c r="D38" s="21">
        <f t="shared" si="0"/>
      </c>
      <c r="E38" s="21">
        <f t="shared" si="3"/>
      </c>
      <c r="F38" s="21">
        <f t="shared" si="5"/>
      </c>
      <c r="G38" s="22">
        <f t="shared" si="2"/>
      </c>
      <c r="H38" s="21">
        <f t="shared" si="6"/>
      </c>
      <c r="I38" s="21">
        <f t="shared" si="8"/>
      </c>
      <c r="J38" s="95">
        <f t="shared" si="28"/>
      </c>
      <c r="K38" s="21">
        <f t="shared" si="10"/>
      </c>
      <c r="L38" s="21">
        <f t="shared" si="12"/>
      </c>
      <c r="M38" s="21">
        <f t="shared" si="13"/>
      </c>
      <c r="N38" s="21">
        <f t="shared" si="14"/>
      </c>
      <c r="O38" s="21">
        <f t="shared" si="15"/>
      </c>
      <c r="P38" s="21">
        <f t="shared" si="16"/>
      </c>
      <c r="Q38" s="21">
        <f t="shared" si="17"/>
      </c>
      <c r="R38" s="21">
        <f t="shared" si="18"/>
      </c>
      <c r="S38" s="21">
        <f t="shared" si="19"/>
      </c>
      <c r="T38" s="21">
        <f t="shared" si="20"/>
      </c>
      <c r="U38" s="21">
        <f t="shared" si="21"/>
      </c>
      <c r="V38" s="21">
        <f t="shared" si="22"/>
      </c>
      <c r="W38" s="21">
        <f t="shared" si="23"/>
      </c>
      <c r="AX38" s="2">
        <f t="shared" si="30"/>
        <v>0</v>
      </c>
      <c r="AY38" s="2">
        <f>IF(32&gt;$AZ$300,0,IFERROR(MATCH(32,$AZ$1:$AZ$300,0),0))</f>
        <v>0</v>
      </c>
      <c r="AZ38" s="2">
        <f>SUM(CA1:CA38)</f>
        <v>27</v>
      </c>
      <c r="BA38" s="2">
        <f>SUM(CB1:CB38)</f>
        <v>8</v>
      </c>
      <c r="BB38" s="2">
        <f>SUM(CC1:CC38)</f>
        <v>8</v>
      </c>
      <c r="BC38" s="2">
        <f>SUM(CD1:CD38)</f>
        <v>0</v>
      </c>
      <c r="BD38" s="2">
        <f>IF(AND($C$130&lt;&gt;"",资金流水!$J$42=$C$130,ISNUMBER(资金流水!$B$42),ISNUMBER(资金流水!$S$42),资金流水!$S$42&gt;=_辅助!$J$4,资金流水!$S$42&lt;=_辅助!$J$2,OR(资金流水!$X$42="应付材料款",资金流水!$X$42="应付分包款",资金流水!$X$42="应付机械运输费",资金流水!$X$42="应付其他款")),INT(资金流水!$B$42)*10000+37,"")</f>
      </c>
      <c r="BE38" s="2">
        <f>SUM(CE1:CE38)</f>
        <v>0</v>
      </c>
      <c r="CA38" s="2">
        <f>IF(AND(OR(_余额!$B$40="材料供应商",_余额!$B$40="分包",_余额!$B$40="机械运输",_余额!$B$40="其他"),OR($C$3="全部",_余额!$B$40=$C$3),OR(_余额!$G$40&lt;&gt;0,_余额!$H$40&lt;&gt;0)),1,0)</f>
        <v>1</v>
      </c>
      <c r="CB38" s="2">
        <f>IF(AND(项目档案!$B$41&lt;&gt;"",SUMIFS(期初余额!$R$5:$R$204,期初余额!$Q$5:$Q$204,项目档案!$B$41,期初余额!$V$5:$V$204,IF($C$3="全部","*",$C$3))+SUMIFS(应付登记!$G$5:$G$1004,应付登记!$E$5:$E$1004,项目档案!$B$41,应付登记!$L$5:$L$1004,IF($C$3="全部","*",$C$3),应付登记!$J$5:$J$1004,"&gt;="&amp;_辅助!$J$4,应付登记!$J$5:$J$1004,"&lt;="&amp;_辅助!$J$2)&lt;&gt;0),1,0)</f>
        <v>0</v>
      </c>
      <c r="CC38" s="2">
        <f>IF(AND($C$130&lt;&gt;"",期初余额!$P$42=$C$130),1,0)</f>
        <v>0</v>
      </c>
      <c r="CD38" s="2">
        <f>IF(($C$130&lt;&gt;"")*(应付登记!$D$42=$C$130)*ISNUMBER(应付登记!$J$42)*(应付登记!$J$42&gt;=_辅助!$J$4)*(应付登记!$J$42&lt;=_辅助!$J$2),1,0)</f>
        <v>0</v>
      </c>
      <c r="CE38" s="2">
        <f>IF(($C$130&lt;&gt;"")*(代发抵账!$E$42=$C$130)*(代发抵账!$D$42="总包代付材料分包款")*ISNUMBER(代发抵账!$H$42)*(代发抵账!$H$42&lt;=_辅助!$J$2),1,0)</f>
        <v>0</v>
      </c>
    </row>
    <row r="39">
      <c r="A39" s="94">
        <f>IF($AY39=0,"",33)</f>
      </c>
      <c r="B39" s="96">
        <f t="shared" si="24"/>
      </c>
      <c r="C39" s="94">
        <f t="shared" si="26"/>
      </c>
      <c r="D39" s="21">
        <f t="shared" si="0"/>
      </c>
      <c r="E39" s="21">
        <f t="shared" si="3"/>
      </c>
      <c r="F39" s="21">
        <f t="shared" si="5"/>
      </c>
      <c r="G39" s="22">
        <f t="shared" si="2"/>
      </c>
      <c r="H39" s="21">
        <f t="shared" si="6"/>
      </c>
      <c r="I39" s="21">
        <f t="shared" si="8"/>
      </c>
      <c r="J39" s="95">
        <f t="shared" si="28"/>
      </c>
      <c r="K39" s="21">
        <f t="shared" si="10"/>
      </c>
      <c r="L39" s="21">
        <f t="shared" si="12"/>
      </c>
      <c r="M39" s="21">
        <f t="shared" si="13"/>
      </c>
      <c r="N39" s="21">
        <f t="shared" si="14"/>
      </c>
      <c r="O39" s="21">
        <f t="shared" si="15"/>
      </c>
      <c r="P39" s="21">
        <f t="shared" si="16"/>
      </c>
      <c r="Q39" s="21">
        <f t="shared" si="17"/>
      </c>
      <c r="R39" s="21">
        <f t="shared" si="18"/>
      </c>
      <c r="S39" s="21">
        <f t="shared" si="19"/>
      </c>
      <c r="T39" s="21">
        <f t="shared" si="20"/>
      </c>
      <c r="U39" s="21">
        <f t="shared" si="21"/>
      </c>
      <c r="V39" s="21">
        <f t="shared" si="22"/>
      </c>
      <c r="W39" s="21">
        <f t="shared" si="23"/>
      </c>
      <c r="AX39" s="2">
        <f t="shared" si="30"/>
        <v>0</v>
      </c>
      <c r="AY39" s="2">
        <f>IF(33&gt;$AZ$300,0,IFERROR(MATCH(33,$AZ$1:$AZ$300,0),0))</f>
        <v>0</v>
      </c>
      <c r="AZ39" s="2">
        <f>SUM(CA1:CA39)</f>
        <v>28</v>
      </c>
      <c r="BA39" s="2">
        <f>SUM(CB1:CB39)</f>
        <v>8</v>
      </c>
      <c r="BB39" s="2">
        <f>SUM(CC1:CC39)</f>
        <v>8</v>
      </c>
      <c r="BC39" s="2">
        <f>SUM(CD1:CD39)</f>
        <v>0</v>
      </c>
      <c r="BD39" s="2">
        <f>IF(AND($C$130&lt;&gt;"",资金流水!$J$43=$C$130,ISNUMBER(资金流水!$B$43),ISNUMBER(资金流水!$S$43),资金流水!$S$43&gt;=_辅助!$J$4,资金流水!$S$43&lt;=_辅助!$J$2,OR(资金流水!$X$43="应付材料款",资金流水!$X$43="应付分包款",资金流水!$X$43="应付机械运输费",资金流水!$X$43="应付其他款")),INT(资金流水!$B$43)*10000+38,"")</f>
      </c>
      <c r="BE39" s="2">
        <f>SUM(CE1:CE39)</f>
        <v>0</v>
      </c>
      <c r="CA39" s="2">
        <f>IF(AND(OR(_余额!$B$41="材料供应商",_余额!$B$41="分包",_余额!$B$41="机械运输",_余额!$B$41="其他"),OR($C$3="全部",_余额!$B$41=$C$3),OR(_余额!$G$41&lt;&gt;0,_余额!$H$41&lt;&gt;0)),1,0)</f>
        <v>1</v>
      </c>
      <c r="CB39" s="2">
        <f>IF(AND(项目档案!$B$42&lt;&gt;"",SUMIFS(期初余额!$R$5:$R$204,期初余额!$Q$5:$Q$204,项目档案!$B$42,期初余额!$V$5:$V$204,IF($C$3="全部","*",$C$3))+SUMIFS(应付登记!$G$5:$G$1004,应付登记!$E$5:$E$1004,项目档案!$B$42,应付登记!$L$5:$L$1004,IF($C$3="全部","*",$C$3),应付登记!$J$5:$J$1004,"&gt;="&amp;_辅助!$J$4,应付登记!$J$5:$J$1004,"&lt;="&amp;_辅助!$J$2)&lt;&gt;0),1,0)</f>
        <v>0</v>
      </c>
      <c r="CC39" s="2">
        <f>IF(AND($C$130&lt;&gt;"",期初余额!$P$43=$C$130),1,0)</f>
        <v>0</v>
      </c>
      <c r="CD39" s="2">
        <f>IF(($C$130&lt;&gt;"")*(应付登记!$D$43=$C$130)*ISNUMBER(应付登记!$J$43)*(应付登记!$J$43&gt;=_辅助!$J$4)*(应付登记!$J$43&lt;=_辅助!$J$2),1,0)</f>
        <v>0</v>
      </c>
      <c r="CE39" s="2">
        <f>IF(($C$130&lt;&gt;"")*(代发抵账!$E$43=$C$130)*(代发抵账!$D$43="总包代付材料分包款")*ISNUMBER(代发抵账!$H$43)*(代发抵账!$H$43&lt;=_辅助!$J$2),1,0)</f>
        <v>0</v>
      </c>
    </row>
    <row r="40">
      <c r="A40" s="94">
        <f>IF($AY40=0,"",34)</f>
      </c>
      <c r="B40" s="96">
        <f t="shared" si="24"/>
      </c>
      <c r="C40" s="94">
        <f t="shared" si="26"/>
      </c>
      <c r="D40" s="21">
        <f t="shared" si="0"/>
      </c>
      <c r="E40" s="21">
        <f t="shared" si="3"/>
      </c>
      <c r="F40" s="21">
        <f t="shared" si="5"/>
      </c>
      <c r="G40" s="22">
        <f t="shared" si="2"/>
      </c>
      <c r="H40" s="21">
        <f t="shared" si="6"/>
      </c>
      <c r="I40" s="21">
        <f t="shared" si="8"/>
      </c>
      <c r="J40" s="95">
        <f t="shared" si="28"/>
      </c>
      <c r="K40" s="21">
        <f t="shared" si="10"/>
      </c>
      <c r="L40" s="21">
        <f t="shared" si="12"/>
      </c>
      <c r="M40" s="21">
        <f t="shared" si="13"/>
      </c>
      <c r="N40" s="21">
        <f t="shared" si="14"/>
      </c>
      <c r="O40" s="21">
        <f t="shared" si="15"/>
      </c>
      <c r="P40" s="21">
        <f t="shared" si="16"/>
      </c>
      <c r="Q40" s="21">
        <f t="shared" si="17"/>
      </c>
      <c r="R40" s="21">
        <f t="shared" si="18"/>
      </c>
      <c r="S40" s="21">
        <f t="shared" si="19"/>
      </c>
      <c r="T40" s="21">
        <f t="shared" si="20"/>
      </c>
      <c r="U40" s="21">
        <f t="shared" si="21"/>
      </c>
      <c r="V40" s="21">
        <f t="shared" si="22"/>
      </c>
      <c r="W40" s="21">
        <f t="shared" si="23"/>
      </c>
      <c r="AX40" s="2">
        <f t="shared" si="30"/>
        <v>0</v>
      </c>
      <c r="AY40" s="2">
        <f>IF(34&gt;$AZ$300,0,IFERROR(MATCH(34,$AZ$1:$AZ$300,0),0))</f>
        <v>0</v>
      </c>
      <c r="AZ40" s="2">
        <f>SUM(CA1:CA40)</f>
        <v>29</v>
      </c>
      <c r="BA40" s="2">
        <f>SUM(CB1:CB40)</f>
        <v>8</v>
      </c>
      <c r="BB40" s="2">
        <f>SUM(CC1:CC40)</f>
        <v>8</v>
      </c>
      <c r="BC40" s="2">
        <f>SUM(CD1:CD40)</f>
        <v>0</v>
      </c>
      <c r="BD40" s="2">
        <f>IF(AND($C$130&lt;&gt;"",资金流水!$J$44=$C$130,ISNUMBER(资金流水!$B$44),ISNUMBER(资金流水!$S$44),资金流水!$S$44&gt;=_辅助!$J$4,资金流水!$S$44&lt;=_辅助!$J$2,OR(资金流水!$X$44="应付材料款",资金流水!$X$44="应付分包款",资金流水!$X$44="应付机械运输费",资金流水!$X$44="应付其他款")),INT(资金流水!$B$44)*10000+39,"")</f>
      </c>
      <c r="BE40" s="2">
        <f>SUM(CE1:CE40)</f>
        <v>0</v>
      </c>
      <c r="CA40" s="2">
        <f>IF(AND(OR(_余额!$B$42="材料供应商",_余额!$B$42="分包",_余额!$B$42="机械运输",_余额!$B$42="其他"),OR($C$3="全部",_余额!$B$42=$C$3),OR(_余额!$G$42&lt;&gt;0,_余额!$H$42&lt;&gt;0)),1,0)</f>
        <v>1</v>
      </c>
      <c r="CB40" s="2">
        <f>IF(AND(项目档案!$B$43&lt;&gt;"",SUMIFS(期初余额!$R$5:$R$204,期初余额!$Q$5:$Q$204,项目档案!$B$43,期初余额!$V$5:$V$204,IF($C$3="全部","*",$C$3))+SUMIFS(应付登记!$G$5:$G$1004,应付登记!$E$5:$E$1004,项目档案!$B$43,应付登记!$L$5:$L$1004,IF($C$3="全部","*",$C$3),应付登记!$J$5:$J$1004,"&gt;="&amp;_辅助!$J$4,应付登记!$J$5:$J$1004,"&lt;="&amp;_辅助!$J$2)&lt;&gt;0),1,0)</f>
        <v>0</v>
      </c>
      <c r="CC40" s="2">
        <f>IF(AND($C$130&lt;&gt;"",期初余额!$P$44=$C$130),1,0)</f>
        <v>0</v>
      </c>
      <c r="CD40" s="2">
        <f>IF(($C$130&lt;&gt;"")*(应付登记!$D$44=$C$130)*ISNUMBER(应付登记!$J$44)*(应付登记!$J$44&gt;=_辅助!$J$4)*(应付登记!$J$44&lt;=_辅助!$J$2),1,0)</f>
        <v>0</v>
      </c>
      <c r="CE40" s="2">
        <f>IF(($C$130&lt;&gt;"")*(代发抵账!$E$44=$C$130)*(代发抵账!$D$44="总包代付材料分包款")*ISNUMBER(代发抵账!$H$44)*(代发抵账!$H$44&lt;=_辅助!$J$2),1,0)</f>
        <v>0</v>
      </c>
    </row>
    <row r="41">
      <c r="A41" s="94">
        <f>IF($AY41=0,"",35)</f>
      </c>
      <c r="B41" s="96">
        <f t="shared" si="24"/>
      </c>
      <c r="C41" s="94">
        <f t="shared" si="26"/>
      </c>
      <c r="D41" s="21">
        <f t="shared" si="0"/>
      </c>
      <c r="E41" s="21">
        <f t="shared" si="3"/>
      </c>
      <c r="F41" s="21">
        <f t="shared" si="5"/>
      </c>
      <c r="G41" s="22">
        <f t="shared" si="2"/>
      </c>
      <c r="H41" s="21">
        <f t="shared" si="6"/>
      </c>
      <c r="I41" s="21">
        <f t="shared" si="8"/>
      </c>
      <c r="J41" s="95">
        <f t="shared" si="28"/>
      </c>
      <c r="K41" s="21">
        <f t="shared" si="10"/>
      </c>
      <c r="L41" s="21">
        <f t="shared" si="12"/>
      </c>
      <c r="M41" s="21">
        <f t="shared" si="13"/>
      </c>
      <c r="N41" s="21">
        <f t="shared" si="14"/>
      </c>
      <c r="O41" s="21">
        <f t="shared" si="15"/>
      </c>
      <c r="P41" s="21">
        <f t="shared" si="16"/>
      </c>
      <c r="Q41" s="21">
        <f t="shared" si="17"/>
      </c>
      <c r="R41" s="21">
        <f t="shared" si="18"/>
      </c>
      <c r="S41" s="21">
        <f t="shared" si="19"/>
      </c>
      <c r="T41" s="21">
        <f t="shared" si="20"/>
      </c>
      <c r="U41" s="21">
        <f t="shared" si="21"/>
      </c>
      <c r="V41" s="21">
        <f t="shared" si="22"/>
      </c>
      <c r="W41" s="21">
        <f t="shared" si="23"/>
      </c>
      <c r="AX41" s="2">
        <f t="shared" si="30"/>
        <v>0</v>
      </c>
      <c r="AY41" s="2">
        <f>IF(35&gt;$AZ$300,0,IFERROR(MATCH(35,$AZ$1:$AZ$300,0),0))</f>
        <v>0</v>
      </c>
      <c r="AZ41" s="2">
        <f>SUM(CA1:CA41)</f>
        <v>29</v>
      </c>
      <c r="BA41" s="2">
        <f>SUM(CB1:CB41)</f>
        <v>8</v>
      </c>
      <c r="BB41" s="2">
        <f>SUM(CC1:CC41)</f>
        <v>8</v>
      </c>
      <c r="BC41" s="2">
        <f>SUM(CD1:CD41)</f>
        <v>0</v>
      </c>
      <c r="BD41" s="2">
        <f>IF(AND($C$130&lt;&gt;"",资金流水!$J$45=$C$130,ISNUMBER(资金流水!$B$45),ISNUMBER(资金流水!$S$45),资金流水!$S$45&gt;=_辅助!$J$4,资金流水!$S$45&lt;=_辅助!$J$2,OR(资金流水!$X$45="应付材料款",资金流水!$X$45="应付分包款",资金流水!$X$45="应付机械运输费",资金流水!$X$45="应付其他款")),INT(资金流水!$B$45)*10000+40,"")</f>
      </c>
      <c r="BE41" s="2">
        <f>SUM(CE1:CE41)</f>
        <v>0</v>
      </c>
      <c r="CA41" s="2">
        <f>IF(AND(OR(_余额!$B$43="材料供应商",_余额!$B$43="分包",_余额!$B$43="机械运输",_余额!$B$43="其他"),OR($C$3="全部",_余额!$B$43=$C$3),OR(_余额!$G$43&lt;&gt;0,_余额!$H$43&lt;&gt;0)),1,0)</f>
        <v>0</v>
      </c>
      <c r="CB41" s="2">
        <f>IF(AND(项目档案!$B$44&lt;&gt;"",SUMIFS(期初余额!$R$5:$R$204,期初余额!$Q$5:$Q$204,项目档案!$B$44,期初余额!$V$5:$V$204,IF($C$3="全部","*",$C$3))+SUMIFS(应付登记!$G$5:$G$1004,应付登记!$E$5:$E$1004,项目档案!$B$44,应付登记!$L$5:$L$1004,IF($C$3="全部","*",$C$3),应付登记!$J$5:$J$1004,"&gt;="&amp;_辅助!$J$4,应付登记!$J$5:$J$1004,"&lt;="&amp;_辅助!$J$2)&lt;&gt;0),1,0)</f>
        <v>0</v>
      </c>
      <c r="CC41" s="2">
        <f>IF(AND($C$130&lt;&gt;"",期初余额!$P$45=$C$130),1,0)</f>
        <v>0</v>
      </c>
      <c r="CD41" s="2">
        <f>IF(($C$130&lt;&gt;"")*(应付登记!$D$45=$C$130)*ISNUMBER(应付登记!$J$45)*(应付登记!$J$45&gt;=_辅助!$J$4)*(应付登记!$J$45&lt;=_辅助!$J$2),1,0)</f>
        <v>0</v>
      </c>
      <c r="CE41" s="2">
        <f>IF(($C$130&lt;&gt;"")*(代发抵账!$E$45=$C$130)*(代发抵账!$D$45="总包代付材料分包款")*ISNUMBER(代发抵账!$H$45)*(代发抵账!$H$45&lt;=_辅助!$J$2),1,0)</f>
        <v>0</v>
      </c>
    </row>
    <row r="42">
      <c r="A42" s="94">
        <f>IF($AY42=0,"",36)</f>
      </c>
      <c r="B42" s="96">
        <f t="shared" si="24"/>
      </c>
      <c r="C42" s="94">
        <f t="shared" si="26"/>
      </c>
      <c r="D42" s="21">
        <f t="shared" si="0"/>
      </c>
      <c r="E42" s="21">
        <f t="shared" si="3"/>
      </c>
      <c r="F42" s="21">
        <f t="shared" si="5"/>
      </c>
      <c r="G42" s="22">
        <f t="shared" si="2"/>
      </c>
      <c r="H42" s="21">
        <f t="shared" si="6"/>
      </c>
      <c r="I42" s="21">
        <f t="shared" si="8"/>
      </c>
      <c r="J42" s="95">
        <f t="shared" si="28"/>
      </c>
      <c r="K42" s="21">
        <f t="shared" si="10"/>
      </c>
      <c r="L42" s="21">
        <f t="shared" si="12"/>
      </c>
      <c r="M42" s="21">
        <f t="shared" si="13"/>
      </c>
      <c r="N42" s="21">
        <f t="shared" si="14"/>
      </c>
      <c r="O42" s="21">
        <f t="shared" si="15"/>
      </c>
      <c r="P42" s="21">
        <f t="shared" si="16"/>
      </c>
      <c r="Q42" s="21">
        <f t="shared" si="17"/>
      </c>
      <c r="R42" s="21">
        <f t="shared" si="18"/>
      </c>
      <c r="S42" s="21">
        <f t="shared" si="19"/>
      </c>
      <c r="T42" s="21">
        <f t="shared" si="20"/>
      </c>
      <c r="U42" s="21">
        <f t="shared" si="21"/>
      </c>
      <c r="V42" s="21">
        <f t="shared" si="22"/>
      </c>
      <c r="W42" s="21">
        <f t="shared" si="23"/>
      </c>
      <c r="AX42" s="2">
        <f t="shared" si="30"/>
        <v>0</v>
      </c>
      <c r="AY42" s="2">
        <f>IF(36&gt;$AZ$300,0,IFERROR(MATCH(36,$AZ$1:$AZ$300,0),0))</f>
        <v>0</v>
      </c>
      <c r="AZ42" s="2">
        <f>SUM(CA1:CA42)</f>
        <v>29</v>
      </c>
      <c r="BA42" s="2">
        <f>SUM(CB1:CB42)</f>
        <v>8</v>
      </c>
      <c r="BB42" s="2">
        <f>SUM(CC1:CC42)</f>
        <v>8</v>
      </c>
      <c r="BC42" s="2">
        <f>SUM(CD1:CD42)</f>
        <v>0</v>
      </c>
      <c r="BD42" s="2">
        <f>IF(AND($C$130&lt;&gt;"",资金流水!$J$46=$C$130,ISNUMBER(资金流水!$B$46),ISNUMBER(资金流水!$S$46),资金流水!$S$46&gt;=_辅助!$J$4,资金流水!$S$46&lt;=_辅助!$J$2,OR(资金流水!$X$46="应付材料款",资金流水!$X$46="应付分包款",资金流水!$X$46="应付机械运输费",资金流水!$X$46="应付其他款")),INT(资金流水!$B$46)*10000+41,"")</f>
      </c>
      <c r="BE42" s="2">
        <f>SUM(CE1:CE42)</f>
        <v>0</v>
      </c>
      <c r="CA42" s="2">
        <f>IF(AND(OR(_余额!$B$44="材料供应商",_余额!$B$44="分包",_余额!$B$44="机械运输",_余额!$B$44="其他"),OR($C$3="全部",_余额!$B$44=$C$3),OR(_余额!$G$44&lt;&gt;0,_余额!$H$44&lt;&gt;0)),1,0)</f>
        <v>0</v>
      </c>
      <c r="CB42" s="2">
        <f>IF(AND(项目档案!$B$45&lt;&gt;"",SUMIFS(期初余额!$R$5:$R$204,期初余额!$Q$5:$Q$204,项目档案!$B$45,期初余额!$V$5:$V$204,IF($C$3="全部","*",$C$3))+SUMIFS(应付登记!$G$5:$G$1004,应付登记!$E$5:$E$1004,项目档案!$B$45,应付登记!$L$5:$L$1004,IF($C$3="全部","*",$C$3),应付登记!$J$5:$J$1004,"&gt;="&amp;_辅助!$J$4,应付登记!$J$5:$J$1004,"&lt;="&amp;_辅助!$J$2)&lt;&gt;0),1,0)</f>
        <v>0</v>
      </c>
      <c r="CC42" s="2">
        <f>IF(AND($C$130&lt;&gt;"",期初余额!$P$46=$C$130),1,0)</f>
        <v>0</v>
      </c>
      <c r="CD42" s="2">
        <f>IF(($C$130&lt;&gt;"")*(应付登记!$D$46=$C$130)*ISNUMBER(应付登记!$J$46)*(应付登记!$J$46&gt;=_辅助!$J$4)*(应付登记!$J$46&lt;=_辅助!$J$2),1,0)</f>
        <v>0</v>
      </c>
      <c r="CE42" s="2">
        <f>IF(($C$130&lt;&gt;"")*(代发抵账!$E$46=$C$130)*(代发抵账!$D$46="总包代付材料分包款")*ISNUMBER(代发抵账!$H$46)*(代发抵账!$H$46&lt;=_辅助!$J$2),1,0)</f>
        <v>0</v>
      </c>
    </row>
    <row r="43">
      <c r="A43" s="94">
        <f>IF($AY43=0,"",37)</f>
      </c>
      <c r="B43" s="96">
        <f t="shared" si="24"/>
      </c>
      <c r="C43" s="94">
        <f t="shared" si="26"/>
      </c>
      <c r="D43" s="21">
        <f t="shared" si="0"/>
      </c>
      <c r="E43" s="21">
        <f t="shared" si="3"/>
      </c>
      <c r="F43" s="21">
        <f t="shared" si="5"/>
      </c>
      <c r="G43" s="22">
        <f t="shared" si="2"/>
      </c>
      <c r="H43" s="21">
        <f t="shared" si="6"/>
      </c>
      <c r="I43" s="21">
        <f t="shared" si="8"/>
      </c>
      <c r="J43" s="95">
        <f t="shared" si="28"/>
      </c>
      <c r="K43" s="21">
        <f t="shared" si="10"/>
      </c>
      <c r="L43" s="21">
        <f t="shared" si="12"/>
      </c>
      <c r="M43" s="21">
        <f t="shared" si="13"/>
      </c>
      <c r="N43" s="21">
        <f t="shared" si="14"/>
      </c>
      <c r="O43" s="21">
        <f t="shared" si="15"/>
      </c>
      <c r="P43" s="21">
        <f t="shared" si="16"/>
      </c>
      <c r="Q43" s="21">
        <f t="shared" si="17"/>
      </c>
      <c r="R43" s="21">
        <f t="shared" si="18"/>
      </c>
      <c r="S43" s="21">
        <f t="shared" si="19"/>
      </c>
      <c r="T43" s="21">
        <f t="shared" si="20"/>
      </c>
      <c r="U43" s="21">
        <f t="shared" si="21"/>
      </c>
      <c r="V43" s="21">
        <f t="shared" si="22"/>
      </c>
      <c r="W43" s="21">
        <f t="shared" si="23"/>
      </c>
      <c r="AX43" s="2">
        <f t="shared" si="30"/>
        <v>0</v>
      </c>
      <c r="AY43" s="2">
        <f>IF(37&gt;$AZ$300,0,IFERROR(MATCH(37,$AZ$1:$AZ$300,0),0))</f>
        <v>0</v>
      </c>
      <c r="AZ43" s="2">
        <f>SUM(CA1:CA43)</f>
        <v>29</v>
      </c>
      <c r="BA43" s="2">
        <f>SUM(CB1:CB43)</f>
        <v>8</v>
      </c>
      <c r="BB43" s="2">
        <f>SUM(CC1:CC43)</f>
        <v>8</v>
      </c>
      <c r="BC43" s="2">
        <f>SUM(CD1:CD43)</f>
        <v>0</v>
      </c>
      <c r="BD43" s="2">
        <f>IF(AND($C$130&lt;&gt;"",资金流水!$J$47=$C$130,ISNUMBER(资金流水!$B$47),ISNUMBER(资金流水!$S$47),资金流水!$S$47&gt;=_辅助!$J$4,资金流水!$S$47&lt;=_辅助!$J$2,OR(资金流水!$X$47="应付材料款",资金流水!$X$47="应付分包款",资金流水!$X$47="应付机械运输费",资金流水!$X$47="应付其他款")),INT(资金流水!$B$47)*10000+42,"")</f>
      </c>
      <c r="BE43" s="2">
        <f>SUM(CE1:CE43)</f>
        <v>0</v>
      </c>
      <c r="CA43" s="2">
        <f>IF(AND(OR(_余额!$B$45="材料供应商",_余额!$B$45="分包",_余额!$B$45="机械运输",_余额!$B$45="其他"),OR($C$3="全部",_余额!$B$45=$C$3),OR(_余额!$G$45&lt;&gt;0,_余额!$H$45&lt;&gt;0)),1,0)</f>
        <v>0</v>
      </c>
      <c r="CB43" s="2">
        <f>IF(AND(项目档案!$B$46&lt;&gt;"",SUMIFS(期初余额!$R$5:$R$204,期初余额!$Q$5:$Q$204,项目档案!$B$46,期初余额!$V$5:$V$204,IF($C$3="全部","*",$C$3))+SUMIFS(应付登记!$G$5:$G$1004,应付登记!$E$5:$E$1004,项目档案!$B$46,应付登记!$L$5:$L$1004,IF($C$3="全部","*",$C$3),应付登记!$J$5:$J$1004,"&gt;="&amp;_辅助!$J$4,应付登记!$J$5:$J$1004,"&lt;="&amp;_辅助!$J$2)&lt;&gt;0),1,0)</f>
        <v>0</v>
      </c>
      <c r="CC43" s="2">
        <f>IF(AND($C$130&lt;&gt;"",期初余额!$P$47=$C$130),1,0)</f>
        <v>0</v>
      </c>
      <c r="CD43" s="2">
        <f>IF(($C$130&lt;&gt;"")*(应付登记!$D$47=$C$130)*ISNUMBER(应付登记!$J$47)*(应付登记!$J$47&gt;=_辅助!$J$4)*(应付登记!$J$47&lt;=_辅助!$J$2),1,0)</f>
        <v>0</v>
      </c>
      <c r="CE43" s="2">
        <f>IF(($C$130&lt;&gt;"")*(代发抵账!$E$47=$C$130)*(代发抵账!$D$47="总包代付材料分包款")*ISNUMBER(代发抵账!$H$47)*(代发抵账!$H$47&lt;=_辅助!$J$2),1,0)</f>
        <v>0</v>
      </c>
    </row>
    <row r="44">
      <c r="A44" s="94">
        <f>IF($AY44=0,"",38)</f>
      </c>
      <c r="B44" s="96">
        <f t="shared" si="24"/>
      </c>
      <c r="C44" s="94">
        <f t="shared" si="26"/>
      </c>
      <c r="D44" s="21">
        <f t="shared" si="0"/>
      </c>
      <c r="E44" s="21">
        <f t="shared" si="3"/>
      </c>
      <c r="F44" s="21">
        <f t="shared" si="5"/>
      </c>
      <c r="G44" s="22">
        <f t="shared" si="2"/>
      </c>
      <c r="H44" s="21">
        <f t="shared" si="6"/>
      </c>
      <c r="I44" s="21">
        <f t="shared" si="8"/>
      </c>
      <c r="J44" s="95">
        <f t="shared" si="28"/>
      </c>
      <c r="K44" s="21">
        <f t="shared" si="10"/>
      </c>
      <c r="L44" s="21">
        <f t="shared" si="12"/>
      </c>
      <c r="M44" s="21">
        <f t="shared" si="13"/>
      </c>
      <c r="N44" s="21">
        <f t="shared" si="14"/>
      </c>
      <c r="O44" s="21">
        <f t="shared" si="15"/>
      </c>
      <c r="P44" s="21">
        <f t="shared" si="16"/>
      </c>
      <c r="Q44" s="21">
        <f t="shared" si="17"/>
      </c>
      <c r="R44" s="21">
        <f t="shared" si="18"/>
      </c>
      <c r="S44" s="21">
        <f t="shared" si="19"/>
      </c>
      <c r="T44" s="21">
        <f t="shared" si="20"/>
      </c>
      <c r="U44" s="21">
        <f t="shared" si="21"/>
      </c>
      <c r="V44" s="21">
        <f t="shared" si="22"/>
      </c>
      <c r="W44" s="21">
        <f t="shared" si="23"/>
      </c>
      <c r="AX44" s="2">
        <f t="shared" si="30"/>
        <v>0</v>
      </c>
      <c r="AY44" s="2">
        <f>IF(38&gt;$AZ$300,0,IFERROR(MATCH(38,$AZ$1:$AZ$300,0),0))</f>
        <v>0</v>
      </c>
      <c r="AZ44" s="2">
        <f>SUM(CA1:CA44)</f>
        <v>29</v>
      </c>
      <c r="BA44" s="2">
        <f>SUM(CB1:CB44)</f>
        <v>8</v>
      </c>
      <c r="BB44" s="2">
        <f>SUM(CC1:CC44)</f>
        <v>8</v>
      </c>
      <c r="BC44" s="2">
        <f>SUM(CD1:CD44)</f>
        <v>0</v>
      </c>
      <c r="BD44" s="2">
        <f>IF(AND($C$130&lt;&gt;"",资金流水!$J$48=$C$130,ISNUMBER(资金流水!$B$48),ISNUMBER(资金流水!$S$48),资金流水!$S$48&gt;=_辅助!$J$4,资金流水!$S$48&lt;=_辅助!$J$2,OR(资金流水!$X$48="应付材料款",资金流水!$X$48="应付分包款",资金流水!$X$48="应付机械运输费",资金流水!$X$48="应付其他款")),INT(资金流水!$B$48)*10000+43,"")</f>
      </c>
      <c r="BE44" s="2">
        <f>SUM(CE1:CE44)</f>
        <v>0</v>
      </c>
      <c r="CA44" s="2">
        <f>IF(AND(OR(_余额!$B$46="材料供应商",_余额!$B$46="分包",_余额!$B$46="机械运输",_余额!$B$46="其他"),OR($C$3="全部",_余额!$B$46=$C$3),OR(_余额!$G$46&lt;&gt;0,_余额!$H$46&lt;&gt;0)),1,0)</f>
        <v>0</v>
      </c>
      <c r="CB44" s="2">
        <f>IF(AND(项目档案!$B$47&lt;&gt;"",SUMIFS(期初余额!$R$5:$R$204,期初余额!$Q$5:$Q$204,项目档案!$B$47,期初余额!$V$5:$V$204,IF($C$3="全部","*",$C$3))+SUMIFS(应付登记!$G$5:$G$1004,应付登记!$E$5:$E$1004,项目档案!$B$47,应付登记!$L$5:$L$1004,IF($C$3="全部","*",$C$3),应付登记!$J$5:$J$1004,"&gt;="&amp;_辅助!$J$4,应付登记!$J$5:$J$1004,"&lt;="&amp;_辅助!$J$2)&lt;&gt;0),1,0)</f>
        <v>0</v>
      </c>
      <c r="CC44" s="2">
        <f>IF(AND($C$130&lt;&gt;"",期初余额!$P$48=$C$130),1,0)</f>
        <v>0</v>
      </c>
      <c r="CD44" s="2">
        <f>IF(($C$130&lt;&gt;"")*(应付登记!$D$48=$C$130)*ISNUMBER(应付登记!$J$48)*(应付登记!$J$48&gt;=_辅助!$J$4)*(应付登记!$J$48&lt;=_辅助!$J$2),1,0)</f>
        <v>0</v>
      </c>
      <c r="CE44" s="2">
        <f>IF(($C$130&lt;&gt;"")*(代发抵账!$E$48=$C$130)*(代发抵账!$D$48="总包代付材料分包款")*ISNUMBER(代发抵账!$H$48)*(代发抵账!$H$48&lt;=_辅助!$J$2),1,0)</f>
        <v>0</v>
      </c>
    </row>
    <row r="45">
      <c r="A45" s="94">
        <f>IF($AY45=0,"",39)</f>
      </c>
      <c r="B45" s="96">
        <f t="shared" si="24"/>
      </c>
      <c r="C45" s="94">
        <f t="shared" si="26"/>
      </c>
      <c r="D45" s="21">
        <f t="shared" si="0"/>
      </c>
      <c r="E45" s="21">
        <f t="shared" si="3"/>
      </c>
      <c r="F45" s="21">
        <f t="shared" si="5"/>
      </c>
      <c r="G45" s="22">
        <f t="shared" si="2"/>
      </c>
      <c r="H45" s="21">
        <f t="shared" si="6"/>
      </c>
      <c r="I45" s="21">
        <f t="shared" si="8"/>
      </c>
      <c r="J45" s="95">
        <f t="shared" si="28"/>
      </c>
      <c r="K45" s="21">
        <f t="shared" si="10"/>
      </c>
      <c r="L45" s="21">
        <f t="shared" si="12"/>
      </c>
      <c r="M45" s="21">
        <f t="shared" si="13"/>
      </c>
      <c r="N45" s="21">
        <f t="shared" si="14"/>
      </c>
      <c r="O45" s="21">
        <f t="shared" si="15"/>
      </c>
      <c r="P45" s="21">
        <f t="shared" si="16"/>
      </c>
      <c r="Q45" s="21">
        <f t="shared" si="17"/>
      </c>
      <c r="R45" s="21">
        <f t="shared" si="18"/>
      </c>
      <c r="S45" s="21">
        <f t="shared" si="19"/>
      </c>
      <c r="T45" s="21">
        <f t="shared" si="20"/>
      </c>
      <c r="U45" s="21">
        <f t="shared" si="21"/>
      </c>
      <c r="V45" s="21">
        <f t="shared" si="22"/>
      </c>
      <c r="W45" s="21">
        <f t="shared" si="23"/>
      </c>
      <c r="AX45" s="2">
        <f t="shared" si="30"/>
        <v>0</v>
      </c>
      <c r="AY45" s="2">
        <f>IF(39&gt;$AZ$300,0,IFERROR(MATCH(39,$AZ$1:$AZ$300,0),0))</f>
        <v>0</v>
      </c>
      <c r="AZ45" s="2">
        <f>SUM(CA1:CA45)</f>
        <v>29</v>
      </c>
      <c r="BA45" s="2">
        <f>SUM(CB1:CB45)</f>
        <v>8</v>
      </c>
      <c r="BB45" s="2">
        <f>SUM(CC1:CC45)</f>
        <v>8</v>
      </c>
      <c r="BC45" s="2">
        <f>SUM(CD1:CD45)</f>
        <v>0</v>
      </c>
      <c r="BD45" s="2">
        <f>IF(AND($C$130&lt;&gt;"",资金流水!$J$49=$C$130,ISNUMBER(资金流水!$B$49),ISNUMBER(资金流水!$S$49),资金流水!$S$49&gt;=_辅助!$J$4,资金流水!$S$49&lt;=_辅助!$J$2,OR(资金流水!$X$49="应付材料款",资金流水!$X$49="应付分包款",资金流水!$X$49="应付机械运输费",资金流水!$X$49="应付其他款")),INT(资金流水!$B$49)*10000+44,"")</f>
      </c>
      <c r="BE45" s="2">
        <f>SUM(CE1:CE45)</f>
        <v>0</v>
      </c>
      <c r="CA45" s="2">
        <f>IF(AND(OR(_余额!$B$47="材料供应商",_余额!$B$47="分包",_余额!$B$47="机械运输",_余额!$B$47="其他"),OR($C$3="全部",_余额!$B$47=$C$3),OR(_余额!$G$47&lt;&gt;0,_余额!$H$47&lt;&gt;0)),1,0)</f>
        <v>0</v>
      </c>
      <c r="CB45" s="2">
        <f>IF(AND(项目档案!$B$48&lt;&gt;"",SUMIFS(期初余额!$R$5:$R$204,期初余额!$Q$5:$Q$204,项目档案!$B$48,期初余额!$V$5:$V$204,IF($C$3="全部","*",$C$3))+SUMIFS(应付登记!$G$5:$G$1004,应付登记!$E$5:$E$1004,项目档案!$B$48,应付登记!$L$5:$L$1004,IF($C$3="全部","*",$C$3),应付登记!$J$5:$J$1004,"&gt;="&amp;_辅助!$J$4,应付登记!$J$5:$J$1004,"&lt;="&amp;_辅助!$J$2)&lt;&gt;0),1,0)</f>
        <v>0</v>
      </c>
      <c r="CC45" s="2">
        <f>IF(AND($C$130&lt;&gt;"",期初余额!$P$49=$C$130),1,0)</f>
        <v>0</v>
      </c>
      <c r="CD45" s="2">
        <f>IF(($C$130&lt;&gt;"")*(应付登记!$D$49=$C$130)*ISNUMBER(应付登记!$J$49)*(应付登记!$J$49&gt;=_辅助!$J$4)*(应付登记!$J$49&lt;=_辅助!$J$2),1,0)</f>
        <v>0</v>
      </c>
      <c r="CE45" s="2">
        <f>IF(($C$130&lt;&gt;"")*(代发抵账!$E$49=$C$130)*(代发抵账!$D$49="总包代付材料分包款")*ISNUMBER(代发抵账!$H$49)*(代发抵账!$H$49&lt;=_辅助!$J$2),1,0)</f>
        <v>0</v>
      </c>
    </row>
    <row r="46">
      <c r="A46" s="94">
        <f>IF($AY46=0,"",40)</f>
      </c>
      <c r="B46" s="96">
        <f t="shared" si="24"/>
      </c>
      <c r="C46" s="94">
        <f t="shared" si="26"/>
      </c>
      <c r="D46" s="21">
        <f t="shared" si="0"/>
      </c>
      <c r="E46" s="21">
        <f t="shared" si="3"/>
      </c>
      <c r="F46" s="21">
        <f t="shared" si="5"/>
      </c>
      <c r="G46" s="22">
        <f t="shared" si="2"/>
      </c>
      <c r="H46" s="21">
        <f t="shared" si="6"/>
      </c>
      <c r="I46" s="21">
        <f t="shared" si="8"/>
      </c>
      <c r="J46" s="95">
        <f t="shared" si="28"/>
      </c>
      <c r="K46" s="21">
        <f t="shared" si="10"/>
      </c>
      <c r="L46" s="21">
        <f t="shared" si="12"/>
      </c>
      <c r="M46" s="21">
        <f t="shared" si="13"/>
      </c>
      <c r="N46" s="21">
        <f t="shared" si="14"/>
      </c>
      <c r="O46" s="21">
        <f t="shared" si="15"/>
      </c>
      <c r="P46" s="21">
        <f t="shared" si="16"/>
      </c>
      <c r="Q46" s="21">
        <f t="shared" si="17"/>
      </c>
      <c r="R46" s="21">
        <f t="shared" si="18"/>
      </c>
      <c r="S46" s="21">
        <f t="shared" si="19"/>
      </c>
      <c r="T46" s="21">
        <f t="shared" si="20"/>
      </c>
      <c r="U46" s="21">
        <f t="shared" si="21"/>
      </c>
      <c r="V46" s="21">
        <f t="shared" si="22"/>
      </c>
      <c r="W46" s="21">
        <f t="shared" si="23"/>
      </c>
      <c r="AX46" s="2">
        <f t="shared" si="30"/>
        <v>0</v>
      </c>
      <c r="AY46" s="2">
        <f>IF(40&gt;$AZ$300,0,IFERROR(MATCH(40,$AZ$1:$AZ$300,0),0))</f>
        <v>0</v>
      </c>
      <c r="AZ46" s="2">
        <f>SUM(CA1:CA46)</f>
        <v>29</v>
      </c>
      <c r="BA46" s="2">
        <f>SUM(CB1:CB46)</f>
        <v>8</v>
      </c>
      <c r="BB46" s="2">
        <f>SUM(CC1:CC46)</f>
        <v>8</v>
      </c>
      <c r="BC46" s="2">
        <f>SUM(CD1:CD46)</f>
        <v>0</v>
      </c>
      <c r="BD46" s="2">
        <f>IF(AND($C$130&lt;&gt;"",资金流水!$J$50=$C$130,ISNUMBER(资金流水!$B$50),ISNUMBER(资金流水!$S$50),资金流水!$S$50&gt;=_辅助!$J$4,资金流水!$S$50&lt;=_辅助!$J$2,OR(资金流水!$X$50="应付材料款",资金流水!$X$50="应付分包款",资金流水!$X$50="应付机械运输费",资金流水!$X$50="应付其他款")),INT(资金流水!$B$50)*10000+45,"")</f>
      </c>
      <c r="BE46" s="2">
        <f>SUM(CE1:CE46)</f>
        <v>0</v>
      </c>
      <c r="CA46" s="2">
        <f>IF(AND(OR(_余额!$B$48="材料供应商",_余额!$B$48="分包",_余额!$B$48="机械运输",_余额!$B$48="其他"),OR($C$3="全部",_余额!$B$48=$C$3),OR(_余额!$G$48&lt;&gt;0,_余额!$H$48&lt;&gt;0)),1,0)</f>
        <v>0</v>
      </c>
      <c r="CB46" s="2">
        <f>IF(AND(项目档案!$B$49&lt;&gt;"",SUMIFS(期初余额!$R$5:$R$204,期初余额!$Q$5:$Q$204,项目档案!$B$49,期初余额!$V$5:$V$204,IF($C$3="全部","*",$C$3))+SUMIFS(应付登记!$G$5:$G$1004,应付登记!$E$5:$E$1004,项目档案!$B$49,应付登记!$L$5:$L$1004,IF($C$3="全部","*",$C$3),应付登记!$J$5:$J$1004,"&gt;="&amp;_辅助!$J$4,应付登记!$J$5:$J$1004,"&lt;="&amp;_辅助!$J$2)&lt;&gt;0),1,0)</f>
        <v>0</v>
      </c>
      <c r="CC46" s="2">
        <f>IF(AND($C$130&lt;&gt;"",期初余额!$P$50=$C$130),1,0)</f>
        <v>0</v>
      </c>
      <c r="CD46" s="2">
        <f>IF(($C$130&lt;&gt;"")*(应付登记!$D$50=$C$130)*ISNUMBER(应付登记!$J$50)*(应付登记!$J$50&gt;=_辅助!$J$4)*(应付登记!$J$50&lt;=_辅助!$J$2),1,0)</f>
        <v>0</v>
      </c>
      <c r="CE46" s="2">
        <f>IF(($C$130&lt;&gt;"")*(代发抵账!$E$50=$C$130)*(代发抵账!$D$50="总包代付材料分包款")*ISNUMBER(代发抵账!$H$50)*(代发抵账!$H$50&lt;=_辅助!$J$2),1,0)</f>
        <v>0</v>
      </c>
    </row>
    <row r="47">
      <c r="A47" s="94">
        <f>IF($AY47=0,"",41)</f>
      </c>
      <c r="B47" s="96">
        <f t="shared" si="24"/>
      </c>
      <c r="C47" s="94">
        <f t="shared" si="26"/>
      </c>
      <c r="D47" s="21">
        <f t="shared" si="0"/>
      </c>
      <c r="E47" s="21">
        <f t="shared" si="3"/>
      </c>
      <c r="F47" s="21">
        <f t="shared" si="5"/>
      </c>
      <c r="G47" s="22">
        <f t="shared" si="2"/>
      </c>
      <c r="H47" s="21">
        <f t="shared" si="6"/>
      </c>
      <c r="I47" s="21">
        <f t="shared" si="8"/>
      </c>
      <c r="J47" s="95">
        <f t="shared" si="28"/>
      </c>
      <c r="K47" s="21">
        <f t="shared" si="10"/>
      </c>
      <c r="L47" s="21">
        <f t="shared" si="12"/>
      </c>
      <c r="M47" s="21">
        <f t="shared" si="13"/>
      </c>
      <c r="N47" s="21">
        <f t="shared" si="14"/>
      </c>
      <c r="O47" s="21">
        <f t="shared" si="15"/>
      </c>
      <c r="P47" s="21">
        <f t="shared" si="16"/>
      </c>
      <c r="Q47" s="21">
        <f t="shared" si="17"/>
      </c>
      <c r="R47" s="21">
        <f t="shared" si="18"/>
      </c>
      <c r="S47" s="21">
        <f t="shared" si="19"/>
      </c>
      <c r="T47" s="21">
        <f t="shared" si="20"/>
      </c>
      <c r="U47" s="21">
        <f t="shared" si="21"/>
      </c>
      <c r="V47" s="21">
        <f t="shared" si="22"/>
      </c>
      <c r="W47" s="21">
        <f t="shared" si="23"/>
      </c>
      <c r="AX47" s="2">
        <f t="shared" si="30"/>
        <v>0</v>
      </c>
      <c r="AY47" s="2">
        <f>IF(41&gt;$AZ$300,0,IFERROR(MATCH(41,$AZ$1:$AZ$300,0),0))</f>
        <v>0</v>
      </c>
      <c r="AZ47" s="2">
        <f>SUM(CA1:CA47)</f>
        <v>29</v>
      </c>
      <c r="BA47" s="2">
        <f>SUM(CB1:CB47)</f>
        <v>8</v>
      </c>
      <c r="BB47" s="2">
        <f>SUM(CC1:CC47)</f>
        <v>8</v>
      </c>
      <c r="BC47" s="2">
        <f>SUM(CD1:CD47)</f>
        <v>0</v>
      </c>
      <c r="BD47" s="2">
        <f>IF(AND($C$130&lt;&gt;"",资金流水!$J$51=$C$130,ISNUMBER(资金流水!$B$51),ISNUMBER(资金流水!$S$51),资金流水!$S$51&gt;=_辅助!$J$4,资金流水!$S$51&lt;=_辅助!$J$2,OR(资金流水!$X$51="应付材料款",资金流水!$X$51="应付分包款",资金流水!$X$51="应付机械运输费",资金流水!$X$51="应付其他款")),INT(资金流水!$B$51)*10000+46,"")</f>
      </c>
      <c r="BE47" s="2">
        <f>SUM(CE1:CE47)</f>
        <v>0</v>
      </c>
      <c r="CA47" s="2">
        <f>IF(AND(OR(_余额!$B$49="材料供应商",_余额!$B$49="分包",_余额!$B$49="机械运输",_余额!$B$49="其他"),OR($C$3="全部",_余额!$B$49=$C$3),OR(_余额!$G$49&lt;&gt;0,_余额!$H$49&lt;&gt;0)),1,0)</f>
        <v>0</v>
      </c>
      <c r="CB47" s="2">
        <f>IF(AND(项目档案!$B$50&lt;&gt;"",SUMIFS(期初余额!$R$5:$R$204,期初余额!$Q$5:$Q$204,项目档案!$B$50,期初余额!$V$5:$V$204,IF($C$3="全部","*",$C$3))+SUMIFS(应付登记!$G$5:$G$1004,应付登记!$E$5:$E$1004,项目档案!$B$50,应付登记!$L$5:$L$1004,IF($C$3="全部","*",$C$3),应付登记!$J$5:$J$1004,"&gt;="&amp;_辅助!$J$4,应付登记!$J$5:$J$1004,"&lt;="&amp;_辅助!$J$2)&lt;&gt;0),1,0)</f>
        <v>0</v>
      </c>
      <c r="CC47" s="2">
        <f>IF(AND($C$130&lt;&gt;"",期初余额!$P$51=$C$130),1,0)</f>
        <v>0</v>
      </c>
      <c r="CD47" s="2">
        <f>IF(($C$130&lt;&gt;"")*(应付登记!$D$51=$C$130)*ISNUMBER(应付登记!$J$51)*(应付登记!$J$51&gt;=_辅助!$J$4)*(应付登记!$J$51&lt;=_辅助!$J$2),1,0)</f>
        <v>0</v>
      </c>
      <c r="CE47" s="2">
        <f>IF(($C$130&lt;&gt;"")*(代发抵账!$E$51=$C$130)*(代发抵账!$D$51="总包代付材料分包款")*ISNUMBER(代发抵账!$H$51)*(代发抵账!$H$51&lt;=_辅助!$J$2),1,0)</f>
        <v>0</v>
      </c>
    </row>
    <row r="48">
      <c r="A48" s="94">
        <f>IF($AY48=0,"",42)</f>
      </c>
      <c r="B48" s="96">
        <f t="shared" si="24"/>
      </c>
      <c r="C48" s="94">
        <f t="shared" si="26"/>
      </c>
      <c r="D48" s="21">
        <f t="shared" si="0"/>
      </c>
      <c r="E48" s="21">
        <f t="shared" si="3"/>
      </c>
      <c r="F48" s="21">
        <f t="shared" si="5"/>
      </c>
      <c r="G48" s="22">
        <f t="shared" si="2"/>
      </c>
      <c r="H48" s="21">
        <f t="shared" si="6"/>
      </c>
      <c r="I48" s="21">
        <f t="shared" si="8"/>
      </c>
      <c r="J48" s="95">
        <f t="shared" si="28"/>
      </c>
      <c r="K48" s="21">
        <f t="shared" si="10"/>
      </c>
      <c r="L48" s="21">
        <f t="shared" si="12"/>
      </c>
      <c r="M48" s="21">
        <f t="shared" si="13"/>
      </c>
      <c r="N48" s="21">
        <f t="shared" si="14"/>
      </c>
      <c r="O48" s="21">
        <f t="shared" si="15"/>
      </c>
      <c r="P48" s="21">
        <f t="shared" si="16"/>
      </c>
      <c r="Q48" s="21">
        <f t="shared" si="17"/>
      </c>
      <c r="R48" s="21">
        <f t="shared" si="18"/>
      </c>
      <c r="S48" s="21">
        <f t="shared" si="19"/>
      </c>
      <c r="T48" s="21">
        <f t="shared" si="20"/>
      </c>
      <c r="U48" s="21">
        <f t="shared" si="21"/>
      </c>
      <c r="V48" s="21">
        <f t="shared" si="22"/>
      </c>
      <c r="W48" s="21">
        <f t="shared" si="23"/>
      </c>
      <c r="AX48" s="2">
        <f t="shared" si="30"/>
        <v>0</v>
      </c>
      <c r="AY48" s="2">
        <f>IF(42&gt;$AZ$300,0,IFERROR(MATCH(42,$AZ$1:$AZ$300,0),0))</f>
        <v>0</v>
      </c>
      <c r="AZ48" s="2">
        <f>SUM(CA1:CA48)</f>
        <v>29</v>
      </c>
      <c r="BA48" s="2">
        <f>SUM(CB1:CB48)</f>
        <v>8</v>
      </c>
      <c r="BB48" s="2">
        <f>SUM(CC1:CC48)</f>
        <v>8</v>
      </c>
      <c r="BC48" s="2">
        <f>SUM(CD1:CD48)</f>
        <v>0</v>
      </c>
      <c r="BD48" s="2">
        <f>IF(AND($C$130&lt;&gt;"",资金流水!$J$52=$C$130,ISNUMBER(资金流水!$B$52),ISNUMBER(资金流水!$S$52),资金流水!$S$52&gt;=_辅助!$J$4,资金流水!$S$52&lt;=_辅助!$J$2,OR(资金流水!$X$52="应付材料款",资金流水!$X$52="应付分包款",资金流水!$X$52="应付机械运输费",资金流水!$X$52="应付其他款")),INT(资金流水!$B$52)*10000+47,"")</f>
      </c>
      <c r="BE48" s="2">
        <f>SUM(CE1:CE48)</f>
        <v>0</v>
      </c>
      <c r="CA48" s="2">
        <f>IF(AND(OR(_余额!$B$50="材料供应商",_余额!$B$50="分包",_余额!$B$50="机械运输",_余额!$B$50="其他"),OR($C$3="全部",_余额!$B$50=$C$3),OR(_余额!$G$50&lt;&gt;0,_余额!$H$50&lt;&gt;0)),1,0)</f>
        <v>0</v>
      </c>
      <c r="CB48" s="2">
        <f>IF(AND(项目档案!$B$51&lt;&gt;"",SUMIFS(期初余额!$R$5:$R$204,期初余额!$Q$5:$Q$204,项目档案!$B$51,期初余额!$V$5:$V$204,IF($C$3="全部","*",$C$3))+SUMIFS(应付登记!$G$5:$G$1004,应付登记!$E$5:$E$1004,项目档案!$B$51,应付登记!$L$5:$L$1004,IF($C$3="全部","*",$C$3),应付登记!$J$5:$J$1004,"&gt;="&amp;_辅助!$J$4,应付登记!$J$5:$J$1004,"&lt;="&amp;_辅助!$J$2)&lt;&gt;0),1,0)</f>
        <v>0</v>
      </c>
      <c r="CC48" s="2">
        <f>IF(AND($C$130&lt;&gt;"",期初余额!$P$52=$C$130),1,0)</f>
        <v>0</v>
      </c>
      <c r="CD48" s="2">
        <f>IF(($C$130&lt;&gt;"")*(应付登记!$D$52=$C$130)*ISNUMBER(应付登记!$J$52)*(应付登记!$J$52&gt;=_辅助!$J$4)*(应付登记!$J$52&lt;=_辅助!$J$2),1,0)</f>
        <v>0</v>
      </c>
      <c r="CE48" s="2">
        <f>IF(($C$130&lt;&gt;"")*(代发抵账!$E$52=$C$130)*(代发抵账!$D$52="总包代付材料分包款")*ISNUMBER(代发抵账!$H$52)*(代发抵账!$H$52&lt;=_辅助!$J$2),1,0)</f>
        <v>0</v>
      </c>
    </row>
    <row r="49">
      <c r="A49" s="94">
        <f>IF($AY49=0,"",43)</f>
      </c>
      <c r="B49" s="96">
        <f t="shared" si="24"/>
      </c>
      <c r="C49" s="94">
        <f t="shared" si="26"/>
      </c>
      <c r="D49" s="21">
        <f t="shared" si="0"/>
      </c>
      <c r="E49" s="21">
        <f t="shared" si="3"/>
      </c>
      <c r="F49" s="21">
        <f t="shared" si="5"/>
      </c>
      <c r="G49" s="22">
        <f t="shared" si="2"/>
      </c>
      <c r="H49" s="21">
        <f t="shared" si="6"/>
      </c>
      <c r="I49" s="21">
        <f t="shared" si="8"/>
      </c>
      <c r="J49" s="95">
        <f t="shared" si="28"/>
      </c>
      <c r="K49" s="21">
        <f t="shared" si="10"/>
      </c>
      <c r="L49" s="21">
        <f t="shared" si="12"/>
      </c>
      <c r="M49" s="21">
        <f t="shared" si="13"/>
      </c>
      <c r="N49" s="21">
        <f t="shared" si="14"/>
      </c>
      <c r="O49" s="21">
        <f t="shared" si="15"/>
      </c>
      <c r="P49" s="21">
        <f t="shared" si="16"/>
      </c>
      <c r="Q49" s="21">
        <f t="shared" si="17"/>
      </c>
      <c r="R49" s="21">
        <f t="shared" si="18"/>
      </c>
      <c r="S49" s="21">
        <f t="shared" si="19"/>
      </c>
      <c r="T49" s="21">
        <f t="shared" si="20"/>
      </c>
      <c r="U49" s="21">
        <f t="shared" si="21"/>
      </c>
      <c r="V49" s="21">
        <f t="shared" si="22"/>
      </c>
      <c r="W49" s="21">
        <f t="shared" si="23"/>
      </c>
      <c r="AX49" s="2">
        <f t="shared" si="30"/>
        <v>0</v>
      </c>
      <c r="AY49" s="2">
        <f>IF(43&gt;$AZ$300,0,IFERROR(MATCH(43,$AZ$1:$AZ$300,0),0))</f>
        <v>0</v>
      </c>
      <c r="AZ49" s="2">
        <f>SUM(CA1:CA49)</f>
        <v>29</v>
      </c>
      <c r="BA49" s="2">
        <f>SUM(CB1:CB49)</f>
        <v>8</v>
      </c>
      <c r="BB49" s="2">
        <f>SUM(CC1:CC49)</f>
        <v>8</v>
      </c>
      <c r="BC49" s="2">
        <f>SUM(CD1:CD49)</f>
        <v>0</v>
      </c>
      <c r="BD49" s="2">
        <f>IF(AND($C$130&lt;&gt;"",资金流水!$J$53=$C$130,ISNUMBER(资金流水!$B$53),ISNUMBER(资金流水!$S$53),资金流水!$S$53&gt;=_辅助!$J$4,资金流水!$S$53&lt;=_辅助!$J$2,OR(资金流水!$X$53="应付材料款",资金流水!$X$53="应付分包款",资金流水!$X$53="应付机械运输费",资金流水!$X$53="应付其他款")),INT(资金流水!$B$53)*10000+48,"")</f>
      </c>
      <c r="BE49" s="2">
        <f>SUM(CE1:CE49)</f>
        <v>0</v>
      </c>
      <c r="CA49" s="2">
        <f>IF(AND(OR(_余额!$B$51="材料供应商",_余额!$B$51="分包",_余额!$B$51="机械运输",_余额!$B$51="其他"),OR($C$3="全部",_余额!$B$51=$C$3),OR(_余额!$G$51&lt;&gt;0,_余额!$H$51&lt;&gt;0)),1,0)</f>
        <v>0</v>
      </c>
      <c r="CB49" s="2">
        <f>IF(AND(项目档案!$B$52&lt;&gt;"",SUMIFS(期初余额!$R$5:$R$204,期初余额!$Q$5:$Q$204,项目档案!$B$52,期初余额!$V$5:$V$204,IF($C$3="全部","*",$C$3))+SUMIFS(应付登记!$G$5:$G$1004,应付登记!$E$5:$E$1004,项目档案!$B$52,应付登记!$L$5:$L$1004,IF($C$3="全部","*",$C$3),应付登记!$J$5:$J$1004,"&gt;="&amp;_辅助!$J$4,应付登记!$J$5:$J$1004,"&lt;="&amp;_辅助!$J$2)&lt;&gt;0),1,0)</f>
        <v>0</v>
      </c>
      <c r="CC49" s="2">
        <f>IF(AND($C$130&lt;&gt;"",期初余额!$P$53=$C$130),1,0)</f>
        <v>0</v>
      </c>
      <c r="CD49" s="2">
        <f>IF(($C$130&lt;&gt;"")*(应付登记!$D$53=$C$130)*ISNUMBER(应付登记!$J$53)*(应付登记!$J$53&gt;=_辅助!$J$4)*(应付登记!$J$53&lt;=_辅助!$J$2),1,0)</f>
        <v>0</v>
      </c>
      <c r="CE49" s="2">
        <f>IF(($C$130&lt;&gt;"")*(代发抵账!$E$53=$C$130)*(代发抵账!$D$53="总包代付材料分包款")*ISNUMBER(代发抵账!$H$53)*(代发抵账!$H$53&lt;=_辅助!$J$2),1,0)</f>
        <v>0</v>
      </c>
    </row>
    <row r="50">
      <c r="A50" s="94">
        <f>IF($AY50=0,"",44)</f>
      </c>
      <c r="B50" s="96">
        <f t="shared" si="24"/>
      </c>
      <c r="C50" s="94">
        <f t="shared" si="26"/>
      </c>
      <c r="D50" s="21">
        <f t="shared" si="0"/>
      </c>
      <c r="E50" s="21">
        <f t="shared" si="3"/>
      </c>
      <c r="F50" s="21">
        <f t="shared" si="5"/>
      </c>
      <c r="G50" s="22">
        <f t="shared" si="2"/>
      </c>
      <c r="H50" s="21">
        <f t="shared" si="6"/>
      </c>
      <c r="I50" s="21">
        <f t="shared" si="8"/>
      </c>
      <c r="J50" s="95">
        <f t="shared" si="28"/>
      </c>
      <c r="K50" s="21">
        <f t="shared" si="10"/>
      </c>
      <c r="L50" s="21">
        <f t="shared" si="12"/>
      </c>
      <c r="M50" s="21">
        <f t="shared" si="13"/>
      </c>
      <c r="N50" s="21">
        <f t="shared" si="14"/>
      </c>
      <c r="O50" s="21">
        <f t="shared" si="15"/>
      </c>
      <c r="P50" s="21">
        <f t="shared" si="16"/>
      </c>
      <c r="Q50" s="21">
        <f t="shared" si="17"/>
      </c>
      <c r="R50" s="21">
        <f t="shared" si="18"/>
      </c>
      <c r="S50" s="21">
        <f t="shared" si="19"/>
      </c>
      <c r="T50" s="21">
        <f t="shared" si="20"/>
      </c>
      <c r="U50" s="21">
        <f t="shared" si="21"/>
      </c>
      <c r="V50" s="21">
        <f t="shared" si="22"/>
      </c>
      <c r="W50" s="21">
        <f t="shared" si="23"/>
      </c>
      <c r="AX50" s="2">
        <f t="shared" si="30"/>
        <v>0</v>
      </c>
      <c r="AY50" s="2">
        <f>IF(44&gt;$AZ$300,0,IFERROR(MATCH(44,$AZ$1:$AZ$300,0),0))</f>
        <v>0</v>
      </c>
      <c r="AZ50" s="2">
        <f>SUM(CA1:CA50)</f>
        <v>29</v>
      </c>
      <c r="BA50" s="2">
        <f>SUM(CB1:CB50)</f>
        <v>8</v>
      </c>
      <c r="BB50" s="2">
        <f>SUM(CC1:CC50)</f>
        <v>8</v>
      </c>
      <c r="BC50" s="2">
        <f>SUM(CD1:CD50)</f>
        <v>0</v>
      </c>
      <c r="BD50" s="2">
        <f>IF(AND($C$130&lt;&gt;"",资金流水!$J$54=$C$130,ISNUMBER(资金流水!$B$54),ISNUMBER(资金流水!$S$54),资金流水!$S$54&gt;=_辅助!$J$4,资金流水!$S$54&lt;=_辅助!$J$2,OR(资金流水!$X$54="应付材料款",资金流水!$X$54="应付分包款",资金流水!$X$54="应付机械运输费",资金流水!$X$54="应付其他款")),INT(资金流水!$B$54)*10000+49,"")</f>
      </c>
      <c r="BE50" s="2">
        <f>SUM(CE1:CE50)</f>
        <v>0</v>
      </c>
      <c r="CA50" s="2">
        <f>IF(AND(OR(_余额!$B$52="材料供应商",_余额!$B$52="分包",_余额!$B$52="机械运输",_余额!$B$52="其他"),OR($C$3="全部",_余额!$B$52=$C$3),OR(_余额!$G$52&lt;&gt;0,_余额!$H$52&lt;&gt;0)),1,0)</f>
        <v>0</v>
      </c>
      <c r="CB50" s="2">
        <f>IF(AND(项目档案!$B$53&lt;&gt;"",SUMIFS(期初余额!$R$5:$R$204,期初余额!$Q$5:$Q$204,项目档案!$B$53,期初余额!$V$5:$V$204,IF($C$3="全部","*",$C$3))+SUMIFS(应付登记!$G$5:$G$1004,应付登记!$E$5:$E$1004,项目档案!$B$53,应付登记!$L$5:$L$1004,IF($C$3="全部","*",$C$3),应付登记!$J$5:$J$1004,"&gt;="&amp;_辅助!$J$4,应付登记!$J$5:$J$1004,"&lt;="&amp;_辅助!$J$2)&lt;&gt;0),1,0)</f>
        <v>0</v>
      </c>
      <c r="CC50" s="2">
        <f>IF(AND($C$130&lt;&gt;"",期初余额!$P$54=$C$130),1,0)</f>
        <v>0</v>
      </c>
      <c r="CD50" s="2">
        <f>IF(($C$130&lt;&gt;"")*(应付登记!$D$54=$C$130)*ISNUMBER(应付登记!$J$54)*(应付登记!$J$54&gt;=_辅助!$J$4)*(应付登记!$J$54&lt;=_辅助!$J$2),1,0)</f>
        <v>0</v>
      </c>
      <c r="CE50" s="2">
        <f>IF(($C$130&lt;&gt;"")*(代发抵账!$E$54=$C$130)*(代发抵账!$D$54="总包代付材料分包款")*ISNUMBER(代发抵账!$H$54)*(代发抵账!$H$54&lt;=_辅助!$J$2),1,0)</f>
        <v>0</v>
      </c>
    </row>
    <row r="51">
      <c r="A51" s="94">
        <f>IF($AY51=0,"",45)</f>
      </c>
      <c r="B51" s="96">
        <f t="shared" si="24"/>
      </c>
      <c r="C51" s="94">
        <f t="shared" si="26"/>
      </c>
      <c r="D51" s="21">
        <f t="shared" si="0"/>
      </c>
      <c r="E51" s="21">
        <f t="shared" si="3"/>
      </c>
      <c r="F51" s="21">
        <f t="shared" si="5"/>
      </c>
      <c r="G51" s="22">
        <f t="shared" si="2"/>
      </c>
      <c r="H51" s="21">
        <f t="shared" si="6"/>
      </c>
      <c r="I51" s="21">
        <f t="shared" si="8"/>
      </c>
      <c r="J51" s="95">
        <f t="shared" si="28"/>
      </c>
      <c r="K51" s="21">
        <f t="shared" si="10"/>
      </c>
      <c r="L51" s="21">
        <f t="shared" si="12"/>
      </c>
      <c r="M51" s="21">
        <f t="shared" si="13"/>
      </c>
      <c r="N51" s="21">
        <f t="shared" si="14"/>
      </c>
      <c r="O51" s="21">
        <f t="shared" si="15"/>
      </c>
      <c r="P51" s="21">
        <f t="shared" si="16"/>
      </c>
      <c r="Q51" s="21">
        <f t="shared" si="17"/>
      </c>
      <c r="R51" s="21">
        <f t="shared" si="18"/>
      </c>
      <c r="S51" s="21">
        <f t="shared" si="19"/>
      </c>
      <c r="T51" s="21">
        <f t="shared" si="20"/>
      </c>
      <c r="U51" s="21">
        <f t="shared" si="21"/>
      </c>
      <c r="V51" s="21">
        <f t="shared" si="22"/>
      </c>
      <c r="W51" s="21">
        <f t="shared" si="23"/>
      </c>
      <c r="AX51" s="2">
        <f t="shared" si="30"/>
        <v>0</v>
      </c>
      <c r="AY51" s="2">
        <f>IF(45&gt;$AZ$300,0,IFERROR(MATCH(45,$AZ$1:$AZ$300,0),0))</f>
        <v>0</v>
      </c>
      <c r="AZ51" s="2">
        <f>AZ50+SUM(CA51:CA51)</f>
        <v>29</v>
      </c>
      <c r="BA51" s="2">
        <f>BA50+SUM(CB51:CB51)</f>
        <v>8</v>
      </c>
      <c r="BB51" s="2">
        <f>BB50+SUM(CC51:CC51)</f>
        <v>8</v>
      </c>
      <c r="BC51" s="2">
        <f>BC50+SUM(CD51:CD51)</f>
        <v>0</v>
      </c>
      <c r="BD51" s="2">
        <f>IF(AND($C$130&lt;&gt;"",资金流水!$J$55=$C$130,ISNUMBER(资金流水!$B$55),ISNUMBER(资金流水!$S$55),资金流水!$S$55&gt;=_辅助!$J$4,资金流水!$S$55&lt;=_辅助!$J$2,OR(资金流水!$X$55="应付材料款",资金流水!$X$55="应付分包款",资金流水!$X$55="应付机械运输费",资金流水!$X$55="应付其他款")),INT(资金流水!$B$55)*10000+50,"")</f>
      </c>
      <c r="BE51" s="2">
        <f>BE50+SUM(CE51:CE51)</f>
        <v>0</v>
      </c>
      <c r="CA51" s="2">
        <f>IF(AND(OR(_余额!$B$53="材料供应商",_余额!$B$53="分包",_余额!$B$53="机械运输",_余额!$B$53="其他"),OR($C$3="全部",_余额!$B$53=$C$3),OR(_余额!$G$53&lt;&gt;0,_余额!$H$53&lt;&gt;0)),1,0)</f>
        <v>0</v>
      </c>
      <c r="CB51" s="2">
        <f>IF(AND(项目档案!$B$54&lt;&gt;"",SUMIFS(期初余额!$R$5:$R$204,期初余额!$Q$5:$Q$204,项目档案!$B$54,期初余额!$V$5:$V$204,IF($C$3="全部","*",$C$3))+SUMIFS(应付登记!$G$5:$G$1004,应付登记!$E$5:$E$1004,项目档案!$B$54,应付登记!$L$5:$L$1004,IF($C$3="全部","*",$C$3),应付登记!$J$5:$J$1004,"&gt;="&amp;_辅助!$J$4,应付登记!$J$5:$J$1004,"&lt;="&amp;_辅助!$J$2)&lt;&gt;0),1,0)</f>
        <v>0</v>
      </c>
      <c r="CC51" s="2">
        <f>IF(AND($C$130&lt;&gt;"",期初余额!$P$55=$C$130),1,0)</f>
        <v>0</v>
      </c>
      <c r="CD51" s="2">
        <f>IF(($C$130&lt;&gt;"")*(应付登记!$D$55=$C$130)*ISNUMBER(应付登记!$J$55)*(应付登记!$J$55&gt;=_辅助!$J$4)*(应付登记!$J$55&lt;=_辅助!$J$2),1,0)</f>
        <v>0</v>
      </c>
      <c r="CE51" s="2">
        <f>IF(($C$130&lt;&gt;"")*(代发抵账!$E$55=$C$130)*(代发抵账!$D$55="总包代付材料分包款")*ISNUMBER(代发抵账!$H$55)*(代发抵账!$H$55&lt;=_辅助!$J$2),1,0)</f>
        <v>0</v>
      </c>
    </row>
    <row r="52">
      <c r="A52" s="94">
        <f>IF($AY52=0,"",46)</f>
      </c>
      <c r="B52" s="96">
        <f t="shared" si="24"/>
      </c>
      <c r="C52" s="94">
        <f t="shared" si="26"/>
      </c>
      <c r="D52" s="21">
        <f t="shared" si="0"/>
      </c>
      <c r="E52" s="21">
        <f t="shared" si="3"/>
      </c>
      <c r="F52" s="21">
        <f t="shared" si="5"/>
      </c>
      <c r="G52" s="22">
        <f t="shared" si="2"/>
      </c>
      <c r="H52" s="21">
        <f t="shared" si="6"/>
      </c>
      <c r="I52" s="21">
        <f t="shared" si="8"/>
      </c>
      <c r="J52" s="95">
        <f t="shared" si="28"/>
      </c>
      <c r="K52" s="21">
        <f t="shared" si="10"/>
      </c>
      <c r="L52" s="21">
        <f t="shared" si="12"/>
      </c>
      <c r="M52" s="21">
        <f t="shared" si="13"/>
      </c>
      <c r="N52" s="21">
        <f t="shared" si="14"/>
      </c>
      <c r="O52" s="21">
        <f t="shared" si="15"/>
      </c>
      <c r="P52" s="21">
        <f t="shared" si="16"/>
      </c>
      <c r="Q52" s="21">
        <f t="shared" si="17"/>
      </c>
      <c r="R52" s="21">
        <f t="shared" si="18"/>
      </c>
      <c r="S52" s="21">
        <f t="shared" si="19"/>
      </c>
      <c r="T52" s="21">
        <f t="shared" si="20"/>
      </c>
      <c r="U52" s="21">
        <f t="shared" si="21"/>
      </c>
      <c r="V52" s="21">
        <f t="shared" si="22"/>
      </c>
      <c r="W52" s="21">
        <f t="shared" si="23"/>
      </c>
      <c r="AX52" s="2">
        <f t="shared" si="30"/>
        <v>0</v>
      </c>
      <c r="AY52" s="2">
        <f>IF(46&gt;$AZ$300,0,IFERROR(MATCH(46,$AZ$1:$AZ$300,0),0))</f>
        <v>0</v>
      </c>
      <c r="AZ52" s="2">
        <f>AZ50+SUM(CA51:CA52)</f>
        <v>29</v>
      </c>
      <c r="BA52" s="2">
        <f>BA50+SUM(CB51:CB52)</f>
        <v>8</v>
      </c>
      <c r="BB52" s="2">
        <f>BB50+SUM(CC51:CC52)</f>
        <v>8</v>
      </c>
      <c r="BC52" s="2">
        <f>BC50+SUM(CD51:CD52)</f>
        <v>0</v>
      </c>
      <c r="BD52" s="2">
        <f>IF(AND($C$130&lt;&gt;"",资金流水!$J$56=$C$130,ISNUMBER(资金流水!$B$56),ISNUMBER(资金流水!$S$56),资金流水!$S$56&gt;=_辅助!$J$4,资金流水!$S$56&lt;=_辅助!$J$2,OR(资金流水!$X$56="应付材料款",资金流水!$X$56="应付分包款",资金流水!$X$56="应付机械运输费",资金流水!$X$56="应付其他款")),INT(资金流水!$B$56)*10000+51,"")</f>
      </c>
      <c r="BE52" s="2">
        <f>BE50+SUM(CE51:CE52)</f>
        <v>0</v>
      </c>
      <c r="CA52" s="2">
        <f>IF(AND(OR(_余额!$B$54="材料供应商",_余额!$B$54="分包",_余额!$B$54="机械运输",_余额!$B$54="其他"),OR($C$3="全部",_余额!$B$54=$C$3),OR(_余额!$G$54&lt;&gt;0,_余额!$H$54&lt;&gt;0)),1,0)</f>
        <v>0</v>
      </c>
      <c r="CB52" s="2">
        <f>IF(AND(项目档案!$B$55&lt;&gt;"",SUMIFS(期初余额!$R$5:$R$204,期初余额!$Q$5:$Q$204,项目档案!$B$55,期初余额!$V$5:$V$204,IF($C$3="全部","*",$C$3))+SUMIFS(应付登记!$G$5:$G$1004,应付登记!$E$5:$E$1004,项目档案!$B$55,应付登记!$L$5:$L$1004,IF($C$3="全部","*",$C$3),应付登记!$J$5:$J$1004,"&gt;="&amp;_辅助!$J$4,应付登记!$J$5:$J$1004,"&lt;="&amp;_辅助!$J$2)&lt;&gt;0),1,0)</f>
        <v>0</v>
      </c>
      <c r="CC52" s="2">
        <f>IF(AND($C$130&lt;&gt;"",期初余额!$P$56=$C$130),1,0)</f>
        <v>0</v>
      </c>
      <c r="CD52" s="2">
        <f>IF(($C$130&lt;&gt;"")*(应付登记!$D$56=$C$130)*ISNUMBER(应付登记!$J$56)*(应付登记!$J$56&gt;=_辅助!$J$4)*(应付登记!$J$56&lt;=_辅助!$J$2),1,0)</f>
        <v>0</v>
      </c>
      <c r="CE52" s="2">
        <f>IF(($C$130&lt;&gt;"")*(代发抵账!$E$56=$C$130)*(代发抵账!$D$56="总包代付材料分包款")*ISNUMBER(代发抵账!$H$56)*(代发抵账!$H$56&lt;=_辅助!$J$2),1,0)</f>
        <v>0</v>
      </c>
    </row>
    <row r="53">
      <c r="A53" s="94">
        <f>IF($AY53=0,"",47)</f>
      </c>
      <c r="B53" s="96">
        <f t="shared" si="24"/>
      </c>
      <c r="C53" s="94">
        <f t="shared" si="26"/>
      </c>
      <c r="D53" s="21">
        <f t="shared" si="0"/>
      </c>
      <c r="E53" s="21">
        <f t="shared" si="3"/>
      </c>
      <c r="F53" s="21">
        <f t="shared" si="5"/>
      </c>
      <c r="G53" s="22">
        <f t="shared" si="2"/>
      </c>
      <c r="H53" s="21">
        <f t="shared" si="6"/>
      </c>
      <c r="I53" s="21">
        <f t="shared" si="8"/>
      </c>
      <c r="J53" s="95">
        <f t="shared" si="28"/>
      </c>
      <c r="K53" s="21">
        <f t="shared" si="10"/>
      </c>
      <c r="L53" s="21">
        <f t="shared" si="12"/>
      </c>
      <c r="M53" s="21">
        <f t="shared" si="13"/>
      </c>
      <c r="N53" s="21">
        <f t="shared" si="14"/>
      </c>
      <c r="O53" s="21">
        <f t="shared" si="15"/>
      </c>
      <c r="P53" s="21">
        <f t="shared" si="16"/>
      </c>
      <c r="Q53" s="21">
        <f t="shared" si="17"/>
      </c>
      <c r="R53" s="21">
        <f t="shared" si="18"/>
      </c>
      <c r="S53" s="21">
        <f t="shared" si="19"/>
      </c>
      <c r="T53" s="21">
        <f t="shared" si="20"/>
      </c>
      <c r="U53" s="21">
        <f t="shared" si="21"/>
      </c>
      <c r="V53" s="21">
        <f t="shared" si="22"/>
      </c>
      <c r="W53" s="21">
        <f t="shared" si="23"/>
      </c>
      <c r="AX53" s="2">
        <f t="shared" si="30"/>
        <v>0</v>
      </c>
      <c r="AY53" s="2">
        <f>IF(47&gt;$AZ$300,0,IFERROR(MATCH(47,$AZ$1:$AZ$300,0),0))</f>
        <v>0</v>
      </c>
      <c r="AZ53" s="2">
        <f>AZ50+SUM(CA51:CA53)</f>
        <v>29</v>
      </c>
      <c r="BA53" s="2">
        <f>BA50+SUM(CB51:CB53)</f>
        <v>8</v>
      </c>
      <c r="BB53" s="2">
        <f>BB50+SUM(CC51:CC53)</f>
        <v>8</v>
      </c>
      <c r="BC53" s="2">
        <f>BC50+SUM(CD51:CD53)</f>
        <v>0</v>
      </c>
      <c r="BD53" s="2">
        <f>IF(AND($C$130&lt;&gt;"",资金流水!$J$57=$C$130,ISNUMBER(资金流水!$B$57),ISNUMBER(资金流水!$S$57),资金流水!$S$57&gt;=_辅助!$J$4,资金流水!$S$57&lt;=_辅助!$J$2,OR(资金流水!$X$57="应付材料款",资金流水!$X$57="应付分包款",资金流水!$X$57="应付机械运输费",资金流水!$X$57="应付其他款")),INT(资金流水!$B$57)*10000+52,"")</f>
      </c>
      <c r="BE53" s="2">
        <f>BE50+SUM(CE51:CE53)</f>
        <v>0</v>
      </c>
      <c r="CA53" s="2">
        <f>IF(AND(OR(_余额!$B$55="材料供应商",_余额!$B$55="分包",_余额!$B$55="机械运输",_余额!$B$55="其他"),OR($C$3="全部",_余额!$B$55=$C$3),OR(_余额!$G$55&lt;&gt;0,_余额!$H$55&lt;&gt;0)),1,0)</f>
        <v>0</v>
      </c>
      <c r="CB53" s="2">
        <f>IF(AND(项目档案!$B$56&lt;&gt;"",SUMIFS(期初余额!$R$5:$R$204,期初余额!$Q$5:$Q$204,项目档案!$B$56,期初余额!$V$5:$V$204,IF($C$3="全部","*",$C$3))+SUMIFS(应付登记!$G$5:$G$1004,应付登记!$E$5:$E$1004,项目档案!$B$56,应付登记!$L$5:$L$1004,IF($C$3="全部","*",$C$3),应付登记!$J$5:$J$1004,"&gt;="&amp;_辅助!$J$4,应付登记!$J$5:$J$1004,"&lt;="&amp;_辅助!$J$2)&lt;&gt;0),1,0)</f>
        <v>0</v>
      </c>
      <c r="CC53" s="2">
        <f>IF(AND($C$130&lt;&gt;"",期初余额!$P$57=$C$130),1,0)</f>
        <v>0</v>
      </c>
      <c r="CD53" s="2">
        <f>IF(($C$130&lt;&gt;"")*(应付登记!$D$57=$C$130)*ISNUMBER(应付登记!$J$57)*(应付登记!$J$57&gt;=_辅助!$J$4)*(应付登记!$J$57&lt;=_辅助!$J$2),1,0)</f>
        <v>0</v>
      </c>
      <c r="CE53" s="2">
        <f>IF(($C$130&lt;&gt;"")*(代发抵账!$E$57=$C$130)*(代发抵账!$D$57="总包代付材料分包款")*ISNUMBER(代发抵账!$H$57)*(代发抵账!$H$57&lt;=_辅助!$J$2),1,0)</f>
        <v>0</v>
      </c>
    </row>
    <row r="54">
      <c r="A54" s="94">
        <f>IF($AY54=0,"",48)</f>
      </c>
      <c r="B54" s="96">
        <f t="shared" si="24"/>
      </c>
      <c r="C54" s="94">
        <f t="shared" si="26"/>
      </c>
      <c r="D54" s="21">
        <f t="shared" si="0"/>
      </c>
      <c r="E54" s="21">
        <f t="shared" si="3"/>
      </c>
      <c r="F54" s="21">
        <f t="shared" si="5"/>
      </c>
      <c r="G54" s="22">
        <f t="shared" si="2"/>
      </c>
      <c r="H54" s="21">
        <f t="shared" si="6"/>
      </c>
      <c r="I54" s="21">
        <f t="shared" si="8"/>
      </c>
      <c r="J54" s="95">
        <f t="shared" si="28"/>
      </c>
      <c r="K54" s="21">
        <f t="shared" si="10"/>
      </c>
      <c r="L54" s="21">
        <f t="shared" si="12"/>
      </c>
      <c r="M54" s="21">
        <f t="shared" si="13"/>
      </c>
      <c r="N54" s="21">
        <f t="shared" si="14"/>
      </c>
      <c r="O54" s="21">
        <f t="shared" si="15"/>
      </c>
      <c r="P54" s="21">
        <f t="shared" si="16"/>
      </c>
      <c r="Q54" s="21">
        <f t="shared" si="17"/>
      </c>
      <c r="R54" s="21">
        <f t="shared" si="18"/>
      </c>
      <c r="S54" s="21">
        <f t="shared" si="19"/>
      </c>
      <c r="T54" s="21">
        <f t="shared" si="20"/>
      </c>
      <c r="U54" s="21">
        <f t="shared" si="21"/>
      </c>
      <c r="V54" s="21">
        <f t="shared" si="22"/>
      </c>
      <c r="W54" s="21">
        <f t="shared" si="23"/>
      </c>
      <c r="AX54" s="2">
        <f t="shared" si="30"/>
        <v>0</v>
      </c>
      <c r="AY54" s="2">
        <f>IF(48&gt;$AZ$300,0,IFERROR(MATCH(48,$AZ$1:$AZ$300,0),0))</f>
        <v>0</v>
      </c>
      <c r="AZ54" s="2">
        <f>AZ50+SUM(CA51:CA54)</f>
        <v>29</v>
      </c>
      <c r="BA54" s="2">
        <f>BA50+SUM(CB51:CB54)</f>
        <v>8</v>
      </c>
      <c r="BB54" s="2">
        <f>BB50+SUM(CC51:CC54)</f>
        <v>8</v>
      </c>
      <c r="BC54" s="2">
        <f>BC50+SUM(CD51:CD54)</f>
        <v>0</v>
      </c>
      <c r="BD54" s="2">
        <f>IF(AND($C$130&lt;&gt;"",资金流水!$J$58=$C$130,ISNUMBER(资金流水!$B$58),ISNUMBER(资金流水!$S$58),资金流水!$S$58&gt;=_辅助!$J$4,资金流水!$S$58&lt;=_辅助!$J$2,OR(资金流水!$X$58="应付材料款",资金流水!$X$58="应付分包款",资金流水!$X$58="应付机械运输费",资金流水!$X$58="应付其他款")),INT(资金流水!$B$58)*10000+53,"")</f>
      </c>
      <c r="BE54" s="2">
        <f>BE50+SUM(CE51:CE54)</f>
        <v>0</v>
      </c>
      <c r="CA54" s="2">
        <f>IF(AND(OR(_余额!$B$56="材料供应商",_余额!$B$56="分包",_余额!$B$56="机械运输",_余额!$B$56="其他"),OR($C$3="全部",_余额!$B$56=$C$3),OR(_余额!$G$56&lt;&gt;0,_余额!$H$56&lt;&gt;0)),1,0)</f>
        <v>0</v>
      </c>
      <c r="CB54" s="2">
        <f>IF(AND(项目档案!$B$57&lt;&gt;"",SUMIFS(期初余额!$R$5:$R$204,期初余额!$Q$5:$Q$204,项目档案!$B$57,期初余额!$V$5:$V$204,IF($C$3="全部","*",$C$3))+SUMIFS(应付登记!$G$5:$G$1004,应付登记!$E$5:$E$1004,项目档案!$B$57,应付登记!$L$5:$L$1004,IF($C$3="全部","*",$C$3),应付登记!$J$5:$J$1004,"&gt;="&amp;_辅助!$J$4,应付登记!$J$5:$J$1004,"&lt;="&amp;_辅助!$J$2)&lt;&gt;0),1,0)</f>
        <v>0</v>
      </c>
      <c r="CC54" s="2">
        <f>IF(AND($C$130&lt;&gt;"",期初余额!$P$58=$C$130),1,0)</f>
        <v>0</v>
      </c>
      <c r="CD54" s="2">
        <f>IF(($C$130&lt;&gt;"")*(应付登记!$D$58=$C$130)*ISNUMBER(应付登记!$J$58)*(应付登记!$J$58&gt;=_辅助!$J$4)*(应付登记!$J$58&lt;=_辅助!$J$2),1,0)</f>
        <v>0</v>
      </c>
      <c r="CE54" s="2">
        <f>IF(($C$130&lt;&gt;"")*(代发抵账!$E$58=$C$130)*(代发抵账!$D$58="总包代付材料分包款")*ISNUMBER(代发抵账!$H$58)*(代发抵账!$H$58&lt;=_辅助!$J$2),1,0)</f>
        <v>0</v>
      </c>
    </row>
    <row r="55">
      <c r="A55" s="94">
        <f>IF($AY55=0,"",49)</f>
      </c>
      <c r="B55" s="96">
        <f t="shared" si="24"/>
      </c>
      <c r="C55" s="94">
        <f t="shared" si="26"/>
      </c>
      <c r="D55" s="21">
        <f t="shared" si="0"/>
      </c>
      <c r="E55" s="21">
        <f t="shared" si="3"/>
      </c>
      <c r="F55" s="21">
        <f t="shared" si="5"/>
      </c>
      <c r="G55" s="22">
        <f t="shared" si="2"/>
      </c>
      <c r="H55" s="21">
        <f t="shared" si="6"/>
      </c>
      <c r="I55" s="21">
        <f t="shared" si="8"/>
      </c>
      <c r="J55" s="95">
        <f t="shared" si="28"/>
      </c>
      <c r="K55" s="21">
        <f t="shared" si="10"/>
      </c>
      <c r="L55" s="21">
        <f t="shared" si="12"/>
      </c>
      <c r="M55" s="21">
        <f t="shared" si="13"/>
      </c>
      <c r="N55" s="21">
        <f t="shared" si="14"/>
      </c>
      <c r="O55" s="21">
        <f t="shared" si="15"/>
      </c>
      <c r="P55" s="21">
        <f t="shared" si="16"/>
      </c>
      <c r="Q55" s="21">
        <f t="shared" si="17"/>
      </c>
      <c r="R55" s="21">
        <f t="shared" si="18"/>
      </c>
      <c r="S55" s="21">
        <f t="shared" si="19"/>
      </c>
      <c r="T55" s="21">
        <f t="shared" si="20"/>
      </c>
      <c r="U55" s="21">
        <f t="shared" si="21"/>
      </c>
      <c r="V55" s="21">
        <f t="shared" si="22"/>
      </c>
      <c r="W55" s="21">
        <f t="shared" si="23"/>
      </c>
      <c r="AX55" s="2">
        <f t="shared" si="30"/>
        <v>0</v>
      </c>
      <c r="AY55" s="2">
        <f>IF(49&gt;$AZ$300,0,IFERROR(MATCH(49,$AZ$1:$AZ$300,0),0))</f>
        <v>0</v>
      </c>
      <c r="AZ55" s="2">
        <f>AZ50+SUM(CA51:CA55)</f>
        <v>29</v>
      </c>
      <c r="BA55" s="2">
        <f>BA50+SUM(CB51:CB55)</f>
        <v>8</v>
      </c>
      <c r="BB55" s="2">
        <f>BB50+SUM(CC51:CC55)</f>
        <v>8</v>
      </c>
      <c r="BC55" s="2">
        <f>BC50+SUM(CD51:CD55)</f>
        <v>0</v>
      </c>
      <c r="BD55" s="2">
        <f>IF(AND($C$130&lt;&gt;"",资金流水!$J$59=$C$130,ISNUMBER(资金流水!$B$59),ISNUMBER(资金流水!$S$59),资金流水!$S$59&gt;=_辅助!$J$4,资金流水!$S$59&lt;=_辅助!$J$2,OR(资金流水!$X$59="应付材料款",资金流水!$X$59="应付分包款",资金流水!$X$59="应付机械运输费",资金流水!$X$59="应付其他款")),INT(资金流水!$B$59)*10000+54,"")</f>
      </c>
      <c r="BE55" s="2">
        <f>BE50+SUM(CE51:CE55)</f>
        <v>0</v>
      </c>
      <c r="CA55" s="2">
        <f>IF(AND(OR(_余额!$B$57="材料供应商",_余额!$B$57="分包",_余额!$B$57="机械运输",_余额!$B$57="其他"),OR($C$3="全部",_余额!$B$57=$C$3),OR(_余额!$G$57&lt;&gt;0,_余额!$H$57&lt;&gt;0)),1,0)</f>
        <v>0</v>
      </c>
      <c r="CB55" s="2">
        <f>IF(AND(项目档案!$B$58&lt;&gt;"",SUMIFS(期初余额!$R$5:$R$204,期初余额!$Q$5:$Q$204,项目档案!$B$58,期初余额!$V$5:$V$204,IF($C$3="全部","*",$C$3))+SUMIFS(应付登记!$G$5:$G$1004,应付登记!$E$5:$E$1004,项目档案!$B$58,应付登记!$L$5:$L$1004,IF($C$3="全部","*",$C$3),应付登记!$J$5:$J$1004,"&gt;="&amp;_辅助!$J$4,应付登记!$J$5:$J$1004,"&lt;="&amp;_辅助!$J$2)&lt;&gt;0),1,0)</f>
        <v>0</v>
      </c>
      <c r="CC55" s="2">
        <f>IF(AND($C$130&lt;&gt;"",期初余额!$P$59=$C$130),1,0)</f>
        <v>0</v>
      </c>
      <c r="CD55" s="2">
        <f>IF(($C$130&lt;&gt;"")*(应付登记!$D$59=$C$130)*ISNUMBER(应付登记!$J$59)*(应付登记!$J$59&gt;=_辅助!$J$4)*(应付登记!$J$59&lt;=_辅助!$J$2),1,0)</f>
        <v>0</v>
      </c>
      <c r="CE55" s="2">
        <f>IF(($C$130&lt;&gt;"")*(代发抵账!$E$59=$C$130)*(代发抵账!$D$59="总包代付材料分包款")*ISNUMBER(代发抵账!$H$59)*(代发抵账!$H$59&lt;=_辅助!$J$2),1,0)</f>
        <v>0</v>
      </c>
    </row>
    <row r="56">
      <c r="A56" s="94">
        <f>IF($AY56=0,"",50)</f>
      </c>
      <c r="B56" s="96">
        <f t="shared" si="24"/>
      </c>
      <c r="C56" s="94">
        <f t="shared" si="26"/>
      </c>
      <c r="D56" s="21">
        <f t="shared" si="0"/>
      </c>
      <c r="E56" s="21">
        <f t="shared" si="3"/>
      </c>
      <c r="F56" s="21">
        <f t="shared" si="5"/>
      </c>
      <c r="G56" s="22">
        <f t="shared" si="2"/>
      </c>
      <c r="H56" s="21">
        <f t="shared" si="6"/>
      </c>
      <c r="I56" s="21">
        <f t="shared" si="8"/>
      </c>
      <c r="J56" s="95">
        <f t="shared" si="28"/>
      </c>
      <c r="K56" s="21">
        <f t="shared" si="10"/>
      </c>
      <c r="L56" s="21">
        <f t="shared" si="12"/>
      </c>
      <c r="M56" s="21">
        <f t="shared" si="13"/>
      </c>
      <c r="N56" s="21">
        <f t="shared" si="14"/>
      </c>
      <c r="O56" s="21">
        <f t="shared" si="15"/>
      </c>
      <c r="P56" s="21">
        <f t="shared" si="16"/>
      </c>
      <c r="Q56" s="21">
        <f t="shared" si="17"/>
      </c>
      <c r="R56" s="21">
        <f t="shared" si="18"/>
      </c>
      <c r="S56" s="21">
        <f t="shared" si="19"/>
      </c>
      <c r="T56" s="21">
        <f t="shared" si="20"/>
      </c>
      <c r="U56" s="21">
        <f t="shared" si="21"/>
      </c>
      <c r="V56" s="21">
        <f t="shared" si="22"/>
      </c>
      <c r="W56" s="21">
        <f t="shared" si="23"/>
      </c>
      <c r="AX56" s="2">
        <f t="shared" si="30"/>
        <v>0</v>
      </c>
      <c r="AY56" s="2">
        <f>IF(50&gt;$AZ$300,0,IFERROR(MATCH(50,$AZ$1:$AZ$300,0),0))</f>
        <v>0</v>
      </c>
      <c r="AZ56" s="2">
        <f>AZ50+SUM(CA51:CA56)</f>
        <v>29</v>
      </c>
      <c r="BA56" s="2">
        <f>BA50+SUM(CB51:CB56)</f>
        <v>8</v>
      </c>
      <c r="BB56" s="2">
        <f>BB50+SUM(CC51:CC56)</f>
        <v>8</v>
      </c>
      <c r="BC56" s="2">
        <f>BC50+SUM(CD51:CD56)</f>
        <v>0</v>
      </c>
      <c r="BD56" s="2">
        <f>IF(AND($C$130&lt;&gt;"",资金流水!$J$60=$C$130,ISNUMBER(资金流水!$B$60),ISNUMBER(资金流水!$S$60),资金流水!$S$60&gt;=_辅助!$J$4,资金流水!$S$60&lt;=_辅助!$J$2,OR(资金流水!$X$60="应付材料款",资金流水!$X$60="应付分包款",资金流水!$X$60="应付机械运输费",资金流水!$X$60="应付其他款")),INT(资金流水!$B$60)*10000+55,"")</f>
      </c>
      <c r="BE56" s="2">
        <f>BE50+SUM(CE51:CE56)</f>
        <v>0</v>
      </c>
      <c r="CA56" s="2">
        <f>IF(AND(OR(_余额!$B$58="材料供应商",_余额!$B$58="分包",_余额!$B$58="机械运输",_余额!$B$58="其他"),OR($C$3="全部",_余额!$B$58=$C$3),OR(_余额!$G$58&lt;&gt;0,_余额!$H$58&lt;&gt;0)),1,0)</f>
        <v>0</v>
      </c>
      <c r="CB56" s="2">
        <f>IF(AND(项目档案!$B$59&lt;&gt;"",SUMIFS(期初余额!$R$5:$R$204,期初余额!$Q$5:$Q$204,项目档案!$B$59,期初余额!$V$5:$V$204,IF($C$3="全部","*",$C$3))+SUMIFS(应付登记!$G$5:$G$1004,应付登记!$E$5:$E$1004,项目档案!$B$59,应付登记!$L$5:$L$1004,IF($C$3="全部","*",$C$3),应付登记!$J$5:$J$1004,"&gt;="&amp;_辅助!$J$4,应付登记!$J$5:$J$1004,"&lt;="&amp;_辅助!$J$2)&lt;&gt;0),1,0)</f>
        <v>0</v>
      </c>
      <c r="CC56" s="2">
        <f>IF(AND($C$130&lt;&gt;"",期初余额!$P$60=$C$130),1,0)</f>
        <v>0</v>
      </c>
      <c r="CD56" s="2">
        <f>IF(($C$130&lt;&gt;"")*(应付登记!$D$60=$C$130)*ISNUMBER(应付登记!$J$60)*(应付登记!$J$60&gt;=_辅助!$J$4)*(应付登记!$J$60&lt;=_辅助!$J$2),1,0)</f>
        <v>0</v>
      </c>
      <c r="CE56" s="2">
        <f>IF(($C$130&lt;&gt;"")*(代发抵账!$E$60=$C$130)*(代发抵账!$D$60="总包代付材料分包款")*ISNUMBER(代发抵账!$H$60)*(代发抵账!$H$60&lt;=_辅助!$J$2),1,0)</f>
        <v>0</v>
      </c>
    </row>
    <row r="57">
      <c r="A57" s="94">
        <f>IF($AY57=0,"",51)</f>
      </c>
      <c r="B57" s="96">
        <f t="shared" si="24"/>
      </c>
      <c r="C57" s="94">
        <f t="shared" si="26"/>
      </c>
      <c r="D57" s="21">
        <f t="shared" si="0"/>
      </c>
      <c r="E57" s="21">
        <f t="shared" si="3"/>
      </c>
      <c r="F57" s="21">
        <f t="shared" si="5"/>
      </c>
      <c r="G57" s="22">
        <f t="shared" si="2"/>
      </c>
      <c r="H57" s="21">
        <f t="shared" si="6"/>
      </c>
      <c r="I57" s="21">
        <f t="shared" si="8"/>
      </c>
      <c r="J57" s="95">
        <f t="shared" si="28"/>
      </c>
      <c r="K57" s="21">
        <f t="shared" si="10"/>
      </c>
      <c r="L57" s="21">
        <f t="shared" si="12"/>
      </c>
      <c r="M57" s="21">
        <f t="shared" si="13"/>
      </c>
      <c r="N57" s="21">
        <f t="shared" si="14"/>
      </c>
      <c r="O57" s="21">
        <f t="shared" si="15"/>
      </c>
      <c r="P57" s="21">
        <f t="shared" si="16"/>
      </c>
      <c r="Q57" s="21">
        <f t="shared" si="17"/>
      </c>
      <c r="R57" s="21">
        <f t="shared" si="18"/>
      </c>
      <c r="S57" s="21">
        <f t="shared" si="19"/>
      </c>
      <c r="T57" s="21">
        <f t="shared" si="20"/>
      </c>
      <c r="U57" s="21">
        <f t="shared" si="21"/>
      </c>
      <c r="V57" s="21">
        <f t="shared" si="22"/>
      </c>
      <c r="W57" s="21">
        <f t="shared" si="23"/>
      </c>
      <c r="AX57" s="2">
        <f t="shared" si="30"/>
        <v>0</v>
      </c>
      <c r="AY57" s="2">
        <f>IF(51&gt;$AZ$300,0,IFERROR(MATCH(51,$AZ$1:$AZ$300,0),0))</f>
        <v>0</v>
      </c>
      <c r="AZ57" s="2">
        <f>AZ50+SUM(CA51:CA57)</f>
        <v>29</v>
      </c>
      <c r="BA57" s="2">
        <f>BA50+SUM(CB51:CB57)</f>
        <v>8</v>
      </c>
      <c r="BB57" s="2">
        <f>BB50+SUM(CC51:CC57)</f>
        <v>8</v>
      </c>
      <c r="BC57" s="2">
        <f>BC50+SUM(CD51:CD57)</f>
        <v>0</v>
      </c>
      <c r="BD57" s="2">
        <f>IF(AND($C$130&lt;&gt;"",资金流水!$J$61=$C$130,ISNUMBER(资金流水!$B$61),ISNUMBER(资金流水!$S$61),资金流水!$S$61&gt;=_辅助!$J$4,资金流水!$S$61&lt;=_辅助!$J$2,OR(资金流水!$X$61="应付材料款",资金流水!$X$61="应付分包款",资金流水!$X$61="应付机械运输费",资金流水!$X$61="应付其他款")),INT(资金流水!$B$61)*10000+56,"")</f>
      </c>
      <c r="BE57" s="2">
        <f>BE50+SUM(CE51:CE57)</f>
        <v>0</v>
      </c>
      <c r="CA57" s="2">
        <f>IF(AND(OR(_余额!$B$59="材料供应商",_余额!$B$59="分包",_余额!$B$59="机械运输",_余额!$B$59="其他"),OR($C$3="全部",_余额!$B$59=$C$3),OR(_余额!$G$59&lt;&gt;0,_余额!$H$59&lt;&gt;0)),1,0)</f>
        <v>0</v>
      </c>
      <c r="CB57" s="2">
        <f>IF(AND(项目档案!$B$60&lt;&gt;"",SUMIFS(期初余额!$R$5:$R$204,期初余额!$Q$5:$Q$204,项目档案!$B$60,期初余额!$V$5:$V$204,IF($C$3="全部","*",$C$3))+SUMIFS(应付登记!$G$5:$G$1004,应付登记!$E$5:$E$1004,项目档案!$B$60,应付登记!$L$5:$L$1004,IF($C$3="全部","*",$C$3),应付登记!$J$5:$J$1004,"&gt;="&amp;_辅助!$J$4,应付登记!$J$5:$J$1004,"&lt;="&amp;_辅助!$J$2)&lt;&gt;0),1,0)</f>
        <v>0</v>
      </c>
      <c r="CC57" s="2">
        <f>IF(AND($C$130&lt;&gt;"",期初余额!$P$61=$C$130),1,0)</f>
        <v>0</v>
      </c>
      <c r="CD57" s="2">
        <f>IF(($C$130&lt;&gt;"")*(应付登记!$D$61=$C$130)*ISNUMBER(应付登记!$J$61)*(应付登记!$J$61&gt;=_辅助!$J$4)*(应付登记!$J$61&lt;=_辅助!$J$2),1,0)</f>
        <v>0</v>
      </c>
      <c r="CE57" s="2">
        <f>IF(($C$130&lt;&gt;"")*(代发抵账!$E$61=$C$130)*(代发抵账!$D$61="总包代付材料分包款")*ISNUMBER(代发抵账!$H$61)*(代发抵账!$H$61&lt;=_辅助!$J$2),1,0)</f>
        <v>0</v>
      </c>
    </row>
    <row r="58">
      <c r="A58" s="94">
        <f>IF($AY58=0,"",52)</f>
      </c>
      <c r="B58" s="96">
        <f t="shared" si="24"/>
      </c>
      <c r="C58" s="94">
        <f t="shared" si="26"/>
      </c>
      <c r="D58" s="21">
        <f t="shared" si="0"/>
      </c>
      <c r="E58" s="21">
        <f t="shared" si="3"/>
      </c>
      <c r="F58" s="21">
        <f t="shared" si="5"/>
      </c>
      <c r="G58" s="22">
        <f t="shared" si="2"/>
      </c>
      <c r="H58" s="21">
        <f t="shared" si="6"/>
      </c>
      <c r="I58" s="21">
        <f t="shared" si="8"/>
      </c>
      <c r="J58" s="95">
        <f t="shared" si="28"/>
      </c>
      <c r="K58" s="21">
        <f t="shared" si="10"/>
      </c>
      <c r="L58" s="21">
        <f t="shared" si="12"/>
      </c>
      <c r="M58" s="21">
        <f t="shared" si="13"/>
      </c>
      <c r="N58" s="21">
        <f t="shared" si="14"/>
      </c>
      <c r="O58" s="21">
        <f t="shared" si="15"/>
      </c>
      <c r="P58" s="21">
        <f t="shared" si="16"/>
      </c>
      <c r="Q58" s="21">
        <f t="shared" si="17"/>
      </c>
      <c r="R58" s="21">
        <f t="shared" si="18"/>
      </c>
      <c r="S58" s="21">
        <f t="shared" si="19"/>
      </c>
      <c r="T58" s="21">
        <f t="shared" si="20"/>
      </c>
      <c r="U58" s="21">
        <f t="shared" si="21"/>
      </c>
      <c r="V58" s="21">
        <f t="shared" si="22"/>
      </c>
      <c r="W58" s="21">
        <f t="shared" si="23"/>
      </c>
      <c r="AX58" s="2">
        <f t="shared" si="30"/>
        <v>0</v>
      </c>
      <c r="AY58" s="2">
        <f>IF(52&gt;$AZ$300,0,IFERROR(MATCH(52,$AZ$1:$AZ$300,0),0))</f>
        <v>0</v>
      </c>
      <c r="AZ58" s="2">
        <f>AZ50+SUM(CA51:CA58)</f>
        <v>29</v>
      </c>
      <c r="BA58" s="2">
        <f>BA50+SUM(CB51:CB58)</f>
        <v>8</v>
      </c>
      <c r="BB58" s="2">
        <f>BB50+SUM(CC51:CC58)</f>
        <v>8</v>
      </c>
      <c r="BC58" s="2">
        <f>BC50+SUM(CD51:CD58)</f>
        <v>0</v>
      </c>
      <c r="BD58" s="2">
        <f>IF(AND($C$130&lt;&gt;"",资金流水!$J$62=$C$130,ISNUMBER(资金流水!$B$62),ISNUMBER(资金流水!$S$62),资金流水!$S$62&gt;=_辅助!$J$4,资金流水!$S$62&lt;=_辅助!$J$2,OR(资金流水!$X$62="应付材料款",资金流水!$X$62="应付分包款",资金流水!$X$62="应付机械运输费",资金流水!$X$62="应付其他款")),INT(资金流水!$B$62)*10000+57,"")</f>
      </c>
      <c r="BE58" s="2">
        <f>BE50+SUM(CE51:CE58)</f>
        <v>0</v>
      </c>
      <c r="CA58" s="2">
        <f>IF(AND(OR(_余额!$B$60="材料供应商",_余额!$B$60="分包",_余额!$B$60="机械运输",_余额!$B$60="其他"),OR($C$3="全部",_余额!$B$60=$C$3),OR(_余额!$G$60&lt;&gt;0,_余额!$H$60&lt;&gt;0)),1,0)</f>
        <v>0</v>
      </c>
      <c r="CB58" s="2">
        <f>IF(AND(项目档案!$B$61&lt;&gt;"",SUMIFS(期初余额!$R$5:$R$204,期初余额!$Q$5:$Q$204,项目档案!$B$61,期初余额!$V$5:$V$204,IF($C$3="全部","*",$C$3))+SUMIFS(应付登记!$G$5:$G$1004,应付登记!$E$5:$E$1004,项目档案!$B$61,应付登记!$L$5:$L$1004,IF($C$3="全部","*",$C$3),应付登记!$J$5:$J$1004,"&gt;="&amp;_辅助!$J$4,应付登记!$J$5:$J$1004,"&lt;="&amp;_辅助!$J$2)&lt;&gt;0),1,0)</f>
        <v>0</v>
      </c>
      <c r="CC58" s="2">
        <f>IF(AND($C$130&lt;&gt;"",期初余额!$P$62=$C$130),1,0)</f>
        <v>0</v>
      </c>
      <c r="CD58" s="2">
        <f>IF(($C$130&lt;&gt;"")*(应付登记!$D$62=$C$130)*ISNUMBER(应付登记!$J$62)*(应付登记!$J$62&gt;=_辅助!$J$4)*(应付登记!$J$62&lt;=_辅助!$J$2),1,0)</f>
        <v>0</v>
      </c>
      <c r="CE58" s="2">
        <f>IF(($C$130&lt;&gt;"")*(代发抵账!$E$62=$C$130)*(代发抵账!$D$62="总包代付材料分包款")*ISNUMBER(代发抵账!$H$62)*(代发抵账!$H$62&lt;=_辅助!$J$2),1,0)</f>
        <v>0</v>
      </c>
    </row>
    <row r="59">
      <c r="A59" s="94">
        <f>IF($AY59=0,"",53)</f>
      </c>
      <c r="B59" s="96">
        <f t="shared" si="24"/>
      </c>
      <c r="C59" s="94">
        <f t="shared" si="26"/>
      </c>
      <c r="D59" s="21">
        <f t="shared" si="0"/>
      </c>
      <c r="E59" s="21">
        <f t="shared" si="3"/>
      </c>
      <c r="F59" s="21">
        <f t="shared" si="5"/>
      </c>
      <c r="G59" s="22">
        <f t="shared" si="2"/>
      </c>
      <c r="H59" s="21">
        <f t="shared" si="6"/>
      </c>
      <c r="I59" s="21">
        <f t="shared" si="8"/>
      </c>
      <c r="J59" s="95">
        <f t="shared" si="28"/>
      </c>
      <c r="K59" s="21">
        <f t="shared" si="10"/>
      </c>
      <c r="L59" s="21">
        <f t="shared" si="12"/>
      </c>
      <c r="M59" s="21">
        <f t="shared" si="13"/>
      </c>
      <c r="N59" s="21">
        <f t="shared" si="14"/>
      </c>
      <c r="O59" s="21">
        <f t="shared" si="15"/>
      </c>
      <c r="P59" s="21">
        <f t="shared" si="16"/>
      </c>
      <c r="Q59" s="21">
        <f t="shared" si="17"/>
      </c>
      <c r="R59" s="21">
        <f t="shared" si="18"/>
      </c>
      <c r="S59" s="21">
        <f t="shared" si="19"/>
      </c>
      <c r="T59" s="21">
        <f t="shared" si="20"/>
      </c>
      <c r="U59" s="21">
        <f t="shared" si="21"/>
      </c>
      <c r="V59" s="21">
        <f t="shared" si="22"/>
      </c>
      <c r="W59" s="21">
        <f t="shared" si="23"/>
      </c>
      <c r="AX59" s="2">
        <f t="shared" si="30"/>
        <v>0</v>
      </c>
      <c r="AY59" s="2">
        <f>IF(53&gt;$AZ$300,0,IFERROR(MATCH(53,$AZ$1:$AZ$300,0),0))</f>
        <v>0</v>
      </c>
      <c r="AZ59" s="2">
        <f>AZ50+SUM(CA51:CA59)</f>
        <v>29</v>
      </c>
      <c r="BA59" s="2">
        <f>BA50+SUM(CB51:CB59)</f>
        <v>8</v>
      </c>
      <c r="BB59" s="2">
        <f>BB50+SUM(CC51:CC59)</f>
        <v>8</v>
      </c>
      <c r="BC59" s="2">
        <f>BC50+SUM(CD51:CD59)</f>
        <v>0</v>
      </c>
      <c r="BD59" s="2">
        <f>IF(AND($C$130&lt;&gt;"",资金流水!$J$63=$C$130,ISNUMBER(资金流水!$B$63),ISNUMBER(资金流水!$S$63),资金流水!$S$63&gt;=_辅助!$J$4,资金流水!$S$63&lt;=_辅助!$J$2,OR(资金流水!$X$63="应付材料款",资金流水!$X$63="应付分包款",资金流水!$X$63="应付机械运输费",资金流水!$X$63="应付其他款")),INT(资金流水!$B$63)*10000+58,"")</f>
      </c>
      <c r="BE59" s="2">
        <f>BE50+SUM(CE51:CE59)</f>
        <v>0</v>
      </c>
      <c r="CA59" s="2">
        <f>IF(AND(OR(_余额!$B$61="材料供应商",_余额!$B$61="分包",_余额!$B$61="机械运输",_余额!$B$61="其他"),OR($C$3="全部",_余额!$B$61=$C$3),OR(_余额!$G$61&lt;&gt;0,_余额!$H$61&lt;&gt;0)),1,0)</f>
        <v>0</v>
      </c>
      <c r="CB59" s="2">
        <f>IF(AND(项目档案!$B$62&lt;&gt;"",SUMIFS(期初余额!$R$5:$R$204,期初余额!$Q$5:$Q$204,项目档案!$B$62,期初余额!$V$5:$V$204,IF($C$3="全部","*",$C$3))+SUMIFS(应付登记!$G$5:$G$1004,应付登记!$E$5:$E$1004,项目档案!$B$62,应付登记!$L$5:$L$1004,IF($C$3="全部","*",$C$3),应付登记!$J$5:$J$1004,"&gt;="&amp;_辅助!$J$4,应付登记!$J$5:$J$1004,"&lt;="&amp;_辅助!$J$2)&lt;&gt;0),1,0)</f>
        <v>0</v>
      </c>
      <c r="CC59" s="2">
        <f>IF(AND($C$130&lt;&gt;"",期初余额!$P$63=$C$130),1,0)</f>
        <v>0</v>
      </c>
      <c r="CD59" s="2">
        <f>IF(($C$130&lt;&gt;"")*(应付登记!$D$63=$C$130)*ISNUMBER(应付登记!$J$63)*(应付登记!$J$63&gt;=_辅助!$J$4)*(应付登记!$J$63&lt;=_辅助!$J$2),1,0)</f>
        <v>0</v>
      </c>
      <c r="CE59" s="2">
        <f>IF(($C$130&lt;&gt;"")*(代发抵账!$E$63=$C$130)*(代发抵账!$D$63="总包代付材料分包款")*ISNUMBER(代发抵账!$H$63)*(代发抵账!$H$63&lt;=_辅助!$J$2),1,0)</f>
        <v>0</v>
      </c>
    </row>
    <row r="60">
      <c r="A60" s="94">
        <f>IF($AY60=0,"",54)</f>
      </c>
      <c r="B60" s="96">
        <f t="shared" si="24"/>
      </c>
      <c r="C60" s="94">
        <f t="shared" si="26"/>
      </c>
      <c r="D60" s="21">
        <f t="shared" si="0"/>
      </c>
      <c r="E60" s="21">
        <f t="shared" si="3"/>
      </c>
      <c r="F60" s="21">
        <f t="shared" si="5"/>
      </c>
      <c r="G60" s="22">
        <f t="shared" si="2"/>
      </c>
      <c r="H60" s="21">
        <f t="shared" si="6"/>
      </c>
      <c r="I60" s="21">
        <f t="shared" si="8"/>
      </c>
      <c r="J60" s="95">
        <f t="shared" si="28"/>
      </c>
      <c r="K60" s="21">
        <f t="shared" si="10"/>
      </c>
      <c r="L60" s="21">
        <f t="shared" si="12"/>
      </c>
      <c r="M60" s="21">
        <f t="shared" si="13"/>
      </c>
      <c r="N60" s="21">
        <f t="shared" si="14"/>
      </c>
      <c r="O60" s="21">
        <f t="shared" si="15"/>
      </c>
      <c r="P60" s="21">
        <f t="shared" si="16"/>
      </c>
      <c r="Q60" s="21">
        <f t="shared" si="17"/>
      </c>
      <c r="R60" s="21">
        <f t="shared" si="18"/>
      </c>
      <c r="S60" s="21">
        <f t="shared" si="19"/>
      </c>
      <c r="T60" s="21">
        <f t="shared" si="20"/>
      </c>
      <c r="U60" s="21">
        <f t="shared" si="21"/>
      </c>
      <c r="V60" s="21">
        <f t="shared" si="22"/>
      </c>
      <c r="W60" s="21">
        <f t="shared" si="23"/>
      </c>
      <c r="AX60" s="2">
        <f t="shared" si="30"/>
        <v>0</v>
      </c>
      <c r="AY60" s="2">
        <f>IF(54&gt;$AZ$300,0,IFERROR(MATCH(54,$AZ$1:$AZ$300,0),0))</f>
        <v>0</v>
      </c>
      <c r="AZ60" s="2">
        <f>AZ50+SUM(CA51:CA60)</f>
        <v>29</v>
      </c>
      <c r="BA60" s="2">
        <f>BA50+SUM(CB51:CB60)</f>
        <v>8</v>
      </c>
      <c r="BB60" s="2">
        <f>BB50+SUM(CC51:CC60)</f>
        <v>8</v>
      </c>
      <c r="BC60" s="2">
        <f>BC50+SUM(CD51:CD60)</f>
        <v>0</v>
      </c>
      <c r="BD60" s="2">
        <f>IF(AND($C$130&lt;&gt;"",资金流水!$J$64=$C$130,ISNUMBER(资金流水!$B$64),ISNUMBER(资金流水!$S$64),资金流水!$S$64&gt;=_辅助!$J$4,资金流水!$S$64&lt;=_辅助!$J$2,OR(资金流水!$X$64="应付材料款",资金流水!$X$64="应付分包款",资金流水!$X$64="应付机械运输费",资金流水!$X$64="应付其他款")),INT(资金流水!$B$64)*10000+59,"")</f>
      </c>
      <c r="BE60" s="2">
        <f>BE50+SUM(CE51:CE60)</f>
        <v>0</v>
      </c>
      <c r="CA60" s="2">
        <f>IF(AND(OR(_余额!$B$62="材料供应商",_余额!$B$62="分包",_余额!$B$62="机械运输",_余额!$B$62="其他"),OR($C$3="全部",_余额!$B$62=$C$3),OR(_余额!$G$62&lt;&gt;0,_余额!$H$62&lt;&gt;0)),1,0)</f>
        <v>0</v>
      </c>
      <c r="CB60" s="2">
        <f>IF(AND(项目档案!$B$63&lt;&gt;"",SUMIFS(期初余额!$R$5:$R$204,期初余额!$Q$5:$Q$204,项目档案!$B$63,期初余额!$V$5:$V$204,IF($C$3="全部","*",$C$3))+SUMIFS(应付登记!$G$5:$G$1004,应付登记!$E$5:$E$1004,项目档案!$B$63,应付登记!$L$5:$L$1004,IF($C$3="全部","*",$C$3),应付登记!$J$5:$J$1004,"&gt;="&amp;_辅助!$J$4,应付登记!$J$5:$J$1004,"&lt;="&amp;_辅助!$J$2)&lt;&gt;0),1,0)</f>
        <v>0</v>
      </c>
      <c r="CC60" s="2">
        <f>IF(AND($C$130&lt;&gt;"",期初余额!$P$64=$C$130),1,0)</f>
        <v>0</v>
      </c>
      <c r="CD60" s="2">
        <f>IF(($C$130&lt;&gt;"")*(应付登记!$D$64=$C$130)*ISNUMBER(应付登记!$J$64)*(应付登记!$J$64&gt;=_辅助!$J$4)*(应付登记!$J$64&lt;=_辅助!$J$2),1,0)</f>
        <v>0</v>
      </c>
      <c r="CE60" s="2">
        <f>IF(($C$130&lt;&gt;"")*(代发抵账!$E$64=$C$130)*(代发抵账!$D$64="总包代付材料分包款")*ISNUMBER(代发抵账!$H$64)*(代发抵账!$H$64&lt;=_辅助!$J$2),1,0)</f>
        <v>0</v>
      </c>
    </row>
    <row r="61">
      <c r="A61" s="94">
        <f>IF($AY61=0,"",55)</f>
      </c>
      <c r="B61" s="96">
        <f t="shared" si="24"/>
      </c>
      <c r="C61" s="94">
        <f t="shared" si="26"/>
      </c>
      <c r="D61" s="21">
        <f t="shared" si="0"/>
      </c>
      <c r="E61" s="21">
        <f t="shared" si="3"/>
      </c>
      <c r="F61" s="21">
        <f t="shared" si="5"/>
      </c>
      <c r="G61" s="22">
        <f t="shared" si="2"/>
      </c>
      <c r="H61" s="21">
        <f t="shared" si="6"/>
      </c>
      <c r="I61" s="21">
        <f t="shared" si="8"/>
      </c>
      <c r="J61" s="95">
        <f t="shared" si="28"/>
      </c>
      <c r="K61" s="21">
        <f t="shared" si="10"/>
      </c>
      <c r="L61" s="21">
        <f t="shared" si="12"/>
      </c>
      <c r="M61" s="21">
        <f t="shared" si="13"/>
      </c>
      <c r="N61" s="21">
        <f t="shared" si="14"/>
      </c>
      <c r="O61" s="21">
        <f t="shared" si="15"/>
      </c>
      <c r="P61" s="21">
        <f t="shared" si="16"/>
      </c>
      <c r="Q61" s="21">
        <f t="shared" si="17"/>
      </c>
      <c r="R61" s="21">
        <f t="shared" si="18"/>
      </c>
      <c r="S61" s="21">
        <f t="shared" si="19"/>
      </c>
      <c r="T61" s="21">
        <f t="shared" si="20"/>
      </c>
      <c r="U61" s="21">
        <f t="shared" si="21"/>
      </c>
      <c r="V61" s="21">
        <f t="shared" si="22"/>
      </c>
      <c r="W61" s="21">
        <f t="shared" si="23"/>
      </c>
      <c r="AX61" s="2">
        <f t="shared" si="30"/>
        <v>0</v>
      </c>
      <c r="AY61" s="2">
        <f>IF(55&gt;$AZ$300,0,IFERROR(MATCH(55,$AZ$1:$AZ$300,0),0))</f>
        <v>0</v>
      </c>
      <c r="AZ61" s="2">
        <f>AZ50+SUM(CA51:CA61)</f>
        <v>29</v>
      </c>
      <c r="BB61" s="2">
        <f>BB50+SUM(CC51:CC61)</f>
        <v>8</v>
      </c>
      <c r="BC61" s="2">
        <f>BC50+SUM(CD51:CD61)</f>
        <v>0</v>
      </c>
      <c r="BD61" s="2">
        <f>IF(AND($C$130&lt;&gt;"",资金流水!$J$65=$C$130,ISNUMBER(资金流水!$B$65),ISNUMBER(资金流水!$S$65),资金流水!$S$65&gt;=_辅助!$J$4,资金流水!$S$65&lt;=_辅助!$J$2,OR(资金流水!$X$65="应付材料款",资金流水!$X$65="应付分包款",资金流水!$X$65="应付机械运输费",资金流水!$X$65="应付其他款")),INT(资金流水!$B$65)*10000+60,"")</f>
      </c>
      <c r="BE61" s="2">
        <f>BE50+SUM(CE51:CE61)</f>
        <v>0</v>
      </c>
      <c r="CA61" s="2">
        <f>IF(AND(OR(_余额!$B$63="材料供应商",_余额!$B$63="分包",_余额!$B$63="机械运输",_余额!$B$63="其他"),OR($C$3="全部",_余额!$B$63=$C$3),OR(_余额!$G$63&lt;&gt;0,_余额!$H$63&lt;&gt;0)),1,0)</f>
        <v>0</v>
      </c>
      <c r="CC61" s="2">
        <f>IF(AND($C$130&lt;&gt;"",期初余额!$P$65=$C$130),1,0)</f>
        <v>0</v>
      </c>
      <c r="CD61" s="2">
        <f>IF(($C$130&lt;&gt;"")*(应付登记!$D$65=$C$130)*ISNUMBER(应付登记!$J$65)*(应付登记!$J$65&gt;=_辅助!$J$4)*(应付登记!$J$65&lt;=_辅助!$J$2),1,0)</f>
        <v>0</v>
      </c>
      <c r="CE61" s="2">
        <f>IF(($C$130&lt;&gt;"")*(代发抵账!$E$65=$C$130)*(代发抵账!$D$65="总包代付材料分包款")*ISNUMBER(代发抵账!$H$65)*(代发抵账!$H$65&lt;=_辅助!$J$2),1,0)</f>
        <v>0</v>
      </c>
    </row>
    <row r="62">
      <c r="A62" s="94">
        <f>IF($AY62=0,"",56)</f>
      </c>
      <c r="B62" s="96">
        <f t="shared" si="24"/>
      </c>
      <c r="C62" s="94">
        <f t="shared" si="26"/>
      </c>
      <c r="D62" s="21">
        <f t="shared" si="0"/>
      </c>
      <c r="E62" s="21">
        <f t="shared" si="3"/>
      </c>
      <c r="F62" s="21">
        <f t="shared" si="5"/>
      </c>
      <c r="G62" s="22">
        <f t="shared" si="2"/>
      </c>
      <c r="H62" s="21">
        <f t="shared" si="6"/>
      </c>
      <c r="I62" s="21">
        <f t="shared" si="8"/>
      </c>
      <c r="J62" s="95">
        <f t="shared" si="28"/>
      </c>
      <c r="K62" s="21">
        <f t="shared" si="10"/>
      </c>
      <c r="L62" s="21">
        <f t="shared" si="12"/>
      </c>
      <c r="M62" s="21">
        <f t="shared" si="13"/>
      </c>
      <c r="N62" s="21">
        <f t="shared" si="14"/>
      </c>
      <c r="O62" s="21">
        <f t="shared" si="15"/>
      </c>
      <c r="P62" s="21">
        <f t="shared" si="16"/>
      </c>
      <c r="Q62" s="21">
        <f t="shared" si="17"/>
      </c>
      <c r="R62" s="21">
        <f t="shared" si="18"/>
      </c>
      <c r="S62" s="21">
        <f t="shared" si="19"/>
      </c>
      <c r="T62" s="21">
        <f t="shared" si="20"/>
      </c>
      <c r="U62" s="21">
        <f t="shared" si="21"/>
      </c>
      <c r="V62" s="21">
        <f t="shared" si="22"/>
      </c>
      <c r="W62" s="21">
        <f t="shared" si="23"/>
      </c>
      <c r="AX62" s="2">
        <f t="shared" si="30"/>
        <v>0</v>
      </c>
      <c r="AY62" s="2">
        <f>IF(56&gt;$AZ$300,0,IFERROR(MATCH(56,$AZ$1:$AZ$300,0),0))</f>
        <v>0</v>
      </c>
      <c r="AZ62" s="2">
        <f>AZ50+SUM(CA51:CA62)</f>
        <v>29</v>
      </c>
      <c r="BB62" s="2">
        <f>BB50+SUM(CC51:CC62)</f>
        <v>8</v>
      </c>
      <c r="BC62" s="2">
        <f>BC50+SUM(CD51:CD62)</f>
        <v>0</v>
      </c>
      <c r="BD62" s="2">
        <f>IF(AND($C$130&lt;&gt;"",资金流水!$J$66=$C$130,ISNUMBER(资金流水!$B$66),ISNUMBER(资金流水!$S$66),资金流水!$S$66&gt;=_辅助!$J$4,资金流水!$S$66&lt;=_辅助!$J$2,OR(资金流水!$X$66="应付材料款",资金流水!$X$66="应付分包款",资金流水!$X$66="应付机械运输费",资金流水!$X$66="应付其他款")),INT(资金流水!$B$66)*10000+61,"")</f>
      </c>
      <c r="BE62" s="2">
        <f>BE50+SUM(CE51:CE62)</f>
        <v>0</v>
      </c>
      <c r="CA62" s="2">
        <f>IF(AND(OR(_余额!$B$64="材料供应商",_余额!$B$64="分包",_余额!$B$64="机械运输",_余额!$B$64="其他"),OR($C$3="全部",_余额!$B$64=$C$3),OR(_余额!$G$64&lt;&gt;0,_余额!$H$64&lt;&gt;0)),1,0)</f>
        <v>0</v>
      </c>
      <c r="CC62" s="2">
        <f>IF(AND($C$130&lt;&gt;"",期初余额!$P$66=$C$130),1,0)</f>
        <v>0</v>
      </c>
      <c r="CD62" s="2">
        <f>IF(($C$130&lt;&gt;"")*(应付登记!$D$66=$C$130)*ISNUMBER(应付登记!$J$66)*(应付登记!$J$66&gt;=_辅助!$J$4)*(应付登记!$J$66&lt;=_辅助!$J$2),1,0)</f>
        <v>0</v>
      </c>
      <c r="CE62" s="2">
        <f>IF(($C$130&lt;&gt;"")*(代发抵账!$E$66=$C$130)*(代发抵账!$D$66="总包代付材料分包款")*ISNUMBER(代发抵账!$H$66)*(代发抵账!$H$66&lt;=_辅助!$J$2),1,0)</f>
        <v>0</v>
      </c>
    </row>
    <row r="63">
      <c r="A63" s="94">
        <f>IF($AY63=0,"",57)</f>
      </c>
      <c r="B63" s="96">
        <f t="shared" si="24"/>
      </c>
      <c r="C63" s="94">
        <f t="shared" si="26"/>
      </c>
      <c r="D63" s="21">
        <f t="shared" si="0"/>
      </c>
      <c r="E63" s="21">
        <f t="shared" si="3"/>
      </c>
      <c r="F63" s="21">
        <f t="shared" si="5"/>
      </c>
      <c r="G63" s="22">
        <f t="shared" si="2"/>
      </c>
      <c r="H63" s="21">
        <f t="shared" si="6"/>
      </c>
      <c r="I63" s="21">
        <f t="shared" si="8"/>
      </c>
      <c r="J63" s="95">
        <f t="shared" si="28"/>
      </c>
      <c r="K63" s="21">
        <f t="shared" si="10"/>
      </c>
      <c r="L63" s="21">
        <f t="shared" si="12"/>
      </c>
      <c r="M63" s="21">
        <f t="shared" si="13"/>
      </c>
      <c r="N63" s="21">
        <f t="shared" si="14"/>
      </c>
      <c r="O63" s="21">
        <f t="shared" si="15"/>
      </c>
      <c r="P63" s="21">
        <f t="shared" si="16"/>
      </c>
      <c r="Q63" s="21">
        <f t="shared" si="17"/>
      </c>
      <c r="R63" s="21">
        <f t="shared" si="18"/>
      </c>
      <c r="S63" s="21">
        <f t="shared" si="19"/>
      </c>
      <c r="T63" s="21">
        <f t="shared" si="20"/>
      </c>
      <c r="U63" s="21">
        <f t="shared" si="21"/>
      </c>
      <c r="V63" s="21">
        <f t="shared" si="22"/>
      </c>
      <c r="W63" s="21">
        <f t="shared" si="23"/>
      </c>
      <c r="AX63" s="2">
        <f t="shared" si="30"/>
        <v>0</v>
      </c>
      <c r="AY63" s="2">
        <f>IF(57&gt;$AZ$300,0,IFERROR(MATCH(57,$AZ$1:$AZ$300,0),0))</f>
        <v>0</v>
      </c>
      <c r="AZ63" s="2">
        <f>AZ50+SUM(CA51:CA63)</f>
        <v>29</v>
      </c>
      <c r="BB63" s="2">
        <f>BB50+SUM(CC51:CC63)</f>
        <v>8</v>
      </c>
      <c r="BC63" s="2">
        <f>BC50+SUM(CD51:CD63)</f>
        <v>0</v>
      </c>
      <c r="BD63" s="2">
        <f>IF(AND($C$130&lt;&gt;"",资金流水!$J$67=$C$130,ISNUMBER(资金流水!$B$67),ISNUMBER(资金流水!$S$67),资金流水!$S$67&gt;=_辅助!$J$4,资金流水!$S$67&lt;=_辅助!$J$2,OR(资金流水!$X$67="应付材料款",资金流水!$X$67="应付分包款",资金流水!$X$67="应付机械运输费",资金流水!$X$67="应付其他款")),INT(资金流水!$B$67)*10000+62,"")</f>
      </c>
      <c r="BE63" s="2">
        <f>BE50+SUM(CE51:CE63)</f>
        <v>0</v>
      </c>
      <c r="CA63" s="2">
        <f>IF(AND(OR(_余额!$B$65="材料供应商",_余额!$B$65="分包",_余额!$B$65="机械运输",_余额!$B$65="其他"),OR($C$3="全部",_余额!$B$65=$C$3),OR(_余额!$G$65&lt;&gt;0,_余额!$H$65&lt;&gt;0)),1,0)</f>
        <v>0</v>
      </c>
      <c r="CC63" s="2">
        <f>IF(AND($C$130&lt;&gt;"",期初余额!$P$67=$C$130),1,0)</f>
        <v>0</v>
      </c>
      <c r="CD63" s="2">
        <f>IF(($C$130&lt;&gt;"")*(应付登记!$D$67=$C$130)*ISNUMBER(应付登记!$J$67)*(应付登记!$J$67&gt;=_辅助!$J$4)*(应付登记!$J$67&lt;=_辅助!$J$2),1,0)</f>
        <v>0</v>
      </c>
      <c r="CE63" s="2">
        <f>IF(($C$130&lt;&gt;"")*(代发抵账!$E$67=$C$130)*(代发抵账!$D$67="总包代付材料分包款")*ISNUMBER(代发抵账!$H$67)*(代发抵账!$H$67&lt;=_辅助!$J$2),1,0)</f>
        <v>0</v>
      </c>
    </row>
    <row r="64">
      <c r="A64" s="94">
        <f>IF($AY64=0,"",58)</f>
      </c>
      <c r="B64" s="96">
        <f t="shared" si="24"/>
      </c>
      <c r="C64" s="94">
        <f t="shared" si="26"/>
      </c>
      <c r="D64" s="21">
        <f t="shared" si="0"/>
      </c>
      <c r="E64" s="21">
        <f t="shared" si="3"/>
      </c>
      <c r="F64" s="21">
        <f t="shared" si="5"/>
      </c>
      <c r="G64" s="22">
        <f t="shared" si="2"/>
      </c>
      <c r="H64" s="21">
        <f t="shared" si="6"/>
      </c>
      <c r="I64" s="21">
        <f t="shared" si="8"/>
      </c>
      <c r="J64" s="95">
        <f t="shared" si="28"/>
      </c>
      <c r="K64" s="21">
        <f t="shared" si="10"/>
      </c>
      <c r="L64" s="21">
        <f t="shared" si="12"/>
      </c>
      <c r="M64" s="21">
        <f t="shared" si="13"/>
      </c>
      <c r="N64" s="21">
        <f t="shared" si="14"/>
      </c>
      <c r="O64" s="21">
        <f t="shared" si="15"/>
      </c>
      <c r="P64" s="21">
        <f t="shared" si="16"/>
      </c>
      <c r="Q64" s="21">
        <f t="shared" si="17"/>
      </c>
      <c r="R64" s="21">
        <f t="shared" si="18"/>
      </c>
      <c r="S64" s="21">
        <f t="shared" si="19"/>
      </c>
      <c r="T64" s="21">
        <f t="shared" si="20"/>
      </c>
      <c r="U64" s="21">
        <f t="shared" si="21"/>
      </c>
      <c r="V64" s="21">
        <f t="shared" si="22"/>
      </c>
      <c r="W64" s="21">
        <f t="shared" si="23"/>
      </c>
      <c r="AX64" s="2">
        <f t="shared" si="30"/>
        <v>0</v>
      </c>
      <c r="AY64" s="2">
        <f>IF(58&gt;$AZ$300,0,IFERROR(MATCH(58,$AZ$1:$AZ$300,0),0))</f>
        <v>0</v>
      </c>
      <c r="AZ64" s="2">
        <f>AZ50+SUM(CA51:CA64)</f>
        <v>29</v>
      </c>
      <c r="BB64" s="2">
        <f>BB50+SUM(CC51:CC64)</f>
        <v>8</v>
      </c>
      <c r="BC64" s="2">
        <f>BC50+SUM(CD51:CD64)</f>
        <v>0</v>
      </c>
      <c r="BD64" s="2">
        <f>IF(AND($C$130&lt;&gt;"",资金流水!$J$68=$C$130,ISNUMBER(资金流水!$B$68),ISNUMBER(资金流水!$S$68),资金流水!$S$68&gt;=_辅助!$J$4,资金流水!$S$68&lt;=_辅助!$J$2,OR(资金流水!$X$68="应付材料款",资金流水!$X$68="应付分包款",资金流水!$X$68="应付机械运输费",资金流水!$X$68="应付其他款")),INT(资金流水!$B$68)*10000+63,"")</f>
      </c>
      <c r="BE64" s="2">
        <f>BE50+SUM(CE51:CE64)</f>
        <v>0</v>
      </c>
      <c r="CA64" s="2">
        <f>IF(AND(OR(_余额!$B$66="材料供应商",_余额!$B$66="分包",_余额!$B$66="机械运输",_余额!$B$66="其他"),OR($C$3="全部",_余额!$B$66=$C$3),OR(_余额!$G$66&lt;&gt;0,_余额!$H$66&lt;&gt;0)),1,0)</f>
        <v>0</v>
      </c>
      <c r="CC64" s="2">
        <f>IF(AND($C$130&lt;&gt;"",期初余额!$P$68=$C$130),1,0)</f>
        <v>0</v>
      </c>
      <c r="CD64" s="2">
        <f>IF(($C$130&lt;&gt;"")*(应付登记!$D$68=$C$130)*ISNUMBER(应付登记!$J$68)*(应付登记!$J$68&gt;=_辅助!$J$4)*(应付登记!$J$68&lt;=_辅助!$J$2),1,0)</f>
        <v>0</v>
      </c>
      <c r="CE64" s="2">
        <f>IF(($C$130&lt;&gt;"")*(代发抵账!$E$68=$C$130)*(代发抵账!$D$68="总包代付材料分包款")*ISNUMBER(代发抵账!$H$68)*(代发抵账!$H$68&lt;=_辅助!$J$2),1,0)</f>
        <v>0</v>
      </c>
    </row>
    <row r="65">
      <c r="A65" s="94">
        <f>IF($AY65=0,"",59)</f>
      </c>
      <c r="B65" s="96">
        <f t="shared" si="24"/>
      </c>
      <c r="C65" s="94">
        <f t="shared" si="26"/>
      </c>
      <c r="D65" s="21">
        <f t="shared" si="0"/>
      </c>
      <c r="E65" s="21">
        <f t="shared" si="3"/>
      </c>
      <c r="F65" s="21">
        <f t="shared" si="5"/>
      </c>
      <c r="G65" s="22">
        <f t="shared" si="2"/>
      </c>
      <c r="H65" s="21">
        <f t="shared" si="6"/>
      </c>
      <c r="I65" s="21">
        <f t="shared" si="8"/>
      </c>
      <c r="J65" s="95">
        <f t="shared" si="28"/>
      </c>
      <c r="K65" s="21">
        <f t="shared" si="10"/>
      </c>
      <c r="L65" s="21">
        <f t="shared" si="12"/>
      </c>
      <c r="M65" s="21">
        <f t="shared" si="13"/>
      </c>
      <c r="N65" s="21">
        <f t="shared" si="14"/>
      </c>
      <c r="O65" s="21">
        <f t="shared" si="15"/>
      </c>
      <c r="P65" s="21">
        <f t="shared" si="16"/>
      </c>
      <c r="Q65" s="21">
        <f t="shared" si="17"/>
      </c>
      <c r="R65" s="21">
        <f t="shared" si="18"/>
      </c>
      <c r="S65" s="21">
        <f t="shared" si="19"/>
      </c>
      <c r="T65" s="21">
        <f t="shared" si="20"/>
      </c>
      <c r="U65" s="21">
        <f t="shared" si="21"/>
      </c>
      <c r="V65" s="21">
        <f t="shared" si="22"/>
      </c>
      <c r="W65" s="21">
        <f t="shared" si="23"/>
      </c>
      <c r="AX65" s="2">
        <f t="shared" si="30"/>
        <v>0</v>
      </c>
      <c r="AY65" s="2">
        <f>IF(59&gt;$AZ$300,0,IFERROR(MATCH(59,$AZ$1:$AZ$300,0),0))</f>
        <v>0</v>
      </c>
      <c r="AZ65" s="2">
        <f>AZ50+SUM(CA51:CA65)</f>
        <v>29</v>
      </c>
      <c r="BB65" s="2">
        <f>BB50+SUM(CC51:CC65)</f>
        <v>8</v>
      </c>
      <c r="BC65" s="2">
        <f>BC50+SUM(CD51:CD65)</f>
        <v>0</v>
      </c>
      <c r="BD65" s="2">
        <f>IF(AND($C$130&lt;&gt;"",资金流水!$J$69=$C$130,ISNUMBER(资金流水!$B$69),ISNUMBER(资金流水!$S$69),资金流水!$S$69&gt;=_辅助!$J$4,资金流水!$S$69&lt;=_辅助!$J$2,OR(资金流水!$X$69="应付材料款",资金流水!$X$69="应付分包款",资金流水!$X$69="应付机械运输费",资金流水!$X$69="应付其他款")),INT(资金流水!$B$69)*10000+64,"")</f>
      </c>
      <c r="BE65" s="2">
        <f>BE50+SUM(CE51:CE65)</f>
        <v>0</v>
      </c>
      <c r="CA65" s="2">
        <f>IF(AND(OR(_余额!$B$67="材料供应商",_余额!$B$67="分包",_余额!$B$67="机械运输",_余额!$B$67="其他"),OR($C$3="全部",_余额!$B$67=$C$3),OR(_余额!$G$67&lt;&gt;0,_余额!$H$67&lt;&gt;0)),1,0)</f>
        <v>0</v>
      </c>
      <c r="CC65" s="2">
        <f>IF(AND($C$130&lt;&gt;"",期初余额!$P$69=$C$130),1,0)</f>
        <v>0</v>
      </c>
      <c r="CD65" s="2">
        <f>IF(($C$130&lt;&gt;"")*(应付登记!$D$69=$C$130)*ISNUMBER(应付登记!$J$69)*(应付登记!$J$69&gt;=_辅助!$J$4)*(应付登记!$J$69&lt;=_辅助!$J$2),1,0)</f>
        <v>0</v>
      </c>
      <c r="CE65" s="2">
        <f>IF(($C$130&lt;&gt;"")*(代发抵账!$E$69=$C$130)*(代发抵账!$D$69="总包代付材料分包款")*ISNUMBER(代发抵账!$H$69)*(代发抵账!$H$69&lt;=_辅助!$J$2),1,0)</f>
        <v>0</v>
      </c>
    </row>
    <row r="66">
      <c r="A66" s="94">
        <f>IF($AY66=0,"",60)</f>
      </c>
      <c r="B66" s="96">
        <f t="shared" si="24"/>
      </c>
      <c r="C66" s="94">
        <f t="shared" si="26"/>
      </c>
      <c r="D66" s="21">
        <f t="shared" si="0"/>
      </c>
      <c r="E66" s="21">
        <f t="shared" si="3"/>
      </c>
      <c r="F66" s="21">
        <f t="shared" si="5"/>
      </c>
      <c r="G66" s="22">
        <f t="shared" si="2"/>
      </c>
      <c r="H66" s="21">
        <f t="shared" si="6"/>
      </c>
      <c r="I66" s="21">
        <f t="shared" si="8"/>
      </c>
      <c r="J66" s="95">
        <f t="shared" si="28"/>
      </c>
      <c r="K66" s="21">
        <f t="shared" si="10"/>
      </c>
      <c r="L66" s="21">
        <f t="shared" si="12"/>
      </c>
      <c r="M66" s="21">
        <f t="shared" si="13"/>
      </c>
      <c r="N66" s="21">
        <f t="shared" si="14"/>
      </c>
      <c r="O66" s="21">
        <f t="shared" si="15"/>
      </c>
      <c r="P66" s="21">
        <f t="shared" si="16"/>
      </c>
      <c r="Q66" s="21">
        <f t="shared" si="17"/>
      </c>
      <c r="R66" s="21">
        <f t="shared" si="18"/>
      </c>
      <c r="S66" s="21">
        <f t="shared" si="19"/>
      </c>
      <c r="T66" s="21">
        <f t="shared" si="20"/>
      </c>
      <c r="U66" s="21">
        <f t="shared" si="21"/>
      </c>
      <c r="V66" s="21">
        <f t="shared" si="22"/>
      </c>
      <c r="W66" s="21">
        <f t="shared" si="23"/>
      </c>
      <c r="AX66" s="2">
        <f t="shared" si="30"/>
        <v>0</v>
      </c>
      <c r="AY66" s="2">
        <f>IF(60&gt;$AZ$300,0,IFERROR(MATCH(60,$AZ$1:$AZ$300,0),0))</f>
        <v>0</v>
      </c>
      <c r="AZ66" s="2">
        <f>AZ50+SUM(CA51:CA66)</f>
        <v>29</v>
      </c>
      <c r="BB66" s="2">
        <f>BB50+SUM(CC51:CC66)</f>
        <v>8</v>
      </c>
      <c r="BC66" s="2">
        <f>BC50+SUM(CD51:CD66)</f>
        <v>0</v>
      </c>
      <c r="BD66" s="2">
        <f>IF(AND($C$130&lt;&gt;"",资金流水!$J$70=$C$130,ISNUMBER(资金流水!$B$70),ISNUMBER(资金流水!$S$70),资金流水!$S$70&gt;=_辅助!$J$4,资金流水!$S$70&lt;=_辅助!$J$2,OR(资金流水!$X$70="应付材料款",资金流水!$X$70="应付分包款",资金流水!$X$70="应付机械运输费",资金流水!$X$70="应付其他款")),INT(资金流水!$B$70)*10000+65,"")</f>
      </c>
      <c r="BE66" s="2">
        <f>BE50+SUM(CE51:CE66)</f>
        <v>0</v>
      </c>
      <c r="CA66" s="2">
        <f>IF(AND(OR(_余额!$B$68="材料供应商",_余额!$B$68="分包",_余额!$B$68="机械运输",_余额!$B$68="其他"),OR($C$3="全部",_余额!$B$68=$C$3),OR(_余额!$G$68&lt;&gt;0,_余额!$H$68&lt;&gt;0)),1,0)</f>
        <v>0</v>
      </c>
      <c r="CC66" s="2">
        <f>IF(AND($C$130&lt;&gt;"",期初余额!$P$70=$C$130),1,0)</f>
        <v>0</v>
      </c>
      <c r="CD66" s="2">
        <f>IF(($C$130&lt;&gt;"")*(应付登记!$D$70=$C$130)*ISNUMBER(应付登记!$J$70)*(应付登记!$J$70&gt;=_辅助!$J$4)*(应付登记!$J$70&lt;=_辅助!$J$2),1,0)</f>
        <v>0</v>
      </c>
      <c r="CE66" s="2">
        <f>IF(($C$130&lt;&gt;"")*(代发抵账!$E$70=$C$130)*(代发抵账!$D$70="总包代付材料分包款")*ISNUMBER(代发抵账!$H$70)*(代发抵账!$H$70&lt;=_辅助!$J$2),1,0)</f>
        <v>0</v>
      </c>
    </row>
    <row r="67">
      <c r="A67" s="94">
        <f>IF($AY67=0,"",61)</f>
      </c>
      <c r="B67" s="96">
        <f t="shared" si="24"/>
      </c>
      <c r="C67" s="94">
        <f t="shared" si="26"/>
      </c>
      <c r="D67" s="21">
        <f t="shared" si="0"/>
      </c>
      <c r="E67" s="21">
        <f t="shared" si="3"/>
      </c>
      <c r="F67" s="21">
        <f t="shared" si="5"/>
      </c>
      <c r="G67" s="22">
        <f t="shared" si="2"/>
      </c>
      <c r="H67" s="21">
        <f t="shared" si="6"/>
      </c>
      <c r="I67" s="21">
        <f t="shared" si="8"/>
      </c>
      <c r="J67" s="95">
        <f t="shared" si="28"/>
      </c>
      <c r="K67" s="21">
        <f t="shared" si="10"/>
      </c>
      <c r="L67" s="21">
        <f t="shared" si="12"/>
      </c>
      <c r="M67" s="21">
        <f t="shared" si="13"/>
      </c>
      <c r="N67" s="21">
        <f t="shared" si="14"/>
      </c>
      <c r="O67" s="21">
        <f t="shared" si="15"/>
      </c>
      <c r="P67" s="21">
        <f t="shared" si="16"/>
      </c>
      <c r="Q67" s="21">
        <f t="shared" si="17"/>
      </c>
      <c r="R67" s="21">
        <f t="shared" si="18"/>
      </c>
      <c r="S67" s="21">
        <f t="shared" si="19"/>
      </c>
      <c r="T67" s="21">
        <f t="shared" si="20"/>
      </c>
      <c r="U67" s="21">
        <f t="shared" si="21"/>
      </c>
      <c r="V67" s="21">
        <f t="shared" si="22"/>
      </c>
      <c r="W67" s="21">
        <f t="shared" si="23"/>
      </c>
      <c r="AX67" s="2">
        <f t="shared" si="30"/>
        <v>0</v>
      </c>
      <c r="AY67" s="2">
        <f>IF(61&gt;$AZ$300,0,IFERROR(MATCH(61,$AZ$1:$AZ$300,0),0))</f>
        <v>0</v>
      </c>
      <c r="AZ67" s="2">
        <f>AZ50+SUM(CA51:CA67)</f>
        <v>29</v>
      </c>
      <c r="BB67" s="2">
        <f>BB50+SUM(CC51:CC67)</f>
        <v>8</v>
      </c>
      <c r="BC67" s="2">
        <f>BC50+SUM(CD51:CD67)</f>
        <v>0</v>
      </c>
      <c r="BD67" s="2">
        <f>IF(AND($C$130&lt;&gt;"",资金流水!$J$71=$C$130,ISNUMBER(资金流水!$B$71),ISNUMBER(资金流水!$S$71),资金流水!$S$71&gt;=_辅助!$J$4,资金流水!$S$71&lt;=_辅助!$J$2,OR(资金流水!$X$71="应付材料款",资金流水!$X$71="应付分包款",资金流水!$X$71="应付机械运输费",资金流水!$X$71="应付其他款")),INT(资金流水!$B$71)*10000+66,"")</f>
      </c>
      <c r="BE67" s="2">
        <f>BE50+SUM(CE51:CE67)</f>
        <v>0</v>
      </c>
      <c r="CA67" s="2">
        <f>IF(AND(OR(_余额!$B$69="材料供应商",_余额!$B$69="分包",_余额!$B$69="机械运输",_余额!$B$69="其他"),OR($C$3="全部",_余额!$B$69=$C$3),OR(_余额!$G$69&lt;&gt;0,_余额!$H$69&lt;&gt;0)),1,0)</f>
        <v>0</v>
      </c>
      <c r="CC67" s="2">
        <f>IF(AND($C$130&lt;&gt;"",期初余额!$P$71=$C$130),1,0)</f>
        <v>0</v>
      </c>
      <c r="CD67" s="2">
        <f>IF(($C$130&lt;&gt;"")*(应付登记!$D$71=$C$130)*ISNUMBER(应付登记!$J$71)*(应付登记!$J$71&gt;=_辅助!$J$4)*(应付登记!$J$71&lt;=_辅助!$J$2),1,0)</f>
        <v>0</v>
      </c>
      <c r="CE67" s="2">
        <f>IF(($C$130&lt;&gt;"")*(代发抵账!$E$71=$C$130)*(代发抵账!$D$71="总包代付材料分包款")*ISNUMBER(代发抵账!$H$71)*(代发抵账!$H$71&lt;=_辅助!$J$2),1,0)</f>
        <v>0</v>
      </c>
    </row>
    <row r="68">
      <c r="A68" s="94">
        <f>IF($AY68=0,"",62)</f>
      </c>
      <c r="B68" s="96">
        <f t="shared" si="24"/>
      </c>
      <c r="C68" s="94">
        <f t="shared" si="26"/>
      </c>
      <c r="D68" s="21">
        <f t="shared" si="0"/>
      </c>
      <c r="E68" s="21">
        <f t="shared" si="3"/>
      </c>
      <c r="F68" s="21">
        <f t="shared" si="5"/>
      </c>
      <c r="G68" s="22">
        <f t="shared" si="2"/>
      </c>
      <c r="H68" s="21">
        <f t="shared" si="6"/>
      </c>
      <c r="I68" s="21">
        <f t="shared" si="8"/>
      </c>
      <c r="J68" s="95">
        <f t="shared" si="28"/>
      </c>
      <c r="K68" s="21">
        <f t="shared" si="10"/>
      </c>
      <c r="L68" s="21">
        <f t="shared" si="12"/>
      </c>
      <c r="M68" s="21">
        <f t="shared" si="13"/>
      </c>
      <c r="N68" s="21">
        <f t="shared" si="14"/>
      </c>
      <c r="O68" s="21">
        <f t="shared" si="15"/>
      </c>
      <c r="P68" s="21">
        <f t="shared" si="16"/>
      </c>
      <c r="Q68" s="21">
        <f t="shared" si="17"/>
      </c>
      <c r="R68" s="21">
        <f t="shared" si="18"/>
      </c>
      <c r="S68" s="21">
        <f t="shared" si="19"/>
      </c>
      <c r="T68" s="21">
        <f t="shared" si="20"/>
      </c>
      <c r="U68" s="21">
        <f t="shared" si="21"/>
      </c>
      <c r="V68" s="21">
        <f t="shared" si="22"/>
      </c>
      <c r="W68" s="21">
        <f t="shared" si="23"/>
      </c>
      <c r="AX68" s="2">
        <f t="shared" si="30"/>
        <v>0</v>
      </c>
      <c r="AY68" s="2">
        <f>IF(62&gt;$AZ$300,0,IFERROR(MATCH(62,$AZ$1:$AZ$300,0),0))</f>
        <v>0</v>
      </c>
      <c r="AZ68" s="2">
        <f>AZ50+SUM(CA51:CA68)</f>
        <v>29</v>
      </c>
      <c r="BB68" s="2">
        <f>BB50+SUM(CC51:CC68)</f>
        <v>8</v>
      </c>
      <c r="BC68" s="2">
        <f>BC50+SUM(CD51:CD68)</f>
        <v>0</v>
      </c>
      <c r="BD68" s="2">
        <f>IF(AND($C$130&lt;&gt;"",资金流水!$J$72=$C$130,ISNUMBER(资金流水!$B$72),ISNUMBER(资金流水!$S$72),资金流水!$S$72&gt;=_辅助!$J$4,资金流水!$S$72&lt;=_辅助!$J$2,OR(资金流水!$X$72="应付材料款",资金流水!$X$72="应付分包款",资金流水!$X$72="应付机械运输费",资金流水!$X$72="应付其他款")),INT(资金流水!$B$72)*10000+67,"")</f>
      </c>
      <c r="BE68" s="2">
        <f>BE50+SUM(CE51:CE68)</f>
        <v>0</v>
      </c>
      <c r="CA68" s="2">
        <f>IF(AND(OR(_余额!$B$70="材料供应商",_余额!$B$70="分包",_余额!$B$70="机械运输",_余额!$B$70="其他"),OR($C$3="全部",_余额!$B$70=$C$3),OR(_余额!$G$70&lt;&gt;0,_余额!$H$70&lt;&gt;0)),1,0)</f>
        <v>0</v>
      </c>
      <c r="CC68" s="2">
        <f>IF(AND($C$130&lt;&gt;"",期初余额!$P$72=$C$130),1,0)</f>
        <v>0</v>
      </c>
      <c r="CD68" s="2">
        <f>IF(($C$130&lt;&gt;"")*(应付登记!$D$72=$C$130)*ISNUMBER(应付登记!$J$72)*(应付登记!$J$72&gt;=_辅助!$J$4)*(应付登记!$J$72&lt;=_辅助!$J$2),1,0)</f>
        <v>0</v>
      </c>
      <c r="CE68" s="2">
        <f>IF(($C$130&lt;&gt;"")*(代发抵账!$E$72=$C$130)*(代发抵账!$D$72="总包代付材料分包款")*ISNUMBER(代发抵账!$H$72)*(代发抵账!$H$72&lt;=_辅助!$J$2),1,0)</f>
        <v>0</v>
      </c>
    </row>
    <row r="69">
      <c r="A69" s="94">
        <f>IF($AY69=0,"",63)</f>
      </c>
      <c r="B69" s="96">
        <f t="shared" si="24"/>
      </c>
      <c r="C69" s="94">
        <f t="shared" si="26"/>
      </c>
      <c r="D69" s="21">
        <f t="shared" si="0"/>
      </c>
      <c r="E69" s="21">
        <f t="shared" si="3"/>
      </c>
      <c r="F69" s="21">
        <f t="shared" si="5"/>
      </c>
      <c r="G69" s="22">
        <f t="shared" si="2"/>
      </c>
      <c r="H69" s="21">
        <f t="shared" si="6"/>
      </c>
      <c r="I69" s="21">
        <f t="shared" si="8"/>
      </c>
      <c r="J69" s="95">
        <f t="shared" si="28"/>
      </c>
      <c r="K69" s="21">
        <f t="shared" si="10"/>
      </c>
      <c r="L69" s="21">
        <f t="shared" si="12"/>
      </c>
      <c r="M69" s="21">
        <f t="shared" si="13"/>
      </c>
      <c r="N69" s="21">
        <f t="shared" si="14"/>
      </c>
      <c r="O69" s="21">
        <f t="shared" si="15"/>
      </c>
      <c r="P69" s="21">
        <f t="shared" si="16"/>
      </c>
      <c r="Q69" s="21">
        <f t="shared" si="17"/>
      </c>
      <c r="R69" s="21">
        <f t="shared" si="18"/>
      </c>
      <c r="S69" s="21">
        <f t="shared" si="19"/>
      </c>
      <c r="T69" s="21">
        <f t="shared" si="20"/>
      </c>
      <c r="U69" s="21">
        <f t="shared" si="21"/>
      </c>
      <c r="V69" s="21">
        <f t="shared" si="22"/>
      </c>
      <c r="W69" s="21">
        <f t="shared" si="23"/>
      </c>
      <c r="AX69" s="2">
        <f t="shared" si="30"/>
        <v>0</v>
      </c>
      <c r="AY69" s="2">
        <f>IF(63&gt;$AZ$300,0,IFERROR(MATCH(63,$AZ$1:$AZ$300,0),0))</f>
        <v>0</v>
      </c>
      <c r="AZ69" s="2">
        <f>AZ50+SUM(CA51:CA69)</f>
        <v>29</v>
      </c>
      <c r="BB69" s="2">
        <f>BB50+SUM(CC51:CC69)</f>
        <v>8</v>
      </c>
      <c r="BC69" s="2">
        <f>BC50+SUM(CD51:CD69)</f>
        <v>0</v>
      </c>
      <c r="BD69" s="2">
        <f>IF(AND($C$130&lt;&gt;"",资金流水!$J$73=$C$130,ISNUMBER(资金流水!$B$73),ISNUMBER(资金流水!$S$73),资金流水!$S$73&gt;=_辅助!$J$4,资金流水!$S$73&lt;=_辅助!$J$2,OR(资金流水!$X$73="应付材料款",资金流水!$X$73="应付分包款",资金流水!$X$73="应付机械运输费",资金流水!$X$73="应付其他款")),INT(资金流水!$B$73)*10000+68,"")</f>
      </c>
      <c r="BE69" s="2">
        <f>BE50+SUM(CE51:CE69)</f>
        <v>0</v>
      </c>
      <c r="CA69" s="2">
        <f>IF(AND(OR(_余额!$B$71="材料供应商",_余额!$B$71="分包",_余额!$B$71="机械运输",_余额!$B$71="其他"),OR($C$3="全部",_余额!$B$71=$C$3),OR(_余额!$G$71&lt;&gt;0,_余额!$H$71&lt;&gt;0)),1,0)</f>
        <v>0</v>
      </c>
      <c r="CC69" s="2">
        <f>IF(AND($C$130&lt;&gt;"",期初余额!$P$73=$C$130),1,0)</f>
        <v>0</v>
      </c>
      <c r="CD69" s="2">
        <f>IF(($C$130&lt;&gt;"")*(应付登记!$D$73=$C$130)*ISNUMBER(应付登记!$J$73)*(应付登记!$J$73&gt;=_辅助!$J$4)*(应付登记!$J$73&lt;=_辅助!$J$2),1,0)</f>
        <v>0</v>
      </c>
      <c r="CE69" s="2">
        <f>IF(($C$130&lt;&gt;"")*(代发抵账!$E$73=$C$130)*(代发抵账!$D$73="总包代付材料分包款")*ISNUMBER(代发抵账!$H$73)*(代发抵账!$H$73&lt;=_辅助!$J$2),1,0)</f>
        <v>0</v>
      </c>
    </row>
    <row r="70">
      <c r="A70" s="94">
        <f>IF($AY70=0,"",64)</f>
      </c>
      <c r="B70" s="96">
        <f t="shared" si="24"/>
      </c>
      <c r="C70" s="94">
        <f t="shared" si="26"/>
      </c>
      <c r="D70" s="21">
        <f t="shared" si="0"/>
      </c>
      <c r="E70" s="21">
        <f t="shared" si="3"/>
      </c>
      <c r="F70" s="21">
        <f t="shared" si="5"/>
      </c>
      <c r="G70" s="22">
        <f t="shared" si="2"/>
      </c>
      <c r="H70" s="21">
        <f t="shared" si="6"/>
      </c>
      <c r="I70" s="21">
        <f t="shared" si="8"/>
      </c>
      <c r="J70" s="95">
        <f t="shared" si="28"/>
      </c>
      <c r="K70" s="21">
        <f t="shared" si="10"/>
      </c>
      <c r="L70" s="21">
        <f t="shared" si="12"/>
      </c>
      <c r="M70" s="21">
        <f t="shared" si="13"/>
      </c>
      <c r="N70" s="21">
        <f t="shared" si="14"/>
      </c>
      <c r="O70" s="21">
        <f t="shared" si="15"/>
      </c>
      <c r="P70" s="21">
        <f t="shared" si="16"/>
      </c>
      <c r="Q70" s="21">
        <f t="shared" si="17"/>
      </c>
      <c r="R70" s="21">
        <f t="shared" si="18"/>
      </c>
      <c r="S70" s="21">
        <f t="shared" si="19"/>
      </c>
      <c r="T70" s="21">
        <f t="shared" si="20"/>
      </c>
      <c r="U70" s="21">
        <f t="shared" si="21"/>
      </c>
      <c r="V70" s="21">
        <f t="shared" si="22"/>
      </c>
      <c r="W70" s="21">
        <f t="shared" si="23"/>
      </c>
      <c r="AX70" s="2">
        <f t="shared" si="30"/>
        <v>0</v>
      </c>
      <c r="AY70" s="2">
        <f>IF(64&gt;$AZ$300,0,IFERROR(MATCH(64,$AZ$1:$AZ$300,0),0))</f>
        <v>0</v>
      </c>
      <c r="AZ70" s="2">
        <f>AZ50+SUM(CA51:CA70)</f>
        <v>29</v>
      </c>
      <c r="BB70" s="2">
        <f>BB50+SUM(CC51:CC70)</f>
        <v>8</v>
      </c>
      <c r="BC70" s="2">
        <f>BC50+SUM(CD51:CD70)</f>
        <v>0</v>
      </c>
      <c r="BD70" s="2">
        <f>IF(AND($C$130&lt;&gt;"",资金流水!$J$74=$C$130,ISNUMBER(资金流水!$B$74),ISNUMBER(资金流水!$S$74),资金流水!$S$74&gt;=_辅助!$J$4,资金流水!$S$74&lt;=_辅助!$J$2,OR(资金流水!$X$74="应付材料款",资金流水!$X$74="应付分包款",资金流水!$X$74="应付机械运输费",资金流水!$X$74="应付其他款")),INT(资金流水!$B$74)*10000+69,"")</f>
      </c>
      <c r="BE70" s="2">
        <f>BE50+SUM(CE51:CE70)</f>
        <v>0</v>
      </c>
      <c r="CA70" s="2">
        <f>IF(AND(OR(_余额!$B$72="材料供应商",_余额!$B$72="分包",_余额!$B$72="机械运输",_余额!$B$72="其他"),OR($C$3="全部",_余额!$B$72=$C$3),OR(_余额!$G$72&lt;&gt;0,_余额!$H$72&lt;&gt;0)),1,0)</f>
        <v>0</v>
      </c>
      <c r="CC70" s="2">
        <f>IF(AND($C$130&lt;&gt;"",期初余额!$P$74=$C$130),1,0)</f>
        <v>0</v>
      </c>
      <c r="CD70" s="2">
        <f>IF(($C$130&lt;&gt;"")*(应付登记!$D$74=$C$130)*ISNUMBER(应付登记!$J$74)*(应付登记!$J$74&gt;=_辅助!$J$4)*(应付登记!$J$74&lt;=_辅助!$J$2),1,0)</f>
        <v>0</v>
      </c>
      <c r="CE70" s="2">
        <f>IF(($C$130&lt;&gt;"")*(代发抵账!$E$74=$C$130)*(代发抵账!$D$74="总包代付材料分包款")*ISNUMBER(代发抵账!$H$74)*(代发抵账!$H$74&lt;=_辅助!$J$2),1,0)</f>
        <v>0</v>
      </c>
    </row>
    <row r="71">
      <c r="A71" s="94">
        <f>IF($AY71=0,"",65)</f>
      </c>
      <c r="B71" s="96">
        <f t="shared" si="24"/>
      </c>
      <c r="C71" s="94">
        <f t="shared" si="26"/>
      </c>
      <c r="D71" s="21">
        <f t="shared" si="0"/>
      </c>
      <c r="E71" s="21">
        <f t="shared" si="3"/>
      </c>
      <c r="F71" s="21">
        <f t="shared" si="5"/>
      </c>
      <c r="G71" s="22">
        <f t="shared" si="2"/>
      </c>
      <c r="H71" s="21">
        <f t="shared" si="6"/>
      </c>
      <c r="I71" s="21">
        <f t="shared" si="8"/>
      </c>
      <c r="J71" s="95">
        <f t="shared" si="28"/>
      </c>
      <c r="K71" s="21">
        <f t="shared" si="10"/>
      </c>
      <c r="L71" s="21">
        <f t="shared" si="12"/>
      </c>
      <c r="M71" s="21">
        <f t="shared" si="13"/>
      </c>
      <c r="N71" s="21">
        <f t="shared" si="14"/>
      </c>
      <c r="O71" s="21">
        <f t="shared" si="15"/>
      </c>
      <c r="P71" s="21">
        <f t="shared" si="16"/>
      </c>
      <c r="Q71" s="21">
        <f t="shared" si="17"/>
      </c>
      <c r="R71" s="21">
        <f t="shared" si="18"/>
      </c>
      <c r="S71" s="21">
        <f t="shared" si="19"/>
      </c>
      <c r="T71" s="21">
        <f t="shared" si="20"/>
      </c>
      <c r="U71" s="21">
        <f t="shared" si="21"/>
      </c>
      <c r="V71" s="21">
        <f t="shared" si="22"/>
      </c>
      <c r="W71" s="21">
        <f t="shared" si="23"/>
      </c>
      <c r="AX71" s="2">
        <f t="shared" si="30"/>
        <v>0</v>
      </c>
      <c r="AY71" s="2">
        <f>IF(65&gt;$AZ$300,0,IFERROR(MATCH(65,$AZ$1:$AZ$300,0),0))</f>
        <v>0</v>
      </c>
      <c r="AZ71" s="2">
        <f>AZ50+SUM(CA51:CA71)</f>
        <v>29</v>
      </c>
      <c r="BB71" s="2">
        <f>BB50+SUM(CC51:CC71)</f>
        <v>8</v>
      </c>
      <c r="BC71" s="2">
        <f>BC50+SUM(CD51:CD71)</f>
        <v>0</v>
      </c>
      <c r="BD71" s="2">
        <f>IF(AND($C$130&lt;&gt;"",资金流水!$J$75=$C$130,ISNUMBER(资金流水!$B$75),ISNUMBER(资金流水!$S$75),资金流水!$S$75&gt;=_辅助!$J$4,资金流水!$S$75&lt;=_辅助!$J$2,OR(资金流水!$X$75="应付材料款",资金流水!$X$75="应付分包款",资金流水!$X$75="应付机械运输费",资金流水!$X$75="应付其他款")),INT(资金流水!$B$75)*10000+70,"")</f>
      </c>
      <c r="BE71" s="2">
        <f>BE50+SUM(CE51:CE71)</f>
        <v>0</v>
      </c>
      <c r="CA71" s="2">
        <f>IF(AND(OR(_余额!$B$73="材料供应商",_余额!$B$73="分包",_余额!$B$73="机械运输",_余额!$B$73="其他"),OR($C$3="全部",_余额!$B$73=$C$3),OR(_余额!$G$73&lt;&gt;0,_余额!$H$73&lt;&gt;0)),1,0)</f>
        <v>0</v>
      </c>
      <c r="CC71" s="2">
        <f>IF(AND($C$130&lt;&gt;"",期初余额!$P$75=$C$130),1,0)</f>
        <v>0</v>
      </c>
      <c r="CD71" s="2">
        <f>IF(($C$130&lt;&gt;"")*(应付登记!$D$75=$C$130)*ISNUMBER(应付登记!$J$75)*(应付登记!$J$75&gt;=_辅助!$J$4)*(应付登记!$J$75&lt;=_辅助!$J$2),1,0)</f>
        <v>0</v>
      </c>
      <c r="CE71" s="2">
        <f>IF(($C$130&lt;&gt;"")*(代发抵账!$E$75=$C$130)*(代发抵账!$D$75="总包代付材料分包款")*ISNUMBER(代发抵账!$H$75)*(代发抵账!$H$75&lt;=_辅助!$J$2),1,0)</f>
        <v>0</v>
      </c>
    </row>
    <row r="72">
      <c r="A72" s="94">
        <f>IF($AY72=0,"",66)</f>
      </c>
      <c r="B72" s="96">
        <f t="shared" si="24"/>
      </c>
      <c r="C72" s="94">
        <f t="shared" si="26"/>
      </c>
      <c r="D72" s="21">
        <f t="shared" si="0"/>
      </c>
      <c r="E72" s="21">
        <f t="shared" si="3"/>
      </c>
      <c r="F72" s="21">
        <f t="shared" si="5"/>
      </c>
      <c r="G72" s="22">
        <f t="shared" si="2"/>
      </c>
      <c r="H72" s="21">
        <f t="shared" si="6"/>
      </c>
      <c r="I72" s="21">
        <f t="shared" si="8"/>
      </c>
      <c r="J72" s="95">
        <f t="shared" si="28"/>
      </c>
      <c r="K72" s="21">
        <f t="shared" si="10"/>
      </c>
      <c r="L72" s="21">
        <f t="shared" si="12"/>
      </c>
      <c r="M72" s="21">
        <f t="shared" si="13"/>
      </c>
      <c r="N72" s="21">
        <f t="shared" si="14"/>
      </c>
      <c r="O72" s="21">
        <f t="shared" si="15"/>
      </c>
      <c r="P72" s="21">
        <f t="shared" si="16"/>
      </c>
      <c r="Q72" s="21">
        <f t="shared" si="17"/>
      </c>
      <c r="R72" s="21">
        <f t="shared" si="18"/>
      </c>
      <c r="S72" s="21">
        <f t="shared" si="19"/>
      </c>
      <c r="T72" s="21">
        <f t="shared" si="20"/>
      </c>
      <c r="U72" s="21">
        <f t="shared" si="21"/>
      </c>
      <c r="V72" s="21">
        <f t="shared" si="22"/>
      </c>
      <c r="W72" s="21">
        <f t="shared" si="23"/>
      </c>
      <c r="AX72" s="2">
        <f t="shared" si="30"/>
        <v>0</v>
      </c>
      <c r="AY72" s="2">
        <f>IF(66&gt;$AZ$300,0,IFERROR(MATCH(66,$AZ$1:$AZ$300,0),0))</f>
        <v>0</v>
      </c>
      <c r="AZ72" s="2">
        <f>AZ50+SUM(CA51:CA72)</f>
        <v>29</v>
      </c>
      <c r="BB72" s="2">
        <f>BB50+SUM(CC51:CC72)</f>
        <v>8</v>
      </c>
      <c r="BC72" s="2">
        <f>BC50+SUM(CD51:CD72)</f>
        <v>0</v>
      </c>
      <c r="BD72" s="2">
        <f>IF(AND($C$130&lt;&gt;"",资金流水!$J$76=$C$130,ISNUMBER(资金流水!$B$76),ISNUMBER(资金流水!$S$76),资金流水!$S$76&gt;=_辅助!$J$4,资金流水!$S$76&lt;=_辅助!$J$2,OR(资金流水!$X$76="应付材料款",资金流水!$X$76="应付分包款",资金流水!$X$76="应付机械运输费",资金流水!$X$76="应付其他款")),INT(资金流水!$B$76)*10000+71,"")</f>
      </c>
      <c r="BE72" s="2">
        <f>BE50+SUM(CE51:CE72)</f>
        <v>0</v>
      </c>
      <c r="CA72" s="2">
        <f>IF(AND(OR(_余额!$B$74="材料供应商",_余额!$B$74="分包",_余额!$B$74="机械运输",_余额!$B$74="其他"),OR($C$3="全部",_余额!$B$74=$C$3),OR(_余额!$G$74&lt;&gt;0,_余额!$H$74&lt;&gt;0)),1,0)</f>
        <v>0</v>
      </c>
      <c r="CC72" s="2">
        <f>IF(AND($C$130&lt;&gt;"",期初余额!$P$76=$C$130),1,0)</f>
        <v>0</v>
      </c>
      <c r="CD72" s="2">
        <f>IF(($C$130&lt;&gt;"")*(应付登记!$D$76=$C$130)*ISNUMBER(应付登记!$J$76)*(应付登记!$J$76&gt;=_辅助!$J$4)*(应付登记!$J$76&lt;=_辅助!$J$2),1,0)</f>
        <v>0</v>
      </c>
      <c r="CE72" s="2">
        <f>IF(($C$130&lt;&gt;"")*(代发抵账!$E$76=$C$130)*(代发抵账!$D$76="总包代付材料分包款")*ISNUMBER(代发抵账!$H$76)*(代发抵账!$H$76&lt;=_辅助!$J$2),1,0)</f>
        <v>0</v>
      </c>
    </row>
    <row r="73">
      <c r="A73" s="94">
        <f>IF($AY73=0,"",67)</f>
      </c>
      <c r="B73" s="96">
        <f t="shared" si="24"/>
      </c>
      <c r="C73" s="94">
        <f t="shared" si="26"/>
      </c>
      <c r="D73" s="21">
        <f t="shared" si="0"/>
      </c>
      <c r="E73" s="21">
        <f t="shared" si="3"/>
      </c>
      <c r="F73" s="21">
        <f t="shared" si="5"/>
      </c>
      <c r="G73" s="22">
        <f t="shared" si="2"/>
      </c>
      <c r="H73" s="21">
        <f t="shared" si="6"/>
      </c>
      <c r="I73" s="21">
        <f t="shared" si="8"/>
      </c>
      <c r="J73" s="95">
        <f t="shared" si="28"/>
      </c>
      <c r="K73" s="21">
        <f t="shared" si="10"/>
      </c>
      <c r="L73" s="21">
        <f t="shared" si="12"/>
      </c>
      <c r="M73" s="21">
        <f t="shared" si="13"/>
      </c>
      <c r="N73" s="21">
        <f t="shared" si="14"/>
      </c>
      <c r="O73" s="21">
        <f t="shared" si="15"/>
      </c>
      <c r="P73" s="21">
        <f t="shared" si="16"/>
      </c>
      <c r="Q73" s="21">
        <f t="shared" si="17"/>
      </c>
      <c r="R73" s="21">
        <f t="shared" si="18"/>
      </c>
      <c r="S73" s="21">
        <f t="shared" si="19"/>
      </c>
      <c r="T73" s="21">
        <f t="shared" si="20"/>
      </c>
      <c r="U73" s="21">
        <f t="shared" si="21"/>
      </c>
      <c r="V73" s="21">
        <f t="shared" si="22"/>
      </c>
      <c r="W73" s="21">
        <f t="shared" si="23"/>
      </c>
      <c r="AX73" s="2">
        <f t="shared" si="30"/>
        <v>0</v>
      </c>
      <c r="AY73" s="2">
        <f>IF(67&gt;$AZ$300,0,IFERROR(MATCH(67,$AZ$1:$AZ$300,0),0))</f>
        <v>0</v>
      </c>
      <c r="AZ73" s="2">
        <f>AZ50+SUM(CA51:CA73)</f>
        <v>29</v>
      </c>
      <c r="BB73" s="2">
        <f>BB50+SUM(CC51:CC73)</f>
        <v>8</v>
      </c>
      <c r="BC73" s="2">
        <f>BC50+SUM(CD51:CD73)</f>
        <v>0</v>
      </c>
      <c r="BD73" s="2">
        <f>IF(AND($C$130&lt;&gt;"",资金流水!$J$77=$C$130,ISNUMBER(资金流水!$B$77),ISNUMBER(资金流水!$S$77),资金流水!$S$77&gt;=_辅助!$J$4,资金流水!$S$77&lt;=_辅助!$J$2,OR(资金流水!$X$77="应付材料款",资金流水!$X$77="应付分包款",资金流水!$X$77="应付机械运输费",资金流水!$X$77="应付其他款")),INT(资金流水!$B$77)*10000+72,"")</f>
      </c>
      <c r="BE73" s="2">
        <f>BE50+SUM(CE51:CE73)</f>
        <v>0</v>
      </c>
      <c r="CA73" s="2">
        <f>IF(AND(OR(_余额!$B$75="材料供应商",_余额!$B$75="分包",_余额!$B$75="机械运输",_余额!$B$75="其他"),OR($C$3="全部",_余额!$B$75=$C$3),OR(_余额!$G$75&lt;&gt;0,_余额!$H$75&lt;&gt;0)),1,0)</f>
        <v>0</v>
      </c>
      <c r="CC73" s="2">
        <f>IF(AND($C$130&lt;&gt;"",期初余额!$P$77=$C$130),1,0)</f>
        <v>0</v>
      </c>
      <c r="CD73" s="2">
        <f>IF(($C$130&lt;&gt;"")*(应付登记!$D$77=$C$130)*ISNUMBER(应付登记!$J$77)*(应付登记!$J$77&gt;=_辅助!$J$4)*(应付登记!$J$77&lt;=_辅助!$J$2),1,0)</f>
        <v>0</v>
      </c>
      <c r="CE73" s="2">
        <f>IF(($C$130&lt;&gt;"")*(代发抵账!$E$77=$C$130)*(代发抵账!$D$77="总包代付材料分包款")*ISNUMBER(代发抵账!$H$77)*(代发抵账!$H$77&lt;=_辅助!$J$2),1,0)</f>
        <v>0</v>
      </c>
    </row>
    <row r="74">
      <c r="A74" s="94">
        <f>IF($AY74=0,"",68)</f>
      </c>
      <c r="B74" s="96">
        <f t="shared" si="24"/>
      </c>
      <c r="C74" s="94">
        <f t="shared" si="26"/>
      </c>
      <c r="D74" s="21">
        <f t="shared" si="0"/>
      </c>
      <c r="E74" s="21">
        <f t="shared" si="3"/>
      </c>
      <c r="F74" s="21">
        <f t="shared" si="5"/>
      </c>
      <c r="G74" s="22">
        <f t="shared" si="2"/>
      </c>
      <c r="H74" s="21">
        <f t="shared" si="6"/>
      </c>
      <c r="I74" s="21">
        <f t="shared" si="8"/>
      </c>
      <c r="J74" s="95">
        <f t="shared" si="28"/>
      </c>
      <c r="K74" s="21">
        <f t="shared" si="10"/>
      </c>
      <c r="L74" s="21">
        <f t="shared" si="12"/>
      </c>
      <c r="M74" s="21">
        <f t="shared" si="13"/>
      </c>
      <c r="N74" s="21">
        <f t="shared" si="14"/>
      </c>
      <c r="O74" s="21">
        <f t="shared" si="15"/>
      </c>
      <c r="P74" s="21">
        <f t="shared" si="16"/>
      </c>
      <c r="Q74" s="21">
        <f t="shared" si="17"/>
      </c>
      <c r="R74" s="21">
        <f t="shared" si="18"/>
      </c>
      <c r="S74" s="21">
        <f t="shared" si="19"/>
      </c>
      <c r="T74" s="21">
        <f t="shared" si="20"/>
      </c>
      <c r="U74" s="21">
        <f t="shared" si="21"/>
      </c>
      <c r="V74" s="21">
        <f t="shared" si="22"/>
      </c>
      <c r="W74" s="21">
        <f t="shared" si="23"/>
      </c>
      <c r="AX74" s="2">
        <f t="shared" si="30"/>
        <v>0</v>
      </c>
      <c r="AY74" s="2">
        <f>IF(68&gt;$AZ$300,0,IFERROR(MATCH(68,$AZ$1:$AZ$300,0),0))</f>
        <v>0</v>
      </c>
      <c r="AZ74" s="2">
        <f>AZ50+SUM(CA51:CA74)</f>
        <v>29</v>
      </c>
      <c r="BB74" s="2">
        <f>BB50+SUM(CC51:CC74)</f>
        <v>8</v>
      </c>
      <c r="BC74" s="2">
        <f>BC50+SUM(CD51:CD74)</f>
        <v>0</v>
      </c>
      <c r="BD74" s="2">
        <f>IF(AND($C$130&lt;&gt;"",资金流水!$J$78=$C$130,ISNUMBER(资金流水!$B$78),ISNUMBER(资金流水!$S$78),资金流水!$S$78&gt;=_辅助!$J$4,资金流水!$S$78&lt;=_辅助!$J$2,OR(资金流水!$X$78="应付材料款",资金流水!$X$78="应付分包款",资金流水!$X$78="应付机械运输费",资金流水!$X$78="应付其他款")),INT(资金流水!$B$78)*10000+73,"")</f>
      </c>
      <c r="BE74" s="2">
        <f>BE50+SUM(CE51:CE74)</f>
        <v>0</v>
      </c>
      <c r="CA74" s="2">
        <f>IF(AND(OR(_余额!$B$76="材料供应商",_余额!$B$76="分包",_余额!$B$76="机械运输",_余额!$B$76="其他"),OR($C$3="全部",_余额!$B$76=$C$3),OR(_余额!$G$76&lt;&gt;0,_余额!$H$76&lt;&gt;0)),1,0)</f>
        <v>0</v>
      </c>
      <c r="CC74" s="2">
        <f>IF(AND($C$130&lt;&gt;"",期初余额!$P$78=$C$130),1,0)</f>
        <v>0</v>
      </c>
      <c r="CD74" s="2">
        <f>IF(($C$130&lt;&gt;"")*(应付登记!$D$78=$C$130)*ISNUMBER(应付登记!$J$78)*(应付登记!$J$78&gt;=_辅助!$J$4)*(应付登记!$J$78&lt;=_辅助!$J$2),1,0)</f>
        <v>0</v>
      </c>
      <c r="CE74" s="2">
        <f>IF(($C$130&lt;&gt;"")*(代发抵账!$E$78=$C$130)*(代发抵账!$D$78="总包代付材料分包款")*ISNUMBER(代发抵账!$H$78)*(代发抵账!$H$78&lt;=_辅助!$J$2),1,0)</f>
        <v>0</v>
      </c>
    </row>
    <row r="75">
      <c r="A75" s="94">
        <f>IF($AY75=0,"",69)</f>
      </c>
      <c r="B75" s="96">
        <f t="shared" si="24"/>
      </c>
      <c r="C75" s="94">
        <f t="shared" si="26"/>
      </c>
      <c r="D75" s="21">
        <f t="shared" si="0"/>
      </c>
      <c r="E75" s="21">
        <f t="shared" si="3"/>
      </c>
      <c r="F75" s="21">
        <f t="shared" si="5"/>
      </c>
      <c r="G75" s="22">
        <f t="shared" si="2"/>
      </c>
      <c r="H75" s="21">
        <f t="shared" si="6"/>
      </c>
      <c r="I75" s="21">
        <f t="shared" si="8"/>
      </c>
      <c r="J75" s="95">
        <f t="shared" si="28"/>
      </c>
      <c r="K75" s="21">
        <f t="shared" si="10"/>
      </c>
      <c r="L75" s="21">
        <f t="shared" si="12"/>
      </c>
      <c r="M75" s="21">
        <f t="shared" si="13"/>
      </c>
      <c r="N75" s="21">
        <f t="shared" si="14"/>
      </c>
      <c r="O75" s="21">
        <f t="shared" si="15"/>
      </c>
      <c r="P75" s="21">
        <f t="shared" si="16"/>
      </c>
      <c r="Q75" s="21">
        <f t="shared" si="17"/>
      </c>
      <c r="R75" s="21">
        <f t="shared" si="18"/>
      </c>
      <c r="S75" s="21">
        <f t="shared" si="19"/>
      </c>
      <c r="T75" s="21">
        <f t="shared" si="20"/>
      </c>
      <c r="U75" s="21">
        <f t="shared" si="21"/>
      </c>
      <c r="V75" s="21">
        <f t="shared" si="22"/>
      </c>
      <c r="W75" s="21">
        <f t="shared" si="23"/>
      </c>
      <c r="AX75" s="2">
        <f t="shared" si="30"/>
        <v>0</v>
      </c>
      <c r="AY75" s="2">
        <f>IF(69&gt;$AZ$300,0,IFERROR(MATCH(69,$AZ$1:$AZ$300,0),0))</f>
        <v>0</v>
      </c>
      <c r="AZ75" s="2">
        <f>AZ50+SUM(CA51:CA75)</f>
        <v>29</v>
      </c>
      <c r="BB75" s="2">
        <f>BB50+SUM(CC51:CC75)</f>
        <v>8</v>
      </c>
      <c r="BC75" s="2">
        <f>BC50+SUM(CD51:CD75)</f>
        <v>0</v>
      </c>
      <c r="BD75" s="2">
        <f>IF(AND($C$130&lt;&gt;"",资金流水!$J$79=$C$130,ISNUMBER(资金流水!$B$79),ISNUMBER(资金流水!$S$79),资金流水!$S$79&gt;=_辅助!$J$4,资金流水!$S$79&lt;=_辅助!$J$2,OR(资金流水!$X$79="应付材料款",资金流水!$X$79="应付分包款",资金流水!$X$79="应付机械运输费",资金流水!$X$79="应付其他款")),INT(资金流水!$B$79)*10000+74,"")</f>
      </c>
      <c r="BE75" s="2">
        <f>BE50+SUM(CE51:CE75)</f>
        <v>0</v>
      </c>
      <c r="CA75" s="2">
        <f>IF(AND(OR(_余额!$B$77="材料供应商",_余额!$B$77="分包",_余额!$B$77="机械运输",_余额!$B$77="其他"),OR($C$3="全部",_余额!$B$77=$C$3),OR(_余额!$G$77&lt;&gt;0,_余额!$H$77&lt;&gt;0)),1,0)</f>
        <v>0</v>
      </c>
      <c r="CC75" s="2">
        <f>IF(AND($C$130&lt;&gt;"",期初余额!$P$79=$C$130),1,0)</f>
        <v>0</v>
      </c>
      <c r="CD75" s="2">
        <f>IF(($C$130&lt;&gt;"")*(应付登记!$D$79=$C$130)*ISNUMBER(应付登记!$J$79)*(应付登记!$J$79&gt;=_辅助!$J$4)*(应付登记!$J$79&lt;=_辅助!$J$2),1,0)</f>
        <v>0</v>
      </c>
      <c r="CE75" s="2">
        <f>IF(($C$130&lt;&gt;"")*(代发抵账!$E$79=$C$130)*(代发抵账!$D$79="总包代付材料分包款")*ISNUMBER(代发抵账!$H$79)*(代发抵账!$H$79&lt;=_辅助!$J$2),1,0)</f>
        <v>0</v>
      </c>
    </row>
    <row r="76">
      <c r="A76" s="94">
        <f>IF($AY76=0,"",70)</f>
      </c>
      <c r="B76" s="96">
        <f t="shared" si="24"/>
      </c>
      <c r="C76" s="94">
        <f t="shared" si="26"/>
      </c>
      <c r="D76" s="21">
        <f t="shared" si="0"/>
      </c>
      <c r="E76" s="21">
        <f t="shared" si="3"/>
      </c>
      <c r="F76" s="21">
        <f t="shared" si="5"/>
      </c>
      <c r="G76" s="22">
        <f t="shared" si="2"/>
      </c>
      <c r="H76" s="21">
        <f t="shared" si="6"/>
      </c>
      <c r="I76" s="21">
        <f t="shared" si="8"/>
      </c>
      <c r="J76" s="95">
        <f t="shared" si="28"/>
      </c>
      <c r="K76" s="21">
        <f t="shared" si="10"/>
      </c>
      <c r="L76" s="21">
        <f t="shared" si="12"/>
      </c>
      <c r="M76" s="21">
        <f t="shared" si="13"/>
      </c>
      <c r="N76" s="21">
        <f t="shared" si="14"/>
      </c>
      <c r="O76" s="21">
        <f t="shared" si="15"/>
      </c>
      <c r="P76" s="21">
        <f t="shared" si="16"/>
      </c>
      <c r="Q76" s="21">
        <f t="shared" si="17"/>
      </c>
      <c r="R76" s="21">
        <f t="shared" si="18"/>
      </c>
      <c r="S76" s="21">
        <f t="shared" si="19"/>
      </c>
      <c r="T76" s="21">
        <f t="shared" si="20"/>
      </c>
      <c r="U76" s="21">
        <f t="shared" si="21"/>
      </c>
      <c r="V76" s="21">
        <f t="shared" si="22"/>
      </c>
      <c r="W76" s="21">
        <f t="shared" si="23"/>
      </c>
      <c r="AX76" s="2">
        <f t="shared" si="30"/>
        <v>0</v>
      </c>
      <c r="AY76" s="2">
        <f>IF(70&gt;$AZ$300,0,IFERROR(MATCH(70,$AZ$1:$AZ$300,0),0))</f>
        <v>0</v>
      </c>
      <c r="AZ76" s="2">
        <f>AZ50+SUM(CA51:CA76)</f>
        <v>29</v>
      </c>
      <c r="BB76" s="2">
        <f>BB50+SUM(CC51:CC76)</f>
        <v>8</v>
      </c>
      <c r="BC76" s="2">
        <f>BC50+SUM(CD51:CD76)</f>
        <v>0</v>
      </c>
      <c r="BD76" s="2">
        <f>IF(AND($C$130&lt;&gt;"",资金流水!$J$80=$C$130,ISNUMBER(资金流水!$B$80),ISNUMBER(资金流水!$S$80),资金流水!$S$80&gt;=_辅助!$J$4,资金流水!$S$80&lt;=_辅助!$J$2,OR(资金流水!$X$80="应付材料款",资金流水!$X$80="应付分包款",资金流水!$X$80="应付机械运输费",资金流水!$X$80="应付其他款")),INT(资金流水!$B$80)*10000+75,"")</f>
      </c>
      <c r="BE76" s="2">
        <f>BE50+SUM(CE51:CE76)</f>
        <v>0</v>
      </c>
      <c r="CA76" s="2">
        <f>IF(AND(OR(_余额!$B$78="材料供应商",_余额!$B$78="分包",_余额!$B$78="机械运输",_余额!$B$78="其他"),OR($C$3="全部",_余额!$B$78=$C$3),OR(_余额!$G$78&lt;&gt;0,_余额!$H$78&lt;&gt;0)),1,0)</f>
        <v>0</v>
      </c>
      <c r="CC76" s="2">
        <f>IF(AND($C$130&lt;&gt;"",期初余额!$P$80=$C$130),1,0)</f>
        <v>0</v>
      </c>
      <c r="CD76" s="2">
        <f>IF(($C$130&lt;&gt;"")*(应付登记!$D$80=$C$130)*ISNUMBER(应付登记!$J$80)*(应付登记!$J$80&gt;=_辅助!$J$4)*(应付登记!$J$80&lt;=_辅助!$J$2),1,0)</f>
        <v>0</v>
      </c>
      <c r="CE76" s="2">
        <f>IF(($C$130&lt;&gt;"")*(代发抵账!$E$80=$C$130)*(代发抵账!$D$80="总包代付材料分包款")*ISNUMBER(代发抵账!$H$80)*(代发抵账!$H$80&lt;=_辅助!$J$2),1,0)</f>
        <v>0</v>
      </c>
    </row>
    <row r="77">
      <c r="A77" s="94">
        <f>IF($AY77=0,"",71)</f>
      </c>
      <c r="B77" s="96">
        <f t="shared" si="24"/>
      </c>
      <c r="C77" s="94">
        <f t="shared" si="26"/>
      </c>
      <c r="D77" s="21">
        <f t="shared" si="0"/>
      </c>
      <c r="E77" s="21">
        <f t="shared" si="3"/>
      </c>
      <c r="F77" s="21">
        <f t="shared" si="5"/>
      </c>
      <c r="G77" s="22">
        <f t="shared" si="2"/>
      </c>
      <c r="H77" s="21">
        <f t="shared" si="6"/>
      </c>
      <c r="I77" s="21">
        <f t="shared" si="8"/>
      </c>
      <c r="J77" s="95">
        <f t="shared" si="28"/>
      </c>
      <c r="K77" s="21">
        <f t="shared" si="10"/>
      </c>
      <c r="L77" s="21">
        <f t="shared" si="12"/>
      </c>
      <c r="M77" s="21">
        <f t="shared" si="13"/>
      </c>
      <c r="N77" s="21">
        <f t="shared" si="14"/>
      </c>
      <c r="O77" s="21">
        <f t="shared" si="15"/>
      </c>
      <c r="P77" s="21">
        <f t="shared" si="16"/>
      </c>
      <c r="Q77" s="21">
        <f t="shared" si="17"/>
      </c>
      <c r="R77" s="21">
        <f t="shared" si="18"/>
      </c>
      <c r="S77" s="21">
        <f t="shared" si="19"/>
      </c>
      <c r="T77" s="21">
        <f t="shared" si="20"/>
      </c>
      <c r="U77" s="21">
        <f t="shared" si="21"/>
      </c>
      <c r="V77" s="21">
        <f t="shared" si="22"/>
      </c>
      <c r="W77" s="21">
        <f t="shared" si="23"/>
      </c>
      <c r="AX77" s="2">
        <f t="shared" si="30"/>
        <v>0</v>
      </c>
      <c r="AY77" s="2">
        <f>IF(71&gt;$AZ$300,0,IFERROR(MATCH(71,$AZ$1:$AZ$300,0),0))</f>
        <v>0</v>
      </c>
      <c r="AZ77" s="2">
        <f>AZ50+SUM(CA51:CA77)</f>
        <v>29</v>
      </c>
      <c r="BB77" s="2">
        <f>BB50+SUM(CC51:CC77)</f>
        <v>8</v>
      </c>
      <c r="BC77" s="2">
        <f>BC50+SUM(CD51:CD77)</f>
        <v>0</v>
      </c>
      <c r="BD77" s="2">
        <f>IF(AND($C$130&lt;&gt;"",资金流水!$J$81=$C$130,ISNUMBER(资金流水!$B$81),ISNUMBER(资金流水!$S$81),资金流水!$S$81&gt;=_辅助!$J$4,资金流水!$S$81&lt;=_辅助!$J$2,OR(资金流水!$X$81="应付材料款",资金流水!$X$81="应付分包款",资金流水!$X$81="应付机械运输费",资金流水!$X$81="应付其他款")),INT(资金流水!$B$81)*10000+76,"")</f>
      </c>
      <c r="BE77" s="2">
        <f>BE50+SUM(CE51:CE77)</f>
        <v>0</v>
      </c>
      <c r="CA77" s="2">
        <f>IF(AND(OR(_余额!$B$79="材料供应商",_余额!$B$79="分包",_余额!$B$79="机械运输",_余额!$B$79="其他"),OR($C$3="全部",_余额!$B$79=$C$3),OR(_余额!$G$79&lt;&gt;0,_余额!$H$79&lt;&gt;0)),1,0)</f>
        <v>0</v>
      </c>
      <c r="CC77" s="2">
        <f>IF(AND($C$130&lt;&gt;"",期初余额!$P$81=$C$130),1,0)</f>
        <v>0</v>
      </c>
      <c r="CD77" s="2">
        <f>IF(($C$130&lt;&gt;"")*(应付登记!$D$81=$C$130)*ISNUMBER(应付登记!$J$81)*(应付登记!$J$81&gt;=_辅助!$J$4)*(应付登记!$J$81&lt;=_辅助!$J$2),1,0)</f>
        <v>0</v>
      </c>
      <c r="CE77" s="2">
        <f>IF(($C$130&lt;&gt;"")*(代发抵账!$E$81=$C$130)*(代发抵账!$D$81="总包代付材料分包款")*ISNUMBER(代发抵账!$H$81)*(代发抵账!$H$81&lt;=_辅助!$J$2),1,0)</f>
        <v>0</v>
      </c>
    </row>
    <row r="78">
      <c r="A78" s="94">
        <f>IF($AY78=0,"",72)</f>
      </c>
      <c r="B78" s="96">
        <f t="shared" si="24"/>
      </c>
      <c r="C78" s="94">
        <f t="shared" si="26"/>
      </c>
      <c r="D78" s="21">
        <f t="shared" si="0"/>
      </c>
      <c r="E78" s="21">
        <f t="shared" si="3"/>
      </c>
      <c r="F78" s="21">
        <f t="shared" si="5"/>
      </c>
      <c r="G78" s="22">
        <f t="shared" si="2"/>
      </c>
      <c r="H78" s="21">
        <f t="shared" si="6"/>
      </c>
      <c r="I78" s="21">
        <f t="shared" si="8"/>
      </c>
      <c r="J78" s="95">
        <f t="shared" si="28"/>
      </c>
      <c r="K78" s="21">
        <f t="shared" si="10"/>
      </c>
      <c r="L78" s="21">
        <f t="shared" si="12"/>
      </c>
      <c r="M78" s="21">
        <f t="shared" si="13"/>
      </c>
      <c r="N78" s="21">
        <f t="shared" si="14"/>
      </c>
      <c r="O78" s="21">
        <f t="shared" si="15"/>
      </c>
      <c r="P78" s="21">
        <f t="shared" si="16"/>
      </c>
      <c r="Q78" s="21">
        <f t="shared" si="17"/>
      </c>
      <c r="R78" s="21">
        <f t="shared" si="18"/>
      </c>
      <c r="S78" s="21">
        <f t="shared" si="19"/>
      </c>
      <c r="T78" s="21">
        <f t="shared" si="20"/>
      </c>
      <c r="U78" s="21">
        <f t="shared" si="21"/>
      </c>
      <c r="V78" s="21">
        <f t="shared" si="22"/>
      </c>
      <c r="W78" s="21">
        <f t="shared" si="23"/>
      </c>
      <c r="AX78" s="2">
        <f t="shared" si="30"/>
        <v>0</v>
      </c>
      <c r="AY78" s="2">
        <f>IF(72&gt;$AZ$300,0,IFERROR(MATCH(72,$AZ$1:$AZ$300,0),0))</f>
        <v>0</v>
      </c>
      <c r="AZ78" s="2">
        <f>AZ50+SUM(CA51:CA78)</f>
        <v>29</v>
      </c>
      <c r="BB78" s="2">
        <f>BB50+SUM(CC51:CC78)</f>
        <v>8</v>
      </c>
      <c r="BC78" s="2">
        <f>BC50+SUM(CD51:CD78)</f>
        <v>0</v>
      </c>
      <c r="BD78" s="2">
        <f>IF(AND($C$130&lt;&gt;"",资金流水!$J$82=$C$130,ISNUMBER(资金流水!$B$82),ISNUMBER(资金流水!$S$82),资金流水!$S$82&gt;=_辅助!$J$4,资金流水!$S$82&lt;=_辅助!$J$2,OR(资金流水!$X$82="应付材料款",资金流水!$X$82="应付分包款",资金流水!$X$82="应付机械运输费",资金流水!$X$82="应付其他款")),INT(资金流水!$B$82)*10000+77,"")</f>
      </c>
      <c r="BE78" s="2">
        <f>BE50+SUM(CE51:CE78)</f>
        <v>0</v>
      </c>
      <c r="CA78" s="2">
        <f>IF(AND(OR(_余额!$B$80="材料供应商",_余额!$B$80="分包",_余额!$B$80="机械运输",_余额!$B$80="其他"),OR($C$3="全部",_余额!$B$80=$C$3),OR(_余额!$G$80&lt;&gt;0,_余额!$H$80&lt;&gt;0)),1,0)</f>
        <v>0</v>
      </c>
      <c r="CC78" s="2">
        <f>IF(AND($C$130&lt;&gt;"",期初余额!$P$82=$C$130),1,0)</f>
        <v>0</v>
      </c>
      <c r="CD78" s="2">
        <f>IF(($C$130&lt;&gt;"")*(应付登记!$D$82=$C$130)*ISNUMBER(应付登记!$J$82)*(应付登记!$J$82&gt;=_辅助!$J$4)*(应付登记!$J$82&lt;=_辅助!$J$2),1,0)</f>
        <v>0</v>
      </c>
      <c r="CE78" s="2">
        <f>IF(($C$130&lt;&gt;"")*(代发抵账!$E$82=$C$130)*(代发抵账!$D$82="总包代付材料分包款")*ISNUMBER(代发抵账!$H$82)*(代发抵账!$H$82&lt;=_辅助!$J$2),1,0)</f>
        <v>0</v>
      </c>
    </row>
    <row r="79">
      <c r="A79" s="94">
        <f>IF($AY79=0,"",73)</f>
      </c>
      <c r="B79" s="96">
        <f t="shared" si="24"/>
      </c>
      <c r="C79" s="94">
        <f t="shared" si="26"/>
      </c>
      <c r="D79" s="21">
        <f t="shared" si="0"/>
      </c>
      <c r="E79" s="21">
        <f t="shared" si="3"/>
      </c>
      <c r="F79" s="21">
        <f t="shared" si="5"/>
      </c>
      <c r="G79" s="22">
        <f t="shared" si="2"/>
      </c>
      <c r="H79" s="21">
        <f t="shared" si="6"/>
      </c>
      <c r="I79" s="21">
        <f t="shared" si="8"/>
      </c>
      <c r="J79" s="95">
        <f t="shared" si="28"/>
      </c>
      <c r="K79" s="21">
        <f t="shared" si="10"/>
      </c>
      <c r="L79" s="21">
        <f t="shared" si="12"/>
      </c>
      <c r="M79" s="21">
        <f t="shared" si="13"/>
      </c>
      <c r="N79" s="21">
        <f t="shared" si="14"/>
      </c>
      <c r="O79" s="21">
        <f t="shared" si="15"/>
      </c>
      <c r="P79" s="21">
        <f t="shared" si="16"/>
      </c>
      <c r="Q79" s="21">
        <f t="shared" si="17"/>
      </c>
      <c r="R79" s="21">
        <f t="shared" si="18"/>
      </c>
      <c r="S79" s="21">
        <f t="shared" si="19"/>
      </c>
      <c r="T79" s="21">
        <f t="shared" si="20"/>
      </c>
      <c r="U79" s="21">
        <f t="shared" si="21"/>
      </c>
      <c r="V79" s="21">
        <f t="shared" si="22"/>
      </c>
      <c r="W79" s="21">
        <f t="shared" si="23"/>
      </c>
      <c r="AX79" s="2">
        <f t="shared" si="30"/>
        <v>0</v>
      </c>
      <c r="AY79" s="2">
        <f>IF(73&gt;$AZ$300,0,IFERROR(MATCH(73,$AZ$1:$AZ$300,0),0))</f>
        <v>0</v>
      </c>
      <c r="AZ79" s="2">
        <f>AZ50+SUM(CA51:CA79)</f>
        <v>29</v>
      </c>
      <c r="BB79" s="2">
        <f>BB50+SUM(CC51:CC79)</f>
        <v>8</v>
      </c>
      <c r="BC79" s="2">
        <f>BC50+SUM(CD51:CD79)</f>
        <v>0</v>
      </c>
      <c r="BD79" s="2">
        <f>IF(AND($C$130&lt;&gt;"",资金流水!$J$83=$C$130,ISNUMBER(资金流水!$B$83),ISNUMBER(资金流水!$S$83),资金流水!$S$83&gt;=_辅助!$J$4,资金流水!$S$83&lt;=_辅助!$J$2,OR(资金流水!$X$83="应付材料款",资金流水!$X$83="应付分包款",资金流水!$X$83="应付机械运输费",资金流水!$X$83="应付其他款")),INT(资金流水!$B$83)*10000+78,"")</f>
      </c>
      <c r="BE79" s="2">
        <f>BE50+SUM(CE51:CE79)</f>
        <v>0</v>
      </c>
      <c r="CA79" s="2">
        <f>IF(AND(OR(_余额!$B$81="材料供应商",_余额!$B$81="分包",_余额!$B$81="机械运输",_余额!$B$81="其他"),OR($C$3="全部",_余额!$B$81=$C$3),OR(_余额!$G$81&lt;&gt;0,_余额!$H$81&lt;&gt;0)),1,0)</f>
        <v>0</v>
      </c>
      <c r="CC79" s="2">
        <f>IF(AND($C$130&lt;&gt;"",期初余额!$P$83=$C$130),1,0)</f>
        <v>0</v>
      </c>
      <c r="CD79" s="2">
        <f>IF(($C$130&lt;&gt;"")*(应付登记!$D$83=$C$130)*ISNUMBER(应付登记!$J$83)*(应付登记!$J$83&gt;=_辅助!$J$4)*(应付登记!$J$83&lt;=_辅助!$J$2),1,0)</f>
        <v>0</v>
      </c>
      <c r="CE79" s="2">
        <f>IF(($C$130&lt;&gt;"")*(代发抵账!$E$83=$C$130)*(代发抵账!$D$83="总包代付材料分包款")*ISNUMBER(代发抵账!$H$83)*(代发抵账!$H$83&lt;=_辅助!$J$2),1,0)</f>
        <v>0</v>
      </c>
    </row>
    <row r="80">
      <c r="A80" s="94">
        <f>IF($AY80=0,"",74)</f>
      </c>
      <c r="B80" s="96">
        <f t="shared" si="24"/>
      </c>
      <c r="C80" s="94">
        <f t="shared" si="26"/>
      </c>
      <c r="D80" s="21">
        <f t="shared" si="0"/>
      </c>
      <c r="E80" s="21">
        <f t="shared" si="3"/>
      </c>
      <c r="F80" s="21">
        <f t="shared" si="5"/>
      </c>
      <c r="G80" s="22">
        <f t="shared" si="2"/>
      </c>
      <c r="H80" s="21">
        <f t="shared" si="6"/>
      </c>
      <c r="I80" s="21">
        <f t="shared" si="8"/>
      </c>
      <c r="J80" s="95">
        <f t="shared" si="28"/>
      </c>
      <c r="K80" s="21">
        <f t="shared" si="10"/>
      </c>
      <c r="L80" s="21">
        <f t="shared" si="12"/>
      </c>
      <c r="M80" s="21">
        <f t="shared" si="13"/>
      </c>
      <c r="N80" s="21">
        <f t="shared" si="14"/>
      </c>
      <c r="O80" s="21">
        <f t="shared" si="15"/>
      </c>
      <c r="P80" s="21">
        <f t="shared" si="16"/>
      </c>
      <c r="Q80" s="21">
        <f t="shared" si="17"/>
      </c>
      <c r="R80" s="21">
        <f t="shared" si="18"/>
      </c>
      <c r="S80" s="21">
        <f t="shared" si="19"/>
      </c>
      <c r="T80" s="21">
        <f t="shared" si="20"/>
      </c>
      <c r="U80" s="21">
        <f t="shared" si="21"/>
      </c>
      <c r="V80" s="21">
        <f t="shared" si="22"/>
      </c>
      <c r="W80" s="21">
        <f t="shared" si="23"/>
      </c>
      <c r="AX80" s="2">
        <f t="shared" si="30"/>
        <v>0</v>
      </c>
      <c r="AY80" s="2">
        <f>IF(74&gt;$AZ$300,0,IFERROR(MATCH(74,$AZ$1:$AZ$300,0),0))</f>
        <v>0</v>
      </c>
      <c r="AZ80" s="2">
        <f>AZ50+SUM(CA51:CA80)</f>
        <v>29</v>
      </c>
      <c r="BB80" s="2">
        <f>BB50+SUM(CC51:CC80)</f>
        <v>8</v>
      </c>
      <c r="BC80" s="2">
        <f>BC50+SUM(CD51:CD80)</f>
        <v>0</v>
      </c>
      <c r="BD80" s="2">
        <f>IF(AND($C$130&lt;&gt;"",资金流水!$J$84=$C$130,ISNUMBER(资金流水!$B$84),ISNUMBER(资金流水!$S$84),资金流水!$S$84&gt;=_辅助!$J$4,资金流水!$S$84&lt;=_辅助!$J$2,OR(资金流水!$X$84="应付材料款",资金流水!$X$84="应付分包款",资金流水!$X$84="应付机械运输费",资金流水!$X$84="应付其他款")),INT(资金流水!$B$84)*10000+79,"")</f>
      </c>
      <c r="BE80" s="2">
        <f>BE50+SUM(CE51:CE80)</f>
        <v>0</v>
      </c>
      <c r="CA80" s="2">
        <f>IF(AND(OR(_余额!$B$82="材料供应商",_余额!$B$82="分包",_余额!$B$82="机械运输",_余额!$B$82="其他"),OR($C$3="全部",_余额!$B$82=$C$3),OR(_余额!$G$82&lt;&gt;0,_余额!$H$82&lt;&gt;0)),1,0)</f>
        <v>0</v>
      </c>
      <c r="CC80" s="2">
        <f>IF(AND($C$130&lt;&gt;"",期初余额!$P$84=$C$130),1,0)</f>
        <v>0</v>
      </c>
      <c r="CD80" s="2">
        <f>IF(($C$130&lt;&gt;"")*(应付登记!$D$84=$C$130)*ISNUMBER(应付登记!$J$84)*(应付登记!$J$84&gt;=_辅助!$J$4)*(应付登记!$J$84&lt;=_辅助!$J$2),1,0)</f>
        <v>0</v>
      </c>
      <c r="CE80" s="2">
        <f>IF(($C$130&lt;&gt;"")*(代发抵账!$E$84=$C$130)*(代发抵账!$D$84="总包代付材料分包款")*ISNUMBER(代发抵账!$H$84)*(代发抵账!$H$84&lt;=_辅助!$J$2),1,0)</f>
        <v>0</v>
      </c>
    </row>
    <row r="81">
      <c r="A81" s="94">
        <f>IF($AY81=0,"",75)</f>
      </c>
      <c r="B81" s="96">
        <f t="shared" si="24"/>
      </c>
      <c r="C81" s="94">
        <f t="shared" si="26"/>
      </c>
      <c r="D81" s="21">
        <f t="shared" si="0"/>
      </c>
      <c r="E81" s="21">
        <f t="shared" si="3"/>
      </c>
      <c r="F81" s="21">
        <f t="shared" si="5"/>
      </c>
      <c r="G81" s="22">
        <f t="shared" si="2"/>
      </c>
      <c r="H81" s="21">
        <f t="shared" si="6"/>
      </c>
      <c r="I81" s="21">
        <f t="shared" si="8"/>
      </c>
      <c r="J81" s="95">
        <f t="shared" si="28"/>
      </c>
      <c r="K81" s="21">
        <f t="shared" si="10"/>
      </c>
      <c r="L81" s="21">
        <f t="shared" si="12"/>
      </c>
      <c r="M81" s="21">
        <f t="shared" si="13"/>
      </c>
      <c r="N81" s="21">
        <f t="shared" si="14"/>
      </c>
      <c r="O81" s="21">
        <f t="shared" si="15"/>
      </c>
      <c r="P81" s="21">
        <f t="shared" si="16"/>
      </c>
      <c r="Q81" s="21">
        <f t="shared" si="17"/>
      </c>
      <c r="R81" s="21">
        <f t="shared" si="18"/>
      </c>
      <c r="S81" s="21">
        <f t="shared" si="19"/>
      </c>
      <c r="T81" s="21">
        <f t="shared" si="20"/>
      </c>
      <c r="U81" s="21">
        <f t="shared" si="21"/>
      </c>
      <c r="V81" s="21">
        <f t="shared" si="22"/>
      </c>
      <c r="W81" s="21">
        <f t="shared" si="23"/>
      </c>
      <c r="AX81" s="2">
        <f t="shared" si="30"/>
        <v>0</v>
      </c>
      <c r="AY81" s="2">
        <f>IF(75&gt;$AZ$300,0,IFERROR(MATCH(75,$AZ$1:$AZ$300,0),0))</f>
        <v>0</v>
      </c>
      <c r="AZ81" s="2">
        <f>AZ50+SUM(CA51:CA81)</f>
        <v>29</v>
      </c>
      <c r="BB81" s="2">
        <f>BB50+SUM(CC51:CC81)</f>
        <v>8</v>
      </c>
      <c r="BC81" s="2">
        <f>BC50+SUM(CD51:CD81)</f>
        <v>0</v>
      </c>
      <c r="BD81" s="2">
        <f>IF(AND($C$130&lt;&gt;"",资金流水!$J$85=$C$130,ISNUMBER(资金流水!$B$85),ISNUMBER(资金流水!$S$85),资金流水!$S$85&gt;=_辅助!$J$4,资金流水!$S$85&lt;=_辅助!$J$2,OR(资金流水!$X$85="应付材料款",资金流水!$X$85="应付分包款",资金流水!$X$85="应付机械运输费",资金流水!$X$85="应付其他款")),INT(资金流水!$B$85)*10000+80,"")</f>
      </c>
      <c r="BE81" s="2">
        <f>BE50+SUM(CE51:CE81)</f>
        <v>0</v>
      </c>
      <c r="CA81" s="2">
        <f>IF(AND(OR(_余额!$B$83="材料供应商",_余额!$B$83="分包",_余额!$B$83="机械运输",_余额!$B$83="其他"),OR($C$3="全部",_余额!$B$83=$C$3),OR(_余额!$G$83&lt;&gt;0,_余额!$H$83&lt;&gt;0)),1,0)</f>
        <v>0</v>
      </c>
      <c r="CC81" s="2">
        <f>IF(AND($C$130&lt;&gt;"",期初余额!$P$85=$C$130),1,0)</f>
        <v>0</v>
      </c>
      <c r="CD81" s="2">
        <f>IF(($C$130&lt;&gt;"")*(应付登记!$D$85=$C$130)*ISNUMBER(应付登记!$J$85)*(应付登记!$J$85&gt;=_辅助!$J$4)*(应付登记!$J$85&lt;=_辅助!$J$2),1,0)</f>
        <v>0</v>
      </c>
      <c r="CE81" s="2">
        <f>IF(($C$130&lt;&gt;"")*(代发抵账!$E$85=$C$130)*(代发抵账!$D$85="总包代付材料分包款")*ISNUMBER(代发抵账!$H$85)*(代发抵账!$H$85&lt;=_辅助!$J$2),1,0)</f>
        <v>0</v>
      </c>
    </row>
    <row r="82">
      <c r="A82" s="94">
        <f>IF($AY82=0,"",76)</f>
      </c>
      <c r="B82" s="96">
        <f t="shared" si="24"/>
      </c>
      <c r="C82" s="94">
        <f t="shared" si="26"/>
      </c>
      <c r="D82" s="21">
        <f t="shared" si="0"/>
      </c>
      <c r="E82" s="21">
        <f t="shared" si="3"/>
      </c>
      <c r="F82" s="21">
        <f t="shared" si="5"/>
      </c>
      <c r="G82" s="22">
        <f t="shared" si="2"/>
      </c>
      <c r="H82" s="21">
        <f t="shared" si="6"/>
      </c>
      <c r="I82" s="21">
        <f t="shared" si="8"/>
      </c>
      <c r="J82" s="95">
        <f t="shared" si="28"/>
      </c>
      <c r="K82" s="21">
        <f t="shared" si="10"/>
      </c>
      <c r="L82" s="21">
        <f t="shared" si="12"/>
      </c>
      <c r="M82" s="21">
        <f t="shared" si="13"/>
      </c>
      <c r="N82" s="21">
        <f t="shared" si="14"/>
      </c>
      <c r="O82" s="21">
        <f t="shared" si="15"/>
      </c>
      <c r="P82" s="21">
        <f t="shared" si="16"/>
      </c>
      <c r="Q82" s="21">
        <f t="shared" si="17"/>
      </c>
      <c r="R82" s="21">
        <f t="shared" si="18"/>
      </c>
      <c r="S82" s="21">
        <f t="shared" si="19"/>
      </c>
      <c r="T82" s="21">
        <f t="shared" si="20"/>
      </c>
      <c r="U82" s="21">
        <f t="shared" si="21"/>
      </c>
      <c r="V82" s="21">
        <f t="shared" si="22"/>
      </c>
      <c r="W82" s="21">
        <f t="shared" si="23"/>
      </c>
      <c r="AX82" s="2">
        <f t="shared" si="30"/>
        <v>0</v>
      </c>
      <c r="AY82" s="2">
        <f>IF(76&gt;$AZ$300,0,IFERROR(MATCH(76,$AZ$1:$AZ$300,0),0))</f>
        <v>0</v>
      </c>
      <c r="AZ82" s="2">
        <f>AZ50+SUM(CA51:CA82)</f>
        <v>29</v>
      </c>
      <c r="BB82" s="2">
        <f>BB50+SUM(CC51:CC82)</f>
        <v>8</v>
      </c>
      <c r="BC82" s="2">
        <f>BC50+SUM(CD51:CD82)</f>
        <v>0</v>
      </c>
      <c r="BD82" s="2">
        <f>IF(AND($C$130&lt;&gt;"",资金流水!$J$86=$C$130,ISNUMBER(资金流水!$B$86),ISNUMBER(资金流水!$S$86),资金流水!$S$86&gt;=_辅助!$J$4,资金流水!$S$86&lt;=_辅助!$J$2,OR(资金流水!$X$86="应付材料款",资金流水!$X$86="应付分包款",资金流水!$X$86="应付机械运输费",资金流水!$X$86="应付其他款")),INT(资金流水!$B$86)*10000+81,"")</f>
      </c>
      <c r="BE82" s="2">
        <f>BE50+SUM(CE51:CE82)</f>
        <v>0</v>
      </c>
      <c r="CA82" s="2">
        <f>IF(AND(OR(_余额!$B$84="材料供应商",_余额!$B$84="分包",_余额!$B$84="机械运输",_余额!$B$84="其他"),OR($C$3="全部",_余额!$B$84=$C$3),OR(_余额!$G$84&lt;&gt;0,_余额!$H$84&lt;&gt;0)),1,0)</f>
        <v>0</v>
      </c>
      <c r="CC82" s="2">
        <f>IF(AND($C$130&lt;&gt;"",期初余额!$P$86=$C$130),1,0)</f>
        <v>0</v>
      </c>
      <c r="CD82" s="2">
        <f>IF(($C$130&lt;&gt;"")*(应付登记!$D$86=$C$130)*ISNUMBER(应付登记!$J$86)*(应付登记!$J$86&gt;=_辅助!$J$4)*(应付登记!$J$86&lt;=_辅助!$J$2),1,0)</f>
        <v>0</v>
      </c>
      <c r="CE82" s="2">
        <f>IF(($C$130&lt;&gt;"")*(代发抵账!$E$86=$C$130)*(代发抵账!$D$86="总包代付材料分包款")*ISNUMBER(代发抵账!$H$86)*(代发抵账!$H$86&lt;=_辅助!$J$2),1,0)</f>
        <v>0</v>
      </c>
    </row>
    <row r="83">
      <c r="A83" s="94">
        <f>IF($AY83=0,"",77)</f>
      </c>
      <c r="B83" s="96">
        <f t="shared" si="24"/>
      </c>
      <c r="C83" s="94">
        <f t="shared" si="26"/>
      </c>
      <c r="D83" s="21">
        <f t="shared" si="0"/>
      </c>
      <c r="E83" s="21">
        <f t="shared" si="3"/>
      </c>
      <c r="F83" s="21">
        <f t="shared" si="5"/>
      </c>
      <c r="G83" s="22">
        <f t="shared" si="2"/>
      </c>
      <c r="H83" s="21">
        <f t="shared" si="6"/>
      </c>
      <c r="I83" s="21">
        <f t="shared" si="8"/>
      </c>
      <c r="J83" s="95">
        <f t="shared" si="28"/>
      </c>
      <c r="K83" s="21">
        <f t="shared" si="10"/>
      </c>
      <c r="L83" s="21">
        <f t="shared" si="12"/>
      </c>
      <c r="M83" s="21">
        <f t="shared" si="13"/>
      </c>
      <c r="N83" s="21">
        <f t="shared" si="14"/>
      </c>
      <c r="O83" s="21">
        <f t="shared" si="15"/>
      </c>
      <c r="P83" s="21">
        <f t="shared" si="16"/>
      </c>
      <c r="Q83" s="21">
        <f t="shared" si="17"/>
      </c>
      <c r="R83" s="21">
        <f t="shared" si="18"/>
      </c>
      <c r="S83" s="21">
        <f t="shared" si="19"/>
      </c>
      <c r="T83" s="21">
        <f t="shared" si="20"/>
      </c>
      <c r="U83" s="21">
        <f t="shared" si="21"/>
      </c>
      <c r="V83" s="21">
        <f t="shared" si="22"/>
      </c>
      <c r="W83" s="21">
        <f t="shared" si="23"/>
      </c>
      <c r="AX83" s="2">
        <f t="shared" si="30"/>
        <v>0</v>
      </c>
      <c r="AY83" s="2">
        <f>IF(77&gt;$AZ$300,0,IFERROR(MATCH(77,$AZ$1:$AZ$300,0),0))</f>
        <v>0</v>
      </c>
      <c r="AZ83" s="2">
        <f>AZ50+SUM(CA51:CA83)</f>
        <v>29</v>
      </c>
      <c r="BB83" s="2">
        <f>BB50+SUM(CC51:CC83)</f>
        <v>8</v>
      </c>
      <c r="BC83" s="2">
        <f>BC50+SUM(CD51:CD83)</f>
        <v>0</v>
      </c>
      <c r="BD83" s="2">
        <f>IF(AND($C$130&lt;&gt;"",资金流水!$J$87=$C$130,ISNUMBER(资金流水!$B$87),ISNUMBER(资金流水!$S$87),资金流水!$S$87&gt;=_辅助!$J$4,资金流水!$S$87&lt;=_辅助!$J$2,OR(资金流水!$X$87="应付材料款",资金流水!$X$87="应付分包款",资金流水!$X$87="应付机械运输费",资金流水!$X$87="应付其他款")),INT(资金流水!$B$87)*10000+82,"")</f>
      </c>
      <c r="BE83" s="2">
        <f>BE50+SUM(CE51:CE83)</f>
        <v>0</v>
      </c>
      <c r="CA83" s="2">
        <f>IF(AND(OR(_余额!$B$85="材料供应商",_余额!$B$85="分包",_余额!$B$85="机械运输",_余额!$B$85="其他"),OR($C$3="全部",_余额!$B$85=$C$3),OR(_余额!$G$85&lt;&gt;0,_余额!$H$85&lt;&gt;0)),1,0)</f>
        <v>0</v>
      </c>
      <c r="CC83" s="2">
        <f>IF(AND($C$130&lt;&gt;"",期初余额!$P$87=$C$130),1,0)</f>
        <v>0</v>
      </c>
      <c r="CD83" s="2">
        <f>IF(($C$130&lt;&gt;"")*(应付登记!$D$87=$C$130)*ISNUMBER(应付登记!$J$87)*(应付登记!$J$87&gt;=_辅助!$J$4)*(应付登记!$J$87&lt;=_辅助!$J$2),1,0)</f>
        <v>0</v>
      </c>
      <c r="CE83" s="2">
        <f>IF(($C$130&lt;&gt;"")*(代发抵账!$E$87=$C$130)*(代发抵账!$D$87="总包代付材料分包款")*ISNUMBER(代发抵账!$H$87)*(代发抵账!$H$87&lt;=_辅助!$J$2),1,0)</f>
        <v>0</v>
      </c>
    </row>
    <row r="84">
      <c r="A84" s="94">
        <f>IF($AY84=0,"",78)</f>
      </c>
      <c r="B84" s="96">
        <f t="shared" si="24"/>
      </c>
      <c r="C84" s="94">
        <f t="shared" si="26"/>
      </c>
      <c r="D84" s="21">
        <f t="shared" si="0"/>
      </c>
      <c r="E84" s="21">
        <f t="shared" si="3"/>
      </c>
      <c r="F84" s="21">
        <f t="shared" si="5"/>
      </c>
      <c r="G84" s="22">
        <f t="shared" si="2"/>
      </c>
      <c r="H84" s="21">
        <f t="shared" si="6"/>
      </c>
      <c r="I84" s="21">
        <f t="shared" si="8"/>
      </c>
      <c r="J84" s="95">
        <f t="shared" si="28"/>
      </c>
      <c r="K84" s="21">
        <f t="shared" si="10"/>
      </c>
      <c r="L84" s="21">
        <f t="shared" si="12"/>
      </c>
      <c r="M84" s="21">
        <f t="shared" si="13"/>
      </c>
      <c r="N84" s="21">
        <f t="shared" si="14"/>
      </c>
      <c r="O84" s="21">
        <f t="shared" si="15"/>
      </c>
      <c r="P84" s="21">
        <f t="shared" si="16"/>
      </c>
      <c r="Q84" s="21">
        <f t="shared" si="17"/>
      </c>
      <c r="R84" s="21">
        <f t="shared" si="18"/>
      </c>
      <c r="S84" s="21">
        <f t="shared" si="19"/>
      </c>
      <c r="T84" s="21">
        <f t="shared" si="20"/>
      </c>
      <c r="U84" s="21">
        <f t="shared" si="21"/>
      </c>
      <c r="V84" s="21">
        <f t="shared" si="22"/>
      </c>
      <c r="W84" s="21">
        <f t="shared" si="23"/>
      </c>
      <c r="AX84" s="2">
        <f t="shared" si="30"/>
        <v>0</v>
      </c>
      <c r="AY84" s="2">
        <f>IF(78&gt;$AZ$300,0,IFERROR(MATCH(78,$AZ$1:$AZ$300,0),0))</f>
        <v>0</v>
      </c>
      <c r="AZ84" s="2">
        <f>AZ50+SUM(CA51:CA84)</f>
        <v>29</v>
      </c>
      <c r="BB84" s="2">
        <f>BB50+SUM(CC51:CC84)</f>
        <v>8</v>
      </c>
      <c r="BC84" s="2">
        <f>BC50+SUM(CD51:CD84)</f>
        <v>0</v>
      </c>
      <c r="BD84" s="2">
        <f>IF(AND($C$130&lt;&gt;"",资金流水!$J$88=$C$130,ISNUMBER(资金流水!$B$88),ISNUMBER(资金流水!$S$88),资金流水!$S$88&gt;=_辅助!$J$4,资金流水!$S$88&lt;=_辅助!$J$2,OR(资金流水!$X$88="应付材料款",资金流水!$X$88="应付分包款",资金流水!$X$88="应付机械运输费",资金流水!$X$88="应付其他款")),INT(资金流水!$B$88)*10000+83,"")</f>
      </c>
      <c r="BE84" s="2">
        <f>BE50+SUM(CE51:CE84)</f>
        <v>0</v>
      </c>
      <c r="CA84" s="2">
        <f>IF(AND(OR(_余额!$B$86="材料供应商",_余额!$B$86="分包",_余额!$B$86="机械运输",_余额!$B$86="其他"),OR($C$3="全部",_余额!$B$86=$C$3),OR(_余额!$G$86&lt;&gt;0,_余额!$H$86&lt;&gt;0)),1,0)</f>
        <v>0</v>
      </c>
      <c r="CC84" s="2">
        <f>IF(AND($C$130&lt;&gt;"",期初余额!$P$88=$C$130),1,0)</f>
        <v>0</v>
      </c>
      <c r="CD84" s="2">
        <f>IF(($C$130&lt;&gt;"")*(应付登记!$D$88=$C$130)*ISNUMBER(应付登记!$J$88)*(应付登记!$J$88&gt;=_辅助!$J$4)*(应付登记!$J$88&lt;=_辅助!$J$2),1,0)</f>
        <v>0</v>
      </c>
      <c r="CE84" s="2">
        <f>IF(($C$130&lt;&gt;"")*(代发抵账!$E$88=$C$130)*(代发抵账!$D$88="总包代付材料分包款")*ISNUMBER(代发抵账!$H$88)*(代发抵账!$H$88&lt;=_辅助!$J$2),1,0)</f>
        <v>0</v>
      </c>
    </row>
    <row r="85">
      <c r="A85" s="94">
        <f>IF($AY85=0,"",79)</f>
      </c>
      <c r="B85" s="96">
        <f t="shared" si="24"/>
      </c>
      <c r="C85" s="94">
        <f t="shared" si="26"/>
      </c>
      <c r="D85" s="21">
        <f t="shared" si="0"/>
      </c>
      <c r="E85" s="21">
        <f t="shared" si="3"/>
      </c>
      <c r="F85" s="21">
        <f t="shared" si="5"/>
      </c>
      <c r="G85" s="22">
        <f t="shared" si="2"/>
      </c>
      <c r="H85" s="21">
        <f t="shared" si="6"/>
      </c>
      <c r="I85" s="21">
        <f t="shared" si="8"/>
      </c>
      <c r="J85" s="95">
        <f t="shared" si="28"/>
      </c>
      <c r="K85" s="21">
        <f t="shared" si="10"/>
      </c>
      <c r="L85" s="21">
        <f t="shared" si="12"/>
      </c>
      <c r="M85" s="21">
        <f t="shared" si="13"/>
      </c>
      <c r="N85" s="21">
        <f t="shared" si="14"/>
      </c>
      <c r="O85" s="21">
        <f t="shared" si="15"/>
      </c>
      <c r="P85" s="21">
        <f t="shared" si="16"/>
      </c>
      <c r="Q85" s="21">
        <f t="shared" si="17"/>
      </c>
      <c r="R85" s="21">
        <f t="shared" si="18"/>
      </c>
      <c r="S85" s="21">
        <f t="shared" si="19"/>
      </c>
      <c r="T85" s="21">
        <f t="shared" si="20"/>
      </c>
      <c r="U85" s="21">
        <f t="shared" si="21"/>
      </c>
      <c r="V85" s="21">
        <f t="shared" si="22"/>
      </c>
      <c r="W85" s="21">
        <f t="shared" si="23"/>
      </c>
      <c r="AX85" s="2">
        <f t="shared" si="30"/>
        <v>0</v>
      </c>
      <c r="AY85" s="2">
        <f>IF(79&gt;$AZ$300,0,IFERROR(MATCH(79,$AZ$1:$AZ$300,0),0))</f>
        <v>0</v>
      </c>
      <c r="AZ85" s="2">
        <f>AZ50+SUM(CA51:CA85)</f>
        <v>29</v>
      </c>
      <c r="BB85" s="2">
        <f>BB50+SUM(CC51:CC85)</f>
        <v>8</v>
      </c>
      <c r="BC85" s="2">
        <f>BC50+SUM(CD51:CD85)</f>
        <v>0</v>
      </c>
      <c r="BD85" s="2">
        <f>IF(AND($C$130&lt;&gt;"",资金流水!$J$89=$C$130,ISNUMBER(资金流水!$B$89),ISNUMBER(资金流水!$S$89),资金流水!$S$89&gt;=_辅助!$J$4,资金流水!$S$89&lt;=_辅助!$J$2,OR(资金流水!$X$89="应付材料款",资金流水!$X$89="应付分包款",资金流水!$X$89="应付机械运输费",资金流水!$X$89="应付其他款")),INT(资金流水!$B$89)*10000+84,"")</f>
      </c>
      <c r="BE85" s="2">
        <f>BE50+SUM(CE51:CE85)</f>
        <v>0</v>
      </c>
      <c r="CA85" s="2">
        <f>IF(AND(OR(_余额!$B$87="材料供应商",_余额!$B$87="分包",_余额!$B$87="机械运输",_余额!$B$87="其他"),OR($C$3="全部",_余额!$B$87=$C$3),OR(_余额!$G$87&lt;&gt;0,_余额!$H$87&lt;&gt;0)),1,0)</f>
        <v>0</v>
      </c>
      <c r="CC85" s="2">
        <f>IF(AND($C$130&lt;&gt;"",期初余额!$P$89=$C$130),1,0)</f>
        <v>0</v>
      </c>
      <c r="CD85" s="2">
        <f>IF(($C$130&lt;&gt;"")*(应付登记!$D$89=$C$130)*ISNUMBER(应付登记!$J$89)*(应付登记!$J$89&gt;=_辅助!$J$4)*(应付登记!$J$89&lt;=_辅助!$J$2),1,0)</f>
        <v>0</v>
      </c>
      <c r="CE85" s="2">
        <f>IF(($C$130&lt;&gt;"")*(代发抵账!$E$89=$C$130)*(代发抵账!$D$89="总包代付材料分包款")*ISNUMBER(代发抵账!$H$89)*(代发抵账!$H$89&lt;=_辅助!$J$2),1,0)</f>
        <v>0</v>
      </c>
    </row>
    <row r="86">
      <c r="A86" s="94">
        <f>IF($AY86=0,"",80)</f>
      </c>
      <c r="B86" s="96">
        <f t="shared" si="24"/>
      </c>
      <c r="C86" s="94">
        <f t="shared" si="26"/>
      </c>
      <c r="D86" s="21">
        <f t="shared" si="0"/>
      </c>
      <c r="E86" s="21">
        <f t="shared" si="3"/>
      </c>
      <c r="F86" s="21">
        <f t="shared" si="5"/>
      </c>
      <c r="G86" s="22">
        <f t="shared" si="2"/>
      </c>
      <c r="H86" s="21">
        <f t="shared" si="6"/>
      </c>
      <c r="I86" s="21">
        <f t="shared" si="8"/>
      </c>
      <c r="J86" s="95">
        <f t="shared" si="28"/>
      </c>
      <c r="K86" s="21">
        <f t="shared" si="10"/>
      </c>
      <c r="L86" s="21">
        <f t="shared" si="12"/>
      </c>
      <c r="M86" s="21">
        <f t="shared" si="13"/>
      </c>
      <c r="N86" s="21">
        <f t="shared" si="14"/>
      </c>
      <c r="O86" s="21">
        <f t="shared" si="15"/>
      </c>
      <c r="P86" s="21">
        <f t="shared" si="16"/>
      </c>
      <c r="Q86" s="21">
        <f t="shared" si="17"/>
      </c>
      <c r="R86" s="21">
        <f t="shared" si="18"/>
      </c>
      <c r="S86" s="21">
        <f t="shared" si="19"/>
      </c>
      <c r="T86" s="21">
        <f t="shared" si="20"/>
      </c>
      <c r="U86" s="21">
        <f t="shared" si="21"/>
      </c>
      <c r="V86" s="21">
        <f t="shared" si="22"/>
      </c>
      <c r="W86" s="21">
        <f t="shared" si="23"/>
      </c>
      <c r="AX86" s="2">
        <f t="shared" si="30"/>
        <v>0</v>
      </c>
      <c r="AY86" s="2">
        <f>IF(80&gt;$AZ$300,0,IFERROR(MATCH(80,$AZ$1:$AZ$300,0),0))</f>
        <v>0</v>
      </c>
      <c r="AZ86" s="2">
        <f>AZ50+SUM(CA51:CA86)</f>
        <v>29</v>
      </c>
      <c r="BB86" s="2">
        <f>BB50+SUM(CC51:CC86)</f>
        <v>8</v>
      </c>
      <c r="BC86" s="2">
        <f>BC50+SUM(CD51:CD86)</f>
        <v>0</v>
      </c>
      <c r="BD86" s="2">
        <f>IF(AND($C$130&lt;&gt;"",资金流水!$J$90=$C$130,ISNUMBER(资金流水!$B$90),ISNUMBER(资金流水!$S$90),资金流水!$S$90&gt;=_辅助!$J$4,资金流水!$S$90&lt;=_辅助!$J$2,OR(资金流水!$X$90="应付材料款",资金流水!$X$90="应付分包款",资金流水!$X$90="应付机械运输费",资金流水!$X$90="应付其他款")),INT(资金流水!$B$90)*10000+85,"")</f>
      </c>
      <c r="BE86" s="2">
        <f>BE50+SUM(CE51:CE86)</f>
        <v>0</v>
      </c>
      <c r="CA86" s="2">
        <f>IF(AND(OR(_余额!$B$88="材料供应商",_余额!$B$88="分包",_余额!$B$88="机械运输",_余额!$B$88="其他"),OR($C$3="全部",_余额!$B$88=$C$3),OR(_余额!$G$88&lt;&gt;0,_余额!$H$88&lt;&gt;0)),1,0)</f>
        <v>0</v>
      </c>
      <c r="CC86" s="2">
        <f>IF(AND($C$130&lt;&gt;"",期初余额!$P$90=$C$130),1,0)</f>
        <v>0</v>
      </c>
      <c r="CD86" s="2">
        <f>IF(($C$130&lt;&gt;"")*(应付登记!$D$90=$C$130)*ISNUMBER(应付登记!$J$90)*(应付登记!$J$90&gt;=_辅助!$J$4)*(应付登记!$J$90&lt;=_辅助!$J$2),1,0)</f>
        <v>0</v>
      </c>
      <c r="CE86" s="2">
        <f>IF(($C$130&lt;&gt;"")*(代发抵账!$E$90=$C$130)*(代发抵账!$D$90="总包代付材料分包款")*ISNUMBER(代发抵账!$H$90)*(代发抵账!$H$90&lt;=_辅助!$J$2),1,0)</f>
        <v>0</v>
      </c>
    </row>
    <row r="87">
      <c r="A87" s="94">
        <f>IF($AY87=0,"",81)</f>
      </c>
      <c r="B87" s="96">
        <f t="shared" si="24"/>
      </c>
      <c r="C87" s="94">
        <f t="shared" si="26"/>
      </c>
      <c r="D87" s="21">
        <f t="shared" si="0"/>
      </c>
      <c r="E87" s="21">
        <f t="shared" si="3"/>
      </c>
      <c r="F87" s="21">
        <f t="shared" si="5"/>
      </c>
      <c r="G87" s="22">
        <f t="shared" si="2"/>
      </c>
      <c r="H87" s="21">
        <f t="shared" si="6"/>
      </c>
      <c r="I87" s="21">
        <f t="shared" si="8"/>
      </c>
      <c r="J87" s="95">
        <f t="shared" si="28"/>
      </c>
      <c r="K87" s="21">
        <f t="shared" si="10"/>
      </c>
      <c r="L87" s="21">
        <f t="shared" si="12"/>
      </c>
      <c r="M87" s="21">
        <f t="shared" si="13"/>
      </c>
      <c r="N87" s="21">
        <f t="shared" si="14"/>
      </c>
      <c r="O87" s="21">
        <f t="shared" si="15"/>
      </c>
      <c r="P87" s="21">
        <f t="shared" si="16"/>
      </c>
      <c r="Q87" s="21">
        <f t="shared" si="17"/>
      </c>
      <c r="R87" s="21">
        <f t="shared" si="18"/>
      </c>
      <c r="S87" s="21">
        <f t="shared" si="19"/>
      </c>
      <c r="T87" s="21">
        <f t="shared" si="20"/>
      </c>
      <c r="U87" s="21">
        <f t="shared" si="21"/>
      </c>
      <c r="V87" s="21">
        <f t="shared" si="22"/>
      </c>
      <c r="W87" s="21">
        <f t="shared" si="23"/>
      </c>
      <c r="AX87" s="2">
        <f t="shared" si="30"/>
        <v>0</v>
      </c>
      <c r="AY87" s="2">
        <f>IF(81&gt;$AZ$300,0,IFERROR(MATCH(81,$AZ$1:$AZ$300,0),0))</f>
        <v>0</v>
      </c>
      <c r="AZ87" s="2">
        <f>AZ50+SUM(CA51:CA87)</f>
        <v>29</v>
      </c>
      <c r="BB87" s="2">
        <f>BB50+SUM(CC51:CC87)</f>
        <v>8</v>
      </c>
      <c r="BC87" s="2">
        <f>BC50+SUM(CD51:CD87)</f>
        <v>0</v>
      </c>
      <c r="BD87" s="2">
        <f>IF(AND($C$130&lt;&gt;"",资金流水!$J$91=$C$130,ISNUMBER(资金流水!$B$91),ISNUMBER(资金流水!$S$91),资金流水!$S$91&gt;=_辅助!$J$4,资金流水!$S$91&lt;=_辅助!$J$2,OR(资金流水!$X$91="应付材料款",资金流水!$X$91="应付分包款",资金流水!$X$91="应付机械运输费",资金流水!$X$91="应付其他款")),INT(资金流水!$B$91)*10000+86,"")</f>
      </c>
      <c r="BE87" s="2">
        <f>BE50+SUM(CE51:CE87)</f>
        <v>0</v>
      </c>
      <c r="CA87" s="2">
        <f>IF(AND(OR(_余额!$B$89="材料供应商",_余额!$B$89="分包",_余额!$B$89="机械运输",_余额!$B$89="其他"),OR($C$3="全部",_余额!$B$89=$C$3),OR(_余额!$G$89&lt;&gt;0,_余额!$H$89&lt;&gt;0)),1,0)</f>
        <v>0</v>
      </c>
      <c r="CC87" s="2">
        <f>IF(AND($C$130&lt;&gt;"",期初余额!$P$91=$C$130),1,0)</f>
        <v>0</v>
      </c>
      <c r="CD87" s="2">
        <f>IF(($C$130&lt;&gt;"")*(应付登记!$D$91=$C$130)*ISNUMBER(应付登记!$J$91)*(应付登记!$J$91&gt;=_辅助!$J$4)*(应付登记!$J$91&lt;=_辅助!$J$2),1,0)</f>
        <v>0</v>
      </c>
      <c r="CE87" s="2">
        <f>IF(($C$130&lt;&gt;"")*(代发抵账!$E$91=$C$130)*(代发抵账!$D$91="总包代付材料分包款")*ISNUMBER(代发抵账!$H$91)*(代发抵账!$H$91&lt;=_辅助!$J$2),1,0)</f>
        <v>0</v>
      </c>
    </row>
    <row r="88">
      <c r="A88" s="94">
        <f>IF($AY88=0,"",82)</f>
      </c>
      <c r="B88" s="96">
        <f t="shared" si="24"/>
      </c>
      <c r="C88" s="94">
        <f t="shared" si="26"/>
      </c>
      <c r="D88" s="21">
        <f t="shared" si="0"/>
      </c>
      <c r="E88" s="21">
        <f t="shared" si="3"/>
      </c>
      <c r="F88" s="21">
        <f t="shared" si="5"/>
      </c>
      <c r="G88" s="22">
        <f t="shared" si="2"/>
      </c>
      <c r="H88" s="21">
        <f t="shared" si="6"/>
      </c>
      <c r="I88" s="21">
        <f t="shared" si="8"/>
      </c>
      <c r="J88" s="95">
        <f t="shared" si="28"/>
      </c>
      <c r="K88" s="21">
        <f t="shared" si="10"/>
      </c>
      <c r="L88" s="21">
        <f t="shared" si="12"/>
      </c>
      <c r="M88" s="21">
        <f t="shared" si="13"/>
      </c>
      <c r="N88" s="21">
        <f t="shared" si="14"/>
      </c>
      <c r="O88" s="21">
        <f t="shared" si="15"/>
      </c>
      <c r="P88" s="21">
        <f t="shared" si="16"/>
      </c>
      <c r="Q88" s="21">
        <f t="shared" si="17"/>
      </c>
      <c r="R88" s="21">
        <f t="shared" si="18"/>
      </c>
      <c r="S88" s="21">
        <f t="shared" si="19"/>
      </c>
      <c r="T88" s="21">
        <f t="shared" si="20"/>
      </c>
      <c r="U88" s="21">
        <f t="shared" si="21"/>
      </c>
      <c r="V88" s="21">
        <f t="shared" si="22"/>
      </c>
      <c r="W88" s="21">
        <f t="shared" si="23"/>
      </c>
      <c r="AX88" s="2">
        <f t="shared" si="30"/>
        <v>0</v>
      </c>
      <c r="AY88" s="2">
        <f>IF(82&gt;$AZ$300,0,IFERROR(MATCH(82,$AZ$1:$AZ$300,0),0))</f>
        <v>0</v>
      </c>
      <c r="AZ88" s="2">
        <f>AZ50+SUM(CA51:CA88)</f>
        <v>29</v>
      </c>
      <c r="BB88" s="2">
        <f>BB50+SUM(CC51:CC88)</f>
        <v>8</v>
      </c>
      <c r="BC88" s="2">
        <f>BC50+SUM(CD51:CD88)</f>
        <v>0</v>
      </c>
      <c r="BD88" s="2">
        <f>IF(AND($C$130&lt;&gt;"",资金流水!$J$92=$C$130,ISNUMBER(资金流水!$B$92),ISNUMBER(资金流水!$S$92),资金流水!$S$92&gt;=_辅助!$J$4,资金流水!$S$92&lt;=_辅助!$J$2,OR(资金流水!$X$92="应付材料款",资金流水!$X$92="应付分包款",资金流水!$X$92="应付机械运输费",资金流水!$X$92="应付其他款")),INT(资金流水!$B$92)*10000+87,"")</f>
      </c>
      <c r="BE88" s="2">
        <f>BE50+SUM(CE51:CE88)</f>
        <v>0</v>
      </c>
      <c r="CA88" s="2">
        <f>IF(AND(OR(_余额!$B$90="材料供应商",_余额!$B$90="分包",_余额!$B$90="机械运输",_余额!$B$90="其他"),OR($C$3="全部",_余额!$B$90=$C$3),OR(_余额!$G$90&lt;&gt;0,_余额!$H$90&lt;&gt;0)),1,0)</f>
        <v>0</v>
      </c>
      <c r="CC88" s="2">
        <f>IF(AND($C$130&lt;&gt;"",期初余额!$P$92=$C$130),1,0)</f>
        <v>0</v>
      </c>
      <c r="CD88" s="2">
        <f>IF(($C$130&lt;&gt;"")*(应付登记!$D$92=$C$130)*ISNUMBER(应付登记!$J$92)*(应付登记!$J$92&gt;=_辅助!$J$4)*(应付登记!$J$92&lt;=_辅助!$J$2),1,0)</f>
        <v>0</v>
      </c>
      <c r="CE88" s="2">
        <f>IF(($C$130&lt;&gt;"")*(代发抵账!$E$92=$C$130)*(代发抵账!$D$92="总包代付材料分包款")*ISNUMBER(代发抵账!$H$92)*(代发抵账!$H$92&lt;=_辅助!$J$2),1,0)</f>
        <v>0</v>
      </c>
    </row>
    <row r="89">
      <c r="A89" s="94">
        <f>IF($AY89=0,"",83)</f>
      </c>
      <c r="B89" s="96">
        <f t="shared" si="24"/>
      </c>
      <c r="C89" s="94">
        <f t="shared" si="26"/>
      </c>
      <c r="D89" s="21">
        <f t="shared" si="0"/>
      </c>
      <c r="E89" s="21">
        <f t="shared" si="3"/>
      </c>
      <c r="F89" s="21">
        <f t="shared" si="5"/>
      </c>
      <c r="G89" s="22">
        <f t="shared" si="2"/>
      </c>
      <c r="H89" s="21">
        <f t="shared" si="6"/>
      </c>
      <c r="I89" s="21">
        <f t="shared" si="8"/>
      </c>
      <c r="J89" s="95">
        <f t="shared" si="28"/>
      </c>
      <c r="K89" s="21">
        <f t="shared" si="10"/>
      </c>
      <c r="L89" s="21">
        <f t="shared" si="12"/>
      </c>
      <c r="M89" s="21">
        <f t="shared" si="13"/>
      </c>
      <c r="N89" s="21">
        <f t="shared" si="14"/>
      </c>
      <c r="O89" s="21">
        <f t="shared" si="15"/>
      </c>
      <c r="P89" s="21">
        <f t="shared" si="16"/>
      </c>
      <c r="Q89" s="21">
        <f t="shared" si="17"/>
      </c>
      <c r="R89" s="21">
        <f t="shared" si="18"/>
      </c>
      <c r="S89" s="21">
        <f t="shared" si="19"/>
      </c>
      <c r="T89" s="21">
        <f t="shared" si="20"/>
      </c>
      <c r="U89" s="21">
        <f t="shared" si="21"/>
      </c>
      <c r="V89" s="21">
        <f t="shared" si="22"/>
      </c>
      <c r="W89" s="21">
        <f t="shared" si="23"/>
      </c>
      <c r="AX89" s="2">
        <f t="shared" si="30"/>
        <v>0</v>
      </c>
      <c r="AY89" s="2">
        <f>IF(83&gt;$AZ$300,0,IFERROR(MATCH(83,$AZ$1:$AZ$300,0),0))</f>
        <v>0</v>
      </c>
      <c r="AZ89" s="2">
        <f>AZ50+SUM(CA51:CA89)</f>
        <v>29</v>
      </c>
      <c r="BB89" s="2">
        <f>BB50+SUM(CC51:CC89)</f>
        <v>8</v>
      </c>
      <c r="BC89" s="2">
        <f>BC50+SUM(CD51:CD89)</f>
        <v>0</v>
      </c>
      <c r="BD89" s="2">
        <f>IF(AND($C$130&lt;&gt;"",资金流水!$J$93=$C$130,ISNUMBER(资金流水!$B$93),ISNUMBER(资金流水!$S$93),资金流水!$S$93&gt;=_辅助!$J$4,资金流水!$S$93&lt;=_辅助!$J$2,OR(资金流水!$X$93="应付材料款",资金流水!$X$93="应付分包款",资金流水!$X$93="应付机械运输费",资金流水!$X$93="应付其他款")),INT(资金流水!$B$93)*10000+88,"")</f>
      </c>
      <c r="BE89" s="2">
        <f>BE50+SUM(CE51:CE89)</f>
        <v>0</v>
      </c>
      <c r="CA89" s="2">
        <f>IF(AND(OR(_余额!$B$91="材料供应商",_余额!$B$91="分包",_余额!$B$91="机械运输",_余额!$B$91="其他"),OR($C$3="全部",_余额!$B$91=$C$3),OR(_余额!$G$91&lt;&gt;0,_余额!$H$91&lt;&gt;0)),1,0)</f>
        <v>0</v>
      </c>
      <c r="CC89" s="2">
        <f>IF(AND($C$130&lt;&gt;"",期初余额!$P$93=$C$130),1,0)</f>
        <v>0</v>
      </c>
      <c r="CD89" s="2">
        <f>IF(($C$130&lt;&gt;"")*(应付登记!$D$93=$C$130)*ISNUMBER(应付登记!$J$93)*(应付登记!$J$93&gt;=_辅助!$J$4)*(应付登记!$J$93&lt;=_辅助!$J$2),1,0)</f>
        <v>0</v>
      </c>
      <c r="CE89" s="2">
        <f>IF(($C$130&lt;&gt;"")*(代发抵账!$E$93=$C$130)*(代发抵账!$D$93="总包代付材料分包款")*ISNUMBER(代发抵账!$H$93)*(代发抵账!$H$93&lt;=_辅助!$J$2),1,0)</f>
        <v>0</v>
      </c>
    </row>
    <row r="90">
      <c r="A90" s="94">
        <f>IF($AY90=0,"",84)</f>
      </c>
      <c r="B90" s="96">
        <f t="shared" si="24"/>
      </c>
      <c r="C90" s="94">
        <f t="shared" si="26"/>
      </c>
      <c r="D90" s="21">
        <f t="shared" si="0"/>
      </c>
      <c r="E90" s="21">
        <f t="shared" si="3"/>
      </c>
      <c r="F90" s="21">
        <f t="shared" si="5"/>
      </c>
      <c r="G90" s="22">
        <f t="shared" si="2"/>
      </c>
      <c r="H90" s="21">
        <f t="shared" si="6"/>
      </c>
      <c r="I90" s="21">
        <f t="shared" si="8"/>
      </c>
      <c r="J90" s="95">
        <f t="shared" si="28"/>
      </c>
      <c r="K90" s="21">
        <f t="shared" si="10"/>
      </c>
      <c r="L90" s="21">
        <f t="shared" si="12"/>
      </c>
      <c r="M90" s="21">
        <f t="shared" si="13"/>
      </c>
      <c r="N90" s="21">
        <f t="shared" si="14"/>
      </c>
      <c r="O90" s="21">
        <f t="shared" si="15"/>
      </c>
      <c r="P90" s="21">
        <f t="shared" si="16"/>
      </c>
      <c r="Q90" s="21">
        <f t="shared" si="17"/>
      </c>
      <c r="R90" s="21">
        <f t="shared" si="18"/>
      </c>
      <c r="S90" s="21">
        <f t="shared" si="19"/>
      </c>
      <c r="T90" s="21">
        <f t="shared" si="20"/>
      </c>
      <c r="U90" s="21">
        <f t="shared" si="21"/>
      </c>
      <c r="V90" s="21">
        <f t="shared" si="22"/>
      </c>
      <c r="W90" s="21">
        <f t="shared" si="23"/>
      </c>
      <c r="AX90" s="2">
        <f t="shared" si="30"/>
        <v>0</v>
      </c>
      <c r="AY90" s="2">
        <f>IF(84&gt;$AZ$300,0,IFERROR(MATCH(84,$AZ$1:$AZ$300,0),0))</f>
        <v>0</v>
      </c>
      <c r="AZ90" s="2">
        <f>AZ50+SUM(CA51:CA90)</f>
        <v>29</v>
      </c>
      <c r="BB90" s="2">
        <f>BB50+SUM(CC51:CC90)</f>
        <v>8</v>
      </c>
      <c r="BC90" s="2">
        <f>BC50+SUM(CD51:CD90)</f>
        <v>0</v>
      </c>
      <c r="BD90" s="2">
        <f>IF(AND($C$130&lt;&gt;"",资金流水!$J$94=$C$130,ISNUMBER(资金流水!$B$94),ISNUMBER(资金流水!$S$94),资金流水!$S$94&gt;=_辅助!$J$4,资金流水!$S$94&lt;=_辅助!$J$2,OR(资金流水!$X$94="应付材料款",资金流水!$X$94="应付分包款",资金流水!$X$94="应付机械运输费",资金流水!$X$94="应付其他款")),INT(资金流水!$B$94)*10000+89,"")</f>
      </c>
      <c r="BE90" s="2">
        <f>BE50+SUM(CE51:CE90)</f>
        <v>0</v>
      </c>
      <c r="CA90" s="2">
        <f>IF(AND(OR(_余额!$B$92="材料供应商",_余额!$B$92="分包",_余额!$B$92="机械运输",_余额!$B$92="其他"),OR($C$3="全部",_余额!$B$92=$C$3),OR(_余额!$G$92&lt;&gt;0,_余额!$H$92&lt;&gt;0)),1,0)</f>
        <v>0</v>
      </c>
      <c r="CC90" s="2">
        <f>IF(AND($C$130&lt;&gt;"",期初余额!$P$94=$C$130),1,0)</f>
        <v>0</v>
      </c>
      <c r="CD90" s="2">
        <f>IF(($C$130&lt;&gt;"")*(应付登记!$D$94=$C$130)*ISNUMBER(应付登记!$J$94)*(应付登记!$J$94&gt;=_辅助!$J$4)*(应付登记!$J$94&lt;=_辅助!$J$2),1,0)</f>
        <v>0</v>
      </c>
      <c r="CE90" s="2">
        <f>IF(($C$130&lt;&gt;"")*(代发抵账!$E$94=$C$130)*(代发抵账!$D$94="总包代付材料分包款")*ISNUMBER(代发抵账!$H$94)*(代发抵账!$H$94&lt;=_辅助!$J$2),1,0)</f>
        <v>0</v>
      </c>
    </row>
    <row r="91">
      <c r="A91" s="94">
        <f>IF($AY91=0,"",85)</f>
      </c>
      <c r="B91" s="96">
        <f t="shared" si="24"/>
      </c>
      <c r="C91" s="94">
        <f t="shared" si="26"/>
      </c>
      <c r="D91" s="21">
        <f t="shared" si="0"/>
      </c>
      <c r="E91" s="21">
        <f t="shared" si="3"/>
      </c>
      <c r="F91" s="21">
        <f t="shared" si="5"/>
      </c>
      <c r="G91" s="22">
        <f t="shared" si="2"/>
      </c>
      <c r="H91" s="21">
        <f t="shared" si="6"/>
      </c>
      <c r="I91" s="21">
        <f t="shared" si="8"/>
      </c>
      <c r="J91" s="95">
        <f t="shared" si="28"/>
      </c>
      <c r="K91" s="21">
        <f t="shared" si="10"/>
      </c>
      <c r="L91" s="21">
        <f t="shared" si="12"/>
      </c>
      <c r="M91" s="21">
        <f t="shared" si="13"/>
      </c>
      <c r="N91" s="21">
        <f t="shared" si="14"/>
      </c>
      <c r="O91" s="21">
        <f t="shared" si="15"/>
      </c>
      <c r="P91" s="21">
        <f t="shared" si="16"/>
      </c>
      <c r="Q91" s="21">
        <f t="shared" si="17"/>
      </c>
      <c r="R91" s="21">
        <f t="shared" si="18"/>
      </c>
      <c r="S91" s="21">
        <f t="shared" si="19"/>
      </c>
      <c r="T91" s="21">
        <f t="shared" si="20"/>
      </c>
      <c r="U91" s="21">
        <f t="shared" si="21"/>
      </c>
      <c r="V91" s="21">
        <f t="shared" si="22"/>
      </c>
      <c r="W91" s="21">
        <f t="shared" si="23"/>
      </c>
      <c r="AX91" s="2">
        <f t="shared" si="30"/>
        <v>0</v>
      </c>
      <c r="AY91" s="2">
        <f>IF(85&gt;$AZ$300,0,IFERROR(MATCH(85,$AZ$1:$AZ$300,0),0))</f>
        <v>0</v>
      </c>
      <c r="AZ91" s="2">
        <f>AZ50+SUM(CA51:CA91)</f>
        <v>29</v>
      </c>
      <c r="BB91" s="2">
        <f>BB50+SUM(CC51:CC91)</f>
        <v>8</v>
      </c>
      <c r="BC91" s="2">
        <f>BC50+SUM(CD51:CD91)</f>
        <v>0</v>
      </c>
      <c r="BD91" s="2">
        <f>IF(AND($C$130&lt;&gt;"",资金流水!$J$95=$C$130,ISNUMBER(资金流水!$B$95),ISNUMBER(资金流水!$S$95),资金流水!$S$95&gt;=_辅助!$J$4,资金流水!$S$95&lt;=_辅助!$J$2,OR(资金流水!$X$95="应付材料款",资金流水!$X$95="应付分包款",资金流水!$X$95="应付机械运输费",资金流水!$X$95="应付其他款")),INT(资金流水!$B$95)*10000+90,"")</f>
      </c>
      <c r="BE91" s="2">
        <f>BE50+SUM(CE51:CE91)</f>
        <v>0</v>
      </c>
      <c r="CA91" s="2">
        <f>IF(AND(OR(_余额!$B$93="材料供应商",_余额!$B$93="分包",_余额!$B$93="机械运输",_余额!$B$93="其他"),OR($C$3="全部",_余额!$B$93=$C$3),OR(_余额!$G$93&lt;&gt;0,_余额!$H$93&lt;&gt;0)),1,0)</f>
        <v>0</v>
      </c>
      <c r="CC91" s="2">
        <f>IF(AND($C$130&lt;&gt;"",期初余额!$P$95=$C$130),1,0)</f>
        <v>0</v>
      </c>
      <c r="CD91" s="2">
        <f>IF(($C$130&lt;&gt;"")*(应付登记!$D$95=$C$130)*ISNUMBER(应付登记!$J$95)*(应付登记!$J$95&gt;=_辅助!$J$4)*(应付登记!$J$95&lt;=_辅助!$J$2),1,0)</f>
        <v>0</v>
      </c>
      <c r="CE91" s="2">
        <f>IF(($C$130&lt;&gt;"")*(代发抵账!$E$95=$C$130)*(代发抵账!$D$95="总包代付材料分包款")*ISNUMBER(代发抵账!$H$95)*(代发抵账!$H$95&lt;=_辅助!$J$2),1,0)</f>
        <v>0</v>
      </c>
    </row>
    <row r="92">
      <c r="A92" s="94">
        <f>IF($AY92=0,"",86)</f>
      </c>
      <c r="B92" s="96">
        <f t="shared" si="24"/>
      </c>
      <c r="C92" s="94">
        <f t="shared" si="26"/>
      </c>
      <c r="D92" s="21">
        <f t="shared" si="0"/>
      </c>
      <c r="E92" s="21">
        <f t="shared" si="3"/>
      </c>
      <c r="F92" s="21">
        <f t="shared" si="5"/>
      </c>
      <c r="G92" s="22">
        <f t="shared" si="2"/>
      </c>
      <c r="H92" s="21">
        <f t="shared" si="6"/>
      </c>
      <c r="I92" s="21">
        <f t="shared" si="8"/>
      </c>
      <c r="J92" s="95">
        <f t="shared" si="28"/>
      </c>
      <c r="K92" s="21">
        <f t="shared" si="10"/>
      </c>
      <c r="L92" s="21">
        <f t="shared" si="12"/>
      </c>
      <c r="M92" s="21">
        <f t="shared" si="13"/>
      </c>
      <c r="N92" s="21">
        <f t="shared" si="14"/>
      </c>
      <c r="O92" s="21">
        <f t="shared" si="15"/>
      </c>
      <c r="P92" s="21">
        <f t="shared" si="16"/>
      </c>
      <c r="Q92" s="21">
        <f t="shared" si="17"/>
      </c>
      <c r="R92" s="21">
        <f t="shared" si="18"/>
      </c>
      <c r="S92" s="21">
        <f t="shared" si="19"/>
      </c>
      <c r="T92" s="21">
        <f t="shared" si="20"/>
      </c>
      <c r="U92" s="21">
        <f t="shared" si="21"/>
      </c>
      <c r="V92" s="21">
        <f t="shared" si="22"/>
      </c>
      <c r="W92" s="21">
        <f t="shared" si="23"/>
      </c>
      <c r="AX92" s="2">
        <f t="shared" si="30"/>
        <v>0</v>
      </c>
      <c r="AY92" s="2">
        <f>IF(86&gt;$AZ$300,0,IFERROR(MATCH(86,$AZ$1:$AZ$300,0),0))</f>
        <v>0</v>
      </c>
      <c r="AZ92" s="2">
        <f>AZ50+SUM(CA51:CA92)</f>
        <v>29</v>
      </c>
      <c r="BB92" s="2">
        <f>BB50+SUM(CC51:CC92)</f>
        <v>8</v>
      </c>
      <c r="BC92" s="2">
        <f>BC50+SUM(CD51:CD92)</f>
        <v>0</v>
      </c>
      <c r="BD92" s="2">
        <f>IF(AND($C$130&lt;&gt;"",资金流水!$J$96=$C$130,ISNUMBER(资金流水!$B$96),ISNUMBER(资金流水!$S$96),资金流水!$S$96&gt;=_辅助!$J$4,资金流水!$S$96&lt;=_辅助!$J$2,OR(资金流水!$X$96="应付材料款",资金流水!$X$96="应付分包款",资金流水!$X$96="应付机械运输费",资金流水!$X$96="应付其他款")),INT(资金流水!$B$96)*10000+91,"")</f>
      </c>
      <c r="BE92" s="2">
        <f>BE50+SUM(CE51:CE92)</f>
        <v>0</v>
      </c>
      <c r="CA92" s="2">
        <f>IF(AND(OR(_余额!$B$94="材料供应商",_余额!$B$94="分包",_余额!$B$94="机械运输",_余额!$B$94="其他"),OR($C$3="全部",_余额!$B$94=$C$3),OR(_余额!$G$94&lt;&gt;0,_余额!$H$94&lt;&gt;0)),1,0)</f>
        <v>0</v>
      </c>
      <c r="CC92" s="2">
        <f>IF(AND($C$130&lt;&gt;"",期初余额!$P$96=$C$130),1,0)</f>
        <v>0</v>
      </c>
      <c r="CD92" s="2">
        <f>IF(($C$130&lt;&gt;"")*(应付登记!$D$96=$C$130)*ISNUMBER(应付登记!$J$96)*(应付登记!$J$96&gt;=_辅助!$J$4)*(应付登记!$J$96&lt;=_辅助!$J$2),1,0)</f>
        <v>0</v>
      </c>
      <c r="CE92" s="2">
        <f>IF(($C$130&lt;&gt;"")*(代发抵账!$E$96=$C$130)*(代发抵账!$D$96="总包代付材料分包款")*ISNUMBER(代发抵账!$H$96)*(代发抵账!$H$96&lt;=_辅助!$J$2),1,0)</f>
        <v>0</v>
      </c>
    </row>
    <row r="93">
      <c r="A93" s="94">
        <f>IF($AY93=0,"",87)</f>
      </c>
      <c r="B93" s="96">
        <f t="shared" si="24"/>
      </c>
      <c r="C93" s="94">
        <f t="shared" si="26"/>
      </c>
      <c r="D93" s="21">
        <f t="shared" si="0"/>
      </c>
      <c r="E93" s="21">
        <f t="shared" si="3"/>
      </c>
      <c r="F93" s="21">
        <f t="shared" si="5"/>
      </c>
      <c r="G93" s="22">
        <f t="shared" si="2"/>
      </c>
      <c r="H93" s="21">
        <f t="shared" si="6"/>
      </c>
      <c r="I93" s="21">
        <f t="shared" si="8"/>
      </c>
      <c r="J93" s="95">
        <f t="shared" si="28"/>
      </c>
      <c r="K93" s="21">
        <f t="shared" si="10"/>
      </c>
      <c r="L93" s="21">
        <f t="shared" si="12"/>
      </c>
      <c r="M93" s="21">
        <f t="shared" si="13"/>
      </c>
      <c r="N93" s="21">
        <f t="shared" si="14"/>
      </c>
      <c r="O93" s="21">
        <f t="shared" si="15"/>
      </c>
      <c r="P93" s="21">
        <f t="shared" si="16"/>
      </c>
      <c r="Q93" s="21">
        <f t="shared" si="17"/>
      </c>
      <c r="R93" s="21">
        <f t="shared" si="18"/>
      </c>
      <c r="S93" s="21">
        <f t="shared" si="19"/>
      </c>
      <c r="T93" s="21">
        <f t="shared" si="20"/>
      </c>
      <c r="U93" s="21">
        <f t="shared" si="21"/>
      </c>
      <c r="V93" s="21">
        <f t="shared" si="22"/>
      </c>
      <c r="W93" s="21">
        <f t="shared" si="23"/>
      </c>
      <c r="AX93" s="2">
        <f t="shared" si="30"/>
        <v>0</v>
      </c>
      <c r="AY93" s="2">
        <f>IF(87&gt;$AZ$300,0,IFERROR(MATCH(87,$AZ$1:$AZ$300,0),0))</f>
        <v>0</v>
      </c>
      <c r="AZ93" s="2">
        <f>AZ50+SUM(CA51:CA93)</f>
        <v>29</v>
      </c>
      <c r="BB93" s="2">
        <f>BB50+SUM(CC51:CC93)</f>
        <v>8</v>
      </c>
      <c r="BC93" s="2">
        <f>BC50+SUM(CD51:CD93)</f>
        <v>0</v>
      </c>
      <c r="BD93" s="2">
        <f>IF(AND($C$130&lt;&gt;"",资金流水!$J$97=$C$130,ISNUMBER(资金流水!$B$97),ISNUMBER(资金流水!$S$97),资金流水!$S$97&gt;=_辅助!$J$4,资金流水!$S$97&lt;=_辅助!$J$2,OR(资金流水!$X$97="应付材料款",资金流水!$X$97="应付分包款",资金流水!$X$97="应付机械运输费",资金流水!$X$97="应付其他款")),INT(资金流水!$B$97)*10000+92,"")</f>
      </c>
      <c r="BE93" s="2">
        <f>BE50+SUM(CE51:CE93)</f>
        <v>0</v>
      </c>
      <c r="CA93" s="2">
        <f>IF(AND(OR(_余额!$B$95="材料供应商",_余额!$B$95="分包",_余额!$B$95="机械运输",_余额!$B$95="其他"),OR($C$3="全部",_余额!$B$95=$C$3),OR(_余额!$G$95&lt;&gt;0,_余额!$H$95&lt;&gt;0)),1,0)</f>
        <v>0</v>
      </c>
      <c r="CC93" s="2">
        <f>IF(AND($C$130&lt;&gt;"",期初余额!$P$97=$C$130),1,0)</f>
        <v>0</v>
      </c>
      <c r="CD93" s="2">
        <f>IF(($C$130&lt;&gt;"")*(应付登记!$D$97=$C$130)*ISNUMBER(应付登记!$J$97)*(应付登记!$J$97&gt;=_辅助!$J$4)*(应付登记!$J$97&lt;=_辅助!$J$2),1,0)</f>
        <v>0</v>
      </c>
      <c r="CE93" s="2">
        <f>IF(($C$130&lt;&gt;"")*(代发抵账!$E$97=$C$130)*(代发抵账!$D$97="总包代付材料分包款")*ISNUMBER(代发抵账!$H$97)*(代发抵账!$H$97&lt;=_辅助!$J$2),1,0)</f>
        <v>0</v>
      </c>
    </row>
    <row r="94">
      <c r="A94" s="94">
        <f>IF($AY94=0,"",88)</f>
      </c>
      <c r="B94" s="96">
        <f t="shared" si="24"/>
      </c>
      <c r="C94" s="94">
        <f t="shared" si="26"/>
      </c>
      <c r="D94" s="21">
        <f t="shared" si="0"/>
      </c>
      <c r="E94" s="21">
        <f t="shared" si="3"/>
      </c>
      <c r="F94" s="21">
        <f t="shared" si="5"/>
      </c>
      <c r="G94" s="22">
        <f t="shared" si="2"/>
      </c>
      <c r="H94" s="21">
        <f t="shared" si="6"/>
      </c>
      <c r="I94" s="21">
        <f t="shared" si="8"/>
      </c>
      <c r="J94" s="95">
        <f t="shared" si="28"/>
      </c>
      <c r="K94" s="21">
        <f t="shared" si="10"/>
      </c>
      <c r="L94" s="21">
        <f t="shared" si="12"/>
      </c>
      <c r="M94" s="21">
        <f t="shared" si="13"/>
      </c>
      <c r="N94" s="21">
        <f t="shared" si="14"/>
      </c>
      <c r="O94" s="21">
        <f t="shared" si="15"/>
      </c>
      <c r="P94" s="21">
        <f t="shared" si="16"/>
      </c>
      <c r="Q94" s="21">
        <f t="shared" si="17"/>
      </c>
      <c r="R94" s="21">
        <f t="shared" si="18"/>
      </c>
      <c r="S94" s="21">
        <f t="shared" si="19"/>
      </c>
      <c r="T94" s="21">
        <f t="shared" si="20"/>
      </c>
      <c r="U94" s="21">
        <f t="shared" si="21"/>
      </c>
      <c r="V94" s="21">
        <f t="shared" si="22"/>
      </c>
      <c r="W94" s="21">
        <f t="shared" si="23"/>
      </c>
      <c r="AX94" s="2">
        <f t="shared" si="30"/>
        <v>0</v>
      </c>
      <c r="AY94" s="2">
        <f>IF(88&gt;$AZ$300,0,IFERROR(MATCH(88,$AZ$1:$AZ$300,0),0))</f>
        <v>0</v>
      </c>
      <c r="AZ94" s="2">
        <f>AZ50+SUM(CA51:CA94)</f>
        <v>29</v>
      </c>
      <c r="BB94" s="2">
        <f>BB50+SUM(CC51:CC94)</f>
        <v>8</v>
      </c>
      <c r="BC94" s="2">
        <f>BC50+SUM(CD51:CD94)</f>
        <v>0</v>
      </c>
      <c r="BD94" s="2">
        <f>IF(AND($C$130&lt;&gt;"",资金流水!$J$98=$C$130,ISNUMBER(资金流水!$B$98),ISNUMBER(资金流水!$S$98),资金流水!$S$98&gt;=_辅助!$J$4,资金流水!$S$98&lt;=_辅助!$J$2,OR(资金流水!$X$98="应付材料款",资金流水!$X$98="应付分包款",资金流水!$X$98="应付机械运输费",资金流水!$X$98="应付其他款")),INT(资金流水!$B$98)*10000+93,"")</f>
      </c>
      <c r="BE94" s="2">
        <f>BE50+SUM(CE51:CE94)</f>
        <v>0</v>
      </c>
      <c r="CA94" s="2">
        <f>IF(AND(OR(_余额!$B$96="材料供应商",_余额!$B$96="分包",_余额!$B$96="机械运输",_余额!$B$96="其他"),OR($C$3="全部",_余额!$B$96=$C$3),OR(_余额!$G$96&lt;&gt;0,_余额!$H$96&lt;&gt;0)),1,0)</f>
        <v>0</v>
      </c>
      <c r="CC94" s="2">
        <f>IF(AND($C$130&lt;&gt;"",期初余额!$P$98=$C$130),1,0)</f>
        <v>0</v>
      </c>
      <c r="CD94" s="2">
        <f>IF(($C$130&lt;&gt;"")*(应付登记!$D$98=$C$130)*ISNUMBER(应付登记!$J$98)*(应付登记!$J$98&gt;=_辅助!$J$4)*(应付登记!$J$98&lt;=_辅助!$J$2),1,0)</f>
        <v>0</v>
      </c>
      <c r="CE94" s="2">
        <f>IF(($C$130&lt;&gt;"")*(代发抵账!$E$98=$C$130)*(代发抵账!$D$98="总包代付材料分包款")*ISNUMBER(代发抵账!$H$98)*(代发抵账!$H$98&lt;=_辅助!$J$2),1,0)</f>
        <v>0</v>
      </c>
    </row>
    <row r="95">
      <c r="A95" s="94">
        <f>IF($AY95=0,"",89)</f>
      </c>
      <c r="B95" s="96">
        <f t="shared" si="24"/>
      </c>
      <c r="C95" s="94">
        <f t="shared" si="26"/>
      </c>
      <c r="D95" s="21">
        <f t="shared" si="0"/>
      </c>
      <c r="E95" s="21">
        <f t="shared" si="3"/>
      </c>
      <c r="F95" s="21">
        <f t="shared" si="5"/>
      </c>
      <c r="G95" s="22">
        <f t="shared" si="2"/>
      </c>
      <c r="H95" s="21">
        <f t="shared" si="6"/>
      </c>
      <c r="I95" s="21">
        <f t="shared" si="8"/>
      </c>
      <c r="J95" s="95">
        <f t="shared" si="28"/>
      </c>
      <c r="K95" s="21">
        <f t="shared" si="10"/>
      </c>
      <c r="L95" s="21">
        <f t="shared" si="12"/>
      </c>
      <c r="M95" s="21">
        <f t="shared" si="13"/>
      </c>
      <c r="N95" s="21">
        <f t="shared" si="14"/>
      </c>
      <c r="O95" s="21">
        <f t="shared" si="15"/>
      </c>
      <c r="P95" s="21">
        <f t="shared" si="16"/>
      </c>
      <c r="Q95" s="21">
        <f t="shared" si="17"/>
      </c>
      <c r="R95" s="21">
        <f t="shared" si="18"/>
      </c>
      <c r="S95" s="21">
        <f t="shared" si="19"/>
      </c>
      <c r="T95" s="21">
        <f t="shared" si="20"/>
      </c>
      <c r="U95" s="21">
        <f t="shared" si="21"/>
      </c>
      <c r="V95" s="21">
        <f t="shared" si="22"/>
      </c>
      <c r="W95" s="21">
        <f t="shared" si="23"/>
      </c>
      <c r="AX95" s="2">
        <f t="shared" si="30"/>
        <v>0</v>
      </c>
      <c r="AY95" s="2">
        <f>IF(89&gt;$AZ$300,0,IFERROR(MATCH(89,$AZ$1:$AZ$300,0),0))</f>
        <v>0</v>
      </c>
      <c r="AZ95" s="2">
        <f>AZ50+SUM(CA51:CA95)</f>
        <v>29</v>
      </c>
      <c r="BB95" s="2">
        <f>BB50+SUM(CC51:CC95)</f>
        <v>8</v>
      </c>
      <c r="BC95" s="2">
        <f>BC50+SUM(CD51:CD95)</f>
        <v>0</v>
      </c>
      <c r="BD95" s="2">
        <f>IF(AND($C$130&lt;&gt;"",资金流水!$J$99=$C$130,ISNUMBER(资金流水!$B$99),ISNUMBER(资金流水!$S$99),资金流水!$S$99&gt;=_辅助!$J$4,资金流水!$S$99&lt;=_辅助!$J$2,OR(资金流水!$X$99="应付材料款",资金流水!$X$99="应付分包款",资金流水!$X$99="应付机械运输费",资金流水!$X$99="应付其他款")),INT(资金流水!$B$99)*10000+94,"")</f>
      </c>
      <c r="BE95" s="2">
        <f>BE50+SUM(CE51:CE95)</f>
        <v>0</v>
      </c>
      <c r="CA95" s="2">
        <f>IF(AND(OR(_余额!$B$97="材料供应商",_余额!$B$97="分包",_余额!$B$97="机械运输",_余额!$B$97="其他"),OR($C$3="全部",_余额!$B$97=$C$3),OR(_余额!$G$97&lt;&gt;0,_余额!$H$97&lt;&gt;0)),1,0)</f>
        <v>0</v>
      </c>
      <c r="CC95" s="2">
        <f>IF(AND($C$130&lt;&gt;"",期初余额!$P$99=$C$130),1,0)</f>
        <v>0</v>
      </c>
      <c r="CD95" s="2">
        <f>IF(($C$130&lt;&gt;"")*(应付登记!$D$99=$C$130)*ISNUMBER(应付登记!$J$99)*(应付登记!$J$99&gt;=_辅助!$J$4)*(应付登记!$J$99&lt;=_辅助!$J$2),1,0)</f>
        <v>0</v>
      </c>
      <c r="CE95" s="2">
        <f>IF(($C$130&lt;&gt;"")*(代发抵账!$E$99=$C$130)*(代发抵账!$D$99="总包代付材料分包款")*ISNUMBER(代发抵账!$H$99)*(代发抵账!$H$99&lt;=_辅助!$J$2),1,0)</f>
        <v>0</v>
      </c>
    </row>
    <row r="96">
      <c r="A96" s="94">
        <f>IF($AY96=0,"",90)</f>
      </c>
      <c r="B96" s="96">
        <f t="shared" si="24"/>
      </c>
      <c r="C96" s="94">
        <f t="shared" si="26"/>
      </c>
      <c r="D96" s="21">
        <f t="shared" si="0"/>
      </c>
      <c r="E96" s="21">
        <f t="shared" si="3"/>
      </c>
      <c r="F96" s="21">
        <f t="shared" si="5"/>
      </c>
      <c r="G96" s="22">
        <f t="shared" si="2"/>
      </c>
      <c r="H96" s="21">
        <f t="shared" si="6"/>
      </c>
      <c r="I96" s="21">
        <f t="shared" si="8"/>
      </c>
      <c r="J96" s="95">
        <f t="shared" si="28"/>
      </c>
      <c r="K96" s="21">
        <f t="shared" si="10"/>
      </c>
      <c r="L96" s="21">
        <f t="shared" si="12"/>
      </c>
      <c r="M96" s="21">
        <f t="shared" si="13"/>
      </c>
      <c r="N96" s="21">
        <f t="shared" si="14"/>
      </c>
      <c r="O96" s="21">
        <f t="shared" si="15"/>
      </c>
      <c r="P96" s="21">
        <f t="shared" si="16"/>
      </c>
      <c r="Q96" s="21">
        <f t="shared" si="17"/>
      </c>
      <c r="R96" s="21">
        <f t="shared" si="18"/>
      </c>
      <c r="S96" s="21">
        <f t="shared" si="19"/>
      </c>
      <c r="T96" s="21">
        <f t="shared" si="20"/>
      </c>
      <c r="U96" s="21">
        <f t="shared" si="21"/>
      </c>
      <c r="V96" s="21">
        <f t="shared" si="22"/>
      </c>
      <c r="W96" s="21">
        <f t="shared" si="23"/>
      </c>
      <c r="AX96" s="2">
        <f t="shared" si="30"/>
        <v>0</v>
      </c>
      <c r="AY96" s="2">
        <f>IF(90&gt;$AZ$300,0,IFERROR(MATCH(90,$AZ$1:$AZ$300,0),0))</f>
        <v>0</v>
      </c>
      <c r="AZ96" s="2">
        <f>AZ50+SUM(CA51:CA96)</f>
        <v>29</v>
      </c>
      <c r="BB96" s="2">
        <f>BB50+SUM(CC51:CC96)</f>
        <v>8</v>
      </c>
      <c r="BC96" s="2">
        <f>BC50+SUM(CD51:CD96)</f>
        <v>0</v>
      </c>
      <c r="BD96" s="2">
        <f>IF(AND($C$130&lt;&gt;"",资金流水!$J$100=$C$130,ISNUMBER(资金流水!$B$100),ISNUMBER(资金流水!$S$100),资金流水!$S$100&gt;=_辅助!$J$4,资金流水!$S$100&lt;=_辅助!$J$2,OR(资金流水!$X$100="应付材料款",资金流水!$X$100="应付分包款",资金流水!$X$100="应付机械运输费",资金流水!$X$100="应付其他款")),INT(资金流水!$B$100)*10000+95,"")</f>
      </c>
      <c r="BE96" s="2">
        <f>BE50+SUM(CE51:CE96)</f>
        <v>0</v>
      </c>
      <c r="CA96" s="2">
        <f>IF(AND(OR(_余额!$B$98="材料供应商",_余额!$B$98="分包",_余额!$B$98="机械运输",_余额!$B$98="其他"),OR($C$3="全部",_余额!$B$98=$C$3),OR(_余额!$G$98&lt;&gt;0,_余额!$H$98&lt;&gt;0)),1,0)</f>
        <v>0</v>
      </c>
      <c r="CC96" s="2">
        <f>IF(AND($C$130&lt;&gt;"",期初余额!$P$100=$C$130),1,0)</f>
        <v>0</v>
      </c>
      <c r="CD96" s="2">
        <f>IF(($C$130&lt;&gt;"")*(应付登记!$D$100=$C$130)*ISNUMBER(应付登记!$J$100)*(应付登记!$J$100&gt;=_辅助!$J$4)*(应付登记!$J$100&lt;=_辅助!$J$2),1,0)</f>
        <v>0</v>
      </c>
      <c r="CE96" s="2">
        <f>IF(($C$130&lt;&gt;"")*(代发抵账!$E$100=$C$130)*(代发抵账!$D$100="总包代付材料分包款")*ISNUMBER(代发抵账!$H$100)*(代发抵账!$H$100&lt;=_辅助!$J$2),1,0)</f>
        <v>0</v>
      </c>
    </row>
    <row r="97">
      <c r="A97" s="94">
        <f>IF($AY97=0,"",91)</f>
      </c>
      <c r="B97" s="96">
        <f t="shared" si="24"/>
      </c>
      <c r="C97" s="94">
        <f t="shared" si="26"/>
      </c>
      <c r="D97" s="21">
        <f t="shared" si="0"/>
      </c>
      <c r="E97" s="21">
        <f t="shared" si="3"/>
      </c>
      <c r="F97" s="21">
        <f t="shared" si="5"/>
      </c>
      <c r="G97" s="22">
        <f t="shared" si="2"/>
      </c>
      <c r="H97" s="21">
        <f t="shared" si="6"/>
      </c>
      <c r="I97" s="21">
        <f t="shared" si="8"/>
      </c>
      <c r="J97" s="95">
        <f t="shared" si="28"/>
      </c>
      <c r="K97" s="21">
        <f t="shared" si="10"/>
      </c>
      <c r="L97" s="21">
        <f t="shared" si="12"/>
      </c>
      <c r="M97" s="21">
        <f t="shared" si="13"/>
      </c>
      <c r="N97" s="21">
        <f t="shared" si="14"/>
      </c>
      <c r="O97" s="21">
        <f t="shared" si="15"/>
      </c>
      <c r="P97" s="21">
        <f t="shared" si="16"/>
      </c>
      <c r="Q97" s="21">
        <f t="shared" si="17"/>
      </c>
      <c r="R97" s="21">
        <f t="shared" si="18"/>
      </c>
      <c r="S97" s="21">
        <f t="shared" si="19"/>
      </c>
      <c r="T97" s="21">
        <f t="shared" si="20"/>
      </c>
      <c r="U97" s="21">
        <f t="shared" si="21"/>
      </c>
      <c r="V97" s="21">
        <f t="shared" si="22"/>
      </c>
      <c r="W97" s="21">
        <f t="shared" si="23"/>
      </c>
      <c r="AX97" s="2">
        <f t="shared" si="30"/>
        <v>0</v>
      </c>
      <c r="AY97" s="2">
        <f>IF(91&gt;$AZ$300,0,IFERROR(MATCH(91,$AZ$1:$AZ$300,0),0))</f>
        <v>0</v>
      </c>
      <c r="AZ97" s="2">
        <f>AZ50+SUM(CA51:CA97)</f>
        <v>29</v>
      </c>
      <c r="BB97" s="2">
        <f>BB50+SUM(CC51:CC97)</f>
        <v>8</v>
      </c>
      <c r="BC97" s="2">
        <f>BC50+SUM(CD51:CD97)</f>
        <v>0</v>
      </c>
      <c r="BD97" s="2">
        <f>IF(AND($C$130&lt;&gt;"",资金流水!$J$101=$C$130,ISNUMBER(资金流水!$B$101),ISNUMBER(资金流水!$S$101),资金流水!$S$101&gt;=_辅助!$J$4,资金流水!$S$101&lt;=_辅助!$J$2,OR(资金流水!$X$101="应付材料款",资金流水!$X$101="应付分包款",资金流水!$X$101="应付机械运输费",资金流水!$X$101="应付其他款")),INT(资金流水!$B$101)*10000+96,"")</f>
      </c>
      <c r="BE97" s="2">
        <f>BE50+SUM(CE51:CE97)</f>
        <v>0</v>
      </c>
      <c r="CA97" s="2">
        <f>IF(AND(OR(_余额!$B$99="材料供应商",_余额!$B$99="分包",_余额!$B$99="机械运输",_余额!$B$99="其他"),OR($C$3="全部",_余额!$B$99=$C$3),OR(_余额!$G$99&lt;&gt;0,_余额!$H$99&lt;&gt;0)),1,0)</f>
        <v>0</v>
      </c>
      <c r="CC97" s="2">
        <f>IF(AND($C$130&lt;&gt;"",期初余额!$P$101=$C$130),1,0)</f>
        <v>0</v>
      </c>
      <c r="CD97" s="2">
        <f>IF(($C$130&lt;&gt;"")*(应付登记!$D$101=$C$130)*ISNUMBER(应付登记!$J$101)*(应付登记!$J$101&gt;=_辅助!$J$4)*(应付登记!$J$101&lt;=_辅助!$J$2),1,0)</f>
        <v>0</v>
      </c>
      <c r="CE97" s="2">
        <f>IF(($C$130&lt;&gt;"")*(代发抵账!$E$101=$C$130)*(代发抵账!$D$101="总包代付材料分包款")*ISNUMBER(代发抵账!$H$101)*(代发抵账!$H$101&lt;=_辅助!$J$2),1,0)</f>
        <v>0</v>
      </c>
    </row>
    <row r="98">
      <c r="A98" s="94">
        <f>IF($AY98=0,"",92)</f>
      </c>
      <c r="B98" s="96">
        <f t="shared" si="24"/>
      </c>
      <c r="C98" s="94">
        <f t="shared" si="26"/>
      </c>
      <c r="D98" s="21">
        <f t="shared" si="0"/>
      </c>
      <c r="E98" s="21">
        <f t="shared" si="3"/>
      </c>
      <c r="F98" s="21">
        <f t="shared" si="5"/>
      </c>
      <c r="G98" s="22">
        <f t="shared" si="2"/>
      </c>
      <c r="H98" s="21">
        <f t="shared" si="6"/>
      </c>
      <c r="I98" s="21">
        <f t="shared" si="8"/>
      </c>
      <c r="J98" s="95">
        <f t="shared" si="28"/>
      </c>
      <c r="K98" s="21">
        <f t="shared" si="10"/>
      </c>
      <c r="L98" s="21">
        <f t="shared" si="12"/>
      </c>
      <c r="M98" s="21">
        <f t="shared" si="13"/>
      </c>
      <c r="N98" s="21">
        <f t="shared" si="14"/>
      </c>
      <c r="O98" s="21">
        <f t="shared" si="15"/>
      </c>
      <c r="P98" s="21">
        <f t="shared" si="16"/>
      </c>
      <c r="Q98" s="21">
        <f t="shared" si="17"/>
      </c>
      <c r="R98" s="21">
        <f t="shared" si="18"/>
      </c>
      <c r="S98" s="21">
        <f t="shared" si="19"/>
      </c>
      <c r="T98" s="21">
        <f t="shared" si="20"/>
      </c>
      <c r="U98" s="21">
        <f t="shared" si="21"/>
      </c>
      <c r="V98" s="21">
        <f t="shared" si="22"/>
      </c>
      <c r="W98" s="21">
        <f t="shared" si="23"/>
      </c>
      <c r="AX98" s="2">
        <f t="shared" si="30"/>
        <v>0</v>
      </c>
      <c r="AY98" s="2">
        <f>IF(92&gt;$AZ$300,0,IFERROR(MATCH(92,$AZ$1:$AZ$300,0),0))</f>
        <v>0</v>
      </c>
      <c r="AZ98" s="2">
        <f>AZ50+SUM(CA51:CA98)</f>
        <v>29</v>
      </c>
      <c r="BB98" s="2">
        <f>BB50+SUM(CC51:CC98)</f>
        <v>8</v>
      </c>
      <c r="BC98" s="2">
        <f>BC50+SUM(CD51:CD98)</f>
        <v>0</v>
      </c>
      <c r="BD98" s="2">
        <f>IF(AND($C$130&lt;&gt;"",资金流水!$J$102=$C$130,ISNUMBER(资金流水!$B$102),ISNUMBER(资金流水!$S$102),资金流水!$S$102&gt;=_辅助!$J$4,资金流水!$S$102&lt;=_辅助!$J$2,OR(资金流水!$X$102="应付材料款",资金流水!$X$102="应付分包款",资金流水!$X$102="应付机械运输费",资金流水!$X$102="应付其他款")),INT(资金流水!$B$102)*10000+97,"")</f>
      </c>
      <c r="BE98" s="2">
        <f>BE50+SUM(CE51:CE98)</f>
        <v>0</v>
      </c>
      <c r="CA98" s="2">
        <f>IF(AND(OR(_余额!$B$100="材料供应商",_余额!$B$100="分包",_余额!$B$100="机械运输",_余额!$B$100="其他"),OR($C$3="全部",_余额!$B$100=$C$3),OR(_余额!$G$100&lt;&gt;0,_余额!$H$100&lt;&gt;0)),1,0)</f>
        <v>0</v>
      </c>
      <c r="CC98" s="2">
        <f>IF(AND($C$130&lt;&gt;"",期初余额!$P$102=$C$130),1,0)</f>
        <v>0</v>
      </c>
      <c r="CD98" s="2">
        <f>IF(($C$130&lt;&gt;"")*(应付登记!$D$102=$C$130)*ISNUMBER(应付登记!$J$102)*(应付登记!$J$102&gt;=_辅助!$J$4)*(应付登记!$J$102&lt;=_辅助!$J$2),1,0)</f>
        <v>0</v>
      </c>
      <c r="CE98" s="2">
        <f>IF(($C$130&lt;&gt;"")*(代发抵账!$E$102=$C$130)*(代发抵账!$D$102="总包代付材料分包款")*ISNUMBER(代发抵账!$H$102)*(代发抵账!$H$102&lt;=_辅助!$J$2),1,0)</f>
        <v>0</v>
      </c>
    </row>
    <row r="99">
      <c r="A99" s="94">
        <f>IF($AY99=0,"",93)</f>
      </c>
      <c r="B99" s="96">
        <f t="shared" si="24"/>
      </c>
      <c r="C99" s="94">
        <f t="shared" si="26"/>
      </c>
      <c r="D99" s="21">
        <f t="shared" si="0"/>
      </c>
      <c r="E99" s="21">
        <f t="shared" si="3"/>
      </c>
      <c r="F99" s="21">
        <f t="shared" si="5"/>
      </c>
      <c r="G99" s="22">
        <f t="shared" si="2"/>
      </c>
      <c r="H99" s="21">
        <f t="shared" si="6"/>
      </c>
      <c r="I99" s="21">
        <f t="shared" si="8"/>
      </c>
      <c r="J99" s="95">
        <f t="shared" si="28"/>
      </c>
      <c r="K99" s="21">
        <f t="shared" si="10"/>
      </c>
      <c r="L99" s="21">
        <f t="shared" si="12"/>
      </c>
      <c r="M99" s="21">
        <f t="shared" si="13"/>
      </c>
      <c r="N99" s="21">
        <f t="shared" si="14"/>
      </c>
      <c r="O99" s="21">
        <f t="shared" si="15"/>
      </c>
      <c r="P99" s="21">
        <f t="shared" si="16"/>
      </c>
      <c r="Q99" s="21">
        <f t="shared" si="17"/>
      </c>
      <c r="R99" s="21">
        <f t="shared" si="18"/>
      </c>
      <c r="S99" s="21">
        <f t="shared" si="19"/>
      </c>
      <c r="T99" s="21">
        <f t="shared" si="20"/>
      </c>
      <c r="U99" s="21">
        <f t="shared" si="21"/>
      </c>
      <c r="V99" s="21">
        <f t="shared" si="22"/>
      </c>
      <c r="W99" s="21">
        <f t="shared" si="23"/>
      </c>
      <c r="AX99" s="2">
        <f t="shared" si="30"/>
        <v>0</v>
      </c>
      <c r="AY99" s="2">
        <f>IF(93&gt;$AZ$300,0,IFERROR(MATCH(93,$AZ$1:$AZ$300,0),0))</f>
        <v>0</v>
      </c>
      <c r="AZ99" s="2">
        <f>AZ50+SUM(CA51:CA99)</f>
        <v>29</v>
      </c>
      <c r="BB99" s="2">
        <f>BB50+SUM(CC51:CC99)</f>
        <v>8</v>
      </c>
      <c r="BC99" s="2">
        <f>BC50+SUM(CD51:CD99)</f>
        <v>0</v>
      </c>
      <c r="BD99" s="2">
        <f>IF(AND($C$130&lt;&gt;"",资金流水!$J$103=$C$130,ISNUMBER(资金流水!$B$103),ISNUMBER(资金流水!$S$103),资金流水!$S$103&gt;=_辅助!$J$4,资金流水!$S$103&lt;=_辅助!$J$2,OR(资金流水!$X$103="应付材料款",资金流水!$X$103="应付分包款",资金流水!$X$103="应付机械运输费",资金流水!$X$103="应付其他款")),INT(资金流水!$B$103)*10000+98,"")</f>
      </c>
      <c r="BE99" s="2">
        <f>BE50+SUM(CE51:CE99)</f>
        <v>0</v>
      </c>
      <c r="CA99" s="2">
        <f>IF(AND(OR(_余额!$B$101="材料供应商",_余额!$B$101="分包",_余额!$B$101="机械运输",_余额!$B$101="其他"),OR($C$3="全部",_余额!$B$101=$C$3),OR(_余额!$G$101&lt;&gt;0,_余额!$H$101&lt;&gt;0)),1,0)</f>
        <v>0</v>
      </c>
      <c r="CC99" s="2">
        <f>IF(AND($C$130&lt;&gt;"",期初余额!$P$103=$C$130),1,0)</f>
        <v>0</v>
      </c>
      <c r="CD99" s="2">
        <f>IF(($C$130&lt;&gt;"")*(应付登记!$D$103=$C$130)*ISNUMBER(应付登记!$J$103)*(应付登记!$J$103&gt;=_辅助!$J$4)*(应付登记!$J$103&lt;=_辅助!$J$2),1,0)</f>
        <v>0</v>
      </c>
      <c r="CE99" s="2">
        <f>IF(($C$130&lt;&gt;"")*(代发抵账!$E$103=$C$130)*(代发抵账!$D$103="总包代付材料分包款")*ISNUMBER(代发抵账!$H$103)*(代发抵账!$H$103&lt;=_辅助!$J$2),1,0)</f>
        <v>0</v>
      </c>
    </row>
    <row r="100">
      <c r="A100" s="94">
        <f>IF($AY100=0,"",94)</f>
      </c>
      <c r="B100" s="96">
        <f t="shared" si="24"/>
      </c>
      <c r="C100" s="94">
        <f t="shared" si="26"/>
      </c>
      <c r="D100" s="21">
        <f t="shared" si="0"/>
      </c>
      <c r="E100" s="21">
        <f t="shared" si="3"/>
      </c>
      <c r="F100" s="21">
        <f t="shared" si="5"/>
      </c>
      <c r="G100" s="22">
        <f t="shared" si="2"/>
      </c>
      <c r="H100" s="21">
        <f t="shared" si="6"/>
      </c>
      <c r="I100" s="21">
        <f t="shared" si="8"/>
      </c>
      <c r="J100" s="95">
        <f t="shared" si="28"/>
      </c>
      <c r="K100" s="21">
        <f t="shared" si="10"/>
      </c>
      <c r="L100" s="21">
        <f t="shared" si="12"/>
      </c>
      <c r="M100" s="21">
        <f t="shared" si="13"/>
      </c>
      <c r="N100" s="21">
        <f t="shared" si="14"/>
      </c>
      <c r="O100" s="21">
        <f t="shared" si="15"/>
      </c>
      <c r="P100" s="21">
        <f t="shared" si="16"/>
      </c>
      <c r="Q100" s="21">
        <f t="shared" si="17"/>
      </c>
      <c r="R100" s="21">
        <f t="shared" si="18"/>
      </c>
      <c r="S100" s="21">
        <f t="shared" si="19"/>
      </c>
      <c r="T100" s="21">
        <f t="shared" si="20"/>
      </c>
      <c r="U100" s="21">
        <f t="shared" si="21"/>
      </c>
      <c r="V100" s="21">
        <f t="shared" si="22"/>
      </c>
      <c r="W100" s="21">
        <f t="shared" si="23"/>
      </c>
      <c r="AX100" s="2">
        <f t="shared" si="30"/>
        <v>0</v>
      </c>
      <c r="AY100" s="2">
        <f>IF(94&gt;$AZ$300,0,IFERROR(MATCH(94,$AZ$1:$AZ$300,0),0))</f>
        <v>0</v>
      </c>
      <c r="AZ100" s="2">
        <f>AZ50+SUM(CA51:CA100)</f>
        <v>29</v>
      </c>
      <c r="BB100" s="2">
        <f>BB50+SUM(CC51:CC100)</f>
        <v>8</v>
      </c>
      <c r="BC100" s="2">
        <f>BC50+SUM(CD51:CD100)</f>
        <v>0</v>
      </c>
      <c r="BD100" s="2">
        <f>IF(AND($C$130&lt;&gt;"",资金流水!$J$104=$C$130,ISNUMBER(资金流水!$B$104),ISNUMBER(资金流水!$S$104),资金流水!$S$104&gt;=_辅助!$J$4,资金流水!$S$104&lt;=_辅助!$J$2,OR(资金流水!$X$104="应付材料款",资金流水!$X$104="应付分包款",资金流水!$X$104="应付机械运输费",资金流水!$X$104="应付其他款")),INT(资金流水!$B$104)*10000+99,"")</f>
      </c>
      <c r="BE100" s="2">
        <f>BE50+SUM(CE51:CE100)</f>
        <v>0</v>
      </c>
      <c r="CA100" s="2">
        <f>IF(AND(OR(_余额!$B$102="材料供应商",_余额!$B$102="分包",_余额!$B$102="机械运输",_余额!$B$102="其他"),OR($C$3="全部",_余额!$B$102=$C$3),OR(_余额!$G$102&lt;&gt;0,_余额!$H$102&lt;&gt;0)),1,0)</f>
        <v>0</v>
      </c>
      <c r="CC100" s="2">
        <f>IF(AND($C$130&lt;&gt;"",期初余额!$P$104=$C$130),1,0)</f>
        <v>0</v>
      </c>
      <c r="CD100" s="2">
        <f>IF(($C$130&lt;&gt;"")*(应付登记!$D$104=$C$130)*ISNUMBER(应付登记!$J$104)*(应付登记!$J$104&gt;=_辅助!$J$4)*(应付登记!$J$104&lt;=_辅助!$J$2),1,0)</f>
        <v>0</v>
      </c>
      <c r="CE100" s="2">
        <f>IF(($C$130&lt;&gt;"")*(代发抵账!$E$104=$C$130)*(代发抵账!$D$104="总包代付材料分包款")*ISNUMBER(代发抵账!$H$104)*(代发抵账!$H$104&lt;=_辅助!$J$2),1,0)</f>
        <v>0</v>
      </c>
    </row>
    <row r="101">
      <c r="A101" s="94">
        <f>IF($AY101=0,"",95)</f>
      </c>
      <c r="B101" s="96">
        <f t="shared" si="24"/>
      </c>
      <c r="C101" s="94">
        <f t="shared" si="26"/>
      </c>
      <c r="D101" s="21">
        <f t="shared" si="0"/>
      </c>
      <c r="E101" s="21">
        <f t="shared" si="3"/>
      </c>
      <c r="F101" s="21">
        <f t="shared" si="5"/>
      </c>
      <c r="G101" s="22">
        <f t="shared" si="2"/>
      </c>
      <c r="H101" s="21">
        <f t="shared" si="6"/>
      </c>
      <c r="I101" s="21">
        <f t="shared" si="8"/>
      </c>
      <c r="J101" s="95">
        <f t="shared" si="28"/>
      </c>
      <c r="K101" s="21">
        <f t="shared" si="10"/>
      </c>
      <c r="L101" s="21">
        <f t="shared" si="12"/>
      </c>
      <c r="M101" s="21">
        <f t="shared" si="13"/>
      </c>
      <c r="N101" s="21">
        <f t="shared" si="14"/>
      </c>
      <c r="O101" s="21">
        <f t="shared" si="15"/>
      </c>
      <c r="P101" s="21">
        <f t="shared" si="16"/>
      </c>
      <c r="Q101" s="21">
        <f t="shared" si="17"/>
      </c>
      <c r="R101" s="21">
        <f t="shared" si="18"/>
      </c>
      <c r="S101" s="21">
        <f t="shared" si="19"/>
      </c>
      <c r="T101" s="21">
        <f t="shared" si="20"/>
      </c>
      <c r="U101" s="21">
        <f t="shared" si="21"/>
      </c>
      <c r="V101" s="21">
        <f t="shared" si="22"/>
      </c>
      <c r="W101" s="21">
        <f t="shared" si="23"/>
      </c>
      <c r="AX101" s="2">
        <f t="shared" si="30"/>
        <v>0</v>
      </c>
      <c r="AY101" s="2">
        <f>IF(95&gt;$AZ$300,0,IFERROR(MATCH(95,$AZ$1:$AZ$300,0),0))</f>
        <v>0</v>
      </c>
      <c r="AZ101" s="2">
        <f>AZ100+SUM(CA101:CA101)</f>
        <v>29</v>
      </c>
      <c r="BB101" s="2">
        <f>BB100+SUM(CC101:CC101)</f>
        <v>8</v>
      </c>
      <c r="BC101" s="2">
        <f>BC100+SUM(CD101:CD101)</f>
        <v>0</v>
      </c>
      <c r="BD101" s="2">
        <f>IF(AND($C$130&lt;&gt;"",资金流水!$J$105=$C$130,ISNUMBER(资金流水!$B$105),ISNUMBER(资金流水!$S$105),资金流水!$S$105&gt;=_辅助!$J$4,资金流水!$S$105&lt;=_辅助!$J$2,OR(资金流水!$X$105="应付材料款",资金流水!$X$105="应付分包款",资金流水!$X$105="应付机械运输费",资金流水!$X$105="应付其他款")),INT(资金流水!$B$105)*10000+100,"")</f>
      </c>
      <c r="BE101" s="2">
        <f>BE100+SUM(CE101:CE101)</f>
        <v>0</v>
      </c>
      <c r="CA101" s="2">
        <f>IF(AND(OR(_余额!$B$103="材料供应商",_余额!$B$103="分包",_余额!$B$103="机械运输",_余额!$B$103="其他"),OR($C$3="全部",_余额!$B$103=$C$3),OR(_余额!$G$103&lt;&gt;0,_余额!$H$103&lt;&gt;0)),1,0)</f>
        <v>0</v>
      </c>
      <c r="CC101" s="2">
        <f>IF(AND($C$130&lt;&gt;"",期初余额!$P$105=$C$130),1,0)</f>
        <v>0</v>
      </c>
      <c r="CD101" s="2">
        <f>IF(($C$130&lt;&gt;"")*(应付登记!$D$105=$C$130)*ISNUMBER(应付登记!$J$105)*(应付登记!$J$105&gt;=_辅助!$J$4)*(应付登记!$J$105&lt;=_辅助!$J$2),1,0)</f>
        <v>0</v>
      </c>
      <c r="CE101" s="2">
        <f>IF(($C$130&lt;&gt;"")*(代发抵账!$E$105=$C$130)*(代发抵账!$D$105="总包代付材料分包款")*ISNUMBER(代发抵账!$H$105)*(代发抵账!$H$105&lt;=_辅助!$J$2),1,0)</f>
        <v>0</v>
      </c>
    </row>
    <row r="102">
      <c r="A102" s="94">
        <f>IF($AY102=0,"",96)</f>
      </c>
      <c r="B102" s="96">
        <f t="shared" si="24"/>
      </c>
      <c r="C102" s="94">
        <f t="shared" si="26"/>
      </c>
      <c r="D102" s="21">
        <f t="shared" si="0"/>
      </c>
      <c r="E102" s="21">
        <f t="shared" si="3"/>
      </c>
      <c r="F102" s="21">
        <f t="shared" si="5"/>
      </c>
      <c r="G102" s="22">
        <f t="shared" si="2"/>
      </c>
      <c r="H102" s="21">
        <f t="shared" si="6"/>
      </c>
      <c r="I102" s="21">
        <f t="shared" si="8"/>
      </c>
      <c r="J102" s="95">
        <f t="shared" si="28"/>
      </c>
      <c r="K102" s="21">
        <f t="shared" si="10"/>
      </c>
      <c r="L102" s="21">
        <f t="shared" si="12"/>
      </c>
      <c r="M102" s="21">
        <f t="shared" si="13"/>
      </c>
      <c r="N102" s="21">
        <f t="shared" si="14"/>
      </c>
      <c r="O102" s="21">
        <f t="shared" si="15"/>
      </c>
      <c r="P102" s="21">
        <f t="shared" si="16"/>
      </c>
      <c r="Q102" s="21">
        <f t="shared" si="17"/>
      </c>
      <c r="R102" s="21">
        <f t="shared" si="18"/>
      </c>
      <c r="S102" s="21">
        <f t="shared" si="19"/>
      </c>
      <c r="T102" s="21">
        <f t="shared" si="20"/>
      </c>
      <c r="U102" s="21">
        <f t="shared" si="21"/>
      </c>
      <c r="V102" s="21">
        <f t="shared" si="22"/>
      </c>
      <c r="W102" s="21">
        <f t="shared" si="23"/>
      </c>
      <c r="AX102" s="2">
        <f t="shared" si="30"/>
        <v>0</v>
      </c>
      <c r="AY102" s="2">
        <f>IF(96&gt;$AZ$300,0,IFERROR(MATCH(96,$AZ$1:$AZ$300,0),0))</f>
        <v>0</v>
      </c>
      <c r="AZ102" s="2">
        <f>AZ100+SUM(CA101:CA102)</f>
        <v>29</v>
      </c>
      <c r="BB102" s="2">
        <f>BB100+SUM(CC101:CC102)</f>
        <v>8</v>
      </c>
      <c r="BC102" s="2">
        <f>BC100+SUM(CD101:CD102)</f>
        <v>0</v>
      </c>
      <c r="BD102" s="2">
        <f>IF(AND($C$130&lt;&gt;"",资金流水!$J$106=$C$130,ISNUMBER(资金流水!$B$106),ISNUMBER(资金流水!$S$106),资金流水!$S$106&gt;=_辅助!$J$4,资金流水!$S$106&lt;=_辅助!$J$2,OR(资金流水!$X$106="应付材料款",资金流水!$X$106="应付分包款",资金流水!$X$106="应付机械运输费",资金流水!$X$106="应付其他款")),INT(资金流水!$B$106)*10000+101,"")</f>
      </c>
      <c r="BE102" s="2">
        <f>BE100+SUM(CE101:CE102)</f>
        <v>0</v>
      </c>
      <c r="CA102" s="2">
        <f>IF(AND(OR(_余额!$B$104="材料供应商",_余额!$B$104="分包",_余额!$B$104="机械运输",_余额!$B$104="其他"),OR($C$3="全部",_余额!$B$104=$C$3),OR(_余额!$G$104&lt;&gt;0,_余额!$H$104&lt;&gt;0)),1,0)</f>
        <v>0</v>
      </c>
      <c r="CC102" s="2">
        <f>IF(AND($C$130&lt;&gt;"",期初余额!$P$106=$C$130),1,0)</f>
        <v>0</v>
      </c>
      <c r="CD102" s="2">
        <f>IF(($C$130&lt;&gt;"")*(应付登记!$D$106=$C$130)*ISNUMBER(应付登记!$J$106)*(应付登记!$J$106&gt;=_辅助!$J$4)*(应付登记!$J$106&lt;=_辅助!$J$2),1,0)</f>
        <v>0</v>
      </c>
      <c r="CE102" s="2">
        <f>IF(($C$130&lt;&gt;"")*(代发抵账!$E$106=$C$130)*(代发抵账!$D$106="总包代付材料分包款")*ISNUMBER(代发抵账!$H$106)*(代发抵账!$H$106&lt;=_辅助!$J$2),1,0)</f>
        <v>0</v>
      </c>
    </row>
    <row r="103">
      <c r="A103" s="94">
        <f>IF($AY103=0,"",97)</f>
      </c>
      <c r="B103" s="96">
        <f t="shared" si="24"/>
      </c>
      <c r="C103" s="94">
        <f t="shared" si="26"/>
      </c>
      <c r="D103" s="21">
        <f t="shared" si="0"/>
      </c>
      <c r="E103" s="21">
        <f t="shared" si="3"/>
      </c>
      <c r="F103" s="21">
        <f t="shared" si="5"/>
      </c>
      <c r="G103" s="22">
        <f t="shared" si="2"/>
      </c>
      <c r="H103" s="21">
        <f t="shared" si="6"/>
      </c>
      <c r="I103" s="21">
        <f t="shared" si="8"/>
      </c>
      <c r="J103" s="95">
        <f t="shared" si="28"/>
      </c>
      <c r="K103" s="21">
        <f t="shared" si="10"/>
      </c>
      <c r="L103" s="21">
        <f t="shared" si="12"/>
      </c>
      <c r="M103" s="21">
        <f t="shared" si="13"/>
      </c>
      <c r="N103" s="21">
        <f t="shared" si="14"/>
      </c>
      <c r="O103" s="21">
        <f t="shared" si="15"/>
      </c>
      <c r="P103" s="21">
        <f t="shared" si="16"/>
      </c>
      <c r="Q103" s="21">
        <f t="shared" si="17"/>
      </c>
      <c r="R103" s="21">
        <f t="shared" si="18"/>
      </c>
      <c r="S103" s="21">
        <f t="shared" si="19"/>
      </c>
      <c r="T103" s="21">
        <f t="shared" si="20"/>
      </c>
      <c r="U103" s="21">
        <f t="shared" si="21"/>
      </c>
      <c r="V103" s="21">
        <f t="shared" si="22"/>
      </c>
      <c r="W103" s="21">
        <f t="shared" si="23"/>
      </c>
      <c r="AX103" s="2">
        <f t="shared" si="30"/>
        <v>0</v>
      </c>
      <c r="AY103" s="2">
        <f>IF(97&gt;$AZ$300,0,IFERROR(MATCH(97,$AZ$1:$AZ$300,0),0))</f>
        <v>0</v>
      </c>
      <c r="AZ103" s="2">
        <f>AZ100+SUM(CA101:CA103)</f>
        <v>29</v>
      </c>
      <c r="BB103" s="2">
        <f>BB100+SUM(CC101:CC103)</f>
        <v>8</v>
      </c>
      <c r="BC103" s="2">
        <f>BC100+SUM(CD101:CD103)</f>
        <v>0</v>
      </c>
      <c r="BD103" s="2">
        <f>IF(AND($C$130&lt;&gt;"",资金流水!$J$107=$C$130,ISNUMBER(资金流水!$B$107),ISNUMBER(资金流水!$S$107),资金流水!$S$107&gt;=_辅助!$J$4,资金流水!$S$107&lt;=_辅助!$J$2,OR(资金流水!$X$107="应付材料款",资金流水!$X$107="应付分包款",资金流水!$X$107="应付机械运输费",资金流水!$X$107="应付其他款")),INT(资金流水!$B$107)*10000+102,"")</f>
      </c>
      <c r="BE103" s="2">
        <f>BE100+SUM(CE101:CE103)</f>
        <v>0</v>
      </c>
      <c r="CA103" s="2">
        <f>IF(AND(OR(_余额!$B$105="材料供应商",_余额!$B$105="分包",_余额!$B$105="机械运输",_余额!$B$105="其他"),OR($C$3="全部",_余额!$B$105=$C$3),OR(_余额!$G$105&lt;&gt;0,_余额!$H$105&lt;&gt;0)),1,0)</f>
        <v>0</v>
      </c>
      <c r="CC103" s="2">
        <f>IF(AND($C$130&lt;&gt;"",期初余额!$P$107=$C$130),1,0)</f>
        <v>0</v>
      </c>
      <c r="CD103" s="2">
        <f>IF(($C$130&lt;&gt;"")*(应付登记!$D$107=$C$130)*ISNUMBER(应付登记!$J$107)*(应付登记!$J$107&gt;=_辅助!$J$4)*(应付登记!$J$107&lt;=_辅助!$J$2),1,0)</f>
        <v>0</v>
      </c>
      <c r="CE103" s="2">
        <f>IF(($C$130&lt;&gt;"")*(代发抵账!$E$107=$C$130)*(代发抵账!$D$107="总包代付材料分包款")*ISNUMBER(代发抵账!$H$107)*(代发抵账!$H$107&lt;=_辅助!$J$2),1,0)</f>
        <v>0</v>
      </c>
    </row>
    <row r="104">
      <c r="A104" s="94">
        <f>IF($AY104=0,"",98)</f>
      </c>
      <c r="B104" s="96">
        <f t="shared" si="24"/>
      </c>
      <c r="C104" s="94">
        <f t="shared" si="26"/>
      </c>
      <c r="D104" s="21">
        <f t="shared" si="0"/>
      </c>
      <c r="E104" s="21">
        <f t="shared" si="3"/>
      </c>
      <c r="F104" s="21">
        <f t="shared" si="5"/>
      </c>
      <c r="G104" s="22">
        <f t="shared" si="2"/>
      </c>
      <c r="H104" s="21">
        <f t="shared" si="6"/>
      </c>
      <c r="I104" s="21">
        <f t="shared" si="8"/>
      </c>
      <c r="J104" s="95">
        <f t="shared" si="28"/>
      </c>
      <c r="K104" s="21">
        <f t="shared" si="10"/>
      </c>
      <c r="L104" s="21">
        <f t="shared" si="12"/>
      </c>
      <c r="M104" s="21">
        <f t="shared" si="13"/>
      </c>
      <c r="N104" s="21">
        <f t="shared" si="14"/>
      </c>
      <c r="O104" s="21">
        <f t="shared" si="15"/>
      </c>
      <c r="P104" s="21">
        <f t="shared" si="16"/>
      </c>
      <c r="Q104" s="21">
        <f t="shared" si="17"/>
      </c>
      <c r="R104" s="21">
        <f t="shared" si="18"/>
      </c>
      <c r="S104" s="21">
        <f t="shared" si="19"/>
      </c>
      <c r="T104" s="21">
        <f t="shared" si="20"/>
      </c>
      <c r="U104" s="21">
        <f t="shared" si="21"/>
      </c>
      <c r="V104" s="21">
        <f t="shared" si="22"/>
      </c>
      <c r="W104" s="21">
        <f t="shared" si="23"/>
      </c>
      <c r="AX104" s="2">
        <f t="shared" si="30"/>
        <v>0</v>
      </c>
      <c r="AY104" s="2">
        <f>IF(98&gt;$AZ$300,0,IFERROR(MATCH(98,$AZ$1:$AZ$300,0),0))</f>
        <v>0</v>
      </c>
      <c r="AZ104" s="2">
        <f>AZ100+SUM(CA101:CA104)</f>
        <v>29</v>
      </c>
      <c r="BB104" s="2">
        <f>BB100+SUM(CC101:CC104)</f>
        <v>8</v>
      </c>
      <c r="BC104" s="2">
        <f>BC100+SUM(CD101:CD104)</f>
        <v>0</v>
      </c>
      <c r="BD104" s="2">
        <f>IF(AND($C$130&lt;&gt;"",资金流水!$J$108=$C$130,ISNUMBER(资金流水!$B$108),ISNUMBER(资金流水!$S$108),资金流水!$S$108&gt;=_辅助!$J$4,资金流水!$S$108&lt;=_辅助!$J$2,OR(资金流水!$X$108="应付材料款",资金流水!$X$108="应付分包款",资金流水!$X$108="应付机械运输费",资金流水!$X$108="应付其他款")),INT(资金流水!$B$108)*10000+103,"")</f>
      </c>
      <c r="BE104" s="2">
        <f>BE100+SUM(CE101:CE104)</f>
        <v>0</v>
      </c>
      <c r="CA104" s="2">
        <f>IF(AND(OR(_余额!$B$106="材料供应商",_余额!$B$106="分包",_余额!$B$106="机械运输",_余额!$B$106="其他"),OR($C$3="全部",_余额!$B$106=$C$3),OR(_余额!$G$106&lt;&gt;0,_余额!$H$106&lt;&gt;0)),1,0)</f>
        <v>0</v>
      </c>
      <c r="CC104" s="2">
        <f>IF(AND($C$130&lt;&gt;"",期初余额!$P$108=$C$130),1,0)</f>
        <v>0</v>
      </c>
      <c r="CD104" s="2">
        <f>IF(($C$130&lt;&gt;"")*(应付登记!$D$108=$C$130)*ISNUMBER(应付登记!$J$108)*(应付登记!$J$108&gt;=_辅助!$J$4)*(应付登记!$J$108&lt;=_辅助!$J$2),1,0)</f>
        <v>0</v>
      </c>
      <c r="CE104" s="2">
        <f>IF(($C$130&lt;&gt;"")*(代发抵账!$E$108=$C$130)*(代发抵账!$D$108="总包代付材料分包款")*ISNUMBER(代发抵账!$H$108)*(代发抵账!$H$108&lt;=_辅助!$J$2),1,0)</f>
        <v>0</v>
      </c>
    </row>
    <row r="105">
      <c r="A105" s="94">
        <f>IF($AY105=0,"",99)</f>
      </c>
      <c r="B105" s="96">
        <f t="shared" si="24"/>
      </c>
      <c r="C105" s="94">
        <f t="shared" si="26"/>
      </c>
      <c r="D105" s="21">
        <f t="shared" si="0"/>
      </c>
      <c r="E105" s="21">
        <f t="shared" si="3"/>
      </c>
      <c r="F105" s="21">
        <f t="shared" si="5"/>
      </c>
      <c r="G105" s="22">
        <f t="shared" si="2"/>
      </c>
      <c r="H105" s="21">
        <f t="shared" si="6"/>
      </c>
      <c r="I105" s="21">
        <f t="shared" si="8"/>
      </c>
      <c r="J105" s="95">
        <f t="shared" si="28"/>
      </c>
      <c r="K105" s="21">
        <f t="shared" si="10"/>
      </c>
      <c r="L105" s="21">
        <f t="shared" si="12"/>
      </c>
      <c r="M105" s="21">
        <f t="shared" si="13"/>
      </c>
      <c r="N105" s="21">
        <f t="shared" si="14"/>
      </c>
      <c r="O105" s="21">
        <f t="shared" si="15"/>
      </c>
      <c r="P105" s="21">
        <f t="shared" si="16"/>
      </c>
      <c r="Q105" s="21">
        <f t="shared" si="17"/>
      </c>
      <c r="R105" s="21">
        <f t="shared" si="18"/>
      </c>
      <c r="S105" s="21">
        <f t="shared" si="19"/>
      </c>
      <c r="T105" s="21">
        <f t="shared" si="20"/>
      </c>
      <c r="U105" s="21">
        <f t="shared" si="21"/>
      </c>
      <c r="V105" s="21">
        <f t="shared" si="22"/>
      </c>
      <c r="W105" s="21">
        <f t="shared" si="23"/>
      </c>
      <c r="AX105" s="2">
        <f t="shared" si="30"/>
        <v>0</v>
      </c>
      <c r="AY105" s="2">
        <f>IF(99&gt;$AZ$300,0,IFERROR(MATCH(99,$AZ$1:$AZ$300,0),0))</f>
        <v>0</v>
      </c>
      <c r="AZ105" s="2">
        <f>AZ100+SUM(CA101:CA105)</f>
        <v>29</v>
      </c>
      <c r="BB105" s="2">
        <f>BB100+SUM(CC101:CC105)</f>
        <v>8</v>
      </c>
      <c r="BC105" s="2">
        <f>BC100+SUM(CD101:CD105)</f>
        <v>0</v>
      </c>
      <c r="BD105" s="2">
        <f>IF(AND($C$130&lt;&gt;"",资金流水!$J$109=$C$130,ISNUMBER(资金流水!$B$109),ISNUMBER(资金流水!$S$109),资金流水!$S$109&gt;=_辅助!$J$4,资金流水!$S$109&lt;=_辅助!$J$2,OR(资金流水!$X$109="应付材料款",资金流水!$X$109="应付分包款",资金流水!$X$109="应付机械运输费",资金流水!$X$109="应付其他款")),INT(资金流水!$B$109)*10000+104,"")</f>
      </c>
      <c r="BE105" s="2">
        <f>BE100+SUM(CE101:CE105)</f>
        <v>0</v>
      </c>
      <c r="CA105" s="2">
        <f>IF(AND(OR(_余额!$B$107="材料供应商",_余额!$B$107="分包",_余额!$B$107="机械运输",_余额!$B$107="其他"),OR($C$3="全部",_余额!$B$107=$C$3),OR(_余额!$G$107&lt;&gt;0,_余额!$H$107&lt;&gt;0)),1,0)</f>
        <v>0</v>
      </c>
      <c r="CC105" s="2">
        <f>IF(AND($C$130&lt;&gt;"",期初余额!$P$109=$C$130),1,0)</f>
        <v>0</v>
      </c>
      <c r="CD105" s="2">
        <f>IF(($C$130&lt;&gt;"")*(应付登记!$D$109=$C$130)*ISNUMBER(应付登记!$J$109)*(应付登记!$J$109&gt;=_辅助!$J$4)*(应付登记!$J$109&lt;=_辅助!$J$2),1,0)</f>
        <v>0</v>
      </c>
      <c r="CE105" s="2">
        <f>IF(($C$130&lt;&gt;"")*(代发抵账!$E$109=$C$130)*(代发抵账!$D$109="总包代付材料分包款")*ISNUMBER(代发抵账!$H$109)*(代发抵账!$H$109&lt;=_辅助!$J$2),1,0)</f>
        <v>0</v>
      </c>
    </row>
    <row r="106">
      <c r="A106" s="94">
        <f>IF($AY106=0,"",100)</f>
      </c>
      <c r="B106" s="96">
        <f t="shared" si="24"/>
      </c>
      <c r="C106" s="94">
        <f t="shared" si="26"/>
      </c>
      <c r="D106" s="21">
        <f t="shared" si="0"/>
      </c>
      <c r="E106" s="21">
        <f t="shared" si="3"/>
      </c>
      <c r="F106" s="21">
        <f t="shared" si="5"/>
      </c>
      <c r="G106" s="22">
        <f t="shared" si="2"/>
      </c>
      <c r="H106" s="21">
        <f t="shared" si="6"/>
      </c>
      <c r="I106" s="21">
        <f t="shared" si="8"/>
      </c>
      <c r="J106" s="95">
        <f t="shared" si="28"/>
      </c>
      <c r="K106" s="21">
        <f t="shared" si="10"/>
      </c>
      <c r="L106" s="21">
        <f t="shared" si="12"/>
      </c>
      <c r="M106" s="21">
        <f t="shared" si="13"/>
      </c>
      <c r="N106" s="21">
        <f t="shared" si="14"/>
      </c>
      <c r="O106" s="21">
        <f t="shared" si="15"/>
      </c>
      <c r="P106" s="21">
        <f t="shared" si="16"/>
      </c>
      <c r="Q106" s="21">
        <f t="shared" si="17"/>
      </c>
      <c r="R106" s="21">
        <f t="shared" si="18"/>
      </c>
      <c r="S106" s="21">
        <f t="shared" si="19"/>
      </c>
      <c r="T106" s="21">
        <f t="shared" si="20"/>
      </c>
      <c r="U106" s="21">
        <f t="shared" si="21"/>
      </c>
      <c r="V106" s="21">
        <f t="shared" si="22"/>
      </c>
      <c r="W106" s="21">
        <f t="shared" si="23"/>
      </c>
      <c r="AX106" s="2">
        <f t="shared" si="30"/>
        <v>0</v>
      </c>
      <c r="AY106" s="2">
        <f>IF(100&gt;$AZ$300,0,IFERROR(MATCH(100,$AZ$1:$AZ$300,0),0))</f>
        <v>0</v>
      </c>
      <c r="AZ106" s="2">
        <f>AZ100+SUM(CA101:CA106)</f>
        <v>29</v>
      </c>
      <c r="BB106" s="2">
        <f>BB100+SUM(CC101:CC106)</f>
        <v>8</v>
      </c>
      <c r="BC106" s="2">
        <f>BC100+SUM(CD101:CD106)</f>
        <v>0</v>
      </c>
      <c r="BD106" s="2">
        <f>IF(AND($C$130&lt;&gt;"",资金流水!$J$110=$C$130,ISNUMBER(资金流水!$B$110),ISNUMBER(资金流水!$S$110),资金流水!$S$110&gt;=_辅助!$J$4,资金流水!$S$110&lt;=_辅助!$J$2,OR(资金流水!$X$110="应付材料款",资金流水!$X$110="应付分包款",资金流水!$X$110="应付机械运输费",资金流水!$X$110="应付其他款")),INT(资金流水!$B$110)*10000+105,"")</f>
      </c>
      <c r="BE106" s="2">
        <f>BE100+SUM(CE101:CE106)</f>
        <v>0</v>
      </c>
      <c r="CA106" s="2">
        <f>IF(AND(OR(_余额!$B$108="材料供应商",_余额!$B$108="分包",_余额!$B$108="机械运输",_余额!$B$108="其他"),OR($C$3="全部",_余额!$B$108=$C$3),OR(_余额!$G$108&lt;&gt;0,_余额!$H$108&lt;&gt;0)),1,0)</f>
        <v>0</v>
      </c>
      <c r="CC106" s="2">
        <f>IF(AND($C$130&lt;&gt;"",期初余额!$P$110=$C$130),1,0)</f>
        <v>0</v>
      </c>
      <c r="CD106" s="2">
        <f>IF(($C$130&lt;&gt;"")*(应付登记!$D$110=$C$130)*ISNUMBER(应付登记!$J$110)*(应付登记!$J$110&gt;=_辅助!$J$4)*(应付登记!$J$110&lt;=_辅助!$J$2),1,0)</f>
        <v>0</v>
      </c>
      <c r="CE106" s="2">
        <f>IF(($C$130&lt;&gt;"")*(代发抵账!$E$110=$C$130)*(代发抵账!$D$110="总包代付材料分包款")*ISNUMBER(代发抵账!$H$110)*(代发抵账!$H$110&lt;=_辅助!$J$2),1,0)</f>
        <v>0</v>
      </c>
    </row>
    <row r="107">
      <c r="A107" s="94">
        <f>IF($AY107=0,"",101)</f>
      </c>
      <c r="B107" s="96">
        <f t="shared" si="24"/>
      </c>
      <c r="C107" s="94">
        <f t="shared" si="26"/>
      </c>
      <c r="D107" s="21">
        <f t="shared" si="0"/>
      </c>
      <c r="E107" s="21">
        <f t="shared" si="3"/>
      </c>
      <c r="F107" s="21">
        <f t="shared" si="5"/>
      </c>
      <c r="G107" s="22">
        <f t="shared" si="2"/>
      </c>
      <c r="H107" s="21">
        <f t="shared" si="6"/>
      </c>
      <c r="I107" s="21">
        <f t="shared" si="8"/>
      </c>
      <c r="J107" s="95">
        <f t="shared" si="28"/>
      </c>
      <c r="K107" s="21">
        <f t="shared" si="10"/>
      </c>
      <c r="L107" s="21">
        <f t="shared" si="12"/>
      </c>
      <c r="M107" s="21">
        <f t="shared" si="13"/>
      </c>
      <c r="N107" s="21">
        <f t="shared" si="14"/>
      </c>
      <c r="O107" s="21">
        <f t="shared" si="15"/>
      </c>
      <c r="P107" s="21">
        <f t="shared" si="16"/>
      </c>
      <c r="Q107" s="21">
        <f t="shared" si="17"/>
      </c>
      <c r="R107" s="21">
        <f t="shared" si="18"/>
      </c>
      <c r="S107" s="21">
        <f t="shared" si="19"/>
      </c>
      <c r="T107" s="21">
        <f t="shared" si="20"/>
      </c>
      <c r="U107" s="21">
        <f t="shared" si="21"/>
      </c>
      <c r="V107" s="21">
        <f t="shared" si="22"/>
      </c>
      <c r="W107" s="21">
        <f t="shared" si="23"/>
      </c>
      <c r="AX107" s="2">
        <f t="shared" si="30"/>
        <v>0</v>
      </c>
      <c r="AY107" s="2">
        <f>IF(101&gt;$AZ$300,0,IFERROR(MATCH(101,$AZ$1:$AZ$300,0),0))</f>
        <v>0</v>
      </c>
      <c r="AZ107" s="2">
        <f>AZ100+SUM(CA101:CA107)</f>
        <v>29</v>
      </c>
      <c r="BB107" s="2">
        <f>BB100+SUM(CC101:CC107)</f>
        <v>8</v>
      </c>
      <c r="BC107" s="2">
        <f>BC100+SUM(CD101:CD107)</f>
        <v>0</v>
      </c>
      <c r="BD107" s="2">
        <f>IF(AND($C$130&lt;&gt;"",资金流水!$J$111=$C$130,ISNUMBER(资金流水!$B$111),ISNUMBER(资金流水!$S$111),资金流水!$S$111&gt;=_辅助!$J$4,资金流水!$S$111&lt;=_辅助!$J$2,OR(资金流水!$X$111="应付材料款",资金流水!$X$111="应付分包款",资金流水!$X$111="应付机械运输费",资金流水!$X$111="应付其他款")),INT(资金流水!$B$111)*10000+106,"")</f>
      </c>
      <c r="BE107" s="2">
        <f>BE100+SUM(CE101:CE107)</f>
        <v>0</v>
      </c>
      <c r="CA107" s="2">
        <f>IF(AND(OR(_余额!$B$109="材料供应商",_余额!$B$109="分包",_余额!$B$109="机械运输",_余额!$B$109="其他"),OR($C$3="全部",_余额!$B$109=$C$3),OR(_余额!$G$109&lt;&gt;0,_余额!$H$109&lt;&gt;0)),1,0)</f>
        <v>0</v>
      </c>
      <c r="CC107" s="2">
        <f>IF(AND($C$130&lt;&gt;"",期初余额!$P$111=$C$130),1,0)</f>
        <v>0</v>
      </c>
      <c r="CD107" s="2">
        <f>IF(($C$130&lt;&gt;"")*(应付登记!$D$111=$C$130)*ISNUMBER(应付登记!$J$111)*(应付登记!$J$111&gt;=_辅助!$J$4)*(应付登记!$J$111&lt;=_辅助!$J$2),1,0)</f>
        <v>0</v>
      </c>
      <c r="CE107" s="2">
        <f>IF(($C$130&lt;&gt;"")*(代发抵账!$E$111=$C$130)*(代发抵账!$D$111="总包代付材料分包款")*ISNUMBER(代发抵账!$H$111)*(代发抵账!$H$111&lt;=_辅助!$J$2),1,0)</f>
        <v>0</v>
      </c>
    </row>
    <row r="108">
      <c r="A108" s="94">
        <f>IF($AY108=0,"",102)</f>
      </c>
      <c r="B108" s="96">
        <f t="shared" si="24"/>
      </c>
      <c r="C108" s="94">
        <f t="shared" si="26"/>
      </c>
      <c r="D108" s="21">
        <f t="shared" si="0"/>
      </c>
      <c r="E108" s="21">
        <f t="shared" si="3"/>
      </c>
      <c r="F108" s="21">
        <f t="shared" si="5"/>
      </c>
      <c r="G108" s="22">
        <f t="shared" si="2"/>
      </c>
      <c r="H108" s="21">
        <f t="shared" si="6"/>
      </c>
      <c r="I108" s="21">
        <f t="shared" si="8"/>
      </c>
      <c r="J108" s="95">
        <f t="shared" si="28"/>
      </c>
      <c r="K108" s="21">
        <f t="shared" si="10"/>
      </c>
      <c r="L108" s="21">
        <f t="shared" si="12"/>
      </c>
      <c r="M108" s="21">
        <f t="shared" si="13"/>
      </c>
      <c r="N108" s="21">
        <f t="shared" si="14"/>
      </c>
      <c r="O108" s="21">
        <f t="shared" si="15"/>
      </c>
      <c r="P108" s="21">
        <f t="shared" si="16"/>
      </c>
      <c r="Q108" s="21">
        <f t="shared" si="17"/>
      </c>
      <c r="R108" s="21">
        <f t="shared" si="18"/>
      </c>
      <c r="S108" s="21">
        <f t="shared" si="19"/>
      </c>
      <c r="T108" s="21">
        <f t="shared" si="20"/>
      </c>
      <c r="U108" s="21">
        <f t="shared" si="21"/>
      </c>
      <c r="V108" s="21">
        <f t="shared" si="22"/>
      </c>
      <c r="W108" s="21">
        <f t="shared" si="23"/>
      </c>
      <c r="AX108" s="2">
        <f t="shared" si="30"/>
        <v>0</v>
      </c>
      <c r="AY108" s="2">
        <f>IF(102&gt;$AZ$300,0,IFERROR(MATCH(102,$AZ$1:$AZ$300,0),0))</f>
        <v>0</v>
      </c>
      <c r="AZ108" s="2">
        <f>AZ100+SUM(CA101:CA108)</f>
        <v>29</v>
      </c>
      <c r="BB108" s="2">
        <f>BB100+SUM(CC101:CC108)</f>
        <v>8</v>
      </c>
      <c r="BC108" s="2">
        <f>BC100+SUM(CD101:CD108)</f>
        <v>0</v>
      </c>
      <c r="BD108" s="2">
        <f>IF(AND($C$130&lt;&gt;"",资金流水!$J$112=$C$130,ISNUMBER(资金流水!$B$112),ISNUMBER(资金流水!$S$112),资金流水!$S$112&gt;=_辅助!$J$4,资金流水!$S$112&lt;=_辅助!$J$2,OR(资金流水!$X$112="应付材料款",资金流水!$X$112="应付分包款",资金流水!$X$112="应付机械运输费",资金流水!$X$112="应付其他款")),INT(资金流水!$B$112)*10000+107,"")</f>
      </c>
      <c r="BE108" s="2">
        <f>BE100+SUM(CE101:CE108)</f>
        <v>0</v>
      </c>
      <c r="CA108" s="2">
        <f>IF(AND(OR(_余额!$B$110="材料供应商",_余额!$B$110="分包",_余额!$B$110="机械运输",_余额!$B$110="其他"),OR($C$3="全部",_余额!$B$110=$C$3),OR(_余额!$G$110&lt;&gt;0,_余额!$H$110&lt;&gt;0)),1,0)</f>
        <v>0</v>
      </c>
      <c r="CC108" s="2">
        <f>IF(AND($C$130&lt;&gt;"",期初余额!$P$112=$C$130),1,0)</f>
        <v>0</v>
      </c>
      <c r="CD108" s="2">
        <f>IF(($C$130&lt;&gt;"")*(应付登记!$D$112=$C$130)*ISNUMBER(应付登记!$J$112)*(应付登记!$J$112&gt;=_辅助!$J$4)*(应付登记!$J$112&lt;=_辅助!$J$2),1,0)</f>
        <v>0</v>
      </c>
      <c r="CE108" s="2">
        <f>IF(($C$130&lt;&gt;"")*(代发抵账!$E$112=$C$130)*(代发抵账!$D$112="总包代付材料分包款")*ISNUMBER(代发抵账!$H$112)*(代发抵账!$H$112&lt;=_辅助!$J$2),1,0)</f>
        <v>0</v>
      </c>
    </row>
    <row r="109">
      <c r="A109" s="94">
        <f>IF($AY109=0,"",103)</f>
      </c>
      <c r="B109" s="96">
        <f t="shared" si="24"/>
      </c>
      <c r="C109" s="94">
        <f t="shared" si="26"/>
      </c>
      <c r="D109" s="21">
        <f t="shared" si="0"/>
      </c>
      <c r="E109" s="21">
        <f t="shared" si="3"/>
      </c>
      <c r="F109" s="21">
        <f t="shared" si="5"/>
      </c>
      <c r="G109" s="22">
        <f t="shared" si="2"/>
      </c>
      <c r="H109" s="21">
        <f t="shared" si="6"/>
      </c>
      <c r="I109" s="21">
        <f t="shared" si="8"/>
      </c>
      <c r="J109" s="95">
        <f t="shared" si="28"/>
      </c>
      <c r="K109" s="21">
        <f t="shared" si="10"/>
      </c>
      <c r="L109" s="21">
        <f t="shared" si="12"/>
      </c>
      <c r="M109" s="21">
        <f t="shared" si="13"/>
      </c>
      <c r="N109" s="21">
        <f t="shared" si="14"/>
      </c>
      <c r="O109" s="21">
        <f t="shared" si="15"/>
      </c>
      <c r="P109" s="21">
        <f t="shared" si="16"/>
      </c>
      <c r="Q109" s="21">
        <f t="shared" si="17"/>
      </c>
      <c r="R109" s="21">
        <f t="shared" si="18"/>
      </c>
      <c r="S109" s="21">
        <f t="shared" si="19"/>
      </c>
      <c r="T109" s="21">
        <f t="shared" si="20"/>
      </c>
      <c r="U109" s="21">
        <f t="shared" si="21"/>
      </c>
      <c r="V109" s="21">
        <f t="shared" si="22"/>
      </c>
      <c r="W109" s="21">
        <f t="shared" si="23"/>
      </c>
      <c r="AX109" s="2">
        <f t="shared" si="30"/>
        <v>0</v>
      </c>
      <c r="AY109" s="2">
        <f>IF(103&gt;$AZ$300,0,IFERROR(MATCH(103,$AZ$1:$AZ$300,0),0))</f>
        <v>0</v>
      </c>
      <c r="AZ109" s="2">
        <f>AZ100+SUM(CA101:CA109)</f>
        <v>29</v>
      </c>
      <c r="BB109" s="2">
        <f>BB100+SUM(CC101:CC109)</f>
        <v>8</v>
      </c>
      <c r="BC109" s="2">
        <f>BC100+SUM(CD101:CD109)</f>
        <v>0</v>
      </c>
      <c r="BD109" s="2">
        <f>IF(AND($C$130&lt;&gt;"",资金流水!$J$113=$C$130,ISNUMBER(资金流水!$B$113),ISNUMBER(资金流水!$S$113),资金流水!$S$113&gt;=_辅助!$J$4,资金流水!$S$113&lt;=_辅助!$J$2,OR(资金流水!$X$113="应付材料款",资金流水!$X$113="应付分包款",资金流水!$X$113="应付机械运输费",资金流水!$X$113="应付其他款")),INT(资金流水!$B$113)*10000+108,"")</f>
      </c>
      <c r="BE109" s="2">
        <f>BE100+SUM(CE101:CE109)</f>
        <v>0</v>
      </c>
      <c r="CA109" s="2">
        <f>IF(AND(OR(_余额!$B$111="材料供应商",_余额!$B$111="分包",_余额!$B$111="机械运输",_余额!$B$111="其他"),OR($C$3="全部",_余额!$B$111=$C$3),OR(_余额!$G$111&lt;&gt;0,_余额!$H$111&lt;&gt;0)),1,0)</f>
        <v>0</v>
      </c>
      <c r="CC109" s="2">
        <f>IF(AND($C$130&lt;&gt;"",期初余额!$P$113=$C$130),1,0)</f>
        <v>0</v>
      </c>
      <c r="CD109" s="2">
        <f>IF(($C$130&lt;&gt;"")*(应付登记!$D$113=$C$130)*ISNUMBER(应付登记!$J$113)*(应付登记!$J$113&gt;=_辅助!$J$4)*(应付登记!$J$113&lt;=_辅助!$J$2),1,0)</f>
        <v>0</v>
      </c>
      <c r="CE109" s="2">
        <f>IF(($C$130&lt;&gt;"")*(代发抵账!$E$113=$C$130)*(代发抵账!$D$113="总包代付材料分包款")*ISNUMBER(代发抵账!$H$113)*(代发抵账!$H$113&lt;=_辅助!$J$2),1,0)</f>
        <v>0</v>
      </c>
    </row>
    <row r="110">
      <c r="A110" s="94">
        <f>IF($AY110=0,"",104)</f>
      </c>
      <c r="B110" s="96">
        <f t="shared" si="24"/>
      </c>
      <c r="C110" s="94">
        <f t="shared" si="26"/>
      </c>
      <c r="D110" s="21">
        <f t="shared" si="0"/>
      </c>
      <c r="E110" s="21">
        <f t="shared" si="3"/>
      </c>
      <c r="F110" s="21">
        <f t="shared" si="5"/>
      </c>
      <c r="G110" s="22">
        <f t="shared" si="2"/>
      </c>
      <c r="H110" s="21">
        <f t="shared" si="6"/>
      </c>
      <c r="I110" s="21">
        <f t="shared" si="8"/>
      </c>
      <c r="J110" s="95">
        <f t="shared" si="28"/>
      </c>
      <c r="K110" s="21">
        <f t="shared" si="10"/>
      </c>
      <c r="L110" s="21">
        <f t="shared" si="12"/>
      </c>
      <c r="M110" s="21">
        <f t="shared" si="13"/>
      </c>
      <c r="N110" s="21">
        <f t="shared" si="14"/>
      </c>
      <c r="O110" s="21">
        <f t="shared" si="15"/>
      </c>
      <c r="P110" s="21">
        <f t="shared" si="16"/>
      </c>
      <c r="Q110" s="21">
        <f t="shared" si="17"/>
      </c>
      <c r="R110" s="21">
        <f t="shared" si="18"/>
      </c>
      <c r="S110" s="21">
        <f t="shared" si="19"/>
      </c>
      <c r="T110" s="21">
        <f t="shared" si="20"/>
      </c>
      <c r="U110" s="21">
        <f t="shared" si="21"/>
      </c>
      <c r="V110" s="21">
        <f t="shared" si="22"/>
      </c>
      <c r="W110" s="21">
        <f t="shared" si="23"/>
      </c>
      <c r="AX110" s="2">
        <f t="shared" si="30"/>
        <v>0</v>
      </c>
      <c r="AY110" s="2">
        <f>IF(104&gt;$AZ$300,0,IFERROR(MATCH(104,$AZ$1:$AZ$300,0),0))</f>
        <v>0</v>
      </c>
      <c r="AZ110" s="2">
        <f>AZ100+SUM(CA101:CA110)</f>
        <v>29</v>
      </c>
      <c r="BB110" s="2">
        <f>BB100+SUM(CC101:CC110)</f>
        <v>8</v>
      </c>
      <c r="BC110" s="2">
        <f>BC100+SUM(CD101:CD110)</f>
        <v>0</v>
      </c>
      <c r="BD110" s="2">
        <f>IF(AND($C$130&lt;&gt;"",资金流水!$J$114=$C$130,ISNUMBER(资金流水!$B$114),ISNUMBER(资金流水!$S$114),资金流水!$S$114&gt;=_辅助!$J$4,资金流水!$S$114&lt;=_辅助!$J$2,OR(资金流水!$X$114="应付材料款",资金流水!$X$114="应付分包款",资金流水!$X$114="应付机械运输费",资金流水!$X$114="应付其他款")),INT(资金流水!$B$114)*10000+109,"")</f>
      </c>
      <c r="BE110" s="2">
        <f>BE100+SUM(CE101:CE110)</f>
        <v>0</v>
      </c>
      <c r="CA110" s="2">
        <f>IF(AND(OR(_余额!$B$112="材料供应商",_余额!$B$112="分包",_余额!$B$112="机械运输",_余额!$B$112="其他"),OR($C$3="全部",_余额!$B$112=$C$3),OR(_余额!$G$112&lt;&gt;0,_余额!$H$112&lt;&gt;0)),1,0)</f>
        <v>0</v>
      </c>
      <c r="CC110" s="2">
        <f>IF(AND($C$130&lt;&gt;"",期初余额!$P$114=$C$130),1,0)</f>
        <v>0</v>
      </c>
      <c r="CD110" s="2">
        <f>IF(($C$130&lt;&gt;"")*(应付登记!$D$114=$C$130)*ISNUMBER(应付登记!$J$114)*(应付登记!$J$114&gt;=_辅助!$J$4)*(应付登记!$J$114&lt;=_辅助!$J$2),1,0)</f>
        <v>0</v>
      </c>
      <c r="CE110" s="2">
        <f>IF(($C$130&lt;&gt;"")*(代发抵账!$E$114=$C$130)*(代发抵账!$D$114="总包代付材料分包款")*ISNUMBER(代发抵账!$H$114)*(代发抵账!$H$114&lt;=_辅助!$J$2),1,0)</f>
        <v>0</v>
      </c>
    </row>
    <row r="111">
      <c r="A111" s="94">
        <f>IF($AY111=0,"",105)</f>
      </c>
      <c r="B111" s="96">
        <f t="shared" si="24"/>
      </c>
      <c r="C111" s="94">
        <f t="shared" si="26"/>
      </c>
      <c r="D111" s="21">
        <f t="shared" si="0"/>
      </c>
      <c r="E111" s="21">
        <f t="shared" si="3"/>
      </c>
      <c r="F111" s="21">
        <f t="shared" si="5"/>
      </c>
      <c r="G111" s="22">
        <f t="shared" si="2"/>
      </c>
      <c r="H111" s="21">
        <f t="shared" si="6"/>
      </c>
      <c r="I111" s="21">
        <f t="shared" si="8"/>
      </c>
      <c r="J111" s="95">
        <f t="shared" si="28"/>
      </c>
      <c r="K111" s="21">
        <f t="shared" si="10"/>
      </c>
      <c r="L111" s="21">
        <f t="shared" si="12"/>
      </c>
      <c r="M111" s="21">
        <f t="shared" si="13"/>
      </c>
      <c r="N111" s="21">
        <f t="shared" si="14"/>
      </c>
      <c r="O111" s="21">
        <f t="shared" si="15"/>
      </c>
      <c r="P111" s="21">
        <f t="shared" si="16"/>
      </c>
      <c r="Q111" s="21">
        <f t="shared" si="17"/>
      </c>
      <c r="R111" s="21">
        <f t="shared" si="18"/>
      </c>
      <c r="S111" s="21">
        <f t="shared" si="19"/>
      </c>
      <c r="T111" s="21">
        <f t="shared" si="20"/>
      </c>
      <c r="U111" s="21">
        <f t="shared" si="21"/>
      </c>
      <c r="V111" s="21">
        <f t="shared" si="22"/>
      </c>
      <c r="W111" s="21">
        <f t="shared" si="23"/>
      </c>
      <c r="AX111" s="2">
        <f t="shared" si="30"/>
        <v>0</v>
      </c>
      <c r="AY111" s="2">
        <f>IF(105&gt;$AZ$300,0,IFERROR(MATCH(105,$AZ$1:$AZ$300,0),0))</f>
        <v>0</v>
      </c>
      <c r="AZ111" s="2">
        <f>AZ100+SUM(CA101:CA111)</f>
        <v>29</v>
      </c>
      <c r="BB111" s="2">
        <f>BB100+SUM(CC101:CC111)</f>
        <v>8</v>
      </c>
      <c r="BC111" s="2">
        <f>BC100+SUM(CD101:CD111)</f>
        <v>0</v>
      </c>
      <c r="BD111" s="2">
        <f>IF(AND($C$130&lt;&gt;"",资金流水!$J$115=$C$130,ISNUMBER(资金流水!$B$115),ISNUMBER(资金流水!$S$115),资金流水!$S$115&gt;=_辅助!$J$4,资金流水!$S$115&lt;=_辅助!$J$2,OR(资金流水!$X$115="应付材料款",资金流水!$X$115="应付分包款",资金流水!$X$115="应付机械运输费",资金流水!$X$115="应付其他款")),INT(资金流水!$B$115)*10000+110,"")</f>
      </c>
      <c r="BE111" s="2">
        <f>BE100+SUM(CE101:CE111)</f>
        <v>0</v>
      </c>
      <c r="CA111" s="2">
        <f>IF(AND(OR(_余额!$B$113="材料供应商",_余额!$B$113="分包",_余额!$B$113="机械运输",_余额!$B$113="其他"),OR($C$3="全部",_余额!$B$113=$C$3),OR(_余额!$G$113&lt;&gt;0,_余额!$H$113&lt;&gt;0)),1,0)</f>
        <v>0</v>
      </c>
      <c r="CC111" s="2">
        <f>IF(AND($C$130&lt;&gt;"",期初余额!$P$115=$C$130),1,0)</f>
        <v>0</v>
      </c>
      <c r="CD111" s="2">
        <f>IF(($C$130&lt;&gt;"")*(应付登记!$D$115=$C$130)*ISNUMBER(应付登记!$J$115)*(应付登记!$J$115&gt;=_辅助!$J$4)*(应付登记!$J$115&lt;=_辅助!$J$2),1,0)</f>
        <v>0</v>
      </c>
      <c r="CE111" s="2">
        <f>IF(($C$130&lt;&gt;"")*(代发抵账!$E$115=$C$130)*(代发抵账!$D$115="总包代付材料分包款")*ISNUMBER(代发抵账!$H$115)*(代发抵账!$H$115&lt;=_辅助!$J$2),1,0)</f>
        <v>0</v>
      </c>
    </row>
    <row r="112">
      <c r="A112" s="94">
        <f>IF($AY112=0,"",106)</f>
      </c>
      <c r="B112" s="96">
        <f t="shared" si="24"/>
      </c>
      <c r="C112" s="94">
        <f t="shared" si="26"/>
      </c>
      <c r="D112" s="21">
        <f t="shared" si="0"/>
      </c>
      <c r="E112" s="21">
        <f t="shared" si="3"/>
      </c>
      <c r="F112" s="21">
        <f t="shared" si="5"/>
      </c>
      <c r="G112" s="22">
        <f t="shared" si="2"/>
      </c>
      <c r="H112" s="21">
        <f t="shared" si="6"/>
      </c>
      <c r="I112" s="21">
        <f t="shared" si="8"/>
      </c>
      <c r="J112" s="95">
        <f t="shared" si="28"/>
      </c>
      <c r="K112" s="21">
        <f t="shared" si="10"/>
      </c>
      <c r="L112" s="21">
        <f t="shared" si="12"/>
      </c>
      <c r="M112" s="21">
        <f t="shared" si="13"/>
      </c>
      <c r="N112" s="21">
        <f t="shared" si="14"/>
      </c>
      <c r="O112" s="21">
        <f t="shared" si="15"/>
      </c>
      <c r="P112" s="21">
        <f t="shared" si="16"/>
      </c>
      <c r="Q112" s="21">
        <f t="shared" si="17"/>
      </c>
      <c r="R112" s="21">
        <f t="shared" si="18"/>
      </c>
      <c r="S112" s="21">
        <f t="shared" si="19"/>
      </c>
      <c r="T112" s="21">
        <f t="shared" si="20"/>
      </c>
      <c r="U112" s="21">
        <f t="shared" si="21"/>
      </c>
      <c r="V112" s="21">
        <f t="shared" si="22"/>
      </c>
      <c r="W112" s="21">
        <f t="shared" si="23"/>
      </c>
      <c r="AX112" s="2">
        <f t="shared" si="30"/>
        <v>0</v>
      </c>
      <c r="AY112" s="2">
        <f>IF(106&gt;$AZ$300,0,IFERROR(MATCH(106,$AZ$1:$AZ$300,0),0))</f>
        <v>0</v>
      </c>
      <c r="AZ112" s="2">
        <f>AZ100+SUM(CA101:CA112)</f>
        <v>29</v>
      </c>
      <c r="BB112" s="2">
        <f>BB100+SUM(CC101:CC112)</f>
        <v>8</v>
      </c>
      <c r="BC112" s="2">
        <f>BC100+SUM(CD101:CD112)</f>
        <v>0</v>
      </c>
      <c r="BD112" s="2">
        <f>IF(AND($C$130&lt;&gt;"",资金流水!$J$116=$C$130,ISNUMBER(资金流水!$B$116),ISNUMBER(资金流水!$S$116),资金流水!$S$116&gt;=_辅助!$J$4,资金流水!$S$116&lt;=_辅助!$J$2,OR(资金流水!$X$116="应付材料款",资金流水!$X$116="应付分包款",资金流水!$X$116="应付机械运输费",资金流水!$X$116="应付其他款")),INT(资金流水!$B$116)*10000+111,"")</f>
      </c>
      <c r="BE112" s="2">
        <f>BE100+SUM(CE101:CE112)</f>
        <v>0</v>
      </c>
      <c r="CA112" s="2">
        <f>IF(AND(OR(_余额!$B$114="材料供应商",_余额!$B$114="分包",_余额!$B$114="机械运输",_余额!$B$114="其他"),OR($C$3="全部",_余额!$B$114=$C$3),OR(_余额!$G$114&lt;&gt;0,_余额!$H$114&lt;&gt;0)),1,0)</f>
        <v>0</v>
      </c>
      <c r="CC112" s="2">
        <f>IF(AND($C$130&lt;&gt;"",期初余额!$P$116=$C$130),1,0)</f>
        <v>0</v>
      </c>
      <c r="CD112" s="2">
        <f>IF(($C$130&lt;&gt;"")*(应付登记!$D$116=$C$130)*ISNUMBER(应付登记!$J$116)*(应付登记!$J$116&gt;=_辅助!$J$4)*(应付登记!$J$116&lt;=_辅助!$J$2),1,0)</f>
        <v>0</v>
      </c>
      <c r="CE112" s="2">
        <f>IF(($C$130&lt;&gt;"")*(代发抵账!$E$116=$C$130)*(代发抵账!$D$116="总包代付材料分包款")*ISNUMBER(代发抵账!$H$116)*(代发抵账!$H$116&lt;=_辅助!$J$2),1,0)</f>
        <v>0</v>
      </c>
    </row>
    <row r="113">
      <c r="A113" s="94">
        <f>IF($AY113=0,"",107)</f>
      </c>
      <c r="B113" s="96">
        <f t="shared" si="24"/>
      </c>
      <c r="C113" s="94">
        <f t="shared" si="26"/>
      </c>
      <c r="D113" s="21">
        <f t="shared" si="0"/>
      </c>
      <c r="E113" s="21">
        <f t="shared" si="3"/>
      </c>
      <c r="F113" s="21">
        <f t="shared" si="5"/>
      </c>
      <c r="G113" s="22">
        <f t="shared" si="2"/>
      </c>
      <c r="H113" s="21">
        <f t="shared" si="6"/>
      </c>
      <c r="I113" s="21">
        <f t="shared" si="8"/>
      </c>
      <c r="J113" s="95">
        <f t="shared" si="28"/>
      </c>
      <c r="K113" s="21">
        <f t="shared" si="10"/>
      </c>
      <c r="L113" s="21">
        <f t="shared" si="12"/>
      </c>
      <c r="M113" s="21">
        <f t="shared" si="13"/>
      </c>
      <c r="N113" s="21">
        <f t="shared" si="14"/>
      </c>
      <c r="O113" s="21">
        <f t="shared" si="15"/>
      </c>
      <c r="P113" s="21">
        <f t="shared" si="16"/>
      </c>
      <c r="Q113" s="21">
        <f t="shared" si="17"/>
      </c>
      <c r="R113" s="21">
        <f t="shared" si="18"/>
      </c>
      <c r="S113" s="21">
        <f t="shared" si="19"/>
      </c>
      <c r="T113" s="21">
        <f t="shared" si="20"/>
      </c>
      <c r="U113" s="21">
        <f t="shared" si="21"/>
      </c>
      <c r="V113" s="21">
        <f t="shared" si="22"/>
      </c>
      <c r="W113" s="21">
        <f t="shared" si="23"/>
      </c>
      <c r="AX113" s="2">
        <f t="shared" si="30"/>
        <v>0</v>
      </c>
      <c r="AY113" s="2">
        <f>IF(107&gt;$AZ$300,0,IFERROR(MATCH(107,$AZ$1:$AZ$300,0),0))</f>
        <v>0</v>
      </c>
      <c r="AZ113" s="2">
        <f>AZ100+SUM(CA101:CA113)</f>
        <v>29</v>
      </c>
      <c r="BB113" s="2">
        <f>BB100+SUM(CC101:CC113)</f>
        <v>8</v>
      </c>
      <c r="BC113" s="2">
        <f>BC100+SUM(CD101:CD113)</f>
        <v>0</v>
      </c>
      <c r="BD113" s="2">
        <f>IF(AND($C$130&lt;&gt;"",资金流水!$J$117=$C$130,ISNUMBER(资金流水!$B$117),ISNUMBER(资金流水!$S$117),资金流水!$S$117&gt;=_辅助!$J$4,资金流水!$S$117&lt;=_辅助!$J$2,OR(资金流水!$X$117="应付材料款",资金流水!$X$117="应付分包款",资金流水!$X$117="应付机械运输费",资金流水!$X$117="应付其他款")),INT(资金流水!$B$117)*10000+112,"")</f>
      </c>
      <c r="BE113" s="2">
        <f>BE100+SUM(CE101:CE113)</f>
        <v>0</v>
      </c>
      <c r="CA113" s="2">
        <f>IF(AND(OR(_余额!$B$115="材料供应商",_余额!$B$115="分包",_余额!$B$115="机械运输",_余额!$B$115="其他"),OR($C$3="全部",_余额!$B$115=$C$3),OR(_余额!$G$115&lt;&gt;0,_余额!$H$115&lt;&gt;0)),1,0)</f>
        <v>0</v>
      </c>
      <c r="CC113" s="2">
        <f>IF(AND($C$130&lt;&gt;"",期初余额!$P$117=$C$130),1,0)</f>
        <v>0</v>
      </c>
      <c r="CD113" s="2">
        <f>IF(($C$130&lt;&gt;"")*(应付登记!$D$117=$C$130)*ISNUMBER(应付登记!$J$117)*(应付登记!$J$117&gt;=_辅助!$J$4)*(应付登记!$J$117&lt;=_辅助!$J$2),1,0)</f>
        <v>0</v>
      </c>
      <c r="CE113" s="2">
        <f>IF(($C$130&lt;&gt;"")*(代发抵账!$E$117=$C$130)*(代发抵账!$D$117="总包代付材料分包款")*ISNUMBER(代发抵账!$H$117)*(代发抵账!$H$117&lt;=_辅助!$J$2),1,0)</f>
        <v>0</v>
      </c>
    </row>
    <row r="114">
      <c r="A114" s="94">
        <f>IF($AY114=0,"",108)</f>
      </c>
      <c r="B114" s="96">
        <f t="shared" si="24"/>
      </c>
      <c r="C114" s="94">
        <f t="shared" si="26"/>
      </c>
      <c r="D114" s="21">
        <f t="shared" si="0"/>
      </c>
      <c r="E114" s="21">
        <f t="shared" si="3"/>
      </c>
      <c r="F114" s="21">
        <f t="shared" si="5"/>
      </c>
      <c r="G114" s="22">
        <f t="shared" si="2"/>
      </c>
      <c r="H114" s="21">
        <f t="shared" si="6"/>
      </c>
      <c r="I114" s="21">
        <f t="shared" si="8"/>
      </c>
      <c r="J114" s="95">
        <f t="shared" si="28"/>
      </c>
      <c r="K114" s="21">
        <f t="shared" si="10"/>
      </c>
      <c r="L114" s="21">
        <f t="shared" si="12"/>
      </c>
      <c r="M114" s="21">
        <f t="shared" si="13"/>
      </c>
      <c r="N114" s="21">
        <f t="shared" si="14"/>
      </c>
      <c r="O114" s="21">
        <f t="shared" si="15"/>
      </c>
      <c r="P114" s="21">
        <f t="shared" si="16"/>
      </c>
      <c r="Q114" s="21">
        <f t="shared" si="17"/>
      </c>
      <c r="R114" s="21">
        <f t="shared" si="18"/>
      </c>
      <c r="S114" s="21">
        <f t="shared" si="19"/>
      </c>
      <c r="T114" s="21">
        <f t="shared" si="20"/>
      </c>
      <c r="U114" s="21">
        <f t="shared" si="21"/>
      </c>
      <c r="V114" s="21">
        <f t="shared" si="22"/>
      </c>
      <c r="W114" s="21">
        <f t="shared" si="23"/>
      </c>
      <c r="AX114" s="2">
        <f t="shared" si="30"/>
        <v>0</v>
      </c>
      <c r="AY114" s="2">
        <f>IF(108&gt;$AZ$300,0,IFERROR(MATCH(108,$AZ$1:$AZ$300,0),0))</f>
        <v>0</v>
      </c>
      <c r="AZ114" s="2">
        <f>AZ100+SUM(CA101:CA114)</f>
        <v>29</v>
      </c>
      <c r="BB114" s="2">
        <f>BB100+SUM(CC101:CC114)</f>
        <v>8</v>
      </c>
      <c r="BC114" s="2">
        <f>BC100+SUM(CD101:CD114)</f>
        <v>0</v>
      </c>
      <c r="BD114" s="2">
        <f>IF(AND($C$130&lt;&gt;"",资金流水!$J$118=$C$130,ISNUMBER(资金流水!$B$118),ISNUMBER(资金流水!$S$118),资金流水!$S$118&gt;=_辅助!$J$4,资金流水!$S$118&lt;=_辅助!$J$2,OR(资金流水!$X$118="应付材料款",资金流水!$X$118="应付分包款",资金流水!$X$118="应付机械运输费",资金流水!$X$118="应付其他款")),INT(资金流水!$B$118)*10000+113,"")</f>
      </c>
      <c r="BE114" s="2">
        <f>BE100+SUM(CE101:CE114)</f>
        <v>0</v>
      </c>
      <c r="CA114" s="2">
        <f>IF(AND(OR(_余额!$B$116="材料供应商",_余额!$B$116="分包",_余额!$B$116="机械运输",_余额!$B$116="其他"),OR($C$3="全部",_余额!$B$116=$C$3),OR(_余额!$G$116&lt;&gt;0,_余额!$H$116&lt;&gt;0)),1,0)</f>
        <v>0</v>
      </c>
      <c r="CC114" s="2">
        <f>IF(AND($C$130&lt;&gt;"",期初余额!$P$118=$C$130),1,0)</f>
        <v>0</v>
      </c>
      <c r="CD114" s="2">
        <f>IF(($C$130&lt;&gt;"")*(应付登记!$D$118=$C$130)*ISNUMBER(应付登记!$J$118)*(应付登记!$J$118&gt;=_辅助!$J$4)*(应付登记!$J$118&lt;=_辅助!$J$2),1,0)</f>
        <v>0</v>
      </c>
      <c r="CE114" s="2">
        <f>IF(($C$130&lt;&gt;"")*(代发抵账!$E$118=$C$130)*(代发抵账!$D$118="总包代付材料分包款")*ISNUMBER(代发抵账!$H$118)*(代发抵账!$H$118&lt;=_辅助!$J$2),1,0)</f>
        <v>0</v>
      </c>
    </row>
    <row r="115">
      <c r="A115" s="94">
        <f>IF($AY115=0,"",109)</f>
      </c>
      <c r="B115" s="96">
        <f t="shared" si="24"/>
      </c>
      <c r="C115" s="94">
        <f t="shared" si="26"/>
      </c>
      <c r="D115" s="21">
        <f t="shared" si="0"/>
      </c>
      <c r="E115" s="21">
        <f t="shared" si="3"/>
      </c>
      <c r="F115" s="21">
        <f t="shared" si="5"/>
      </c>
      <c r="G115" s="22">
        <f t="shared" si="2"/>
      </c>
      <c r="H115" s="21">
        <f t="shared" si="6"/>
      </c>
      <c r="I115" s="21">
        <f t="shared" si="8"/>
      </c>
      <c r="J115" s="95">
        <f t="shared" si="28"/>
      </c>
      <c r="K115" s="21">
        <f t="shared" si="10"/>
      </c>
      <c r="L115" s="21">
        <f t="shared" si="12"/>
      </c>
      <c r="M115" s="21">
        <f t="shared" si="13"/>
      </c>
      <c r="N115" s="21">
        <f t="shared" si="14"/>
      </c>
      <c r="O115" s="21">
        <f t="shared" si="15"/>
      </c>
      <c r="P115" s="21">
        <f t="shared" si="16"/>
      </c>
      <c r="Q115" s="21">
        <f t="shared" si="17"/>
      </c>
      <c r="R115" s="21">
        <f t="shared" si="18"/>
      </c>
      <c r="S115" s="21">
        <f t="shared" si="19"/>
      </c>
      <c r="T115" s="21">
        <f t="shared" si="20"/>
      </c>
      <c r="U115" s="21">
        <f t="shared" si="21"/>
      </c>
      <c r="V115" s="21">
        <f t="shared" si="22"/>
      </c>
      <c r="W115" s="21">
        <f t="shared" si="23"/>
      </c>
      <c r="AX115" s="2">
        <f t="shared" si="30"/>
        <v>0</v>
      </c>
      <c r="AY115" s="2">
        <f>IF(109&gt;$AZ$300,0,IFERROR(MATCH(109,$AZ$1:$AZ$300,0),0))</f>
        <v>0</v>
      </c>
      <c r="AZ115" s="2">
        <f>AZ100+SUM(CA101:CA115)</f>
        <v>29</v>
      </c>
      <c r="BB115" s="2">
        <f>BB100+SUM(CC101:CC115)</f>
        <v>8</v>
      </c>
      <c r="BC115" s="2">
        <f>BC100+SUM(CD101:CD115)</f>
        <v>0</v>
      </c>
      <c r="BD115" s="2">
        <f>IF(AND($C$130&lt;&gt;"",资金流水!$J$119=$C$130,ISNUMBER(资金流水!$B$119),ISNUMBER(资金流水!$S$119),资金流水!$S$119&gt;=_辅助!$J$4,资金流水!$S$119&lt;=_辅助!$J$2,OR(资金流水!$X$119="应付材料款",资金流水!$X$119="应付分包款",资金流水!$X$119="应付机械运输费",资金流水!$X$119="应付其他款")),INT(资金流水!$B$119)*10000+114,"")</f>
      </c>
      <c r="BE115" s="2">
        <f>BE100+SUM(CE101:CE115)</f>
        <v>0</v>
      </c>
      <c r="CA115" s="2">
        <f>IF(AND(OR(_余额!$B$117="材料供应商",_余额!$B$117="分包",_余额!$B$117="机械运输",_余额!$B$117="其他"),OR($C$3="全部",_余额!$B$117=$C$3),OR(_余额!$G$117&lt;&gt;0,_余额!$H$117&lt;&gt;0)),1,0)</f>
        <v>0</v>
      </c>
      <c r="CC115" s="2">
        <f>IF(AND($C$130&lt;&gt;"",期初余额!$P$119=$C$130),1,0)</f>
        <v>0</v>
      </c>
      <c r="CD115" s="2">
        <f>IF(($C$130&lt;&gt;"")*(应付登记!$D$119=$C$130)*ISNUMBER(应付登记!$J$119)*(应付登记!$J$119&gt;=_辅助!$J$4)*(应付登记!$J$119&lt;=_辅助!$J$2),1,0)</f>
        <v>0</v>
      </c>
      <c r="CE115" s="2">
        <f>IF(($C$130&lt;&gt;"")*(代发抵账!$E$119=$C$130)*(代发抵账!$D$119="总包代付材料分包款")*ISNUMBER(代发抵账!$H$119)*(代发抵账!$H$119&lt;=_辅助!$J$2),1,0)</f>
        <v>0</v>
      </c>
    </row>
    <row r="116">
      <c r="A116" s="94">
        <f>IF($AY116=0,"",110)</f>
      </c>
      <c r="B116" s="96">
        <f t="shared" si="24"/>
      </c>
      <c r="C116" s="94">
        <f t="shared" si="26"/>
      </c>
      <c r="D116" s="21">
        <f t="shared" si="0"/>
      </c>
      <c r="E116" s="21">
        <f t="shared" si="3"/>
      </c>
      <c r="F116" s="21">
        <f t="shared" si="5"/>
      </c>
      <c r="G116" s="22">
        <f t="shared" si="2"/>
      </c>
      <c r="H116" s="21">
        <f t="shared" si="6"/>
      </c>
      <c r="I116" s="21">
        <f t="shared" si="8"/>
      </c>
      <c r="J116" s="95">
        <f t="shared" si="28"/>
      </c>
      <c r="K116" s="21">
        <f t="shared" si="10"/>
      </c>
      <c r="L116" s="21">
        <f t="shared" si="12"/>
      </c>
      <c r="M116" s="21">
        <f t="shared" si="13"/>
      </c>
      <c r="N116" s="21">
        <f t="shared" si="14"/>
      </c>
      <c r="O116" s="21">
        <f t="shared" si="15"/>
      </c>
      <c r="P116" s="21">
        <f t="shared" si="16"/>
      </c>
      <c r="Q116" s="21">
        <f t="shared" si="17"/>
      </c>
      <c r="R116" s="21">
        <f t="shared" si="18"/>
      </c>
      <c r="S116" s="21">
        <f t="shared" si="19"/>
      </c>
      <c r="T116" s="21">
        <f t="shared" si="20"/>
      </c>
      <c r="U116" s="21">
        <f t="shared" si="21"/>
      </c>
      <c r="V116" s="21">
        <f t="shared" si="22"/>
      </c>
      <c r="W116" s="21">
        <f t="shared" si="23"/>
      </c>
      <c r="AX116" s="2">
        <f t="shared" si="30"/>
        <v>0</v>
      </c>
      <c r="AY116" s="2">
        <f>IF(110&gt;$AZ$300,0,IFERROR(MATCH(110,$AZ$1:$AZ$300,0),0))</f>
        <v>0</v>
      </c>
      <c r="AZ116" s="2">
        <f>AZ100+SUM(CA101:CA116)</f>
        <v>29</v>
      </c>
      <c r="BB116" s="2">
        <f>BB100+SUM(CC101:CC116)</f>
        <v>8</v>
      </c>
      <c r="BC116" s="2">
        <f>BC100+SUM(CD101:CD116)</f>
        <v>0</v>
      </c>
      <c r="BD116" s="2">
        <f>IF(AND($C$130&lt;&gt;"",资金流水!$J$120=$C$130,ISNUMBER(资金流水!$B$120),ISNUMBER(资金流水!$S$120),资金流水!$S$120&gt;=_辅助!$J$4,资金流水!$S$120&lt;=_辅助!$J$2,OR(资金流水!$X$120="应付材料款",资金流水!$X$120="应付分包款",资金流水!$X$120="应付机械运输费",资金流水!$X$120="应付其他款")),INT(资金流水!$B$120)*10000+115,"")</f>
      </c>
      <c r="BE116" s="2">
        <f>BE100+SUM(CE101:CE116)</f>
        <v>0</v>
      </c>
      <c r="CA116" s="2">
        <f>IF(AND(OR(_余额!$B$118="材料供应商",_余额!$B$118="分包",_余额!$B$118="机械运输",_余额!$B$118="其他"),OR($C$3="全部",_余额!$B$118=$C$3),OR(_余额!$G$118&lt;&gt;0,_余额!$H$118&lt;&gt;0)),1,0)</f>
        <v>0</v>
      </c>
      <c r="CC116" s="2">
        <f>IF(AND($C$130&lt;&gt;"",期初余额!$P$120=$C$130),1,0)</f>
        <v>0</v>
      </c>
      <c r="CD116" s="2">
        <f>IF(($C$130&lt;&gt;"")*(应付登记!$D$120=$C$130)*ISNUMBER(应付登记!$J$120)*(应付登记!$J$120&gt;=_辅助!$J$4)*(应付登记!$J$120&lt;=_辅助!$J$2),1,0)</f>
        <v>0</v>
      </c>
      <c r="CE116" s="2">
        <f>IF(($C$130&lt;&gt;"")*(代发抵账!$E$120=$C$130)*(代发抵账!$D$120="总包代付材料分包款")*ISNUMBER(代发抵账!$H$120)*(代发抵账!$H$120&lt;=_辅助!$J$2),1,0)</f>
        <v>0</v>
      </c>
    </row>
    <row r="117">
      <c r="A117" s="94">
        <f>IF($AY117=0,"",111)</f>
      </c>
      <c r="B117" s="96">
        <f t="shared" si="24"/>
      </c>
      <c r="C117" s="94">
        <f t="shared" si="26"/>
      </c>
      <c r="D117" s="21">
        <f t="shared" si="0"/>
      </c>
      <c r="E117" s="21">
        <f t="shared" si="3"/>
      </c>
      <c r="F117" s="21">
        <f t="shared" si="5"/>
      </c>
      <c r="G117" s="22">
        <f t="shared" si="2"/>
      </c>
      <c r="H117" s="21">
        <f t="shared" si="6"/>
      </c>
      <c r="I117" s="21">
        <f t="shared" si="8"/>
      </c>
      <c r="J117" s="95">
        <f t="shared" si="28"/>
      </c>
      <c r="K117" s="21">
        <f t="shared" si="10"/>
      </c>
      <c r="L117" s="21">
        <f t="shared" si="12"/>
      </c>
      <c r="M117" s="21">
        <f t="shared" si="13"/>
      </c>
      <c r="N117" s="21">
        <f t="shared" si="14"/>
      </c>
      <c r="O117" s="21">
        <f t="shared" si="15"/>
      </c>
      <c r="P117" s="21">
        <f t="shared" si="16"/>
      </c>
      <c r="Q117" s="21">
        <f t="shared" si="17"/>
      </c>
      <c r="R117" s="21">
        <f t="shared" si="18"/>
      </c>
      <c r="S117" s="21">
        <f t="shared" si="19"/>
      </c>
      <c r="T117" s="21">
        <f t="shared" si="20"/>
      </c>
      <c r="U117" s="21">
        <f t="shared" si="21"/>
      </c>
      <c r="V117" s="21">
        <f t="shared" si="22"/>
      </c>
      <c r="W117" s="21">
        <f t="shared" si="23"/>
      </c>
      <c r="AX117" s="2">
        <f t="shared" si="30"/>
        <v>0</v>
      </c>
      <c r="AY117" s="2">
        <f>IF(111&gt;$AZ$300,0,IFERROR(MATCH(111,$AZ$1:$AZ$300,0),0))</f>
        <v>0</v>
      </c>
      <c r="AZ117" s="2">
        <f>AZ100+SUM(CA101:CA117)</f>
        <v>29</v>
      </c>
      <c r="BB117" s="2">
        <f>BB100+SUM(CC101:CC117)</f>
        <v>8</v>
      </c>
      <c r="BC117" s="2">
        <f>BC100+SUM(CD101:CD117)</f>
        <v>0</v>
      </c>
      <c r="BD117" s="2">
        <f>IF(AND($C$130&lt;&gt;"",资金流水!$J$121=$C$130,ISNUMBER(资金流水!$B$121),ISNUMBER(资金流水!$S$121),资金流水!$S$121&gt;=_辅助!$J$4,资金流水!$S$121&lt;=_辅助!$J$2,OR(资金流水!$X$121="应付材料款",资金流水!$X$121="应付分包款",资金流水!$X$121="应付机械运输费",资金流水!$X$121="应付其他款")),INT(资金流水!$B$121)*10000+116,"")</f>
      </c>
      <c r="BE117" s="2">
        <f>BE100+SUM(CE101:CE117)</f>
        <v>0</v>
      </c>
      <c r="CA117" s="2">
        <f>IF(AND(OR(_余额!$B$119="材料供应商",_余额!$B$119="分包",_余额!$B$119="机械运输",_余额!$B$119="其他"),OR($C$3="全部",_余额!$B$119=$C$3),OR(_余额!$G$119&lt;&gt;0,_余额!$H$119&lt;&gt;0)),1,0)</f>
        <v>0</v>
      </c>
      <c r="CC117" s="2">
        <f>IF(AND($C$130&lt;&gt;"",期初余额!$P$121=$C$130),1,0)</f>
        <v>0</v>
      </c>
      <c r="CD117" s="2">
        <f>IF(($C$130&lt;&gt;"")*(应付登记!$D$121=$C$130)*ISNUMBER(应付登记!$J$121)*(应付登记!$J$121&gt;=_辅助!$J$4)*(应付登记!$J$121&lt;=_辅助!$J$2),1,0)</f>
        <v>0</v>
      </c>
      <c r="CE117" s="2">
        <f>IF(($C$130&lt;&gt;"")*(代发抵账!$E$121=$C$130)*(代发抵账!$D$121="总包代付材料分包款")*ISNUMBER(代发抵账!$H$121)*(代发抵账!$H$121&lt;=_辅助!$J$2),1,0)</f>
        <v>0</v>
      </c>
    </row>
    <row r="118">
      <c r="A118" s="94">
        <f>IF($AY118=0,"",112)</f>
      </c>
      <c r="B118" s="96">
        <f t="shared" si="24"/>
      </c>
      <c r="C118" s="94">
        <f t="shared" si="26"/>
      </c>
      <c r="D118" s="21">
        <f t="shared" si="0"/>
      </c>
      <c r="E118" s="21">
        <f t="shared" si="3"/>
      </c>
      <c r="F118" s="21">
        <f t="shared" si="5"/>
      </c>
      <c r="G118" s="22">
        <f t="shared" si="2"/>
      </c>
      <c r="H118" s="21">
        <f t="shared" si="6"/>
      </c>
      <c r="I118" s="21">
        <f t="shared" si="8"/>
      </c>
      <c r="J118" s="95">
        <f t="shared" si="28"/>
      </c>
      <c r="K118" s="21">
        <f t="shared" si="10"/>
      </c>
      <c r="L118" s="21">
        <f t="shared" si="12"/>
      </c>
      <c r="M118" s="21">
        <f t="shared" si="13"/>
      </c>
      <c r="N118" s="21">
        <f t="shared" si="14"/>
      </c>
      <c r="O118" s="21">
        <f t="shared" si="15"/>
      </c>
      <c r="P118" s="21">
        <f t="shared" si="16"/>
      </c>
      <c r="Q118" s="21">
        <f t="shared" si="17"/>
      </c>
      <c r="R118" s="21">
        <f t="shared" si="18"/>
      </c>
      <c r="S118" s="21">
        <f t="shared" si="19"/>
      </c>
      <c r="T118" s="21">
        <f t="shared" si="20"/>
      </c>
      <c r="U118" s="21">
        <f t="shared" si="21"/>
      </c>
      <c r="V118" s="21">
        <f t="shared" si="22"/>
      </c>
      <c r="W118" s="21">
        <f t="shared" si="23"/>
      </c>
      <c r="AX118" s="2">
        <f t="shared" si="30"/>
        <v>0</v>
      </c>
      <c r="AY118" s="2">
        <f>IF(112&gt;$AZ$300,0,IFERROR(MATCH(112,$AZ$1:$AZ$300,0),0))</f>
        <v>0</v>
      </c>
      <c r="AZ118" s="2">
        <f>AZ100+SUM(CA101:CA118)</f>
        <v>29</v>
      </c>
      <c r="BB118" s="2">
        <f>BB100+SUM(CC101:CC118)</f>
        <v>8</v>
      </c>
      <c r="BC118" s="2">
        <f>BC100+SUM(CD101:CD118)</f>
        <v>0</v>
      </c>
      <c r="BD118" s="2">
        <f>IF(AND($C$130&lt;&gt;"",资金流水!$J$122=$C$130,ISNUMBER(资金流水!$B$122),ISNUMBER(资金流水!$S$122),资金流水!$S$122&gt;=_辅助!$J$4,资金流水!$S$122&lt;=_辅助!$J$2,OR(资金流水!$X$122="应付材料款",资金流水!$X$122="应付分包款",资金流水!$X$122="应付机械运输费",资金流水!$X$122="应付其他款")),INT(资金流水!$B$122)*10000+117,"")</f>
      </c>
      <c r="BE118" s="2">
        <f>BE100+SUM(CE101:CE118)</f>
        <v>0</v>
      </c>
      <c r="CA118" s="2">
        <f>IF(AND(OR(_余额!$B$120="材料供应商",_余额!$B$120="分包",_余额!$B$120="机械运输",_余额!$B$120="其他"),OR($C$3="全部",_余额!$B$120=$C$3),OR(_余额!$G$120&lt;&gt;0,_余额!$H$120&lt;&gt;0)),1,0)</f>
        <v>0</v>
      </c>
      <c r="CC118" s="2">
        <f>IF(AND($C$130&lt;&gt;"",期初余额!$P$122=$C$130),1,0)</f>
        <v>0</v>
      </c>
      <c r="CD118" s="2">
        <f>IF(($C$130&lt;&gt;"")*(应付登记!$D$122=$C$130)*ISNUMBER(应付登记!$J$122)*(应付登记!$J$122&gt;=_辅助!$J$4)*(应付登记!$J$122&lt;=_辅助!$J$2),1,0)</f>
        <v>0</v>
      </c>
      <c r="CE118" s="2">
        <f>IF(($C$130&lt;&gt;"")*(代发抵账!$E$122=$C$130)*(代发抵账!$D$122="总包代付材料分包款")*ISNUMBER(代发抵账!$H$122)*(代发抵账!$H$122&lt;=_辅助!$J$2),1,0)</f>
        <v>0</v>
      </c>
    </row>
    <row r="119">
      <c r="A119" s="94">
        <f>IF($AY119=0,"",113)</f>
      </c>
      <c r="B119" s="96">
        <f t="shared" si="24"/>
      </c>
      <c r="C119" s="94">
        <f t="shared" si="26"/>
      </c>
      <c r="D119" s="21">
        <f t="shared" si="0"/>
      </c>
      <c r="E119" s="21">
        <f t="shared" si="3"/>
      </c>
      <c r="F119" s="21">
        <f t="shared" si="5"/>
      </c>
      <c r="G119" s="22">
        <f t="shared" si="2"/>
      </c>
      <c r="H119" s="21">
        <f t="shared" si="6"/>
      </c>
      <c r="I119" s="21">
        <f t="shared" si="8"/>
      </c>
      <c r="J119" s="95">
        <f t="shared" si="28"/>
      </c>
      <c r="K119" s="21">
        <f t="shared" si="10"/>
      </c>
      <c r="L119" s="21">
        <f t="shared" si="12"/>
      </c>
      <c r="M119" s="21">
        <f t="shared" si="13"/>
      </c>
      <c r="N119" s="21">
        <f t="shared" si="14"/>
      </c>
      <c r="O119" s="21">
        <f t="shared" si="15"/>
      </c>
      <c r="P119" s="21">
        <f t="shared" si="16"/>
      </c>
      <c r="Q119" s="21">
        <f t="shared" si="17"/>
      </c>
      <c r="R119" s="21">
        <f t="shared" si="18"/>
      </c>
      <c r="S119" s="21">
        <f t="shared" si="19"/>
      </c>
      <c r="T119" s="21">
        <f t="shared" si="20"/>
      </c>
      <c r="U119" s="21">
        <f t="shared" si="21"/>
      </c>
      <c r="V119" s="21">
        <f t="shared" si="22"/>
      </c>
      <c r="W119" s="21">
        <f t="shared" si="23"/>
      </c>
      <c r="AX119" s="2">
        <f t="shared" si="30"/>
        <v>0</v>
      </c>
      <c r="AY119" s="2">
        <f>IF(113&gt;$AZ$300,0,IFERROR(MATCH(113,$AZ$1:$AZ$300,0),0))</f>
        <v>0</v>
      </c>
      <c r="AZ119" s="2">
        <f>AZ100+SUM(CA101:CA119)</f>
        <v>29</v>
      </c>
      <c r="BB119" s="2">
        <f>BB100+SUM(CC101:CC119)</f>
        <v>8</v>
      </c>
      <c r="BC119" s="2">
        <f>BC100+SUM(CD101:CD119)</f>
        <v>0</v>
      </c>
      <c r="BD119" s="2">
        <f>IF(AND($C$130&lt;&gt;"",资金流水!$J$123=$C$130,ISNUMBER(资金流水!$B$123),ISNUMBER(资金流水!$S$123),资金流水!$S$123&gt;=_辅助!$J$4,资金流水!$S$123&lt;=_辅助!$J$2,OR(资金流水!$X$123="应付材料款",资金流水!$X$123="应付分包款",资金流水!$X$123="应付机械运输费",资金流水!$X$123="应付其他款")),INT(资金流水!$B$123)*10000+118,"")</f>
      </c>
      <c r="BE119" s="2">
        <f>BE100+SUM(CE101:CE119)</f>
        <v>0</v>
      </c>
      <c r="CA119" s="2">
        <f>IF(AND(OR(_余额!$B$121="材料供应商",_余额!$B$121="分包",_余额!$B$121="机械运输",_余额!$B$121="其他"),OR($C$3="全部",_余额!$B$121=$C$3),OR(_余额!$G$121&lt;&gt;0,_余额!$H$121&lt;&gt;0)),1,0)</f>
        <v>0</v>
      </c>
      <c r="CC119" s="2">
        <f>IF(AND($C$130&lt;&gt;"",期初余额!$P$123=$C$130),1,0)</f>
        <v>0</v>
      </c>
      <c r="CD119" s="2">
        <f>IF(($C$130&lt;&gt;"")*(应付登记!$D$123=$C$130)*ISNUMBER(应付登记!$J$123)*(应付登记!$J$123&gt;=_辅助!$J$4)*(应付登记!$J$123&lt;=_辅助!$J$2),1,0)</f>
        <v>0</v>
      </c>
      <c r="CE119" s="2">
        <f>IF(($C$130&lt;&gt;"")*(代发抵账!$E$123=$C$130)*(代发抵账!$D$123="总包代付材料分包款")*ISNUMBER(代发抵账!$H$123)*(代发抵账!$H$123&lt;=_辅助!$J$2),1,0)</f>
        <v>0</v>
      </c>
    </row>
    <row r="120">
      <c r="A120" s="94">
        <f>IF($AY120=0,"",114)</f>
      </c>
      <c r="B120" s="96">
        <f t="shared" si="24"/>
      </c>
      <c r="C120" s="94">
        <f t="shared" si="26"/>
      </c>
      <c r="D120" s="21">
        <f t="shared" si="0"/>
      </c>
      <c r="E120" s="21">
        <f t="shared" si="3"/>
      </c>
      <c r="F120" s="21">
        <f t="shared" si="5"/>
      </c>
      <c r="G120" s="22">
        <f t="shared" si="2"/>
      </c>
      <c r="H120" s="21">
        <f t="shared" si="6"/>
      </c>
      <c r="I120" s="21">
        <f t="shared" si="8"/>
      </c>
      <c r="J120" s="95">
        <f t="shared" si="28"/>
      </c>
      <c r="K120" s="21">
        <f t="shared" si="10"/>
      </c>
      <c r="L120" s="21">
        <f t="shared" si="12"/>
      </c>
      <c r="M120" s="21">
        <f t="shared" si="13"/>
      </c>
      <c r="N120" s="21">
        <f t="shared" si="14"/>
      </c>
      <c r="O120" s="21">
        <f t="shared" si="15"/>
      </c>
      <c r="P120" s="21">
        <f t="shared" si="16"/>
      </c>
      <c r="Q120" s="21">
        <f t="shared" si="17"/>
      </c>
      <c r="R120" s="21">
        <f t="shared" si="18"/>
      </c>
      <c r="S120" s="21">
        <f t="shared" si="19"/>
      </c>
      <c r="T120" s="21">
        <f t="shared" si="20"/>
      </c>
      <c r="U120" s="21">
        <f t="shared" si="21"/>
      </c>
      <c r="V120" s="21">
        <f t="shared" si="22"/>
      </c>
      <c r="W120" s="21">
        <f t="shared" si="23"/>
      </c>
      <c r="AX120" s="2">
        <f t="shared" si="30"/>
        <v>0</v>
      </c>
      <c r="AY120" s="2">
        <f>IF(114&gt;$AZ$300,0,IFERROR(MATCH(114,$AZ$1:$AZ$300,0),0))</f>
        <v>0</v>
      </c>
      <c r="AZ120" s="2">
        <f>AZ100+SUM(CA101:CA120)</f>
        <v>29</v>
      </c>
      <c r="BB120" s="2">
        <f>BB100+SUM(CC101:CC120)</f>
        <v>8</v>
      </c>
      <c r="BC120" s="2">
        <f>BC100+SUM(CD101:CD120)</f>
        <v>0</v>
      </c>
      <c r="BD120" s="2">
        <f>IF(AND($C$130&lt;&gt;"",资金流水!$J$124=$C$130,ISNUMBER(资金流水!$B$124),ISNUMBER(资金流水!$S$124),资金流水!$S$124&gt;=_辅助!$J$4,资金流水!$S$124&lt;=_辅助!$J$2,OR(资金流水!$X$124="应付材料款",资金流水!$X$124="应付分包款",资金流水!$X$124="应付机械运输费",资金流水!$X$124="应付其他款")),INT(资金流水!$B$124)*10000+119,"")</f>
      </c>
      <c r="BE120" s="2">
        <f>BE100+SUM(CE101:CE120)</f>
        <v>0</v>
      </c>
      <c r="CA120" s="2">
        <f>IF(AND(OR(_余额!$B$122="材料供应商",_余额!$B$122="分包",_余额!$B$122="机械运输",_余额!$B$122="其他"),OR($C$3="全部",_余额!$B$122=$C$3),OR(_余额!$G$122&lt;&gt;0,_余额!$H$122&lt;&gt;0)),1,0)</f>
        <v>0</v>
      </c>
      <c r="CC120" s="2">
        <f>IF(AND($C$130&lt;&gt;"",期初余额!$P$124=$C$130),1,0)</f>
        <v>0</v>
      </c>
      <c r="CD120" s="2">
        <f>IF(($C$130&lt;&gt;"")*(应付登记!$D$124=$C$130)*ISNUMBER(应付登记!$J$124)*(应付登记!$J$124&gt;=_辅助!$J$4)*(应付登记!$J$124&lt;=_辅助!$J$2),1,0)</f>
        <v>0</v>
      </c>
      <c r="CE120" s="2">
        <f>IF(($C$130&lt;&gt;"")*(代发抵账!$E$124=$C$130)*(代发抵账!$D$124="总包代付材料分包款")*ISNUMBER(代发抵账!$H$124)*(代发抵账!$H$124&lt;=_辅助!$J$2),1,0)</f>
        <v>0</v>
      </c>
    </row>
    <row r="121">
      <c r="A121" s="94">
        <f>IF($AY121=0,"",115)</f>
      </c>
      <c r="B121" s="96">
        <f t="shared" si="24"/>
      </c>
      <c r="C121" s="94">
        <f t="shared" si="26"/>
      </c>
      <c r="D121" s="21">
        <f t="shared" si="0"/>
      </c>
      <c r="E121" s="21">
        <f t="shared" si="3"/>
      </c>
      <c r="F121" s="21">
        <f t="shared" si="5"/>
      </c>
      <c r="G121" s="22">
        <f t="shared" si="2"/>
      </c>
      <c r="H121" s="21">
        <f t="shared" si="6"/>
      </c>
      <c r="I121" s="21">
        <f t="shared" si="8"/>
      </c>
      <c r="J121" s="95">
        <f t="shared" si="28"/>
      </c>
      <c r="K121" s="21">
        <f t="shared" si="10"/>
      </c>
      <c r="L121" s="21">
        <f t="shared" si="12"/>
      </c>
      <c r="M121" s="21">
        <f t="shared" si="13"/>
      </c>
      <c r="N121" s="21">
        <f t="shared" si="14"/>
      </c>
      <c r="O121" s="21">
        <f t="shared" si="15"/>
      </c>
      <c r="P121" s="21">
        <f t="shared" si="16"/>
      </c>
      <c r="Q121" s="21">
        <f t="shared" si="17"/>
      </c>
      <c r="R121" s="21">
        <f t="shared" si="18"/>
      </c>
      <c r="S121" s="21">
        <f t="shared" si="19"/>
      </c>
      <c r="T121" s="21">
        <f t="shared" si="20"/>
      </c>
      <c r="U121" s="21">
        <f t="shared" si="21"/>
      </c>
      <c r="V121" s="21">
        <f t="shared" si="22"/>
      </c>
      <c r="W121" s="21">
        <f t="shared" si="23"/>
      </c>
      <c r="AX121" s="2">
        <f t="shared" si="30"/>
        <v>0</v>
      </c>
      <c r="AY121" s="2">
        <f>IF(115&gt;$AZ$300,0,IFERROR(MATCH(115,$AZ$1:$AZ$300,0),0))</f>
        <v>0</v>
      </c>
      <c r="AZ121" s="2">
        <f>AZ100+SUM(CA101:CA121)</f>
        <v>29</v>
      </c>
      <c r="BB121" s="2">
        <f>BB100+SUM(CC101:CC121)</f>
        <v>8</v>
      </c>
      <c r="BC121" s="2">
        <f>BC100+SUM(CD101:CD121)</f>
        <v>0</v>
      </c>
      <c r="BD121" s="2">
        <f>IF(AND($C$130&lt;&gt;"",资金流水!$J$125=$C$130,ISNUMBER(资金流水!$B$125),ISNUMBER(资金流水!$S$125),资金流水!$S$125&gt;=_辅助!$J$4,资金流水!$S$125&lt;=_辅助!$J$2,OR(资金流水!$X$125="应付材料款",资金流水!$X$125="应付分包款",资金流水!$X$125="应付机械运输费",资金流水!$X$125="应付其他款")),INT(资金流水!$B$125)*10000+120,"")</f>
      </c>
      <c r="BE121" s="2">
        <f>BE100+SUM(CE101:CE121)</f>
        <v>0</v>
      </c>
      <c r="CA121" s="2">
        <f>IF(AND(OR(_余额!$B$123="材料供应商",_余额!$B$123="分包",_余额!$B$123="机械运输",_余额!$B$123="其他"),OR($C$3="全部",_余额!$B$123=$C$3),OR(_余额!$G$123&lt;&gt;0,_余额!$H$123&lt;&gt;0)),1,0)</f>
        <v>0</v>
      </c>
      <c r="CC121" s="2">
        <f>IF(AND($C$130&lt;&gt;"",期初余额!$P$125=$C$130),1,0)</f>
        <v>0</v>
      </c>
      <c r="CD121" s="2">
        <f>IF(($C$130&lt;&gt;"")*(应付登记!$D$125=$C$130)*ISNUMBER(应付登记!$J$125)*(应付登记!$J$125&gt;=_辅助!$J$4)*(应付登记!$J$125&lt;=_辅助!$J$2),1,0)</f>
        <v>0</v>
      </c>
      <c r="CE121" s="2">
        <f>IF(($C$130&lt;&gt;"")*(代发抵账!$E$125=$C$130)*(代发抵账!$D$125="总包代付材料分包款")*ISNUMBER(代发抵账!$H$125)*(代发抵账!$H$125&lt;=_辅助!$J$2),1,0)</f>
        <v>0</v>
      </c>
    </row>
    <row r="122">
      <c r="A122" s="94">
        <f>IF($AY122=0,"",116)</f>
      </c>
      <c r="B122" s="96">
        <f t="shared" si="24"/>
      </c>
      <c r="C122" s="94">
        <f t="shared" si="26"/>
      </c>
      <c r="D122" s="21">
        <f t="shared" si="0"/>
      </c>
      <c r="E122" s="21">
        <f t="shared" si="3"/>
      </c>
      <c r="F122" s="21">
        <f t="shared" si="5"/>
      </c>
      <c r="G122" s="22">
        <f t="shared" si="2"/>
      </c>
      <c r="H122" s="21">
        <f t="shared" si="6"/>
      </c>
      <c r="I122" s="21">
        <f t="shared" si="8"/>
      </c>
      <c r="J122" s="95">
        <f t="shared" si="28"/>
      </c>
      <c r="K122" s="21">
        <f t="shared" si="10"/>
      </c>
      <c r="L122" s="21">
        <f t="shared" si="12"/>
      </c>
      <c r="M122" s="21">
        <f t="shared" si="13"/>
      </c>
      <c r="N122" s="21">
        <f t="shared" si="14"/>
      </c>
      <c r="O122" s="21">
        <f t="shared" si="15"/>
      </c>
      <c r="P122" s="21">
        <f t="shared" si="16"/>
      </c>
      <c r="Q122" s="21">
        <f t="shared" si="17"/>
      </c>
      <c r="R122" s="21">
        <f t="shared" si="18"/>
      </c>
      <c r="S122" s="21">
        <f t="shared" si="19"/>
      </c>
      <c r="T122" s="21">
        <f t="shared" si="20"/>
      </c>
      <c r="U122" s="21">
        <f t="shared" si="21"/>
      </c>
      <c r="V122" s="21">
        <f t="shared" si="22"/>
      </c>
      <c r="W122" s="21">
        <f t="shared" si="23"/>
      </c>
      <c r="AX122" s="2">
        <f t="shared" si="30"/>
        <v>0</v>
      </c>
      <c r="AY122" s="2">
        <f>IF(116&gt;$AZ$300,0,IFERROR(MATCH(116,$AZ$1:$AZ$300,0),0))</f>
        <v>0</v>
      </c>
      <c r="AZ122" s="2">
        <f>AZ100+SUM(CA101:CA122)</f>
        <v>29</v>
      </c>
      <c r="BB122" s="2">
        <f>BB100+SUM(CC101:CC122)</f>
        <v>8</v>
      </c>
      <c r="BC122" s="2">
        <f>BC100+SUM(CD101:CD122)</f>
        <v>0</v>
      </c>
      <c r="BD122" s="2">
        <f>IF(AND($C$130&lt;&gt;"",资金流水!$J$126=$C$130,ISNUMBER(资金流水!$B$126),ISNUMBER(资金流水!$S$126),资金流水!$S$126&gt;=_辅助!$J$4,资金流水!$S$126&lt;=_辅助!$J$2,OR(资金流水!$X$126="应付材料款",资金流水!$X$126="应付分包款",资金流水!$X$126="应付机械运输费",资金流水!$X$126="应付其他款")),INT(资金流水!$B$126)*10000+121,"")</f>
      </c>
      <c r="BE122" s="2">
        <f>BE100+SUM(CE101:CE122)</f>
        <v>0</v>
      </c>
      <c r="CA122" s="2">
        <f>IF(AND(OR(_余额!$B$124="材料供应商",_余额!$B$124="分包",_余额!$B$124="机械运输",_余额!$B$124="其他"),OR($C$3="全部",_余额!$B$124=$C$3),OR(_余额!$G$124&lt;&gt;0,_余额!$H$124&lt;&gt;0)),1,0)</f>
        <v>0</v>
      </c>
      <c r="CC122" s="2">
        <f>IF(AND($C$130&lt;&gt;"",期初余额!$P$126=$C$130),1,0)</f>
        <v>0</v>
      </c>
      <c r="CD122" s="2">
        <f>IF(($C$130&lt;&gt;"")*(应付登记!$D$126=$C$130)*ISNUMBER(应付登记!$J$126)*(应付登记!$J$126&gt;=_辅助!$J$4)*(应付登记!$J$126&lt;=_辅助!$J$2),1,0)</f>
        <v>0</v>
      </c>
      <c r="CE122" s="2">
        <f>IF(($C$130&lt;&gt;"")*(代发抵账!$E$126=$C$130)*(代发抵账!$D$126="总包代付材料分包款")*ISNUMBER(代发抵账!$H$126)*(代发抵账!$H$126&lt;=_辅助!$J$2),1,0)</f>
        <v>0</v>
      </c>
    </row>
    <row r="123">
      <c r="A123" s="94">
        <f>IF($AY123=0,"",117)</f>
      </c>
      <c r="B123" s="96">
        <f t="shared" si="24"/>
      </c>
      <c r="C123" s="94">
        <f t="shared" si="26"/>
      </c>
      <c r="D123" s="21">
        <f t="shared" si="0"/>
      </c>
      <c r="E123" s="21">
        <f t="shared" si="3"/>
      </c>
      <c r="F123" s="21">
        <f t="shared" si="5"/>
      </c>
      <c r="G123" s="22">
        <f t="shared" si="2"/>
      </c>
      <c r="H123" s="21">
        <f t="shared" si="6"/>
      </c>
      <c r="I123" s="21">
        <f t="shared" si="8"/>
      </c>
      <c r="J123" s="95">
        <f t="shared" si="28"/>
      </c>
      <c r="K123" s="21">
        <f t="shared" si="10"/>
      </c>
      <c r="L123" s="21">
        <f t="shared" si="12"/>
      </c>
      <c r="M123" s="21">
        <f t="shared" si="13"/>
      </c>
      <c r="N123" s="21">
        <f t="shared" si="14"/>
      </c>
      <c r="O123" s="21">
        <f t="shared" si="15"/>
      </c>
      <c r="P123" s="21">
        <f t="shared" si="16"/>
      </c>
      <c r="Q123" s="21">
        <f t="shared" si="17"/>
      </c>
      <c r="R123" s="21">
        <f t="shared" si="18"/>
      </c>
      <c r="S123" s="21">
        <f t="shared" si="19"/>
      </c>
      <c r="T123" s="21">
        <f t="shared" si="20"/>
      </c>
      <c r="U123" s="21">
        <f t="shared" si="21"/>
      </c>
      <c r="V123" s="21">
        <f t="shared" si="22"/>
      </c>
      <c r="W123" s="21">
        <f t="shared" si="23"/>
      </c>
      <c r="AX123" s="2">
        <f t="shared" si="30"/>
        <v>0</v>
      </c>
      <c r="AY123" s="2">
        <f>IF(117&gt;$AZ$300,0,IFERROR(MATCH(117,$AZ$1:$AZ$300,0),0))</f>
        <v>0</v>
      </c>
      <c r="AZ123" s="2">
        <f>AZ100+SUM(CA101:CA123)</f>
        <v>29</v>
      </c>
      <c r="BB123" s="2">
        <f>BB100+SUM(CC101:CC123)</f>
        <v>8</v>
      </c>
      <c r="BC123" s="2">
        <f>BC100+SUM(CD101:CD123)</f>
        <v>0</v>
      </c>
      <c r="BD123" s="2">
        <f>IF(AND($C$130&lt;&gt;"",资金流水!$J$127=$C$130,ISNUMBER(资金流水!$B$127),ISNUMBER(资金流水!$S$127),资金流水!$S$127&gt;=_辅助!$J$4,资金流水!$S$127&lt;=_辅助!$J$2,OR(资金流水!$X$127="应付材料款",资金流水!$X$127="应付分包款",资金流水!$X$127="应付机械运输费",资金流水!$X$127="应付其他款")),INT(资金流水!$B$127)*10000+122,"")</f>
      </c>
      <c r="BE123" s="2">
        <f>BE100+SUM(CE101:CE123)</f>
        <v>0</v>
      </c>
      <c r="CA123" s="2">
        <f>IF(AND(OR(_余额!$B$125="材料供应商",_余额!$B$125="分包",_余额!$B$125="机械运输",_余额!$B$125="其他"),OR($C$3="全部",_余额!$B$125=$C$3),OR(_余额!$G$125&lt;&gt;0,_余额!$H$125&lt;&gt;0)),1,0)</f>
        <v>0</v>
      </c>
      <c r="CC123" s="2">
        <f>IF(AND($C$130&lt;&gt;"",期初余额!$P$127=$C$130),1,0)</f>
        <v>0</v>
      </c>
      <c r="CD123" s="2">
        <f>IF(($C$130&lt;&gt;"")*(应付登记!$D$127=$C$130)*ISNUMBER(应付登记!$J$127)*(应付登记!$J$127&gt;=_辅助!$J$4)*(应付登记!$J$127&lt;=_辅助!$J$2),1,0)</f>
        <v>0</v>
      </c>
      <c r="CE123" s="2">
        <f>IF(($C$130&lt;&gt;"")*(代发抵账!$E$127=$C$130)*(代发抵账!$D$127="总包代付材料分包款")*ISNUMBER(代发抵账!$H$127)*(代发抵账!$H$127&lt;=_辅助!$J$2),1,0)</f>
        <v>0</v>
      </c>
    </row>
    <row r="124">
      <c r="A124" s="94">
        <f>IF($AY124=0,"",118)</f>
      </c>
      <c r="B124" s="96">
        <f t="shared" si="24"/>
      </c>
      <c r="C124" s="94">
        <f t="shared" si="26"/>
      </c>
      <c r="D124" s="21">
        <f t="shared" si="0"/>
      </c>
      <c r="E124" s="21">
        <f t="shared" si="3"/>
      </c>
      <c r="F124" s="21">
        <f t="shared" si="5"/>
      </c>
      <c r="G124" s="22">
        <f t="shared" si="2"/>
      </c>
      <c r="H124" s="21">
        <f t="shared" si="6"/>
      </c>
      <c r="I124" s="21">
        <f t="shared" si="8"/>
      </c>
      <c r="J124" s="95">
        <f t="shared" si="28"/>
      </c>
      <c r="K124" s="21">
        <f t="shared" si="10"/>
      </c>
      <c r="L124" s="21">
        <f t="shared" si="12"/>
      </c>
      <c r="M124" s="21">
        <f t="shared" si="13"/>
      </c>
      <c r="N124" s="21">
        <f t="shared" si="14"/>
      </c>
      <c r="O124" s="21">
        <f t="shared" si="15"/>
      </c>
      <c r="P124" s="21">
        <f t="shared" si="16"/>
      </c>
      <c r="Q124" s="21">
        <f t="shared" si="17"/>
      </c>
      <c r="R124" s="21">
        <f t="shared" si="18"/>
      </c>
      <c r="S124" s="21">
        <f t="shared" si="19"/>
      </c>
      <c r="T124" s="21">
        <f t="shared" si="20"/>
      </c>
      <c r="U124" s="21">
        <f t="shared" si="21"/>
      </c>
      <c r="V124" s="21">
        <f t="shared" si="22"/>
      </c>
      <c r="W124" s="21">
        <f t="shared" si="23"/>
      </c>
      <c r="AX124" s="2">
        <f t="shared" si="30"/>
        <v>0</v>
      </c>
      <c r="AY124" s="2">
        <f>IF(118&gt;$AZ$300,0,IFERROR(MATCH(118,$AZ$1:$AZ$300,0),0))</f>
        <v>0</v>
      </c>
      <c r="AZ124" s="2">
        <f>AZ100+SUM(CA101:CA124)</f>
        <v>29</v>
      </c>
      <c r="BB124" s="2">
        <f>BB100+SUM(CC101:CC124)</f>
        <v>8</v>
      </c>
      <c r="BC124" s="2">
        <f>BC100+SUM(CD101:CD124)</f>
        <v>0</v>
      </c>
      <c r="BD124" s="2">
        <f>IF(AND($C$130&lt;&gt;"",资金流水!$J$128=$C$130,ISNUMBER(资金流水!$B$128),ISNUMBER(资金流水!$S$128),资金流水!$S$128&gt;=_辅助!$J$4,资金流水!$S$128&lt;=_辅助!$J$2,OR(资金流水!$X$128="应付材料款",资金流水!$X$128="应付分包款",资金流水!$X$128="应付机械运输费",资金流水!$X$128="应付其他款")),INT(资金流水!$B$128)*10000+123,"")</f>
      </c>
      <c r="BE124" s="2">
        <f>BE100+SUM(CE101:CE124)</f>
        <v>0</v>
      </c>
      <c r="CA124" s="2">
        <f>IF(AND(OR(_余额!$B$126="材料供应商",_余额!$B$126="分包",_余额!$B$126="机械运输",_余额!$B$126="其他"),OR($C$3="全部",_余额!$B$126=$C$3),OR(_余额!$G$126&lt;&gt;0,_余额!$H$126&lt;&gt;0)),1,0)</f>
        <v>0</v>
      </c>
      <c r="CC124" s="2">
        <f>IF(AND($C$130&lt;&gt;"",期初余额!$P$128=$C$130),1,0)</f>
        <v>0</v>
      </c>
      <c r="CD124" s="2">
        <f>IF(($C$130&lt;&gt;"")*(应付登记!$D$128=$C$130)*ISNUMBER(应付登记!$J$128)*(应付登记!$J$128&gt;=_辅助!$J$4)*(应付登记!$J$128&lt;=_辅助!$J$2),1,0)</f>
        <v>0</v>
      </c>
      <c r="CE124" s="2">
        <f>IF(($C$130&lt;&gt;"")*(代发抵账!$E$128=$C$130)*(代发抵账!$D$128="总包代付材料分包款")*ISNUMBER(代发抵账!$H$128)*(代发抵账!$H$128&lt;=_辅助!$J$2),1,0)</f>
        <v>0</v>
      </c>
    </row>
    <row r="125">
      <c r="A125" s="94">
        <f>IF($AY125=0,"",119)</f>
      </c>
      <c r="B125" s="96">
        <f t="shared" si="24"/>
      </c>
      <c r="C125" s="94">
        <f t="shared" si="26"/>
      </c>
      <c r="D125" s="21">
        <f t="shared" si="0"/>
      </c>
      <c r="E125" s="21">
        <f t="shared" si="3"/>
      </c>
      <c r="F125" s="21">
        <f t="shared" si="5"/>
      </c>
      <c r="G125" s="22">
        <f t="shared" si="2"/>
      </c>
      <c r="H125" s="21">
        <f t="shared" si="6"/>
      </c>
      <c r="I125" s="21">
        <f t="shared" si="8"/>
      </c>
      <c r="J125" s="95">
        <f t="shared" si="28"/>
      </c>
      <c r="K125" s="21">
        <f t="shared" si="10"/>
      </c>
      <c r="L125" s="21">
        <f t="shared" si="12"/>
      </c>
      <c r="M125" s="21">
        <f t="shared" si="13"/>
      </c>
      <c r="N125" s="21">
        <f t="shared" si="14"/>
      </c>
      <c r="O125" s="21">
        <f t="shared" si="15"/>
      </c>
      <c r="P125" s="21">
        <f t="shared" si="16"/>
      </c>
      <c r="Q125" s="21">
        <f t="shared" si="17"/>
      </c>
      <c r="R125" s="21">
        <f t="shared" si="18"/>
      </c>
      <c r="S125" s="21">
        <f t="shared" si="19"/>
      </c>
      <c r="T125" s="21">
        <f t="shared" si="20"/>
      </c>
      <c r="U125" s="21">
        <f t="shared" si="21"/>
      </c>
      <c r="V125" s="21">
        <f t="shared" si="22"/>
      </c>
      <c r="W125" s="21">
        <f t="shared" si="23"/>
      </c>
      <c r="AX125" s="2">
        <f t="shared" si="30"/>
        <v>0</v>
      </c>
      <c r="AY125" s="2">
        <f>IF(119&gt;$AZ$300,0,IFERROR(MATCH(119,$AZ$1:$AZ$300,0),0))</f>
        <v>0</v>
      </c>
      <c r="AZ125" s="2">
        <f>AZ100+SUM(CA101:CA125)</f>
        <v>29</v>
      </c>
      <c r="BB125" s="2">
        <f>BB100+SUM(CC101:CC125)</f>
        <v>8</v>
      </c>
      <c r="BC125" s="2">
        <f>BC100+SUM(CD101:CD125)</f>
        <v>0</v>
      </c>
      <c r="BD125" s="2">
        <f>IF(AND($C$130&lt;&gt;"",资金流水!$J$129=$C$130,ISNUMBER(资金流水!$B$129),ISNUMBER(资金流水!$S$129),资金流水!$S$129&gt;=_辅助!$J$4,资金流水!$S$129&lt;=_辅助!$J$2,OR(资金流水!$X$129="应付材料款",资金流水!$X$129="应付分包款",资金流水!$X$129="应付机械运输费",资金流水!$X$129="应付其他款")),INT(资金流水!$B$129)*10000+124,"")</f>
      </c>
      <c r="BE125" s="2">
        <f>BE100+SUM(CE101:CE125)</f>
        <v>0</v>
      </c>
      <c r="CA125" s="2">
        <f>IF(AND(OR(_余额!$B$127="材料供应商",_余额!$B$127="分包",_余额!$B$127="机械运输",_余额!$B$127="其他"),OR($C$3="全部",_余额!$B$127=$C$3),OR(_余额!$G$127&lt;&gt;0,_余额!$H$127&lt;&gt;0)),1,0)</f>
        <v>0</v>
      </c>
      <c r="CC125" s="2">
        <f>IF(AND($C$130&lt;&gt;"",期初余额!$P$129=$C$130),1,0)</f>
        <v>0</v>
      </c>
      <c r="CD125" s="2">
        <f>IF(($C$130&lt;&gt;"")*(应付登记!$D$129=$C$130)*ISNUMBER(应付登记!$J$129)*(应付登记!$J$129&gt;=_辅助!$J$4)*(应付登记!$J$129&lt;=_辅助!$J$2),1,0)</f>
        <v>0</v>
      </c>
      <c r="CE125" s="2">
        <f>IF(($C$130&lt;&gt;"")*(代发抵账!$E$129=$C$130)*(代发抵账!$D$129="总包代付材料分包款")*ISNUMBER(代发抵账!$H$129)*(代发抵账!$H$129&lt;=_辅助!$J$2),1,0)</f>
        <v>0</v>
      </c>
    </row>
    <row r="126">
      <c r="A126" s="94">
        <f>IF($AY126=0,"",120)</f>
      </c>
      <c r="B126" s="96">
        <f t="shared" si="24"/>
      </c>
      <c r="C126" s="94">
        <f t="shared" si="26"/>
      </c>
      <c r="D126" s="21">
        <f t="shared" si="0"/>
      </c>
      <c r="E126" s="21">
        <f t="shared" si="3"/>
      </c>
      <c r="F126" s="21">
        <f t="shared" si="5"/>
      </c>
      <c r="G126" s="22">
        <f t="shared" si="2"/>
      </c>
      <c r="H126" s="21">
        <f t="shared" si="6"/>
      </c>
      <c r="I126" s="21">
        <f t="shared" si="8"/>
      </c>
      <c r="J126" s="95">
        <f t="shared" si="28"/>
      </c>
      <c r="K126" s="21">
        <f t="shared" si="10"/>
      </c>
      <c r="L126" s="21">
        <f t="shared" si="12"/>
      </c>
      <c r="M126" s="21">
        <f t="shared" si="13"/>
      </c>
      <c r="N126" s="21">
        <f t="shared" si="14"/>
      </c>
      <c r="O126" s="21">
        <f t="shared" si="15"/>
      </c>
      <c r="P126" s="21">
        <f t="shared" si="16"/>
      </c>
      <c r="Q126" s="21">
        <f t="shared" si="17"/>
      </c>
      <c r="R126" s="21">
        <f t="shared" si="18"/>
      </c>
      <c r="S126" s="21">
        <f t="shared" si="19"/>
      </c>
      <c r="T126" s="21">
        <f t="shared" si="20"/>
      </c>
      <c r="U126" s="21">
        <f t="shared" si="21"/>
      </c>
      <c r="V126" s="21">
        <f t="shared" si="22"/>
      </c>
      <c r="W126" s="21">
        <f t="shared" si="23"/>
      </c>
      <c r="AX126" s="2">
        <f t="shared" si="30"/>
        <v>0</v>
      </c>
      <c r="AY126" s="2">
        <f>IF(120&gt;$AZ$300,0,IFERROR(MATCH(120,$AZ$1:$AZ$300,0),0))</f>
        <v>0</v>
      </c>
      <c r="AZ126" s="2">
        <f>AZ100+SUM(CA101:CA126)</f>
        <v>29</v>
      </c>
      <c r="BB126" s="2">
        <f>BB100+SUM(CC101:CC126)</f>
        <v>8</v>
      </c>
      <c r="BC126" s="2">
        <f>BC100+SUM(CD101:CD126)</f>
        <v>0</v>
      </c>
      <c r="BD126" s="2">
        <f>IF(AND($C$130&lt;&gt;"",资金流水!$J$130=$C$130,ISNUMBER(资金流水!$B$130),ISNUMBER(资金流水!$S$130),资金流水!$S$130&gt;=_辅助!$J$4,资金流水!$S$130&lt;=_辅助!$J$2,OR(资金流水!$X$130="应付材料款",资金流水!$X$130="应付分包款",资金流水!$X$130="应付机械运输费",资金流水!$X$130="应付其他款")),INT(资金流水!$B$130)*10000+125,"")</f>
      </c>
      <c r="BE126" s="2">
        <f>BE100+SUM(CE101:CE126)</f>
        <v>0</v>
      </c>
      <c r="CA126" s="2">
        <f>IF(AND(OR(_余额!$B$128="材料供应商",_余额!$B$128="分包",_余额!$B$128="机械运输",_余额!$B$128="其他"),OR($C$3="全部",_余额!$B$128=$C$3),OR(_余额!$G$128&lt;&gt;0,_余额!$H$128&lt;&gt;0)),1,0)</f>
        <v>0</v>
      </c>
      <c r="CC126" s="2">
        <f>IF(AND($C$130&lt;&gt;"",期初余额!$P$130=$C$130),1,0)</f>
        <v>0</v>
      </c>
      <c r="CD126" s="2">
        <f>IF(($C$130&lt;&gt;"")*(应付登记!$D$130=$C$130)*ISNUMBER(应付登记!$J$130)*(应付登记!$J$130&gt;=_辅助!$J$4)*(应付登记!$J$130&lt;=_辅助!$J$2),1,0)</f>
        <v>0</v>
      </c>
      <c r="CE126" s="2">
        <f>IF(($C$130&lt;&gt;"")*(代发抵账!$E$130=$C$130)*(代发抵账!$D$130="总包代付材料分包款")*ISNUMBER(代发抵账!$H$130)*(代发抵账!$H$130&lt;=_辅助!$J$2),1,0)</f>
        <v>0</v>
      </c>
    </row>
    <row r="127">
      <c r="AZ127" s="2">
        <f>AZ100+SUM(CA101:CA127)</f>
        <v>29</v>
      </c>
      <c r="BB127" s="2">
        <f>BB100+SUM(CC101:CC127)</f>
        <v>8</v>
      </c>
      <c r="BC127" s="2">
        <f>BC100+SUM(CD101:CD127)</f>
        <v>0</v>
      </c>
      <c r="BD127" s="2">
        <f>IF(AND($C$130&lt;&gt;"",资金流水!$J$131=$C$130,ISNUMBER(资金流水!$B$131),ISNUMBER(资金流水!$S$131),资金流水!$S$131&gt;=_辅助!$J$4,资金流水!$S$131&lt;=_辅助!$J$2,OR(资金流水!$X$131="应付材料款",资金流水!$X$131="应付分包款",资金流水!$X$131="应付机械运输费",资金流水!$X$131="应付其他款")),INT(资金流水!$B$131)*10000+126,"")</f>
      </c>
      <c r="BE127" s="2">
        <f>BE100+SUM(CE101:CE127)</f>
        <v>0</v>
      </c>
      <c r="CA127" s="2">
        <f>IF(AND(OR(_余额!$B$129="材料供应商",_余额!$B$129="分包",_余额!$B$129="机械运输",_余额!$B$129="其他"),OR($C$3="全部",_余额!$B$129=$C$3),OR(_余额!$G$129&lt;&gt;0,_余额!$H$129&lt;&gt;0)),1,0)</f>
        <v>0</v>
      </c>
      <c r="CC127" s="2">
        <f>IF(AND($C$130&lt;&gt;"",期初余额!$P$131=$C$130),1,0)</f>
        <v>0</v>
      </c>
      <c r="CD127" s="2">
        <f>IF(($C$130&lt;&gt;"")*(应付登记!$D$131=$C$130)*ISNUMBER(应付登记!$J$131)*(应付登记!$J$131&gt;=_辅助!$J$4)*(应付登记!$J$131&lt;=_辅助!$J$2),1,0)</f>
        <v>0</v>
      </c>
      <c r="CE127" s="2">
        <f>IF(($C$130&lt;&gt;"")*(代发抵账!$E$131=$C$130)*(代发抵账!$D$131="总包代付材料分包款")*ISNUMBER(代发抵账!$H$131)*(代发抵账!$H$131&lt;=_辅助!$J$2),1,0)</f>
        <v>0</v>
      </c>
    </row>
    <row r="128">
      <c r="AZ128" s="2">
        <f>AZ100+SUM(CA101:CA128)</f>
        <v>29</v>
      </c>
      <c r="BB128" s="2">
        <f>BB100+SUM(CC101:CC128)</f>
        <v>8</v>
      </c>
      <c r="BC128" s="2">
        <f>BC100+SUM(CD101:CD128)</f>
        <v>0</v>
      </c>
      <c r="BD128" s="2">
        <f>IF(AND($C$130&lt;&gt;"",资金流水!$J$132=$C$130,ISNUMBER(资金流水!$B$132),ISNUMBER(资金流水!$S$132),资金流水!$S$132&gt;=_辅助!$J$4,资金流水!$S$132&lt;=_辅助!$J$2,OR(资金流水!$X$132="应付材料款",资金流水!$X$132="应付分包款",资金流水!$X$132="应付机械运输费",资金流水!$X$132="应付其他款")),INT(资金流水!$B$132)*10000+127,"")</f>
      </c>
      <c r="BE128" s="2">
        <f>BE100+SUM(CE101:CE128)</f>
        <v>0</v>
      </c>
      <c r="CA128" s="2">
        <f>IF(AND(OR(_余额!$B$130="材料供应商",_余额!$B$130="分包",_余额!$B$130="机械运输",_余额!$B$130="其他"),OR($C$3="全部",_余额!$B$130=$C$3),OR(_余额!$G$130&lt;&gt;0,_余额!$H$130&lt;&gt;0)),1,0)</f>
        <v>0</v>
      </c>
      <c r="CC128" s="2">
        <f>IF(AND($C$130&lt;&gt;"",期初余额!$P$132=$C$130),1,0)</f>
        <v>0</v>
      </c>
      <c r="CD128" s="2">
        <f>IF(($C$130&lt;&gt;"")*(应付登记!$D$132=$C$130)*ISNUMBER(应付登记!$J$132)*(应付登记!$J$132&gt;=_辅助!$J$4)*(应付登记!$J$132&lt;=_辅助!$J$2),1,0)</f>
        <v>0</v>
      </c>
      <c r="CE128" s="2">
        <f>IF(($C$130&lt;&gt;"")*(代发抵账!$E$132=$C$130)*(代发抵账!$D$132="总包代付材料分包款")*ISNUMBER(代发抵账!$H$132)*(代发抵账!$H$132&lt;=_辅助!$J$2),1,0)</f>
        <v>0</v>
      </c>
    </row>
    <row r="129">
      <c r="A129" s="23" t="inlineStr">
        <is>
          <t>对 账 单（选一家单位：他所有的应付和付款）</t>
        </is>
      </c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AZ129" s="2">
        <f>AZ100+SUM(CA101:CA129)</f>
        <v>29</v>
      </c>
      <c r="BB129" s="2">
        <f>BB100+SUM(CC101:CC129)</f>
        <v>8</v>
      </c>
      <c r="BC129" s="2">
        <f>BC100+SUM(CD101:CD129)</f>
        <v>0</v>
      </c>
      <c r="BD129" s="2">
        <f>IF(AND($C$130&lt;&gt;"",资金流水!$J$133=$C$130,ISNUMBER(资金流水!$B$133),ISNUMBER(资金流水!$S$133),资金流水!$S$133&gt;=_辅助!$J$4,资金流水!$S$133&lt;=_辅助!$J$2,OR(资金流水!$X$133="应付材料款",资金流水!$X$133="应付分包款",资金流水!$X$133="应付机械运输费",资金流水!$X$133="应付其他款")),INT(资金流水!$B$133)*10000+128,"")</f>
      </c>
      <c r="BE129" s="2">
        <f>BE100+SUM(CE101:CE129)</f>
        <v>0</v>
      </c>
      <c r="CA129" s="2">
        <f>IF(AND(OR(_余额!$B$131="材料供应商",_余额!$B$131="分包",_余额!$B$131="机械运输",_余额!$B$131="其他"),OR($C$3="全部",_余额!$B$131=$C$3),OR(_余额!$G$131&lt;&gt;0,_余额!$H$131&lt;&gt;0)),1,0)</f>
        <v>0</v>
      </c>
      <c r="CC129" s="2">
        <f>IF(AND($C$130&lt;&gt;"",期初余额!$P$133=$C$130),1,0)</f>
        <v>0</v>
      </c>
      <c r="CD129" s="2">
        <f>IF(($C$130&lt;&gt;"")*(应付登记!$D$133=$C$130)*ISNUMBER(应付登记!$J$133)*(应付登记!$J$133&gt;=_辅助!$J$4)*(应付登记!$J$133&lt;=_辅助!$J$2),1,0)</f>
        <v>0</v>
      </c>
      <c r="CE129" s="2">
        <f>IF(($C$130&lt;&gt;"")*(代发抵账!$E$133=$C$130)*(代发抵账!$D$133="总包代付材料分包款")*ISNUMBER(代发抵账!$H$133)*(代发抵账!$H$133&lt;=_辅助!$J$2),1,0)</f>
        <v>0</v>
      </c>
    </row>
    <row r="130">
      <c r="B130" s="4" t="inlineStr">
        <is>
          <t>单位</t>
        </is>
      </c>
      <c r="C130" s="88" t="inlineStr">
        <is>
          <t>筑强</t>
        </is>
      </c>
      <c r="D130" s="10" t="n"/>
      <c r="E130" s="4" t="inlineStr">
        <is>
          <t>应付合计</t>
        </is>
      </c>
      <c r="F130" s="73">
        <f>IFERROR(INDEX(_余额!$G$3:$G$302,MATCH($C$130,往来单位!$B$4:$B$303,0)),0)</f>
        <v>1532992.03</v>
      </c>
      <c r="G130" s="4" t="inlineStr">
        <is>
          <t>已付合计</t>
        </is>
      </c>
      <c r="H130" s="73">
        <f>IFERROR(INDEX(_余额!$H$3:$H$302,MATCH($C$130,往来单位!$B$4:$B$303,0)),0)</f>
        <v>1308939.18</v>
      </c>
      <c r="I130" s="4" t="inlineStr">
        <is>
          <t>还欠</t>
        </is>
      </c>
      <c r="J130" s="93">
        <f>IFERROR(INDEX(_余额!$C$3:$C$302,MATCH($C$130,往来单位!$B$4:$B$303,0)),0)</f>
        <v>224052.85</v>
      </c>
      <c r="K130" s="4" t="inlineStr">
        <is>
          <t>已收票</t>
        </is>
      </c>
      <c r="L130" s="73">
        <f>IFERROR(INDEX(_余额!$I$3:$I$302,MATCH($C$130,往来单位!$B$4:$B$303,0)),0)</f>
        <v>546.94</v>
      </c>
      <c r="M130" s="90">
        <f>IF($BB$200+$BC$1000&gt;150,"⚠ 应付超过150笔，只列前150笔","")&amp;IF($BD$1+$BE$300&gt;149,"⚠ 付款超过149笔，只列前面的","")</f>
      </c>
      <c r="AZ130" s="2">
        <f>AZ100+SUM(CA101:CA130)</f>
        <v>29</v>
      </c>
      <c r="BB130" s="2">
        <f>BB100+SUM(CC101:CC130)</f>
        <v>8</v>
      </c>
      <c r="BC130" s="2">
        <f>BC100+SUM(CD101:CD130)</f>
        <v>0</v>
      </c>
      <c r="BD130" s="2">
        <f>IF(AND($C$130&lt;&gt;"",资金流水!$J$134=$C$130,ISNUMBER(资金流水!$B$134),ISNUMBER(资金流水!$S$134),资金流水!$S$134&gt;=_辅助!$J$4,资金流水!$S$134&lt;=_辅助!$J$2,OR(资金流水!$X$134="应付材料款",资金流水!$X$134="应付分包款",资金流水!$X$134="应付机械运输费",资金流水!$X$134="应付其他款")),INT(资金流水!$B$134)*10000+129,"")</f>
      </c>
      <c r="BE130" s="2">
        <f>BE100+SUM(CE101:CE130)</f>
        <v>0</v>
      </c>
      <c r="CA130" s="2">
        <f>IF(AND(OR(_余额!$B$132="材料供应商",_余额!$B$132="分包",_余额!$B$132="机械运输",_余额!$B$132="其他"),OR($C$3="全部",_余额!$B$132=$C$3),OR(_余额!$G$132&lt;&gt;0,_余额!$H$132&lt;&gt;0)),1,0)</f>
        <v>0</v>
      </c>
      <c r="CC130" s="2">
        <f>IF(AND($C$130&lt;&gt;"",期初余额!$P$134=$C$130),1,0)</f>
        <v>0</v>
      </c>
      <c r="CD130" s="2">
        <f>IF(($C$130&lt;&gt;"")*(应付登记!$D$134=$C$130)*ISNUMBER(应付登记!$J$134)*(应付登记!$J$134&gt;=_辅助!$J$4)*(应付登记!$J$134&lt;=_辅助!$J$2),1,0)</f>
        <v>0</v>
      </c>
      <c r="CE130" s="2">
        <f>IF(($C$130&lt;&gt;"")*(代发抵账!$E$134=$C$130)*(代发抵账!$D$134="总包代付材料分包款")*ISNUMBER(代发抵账!$H$134)*(代发抵账!$H$134&lt;=_辅助!$J$2),1,0)</f>
        <v>0</v>
      </c>
    </row>
    <row r="131">
      <c r="B131" s="111" t="inlineStr">
        <is>
          <t>应付（期初 ＋ 应付登记）</t>
        </is>
      </c>
      <c r="H131" s="111" t="inlineStr">
        <is>
          <t>付款（资金流水 ＋ 总包代付）</t>
        </is>
      </c>
      <c r="AZ131" s="2">
        <f>AZ100+SUM(CA101:CA131)</f>
        <v>29</v>
      </c>
      <c r="BB131" s="2">
        <f>BB100+SUM(CC101:CC131)</f>
        <v>8</v>
      </c>
      <c r="BC131" s="2">
        <f>BC100+SUM(CD101:CD131)</f>
        <v>0</v>
      </c>
      <c r="BD131" s="2">
        <f>IF(AND($C$130&lt;&gt;"",资金流水!$J$135=$C$130,ISNUMBER(资金流水!$B$135),ISNUMBER(资金流水!$S$135),资金流水!$S$135&gt;=_辅助!$J$4,资金流水!$S$135&lt;=_辅助!$J$2,OR(资金流水!$X$135="应付材料款",资金流水!$X$135="应付分包款",资金流水!$X$135="应付机械运输费",资金流水!$X$135="应付其他款")),INT(资金流水!$B$135)*10000+130,"")</f>
      </c>
      <c r="BE131" s="2">
        <f>BE100+SUM(CE101:CE131)</f>
        <v>0</v>
      </c>
      <c r="CA131" s="2">
        <f>IF(AND(OR(_余额!$B$133="材料供应商",_余额!$B$133="分包",_余额!$B$133="机械运输",_余额!$B$133="其他"),OR($C$3="全部",_余额!$B$133=$C$3),OR(_余额!$G$133&lt;&gt;0,_余额!$H$133&lt;&gt;0)),1,0)</f>
        <v>0</v>
      </c>
      <c r="CC131" s="2">
        <f>IF(AND($C$130&lt;&gt;"",期初余额!$P$135=$C$130),1,0)</f>
        <v>0</v>
      </c>
      <c r="CD131" s="2">
        <f>IF(($C$130&lt;&gt;"")*(应付登记!$D$135=$C$130)*ISNUMBER(应付登记!$J$135)*(应付登记!$J$135&gt;=_辅助!$J$4)*(应付登记!$J$135&lt;=_辅助!$J$2),1,0)</f>
        <v>0</v>
      </c>
      <c r="CE131" s="2">
        <f>IF(($C$130&lt;&gt;"")*(代发抵账!$E$135=$C$130)*(代发抵账!$D$135="总包代付材料分包款")*ISNUMBER(代发抵账!$H$135)*(代发抵账!$H$135&lt;=_辅助!$J$2),1,0)</f>
        <v>0</v>
      </c>
    </row>
    <row r="132" ht="34" customHeight="1">
      <c r="A132" s="42" t="inlineStr">
        <is>
          <t>序号</t>
        </is>
      </c>
      <c r="B132" s="42" t="inlineStr">
        <is>
          <t>日期</t>
        </is>
      </c>
      <c r="C132" s="42" t="inlineStr">
        <is>
          <t>项目</t>
        </is>
      </c>
      <c r="D132" s="42" t="inlineStr">
        <is>
          <t>内容</t>
        </is>
      </c>
      <c r="E132" s="42" t="inlineStr">
        <is>
          <t>应付金额</t>
        </is>
      </c>
      <c r="G132" s="80" t="inlineStr">
        <is>
          <t>序号</t>
        </is>
      </c>
      <c r="H132" s="80" t="inlineStr">
        <is>
          <t>日期</t>
        </is>
      </c>
      <c r="I132" s="80" t="inlineStr">
        <is>
          <t>付款账户</t>
        </is>
      </c>
      <c r="J132" s="80" t="inlineStr">
        <is>
          <t>摘要</t>
        </is>
      </c>
      <c r="K132" s="80" t="inlineStr">
        <is>
          <t>付款金额</t>
        </is>
      </c>
      <c r="AZ132" s="2">
        <f>AZ100+SUM(CA101:CA132)</f>
        <v>29</v>
      </c>
      <c r="BB132" s="2">
        <f>BB100+SUM(CC101:CC132)</f>
        <v>8</v>
      </c>
      <c r="BC132" s="2">
        <f>BC100+SUM(CD101:CD132)</f>
        <v>0</v>
      </c>
      <c r="BD132" s="2">
        <f>IF(AND($C$130&lt;&gt;"",资金流水!$J$136=$C$130,ISNUMBER(资金流水!$B$136),ISNUMBER(资金流水!$S$136),资金流水!$S$136&gt;=_辅助!$J$4,资金流水!$S$136&lt;=_辅助!$J$2,OR(资金流水!$X$136="应付材料款",资金流水!$X$136="应付分包款",资金流水!$X$136="应付机械运输费",资金流水!$X$136="应付其他款")),INT(资金流水!$B$136)*10000+131,"")</f>
      </c>
      <c r="BE132" s="2">
        <f>BE100+SUM(CE101:CE132)</f>
        <v>0</v>
      </c>
      <c r="CA132" s="2">
        <f>IF(AND(OR(_余额!$B$134="材料供应商",_余额!$B$134="分包",_余额!$B$134="机械运输",_余额!$B$134="其他"),OR($C$3="全部",_余额!$B$134=$C$3),OR(_余额!$G$134&lt;&gt;0,_余额!$H$134&lt;&gt;0)),1,0)</f>
        <v>0</v>
      </c>
      <c r="CC132" s="2">
        <f>IF(AND($C$130&lt;&gt;"",期初余额!$P$136=$C$130),1,0)</f>
        <v>0</v>
      </c>
      <c r="CD132" s="2">
        <f>IF(($C$130&lt;&gt;"")*(应付登记!$D$136=$C$130)*ISNUMBER(应付登记!$J$136)*(应付登记!$J$136&gt;=_辅助!$J$4)*(应付登记!$J$136&lt;=_辅助!$J$2),1,0)</f>
        <v>0</v>
      </c>
      <c r="CE132" s="2">
        <f>IF(($C$130&lt;&gt;"")*(代发抵账!$E$136=$C$130)*(代发抵账!$D$136="总包代付材料分包款")*ISNUMBER(代发抵账!$H$136)*(代发抵账!$H$136&lt;=_辅助!$J$2),1,0)</f>
        <v>0</v>
      </c>
    </row>
    <row r="133">
      <c r="A133" s="94">
        <f>IF($AW133+$AX133=0,"",1)</f>
        <v>1</v>
      </c>
      <c r="B133" s="95" t="str">
        <f t="shared" ref="B133:B282" si="25">IF($AW133&gt;0,"期初",IF($AX133&gt;0,INDEX(应付登记!$B$5:$B$1004,$AX133),""))</f>
        <v>期初</v>
      </c>
      <c r="C133" s="96" t="str">
        <f t="shared" ref="C133:C282" si="27">IF($AW133&gt;0,INDEX(期初余额!$Q$5:$Q$204,$AW133)&amp;"",IF($AX133&gt;0,INDEX(应付登记!$E$5:$E$1004,$AX133)&amp;"",""))</f>
        <v>德安养老中心</v>
      </c>
      <c r="D133" s="96" t="str">
        <f t="shared" ref="D133:D282" si="1">IF($AW133&gt;0,"建账前累计（已付 "&amp;TEXT(N(INDEX(期初余额!$S$5:$S$204,$AW133)),"#,##0.00")&amp;"）"&amp;IF(INDEX(期初余额!$U$5:$U$204,$AW133)="","","；"&amp;INDEX(期初余额!$U$5:$U$204,$AW133)),IF($AX133&gt;0,INDEX(应付登记!$F$5:$F$1004,$AX133)&amp;"",""))</f>
        <v>建账前累计（已付 496,418.90）；累计已付（按各项目应付比例分）− 2026 年 3 月起流水付的（50,000.00）</v>
      </c>
      <c r="E133" s="21">
        <f t="shared" ref="E133:E282" si="4">IF($AW133&gt;0,N(INDEX(期初余额!$R$5:$R$204,$AW133)),IF($AX133&gt;0,N(INDEX(应付登记!$G$5:$G$1004,$AX133)),""))</f>
        <v>604482.11</v>
      </c>
      <c r="G133" s="94">
        <f>1</f>
        <v>1</v>
      </c>
      <c r="H133" s="95" t="str">
        <f>"期初"</f>
        <v>期初</v>
      </c>
      <c r="I133" s="96">
        <f>""</f>
      </c>
      <c r="J133" s="96" t="str">
        <f>"建账前累计已付（【期初余额】②）"</f>
        <v>建账前累计已付（【期初余额】②）</v>
      </c>
      <c r="K133" s="21">
        <f>SUMIFS(期初余额!$S$5:$S$204,期初余额!$P$5:$P$204,$C$130)</f>
        <v>1258939.18</v>
      </c>
      <c r="AU133" s="2">
        <f>IF(AND(0&gt;=1,0&lt;=$BD$1),IF(0&gt;$BD$1,0,MOD(SMALL($BD$2:$BD$2001,0),10000)),0)</f>
        <v>0</v>
      </c>
      <c r="AV133" s="2">
        <f>IF(AND(0&gt;$BD$1,0&lt;=$BD$1+$BE$300),IF(0-$BD$1&gt;$BE$300,0,IFERROR(MATCH(0-$BD$1,$BE$1:$BE$300,0),0)),0)</f>
        <v>0</v>
      </c>
      <c r="AW133" s="2">
        <f>IF(1&lt;=$BB$200,IF(1&gt;$BB$200,0,IFERROR(MATCH(1,$BB$1:$BB$200,0),0)),0)</f>
        <v>1</v>
      </c>
      <c r="AX133" s="2">
        <f>IF(AND(1&gt;$BB$200,1&lt;=$BB$200+$BC$1000),IF(1-$BB$200&gt;$BC$1000,0,IFERROR(MATCH(1-$BB$200,$BC$1:$BC$1000,0),0)),0)</f>
        <v>0</v>
      </c>
      <c r="AZ133" s="2">
        <f>AZ100+SUM(CA101:CA133)</f>
        <v>29</v>
      </c>
      <c r="BB133" s="2">
        <f>BB100+SUM(CC101:CC133)</f>
        <v>8</v>
      </c>
      <c r="BC133" s="2">
        <f>BC100+SUM(CD101:CD133)</f>
        <v>0</v>
      </c>
      <c r="BD133" s="2">
        <f>IF(AND($C$130&lt;&gt;"",资金流水!$J$137=$C$130,ISNUMBER(资金流水!$B$137),ISNUMBER(资金流水!$S$137),资金流水!$S$137&gt;=_辅助!$J$4,资金流水!$S$137&lt;=_辅助!$J$2,OR(资金流水!$X$137="应付材料款",资金流水!$X$137="应付分包款",资金流水!$X$137="应付机械运输费",资金流水!$X$137="应付其他款")),INT(资金流水!$B$137)*10000+132,"")</f>
      </c>
      <c r="BE133" s="2">
        <f>BE100+SUM(CE101:CE133)</f>
        <v>0</v>
      </c>
      <c r="CA133" s="2">
        <f>IF(AND(OR(_余额!$B$135="材料供应商",_余额!$B$135="分包",_余额!$B$135="机械运输",_余额!$B$135="其他"),OR($C$3="全部",_余额!$B$135=$C$3),OR(_余额!$G$135&lt;&gt;0,_余额!$H$135&lt;&gt;0)),1,0)</f>
        <v>0</v>
      </c>
      <c r="CC133" s="2">
        <f>IF(AND($C$130&lt;&gt;"",期初余额!$P$137=$C$130),1,0)</f>
        <v>0</v>
      </c>
      <c r="CD133" s="2">
        <f>IF(($C$130&lt;&gt;"")*(应付登记!$D$137=$C$130)*ISNUMBER(应付登记!$J$137)*(应付登记!$J$137&gt;=_辅助!$J$4)*(应付登记!$J$137&lt;=_辅助!$J$2),1,0)</f>
        <v>0</v>
      </c>
      <c r="CE133" s="2">
        <f>IF(($C$130&lt;&gt;"")*(代发抵账!$E$137=$C$130)*(代发抵账!$D$137="总包代付材料分包款")*ISNUMBER(代发抵账!$H$137)*(代发抵账!$H$137&lt;=_辅助!$J$2),1,0)</f>
        <v>0</v>
      </c>
    </row>
    <row r="134">
      <c r="A134" s="94">
        <f>IF($AW134+$AX134=0,"",2)</f>
        <v>2</v>
      </c>
      <c r="B134" s="95" t="str">
        <f t="shared" si="25"/>
        <v>期初</v>
      </c>
      <c r="C134" s="96" t="str">
        <f t="shared" si="27"/>
        <v>科创中心</v>
      </c>
      <c r="D134" s="96" t="str">
        <f t="shared" si="1"/>
        <v>建账前累计（已付 366,613.44）</v>
      </c>
      <c r="E134" s="21">
        <f t="shared" si="4"/>
        <v>446419.88</v>
      </c>
      <c r="G134" s="94">
        <f>IF($AU134+$AV134=0,"",2)</f>
        <v>2</v>
      </c>
      <c r="H134" s="95">
        <f t="shared" ref="H134:H282" si="7">IF($AU134&gt;0,INDEX(资金流水!$B$6:$B$2005,$AU134),IF($AV134&gt;0,INDEX(代发抵账!$B$5:$B$304,$AV134),""))</f>
        <v>46262.0</v>
      </c>
      <c r="I134" s="96" t="str">
        <f t="shared" ref="I134:I282" si="9">IF($AU134&gt;0,INDEX(资金流水!$C$6:$C$2005,$AU134)&amp;"",IF($AV134&gt;0,"总包代付",""))</f>
        <v>九江银行</v>
      </c>
      <c r="J134" s="96" t="str">
        <f t="shared" ref="J134:J282" si="29">IF($AU134&gt;0,INDEX(资金流水!$D$6:$D$2005,$AU134)&amp;"",IF($AV134&gt;0,INDEX(代发抵账!$C$5:$C$304,$AV134)&amp;" "&amp;INDEX(代发抵账!$G$5:$G$304,$AV134),""))</f>
        <v>筑强材料款</v>
      </c>
      <c r="K134" s="21">
        <f t="shared" ref="K134:K282" si="11">IF($AU134&gt;0,-INDEX(资金流水!$R$6:$R$2005,$AU134),IF($AV134&gt;0,N(INDEX(代发抵账!$F$5:$F$304,$AV134)),""))</f>
        <v>50000</v>
      </c>
      <c r="AU134" s="2">
        <f>IF(AND(1&gt;=1,1&lt;=$BD$1),IF(1&gt;$BD$1,0,MOD(SMALL($BD$2:$BD$2001,1),10000)),0)</f>
        <v>215</v>
      </c>
      <c r="AV134" s="2">
        <f>IF(AND(1&gt;$BD$1,1&lt;=$BD$1+$BE$300),IF(1-$BD$1&gt;$BE$300,0,IFERROR(MATCH(1-$BD$1,$BE$1:$BE$300,0),0)),0)</f>
        <v>0</v>
      </c>
      <c r="AW134" s="2">
        <f>IF(2&lt;=$BB$200,IF(2&gt;$BB$200,0,IFERROR(MATCH(2,$BB$1:$BB$200,0),0)),0)</f>
        <v>2</v>
      </c>
      <c r="AX134" s="2">
        <f>IF(AND(2&gt;$BB$200,2&lt;=$BB$200+$BC$1000),IF(2-$BB$200&gt;$BC$1000,0,IFERROR(MATCH(2-$BB$200,$BC$1:$BC$1000,0),0)),0)</f>
        <v>0</v>
      </c>
      <c r="AZ134" s="2">
        <f>AZ100+SUM(CA101:CA134)</f>
        <v>29</v>
      </c>
      <c r="BB134" s="2">
        <f>BB100+SUM(CC101:CC134)</f>
        <v>8</v>
      </c>
      <c r="BC134" s="2">
        <f>BC100+SUM(CD101:CD134)</f>
        <v>0</v>
      </c>
      <c r="BD134" s="2">
        <f>IF(AND($C$130&lt;&gt;"",资金流水!$J$138=$C$130,ISNUMBER(资金流水!$B$138),ISNUMBER(资金流水!$S$138),资金流水!$S$138&gt;=_辅助!$J$4,资金流水!$S$138&lt;=_辅助!$J$2,OR(资金流水!$X$138="应付材料款",资金流水!$X$138="应付分包款",资金流水!$X$138="应付机械运输费",资金流水!$X$138="应付其他款")),INT(资金流水!$B$138)*10000+133,"")</f>
      </c>
      <c r="BE134" s="2">
        <f>BE100+SUM(CE101:CE134)</f>
        <v>0</v>
      </c>
      <c r="CA134" s="2">
        <f>IF(AND(OR(_余额!$B$136="材料供应商",_余额!$B$136="分包",_余额!$B$136="机械运输",_余额!$B$136="其他"),OR($C$3="全部",_余额!$B$136=$C$3),OR(_余额!$G$136&lt;&gt;0,_余额!$H$136&lt;&gt;0)),1,0)</f>
        <v>0</v>
      </c>
      <c r="CC134" s="2">
        <f>IF(AND($C$130&lt;&gt;"",期初余额!$P$138=$C$130),1,0)</f>
        <v>0</v>
      </c>
      <c r="CD134" s="2">
        <f>IF(($C$130&lt;&gt;"")*(应付登记!$D$138=$C$130)*ISNUMBER(应付登记!$J$138)*(应付登记!$J$138&gt;=_辅助!$J$4)*(应付登记!$J$138&lt;=_辅助!$J$2),1,0)</f>
        <v>0</v>
      </c>
      <c r="CE134" s="2">
        <f>IF(($C$130&lt;&gt;"")*(代发抵账!$E$138=$C$130)*(代发抵账!$D$138="总包代付材料分包款")*ISNUMBER(代发抵账!$H$138)*(代发抵账!$H$138&lt;=_辅助!$J$2),1,0)</f>
        <v>0</v>
      </c>
    </row>
    <row r="135">
      <c r="A135" s="94">
        <f>IF($AW135+$AX135=0,"",3)</f>
        <v>3</v>
      </c>
      <c r="B135" s="95" t="str">
        <f t="shared" si="25"/>
        <v>期初</v>
      </c>
      <c r="C135" s="96" t="str">
        <f t="shared" si="27"/>
        <v>九安架空层</v>
      </c>
      <c r="D135" s="96" t="str">
        <f t="shared" si="1"/>
        <v>建账前累计（已付 36,635.38）</v>
      </c>
      <c r="E135" s="21">
        <f t="shared" si="4"/>
        <v>44610.37</v>
      </c>
      <c r="G135" s="94">
        <f>IF($AU135+$AV135=0,"",3)</f>
      </c>
      <c r="H135" s="95">
        <f t="shared" si="7"/>
      </c>
      <c r="I135" s="96">
        <f t="shared" si="9"/>
      </c>
      <c r="J135" s="96">
        <f t="shared" si="29"/>
      </c>
      <c r="K135" s="21">
        <f t="shared" si="11"/>
      </c>
      <c r="AU135" s="2">
        <f>IF(AND(2&gt;=1,2&lt;=$BD$1),IF(2&gt;$BD$1,0,MOD(SMALL($BD$2:$BD$2001,2),10000)),0)</f>
        <v>0</v>
      </c>
      <c r="AV135" s="2">
        <f>IF(AND(2&gt;$BD$1,2&lt;=$BD$1+$BE$300),IF(2-$BD$1&gt;$BE$300,0,IFERROR(MATCH(2-$BD$1,$BE$1:$BE$300,0),0)),0)</f>
        <v>0</v>
      </c>
      <c r="AW135" s="2">
        <f>IF(3&lt;=$BB$200,IF(3&gt;$BB$200,0,IFERROR(MATCH(3,$BB$1:$BB$200,0),0)),0)</f>
        <v>3</v>
      </c>
      <c r="AX135" s="2">
        <f>IF(AND(3&gt;$BB$200,3&lt;=$BB$200+$BC$1000),IF(3-$BB$200&gt;$BC$1000,0,IFERROR(MATCH(3-$BB$200,$BC$1:$BC$1000,0),0)),0)</f>
        <v>0</v>
      </c>
      <c r="AZ135" s="2">
        <f>AZ100+SUM(CA101:CA135)</f>
        <v>29</v>
      </c>
      <c r="BB135" s="2">
        <f>BB100+SUM(CC101:CC135)</f>
        <v>8</v>
      </c>
      <c r="BC135" s="2">
        <f>BC100+SUM(CD101:CD135)</f>
        <v>0</v>
      </c>
      <c r="BD135" s="2">
        <f>IF(AND($C$130&lt;&gt;"",资金流水!$J$139=$C$130,ISNUMBER(资金流水!$B$139),ISNUMBER(资金流水!$S$139),资金流水!$S$139&gt;=_辅助!$J$4,资金流水!$S$139&lt;=_辅助!$J$2,OR(资金流水!$X$139="应付材料款",资金流水!$X$139="应付分包款",资金流水!$X$139="应付机械运输费",资金流水!$X$139="应付其他款")),INT(资金流水!$B$139)*10000+134,"")</f>
      </c>
      <c r="BE135" s="2">
        <f>BE100+SUM(CE101:CE135)</f>
        <v>0</v>
      </c>
      <c r="CA135" s="2">
        <f>IF(AND(OR(_余额!$B$137="材料供应商",_余额!$B$137="分包",_余额!$B$137="机械运输",_余额!$B$137="其他"),OR($C$3="全部",_余额!$B$137=$C$3),OR(_余额!$G$137&lt;&gt;0,_余额!$H$137&lt;&gt;0)),1,0)</f>
        <v>0</v>
      </c>
      <c r="CC135" s="2">
        <f>IF(AND($C$130&lt;&gt;"",期初余额!$P$139=$C$130),1,0)</f>
        <v>0</v>
      </c>
      <c r="CD135" s="2">
        <f>IF(($C$130&lt;&gt;"")*(应付登记!$D$139=$C$130)*ISNUMBER(应付登记!$J$139)*(应付登记!$J$139&gt;=_辅助!$J$4)*(应付登记!$J$139&lt;=_辅助!$J$2),1,0)</f>
        <v>0</v>
      </c>
      <c r="CE135" s="2">
        <f>IF(($C$130&lt;&gt;"")*(代发抵账!$E$139=$C$130)*(代发抵账!$D$139="总包代付材料分包款")*ISNUMBER(代发抵账!$H$139)*(代发抵账!$H$139&lt;=_辅助!$J$2),1,0)</f>
        <v>0</v>
      </c>
    </row>
    <row r="136">
      <c r="A136" s="94">
        <f>IF($AW136+$AX136=0,"",4)</f>
        <v>4</v>
      </c>
      <c r="B136" s="95" t="str">
        <f t="shared" si="25"/>
        <v>期初</v>
      </c>
      <c r="C136" s="96" t="str">
        <f t="shared" si="27"/>
        <v>数字产业园</v>
      </c>
      <c r="D136" s="96" t="str">
        <f t="shared" si="1"/>
        <v>建账前累计（已付 27,837.24）</v>
      </c>
      <c r="E136" s="21">
        <f t="shared" si="4"/>
        <v>33897.01</v>
      </c>
      <c r="G136" s="94">
        <f>IF($AU136+$AV136=0,"",4)</f>
      </c>
      <c r="H136" s="95">
        <f t="shared" si="7"/>
      </c>
      <c r="I136" s="96">
        <f t="shared" si="9"/>
      </c>
      <c r="J136" s="96">
        <f t="shared" si="29"/>
      </c>
      <c r="K136" s="21">
        <f t="shared" si="11"/>
      </c>
      <c r="AU136" s="2">
        <f>IF(AND(3&gt;=1,3&lt;=$BD$1),IF(3&gt;$BD$1,0,MOD(SMALL($BD$2:$BD$2001,3),10000)),0)</f>
        <v>0</v>
      </c>
      <c r="AV136" s="2">
        <f>IF(AND(3&gt;$BD$1,3&lt;=$BD$1+$BE$300),IF(3-$BD$1&gt;$BE$300,0,IFERROR(MATCH(3-$BD$1,$BE$1:$BE$300,0),0)),0)</f>
        <v>0</v>
      </c>
      <c r="AW136" s="2">
        <f>IF(4&lt;=$BB$200,IF(4&gt;$BB$200,0,IFERROR(MATCH(4,$BB$1:$BB$200,0),0)),0)</f>
        <v>4</v>
      </c>
      <c r="AX136" s="2">
        <f>IF(AND(4&gt;$BB$200,4&lt;=$BB$200+$BC$1000),IF(4-$BB$200&gt;$BC$1000,0,IFERROR(MATCH(4-$BB$200,$BC$1:$BC$1000,0),0)),0)</f>
        <v>0</v>
      </c>
      <c r="AZ136" s="2">
        <f>AZ100+SUM(CA101:CA136)</f>
        <v>29</v>
      </c>
      <c r="BB136" s="2">
        <f>BB100+SUM(CC101:CC136)</f>
        <v>8</v>
      </c>
      <c r="BC136" s="2">
        <f>BC100+SUM(CD101:CD136)</f>
        <v>0</v>
      </c>
      <c r="BD136" s="2">
        <f>IF(AND($C$130&lt;&gt;"",资金流水!$J$140=$C$130,ISNUMBER(资金流水!$B$140),ISNUMBER(资金流水!$S$140),资金流水!$S$140&gt;=_辅助!$J$4,资金流水!$S$140&lt;=_辅助!$J$2,OR(资金流水!$X$140="应付材料款",资金流水!$X$140="应付分包款",资金流水!$X$140="应付机械运输费",资金流水!$X$140="应付其他款")),INT(资金流水!$B$140)*10000+135,"")</f>
      </c>
      <c r="BE136" s="2">
        <f>BE100+SUM(CE101:CE136)</f>
        <v>0</v>
      </c>
      <c r="CA136" s="2">
        <f>IF(AND(OR(_余额!$B$138="材料供应商",_余额!$B$138="分包",_余额!$B$138="机械运输",_余额!$B$138="其他"),OR($C$3="全部",_余额!$B$138=$C$3),OR(_余额!$G$138&lt;&gt;0,_余额!$H$138&lt;&gt;0)),1,0)</f>
        <v>0</v>
      </c>
      <c r="CC136" s="2">
        <f>IF(AND($C$130&lt;&gt;"",期初余额!$P$140=$C$130),1,0)</f>
        <v>0</v>
      </c>
      <c r="CD136" s="2">
        <f>IF(($C$130&lt;&gt;"")*(应付登记!$D$140=$C$130)*ISNUMBER(应付登记!$J$140)*(应付登记!$J$140&gt;=_辅助!$J$4)*(应付登记!$J$140&lt;=_辅助!$J$2),1,0)</f>
        <v>0</v>
      </c>
      <c r="CE136" s="2">
        <f>IF(($C$130&lt;&gt;"")*(代发抵账!$E$140=$C$130)*(代发抵账!$D$140="总包代付材料分包款")*ISNUMBER(代发抵账!$H$140)*(代发抵账!$H$140&lt;=_辅助!$J$2),1,0)</f>
        <v>0</v>
      </c>
    </row>
    <row r="137">
      <c r="A137" s="94">
        <f>IF($AW137+$AX137=0,"",5)</f>
        <v>5</v>
      </c>
      <c r="B137" s="95" t="str">
        <f t="shared" si="25"/>
        <v>期初</v>
      </c>
      <c r="C137" s="96" t="str">
        <f t="shared" si="27"/>
        <v>德安农商行总部</v>
      </c>
      <c r="D137" s="96" t="str">
        <f t="shared" si="1"/>
        <v>建账前累计（已付 449.16）</v>
      </c>
      <c r="E137" s="21">
        <f t="shared" si="4"/>
        <v>546.94</v>
      </c>
      <c r="G137" s="94">
        <f>IF($AU137+$AV137=0,"",5)</f>
      </c>
      <c r="H137" s="95">
        <f t="shared" si="7"/>
      </c>
      <c r="I137" s="96">
        <f t="shared" si="9"/>
      </c>
      <c r="J137" s="96">
        <f t="shared" si="29"/>
      </c>
      <c r="K137" s="21">
        <f t="shared" si="11"/>
      </c>
      <c r="AU137" s="2">
        <f>IF(AND(4&gt;=1,4&lt;=$BD$1),IF(4&gt;$BD$1,0,MOD(SMALL($BD$2:$BD$2001,4),10000)),0)</f>
        <v>0</v>
      </c>
      <c r="AV137" s="2">
        <f>IF(AND(4&gt;$BD$1,4&lt;=$BD$1+$BE$300),IF(4-$BD$1&gt;$BE$300,0,IFERROR(MATCH(4-$BD$1,$BE$1:$BE$300,0),0)),0)</f>
        <v>0</v>
      </c>
      <c r="AW137" s="2">
        <f>IF(5&lt;=$BB$200,IF(5&gt;$BB$200,0,IFERROR(MATCH(5,$BB$1:$BB$200,0),0)),0)</f>
        <v>5</v>
      </c>
      <c r="AX137" s="2">
        <f>IF(AND(5&gt;$BB$200,5&lt;=$BB$200+$BC$1000),IF(5-$BB$200&gt;$BC$1000,0,IFERROR(MATCH(5-$BB$200,$BC$1:$BC$1000,0),0)),0)</f>
        <v>0</v>
      </c>
      <c r="AZ137" s="2">
        <f>AZ100+SUM(CA101:CA137)</f>
        <v>29</v>
      </c>
      <c r="BB137" s="2">
        <f>BB100+SUM(CC101:CC137)</f>
        <v>8</v>
      </c>
      <c r="BC137" s="2">
        <f>BC100+SUM(CD101:CD137)</f>
        <v>0</v>
      </c>
      <c r="BD137" s="2">
        <f>IF(AND($C$130&lt;&gt;"",资金流水!$J$141=$C$130,ISNUMBER(资金流水!$B$141),ISNUMBER(资金流水!$S$141),资金流水!$S$141&gt;=_辅助!$J$4,资金流水!$S$141&lt;=_辅助!$J$2,OR(资金流水!$X$141="应付材料款",资金流水!$X$141="应付分包款",资金流水!$X$141="应付机械运输费",资金流水!$X$141="应付其他款")),INT(资金流水!$B$141)*10000+136,"")</f>
      </c>
      <c r="BE137" s="2">
        <f>BE100+SUM(CE101:CE137)</f>
        <v>0</v>
      </c>
      <c r="CA137" s="2">
        <f>IF(AND(OR(_余额!$B$139="材料供应商",_余额!$B$139="分包",_余额!$B$139="机械运输",_余额!$B$139="其他"),OR($C$3="全部",_余额!$B$139=$C$3),OR(_余额!$G$139&lt;&gt;0,_余额!$H$139&lt;&gt;0)),1,0)</f>
        <v>0</v>
      </c>
      <c r="CC137" s="2">
        <f>IF(AND($C$130&lt;&gt;"",期初余额!$P$141=$C$130),1,0)</f>
        <v>0</v>
      </c>
      <c r="CD137" s="2">
        <f>IF(($C$130&lt;&gt;"")*(应付登记!$D$141=$C$130)*ISNUMBER(应付登记!$J$141)*(应付登记!$J$141&gt;=_辅助!$J$4)*(应付登记!$J$141&lt;=_辅助!$J$2),1,0)</f>
        <v>0</v>
      </c>
      <c r="CE137" s="2">
        <f>IF(($C$130&lt;&gt;"")*(代发抵账!$E$141=$C$130)*(代发抵账!$D$141="总包代付材料分包款")*ISNUMBER(代发抵账!$H$141)*(代发抵账!$H$141&lt;=_辅助!$J$2),1,0)</f>
        <v>0</v>
      </c>
    </row>
    <row r="138">
      <c r="A138" s="94">
        <f>IF($AW138+$AX138=0,"",6)</f>
        <v>6</v>
      </c>
      <c r="B138" s="95" t="str">
        <f t="shared" si="25"/>
        <v>期初</v>
      </c>
      <c r="C138" s="96" t="str">
        <f t="shared" si="27"/>
        <v>抚州1号楼</v>
      </c>
      <c r="D138" s="96" t="str">
        <f t="shared" si="1"/>
        <v>建账前累计（已付 161,623.97）</v>
      </c>
      <c r="E138" s="21">
        <f t="shared" si="4"/>
        <v>196807.17</v>
      </c>
      <c r="G138" s="94">
        <f>IF($AU138+$AV138=0,"",6)</f>
      </c>
      <c r="H138" s="95">
        <f t="shared" si="7"/>
      </c>
      <c r="I138" s="96">
        <f t="shared" si="9"/>
      </c>
      <c r="J138" s="96">
        <f t="shared" si="29"/>
      </c>
      <c r="K138" s="21">
        <f t="shared" si="11"/>
      </c>
      <c r="AU138" s="2">
        <f>IF(AND(5&gt;=1,5&lt;=$BD$1),IF(5&gt;$BD$1,0,MOD(SMALL($BD$2:$BD$2001,5),10000)),0)</f>
        <v>0</v>
      </c>
      <c r="AV138" s="2">
        <f>IF(AND(5&gt;$BD$1,5&lt;=$BD$1+$BE$300),IF(5-$BD$1&gt;$BE$300,0,IFERROR(MATCH(5-$BD$1,$BE$1:$BE$300,0),0)),0)</f>
        <v>0</v>
      </c>
      <c r="AW138" s="2">
        <f>IF(6&lt;=$BB$200,IF(6&gt;$BB$200,0,IFERROR(MATCH(6,$BB$1:$BB$200,0),0)),0)</f>
        <v>6</v>
      </c>
      <c r="AX138" s="2">
        <f>IF(AND(6&gt;$BB$200,6&lt;=$BB$200+$BC$1000),IF(6-$BB$200&gt;$BC$1000,0,IFERROR(MATCH(6-$BB$200,$BC$1:$BC$1000,0),0)),0)</f>
        <v>0</v>
      </c>
      <c r="AZ138" s="2">
        <f>AZ100+SUM(CA101:CA138)</f>
        <v>29</v>
      </c>
      <c r="BB138" s="2">
        <f>BB100+SUM(CC101:CC138)</f>
        <v>8</v>
      </c>
      <c r="BC138" s="2">
        <f>BC100+SUM(CD101:CD138)</f>
        <v>0</v>
      </c>
      <c r="BD138" s="2">
        <f>IF(AND($C$130&lt;&gt;"",资金流水!$J$142=$C$130,ISNUMBER(资金流水!$B$142),ISNUMBER(资金流水!$S$142),资金流水!$S$142&gt;=_辅助!$J$4,资金流水!$S$142&lt;=_辅助!$J$2,OR(资金流水!$X$142="应付材料款",资金流水!$X$142="应付分包款",资金流水!$X$142="应付机械运输费",资金流水!$X$142="应付其他款")),INT(资金流水!$B$142)*10000+137,"")</f>
      </c>
      <c r="BE138" s="2">
        <f>BE100+SUM(CE101:CE138)</f>
        <v>0</v>
      </c>
      <c r="CA138" s="2">
        <f>IF(AND(OR(_余额!$B$140="材料供应商",_余额!$B$140="分包",_余额!$B$140="机械运输",_余额!$B$140="其他"),OR($C$3="全部",_余额!$B$140=$C$3),OR(_余额!$G$140&lt;&gt;0,_余额!$H$140&lt;&gt;0)),1,0)</f>
        <v>0</v>
      </c>
      <c r="CC138" s="2">
        <f>IF(AND($C$130&lt;&gt;"",期初余额!$P$142=$C$130),1,0)</f>
        <v>0</v>
      </c>
      <c r="CD138" s="2">
        <f>IF(($C$130&lt;&gt;"")*(应付登记!$D$142=$C$130)*ISNUMBER(应付登记!$J$142)*(应付登记!$J$142&gt;=_辅助!$J$4)*(应付登记!$J$142&lt;=_辅助!$J$2),1,0)</f>
        <v>0</v>
      </c>
      <c r="CE138" s="2">
        <f>IF(($C$130&lt;&gt;"")*(代发抵账!$E$142=$C$130)*(代发抵账!$D$142="总包代付材料分包款")*ISNUMBER(代发抵账!$H$142)*(代发抵账!$H$142&lt;=_辅助!$J$2),1,0)</f>
        <v>0</v>
      </c>
    </row>
    <row r="139">
      <c r="A139" s="94">
        <f>IF($AW139+$AX139=0,"",7)</f>
        <v>7</v>
      </c>
      <c r="B139" s="95" t="str">
        <f t="shared" si="25"/>
        <v>期初</v>
      </c>
      <c r="C139" s="96" t="str">
        <f t="shared" si="27"/>
        <v>抚州8号楼</v>
      </c>
      <c r="D139" s="96" t="str">
        <f t="shared" si="1"/>
        <v>建账前累计（已付 136,161.54）</v>
      </c>
      <c r="E139" s="21">
        <f t="shared" si="4"/>
        <v>165801.94</v>
      </c>
      <c r="G139" s="94">
        <f>IF($AU139+$AV139=0,"",7)</f>
      </c>
      <c r="H139" s="95">
        <f t="shared" si="7"/>
      </c>
      <c r="I139" s="96">
        <f t="shared" si="9"/>
      </c>
      <c r="J139" s="96">
        <f t="shared" si="29"/>
      </c>
      <c r="K139" s="21">
        <f t="shared" si="11"/>
      </c>
      <c r="AU139" s="2">
        <f>IF(AND(6&gt;=1,6&lt;=$BD$1),IF(6&gt;$BD$1,0,MOD(SMALL($BD$2:$BD$2001,6),10000)),0)</f>
        <v>0</v>
      </c>
      <c r="AV139" s="2">
        <f>IF(AND(6&gt;$BD$1,6&lt;=$BD$1+$BE$300),IF(6-$BD$1&gt;$BE$300,0,IFERROR(MATCH(6-$BD$1,$BE$1:$BE$300,0),0)),0)</f>
        <v>0</v>
      </c>
      <c r="AW139" s="2">
        <f>IF(7&lt;=$BB$200,IF(7&gt;$BB$200,0,IFERROR(MATCH(7,$BB$1:$BB$200,0),0)),0)</f>
        <v>7</v>
      </c>
      <c r="AX139" s="2">
        <f>IF(AND(7&gt;$BB$200,7&lt;=$BB$200+$BC$1000),IF(7-$BB$200&gt;$BC$1000,0,IFERROR(MATCH(7-$BB$200,$BC$1:$BC$1000,0),0)),0)</f>
        <v>0</v>
      </c>
      <c r="AZ139" s="2">
        <f>AZ100+SUM(CA101:CA139)</f>
        <v>29</v>
      </c>
      <c r="BB139" s="2">
        <f>BB100+SUM(CC101:CC139)</f>
        <v>8</v>
      </c>
      <c r="BC139" s="2">
        <f>BC100+SUM(CD101:CD139)</f>
        <v>0</v>
      </c>
      <c r="BD139" s="2">
        <f>IF(AND($C$130&lt;&gt;"",资金流水!$J$143=$C$130,ISNUMBER(资金流水!$B$143),ISNUMBER(资金流水!$S$143),资金流水!$S$143&gt;=_辅助!$J$4,资金流水!$S$143&lt;=_辅助!$J$2,OR(资金流水!$X$143="应付材料款",资金流水!$X$143="应付分包款",资金流水!$X$143="应付机械运输费",资金流水!$X$143="应付其他款")),INT(资金流水!$B$143)*10000+138,"")</f>
      </c>
      <c r="BE139" s="2">
        <f>BE100+SUM(CE101:CE139)</f>
        <v>0</v>
      </c>
      <c r="CA139" s="2">
        <f>IF(AND(OR(_余额!$B$141="材料供应商",_余额!$B$141="分包",_余额!$B$141="机械运输",_余额!$B$141="其他"),OR($C$3="全部",_余额!$B$141=$C$3),OR(_余额!$G$141&lt;&gt;0,_余额!$H$141&lt;&gt;0)),1,0)</f>
        <v>0</v>
      </c>
      <c r="CC139" s="2">
        <f>IF(AND($C$130&lt;&gt;"",期初余额!$P$143=$C$130),1,0)</f>
        <v>0</v>
      </c>
      <c r="CD139" s="2">
        <f>IF(($C$130&lt;&gt;"")*(应付登记!$D$143=$C$130)*ISNUMBER(应付登记!$J$143)*(应付登记!$J$143&gt;=_辅助!$J$4)*(应付登记!$J$143&lt;=_辅助!$J$2),1,0)</f>
        <v>0</v>
      </c>
      <c r="CE139" s="2">
        <f>IF(($C$130&lt;&gt;"")*(代发抵账!$E$143=$C$130)*(代发抵账!$D$143="总包代付材料分包款")*ISNUMBER(代发抵账!$H$143)*(代发抵账!$H$143&lt;=_辅助!$J$2),1,0)</f>
        <v>0</v>
      </c>
    </row>
    <row r="140">
      <c r="A140" s="94">
        <f>IF($AW140+$AX140=0,"",8)</f>
        <v>8</v>
      </c>
      <c r="B140" s="95" t="str">
        <f t="shared" si="25"/>
        <v>期初</v>
      </c>
      <c r="C140" s="96">
        <f t="shared" si="27"/>
      </c>
      <c r="D140" s="96" t="str">
        <f t="shared" si="1"/>
        <v>建账前累计（已付 33,199.55）；应付总表里各项目栏合计比应付总额少的部分，项目请补</v>
      </c>
      <c r="E140" s="21">
        <f t="shared" si="4"/>
        <v>40426.61</v>
      </c>
      <c r="G140" s="94">
        <f>IF($AU140+$AV140=0,"",8)</f>
      </c>
      <c r="H140" s="95">
        <f t="shared" si="7"/>
      </c>
      <c r="I140" s="96">
        <f t="shared" si="9"/>
      </c>
      <c r="J140" s="96">
        <f t="shared" si="29"/>
      </c>
      <c r="K140" s="21">
        <f t="shared" si="11"/>
      </c>
      <c r="AU140" s="2">
        <f>IF(AND(7&gt;=1,7&lt;=$BD$1),IF(7&gt;$BD$1,0,MOD(SMALL($BD$2:$BD$2001,7),10000)),0)</f>
        <v>0</v>
      </c>
      <c r="AV140" s="2">
        <f>IF(AND(7&gt;$BD$1,7&lt;=$BD$1+$BE$300),IF(7-$BD$1&gt;$BE$300,0,IFERROR(MATCH(7-$BD$1,$BE$1:$BE$300,0),0)),0)</f>
        <v>0</v>
      </c>
      <c r="AW140" s="2">
        <f>IF(8&lt;=$BB$200,IF(8&gt;$BB$200,0,IFERROR(MATCH(8,$BB$1:$BB$200,0),0)),0)</f>
        <v>8</v>
      </c>
      <c r="AX140" s="2">
        <f>IF(AND(8&gt;$BB$200,8&lt;=$BB$200+$BC$1000),IF(8-$BB$200&gt;$BC$1000,0,IFERROR(MATCH(8-$BB$200,$BC$1:$BC$1000,0),0)),0)</f>
        <v>0</v>
      </c>
      <c r="AZ140" s="2">
        <f>AZ100+SUM(CA101:CA140)</f>
        <v>29</v>
      </c>
      <c r="BB140" s="2">
        <f>BB100+SUM(CC101:CC140)</f>
        <v>8</v>
      </c>
      <c r="BC140" s="2">
        <f>BC100+SUM(CD101:CD140)</f>
        <v>0</v>
      </c>
      <c r="BD140" s="2">
        <f>IF(AND($C$130&lt;&gt;"",资金流水!$J$144=$C$130,ISNUMBER(资金流水!$B$144),ISNUMBER(资金流水!$S$144),资金流水!$S$144&gt;=_辅助!$J$4,资金流水!$S$144&lt;=_辅助!$J$2,OR(资金流水!$X$144="应付材料款",资金流水!$X$144="应付分包款",资金流水!$X$144="应付机械运输费",资金流水!$X$144="应付其他款")),INT(资金流水!$B$144)*10000+139,"")</f>
      </c>
      <c r="BE140" s="2">
        <f>BE100+SUM(CE101:CE140)</f>
        <v>0</v>
      </c>
      <c r="CA140" s="2">
        <f>IF(AND(OR(_余额!$B$142="材料供应商",_余额!$B$142="分包",_余额!$B$142="机械运输",_余额!$B$142="其他"),OR($C$3="全部",_余额!$B$142=$C$3),OR(_余额!$G$142&lt;&gt;0,_余额!$H$142&lt;&gt;0)),1,0)</f>
        <v>0</v>
      </c>
      <c r="CC140" s="2">
        <f>IF(AND($C$130&lt;&gt;"",期初余额!$P$144=$C$130),1,0)</f>
        <v>0</v>
      </c>
      <c r="CD140" s="2">
        <f>IF(($C$130&lt;&gt;"")*(应付登记!$D$144=$C$130)*ISNUMBER(应付登记!$J$144)*(应付登记!$J$144&gt;=_辅助!$J$4)*(应付登记!$J$144&lt;=_辅助!$J$2),1,0)</f>
        <v>0</v>
      </c>
      <c r="CE140" s="2">
        <f>IF(($C$130&lt;&gt;"")*(代发抵账!$E$144=$C$130)*(代发抵账!$D$144="总包代付材料分包款")*ISNUMBER(代发抵账!$H$144)*(代发抵账!$H$144&lt;=_辅助!$J$2),1,0)</f>
        <v>0</v>
      </c>
    </row>
    <row r="141">
      <c r="A141" s="94">
        <f>IF($AW141+$AX141=0,"",9)</f>
      </c>
      <c r="B141" s="95">
        <f t="shared" si="25"/>
      </c>
      <c r="C141" s="96">
        <f t="shared" si="27"/>
      </c>
      <c r="D141" s="96">
        <f t="shared" si="1"/>
      </c>
      <c r="E141" s="21">
        <f t="shared" si="4"/>
      </c>
      <c r="G141" s="94">
        <f>IF($AU141+$AV141=0,"",9)</f>
      </c>
      <c r="H141" s="95">
        <f t="shared" si="7"/>
      </c>
      <c r="I141" s="96">
        <f t="shared" si="9"/>
      </c>
      <c r="J141" s="96">
        <f t="shared" si="29"/>
      </c>
      <c r="K141" s="21">
        <f t="shared" si="11"/>
      </c>
      <c r="AU141" s="2">
        <f>IF(AND(8&gt;=1,8&lt;=$BD$1),IF(8&gt;$BD$1,0,MOD(SMALL($BD$2:$BD$2001,8),10000)),0)</f>
        <v>0</v>
      </c>
      <c r="AV141" s="2">
        <f>IF(AND(8&gt;$BD$1,8&lt;=$BD$1+$BE$300),IF(8-$BD$1&gt;$BE$300,0,IFERROR(MATCH(8-$BD$1,$BE$1:$BE$300,0),0)),0)</f>
        <v>0</v>
      </c>
      <c r="AW141" s="2">
        <f>IF(9&lt;=$BB$200,IF(9&gt;$BB$200,0,IFERROR(MATCH(9,$BB$1:$BB$200,0),0)),0)</f>
        <v>0</v>
      </c>
      <c r="AX141" s="2">
        <f>IF(AND(9&gt;$BB$200,9&lt;=$BB$200+$BC$1000),IF(9-$BB$200&gt;$BC$1000,0,IFERROR(MATCH(9-$BB$200,$BC$1:$BC$1000,0),0)),0)</f>
        <v>0</v>
      </c>
      <c r="AZ141" s="2">
        <f>AZ100+SUM(CA101:CA141)</f>
        <v>29</v>
      </c>
      <c r="BB141" s="2">
        <f>BB100+SUM(CC101:CC141)</f>
        <v>8</v>
      </c>
      <c r="BC141" s="2">
        <f>BC100+SUM(CD101:CD141)</f>
        <v>0</v>
      </c>
      <c r="BD141" s="2">
        <f>IF(AND($C$130&lt;&gt;"",资金流水!$J$145=$C$130,ISNUMBER(资金流水!$B$145),ISNUMBER(资金流水!$S$145),资金流水!$S$145&gt;=_辅助!$J$4,资金流水!$S$145&lt;=_辅助!$J$2,OR(资金流水!$X$145="应付材料款",资金流水!$X$145="应付分包款",资金流水!$X$145="应付机械运输费",资金流水!$X$145="应付其他款")),INT(资金流水!$B$145)*10000+140,"")</f>
      </c>
      <c r="BE141" s="2">
        <f>BE100+SUM(CE101:CE141)</f>
        <v>0</v>
      </c>
      <c r="CA141" s="2">
        <f>IF(AND(OR(_余额!$B$143="材料供应商",_余额!$B$143="分包",_余额!$B$143="机械运输",_余额!$B$143="其他"),OR($C$3="全部",_余额!$B$143=$C$3),OR(_余额!$G$143&lt;&gt;0,_余额!$H$143&lt;&gt;0)),1,0)</f>
        <v>0</v>
      </c>
      <c r="CC141" s="2">
        <f>IF(AND($C$130&lt;&gt;"",期初余额!$P$145=$C$130),1,0)</f>
        <v>0</v>
      </c>
      <c r="CD141" s="2">
        <f>IF(($C$130&lt;&gt;"")*(应付登记!$D$145=$C$130)*ISNUMBER(应付登记!$J$145)*(应付登记!$J$145&gt;=_辅助!$J$4)*(应付登记!$J$145&lt;=_辅助!$J$2),1,0)</f>
        <v>0</v>
      </c>
      <c r="CE141" s="2">
        <f>IF(($C$130&lt;&gt;"")*(代发抵账!$E$145=$C$130)*(代发抵账!$D$145="总包代付材料分包款")*ISNUMBER(代发抵账!$H$145)*(代发抵账!$H$145&lt;=_辅助!$J$2),1,0)</f>
        <v>0</v>
      </c>
    </row>
    <row r="142">
      <c r="A142" s="94">
        <f>IF($AW142+$AX142=0,"",10)</f>
      </c>
      <c r="B142" s="95">
        <f t="shared" si="25"/>
      </c>
      <c r="C142" s="96">
        <f t="shared" si="27"/>
      </c>
      <c r="D142" s="96">
        <f t="shared" si="1"/>
      </c>
      <c r="E142" s="21">
        <f t="shared" si="4"/>
      </c>
      <c r="G142" s="94">
        <f>IF($AU142+$AV142=0,"",10)</f>
      </c>
      <c r="H142" s="95">
        <f t="shared" si="7"/>
      </c>
      <c r="I142" s="96">
        <f t="shared" si="9"/>
      </c>
      <c r="J142" s="96">
        <f t="shared" si="29"/>
      </c>
      <c r="K142" s="21">
        <f t="shared" si="11"/>
      </c>
      <c r="AU142" s="2">
        <f>IF(AND(9&gt;=1,9&lt;=$BD$1),IF(9&gt;$BD$1,0,MOD(SMALL($BD$2:$BD$2001,9),10000)),0)</f>
        <v>0</v>
      </c>
      <c r="AV142" s="2">
        <f>IF(AND(9&gt;$BD$1,9&lt;=$BD$1+$BE$300),IF(9-$BD$1&gt;$BE$300,0,IFERROR(MATCH(9-$BD$1,$BE$1:$BE$300,0),0)),0)</f>
        <v>0</v>
      </c>
      <c r="AW142" s="2">
        <f>IF(10&lt;=$BB$200,IF(10&gt;$BB$200,0,IFERROR(MATCH(10,$BB$1:$BB$200,0),0)),0)</f>
        <v>0</v>
      </c>
      <c r="AX142" s="2">
        <f>IF(AND(10&gt;$BB$200,10&lt;=$BB$200+$BC$1000),IF(10-$BB$200&gt;$BC$1000,0,IFERROR(MATCH(10-$BB$200,$BC$1:$BC$1000,0),0)),0)</f>
        <v>0</v>
      </c>
      <c r="AZ142" s="2">
        <f>AZ100+SUM(CA101:CA142)</f>
        <v>29</v>
      </c>
      <c r="BB142" s="2">
        <f>BB100+SUM(CC101:CC142)</f>
        <v>8</v>
      </c>
      <c r="BC142" s="2">
        <f>BC100+SUM(CD101:CD142)</f>
        <v>0</v>
      </c>
      <c r="BD142" s="2">
        <f>IF(AND($C$130&lt;&gt;"",资金流水!$J$146=$C$130,ISNUMBER(资金流水!$B$146),ISNUMBER(资金流水!$S$146),资金流水!$S$146&gt;=_辅助!$J$4,资金流水!$S$146&lt;=_辅助!$J$2,OR(资金流水!$X$146="应付材料款",资金流水!$X$146="应付分包款",资金流水!$X$146="应付机械运输费",资金流水!$X$146="应付其他款")),INT(资金流水!$B$146)*10000+141,"")</f>
      </c>
      <c r="BE142" s="2">
        <f>BE100+SUM(CE101:CE142)</f>
        <v>0</v>
      </c>
      <c r="CA142" s="2">
        <f>IF(AND(OR(_余额!$B$144="材料供应商",_余额!$B$144="分包",_余额!$B$144="机械运输",_余额!$B$144="其他"),OR($C$3="全部",_余额!$B$144=$C$3),OR(_余额!$G$144&lt;&gt;0,_余额!$H$144&lt;&gt;0)),1,0)</f>
        <v>0</v>
      </c>
      <c r="CC142" s="2">
        <f>IF(AND($C$130&lt;&gt;"",期初余额!$P$146=$C$130),1,0)</f>
        <v>0</v>
      </c>
      <c r="CD142" s="2">
        <f>IF(($C$130&lt;&gt;"")*(应付登记!$D$146=$C$130)*ISNUMBER(应付登记!$J$146)*(应付登记!$J$146&gt;=_辅助!$J$4)*(应付登记!$J$146&lt;=_辅助!$J$2),1,0)</f>
        <v>0</v>
      </c>
      <c r="CE142" s="2">
        <f>IF(($C$130&lt;&gt;"")*(代发抵账!$E$146=$C$130)*(代发抵账!$D$146="总包代付材料分包款")*ISNUMBER(代发抵账!$H$146)*(代发抵账!$H$146&lt;=_辅助!$J$2),1,0)</f>
        <v>0</v>
      </c>
    </row>
    <row r="143">
      <c r="A143" s="94">
        <f>IF($AW143+$AX143=0,"",11)</f>
      </c>
      <c r="B143" s="95">
        <f t="shared" si="25"/>
      </c>
      <c r="C143" s="96">
        <f t="shared" si="27"/>
      </c>
      <c r="D143" s="96">
        <f t="shared" si="1"/>
      </c>
      <c r="E143" s="21">
        <f t="shared" si="4"/>
      </c>
      <c r="G143" s="94">
        <f>IF($AU143+$AV143=0,"",11)</f>
      </c>
      <c r="H143" s="95">
        <f t="shared" si="7"/>
      </c>
      <c r="I143" s="96">
        <f t="shared" si="9"/>
      </c>
      <c r="J143" s="96">
        <f t="shared" si="29"/>
      </c>
      <c r="K143" s="21">
        <f t="shared" si="11"/>
      </c>
      <c r="AU143" s="2">
        <f>IF(AND(10&gt;=1,10&lt;=$BD$1),IF(10&gt;$BD$1,0,MOD(SMALL($BD$2:$BD$2001,10),10000)),0)</f>
        <v>0</v>
      </c>
      <c r="AV143" s="2">
        <f>IF(AND(10&gt;$BD$1,10&lt;=$BD$1+$BE$300),IF(10-$BD$1&gt;$BE$300,0,IFERROR(MATCH(10-$BD$1,$BE$1:$BE$300,0),0)),0)</f>
        <v>0</v>
      </c>
      <c r="AW143" s="2">
        <f>IF(11&lt;=$BB$200,IF(11&gt;$BB$200,0,IFERROR(MATCH(11,$BB$1:$BB$200,0),0)),0)</f>
        <v>0</v>
      </c>
      <c r="AX143" s="2">
        <f>IF(AND(11&gt;$BB$200,11&lt;=$BB$200+$BC$1000),IF(11-$BB$200&gt;$BC$1000,0,IFERROR(MATCH(11-$BB$200,$BC$1:$BC$1000,0),0)),0)</f>
        <v>0</v>
      </c>
      <c r="AZ143" s="2">
        <f>AZ100+SUM(CA101:CA143)</f>
        <v>29</v>
      </c>
      <c r="BB143" s="2">
        <f>BB100+SUM(CC101:CC143)</f>
        <v>8</v>
      </c>
      <c r="BC143" s="2">
        <f>BC100+SUM(CD101:CD143)</f>
        <v>0</v>
      </c>
      <c r="BD143" s="2">
        <f>IF(AND($C$130&lt;&gt;"",资金流水!$J$147=$C$130,ISNUMBER(资金流水!$B$147),ISNUMBER(资金流水!$S$147),资金流水!$S$147&gt;=_辅助!$J$4,资金流水!$S$147&lt;=_辅助!$J$2,OR(资金流水!$X$147="应付材料款",资金流水!$X$147="应付分包款",资金流水!$X$147="应付机械运输费",资金流水!$X$147="应付其他款")),INT(资金流水!$B$147)*10000+142,"")</f>
      </c>
      <c r="BE143" s="2">
        <f>BE100+SUM(CE101:CE143)</f>
        <v>0</v>
      </c>
      <c r="CA143" s="2">
        <f>IF(AND(OR(_余额!$B$145="材料供应商",_余额!$B$145="分包",_余额!$B$145="机械运输",_余额!$B$145="其他"),OR($C$3="全部",_余额!$B$145=$C$3),OR(_余额!$G$145&lt;&gt;0,_余额!$H$145&lt;&gt;0)),1,0)</f>
        <v>0</v>
      </c>
      <c r="CC143" s="2">
        <f>IF(AND($C$130&lt;&gt;"",期初余额!$P$147=$C$130),1,0)</f>
        <v>0</v>
      </c>
      <c r="CD143" s="2">
        <f>IF(($C$130&lt;&gt;"")*(应付登记!$D$147=$C$130)*ISNUMBER(应付登记!$J$147)*(应付登记!$J$147&gt;=_辅助!$J$4)*(应付登记!$J$147&lt;=_辅助!$J$2),1,0)</f>
        <v>0</v>
      </c>
      <c r="CE143" s="2">
        <f>IF(($C$130&lt;&gt;"")*(代发抵账!$E$147=$C$130)*(代发抵账!$D$147="总包代付材料分包款")*ISNUMBER(代发抵账!$H$147)*(代发抵账!$H$147&lt;=_辅助!$J$2),1,0)</f>
        <v>0</v>
      </c>
    </row>
    <row r="144">
      <c r="A144" s="94">
        <f>IF($AW144+$AX144=0,"",12)</f>
      </c>
      <c r="B144" s="95">
        <f t="shared" si="25"/>
      </c>
      <c r="C144" s="96">
        <f t="shared" si="27"/>
      </c>
      <c r="D144" s="96">
        <f t="shared" si="1"/>
      </c>
      <c r="E144" s="21">
        <f t="shared" si="4"/>
      </c>
      <c r="G144" s="94">
        <f>IF($AU144+$AV144=0,"",12)</f>
      </c>
      <c r="H144" s="95">
        <f t="shared" si="7"/>
      </c>
      <c r="I144" s="96">
        <f t="shared" si="9"/>
      </c>
      <c r="J144" s="96">
        <f t="shared" si="29"/>
      </c>
      <c r="K144" s="21">
        <f t="shared" si="11"/>
      </c>
      <c r="AU144" s="2">
        <f>IF(AND(11&gt;=1,11&lt;=$BD$1),IF(11&gt;$BD$1,0,MOD(SMALL($BD$2:$BD$2001,11),10000)),0)</f>
        <v>0</v>
      </c>
      <c r="AV144" s="2">
        <f>IF(AND(11&gt;$BD$1,11&lt;=$BD$1+$BE$300),IF(11-$BD$1&gt;$BE$300,0,IFERROR(MATCH(11-$BD$1,$BE$1:$BE$300,0),0)),0)</f>
        <v>0</v>
      </c>
      <c r="AW144" s="2">
        <f>IF(12&lt;=$BB$200,IF(12&gt;$BB$200,0,IFERROR(MATCH(12,$BB$1:$BB$200,0),0)),0)</f>
        <v>0</v>
      </c>
      <c r="AX144" s="2">
        <f>IF(AND(12&gt;$BB$200,12&lt;=$BB$200+$BC$1000),IF(12-$BB$200&gt;$BC$1000,0,IFERROR(MATCH(12-$BB$200,$BC$1:$BC$1000,0),0)),0)</f>
        <v>0</v>
      </c>
      <c r="AZ144" s="2">
        <f>AZ100+SUM(CA101:CA144)</f>
        <v>29</v>
      </c>
      <c r="BB144" s="2">
        <f>BB100+SUM(CC101:CC144)</f>
        <v>8</v>
      </c>
      <c r="BC144" s="2">
        <f>BC100+SUM(CD101:CD144)</f>
        <v>0</v>
      </c>
      <c r="BD144" s="2">
        <f>IF(AND($C$130&lt;&gt;"",资金流水!$J$148=$C$130,ISNUMBER(资金流水!$B$148),ISNUMBER(资金流水!$S$148),资金流水!$S$148&gt;=_辅助!$J$4,资金流水!$S$148&lt;=_辅助!$J$2,OR(资金流水!$X$148="应付材料款",资金流水!$X$148="应付分包款",资金流水!$X$148="应付机械运输费",资金流水!$X$148="应付其他款")),INT(资金流水!$B$148)*10000+143,"")</f>
      </c>
      <c r="BE144" s="2">
        <f>BE100+SUM(CE101:CE144)</f>
        <v>0</v>
      </c>
      <c r="CA144" s="2">
        <f>IF(AND(OR(_余额!$B$146="材料供应商",_余额!$B$146="分包",_余额!$B$146="机械运输",_余额!$B$146="其他"),OR($C$3="全部",_余额!$B$146=$C$3),OR(_余额!$G$146&lt;&gt;0,_余额!$H$146&lt;&gt;0)),1,0)</f>
        <v>0</v>
      </c>
      <c r="CC144" s="2">
        <f>IF(AND($C$130&lt;&gt;"",期初余额!$P$148=$C$130),1,0)</f>
        <v>0</v>
      </c>
      <c r="CD144" s="2">
        <f>IF(($C$130&lt;&gt;"")*(应付登记!$D$148=$C$130)*ISNUMBER(应付登记!$J$148)*(应付登记!$J$148&gt;=_辅助!$J$4)*(应付登记!$J$148&lt;=_辅助!$J$2),1,0)</f>
        <v>0</v>
      </c>
      <c r="CE144" s="2">
        <f>IF(($C$130&lt;&gt;"")*(代发抵账!$E$148=$C$130)*(代发抵账!$D$148="总包代付材料分包款")*ISNUMBER(代发抵账!$H$148)*(代发抵账!$H$148&lt;=_辅助!$J$2),1,0)</f>
        <v>0</v>
      </c>
    </row>
    <row r="145">
      <c r="A145" s="94">
        <f>IF($AW145+$AX145=0,"",13)</f>
      </c>
      <c r="B145" s="95">
        <f t="shared" si="25"/>
      </c>
      <c r="C145" s="96">
        <f t="shared" si="27"/>
      </c>
      <c r="D145" s="96">
        <f t="shared" si="1"/>
      </c>
      <c r="E145" s="21">
        <f t="shared" si="4"/>
      </c>
      <c r="G145" s="94">
        <f>IF($AU145+$AV145=0,"",13)</f>
      </c>
      <c r="H145" s="95">
        <f t="shared" si="7"/>
      </c>
      <c r="I145" s="96">
        <f t="shared" si="9"/>
      </c>
      <c r="J145" s="96">
        <f t="shared" si="29"/>
      </c>
      <c r="K145" s="21">
        <f t="shared" si="11"/>
      </c>
      <c r="AU145" s="2">
        <f>IF(AND(12&gt;=1,12&lt;=$BD$1),IF(12&gt;$BD$1,0,MOD(SMALL($BD$2:$BD$2001,12),10000)),0)</f>
        <v>0</v>
      </c>
      <c r="AV145" s="2">
        <f>IF(AND(12&gt;$BD$1,12&lt;=$BD$1+$BE$300),IF(12-$BD$1&gt;$BE$300,0,IFERROR(MATCH(12-$BD$1,$BE$1:$BE$300,0),0)),0)</f>
        <v>0</v>
      </c>
      <c r="AW145" s="2">
        <f>IF(13&lt;=$BB$200,IF(13&gt;$BB$200,0,IFERROR(MATCH(13,$BB$1:$BB$200,0),0)),0)</f>
        <v>0</v>
      </c>
      <c r="AX145" s="2">
        <f>IF(AND(13&gt;$BB$200,13&lt;=$BB$200+$BC$1000),IF(13-$BB$200&gt;$BC$1000,0,IFERROR(MATCH(13-$BB$200,$BC$1:$BC$1000,0),0)),0)</f>
        <v>0</v>
      </c>
      <c r="AZ145" s="2">
        <f>AZ100+SUM(CA101:CA145)</f>
        <v>29</v>
      </c>
      <c r="BB145" s="2">
        <f>BB100+SUM(CC101:CC145)</f>
        <v>8</v>
      </c>
      <c r="BC145" s="2">
        <f>BC100+SUM(CD101:CD145)</f>
        <v>0</v>
      </c>
      <c r="BD145" s="2">
        <f>IF(AND($C$130&lt;&gt;"",资金流水!$J$149=$C$130,ISNUMBER(资金流水!$B$149),ISNUMBER(资金流水!$S$149),资金流水!$S$149&gt;=_辅助!$J$4,资金流水!$S$149&lt;=_辅助!$J$2,OR(资金流水!$X$149="应付材料款",资金流水!$X$149="应付分包款",资金流水!$X$149="应付机械运输费",资金流水!$X$149="应付其他款")),INT(资金流水!$B$149)*10000+144,"")</f>
      </c>
      <c r="BE145" s="2">
        <f>BE100+SUM(CE101:CE145)</f>
        <v>0</v>
      </c>
      <c r="CA145" s="2">
        <f>IF(AND(OR(_余额!$B$147="材料供应商",_余额!$B$147="分包",_余额!$B$147="机械运输",_余额!$B$147="其他"),OR($C$3="全部",_余额!$B$147=$C$3),OR(_余额!$G$147&lt;&gt;0,_余额!$H$147&lt;&gt;0)),1,0)</f>
        <v>0</v>
      </c>
      <c r="CC145" s="2">
        <f>IF(AND($C$130&lt;&gt;"",期初余额!$P$149=$C$130),1,0)</f>
        <v>0</v>
      </c>
      <c r="CD145" s="2">
        <f>IF(($C$130&lt;&gt;"")*(应付登记!$D$149=$C$130)*ISNUMBER(应付登记!$J$149)*(应付登记!$J$149&gt;=_辅助!$J$4)*(应付登记!$J$149&lt;=_辅助!$J$2),1,0)</f>
        <v>0</v>
      </c>
      <c r="CE145" s="2">
        <f>IF(($C$130&lt;&gt;"")*(代发抵账!$E$149=$C$130)*(代发抵账!$D$149="总包代付材料分包款")*ISNUMBER(代发抵账!$H$149)*(代发抵账!$H$149&lt;=_辅助!$J$2),1,0)</f>
        <v>0</v>
      </c>
    </row>
    <row r="146">
      <c r="A146" s="94">
        <f>IF($AW146+$AX146=0,"",14)</f>
      </c>
      <c r="B146" s="95">
        <f t="shared" si="25"/>
      </c>
      <c r="C146" s="96">
        <f t="shared" si="27"/>
      </c>
      <c r="D146" s="96">
        <f t="shared" si="1"/>
      </c>
      <c r="E146" s="21">
        <f t="shared" si="4"/>
      </c>
      <c r="G146" s="94">
        <f>IF($AU146+$AV146=0,"",14)</f>
      </c>
      <c r="H146" s="95">
        <f t="shared" si="7"/>
      </c>
      <c r="I146" s="96">
        <f t="shared" si="9"/>
      </c>
      <c r="J146" s="96">
        <f t="shared" si="29"/>
      </c>
      <c r="K146" s="21">
        <f t="shared" si="11"/>
      </c>
      <c r="AU146" s="2">
        <f>IF(AND(13&gt;=1,13&lt;=$BD$1),IF(13&gt;$BD$1,0,MOD(SMALL($BD$2:$BD$2001,13),10000)),0)</f>
        <v>0</v>
      </c>
      <c r="AV146" s="2">
        <f>IF(AND(13&gt;$BD$1,13&lt;=$BD$1+$BE$300),IF(13-$BD$1&gt;$BE$300,0,IFERROR(MATCH(13-$BD$1,$BE$1:$BE$300,0),0)),0)</f>
        <v>0</v>
      </c>
      <c r="AW146" s="2">
        <f>IF(14&lt;=$BB$200,IF(14&gt;$BB$200,0,IFERROR(MATCH(14,$BB$1:$BB$200,0),0)),0)</f>
        <v>0</v>
      </c>
      <c r="AX146" s="2">
        <f>IF(AND(14&gt;$BB$200,14&lt;=$BB$200+$BC$1000),IF(14-$BB$200&gt;$BC$1000,0,IFERROR(MATCH(14-$BB$200,$BC$1:$BC$1000,0),0)),0)</f>
        <v>0</v>
      </c>
      <c r="AZ146" s="2">
        <f>AZ100+SUM(CA101:CA146)</f>
        <v>29</v>
      </c>
      <c r="BB146" s="2">
        <f>BB100+SUM(CC101:CC146)</f>
        <v>8</v>
      </c>
      <c r="BC146" s="2">
        <f>BC100+SUM(CD101:CD146)</f>
        <v>0</v>
      </c>
      <c r="BD146" s="2">
        <f>IF(AND($C$130&lt;&gt;"",资金流水!$J$150=$C$130,ISNUMBER(资金流水!$B$150),ISNUMBER(资金流水!$S$150),资金流水!$S$150&gt;=_辅助!$J$4,资金流水!$S$150&lt;=_辅助!$J$2,OR(资金流水!$X$150="应付材料款",资金流水!$X$150="应付分包款",资金流水!$X$150="应付机械运输费",资金流水!$X$150="应付其他款")),INT(资金流水!$B$150)*10000+145,"")</f>
      </c>
      <c r="BE146" s="2">
        <f>BE100+SUM(CE101:CE146)</f>
        <v>0</v>
      </c>
      <c r="CA146" s="2">
        <f>IF(AND(OR(_余额!$B$148="材料供应商",_余额!$B$148="分包",_余额!$B$148="机械运输",_余额!$B$148="其他"),OR($C$3="全部",_余额!$B$148=$C$3),OR(_余额!$G$148&lt;&gt;0,_余额!$H$148&lt;&gt;0)),1,0)</f>
        <v>0</v>
      </c>
      <c r="CC146" s="2">
        <f>IF(AND($C$130&lt;&gt;"",期初余额!$P$150=$C$130),1,0)</f>
        <v>0</v>
      </c>
      <c r="CD146" s="2">
        <f>IF(($C$130&lt;&gt;"")*(应付登记!$D$150=$C$130)*ISNUMBER(应付登记!$J$150)*(应付登记!$J$150&gt;=_辅助!$J$4)*(应付登记!$J$150&lt;=_辅助!$J$2),1,0)</f>
        <v>0</v>
      </c>
      <c r="CE146" s="2">
        <f>IF(($C$130&lt;&gt;"")*(代发抵账!$E$150=$C$130)*(代发抵账!$D$150="总包代付材料分包款")*ISNUMBER(代发抵账!$H$150)*(代发抵账!$H$150&lt;=_辅助!$J$2),1,0)</f>
        <v>0</v>
      </c>
    </row>
    <row r="147">
      <c r="A147" s="94">
        <f>IF($AW147+$AX147=0,"",15)</f>
      </c>
      <c r="B147" s="95">
        <f t="shared" si="25"/>
      </c>
      <c r="C147" s="96">
        <f t="shared" si="27"/>
      </c>
      <c r="D147" s="96">
        <f t="shared" si="1"/>
      </c>
      <c r="E147" s="21">
        <f t="shared" si="4"/>
      </c>
      <c r="G147" s="94">
        <f>IF($AU147+$AV147=0,"",15)</f>
      </c>
      <c r="H147" s="95">
        <f t="shared" si="7"/>
      </c>
      <c r="I147" s="96">
        <f t="shared" si="9"/>
      </c>
      <c r="J147" s="96">
        <f t="shared" si="29"/>
      </c>
      <c r="K147" s="21">
        <f t="shared" si="11"/>
      </c>
      <c r="AU147" s="2">
        <f>IF(AND(14&gt;=1,14&lt;=$BD$1),IF(14&gt;$BD$1,0,MOD(SMALL($BD$2:$BD$2001,14),10000)),0)</f>
        <v>0</v>
      </c>
      <c r="AV147" s="2">
        <f>IF(AND(14&gt;$BD$1,14&lt;=$BD$1+$BE$300),IF(14-$BD$1&gt;$BE$300,0,IFERROR(MATCH(14-$BD$1,$BE$1:$BE$300,0),0)),0)</f>
        <v>0</v>
      </c>
      <c r="AW147" s="2">
        <f>IF(15&lt;=$BB$200,IF(15&gt;$BB$200,0,IFERROR(MATCH(15,$BB$1:$BB$200,0),0)),0)</f>
        <v>0</v>
      </c>
      <c r="AX147" s="2">
        <f>IF(AND(15&gt;$BB$200,15&lt;=$BB$200+$BC$1000),IF(15-$BB$200&gt;$BC$1000,0,IFERROR(MATCH(15-$BB$200,$BC$1:$BC$1000,0),0)),0)</f>
        <v>0</v>
      </c>
      <c r="AZ147" s="2">
        <f>AZ100+SUM(CA101:CA147)</f>
        <v>29</v>
      </c>
      <c r="BB147" s="2">
        <f>BB100+SUM(CC101:CC147)</f>
        <v>8</v>
      </c>
      <c r="BC147" s="2">
        <f>BC100+SUM(CD101:CD147)</f>
        <v>0</v>
      </c>
      <c r="BD147" s="2">
        <f>IF(AND($C$130&lt;&gt;"",资金流水!$J$151=$C$130,ISNUMBER(资金流水!$B$151),ISNUMBER(资金流水!$S$151),资金流水!$S$151&gt;=_辅助!$J$4,资金流水!$S$151&lt;=_辅助!$J$2,OR(资金流水!$X$151="应付材料款",资金流水!$X$151="应付分包款",资金流水!$X$151="应付机械运输费",资金流水!$X$151="应付其他款")),INT(资金流水!$B$151)*10000+146,"")</f>
      </c>
      <c r="BE147" s="2">
        <f>BE100+SUM(CE101:CE147)</f>
        <v>0</v>
      </c>
      <c r="CA147" s="2">
        <f>IF(AND(OR(_余额!$B$149="材料供应商",_余额!$B$149="分包",_余额!$B$149="机械运输",_余额!$B$149="其他"),OR($C$3="全部",_余额!$B$149=$C$3),OR(_余额!$G$149&lt;&gt;0,_余额!$H$149&lt;&gt;0)),1,0)</f>
        <v>0</v>
      </c>
      <c r="CC147" s="2">
        <f>IF(AND($C$130&lt;&gt;"",期初余额!$P$151=$C$130),1,0)</f>
        <v>0</v>
      </c>
      <c r="CD147" s="2">
        <f>IF(($C$130&lt;&gt;"")*(应付登记!$D$151=$C$130)*ISNUMBER(应付登记!$J$151)*(应付登记!$J$151&gt;=_辅助!$J$4)*(应付登记!$J$151&lt;=_辅助!$J$2),1,0)</f>
        <v>0</v>
      </c>
      <c r="CE147" s="2">
        <f>IF(($C$130&lt;&gt;"")*(代发抵账!$E$151=$C$130)*(代发抵账!$D$151="总包代付材料分包款")*ISNUMBER(代发抵账!$H$151)*(代发抵账!$H$151&lt;=_辅助!$J$2),1,0)</f>
        <v>0</v>
      </c>
    </row>
    <row r="148">
      <c r="A148" s="94">
        <f>IF($AW148+$AX148=0,"",16)</f>
      </c>
      <c r="B148" s="95">
        <f t="shared" si="25"/>
      </c>
      <c r="C148" s="96">
        <f t="shared" si="27"/>
      </c>
      <c r="D148" s="96">
        <f t="shared" si="1"/>
      </c>
      <c r="E148" s="21">
        <f t="shared" si="4"/>
      </c>
      <c r="G148" s="94">
        <f>IF($AU148+$AV148=0,"",16)</f>
      </c>
      <c r="H148" s="95">
        <f t="shared" si="7"/>
      </c>
      <c r="I148" s="96">
        <f t="shared" si="9"/>
      </c>
      <c r="J148" s="96">
        <f t="shared" si="29"/>
      </c>
      <c r="K148" s="21">
        <f t="shared" si="11"/>
      </c>
      <c r="AU148" s="2">
        <f>IF(AND(15&gt;=1,15&lt;=$BD$1),IF(15&gt;$BD$1,0,MOD(SMALL($BD$2:$BD$2001,15),10000)),0)</f>
        <v>0</v>
      </c>
      <c r="AV148" s="2">
        <f>IF(AND(15&gt;$BD$1,15&lt;=$BD$1+$BE$300),IF(15-$BD$1&gt;$BE$300,0,IFERROR(MATCH(15-$BD$1,$BE$1:$BE$300,0),0)),0)</f>
        <v>0</v>
      </c>
      <c r="AW148" s="2">
        <f>IF(16&lt;=$BB$200,IF(16&gt;$BB$200,0,IFERROR(MATCH(16,$BB$1:$BB$200,0),0)),0)</f>
        <v>0</v>
      </c>
      <c r="AX148" s="2">
        <f>IF(AND(16&gt;$BB$200,16&lt;=$BB$200+$BC$1000),IF(16-$BB$200&gt;$BC$1000,0,IFERROR(MATCH(16-$BB$200,$BC$1:$BC$1000,0),0)),0)</f>
        <v>0</v>
      </c>
      <c r="AZ148" s="2">
        <f>AZ100+SUM(CA101:CA148)</f>
        <v>29</v>
      </c>
      <c r="BB148" s="2">
        <f>BB100+SUM(CC101:CC148)</f>
        <v>8</v>
      </c>
      <c r="BC148" s="2">
        <f>BC100+SUM(CD101:CD148)</f>
        <v>0</v>
      </c>
      <c r="BD148" s="2">
        <f>IF(AND($C$130&lt;&gt;"",资金流水!$J$152=$C$130,ISNUMBER(资金流水!$B$152),ISNUMBER(资金流水!$S$152),资金流水!$S$152&gt;=_辅助!$J$4,资金流水!$S$152&lt;=_辅助!$J$2,OR(资金流水!$X$152="应付材料款",资金流水!$X$152="应付分包款",资金流水!$X$152="应付机械运输费",资金流水!$X$152="应付其他款")),INT(资金流水!$B$152)*10000+147,"")</f>
      </c>
      <c r="BE148" s="2">
        <f>BE100+SUM(CE101:CE148)</f>
        <v>0</v>
      </c>
      <c r="CA148" s="2">
        <f>IF(AND(OR(_余额!$B$150="材料供应商",_余额!$B$150="分包",_余额!$B$150="机械运输",_余额!$B$150="其他"),OR($C$3="全部",_余额!$B$150=$C$3),OR(_余额!$G$150&lt;&gt;0,_余额!$H$150&lt;&gt;0)),1,0)</f>
        <v>0</v>
      </c>
      <c r="CC148" s="2">
        <f>IF(AND($C$130&lt;&gt;"",期初余额!$P$152=$C$130),1,0)</f>
        <v>0</v>
      </c>
      <c r="CD148" s="2">
        <f>IF(($C$130&lt;&gt;"")*(应付登记!$D$152=$C$130)*ISNUMBER(应付登记!$J$152)*(应付登记!$J$152&gt;=_辅助!$J$4)*(应付登记!$J$152&lt;=_辅助!$J$2),1,0)</f>
        <v>0</v>
      </c>
      <c r="CE148" s="2">
        <f>IF(($C$130&lt;&gt;"")*(代发抵账!$E$152=$C$130)*(代发抵账!$D$152="总包代付材料分包款")*ISNUMBER(代发抵账!$H$152)*(代发抵账!$H$152&lt;=_辅助!$J$2),1,0)</f>
        <v>0</v>
      </c>
    </row>
    <row r="149">
      <c r="A149" s="94">
        <f>IF($AW149+$AX149=0,"",17)</f>
      </c>
      <c r="B149" s="95">
        <f t="shared" si="25"/>
      </c>
      <c r="C149" s="96">
        <f t="shared" si="27"/>
      </c>
      <c r="D149" s="96">
        <f t="shared" si="1"/>
      </c>
      <c r="E149" s="21">
        <f t="shared" si="4"/>
      </c>
      <c r="G149" s="94">
        <f>IF($AU149+$AV149=0,"",17)</f>
      </c>
      <c r="H149" s="95">
        <f t="shared" si="7"/>
      </c>
      <c r="I149" s="96">
        <f t="shared" si="9"/>
      </c>
      <c r="J149" s="96">
        <f t="shared" si="29"/>
      </c>
      <c r="K149" s="21">
        <f t="shared" si="11"/>
      </c>
      <c r="AU149" s="2">
        <f>IF(AND(16&gt;=1,16&lt;=$BD$1),IF(16&gt;$BD$1,0,MOD(SMALL($BD$2:$BD$2001,16),10000)),0)</f>
        <v>0</v>
      </c>
      <c r="AV149" s="2">
        <f>IF(AND(16&gt;$BD$1,16&lt;=$BD$1+$BE$300),IF(16-$BD$1&gt;$BE$300,0,IFERROR(MATCH(16-$BD$1,$BE$1:$BE$300,0),0)),0)</f>
        <v>0</v>
      </c>
      <c r="AW149" s="2">
        <f>IF(17&lt;=$BB$200,IF(17&gt;$BB$200,0,IFERROR(MATCH(17,$BB$1:$BB$200,0),0)),0)</f>
        <v>0</v>
      </c>
      <c r="AX149" s="2">
        <f>IF(AND(17&gt;$BB$200,17&lt;=$BB$200+$BC$1000),IF(17-$BB$200&gt;$BC$1000,0,IFERROR(MATCH(17-$BB$200,$BC$1:$BC$1000,0),0)),0)</f>
        <v>0</v>
      </c>
      <c r="AZ149" s="2">
        <f>AZ100+SUM(CA101:CA149)</f>
        <v>29</v>
      </c>
      <c r="BB149" s="2">
        <f>BB100+SUM(CC101:CC149)</f>
        <v>8</v>
      </c>
      <c r="BC149" s="2">
        <f>BC100+SUM(CD101:CD149)</f>
        <v>0</v>
      </c>
      <c r="BD149" s="2">
        <f>IF(AND($C$130&lt;&gt;"",资金流水!$J$153=$C$130,ISNUMBER(资金流水!$B$153),ISNUMBER(资金流水!$S$153),资金流水!$S$153&gt;=_辅助!$J$4,资金流水!$S$153&lt;=_辅助!$J$2,OR(资金流水!$X$153="应付材料款",资金流水!$X$153="应付分包款",资金流水!$X$153="应付机械运输费",资金流水!$X$153="应付其他款")),INT(资金流水!$B$153)*10000+148,"")</f>
      </c>
      <c r="BE149" s="2">
        <f>BE100+SUM(CE101:CE149)</f>
        <v>0</v>
      </c>
      <c r="CA149" s="2">
        <f>IF(AND(OR(_余额!$B$151="材料供应商",_余额!$B$151="分包",_余额!$B$151="机械运输",_余额!$B$151="其他"),OR($C$3="全部",_余额!$B$151=$C$3),OR(_余额!$G$151&lt;&gt;0,_余额!$H$151&lt;&gt;0)),1,0)</f>
        <v>0</v>
      </c>
      <c r="CC149" s="2">
        <f>IF(AND($C$130&lt;&gt;"",期初余额!$P$153=$C$130),1,0)</f>
        <v>0</v>
      </c>
      <c r="CD149" s="2">
        <f>IF(($C$130&lt;&gt;"")*(应付登记!$D$153=$C$130)*ISNUMBER(应付登记!$J$153)*(应付登记!$J$153&gt;=_辅助!$J$4)*(应付登记!$J$153&lt;=_辅助!$J$2),1,0)</f>
        <v>0</v>
      </c>
      <c r="CE149" s="2">
        <f>IF(($C$130&lt;&gt;"")*(代发抵账!$E$153=$C$130)*(代发抵账!$D$153="总包代付材料分包款")*ISNUMBER(代发抵账!$H$153)*(代发抵账!$H$153&lt;=_辅助!$J$2),1,0)</f>
        <v>0</v>
      </c>
    </row>
    <row r="150">
      <c r="A150" s="94">
        <f>IF($AW150+$AX150=0,"",18)</f>
      </c>
      <c r="B150" s="95">
        <f t="shared" si="25"/>
      </c>
      <c r="C150" s="96">
        <f t="shared" si="27"/>
      </c>
      <c r="D150" s="96">
        <f t="shared" si="1"/>
      </c>
      <c r="E150" s="21">
        <f t="shared" si="4"/>
      </c>
      <c r="G150" s="94">
        <f>IF($AU150+$AV150=0,"",18)</f>
      </c>
      <c r="H150" s="95">
        <f t="shared" si="7"/>
      </c>
      <c r="I150" s="96">
        <f t="shared" si="9"/>
      </c>
      <c r="J150" s="96">
        <f t="shared" si="29"/>
      </c>
      <c r="K150" s="21">
        <f t="shared" si="11"/>
      </c>
      <c r="AU150" s="2">
        <f>IF(AND(17&gt;=1,17&lt;=$BD$1),IF(17&gt;$BD$1,0,MOD(SMALL($BD$2:$BD$2001,17),10000)),0)</f>
        <v>0</v>
      </c>
      <c r="AV150" s="2">
        <f>IF(AND(17&gt;$BD$1,17&lt;=$BD$1+$BE$300),IF(17-$BD$1&gt;$BE$300,0,IFERROR(MATCH(17-$BD$1,$BE$1:$BE$300,0),0)),0)</f>
        <v>0</v>
      </c>
      <c r="AW150" s="2">
        <f>IF(18&lt;=$BB$200,IF(18&gt;$BB$200,0,IFERROR(MATCH(18,$BB$1:$BB$200,0),0)),0)</f>
        <v>0</v>
      </c>
      <c r="AX150" s="2">
        <f>IF(AND(18&gt;$BB$200,18&lt;=$BB$200+$BC$1000),IF(18-$BB$200&gt;$BC$1000,0,IFERROR(MATCH(18-$BB$200,$BC$1:$BC$1000,0),0)),0)</f>
        <v>0</v>
      </c>
      <c r="AZ150" s="2">
        <f>AZ100+SUM(CA101:CA150)</f>
        <v>29</v>
      </c>
      <c r="BB150" s="2">
        <f>BB100+SUM(CC101:CC150)</f>
        <v>8</v>
      </c>
      <c r="BC150" s="2">
        <f>BC100+SUM(CD101:CD150)</f>
        <v>0</v>
      </c>
      <c r="BD150" s="2">
        <f>IF(AND($C$130&lt;&gt;"",资金流水!$J$154=$C$130,ISNUMBER(资金流水!$B$154),ISNUMBER(资金流水!$S$154),资金流水!$S$154&gt;=_辅助!$J$4,资金流水!$S$154&lt;=_辅助!$J$2,OR(资金流水!$X$154="应付材料款",资金流水!$X$154="应付分包款",资金流水!$X$154="应付机械运输费",资金流水!$X$154="应付其他款")),INT(资金流水!$B$154)*10000+149,"")</f>
      </c>
      <c r="BE150" s="2">
        <f>BE100+SUM(CE101:CE150)</f>
        <v>0</v>
      </c>
      <c r="CA150" s="2">
        <f>IF(AND(OR(_余额!$B$152="材料供应商",_余额!$B$152="分包",_余额!$B$152="机械运输",_余额!$B$152="其他"),OR($C$3="全部",_余额!$B$152=$C$3),OR(_余额!$G$152&lt;&gt;0,_余额!$H$152&lt;&gt;0)),1,0)</f>
        <v>0</v>
      </c>
      <c r="CC150" s="2">
        <f>IF(AND($C$130&lt;&gt;"",期初余额!$P$154=$C$130),1,0)</f>
        <v>0</v>
      </c>
      <c r="CD150" s="2">
        <f>IF(($C$130&lt;&gt;"")*(应付登记!$D$154=$C$130)*ISNUMBER(应付登记!$J$154)*(应付登记!$J$154&gt;=_辅助!$J$4)*(应付登记!$J$154&lt;=_辅助!$J$2),1,0)</f>
        <v>0</v>
      </c>
      <c r="CE150" s="2">
        <f>IF(($C$130&lt;&gt;"")*(代发抵账!$E$154=$C$130)*(代发抵账!$D$154="总包代付材料分包款")*ISNUMBER(代发抵账!$H$154)*(代发抵账!$H$154&lt;=_辅助!$J$2),1,0)</f>
        <v>0</v>
      </c>
    </row>
    <row r="151">
      <c r="A151" s="94">
        <f>IF($AW151+$AX151=0,"",19)</f>
      </c>
      <c r="B151" s="95">
        <f t="shared" si="25"/>
      </c>
      <c r="C151" s="96">
        <f t="shared" si="27"/>
      </c>
      <c r="D151" s="96">
        <f t="shared" si="1"/>
      </c>
      <c r="E151" s="21">
        <f t="shared" si="4"/>
      </c>
      <c r="G151" s="94">
        <f>IF($AU151+$AV151=0,"",19)</f>
      </c>
      <c r="H151" s="95">
        <f t="shared" si="7"/>
      </c>
      <c r="I151" s="96">
        <f t="shared" si="9"/>
      </c>
      <c r="J151" s="96">
        <f t="shared" si="29"/>
      </c>
      <c r="K151" s="21">
        <f t="shared" si="11"/>
      </c>
      <c r="AU151" s="2">
        <f>IF(AND(18&gt;=1,18&lt;=$BD$1),IF(18&gt;$BD$1,0,MOD(SMALL($BD$2:$BD$2001,18),10000)),0)</f>
        <v>0</v>
      </c>
      <c r="AV151" s="2">
        <f>IF(AND(18&gt;$BD$1,18&lt;=$BD$1+$BE$300),IF(18-$BD$1&gt;$BE$300,0,IFERROR(MATCH(18-$BD$1,$BE$1:$BE$300,0),0)),0)</f>
        <v>0</v>
      </c>
      <c r="AW151" s="2">
        <f>IF(19&lt;=$BB$200,IF(19&gt;$BB$200,0,IFERROR(MATCH(19,$BB$1:$BB$200,0),0)),0)</f>
        <v>0</v>
      </c>
      <c r="AX151" s="2">
        <f>IF(AND(19&gt;$BB$200,19&lt;=$BB$200+$BC$1000),IF(19-$BB$200&gt;$BC$1000,0,IFERROR(MATCH(19-$BB$200,$BC$1:$BC$1000,0),0)),0)</f>
        <v>0</v>
      </c>
      <c r="AZ151" s="2">
        <f>AZ150+SUM(CA151:CA151)</f>
        <v>29</v>
      </c>
      <c r="BB151" s="2">
        <f>BB150+SUM(CC151:CC151)</f>
        <v>8</v>
      </c>
      <c r="BC151" s="2">
        <f>BC150+SUM(CD151:CD151)</f>
        <v>0</v>
      </c>
      <c r="BD151" s="2">
        <f>IF(AND($C$130&lt;&gt;"",资金流水!$J$155=$C$130,ISNUMBER(资金流水!$B$155),ISNUMBER(资金流水!$S$155),资金流水!$S$155&gt;=_辅助!$J$4,资金流水!$S$155&lt;=_辅助!$J$2,OR(资金流水!$X$155="应付材料款",资金流水!$X$155="应付分包款",资金流水!$X$155="应付机械运输费",资金流水!$X$155="应付其他款")),INT(资金流水!$B$155)*10000+150,"")</f>
      </c>
      <c r="BE151" s="2">
        <f>BE150+SUM(CE151:CE151)</f>
        <v>0</v>
      </c>
      <c r="CA151" s="2">
        <f>IF(AND(OR(_余额!$B$153="材料供应商",_余额!$B$153="分包",_余额!$B$153="机械运输",_余额!$B$153="其他"),OR($C$3="全部",_余额!$B$153=$C$3),OR(_余额!$G$153&lt;&gt;0,_余额!$H$153&lt;&gt;0)),1,0)</f>
        <v>0</v>
      </c>
      <c r="CC151" s="2">
        <f>IF(AND($C$130&lt;&gt;"",期初余额!$P$155=$C$130),1,0)</f>
        <v>0</v>
      </c>
      <c r="CD151" s="2">
        <f>IF(($C$130&lt;&gt;"")*(应付登记!$D$155=$C$130)*ISNUMBER(应付登记!$J$155)*(应付登记!$J$155&gt;=_辅助!$J$4)*(应付登记!$J$155&lt;=_辅助!$J$2),1,0)</f>
        <v>0</v>
      </c>
      <c r="CE151" s="2">
        <f>IF(($C$130&lt;&gt;"")*(代发抵账!$E$155=$C$130)*(代发抵账!$D$155="总包代付材料分包款")*ISNUMBER(代发抵账!$H$155)*(代发抵账!$H$155&lt;=_辅助!$J$2),1,0)</f>
        <v>0</v>
      </c>
    </row>
    <row r="152">
      <c r="A152" s="94">
        <f>IF($AW152+$AX152=0,"",20)</f>
      </c>
      <c r="B152" s="95">
        <f t="shared" si="25"/>
      </c>
      <c r="C152" s="96">
        <f t="shared" si="27"/>
      </c>
      <c r="D152" s="96">
        <f t="shared" si="1"/>
      </c>
      <c r="E152" s="21">
        <f t="shared" si="4"/>
      </c>
      <c r="G152" s="94">
        <f>IF($AU152+$AV152=0,"",20)</f>
      </c>
      <c r="H152" s="95">
        <f t="shared" si="7"/>
      </c>
      <c r="I152" s="96">
        <f t="shared" si="9"/>
      </c>
      <c r="J152" s="96">
        <f t="shared" si="29"/>
      </c>
      <c r="K152" s="21">
        <f t="shared" si="11"/>
      </c>
      <c r="AU152" s="2">
        <f>IF(AND(19&gt;=1,19&lt;=$BD$1),IF(19&gt;$BD$1,0,MOD(SMALL($BD$2:$BD$2001,19),10000)),0)</f>
        <v>0</v>
      </c>
      <c r="AV152" s="2">
        <f>IF(AND(19&gt;$BD$1,19&lt;=$BD$1+$BE$300),IF(19-$BD$1&gt;$BE$300,0,IFERROR(MATCH(19-$BD$1,$BE$1:$BE$300,0),0)),0)</f>
        <v>0</v>
      </c>
      <c r="AW152" s="2">
        <f>IF(20&lt;=$BB$200,IF(20&gt;$BB$200,0,IFERROR(MATCH(20,$BB$1:$BB$200,0),0)),0)</f>
        <v>0</v>
      </c>
      <c r="AX152" s="2">
        <f>IF(AND(20&gt;$BB$200,20&lt;=$BB$200+$BC$1000),IF(20-$BB$200&gt;$BC$1000,0,IFERROR(MATCH(20-$BB$200,$BC$1:$BC$1000,0),0)),0)</f>
        <v>0</v>
      </c>
      <c r="AZ152" s="2">
        <f>AZ150+SUM(CA151:CA152)</f>
        <v>29</v>
      </c>
      <c r="BB152" s="2">
        <f>BB150+SUM(CC151:CC152)</f>
        <v>8</v>
      </c>
      <c r="BC152" s="2">
        <f>BC150+SUM(CD151:CD152)</f>
        <v>0</v>
      </c>
      <c r="BD152" s="2">
        <f>IF(AND($C$130&lt;&gt;"",资金流水!$J$156=$C$130,ISNUMBER(资金流水!$B$156),ISNUMBER(资金流水!$S$156),资金流水!$S$156&gt;=_辅助!$J$4,资金流水!$S$156&lt;=_辅助!$J$2,OR(资金流水!$X$156="应付材料款",资金流水!$X$156="应付分包款",资金流水!$X$156="应付机械运输费",资金流水!$X$156="应付其他款")),INT(资金流水!$B$156)*10000+151,"")</f>
      </c>
      <c r="BE152" s="2">
        <f>BE150+SUM(CE151:CE152)</f>
        <v>0</v>
      </c>
      <c r="CA152" s="2">
        <f>IF(AND(OR(_余额!$B$154="材料供应商",_余额!$B$154="分包",_余额!$B$154="机械运输",_余额!$B$154="其他"),OR($C$3="全部",_余额!$B$154=$C$3),OR(_余额!$G$154&lt;&gt;0,_余额!$H$154&lt;&gt;0)),1,0)</f>
        <v>0</v>
      </c>
      <c r="CC152" s="2">
        <f>IF(AND($C$130&lt;&gt;"",期初余额!$P$156=$C$130),1,0)</f>
        <v>0</v>
      </c>
      <c r="CD152" s="2">
        <f>IF(($C$130&lt;&gt;"")*(应付登记!$D$156=$C$130)*ISNUMBER(应付登记!$J$156)*(应付登记!$J$156&gt;=_辅助!$J$4)*(应付登记!$J$156&lt;=_辅助!$J$2),1,0)</f>
        <v>0</v>
      </c>
      <c r="CE152" s="2">
        <f>IF(($C$130&lt;&gt;"")*(代发抵账!$E$156=$C$130)*(代发抵账!$D$156="总包代付材料分包款")*ISNUMBER(代发抵账!$H$156)*(代发抵账!$H$156&lt;=_辅助!$J$2),1,0)</f>
        <v>0</v>
      </c>
    </row>
    <row r="153">
      <c r="A153" s="94">
        <f>IF($AW153+$AX153=0,"",21)</f>
      </c>
      <c r="B153" s="95">
        <f t="shared" si="25"/>
      </c>
      <c r="C153" s="96">
        <f t="shared" si="27"/>
      </c>
      <c r="D153" s="96">
        <f t="shared" si="1"/>
      </c>
      <c r="E153" s="21">
        <f t="shared" si="4"/>
      </c>
      <c r="G153" s="94">
        <f>IF($AU153+$AV153=0,"",21)</f>
      </c>
      <c r="H153" s="95">
        <f t="shared" si="7"/>
      </c>
      <c r="I153" s="96">
        <f t="shared" si="9"/>
      </c>
      <c r="J153" s="96">
        <f t="shared" si="29"/>
      </c>
      <c r="K153" s="21">
        <f t="shared" si="11"/>
      </c>
      <c r="AU153" s="2">
        <f>IF(AND(20&gt;=1,20&lt;=$BD$1),IF(20&gt;$BD$1,0,MOD(SMALL($BD$2:$BD$2001,20),10000)),0)</f>
        <v>0</v>
      </c>
      <c r="AV153" s="2">
        <f>IF(AND(20&gt;$BD$1,20&lt;=$BD$1+$BE$300),IF(20-$BD$1&gt;$BE$300,0,IFERROR(MATCH(20-$BD$1,$BE$1:$BE$300,0),0)),0)</f>
        <v>0</v>
      </c>
      <c r="AW153" s="2">
        <f>IF(21&lt;=$BB$200,IF(21&gt;$BB$200,0,IFERROR(MATCH(21,$BB$1:$BB$200,0),0)),0)</f>
        <v>0</v>
      </c>
      <c r="AX153" s="2">
        <f>IF(AND(21&gt;$BB$200,21&lt;=$BB$200+$BC$1000),IF(21-$BB$200&gt;$BC$1000,0,IFERROR(MATCH(21-$BB$200,$BC$1:$BC$1000,0),0)),0)</f>
        <v>0</v>
      </c>
      <c r="AZ153" s="2">
        <f>AZ150+SUM(CA151:CA153)</f>
        <v>29</v>
      </c>
      <c r="BB153" s="2">
        <f>BB150+SUM(CC151:CC153)</f>
        <v>8</v>
      </c>
      <c r="BC153" s="2">
        <f>BC150+SUM(CD151:CD153)</f>
        <v>0</v>
      </c>
      <c r="BD153" s="2">
        <f>IF(AND($C$130&lt;&gt;"",资金流水!$J$157=$C$130,ISNUMBER(资金流水!$B$157),ISNUMBER(资金流水!$S$157),资金流水!$S$157&gt;=_辅助!$J$4,资金流水!$S$157&lt;=_辅助!$J$2,OR(资金流水!$X$157="应付材料款",资金流水!$X$157="应付分包款",资金流水!$X$157="应付机械运输费",资金流水!$X$157="应付其他款")),INT(资金流水!$B$157)*10000+152,"")</f>
      </c>
      <c r="BE153" s="2">
        <f>BE150+SUM(CE151:CE153)</f>
        <v>0</v>
      </c>
      <c r="CA153" s="2">
        <f>IF(AND(OR(_余额!$B$155="材料供应商",_余额!$B$155="分包",_余额!$B$155="机械运输",_余额!$B$155="其他"),OR($C$3="全部",_余额!$B$155=$C$3),OR(_余额!$G$155&lt;&gt;0,_余额!$H$155&lt;&gt;0)),1,0)</f>
        <v>0</v>
      </c>
      <c r="CC153" s="2">
        <f>IF(AND($C$130&lt;&gt;"",期初余额!$P$157=$C$130),1,0)</f>
        <v>0</v>
      </c>
      <c r="CD153" s="2">
        <f>IF(($C$130&lt;&gt;"")*(应付登记!$D$157=$C$130)*ISNUMBER(应付登记!$J$157)*(应付登记!$J$157&gt;=_辅助!$J$4)*(应付登记!$J$157&lt;=_辅助!$J$2),1,0)</f>
        <v>0</v>
      </c>
      <c r="CE153" s="2">
        <f>IF(($C$130&lt;&gt;"")*(代发抵账!$E$157=$C$130)*(代发抵账!$D$157="总包代付材料分包款")*ISNUMBER(代发抵账!$H$157)*(代发抵账!$H$157&lt;=_辅助!$J$2),1,0)</f>
        <v>0</v>
      </c>
    </row>
    <row r="154">
      <c r="A154" s="94">
        <f>IF($AW154+$AX154=0,"",22)</f>
      </c>
      <c r="B154" s="95">
        <f t="shared" si="25"/>
      </c>
      <c r="C154" s="96">
        <f t="shared" si="27"/>
      </c>
      <c r="D154" s="96">
        <f t="shared" si="1"/>
      </c>
      <c r="E154" s="21">
        <f t="shared" si="4"/>
      </c>
      <c r="G154" s="94">
        <f>IF($AU154+$AV154=0,"",22)</f>
      </c>
      <c r="H154" s="95">
        <f t="shared" si="7"/>
      </c>
      <c r="I154" s="96">
        <f t="shared" si="9"/>
      </c>
      <c r="J154" s="96">
        <f t="shared" si="29"/>
      </c>
      <c r="K154" s="21">
        <f t="shared" si="11"/>
      </c>
      <c r="AU154" s="2">
        <f>IF(AND(21&gt;=1,21&lt;=$BD$1),IF(21&gt;$BD$1,0,MOD(SMALL($BD$2:$BD$2001,21),10000)),0)</f>
        <v>0</v>
      </c>
      <c r="AV154" s="2">
        <f>IF(AND(21&gt;$BD$1,21&lt;=$BD$1+$BE$300),IF(21-$BD$1&gt;$BE$300,0,IFERROR(MATCH(21-$BD$1,$BE$1:$BE$300,0),0)),0)</f>
        <v>0</v>
      </c>
      <c r="AW154" s="2">
        <f>IF(22&lt;=$BB$200,IF(22&gt;$BB$200,0,IFERROR(MATCH(22,$BB$1:$BB$200,0),0)),0)</f>
        <v>0</v>
      </c>
      <c r="AX154" s="2">
        <f>IF(AND(22&gt;$BB$200,22&lt;=$BB$200+$BC$1000),IF(22-$BB$200&gt;$BC$1000,0,IFERROR(MATCH(22-$BB$200,$BC$1:$BC$1000,0),0)),0)</f>
        <v>0</v>
      </c>
      <c r="AZ154" s="2">
        <f>AZ150+SUM(CA151:CA154)</f>
        <v>29</v>
      </c>
      <c r="BB154" s="2">
        <f>BB150+SUM(CC151:CC154)</f>
        <v>8</v>
      </c>
      <c r="BC154" s="2">
        <f>BC150+SUM(CD151:CD154)</f>
        <v>0</v>
      </c>
      <c r="BD154" s="2">
        <f>IF(AND($C$130&lt;&gt;"",资金流水!$J$158=$C$130,ISNUMBER(资金流水!$B$158),ISNUMBER(资金流水!$S$158),资金流水!$S$158&gt;=_辅助!$J$4,资金流水!$S$158&lt;=_辅助!$J$2,OR(资金流水!$X$158="应付材料款",资金流水!$X$158="应付分包款",资金流水!$X$158="应付机械运输费",资金流水!$X$158="应付其他款")),INT(资金流水!$B$158)*10000+153,"")</f>
      </c>
      <c r="BE154" s="2">
        <f>BE150+SUM(CE151:CE154)</f>
        <v>0</v>
      </c>
      <c r="CA154" s="2">
        <f>IF(AND(OR(_余额!$B$156="材料供应商",_余额!$B$156="分包",_余额!$B$156="机械运输",_余额!$B$156="其他"),OR($C$3="全部",_余额!$B$156=$C$3),OR(_余额!$G$156&lt;&gt;0,_余额!$H$156&lt;&gt;0)),1,0)</f>
        <v>0</v>
      </c>
      <c r="CC154" s="2">
        <f>IF(AND($C$130&lt;&gt;"",期初余额!$P$158=$C$130),1,0)</f>
        <v>0</v>
      </c>
      <c r="CD154" s="2">
        <f>IF(($C$130&lt;&gt;"")*(应付登记!$D$158=$C$130)*ISNUMBER(应付登记!$J$158)*(应付登记!$J$158&gt;=_辅助!$J$4)*(应付登记!$J$158&lt;=_辅助!$J$2),1,0)</f>
        <v>0</v>
      </c>
      <c r="CE154" s="2">
        <f>IF(($C$130&lt;&gt;"")*(代发抵账!$E$158=$C$130)*(代发抵账!$D$158="总包代付材料分包款")*ISNUMBER(代发抵账!$H$158)*(代发抵账!$H$158&lt;=_辅助!$J$2),1,0)</f>
        <v>0</v>
      </c>
    </row>
    <row r="155">
      <c r="A155" s="94">
        <f>IF($AW155+$AX155=0,"",23)</f>
      </c>
      <c r="B155" s="95">
        <f t="shared" si="25"/>
      </c>
      <c r="C155" s="96">
        <f t="shared" si="27"/>
      </c>
      <c r="D155" s="96">
        <f t="shared" si="1"/>
      </c>
      <c r="E155" s="21">
        <f t="shared" si="4"/>
      </c>
      <c r="G155" s="94">
        <f>IF($AU155+$AV155=0,"",23)</f>
      </c>
      <c r="H155" s="95">
        <f t="shared" si="7"/>
      </c>
      <c r="I155" s="96">
        <f t="shared" si="9"/>
      </c>
      <c r="J155" s="96">
        <f t="shared" si="29"/>
      </c>
      <c r="K155" s="21">
        <f t="shared" si="11"/>
      </c>
      <c r="AU155" s="2">
        <f>IF(AND(22&gt;=1,22&lt;=$BD$1),IF(22&gt;$BD$1,0,MOD(SMALL($BD$2:$BD$2001,22),10000)),0)</f>
        <v>0</v>
      </c>
      <c r="AV155" s="2">
        <f>IF(AND(22&gt;$BD$1,22&lt;=$BD$1+$BE$300),IF(22-$BD$1&gt;$BE$300,0,IFERROR(MATCH(22-$BD$1,$BE$1:$BE$300,0),0)),0)</f>
        <v>0</v>
      </c>
      <c r="AW155" s="2">
        <f>IF(23&lt;=$BB$200,IF(23&gt;$BB$200,0,IFERROR(MATCH(23,$BB$1:$BB$200,0),0)),0)</f>
        <v>0</v>
      </c>
      <c r="AX155" s="2">
        <f>IF(AND(23&gt;$BB$200,23&lt;=$BB$200+$BC$1000),IF(23-$BB$200&gt;$BC$1000,0,IFERROR(MATCH(23-$BB$200,$BC$1:$BC$1000,0),0)),0)</f>
        <v>0</v>
      </c>
      <c r="AZ155" s="2">
        <f>AZ150+SUM(CA151:CA155)</f>
        <v>29</v>
      </c>
      <c r="BB155" s="2">
        <f>BB150+SUM(CC151:CC155)</f>
        <v>8</v>
      </c>
      <c r="BC155" s="2">
        <f>BC150+SUM(CD151:CD155)</f>
        <v>0</v>
      </c>
      <c r="BD155" s="2">
        <f>IF(AND($C$130&lt;&gt;"",资金流水!$J$159=$C$130,ISNUMBER(资金流水!$B$159),ISNUMBER(资金流水!$S$159),资金流水!$S$159&gt;=_辅助!$J$4,资金流水!$S$159&lt;=_辅助!$J$2,OR(资金流水!$X$159="应付材料款",资金流水!$X$159="应付分包款",资金流水!$X$159="应付机械运输费",资金流水!$X$159="应付其他款")),INT(资金流水!$B$159)*10000+154,"")</f>
      </c>
      <c r="BE155" s="2">
        <f>BE150+SUM(CE151:CE155)</f>
        <v>0</v>
      </c>
      <c r="CA155" s="2">
        <f>IF(AND(OR(_余额!$B$157="材料供应商",_余额!$B$157="分包",_余额!$B$157="机械运输",_余额!$B$157="其他"),OR($C$3="全部",_余额!$B$157=$C$3),OR(_余额!$G$157&lt;&gt;0,_余额!$H$157&lt;&gt;0)),1,0)</f>
        <v>0</v>
      </c>
      <c r="CC155" s="2">
        <f>IF(AND($C$130&lt;&gt;"",期初余额!$P$159=$C$130),1,0)</f>
        <v>0</v>
      </c>
      <c r="CD155" s="2">
        <f>IF(($C$130&lt;&gt;"")*(应付登记!$D$159=$C$130)*ISNUMBER(应付登记!$J$159)*(应付登记!$J$159&gt;=_辅助!$J$4)*(应付登记!$J$159&lt;=_辅助!$J$2),1,0)</f>
        <v>0</v>
      </c>
      <c r="CE155" s="2">
        <f>IF(($C$130&lt;&gt;"")*(代发抵账!$E$159=$C$130)*(代发抵账!$D$159="总包代付材料分包款")*ISNUMBER(代发抵账!$H$159)*(代发抵账!$H$159&lt;=_辅助!$J$2),1,0)</f>
        <v>0</v>
      </c>
    </row>
    <row r="156">
      <c r="A156" s="94">
        <f>IF($AW156+$AX156=0,"",24)</f>
      </c>
      <c r="B156" s="95">
        <f t="shared" si="25"/>
      </c>
      <c r="C156" s="96">
        <f t="shared" si="27"/>
      </c>
      <c r="D156" s="96">
        <f t="shared" si="1"/>
      </c>
      <c r="E156" s="21">
        <f t="shared" si="4"/>
      </c>
      <c r="G156" s="94">
        <f>IF($AU156+$AV156=0,"",24)</f>
      </c>
      <c r="H156" s="95">
        <f t="shared" si="7"/>
      </c>
      <c r="I156" s="96">
        <f t="shared" si="9"/>
      </c>
      <c r="J156" s="96">
        <f t="shared" si="29"/>
      </c>
      <c r="K156" s="21">
        <f t="shared" si="11"/>
      </c>
      <c r="AU156" s="2">
        <f>IF(AND(23&gt;=1,23&lt;=$BD$1),IF(23&gt;$BD$1,0,MOD(SMALL($BD$2:$BD$2001,23),10000)),0)</f>
        <v>0</v>
      </c>
      <c r="AV156" s="2">
        <f>IF(AND(23&gt;$BD$1,23&lt;=$BD$1+$BE$300),IF(23-$BD$1&gt;$BE$300,0,IFERROR(MATCH(23-$BD$1,$BE$1:$BE$300,0),0)),0)</f>
        <v>0</v>
      </c>
      <c r="AW156" s="2">
        <f>IF(24&lt;=$BB$200,IF(24&gt;$BB$200,0,IFERROR(MATCH(24,$BB$1:$BB$200,0),0)),0)</f>
        <v>0</v>
      </c>
      <c r="AX156" s="2">
        <f>IF(AND(24&gt;$BB$200,24&lt;=$BB$200+$BC$1000),IF(24-$BB$200&gt;$BC$1000,0,IFERROR(MATCH(24-$BB$200,$BC$1:$BC$1000,0),0)),0)</f>
        <v>0</v>
      </c>
      <c r="AZ156" s="2">
        <f>AZ150+SUM(CA151:CA156)</f>
        <v>29</v>
      </c>
      <c r="BB156" s="2">
        <f>BB150+SUM(CC151:CC156)</f>
        <v>8</v>
      </c>
      <c r="BC156" s="2">
        <f>BC150+SUM(CD151:CD156)</f>
        <v>0</v>
      </c>
      <c r="BD156" s="2">
        <f>IF(AND($C$130&lt;&gt;"",资金流水!$J$160=$C$130,ISNUMBER(资金流水!$B$160),ISNUMBER(资金流水!$S$160),资金流水!$S$160&gt;=_辅助!$J$4,资金流水!$S$160&lt;=_辅助!$J$2,OR(资金流水!$X$160="应付材料款",资金流水!$X$160="应付分包款",资金流水!$X$160="应付机械运输费",资金流水!$X$160="应付其他款")),INT(资金流水!$B$160)*10000+155,"")</f>
      </c>
      <c r="BE156" s="2">
        <f>BE150+SUM(CE151:CE156)</f>
        <v>0</v>
      </c>
      <c r="CA156" s="2">
        <f>IF(AND(OR(_余额!$B$158="材料供应商",_余额!$B$158="分包",_余额!$B$158="机械运输",_余额!$B$158="其他"),OR($C$3="全部",_余额!$B$158=$C$3),OR(_余额!$G$158&lt;&gt;0,_余额!$H$158&lt;&gt;0)),1,0)</f>
        <v>0</v>
      </c>
      <c r="CC156" s="2">
        <f>IF(AND($C$130&lt;&gt;"",期初余额!$P$160=$C$130),1,0)</f>
        <v>0</v>
      </c>
      <c r="CD156" s="2">
        <f>IF(($C$130&lt;&gt;"")*(应付登记!$D$160=$C$130)*ISNUMBER(应付登记!$J$160)*(应付登记!$J$160&gt;=_辅助!$J$4)*(应付登记!$J$160&lt;=_辅助!$J$2),1,0)</f>
        <v>0</v>
      </c>
      <c r="CE156" s="2">
        <f>IF(($C$130&lt;&gt;"")*(代发抵账!$E$160=$C$130)*(代发抵账!$D$160="总包代付材料分包款")*ISNUMBER(代发抵账!$H$160)*(代发抵账!$H$160&lt;=_辅助!$J$2),1,0)</f>
        <v>0</v>
      </c>
    </row>
    <row r="157">
      <c r="A157" s="94">
        <f>IF($AW157+$AX157=0,"",25)</f>
      </c>
      <c r="B157" s="95">
        <f t="shared" si="25"/>
      </c>
      <c r="C157" s="96">
        <f t="shared" si="27"/>
      </c>
      <c r="D157" s="96">
        <f t="shared" si="1"/>
      </c>
      <c r="E157" s="21">
        <f t="shared" si="4"/>
      </c>
      <c r="G157" s="94">
        <f>IF($AU157+$AV157=0,"",25)</f>
      </c>
      <c r="H157" s="95">
        <f t="shared" si="7"/>
      </c>
      <c r="I157" s="96">
        <f t="shared" si="9"/>
      </c>
      <c r="J157" s="96">
        <f t="shared" si="29"/>
      </c>
      <c r="K157" s="21">
        <f t="shared" si="11"/>
      </c>
      <c r="AU157" s="2">
        <f>IF(AND(24&gt;=1,24&lt;=$BD$1),IF(24&gt;$BD$1,0,MOD(SMALL($BD$2:$BD$2001,24),10000)),0)</f>
        <v>0</v>
      </c>
      <c r="AV157" s="2">
        <f>IF(AND(24&gt;$BD$1,24&lt;=$BD$1+$BE$300),IF(24-$BD$1&gt;$BE$300,0,IFERROR(MATCH(24-$BD$1,$BE$1:$BE$300,0),0)),0)</f>
        <v>0</v>
      </c>
      <c r="AW157" s="2">
        <f>IF(25&lt;=$BB$200,IF(25&gt;$BB$200,0,IFERROR(MATCH(25,$BB$1:$BB$200,0),0)),0)</f>
        <v>0</v>
      </c>
      <c r="AX157" s="2">
        <f>IF(AND(25&gt;$BB$200,25&lt;=$BB$200+$BC$1000),IF(25-$BB$200&gt;$BC$1000,0,IFERROR(MATCH(25-$BB$200,$BC$1:$BC$1000,0),0)),0)</f>
        <v>0</v>
      </c>
      <c r="AZ157" s="2">
        <f>AZ150+SUM(CA151:CA157)</f>
        <v>29</v>
      </c>
      <c r="BB157" s="2">
        <f>BB150+SUM(CC151:CC157)</f>
        <v>8</v>
      </c>
      <c r="BC157" s="2">
        <f>BC150+SUM(CD151:CD157)</f>
        <v>0</v>
      </c>
      <c r="BD157" s="2">
        <f>IF(AND($C$130&lt;&gt;"",资金流水!$J$161=$C$130,ISNUMBER(资金流水!$B$161),ISNUMBER(资金流水!$S$161),资金流水!$S$161&gt;=_辅助!$J$4,资金流水!$S$161&lt;=_辅助!$J$2,OR(资金流水!$X$161="应付材料款",资金流水!$X$161="应付分包款",资金流水!$X$161="应付机械运输费",资金流水!$X$161="应付其他款")),INT(资金流水!$B$161)*10000+156,"")</f>
      </c>
      <c r="BE157" s="2">
        <f>BE150+SUM(CE151:CE157)</f>
        <v>0</v>
      </c>
      <c r="CA157" s="2">
        <f>IF(AND(OR(_余额!$B$159="材料供应商",_余额!$B$159="分包",_余额!$B$159="机械运输",_余额!$B$159="其他"),OR($C$3="全部",_余额!$B$159=$C$3),OR(_余额!$G$159&lt;&gt;0,_余额!$H$159&lt;&gt;0)),1,0)</f>
        <v>0</v>
      </c>
      <c r="CC157" s="2">
        <f>IF(AND($C$130&lt;&gt;"",期初余额!$P$161=$C$130),1,0)</f>
        <v>0</v>
      </c>
      <c r="CD157" s="2">
        <f>IF(($C$130&lt;&gt;"")*(应付登记!$D$161=$C$130)*ISNUMBER(应付登记!$J$161)*(应付登记!$J$161&gt;=_辅助!$J$4)*(应付登记!$J$161&lt;=_辅助!$J$2),1,0)</f>
        <v>0</v>
      </c>
      <c r="CE157" s="2">
        <f>IF(($C$130&lt;&gt;"")*(代发抵账!$E$161=$C$130)*(代发抵账!$D$161="总包代付材料分包款")*ISNUMBER(代发抵账!$H$161)*(代发抵账!$H$161&lt;=_辅助!$J$2),1,0)</f>
        <v>0</v>
      </c>
    </row>
    <row r="158">
      <c r="A158" s="94">
        <f>IF($AW158+$AX158=0,"",26)</f>
      </c>
      <c r="B158" s="95">
        <f t="shared" si="25"/>
      </c>
      <c r="C158" s="96">
        <f t="shared" si="27"/>
      </c>
      <c r="D158" s="96">
        <f t="shared" si="1"/>
      </c>
      <c r="E158" s="21">
        <f t="shared" si="4"/>
      </c>
      <c r="G158" s="94">
        <f>IF($AU158+$AV158=0,"",26)</f>
      </c>
      <c r="H158" s="95">
        <f t="shared" si="7"/>
      </c>
      <c r="I158" s="96">
        <f t="shared" si="9"/>
      </c>
      <c r="J158" s="96">
        <f t="shared" si="29"/>
      </c>
      <c r="K158" s="21">
        <f t="shared" si="11"/>
      </c>
      <c r="AU158" s="2">
        <f>IF(AND(25&gt;=1,25&lt;=$BD$1),IF(25&gt;$BD$1,0,MOD(SMALL($BD$2:$BD$2001,25),10000)),0)</f>
        <v>0</v>
      </c>
      <c r="AV158" s="2">
        <f>IF(AND(25&gt;$BD$1,25&lt;=$BD$1+$BE$300),IF(25-$BD$1&gt;$BE$300,0,IFERROR(MATCH(25-$BD$1,$BE$1:$BE$300,0),0)),0)</f>
        <v>0</v>
      </c>
      <c r="AW158" s="2">
        <f>IF(26&lt;=$BB$200,IF(26&gt;$BB$200,0,IFERROR(MATCH(26,$BB$1:$BB$200,0),0)),0)</f>
        <v>0</v>
      </c>
      <c r="AX158" s="2">
        <f>IF(AND(26&gt;$BB$200,26&lt;=$BB$200+$BC$1000),IF(26-$BB$200&gt;$BC$1000,0,IFERROR(MATCH(26-$BB$200,$BC$1:$BC$1000,0),0)),0)</f>
        <v>0</v>
      </c>
      <c r="AZ158" s="2">
        <f>AZ150+SUM(CA151:CA158)</f>
        <v>29</v>
      </c>
      <c r="BB158" s="2">
        <f>BB150+SUM(CC151:CC158)</f>
        <v>8</v>
      </c>
      <c r="BC158" s="2">
        <f>BC150+SUM(CD151:CD158)</f>
        <v>0</v>
      </c>
      <c r="BD158" s="2">
        <f>IF(AND($C$130&lt;&gt;"",资金流水!$J$162=$C$130,ISNUMBER(资金流水!$B$162),ISNUMBER(资金流水!$S$162),资金流水!$S$162&gt;=_辅助!$J$4,资金流水!$S$162&lt;=_辅助!$J$2,OR(资金流水!$X$162="应付材料款",资金流水!$X$162="应付分包款",资金流水!$X$162="应付机械运输费",资金流水!$X$162="应付其他款")),INT(资金流水!$B$162)*10000+157,"")</f>
      </c>
      <c r="BE158" s="2">
        <f>BE150+SUM(CE151:CE158)</f>
        <v>0</v>
      </c>
      <c r="CA158" s="2">
        <f>IF(AND(OR(_余额!$B$160="材料供应商",_余额!$B$160="分包",_余额!$B$160="机械运输",_余额!$B$160="其他"),OR($C$3="全部",_余额!$B$160=$C$3),OR(_余额!$G$160&lt;&gt;0,_余额!$H$160&lt;&gt;0)),1,0)</f>
        <v>0</v>
      </c>
      <c r="CC158" s="2">
        <f>IF(AND($C$130&lt;&gt;"",期初余额!$P$162=$C$130),1,0)</f>
        <v>0</v>
      </c>
      <c r="CD158" s="2">
        <f>IF(($C$130&lt;&gt;"")*(应付登记!$D$162=$C$130)*ISNUMBER(应付登记!$J$162)*(应付登记!$J$162&gt;=_辅助!$J$4)*(应付登记!$J$162&lt;=_辅助!$J$2),1,0)</f>
        <v>0</v>
      </c>
      <c r="CE158" s="2">
        <f>IF(($C$130&lt;&gt;"")*(代发抵账!$E$162=$C$130)*(代发抵账!$D$162="总包代付材料分包款")*ISNUMBER(代发抵账!$H$162)*(代发抵账!$H$162&lt;=_辅助!$J$2),1,0)</f>
        <v>0</v>
      </c>
    </row>
    <row r="159">
      <c r="A159" s="94">
        <f>IF($AW159+$AX159=0,"",27)</f>
      </c>
      <c r="B159" s="95">
        <f t="shared" si="25"/>
      </c>
      <c r="C159" s="96">
        <f t="shared" si="27"/>
      </c>
      <c r="D159" s="96">
        <f t="shared" si="1"/>
      </c>
      <c r="E159" s="21">
        <f t="shared" si="4"/>
      </c>
      <c r="G159" s="94">
        <f>IF($AU159+$AV159=0,"",27)</f>
      </c>
      <c r="H159" s="95">
        <f t="shared" si="7"/>
      </c>
      <c r="I159" s="96">
        <f t="shared" si="9"/>
      </c>
      <c r="J159" s="96">
        <f t="shared" si="29"/>
      </c>
      <c r="K159" s="21">
        <f t="shared" si="11"/>
      </c>
      <c r="AU159" s="2">
        <f>IF(AND(26&gt;=1,26&lt;=$BD$1),IF(26&gt;$BD$1,0,MOD(SMALL($BD$2:$BD$2001,26),10000)),0)</f>
        <v>0</v>
      </c>
      <c r="AV159" s="2">
        <f>IF(AND(26&gt;$BD$1,26&lt;=$BD$1+$BE$300),IF(26-$BD$1&gt;$BE$300,0,IFERROR(MATCH(26-$BD$1,$BE$1:$BE$300,0),0)),0)</f>
        <v>0</v>
      </c>
      <c r="AW159" s="2">
        <f>IF(27&lt;=$BB$200,IF(27&gt;$BB$200,0,IFERROR(MATCH(27,$BB$1:$BB$200,0),0)),0)</f>
        <v>0</v>
      </c>
      <c r="AX159" s="2">
        <f>IF(AND(27&gt;$BB$200,27&lt;=$BB$200+$BC$1000),IF(27-$BB$200&gt;$BC$1000,0,IFERROR(MATCH(27-$BB$200,$BC$1:$BC$1000,0),0)),0)</f>
        <v>0</v>
      </c>
      <c r="AZ159" s="2">
        <f>AZ150+SUM(CA151:CA159)</f>
        <v>29</v>
      </c>
      <c r="BB159" s="2">
        <f>BB150+SUM(CC151:CC159)</f>
        <v>8</v>
      </c>
      <c r="BC159" s="2">
        <f>BC150+SUM(CD151:CD159)</f>
        <v>0</v>
      </c>
      <c r="BD159" s="2">
        <f>IF(AND($C$130&lt;&gt;"",资金流水!$J$163=$C$130,ISNUMBER(资金流水!$B$163),ISNUMBER(资金流水!$S$163),资金流水!$S$163&gt;=_辅助!$J$4,资金流水!$S$163&lt;=_辅助!$J$2,OR(资金流水!$X$163="应付材料款",资金流水!$X$163="应付分包款",资金流水!$X$163="应付机械运输费",资金流水!$X$163="应付其他款")),INT(资金流水!$B$163)*10000+158,"")</f>
      </c>
      <c r="BE159" s="2">
        <f>BE150+SUM(CE151:CE159)</f>
        <v>0</v>
      </c>
      <c r="CA159" s="2">
        <f>IF(AND(OR(_余额!$B$161="材料供应商",_余额!$B$161="分包",_余额!$B$161="机械运输",_余额!$B$161="其他"),OR($C$3="全部",_余额!$B$161=$C$3),OR(_余额!$G$161&lt;&gt;0,_余额!$H$161&lt;&gt;0)),1,0)</f>
        <v>0</v>
      </c>
      <c r="CC159" s="2">
        <f>IF(AND($C$130&lt;&gt;"",期初余额!$P$163=$C$130),1,0)</f>
        <v>0</v>
      </c>
      <c r="CD159" s="2">
        <f>IF(($C$130&lt;&gt;"")*(应付登记!$D$163=$C$130)*ISNUMBER(应付登记!$J$163)*(应付登记!$J$163&gt;=_辅助!$J$4)*(应付登记!$J$163&lt;=_辅助!$J$2),1,0)</f>
        <v>0</v>
      </c>
      <c r="CE159" s="2">
        <f>IF(($C$130&lt;&gt;"")*(代发抵账!$E$163=$C$130)*(代发抵账!$D$163="总包代付材料分包款")*ISNUMBER(代发抵账!$H$163)*(代发抵账!$H$163&lt;=_辅助!$J$2),1,0)</f>
        <v>0</v>
      </c>
    </row>
    <row r="160">
      <c r="A160" s="94">
        <f>IF($AW160+$AX160=0,"",28)</f>
      </c>
      <c r="B160" s="95">
        <f t="shared" si="25"/>
      </c>
      <c r="C160" s="96">
        <f t="shared" si="27"/>
      </c>
      <c r="D160" s="96">
        <f t="shared" si="1"/>
      </c>
      <c r="E160" s="21">
        <f t="shared" si="4"/>
      </c>
      <c r="G160" s="94">
        <f>IF($AU160+$AV160=0,"",28)</f>
      </c>
      <c r="H160" s="95">
        <f t="shared" si="7"/>
      </c>
      <c r="I160" s="96">
        <f t="shared" si="9"/>
      </c>
      <c r="J160" s="96">
        <f t="shared" si="29"/>
      </c>
      <c r="K160" s="21">
        <f t="shared" si="11"/>
      </c>
      <c r="AU160" s="2">
        <f>IF(AND(27&gt;=1,27&lt;=$BD$1),IF(27&gt;$BD$1,0,MOD(SMALL($BD$2:$BD$2001,27),10000)),0)</f>
        <v>0</v>
      </c>
      <c r="AV160" s="2">
        <f>IF(AND(27&gt;$BD$1,27&lt;=$BD$1+$BE$300),IF(27-$BD$1&gt;$BE$300,0,IFERROR(MATCH(27-$BD$1,$BE$1:$BE$300,0),0)),0)</f>
        <v>0</v>
      </c>
      <c r="AW160" s="2">
        <f>IF(28&lt;=$BB$200,IF(28&gt;$BB$200,0,IFERROR(MATCH(28,$BB$1:$BB$200,0),0)),0)</f>
        <v>0</v>
      </c>
      <c r="AX160" s="2">
        <f>IF(AND(28&gt;$BB$200,28&lt;=$BB$200+$BC$1000),IF(28-$BB$200&gt;$BC$1000,0,IFERROR(MATCH(28-$BB$200,$BC$1:$BC$1000,0),0)),0)</f>
        <v>0</v>
      </c>
      <c r="AZ160" s="2">
        <f>AZ150+SUM(CA151:CA160)</f>
        <v>29</v>
      </c>
      <c r="BB160" s="2">
        <f>BB150+SUM(CC151:CC160)</f>
        <v>8</v>
      </c>
      <c r="BC160" s="2">
        <f>BC150+SUM(CD151:CD160)</f>
        <v>0</v>
      </c>
      <c r="BD160" s="2">
        <f>IF(AND($C$130&lt;&gt;"",资金流水!$J$164=$C$130,ISNUMBER(资金流水!$B$164),ISNUMBER(资金流水!$S$164),资金流水!$S$164&gt;=_辅助!$J$4,资金流水!$S$164&lt;=_辅助!$J$2,OR(资金流水!$X$164="应付材料款",资金流水!$X$164="应付分包款",资金流水!$X$164="应付机械运输费",资金流水!$X$164="应付其他款")),INT(资金流水!$B$164)*10000+159,"")</f>
      </c>
      <c r="BE160" s="2">
        <f>BE150+SUM(CE151:CE160)</f>
        <v>0</v>
      </c>
      <c r="CA160" s="2">
        <f>IF(AND(OR(_余额!$B$162="材料供应商",_余额!$B$162="分包",_余额!$B$162="机械运输",_余额!$B$162="其他"),OR($C$3="全部",_余额!$B$162=$C$3),OR(_余额!$G$162&lt;&gt;0,_余额!$H$162&lt;&gt;0)),1,0)</f>
        <v>0</v>
      </c>
      <c r="CC160" s="2">
        <f>IF(AND($C$130&lt;&gt;"",期初余额!$P$164=$C$130),1,0)</f>
        <v>0</v>
      </c>
      <c r="CD160" s="2">
        <f>IF(($C$130&lt;&gt;"")*(应付登记!$D$164=$C$130)*ISNUMBER(应付登记!$J$164)*(应付登记!$J$164&gt;=_辅助!$J$4)*(应付登记!$J$164&lt;=_辅助!$J$2),1,0)</f>
        <v>0</v>
      </c>
      <c r="CE160" s="2">
        <f>IF(($C$130&lt;&gt;"")*(代发抵账!$E$164=$C$130)*(代发抵账!$D$164="总包代付材料分包款")*ISNUMBER(代发抵账!$H$164)*(代发抵账!$H$164&lt;=_辅助!$J$2),1,0)</f>
        <v>0</v>
      </c>
    </row>
    <row r="161">
      <c r="A161" s="94">
        <f>IF($AW161+$AX161=0,"",29)</f>
      </c>
      <c r="B161" s="95">
        <f t="shared" si="25"/>
      </c>
      <c r="C161" s="96">
        <f t="shared" si="27"/>
      </c>
      <c r="D161" s="96">
        <f t="shared" si="1"/>
      </c>
      <c r="E161" s="21">
        <f t="shared" si="4"/>
      </c>
      <c r="G161" s="94">
        <f>IF($AU161+$AV161=0,"",29)</f>
      </c>
      <c r="H161" s="95">
        <f t="shared" si="7"/>
      </c>
      <c r="I161" s="96">
        <f t="shared" si="9"/>
      </c>
      <c r="J161" s="96">
        <f t="shared" si="29"/>
      </c>
      <c r="K161" s="21">
        <f t="shared" si="11"/>
      </c>
      <c r="AU161" s="2">
        <f>IF(AND(28&gt;=1,28&lt;=$BD$1),IF(28&gt;$BD$1,0,MOD(SMALL($BD$2:$BD$2001,28),10000)),0)</f>
        <v>0</v>
      </c>
      <c r="AV161" s="2">
        <f>IF(AND(28&gt;$BD$1,28&lt;=$BD$1+$BE$300),IF(28-$BD$1&gt;$BE$300,0,IFERROR(MATCH(28-$BD$1,$BE$1:$BE$300,0),0)),0)</f>
        <v>0</v>
      </c>
      <c r="AW161" s="2">
        <f>IF(29&lt;=$BB$200,IF(29&gt;$BB$200,0,IFERROR(MATCH(29,$BB$1:$BB$200,0),0)),0)</f>
        <v>0</v>
      </c>
      <c r="AX161" s="2">
        <f>IF(AND(29&gt;$BB$200,29&lt;=$BB$200+$BC$1000),IF(29-$BB$200&gt;$BC$1000,0,IFERROR(MATCH(29-$BB$200,$BC$1:$BC$1000,0),0)),0)</f>
        <v>0</v>
      </c>
      <c r="AZ161" s="2">
        <f>AZ150+SUM(CA151:CA161)</f>
        <v>29</v>
      </c>
      <c r="BB161" s="2">
        <f>BB150+SUM(CC151:CC161)</f>
        <v>8</v>
      </c>
      <c r="BC161" s="2">
        <f>BC150+SUM(CD151:CD161)</f>
        <v>0</v>
      </c>
      <c r="BD161" s="2">
        <f>IF(AND($C$130&lt;&gt;"",资金流水!$J$165=$C$130,ISNUMBER(资金流水!$B$165),ISNUMBER(资金流水!$S$165),资金流水!$S$165&gt;=_辅助!$J$4,资金流水!$S$165&lt;=_辅助!$J$2,OR(资金流水!$X$165="应付材料款",资金流水!$X$165="应付分包款",资金流水!$X$165="应付机械运输费",资金流水!$X$165="应付其他款")),INT(资金流水!$B$165)*10000+160,"")</f>
      </c>
      <c r="BE161" s="2">
        <f>BE150+SUM(CE151:CE161)</f>
        <v>0</v>
      </c>
      <c r="CA161" s="2">
        <f>IF(AND(OR(_余额!$B$163="材料供应商",_余额!$B$163="分包",_余额!$B$163="机械运输",_余额!$B$163="其他"),OR($C$3="全部",_余额!$B$163=$C$3),OR(_余额!$G$163&lt;&gt;0,_余额!$H$163&lt;&gt;0)),1,0)</f>
        <v>0</v>
      </c>
      <c r="CC161" s="2">
        <f>IF(AND($C$130&lt;&gt;"",期初余额!$P$165=$C$130),1,0)</f>
        <v>0</v>
      </c>
      <c r="CD161" s="2">
        <f>IF(($C$130&lt;&gt;"")*(应付登记!$D$165=$C$130)*ISNUMBER(应付登记!$J$165)*(应付登记!$J$165&gt;=_辅助!$J$4)*(应付登记!$J$165&lt;=_辅助!$J$2),1,0)</f>
        <v>0</v>
      </c>
      <c r="CE161" s="2">
        <f>IF(($C$130&lt;&gt;"")*(代发抵账!$E$165=$C$130)*(代发抵账!$D$165="总包代付材料分包款")*ISNUMBER(代发抵账!$H$165)*(代发抵账!$H$165&lt;=_辅助!$J$2),1,0)</f>
        <v>0</v>
      </c>
    </row>
    <row r="162">
      <c r="A162" s="94">
        <f>IF($AW162+$AX162=0,"",30)</f>
      </c>
      <c r="B162" s="95">
        <f t="shared" si="25"/>
      </c>
      <c r="C162" s="96">
        <f t="shared" si="27"/>
      </c>
      <c r="D162" s="96">
        <f t="shared" si="1"/>
      </c>
      <c r="E162" s="21">
        <f t="shared" si="4"/>
      </c>
      <c r="G162" s="94">
        <f>IF($AU162+$AV162=0,"",30)</f>
      </c>
      <c r="H162" s="95">
        <f t="shared" si="7"/>
      </c>
      <c r="I162" s="96">
        <f t="shared" si="9"/>
      </c>
      <c r="J162" s="96">
        <f t="shared" si="29"/>
      </c>
      <c r="K162" s="21">
        <f t="shared" si="11"/>
      </c>
      <c r="AU162" s="2">
        <f>IF(AND(29&gt;=1,29&lt;=$BD$1),IF(29&gt;$BD$1,0,MOD(SMALL($BD$2:$BD$2001,29),10000)),0)</f>
        <v>0</v>
      </c>
      <c r="AV162" s="2">
        <f>IF(AND(29&gt;$BD$1,29&lt;=$BD$1+$BE$300),IF(29-$BD$1&gt;$BE$300,0,IFERROR(MATCH(29-$BD$1,$BE$1:$BE$300,0),0)),0)</f>
        <v>0</v>
      </c>
      <c r="AW162" s="2">
        <f>IF(30&lt;=$BB$200,IF(30&gt;$BB$200,0,IFERROR(MATCH(30,$BB$1:$BB$200,0),0)),0)</f>
        <v>0</v>
      </c>
      <c r="AX162" s="2">
        <f>IF(AND(30&gt;$BB$200,30&lt;=$BB$200+$BC$1000),IF(30-$BB$200&gt;$BC$1000,0,IFERROR(MATCH(30-$BB$200,$BC$1:$BC$1000,0),0)),0)</f>
        <v>0</v>
      </c>
      <c r="AZ162" s="2">
        <f>AZ150+SUM(CA151:CA162)</f>
        <v>29</v>
      </c>
      <c r="BB162" s="2">
        <f>BB150+SUM(CC151:CC162)</f>
        <v>8</v>
      </c>
      <c r="BC162" s="2">
        <f>BC150+SUM(CD151:CD162)</f>
        <v>0</v>
      </c>
      <c r="BD162" s="2">
        <f>IF(AND($C$130&lt;&gt;"",资金流水!$J$166=$C$130,ISNUMBER(资金流水!$B$166),ISNUMBER(资金流水!$S$166),资金流水!$S$166&gt;=_辅助!$J$4,资金流水!$S$166&lt;=_辅助!$J$2,OR(资金流水!$X$166="应付材料款",资金流水!$X$166="应付分包款",资金流水!$X$166="应付机械运输费",资金流水!$X$166="应付其他款")),INT(资金流水!$B$166)*10000+161,"")</f>
      </c>
      <c r="BE162" s="2">
        <f>BE150+SUM(CE151:CE162)</f>
        <v>0</v>
      </c>
      <c r="CA162" s="2">
        <f>IF(AND(OR(_余额!$B$164="材料供应商",_余额!$B$164="分包",_余额!$B$164="机械运输",_余额!$B$164="其他"),OR($C$3="全部",_余额!$B$164=$C$3),OR(_余额!$G$164&lt;&gt;0,_余额!$H$164&lt;&gt;0)),1,0)</f>
        <v>0</v>
      </c>
      <c r="CC162" s="2">
        <f>IF(AND($C$130&lt;&gt;"",期初余额!$P$166=$C$130),1,0)</f>
        <v>0</v>
      </c>
      <c r="CD162" s="2">
        <f>IF(($C$130&lt;&gt;"")*(应付登记!$D$166=$C$130)*ISNUMBER(应付登记!$J$166)*(应付登记!$J$166&gt;=_辅助!$J$4)*(应付登记!$J$166&lt;=_辅助!$J$2),1,0)</f>
        <v>0</v>
      </c>
      <c r="CE162" s="2">
        <f>IF(($C$130&lt;&gt;"")*(代发抵账!$E$166=$C$130)*(代发抵账!$D$166="总包代付材料分包款")*ISNUMBER(代发抵账!$H$166)*(代发抵账!$H$166&lt;=_辅助!$J$2),1,0)</f>
        <v>0</v>
      </c>
    </row>
    <row r="163">
      <c r="A163" s="94">
        <f>IF($AW163+$AX163=0,"",31)</f>
      </c>
      <c r="B163" s="95">
        <f t="shared" si="25"/>
      </c>
      <c r="C163" s="96">
        <f t="shared" si="27"/>
      </c>
      <c r="D163" s="96">
        <f t="shared" si="1"/>
      </c>
      <c r="E163" s="21">
        <f t="shared" si="4"/>
      </c>
      <c r="G163" s="94">
        <f>IF($AU163+$AV163=0,"",31)</f>
      </c>
      <c r="H163" s="95">
        <f t="shared" si="7"/>
      </c>
      <c r="I163" s="96">
        <f t="shared" si="9"/>
      </c>
      <c r="J163" s="96">
        <f t="shared" si="29"/>
      </c>
      <c r="K163" s="21">
        <f t="shared" si="11"/>
      </c>
      <c r="AU163" s="2">
        <f>IF(AND(30&gt;=1,30&lt;=$BD$1),IF(30&gt;$BD$1,0,MOD(SMALL($BD$2:$BD$2001,30),10000)),0)</f>
        <v>0</v>
      </c>
      <c r="AV163" s="2">
        <f>IF(AND(30&gt;$BD$1,30&lt;=$BD$1+$BE$300),IF(30-$BD$1&gt;$BE$300,0,IFERROR(MATCH(30-$BD$1,$BE$1:$BE$300,0),0)),0)</f>
        <v>0</v>
      </c>
      <c r="AW163" s="2">
        <f>IF(31&lt;=$BB$200,IF(31&gt;$BB$200,0,IFERROR(MATCH(31,$BB$1:$BB$200,0),0)),0)</f>
        <v>0</v>
      </c>
      <c r="AX163" s="2">
        <f>IF(AND(31&gt;$BB$200,31&lt;=$BB$200+$BC$1000),IF(31-$BB$200&gt;$BC$1000,0,IFERROR(MATCH(31-$BB$200,$BC$1:$BC$1000,0),0)),0)</f>
        <v>0</v>
      </c>
      <c r="AZ163" s="2">
        <f>AZ150+SUM(CA151:CA163)</f>
        <v>29</v>
      </c>
      <c r="BB163" s="2">
        <f>BB150+SUM(CC151:CC163)</f>
        <v>8</v>
      </c>
      <c r="BC163" s="2">
        <f>BC150+SUM(CD151:CD163)</f>
        <v>0</v>
      </c>
      <c r="BD163" s="2">
        <f>IF(AND($C$130&lt;&gt;"",资金流水!$J$167=$C$130,ISNUMBER(资金流水!$B$167),ISNUMBER(资金流水!$S$167),资金流水!$S$167&gt;=_辅助!$J$4,资金流水!$S$167&lt;=_辅助!$J$2,OR(资金流水!$X$167="应付材料款",资金流水!$X$167="应付分包款",资金流水!$X$167="应付机械运输费",资金流水!$X$167="应付其他款")),INT(资金流水!$B$167)*10000+162,"")</f>
      </c>
      <c r="BE163" s="2">
        <f>BE150+SUM(CE151:CE163)</f>
        <v>0</v>
      </c>
      <c r="CA163" s="2">
        <f>IF(AND(OR(_余额!$B$165="材料供应商",_余额!$B$165="分包",_余额!$B$165="机械运输",_余额!$B$165="其他"),OR($C$3="全部",_余额!$B$165=$C$3),OR(_余额!$G$165&lt;&gt;0,_余额!$H$165&lt;&gt;0)),1,0)</f>
        <v>0</v>
      </c>
      <c r="CC163" s="2">
        <f>IF(AND($C$130&lt;&gt;"",期初余额!$P$167=$C$130),1,0)</f>
        <v>0</v>
      </c>
      <c r="CD163" s="2">
        <f>IF(($C$130&lt;&gt;"")*(应付登记!$D$167=$C$130)*ISNUMBER(应付登记!$J$167)*(应付登记!$J$167&gt;=_辅助!$J$4)*(应付登记!$J$167&lt;=_辅助!$J$2),1,0)</f>
        <v>0</v>
      </c>
      <c r="CE163" s="2">
        <f>IF(($C$130&lt;&gt;"")*(代发抵账!$E$167=$C$130)*(代发抵账!$D$167="总包代付材料分包款")*ISNUMBER(代发抵账!$H$167)*(代发抵账!$H$167&lt;=_辅助!$J$2),1,0)</f>
        <v>0</v>
      </c>
    </row>
    <row r="164">
      <c r="A164" s="94">
        <f>IF($AW164+$AX164=0,"",32)</f>
      </c>
      <c r="B164" s="95">
        <f t="shared" si="25"/>
      </c>
      <c r="C164" s="96">
        <f t="shared" si="27"/>
      </c>
      <c r="D164" s="96">
        <f t="shared" si="1"/>
      </c>
      <c r="E164" s="21">
        <f t="shared" si="4"/>
      </c>
      <c r="G164" s="94">
        <f>IF($AU164+$AV164=0,"",32)</f>
      </c>
      <c r="H164" s="95">
        <f t="shared" si="7"/>
      </c>
      <c r="I164" s="96">
        <f t="shared" si="9"/>
      </c>
      <c r="J164" s="96">
        <f t="shared" si="29"/>
      </c>
      <c r="K164" s="21">
        <f t="shared" si="11"/>
      </c>
      <c r="AU164" s="2">
        <f>IF(AND(31&gt;=1,31&lt;=$BD$1),IF(31&gt;$BD$1,0,MOD(SMALL($BD$2:$BD$2001,31),10000)),0)</f>
        <v>0</v>
      </c>
      <c r="AV164" s="2">
        <f>IF(AND(31&gt;$BD$1,31&lt;=$BD$1+$BE$300),IF(31-$BD$1&gt;$BE$300,0,IFERROR(MATCH(31-$BD$1,$BE$1:$BE$300,0),0)),0)</f>
        <v>0</v>
      </c>
      <c r="AW164" s="2">
        <f>IF(32&lt;=$BB$200,IF(32&gt;$BB$200,0,IFERROR(MATCH(32,$BB$1:$BB$200,0),0)),0)</f>
        <v>0</v>
      </c>
      <c r="AX164" s="2">
        <f>IF(AND(32&gt;$BB$200,32&lt;=$BB$200+$BC$1000),IF(32-$BB$200&gt;$BC$1000,0,IFERROR(MATCH(32-$BB$200,$BC$1:$BC$1000,0),0)),0)</f>
        <v>0</v>
      </c>
      <c r="AZ164" s="2">
        <f>AZ150+SUM(CA151:CA164)</f>
        <v>29</v>
      </c>
      <c r="BB164" s="2">
        <f>BB150+SUM(CC151:CC164)</f>
        <v>8</v>
      </c>
      <c r="BC164" s="2">
        <f>BC150+SUM(CD151:CD164)</f>
        <v>0</v>
      </c>
      <c r="BD164" s="2">
        <f>IF(AND($C$130&lt;&gt;"",资金流水!$J$168=$C$130,ISNUMBER(资金流水!$B$168),ISNUMBER(资金流水!$S$168),资金流水!$S$168&gt;=_辅助!$J$4,资金流水!$S$168&lt;=_辅助!$J$2,OR(资金流水!$X$168="应付材料款",资金流水!$X$168="应付分包款",资金流水!$X$168="应付机械运输费",资金流水!$X$168="应付其他款")),INT(资金流水!$B$168)*10000+163,"")</f>
      </c>
      <c r="BE164" s="2">
        <f>BE150+SUM(CE151:CE164)</f>
        <v>0</v>
      </c>
      <c r="CA164" s="2">
        <f>IF(AND(OR(_余额!$B$166="材料供应商",_余额!$B$166="分包",_余额!$B$166="机械运输",_余额!$B$166="其他"),OR($C$3="全部",_余额!$B$166=$C$3),OR(_余额!$G$166&lt;&gt;0,_余额!$H$166&lt;&gt;0)),1,0)</f>
        <v>0</v>
      </c>
      <c r="CC164" s="2">
        <f>IF(AND($C$130&lt;&gt;"",期初余额!$P$168=$C$130),1,0)</f>
        <v>0</v>
      </c>
      <c r="CD164" s="2">
        <f>IF(($C$130&lt;&gt;"")*(应付登记!$D$168=$C$130)*ISNUMBER(应付登记!$J$168)*(应付登记!$J$168&gt;=_辅助!$J$4)*(应付登记!$J$168&lt;=_辅助!$J$2),1,0)</f>
        <v>0</v>
      </c>
      <c r="CE164" s="2">
        <f>IF(($C$130&lt;&gt;"")*(代发抵账!$E$168=$C$130)*(代发抵账!$D$168="总包代付材料分包款")*ISNUMBER(代发抵账!$H$168)*(代发抵账!$H$168&lt;=_辅助!$J$2),1,0)</f>
        <v>0</v>
      </c>
    </row>
    <row r="165">
      <c r="A165" s="94">
        <f>IF($AW165+$AX165=0,"",33)</f>
      </c>
      <c r="B165" s="95">
        <f t="shared" si="25"/>
      </c>
      <c r="C165" s="96">
        <f t="shared" si="27"/>
      </c>
      <c r="D165" s="96">
        <f t="shared" si="1"/>
      </c>
      <c r="E165" s="21">
        <f t="shared" si="4"/>
      </c>
      <c r="G165" s="94">
        <f>IF($AU165+$AV165=0,"",33)</f>
      </c>
      <c r="H165" s="95">
        <f t="shared" si="7"/>
      </c>
      <c r="I165" s="96">
        <f t="shared" si="9"/>
      </c>
      <c r="J165" s="96">
        <f t="shared" si="29"/>
      </c>
      <c r="K165" s="21">
        <f t="shared" si="11"/>
      </c>
      <c r="AU165" s="2">
        <f>IF(AND(32&gt;=1,32&lt;=$BD$1),IF(32&gt;$BD$1,0,MOD(SMALL($BD$2:$BD$2001,32),10000)),0)</f>
        <v>0</v>
      </c>
      <c r="AV165" s="2">
        <f>IF(AND(32&gt;$BD$1,32&lt;=$BD$1+$BE$300),IF(32-$BD$1&gt;$BE$300,0,IFERROR(MATCH(32-$BD$1,$BE$1:$BE$300,0),0)),0)</f>
        <v>0</v>
      </c>
      <c r="AW165" s="2">
        <f>IF(33&lt;=$BB$200,IF(33&gt;$BB$200,0,IFERROR(MATCH(33,$BB$1:$BB$200,0),0)),0)</f>
        <v>0</v>
      </c>
      <c r="AX165" s="2">
        <f>IF(AND(33&gt;$BB$200,33&lt;=$BB$200+$BC$1000),IF(33-$BB$200&gt;$BC$1000,0,IFERROR(MATCH(33-$BB$200,$BC$1:$BC$1000,0),0)),0)</f>
        <v>0</v>
      </c>
      <c r="AZ165" s="2">
        <f>AZ150+SUM(CA151:CA165)</f>
        <v>29</v>
      </c>
      <c r="BB165" s="2">
        <f>BB150+SUM(CC151:CC165)</f>
        <v>8</v>
      </c>
      <c r="BC165" s="2">
        <f>BC150+SUM(CD151:CD165)</f>
        <v>0</v>
      </c>
      <c r="BD165" s="2">
        <f>IF(AND($C$130&lt;&gt;"",资金流水!$J$169=$C$130,ISNUMBER(资金流水!$B$169),ISNUMBER(资金流水!$S$169),资金流水!$S$169&gt;=_辅助!$J$4,资金流水!$S$169&lt;=_辅助!$J$2,OR(资金流水!$X$169="应付材料款",资金流水!$X$169="应付分包款",资金流水!$X$169="应付机械运输费",资金流水!$X$169="应付其他款")),INT(资金流水!$B$169)*10000+164,"")</f>
      </c>
      <c r="BE165" s="2">
        <f>BE150+SUM(CE151:CE165)</f>
        <v>0</v>
      </c>
      <c r="CA165" s="2">
        <f>IF(AND(OR(_余额!$B$167="材料供应商",_余额!$B$167="分包",_余额!$B$167="机械运输",_余额!$B$167="其他"),OR($C$3="全部",_余额!$B$167=$C$3),OR(_余额!$G$167&lt;&gt;0,_余额!$H$167&lt;&gt;0)),1,0)</f>
        <v>0</v>
      </c>
      <c r="CC165" s="2">
        <f>IF(AND($C$130&lt;&gt;"",期初余额!$P$169=$C$130),1,0)</f>
        <v>0</v>
      </c>
      <c r="CD165" s="2">
        <f>IF(($C$130&lt;&gt;"")*(应付登记!$D$169=$C$130)*ISNUMBER(应付登记!$J$169)*(应付登记!$J$169&gt;=_辅助!$J$4)*(应付登记!$J$169&lt;=_辅助!$J$2),1,0)</f>
        <v>0</v>
      </c>
      <c r="CE165" s="2">
        <f>IF(($C$130&lt;&gt;"")*(代发抵账!$E$169=$C$130)*(代发抵账!$D$169="总包代付材料分包款")*ISNUMBER(代发抵账!$H$169)*(代发抵账!$H$169&lt;=_辅助!$J$2),1,0)</f>
        <v>0</v>
      </c>
    </row>
    <row r="166">
      <c r="A166" s="94">
        <f>IF($AW166+$AX166=0,"",34)</f>
      </c>
      <c r="B166" s="95">
        <f t="shared" si="25"/>
      </c>
      <c r="C166" s="96">
        <f t="shared" si="27"/>
      </c>
      <c r="D166" s="96">
        <f t="shared" si="1"/>
      </c>
      <c r="E166" s="21">
        <f t="shared" si="4"/>
      </c>
      <c r="G166" s="94">
        <f>IF($AU166+$AV166=0,"",34)</f>
      </c>
      <c r="H166" s="95">
        <f t="shared" si="7"/>
      </c>
      <c r="I166" s="96">
        <f t="shared" si="9"/>
      </c>
      <c r="J166" s="96">
        <f t="shared" si="29"/>
      </c>
      <c r="K166" s="21">
        <f t="shared" si="11"/>
      </c>
      <c r="AU166" s="2">
        <f>IF(AND(33&gt;=1,33&lt;=$BD$1),IF(33&gt;$BD$1,0,MOD(SMALL($BD$2:$BD$2001,33),10000)),0)</f>
        <v>0</v>
      </c>
      <c r="AV166" s="2">
        <f>IF(AND(33&gt;$BD$1,33&lt;=$BD$1+$BE$300),IF(33-$BD$1&gt;$BE$300,0,IFERROR(MATCH(33-$BD$1,$BE$1:$BE$300,0),0)),0)</f>
        <v>0</v>
      </c>
      <c r="AW166" s="2">
        <f>IF(34&lt;=$BB$200,IF(34&gt;$BB$200,0,IFERROR(MATCH(34,$BB$1:$BB$200,0),0)),0)</f>
        <v>0</v>
      </c>
      <c r="AX166" s="2">
        <f>IF(AND(34&gt;$BB$200,34&lt;=$BB$200+$BC$1000),IF(34-$BB$200&gt;$BC$1000,0,IFERROR(MATCH(34-$BB$200,$BC$1:$BC$1000,0),0)),0)</f>
        <v>0</v>
      </c>
      <c r="AZ166" s="2">
        <f>AZ150+SUM(CA151:CA166)</f>
        <v>29</v>
      </c>
      <c r="BB166" s="2">
        <f>BB150+SUM(CC151:CC166)</f>
        <v>8</v>
      </c>
      <c r="BC166" s="2">
        <f>BC150+SUM(CD151:CD166)</f>
        <v>0</v>
      </c>
      <c r="BD166" s="2">
        <f>IF(AND($C$130&lt;&gt;"",资金流水!$J$170=$C$130,ISNUMBER(资金流水!$B$170),ISNUMBER(资金流水!$S$170),资金流水!$S$170&gt;=_辅助!$J$4,资金流水!$S$170&lt;=_辅助!$J$2,OR(资金流水!$X$170="应付材料款",资金流水!$X$170="应付分包款",资金流水!$X$170="应付机械运输费",资金流水!$X$170="应付其他款")),INT(资金流水!$B$170)*10000+165,"")</f>
      </c>
      <c r="BE166" s="2">
        <f>BE150+SUM(CE151:CE166)</f>
        <v>0</v>
      </c>
      <c r="CA166" s="2">
        <f>IF(AND(OR(_余额!$B$168="材料供应商",_余额!$B$168="分包",_余额!$B$168="机械运输",_余额!$B$168="其他"),OR($C$3="全部",_余额!$B$168=$C$3),OR(_余额!$G$168&lt;&gt;0,_余额!$H$168&lt;&gt;0)),1,0)</f>
        <v>0</v>
      </c>
      <c r="CC166" s="2">
        <f>IF(AND($C$130&lt;&gt;"",期初余额!$P$170=$C$130),1,0)</f>
        <v>0</v>
      </c>
      <c r="CD166" s="2">
        <f>IF(($C$130&lt;&gt;"")*(应付登记!$D$170=$C$130)*ISNUMBER(应付登记!$J$170)*(应付登记!$J$170&gt;=_辅助!$J$4)*(应付登记!$J$170&lt;=_辅助!$J$2),1,0)</f>
        <v>0</v>
      </c>
      <c r="CE166" s="2">
        <f>IF(($C$130&lt;&gt;"")*(代发抵账!$E$170=$C$130)*(代发抵账!$D$170="总包代付材料分包款")*ISNUMBER(代发抵账!$H$170)*(代发抵账!$H$170&lt;=_辅助!$J$2),1,0)</f>
        <v>0</v>
      </c>
    </row>
    <row r="167">
      <c r="A167" s="94">
        <f>IF($AW167+$AX167=0,"",35)</f>
      </c>
      <c r="B167" s="95">
        <f t="shared" si="25"/>
      </c>
      <c r="C167" s="96">
        <f t="shared" si="27"/>
      </c>
      <c r="D167" s="96">
        <f t="shared" si="1"/>
      </c>
      <c r="E167" s="21">
        <f t="shared" si="4"/>
      </c>
      <c r="G167" s="94">
        <f>IF($AU167+$AV167=0,"",35)</f>
      </c>
      <c r="H167" s="95">
        <f t="shared" si="7"/>
      </c>
      <c r="I167" s="96">
        <f t="shared" si="9"/>
      </c>
      <c r="J167" s="96">
        <f t="shared" si="29"/>
      </c>
      <c r="K167" s="21">
        <f t="shared" si="11"/>
      </c>
      <c r="AU167" s="2">
        <f>IF(AND(34&gt;=1,34&lt;=$BD$1),IF(34&gt;$BD$1,0,MOD(SMALL($BD$2:$BD$2001,34),10000)),0)</f>
        <v>0</v>
      </c>
      <c r="AV167" s="2">
        <f>IF(AND(34&gt;$BD$1,34&lt;=$BD$1+$BE$300),IF(34-$BD$1&gt;$BE$300,0,IFERROR(MATCH(34-$BD$1,$BE$1:$BE$300,0),0)),0)</f>
        <v>0</v>
      </c>
      <c r="AW167" s="2">
        <f>IF(35&lt;=$BB$200,IF(35&gt;$BB$200,0,IFERROR(MATCH(35,$BB$1:$BB$200,0),0)),0)</f>
        <v>0</v>
      </c>
      <c r="AX167" s="2">
        <f>IF(AND(35&gt;$BB$200,35&lt;=$BB$200+$BC$1000),IF(35-$BB$200&gt;$BC$1000,0,IFERROR(MATCH(35-$BB$200,$BC$1:$BC$1000,0),0)),0)</f>
        <v>0</v>
      </c>
      <c r="AZ167" s="2">
        <f>AZ150+SUM(CA151:CA167)</f>
        <v>29</v>
      </c>
      <c r="BB167" s="2">
        <f>BB150+SUM(CC151:CC167)</f>
        <v>8</v>
      </c>
      <c r="BC167" s="2">
        <f>BC150+SUM(CD151:CD167)</f>
        <v>0</v>
      </c>
      <c r="BD167" s="2">
        <f>IF(AND($C$130&lt;&gt;"",资金流水!$J$171=$C$130,ISNUMBER(资金流水!$B$171),ISNUMBER(资金流水!$S$171),资金流水!$S$171&gt;=_辅助!$J$4,资金流水!$S$171&lt;=_辅助!$J$2,OR(资金流水!$X$171="应付材料款",资金流水!$X$171="应付分包款",资金流水!$X$171="应付机械运输费",资金流水!$X$171="应付其他款")),INT(资金流水!$B$171)*10000+166,"")</f>
      </c>
      <c r="BE167" s="2">
        <f>BE150+SUM(CE151:CE167)</f>
        <v>0</v>
      </c>
      <c r="CA167" s="2">
        <f>IF(AND(OR(_余额!$B$169="材料供应商",_余额!$B$169="分包",_余额!$B$169="机械运输",_余额!$B$169="其他"),OR($C$3="全部",_余额!$B$169=$C$3),OR(_余额!$G$169&lt;&gt;0,_余额!$H$169&lt;&gt;0)),1,0)</f>
        <v>0</v>
      </c>
      <c r="CC167" s="2">
        <f>IF(AND($C$130&lt;&gt;"",期初余额!$P$171=$C$130),1,0)</f>
        <v>0</v>
      </c>
      <c r="CD167" s="2">
        <f>IF(($C$130&lt;&gt;"")*(应付登记!$D$171=$C$130)*ISNUMBER(应付登记!$J$171)*(应付登记!$J$171&gt;=_辅助!$J$4)*(应付登记!$J$171&lt;=_辅助!$J$2),1,0)</f>
        <v>0</v>
      </c>
      <c r="CE167" s="2">
        <f>IF(($C$130&lt;&gt;"")*(代发抵账!$E$171=$C$130)*(代发抵账!$D$171="总包代付材料分包款")*ISNUMBER(代发抵账!$H$171)*(代发抵账!$H$171&lt;=_辅助!$J$2),1,0)</f>
        <v>0</v>
      </c>
    </row>
    <row r="168">
      <c r="A168" s="94">
        <f>IF($AW168+$AX168=0,"",36)</f>
      </c>
      <c r="B168" s="95">
        <f t="shared" si="25"/>
      </c>
      <c r="C168" s="96">
        <f t="shared" si="27"/>
      </c>
      <c r="D168" s="96">
        <f t="shared" si="1"/>
      </c>
      <c r="E168" s="21">
        <f t="shared" si="4"/>
      </c>
      <c r="G168" s="94">
        <f>IF($AU168+$AV168=0,"",36)</f>
      </c>
      <c r="H168" s="95">
        <f t="shared" si="7"/>
      </c>
      <c r="I168" s="96">
        <f t="shared" si="9"/>
      </c>
      <c r="J168" s="96">
        <f t="shared" si="29"/>
      </c>
      <c r="K168" s="21">
        <f t="shared" si="11"/>
      </c>
      <c r="AU168" s="2">
        <f>IF(AND(35&gt;=1,35&lt;=$BD$1),IF(35&gt;$BD$1,0,MOD(SMALL($BD$2:$BD$2001,35),10000)),0)</f>
        <v>0</v>
      </c>
      <c r="AV168" s="2">
        <f>IF(AND(35&gt;$BD$1,35&lt;=$BD$1+$BE$300),IF(35-$BD$1&gt;$BE$300,0,IFERROR(MATCH(35-$BD$1,$BE$1:$BE$300,0),0)),0)</f>
        <v>0</v>
      </c>
      <c r="AW168" s="2">
        <f>IF(36&lt;=$BB$200,IF(36&gt;$BB$200,0,IFERROR(MATCH(36,$BB$1:$BB$200,0),0)),0)</f>
        <v>0</v>
      </c>
      <c r="AX168" s="2">
        <f>IF(AND(36&gt;$BB$200,36&lt;=$BB$200+$BC$1000),IF(36-$BB$200&gt;$BC$1000,0,IFERROR(MATCH(36-$BB$200,$BC$1:$BC$1000,0),0)),0)</f>
        <v>0</v>
      </c>
      <c r="AZ168" s="2">
        <f>AZ150+SUM(CA151:CA168)</f>
        <v>29</v>
      </c>
      <c r="BB168" s="2">
        <f>BB150+SUM(CC151:CC168)</f>
        <v>8</v>
      </c>
      <c r="BC168" s="2">
        <f>BC150+SUM(CD151:CD168)</f>
        <v>0</v>
      </c>
      <c r="BD168" s="2">
        <f>IF(AND($C$130&lt;&gt;"",资金流水!$J$172=$C$130,ISNUMBER(资金流水!$B$172),ISNUMBER(资金流水!$S$172),资金流水!$S$172&gt;=_辅助!$J$4,资金流水!$S$172&lt;=_辅助!$J$2,OR(资金流水!$X$172="应付材料款",资金流水!$X$172="应付分包款",资金流水!$X$172="应付机械运输费",资金流水!$X$172="应付其他款")),INT(资金流水!$B$172)*10000+167,"")</f>
      </c>
      <c r="BE168" s="2">
        <f>BE150+SUM(CE151:CE168)</f>
        <v>0</v>
      </c>
      <c r="CA168" s="2">
        <f>IF(AND(OR(_余额!$B$170="材料供应商",_余额!$B$170="分包",_余额!$B$170="机械运输",_余额!$B$170="其他"),OR($C$3="全部",_余额!$B$170=$C$3),OR(_余额!$G$170&lt;&gt;0,_余额!$H$170&lt;&gt;0)),1,0)</f>
        <v>0</v>
      </c>
      <c r="CC168" s="2">
        <f>IF(AND($C$130&lt;&gt;"",期初余额!$P$172=$C$130),1,0)</f>
        <v>0</v>
      </c>
      <c r="CD168" s="2">
        <f>IF(($C$130&lt;&gt;"")*(应付登记!$D$172=$C$130)*ISNUMBER(应付登记!$J$172)*(应付登记!$J$172&gt;=_辅助!$J$4)*(应付登记!$J$172&lt;=_辅助!$J$2),1,0)</f>
        <v>0</v>
      </c>
      <c r="CE168" s="2">
        <f>IF(($C$130&lt;&gt;"")*(代发抵账!$E$172=$C$130)*(代发抵账!$D$172="总包代付材料分包款")*ISNUMBER(代发抵账!$H$172)*(代发抵账!$H$172&lt;=_辅助!$J$2),1,0)</f>
        <v>0</v>
      </c>
    </row>
    <row r="169">
      <c r="A169" s="94">
        <f>IF($AW169+$AX169=0,"",37)</f>
      </c>
      <c r="B169" s="95">
        <f t="shared" si="25"/>
      </c>
      <c r="C169" s="96">
        <f t="shared" si="27"/>
      </c>
      <c r="D169" s="96">
        <f t="shared" si="1"/>
      </c>
      <c r="E169" s="21">
        <f t="shared" si="4"/>
      </c>
      <c r="G169" s="94">
        <f>IF($AU169+$AV169=0,"",37)</f>
      </c>
      <c r="H169" s="95">
        <f t="shared" si="7"/>
      </c>
      <c r="I169" s="96">
        <f t="shared" si="9"/>
      </c>
      <c r="J169" s="96">
        <f t="shared" si="29"/>
      </c>
      <c r="K169" s="21">
        <f t="shared" si="11"/>
      </c>
      <c r="AU169" s="2">
        <f>IF(AND(36&gt;=1,36&lt;=$BD$1),IF(36&gt;$BD$1,0,MOD(SMALL($BD$2:$BD$2001,36),10000)),0)</f>
        <v>0</v>
      </c>
      <c r="AV169" s="2">
        <f>IF(AND(36&gt;$BD$1,36&lt;=$BD$1+$BE$300),IF(36-$BD$1&gt;$BE$300,0,IFERROR(MATCH(36-$BD$1,$BE$1:$BE$300,0),0)),0)</f>
        <v>0</v>
      </c>
      <c r="AW169" s="2">
        <f>IF(37&lt;=$BB$200,IF(37&gt;$BB$200,0,IFERROR(MATCH(37,$BB$1:$BB$200,0),0)),0)</f>
        <v>0</v>
      </c>
      <c r="AX169" s="2">
        <f>IF(AND(37&gt;$BB$200,37&lt;=$BB$200+$BC$1000),IF(37-$BB$200&gt;$BC$1000,0,IFERROR(MATCH(37-$BB$200,$BC$1:$BC$1000,0),0)),0)</f>
        <v>0</v>
      </c>
      <c r="AZ169" s="2">
        <f>AZ150+SUM(CA151:CA169)</f>
        <v>29</v>
      </c>
      <c r="BB169" s="2">
        <f>BB150+SUM(CC151:CC169)</f>
        <v>8</v>
      </c>
      <c r="BC169" s="2">
        <f>BC150+SUM(CD151:CD169)</f>
        <v>0</v>
      </c>
      <c r="BD169" s="2">
        <f>IF(AND($C$130&lt;&gt;"",资金流水!$J$173=$C$130,ISNUMBER(资金流水!$B$173),ISNUMBER(资金流水!$S$173),资金流水!$S$173&gt;=_辅助!$J$4,资金流水!$S$173&lt;=_辅助!$J$2,OR(资金流水!$X$173="应付材料款",资金流水!$X$173="应付分包款",资金流水!$X$173="应付机械运输费",资金流水!$X$173="应付其他款")),INT(资金流水!$B$173)*10000+168,"")</f>
      </c>
      <c r="BE169" s="2">
        <f>BE150+SUM(CE151:CE169)</f>
        <v>0</v>
      </c>
      <c r="CA169" s="2">
        <f>IF(AND(OR(_余额!$B$171="材料供应商",_余额!$B$171="分包",_余额!$B$171="机械运输",_余额!$B$171="其他"),OR($C$3="全部",_余额!$B$171=$C$3),OR(_余额!$G$171&lt;&gt;0,_余额!$H$171&lt;&gt;0)),1,0)</f>
        <v>0</v>
      </c>
      <c r="CC169" s="2">
        <f>IF(AND($C$130&lt;&gt;"",期初余额!$P$173=$C$130),1,0)</f>
        <v>0</v>
      </c>
      <c r="CD169" s="2">
        <f>IF(($C$130&lt;&gt;"")*(应付登记!$D$173=$C$130)*ISNUMBER(应付登记!$J$173)*(应付登记!$J$173&gt;=_辅助!$J$4)*(应付登记!$J$173&lt;=_辅助!$J$2),1,0)</f>
        <v>0</v>
      </c>
      <c r="CE169" s="2">
        <f>IF(($C$130&lt;&gt;"")*(代发抵账!$E$173=$C$130)*(代发抵账!$D$173="总包代付材料分包款")*ISNUMBER(代发抵账!$H$173)*(代发抵账!$H$173&lt;=_辅助!$J$2),1,0)</f>
        <v>0</v>
      </c>
    </row>
    <row r="170">
      <c r="A170" s="94">
        <f>IF($AW170+$AX170=0,"",38)</f>
      </c>
      <c r="B170" s="95">
        <f t="shared" si="25"/>
      </c>
      <c r="C170" s="96">
        <f t="shared" si="27"/>
      </c>
      <c r="D170" s="96">
        <f t="shared" si="1"/>
      </c>
      <c r="E170" s="21">
        <f t="shared" si="4"/>
      </c>
      <c r="G170" s="94">
        <f>IF($AU170+$AV170=0,"",38)</f>
      </c>
      <c r="H170" s="95">
        <f t="shared" si="7"/>
      </c>
      <c r="I170" s="96">
        <f t="shared" si="9"/>
      </c>
      <c r="J170" s="96">
        <f t="shared" si="29"/>
      </c>
      <c r="K170" s="21">
        <f t="shared" si="11"/>
      </c>
      <c r="AU170" s="2">
        <f>IF(AND(37&gt;=1,37&lt;=$BD$1),IF(37&gt;$BD$1,0,MOD(SMALL($BD$2:$BD$2001,37),10000)),0)</f>
        <v>0</v>
      </c>
      <c r="AV170" s="2">
        <f>IF(AND(37&gt;$BD$1,37&lt;=$BD$1+$BE$300),IF(37-$BD$1&gt;$BE$300,0,IFERROR(MATCH(37-$BD$1,$BE$1:$BE$300,0),0)),0)</f>
        <v>0</v>
      </c>
      <c r="AW170" s="2">
        <f>IF(38&lt;=$BB$200,IF(38&gt;$BB$200,0,IFERROR(MATCH(38,$BB$1:$BB$200,0),0)),0)</f>
        <v>0</v>
      </c>
      <c r="AX170" s="2">
        <f>IF(AND(38&gt;$BB$200,38&lt;=$BB$200+$BC$1000),IF(38-$BB$200&gt;$BC$1000,0,IFERROR(MATCH(38-$BB$200,$BC$1:$BC$1000,0),0)),0)</f>
        <v>0</v>
      </c>
      <c r="AZ170" s="2">
        <f>AZ150+SUM(CA151:CA170)</f>
        <v>29</v>
      </c>
      <c r="BB170" s="2">
        <f>BB150+SUM(CC151:CC170)</f>
        <v>8</v>
      </c>
      <c r="BC170" s="2">
        <f>BC150+SUM(CD151:CD170)</f>
        <v>0</v>
      </c>
      <c r="BD170" s="2">
        <f>IF(AND($C$130&lt;&gt;"",资金流水!$J$174=$C$130,ISNUMBER(资金流水!$B$174),ISNUMBER(资金流水!$S$174),资金流水!$S$174&gt;=_辅助!$J$4,资金流水!$S$174&lt;=_辅助!$J$2,OR(资金流水!$X$174="应付材料款",资金流水!$X$174="应付分包款",资金流水!$X$174="应付机械运输费",资金流水!$X$174="应付其他款")),INT(资金流水!$B$174)*10000+169,"")</f>
      </c>
      <c r="BE170" s="2">
        <f>BE150+SUM(CE151:CE170)</f>
        <v>0</v>
      </c>
      <c r="CA170" s="2">
        <f>IF(AND(OR(_余额!$B$172="材料供应商",_余额!$B$172="分包",_余额!$B$172="机械运输",_余额!$B$172="其他"),OR($C$3="全部",_余额!$B$172=$C$3),OR(_余额!$G$172&lt;&gt;0,_余额!$H$172&lt;&gt;0)),1,0)</f>
        <v>0</v>
      </c>
      <c r="CC170" s="2">
        <f>IF(AND($C$130&lt;&gt;"",期初余额!$P$174=$C$130),1,0)</f>
        <v>0</v>
      </c>
      <c r="CD170" s="2">
        <f>IF(($C$130&lt;&gt;"")*(应付登记!$D$174=$C$130)*ISNUMBER(应付登记!$J$174)*(应付登记!$J$174&gt;=_辅助!$J$4)*(应付登记!$J$174&lt;=_辅助!$J$2),1,0)</f>
        <v>0</v>
      </c>
      <c r="CE170" s="2">
        <f>IF(($C$130&lt;&gt;"")*(代发抵账!$E$174=$C$130)*(代发抵账!$D$174="总包代付材料分包款")*ISNUMBER(代发抵账!$H$174)*(代发抵账!$H$174&lt;=_辅助!$J$2),1,0)</f>
        <v>0</v>
      </c>
    </row>
    <row r="171">
      <c r="A171" s="94">
        <f>IF($AW171+$AX171=0,"",39)</f>
      </c>
      <c r="B171" s="95">
        <f t="shared" si="25"/>
      </c>
      <c r="C171" s="96">
        <f t="shared" si="27"/>
      </c>
      <c r="D171" s="96">
        <f t="shared" si="1"/>
      </c>
      <c r="E171" s="21">
        <f t="shared" si="4"/>
      </c>
      <c r="G171" s="94">
        <f>IF($AU171+$AV171=0,"",39)</f>
      </c>
      <c r="H171" s="95">
        <f t="shared" si="7"/>
      </c>
      <c r="I171" s="96">
        <f t="shared" si="9"/>
      </c>
      <c r="J171" s="96">
        <f t="shared" si="29"/>
      </c>
      <c r="K171" s="21">
        <f t="shared" si="11"/>
      </c>
      <c r="AU171" s="2">
        <f>IF(AND(38&gt;=1,38&lt;=$BD$1),IF(38&gt;$BD$1,0,MOD(SMALL($BD$2:$BD$2001,38),10000)),0)</f>
        <v>0</v>
      </c>
      <c r="AV171" s="2">
        <f>IF(AND(38&gt;$BD$1,38&lt;=$BD$1+$BE$300),IF(38-$BD$1&gt;$BE$300,0,IFERROR(MATCH(38-$BD$1,$BE$1:$BE$300,0),0)),0)</f>
        <v>0</v>
      </c>
      <c r="AW171" s="2">
        <f>IF(39&lt;=$BB$200,IF(39&gt;$BB$200,0,IFERROR(MATCH(39,$BB$1:$BB$200,0),0)),0)</f>
        <v>0</v>
      </c>
      <c r="AX171" s="2">
        <f>IF(AND(39&gt;$BB$200,39&lt;=$BB$200+$BC$1000),IF(39-$BB$200&gt;$BC$1000,0,IFERROR(MATCH(39-$BB$200,$BC$1:$BC$1000,0),0)),0)</f>
        <v>0</v>
      </c>
      <c r="AZ171" s="2">
        <f>AZ150+SUM(CA151:CA171)</f>
        <v>29</v>
      </c>
      <c r="BB171" s="2">
        <f>BB150+SUM(CC151:CC171)</f>
        <v>8</v>
      </c>
      <c r="BC171" s="2">
        <f>BC150+SUM(CD151:CD171)</f>
        <v>0</v>
      </c>
      <c r="BD171" s="2">
        <f>IF(AND($C$130&lt;&gt;"",资金流水!$J$175=$C$130,ISNUMBER(资金流水!$B$175),ISNUMBER(资金流水!$S$175),资金流水!$S$175&gt;=_辅助!$J$4,资金流水!$S$175&lt;=_辅助!$J$2,OR(资金流水!$X$175="应付材料款",资金流水!$X$175="应付分包款",资金流水!$X$175="应付机械运输费",资金流水!$X$175="应付其他款")),INT(资金流水!$B$175)*10000+170,"")</f>
      </c>
      <c r="BE171" s="2">
        <f>BE150+SUM(CE151:CE171)</f>
        <v>0</v>
      </c>
      <c r="CA171" s="2">
        <f>IF(AND(OR(_余额!$B$173="材料供应商",_余额!$B$173="分包",_余额!$B$173="机械运输",_余额!$B$173="其他"),OR($C$3="全部",_余额!$B$173=$C$3),OR(_余额!$G$173&lt;&gt;0,_余额!$H$173&lt;&gt;0)),1,0)</f>
        <v>0</v>
      </c>
      <c r="CC171" s="2">
        <f>IF(AND($C$130&lt;&gt;"",期初余额!$P$175=$C$130),1,0)</f>
        <v>0</v>
      </c>
      <c r="CD171" s="2">
        <f>IF(($C$130&lt;&gt;"")*(应付登记!$D$175=$C$130)*ISNUMBER(应付登记!$J$175)*(应付登记!$J$175&gt;=_辅助!$J$4)*(应付登记!$J$175&lt;=_辅助!$J$2),1,0)</f>
        <v>0</v>
      </c>
      <c r="CE171" s="2">
        <f>IF(($C$130&lt;&gt;"")*(代发抵账!$E$175=$C$130)*(代发抵账!$D$175="总包代付材料分包款")*ISNUMBER(代发抵账!$H$175)*(代发抵账!$H$175&lt;=_辅助!$J$2),1,0)</f>
        <v>0</v>
      </c>
    </row>
    <row r="172">
      <c r="A172" s="94">
        <f>IF($AW172+$AX172=0,"",40)</f>
      </c>
      <c r="B172" s="95">
        <f t="shared" si="25"/>
      </c>
      <c r="C172" s="96">
        <f t="shared" si="27"/>
      </c>
      <c r="D172" s="96">
        <f t="shared" si="1"/>
      </c>
      <c r="E172" s="21">
        <f t="shared" si="4"/>
      </c>
      <c r="G172" s="94">
        <f>IF($AU172+$AV172=0,"",40)</f>
      </c>
      <c r="H172" s="95">
        <f t="shared" si="7"/>
      </c>
      <c r="I172" s="96">
        <f t="shared" si="9"/>
      </c>
      <c r="J172" s="96">
        <f t="shared" si="29"/>
      </c>
      <c r="K172" s="21">
        <f t="shared" si="11"/>
      </c>
      <c r="AU172" s="2">
        <f>IF(AND(39&gt;=1,39&lt;=$BD$1),IF(39&gt;$BD$1,0,MOD(SMALL($BD$2:$BD$2001,39),10000)),0)</f>
        <v>0</v>
      </c>
      <c r="AV172" s="2">
        <f>IF(AND(39&gt;$BD$1,39&lt;=$BD$1+$BE$300),IF(39-$BD$1&gt;$BE$300,0,IFERROR(MATCH(39-$BD$1,$BE$1:$BE$300,0),0)),0)</f>
        <v>0</v>
      </c>
      <c r="AW172" s="2">
        <f>IF(40&lt;=$BB$200,IF(40&gt;$BB$200,0,IFERROR(MATCH(40,$BB$1:$BB$200,0),0)),0)</f>
        <v>0</v>
      </c>
      <c r="AX172" s="2">
        <f>IF(AND(40&gt;$BB$200,40&lt;=$BB$200+$BC$1000),IF(40-$BB$200&gt;$BC$1000,0,IFERROR(MATCH(40-$BB$200,$BC$1:$BC$1000,0),0)),0)</f>
        <v>0</v>
      </c>
      <c r="AZ172" s="2">
        <f>AZ150+SUM(CA151:CA172)</f>
        <v>29</v>
      </c>
      <c r="BB172" s="2">
        <f>BB150+SUM(CC151:CC172)</f>
        <v>8</v>
      </c>
      <c r="BC172" s="2">
        <f>BC150+SUM(CD151:CD172)</f>
        <v>0</v>
      </c>
      <c r="BD172" s="2">
        <f>IF(AND($C$130&lt;&gt;"",资金流水!$J$176=$C$130,ISNUMBER(资金流水!$B$176),ISNUMBER(资金流水!$S$176),资金流水!$S$176&gt;=_辅助!$J$4,资金流水!$S$176&lt;=_辅助!$J$2,OR(资金流水!$X$176="应付材料款",资金流水!$X$176="应付分包款",资金流水!$X$176="应付机械运输费",资金流水!$X$176="应付其他款")),INT(资金流水!$B$176)*10000+171,"")</f>
      </c>
      <c r="BE172" s="2">
        <f>BE150+SUM(CE151:CE172)</f>
        <v>0</v>
      </c>
      <c r="CA172" s="2">
        <f>IF(AND(OR(_余额!$B$174="材料供应商",_余额!$B$174="分包",_余额!$B$174="机械运输",_余额!$B$174="其他"),OR($C$3="全部",_余额!$B$174=$C$3),OR(_余额!$G$174&lt;&gt;0,_余额!$H$174&lt;&gt;0)),1,0)</f>
        <v>0</v>
      </c>
      <c r="CC172" s="2">
        <f>IF(AND($C$130&lt;&gt;"",期初余额!$P$176=$C$130),1,0)</f>
        <v>0</v>
      </c>
      <c r="CD172" s="2">
        <f>IF(($C$130&lt;&gt;"")*(应付登记!$D$176=$C$130)*ISNUMBER(应付登记!$J$176)*(应付登记!$J$176&gt;=_辅助!$J$4)*(应付登记!$J$176&lt;=_辅助!$J$2),1,0)</f>
        <v>0</v>
      </c>
      <c r="CE172" s="2">
        <f>IF(($C$130&lt;&gt;"")*(代发抵账!$E$176=$C$130)*(代发抵账!$D$176="总包代付材料分包款")*ISNUMBER(代发抵账!$H$176)*(代发抵账!$H$176&lt;=_辅助!$J$2),1,0)</f>
        <v>0</v>
      </c>
    </row>
    <row r="173">
      <c r="A173" s="94">
        <f>IF($AW173+$AX173=0,"",41)</f>
      </c>
      <c r="B173" s="95">
        <f t="shared" si="25"/>
      </c>
      <c r="C173" s="96">
        <f t="shared" si="27"/>
      </c>
      <c r="D173" s="96">
        <f t="shared" si="1"/>
      </c>
      <c r="E173" s="21">
        <f t="shared" si="4"/>
      </c>
      <c r="G173" s="94">
        <f>IF($AU173+$AV173=0,"",41)</f>
      </c>
      <c r="H173" s="95">
        <f t="shared" si="7"/>
      </c>
      <c r="I173" s="96">
        <f t="shared" si="9"/>
      </c>
      <c r="J173" s="96">
        <f t="shared" si="29"/>
      </c>
      <c r="K173" s="21">
        <f t="shared" si="11"/>
      </c>
      <c r="AU173" s="2">
        <f>IF(AND(40&gt;=1,40&lt;=$BD$1),IF(40&gt;$BD$1,0,MOD(SMALL($BD$2:$BD$2001,40),10000)),0)</f>
        <v>0</v>
      </c>
      <c r="AV173" s="2">
        <f>IF(AND(40&gt;$BD$1,40&lt;=$BD$1+$BE$300),IF(40-$BD$1&gt;$BE$300,0,IFERROR(MATCH(40-$BD$1,$BE$1:$BE$300,0),0)),0)</f>
        <v>0</v>
      </c>
      <c r="AW173" s="2">
        <f>IF(41&lt;=$BB$200,IF(41&gt;$BB$200,0,IFERROR(MATCH(41,$BB$1:$BB$200,0),0)),0)</f>
        <v>0</v>
      </c>
      <c r="AX173" s="2">
        <f>IF(AND(41&gt;$BB$200,41&lt;=$BB$200+$BC$1000),IF(41-$BB$200&gt;$BC$1000,0,IFERROR(MATCH(41-$BB$200,$BC$1:$BC$1000,0),0)),0)</f>
        <v>0</v>
      </c>
      <c r="AZ173" s="2">
        <f>AZ150+SUM(CA151:CA173)</f>
        <v>29</v>
      </c>
      <c r="BB173" s="2">
        <f>BB150+SUM(CC151:CC173)</f>
        <v>8</v>
      </c>
      <c r="BC173" s="2">
        <f>BC150+SUM(CD151:CD173)</f>
        <v>0</v>
      </c>
      <c r="BD173" s="2">
        <f>IF(AND($C$130&lt;&gt;"",资金流水!$J$177=$C$130,ISNUMBER(资金流水!$B$177),ISNUMBER(资金流水!$S$177),资金流水!$S$177&gt;=_辅助!$J$4,资金流水!$S$177&lt;=_辅助!$J$2,OR(资金流水!$X$177="应付材料款",资金流水!$X$177="应付分包款",资金流水!$X$177="应付机械运输费",资金流水!$X$177="应付其他款")),INT(资金流水!$B$177)*10000+172,"")</f>
      </c>
      <c r="BE173" s="2">
        <f>BE150+SUM(CE151:CE173)</f>
        <v>0</v>
      </c>
      <c r="CA173" s="2">
        <f>IF(AND(OR(_余额!$B$175="材料供应商",_余额!$B$175="分包",_余额!$B$175="机械运输",_余额!$B$175="其他"),OR($C$3="全部",_余额!$B$175=$C$3),OR(_余额!$G$175&lt;&gt;0,_余额!$H$175&lt;&gt;0)),1,0)</f>
        <v>0</v>
      </c>
      <c r="CC173" s="2">
        <f>IF(AND($C$130&lt;&gt;"",期初余额!$P$177=$C$130),1,0)</f>
        <v>0</v>
      </c>
      <c r="CD173" s="2">
        <f>IF(($C$130&lt;&gt;"")*(应付登记!$D$177=$C$130)*ISNUMBER(应付登记!$J$177)*(应付登记!$J$177&gt;=_辅助!$J$4)*(应付登记!$J$177&lt;=_辅助!$J$2),1,0)</f>
        <v>0</v>
      </c>
      <c r="CE173" s="2">
        <f>IF(($C$130&lt;&gt;"")*(代发抵账!$E$177=$C$130)*(代发抵账!$D$177="总包代付材料分包款")*ISNUMBER(代发抵账!$H$177)*(代发抵账!$H$177&lt;=_辅助!$J$2),1,0)</f>
        <v>0</v>
      </c>
    </row>
    <row r="174">
      <c r="A174" s="94">
        <f>IF($AW174+$AX174=0,"",42)</f>
      </c>
      <c r="B174" s="95">
        <f t="shared" si="25"/>
      </c>
      <c r="C174" s="96">
        <f t="shared" si="27"/>
      </c>
      <c r="D174" s="96">
        <f t="shared" si="1"/>
      </c>
      <c r="E174" s="21">
        <f t="shared" si="4"/>
      </c>
      <c r="G174" s="94">
        <f>IF($AU174+$AV174=0,"",42)</f>
      </c>
      <c r="H174" s="95">
        <f t="shared" si="7"/>
      </c>
      <c r="I174" s="96">
        <f t="shared" si="9"/>
      </c>
      <c r="J174" s="96">
        <f t="shared" si="29"/>
      </c>
      <c r="K174" s="21">
        <f t="shared" si="11"/>
      </c>
      <c r="AU174" s="2">
        <f>IF(AND(41&gt;=1,41&lt;=$BD$1),IF(41&gt;$BD$1,0,MOD(SMALL($BD$2:$BD$2001,41),10000)),0)</f>
        <v>0</v>
      </c>
      <c r="AV174" s="2">
        <f>IF(AND(41&gt;$BD$1,41&lt;=$BD$1+$BE$300),IF(41-$BD$1&gt;$BE$300,0,IFERROR(MATCH(41-$BD$1,$BE$1:$BE$300,0),0)),0)</f>
        <v>0</v>
      </c>
      <c r="AW174" s="2">
        <f>IF(42&lt;=$BB$200,IF(42&gt;$BB$200,0,IFERROR(MATCH(42,$BB$1:$BB$200,0),0)),0)</f>
        <v>0</v>
      </c>
      <c r="AX174" s="2">
        <f>IF(AND(42&gt;$BB$200,42&lt;=$BB$200+$BC$1000),IF(42-$BB$200&gt;$BC$1000,0,IFERROR(MATCH(42-$BB$200,$BC$1:$BC$1000,0),0)),0)</f>
        <v>0</v>
      </c>
      <c r="AZ174" s="2">
        <f>AZ150+SUM(CA151:CA174)</f>
        <v>29</v>
      </c>
      <c r="BB174" s="2">
        <f>BB150+SUM(CC151:CC174)</f>
        <v>8</v>
      </c>
      <c r="BC174" s="2">
        <f>BC150+SUM(CD151:CD174)</f>
        <v>0</v>
      </c>
      <c r="BD174" s="2">
        <f>IF(AND($C$130&lt;&gt;"",资金流水!$J$178=$C$130,ISNUMBER(资金流水!$B$178),ISNUMBER(资金流水!$S$178),资金流水!$S$178&gt;=_辅助!$J$4,资金流水!$S$178&lt;=_辅助!$J$2,OR(资金流水!$X$178="应付材料款",资金流水!$X$178="应付分包款",资金流水!$X$178="应付机械运输费",资金流水!$X$178="应付其他款")),INT(资金流水!$B$178)*10000+173,"")</f>
      </c>
      <c r="BE174" s="2">
        <f>BE150+SUM(CE151:CE174)</f>
        <v>0</v>
      </c>
      <c r="CA174" s="2">
        <f>IF(AND(OR(_余额!$B$176="材料供应商",_余额!$B$176="分包",_余额!$B$176="机械运输",_余额!$B$176="其他"),OR($C$3="全部",_余额!$B$176=$C$3),OR(_余额!$G$176&lt;&gt;0,_余额!$H$176&lt;&gt;0)),1,0)</f>
        <v>0</v>
      </c>
      <c r="CC174" s="2">
        <f>IF(AND($C$130&lt;&gt;"",期初余额!$P$178=$C$130),1,0)</f>
        <v>0</v>
      </c>
      <c r="CD174" s="2">
        <f>IF(($C$130&lt;&gt;"")*(应付登记!$D$178=$C$130)*ISNUMBER(应付登记!$J$178)*(应付登记!$J$178&gt;=_辅助!$J$4)*(应付登记!$J$178&lt;=_辅助!$J$2),1,0)</f>
        <v>0</v>
      </c>
      <c r="CE174" s="2">
        <f>IF(($C$130&lt;&gt;"")*(代发抵账!$E$178=$C$130)*(代发抵账!$D$178="总包代付材料分包款")*ISNUMBER(代发抵账!$H$178)*(代发抵账!$H$178&lt;=_辅助!$J$2),1,0)</f>
        <v>0</v>
      </c>
    </row>
    <row r="175">
      <c r="A175" s="94">
        <f>IF($AW175+$AX175=0,"",43)</f>
      </c>
      <c r="B175" s="95">
        <f t="shared" si="25"/>
      </c>
      <c r="C175" s="96">
        <f t="shared" si="27"/>
      </c>
      <c r="D175" s="96">
        <f t="shared" si="1"/>
      </c>
      <c r="E175" s="21">
        <f t="shared" si="4"/>
      </c>
      <c r="G175" s="94">
        <f>IF($AU175+$AV175=0,"",43)</f>
      </c>
      <c r="H175" s="95">
        <f t="shared" si="7"/>
      </c>
      <c r="I175" s="96">
        <f t="shared" si="9"/>
      </c>
      <c r="J175" s="96">
        <f t="shared" si="29"/>
      </c>
      <c r="K175" s="21">
        <f t="shared" si="11"/>
      </c>
      <c r="AU175" s="2">
        <f>IF(AND(42&gt;=1,42&lt;=$BD$1),IF(42&gt;$BD$1,0,MOD(SMALL($BD$2:$BD$2001,42),10000)),0)</f>
        <v>0</v>
      </c>
      <c r="AV175" s="2">
        <f>IF(AND(42&gt;$BD$1,42&lt;=$BD$1+$BE$300),IF(42-$BD$1&gt;$BE$300,0,IFERROR(MATCH(42-$BD$1,$BE$1:$BE$300,0),0)),0)</f>
        <v>0</v>
      </c>
      <c r="AW175" s="2">
        <f>IF(43&lt;=$BB$200,IF(43&gt;$BB$200,0,IFERROR(MATCH(43,$BB$1:$BB$200,0),0)),0)</f>
        <v>0</v>
      </c>
      <c r="AX175" s="2">
        <f>IF(AND(43&gt;$BB$200,43&lt;=$BB$200+$BC$1000),IF(43-$BB$200&gt;$BC$1000,0,IFERROR(MATCH(43-$BB$200,$BC$1:$BC$1000,0),0)),0)</f>
        <v>0</v>
      </c>
      <c r="AZ175" s="2">
        <f>AZ150+SUM(CA151:CA175)</f>
        <v>29</v>
      </c>
      <c r="BB175" s="2">
        <f>BB150+SUM(CC151:CC175)</f>
        <v>8</v>
      </c>
      <c r="BC175" s="2">
        <f>BC150+SUM(CD151:CD175)</f>
        <v>0</v>
      </c>
      <c r="BD175" s="2">
        <f>IF(AND($C$130&lt;&gt;"",资金流水!$J$179=$C$130,ISNUMBER(资金流水!$B$179),ISNUMBER(资金流水!$S$179),资金流水!$S$179&gt;=_辅助!$J$4,资金流水!$S$179&lt;=_辅助!$J$2,OR(资金流水!$X$179="应付材料款",资金流水!$X$179="应付分包款",资金流水!$X$179="应付机械运输费",资金流水!$X$179="应付其他款")),INT(资金流水!$B$179)*10000+174,"")</f>
      </c>
      <c r="BE175" s="2">
        <f>BE150+SUM(CE151:CE175)</f>
        <v>0</v>
      </c>
      <c r="CA175" s="2">
        <f>IF(AND(OR(_余额!$B$177="材料供应商",_余额!$B$177="分包",_余额!$B$177="机械运输",_余额!$B$177="其他"),OR($C$3="全部",_余额!$B$177=$C$3),OR(_余额!$G$177&lt;&gt;0,_余额!$H$177&lt;&gt;0)),1,0)</f>
        <v>0</v>
      </c>
      <c r="CC175" s="2">
        <f>IF(AND($C$130&lt;&gt;"",期初余额!$P$179=$C$130),1,0)</f>
        <v>0</v>
      </c>
      <c r="CD175" s="2">
        <f>IF(($C$130&lt;&gt;"")*(应付登记!$D$179=$C$130)*ISNUMBER(应付登记!$J$179)*(应付登记!$J$179&gt;=_辅助!$J$4)*(应付登记!$J$179&lt;=_辅助!$J$2),1,0)</f>
        <v>0</v>
      </c>
      <c r="CE175" s="2">
        <f>IF(($C$130&lt;&gt;"")*(代发抵账!$E$179=$C$130)*(代发抵账!$D$179="总包代付材料分包款")*ISNUMBER(代发抵账!$H$179)*(代发抵账!$H$179&lt;=_辅助!$J$2),1,0)</f>
        <v>0</v>
      </c>
    </row>
    <row r="176">
      <c r="A176" s="94">
        <f>IF($AW176+$AX176=0,"",44)</f>
      </c>
      <c r="B176" s="95">
        <f t="shared" si="25"/>
      </c>
      <c r="C176" s="96">
        <f t="shared" si="27"/>
      </c>
      <c r="D176" s="96">
        <f t="shared" si="1"/>
      </c>
      <c r="E176" s="21">
        <f t="shared" si="4"/>
      </c>
      <c r="G176" s="94">
        <f>IF($AU176+$AV176=0,"",44)</f>
      </c>
      <c r="H176" s="95">
        <f t="shared" si="7"/>
      </c>
      <c r="I176" s="96">
        <f t="shared" si="9"/>
      </c>
      <c r="J176" s="96">
        <f t="shared" si="29"/>
      </c>
      <c r="K176" s="21">
        <f t="shared" si="11"/>
      </c>
      <c r="AU176" s="2">
        <f>IF(AND(43&gt;=1,43&lt;=$BD$1),IF(43&gt;$BD$1,0,MOD(SMALL($BD$2:$BD$2001,43),10000)),0)</f>
        <v>0</v>
      </c>
      <c r="AV176" s="2">
        <f>IF(AND(43&gt;$BD$1,43&lt;=$BD$1+$BE$300),IF(43-$BD$1&gt;$BE$300,0,IFERROR(MATCH(43-$BD$1,$BE$1:$BE$300,0),0)),0)</f>
        <v>0</v>
      </c>
      <c r="AW176" s="2">
        <f>IF(44&lt;=$BB$200,IF(44&gt;$BB$200,0,IFERROR(MATCH(44,$BB$1:$BB$200,0),0)),0)</f>
        <v>0</v>
      </c>
      <c r="AX176" s="2">
        <f>IF(AND(44&gt;$BB$200,44&lt;=$BB$200+$BC$1000),IF(44-$BB$200&gt;$BC$1000,0,IFERROR(MATCH(44-$BB$200,$BC$1:$BC$1000,0),0)),0)</f>
        <v>0</v>
      </c>
      <c r="AZ176" s="2">
        <f>AZ150+SUM(CA151:CA176)</f>
        <v>29</v>
      </c>
      <c r="BB176" s="2">
        <f>BB150+SUM(CC151:CC176)</f>
        <v>8</v>
      </c>
      <c r="BC176" s="2">
        <f>BC150+SUM(CD151:CD176)</f>
        <v>0</v>
      </c>
      <c r="BD176" s="2">
        <f>IF(AND($C$130&lt;&gt;"",资金流水!$J$180=$C$130,ISNUMBER(资金流水!$B$180),ISNUMBER(资金流水!$S$180),资金流水!$S$180&gt;=_辅助!$J$4,资金流水!$S$180&lt;=_辅助!$J$2,OR(资金流水!$X$180="应付材料款",资金流水!$X$180="应付分包款",资金流水!$X$180="应付机械运输费",资金流水!$X$180="应付其他款")),INT(资金流水!$B$180)*10000+175,"")</f>
      </c>
      <c r="BE176" s="2">
        <f>BE150+SUM(CE151:CE176)</f>
        <v>0</v>
      </c>
      <c r="CA176" s="2">
        <f>IF(AND(OR(_余额!$B$178="材料供应商",_余额!$B$178="分包",_余额!$B$178="机械运输",_余额!$B$178="其他"),OR($C$3="全部",_余额!$B$178=$C$3),OR(_余额!$G$178&lt;&gt;0,_余额!$H$178&lt;&gt;0)),1,0)</f>
        <v>0</v>
      </c>
      <c r="CC176" s="2">
        <f>IF(AND($C$130&lt;&gt;"",期初余额!$P$180=$C$130),1,0)</f>
        <v>0</v>
      </c>
      <c r="CD176" s="2">
        <f>IF(($C$130&lt;&gt;"")*(应付登记!$D$180=$C$130)*ISNUMBER(应付登记!$J$180)*(应付登记!$J$180&gt;=_辅助!$J$4)*(应付登记!$J$180&lt;=_辅助!$J$2),1,0)</f>
        <v>0</v>
      </c>
      <c r="CE176" s="2">
        <f>IF(($C$130&lt;&gt;"")*(代发抵账!$E$180=$C$130)*(代发抵账!$D$180="总包代付材料分包款")*ISNUMBER(代发抵账!$H$180)*(代发抵账!$H$180&lt;=_辅助!$J$2),1,0)</f>
        <v>0</v>
      </c>
    </row>
    <row r="177">
      <c r="A177" s="94">
        <f>IF($AW177+$AX177=0,"",45)</f>
      </c>
      <c r="B177" s="95">
        <f t="shared" si="25"/>
      </c>
      <c r="C177" s="96">
        <f t="shared" si="27"/>
      </c>
      <c r="D177" s="96">
        <f t="shared" si="1"/>
      </c>
      <c r="E177" s="21">
        <f t="shared" si="4"/>
      </c>
      <c r="G177" s="94">
        <f>IF($AU177+$AV177=0,"",45)</f>
      </c>
      <c r="H177" s="95">
        <f t="shared" si="7"/>
      </c>
      <c r="I177" s="96">
        <f t="shared" si="9"/>
      </c>
      <c r="J177" s="96">
        <f t="shared" si="29"/>
      </c>
      <c r="K177" s="21">
        <f t="shared" si="11"/>
      </c>
      <c r="AU177" s="2">
        <f>IF(AND(44&gt;=1,44&lt;=$BD$1),IF(44&gt;$BD$1,0,MOD(SMALL($BD$2:$BD$2001,44),10000)),0)</f>
        <v>0</v>
      </c>
      <c r="AV177" s="2">
        <f>IF(AND(44&gt;$BD$1,44&lt;=$BD$1+$BE$300),IF(44-$BD$1&gt;$BE$300,0,IFERROR(MATCH(44-$BD$1,$BE$1:$BE$300,0),0)),0)</f>
        <v>0</v>
      </c>
      <c r="AW177" s="2">
        <f>IF(45&lt;=$BB$200,IF(45&gt;$BB$200,0,IFERROR(MATCH(45,$BB$1:$BB$200,0),0)),0)</f>
        <v>0</v>
      </c>
      <c r="AX177" s="2">
        <f>IF(AND(45&gt;$BB$200,45&lt;=$BB$200+$BC$1000),IF(45-$BB$200&gt;$BC$1000,0,IFERROR(MATCH(45-$BB$200,$BC$1:$BC$1000,0),0)),0)</f>
        <v>0</v>
      </c>
      <c r="AZ177" s="2">
        <f>AZ150+SUM(CA151:CA177)</f>
        <v>29</v>
      </c>
      <c r="BB177" s="2">
        <f>BB150+SUM(CC151:CC177)</f>
        <v>8</v>
      </c>
      <c r="BC177" s="2">
        <f>BC150+SUM(CD151:CD177)</f>
        <v>0</v>
      </c>
      <c r="BD177" s="2">
        <f>IF(AND($C$130&lt;&gt;"",资金流水!$J$181=$C$130,ISNUMBER(资金流水!$B$181),ISNUMBER(资金流水!$S$181),资金流水!$S$181&gt;=_辅助!$J$4,资金流水!$S$181&lt;=_辅助!$J$2,OR(资金流水!$X$181="应付材料款",资金流水!$X$181="应付分包款",资金流水!$X$181="应付机械运输费",资金流水!$X$181="应付其他款")),INT(资金流水!$B$181)*10000+176,"")</f>
      </c>
      <c r="BE177" s="2">
        <f>BE150+SUM(CE151:CE177)</f>
        <v>0</v>
      </c>
      <c r="CA177" s="2">
        <f>IF(AND(OR(_余额!$B$179="材料供应商",_余额!$B$179="分包",_余额!$B$179="机械运输",_余额!$B$179="其他"),OR($C$3="全部",_余额!$B$179=$C$3),OR(_余额!$G$179&lt;&gt;0,_余额!$H$179&lt;&gt;0)),1,0)</f>
        <v>0</v>
      </c>
      <c r="CC177" s="2">
        <f>IF(AND($C$130&lt;&gt;"",期初余额!$P$181=$C$130),1,0)</f>
        <v>0</v>
      </c>
      <c r="CD177" s="2">
        <f>IF(($C$130&lt;&gt;"")*(应付登记!$D$181=$C$130)*ISNUMBER(应付登记!$J$181)*(应付登记!$J$181&gt;=_辅助!$J$4)*(应付登记!$J$181&lt;=_辅助!$J$2),1,0)</f>
        <v>0</v>
      </c>
      <c r="CE177" s="2">
        <f>IF(($C$130&lt;&gt;"")*(代发抵账!$E$181=$C$130)*(代发抵账!$D$181="总包代付材料分包款")*ISNUMBER(代发抵账!$H$181)*(代发抵账!$H$181&lt;=_辅助!$J$2),1,0)</f>
        <v>0</v>
      </c>
    </row>
    <row r="178">
      <c r="A178" s="94">
        <f>IF($AW178+$AX178=0,"",46)</f>
      </c>
      <c r="B178" s="95">
        <f t="shared" si="25"/>
      </c>
      <c r="C178" s="96">
        <f t="shared" si="27"/>
      </c>
      <c r="D178" s="96">
        <f t="shared" si="1"/>
      </c>
      <c r="E178" s="21">
        <f t="shared" si="4"/>
      </c>
      <c r="G178" s="94">
        <f>IF($AU178+$AV178=0,"",46)</f>
      </c>
      <c r="H178" s="95">
        <f t="shared" si="7"/>
      </c>
      <c r="I178" s="96">
        <f t="shared" si="9"/>
      </c>
      <c r="J178" s="96">
        <f t="shared" si="29"/>
      </c>
      <c r="K178" s="21">
        <f t="shared" si="11"/>
      </c>
      <c r="AU178" s="2">
        <f>IF(AND(45&gt;=1,45&lt;=$BD$1),IF(45&gt;$BD$1,0,MOD(SMALL($BD$2:$BD$2001,45),10000)),0)</f>
        <v>0</v>
      </c>
      <c r="AV178" s="2">
        <f>IF(AND(45&gt;$BD$1,45&lt;=$BD$1+$BE$300),IF(45-$BD$1&gt;$BE$300,0,IFERROR(MATCH(45-$BD$1,$BE$1:$BE$300,0),0)),0)</f>
        <v>0</v>
      </c>
      <c r="AW178" s="2">
        <f>IF(46&lt;=$BB$200,IF(46&gt;$BB$200,0,IFERROR(MATCH(46,$BB$1:$BB$200,0),0)),0)</f>
        <v>0</v>
      </c>
      <c r="AX178" s="2">
        <f>IF(AND(46&gt;$BB$200,46&lt;=$BB$200+$BC$1000),IF(46-$BB$200&gt;$BC$1000,0,IFERROR(MATCH(46-$BB$200,$BC$1:$BC$1000,0),0)),0)</f>
        <v>0</v>
      </c>
      <c r="AZ178" s="2">
        <f>AZ150+SUM(CA151:CA178)</f>
        <v>29</v>
      </c>
      <c r="BB178" s="2">
        <f>BB150+SUM(CC151:CC178)</f>
        <v>8</v>
      </c>
      <c r="BC178" s="2">
        <f>BC150+SUM(CD151:CD178)</f>
        <v>0</v>
      </c>
      <c r="BD178" s="2">
        <f>IF(AND($C$130&lt;&gt;"",资金流水!$J$182=$C$130,ISNUMBER(资金流水!$B$182),ISNUMBER(资金流水!$S$182),资金流水!$S$182&gt;=_辅助!$J$4,资金流水!$S$182&lt;=_辅助!$J$2,OR(资金流水!$X$182="应付材料款",资金流水!$X$182="应付分包款",资金流水!$X$182="应付机械运输费",资金流水!$X$182="应付其他款")),INT(资金流水!$B$182)*10000+177,"")</f>
      </c>
      <c r="BE178" s="2">
        <f>BE150+SUM(CE151:CE178)</f>
        <v>0</v>
      </c>
      <c r="CA178" s="2">
        <f>IF(AND(OR(_余额!$B$180="材料供应商",_余额!$B$180="分包",_余额!$B$180="机械运输",_余额!$B$180="其他"),OR($C$3="全部",_余额!$B$180=$C$3),OR(_余额!$G$180&lt;&gt;0,_余额!$H$180&lt;&gt;0)),1,0)</f>
        <v>0</v>
      </c>
      <c r="CC178" s="2">
        <f>IF(AND($C$130&lt;&gt;"",期初余额!$P$182=$C$130),1,0)</f>
        <v>0</v>
      </c>
      <c r="CD178" s="2">
        <f>IF(($C$130&lt;&gt;"")*(应付登记!$D$182=$C$130)*ISNUMBER(应付登记!$J$182)*(应付登记!$J$182&gt;=_辅助!$J$4)*(应付登记!$J$182&lt;=_辅助!$J$2),1,0)</f>
        <v>0</v>
      </c>
      <c r="CE178" s="2">
        <f>IF(($C$130&lt;&gt;"")*(代发抵账!$E$182=$C$130)*(代发抵账!$D$182="总包代付材料分包款")*ISNUMBER(代发抵账!$H$182)*(代发抵账!$H$182&lt;=_辅助!$J$2),1,0)</f>
        <v>0</v>
      </c>
    </row>
    <row r="179">
      <c r="A179" s="94">
        <f>IF($AW179+$AX179=0,"",47)</f>
      </c>
      <c r="B179" s="95">
        <f t="shared" si="25"/>
      </c>
      <c r="C179" s="96">
        <f t="shared" si="27"/>
      </c>
      <c r="D179" s="96">
        <f t="shared" si="1"/>
      </c>
      <c r="E179" s="21">
        <f t="shared" si="4"/>
      </c>
      <c r="G179" s="94">
        <f>IF($AU179+$AV179=0,"",47)</f>
      </c>
      <c r="H179" s="95">
        <f t="shared" si="7"/>
      </c>
      <c r="I179" s="96">
        <f t="shared" si="9"/>
      </c>
      <c r="J179" s="96">
        <f t="shared" si="29"/>
      </c>
      <c r="K179" s="21">
        <f t="shared" si="11"/>
      </c>
      <c r="AU179" s="2">
        <f>IF(AND(46&gt;=1,46&lt;=$BD$1),IF(46&gt;$BD$1,0,MOD(SMALL($BD$2:$BD$2001,46),10000)),0)</f>
        <v>0</v>
      </c>
      <c r="AV179" s="2">
        <f>IF(AND(46&gt;$BD$1,46&lt;=$BD$1+$BE$300),IF(46-$BD$1&gt;$BE$300,0,IFERROR(MATCH(46-$BD$1,$BE$1:$BE$300,0),0)),0)</f>
        <v>0</v>
      </c>
      <c r="AW179" s="2">
        <f>IF(47&lt;=$BB$200,IF(47&gt;$BB$200,0,IFERROR(MATCH(47,$BB$1:$BB$200,0),0)),0)</f>
        <v>0</v>
      </c>
      <c r="AX179" s="2">
        <f>IF(AND(47&gt;$BB$200,47&lt;=$BB$200+$BC$1000),IF(47-$BB$200&gt;$BC$1000,0,IFERROR(MATCH(47-$BB$200,$BC$1:$BC$1000,0),0)),0)</f>
        <v>0</v>
      </c>
      <c r="AZ179" s="2">
        <f>AZ150+SUM(CA151:CA179)</f>
        <v>29</v>
      </c>
      <c r="BB179" s="2">
        <f>BB150+SUM(CC151:CC179)</f>
        <v>8</v>
      </c>
      <c r="BC179" s="2">
        <f>BC150+SUM(CD151:CD179)</f>
        <v>0</v>
      </c>
      <c r="BD179" s="2">
        <f>IF(AND($C$130&lt;&gt;"",资金流水!$J$183=$C$130,ISNUMBER(资金流水!$B$183),ISNUMBER(资金流水!$S$183),资金流水!$S$183&gt;=_辅助!$J$4,资金流水!$S$183&lt;=_辅助!$J$2,OR(资金流水!$X$183="应付材料款",资金流水!$X$183="应付分包款",资金流水!$X$183="应付机械运输费",资金流水!$X$183="应付其他款")),INT(资金流水!$B$183)*10000+178,"")</f>
      </c>
      <c r="BE179" s="2">
        <f>BE150+SUM(CE151:CE179)</f>
        <v>0</v>
      </c>
      <c r="CA179" s="2">
        <f>IF(AND(OR(_余额!$B$181="材料供应商",_余额!$B$181="分包",_余额!$B$181="机械运输",_余额!$B$181="其他"),OR($C$3="全部",_余额!$B$181=$C$3),OR(_余额!$G$181&lt;&gt;0,_余额!$H$181&lt;&gt;0)),1,0)</f>
        <v>0</v>
      </c>
      <c r="CC179" s="2">
        <f>IF(AND($C$130&lt;&gt;"",期初余额!$P$183=$C$130),1,0)</f>
        <v>0</v>
      </c>
      <c r="CD179" s="2">
        <f>IF(($C$130&lt;&gt;"")*(应付登记!$D$183=$C$130)*ISNUMBER(应付登记!$J$183)*(应付登记!$J$183&gt;=_辅助!$J$4)*(应付登记!$J$183&lt;=_辅助!$J$2),1,0)</f>
        <v>0</v>
      </c>
      <c r="CE179" s="2">
        <f>IF(($C$130&lt;&gt;"")*(代发抵账!$E$183=$C$130)*(代发抵账!$D$183="总包代付材料分包款")*ISNUMBER(代发抵账!$H$183)*(代发抵账!$H$183&lt;=_辅助!$J$2),1,0)</f>
        <v>0</v>
      </c>
    </row>
    <row r="180">
      <c r="A180" s="94">
        <f>IF($AW180+$AX180=0,"",48)</f>
      </c>
      <c r="B180" s="95">
        <f t="shared" si="25"/>
      </c>
      <c r="C180" s="96">
        <f t="shared" si="27"/>
      </c>
      <c r="D180" s="96">
        <f t="shared" si="1"/>
      </c>
      <c r="E180" s="21">
        <f t="shared" si="4"/>
      </c>
      <c r="G180" s="94">
        <f>IF($AU180+$AV180=0,"",48)</f>
      </c>
      <c r="H180" s="95">
        <f t="shared" si="7"/>
      </c>
      <c r="I180" s="96">
        <f t="shared" si="9"/>
      </c>
      <c r="J180" s="96">
        <f t="shared" si="29"/>
      </c>
      <c r="K180" s="21">
        <f t="shared" si="11"/>
      </c>
      <c r="AU180" s="2">
        <f>IF(AND(47&gt;=1,47&lt;=$BD$1),IF(47&gt;$BD$1,0,MOD(SMALL($BD$2:$BD$2001,47),10000)),0)</f>
        <v>0</v>
      </c>
      <c r="AV180" s="2">
        <f>IF(AND(47&gt;$BD$1,47&lt;=$BD$1+$BE$300),IF(47-$BD$1&gt;$BE$300,0,IFERROR(MATCH(47-$BD$1,$BE$1:$BE$300,0),0)),0)</f>
        <v>0</v>
      </c>
      <c r="AW180" s="2">
        <f>IF(48&lt;=$BB$200,IF(48&gt;$BB$200,0,IFERROR(MATCH(48,$BB$1:$BB$200,0),0)),0)</f>
        <v>0</v>
      </c>
      <c r="AX180" s="2">
        <f>IF(AND(48&gt;$BB$200,48&lt;=$BB$200+$BC$1000),IF(48-$BB$200&gt;$BC$1000,0,IFERROR(MATCH(48-$BB$200,$BC$1:$BC$1000,0),0)),0)</f>
        <v>0</v>
      </c>
      <c r="AZ180" s="2">
        <f>AZ150+SUM(CA151:CA180)</f>
        <v>29</v>
      </c>
      <c r="BB180" s="2">
        <f>BB150+SUM(CC151:CC180)</f>
        <v>8</v>
      </c>
      <c r="BC180" s="2">
        <f>BC150+SUM(CD151:CD180)</f>
        <v>0</v>
      </c>
      <c r="BD180" s="2">
        <f>IF(AND($C$130&lt;&gt;"",资金流水!$J$184=$C$130,ISNUMBER(资金流水!$B$184),ISNUMBER(资金流水!$S$184),资金流水!$S$184&gt;=_辅助!$J$4,资金流水!$S$184&lt;=_辅助!$J$2,OR(资金流水!$X$184="应付材料款",资金流水!$X$184="应付分包款",资金流水!$X$184="应付机械运输费",资金流水!$X$184="应付其他款")),INT(资金流水!$B$184)*10000+179,"")</f>
      </c>
      <c r="BE180" s="2">
        <f>BE150+SUM(CE151:CE180)</f>
        <v>0</v>
      </c>
      <c r="CA180" s="2">
        <f>IF(AND(OR(_余额!$B$182="材料供应商",_余额!$B$182="分包",_余额!$B$182="机械运输",_余额!$B$182="其他"),OR($C$3="全部",_余额!$B$182=$C$3),OR(_余额!$G$182&lt;&gt;0,_余额!$H$182&lt;&gt;0)),1,0)</f>
        <v>0</v>
      </c>
      <c r="CC180" s="2">
        <f>IF(AND($C$130&lt;&gt;"",期初余额!$P$184=$C$130),1,0)</f>
        <v>0</v>
      </c>
      <c r="CD180" s="2">
        <f>IF(($C$130&lt;&gt;"")*(应付登记!$D$184=$C$130)*ISNUMBER(应付登记!$J$184)*(应付登记!$J$184&gt;=_辅助!$J$4)*(应付登记!$J$184&lt;=_辅助!$J$2),1,0)</f>
        <v>0</v>
      </c>
      <c r="CE180" s="2">
        <f>IF(($C$130&lt;&gt;"")*(代发抵账!$E$184=$C$130)*(代发抵账!$D$184="总包代付材料分包款")*ISNUMBER(代发抵账!$H$184)*(代发抵账!$H$184&lt;=_辅助!$J$2),1,0)</f>
        <v>0</v>
      </c>
    </row>
    <row r="181">
      <c r="A181" s="94">
        <f>IF($AW181+$AX181=0,"",49)</f>
      </c>
      <c r="B181" s="95">
        <f t="shared" si="25"/>
      </c>
      <c r="C181" s="96">
        <f t="shared" si="27"/>
      </c>
      <c r="D181" s="96">
        <f t="shared" si="1"/>
      </c>
      <c r="E181" s="21">
        <f t="shared" si="4"/>
      </c>
      <c r="G181" s="94">
        <f>IF($AU181+$AV181=0,"",49)</f>
      </c>
      <c r="H181" s="95">
        <f t="shared" si="7"/>
      </c>
      <c r="I181" s="96">
        <f t="shared" si="9"/>
      </c>
      <c r="J181" s="96">
        <f t="shared" si="29"/>
      </c>
      <c r="K181" s="21">
        <f t="shared" si="11"/>
      </c>
      <c r="AU181" s="2">
        <f>IF(AND(48&gt;=1,48&lt;=$BD$1),IF(48&gt;$BD$1,0,MOD(SMALL($BD$2:$BD$2001,48),10000)),0)</f>
        <v>0</v>
      </c>
      <c r="AV181" s="2">
        <f>IF(AND(48&gt;$BD$1,48&lt;=$BD$1+$BE$300),IF(48-$BD$1&gt;$BE$300,0,IFERROR(MATCH(48-$BD$1,$BE$1:$BE$300,0),0)),0)</f>
        <v>0</v>
      </c>
      <c r="AW181" s="2">
        <f>IF(49&lt;=$BB$200,IF(49&gt;$BB$200,0,IFERROR(MATCH(49,$BB$1:$BB$200,0),0)),0)</f>
        <v>0</v>
      </c>
      <c r="AX181" s="2">
        <f>IF(AND(49&gt;$BB$200,49&lt;=$BB$200+$BC$1000),IF(49-$BB$200&gt;$BC$1000,0,IFERROR(MATCH(49-$BB$200,$BC$1:$BC$1000,0),0)),0)</f>
        <v>0</v>
      </c>
      <c r="AZ181" s="2">
        <f>AZ150+SUM(CA151:CA181)</f>
        <v>29</v>
      </c>
      <c r="BB181" s="2">
        <f>BB150+SUM(CC151:CC181)</f>
        <v>8</v>
      </c>
      <c r="BC181" s="2">
        <f>BC150+SUM(CD151:CD181)</f>
        <v>0</v>
      </c>
      <c r="BD181" s="2">
        <f>IF(AND($C$130&lt;&gt;"",资金流水!$J$185=$C$130,ISNUMBER(资金流水!$B$185),ISNUMBER(资金流水!$S$185),资金流水!$S$185&gt;=_辅助!$J$4,资金流水!$S$185&lt;=_辅助!$J$2,OR(资金流水!$X$185="应付材料款",资金流水!$X$185="应付分包款",资金流水!$X$185="应付机械运输费",资金流水!$X$185="应付其他款")),INT(资金流水!$B$185)*10000+180,"")</f>
      </c>
      <c r="BE181" s="2">
        <f>BE150+SUM(CE151:CE181)</f>
        <v>0</v>
      </c>
      <c r="CA181" s="2">
        <f>IF(AND(OR(_余额!$B$183="材料供应商",_余额!$B$183="分包",_余额!$B$183="机械运输",_余额!$B$183="其他"),OR($C$3="全部",_余额!$B$183=$C$3),OR(_余额!$G$183&lt;&gt;0,_余额!$H$183&lt;&gt;0)),1,0)</f>
        <v>0</v>
      </c>
      <c r="CC181" s="2">
        <f>IF(AND($C$130&lt;&gt;"",期初余额!$P$185=$C$130),1,0)</f>
        <v>0</v>
      </c>
      <c r="CD181" s="2">
        <f>IF(($C$130&lt;&gt;"")*(应付登记!$D$185=$C$130)*ISNUMBER(应付登记!$J$185)*(应付登记!$J$185&gt;=_辅助!$J$4)*(应付登记!$J$185&lt;=_辅助!$J$2),1,0)</f>
        <v>0</v>
      </c>
      <c r="CE181" s="2">
        <f>IF(($C$130&lt;&gt;"")*(代发抵账!$E$185=$C$130)*(代发抵账!$D$185="总包代付材料分包款")*ISNUMBER(代发抵账!$H$185)*(代发抵账!$H$185&lt;=_辅助!$J$2),1,0)</f>
        <v>0</v>
      </c>
    </row>
    <row r="182">
      <c r="A182" s="94">
        <f>IF($AW182+$AX182=0,"",50)</f>
      </c>
      <c r="B182" s="95">
        <f t="shared" si="25"/>
      </c>
      <c r="C182" s="96">
        <f t="shared" si="27"/>
      </c>
      <c r="D182" s="96">
        <f t="shared" si="1"/>
      </c>
      <c r="E182" s="21">
        <f t="shared" si="4"/>
      </c>
      <c r="G182" s="94">
        <f>IF($AU182+$AV182=0,"",50)</f>
      </c>
      <c r="H182" s="95">
        <f t="shared" si="7"/>
      </c>
      <c r="I182" s="96">
        <f t="shared" si="9"/>
      </c>
      <c r="J182" s="96">
        <f t="shared" si="29"/>
      </c>
      <c r="K182" s="21">
        <f t="shared" si="11"/>
      </c>
      <c r="AU182" s="2">
        <f>IF(AND(49&gt;=1,49&lt;=$BD$1),IF(49&gt;$BD$1,0,MOD(SMALL($BD$2:$BD$2001,49),10000)),0)</f>
        <v>0</v>
      </c>
      <c r="AV182" s="2">
        <f>IF(AND(49&gt;$BD$1,49&lt;=$BD$1+$BE$300),IF(49-$BD$1&gt;$BE$300,0,IFERROR(MATCH(49-$BD$1,$BE$1:$BE$300,0),0)),0)</f>
        <v>0</v>
      </c>
      <c r="AW182" s="2">
        <f>IF(50&lt;=$BB$200,IF(50&gt;$BB$200,0,IFERROR(MATCH(50,$BB$1:$BB$200,0),0)),0)</f>
        <v>0</v>
      </c>
      <c r="AX182" s="2">
        <f>IF(AND(50&gt;$BB$200,50&lt;=$BB$200+$BC$1000),IF(50-$BB$200&gt;$BC$1000,0,IFERROR(MATCH(50-$BB$200,$BC$1:$BC$1000,0),0)),0)</f>
        <v>0</v>
      </c>
      <c r="AZ182" s="2">
        <f>AZ150+SUM(CA151:CA182)</f>
        <v>29</v>
      </c>
      <c r="BB182" s="2">
        <f>BB150+SUM(CC151:CC182)</f>
        <v>8</v>
      </c>
      <c r="BC182" s="2">
        <f>BC150+SUM(CD151:CD182)</f>
        <v>0</v>
      </c>
      <c r="BD182" s="2">
        <f>IF(AND($C$130&lt;&gt;"",资金流水!$J$186=$C$130,ISNUMBER(资金流水!$B$186),ISNUMBER(资金流水!$S$186),资金流水!$S$186&gt;=_辅助!$J$4,资金流水!$S$186&lt;=_辅助!$J$2,OR(资金流水!$X$186="应付材料款",资金流水!$X$186="应付分包款",资金流水!$X$186="应付机械运输费",资金流水!$X$186="应付其他款")),INT(资金流水!$B$186)*10000+181,"")</f>
      </c>
      <c r="BE182" s="2">
        <f>BE150+SUM(CE151:CE182)</f>
        <v>0</v>
      </c>
      <c r="CA182" s="2">
        <f>IF(AND(OR(_余额!$B$184="材料供应商",_余额!$B$184="分包",_余额!$B$184="机械运输",_余额!$B$184="其他"),OR($C$3="全部",_余额!$B$184=$C$3),OR(_余额!$G$184&lt;&gt;0,_余额!$H$184&lt;&gt;0)),1,0)</f>
        <v>0</v>
      </c>
      <c r="CC182" s="2">
        <f>IF(AND($C$130&lt;&gt;"",期初余额!$P$186=$C$130),1,0)</f>
        <v>0</v>
      </c>
      <c r="CD182" s="2">
        <f>IF(($C$130&lt;&gt;"")*(应付登记!$D$186=$C$130)*ISNUMBER(应付登记!$J$186)*(应付登记!$J$186&gt;=_辅助!$J$4)*(应付登记!$J$186&lt;=_辅助!$J$2),1,0)</f>
        <v>0</v>
      </c>
      <c r="CE182" s="2">
        <f>IF(($C$130&lt;&gt;"")*(代发抵账!$E$186=$C$130)*(代发抵账!$D$186="总包代付材料分包款")*ISNUMBER(代发抵账!$H$186)*(代发抵账!$H$186&lt;=_辅助!$J$2),1,0)</f>
        <v>0</v>
      </c>
    </row>
    <row r="183">
      <c r="A183" s="94">
        <f>IF($AW183+$AX183=0,"",51)</f>
      </c>
      <c r="B183" s="95">
        <f t="shared" si="25"/>
      </c>
      <c r="C183" s="96">
        <f t="shared" si="27"/>
      </c>
      <c r="D183" s="96">
        <f t="shared" si="1"/>
      </c>
      <c r="E183" s="21">
        <f t="shared" si="4"/>
      </c>
      <c r="G183" s="94">
        <f>IF($AU183+$AV183=0,"",51)</f>
      </c>
      <c r="H183" s="95">
        <f t="shared" si="7"/>
      </c>
      <c r="I183" s="96">
        <f t="shared" si="9"/>
      </c>
      <c r="J183" s="96">
        <f t="shared" si="29"/>
      </c>
      <c r="K183" s="21">
        <f t="shared" si="11"/>
      </c>
      <c r="AU183" s="2">
        <f>IF(AND(50&gt;=1,50&lt;=$BD$1),IF(50&gt;$BD$1,0,MOD(SMALL($BD$2:$BD$2001,50),10000)),0)</f>
        <v>0</v>
      </c>
      <c r="AV183" s="2">
        <f>IF(AND(50&gt;$BD$1,50&lt;=$BD$1+$BE$300),IF(50-$BD$1&gt;$BE$300,0,IFERROR(MATCH(50-$BD$1,$BE$1:$BE$300,0),0)),0)</f>
        <v>0</v>
      </c>
      <c r="AW183" s="2">
        <f>IF(51&lt;=$BB$200,IF(51&gt;$BB$200,0,IFERROR(MATCH(51,$BB$1:$BB$200,0),0)),0)</f>
        <v>0</v>
      </c>
      <c r="AX183" s="2">
        <f>IF(AND(51&gt;$BB$200,51&lt;=$BB$200+$BC$1000),IF(51-$BB$200&gt;$BC$1000,0,IFERROR(MATCH(51-$BB$200,$BC$1:$BC$1000,0),0)),0)</f>
        <v>0</v>
      </c>
      <c r="AZ183" s="2">
        <f>AZ150+SUM(CA151:CA183)</f>
        <v>29</v>
      </c>
      <c r="BB183" s="2">
        <f>BB150+SUM(CC151:CC183)</f>
        <v>8</v>
      </c>
      <c r="BC183" s="2">
        <f>BC150+SUM(CD151:CD183)</f>
        <v>0</v>
      </c>
      <c r="BD183" s="2">
        <f>IF(AND($C$130&lt;&gt;"",资金流水!$J$187=$C$130,ISNUMBER(资金流水!$B$187),ISNUMBER(资金流水!$S$187),资金流水!$S$187&gt;=_辅助!$J$4,资金流水!$S$187&lt;=_辅助!$J$2,OR(资金流水!$X$187="应付材料款",资金流水!$X$187="应付分包款",资金流水!$X$187="应付机械运输费",资金流水!$X$187="应付其他款")),INT(资金流水!$B$187)*10000+182,"")</f>
      </c>
      <c r="BE183" s="2">
        <f>BE150+SUM(CE151:CE183)</f>
        <v>0</v>
      </c>
      <c r="CA183" s="2">
        <f>IF(AND(OR(_余额!$B$185="材料供应商",_余额!$B$185="分包",_余额!$B$185="机械运输",_余额!$B$185="其他"),OR($C$3="全部",_余额!$B$185=$C$3),OR(_余额!$G$185&lt;&gt;0,_余额!$H$185&lt;&gt;0)),1,0)</f>
        <v>0</v>
      </c>
      <c r="CC183" s="2">
        <f>IF(AND($C$130&lt;&gt;"",期初余额!$P$187=$C$130),1,0)</f>
        <v>0</v>
      </c>
      <c r="CD183" s="2">
        <f>IF(($C$130&lt;&gt;"")*(应付登记!$D$187=$C$130)*ISNUMBER(应付登记!$J$187)*(应付登记!$J$187&gt;=_辅助!$J$4)*(应付登记!$J$187&lt;=_辅助!$J$2),1,0)</f>
        <v>0</v>
      </c>
      <c r="CE183" s="2">
        <f>IF(($C$130&lt;&gt;"")*(代发抵账!$E$187=$C$130)*(代发抵账!$D$187="总包代付材料分包款")*ISNUMBER(代发抵账!$H$187)*(代发抵账!$H$187&lt;=_辅助!$J$2),1,0)</f>
        <v>0</v>
      </c>
    </row>
    <row r="184">
      <c r="A184" s="94">
        <f>IF($AW184+$AX184=0,"",52)</f>
      </c>
      <c r="B184" s="95">
        <f t="shared" si="25"/>
      </c>
      <c r="C184" s="96">
        <f t="shared" si="27"/>
      </c>
      <c r="D184" s="96">
        <f t="shared" si="1"/>
      </c>
      <c r="E184" s="21">
        <f t="shared" si="4"/>
      </c>
      <c r="G184" s="94">
        <f>IF($AU184+$AV184=0,"",52)</f>
      </c>
      <c r="H184" s="95">
        <f t="shared" si="7"/>
      </c>
      <c r="I184" s="96">
        <f t="shared" si="9"/>
      </c>
      <c r="J184" s="96">
        <f t="shared" si="29"/>
      </c>
      <c r="K184" s="21">
        <f t="shared" si="11"/>
      </c>
      <c r="AU184" s="2">
        <f>IF(AND(51&gt;=1,51&lt;=$BD$1),IF(51&gt;$BD$1,0,MOD(SMALL($BD$2:$BD$2001,51),10000)),0)</f>
        <v>0</v>
      </c>
      <c r="AV184" s="2">
        <f>IF(AND(51&gt;$BD$1,51&lt;=$BD$1+$BE$300),IF(51-$BD$1&gt;$BE$300,0,IFERROR(MATCH(51-$BD$1,$BE$1:$BE$300,0),0)),0)</f>
        <v>0</v>
      </c>
      <c r="AW184" s="2">
        <f>IF(52&lt;=$BB$200,IF(52&gt;$BB$200,0,IFERROR(MATCH(52,$BB$1:$BB$200,0),0)),0)</f>
        <v>0</v>
      </c>
      <c r="AX184" s="2">
        <f>IF(AND(52&gt;$BB$200,52&lt;=$BB$200+$BC$1000),IF(52-$BB$200&gt;$BC$1000,0,IFERROR(MATCH(52-$BB$200,$BC$1:$BC$1000,0),0)),0)</f>
        <v>0</v>
      </c>
      <c r="AZ184" s="2">
        <f>AZ150+SUM(CA151:CA184)</f>
        <v>29</v>
      </c>
      <c r="BB184" s="2">
        <f>BB150+SUM(CC151:CC184)</f>
        <v>8</v>
      </c>
      <c r="BC184" s="2">
        <f>BC150+SUM(CD151:CD184)</f>
        <v>0</v>
      </c>
      <c r="BD184" s="2">
        <f>IF(AND($C$130&lt;&gt;"",资金流水!$J$188=$C$130,ISNUMBER(资金流水!$B$188),ISNUMBER(资金流水!$S$188),资金流水!$S$188&gt;=_辅助!$J$4,资金流水!$S$188&lt;=_辅助!$J$2,OR(资金流水!$X$188="应付材料款",资金流水!$X$188="应付分包款",资金流水!$X$188="应付机械运输费",资金流水!$X$188="应付其他款")),INT(资金流水!$B$188)*10000+183,"")</f>
      </c>
      <c r="BE184" s="2">
        <f>BE150+SUM(CE151:CE184)</f>
        <v>0</v>
      </c>
      <c r="CA184" s="2">
        <f>IF(AND(OR(_余额!$B$186="材料供应商",_余额!$B$186="分包",_余额!$B$186="机械运输",_余额!$B$186="其他"),OR($C$3="全部",_余额!$B$186=$C$3),OR(_余额!$G$186&lt;&gt;0,_余额!$H$186&lt;&gt;0)),1,0)</f>
        <v>0</v>
      </c>
      <c r="CC184" s="2">
        <f>IF(AND($C$130&lt;&gt;"",期初余额!$P$188=$C$130),1,0)</f>
        <v>0</v>
      </c>
      <c r="CD184" s="2">
        <f>IF(($C$130&lt;&gt;"")*(应付登记!$D$188=$C$130)*ISNUMBER(应付登记!$J$188)*(应付登记!$J$188&gt;=_辅助!$J$4)*(应付登记!$J$188&lt;=_辅助!$J$2),1,0)</f>
        <v>0</v>
      </c>
      <c r="CE184" s="2">
        <f>IF(($C$130&lt;&gt;"")*(代发抵账!$E$188=$C$130)*(代发抵账!$D$188="总包代付材料分包款")*ISNUMBER(代发抵账!$H$188)*(代发抵账!$H$188&lt;=_辅助!$J$2),1,0)</f>
        <v>0</v>
      </c>
    </row>
    <row r="185">
      <c r="A185" s="94">
        <f>IF($AW185+$AX185=0,"",53)</f>
      </c>
      <c r="B185" s="95">
        <f t="shared" si="25"/>
      </c>
      <c r="C185" s="96">
        <f t="shared" si="27"/>
      </c>
      <c r="D185" s="96">
        <f t="shared" si="1"/>
      </c>
      <c r="E185" s="21">
        <f t="shared" si="4"/>
      </c>
      <c r="G185" s="94">
        <f>IF($AU185+$AV185=0,"",53)</f>
      </c>
      <c r="H185" s="95">
        <f t="shared" si="7"/>
      </c>
      <c r="I185" s="96">
        <f t="shared" si="9"/>
      </c>
      <c r="J185" s="96">
        <f t="shared" si="29"/>
      </c>
      <c r="K185" s="21">
        <f t="shared" si="11"/>
      </c>
      <c r="AU185" s="2">
        <f>IF(AND(52&gt;=1,52&lt;=$BD$1),IF(52&gt;$BD$1,0,MOD(SMALL($BD$2:$BD$2001,52),10000)),0)</f>
        <v>0</v>
      </c>
      <c r="AV185" s="2">
        <f>IF(AND(52&gt;$BD$1,52&lt;=$BD$1+$BE$300),IF(52-$BD$1&gt;$BE$300,0,IFERROR(MATCH(52-$BD$1,$BE$1:$BE$300,0),0)),0)</f>
        <v>0</v>
      </c>
      <c r="AW185" s="2">
        <f>IF(53&lt;=$BB$200,IF(53&gt;$BB$200,0,IFERROR(MATCH(53,$BB$1:$BB$200,0),0)),0)</f>
        <v>0</v>
      </c>
      <c r="AX185" s="2">
        <f>IF(AND(53&gt;$BB$200,53&lt;=$BB$200+$BC$1000),IF(53-$BB$200&gt;$BC$1000,0,IFERROR(MATCH(53-$BB$200,$BC$1:$BC$1000,0),0)),0)</f>
        <v>0</v>
      </c>
      <c r="AZ185" s="2">
        <f>AZ150+SUM(CA151:CA185)</f>
        <v>29</v>
      </c>
      <c r="BB185" s="2">
        <f>BB150+SUM(CC151:CC185)</f>
        <v>8</v>
      </c>
      <c r="BC185" s="2">
        <f>BC150+SUM(CD151:CD185)</f>
        <v>0</v>
      </c>
      <c r="BD185" s="2">
        <f>IF(AND($C$130&lt;&gt;"",资金流水!$J$189=$C$130,ISNUMBER(资金流水!$B$189),ISNUMBER(资金流水!$S$189),资金流水!$S$189&gt;=_辅助!$J$4,资金流水!$S$189&lt;=_辅助!$J$2,OR(资金流水!$X$189="应付材料款",资金流水!$X$189="应付分包款",资金流水!$X$189="应付机械运输费",资金流水!$X$189="应付其他款")),INT(资金流水!$B$189)*10000+184,"")</f>
      </c>
      <c r="BE185" s="2">
        <f>BE150+SUM(CE151:CE185)</f>
        <v>0</v>
      </c>
      <c r="CA185" s="2">
        <f>IF(AND(OR(_余额!$B$187="材料供应商",_余额!$B$187="分包",_余额!$B$187="机械运输",_余额!$B$187="其他"),OR($C$3="全部",_余额!$B$187=$C$3),OR(_余额!$G$187&lt;&gt;0,_余额!$H$187&lt;&gt;0)),1,0)</f>
        <v>0</v>
      </c>
      <c r="CC185" s="2">
        <f>IF(AND($C$130&lt;&gt;"",期初余额!$P$189=$C$130),1,0)</f>
        <v>0</v>
      </c>
      <c r="CD185" s="2">
        <f>IF(($C$130&lt;&gt;"")*(应付登记!$D$189=$C$130)*ISNUMBER(应付登记!$J$189)*(应付登记!$J$189&gt;=_辅助!$J$4)*(应付登记!$J$189&lt;=_辅助!$J$2),1,0)</f>
        <v>0</v>
      </c>
      <c r="CE185" s="2">
        <f>IF(($C$130&lt;&gt;"")*(代发抵账!$E$189=$C$130)*(代发抵账!$D$189="总包代付材料分包款")*ISNUMBER(代发抵账!$H$189)*(代发抵账!$H$189&lt;=_辅助!$J$2),1,0)</f>
        <v>0</v>
      </c>
    </row>
    <row r="186">
      <c r="A186" s="94">
        <f>IF($AW186+$AX186=0,"",54)</f>
      </c>
      <c r="B186" s="95">
        <f t="shared" si="25"/>
      </c>
      <c r="C186" s="96">
        <f t="shared" si="27"/>
      </c>
      <c r="D186" s="96">
        <f t="shared" si="1"/>
      </c>
      <c r="E186" s="21">
        <f t="shared" si="4"/>
      </c>
      <c r="G186" s="94">
        <f>IF($AU186+$AV186=0,"",54)</f>
      </c>
      <c r="H186" s="95">
        <f t="shared" si="7"/>
      </c>
      <c r="I186" s="96">
        <f t="shared" si="9"/>
      </c>
      <c r="J186" s="96">
        <f t="shared" si="29"/>
      </c>
      <c r="K186" s="21">
        <f t="shared" si="11"/>
      </c>
      <c r="AU186" s="2">
        <f>IF(AND(53&gt;=1,53&lt;=$BD$1),IF(53&gt;$BD$1,0,MOD(SMALL($BD$2:$BD$2001,53),10000)),0)</f>
        <v>0</v>
      </c>
      <c r="AV186" s="2">
        <f>IF(AND(53&gt;$BD$1,53&lt;=$BD$1+$BE$300),IF(53-$BD$1&gt;$BE$300,0,IFERROR(MATCH(53-$BD$1,$BE$1:$BE$300,0),0)),0)</f>
        <v>0</v>
      </c>
      <c r="AW186" s="2">
        <f>IF(54&lt;=$BB$200,IF(54&gt;$BB$200,0,IFERROR(MATCH(54,$BB$1:$BB$200,0),0)),0)</f>
        <v>0</v>
      </c>
      <c r="AX186" s="2">
        <f>IF(AND(54&gt;$BB$200,54&lt;=$BB$200+$BC$1000),IF(54-$BB$200&gt;$BC$1000,0,IFERROR(MATCH(54-$BB$200,$BC$1:$BC$1000,0),0)),0)</f>
        <v>0</v>
      </c>
      <c r="AZ186" s="2">
        <f>AZ150+SUM(CA151:CA186)</f>
        <v>29</v>
      </c>
      <c r="BB186" s="2">
        <f>BB150+SUM(CC151:CC186)</f>
        <v>8</v>
      </c>
      <c r="BC186" s="2">
        <f>BC150+SUM(CD151:CD186)</f>
        <v>0</v>
      </c>
      <c r="BD186" s="2">
        <f>IF(AND($C$130&lt;&gt;"",资金流水!$J$190=$C$130,ISNUMBER(资金流水!$B$190),ISNUMBER(资金流水!$S$190),资金流水!$S$190&gt;=_辅助!$J$4,资金流水!$S$190&lt;=_辅助!$J$2,OR(资金流水!$X$190="应付材料款",资金流水!$X$190="应付分包款",资金流水!$X$190="应付机械运输费",资金流水!$X$190="应付其他款")),INT(资金流水!$B$190)*10000+185,"")</f>
      </c>
      <c r="BE186" s="2">
        <f>BE150+SUM(CE151:CE186)</f>
        <v>0</v>
      </c>
      <c r="CA186" s="2">
        <f>IF(AND(OR(_余额!$B$188="材料供应商",_余额!$B$188="分包",_余额!$B$188="机械运输",_余额!$B$188="其他"),OR($C$3="全部",_余额!$B$188=$C$3),OR(_余额!$G$188&lt;&gt;0,_余额!$H$188&lt;&gt;0)),1,0)</f>
        <v>0</v>
      </c>
      <c r="CC186" s="2">
        <f>IF(AND($C$130&lt;&gt;"",期初余额!$P$190=$C$130),1,0)</f>
        <v>0</v>
      </c>
      <c r="CD186" s="2">
        <f>IF(($C$130&lt;&gt;"")*(应付登记!$D$190=$C$130)*ISNUMBER(应付登记!$J$190)*(应付登记!$J$190&gt;=_辅助!$J$4)*(应付登记!$J$190&lt;=_辅助!$J$2),1,0)</f>
        <v>0</v>
      </c>
      <c r="CE186" s="2">
        <f>IF(($C$130&lt;&gt;"")*(代发抵账!$E$190=$C$130)*(代发抵账!$D$190="总包代付材料分包款")*ISNUMBER(代发抵账!$H$190)*(代发抵账!$H$190&lt;=_辅助!$J$2),1,0)</f>
        <v>0</v>
      </c>
    </row>
    <row r="187">
      <c r="A187" s="94">
        <f>IF($AW187+$AX187=0,"",55)</f>
      </c>
      <c r="B187" s="95">
        <f t="shared" si="25"/>
      </c>
      <c r="C187" s="96">
        <f t="shared" si="27"/>
      </c>
      <c r="D187" s="96">
        <f t="shared" si="1"/>
      </c>
      <c r="E187" s="21">
        <f t="shared" si="4"/>
      </c>
      <c r="G187" s="94">
        <f>IF($AU187+$AV187=0,"",55)</f>
      </c>
      <c r="H187" s="95">
        <f t="shared" si="7"/>
      </c>
      <c r="I187" s="96">
        <f t="shared" si="9"/>
      </c>
      <c r="J187" s="96">
        <f t="shared" si="29"/>
      </c>
      <c r="K187" s="21">
        <f t="shared" si="11"/>
      </c>
      <c r="AU187" s="2">
        <f>IF(AND(54&gt;=1,54&lt;=$BD$1),IF(54&gt;$BD$1,0,MOD(SMALL($BD$2:$BD$2001,54),10000)),0)</f>
        <v>0</v>
      </c>
      <c r="AV187" s="2">
        <f>IF(AND(54&gt;$BD$1,54&lt;=$BD$1+$BE$300),IF(54-$BD$1&gt;$BE$300,0,IFERROR(MATCH(54-$BD$1,$BE$1:$BE$300,0),0)),0)</f>
        <v>0</v>
      </c>
      <c r="AW187" s="2">
        <f>IF(55&lt;=$BB$200,IF(55&gt;$BB$200,0,IFERROR(MATCH(55,$BB$1:$BB$200,0),0)),0)</f>
        <v>0</v>
      </c>
      <c r="AX187" s="2">
        <f>IF(AND(55&gt;$BB$200,55&lt;=$BB$200+$BC$1000),IF(55-$BB$200&gt;$BC$1000,0,IFERROR(MATCH(55-$BB$200,$BC$1:$BC$1000,0),0)),0)</f>
        <v>0</v>
      </c>
      <c r="AZ187" s="2">
        <f>AZ150+SUM(CA151:CA187)</f>
        <v>29</v>
      </c>
      <c r="BB187" s="2">
        <f>BB150+SUM(CC151:CC187)</f>
        <v>8</v>
      </c>
      <c r="BC187" s="2">
        <f>BC150+SUM(CD151:CD187)</f>
        <v>0</v>
      </c>
      <c r="BD187" s="2">
        <f>IF(AND($C$130&lt;&gt;"",资金流水!$J$191=$C$130,ISNUMBER(资金流水!$B$191),ISNUMBER(资金流水!$S$191),资金流水!$S$191&gt;=_辅助!$J$4,资金流水!$S$191&lt;=_辅助!$J$2,OR(资金流水!$X$191="应付材料款",资金流水!$X$191="应付分包款",资金流水!$X$191="应付机械运输费",资金流水!$X$191="应付其他款")),INT(资金流水!$B$191)*10000+186,"")</f>
      </c>
      <c r="BE187" s="2">
        <f>BE150+SUM(CE151:CE187)</f>
        <v>0</v>
      </c>
      <c r="CA187" s="2">
        <f>IF(AND(OR(_余额!$B$189="材料供应商",_余额!$B$189="分包",_余额!$B$189="机械运输",_余额!$B$189="其他"),OR($C$3="全部",_余额!$B$189=$C$3),OR(_余额!$G$189&lt;&gt;0,_余额!$H$189&lt;&gt;0)),1,0)</f>
        <v>0</v>
      </c>
      <c r="CC187" s="2">
        <f>IF(AND($C$130&lt;&gt;"",期初余额!$P$191=$C$130),1,0)</f>
        <v>0</v>
      </c>
      <c r="CD187" s="2">
        <f>IF(($C$130&lt;&gt;"")*(应付登记!$D$191=$C$130)*ISNUMBER(应付登记!$J$191)*(应付登记!$J$191&gt;=_辅助!$J$4)*(应付登记!$J$191&lt;=_辅助!$J$2),1,0)</f>
        <v>0</v>
      </c>
      <c r="CE187" s="2">
        <f>IF(($C$130&lt;&gt;"")*(代发抵账!$E$191=$C$130)*(代发抵账!$D$191="总包代付材料分包款")*ISNUMBER(代发抵账!$H$191)*(代发抵账!$H$191&lt;=_辅助!$J$2),1,0)</f>
        <v>0</v>
      </c>
    </row>
    <row r="188">
      <c r="A188" s="94">
        <f>IF($AW188+$AX188=0,"",56)</f>
      </c>
      <c r="B188" s="95">
        <f t="shared" si="25"/>
      </c>
      <c r="C188" s="96">
        <f t="shared" si="27"/>
      </c>
      <c r="D188" s="96">
        <f t="shared" si="1"/>
      </c>
      <c r="E188" s="21">
        <f t="shared" si="4"/>
      </c>
      <c r="G188" s="94">
        <f>IF($AU188+$AV188=0,"",56)</f>
      </c>
      <c r="H188" s="95">
        <f t="shared" si="7"/>
      </c>
      <c r="I188" s="96">
        <f t="shared" si="9"/>
      </c>
      <c r="J188" s="96">
        <f t="shared" si="29"/>
      </c>
      <c r="K188" s="21">
        <f t="shared" si="11"/>
      </c>
      <c r="AU188" s="2">
        <f>IF(AND(55&gt;=1,55&lt;=$BD$1),IF(55&gt;$BD$1,0,MOD(SMALL($BD$2:$BD$2001,55),10000)),0)</f>
        <v>0</v>
      </c>
      <c r="AV188" s="2">
        <f>IF(AND(55&gt;$BD$1,55&lt;=$BD$1+$BE$300),IF(55-$BD$1&gt;$BE$300,0,IFERROR(MATCH(55-$BD$1,$BE$1:$BE$300,0),0)),0)</f>
        <v>0</v>
      </c>
      <c r="AW188" s="2">
        <f>IF(56&lt;=$BB$200,IF(56&gt;$BB$200,0,IFERROR(MATCH(56,$BB$1:$BB$200,0),0)),0)</f>
        <v>0</v>
      </c>
      <c r="AX188" s="2">
        <f>IF(AND(56&gt;$BB$200,56&lt;=$BB$200+$BC$1000),IF(56-$BB$200&gt;$BC$1000,0,IFERROR(MATCH(56-$BB$200,$BC$1:$BC$1000,0),0)),0)</f>
        <v>0</v>
      </c>
      <c r="AZ188" s="2">
        <f>AZ150+SUM(CA151:CA188)</f>
        <v>29</v>
      </c>
      <c r="BB188" s="2">
        <f>BB150+SUM(CC151:CC188)</f>
        <v>8</v>
      </c>
      <c r="BC188" s="2">
        <f>BC150+SUM(CD151:CD188)</f>
        <v>0</v>
      </c>
      <c r="BD188" s="2">
        <f>IF(AND($C$130&lt;&gt;"",资金流水!$J$192=$C$130,ISNUMBER(资金流水!$B$192),ISNUMBER(资金流水!$S$192),资金流水!$S$192&gt;=_辅助!$J$4,资金流水!$S$192&lt;=_辅助!$J$2,OR(资金流水!$X$192="应付材料款",资金流水!$X$192="应付分包款",资金流水!$X$192="应付机械运输费",资金流水!$X$192="应付其他款")),INT(资金流水!$B$192)*10000+187,"")</f>
      </c>
      <c r="BE188" s="2">
        <f>BE150+SUM(CE151:CE188)</f>
        <v>0</v>
      </c>
      <c r="CA188" s="2">
        <f>IF(AND(OR(_余额!$B$190="材料供应商",_余额!$B$190="分包",_余额!$B$190="机械运输",_余额!$B$190="其他"),OR($C$3="全部",_余额!$B$190=$C$3),OR(_余额!$G$190&lt;&gt;0,_余额!$H$190&lt;&gt;0)),1,0)</f>
        <v>0</v>
      </c>
      <c r="CC188" s="2">
        <f>IF(AND($C$130&lt;&gt;"",期初余额!$P$192=$C$130),1,0)</f>
        <v>0</v>
      </c>
      <c r="CD188" s="2">
        <f>IF(($C$130&lt;&gt;"")*(应付登记!$D$192=$C$130)*ISNUMBER(应付登记!$J$192)*(应付登记!$J$192&gt;=_辅助!$J$4)*(应付登记!$J$192&lt;=_辅助!$J$2),1,0)</f>
        <v>0</v>
      </c>
      <c r="CE188" s="2">
        <f>IF(($C$130&lt;&gt;"")*(代发抵账!$E$192=$C$130)*(代发抵账!$D$192="总包代付材料分包款")*ISNUMBER(代发抵账!$H$192)*(代发抵账!$H$192&lt;=_辅助!$J$2),1,0)</f>
        <v>0</v>
      </c>
    </row>
    <row r="189">
      <c r="A189" s="94">
        <f>IF($AW189+$AX189=0,"",57)</f>
      </c>
      <c r="B189" s="95">
        <f t="shared" si="25"/>
      </c>
      <c r="C189" s="96">
        <f t="shared" si="27"/>
      </c>
      <c r="D189" s="96">
        <f t="shared" si="1"/>
      </c>
      <c r="E189" s="21">
        <f t="shared" si="4"/>
      </c>
      <c r="G189" s="94">
        <f>IF($AU189+$AV189=0,"",57)</f>
      </c>
      <c r="H189" s="95">
        <f t="shared" si="7"/>
      </c>
      <c r="I189" s="96">
        <f t="shared" si="9"/>
      </c>
      <c r="J189" s="96">
        <f t="shared" si="29"/>
      </c>
      <c r="K189" s="21">
        <f t="shared" si="11"/>
      </c>
      <c r="AU189" s="2">
        <f>IF(AND(56&gt;=1,56&lt;=$BD$1),IF(56&gt;$BD$1,0,MOD(SMALL($BD$2:$BD$2001,56),10000)),0)</f>
        <v>0</v>
      </c>
      <c r="AV189" s="2">
        <f>IF(AND(56&gt;$BD$1,56&lt;=$BD$1+$BE$300),IF(56-$BD$1&gt;$BE$300,0,IFERROR(MATCH(56-$BD$1,$BE$1:$BE$300,0),0)),0)</f>
        <v>0</v>
      </c>
      <c r="AW189" s="2">
        <f>IF(57&lt;=$BB$200,IF(57&gt;$BB$200,0,IFERROR(MATCH(57,$BB$1:$BB$200,0),0)),0)</f>
        <v>0</v>
      </c>
      <c r="AX189" s="2">
        <f>IF(AND(57&gt;$BB$200,57&lt;=$BB$200+$BC$1000),IF(57-$BB$200&gt;$BC$1000,0,IFERROR(MATCH(57-$BB$200,$BC$1:$BC$1000,0),0)),0)</f>
        <v>0</v>
      </c>
      <c r="AZ189" s="2">
        <f>AZ150+SUM(CA151:CA189)</f>
        <v>29</v>
      </c>
      <c r="BB189" s="2">
        <f>BB150+SUM(CC151:CC189)</f>
        <v>8</v>
      </c>
      <c r="BC189" s="2">
        <f>BC150+SUM(CD151:CD189)</f>
        <v>0</v>
      </c>
      <c r="BD189" s="2">
        <f>IF(AND($C$130&lt;&gt;"",资金流水!$J$193=$C$130,ISNUMBER(资金流水!$B$193),ISNUMBER(资金流水!$S$193),资金流水!$S$193&gt;=_辅助!$J$4,资金流水!$S$193&lt;=_辅助!$J$2,OR(资金流水!$X$193="应付材料款",资金流水!$X$193="应付分包款",资金流水!$X$193="应付机械运输费",资金流水!$X$193="应付其他款")),INT(资金流水!$B$193)*10000+188,"")</f>
      </c>
      <c r="BE189" s="2">
        <f>BE150+SUM(CE151:CE189)</f>
        <v>0</v>
      </c>
      <c r="CA189" s="2">
        <f>IF(AND(OR(_余额!$B$191="材料供应商",_余额!$B$191="分包",_余额!$B$191="机械运输",_余额!$B$191="其他"),OR($C$3="全部",_余额!$B$191=$C$3),OR(_余额!$G$191&lt;&gt;0,_余额!$H$191&lt;&gt;0)),1,0)</f>
        <v>0</v>
      </c>
      <c r="CC189" s="2">
        <f>IF(AND($C$130&lt;&gt;"",期初余额!$P$193=$C$130),1,0)</f>
        <v>0</v>
      </c>
      <c r="CD189" s="2">
        <f>IF(($C$130&lt;&gt;"")*(应付登记!$D$193=$C$130)*ISNUMBER(应付登记!$J$193)*(应付登记!$J$193&gt;=_辅助!$J$4)*(应付登记!$J$193&lt;=_辅助!$J$2),1,0)</f>
        <v>0</v>
      </c>
      <c r="CE189" s="2">
        <f>IF(($C$130&lt;&gt;"")*(代发抵账!$E$193=$C$130)*(代发抵账!$D$193="总包代付材料分包款")*ISNUMBER(代发抵账!$H$193)*(代发抵账!$H$193&lt;=_辅助!$J$2),1,0)</f>
        <v>0</v>
      </c>
    </row>
    <row r="190">
      <c r="A190" s="94">
        <f>IF($AW190+$AX190=0,"",58)</f>
      </c>
      <c r="B190" s="95">
        <f t="shared" si="25"/>
      </c>
      <c r="C190" s="96">
        <f t="shared" si="27"/>
      </c>
      <c r="D190" s="96">
        <f t="shared" si="1"/>
      </c>
      <c r="E190" s="21">
        <f t="shared" si="4"/>
      </c>
      <c r="G190" s="94">
        <f>IF($AU190+$AV190=0,"",58)</f>
      </c>
      <c r="H190" s="95">
        <f t="shared" si="7"/>
      </c>
      <c r="I190" s="96">
        <f t="shared" si="9"/>
      </c>
      <c r="J190" s="96">
        <f t="shared" si="29"/>
      </c>
      <c r="K190" s="21">
        <f t="shared" si="11"/>
      </c>
      <c r="AU190" s="2">
        <f>IF(AND(57&gt;=1,57&lt;=$BD$1),IF(57&gt;$BD$1,0,MOD(SMALL($BD$2:$BD$2001,57),10000)),0)</f>
        <v>0</v>
      </c>
      <c r="AV190" s="2">
        <f>IF(AND(57&gt;$BD$1,57&lt;=$BD$1+$BE$300),IF(57-$BD$1&gt;$BE$300,0,IFERROR(MATCH(57-$BD$1,$BE$1:$BE$300,0),0)),0)</f>
        <v>0</v>
      </c>
      <c r="AW190" s="2">
        <f>IF(58&lt;=$BB$200,IF(58&gt;$BB$200,0,IFERROR(MATCH(58,$BB$1:$BB$200,0),0)),0)</f>
        <v>0</v>
      </c>
      <c r="AX190" s="2">
        <f>IF(AND(58&gt;$BB$200,58&lt;=$BB$200+$BC$1000),IF(58-$BB$200&gt;$BC$1000,0,IFERROR(MATCH(58-$BB$200,$BC$1:$BC$1000,0),0)),0)</f>
        <v>0</v>
      </c>
      <c r="AZ190" s="2">
        <f>AZ150+SUM(CA151:CA190)</f>
        <v>29</v>
      </c>
      <c r="BB190" s="2">
        <f>BB150+SUM(CC151:CC190)</f>
        <v>8</v>
      </c>
      <c r="BC190" s="2">
        <f>BC150+SUM(CD151:CD190)</f>
        <v>0</v>
      </c>
      <c r="BD190" s="2">
        <f>IF(AND($C$130&lt;&gt;"",资金流水!$J$194=$C$130,ISNUMBER(资金流水!$B$194),ISNUMBER(资金流水!$S$194),资金流水!$S$194&gt;=_辅助!$J$4,资金流水!$S$194&lt;=_辅助!$J$2,OR(资金流水!$X$194="应付材料款",资金流水!$X$194="应付分包款",资金流水!$X$194="应付机械运输费",资金流水!$X$194="应付其他款")),INT(资金流水!$B$194)*10000+189,"")</f>
      </c>
      <c r="BE190" s="2">
        <f>BE150+SUM(CE151:CE190)</f>
        <v>0</v>
      </c>
      <c r="CA190" s="2">
        <f>IF(AND(OR(_余额!$B$192="材料供应商",_余额!$B$192="分包",_余额!$B$192="机械运输",_余额!$B$192="其他"),OR($C$3="全部",_余额!$B$192=$C$3),OR(_余额!$G$192&lt;&gt;0,_余额!$H$192&lt;&gt;0)),1,0)</f>
        <v>0</v>
      </c>
      <c r="CC190" s="2">
        <f>IF(AND($C$130&lt;&gt;"",期初余额!$P$194=$C$130),1,0)</f>
        <v>0</v>
      </c>
      <c r="CD190" s="2">
        <f>IF(($C$130&lt;&gt;"")*(应付登记!$D$194=$C$130)*ISNUMBER(应付登记!$J$194)*(应付登记!$J$194&gt;=_辅助!$J$4)*(应付登记!$J$194&lt;=_辅助!$J$2),1,0)</f>
        <v>0</v>
      </c>
      <c r="CE190" s="2">
        <f>IF(($C$130&lt;&gt;"")*(代发抵账!$E$194=$C$130)*(代发抵账!$D$194="总包代付材料分包款")*ISNUMBER(代发抵账!$H$194)*(代发抵账!$H$194&lt;=_辅助!$J$2),1,0)</f>
        <v>0</v>
      </c>
    </row>
    <row r="191">
      <c r="A191" s="94">
        <f>IF($AW191+$AX191=0,"",59)</f>
      </c>
      <c r="B191" s="95">
        <f t="shared" si="25"/>
      </c>
      <c r="C191" s="96">
        <f t="shared" si="27"/>
      </c>
      <c r="D191" s="96">
        <f t="shared" si="1"/>
      </c>
      <c r="E191" s="21">
        <f t="shared" si="4"/>
      </c>
      <c r="G191" s="94">
        <f>IF($AU191+$AV191=0,"",59)</f>
      </c>
      <c r="H191" s="95">
        <f t="shared" si="7"/>
      </c>
      <c r="I191" s="96">
        <f t="shared" si="9"/>
      </c>
      <c r="J191" s="96">
        <f t="shared" si="29"/>
      </c>
      <c r="K191" s="21">
        <f t="shared" si="11"/>
      </c>
      <c r="AU191" s="2">
        <f>IF(AND(58&gt;=1,58&lt;=$BD$1),IF(58&gt;$BD$1,0,MOD(SMALL($BD$2:$BD$2001,58),10000)),0)</f>
        <v>0</v>
      </c>
      <c r="AV191" s="2">
        <f>IF(AND(58&gt;$BD$1,58&lt;=$BD$1+$BE$300),IF(58-$BD$1&gt;$BE$300,0,IFERROR(MATCH(58-$BD$1,$BE$1:$BE$300,0),0)),0)</f>
        <v>0</v>
      </c>
      <c r="AW191" s="2">
        <f>IF(59&lt;=$BB$200,IF(59&gt;$BB$200,0,IFERROR(MATCH(59,$BB$1:$BB$200,0),0)),0)</f>
        <v>0</v>
      </c>
      <c r="AX191" s="2">
        <f>IF(AND(59&gt;$BB$200,59&lt;=$BB$200+$BC$1000),IF(59-$BB$200&gt;$BC$1000,0,IFERROR(MATCH(59-$BB$200,$BC$1:$BC$1000,0),0)),0)</f>
        <v>0</v>
      </c>
      <c r="AZ191" s="2">
        <f>AZ150+SUM(CA151:CA191)</f>
        <v>29</v>
      </c>
      <c r="BB191" s="2">
        <f>BB150+SUM(CC151:CC191)</f>
        <v>8</v>
      </c>
      <c r="BC191" s="2">
        <f>BC150+SUM(CD151:CD191)</f>
        <v>0</v>
      </c>
      <c r="BD191" s="2">
        <f>IF(AND($C$130&lt;&gt;"",资金流水!$J$195=$C$130,ISNUMBER(资金流水!$B$195),ISNUMBER(资金流水!$S$195),资金流水!$S$195&gt;=_辅助!$J$4,资金流水!$S$195&lt;=_辅助!$J$2,OR(资金流水!$X$195="应付材料款",资金流水!$X$195="应付分包款",资金流水!$X$195="应付机械运输费",资金流水!$X$195="应付其他款")),INT(资金流水!$B$195)*10000+190,"")</f>
      </c>
      <c r="BE191" s="2">
        <f>BE150+SUM(CE151:CE191)</f>
        <v>0</v>
      </c>
      <c r="CA191" s="2">
        <f>IF(AND(OR(_余额!$B$193="材料供应商",_余额!$B$193="分包",_余额!$B$193="机械运输",_余额!$B$193="其他"),OR($C$3="全部",_余额!$B$193=$C$3),OR(_余额!$G$193&lt;&gt;0,_余额!$H$193&lt;&gt;0)),1,0)</f>
        <v>0</v>
      </c>
      <c r="CC191" s="2">
        <f>IF(AND($C$130&lt;&gt;"",期初余额!$P$195=$C$130),1,0)</f>
        <v>0</v>
      </c>
      <c r="CD191" s="2">
        <f>IF(($C$130&lt;&gt;"")*(应付登记!$D$195=$C$130)*ISNUMBER(应付登记!$J$195)*(应付登记!$J$195&gt;=_辅助!$J$4)*(应付登记!$J$195&lt;=_辅助!$J$2),1,0)</f>
        <v>0</v>
      </c>
      <c r="CE191" s="2">
        <f>IF(($C$130&lt;&gt;"")*(代发抵账!$E$195=$C$130)*(代发抵账!$D$195="总包代付材料分包款")*ISNUMBER(代发抵账!$H$195)*(代发抵账!$H$195&lt;=_辅助!$J$2),1,0)</f>
        <v>0</v>
      </c>
    </row>
    <row r="192">
      <c r="A192" s="94">
        <f>IF($AW192+$AX192=0,"",60)</f>
      </c>
      <c r="B192" s="95">
        <f t="shared" si="25"/>
      </c>
      <c r="C192" s="96">
        <f t="shared" si="27"/>
      </c>
      <c r="D192" s="96">
        <f t="shared" si="1"/>
      </c>
      <c r="E192" s="21">
        <f t="shared" si="4"/>
      </c>
      <c r="G192" s="94">
        <f>IF($AU192+$AV192=0,"",60)</f>
      </c>
      <c r="H192" s="95">
        <f t="shared" si="7"/>
      </c>
      <c r="I192" s="96">
        <f t="shared" si="9"/>
      </c>
      <c r="J192" s="96">
        <f t="shared" si="29"/>
      </c>
      <c r="K192" s="21">
        <f t="shared" si="11"/>
      </c>
      <c r="AU192" s="2">
        <f>IF(AND(59&gt;=1,59&lt;=$BD$1),IF(59&gt;$BD$1,0,MOD(SMALL($BD$2:$BD$2001,59),10000)),0)</f>
        <v>0</v>
      </c>
      <c r="AV192" s="2">
        <f>IF(AND(59&gt;$BD$1,59&lt;=$BD$1+$BE$300),IF(59-$BD$1&gt;$BE$300,0,IFERROR(MATCH(59-$BD$1,$BE$1:$BE$300,0),0)),0)</f>
        <v>0</v>
      </c>
      <c r="AW192" s="2">
        <f>IF(60&lt;=$BB$200,IF(60&gt;$BB$200,0,IFERROR(MATCH(60,$BB$1:$BB$200,0),0)),0)</f>
        <v>0</v>
      </c>
      <c r="AX192" s="2">
        <f>IF(AND(60&gt;$BB$200,60&lt;=$BB$200+$BC$1000),IF(60-$BB$200&gt;$BC$1000,0,IFERROR(MATCH(60-$BB$200,$BC$1:$BC$1000,0),0)),0)</f>
        <v>0</v>
      </c>
      <c r="AZ192" s="2">
        <f>AZ150+SUM(CA151:CA192)</f>
        <v>29</v>
      </c>
      <c r="BB192" s="2">
        <f>BB150+SUM(CC151:CC192)</f>
        <v>8</v>
      </c>
      <c r="BC192" s="2">
        <f>BC150+SUM(CD151:CD192)</f>
        <v>0</v>
      </c>
      <c r="BD192" s="2">
        <f>IF(AND($C$130&lt;&gt;"",资金流水!$J$196=$C$130,ISNUMBER(资金流水!$B$196),ISNUMBER(资金流水!$S$196),资金流水!$S$196&gt;=_辅助!$J$4,资金流水!$S$196&lt;=_辅助!$J$2,OR(资金流水!$X$196="应付材料款",资金流水!$X$196="应付分包款",资金流水!$X$196="应付机械运输费",资金流水!$X$196="应付其他款")),INT(资金流水!$B$196)*10000+191,"")</f>
      </c>
      <c r="BE192" s="2">
        <f>BE150+SUM(CE151:CE192)</f>
        <v>0</v>
      </c>
      <c r="CA192" s="2">
        <f>IF(AND(OR(_余额!$B$194="材料供应商",_余额!$B$194="分包",_余额!$B$194="机械运输",_余额!$B$194="其他"),OR($C$3="全部",_余额!$B$194=$C$3),OR(_余额!$G$194&lt;&gt;0,_余额!$H$194&lt;&gt;0)),1,0)</f>
        <v>0</v>
      </c>
      <c r="CC192" s="2">
        <f>IF(AND($C$130&lt;&gt;"",期初余额!$P$196=$C$130),1,0)</f>
        <v>0</v>
      </c>
      <c r="CD192" s="2">
        <f>IF(($C$130&lt;&gt;"")*(应付登记!$D$196=$C$130)*ISNUMBER(应付登记!$J$196)*(应付登记!$J$196&gt;=_辅助!$J$4)*(应付登记!$J$196&lt;=_辅助!$J$2),1,0)</f>
        <v>0</v>
      </c>
      <c r="CE192" s="2">
        <f>IF(($C$130&lt;&gt;"")*(代发抵账!$E$196=$C$130)*(代发抵账!$D$196="总包代付材料分包款")*ISNUMBER(代发抵账!$H$196)*(代发抵账!$H$196&lt;=_辅助!$J$2),1,0)</f>
        <v>0</v>
      </c>
    </row>
    <row r="193">
      <c r="A193" s="94">
        <f>IF($AW193+$AX193=0,"",61)</f>
      </c>
      <c r="B193" s="95">
        <f t="shared" si="25"/>
      </c>
      <c r="C193" s="96">
        <f t="shared" si="27"/>
      </c>
      <c r="D193" s="96">
        <f t="shared" si="1"/>
      </c>
      <c r="E193" s="21">
        <f t="shared" si="4"/>
      </c>
      <c r="G193" s="94">
        <f>IF($AU193+$AV193=0,"",61)</f>
      </c>
      <c r="H193" s="95">
        <f t="shared" si="7"/>
      </c>
      <c r="I193" s="96">
        <f t="shared" si="9"/>
      </c>
      <c r="J193" s="96">
        <f t="shared" si="29"/>
      </c>
      <c r="K193" s="21">
        <f t="shared" si="11"/>
      </c>
      <c r="AU193" s="2">
        <f>IF(AND(60&gt;=1,60&lt;=$BD$1),IF(60&gt;$BD$1,0,MOD(SMALL($BD$2:$BD$2001,60),10000)),0)</f>
        <v>0</v>
      </c>
      <c r="AV193" s="2">
        <f>IF(AND(60&gt;$BD$1,60&lt;=$BD$1+$BE$300),IF(60-$BD$1&gt;$BE$300,0,IFERROR(MATCH(60-$BD$1,$BE$1:$BE$300,0),0)),0)</f>
        <v>0</v>
      </c>
      <c r="AW193" s="2">
        <f>IF(61&lt;=$BB$200,IF(61&gt;$BB$200,0,IFERROR(MATCH(61,$BB$1:$BB$200,0),0)),0)</f>
        <v>0</v>
      </c>
      <c r="AX193" s="2">
        <f>IF(AND(61&gt;$BB$200,61&lt;=$BB$200+$BC$1000),IF(61-$BB$200&gt;$BC$1000,0,IFERROR(MATCH(61-$BB$200,$BC$1:$BC$1000,0),0)),0)</f>
        <v>0</v>
      </c>
      <c r="AZ193" s="2">
        <f>AZ150+SUM(CA151:CA193)</f>
        <v>29</v>
      </c>
      <c r="BB193" s="2">
        <f>BB150+SUM(CC151:CC193)</f>
        <v>8</v>
      </c>
      <c r="BC193" s="2">
        <f>BC150+SUM(CD151:CD193)</f>
        <v>0</v>
      </c>
      <c r="BD193" s="2">
        <f>IF(AND($C$130&lt;&gt;"",资金流水!$J$197=$C$130,ISNUMBER(资金流水!$B$197),ISNUMBER(资金流水!$S$197),资金流水!$S$197&gt;=_辅助!$J$4,资金流水!$S$197&lt;=_辅助!$J$2,OR(资金流水!$X$197="应付材料款",资金流水!$X$197="应付分包款",资金流水!$X$197="应付机械运输费",资金流水!$X$197="应付其他款")),INT(资金流水!$B$197)*10000+192,"")</f>
      </c>
      <c r="BE193" s="2">
        <f>BE150+SUM(CE151:CE193)</f>
        <v>0</v>
      </c>
      <c r="CA193" s="2">
        <f>IF(AND(OR(_余额!$B$195="材料供应商",_余额!$B$195="分包",_余额!$B$195="机械运输",_余额!$B$195="其他"),OR($C$3="全部",_余额!$B$195=$C$3),OR(_余额!$G$195&lt;&gt;0,_余额!$H$195&lt;&gt;0)),1,0)</f>
        <v>0</v>
      </c>
      <c r="CC193" s="2">
        <f>IF(AND($C$130&lt;&gt;"",期初余额!$P$197=$C$130),1,0)</f>
        <v>0</v>
      </c>
      <c r="CD193" s="2">
        <f>IF(($C$130&lt;&gt;"")*(应付登记!$D$197=$C$130)*ISNUMBER(应付登记!$J$197)*(应付登记!$J$197&gt;=_辅助!$J$4)*(应付登记!$J$197&lt;=_辅助!$J$2),1,0)</f>
        <v>0</v>
      </c>
      <c r="CE193" s="2">
        <f>IF(($C$130&lt;&gt;"")*(代发抵账!$E$197=$C$130)*(代发抵账!$D$197="总包代付材料分包款")*ISNUMBER(代发抵账!$H$197)*(代发抵账!$H$197&lt;=_辅助!$J$2),1,0)</f>
        <v>0</v>
      </c>
    </row>
    <row r="194">
      <c r="A194" s="94">
        <f>IF($AW194+$AX194=0,"",62)</f>
      </c>
      <c r="B194" s="95">
        <f t="shared" si="25"/>
      </c>
      <c r="C194" s="96">
        <f t="shared" si="27"/>
      </c>
      <c r="D194" s="96">
        <f t="shared" si="1"/>
      </c>
      <c r="E194" s="21">
        <f t="shared" si="4"/>
      </c>
      <c r="G194" s="94">
        <f>IF($AU194+$AV194=0,"",62)</f>
      </c>
      <c r="H194" s="95">
        <f t="shared" si="7"/>
      </c>
      <c r="I194" s="96">
        <f t="shared" si="9"/>
      </c>
      <c r="J194" s="96">
        <f t="shared" si="29"/>
      </c>
      <c r="K194" s="21">
        <f t="shared" si="11"/>
      </c>
      <c r="AU194" s="2">
        <f>IF(AND(61&gt;=1,61&lt;=$BD$1),IF(61&gt;$BD$1,0,MOD(SMALL($BD$2:$BD$2001,61),10000)),0)</f>
        <v>0</v>
      </c>
      <c r="AV194" s="2">
        <f>IF(AND(61&gt;$BD$1,61&lt;=$BD$1+$BE$300),IF(61-$BD$1&gt;$BE$300,0,IFERROR(MATCH(61-$BD$1,$BE$1:$BE$300,0),0)),0)</f>
        <v>0</v>
      </c>
      <c r="AW194" s="2">
        <f>IF(62&lt;=$BB$200,IF(62&gt;$BB$200,0,IFERROR(MATCH(62,$BB$1:$BB$200,0),0)),0)</f>
        <v>0</v>
      </c>
      <c r="AX194" s="2">
        <f>IF(AND(62&gt;$BB$200,62&lt;=$BB$200+$BC$1000),IF(62-$BB$200&gt;$BC$1000,0,IFERROR(MATCH(62-$BB$200,$BC$1:$BC$1000,0),0)),0)</f>
        <v>0</v>
      </c>
      <c r="AZ194" s="2">
        <f>AZ150+SUM(CA151:CA194)</f>
        <v>29</v>
      </c>
      <c r="BB194" s="2">
        <f>BB150+SUM(CC151:CC194)</f>
        <v>8</v>
      </c>
      <c r="BC194" s="2">
        <f>BC150+SUM(CD151:CD194)</f>
        <v>0</v>
      </c>
      <c r="BD194" s="2">
        <f>IF(AND($C$130&lt;&gt;"",资金流水!$J$198=$C$130,ISNUMBER(资金流水!$B$198),ISNUMBER(资金流水!$S$198),资金流水!$S$198&gt;=_辅助!$J$4,资金流水!$S$198&lt;=_辅助!$J$2,OR(资金流水!$X$198="应付材料款",资金流水!$X$198="应付分包款",资金流水!$X$198="应付机械运输费",资金流水!$X$198="应付其他款")),INT(资金流水!$B$198)*10000+193,"")</f>
      </c>
      <c r="BE194" s="2">
        <f>BE150+SUM(CE151:CE194)</f>
        <v>0</v>
      </c>
      <c r="CA194" s="2">
        <f>IF(AND(OR(_余额!$B$196="材料供应商",_余额!$B$196="分包",_余额!$B$196="机械运输",_余额!$B$196="其他"),OR($C$3="全部",_余额!$B$196=$C$3),OR(_余额!$G$196&lt;&gt;0,_余额!$H$196&lt;&gt;0)),1,0)</f>
        <v>0</v>
      </c>
      <c r="CC194" s="2">
        <f>IF(AND($C$130&lt;&gt;"",期初余额!$P$198=$C$130),1,0)</f>
        <v>0</v>
      </c>
      <c r="CD194" s="2">
        <f>IF(($C$130&lt;&gt;"")*(应付登记!$D$198=$C$130)*ISNUMBER(应付登记!$J$198)*(应付登记!$J$198&gt;=_辅助!$J$4)*(应付登记!$J$198&lt;=_辅助!$J$2),1,0)</f>
        <v>0</v>
      </c>
      <c r="CE194" s="2">
        <f>IF(($C$130&lt;&gt;"")*(代发抵账!$E$198=$C$130)*(代发抵账!$D$198="总包代付材料分包款")*ISNUMBER(代发抵账!$H$198)*(代发抵账!$H$198&lt;=_辅助!$J$2),1,0)</f>
        <v>0</v>
      </c>
    </row>
    <row r="195">
      <c r="A195" s="94">
        <f>IF($AW195+$AX195=0,"",63)</f>
      </c>
      <c r="B195" s="95">
        <f t="shared" si="25"/>
      </c>
      <c r="C195" s="96">
        <f t="shared" si="27"/>
      </c>
      <c r="D195" s="96">
        <f t="shared" si="1"/>
      </c>
      <c r="E195" s="21">
        <f t="shared" si="4"/>
      </c>
      <c r="G195" s="94">
        <f>IF($AU195+$AV195=0,"",63)</f>
      </c>
      <c r="H195" s="95">
        <f t="shared" si="7"/>
      </c>
      <c r="I195" s="96">
        <f t="shared" si="9"/>
      </c>
      <c r="J195" s="96">
        <f t="shared" si="29"/>
      </c>
      <c r="K195" s="21">
        <f t="shared" si="11"/>
      </c>
      <c r="AU195" s="2">
        <f>IF(AND(62&gt;=1,62&lt;=$BD$1),IF(62&gt;$BD$1,0,MOD(SMALL($BD$2:$BD$2001,62),10000)),0)</f>
        <v>0</v>
      </c>
      <c r="AV195" s="2">
        <f>IF(AND(62&gt;$BD$1,62&lt;=$BD$1+$BE$300),IF(62-$BD$1&gt;$BE$300,0,IFERROR(MATCH(62-$BD$1,$BE$1:$BE$300,0),0)),0)</f>
        <v>0</v>
      </c>
      <c r="AW195" s="2">
        <f>IF(63&lt;=$BB$200,IF(63&gt;$BB$200,0,IFERROR(MATCH(63,$BB$1:$BB$200,0),0)),0)</f>
        <v>0</v>
      </c>
      <c r="AX195" s="2">
        <f>IF(AND(63&gt;$BB$200,63&lt;=$BB$200+$BC$1000),IF(63-$BB$200&gt;$BC$1000,0,IFERROR(MATCH(63-$BB$200,$BC$1:$BC$1000,0),0)),0)</f>
        <v>0</v>
      </c>
      <c r="AZ195" s="2">
        <f>AZ150+SUM(CA151:CA195)</f>
        <v>29</v>
      </c>
      <c r="BB195" s="2">
        <f>BB150+SUM(CC151:CC195)</f>
        <v>8</v>
      </c>
      <c r="BC195" s="2">
        <f>BC150+SUM(CD151:CD195)</f>
        <v>0</v>
      </c>
      <c r="BD195" s="2">
        <f>IF(AND($C$130&lt;&gt;"",资金流水!$J$199=$C$130,ISNUMBER(资金流水!$B$199),ISNUMBER(资金流水!$S$199),资金流水!$S$199&gt;=_辅助!$J$4,资金流水!$S$199&lt;=_辅助!$J$2,OR(资金流水!$X$199="应付材料款",资金流水!$X$199="应付分包款",资金流水!$X$199="应付机械运输费",资金流水!$X$199="应付其他款")),INT(资金流水!$B$199)*10000+194,"")</f>
      </c>
      <c r="BE195" s="2">
        <f>BE150+SUM(CE151:CE195)</f>
        <v>0</v>
      </c>
      <c r="CA195" s="2">
        <f>IF(AND(OR(_余额!$B$197="材料供应商",_余额!$B$197="分包",_余额!$B$197="机械运输",_余额!$B$197="其他"),OR($C$3="全部",_余额!$B$197=$C$3),OR(_余额!$G$197&lt;&gt;0,_余额!$H$197&lt;&gt;0)),1,0)</f>
        <v>0</v>
      </c>
      <c r="CC195" s="2">
        <f>IF(AND($C$130&lt;&gt;"",期初余额!$P$199=$C$130),1,0)</f>
        <v>0</v>
      </c>
      <c r="CD195" s="2">
        <f>IF(($C$130&lt;&gt;"")*(应付登记!$D$199=$C$130)*ISNUMBER(应付登记!$J$199)*(应付登记!$J$199&gt;=_辅助!$J$4)*(应付登记!$J$199&lt;=_辅助!$J$2),1,0)</f>
        <v>0</v>
      </c>
      <c r="CE195" s="2">
        <f>IF(($C$130&lt;&gt;"")*(代发抵账!$E$199=$C$130)*(代发抵账!$D$199="总包代付材料分包款")*ISNUMBER(代发抵账!$H$199)*(代发抵账!$H$199&lt;=_辅助!$J$2),1,0)</f>
        <v>0</v>
      </c>
    </row>
    <row r="196">
      <c r="A196" s="94">
        <f>IF($AW196+$AX196=0,"",64)</f>
      </c>
      <c r="B196" s="95">
        <f t="shared" si="25"/>
      </c>
      <c r="C196" s="96">
        <f t="shared" si="27"/>
      </c>
      <c r="D196" s="96">
        <f t="shared" si="1"/>
      </c>
      <c r="E196" s="21">
        <f t="shared" si="4"/>
      </c>
      <c r="G196" s="94">
        <f>IF($AU196+$AV196=0,"",64)</f>
      </c>
      <c r="H196" s="95">
        <f t="shared" si="7"/>
      </c>
      <c r="I196" s="96">
        <f t="shared" si="9"/>
      </c>
      <c r="J196" s="96">
        <f t="shared" si="29"/>
      </c>
      <c r="K196" s="21">
        <f t="shared" si="11"/>
      </c>
      <c r="AU196" s="2">
        <f>IF(AND(63&gt;=1,63&lt;=$BD$1),IF(63&gt;$BD$1,0,MOD(SMALL($BD$2:$BD$2001,63),10000)),0)</f>
        <v>0</v>
      </c>
      <c r="AV196" s="2">
        <f>IF(AND(63&gt;$BD$1,63&lt;=$BD$1+$BE$300),IF(63-$BD$1&gt;$BE$300,0,IFERROR(MATCH(63-$BD$1,$BE$1:$BE$300,0),0)),0)</f>
        <v>0</v>
      </c>
      <c r="AW196" s="2">
        <f>IF(64&lt;=$BB$200,IF(64&gt;$BB$200,0,IFERROR(MATCH(64,$BB$1:$BB$200,0),0)),0)</f>
        <v>0</v>
      </c>
      <c r="AX196" s="2">
        <f>IF(AND(64&gt;$BB$200,64&lt;=$BB$200+$BC$1000),IF(64-$BB$200&gt;$BC$1000,0,IFERROR(MATCH(64-$BB$200,$BC$1:$BC$1000,0),0)),0)</f>
        <v>0</v>
      </c>
      <c r="AZ196" s="2">
        <f>AZ150+SUM(CA151:CA196)</f>
        <v>29</v>
      </c>
      <c r="BB196" s="2">
        <f>BB150+SUM(CC151:CC196)</f>
        <v>8</v>
      </c>
      <c r="BC196" s="2">
        <f>BC150+SUM(CD151:CD196)</f>
        <v>0</v>
      </c>
      <c r="BD196" s="2">
        <f>IF(AND($C$130&lt;&gt;"",资金流水!$J$200=$C$130,ISNUMBER(资金流水!$B$200),ISNUMBER(资金流水!$S$200),资金流水!$S$200&gt;=_辅助!$J$4,资金流水!$S$200&lt;=_辅助!$J$2,OR(资金流水!$X$200="应付材料款",资金流水!$X$200="应付分包款",资金流水!$X$200="应付机械运输费",资金流水!$X$200="应付其他款")),INT(资金流水!$B$200)*10000+195,"")</f>
      </c>
      <c r="BE196" s="2">
        <f>BE150+SUM(CE151:CE196)</f>
        <v>0</v>
      </c>
      <c r="CA196" s="2">
        <f>IF(AND(OR(_余额!$B$198="材料供应商",_余额!$B$198="分包",_余额!$B$198="机械运输",_余额!$B$198="其他"),OR($C$3="全部",_余额!$B$198=$C$3),OR(_余额!$G$198&lt;&gt;0,_余额!$H$198&lt;&gt;0)),1,0)</f>
        <v>0</v>
      </c>
      <c r="CC196" s="2">
        <f>IF(AND($C$130&lt;&gt;"",期初余额!$P$200=$C$130),1,0)</f>
        <v>0</v>
      </c>
      <c r="CD196" s="2">
        <f>IF(($C$130&lt;&gt;"")*(应付登记!$D$200=$C$130)*ISNUMBER(应付登记!$J$200)*(应付登记!$J$200&gt;=_辅助!$J$4)*(应付登记!$J$200&lt;=_辅助!$J$2),1,0)</f>
        <v>0</v>
      </c>
      <c r="CE196" s="2">
        <f>IF(($C$130&lt;&gt;"")*(代发抵账!$E$200=$C$130)*(代发抵账!$D$200="总包代付材料分包款")*ISNUMBER(代发抵账!$H$200)*(代发抵账!$H$200&lt;=_辅助!$J$2),1,0)</f>
        <v>0</v>
      </c>
    </row>
    <row r="197">
      <c r="A197" s="94">
        <f>IF($AW197+$AX197=0,"",65)</f>
      </c>
      <c r="B197" s="95">
        <f t="shared" si="25"/>
      </c>
      <c r="C197" s="96">
        <f t="shared" si="27"/>
      </c>
      <c r="D197" s="96">
        <f t="shared" si="1"/>
      </c>
      <c r="E197" s="21">
        <f t="shared" si="4"/>
      </c>
      <c r="G197" s="94">
        <f>IF($AU197+$AV197=0,"",65)</f>
      </c>
      <c r="H197" s="95">
        <f t="shared" si="7"/>
      </c>
      <c r="I197" s="96">
        <f t="shared" si="9"/>
      </c>
      <c r="J197" s="96">
        <f t="shared" si="29"/>
      </c>
      <c r="K197" s="21">
        <f t="shared" si="11"/>
      </c>
      <c r="AU197" s="2">
        <f>IF(AND(64&gt;=1,64&lt;=$BD$1),IF(64&gt;$BD$1,0,MOD(SMALL($BD$2:$BD$2001,64),10000)),0)</f>
        <v>0</v>
      </c>
      <c r="AV197" s="2">
        <f>IF(AND(64&gt;$BD$1,64&lt;=$BD$1+$BE$300),IF(64-$BD$1&gt;$BE$300,0,IFERROR(MATCH(64-$BD$1,$BE$1:$BE$300,0),0)),0)</f>
        <v>0</v>
      </c>
      <c r="AW197" s="2">
        <f>IF(65&lt;=$BB$200,IF(65&gt;$BB$200,0,IFERROR(MATCH(65,$BB$1:$BB$200,0),0)),0)</f>
        <v>0</v>
      </c>
      <c r="AX197" s="2">
        <f>IF(AND(65&gt;$BB$200,65&lt;=$BB$200+$BC$1000),IF(65-$BB$200&gt;$BC$1000,0,IFERROR(MATCH(65-$BB$200,$BC$1:$BC$1000,0),0)),0)</f>
        <v>0</v>
      </c>
      <c r="AZ197" s="2">
        <f>AZ150+SUM(CA151:CA197)</f>
        <v>29</v>
      </c>
      <c r="BB197" s="2">
        <f>BB150+SUM(CC151:CC197)</f>
        <v>8</v>
      </c>
      <c r="BC197" s="2">
        <f>BC150+SUM(CD151:CD197)</f>
        <v>0</v>
      </c>
      <c r="BD197" s="2">
        <f>IF(AND($C$130&lt;&gt;"",资金流水!$J$201=$C$130,ISNUMBER(资金流水!$B$201),ISNUMBER(资金流水!$S$201),资金流水!$S$201&gt;=_辅助!$J$4,资金流水!$S$201&lt;=_辅助!$J$2,OR(资金流水!$X$201="应付材料款",资金流水!$X$201="应付分包款",资金流水!$X$201="应付机械运输费",资金流水!$X$201="应付其他款")),INT(资金流水!$B$201)*10000+196,"")</f>
      </c>
      <c r="BE197" s="2">
        <f>BE150+SUM(CE151:CE197)</f>
        <v>0</v>
      </c>
      <c r="CA197" s="2">
        <f>IF(AND(OR(_余额!$B$199="材料供应商",_余额!$B$199="分包",_余额!$B$199="机械运输",_余额!$B$199="其他"),OR($C$3="全部",_余额!$B$199=$C$3),OR(_余额!$G$199&lt;&gt;0,_余额!$H$199&lt;&gt;0)),1,0)</f>
        <v>0</v>
      </c>
      <c r="CC197" s="2">
        <f>IF(AND($C$130&lt;&gt;"",期初余额!$P$201=$C$130),1,0)</f>
        <v>0</v>
      </c>
      <c r="CD197" s="2">
        <f>IF(($C$130&lt;&gt;"")*(应付登记!$D$201=$C$130)*ISNUMBER(应付登记!$J$201)*(应付登记!$J$201&gt;=_辅助!$J$4)*(应付登记!$J$201&lt;=_辅助!$J$2),1,0)</f>
        <v>0</v>
      </c>
      <c r="CE197" s="2">
        <f>IF(($C$130&lt;&gt;"")*(代发抵账!$E$201=$C$130)*(代发抵账!$D$201="总包代付材料分包款")*ISNUMBER(代发抵账!$H$201)*(代发抵账!$H$201&lt;=_辅助!$J$2),1,0)</f>
        <v>0</v>
      </c>
    </row>
    <row r="198">
      <c r="A198" s="94">
        <f>IF($AW198+$AX198=0,"",66)</f>
      </c>
      <c r="B198" s="95">
        <f t="shared" si="25"/>
      </c>
      <c r="C198" s="96">
        <f t="shared" si="27"/>
      </c>
      <c r="D198" s="96">
        <f t="shared" si="1"/>
      </c>
      <c r="E198" s="21">
        <f t="shared" si="4"/>
      </c>
      <c r="G198" s="94">
        <f>IF($AU198+$AV198=0,"",66)</f>
      </c>
      <c r="H198" s="95">
        <f t="shared" si="7"/>
      </c>
      <c r="I198" s="96">
        <f t="shared" si="9"/>
      </c>
      <c r="J198" s="96">
        <f t="shared" si="29"/>
      </c>
      <c r="K198" s="21">
        <f t="shared" si="11"/>
      </c>
      <c r="AU198" s="2">
        <f>IF(AND(65&gt;=1,65&lt;=$BD$1),IF(65&gt;$BD$1,0,MOD(SMALL($BD$2:$BD$2001,65),10000)),0)</f>
        <v>0</v>
      </c>
      <c r="AV198" s="2">
        <f>IF(AND(65&gt;$BD$1,65&lt;=$BD$1+$BE$300),IF(65-$BD$1&gt;$BE$300,0,IFERROR(MATCH(65-$BD$1,$BE$1:$BE$300,0),0)),0)</f>
        <v>0</v>
      </c>
      <c r="AW198" s="2">
        <f>IF(66&lt;=$BB$200,IF(66&gt;$BB$200,0,IFERROR(MATCH(66,$BB$1:$BB$200,0),0)),0)</f>
        <v>0</v>
      </c>
      <c r="AX198" s="2">
        <f>IF(AND(66&gt;$BB$200,66&lt;=$BB$200+$BC$1000),IF(66-$BB$200&gt;$BC$1000,0,IFERROR(MATCH(66-$BB$200,$BC$1:$BC$1000,0),0)),0)</f>
        <v>0</v>
      </c>
      <c r="AZ198" s="2">
        <f>AZ150+SUM(CA151:CA198)</f>
        <v>29</v>
      </c>
      <c r="BB198" s="2">
        <f>BB150+SUM(CC151:CC198)</f>
        <v>8</v>
      </c>
      <c r="BC198" s="2">
        <f>BC150+SUM(CD151:CD198)</f>
        <v>0</v>
      </c>
      <c r="BD198" s="2">
        <f>IF(AND($C$130&lt;&gt;"",资金流水!$J$202=$C$130,ISNUMBER(资金流水!$B$202),ISNUMBER(资金流水!$S$202),资金流水!$S$202&gt;=_辅助!$J$4,资金流水!$S$202&lt;=_辅助!$J$2,OR(资金流水!$X$202="应付材料款",资金流水!$X$202="应付分包款",资金流水!$X$202="应付机械运输费",资金流水!$X$202="应付其他款")),INT(资金流水!$B$202)*10000+197,"")</f>
      </c>
      <c r="BE198" s="2">
        <f>BE150+SUM(CE151:CE198)</f>
        <v>0</v>
      </c>
      <c r="CA198" s="2">
        <f>IF(AND(OR(_余额!$B$200="材料供应商",_余额!$B$200="分包",_余额!$B$200="机械运输",_余额!$B$200="其他"),OR($C$3="全部",_余额!$B$200=$C$3),OR(_余额!$G$200&lt;&gt;0,_余额!$H$200&lt;&gt;0)),1,0)</f>
        <v>0</v>
      </c>
      <c r="CC198" s="2">
        <f>IF(AND($C$130&lt;&gt;"",期初余额!$P$202=$C$130),1,0)</f>
        <v>0</v>
      </c>
      <c r="CD198" s="2">
        <f>IF(($C$130&lt;&gt;"")*(应付登记!$D$202=$C$130)*ISNUMBER(应付登记!$J$202)*(应付登记!$J$202&gt;=_辅助!$J$4)*(应付登记!$J$202&lt;=_辅助!$J$2),1,0)</f>
        <v>0</v>
      </c>
      <c r="CE198" s="2">
        <f>IF(($C$130&lt;&gt;"")*(代发抵账!$E$202=$C$130)*(代发抵账!$D$202="总包代付材料分包款")*ISNUMBER(代发抵账!$H$202)*(代发抵账!$H$202&lt;=_辅助!$J$2),1,0)</f>
        <v>0</v>
      </c>
    </row>
    <row r="199">
      <c r="A199" s="94">
        <f>IF($AW199+$AX199=0,"",67)</f>
      </c>
      <c r="B199" s="95">
        <f t="shared" si="25"/>
      </c>
      <c r="C199" s="96">
        <f t="shared" si="27"/>
      </c>
      <c r="D199" s="96">
        <f t="shared" si="1"/>
      </c>
      <c r="E199" s="21">
        <f t="shared" si="4"/>
      </c>
      <c r="G199" s="94">
        <f>IF($AU199+$AV199=0,"",67)</f>
      </c>
      <c r="H199" s="95">
        <f t="shared" si="7"/>
      </c>
      <c r="I199" s="96">
        <f t="shared" si="9"/>
      </c>
      <c r="J199" s="96">
        <f t="shared" si="29"/>
      </c>
      <c r="K199" s="21">
        <f t="shared" si="11"/>
      </c>
      <c r="AU199" s="2">
        <f>IF(AND(66&gt;=1,66&lt;=$BD$1),IF(66&gt;$BD$1,0,MOD(SMALL($BD$2:$BD$2001,66),10000)),0)</f>
        <v>0</v>
      </c>
      <c r="AV199" s="2">
        <f>IF(AND(66&gt;$BD$1,66&lt;=$BD$1+$BE$300),IF(66-$BD$1&gt;$BE$300,0,IFERROR(MATCH(66-$BD$1,$BE$1:$BE$300,0),0)),0)</f>
        <v>0</v>
      </c>
      <c r="AW199" s="2">
        <f>IF(67&lt;=$BB$200,IF(67&gt;$BB$200,0,IFERROR(MATCH(67,$BB$1:$BB$200,0),0)),0)</f>
        <v>0</v>
      </c>
      <c r="AX199" s="2">
        <f>IF(AND(67&gt;$BB$200,67&lt;=$BB$200+$BC$1000),IF(67-$BB$200&gt;$BC$1000,0,IFERROR(MATCH(67-$BB$200,$BC$1:$BC$1000,0),0)),0)</f>
        <v>0</v>
      </c>
      <c r="AZ199" s="2">
        <f>AZ150+SUM(CA151:CA199)</f>
        <v>29</v>
      </c>
      <c r="BB199" s="2">
        <f>BB150+SUM(CC151:CC199)</f>
        <v>8</v>
      </c>
      <c r="BC199" s="2">
        <f>BC150+SUM(CD151:CD199)</f>
        <v>0</v>
      </c>
      <c r="BD199" s="2">
        <f>IF(AND($C$130&lt;&gt;"",资金流水!$J$203=$C$130,ISNUMBER(资金流水!$B$203),ISNUMBER(资金流水!$S$203),资金流水!$S$203&gt;=_辅助!$J$4,资金流水!$S$203&lt;=_辅助!$J$2,OR(资金流水!$X$203="应付材料款",资金流水!$X$203="应付分包款",资金流水!$X$203="应付机械运输费",资金流水!$X$203="应付其他款")),INT(资金流水!$B$203)*10000+198,"")</f>
      </c>
      <c r="BE199" s="2">
        <f>BE150+SUM(CE151:CE199)</f>
        <v>0</v>
      </c>
      <c r="CA199" s="2">
        <f>IF(AND(OR(_余额!$B$201="材料供应商",_余额!$B$201="分包",_余额!$B$201="机械运输",_余额!$B$201="其他"),OR($C$3="全部",_余额!$B$201=$C$3),OR(_余额!$G$201&lt;&gt;0,_余额!$H$201&lt;&gt;0)),1,0)</f>
        <v>0</v>
      </c>
      <c r="CC199" s="2">
        <f>IF(AND($C$130&lt;&gt;"",期初余额!$P$203=$C$130),1,0)</f>
        <v>0</v>
      </c>
      <c r="CD199" s="2">
        <f>IF(($C$130&lt;&gt;"")*(应付登记!$D$203=$C$130)*ISNUMBER(应付登记!$J$203)*(应付登记!$J$203&gt;=_辅助!$J$4)*(应付登记!$J$203&lt;=_辅助!$J$2),1,0)</f>
        <v>0</v>
      </c>
      <c r="CE199" s="2">
        <f>IF(($C$130&lt;&gt;"")*(代发抵账!$E$203=$C$130)*(代发抵账!$D$203="总包代付材料分包款")*ISNUMBER(代发抵账!$H$203)*(代发抵账!$H$203&lt;=_辅助!$J$2),1,0)</f>
        <v>0</v>
      </c>
    </row>
    <row r="200">
      <c r="A200" s="94">
        <f>IF($AW200+$AX200=0,"",68)</f>
      </c>
      <c r="B200" s="95">
        <f t="shared" si="25"/>
      </c>
      <c r="C200" s="96">
        <f t="shared" si="27"/>
      </c>
      <c r="D200" s="96">
        <f t="shared" si="1"/>
      </c>
      <c r="E200" s="21">
        <f t="shared" si="4"/>
      </c>
      <c r="G200" s="94">
        <f>IF($AU200+$AV200=0,"",68)</f>
      </c>
      <c r="H200" s="95">
        <f t="shared" si="7"/>
      </c>
      <c r="I200" s="96">
        <f t="shared" si="9"/>
      </c>
      <c r="J200" s="96">
        <f t="shared" si="29"/>
      </c>
      <c r="K200" s="21">
        <f t="shared" si="11"/>
      </c>
      <c r="AU200" s="2">
        <f>IF(AND(67&gt;=1,67&lt;=$BD$1),IF(67&gt;$BD$1,0,MOD(SMALL($BD$2:$BD$2001,67),10000)),0)</f>
        <v>0</v>
      </c>
      <c r="AV200" s="2">
        <f>IF(AND(67&gt;$BD$1,67&lt;=$BD$1+$BE$300),IF(67-$BD$1&gt;$BE$300,0,IFERROR(MATCH(67-$BD$1,$BE$1:$BE$300,0),0)),0)</f>
        <v>0</v>
      </c>
      <c r="AW200" s="2">
        <f>IF(68&lt;=$BB$200,IF(68&gt;$BB$200,0,IFERROR(MATCH(68,$BB$1:$BB$200,0),0)),0)</f>
        <v>0</v>
      </c>
      <c r="AX200" s="2">
        <f>IF(AND(68&gt;$BB$200,68&lt;=$BB$200+$BC$1000),IF(68-$BB$200&gt;$BC$1000,0,IFERROR(MATCH(68-$BB$200,$BC$1:$BC$1000,0),0)),0)</f>
        <v>0</v>
      </c>
      <c r="AZ200" s="2">
        <f>AZ150+SUM(CA151:CA200)</f>
        <v>29</v>
      </c>
      <c r="BB200" s="2">
        <f>BB150+SUM(CC151:CC200)</f>
        <v>8</v>
      </c>
      <c r="BC200" s="2">
        <f>BC150+SUM(CD151:CD200)</f>
        <v>0</v>
      </c>
      <c r="BD200" s="2">
        <f>IF(AND($C$130&lt;&gt;"",资金流水!$J$204=$C$130,ISNUMBER(资金流水!$B$204),ISNUMBER(资金流水!$S$204),资金流水!$S$204&gt;=_辅助!$J$4,资金流水!$S$204&lt;=_辅助!$J$2,OR(资金流水!$X$204="应付材料款",资金流水!$X$204="应付分包款",资金流水!$X$204="应付机械运输费",资金流水!$X$204="应付其他款")),INT(资金流水!$B$204)*10000+199,"")</f>
      </c>
      <c r="BE200" s="2">
        <f>BE150+SUM(CE151:CE200)</f>
        <v>0</v>
      </c>
      <c r="CA200" s="2">
        <f>IF(AND(OR(_余额!$B$202="材料供应商",_余额!$B$202="分包",_余额!$B$202="机械运输",_余额!$B$202="其他"),OR($C$3="全部",_余额!$B$202=$C$3),OR(_余额!$G$202&lt;&gt;0,_余额!$H$202&lt;&gt;0)),1,0)</f>
        <v>0</v>
      </c>
      <c r="CC200" s="2">
        <f>IF(AND($C$130&lt;&gt;"",期初余额!$P$204=$C$130),1,0)</f>
        <v>0</v>
      </c>
      <c r="CD200" s="2">
        <f>IF(($C$130&lt;&gt;"")*(应付登记!$D$204=$C$130)*ISNUMBER(应付登记!$J$204)*(应付登记!$J$204&gt;=_辅助!$J$4)*(应付登记!$J$204&lt;=_辅助!$J$2),1,0)</f>
        <v>0</v>
      </c>
      <c r="CE200" s="2">
        <f>IF(($C$130&lt;&gt;"")*(代发抵账!$E$204=$C$130)*(代发抵账!$D$204="总包代付材料分包款")*ISNUMBER(代发抵账!$H$204)*(代发抵账!$H$204&lt;=_辅助!$J$2),1,0)</f>
        <v>0</v>
      </c>
    </row>
    <row r="201">
      <c r="A201" s="94">
        <f>IF($AW201+$AX201=0,"",69)</f>
      </c>
      <c r="B201" s="95">
        <f t="shared" si="25"/>
      </c>
      <c r="C201" s="96">
        <f t="shared" si="27"/>
      </c>
      <c r="D201" s="96">
        <f t="shared" si="1"/>
      </c>
      <c r="E201" s="21">
        <f t="shared" si="4"/>
      </c>
      <c r="G201" s="94">
        <f>IF($AU201+$AV201=0,"",69)</f>
      </c>
      <c r="H201" s="95">
        <f t="shared" si="7"/>
      </c>
      <c r="I201" s="96">
        <f t="shared" si="9"/>
      </c>
      <c r="J201" s="96">
        <f t="shared" si="29"/>
      </c>
      <c r="K201" s="21">
        <f t="shared" si="11"/>
      </c>
      <c r="AU201" s="2">
        <f>IF(AND(68&gt;=1,68&lt;=$BD$1),IF(68&gt;$BD$1,0,MOD(SMALL($BD$2:$BD$2001,68),10000)),0)</f>
        <v>0</v>
      </c>
      <c r="AV201" s="2">
        <f>IF(AND(68&gt;$BD$1,68&lt;=$BD$1+$BE$300),IF(68-$BD$1&gt;$BE$300,0,IFERROR(MATCH(68-$BD$1,$BE$1:$BE$300,0),0)),0)</f>
        <v>0</v>
      </c>
      <c r="AW201" s="2">
        <f>IF(69&lt;=$BB$200,IF(69&gt;$BB$200,0,IFERROR(MATCH(69,$BB$1:$BB$200,0),0)),0)</f>
        <v>0</v>
      </c>
      <c r="AX201" s="2">
        <f>IF(AND(69&gt;$BB$200,69&lt;=$BB$200+$BC$1000),IF(69-$BB$200&gt;$BC$1000,0,IFERROR(MATCH(69-$BB$200,$BC$1:$BC$1000,0),0)),0)</f>
        <v>0</v>
      </c>
      <c r="AZ201" s="2">
        <f>AZ200+SUM(CA201:CA201)</f>
        <v>29</v>
      </c>
      <c r="BC201" s="2">
        <f>BC200+SUM(CD201:CD201)</f>
        <v>0</v>
      </c>
      <c r="BD201" s="2">
        <f>IF(AND($C$130&lt;&gt;"",资金流水!$J$205=$C$130,ISNUMBER(资金流水!$B$205),ISNUMBER(资金流水!$S$205),资金流水!$S$205&gt;=_辅助!$J$4,资金流水!$S$205&lt;=_辅助!$J$2,OR(资金流水!$X$205="应付材料款",资金流水!$X$205="应付分包款",资金流水!$X$205="应付机械运输费",资金流水!$X$205="应付其他款")),INT(资金流水!$B$205)*10000+200,"")</f>
      </c>
      <c r="BE201" s="2">
        <f>BE200+SUM(CE201:CE201)</f>
        <v>0</v>
      </c>
      <c r="CA201" s="2">
        <f>IF(AND(OR(_余额!$B$203="材料供应商",_余额!$B$203="分包",_余额!$B$203="机械运输",_余额!$B$203="其他"),OR($C$3="全部",_余额!$B$203=$C$3),OR(_余额!$G$203&lt;&gt;0,_余额!$H$203&lt;&gt;0)),1,0)</f>
        <v>0</v>
      </c>
      <c r="CD201" s="2">
        <f>IF(($C$130&lt;&gt;"")*(应付登记!$D$205=$C$130)*ISNUMBER(应付登记!$J$205)*(应付登记!$J$205&gt;=_辅助!$J$4)*(应付登记!$J$205&lt;=_辅助!$J$2),1,0)</f>
        <v>0</v>
      </c>
      <c r="CE201" s="2">
        <f>IF(($C$130&lt;&gt;"")*(代发抵账!$E$205=$C$130)*(代发抵账!$D$205="总包代付材料分包款")*ISNUMBER(代发抵账!$H$205)*(代发抵账!$H$205&lt;=_辅助!$J$2),1,0)</f>
        <v>0</v>
      </c>
    </row>
    <row r="202">
      <c r="A202" s="94">
        <f>IF($AW202+$AX202=0,"",70)</f>
      </c>
      <c r="B202" s="95">
        <f t="shared" si="25"/>
      </c>
      <c r="C202" s="96">
        <f t="shared" si="27"/>
      </c>
      <c r="D202" s="96">
        <f t="shared" si="1"/>
      </c>
      <c r="E202" s="21">
        <f t="shared" si="4"/>
      </c>
      <c r="G202" s="94">
        <f>IF($AU202+$AV202=0,"",70)</f>
      </c>
      <c r="H202" s="95">
        <f t="shared" si="7"/>
      </c>
      <c r="I202" s="96">
        <f t="shared" si="9"/>
      </c>
      <c r="J202" s="96">
        <f t="shared" si="29"/>
      </c>
      <c r="K202" s="21">
        <f t="shared" si="11"/>
      </c>
      <c r="AU202" s="2">
        <f>IF(AND(69&gt;=1,69&lt;=$BD$1),IF(69&gt;$BD$1,0,MOD(SMALL($BD$2:$BD$2001,69),10000)),0)</f>
        <v>0</v>
      </c>
      <c r="AV202" s="2">
        <f>IF(AND(69&gt;$BD$1,69&lt;=$BD$1+$BE$300),IF(69-$BD$1&gt;$BE$300,0,IFERROR(MATCH(69-$BD$1,$BE$1:$BE$300,0),0)),0)</f>
        <v>0</v>
      </c>
      <c r="AW202" s="2">
        <f>IF(70&lt;=$BB$200,IF(70&gt;$BB$200,0,IFERROR(MATCH(70,$BB$1:$BB$200,0),0)),0)</f>
        <v>0</v>
      </c>
      <c r="AX202" s="2">
        <f>IF(AND(70&gt;$BB$200,70&lt;=$BB$200+$BC$1000),IF(70-$BB$200&gt;$BC$1000,0,IFERROR(MATCH(70-$BB$200,$BC$1:$BC$1000,0),0)),0)</f>
        <v>0</v>
      </c>
      <c r="AZ202" s="2">
        <f>AZ200+SUM(CA201:CA202)</f>
        <v>29</v>
      </c>
      <c r="BC202" s="2">
        <f>BC200+SUM(CD201:CD202)</f>
        <v>0</v>
      </c>
      <c r="BD202" s="2">
        <f>IF(AND($C$130&lt;&gt;"",资金流水!$J$206=$C$130,ISNUMBER(资金流水!$B$206),ISNUMBER(资金流水!$S$206),资金流水!$S$206&gt;=_辅助!$J$4,资金流水!$S$206&lt;=_辅助!$J$2,OR(资金流水!$X$206="应付材料款",资金流水!$X$206="应付分包款",资金流水!$X$206="应付机械运输费",资金流水!$X$206="应付其他款")),INT(资金流水!$B$206)*10000+201,"")</f>
      </c>
      <c r="BE202" s="2">
        <f>BE200+SUM(CE201:CE202)</f>
        <v>0</v>
      </c>
      <c r="CA202" s="2">
        <f>IF(AND(OR(_余额!$B$204="材料供应商",_余额!$B$204="分包",_余额!$B$204="机械运输",_余额!$B$204="其他"),OR($C$3="全部",_余额!$B$204=$C$3),OR(_余额!$G$204&lt;&gt;0,_余额!$H$204&lt;&gt;0)),1,0)</f>
        <v>0</v>
      </c>
      <c r="CD202" s="2">
        <f>IF(($C$130&lt;&gt;"")*(应付登记!$D$206=$C$130)*ISNUMBER(应付登记!$J$206)*(应付登记!$J$206&gt;=_辅助!$J$4)*(应付登记!$J$206&lt;=_辅助!$J$2),1,0)</f>
        <v>0</v>
      </c>
      <c r="CE202" s="2">
        <f>IF(($C$130&lt;&gt;"")*(代发抵账!$E$206=$C$130)*(代发抵账!$D$206="总包代付材料分包款")*ISNUMBER(代发抵账!$H$206)*(代发抵账!$H$206&lt;=_辅助!$J$2),1,0)</f>
        <v>0</v>
      </c>
    </row>
    <row r="203">
      <c r="A203" s="94">
        <f>IF($AW203+$AX203=0,"",71)</f>
      </c>
      <c r="B203" s="95">
        <f t="shared" si="25"/>
      </c>
      <c r="C203" s="96">
        <f t="shared" si="27"/>
      </c>
      <c r="D203" s="96">
        <f t="shared" si="1"/>
      </c>
      <c r="E203" s="21">
        <f t="shared" si="4"/>
      </c>
      <c r="G203" s="94">
        <f>IF($AU203+$AV203=0,"",71)</f>
      </c>
      <c r="H203" s="95">
        <f t="shared" si="7"/>
      </c>
      <c r="I203" s="96">
        <f t="shared" si="9"/>
      </c>
      <c r="J203" s="96">
        <f t="shared" si="29"/>
      </c>
      <c r="K203" s="21">
        <f t="shared" si="11"/>
      </c>
      <c r="AU203" s="2">
        <f>IF(AND(70&gt;=1,70&lt;=$BD$1),IF(70&gt;$BD$1,0,MOD(SMALL($BD$2:$BD$2001,70),10000)),0)</f>
        <v>0</v>
      </c>
      <c r="AV203" s="2">
        <f>IF(AND(70&gt;$BD$1,70&lt;=$BD$1+$BE$300),IF(70-$BD$1&gt;$BE$300,0,IFERROR(MATCH(70-$BD$1,$BE$1:$BE$300,0),0)),0)</f>
        <v>0</v>
      </c>
      <c r="AW203" s="2">
        <f>IF(71&lt;=$BB$200,IF(71&gt;$BB$200,0,IFERROR(MATCH(71,$BB$1:$BB$200,0),0)),0)</f>
        <v>0</v>
      </c>
      <c r="AX203" s="2">
        <f>IF(AND(71&gt;$BB$200,71&lt;=$BB$200+$BC$1000),IF(71-$BB$200&gt;$BC$1000,0,IFERROR(MATCH(71-$BB$200,$BC$1:$BC$1000,0),0)),0)</f>
        <v>0</v>
      </c>
      <c r="AZ203" s="2">
        <f>AZ200+SUM(CA201:CA203)</f>
        <v>29</v>
      </c>
      <c r="BC203" s="2">
        <f>BC200+SUM(CD201:CD203)</f>
        <v>0</v>
      </c>
      <c r="BD203" s="2">
        <f>IF(AND($C$130&lt;&gt;"",资金流水!$J$207=$C$130,ISNUMBER(资金流水!$B$207),ISNUMBER(资金流水!$S$207),资金流水!$S$207&gt;=_辅助!$J$4,资金流水!$S$207&lt;=_辅助!$J$2,OR(资金流水!$X$207="应付材料款",资金流水!$X$207="应付分包款",资金流水!$X$207="应付机械运输费",资金流水!$X$207="应付其他款")),INT(资金流水!$B$207)*10000+202,"")</f>
      </c>
      <c r="BE203" s="2">
        <f>BE200+SUM(CE201:CE203)</f>
        <v>0</v>
      </c>
      <c r="CA203" s="2">
        <f>IF(AND(OR(_余额!$B$205="材料供应商",_余额!$B$205="分包",_余额!$B$205="机械运输",_余额!$B$205="其他"),OR($C$3="全部",_余额!$B$205=$C$3),OR(_余额!$G$205&lt;&gt;0,_余额!$H$205&lt;&gt;0)),1,0)</f>
        <v>0</v>
      </c>
      <c r="CD203" s="2">
        <f>IF(($C$130&lt;&gt;"")*(应付登记!$D$207=$C$130)*ISNUMBER(应付登记!$J$207)*(应付登记!$J$207&gt;=_辅助!$J$4)*(应付登记!$J$207&lt;=_辅助!$J$2),1,0)</f>
        <v>0</v>
      </c>
      <c r="CE203" s="2">
        <f>IF(($C$130&lt;&gt;"")*(代发抵账!$E$207=$C$130)*(代发抵账!$D$207="总包代付材料分包款")*ISNUMBER(代发抵账!$H$207)*(代发抵账!$H$207&lt;=_辅助!$J$2),1,0)</f>
        <v>0</v>
      </c>
    </row>
    <row r="204">
      <c r="A204" s="94">
        <f>IF($AW204+$AX204=0,"",72)</f>
      </c>
      <c r="B204" s="95">
        <f t="shared" si="25"/>
      </c>
      <c r="C204" s="96">
        <f t="shared" si="27"/>
      </c>
      <c r="D204" s="96">
        <f t="shared" si="1"/>
      </c>
      <c r="E204" s="21">
        <f t="shared" si="4"/>
      </c>
      <c r="G204" s="94">
        <f>IF($AU204+$AV204=0,"",72)</f>
      </c>
      <c r="H204" s="95">
        <f t="shared" si="7"/>
      </c>
      <c r="I204" s="96">
        <f t="shared" si="9"/>
      </c>
      <c r="J204" s="96">
        <f t="shared" si="29"/>
      </c>
      <c r="K204" s="21">
        <f t="shared" si="11"/>
      </c>
      <c r="AU204" s="2">
        <f>IF(AND(71&gt;=1,71&lt;=$BD$1),IF(71&gt;$BD$1,0,MOD(SMALL($BD$2:$BD$2001,71),10000)),0)</f>
        <v>0</v>
      </c>
      <c r="AV204" s="2">
        <f>IF(AND(71&gt;$BD$1,71&lt;=$BD$1+$BE$300),IF(71-$BD$1&gt;$BE$300,0,IFERROR(MATCH(71-$BD$1,$BE$1:$BE$300,0),0)),0)</f>
        <v>0</v>
      </c>
      <c r="AW204" s="2">
        <f>IF(72&lt;=$BB$200,IF(72&gt;$BB$200,0,IFERROR(MATCH(72,$BB$1:$BB$200,0),0)),0)</f>
        <v>0</v>
      </c>
      <c r="AX204" s="2">
        <f>IF(AND(72&gt;$BB$200,72&lt;=$BB$200+$BC$1000),IF(72-$BB$200&gt;$BC$1000,0,IFERROR(MATCH(72-$BB$200,$BC$1:$BC$1000,0),0)),0)</f>
        <v>0</v>
      </c>
      <c r="AZ204" s="2">
        <f>AZ200+SUM(CA201:CA204)</f>
        <v>29</v>
      </c>
      <c r="BC204" s="2">
        <f>BC200+SUM(CD201:CD204)</f>
        <v>0</v>
      </c>
      <c r="BD204" s="2">
        <f>IF(AND($C$130&lt;&gt;"",资金流水!$J$208=$C$130,ISNUMBER(资金流水!$B$208),ISNUMBER(资金流水!$S$208),资金流水!$S$208&gt;=_辅助!$J$4,资金流水!$S$208&lt;=_辅助!$J$2,OR(资金流水!$X$208="应付材料款",资金流水!$X$208="应付分包款",资金流水!$X$208="应付机械运输费",资金流水!$X$208="应付其他款")),INT(资金流水!$B$208)*10000+203,"")</f>
      </c>
      <c r="BE204" s="2">
        <f>BE200+SUM(CE201:CE204)</f>
        <v>0</v>
      </c>
      <c r="CA204" s="2">
        <f>IF(AND(OR(_余额!$B$206="材料供应商",_余额!$B$206="分包",_余额!$B$206="机械运输",_余额!$B$206="其他"),OR($C$3="全部",_余额!$B$206=$C$3),OR(_余额!$G$206&lt;&gt;0,_余额!$H$206&lt;&gt;0)),1,0)</f>
        <v>0</v>
      </c>
      <c r="CD204" s="2">
        <f>IF(($C$130&lt;&gt;"")*(应付登记!$D$208=$C$130)*ISNUMBER(应付登记!$J$208)*(应付登记!$J$208&gt;=_辅助!$J$4)*(应付登记!$J$208&lt;=_辅助!$J$2),1,0)</f>
        <v>0</v>
      </c>
      <c r="CE204" s="2">
        <f>IF(($C$130&lt;&gt;"")*(代发抵账!$E$208=$C$130)*(代发抵账!$D$208="总包代付材料分包款")*ISNUMBER(代发抵账!$H$208)*(代发抵账!$H$208&lt;=_辅助!$J$2),1,0)</f>
        <v>0</v>
      </c>
    </row>
    <row r="205">
      <c r="A205" s="94">
        <f>IF($AW205+$AX205=0,"",73)</f>
      </c>
      <c r="B205" s="95">
        <f t="shared" si="25"/>
      </c>
      <c r="C205" s="96">
        <f t="shared" si="27"/>
      </c>
      <c r="D205" s="96">
        <f t="shared" si="1"/>
      </c>
      <c r="E205" s="21">
        <f t="shared" si="4"/>
      </c>
      <c r="G205" s="94">
        <f>IF($AU205+$AV205=0,"",73)</f>
      </c>
      <c r="H205" s="95">
        <f t="shared" si="7"/>
      </c>
      <c r="I205" s="96">
        <f t="shared" si="9"/>
      </c>
      <c r="J205" s="96">
        <f t="shared" si="29"/>
      </c>
      <c r="K205" s="21">
        <f t="shared" si="11"/>
      </c>
      <c r="AU205" s="2">
        <f>IF(AND(72&gt;=1,72&lt;=$BD$1),IF(72&gt;$BD$1,0,MOD(SMALL($BD$2:$BD$2001,72),10000)),0)</f>
        <v>0</v>
      </c>
      <c r="AV205" s="2">
        <f>IF(AND(72&gt;$BD$1,72&lt;=$BD$1+$BE$300),IF(72-$BD$1&gt;$BE$300,0,IFERROR(MATCH(72-$BD$1,$BE$1:$BE$300,0),0)),0)</f>
        <v>0</v>
      </c>
      <c r="AW205" s="2">
        <f>IF(73&lt;=$BB$200,IF(73&gt;$BB$200,0,IFERROR(MATCH(73,$BB$1:$BB$200,0),0)),0)</f>
        <v>0</v>
      </c>
      <c r="AX205" s="2">
        <f>IF(AND(73&gt;$BB$200,73&lt;=$BB$200+$BC$1000),IF(73-$BB$200&gt;$BC$1000,0,IFERROR(MATCH(73-$BB$200,$BC$1:$BC$1000,0),0)),0)</f>
        <v>0</v>
      </c>
      <c r="AZ205" s="2">
        <f>AZ200+SUM(CA201:CA205)</f>
        <v>29</v>
      </c>
      <c r="BC205" s="2">
        <f>BC200+SUM(CD201:CD205)</f>
        <v>0</v>
      </c>
      <c r="BD205" s="2">
        <f>IF(AND($C$130&lt;&gt;"",资金流水!$J$209=$C$130,ISNUMBER(资金流水!$B$209),ISNUMBER(资金流水!$S$209),资金流水!$S$209&gt;=_辅助!$J$4,资金流水!$S$209&lt;=_辅助!$J$2,OR(资金流水!$X$209="应付材料款",资金流水!$X$209="应付分包款",资金流水!$X$209="应付机械运输费",资金流水!$X$209="应付其他款")),INT(资金流水!$B$209)*10000+204,"")</f>
      </c>
      <c r="BE205" s="2">
        <f>BE200+SUM(CE201:CE205)</f>
        <v>0</v>
      </c>
      <c r="CA205" s="2">
        <f>IF(AND(OR(_余额!$B$207="材料供应商",_余额!$B$207="分包",_余额!$B$207="机械运输",_余额!$B$207="其他"),OR($C$3="全部",_余额!$B$207=$C$3),OR(_余额!$G$207&lt;&gt;0,_余额!$H$207&lt;&gt;0)),1,0)</f>
        <v>0</v>
      </c>
      <c r="CD205" s="2">
        <f>IF(($C$130&lt;&gt;"")*(应付登记!$D$209=$C$130)*ISNUMBER(应付登记!$J$209)*(应付登记!$J$209&gt;=_辅助!$J$4)*(应付登记!$J$209&lt;=_辅助!$J$2),1,0)</f>
        <v>0</v>
      </c>
      <c r="CE205" s="2">
        <f>IF(($C$130&lt;&gt;"")*(代发抵账!$E$209=$C$130)*(代发抵账!$D$209="总包代付材料分包款")*ISNUMBER(代发抵账!$H$209)*(代发抵账!$H$209&lt;=_辅助!$J$2),1,0)</f>
        <v>0</v>
      </c>
    </row>
    <row r="206">
      <c r="A206" s="94">
        <f>IF($AW206+$AX206=0,"",74)</f>
      </c>
      <c r="B206" s="95">
        <f t="shared" si="25"/>
      </c>
      <c r="C206" s="96">
        <f t="shared" si="27"/>
      </c>
      <c r="D206" s="96">
        <f t="shared" si="1"/>
      </c>
      <c r="E206" s="21">
        <f t="shared" si="4"/>
      </c>
      <c r="G206" s="94">
        <f>IF($AU206+$AV206=0,"",74)</f>
      </c>
      <c r="H206" s="95">
        <f t="shared" si="7"/>
      </c>
      <c r="I206" s="96">
        <f t="shared" si="9"/>
      </c>
      <c r="J206" s="96">
        <f t="shared" si="29"/>
      </c>
      <c r="K206" s="21">
        <f t="shared" si="11"/>
      </c>
      <c r="AU206" s="2">
        <f>IF(AND(73&gt;=1,73&lt;=$BD$1),IF(73&gt;$BD$1,0,MOD(SMALL($BD$2:$BD$2001,73),10000)),0)</f>
        <v>0</v>
      </c>
      <c r="AV206" s="2">
        <f>IF(AND(73&gt;$BD$1,73&lt;=$BD$1+$BE$300),IF(73-$BD$1&gt;$BE$300,0,IFERROR(MATCH(73-$BD$1,$BE$1:$BE$300,0),0)),0)</f>
        <v>0</v>
      </c>
      <c r="AW206" s="2">
        <f>IF(74&lt;=$BB$200,IF(74&gt;$BB$200,0,IFERROR(MATCH(74,$BB$1:$BB$200,0),0)),0)</f>
        <v>0</v>
      </c>
      <c r="AX206" s="2">
        <f>IF(AND(74&gt;$BB$200,74&lt;=$BB$200+$BC$1000),IF(74-$BB$200&gt;$BC$1000,0,IFERROR(MATCH(74-$BB$200,$BC$1:$BC$1000,0),0)),0)</f>
        <v>0</v>
      </c>
      <c r="AZ206" s="2">
        <f>AZ200+SUM(CA201:CA206)</f>
        <v>29</v>
      </c>
      <c r="BC206" s="2">
        <f>BC200+SUM(CD201:CD206)</f>
        <v>0</v>
      </c>
      <c r="BD206" s="2">
        <f>IF(AND($C$130&lt;&gt;"",资金流水!$J$210=$C$130,ISNUMBER(资金流水!$B$210),ISNUMBER(资金流水!$S$210),资金流水!$S$210&gt;=_辅助!$J$4,资金流水!$S$210&lt;=_辅助!$J$2,OR(资金流水!$X$210="应付材料款",资金流水!$X$210="应付分包款",资金流水!$X$210="应付机械运输费",资金流水!$X$210="应付其他款")),INT(资金流水!$B$210)*10000+205,"")</f>
      </c>
      <c r="BE206" s="2">
        <f>BE200+SUM(CE201:CE206)</f>
        <v>0</v>
      </c>
      <c r="CA206" s="2">
        <f>IF(AND(OR(_余额!$B$208="材料供应商",_余额!$B$208="分包",_余额!$B$208="机械运输",_余额!$B$208="其他"),OR($C$3="全部",_余额!$B$208=$C$3),OR(_余额!$G$208&lt;&gt;0,_余额!$H$208&lt;&gt;0)),1,0)</f>
        <v>0</v>
      </c>
      <c r="CD206" s="2">
        <f>IF(($C$130&lt;&gt;"")*(应付登记!$D$210=$C$130)*ISNUMBER(应付登记!$J$210)*(应付登记!$J$210&gt;=_辅助!$J$4)*(应付登记!$J$210&lt;=_辅助!$J$2),1,0)</f>
        <v>0</v>
      </c>
      <c r="CE206" s="2">
        <f>IF(($C$130&lt;&gt;"")*(代发抵账!$E$210=$C$130)*(代发抵账!$D$210="总包代付材料分包款")*ISNUMBER(代发抵账!$H$210)*(代发抵账!$H$210&lt;=_辅助!$J$2),1,0)</f>
        <v>0</v>
      </c>
    </row>
    <row r="207">
      <c r="A207" s="94">
        <f>IF($AW207+$AX207=0,"",75)</f>
      </c>
      <c r="B207" s="95">
        <f t="shared" si="25"/>
      </c>
      <c r="C207" s="96">
        <f t="shared" si="27"/>
      </c>
      <c r="D207" s="96">
        <f t="shared" si="1"/>
      </c>
      <c r="E207" s="21">
        <f t="shared" si="4"/>
      </c>
      <c r="G207" s="94">
        <f>IF($AU207+$AV207=0,"",75)</f>
      </c>
      <c r="H207" s="95">
        <f t="shared" si="7"/>
      </c>
      <c r="I207" s="96">
        <f t="shared" si="9"/>
      </c>
      <c r="J207" s="96">
        <f t="shared" si="29"/>
      </c>
      <c r="K207" s="21">
        <f t="shared" si="11"/>
      </c>
      <c r="AU207" s="2">
        <f>IF(AND(74&gt;=1,74&lt;=$BD$1),IF(74&gt;$BD$1,0,MOD(SMALL($BD$2:$BD$2001,74),10000)),0)</f>
        <v>0</v>
      </c>
      <c r="AV207" s="2">
        <f>IF(AND(74&gt;$BD$1,74&lt;=$BD$1+$BE$300),IF(74-$BD$1&gt;$BE$300,0,IFERROR(MATCH(74-$BD$1,$BE$1:$BE$300,0),0)),0)</f>
        <v>0</v>
      </c>
      <c r="AW207" s="2">
        <f>IF(75&lt;=$BB$200,IF(75&gt;$BB$200,0,IFERROR(MATCH(75,$BB$1:$BB$200,0),0)),0)</f>
        <v>0</v>
      </c>
      <c r="AX207" s="2">
        <f>IF(AND(75&gt;$BB$200,75&lt;=$BB$200+$BC$1000),IF(75-$BB$200&gt;$BC$1000,0,IFERROR(MATCH(75-$BB$200,$BC$1:$BC$1000,0),0)),0)</f>
        <v>0</v>
      </c>
      <c r="AZ207" s="2">
        <f>AZ200+SUM(CA201:CA207)</f>
        <v>29</v>
      </c>
      <c r="BC207" s="2">
        <f>BC200+SUM(CD201:CD207)</f>
        <v>0</v>
      </c>
      <c r="BD207" s="2">
        <f>IF(AND($C$130&lt;&gt;"",资金流水!$J$211=$C$130,ISNUMBER(资金流水!$B$211),ISNUMBER(资金流水!$S$211),资金流水!$S$211&gt;=_辅助!$J$4,资金流水!$S$211&lt;=_辅助!$J$2,OR(资金流水!$X$211="应付材料款",资金流水!$X$211="应付分包款",资金流水!$X$211="应付机械运输费",资金流水!$X$211="应付其他款")),INT(资金流水!$B$211)*10000+206,"")</f>
      </c>
      <c r="BE207" s="2">
        <f>BE200+SUM(CE201:CE207)</f>
        <v>0</v>
      </c>
      <c r="CA207" s="2">
        <f>IF(AND(OR(_余额!$B$209="材料供应商",_余额!$B$209="分包",_余额!$B$209="机械运输",_余额!$B$209="其他"),OR($C$3="全部",_余额!$B$209=$C$3),OR(_余额!$G$209&lt;&gt;0,_余额!$H$209&lt;&gt;0)),1,0)</f>
        <v>0</v>
      </c>
      <c r="CD207" s="2">
        <f>IF(($C$130&lt;&gt;"")*(应付登记!$D$211=$C$130)*ISNUMBER(应付登记!$J$211)*(应付登记!$J$211&gt;=_辅助!$J$4)*(应付登记!$J$211&lt;=_辅助!$J$2),1,0)</f>
        <v>0</v>
      </c>
      <c r="CE207" s="2">
        <f>IF(($C$130&lt;&gt;"")*(代发抵账!$E$211=$C$130)*(代发抵账!$D$211="总包代付材料分包款")*ISNUMBER(代发抵账!$H$211)*(代发抵账!$H$211&lt;=_辅助!$J$2),1,0)</f>
        <v>0</v>
      </c>
    </row>
    <row r="208">
      <c r="A208" s="94">
        <f>IF($AW208+$AX208=0,"",76)</f>
      </c>
      <c r="B208" s="95">
        <f t="shared" si="25"/>
      </c>
      <c r="C208" s="96">
        <f t="shared" si="27"/>
      </c>
      <c r="D208" s="96">
        <f t="shared" si="1"/>
      </c>
      <c r="E208" s="21">
        <f t="shared" si="4"/>
      </c>
      <c r="G208" s="94">
        <f>IF($AU208+$AV208=0,"",76)</f>
      </c>
      <c r="H208" s="95">
        <f t="shared" si="7"/>
      </c>
      <c r="I208" s="96">
        <f t="shared" si="9"/>
      </c>
      <c r="J208" s="96">
        <f t="shared" si="29"/>
      </c>
      <c r="K208" s="21">
        <f t="shared" si="11"/>
      </c>
      <c r="AU208" s="2">
        <f>IF(AND(75&gt;=1,75&lt;=$BD$1),IF(75&gt;$BD$1,0,MOD(SMALL($BD$2:$BD$2001,75),10000)),0)</f>
        <v>0</v>
      </c>
      <c r="AV208" s="2">
        <f>IF(AND(75&gt;$BD$1,75&lt;=$BD$1+$BE$300),IF(75-$BD$1&gt;$BE$300,0,IFERROR(MATCH(75-$BD$1,$BE$1:$BE$300,0),0)),0)</f>
        <v>0</v>
      </c>
      <c r="AW208" s="2">
        <f>IF(76&lt;=$BB$200,IF(76&gt;$BB$200,0,IFERROR(MATCH(76,$BB$1:$BB$200,0),0)),0)</f>
        <v>0</v>
      </c>
      <c r="AX208" s="2">
        <f>IF(AND(76&gt;$BB$200,76&lt;=$BB$200+$BC$1000),IF(76-$BB$200&gt;$BC$1000,0,IFERROR(MATCH(76-$BB$200,$BC$1:$BC$1000,0),0)),0)</f>
        <v>0</v>
      </c>
      <c r="AZ208" s="2">
        <f>AZ200+SUM(CA201:CA208)</f>
        <v>29</v>
      </c>
      <c r="BC208" s="2">
        <f>BC200+SUM(CD201:CD208)</f>
        <v>0</v>
      </c>
      <c r="BD208" s="2">
        <f>IF(AND($C$130&lt;&gt;"",资金流水!$J$212=$C$130,ISNUMBER(资金流水!$B$212),ISNUMBER(资金流水!$S$212),资金流水!$S$212&gt;=_辅助!$J$4,资金流水!$S$212&lt;=_辅助!$J$2,OR(资金流水!$X$212="应付材料款",资金流水!$X$212="应付分包款",资金流水!$X$212="应付机械运输费",资金流水!$X$212="应付其他款")),INT(资金流水!$B$212)*10000+207,"")</f>
      </c>
      <c r="BE208" s="2">
        <f>BE200+SUM(CE201:CE208)</f>
        <v>0</v>
      </c>
      <c r="CA208" s="2">
        <f>IF(AND(OR(_余额!$B$210="材料供应商",_余额!$B$210="分包",_余额!$B$210="机械运输",_余额!$B$210="其他"),OR($C$3="全部",_余额!$B$210=$C$3),OR(_余额!$G$210&lt;&gt;0,_余额!$H$210&lt;&gt;0)),1,0)</f>
        <v>0</v>
      </c>
      <c r="CD208" s="2">
        <f>IF(($C$130&lt;&gt;"")*(应付登记!$D$212=$C$130)*ISNUMBER(应付登记!$J$212)*(应付登记!$J$212&gt;=_辅助!$J$4)*(应付登记!$J$212&lt;=_辅助!$J$2),1,0)</f>
        <v>0</v>
      </c>
      <c r="CE208" s="2">
        <f>IF(($C$130&lt;&gt;"")*(代发抵账!$E$212=$C$130)*(代发抵账!$D$212="总包代付材料分包款")*ISNUMBER(代发抵账!$H$212)*(代发抵账!$H$212&lt;=_辅助!$J$2),1,0)</f>
        <v>0</v>
      </c>
    </row>
    <row r="209">
      <c r="A209" s="94">
        <f>IF($AW209+$AX209=0,"",77)</f>
      </c>
      <c r="B209" s="95">
        <f t="shared" si="25"/>
      </c>
      <c r="C209" s="96">
        <f t="shared" si="27"/>
      </c>
      <c r="D209" s="96">
        <f t="shared" si="1"/>
      </c>
      <c r="E209" s="21">
        <f t="shared" si="4"/>
      </c>
      <c r="G209" s="94">
        <f>IF($AU209+$AV209=0,"",77)</f>
      </c>
      <c r="H209" s="95">
        <f t="shared" si="7"/>
      </c>
      <c r="I209" s="96">
        <f t="shared" si="9"/>
      </c>
      <c r="J209" s="96">
        <f t="shared" si="29"/>
      </c>
      <c r="K209" s="21">
        <f t="shared" si="11"/>
      </c>
      <c r="AU209" s="2">
        <f>IF(AND(76&gt;=1,76&lt;=$BD$1),IF(76&gt;$BD$1,0,MOD(SMALL($BD$2:$BD$2001,76),10000)),0)</f>
        <v>0</v>
      </c>
      <c r="AV209" s="2">
        <f>IF(AND(76&gt;$BD$1,76&lt;=$BD$1+$BE$300),IF(76-$BD$1&gt;$BE$300,0,IFERROR(MATCH(76-$BD$1,$BE$1:$BE$300,0),0)),0)</f>
        <v>0</v>
      </c>
      <c r="AW209" s="2">
        <f>IF(77&lt;=$BB$200,IF(77&gt;$BB$200,0,IFERROR(MATCH(77,$BB$1:$BB$200,0),0)),0)</f>
        <v>0</v>
      </c>
      <c r="AX209" s="2">
        <f>IF(AND(77&gt;$BB$200,77&lt;=$BB$200+$BC$1000),IF(77-$BB$200&gt;$BC$1000,0,IFERROR(MATCH(77-$BB$200,$BC$1:$BC$1000,0),0)),0)</f>
        <v>0</v>
      </c>
      <c r="AZ209" s="2">
        <f>AZ200+SUM(CA201:CA209)</f>
        <v>29</v>
      </c>
      <c r="BC209" s="2">
        <f>BC200+SUM(CD201:CD209)</f>
        <v>0</v>
      </c>
      <c r="BD209" s="2">
        <f>IF(AND($C$130&lt;&gt;"",资金流水!$J$213=$C$130,ISNUMBER(资金流水!$B$213),ISNUMBER(资金流水!$S$213),资金流水!$S$213&gt;=_辅助!$J$4,资金流水!$S$213&lt;=_辅助!$J$2,OR(资金流水!$X$213="应付材料款",资金流水!$X$213="应付分包款",资金流水!$X$213="应付机械运输费",资金流水!$X$213="应付其他款")),INT(资金流水!$B$213)*10000+208,"")</f>
      </c>
      <c r="BE209" s="2">
        <f>BE200+SUM(CE201:CE209)</f>
        <v>0</v>
      </c>
      <c r="CA209" s="2">
        <f>IF(AND(OR(_余额!$B$211="材料供应商",_余额!$B$211="分包",_余额!$B$211="机械运输",_余额!$B$211="其他"),OR($C$3="全部",_余额!$B$211=$C$3),OR(_余额!$G$211&lt;&gt;0,_余额!$H$211&lt;&gt;0)),1,0)</f>
        <v>0</v>
      </c>
      <c r="CD209" s="2">
        <f>IF(($C$130&lt;&gt;"")*(应付登记!$D$213=$C$130)*ISNUMBER(应付登记!$J$213)*(应付登记!$J$213&gt;=_辅助!$J$4)*(应付登记!$J$213&lt;=_辅助!$J$2),1,0)</f>
        <v>0</v>
      </c>
      <c r="CE209" s="2">
        <f>IF(($C$130&lt;&gt;"")*(代发抵账!$E$213=$C$130)*(代发抵账!$D$213="总包代付材料分包款")*ISNUMBER(代发抵账!$H$213)*(代发抵账!$H$213&lt;=_辅助!$J$2),1,0)</f>
        <v>0</v>
      </c>
    </row>
    <row r="210">
      <c r="A210" s="94">
        <f>IF($AW210+$AX210=0,"",78)</f>
      </c>
      <c r="B210" s="95">
        <f t="shared" si="25"/>
      </c>
      <c r="C210" s="96">
        <f t="shared" si="27"/>
      </c>
      <c r="D210" s="96">
        <f t="shared" si="1"/>
      </c>
      <c r="E210" s="21">
        <f t="shared" si="4"/>
      </c>
      <c r="G210" s="94">
        <f>IF($AU210+$AV210=0,"",78)</f>
      </c>
      <c r="H210" s="95">
        <f t="shared" si="7"/>
      </c>
      <c r="I210" s="96">
        <f t="shared" si="9"/>
      </c>
      <c r="J210" s="96">
        <f t="shared" si="29"/>
      </c>
      <c r="K210" s="21">
        <f t="shared" si="11"/>
      </c>
      <c r="AU210" s="2">
        <f>IF(AND(77&gt;=1,77&lt;=$BD$1),IF(77&gt;$BD$1,0,MOD(SMALL($BD$2:$BD$2001,77),10000)),0)</f>
        <v>0</v>
      </c>
      <c r="AV210" s="2">
        <f>IF(AND(77&gt;$BD$1,77&lt;=$BD$1+$BE$300),IF(77-$BD$1&gt;$BE$300,0,IFERROR(MATCH(77-$BD$1,$BE$1:$BE$300,0),0)),0)</f>
        <v>0</v>
      </c>
      <c r="AW210" s="2">
        <f>IF(78&lt;=$BB$200,IF(78&gt;$BB$200,0,IFERROR(MATCH(78,$BB$1:$BB$200,0),0)),0)</f>
        <v>0</v>
      </c>
      <c r="AX210" s="2">
        <f>IF(AND(78&gt;$BB$200,78&lt;=$BB$200+$BC$1000),IF(78-$BB$200&gt;$BC$1000,0,IFERROR(MATCH(78-$BB$200,$BC$1:$BC$1000,0),0)),0)</f>
        <v>0</v>
      </c>
      <c r="AZ210" s="2">
        <f>AZ200+SUM(CA201:CA210)</f>
        <v>29</v>
      </c>
      <c r="BC210" s="2">
        <f>BC200+SUM(CD201:CD210)</f>
        <v>0</v>
      </c>
      <c r="BD210" s="2">
        <f>IF(AND($C$130&lt;&gt;"",资金流水!$J$214=$C$130,ISNUMBER(资金流水!$B$214),ISNUMBER(资金流水!$S$214),资金流水!$S$214&gt;=_辅助!$J$4,资金流水!$S$214&lt;=_辅助!$J$2,OR(资金流水!$X$214="应付材料款",资金流水!$X$214="应付分包款",资金流水!$X$214="应付机械运输费",资金流水!$X$214="应付其他款")),INT(资金流水!$B$214)*10000+209,"")</f>
      </c>
      <c r="BE210" s="2">
        <f>BE200+SUM(CE201:CE210)</f>
        <v>0</v>
      </c>
      <c r="CA210" s="2">
        <f>IF(AND(OR(_余额!$B$212="材料供应商",_余额!$B$212="分包",_余额!$B$212="机械运输",_余额!$B$212="其他"),OR($C$3="全部",_余额!$B$212=$C$3),OR(_余额!$G$212&lt;&gt;0,_余额!$H$212&lt;&gt;0)),1,0)</f>
        <v>0</v>
      </c>
      <c r="CD210" s="2">
        <f>IF(($C$130&lt;&gt;"")*(应付登记!$D$214=$C$130)*ISNUMBER(应付登记!$J$214)*(应付登记!$J$214&gt;=_辅助!$J$4)*(应付登记!$J$214&lt;=_辅助!$J$2),1,0)</f>
        <v>0</v>
      </c>
      <c r="CE210" s="2">
        <f>IF(($C$130&lt;&gt;"")*(代发抵账!$E$214=$C$130)*(代发抵账!$D$214="总包代付材料分包款")*ISNUMBER(代发抵账!$H$214)*(代发抵账!$H$214&lt;=_辅助!$J$2),1,0)</f>
        <v>0</v>
      </c>
    </row>
    <row r="211">
      <c r="A211" s="94">
        <f>IF($AW211+$AX211=0,"",79)</f>
      </c>
      <c r="B211" s="95">
        <f t="shared" si="25"/>
      </c>
      <c r="C211" s="96">
        <f t="shared" si="27"/>
      </c>
      <c r="D211" s="96">
        <f t="shared" si="1"/>
      </c>
      <c r="E211" s="21">
        <f t="shared" si="4"/>
      </c>
      <c r="G211" s="94">
        <f>IF($AU211+$AV211=0,"",79)</f>
      </c>
      <c r="H211" s="95">
        <f t="shared" si="7"/>
      </c>
      <c r="I211" s="96">
        <f t="shared" si="9"/>
      </c>
      <c r="J211" s="96">
        <f t="shared" si="29"/>
      </c>
      <c r="K211" s="21">
        <f t="shared" si="11"/>
      </c>
      <c r="AU211" s="2">
        <f>IF(AND(78&gt;=1,78&lt;=$BD$1),IF(78&gt;$BD$1,0,MOD(SMALL($BD$2:$BD$2001,78),10000)),0)</f>
        <v>0</v>
      </c>
      <c r="AV211" s="2">
        <f>IF(AND(78&gt;$BD$1,78&lt;=$BD$1+$BE$300),IF(78-$BD$1&gt;$BE$300,0,IFERROR(MATCH(78-$BD$1,$BE$1:$BE$300,0),0)),0)</f>
        <v>0</v>
      </c>
      <c r="AW211" s="2">
        <f>IF(79&lt;=$BB$200,IF(79&gt;$BB$200,0,IFERROR(MATCH(79,$BB$1:$BB$200,0),0)),0)</f>
        <v>0</v>
      </c>
      <c r="AX211" s="2">
        <f>IF(AND(79&gt;$BB$200,79&lt;=$BB$200+$BC$1000),IF(79-$BB$200&gt;$BC$1000,0,IFERROR(MATCH(79-$BB$200,$BC$1:$BC$1000,0),0)),0)</f>
        <v>0</v>
      </c>
      <c r="AZ211" s="2">
        <f>AZ200+SUM(CA201:CA211)</f>
        <v>29</v>
      </c>
      <c r="BC211" s="2">
        <f>BC200+SUM(CD201:CD211)</f>
        <v>0</v>
      </c>
      <c r="BD211" s="2">
        <f>IF(AND($C$130&lt;&gt;"",资金流水!$J$215=$C$130,ISNUMBER(资金流水!$B$215),ISNUMBER(资金流水!$S$215),资金流水!$S$215&gt;=_辅助!$J$4,资金流水!$S$215&lt;=_辅助!$J$2,OR(资金流水!$X$215="应付材料款",资金流水!$X$215="应付分包款",资金流水!$X$215="应付机械运输费",资金流水!$X$215="应付其他款")),INT(资金流水!$B$215)*10000+210,"")</f>
      </c>
      <c r="BE211" s="2">
        <f>BE200+SUM(CE201:CE211)</f>
        <v>0</v>
      </c>
      <c r="CA211" s="2">
        <f>IF(AND(OR(_余额!$B$213="材料供应商",_余额!$B$213="分包",_余额!$B$213="机械运输",_余额!$B$213="其他"),OR($C$3="全部",_余额!$B$213=$C$3),OR(_余额!$G$213&lt;&gt;0,_余额!$H$213&lt;&gt;0)),1,0)</f>
        <v>0</v>
      </c>
      <c r="CD211" s="2">
        <f>IF(($C$130&lt;&gt;"")*(应付登记!$D$215=$C$130)*ISNUMBER(应付登记!$J$215)*(应付登记!$J$215&gt;=_辅助!$J$4)*(应付登记!$J$215&lt;=_辅助!$J$2),1,0)</f>
        <v>0</v>
      </c>
      <c r="CE211" s="2">
        <f>IF(($C$130&lt;&gt;"")*(代发抵账!$E$215=$C$130)*(代发抵账!$D$215="总包代付材料分包款")*ISNUMBER(代发抵账!$H$215)*(代发抵账!$H$215&lt;=_辅助!$J$2),1,0)</f>
        <v>0</v>
      </c>
    </row>
    <row r="212">
      <c r="A212" s="94">
        <f>IF($AW212+$AX212=0,"",80)</f>
      </c>
      <c r="B212" s="95">
        <f t="shared" si="25"/>
      </c>
      <c r="C212" s="96">
        <f t="shared" si="27"/>
      </c>
      <c r="D212" s="96">
        <f t="shared" si="1"/>
      </c>
      <c r="E212" s="21">
        <f t="shared" si="4"/>
      </c>
      <c r="G212" s="94">
        <f>IF($AU212+$AV212=0,"",80)</f>
      </c>
      <c r="H212" s="95">
        <f t="shared" si="7"/>
      </c>
      <c r="I212" s="96">
        <f t="shared" si="9"/>
      </c>
      <c r="J212" s="96">
        <f t="shared" si="29"/>
      </c>
      <c r="K212" s="21">
        <f t="shared" si="11"/>
      </c>
      <c r="AU212" s="2">
        <f>IF(AND(79&gt;=1,79&lt;=$BD$1),IF(79&gt;$BD$1,0,MOD(SMALL($BD$2:$BD$2001,79),10000)),0)</f>
        <v>0</v>
      </c>
      <c r="AV212" s="2">
        <f>IF(AND(79&gt;$BD$1,79&lt;=$BD$1+$BE$300),IF(79-$BD$1&gt;$BE$300,0,IFERROR(MATCH(79-$BD$1,$BE$1:$BE$300,0),0)),0)</f>
        <v>0</v>
      </c>
      <c r="AW212" s="2">
        <f>IF(80&lt;=$BB$200,IF(80&gt;$BB$200,0,IFERROR(MATCH(80,$BB$1:$BB$200,0),0)),0)</f>
        <v>0</v>
      </c>
      <c r="AX212" s="2">
        <f>IF(AND(80&gt;$BB$200,80&lt;=$BB$200+$BC$1000),IF(80-$BB$200&gt;$BC$1000,0,IFERROR(MATCH(80-$BB$200,$BC$1:$BC$1000,0),0)),0)</f>
        <v>0</v>
      </c>
      <c r="AZ212" s="2">
        <f>AZ200+SUM(CA201:CA212)</f>
        <v>29</v>
      </c>
      <c r="BC212" s="2">
        <f>BC200+SUM(CD201:CD212)</f>
        <v>0</v>
      </c>
      <c r="BD212" s="2">
        <f>IF(AND($C$130&lt;&gt;"",资金流水!$J$216=$C$130,ISNUMBER(资金流水!$B$216),ISNUMBER(资金流水!$S$216),资金流水!$S$216&gt;=_辅助!$J$4,资金流水!$S$216&lt;=_辅助!$J$2,OR(资金流水!$X$216="应付材料款",资金流水!$X$216="应付分包款",资金流水!$X$216="应付机械运输费",资金流水!$X$216="应付其他款")),INT(资金流水!$B$216)*10000+211,"")</f>
      </c>
      <c r="BE212" s="2">
        <f>BE200+SUM(CE201:CE212)</f>
        <v>0</v>
      </c>
      <c r="CA212" s="2">
        <f>IF(AND(OR(_余额!$B$214="材料供应商",_余额!$B$214="分包",_余额!$B$214="机械运输",_余额!$B$214="其他"),OR($C$3="全部",_余额!$B$214=$C$3),OR(_余额!$G$214&lt;&gt;0,_余额!$H$214&lt;&gt;0)),1,0)</f>
        <v>0</v>
      </c>
      <c r="CD212" s="2">
        <f>IF(($C$130&lt;&gt;"")*(应付登记!$D$216=$C$130)*ISNUMBER(应付登记!$J$216)*(应付登记!$J$216&gt;=_辅助!$J$4)*(应付登记!$J$216&lt;=_辅助!$J$2),1,0)</f>
        <v>0</v>
      </c>
      <c r="CE212" s="2">
        <f>IF(($C$130&lt;&gt;"")*(代发抵账!$E$216=$C$130)*(代发抵账!$D$216="总包代付材料分包款")*ISNUMBER(代发抵账!$H$216)*(代发抵账!$H$216&lt;=_辅助!$J$2),1,0)</f>
        <v>0</v>
      </c>
    </row>
    <row r="213">
      <c r="A213" s="94">
        <f>IF($AW213+$AX213=0,"",81)</f>
      </c>
      <c r="B213" s="95">
        <f t="shared" si="25"/>
      </c>
      <c r="C213" s="96">
        <f t="shared" si="27"/>
      </c>
      <c r="D213" s="96">
        <f t="shared" si="1"/>
      </c>
      <c r="E213" s="21">
        <f t="shared" si="4"/>
      </c>
      <c r="G213" s="94">
        <f>IF($AU213+$AV213=0,"",81)</f>
      </c>
      <c r="H213" s="95">
        <f t="shared" si="7"/>
      </c>
      <c r="I213" s="96">
        <f t="shared" si="9"/>
      </c>
      <c r="J213" s="96">
        <f t="shared" si="29"/>
      </c>
      <c r="K213" s="21">
        <f t="shared" si="11"/>
      </c>
      <c r="AU213" s="2">
        <f>IF(AND(80&gt;=1,80&lt;=$BD$1),IF(80&gt;$BD$1,0,MOD(SMALL($BD$2:$BD$2001,80),10000)),0)</f>
        <v>0</v>
      </c>
      <c r="AV213" s="2">
        <f>IF(AND(80&gt;$BD$1,80&lt;=$BD$1+$BE$300),IF(80-$BD$1&gt;$BE$300,0,IFERROR(MATCH(80-$BD$1,$BE$1:$BE$300,0),0)),0)</f>
        <v>0</v>
      </c>
      <c r="AW213" s="2">
        <f>IF(81&lt;=$BB$200,IF(81&gt;$BB$200,0,IFERROR(MATCH(81,$BB$1:$BB$200,0),0)),0)</f>
        <v>0</v>
      </c>
      <c r="AX213" s="2">
        <f>IF(AND(81&gt;$BB$200,81&lt;=$BB$200+$BC$1000),IF(81-$BB$200&gt;$BC$1000,0,IFERROR(MATCH(81-$BB$200,$BC$1:$BC$1000,0),0)),0)</f>
        <v>0</v>
      </c>
      <c r="AZ213" s="2">
        <f>AZ200+SUM(CA201:CA213)</f>
        <v>29</v>
      </c>
      <c r="BC213" s="2">
        <f>BC200+SUM(CD201:CD213)</f>
        <v>0</v>
      </c>
      <c r="BD213" s="2">
        <f>IF(AND($C$130&lt;&gt;"",资金流水!$J$217=$C$130,ISNUMBER(资金流水!$B$217),ISNUMBER(资金流水!$S$217),资金流水!$S$217&gt;=_辅助!$J$4,资金流水!$S$217&lt;=_辅助!$J$2,OR(资金流水!$X$217="应付材料款",资金流水!$X$217="应付分包款",资金流水!$X$217="应付机械运输费",资金流水!$X$217="应付其他款")),INT(资金流水!$B$217)*10000+212,"")</f>
      </c>
      <c r="BE213" s="2">
        <f>BE200+SUM(CE201:CE213)</f>
        <v>0</v>
      </c>
      <c r="CA213" s="2">
        <f>IF(AND(OR(_余额!$B$215="材料供应商",_余额!$B$215="分包",_余额!$B$215="机械运输",_余额!$B$215="其他"),OR($C$3="全部",_余额!$B$215=$C$3),OR(_余额!$G$215&lt;&gt;0,_余额!$H$215&lt;&gt;0)),1,0)</f>
        <v>0</v>
      </c>
      <c r="CD213" s="2">
        <f>IF(($C$130&lt;&gt;"")*(应付登记!$D$217=$C$130)*ISNUMBER(应付登记!$J$217)*(应付登记!$J$217&gt;=_辅助!$J$4)*(应付登记!$J$217&lt;=_辅助!$J$2),1,0)</f>
        <v>0</v>
      </c>
      <c r="CE213" s="2">
        <f>IF(($C$130&lt;&gt;"")*(代发抵账!$E$217=$C$130)*(代发抵账!$D$217="总包代付材料分包款")*ISNUMBER(代发抵账!$H$217)*(代发抵账!$H$217&lt;=_辅助!$J$2),1,0)</f>
        <v>0</v>
      </c>
    </row>
    <row r="214">
      <c r="A214" s="94">
        <f>IF($AW214+$AX214=0,"",82)</f>
      </c>
      <c r="B214" s="95">
        <f t="shared" si="25"/>
      </c>
      <c r="C214" s="96">
        <f t="shared" si="27"/>
      </c>
      <c r="D214" s="96">
        <f t="shared" si="1"/>
      </c>
      <c r="E214" s="21">
        <f t="shared" si="4"/>
      </c>
      <c r="G214" s="94">
        <f>IF($AU214+$AV214=0,"",82)</f>
      </c>
      <c r="H214" s="95">
        <f t="shared" si="7"/>
      </c>
      <c r="I214" s="96">
        <f t="shared" si="9"/>
      </c>
      <c r="J214" s="96">
        <f t="shared" si="29"/>
      </c>
      <c r="K214" s="21">
        <f t="shared" si="11"/>
      </c>
      <c r="AU214" s="2">
        <f>IF(AND(81&gt;=1,81&lt;=$BD$1),IF(81&gt;$BD$1,0,MOD(SMALL($BD$2:$BD$2001,81),10000)),0)</f>
        <v>0</v>
      </c>
      <c r="AV214" s="2">
        <f>IF(AND(81&gt;$BD$1,81&lt;=$BD$1+$BE$300),IF(81-$BD$1&gt;$BE$300,0,IFERROR(MATCH(81-$BD$1,$BE$1:$BE$300,0),0)),0)</f>
        <v>0</v>
      </c>
      <c r="AW214" s="2">
        <f>IF(82&lt;=$BB$200,IF(82&gt;$BB$200,0,IFERROR(MATCH(82,$BB$1:$BB$200,0),0)),0)</f>
        <v>0</v>
      </c>
      <c r="AX214" s="2">
        <f>IF(AND(82&gt;$BB$200,82&lt;=$BB$200+$BC$1000),IF(82-$BB$200&gt;$BC$1000,0,IFERROR(MATCH(82-$BB$200,$BC$1:$BC$1000,0),0)),0)</f>
        <v>0</v>
      </c>
      <c r="AZ214" s="2">
        <f>AZ200+SUM(CA201:CA214)</f>
        <v>29</v>
      </c>
      <c r="BC214" s="2">
        <f>BC200+SUM(CD201:CD214)</f>
        <v>0</v>
      </c>
      <c r="BD214" s="2">
        <f>IF(AND($C$130&lt;&gt;"",资金流水!$J$218=$C$130,ISNUMBER(资金流水!$B$218),ISNUMBER(资金流水!$S$218),资金流水!$S$218&gt;=_辅助!$J$4,资金流水!$S$218&lt;=_辅助!$J$2,OR(资金流水!$X$218="应付材料款",资金流水!$X$218="应付分包款",资金流水!$X$218="应付机械运输费",资金流水!$X$218="应付其他款")),INT(资金流水!$B$218)*10000+213,"")</f>
      </c>
      <c r="BE214" s="2">
        <f>BE200+SUM(CE201:CE214)</f>
        <v>0</v>
      </c>
      <c r="CA214" s="2">
        <f>IF(AND(OR(_余额!$B$216="材料供应商",_余额!$B$216="分包",_余额!$B$216="机械运输",_余额!$B$216="其他"),OR($C$3="全部",_余额!$B$216=$C$3),OR(_余额!$G$216&lt;&gt;0,_余额!$H$216&lt;&gt;0)),1,0)</f>
        <v>0</v>
      </c>
      <c r="CD214" s="2">
        <f>IF(($C$130&lt;&gt;"")*(应付登记!$D$218=$C$130)*ISNUMBER(应付登记!$J$218)*(应付登记!$J$218&gt;=_辅助!$J$4)*(应付登记!$J$218&lt;=_辅助!$J$2),1,0)</f>
        <v>0</v>
      </c>
      <c r="CE214" s="2">
        <f>IF(($C$130&lt;&gt;"")*(代发抵账!$E$218=$C$130)*(代发抵账!$D$218="总包代付材料分包款")*ISNUMBER(代发抵账!$H$218)*(代发抵账!$H$218&lt;=_辅助!$J$2),1,0)</f>
        <v>0</v>
      </c>
    </row>
    <row r="215">
      <c r="A215" s="94">
        <f>IF($AW215+$AX215=0,"",83)</f>
      </c>
      <c r="B215" s="95">
        <f t="shared" si="25"/>
      </c>
      <c r="C215" s="96">
        <f t="shared" si="27"/>
      </c>
      <c r="D215" s="96">
        <f t="shared" si="1"/>
      </c>
      <c r="E215" s="21">
        <f t="shared" si="4"/>
      </c>
      <c r="G215" s="94">
        <f>IF($AU215+$AV215=0,"",83)</f>
      </c>
      <c r="H215" s="95">
        <f t="shared" si="7"/>
      </c>
      <c r="I215" s="96">
        <f t="shared" si="9"/>
      </c>
      <c r="J215" s="96">
        <f t="shared" si="29"/>
      </c>
      <c r="K215" s="21">
        <f t="shared" si="11"/>
      </c>
      <c r="AU215" s="2">
        <f>IF(AND(82&gt;=1,82&lt;=$BD$1),IF(82&gt;$BD$1,0,MOD(SMALL($BD$2:$BD$2001,82),10000)),0)</f>
        <v>0</v>
      </c>
      <c r="AV215" s="2">
        <f>IF(AND(82&gt;$BD$1,82&lt;=$BD$1+$BE$300),IF(82-$BD$1&gt;$BE$300,0,IFERROR(MATCH(82-$BD$1,$BE$1:$BE$300,0),0)),0)</f>
        <v>0</v>
      </c>
      <c r="AW215" s="2">
        <f>IF(83&lt;=$BB$200,IF(83&gt;$BB$200,0,IFERROR(MATCH(83,$BB$1:$BB$200,0),0)),0)</f>
        <v>0</v>
      </c>
      <c r="AX215" s="2">
        <f>IF(AND(83&gt;$BB$200,83&lt;=$BB$200+$BC$1000),IF(83-$BB$200&gt;$BC$1000,0,IFERROR(MATCH(83-$BB$200,$BC$1:$BC$1000,0),0)),0)</f>
        <v>0</v>
      </c>
      <c r="AZ215" s="2">
        <f>AZ200+SUM(CA201:CA215)</f>
        <v>29</v>
      </c>
      <c r="BC215" s="2">
        <f>BC200+SUM(CD201:CD215)</f>
        <v>0</v>
      </c>
      <c r="BD215" s="2">
        <f>IF(AND($C$130&lt;&gt;"",资金流水!$J$219=$C$130,ISNUMBER(资金流水!$B$219),ISNUMBER(资金流水!$S$219),资金流水!$S$219&gt;=_辅助!$J$4,资金流水!$S$219&lt;=_辅助!$J$2,OR(资金流水!$X$219="应付材料款",资金流水!$X$219="应付分包款",资金流水!$X$219="应付机械运输费",资金流水!$X$219="应付其他款")),INT(资金流水!$B$219)*10000+214,"")</f>
      </c>
      <c r="BE215" s="2">
        <f>BE200+SUM(CE201:CE215)</f>
        <v>0</v>
      </c>
      <c r="CA215" s="2">
        <f>IF(AND(OR(_余额!$B$217="材料供应商",_余额!$B$217="分包",_余额!$B$217="机械运输",_余额!$B$217="其他"),OR($C$3="全部",_余额!$B$217=$C$3),OR(_余额!$G$217&lt;&gt;0,_余额!$H$217&lt;&gt;0)),1,0)</f>
        <v>0</v>
      </c>
      <c r="CD215" s="2">
        <f>IF(($C$130&lt;&gt;"")*(应付登记!$D$219=$C$130)*ISNUMBER(应付登记!$J$219)*(应付登记!$J$219&gt;=_辅助!$J$4)*(应付登记!$J$219&lt;=_辅助!$J$2),1,0)</f>
        <v>0</v>
      </c>
      <c r="CE215" s="2">
        <f>IF(($C$130&lt;&gt;"")*(代发抵账!$E$219=$C$130)*(代发抵账!$D$219="总包代付材料分包款")*ISNUMBER(代发抵账!$H$219)*(代发抵账!$H$219&lt;=_辅助!$J$2),1,0)</f>
        <v>0</v>
      </c>
    </row>
    <row r="216">
      <c r="A216" s="94">
        <f>IF($AW216+$AX216=0,"",84)</f>
      </c>
      <c r="B216" s="95">
        <f t="shared" si="25"/>
      </c>
      <c r="C216" s="96">
        <f t="shared" si="27"/>
      </c>
      <c r="D216" s="96">
        <f t="shared" si="1"/>
      </c>
      <c r="E216" s="21">
        <f t="shared" si="4"/>
      </c>
      <c r="G216" s="94">
        <f>IF($AU216+$AV216=0,"",84)</f>
      </c>
      <c r="H216" s="95">
        <f t="shared" si="7"/>
      </c>
      <c r="I216" s="96">
        <f t="shared" si="9"/>
      </c>
      <c r="J216" s="96">
        <f t="shared" si="29"/>
      </c>
      <c r="K216" s="21">
        <f t="shared" si="11"/>
      </c>
      <c r="AU216" s="2">
        <f>IF(AND(83&gt;=1,83&lt;=$BD$1),IF(83&gt;$BD$1,0,MOD(SMALL($BD$2:$BD$2001,83),10000)),0)</f>
        <v>0</v>
      </c>
      <c r="AV216" s="2">
        <f>IF(AND(83&gt;$BD$1,83&lt;=$BD$1+$BE$300),IF(83-$BD$1&gt;$BE$300,0,IFERROR(MATCH(83-$BD$1,$BE$1:$BE$300,0),0)),0)</f>
        <v>0</v>
      </c>
      <c r="AW216" s="2">
        <f>IF(84&lt;=$BB$200,IF(84&gt;$BB$200,0,IFERROR(MATCH(84,$BB$1:$BB$200,0),0)),0)</f>
        <v>0</v>
      </c>
      <c r="AX216" s="2">
        <f>IF(AND(84&gt;$BB$200,84&lt;=$BB$200+$BC$1000),IF(84-$BB$200&gt;$BC$1000,0,IFERROR(MATCH(84-$BB$200,$BC$1:$BC$1000,0),0)),0)</f>
        <v>0</v>
      </c>
      <c r="AZ216" s="2">
        <f>AZ200+SUM(CA201:CA216)</f>
        <v>29</v>
      </c>
      <c r="BC216" s="2">
        <f>BC200+SUM(CD201:CD216)</f>
        <v>0</v>
      </c>
      <c r="BD216" s="2">
        <f>IF(AND($C$130&lt;&gt;"",资金流水!$J$220=$C$130,ISNUMBER(资金流水!$B$220),ISNUMBER(资金流水!$S$220),资金流水!$S$220&gt;=_辅助!$J$4,资金流水!$S$220&lt;=_辅助!$J$2,OR(资金流水!$X$220="应付材料款",资金流水!$X$220="应付分包款",资金流水!$X$220="应付机械运输费",资金流水!$X$220="应付其他款")),INT(资金流水!$B$220)*10000+215,"")</f>
        <v>462620215</v>
      </c>
      <c r="BE216" s="2">
        <f>BE200+SUM(CE201:CE216)</f>
        <v>0</v>
      </c>
      <c r="CA216" s="2">
        <f>IF(AND(OR(_余额!$B$218="材料供应商",_余额!$B$218="分包",_余额!$B$218="机械运输",_余额!$B$218="其他"),OR($C$3="全部",_余额!$B$218=$C$3),OR(_余额!$G$218&lt;&gt;0,_余额!$H$218&lt;&gt;0)),1,0)</f>
        <v>0</v>
      </c>
      <c r="CD216" s="2">
        <f>IF(($C$130&lt;&gt;"")*(应付登记!$D$220=$C$130)*ISNUMBER(应付登记!$J$220)*(应付登记!$J$220&gt;=_辅助!$J$4)*(应付登记!$J$220&lt;=_辅助!$J$2),1,0)</f>
        <v>0</v>
      </c>
      <c r="CE216" s="2">
        <f>IF(($C$130&lt;&gt;"")*(代发抵账!$E$220=$C$130)*(代发抵账!$D$220="总包代付材料分包款")*ISNUMBER(代发抵账!$H$220)*(代发抵账!$H$220&lt;=_辅助!$J$2),1,0)</f>
        <v>0</v>
      </c>
    </row>
    <row r="217">
      <c r="A217" s="94">
        <f>IF($AW217+$AX217=0,"",85)</f>
      </c>
      <c r="B217" s="95">
        <f t="shared" si="25"/>
      </c>
      <c r="C217" s="96">
        <f t="shared" si="27"/>
      </c>
      <c r="D217" s="96">
        <f t="shared" si="1"/>
      </c>
      <c r="E217" s="21">
        <f t="shared" si="4"/>
      </c>
      <c r="G217" s="94">
        <f>IF($AU217+$AV217=0,"",85)</f>
      </c>
      <c r="H217" s="95">
        <f t="shared" si="7"/>
      </c>
      <c r="I217" s="96">
        <f t="shared" si="9"/>
      </c>
      <c r="J217" s="96">
        <f t="shared" si="29"/>
      </c>
      <c r="K217" s="21">
        <f t="shared" si="11"/>
      </c>
      <c r="AU217" s="2">
        <f>IF(AND(84&gt;=1,84&lt;=$BD$1),IF(84&gt;$BD$1,0,MOD(SMALL($BD$2:$BD$2001,84),10000)),0)</f>
        <v>0</v>
      </c>
      <c r="AV217" s="2">
        <f>IF(AND(84&gt;$BD$1,84&lt;=$BD$1+$BE$300),IF(84-$BD$1&gt;$BE$300,0,IFERROR(MATCH(84-$BD$1,$BE$1:$BE$300,0),0)),0)</f>
        <v>0</v>
      </c>
      <c r="AW217" s="2">
        <f>IF(85&lt;=$BB$200,IF(85&gt;$BB$200,0,IFERROR(MATCH(85,$BB$1:$BB$200,0),0)),0)</f>
        <v>0</v>
      </c>
      <c r="AX217" s="2">
        <f>IF(AND(85&gt;$BB$200,85&lt;=$BB$200+$BC$1000),IF(85-$BB$200&gt;$BC$1000,0,IFERROR(MATCH(85-$BB$200,$BC$1:$BC$1000,0),0)),0)</f>
        <v>0</v>
      </c>
      <c r="AZ217" s="2">
        <f>AZ200+SUM(CA201:CA217)</f>
        <v>29</v>
      </c>
      <c r="BC217" s="2">
        <f>BC200+SUM(CD201:CD217)</f>
        <v>0</v>
      </c>
      <c r="BD217" s="2">
        <f>IF(AND($C$130&lt;&gt;"",资金流水!$J$221=$C$130,ISNUMBER(资金流水!$B$221),ISNUMBER(资金流水!$S$221),资金流水!$S$221&gt;=_辅助!$J$4,资金流水!$S$221&lt;=_辅助!$J$2,OR(资金流水!$X$221="应付材料款",资金流水!$X$221="应付分包款",资金流水!$X$221="应付机械运输费",资金流水!$X$221="应付其他款")),INT(资金流水!$B$221)*10000+216,"")</f>
      </c>
      <c r="BE217" s="2">
        <f>BE200+SUM(CE201:CE217)</f>
        <v>0</v>
      </c>
      <c r="CA217" s="2">
        <f>IF(AND(OR(_余额!$B$219="材料供应商",_余额!$B$219="分包",_余额!$B$219="机械运输",_余额!$B$219="其他"),OR($C$3="全部",_余额!$B$219=$C$3),OR(_余额!$G$219&lt;&gt;0,_余额!$H$219&lt;&gt;0)),1,0)</f>
        <v>0</v>
      </c>
      <c r="CD217" s="2">
        <f>IF(($C$130&lt;&gt;"")*(应付登记!$D$221=$C$130)*ISNUMBER(应付登记!$J$221)*(应付登记!$J$221&gt;=_辅助!$J$4)*(应付登记!$J$221&lt;=_辅助!$J$2),1,0)</f>
        <v>0</v>
      </c>
      <c r="CE217" s="2">
        <f>IF(($C$130&lt;&gt;"")*(代发抵账!$E$221=$C$130)*(代发抵账!$D$221="总包代付材料分包款")*ISNUMBER(代发抵账!$H$221)*(代发抵账!$H$221&lt;=_辅助!$J$2),1,0)</f>
        <v>0</v>
      </c>
    </row>
    <row r="218">
      <c r="A218" s="94">
        <f>IF($AW218+$AX218=0,"",86)</f>
      </c>
      <c r="B218" s="95">
        <f t="shared" si="25"/>
      </c>
      <c r="C218" s="96">
        <f t="shared" si="27"/>
      </c>
      <c r="D218" s="96">
        <f t="shared" si="1"/>
      </c>
      <c r="E218" s="21">
        <f t="shared" si="4"/>
      </c>
      <c r="G218" s="94">
        <f>IF($AU218+$AV218=0,"",86)</f>
      </c>
      <c r="H218" s="95">
        <f t="shared" si="7"/>
      </c>
      <c r="I218" s="96">
        <f t="shared" si="9"/>
      </c>
      <c r="J218" s="96">
        <f t="shared" si="29"/>
      </c>
      <c r="K218" s="21">
        <f t="shared" si="11"/>
      </c>
      <c r="AU218" s="2">
        <f>IF(AND(85&gt;=1,85&lt;=$BD$1),IF(85&gt;$BD$1,0,MOD(SMALL($BD$2:$BD$2001,85),10000)),0)</f>
        <v>0</v>
      </c>
      <c r="AV218" s="2">
        <f>IF(AND(85&gt;$BD$1,85&lt;=$BD$1+$BE$300),IF(85-$BD$1&gt;$BE$300,0,IFERROR(MATCH(85-$BD$1,$BE$1:$BE$300,0),0)),0)</f>
        <v>0</v>
      </c>
      <c r="AW218" s="2">
        <f>IF(86&lt;=$BB$200,IF(86&gt;$BB$200,0,IFERROR(MATCH(86,$BB$1:$BB$200,0),0)),0)</f>
        <v>0</v>
      </c>
      <c r="AX218" s="2">
        <f>IF(AND(86&gt;$BB$200,86&lt;=$BB$200+$BC$1000),IF(86-$BB$200&gt;$BC$1000,0,IFERROR(MATCH(86-$BB$200,$BC$1:$BC$1000,0),0)),0)</f>
        <v>0</v>
      </c>
      <c r="AZ218" s="2">
        <f>AZ200+SUM(CA201:CA218)</f>
        <v>29</v>
      </c>
      <c r="BC218" s="2">
        <f>BC200+SUM(CD201:CD218)</f>
        <v>0</v>
      </c>
      <c r="BD218" s="2">
        <f>IF(AND($C$130&lt;&gt;"",资金流水!$J$222=$C$130,ISNUMBER(资金流水!$B$222),ISNUMBER(资金流水!$S$222),资金流水!$S$222&gt;=_辅助!$J$4,资金流水!$S$222&lt;=_辅助!$J$2,OR(资金流水!$X$222="应付材料款",资金流水!$X$222="应付分包款",资金流水!$X$222="应付机械运输费",资金流水!$X$222="应付其他款")),INT(资金流水!$B$222)*10000+217,"")</f>
      </c>
      <c r="BE218" s="2">
        <f>BE200+SUM(CE201:CE218)</f>
        <v>0</v>
      </c>
      <c r="CA218" s="2">
        <f>IF(AND(OR(_余额!$B$220="材料供应商",_余额!$B$220="分包",_余额!$B$220="机械运输",_余额!$B$220="其他"),OR($C$3="全部",_余额!$B$220=$C$3),OR(_余额!$G$220&lt;&gt;0,_余额!$H$220&lt;&gt;0)),1,0)</f>
        <v>0</v>
      </c>
      <c r="CD218" s="2">
        <f>IF(($C$130&lt;&gt;"")*(应付登记!$D$222=$C$130)*ISNUMBER(应付登记!$J$222)*(应付登记!$J$222&gt;=_辅助!$J$4)*(应付登记!$J$222&lt;=_辅助!$J$2),1,0)</f>
        <v>0</v>
      </c>
      <c r="CE218" s="2">
        <f>IF(($C$130&lt;&gt;"")*(代发抵账!$E$222=$C$130)*(代发抵账!$D$222="总包代付材料分包款")*ISNUMBER(代发抵账!$H$222)*(代发抵账!$H$222&lt;=_辅助!$J$2),1,0)</f>
        <v>0</v>
      </c>
    </row>
    <row r="219">
      <c r="A219" s="94">
        <f>IF($AW219+$AX219=0,"",87)</f>
      </c>
      <c r="B219" s="95">
        <f t="shared" si="25"/>
      </c>
      <c r="C219" s="96">
        <f t="shared" si="27"/>
      </c>
      <c r="D219" s="96">
        <f t="shared" si="1"/>
      </c>
      <c r="E219" s="21">
        <f t="shared" si="4"/>
      </c>
      <c r="G219" s="94">
        <f>IF($AU219+$AV219=0,"",87)</f>
      </c>
      <c r="H219" s="95">
        <f t="shared" si="7"/>
      </c>
      <c r="I219" s="96">
        <f t="shared" si="9"/>
      </c>
      <c r="J219" s="96">
        <f t="shared" si="29"/>
      </c>
      <c r="K219" s="21">
        <f t="shared" si="11"/>
      </c>
      <c r="AU219" s="2">
        <f>IF(AND(86&gt;=1,86&lt;=$BD$1),IF(86&gt;$BD$1,0,MOD(SMALL($BD$2:$BD$2001,86),10000)),0)</f>
        <v>0</v>
      </c>
      <c r="AV219" s="2">
        <f>IF(AND(86&gt;$BD$1,86&lt;=$BD$1+$BE$300),IF(86-$BD$1&gt;$BE$300,0,IFERROR(MATCH(86-$BD$1,$BE$1:$BE$300,0),0)),0)</f>
        <v>0</v>
      </c>
      <c r="AW219" s="2">
        <f>IF(87&lt;=$BB$200,IF(87&gt;$BB$200,0,IFERROR(MATCH(87,$BB$1:$BB$200,0),0)),0)</f>
        <v>0</v>
      </c>
      <c r="AX219" s="2">
        <f>IF(AND(87&gt;$BB$200,87&lt;=$BB$200+$BC$1000),IF(87-$BB$200&gt;$BC$1000,0,IFERROR(MATCH(87-$BB$200,$BC$1:$BC$1000,0),0)),0)</f>
        <v>0</v>
      </c>
      <c r="AZ219" s="2">
        <f>AZ200+SUM(CA201:CA219)</f>
        <v>29</v>
      </c>
      <c r="BC219" s="2">
        <f>BC200+SUM(CD201:CD219)</f>
        <v>0</v>
      </c>
      <c r="BD219" s="2">
        <f>IF(AND($C$130&lt;&gt;"",资金流水!$J$223=$C$130,ISNUMBER(资金流水!$B$223),ISNUMBER(资金流水!$S$223),资金流水!$S$223&gt;=_辅助!$J$4,资金流水!$S$223&lt;=_辅助!$J$2,OR(资金流水!$X$223="应付材料款",资金流水!$X$223="应付分包款",资金流水!$X$223="应付机械运输费",资金流水!$X$223="应付其他款")),INT(资金流水!$B$223)*10000+218,"")</f>
      </c>
      <c r="BE219" s="2">
        <f>BE200+SUM(CE201:CE219)</f>
        <v>0</v>
      </c>
      <c r="CA219" s="2">
        <f>IF(AND(OR(_余额!$B$221="材料供应商",_余额!$B$221="分包",_余额!$B$221="机械运输",_余额!$B$221="其他"),OR($C$3="全部",_余额!$B$221=$C$3),OR(_余额!$G$221&lt;&gt;0,_余额!$H$221&lt;&gt;0)),1,0)</f>
        <v>0</v>
      </c>
      <c r="CD219" s="2">
        <f>IF(($C$130&lt;&gt;"")*(应付登记!$D$223=$C$130)*ISNUMBER(应付登记!$J$223)*(应付登记!$J$223&gt;=_辅助!$J$4)*(应付登记!$J$223&lt;=_辅助!$J$2),1,0)</f>
        <v>0</v>
      </c>
      <c r="CE219" s="2">
        <f>IF(($C$130&lt;&gt;"")*(代发抵账!$E$223=$C$130)*(代发抵账!$D$223="总包代付材料分包款")*ISNUMBER(代发抵账!$H$223)*(代发抵账!$H$223&lt;=_辅助!$J$2),1,0)</f>
        <v>0</v>
      </c>
    </row>
    <row r="220">
      <c r="A220" s="94">
        <f>IF($AW220+$AX220=0,"",88)</f>
      </c>
      <c r="B220" s="95">
        <f t="shared" si="25"/>
      </c>
      <c r="C220" s="96">
        <f t="shared" si="27"/>
      </c>
      <c r="D220" s="96">
        <f t="shared" si="1"/>
      </c>
      <c r="E220" s="21">
        <f t="shared" si="4"/>
      </c>
      <c r="G220" s="94">
        <f>IF($AU220+$AV220=0,"",88)</f>
      </c>
      <c r="H220" s="95">
        <f t="shared" si="7"/>
      </c>
      <c r="I220" s="96">
        <f t="shared" si="9"/>
      </c>
      <c r="J220" s="96">
        <f t="shared" si="29"/>
      </c>
      <c r="K220" s="21">
        <f t="shared" si="11"/>
      </c>
      <c r="AU220" s="2">
        <f>IF(AND(87&gt;=1,87&lt;=$BD$1),IF(87&gt;$BD$1,0,MOD(SMALL($BD$2:$BD$2001,87),10000)),0)</f>
        <v>0</v>
      </c>
      <c r="AV220" s="2">
        <f>IF(AND(87&gt;$BD$1,87&lt;=$BD$1+$BE$300),IF(87-$BD$1&gt;$BE$300,0,IFERROR(MATCH(87-$BD$1,$BE$1:$BE$300,0),0)),0)</f>
        <v>0</v>
      </c>
      <c r="AW220" s="2">
        <f>IF(88&lt;=$BB$200,IF(88&gt;$BB$200,0,IFERROR(MATCH(88,$BB$1:$BB$200,0),0)),0)</f>
        <v>0</v>
      </c>
      <c r="AX220" s="2">
        <f>IF(AND(88&gt;$BB$200,88&lt;=$BB$200+$BC$1000),IF(88-$BB$200&gt;$BC$1000,0,IFERROR(MATCH(88-$BB$200,$BC$1:$BC$1000,0),0)),0)</f>
        <v>0</v>
      </c>
      <c r="AZ220" s="2">
        <f>AZ200+SUM(CA201:CA220)</f>
        <v>29</v>
      </c>
      <c r="BC220" s="2">
        <f>BC200+SUM(CD201:CD220)</f>
        <v>0</v>
      </c>
      <c r="BD220" s="2">
        <f>IF(AND($C$130&lt;&gt;"",资金流水!$J$224=$C$130,ISNUMBER(资金流水!$B$224),ISNUMBER(资金流水!$S$224),资金流水!$S$224&gt;=_辅助!$J$4,资金流水!$S$224&lt;=_辅助!$J$2,OR(资金流水!$X$224="应付材料款",资金流水!$X$224="应付分包款",资金流水!$X$224="应付机械运输费",资金流水!$X$224="应付其他款")),INT(资金流水!$B$224)*10000+219,"")</f>
      </c>
      <c r="BE220" s="2">
        <f>BE200+SUM(CE201:CE220)</f>
        <v>0</v>
      </c>
      <c r="CA220" s="2">
        <f>IF(AND(OR(_余额!$B$222="材料供应商",_余额!$B$222="分包",_余额!$B$222="机械运输",_余额!$B$222="其他"),OR($C$3="全部",_余额!$B$222=$C$3),OR(_余额!$G$222&lt;&gt;0,_余额!$H$222&lt;&gt;0)),1,0)</f>
        <v>0</v>
      </c>
      <c r="CD220" s="2">
        <f>IF(($C$130&lt;&gt;"")*(应付登记!$D$224=$C$130)*ISNUMBER(应付登记!$J$224)*(应付登记!$J$224&gt;=_辅助!$J$4)*(应付登记!$J$224&lt;=_辅助!$J$2),1,0)</f>
        <v>0</v>
      </c>
      <c r="CE220" s="2">
        <f>IF(($C$130&lt;&gt;"")*(代发抵账!$E$224=$C$130)*(代发抵账!$D$224="总包代付材料分包款")*ISNUMBER(代发抵账!$H$224)*(代发抵账!$H$224&lt;=_辅助!$J$2),1,0)</f>
        <v>0</v>
      </c>
    </row>
    <row r="221">
      <c r="A221" s="94">
        <f>IF($AW221+$AX221=0,"",89)</f>
      </c>
      <c r="B221" s="95">
        <f t="shared" si="25"/>
      </c>
      <c r="C221" s="96">
        <f t="shared" si="27"/>
      </c>
      <c r="D221" s="96">
        <f t="shared" si="1"/>
      </c>
      <c r="E221" s="21">
        <f t="shared" si="4"/>
      </c>
      <c r="G221" s="94">
        <f>IF($AU221+$AV221=0,"",89)</f>
      </c>
      <c r="H221" s="95">
        <f t="shared" si="7"/>
      </c>
      <c r="I221" s="96">
        <f t="shared" si="9"/>
      </c>
      <c r="J221" s="96">
        <f t="shared" si="29"/>
      </c>
      <c r="K221" s="21">
        <f t="shared" si="11"/>
      </c>
      <c r="AU221" s="2">
        <f>IF(AND(88&gt;=1,88&lt;=$BD$1),IF(88&gt;$BD$1,0,MOD(SMALL($BD$2:$BD$2001,88),10000)),0)</f>
        <v>0</v>
      </c>
      <c r="AV221" s="2">
        <f>IF(AND(88&gt;$BD$1,88&lt;=$BD$1+$BE$300),IF(88-$BD$1&gt;$BE$300,0,IFERROR(MATCH(88-$BD$1,$BE$1:$BE$300,0),0)),0)</f>
        <v>0</v>
      </c>
      <c r="AW221" s="2">
        <f>IF(89&lt;=$BB$200,IF(89&gt;$BB$200,0,IFERROR(MATCH(89,$BB$1:$BB$200,0),0)),0)</f>
        <v>0</v>
      </c>
      <c r="AX221" s="2">
        <f>IF(AND(89&gt;$BB$200,89&lt;=$BB$200+$BC$1000),IF(89-$BB$200&gt;$BC$1000,0,IFERROR(MATCH(89-$BB$200,$BC$1:$BC$1000,0),0)),0)</f>
        <v>0</v>
      </c>
      <c r="AZ221" s="2">
        <f>AZ200+SUM(CA201:CA221)</f>
        <v>29</v>
      </c>
      <c r="BC221" s="2">
        <f>BC200+SUM(CD201:CD221)</f>
        <v>0</v>
      </c>
      <c r="BD221" s="2">
        <f>IF(AND($C$130&lt;&gt;"",资金流水!$J$225=$C$130,ISNUMBER(资金流水!$B$225),ISNUMBER(资金流水!$S$225),资金流水!$S$225&gt;=_辅助!$J$4,资金流水!$S$225&lt;=_辅助!$J$2,OR(资金流水!$X$225="应付材料款",资金流水!$X$225="应付分包款",资金流水!$X$225="应付机械运输费",资金流水!$X$225="应付其他款")),INT(资金流水!$B$225)*10000+220,"")</f>
      </c>
      <c r="BE221" s="2">
        <f>BE200+SUM(CE201:CE221)</f>
        <v>0</v>
      </c>
      <c r="CA221" s="2">
        <f>IF(AND(OR(_余额!$B$223="材料供应商",_余额!$B$223="分包",_余额!$B$223="机械运输",_余额!$B$223="其他"),OR($C$3="全部",_余额!$B$223=$C$3),OR(_余额!$G$223&lt;&gt;0,_余额!$H$223&lt;&gt;0)),1,0)</f>
        <v>0</v>
      </c>
      <c r="CD221" s="2">
        <f>IF(($C$130&lt;&gt;"")*(应付登记!$D$225=$C$130)*ISNUMBER(应付登记!$J$225)*(应付登记!$J$225&gt;=_辅助!$J$4)*(应付登记!$J$225&lt;=_辅助!$J$2),1,0)</f>
        <v>0</v>
      </c>
      <c r="CE221" s="2">
        <f>IF(($C$130&lt;&gt;"")*(代发抵账!$E$225=$C$130)*(代发抵账!$D$225="总包代付材料分包款")*ISNUMBER(代发抵账!$H$225)*(代发抵账!$H$225&lt;=_辅助!$J$2),1,0)</f>
        <v>0</v>
      </c>
    </row>
    <row r="222">
      <c r="A222" s="94">
        <f>IF($AW222+$AX222=0,"",90)</f>
      </c>
      <c r="B222" s="95">
        <f t="shared" si="25"/>
      </c>
      <c r="C222" s="96">
        <f t="shared" si="27"/>
      </c>
      <c r="D222" s="96">
        <f t="shared" si="1"/>
      </c>
      <c r="E222" s="21">
        <f t="shared" si="4"/>
      </c>
      <c r="G222" s="94">
        <f>IF($AU222+$AV222=0,"",90)</f>
      </c>
      <c r="H222" s="95">
        <f t="shared" si="7"/>
      </c>
      <c r="I222" s="96">
        <f t="shared" si="9"/>
      </c>
      <c r="J222" s="96">
        <f t="shared" si="29"/>
      </c>
      <c r="K222" s="21">
        <f t="shared" si="11"/>
      </c>
      <c r="AU222" s="2">
        <f>IF(AND(89&gt;=1,89&lt;=$BD$1),IF(89&gt;$BD$1,0,MOD(SMALL($BD$2:$BD$2001,89),10000)),0)</f>
        <v>0</v>
      </c>
      <c r="AV222" s="2">
        <f>IF(AND(89&gt;$BD$1,89&lt;=$BD$1+$BE$300),IF(89-$BD$1&gt;$BE$300,0,IFERROR(MATCH(89-$BD$1,$BE$1:$BE$300,0),0)),0)</f>
        <v>0</v>
      </c>
      <c r="AW222" s="2">
        <f>IF(90&lt;=$BB$200,IF(90&gt;$BB$200,0,IFERROR(MATCH(90,$BB$1:$BB$200,0),0)),0)</f>
        <v>0</v>
      </c>
      <c r="AX222" s="2">
        <f>IF(AND(90&gt;$BB$200,90&lt;=$BB$200+$BC$1000),IF(90-$BB$200&gt;$BC$1000,0,IFERROR(MATCH(90-$BB$200,$BC$1:$BC$1000,0),0)),0)</f>
        <v>0</v>
      </c>
      <c r="AZ222" s="2">
        <f>AZ200+SUM(CA201:CA222)</f>
        <v>29</v>
      </c>
      <c r="BC222" s="2">
        <f>BC200+SUM(CD201:CD222)</f>
        <v>0</v>
      </c>
      <c r="BD222" s="2">
        <f>IF(AND($C$130&lt;&gt;"",资金流水!$J$226=$C$130,ISNUMBER(资金流水!$B$226),ISNUMBER(资金流水!$S$226),资金流水!$S$226&gt;=_辅助!$J$4,资金流水!$S$226&lt;=_辅助!$J$2,OR(资金流水!$X$226="应付材料款",资金流水!$X$226="应付分包款",资金流水!$X$226="应付机械运输费",资金流水!$X$226="应付其他款")),INT(资金流水!$B$226)*10000+221,"")</f>
      </c>
      <c r="BE222" s="2">
        <f>BE200+SUM(CE201:CE222)</f>
        <v>0</v>
      </c>
      <c r="CA222" s="2">
        <f>IF(AND(OR(_余额!$B$224="材料供应商",_余额!$B$224="分包",_余额!$B$224="机械运输",_余额!$B$224="其他"),OR($C$3="全部",_余额!$B$224=$C$3),OR(_余额!$G$224&lt;&gt;0,_余额!$H$224&lt;&gt;0)),1,0)</f>
        <v>0</v>
      </c>
      <c r="CD222" s="2">
        <f>IF(($C$130&lt;&gt;"")*(应付登记!$D$226=$C$130)*ISNUMBER(应付登记!$J$226)*(应付登记!$J$226&gt;=_辅助!$J$4)*(应付登记!$J$226&lt;=_辅助!$J$2),1,0)</f>
        <v>0</v>
      </c>
      <c r="CE222" s="2">
        <f>IF(($C$130&lt;&gt;"")*(代发抵账!$E$226=$C$130)*(代发抵账!$D$226="总包代付材料分包款")*ISNUMBER(代发抵账!$H$226)*(代发抵账!$H$226&lt;=_辅助!$J$2),1,0)</f>
        <v>0</v>
      </c>
    </row>
    <row r="223">
      <c r="A223" s="94">
        <f>IF($AW223+$AX223=0,"",91)</f>
      </c>
      <c r="B223" s="95">
        <f t="shared" si="25"/>
      </c>
      <c r="C223" s="96">
        <f t="shared" si="27"/>
      </c>
      <c r="D223" s="96">
        <f t="shared" si="1"/>
      </c>
      <c r="E223" s="21">
        <f t="shared" si="4"/>
      </c>
      <c r="G223" s="94">
        <f>IF($AU223+$AV223=0,"",91)</f>
      </c>
      <c r="H223" s="95">
        <f t="shared" si="7"/>
      </c>
      <c r="I223" s="96">
        <f t="shared" si="9"/>
      </c>
      <c r="J223" s="96">
        <f t="shared" si="29"/>
      </c>
      <c r="K223" s="21">
        <f t="shared" si="11"/>
      </c>
      <c r="AU223" s="2">
        <f>IF(AND(90&gt;=1,90&lt;=$BD$1),IF(90&gt;$BD$1,0,MOD(SMALL($BD$2:$BD$2001,90),10000)),0)</f>
        <v>0</v>
      </c>
      <c r="AV223" s="2">
        <f>IF(AND(90&gt;$BD$1,90&lt;=$BD$1+$BE$300),IF(90-$BD$1&gt;$BE$300,0,IFERROR(MATCH(90-$BD$1,$BE$1:$BE$300,0),0)),0)</f>
        <v>0</v>
      </c>
      <c r="AW223" s="2">
        <f>IF(91&lt;=$BB$200,IF(91&gt;$BB$200,0,IFERROR(MATCH(91,$BB$1:$BB$200,0),0)),0)</f>
        <v>0</v>
      </c>
      <c r="AX223" s="2">
        <f>IF(AND(91&gt;$BB$200,91&lt;=$BB$200+$BC$1000),IF(91-$BB$200&gt;$BC$1000,0,IFERROR(MATCH(91-$BB$200,$BC$1:$BC$1000,0),0)),0)</f>
        <v>0</v>
      </c>
      <c r="AZ223" s="2">
        <f>AZ200+SUM(CA201:CA223)</f>
        <v>29</v>
      </c>
      <c r="BC223" s="2">
        <f>BC200+SUM(CD201:CD223)</f>
        <v>0</v>
      </c>
      <c r="BD223" s="2">
        <f>IF(AND($C$130&lt;&gt;"",资金流水!$J$227=$C$130,ISNUMBER(资金流水!$B$227),ISNUMBER(资金流水!$S$227),资金流水!$S$227&gt;=_辅助!$J$4,资金流水!$S$227&lt;=_辅助!$J$2,OR(资金流水!$X$227="应付材料款",资金流水!$X$227="应付分包款",资金流水!$X$227="应付机械运输费",资金流水!$X$227="应付其他款")),INT(资金流水!$B$227)*10000+222,"")</f>
      </c>
      <c r="BE223" s="2">
        <f>BE200+SUM(CE201:CE223)</f>
        <v>0</v>
      </c>
      <c r="CA223" s="2">
        <f>IF(AND(OR(_余额!$B$225="材料供应商",_余额!$B$225="分包",_余额!$B$225="机械运输",_余额!$B$225="其他"),OR($C$3="全部",_余额!$B$225=$C$3),OR(_余额!$G$225&lt;&gt;0,_余额!$H$225&lt;&gt;0)),1,0)</f>
        <v>0</v>
      </c>
      <c r="CD223" s="2">
        <f>IF(($C$130&lt;&gt;"")*(应付登记!$D$227=$C$130)*ISNUMBER(应付登记!$J$227)*(应付登记!$J$227&gt;=_辅助!$J$4)*(应付登记!$J$227&lt;=_辅助!$J$2),1,0)</f>
        <v>0</v>
      </c>
      <c r="CE223" s="2">
        <f>IF(($C$130&lt;&gt;"")*(代发抵账!$E$227=$C$130)*(代发抵账!$D$227="总包代付材料分包款")*ISNUMBER(代发抵账!$H$227)*(代发抵账!$H$227&lt;=_辅助!$J$2),1,0)</f>
        <v>0</v>
      </c>
    </row>
    <row r="224">
      <c r="A224" s="94">
        <f>IF($AW224+$AX224=0,"",92)</f>
      </c>
      <c r="B224" s="95">
        <f t="shared" si="25"/>
      </c>
      <c r="C224" s="96">
        <f t="shared" si="27"/>
      </c>
      <c r="D224" s="96">
        <f t="shared" si="1"/>
      </c>
      <c r="E224" s="21">
        <f t="shared" si="4"/>
      </c>
      <c r="G224" s="94">
        <f>IF($AU224+$AV224=0,"",92)</f>
      </c>
      <c r="H224" s="95">
        <f t="shared" si="7"/>
      </c>
      <c r="I224" s="96">
        <f t="shared" si="9"/>
      </c>
      <c r="J224" s="96">
        <f t="shared" si="29"/>
      </c>
      <c r="K224" s="21">
        <f t="shared" si="11"/>
      </c>
      <c r="AU224" s="2">
        <f>IF(AND(91&gt;=1,91&lt;=$BD$1),IF(91&gt;$BD$1,0,MOD(SMALL($BD$2:$BD$2001,91),10000)),0)</f>
        <v>0</v>
      </c>
      <c r="AV224" s="2">
        <f>IF(AND(91&gt;$BD$1,91&lt;=$BD$1+$BE$300),IF(91-$BD$1&gt;$BE$300,0,IFERROR(MATCH(91-$BD$1,$BE$1:$BE$300,0),0)),0)</f>
        <v>0</v>
      </c>
      <c r="AW224" s="2">
        <f>IF(92&lt;=$BB$200,IF(92&gt;$BB$200,0,IFERROR(MATCH(92,$BB$1:$BB$200,0),0)),0)</f>
        <v>0</v>
      </c>
      <c r="AX224" s="2">
        <f>IF(AND(92&gt;$BB$200,92&lt;=$BB$200+$BC$1000),IF(92-$BB$200&gt;$BC$1000,0,IFERROR(MATCH(92-$BB$200,$BC$1:$BC$1000,0),0)),0)</f>
        <v>0</v>
      </c>
      <c r="AZ224" s="2">
        <f>AZ200+SUM(CA201:CA224)</f>
        <v>29</v>
      </c>
      <c r="BC224" s="2">
        <f>BC200+SUM(CD201:CD224)</f>
        <v>0</v>
      </c>
      <c r="BD224" s="2">
        <f>IF(AND($C$130&lt;&gt;"",资金流水!$J$228=$C$130,ISNUMBER(资金流水!$B$228),ISNUMBER(资金流水!$S$228),资金流水!$S$228&gt;=_辅助!$J$4,资金流水!$S$228&lt;=_辅助!$J$2,OR(资金流水!$X$228="应付材料款",资金流水!$X$228="应付分包款",资金流水!$X$228="应付机械运输费",资金流水!$X$228="应付其他款")),INT(资金流水!$B$228)*10000+223,"")</f>
      </c>
      <c r="BE224" s="2">
        <f>BE200+SUM(CE201:CE224)</f>
        <v>0</v>
      </c>
      <c r="CA224" s="2">
        <f>IF(AND(OR(_余额!$B$226="材料供应商",_余额!$B$226="分包",_余额!$B$226="机械运输",_余额!$B$226="其他"),OR($C$3="全部",_余额!$B$226=$C$3),OR(_余额!$G$226&lt;&gt;0,_余额!$H$226&lt;&gt;0)),1,0)</f>
        <v>0</v>
      </c>
      <c r="CD224" s="2">
        <f>IF(($C$130&lt;&gt;"")*(应付登记!$D$228=$C$130)*ISNUMBER(应付登记!$J$228)*(应付登记!$J$228&gt;=_辅助!$J$4)*(应付登记!$J$228&lt;=_辅助!$J$2),1,0)</f>
        <v>0</v>
      </c>
      <c r="CE224" s="2">
        <f>IF(($C$130&lt;&gt;"")*(代发抵账!$E$228=$C$130)*(代发抵账!$D$228="总包代付材料分包款")*ISNUMBER(代发抵账!$H$228)*(代发抵账!$H$228&lt;=_辅助!$J$2),1,0)</f>
        <v>0</v>
      </c>
    </row>
    <row r="225">
      <c r="A225" s="94">
        <f>IF($AW225+$AX225=0,"",93)</f>
      </c>
      <c r="B225" s="95">
        <f t="shared" si="25"/>
      </c>
      <c r="C225" s="96">
        <f t="shared" si="27"/>
      </c>
      <c r="D225" s="96">
        <f t="shared" si="1"/>
      </c>
      <c r="E225" s="21">
        <f t="shared" si="4"/>
      </c>
      <c r="G225" s="94">
        <f>IF($AU225+$AV225=0,"",93)</f>
      </c>
      <c r="H225" s="95">
        <f t="shared" si="7"/>
      </c>
      <c r="I225" s="96">
        <f t="shared" si="9"/>
      </c>
      <c r="J225" s="96">
        <f t="shared" si="29"/>
      </c>
      <c r="K225" s="21">
        <f t="shared" si="11"/>
      </c>
      <c r="AU225" s="2">
        <f>IF(AND(92&gt;=1,92&lt;=$BD$1),IF(92&gt;$BD$1,0,MOD(SMALL($BD$2:$BD$2001,92),10000)),0)</f>
        <v>0</v>
      </c>
      <c r="AV225" s="2">
        <f>IF(AND(92&gt;$BD$1,92&lt;=$BD$1+$BE$300),IF(92-$BD$1&gt;$BE$300,0,IFERROR(MATCH(92-$BD$1,$BE$1:$BE$300,0),0)),0)</f>
        <v>0</v>
      </c>
      <c r="AW225" s="2">
        <f>IF(93&lt;=$BB$200,IF(93&gt;$BB$200,0,IFERROR(MATCH(93,$BB$1:$BB$200,0),0)),0)</f>
        <v>0</v>
      </c>
      <c r="AX225" s="2">
        <f>IF(AND(93&gt;$BB$200,93&lt;=$BB$200+$BC$1000),IF(93-$BB$200&gt;$BC$1000,0,IFERROR(MATCH(93-$BB$200,$BC$1:$BC$1000,0),0)),0)</f>
        <v>0</v>
      </c>
      <c r="AZ225" s="2">
        <f>AZ200+SUM(CA201:CA225)</f>
        <v>29</v>
      </c>
      <c r="BC225" s="2">
        <f>BC200+SUM(CD201:CD225)</f>
        <v>0</v>
      </c>
      <c r="BD225" s="2">
        <f>IF(AND($C$130&lt;&gt;"",资金流水!$J$229=$C$130,ISNUMBER(资金流水!$B$229),ISNUMBER(资金流水!$S$229),资金流水!$S$229&gt;=_辅助!$J$4,资金流水!$S$229&lt;=_辅助!$J$2,OR(资金流水!$X$229="应付材料款",资金流水!$X$229="应付分包款",资金流水!$X$229="应付机械运输费",资金流水!$X$229="应付其他款")),INT(资金流水!$B$229)*10000+224,"")</f>
      </c>
      <c r="BE225" s="2">
        <f>BE200+SUM(CE201:CE225)</f>
        <v>0</v>
      </c>
      <c r="CA225" s="2">
        <f>IF(AND(OR(_余额!$B$227="材料供应商",_余额!$B$227="分包",_余额!$B$227="机械运输",_余额!$B$227="其他"),OR($C$3="全部",_余额!$B$227=$C$3),OR(_余额!$G$227&lt;&gt;0,_余额!$H$227&lt;&gt;0)),1,0)</f>
        <v>0</v>
      </c>
      <c r="CD225" s="2">
        <f>IF(($C$130&lt;&gt;"")*(应付登记!$D$229=$C$130)*ISNUMBER(应付登记!$J$229)*(应付登记!$J$229&gt;=_辅助!$J$4)*(应付登记!$J$229&lt;=_辅助!$J$2),1,0)</f>
        <v>0</v>
      </c>
      <c r="CE225" s="2">
        <f>IF(($C$130&lt;&gt;"")*(代发抵账!$E$229=$C$130)*(代发抵账!$D$229="总包代付材料分包款")*ISNUMBER(代发抵账!$H$229)*(代发抵账!$H$229&lt;=_辅助!$J$2),1,0)</f>
        <v>0</v>
      </c>
    </row>
    <row r="226">
      <c r="A226" s="94">
        <f>IF($AW226+$AX226=0,"",94)</f>
      </c>
      <c r="B226" s="95">
        <f t="shared" si="25"/>
      </c>
      <c r="C226" s="96">
        <f t="shared" si="27"/>
      </c>
      <c r="D226" s="96">
        <f t="shared" si="1"/>
      </c>
      <c r="E226" s="21">
        <f t="shared" si="4"/>
      </c>
      <c r="G226" s="94">
        <f>IF($AU226+$AV226=0,"",94)</f>
      </c>
      <c r="H226" s="95">
        <f t="shared" si="7"/>
      </c>
      <c r="I226" s="96">
        <f t="shared" si="9"/>
      </c>
      <c r="J226" s="96">
        <f t="shared" si="29"/>
      </c>
      <c r="K226" s="21">
        <f t="shared" si="11"/>
      </c>
      <c r="AU226" s="2">
        <f>IF(AND(93&gt;=1,93&lt;=$BD$1),IF(93&gt;$BD$1,0,MOD(SMALL($BD$2:$BD$2001,93),10000)),0)</f>
        <v>0</v>
      </c>
      <c r="AV226" s="2">
        <f>IF(AND(93&gt;$BD$1,93&lt;=$BD$1+$BE$300),IF(93-$BD$1&gt;$BE$300,0,IFERROR(MATCH(93-$BD$1,$BE$1:$BE$300,0),0)),0)</f>
        <v>0</v>
      </c>
      <c r="AW226" s="2">
        <f>IF(94&lt;=$BB$200,IF(94&gt;$BB$200,0,IFERROR(MATCH(94,$BB$1:$BB$200,0),0)),0)</f>
        <v>0</v>
      </c>
      <c r="AX226" s="2">
        <f>IF(AND(94&gt;$BB$200,94&lt;=$BB$200+$BC$1000),IF(94-$BB$200&gt;$BC$1000,0,IFERROR(MATCH(94-$BB$200,$BC$1:$BC$1000,0),0)),0)</f>
        <v>0</v>
      </c>
      <c r="AZ226" s="2">
        <f>AZ200+SUM(CA201:CA226)</f>
        <v>29</v>
      </c>
      <c r="BC226" s="2">
        <f>BC200+SUM(CD201:CD226)</f>
        <v>0</v>
      </c>
      <c r="BD226" s="2">
        <f>IF(AND($C$130&lt;&gt;"",资金流水!$J$230=$C$130,ISNUMBER(资金流水!$B$230),ISNUMBER(资金流水!$S$230),资金流水!$S$230&gt;=_辅助!$J$4,资金流水!$S$230&lt;=_辅助!$J$2,OR(资金流水!$X$230="应付材料款",资金流水!$X$230="应付分包款",资金流水!$X$230="应付机械运输费",资金流水!$X$230="应付其他款")),INT(资金流水!$B$230)*10000+225,"")</f>
      </c>
      <c r="BE226" s="2">
        <f>BE200+SUM(CE201:CE226)</f>
        <v>0</v>
      </c>
      <c r="CA226" s="2">
        <f>IF(AND(OR(_余额!$B$228="材料供应商",_余额!$B$228="分包",_余额!$B$228="机械运输",_余额!$B$228="其他"),OR($C$3="全部",_余额!$B$228=$C$3),OR(_余额!$G$228&lt;&gt;0,_余额!$H$228&lt;&gt;0)),1,0)</f>
        <v>0</v>
      </c>
      <c r="CD226" s="2">
        <f>IF(($C$130&lt;&gt;"")*(应付登记!$D$230=$C$130)*ISNUMBER(应付登记!$J$230)*(应付登记!$J$230&gt;=_辅助!$J$4)*(应付登记!$J$230&lt;=_辅助!$J$2),1,0)</f>
        <v>0</v>
      </c>
      <c r="CE226" s="2">
        <f>IF(($C$130&lt;&gt;"")*(代发抵账!$E$230=$C$130)*(代发抵账!$D$230="总包代付材料分包款")*ISNUMBER(代发抵账!$H$230)*(代发抵账!$H$230&lt;=_辅助!$J$2),1,0)</f>
        <v>0</v>
      </c>
    </row>
    <row r="227">
      <c r="A227" s="94">
        <f>IF($AW227+$AX227=0,"",95)</f>
      </c>
      <c r="B227" s="95">
        <f t="shared" si="25"/>
      </c>
      <c r="C227" s="96">
        <f t="shared" si="27"/>
      </c>
      <c r="D227" s="96">
        <f t="shared" si="1"/>
      </c>
      <c r="E227" s="21">
        <f t="shared" si="4"/>
      </c>
      <c r="G227" s="94">
        <f>IF($AU227+$AV227=0,"",95)</f>
      </c>
      <c r="H227" s="95">
        <f t="shared" si="7"/>
      </c>
      <c r="I227" s="96">
        <f t="shared" si="9"/>
      </c>
      <c r="J227" s="96">
        <f t="shared" si="29"/>
      </c>
      <c r="K227" s="21">
        <f t="shared" si="11"/>
      </c>
      <c r="AU227" s="2">
        <f>IF(AND(94&gt;=1,94&lt;=$BD$1),IF(94&gt;$BD$1,0,MOD(SMALL($BD$2:$BD$2001,94),10000)),0)</f>
        <v>0</v>
      </c>
      <c r="AV227" s="2">
        <f>IF(AND(94&gt;$BD$1,94&lt;=$BD$1+$BE$300),IF(94-$BD$1&gt;$BE$300,0,IFERROR(MATCH(94-$BD$1,$BE$1:$BE$300,0),0)),0)</f>
        <v>0</v>
      </c>
      <c r="AW227" s="2">
        <f>IF(95&lt;=$BB$200,IF(95&gt;$BB$200,0,IFERROR(MATCH(95,$BB$1:$BB$200,0),0)),0)</f>
        <v>0</v>
      </c>
      <c r="AX227" s="2">
        <f>IF(AND(95&gt;$BB$200,95&lt;=$BB$200+$BC$1000),IF(95-$BB$200&gt;$BC$1000,0,IFERROR(MATCH(95-$BB$200,$BC$1:$BC$1000,0),0)),0)</f>
        <v>0</v>
      </c>
      <c r="AZ227" s="2">
        <f>AZ200+SUM(CA201:CA227)</f>
        <v>29</v>
      </c>
      <c r="BC227" s="2">
        <f>BC200+SUM(CD201:CD227)</f>
        <v>0</v>
      </c>
      <c r="BD227" s="2">
        <f>IF(AND($C$130&lt;&gt;"",资金流水!$J$231=$C$130,ISNUMBER(资金流水!$B$231),ISNUMBER(资金流水!$S$231),资金流水!$S$231&gt;=_辅助!$J$4,资金流水!$S$231&lt;=_辅助!$J$2,OR(资金流水!$X$231="应付材料款",资金流水!$X$231="应付分包款",资金流水!$X$231="应付机械运输费",资金流水!$X$231="应付其他款")),INT(资金流水!$B$231)*10000+226,"")</f>
      </c>
      <c r="BE227" s="2">
        <f>BE200+SUM(CE201:CE227)</f>
        <v>0</v>
      </c>
      <c r="CA227" s="2">
        <f>IF(AND(OR(_余额!$B$229="材料供应商",_余额!$B$229="分包",_余额!$B$229="机械运输",_余额!$B$229="其他"),OR($C$3="全部",_余额!$B$229=$C$3),OR(_余额!$G$229&lt;&gt;0,_余额!$H$229&lt;&gt;0)),1,0)</f>
        <v>0</v>
      </c>
      <c r="CD227" s="2">
        <f>IF(($C$130&lt;&gt;"")*(应付登记!$D$231=$C$130)*ISNUMBER(应付登记!$J$231)*(应付登记!$J$231&gt;=_辅助!$J$4)*(应付登记!$J$231&lt;=_辅助!$J$2),1,0)</f>
        <v>0</v>
      </c>
      <c r="CE227" s="2">
        <f>IF(($C$130&lt;&gt;"")*(代发抵账!$E$231=$C$130)*(代发抵账!$D$231="总包代付材料分包款")*ISNUMBER(代发抵账!$H$231)*(代发抵账!$H$231&lt;=_辅助!$J$2),1,0)</f>
        <v>0</v>
      </c>
    </row>
    <row r="228">
      <c r="A228" s="94">
        <f>IF($AW228+$AX228=0,"",96)</f>
      </c>
      <c r="B228" s="95">
        <f t="shared" si="25"/>
      </c>
      <c r="C228" s="96">
        <f t="shared" si="27"/>
      </c>
      <c r="D228" s="96">
        <f t="shared" si="1"/>
      </c>
      <c r="E228" s="21">
        <f t="shared" si="4"/>
      </c>
      <c r="G228" s="94">
        <f>IF($AU228+$AV228=0,"",96)</f>
      </c>
      <c r="H228" s="95">
        <f t="shared" si="7"/>
      </c>
      <c r="I228" s="96">
        <f t="shared" si="9"/>
      </c>
      <c r="J228" s="96">
        <f t="shared" si="29"/>
      </c>
      <c r="K228" s="21">
        <f t="shared" si="11"/>
      </c>
      <c r="AU228" s="2">
        <f>IF(AND(95&gt;=1,95&lt;=$BD$1),IF(95&gt;$BD$1,0,MOD(SMALL($BD$2:$BD$2001,95),10000)),0)</f>
        <v>0</v>
      </c>
      <c r="AV228" s="2">
        <f>IF(AND(95&gt;$BD$1,95&lt;=$BD$1+$BE$300),IF(95-$BD$1&gt;$BE$300,0,IFERROR(MATCH(95-$BD$1,$BE$1:$BE$300,0),0)),0)</f>
        <v>0</v>
      </c>
      <c r="AW228" s="2">
        <f>IF(96&lt;=$BB$200,IF(96&gt;$BB$200,0,IFERROR(MATCH(96,$BB$1:$BB$200,0),0)),0)</f>
        <v>0</v>
      </c>
      <c r="AX228" s="2">
        <f>IF(AND(96&gt;$BB$200,96&lt;=$BB$200+$BC$1000),IF(96-$BB$200&gt;$BC$1000,0,IFERROR(MATCH(96-$BB$200,$BC$1:$BC$1000,0),0)),0)</f>
        <v>0</v>
      </c>
      <c r="AZ228" s="2">
        <f>AZ200+SUM(CA201:CA228)</f>
        <v>29</v>
      </c>
      <c r="BC228" s="2">
        <f>BC200+SUM(CD201:CD228)</f>
        <v>0</v>
      </c>
      <c r="BD228" s="2">
        <f>IF(AND($C$130&lt;&gt;"",资金流水!$J$232=$C$130,ISNUMBER(资金流水!$B$232),ISNUMBER(资金流水!$S$232),资金流水!$S$232&gt;=_辅助!$J$4,资金流水!$S$232&lt;=_辅助!$J$2,OR(资金流水!$X$232="应付材料款",资金流水!$X$232="应付分包款",资金流水!$X$232="应付机械运输费",资金流水!$X$232="应付其他款")),INT(资金流水!$B$232)*10000+227,"")</f>
      </c>
      <c r="BE228" s="2">
        <f>BE200+SUM(CE201:CE228)</f>
        <v>0</v>
      </c>
      <c r="CA228" s="2">
        <f>IF(AND(OR(_余额!$B$230="材料供应商",_余额!$B$230="分包",_余额!$B$230="机械运输",_余额!$B$230="其他"),OR($C$3="全部",_余额!$B$230=$C$3),OR(_余额!$G$230&lt;&gt;0,_余额!$H$230&lt;&gt;0)),1,0)</f>
        <v>0</v>
      </c>
      <c r="CD228" s="2">
        <f>IF(($C$130&lt;&gt;"")*(应付登记!$D$232=$C$130)*ISNUMBER(应付登记!$J$232)*(应付登记!$J$232&gt;=_辅助!$J$4)*(应付登记!$J$232&lt;=_辅助!$J$2),1,0)</f>
        <v>0</v>
      </c>
      <c r="CE228" s="2">
        <f>IF(($C$130&lt;&gt;"")*(代发抵账!$E$232=$C$130)*(代发抵账!$D$232="总包代付材料分包款")*ISNUMBER(代发抵账!$H$232)*(代发抵账!$H$232&lt;=_辅助!$J$2),1,0)</f>
        <v>0</v>
      </c>
    </row>
    <row r="229">
      <c r="A229" s="94">
        <f>IF($AW229+$AX229=0,"",97)</f>
      </c>
      <c r="B229" s="95">
        <f t="shared" si="25"/>
      </c>
      <c r="C229" s="96">
        <f t="shared" si="27"/>
      </c>
      <c r="D229" s="96">
        <f t="shared" si="1"/>
      </c>
      <c r="E229" s="21">
        <f t="shared" si="4"/>
      </c>
      <c r="G229" s="94">
        <f>IF($AU229+$AV229=0,"",97)</f>
      </c>
      <c r="H229" s="95">
        <f t="shared" si="7"/>
      </c>
      <c r="I229" s="96">
        <f t="shared" si="9"/>
      </c>
      <c r="J229" s="96">
        <f t="shared" si="29"/>
      </c>
      <c r="K229" s="21">
        <f t="shared" si="11"/>
      </c>
      <c r="AU229" s="2">
        <f>IF(AND(96&gt;=1,96&lt;=$BD$1),IF(96&gt;$BD$1,0,MOD(SMALL($BD$2:$BD$2001,96),10000)),0)</f>
        <v>0</v>
      </c>
      <c r="AV229" s="2">
        <f>IF(AND(96&gt;$BD$1,96&lt;=$BD$1+$BE$300),IF(96-$BD$1&gt;$BE$300,0,IFERROR(MATCH(96-$BD$1,$BE$1:$BE$300,0),0)),0)</f>
        <v>0</v>
      </c>
      <c r="AW229" s="2">
        <f>IF(97&lt;=$BB$200,IF(97&gt;$BB$200,0,IFERROR(MATCH(97,$BB$1:$BB$200,0),0)),0)</f>
        <v>0</v>
      </c>
      <c r="AX229" s="2">
        <f>IF(AND(97&gt;$BB$200,97&lt;=$BB$200+$BC$1000),IF(97-$BB$200&gt;$BC$1000,0,IFERROR(MATCH(97-$BB$200,$BC$1:$BC$1000,0),0)),0)</f>
        <v>0</v>
      </c>
      <c r="AZ229" s="2">
        <f>AZ200+SUM(CA201:CA229)</f>
        <v>29</v>
      </c>
      <c r="BC229" s="2">
        <f>BC200+SUM(CD201:CD229)</f>
        <v>0</v>
      </c>
      <c r="BD229" s="2">
        <f>IF(AND($C$130&lt;&gt;"",资金流水!$J$233=$C$130,ISNUMBER(资金流水!$B$233),ISNUMBER(资金流水!$S$233),资金流水!$S$233&gt;=_辅助!$J$4,资金流水!$S$233&lt;=_辅助!$J$2,OR(资金流水!$X$233="应付材料款",资金流水!$X$233="应付分包款",资金流水!$X$233="应付机械运输费",资金流水!$X$233="应付其他款")),INT(资金流水!$B$233)*10000+228,"")</f>
      </c>
      <c r="BE229" s="2">
        <f>BE200+SUM(CE201:CE229)</f>
        <v>0</v>
      </c>
      <c r="CA229" s="2">
        <f>IF(AND(OR(_余额!$B$231="材料供应商",_余额!$B$231="分包",_余额!$B$231="机械运输",_余额!$B$231="其他"),OR($C$3="全部",_余额!$B$231=$C$3),OR(_余额!$G$231&lt;&gt;0,_余额!$H$231&lt;&gt;0)),1,0)</f>
        <v>0</v>
      </c>
      <c r="CD229" s="2">
        <f>IF(($C$130&lt;&gt;"")*(应付登记!$D$233=$C$130)*ISNUMBER(应付登记!$J$233)*(应付登记!$J$233&gt;=_辅助!$J$4)*(应付登记!$J$233&lt;=_辅助!$J$2),1,0)</f>
        <v>0</v>
      </c>
      <c r="CE229" s="2">
        <f>IF(($C$130&lt;&gt;"")*(代发抵账!$E$233=$C$130)*(代发抵账!$D$233="总包代付材料分包款")*ISNUMBER(代发抵账!$H$233)*(代发抵账!$H$233&lt;=_辅助!$J$2),1,0)</f>
        <v>0</v>
      </c>
    </row>
    <row r="230">
      <c r="A230" s="94">
        <f>IF($AW230+$AX230=0,"",98)</f>
      </c>
      <c r="B230" s="95">
        <f t="shared" si="25"/>
      </c>
      <c r="C230" s="96">
        <f t="shared" si="27"/>
      </c>
      <c r="D230" s="96">
        <f t="shared" si="1"/>
      </c>
      <c r="E230" s="21">
        <f t="shared" si="4"/>
      </c>
      <c r="G230" s="94">
        <f>IF($AU230+$AV230=0,"",98)</f>
      </c>
      <c r="H230" s="95">
        <f t="shared" si="7"/>
      </c>
      <c r="I230" s="96">
        <f t="shared" si="9"/>
      </c>
      <c r="J230" s="96">
        <f t="shared" si="29"/>
      </c>
      <c r="K230" s="21">
        <f t="shared" si="11"/>
      </c>
      <c r="AU230" s="2">
        <f>IF(AND(97&gt;=1,97&lt;=$BD$1),IF(97&gt;$BD$1,0,MOD(SMALL($BD$2:$BD$2001,97),10000)),0)</f>
        <v>0</v>
      </c>
      <c r="AV230" s="2">
        <f>IF(AND(97&gt;$BD$1,97&lt;=$BD$1+$BE$300),IF(97-$BD$1&gt;$BE$300,0,IFERROR(MATCH(97-$BD$1,$BE$1:$BE$300,0),0)),0)</f>
        <v>0</v>
      </c>
      <c r="AW230" s="2">
        <f>IF(98&lt;=$BB$200,IF(98&gt;$BB$200,0,IFERROR(MATCH(98,$BB$1:$BB$200,0),0)),0)</f>
        <v>0</v>
      </c>
      <c r="AX230" s="2">
        <f>IF(AND(98&gt;$BB$200,98&lt;=$BB$200+$BC$1000),IF(98-$BB$200&gt;$BC$1000,0,IFERROR(MATCH(98-$BB$200,$BC$1:$BC$1000,0),0)),0)</f>
        <v>0</v>
      </c>
      <c r="AZ230" s="2">
        <f>AZ200+SUM(CA201:CA230)</f>
        <v>29</v>
      </c>
      <c r="BC230" s="2">
        <f>BC200+SUM(CD201:CD230)</f>
        <v>0</v>
      </c>
      <c r="BD230" s="2">
        <f>IF(AND($C$130&lt;&gt;"",资金流水!$J$234=$C$130,ISNUMBER(资金流水!$B$234),ISNUMBER(资金流水!$S$234),资金流水!$S$234&gt;=_辅助!$J$4,资金流水!$S$234&lt;=_辅助!$J$2,OR(资金流水!$X$234="应付材料款",资金流水!$X$234="应付分包款",资金流水!$X$234="应付机械运输费",资金流水!$X$234="应付其他款")),INT(资金流水!$B$234)*10000+229,"")</f>
      </c>
      <c r="BE230" s="2">
        <f>BE200+SUM(CE201:CE230)</f>
        <v>0</v>
      </c>
      <c r="CA230" s="2">
        <f>IF(AND(OR(_余额!$B$232="材料供应商",_余额!$B$232="分包",_余额!$B$232="机械运输",_余额!$B$232="其他"),OR($C$3="全部",_余额!$B$232=$C$3),OR(_余额!$G$232&lt;&gt;0,_余额!$H$232&lt;&gt;0)),1,0)</f>
        <v>0</v>
      </c>
      <c r="CD230" s="2">
        <f>IF(($C$130&lt;&gt;"")*(应付登记!$D$234=$C$130)*ISNUMBER(应付登记!$J$234)*(应付登记!$J$234&gt;=_辅助!$J$4)*(应付登记!$J$234&lt;=_辅助!$J$2),1,0)</f>
        <v>0</v>
      </c>
      <c r="CE230" s="2">
        <f>IF(($C$130&lt;&gt;"")*(代发抵账!$E$234=$C$130)*(代发抵账!$D$234="总包代付材料分包款")*ISNUMBER(代发抵账!$H$234)*(代发抵账!$H$234&lt;=_辅助!$J$2),1,0)</f>
        <v>0</v>
      </c>
    </row>
    <row r="231">
      <c r="A231" s="94">
        <f>IF($AW231+$AX231=0,"",99)</f>
      </c>
      <c r="B231" s="95">
        <f t="shared" si="25"/>
      </c>
      <c r="C231" s="96">
        <f t="shared" si="27"/>
      </c>
      <c r="D231" s="96">
        <f t="shared" si="1"/>
      </c>
      <c r="E231" s="21">
        <f t="shared" si="4"/>
      </c>
      <c r="G231" s="94">
        <f>IF($AU231+$AV231=0,"",99)</f>
      </c>
      <c r="H231" s="95">
        <f t="shared" si="7"/>
      </c>
      <c r="I231" s="96">
        <f t="shared" si="9"/>
      </c>
      <c r="J231" s="96">
        <f t="shared" si="29"/>
      </c>
      <c r="K231" s="21">
        <f t="shared" si="11"/>
      </c>
      <c r="AU231" s="2">
        <f>IF(AND(98&gt;=1,98&lt;=$BD$1),IF(98&gt;$BD$1,0,MOD(SMALL($BD$2:$BD$2001,98),10000)),0)</f>
        <v>0</v>
      </c>
      <c r="AV231" s="2">
        <f>IF(AND(98&gt;$BD$1,98&lt;=$BD$1+$BE$300),IF(98-$BD$1&gt;$BE$300,0,IFERROR(MATCH(98-$BD$1,$BE$1:$BE$300,0),0)),0)</f>
        <v>0</v>
      </c>
      <c r="AW231" s="2">
        <f>IF(99&lt;=$BB$200,IF(99&gt;$BB$200,0,IFERROR(MATCH(99,$BB$1:$BB$200,0),0)),0)</f>
        <v>0</v>
      </c>
      <c r="AX231" s="2">
        <f>IF(AND(99&gt;$BB$200,99&lt;=$BB$200+$BC$1000),IF(99-$BB$200&gt;$BC$1000,0,IFERROR(MATCH(99-$BB$200,$BC$1:$BC$1000,0),0)),0)</f>
        <v>0</v>
      </c>
      <c r="AZ231" s="2">
        <f>AZ200+SUM(CA201:CA231)</f>
        <v>29</v>
      </c>
      <c r="BC231" s="2">
        <f>BC200+SUM(CD201:CD231)</f>
        <v>0</v>
      </c>
      <c r="BD231" s="2">
        <f>IF(AND($C$130&lt;&gt;"",资金流水!$J$235=$C$130,ISNUMBER(资金流水!$B$235),ISNUMBER(资金流水!$S$235),资金流水!$S$235&gt;=_辅助!$J$4,资金流水!$S$235&lt;=_辅助!$J$2,OR(资金流水!$X$235="应付材料款",资金流水!$X$235="应付分包款",资金流水!$X$235="应付机械运输费",资金流水!$X$235="应付其他款")),INT(资金流水!$B$235)*10000+230,"")</f>
      </c>
      <c r="BE231" s="2">
        <f>BE200+SUM(CE201:CE231)</f>
        <v>0</v>
      </c>
      <c r="CA231" s="2">
        <f>IF(AND(OR(_余额!$B$233="材料供应商",_余额!$B$233="分包",_余额!$B$233="机械运输",_余额!$B$233="其他"),OR($C$3="全部",_余额!$B$233=$C$3),OR(_余额!$G$233&lt;&gt;0,_余额!$H$233&lt;&gt;0)),1,0)</f>
        <v>0</v>
      </c>
      <c r="CD231" s="2">
        <f>IF(($C$130&lt;&gt;"")*(应付登记!$D$235=$C$130)*ISNUMBER(应付登记!$J$235)*(应付登记!$J$235&gt;=_辅助!$J$4)*(应付登记!$J$235&lt;=_辅助!$J$2),1,0)</f>
        <v>0</v>
      </c>
      <c r="CE231" s="2">
        <f>IF(($C$130&lt;&gt;"")*(代发抵账!$E$235=$C$130)*(代发抵账!$D$235="总包代付材料分包款")*ISNUMBER(代发抵账!$H$235)*(代发抵账!$H$235&lt;=_辅助!$J$2),1,0)</f>
        <v>0</v>
      </c>
    </row>
    <row r="232">
      <c r="A232" s="94">
        <f>IF($AW232+$AX232=0,"",100)</f>
      </c>
      <c r="B232" s="95">
        <f t="shared" si="25"/>
      </c>
      <c r="C232" s="96">
        <f t="shared" si="27"/>
      </c>
      <c r="D232" s="96">
        <f t="shared" si="1"/>
      </c>
      <c r="E232" s="21">
        <f t="shared" si="4"/>
      </c>
      <c r="G232" s="94">
        <f>IF($AU232+$AV232=0,"",100)</f>
      </c>
      <c r="H232" s="95">
        <f t="shared" si="7"/>
      </c>
      <c r="I232" s="96">
        <f t="shared" si="9"/>
      </c>
      <c r="J232" s="96">
        <f t="shared" si="29"/>
      </c>
      <c r="K232" s="21">
        <f t="shared" si="11"/>
      </c>
      <c r="AU232" s="2">
        <f>IF(AND(99&gt;=1,99&lt;=$BD$1),IF(99&gt;$BD$1,0,MOD(SMALL($BD$2:$BD$2001,99),10000)),0)</f>
        <v>0</v>
      </c>
      <c r="AV232" s="2">
        <f>IF(AND(99&gt;$BD$1,99&lt;=$BD$1+$BE$300),IF(99-$BD$1&gt;$BE$300,0,IFERROR(MATCH(99-$BD$1,$BE$1:$BE$300,0),0)),0)</f>
        <v>0</v>
      </c>
      <c r="AW232" s="2">
        <f>IF(100&lt;=$BB$200,IF(100&gt;$BB$200,0,IFERROR(MATCH(100,$BB$1:$BB$200,0),0)),0)</f>
        <v>0</v>
      </c>
      <c r="AX232" s="2">
        <f>IF(AND(100&gt;$BB$200,100&lt;=$BB$200+$BC$1000),IF(100-$BB$200&gt;$BC$1000,0,IFERROR(MATCH(100-$BB$200,$BC$1:$BC$1000,0),0)),0)</f>
        <v>0</v>
      </c>
      <c r="AZ232" s="2">
        <f>AZ200+SUM(CA201:CA232)</f>
        <v>29</v>
      </c>
      <c r="BC232" s="2">
        <f>BC200+SUM(CD201:CD232)</f>
        <v>0</v>
      </c>
      <c r="BD232" s="2">
        <f>IF(AND($C$130&lt;&gt;"",资金流水!$J$236=$C$130,ISNUMBER(资金流水!$B$236),ISNUMBER(资金流水!$S$236),资金流水!$S$236&gt;=_辅助!$J$4,资金流水!$S$236&lt;=_辅助!$J$2,OR(资金流水!$X$236="应付材料款",资金流水!$X$236="应付分包款",资金流水!$X$236="应付机械运输费",资金流水!$X$236="应付其他款")),INT(资金流水!$B$236)*10000+231,"")</f>
      </c>
      <c r="BE232" s="2">
        <f>BE200+SUM(CE201:CE232)</f>
        <v>0</v>
      </c>
      <c r="CA232" s="2">
        <f>IF(AND(OR(_余额!$B$234="材料供应商",_余额!$B$234="分包",_余额!$B$234="机械运输",_余额!$B$234="其他"),OR($C$3="全部",_余额!$B$234=$C$3),OR(_余额!$G$234&lt;&gt;0,_余额!$H$234&lt;&gt;0)),1,0)</f>
        <v>0</v>
      </c>
      <c r="CD232" s="2">
        <f>IF(($C$130&lt;&gt;"")*(应付登记!$D$236=$C$130)*ISNUMBER(应付登记!$J$236)*(应付登记!$J$236&gt;=_辅助!$J$4)*(应付登记!$J$236&lt;=_辅助!$J$2),1,0)</f>
        <v>0</v>
      </c>
      <c r="CE232" s="2">
        <f>IF(($C$130&lt;&gt;"")*(代发抵账!$E$236=$C$130)*(代发抵账!$D$236="总包代付材料分包款")*ISNUMBER(代发抵账!$H$236)*(代发抵账!$H$236&lt;=_辅助!$J$2),1,0)</f>
        <v>0</v>
      </c>
    </row>
    <row r="233">
      <c r="A233" s="94">
        <f>IF($AW233+$AX233=0,"",101)</f>
      </c>
      <c r="B233" s="95">
        <f t="shared" si="25"/>
      </c>
      <c r="C233" s="96">
        <f t="shared" si="27"/>
      </c>
      <c r="D233" s="96">
        <f t="shared" si="1"/>
      </c>
      <c r="E233" s="21">
        <f t="shared" si="4"/>
      </c>
      <c r="G233" s="94">
        <f>IF($AU233+$AV233=0,"",101)</f>
      </c>
      <c r="H233" s="95">
        <f t="shared" si="7"/>
      </c>
      <c r="I233" s="96">
        <f t="shared" si="9"/>
      </c>
      <c r="J233" s="96">
        <f t="shared" si="29"/>
      </c>
      <c r="K233" s="21">
        <f t="shared" si="11"/>
      </c>
      <c r="AU233" s="2">
        <f>IF(AND(100&gt;=1,100&lt;=$BD$1),IF(100&gt;$BD$1,0,MOD(SMALL($BD$2:$BD$2001,100),10000)),0)</f>
        <v>0</v>
      </c>
      <c r="AV233" s="2">
        <f>IF(AND(100&gt;$BD$1,100&lt;=$BD$1+$BE$300),IF(100-$BD$1&gt;$BE$300,0,IFERROR(MATCH(100-$BD$1,$BE$1:$BE$300,0),0)),0)</f>
        <v>0</v>
      </c>
      <c r="AW233" s="2">
        <f>IF(101&lt;=$BB$200,IF(101&gt;$BB$200,0,IFERROR(MATCH(101,$BB$1:$BB$200,0),0)),0)</f>
        <v>0</v>
      </c>
      <c r="AX233" s="2">
        <f>IF(AND(101&gt;$BB$200,101&lt;=$BB$200+$BC$1000),IF(101-$BB$200&gt;$BC$1000,0,IFERROR(MATCH(101-$BB$200,$BC$1:$BC$1000,0),0)),0)</f>
        <v>0</v>
      </c>
      <c r="AZ233" s="2">
        <f>AZ200+SUM(CA201:CA233)</f>
        <v>29</v>
      </c>
      <c r="BC233" s="2">
        <f>BC200+SUM(CD201:CD233)</f>
        <v>0</v>
      </c>
      <c r="BD233" s="2">
        <f>IF(AND($C$130&lt;&gt;"",资金流水!$J$237=$C$130,ISNUMBER(资金流水!$B$237),ISNUMBER(资金流水!$S$237),资金流水!$S$237&gt;=_辅助!$J$4,资金流水!$S$237&lt;=_辅助!$J$2,OR(资金流水!$X$237="应付材料款",资金流水!$X$237="应付分包款",资金流水!$X$237="应付机械运输费",资金流水!$X$237="应付其他款")),INT(资金流水!$B$237)*10000+232,"")</f>
      </c>
      <c r="BE233" s="2">
        <f>BE200+SUM(CE201:CE233)</f>
        <v>0</v>
      </c>
      <c r="CA233" s="2">
        <f>IF(AND(OR(_余额!$B$235="材料供应商",_余额!$B$235="分包",_余额!$B$235="机械运输",_余额!$B$235="其他"),OR($C$3="全部",_余额!$B$235=$C$3),OR(_余额!$G$235&lt;&gt;0,_余额!$H$235&lt;&gt;0)),1,0)</f>
        <v>0</v>
      </c>
      <c r="CD233" s="2">
        <f>IF(($C$130&lt;&gt;"")*(应付登记!$D$237=$C$130)*ISNUMBER(应付登记!$J$237)*(应付登记!$J$237&gt;=_辅助!$J$4)*(应付登记!$J$237&lt;=_辅助!$J$2),1,0)</f>
        <v>0</v>
      </c>
      <c r="CE233" s="2">
        <f>IF(($C$130&lt;&gt;"")*(代发抵账!$E$237=$C$130)*(代发抵账!$D$237="总包代付材料分包款")*ISNUMBER(代发抵账!$H$237)*(代发抵账!$H$237&lt;=_辅助!$J$2),1,0)</f>
        <v>0</v>
      </c>
    </row>
    <row r="234">
      <c r="A234" s="94">
        <f>IF($AW234+$AX234=0,"",102)</f>
      </c>
      <c r="B234" s="95">
        <f t="shared" si="25"/>
      </c>
      <c r="C234" s="96">
        <f t="shared" si="27"/>
      </c>
      <c r="D234" s="96">
        <f t="shared" si="1"/>
      </c>
      <c r="E234" s="21">
        <f t="shared" si="4"/>
      </c>
      <c r="G234" s="94">
        <f>IF($AU234+$AV234=0,"",102)</f>
      </c>
      <c r="H234" s="95">
        <f t="shared" si="7"/>
      </c>
      <c r="I234" s="96">
        <f t="shared" si="9"/>
      </c>
      <c r="J234" s="96">
        <f t="shared" si="29"/>
      </c>
      <c r="K234" s="21">
        <f t="shared" si="11"/>
      </c>
      <c r="AU234" s="2">
        <f>IF(AND(101&gt;=1,101&lt;=$BD$1),IF(101&gt;$BD$1,0,MOD(SMALL($BD$2:$BD$2001,101),10000)),0)</f>
        <v>0</v>
      </c>
      <c r="AV234" s="2">
        <f>IF(AND(101&gt;$BD$1,101&lt;=$BD$1+$BE$300),IF(101-$BD$1&gt;$BE$300,0,IFERROR(MATCH(101-$BD$1,$BE$1:$BE$300,0),0)),0)</f>
        <v>0</v>
      </c>
      <c r="AW234" s="2">
        <f>IF(102&lt;=$BB$200,IF(102&gt;$BB$200,0,IFERROR(MATCH(102,$BB$1:$BB$200,0),0)),0)</f>
        <v>0</v>
      </c>
      <c r="AX234" s="2">
        <f>IF(AND(102&gt;$BB$200,102&lt;=$BB$200+$BC$1000),IF(102-$BB$200&gt;$BC$1000,0,IFERROR(MATCH(102-$BB$200,$BC$1:$BC$1000,0),0)),0)</f>
        <v>0</v>
      </c>
      <c r="AZ234" s="2">
        <f>AZ200+SUM(CA201:CA234)</f>
        <v>29</v>
      </c>
      <c r="BC234" s="2">
        <f>BC200+SUM(CD201:CD234)</f>
        <v>0</v>
      </c>
      <c r="BD234" s="2">
        <f>IF(AND($C$130&lt;&gt;"",资金流水!$J$238=$C$130,ISNUMBER(资金流水!$B$238),ISNUMBER(资金流水!$S$238),资金流水!$S$238&gt;=_辅助!$J$4,资金流水!$S$238&lt;=_辅助!$J$2,OR(资金流水!$X$238="应付材料款",资金流水!$X$238="应付分包款",资金流水!$X$238="应付机械运输费",资金流水!$X$238="应付其他款")),INT(资金流水!$B$238)*10000+233,"")</f>
      </c>
      <c r="BE234" s="2">
        <f>BE200+SUM(CE201:CE234)</f>
        <v>0</v>
      </c>
      <c r="CA234" s="2">
        <f>IF(AND(OR(_余额!$B$236="材料供应商",_余额!$B$236="分包",_余额!$B$236="机械运输",_余额!$B$236="其他"),OR($C$3="全部",_余额!$B$236=$C$3),OR(_余额!$G$236&lt;&gt;0,_余额!$H$236&lt;&gt;0)),1,0)</f>
        <v>0</v>
      </c>
      <c r="CD234" s="2">
        <f>IF(($C$130&lt;&gt;"")*(应付登记!$D$238=$C$130)*ISNUMBER(应付登记!$J$238)*(应付登记!$J$238&gt;=_辅助!$J$4)*(应付登记!$J$238&lt;=_辅助!$J$2),1,0)</f>
        <v>0</v>
      </c>
      <c r="CE234" s="2">
        <f>IF(($C$130&lt;&gt;"")*(代发抵账!$E$238=$C$130)*(代发抵账!$D$238="总包代付材料分包款")*ISNUMBER(代发抵账!$H$238)*(代发抵账!$H$238&lt;=_辅助!$J$2),1,0)</f>
        <v>0</v>
      </c>
    </row>
    <row r="235">
      <c r="A235" s="94">
        <f>IF($AW235+$AX235=0,"",103)</f>
      </c>
      <c r="B235" s="95">
        <f t="shared" si="25"/>
      </c>
      <c r="C235" s="96">
        <f t="shared" si="27"/>
      </c>
      <c r="D235" s="96">
        <f t="shared" si="1"/>
      </c>
      <c r="E235" s="21">
        <f t="shared" si="4"/>
      </c>
      <c r="G235" s="94">
        <f>IF($AU235+$AV235=0,"",103)</f>
      </c>
      <c r="H235" s="95">
        <f t="shared" si="7"/>
      </c>
      <c r="I235" s="96">
        <f t="shared" si="9"/>
      </c>
      <c r="J235" s="96">
        <f t="shared" si="29"/>
      </c>
      <c r="K235" s="21">
        <f t="shared" si="11"/>
      </c>
      <c r="AU235" s="2">
        <f>IF(AND(102&gt;=1,102&lt;=$BD$1),IF(102&gt;$BD$1,0,MOD(SMALL($BD$2:$BD$2001,102),10000)),0)</f>
        <v>0</v>
      </c>
      <c r="AV235" s="2">
        <f>IF(AND(102&gt;$BD$1,102&lt;=$BD$1+$BE$300),IF(102-$BD$1&gt;$BE$300,0,IFERROR(MATCH(102-$BD$1,$BE$1:$BE$300,0),0)),0)</f>
        <v>0</v>
      </c>
      <c r="AW235" s="2">
        <f>IF(103&lt;=$BB$200,IF(103&gt;$BB$200,0,IFERROR(MATCH(103,$BB$1:$BB$200,0),0)),0)</f>
        <v>0</v>
      </c>
      <c r="AX235" s="2">
        <f>IF(AND(103&gt;$BB$200,103&lt;=$BB$200+$BC$1000),IF(103-$BB$200&gt;$BC$1000,0,IFERROR(MATCH(103-$BB$200,$BC$1:$BC$1000,0),0)),0)</f>
        <v>0</v>
      </c>
      <c r="AZ235" s="2">
        <f>AZ200+SUM(CA201:CA235)</f>
        <v>29</v>
      </c>
      <c r="BC235" s="2">
        <f>BC200+SUM(CD201:CD235)</f>
        <v>0</v>
      </c>
      <c r="BD235" s="2">
        <f>IF(AND($C$130&lt;&gt;"",资金流水!$J$239=$C$130,ISNUMBER(资金流水!$B$239),ISNUMBER(资金流水!$S$239),资金流水!$S$239&gt;=_辅助!$J$4,资金流水!$S$239&lt;=_辅助!$J$2,OR(资金流水!$X$239="应付材料款",资金流水!$X$239="应付分包款",资金流水!$X$239="应付机械运输费",资金流水!$X$239="应付其他款")),INT(资金流水!$B$239)*10000+234,"")</f>
      </c>
      <c r="BE235" s="2">
        <f>BE200+SUM(CE201:CE235)</f>
        <v>0</v>
      </c>
      <c r="CA235" s="2">
        <f>IF(AND(OR(_余额!$B$237="材料供应商",_余额!$B$237="分包",_余额!$B$237="机械运输",_余额!$B$237="其他"),OR($C$3="全部",_余额!$B$237=$C$3),OR(_余额!$G$237&lt;&gt;0,_余额!$H$237&lt;&gt;0)),1,0)</f>
        <v>0</v>
      </c>
      <c r="CD235" s="2">
        <f>IF(($C$130&lt;&gt;"")*(应付登记!$D$239=$C$130)*ISNUMBER(应付登记!$J$239)*(应付登记!$J$239&gt;=_辅助!$J$4)*(应付登记!$J$239&lt;=_辅助!$J$2),1,0)</f>
        <v>0</v>
      </c>
      <c r="CE235" s="2">
        <f>IF(($C$130&lt;&gt;"")*(代发抵账!$E$239=$C$130)*(代发抵账!$D$239="总包代付材料分包款")*ISNUMBER(代发抵账!$H$239)*(代发抵账!$H$239&lt;=_辅助!$J$2),1,0)</f>
        <v>0</v>
      </c>
    </row>
    <row r="236">
      <c r="A236" s="94">
        <f>IF($AW236+$AX236=0,"",104)</f>
      </c>
      <c r="B236" s="95">
        <f t="shared" si="25"/>
      </c>
      <c r="C236" s="96">
        <f t="shared" si="27"/>
      </c>
      <c r="D236" s="96">
        <f t="shared" si="1"/>
      </c>
      <c r="E236" s="21">
        <f t="shared" si="4"/>
      </c>
      <c r="G236" s="94">
        <f>IF($AU236+$AV236=0,"",104)</f>
      </c>
      <c r="H236" s="95">
        <f t="shared" si="7"/>
      </c>
      <c r="I236" s="96">
        <f t="shared" si="9"/>
      </c>
      <c r="J236" s="96">
        <f t="shared" si="29"/>
      </c>
      <c r="K236" s="21">
        <f t="shared" si="11"/>
      </c>
      <c r="AU236" s="2">
        <f>IF(AND(103&gt;=1,103&lt;=$BD$1),IF(103&gt;$BD$1,0,MOD(SMALL($BD$2:$BD$2001,103),10000)),0)</f>
        <v>0</v>
      </c>
      <c r="AV236" s="2">
        <f>IF(AND(103&gt;$BD$1,103&lt;=$BD$1+$BE$300),IF(103-$BD$1&gt;$BE$300,0,IFERROR(MATCH(103-$BD$1,$BE$1:$BE$300,0),0)),0)</f>
        <v>0</v>
      </c>
      <c r="AW236" s="2">
        <f>IF(104&lt;=$BB$200,IF(104&gt;$BB$200,0,IFERROR(MATCH(104,$BB$1:$BB$200,0),0)),0)</f>
        <v>0</v>
      </c>
      <c r="AX236" s="2">
        <f>IF(AND(104&gt;$BB$200,104&lt;=$BB$200+$BC$1000),IF(104-$BB$200&gt;$BC$1000,0,IFERROR(MATCH(104-$BB$200,$BC$1:$BC$1000,0),0)),0)</f>
        <v>0</v>
      </c>
      <c r="AZ236" s="2">
        <f>AZ200+SUM(CA201:CA236)</f>
        <v>29</v>
      </c>
      <c r="BC236" s="2">
        <f>BC200+SUM(CD201:CD236)</f>
        <v>0</v>
      </c>
      <c r="BD236" s="2">
        <f>IF(AND($C$130&lt;&gt;"",资金流水!$J$240=$C$130,ISNUMBER(资金流水!$B$240),ISNUMBER(资金流水!$S$240),资金流水!$S$240&gt;=_辅助!$J$4,资金流水!$S$240&lt;=_辅助!$J$2,OR(资金流水!$X$240="应付材料款",资金流水!$X$240="应付分包款",资金流水!$X$240="应付机械运输费",资金流水!$X$240="应付其他款")),INT(资金流水!$B$240)*10000+235,"")</f>
      </c>
      <c r="BE236" s="2">
        <f>BE200+SUM(CE201:CE236)</f>
        <v>0</v>
      </c>
      <c r="CA236" s="2">
        <f>IF(AND(OR(_余额!$B$238="材料供应商",_余额!$B$238="分包",_余额!$B$238="机械运输",_余额!$B$238="其他"),OR($C$3="全部",_余额!$B$238=$C$3),OR(_余额!$G$238&lt;&gt;0,_余额!$H$238&lt;&gt;0)),1,0)</f>
        <v>0</v>
      </c>
      <c r="CD236" s="2">
        <f>IF(($C$130&lt;&gt;"")*(应付登记!$D$240=$C$130)*ISNUMBER(应付登记!$J$240)*(应付登记!$J$240&gt;=_辅助!$J$4)*(应付登记!$J$240&lt;=_辅助!$J$2),1,0)</f>
        <v>0</v>
      </c>
      <c r="CE236" s="2">
        <f>IF(($C$130&lt;&gt;"")*(代发抵账!$E$240=$C$130)*(代发抵账!$D$240="总包代付材料分包款")*ISNUMBER(代发抵账!$H$240)*(代发抵账!$H$240&lt;=_辅助!$J$2),1,0)</f>
        <v>0</v>
      </c>
    </row>
    <row r="237">
      <c r="A237" s="94">
        <f>IF($AW237+$AX237=0,"",105)</f>
      </c>
      <c r="B237" s="95">
        <f t="shared" si="25"/>
      </c>
      <c r="C237" s="96">
        <f t="shared" si="27"/>
      </c>
      <c r="D237" s="96">
        <f t="shared" si="1"/>
      </c>
      <c r="E237" s="21">
        <f t="shared" si="4"/>
      </c>
      <c r="G237" s="94">
        <f>IF($AU237+$AV237=0,"",105)</f>
      </c>
      <c r="H237" s="95">
        <f t="shared" si="7"/>
      </c>
      <c r="I237" s="96">
        <f t="shared" si="9"/>
      </c>
      <c r="J237" s="96">
        <f t="shared" si="29"/>
      </c>
      <c r="K237" s="21">
        <f t="shared" si="11"/>
      </c>
      <c r="AU237" s="2">
        <f>IF(AND(104&gt;=1,104&lt;=$BD$1),IF(104&gt;$BD$1,0,MOD(SMALL($BD$2:$BD$2001,104),10000)),0)</f>
        <v>0</v>
      </c>
      <c r="AV237" s="2">
        <f>IF(AND(104&gt;$BD$1,104&lt;=$BD$1+$BE$300),IF(104-$BD$1&gt;$BE$300,0,IFERROR(MATCH(104-$BD$1,$BE$1:$BE$300,0),0)),0)</f>
        <v>0</v>
      </c>
      <c r="AW237" s="2">
        <f>IF(105&lt;=$BB$200,IF(105&gt;$BB$200,0,IFERROR(MATCH(105,$BB$1:$BB$200,0),0)),0)</f>
        <v>0</v>
      </c>
      <c r="AX237" s="2">
        <f>IF(AND(105&gt;$BB$200,105&lt;=$BB$200+$BC$1000),IF(105-$BB$200&gt;$BC$1000,0,IFERROR(MATCH(105-$BB$200,$BC$1:$BC$1000,0),0)),0)</f>
        <v>0</v>
      </c>
      <c r="AZ237" s="2">
        <f>AZ200+SUM(CA201:CA237)</f>
        <v>29</v>
      </c>
      <c r="BC237" s="2">
        <f>BC200+SUM(CD201:CD237)</f>
        <v>0</v>
      </c>
      <c r="BD237" s="2">
        <f>IF(AND($C$130&lt;&gt;"",资金流水!$J$241=$C$130,ISNUMBER(资金流水!$B$241),ISNUMBER(资金流水!$S$241),资金流水!$S$241&gt;=_辅助!$J$4,资金流水!$S$241&lt;=_辅助!$J$2,OR(资金流水!$X$241="应付材料款",资金流水!$X$241="应付分包款",资金流水!$X$241="应付机械运输费",资金流水!$X$241="应付其他款")),INT(资金流水!$B$241)*10000+236,"")</f>
      </c>
      <c r="BE237" s="2">
        <f>BE200+SUM(CE201:CE237)</f>
        <v>0</v>
      </c>
      <c r="CA237" s="2">
        <f>IF(AND(OR(_余额!$B$239="材料供应商",_余额!$B$239="分包",_余额!$B$239="机械运输",_余额!$B$239="其他"),OR($C$3="全部",_余额!$B$239=$C$3),OR(_余额!$G$239&lt;&gt;0,_余额!$H$239&lt;&gt;0)),1,0)</f>
        <v>0</v>
      </c>
      <c r="CD237" s="2">
        <f>IF(($C$130&lt;&gt;"")*(应付登记!$D$241=$C$130)*ISNUMBER(应付登记!$J$241)*(应付登记!$J$241&gt;=_辅助!$J$4)*(应付登记!$J$241&lt;=_辅助!$J$2),1,0)</f>
        <v>0</v>
      </c>
      <c r="CE237" s="2">
        <f>IF(($C$130&lt;&gt;"")*(代发抵账!$E$241=$C$130)*(代发抵账!$D$241="总包代付材料分包款")*ISNUMBER(代发抵账!$H$241)*(代发抵账!$H$241&lt;=_辅助!$J$2),1,0)</f>
        <v>0</v>
      </c>
    </row>
    <row r="238">
      <c r="A238" s="94">
        <f>IF($AW238+$AX238=0,"",106)</f>
      </c>
      <c r="B238" s="95">
        <f t="shared" si="25"/>
      </c>
      <c r="C238" s="96">
        <f t="shared" si="27"/>
      </c>
      <c r="D238" s="96">
        <f t="shared" si="1"/>
      </c>
      <c r="E238" s="21">
        <f t="shared" si="4"/>
      </c>
      <c r="G238" s="94">
        <f>IF($AU238+$AV238=0,"",106)</f>
      </c>
      <c r="H238" s="95">
        <f t="shared" si="7"/>
      </c>
      <c r="I238" s="96">
        <f t="shared" si="9"/>
      </c>
      <c r="J238" s="96">
        <f t="shared" si="29"/>
      </c>
      <c r="K238" s="21">
        <f t="shared" si="11"/>
      </c>
      <c r="AU238" s="2">
        <f>IF(AND(105&gt;=1,105&lt;=$BD$1),IF(105&gt;$BD$1,0,MOD(SMALL($BD$2:$BD$2001,105),10000)),0)</f>
        <v>0</v>
      </c>
      <c r="AV238" s="2">
        <f>IF(AND(105&gt;$BD$1,105&lt;=$BD$1+$BE$300),IF(105-$BD$1&gt;$BE$300,0,IFERROR(MATCH(105-$BD$1,$BE$1:$BE$300,0),0)),0)</f>
        <v>0</v>
      </c>
      <c r="AW238" s="2">
        <f>IF(106&lt;=$BB$200,IF(106&gt;$BB$200,0,IFERROR(MATCH(106,$BB$1:$BB$200,0),0)),0)</f>
        <v>0</v>
      </c>
      <c r="AX238" s="2">
        <f>IF(AND(106&gt;$BB$200,106&lt;=$BB$200+$BC$1000),IF(106-$BB$200&gt;$BC$1000,0,IFERROR(MATCH(106-$BB$200,$BC$1:$BC$1000,0),0)),0)</f>
        <v>0</v>
      </c>
      <c r="AZ238" s="2">
        <f>AZ200+SUM(CA201:CA238)</f>
        <v>29</v>
      </c>
      <c r="BC238" s="2">
        <f>BC200+SUM(CD201:CD238)</f>
        <v>0</v>
      </c>
      <c r="BD238" s="2">
        <f>IF(AND($C$130&lt;&gt;"",资金流水!$J$242=$C$130,ISNUMBER(资金流水!$B$242),ISNUMBER(资金流水!$S$242),资金流水!$S$242&gt;=_辅助!$J$4,资金流水!$S$242&lt;=_辅助!$J$2,OR(资金流水!$X$242="应付材料款",资金流水!$X$242="应付分包款",资金流水!$X$242="应付机械运输费",资金流水!$X$242="应付其他款")),INT(资金流水!$B$242)*10000+237,"")</f>
      </c>
      <c r="BE238" s="2">
        <f>BE200+SUM(CE201:CE238)</f>
        <v>0</v>
      </c>
      <c r="CA238" s="2">
        <f>IF(AND(OR(_余额!$B$240="材料供应商",_余额!$B$240="分包",_余额!$B$240="机械运输",_余额!$B$240="其他"),OR($C$3="全部",_余额!$B$240=$C$3),OR(_余额!$G$240&lt;&gt;0,_余额!$H$240&lt;&gt;0)),1,0)</f>
        <v>0</v>
      </c>
      <c r="CD238" s="2">
        <f>IF(($C$130&lt;&gt;"")*(应付登记!$D$242=$C$130)*ISNUMBER(应付登记!$J$242)*(应付登记!$J$242&gt;=_辅助!$J$4)*(应付登记!$J$242&lt;=_辅助!$J$2),1,0)</f>
        <v>0</v>
      </c>
      <c r="CE238" s="2">
        <f>IF(($C$130&lt;&gt;"")*(代发抵账!$E$242=$C$130)*(代发抵账!$D$242="总包代付材料分包款")*ISNUMBER(代发抵账!$H$242)*(代发抵账!$H$242&lt;=_辅助!$J$2),1,0)</f>
        <v>0</v>
      </c>
    </row>
    <row r="239">
      <c r="A239" s="94">
        <f>IF($AW239+$AX239=0,"",107)</f>
      </c>
      <c r="B239" s="95">
        <f t="shared" si="25"/>
      </c>
      <c r="C239" s="96">
        <f t="shared" si="27"/>
      </c>
      <c r="D239" s="96">
        <f t="shared" si="1"/>
      </c>
      <c r="E239" s="21">
        <f t="shared" si="4"/>
      </c>
      <c r="G239" s="94">
        <f>IF($AU239+$AV239=0,"",107)</f>
      </c>
      <c r="H239" s="95">
        <f t="shared" si="7"/>
      </c>
      <c r="I239" s="96">
        <f t="shared" si="9"/>
      </c>
      <c r="J239" s="96">
        <f t="shared" si="29"/>
      </c>
      <c r="K239" s="21">
        <f t="shared" si="11"/>
      </c>
      <c r="AU239" s="2">
        <f>IF(AND(106&gt;=1,106&lt;=$BD$1),IF(106&gt;$BD$1,0,MOD(SMALL($BD$2:$BD$2001,106),10000)),0)</f>
        <v>0</v>
      </c>
      <c r="AV239" s="2">
        <f>IF(AND(106&gt;$BD$1,106&lt;=$BD$1+$BE$300),IF(106-$BD$1&gt;$BE$300,0,IFERROR(MATCH(106-$BD$1,$BE$1:$BE$300,0),0)),0)</f>
        <v>0</v>
      </c>
      <c r="AW239" s="2">
        <f>IF(107&lt;=$BB$200,IF(107&gt;$BB$200,0,IFERROR(MATCH(107,$BB$1:$BB$200,0),0)),0)</f>
        <v>0</v>
      </c>
      <c r="AX239" s="2">
        <f>IF(AND(107&gt;$BB$200,107&lt;=$BB$200+$BC$1000),IF(107-$BB$200&gt;$BC$1000,0,IFERROR(MATCH(107-$BB$200,$BC$1:$BC$1000,0),0)),0)</f>
        <v>0</v>
      </c>
      <c r="AZ239" s="2">
        <f>AZ200+SUM(CA201:CA239)</f>
        <v>29</v>
      </c>
      <c r="BC239" s="2">
        <f>BC200+SUM(CD201:CD239)</f>
        <v>0</v>
      </c>
      <c r="BD239" s="2">
        <f>IF(AND($C$130&lt;&gt;"",资金流水!$J$243=$C$130,ISNUMBER(资金流水!$B$243),ISNUMBER(资金流水!$S$243),资金流水!$S$243&gt;=_辅助!$J$4,资金流水!$S$243&lt;=_辅助!$J$2,OR(资金流水!$X$243="应付材料款",资金流水!$X$243="应付分包款",资金流水!$X$243="应付机械运输费",资金流水!$X$243="应付其他款")),INT(资金流水!$B$243)*10000+238,"")</f>
      </c>
      <c r="BE239" s="2">
        <f>BE200+SUM(CE201:CE239)</f>
        <v>0</v>
      </c>
      <c r="CA239" s="2">
        <f>IF(AND(OR(_余额!$B$241="材料供应商",_余额!$B$241="分包",_余额!$B$241="机械运输",_余额!$B$241="其他"),OR($C$3="全部",_余额!$B$241=$C$3),OR(_余额!$G$241&lt;&gt;0,_余额!$H$241&lt;&gt;0)),1,0)</f>
        <v>0</v>
      </c>
      <c r="CD239" s="2">
        <f>IF(($C$130&lt;&gt;"")*(应付登记!$D$243=$C$130)*ISNUMBER(应付登记!$J$243)*(应付登记!$J$243&gt;=_辅助!$J$4)*(应付登记!$J$243&lt;=_辅助!$J$2),1,0)</f>
        <v>0</v>
      </c>
      <c r="CE239" s="2">
        <f>IF(($C$130&lt;&gt;"")*(代发抵账!$E$243=$C$130)*(代发抵账!$D$243="总包代付材料分包款")*ISNUMBER(代发抵账!$H$243)*(代发抵账!$H$243&lt;=_辅助!$J$2),1,0)</f>
        <v>0</v>
      </c>
    </row>
    <row r="240">
      <c r="A240" s="94">
        <f>IF($AW240+$AX240=0,"",108)</f>
      </c>
      <c r="B240" s="95">
        <f t="shared" si="25"/>
      </c>
      <c r="C240" s="96">
        <f t="shared" si="27"/>
      </c>
      <c r="D240" s="96">
        <f t="shared" si="1"/>
      </c>
      <c r="E240" s="21">
        <f t="shared" si="4"/>
      </c>
      <c r="G240" s="94">
        <f>IF($AU240+$AV240=0,"",108)</f>
      </c>
      <c r="H240" s="95">
        <f t="shared" si="7"/>
      </c>
      <c r="I240" s="96">
        <f t="shared" si="9"/>
      </c>
      <c r="J240" s="96">
        <f t="shared" si="29"/>
      </c>
      <c r="K240" s="21">
        <f t="shared" si="11"/>
      </c>
      <c r="AU240" s="2">
        <f>IF(AND(107&gt;=1,107&lt;=$BD$1),IF(107&gt;$BD$1,0,MOD(SMALL($BD$2:$BD$2001,107),10000)),0)</f>
        <v>0</v>
      </c>
      <c r="AV240" s="2">
        <f>IF(AND(107&gt;$BD$1,107&lt;=$BD$1+$BE$300),IF(107-$BD$1&gt;$BE$300,0,IFERROR(MATCH(107-$BD$1,$BE$1:$BE$300,0),0)),0)</f>
        <v>0</v>
      </c>
      <c r="AW240" s="2">
        <f>IF(108&lt;=$BB$200,IF(108&gt;$BB$200,0,IFERROR(MATCH(108,$BB$1:$BB$200,0),0)),0)</f>
        <v>0</v>
      </c>
      <c r="AX240" s="2">
        <f>IF(AND(108&gt;$BB$200,108&lt;=$BB$200+$BC$1000),IF(108-$BB$200&gt;$BC$1000,0,IFERROR(MATCH(108-$BB$200,$BC$1:$BC$1000,0),0)),0)</f>
        <v>0</v>
      </c>
      <c r="AZ240" s="2">
        <f>AZ200+SUM(CA201:CA240)</f>
        <v>29</v>
      </c>
      <c r="BC240" s="2">
        <f>BC200+SUM(CD201:CD240)</f>
        <v>0</v>
      </c>
      <c r="BD240" s="2">
        <f>IF(AND($C$130&lt;&gt;"",资金流水!$J$244=$C$130,ISNUMBER(资金流水!$B$244),ISNUMBER(资金流水!$S$244),资金流水!$S$244&gt;=_辅助!$J$4,资金流水!$S$244&lt;=_辅助!$J$2,OR(资金流水!$X$244="应付材料款",资金流水!$X$244="应付分包款",资金流水!$X$244="应付机械运输费",资金流水!$X$244="应付其他款")),INT(资金流水!$B$244)*10000+239,"")</f>
      </c>
      <c r="BE240" s="2">
        <f>BE200+SUM(CE201:CE240)</f>
        <v>0</v>
      </c>
      <c r="CA240" s="2">
        <f>IF(AND(OR(_余额!$B$242="材料供应商",_余额!$B$242="分包",_余额!$B$242="机械运输",_余额!$B$242="其他"),OR($C$3="全部",_余额!$B$242=$C$3),OR(_余额!$G$242&lt;&gt;0,_余额!$H$242&lt;&gt;0)),1,0)</f>
        <v>0</v>
      </c>
      <c r="CD240" s="2">
        <f>IF(($C$130&lt;&gt;"")*(应付登记!$D$244=$C$130)*ISNUMBER(应付登记!$J$244)*(应付登记!$J$244&gt;=_辅助!$J$4)*(应付登记!$J$244&lt;=_辅助!$J$2),1,0)</f>
        <v>0</v>
      </c>
      <c r="CE240" s="2">
        <f>IF(($C$130&lt;&gt;"")*(代发抵账!$E$244=$C$130)*(代发抵账!$D$244="总包代付材料分包款")*ISNUMBER(代发抵账!$H$244)*(代发抵账!$H$244&lt;=_辅助!$J$2),1,0)</f>
        <v>0</v>
      </c>
    </row>
    <row r="241">
      <c r="A241" s="94">
        <f>IF($AW241+$AX241=0,"",109)</f>
      </c>
      <c r="B241" s="95">
        <f t="shared" si="25"/>
      </c>
      <c r="C241" s="96">
        <f t="shared" si="27"/>
      </c>
      <c r="D241" s="96">
        <f t="shared" si="1"/>
      </c>
      <c r="E241" s="21">
        <f t="shared" si="4"/>
      </c>
      <c r="G241" s="94">
        <f>IF($AU241+$AV241=0,"",109)</f>
      </c>
      <c r="H241" s="95">
        <f t="shared" si="7"/>
      </c>
      <c r="I241" s="96">
        <f t="shared" si="9"/>
      </c>
      <c r="J241" s="96">
        <f t="shared" si="29"/>
      </c>
      <c r="K241" s="21">
        <f t="shared" si="11"/>
      </c>
      <c r="AU241" s="2">
        <f>IF(AND(108&gt;=1,108&lt;=$BD$1),IF(108&gt;$BD$1,0,MOD(SMALL($BD$2:$BD$2001,108),10000)),0)</f>
        <v>0</v>
      </c>
      <c r="AV241" s="2">
        <f>IF(AND(108&gt;$BD$1,108&lt;=$BD$1+$BE$300),IF(108-$BD$1&gt;$BE$300,0,IFERROR(MATCH(108-$BD$1,$BE$1:$BE$300,0),0)),0)</f>
        <v>0</v>
      </c>
      <c r="AW241" s="2">
        <f>IF(109&lt;=$BB$200,IF(109&gt;$BB$200,0,IFERROR(MATCH(109,$BB$1:$BB$200,0),0)),0)</f>
        <v>0</v>
      </c>
      <c r="AX241" s="2">
        <f>IF(AND(109&gt;$BB$200,109&lt;=$BB$200+$BC$1000),IF(109-$BB$200&gt;$BC$1000,0,IFERROR(MATCH(109-$BB$200,$BC$1:$BC$1000,0),0)),0)</f>
        <v>0</v>
      </c>
      <c r="AZ241" s="2">
        <f>AZ200+SUM(CA201:CA241)</f>
        <v>29</v>
      </c>
      <c r="BC241" s="2">
        <f>BC200+SUM(CD201:CD241)</f>
        <v>0</v>
      </c>
      <c r="BD241" s="2">
        <f>IF(AND($C$130&lt;&gt;"",资金流水!$J$245=$C$130,ISNUMBER(资金流水!$B$245),ISNUMBER(资金流水!$S$245),资金流水!$S$245&gt;=_辅助!$J$4,资金流水!$S$245&lt;=_辅助!$J$2,OR(资金流水!$X$245="应付材料款",资金流水!$X$245="应付分包款",资金流水!$X$245="应付机械运输费",资金流水!$X$245="应付其他款")),INT(资金流水!$B$245)*10000+240,"")</f>
      </c>
      <c r="BE241" s="2">
        <f>BE200+SUM(CE201:CE241)</f>
        <v>0</v>
      </c>
      <c r="CA241" s="2">
        <f>IF(AND(OR(_余额!$B$243="材料供应商",_余额!$B$243="分包",_余额!$B$243="机械运输",_余额!$B$243="其他"),OR($C$3="全部",_余额!$B$243=$C$3),OR(_余额!$G$243&lt;&gt;0,_余额!$H$243&lt;&gt;0)),1,0)</f>
        <v>0</v>
      </c>
      <c r="CD241" s="2">
        <f>IF(($C$130&lt;&gt;"")*(应付登记!$D$245=$C$130)*ISNUMBER(应付登记!$J$245)*(应付登记!$J$245&gt;=_辅助!$J$4)*(应付登记!$J$245&lt;=_辅助!$J$2),1,0)</f>
        <v>0</v>
      </c>
      <c r="CE241" s="2">
        <f>IF(($C$130&lt;&gt;"")*(代发抵账!$E$245=$C$130)*(代发抵账!$D$245="总包代付材料分包款")*ISNUMBER(代发抵账!$H$245)*(代发抵账!$H$245&lt;=_辅助!$J$2),1,0)</f>
        <v>0</v>
      </c>
    </row>
    <row r="242">
      <c r="A242" s="94">
        <f>IF($AW242+$AX242=0,"",110)</f>
      </c>
      <c r="B242" s="95">
        <f t="shared" si="25"/>
      </c>
      <c r="C242" s="96">
        <f t="shared" si="27"/>
      </c>
      <c r="D242" s="96">
        <f t="shared" si="1"/>
      </c>
      <c r="E242" s="21">
        <f t="shared" si="4"/>
      </c>
      <c r="G242" s="94">
        <f>IF($AU242+$AV242=0,"",110)</f>
      </c>
      <c r="H242" s="95">
        <f t="shared" si="7"/>
      </c>
      <c r="I242" s="96">
        <f t="shared" si="9"/>
      </c>
      <c r="J242" s="96">
        <f t="shared" si="29"/>
      </c>
      <c r="K242" s="21">
        <f t="shared" si="11"/>
      </c>
      <c r="AU242" s="2">
        <f>IF(AND(109&gt;=1,109&lt;=$BD$1),IF(109&gt;$BD$1,0,MOD(SMALL($BD$2:$BD$2001,109),10000)),0)</f>
        <v>0</v>
      </c>
      <c r="AV242" s="2">
        <f>IF(AND(109&gt;$BD$1,109&lt;=$BD$1+$BE$300),IF(109-$BD$1&gt;$BE$300,0,IFERROR(MATCH(109-$BD$1,$BE$1:$BE$300,0),0)),0)</f>
        <v>0</v>
      </c>
      <c r="AW242" s="2">
        <f>IF(110&lt;=$BB$200,IF(110&gt;$BB$200,0,IFERROR(MATCH(110,$BB$1:$BB$200,0),0)),0)</f>
        <v>0</v>
      </c>
      <c r="AX242" s="2">
        <f>IF(AND(110&gt;$BB$200,110&lt;=$BB$200+$BC$1000),IF(110-$BB$200&gt;$BC$1000,0,IFERROR(MATCH(110-$BB$200,$BC$1:$BC$1000,0),0)),0)</f>
        <v>0</v>
      </c>
      <c r="AZ242" s="2">
        <f>AZ200+SUM(CA201:CA242)</f>
        <v>29</v>
      </c>
      <c r="BC242" s="2">
        <f>BC200+SUM(CD201:CD242)</f>
        <v>0</v>
      </c>
      <c r="BD242" s="2">
        <f>IF(AND($C$130&lt;&gt;"",资金流水!$J$246=$C$130,ISNUMBER(资金流水!$B$246),ISNUMBER(资金流水!$S$246),资金流水!$S$246&gt;=_辅助!$J$4,资金流水!$S$246&lt;=_辅助!$J$2,OR(资金流水!$X$246="应付材料款",资金流水!$X$246="应付分包款",资金流水!$X$246="应付机械运输费",资金流水!$X$246="应付其他款")),INT(资金流水!$B$246)*10000+241,"")</f>
      </c>
      <c r="BE242" s="2">
        <f>BE200+SUM(CE201:CE242)</f>
        <v>0</v>
      </c>
      <c r="CA242" s="2">
        <f>IF(AND(OR(_余额!$B$244="材料供应商",_余额!$B$244="分包",_余额!$B$244="机械运输",_余额!$B$244="其他"),OR($C$3="全部",_余额!$B$244=$C$3),OR(_余额!$G$244&lt;&gt;0,_余额!$H$244&lt;&gt;0)),1,0)</f>
        <v>0</v>
      </c>
      <c r="CD242" s="2">
        <f>IF(($C$130&lt;&gt;"")*(应付登记!$D$246=$C$130)*ISNUMBER(应付登记!$J$246)*(应付登记!$J$246&gt;=_辅助!$J$4)*(应付登记!$J$246&lt;=_辅助!$J$2),1,0)</f>
        <v>0</v>
      </c>
      <c r="CE242" s="2">
        <f>IF(($C$130&lt;&gt;"")*(代发抵账!$E$246=$C$130)*(代发抵账!$D$246="总包代付材料分包款")*ISNUMBER(代发抵账!$H$246)*(代发抵账!$H$246&lt;=_辅助!$J$2),1,0)</f>
        <v>0</v>
      </c>
    </row>
    <row r="243">
      <c r="A243" s="94">
        <f>IF($AW243+$AX243=0,"",111)</f>
      </c>
      <c r="B243" s="95">
        <f t="shared" si="25"/>
      </c>
      <c r="C243" s="96">
        <f t="shared" si="27"/>
      </c>
      <c r="D243" s="96">
        <f t="shared" si="1"/>
      </c>
      <c r="E243" s="21">
        <f t="shared" si="4"/>
      </c>
      <c r="G243" s="94">
        <f>IF($AU243+$AV243=0,"",111)</f>
      </c>
      <c r="H243" s="95">
        <f t="shared" si="7"/>
      </c>
      <c r="I243" s="96">
        <f t="shared" si="9"/>
      </c>
      <c r="J243" s="96">
        <f t="shared" si="29"/>
      </c>
      <c r="K243" s="21">
        <f t="shared" si="11"/>
      </c>
      <c r="AU243" s="2">
        <f>IF(AND(110&gt;=1,110&lt;=$BD$1),IF(110&gt;$BD$1,0,MOD(SMALL($BD$2:$BD$2001,110),10000)),0)</f>
        <v>0</v>
      </c>
      <c r="AV243" s="2">
        <f>IF(AND(110&gt;$BD$1,110&lt;=$BD$1+$BE$300),IF(110-$BD$1&gt;$BE$300,0,IFERROR(MATCH(110-$BD$1,$BE$1:$BE$300,0),0)),0)</f>
        <v>0</v>
      </c>
      <c r="AW243" s="2">
        <f>IF(111&lt;=$BB$200,IF(111&gt;$BB$200,0,IFERROR(MATCH(111,$BB$1:$BB$200,0),0)),0)</f>
        <v>0</v>
      </c>
      <c r="AX243" s="2">
        <f>IF(AND(111&gt;$BB$200,111&lt;=$BB$200+$BC$1000),IF(111-$BB$200&gt;$BC$1000,0,IFERROR(MATCH(111-$BB$200,$BC$1:$BC$1000,0),0)),0)</f>
        <v>0</v>
      </c>
      <c r="AZ243" s="2">
        <f>AZ200+SUM(CA201:CA243)</f>
        <v>29</v>
      </c>
      <c r="BC243" s="2">
        <f>BC200+SUM(CD201:CD243)</f>
        <v>0</v>
      </c>
      <c r="BD243" s="2">
        <f>IF(AND($C$130&lt;&gt;"",资金流水!$J$247=$C$130,ISNUMBER(资金流水!$B$247),ISNUMBER(资金流水!$S$247),资金流水!$S$247&gt;=_辅助!$J$4,资金流水!$S$247&lt;=_辅助!$J$2,OR(资金流水!$X$247="应付材料款",资金流水!$X$247="应付分包款",资金流水!$X$247="应付机械运输费",资金流水!$X$247="应付其他款")),INT(资金流水!$B$247)*10000+242,"")</f>
      </c>
      <c r="BE243" s="2">
        <f>BE200+SUM(CE201:CE243)</f>
        <v>0</v>
      </c>
      <c r="CA243" s="2">
        <f>IF(AND(OR(_余额!$B$245="材料供应商",_余额!$B$245="分包",_余额!$B$245="机械运输",_余额!$B$245="其他"),OR($C$3="全部",_余额!$B$245=$C$3),OR(_余额!$G$245&lt;&gt;0,_余额!$H$245&lt;&gt;0)),1,0)</f>
        <v>0</v>
      </c>
      <c r="CD243" s="2">
        <f>IF(($C$130&lt;&gt;"")*(应付登记!$D$247=$C$130)*ISNUMBER(应付登记!$J$247)*(应付登记!$J$247&gt;=_辅助!$J$4)*(应付登记!$J$247&lt;=_辅助!$J$2),1,0)</f>
        <v>0</v>
      </c>
      <c r="CE243" s="2">
        <f>IF(($C$130&lt;&gt;"")*(代发抵账!$E$247=$C$130)*(代发抵账!$D$247="总包代付材料分包款")*ISNUMBER(代发抵账!$H$247)*(代发抵账!$H$247&lt;=_辅助!$J$2),1,0)</f>
        <v>0</v>
      </c>
    </row>
    <row r="244">
      <c r="A244" s="94">
        <f>IF($AW244+$AX244=0,"",112)</f>
      </c>
      <c r="B244" s="95">
        <f t="shared" si="25"/>
      </c>
      <c r="C244" s="96">
        <f t="shared" si="27"/>
      </c>
      <c r="D244" s="96">
        <f t="shared" si="1"/>
      </c>
      <c r="E244" s="21">
        <f t="shared" si="4"/>
      </c>
      <c r="G244" s="94">
        <f>IF($AU244+$AV244=0,"",112)</f>
      </c>
      <c r="H244" s="95">
        <f t="shared" si="7"/>
      </c>
      <c r="I244" s="96">
        <f t="shared" si="9"/>
      </c>
      <c r="J244" s="96">
        <f t="shared" si="29"/>
      </c>
      <c r="K244" s="21">
        <f t="shared" si="11"/>
      </c>
      <c r="AU244" s="2">
        <f>IF(AND(111&gt;=1,111&lt;=$BD$1),IF(111&gt;$BD$1,0,MOD(SMALL($BD$2:$BD$2001,111),10000)),0)</f>
        <v>0</v>
      </c>
      <c r="AV244" s="2">
        <f>IF(AND(111&gt;$BD$1,111&lt;=$BD$1+$BE$300),IF(111-$BD$1&gt;$BE$300,0,IFERROR(MATCH(111-$BD$1,$BE$1:$BE$300,0),0)),0)</f>
        <v>0</v>
      </c>
      <c r="AW244" s="2">
        <f>IF(112&lt;=$BB$200,IF(112&gt;$BB$200,0,IFERROR(MATCH(112,$BB$1:$BB$200,0),0)),0)</f>
        <v>0</v>
      </c>
      <c r="AX244" s="2">
        <f>IF(AND(112&gt;$BB$200,112&lt;=$BB$200+$BC$1000),IF(112-$BB$200&gt;$BC$1000,0,IFERROR(MATCH(112-$BB$200,$BC$1:$BC$1000,0),0)),0)</f>
        <v>0</v>
      </c>
      <c r="AZ244" s="2">
        <f>AZ200+SUM(CA201:CA244)</f>
        <v>29</v>
      </c>
      <c r="BC244" s="2">
        <f>BC200+SUM(CD201:CD244)</f>
        <v>0</v>
      </c>
      <c r="BD244" s="2">
        <f>IF(AND($C$130&lt;&gt;"",资金流水!$J$248=$C$130,ISNUMBER(资金流水!$B$248),ISNUMBER(资金流水!$S$248),资金流水!$S$248&gt;=_辅助!$J$4,资金流水!$S$248&lt;=_辅助!$J$2,OR(资金流水!$X$248="应付材料款",资金流水!$X$248="应付分包款",资金流水!$X$248="应付机械运输费",资金流水!$X$248="应付其他款")),INT(资金流水!$B$248)*10000+243,"")</f>
      </c>
      <c r="BE244" s="2">
        <f>BE200+SUM(CE201:CE244)</f>
        <v>0</v>
      </c>
      <c r="CA244" s="2">
        <f>IF(AND(OR(_余额!$B$246="材料供应商",_余额!$B$246="分包",_余额!$B$246="机械运输",_余额!$B$246="其他"),OR($C$3="全部",_余额!$B$246=$C$3),OR(_余额!$G$246&lt;&gt;0,_余额!$H$246&lt;&gt;0)),1,0)</f>
        <v>0</v>
      </c>
      <c r="CD244" s="2">
        <f>IF(($C$130&lt;&gt;"")*(应付登记!$D$248=$C$130)*ISNUMBER(应付登记!$J$248)*(应付登记!$J$248&gt;=_辅助!$J$4)*(应付登记!$J$248&lt;=_辅助!$J$2),1,0)</f>
        <v>0</v>
      </c>
      <c r="CE244" s="2">
        <f>IF(($C$130&lt;&gt;"")*(代发抵账!$E$248=$C$130)*(代发抵账!$D$248="总包代付材料分包款")*ISNUMBER(代发抵账!$H$248)*(代发抵账!$H$248&lt;=_辅助!$J$2),1,0)</f>
        <v>0</v>
      </c>
    </row>
    <row r="245">
      <c r="A245" s="94">
        <f>IF($AW245+$AX245=0,"",113)</f>
      </c>
      <c r="B245" s="95">
        <f t="shared" si="25"/>
      </c>
      <c r="C245" s="96">
        <f t="shared" si="27"/>
      </c>
      <c r="D245" s="96">
        <f t="shared" si="1"/>
      </c>
      <c r="E245" s="21">
        <f t="shared" si="4"/>
      </c>
      <c r="G245" s="94">
        <f>IF($AU245+$AV245=0,"",113)</f>
      </c>
      <c r="H245" s="95">
        <f t="shared" si="7"/>
      </c>
      <c r="I245" s="96">
        <f t="shared" si="9"/>
      </c>
      <c r="J245" s="96">
        <f t="shared" si="29"/>
      </c>
      <c r="K245" s="21">
        <f t="shared" si="11"/>
      </c>
      <c r="AU245" s="2">
        <f>IF(AND(112&gt;=1,112&lt;=$BD$1),IF(112&gt;$BD$1,0,MOD(SMALL($BD$2:$BD$2001,112),10000)),0)</f>
        <v>0</v>
      </c>
      <c r="AV245" s="2">
        <f>IF(AND(112&gt;$BD$1,112&lt;=$BD$1+$BE$300),IF(112-$BD$1&gt;$BE$300,0,IFERROR(MATCH(112-$BD$1,$BE$1:$BE$300,0),0)),0)</f>
        <v>0</v>
      </c>
      <c r="AW245" s="2">
        <f>IF(113&lt;=$BB$200,IF(113&gt;$BB$200,0,IFERROR(MATCH(113,$BB$1:$BB$200,0),0)),0)</f>
        <v>0</v>
      </c>
      <c r="AX245" s="2">
        <f>IF(AND(113&gt;$BB$200,113&lt;=$BB$200+$BC$1000),IF(113-$BB$200&gt;$BC$1000,0,IFERROR(MATCH(113-$BB$200,$BC$1:$BC$1000,0),0)),0)</f>
        <v>0</v>
      </c>
      <c r="AZ245" s="2">
        <f>AZ200+SUM(CA201:CA245)</f>
        <v>29</v>
      </c>
      <c r="BC245" s="2">
        <f>BC200+SUM(CD201:CD245)</f>
        <v>0</v>
      </c>
      <c r="BD245" s="2">
        <f>IF(AND($C$130&lt;&gt;"",资金流水!$J$249=$C$130,ISNUMBER(资金流水!$B$249),ISNUMBER(资金流水!$S$249),资金流水!$S$249&gt;=_辅助!$J$4,资金流水!$S$249&lt;=_辅助!$J$2,OR(资金流水!$X$249="应付材料款",资金流水!$X$249="应付分包款",资金流水!$X$249="应付机械运输费",资金流水!$X$249="应付其他款")),INT(资金流水!$B$249)*10000+244,"")</f>
      </c>
      <c r="BE245" s="2">
        <f>BE200+SUM(CE201:CE245)</f>
        <v>0</v>
      </c>
      <c r="CA245" s="2">
        <f>IF(AND(OR(_余额!$B$247="材料供应商",_余额!$B$247="分包",_余额!$B$247="机械运输",_余额!$B$247="其他"),OR($C$3="全部",_余额!$B$247=$C$3),OR(_余额!$G$247&lt;&gt;0,_余额!$H$247&lt;&gt;0)),1,0)</f>
        <v>0</v>
      </c>
      <c r="CD245" s="2">
        <f>IF(($C$130&lt;&gt;"")*(应付登记!$D$249=$C$130)*ISNUMBER(应付登记!$J$249)*(应付登记!$J$249&gt;=_辅助!$J$4)*(应付登记!$J$249&lt;=_辅助!$J$2),1,0)</f>
        <v>0</v>
      </c>
      <c r="CE245" s="2">
        <f>IF(($C$130&lt;&gt;"")*(代发抵账!$E$249=$C$130)*(代发抵账!$D$249="总包代付材料分包款")*ISNUMBER(代发抵账!$H$249)*(代发抵账!$H$249&lt;=_辅助!$J$2),1,0)</f>
        <v>0</v>
      </c>
    </row>
    <row r="246">
      <c r="A246" s="94">
        <f>IF($AW246+$AX246=0,"",114)</f>
      </c>
      <c r="B246" s="95">
        <f t="shared" si="25"/>
      </c>
      <c r="C246" s="96">
        <f t="shared" si="27"/>
      </c>
      <c r="D246" s="96">
        <f t="shared" si="1"/>
      </c>
      <c r="E246" s="21">
        <f t="shared" si="4"/>
      </c>
      <c r="G246" s="94">
        <f>IF($AU246+$AV246=0,"",114)</f>
      </c>
      <c r="H246" s="95">
        <f t="shared" si="7"/>
      </c>
      <c r="I246" s="96">
        <f t="shared" si="9"/>
      </c>
      <c r="J246" s="96">
        <f t="shared" si="29"/>
      </c>
      <c r="K246" s="21">
        <f t="shared" si="11"/>
      </c>
      <c r="AU246" s="2">
        <f>IF(AND(113&gt;=1,113&lt;=$BD$1),IF(113&gt;$BD$1,0,MOD(SMALL($BD$2:$BD$2001,113),10000)),0)</f>
        <v>0</v>
      </c>
      <c r="AV246" s="2">
        <f>IF(AND(113&gt;$BD$1,113&lt;=$BD$1+$BE$300),IF(113-$BD$1&gt;$BE$300,0,IFERROR(MATCH(113-$BD$1,$BE$1:$BE$300,0),0)),0)</f>
        <v>0</v>
      </c>
      <c r="AW246" s="2">
        <f>IF(114&lt;=$BB$200,IF(114&gt;$BB$200,0,IFERROR(MATCH(114,$BB$1:$BB$200,0),0)),0)</f>
        <v>0</v>
      </c>
      <c r="AX246" s="2">
        <f>IF(AND(114&gt;$BB$200,114&lt;=$BB$200+$BC$1000),IF(114-$BB$200&gt;$BC$1000,0,IFERROR(MATCH(114-$BB$200,$BC$1:$BC$1000,0),0)),0)</f>
        <v>0</v>
      </c>
      <c r="AZ246" s="2">
        <f>AZ200+SUM(CA201:CA246)</f>
        <v>29</v>
      </c>
      <c r="BC246" s="2">
        <f>BC200+SUM(CD201:CD246)</f>
        <v>0</v>
      </c>
      <c r="BD246" s="2">
        <f>IF(AND($C$130&lt;&gt;"",资金流水!$J$250=$C$130,ISNUMBER(资金流水!$B$250),ISNUMBER(资金流水!$S$250),资金流水!$S$250&gt;=_辅助!$J$4,资金流水!$S$250&lt;=_辅助!$J$2,OR(资金流水!$X$250="应付材料款",资金流水!$X$250="应付分包款",资金流水!$X$250="应付机械运输费",资金流水!$X$250="应付其他款")),INT(资金流水!$B$250)*10000+245,"")</f>
      </c>
      <c r="BE246" s="2">
        <f>BE200+SUM(CE201:CE246)</f>
        <v>0</v>
      </c>
      <c r="CA246" s="2">
        <f>IF(AND(OR(_余额!$B$248="材料供应商",_余额!$B$248="分包",_余额!$B$248="机械运输",_余额!$B$248="其他"),OR($C$3="全部",_余额!$B$248=$C$3),OR(_余额!$G$248&lt;&gt;0,_余额!$H$248&lt;&gt;0)),1,0)</f>
        <v>0</v>
      </c>
      <c r="CD246" s="2">
        <f>IF(($C$130&lt;&gt;"")*(应付登记!$D$250=$C$130)*ISNUMBER(应付登记!$J$250)*(应付登记!$J$250&gt;=_辅助!$J$4)*(应付登记!$J$250&lt;=_辅助!$J$2),1,0)</f>
        <v>0</v>
      </c>
      <c r="CE246" s="2">
        <f>IF(($C$130&lt;&gt;"")*(代发抵账!$E$250=$C$130)*(代发抵账!$D$250="总包代付材料分包款")*ISNUMBER(代发抵账!$H$250)*(代发抵账!$H$250&lt;=_辅助!$J$2),1,0)</f>
        <v>0</v>
      </c>
    </row>
    <row r="247">
      <c r="A247" s="94">
        <f>IF($AW247+$AX247=0,"",115)</f>
      </c>
      <c r="B247" s="95">
        <f t="shared" si="25"/>
      </c>
      <c r="C247" s="96">
        <f t="shared" si="27"/>
      </c>
      <c r="D247" s="96">
        <f t="shared" si="1"/>
      </c>
      <c r="E247" s="21">
        <f t="shared" si="4"/>
      </c>
      <c r="G247" s="94">
        <f>IF($AU247+$AV247=0,"",115)</f>
      </c>
      <c r="H247" s="95">
        <f t="shared" si="7"/>
      </c>
      <c r="I247" s="96">
        <f t="shared" si="9"/>
      </c>
      <c r="J247" s="96">
        <f t="shared" si="29"/>
      </c>
      <c r="K247" s="21">
        <f t="shared" si="11"/>
      </c>
      <c r="AU247" s="2">
        <f>IF(AND(114&gt;=1,114&lt;=$BD$1),IF(114&gt;$BD$1,0,MOD(SMALL($BD$2:$BD$2001,114),10000)),0)</f>
        <v>0</v>
      </c>
      <c r="AV247" s="2">
        <f>IF(AND(114&gt;$BD$1,114&lt;=$BD$1+$BE$300),IF(114-$BD$1&gt;$BE$300,0,IFERROR(MATCH(114-$BD$1,$BE$1:$BE$300,0),0)),0)</f>
        <v>0</v>
      </c>
      <c r="AW247" s="2">
        <f>IF(115&lt;=$BB$200,IF(115&gt;$BB$200,0,IFERROR(MATCH(115,$BB$1:$BB$200,0),0)),0)</f>
        <v>0</v>
      </c>
      <c r="AX247" s="2">
        <f>IF(AND(115&gt;$BB$200,115&lt;=$BB$200+$BC$1000),IF(115-$BB$200&gt;$BC$1000,0,IFERROR(MATCH(115-$BB$200,$BC$1:$BC$1000,0),0)),0)</f>
        <v>0</v>
      </c>
      <c r="AZ247" s="2">
        <f>AZ200+SUM(CA201:CA247)</f>
        <v>29</v>
      </c>
      <c r="BC247" s="2">
        <f>BC200+SUM(CD201:CD247)</f>
        <v>0</v>
      </c>
      <c r="BD247" s="2">
        <f>IF(AND($C$130&lt;&gt;"",资金流水!$J$251=$C$130,ISNUMBER(资金流水!$B$251),ISNUMBER(资金流水!$S$251),资金流水!$S$251&gt;=_辅助!$J$4,资金流水!$S$251&lt;=_辅助!$J$2,OR(资金流水!$X$251="应付材料款",资金流水!$X$251="应付分包款",资金流水!$X$251="应付机械运输费",资金流水!$X$251="应付其他款")),INT(资金流水!$B$251)*10000+246,"")</f>
      </c>
      <c r="BE247" s="2">
        <f>BE200+SUM(CE201:CE247)</f>
        <v>0</v>
      </c>
      <c r="CA247" s="2">
        <f>IF(AND(OR(_余额!$B$249="材料供应商",_余额!$B$249="分包",_余额!$B$249="机械运输",_余额!$B$249="其他"),OR($C$3="全部",_余额!$B$249=$C$3),OR(_余额!$G$249&lt;&gt;0,_余额!$H$249&lt;&gt;0)),1,0)</f>
        <v>0</v>
      </c>
      <c r="CD247" s="2">
        <f>IF(($C$130&lt;&gt;"")*(应付登记!$D$251=$C$130)*ISNUMBER(应付登记!$J$251)*(应付登记!$J$251&gt;=_辅助!$J$4)*(应付登记!$J$251&lt;=_辅助!$J$2),1,0)</f>
        <v>0</v>
      </c>
      <c r="CE247" s="2">
        <f>IF(($C$130&lt;&gt;"")*(代发抵账!$E$251=$C$130)*(代发抵账!$D$251="总包代付材料分包款")*ISNUMBER(代发抵账!$H$251)*(代发抵账!$H$251&lt;=_辅助!$J$2),1,0)</f>
        <v>0</v>
      </c>
    </row>
    <row r="248">
      <c r="A248" s="94">
        <f>IF($AW248+$AX248=0,"",116)</f>
      </c>
      <c r="B248" s="95">
        <f t="shared" si="25"/>
      </c>
      <c r="C248" s="96">
        <f t="shared" si="27"/>
      </c>
      <c r="D248" s="96">
        <f t="shared" si="1"/>
      </c>
      <c r="E248" s="21">
        <f t="shared" si="4"/>
      </c>
      <c r="G248" s="94">
        <f>IF($AU248+$AV248=0,"",116)</f>
      </c>
      <c r="H248" s="95">
        <f t="shared" si="7"/>
      </c>
      <c r="I248" s="96">
        <f t="shared" si="9"/>
      </c>
      <c r="J248" s="96">
        <f t="shared" si="29"/>
      </c>
      <c r="K248" s="21">
        <f t="shared" si="11"/>
      </c>
      <c r="AU248" s="2">
        <f>IF(AND(115&gt;=1,115&lt;=$BD$1),IF(115&gt;$BD$1,0,MOD(SMALL($BD$2:$BD$2001,115),10000)),0)</f>
        <v>0</v>
      </c>
      <c r="AV248" s="2">
        <f>IF(AND(115&gt;$BD$1,115&lt;=$BD$1+$BE$300),IF(115-$BD$1&gt;$BE$300,0,IFERROR(MATCH(115-$BD$1,$BE$1:$BE$300,0),0)),0)</f>
        <v>0</v>
      </c>
      <c r="AW248" s="2">
        <f>IF(116&lt;=$BB$200,IF(116&gt;$BB$200,0,IFERROR(MATCH(116,$BB$1:$BB$200,0),0)),0)</f>
        <v>0</v>
      </c>
      <c r="AX248" s="2">
        <f>IF(AND(116&gt;$BB$200,116&lt;=$BB$200+$BC$1000),IF(116-$BB$200&gt;$BC$1000,0,IFERROR(MATCH(116-$BB$200,$BC$1:$BC$1000,0),0)),0)</f>
        <v>0</v>
      </c>
      <c r="AZ248" s="2">
        <f>AZ200+SUM(CA201:CA248)</f>
        <v>29</v>
      </c>
      <c r="BC248" s="2">
        <f>BC200+SUM(CD201:CD248)</f>
        <v>0</v>
      </c>
      <c r="BD248" s="2">
        <f>IF(AND($C$130&lt;&gt;"",资金流水!$J$252=$C$130,ISNUMBER(资金流水!$B$252),ISNUMBER(资金流水!$S$252),资金流水!$S$252&gt;=_辅助!$J$4,资金流水!$S$252&lt;=_辅助!$J$2,OR(资金流水!$X$252="应付材料款",资金流水!$X$252="应付分包款",资金流水!$X$252="应付机械运输费",资金流水!$X$252="应付其他款")),INT(资金流水!$B$252)*10000+247,"")</f>
      </c>
      <c r="BE248" s="2">
        <f>BE200+SUM(CE201:CE248)</f>
        <v>0</v>
      </c>
      <c r="CA248" s="2">
        <f>IF(AND(OR(_余额!$B$250="材料供应商",_余额!$B$250="分包",_余额!$B$250="机械运输",_余额!$B$250="其他"),OR($C$3="全部",_余额!$B$250=$C$3),OR(_余额!$G$250&lt;&gt;0,_余额!$H$250&lt;&gt;0)),1,0)</f>
        <v>0</v>
      </c>
      <c r="CD248" s="2">
        <f>IF(($C$130&lt;&gt;"")*(应付登记!$D$252=$C$130)*ISNUMBER(应付登记!$J$252)*(应付登记!$J$252&gt;=_辅助!$J$4)*(应付登记!$J$252&lt;=_辅助!$J$2),1,0)</f>
        <v>0</v>
      </c>
      <c r="CE248" s="2">
        <f>IF(($C$130&lt;&gt;"")*(代发抵账!$E$252=$C$130)*(代发抵账!$D$252="总包代付材料分包款")*ISNUMBER(代发抵账!$H$252)*(代发抵账!$H$252&lt;=_辅助!$J$2),1,0)</f>
        <v>0</v>
      </c>
    </row>
    <row r="249">
      <c r="A249" s="94">
        <f>IF($AW249+$AX249=0,"",117)</f>
      </c>
      <c r="B249" s="95">
        <f t="shared" si="25"/>
      </c>
      <c r="C249" s="96">
        <f t="shared" si="27"/>
      </c>
      <c r="D249" s="96">
        <f t="shared" si="1"/>
      </c>
      <c r="E249" s="21">
        <f t="shared" si="4"/>
      </c>
      <c r="G249" s="94">
        <f>IF($AU249+$AV249=0,"",117)</f>
      </c>
      <c r="H249" s="95">
        <f t="shared" si="7"/>
      </c>
      <c r="I249" s="96">
        <f t="shared" si="9"/>
      </c>
      <c r="J249" s="96">
        <f t="shared" si="29"/>
      </c>
      <c r="K249" s="21">
        <f t="shared" si="11"/>
      </c>
      <c r="AU249" s="2">
        <f>IF(AND(116&gt;=1,116&lt;=$BD$1),IF(116&gt;$BD$1,0,MOD(SMALL($BD$2:$BD$2001,116),10000)),0)</f>
        <v>0</v>
      </c>
      <c r="AV249" s="2">
        <f>IF(AND(116&gt;$BD$1,116&lt;=$BD$1+$BE$300),IF(116-$BD$1&gt;$BE$300,0,IFERROR(MATCH(116-$BD$1,$BE$1:$BE$300,0),0)),0)</f>
        <v>0</v>
      </c>
      <c r="AW249" s="2">
        <f>IF(117&lt;=$BB$200,IF(117&gt;$BB$200,0,IFERROR(MATCH(117,$BB$1:$BB$200,0),0)),0)</f>
        <v>0</v>
      </c>
      <c r="AX249" s="2">
        <f>IF(AND(117&gt;$BB$200,117&lt;=$BB$200+$BC$1000),IF(117-$BB$200&gt;$BC$1000,0,IFERROR(MATCH(117-$BB$200,$BC$1:$BC$1000,0),0)),0)</f>
        <v>0</v>
      </c>
      <c r="AZ249" s="2">
        <f>AZ200+SUM(CA201:CA249)</f>
        <v>29</v>
      </c>
      <c r="BC249" s="2">
        <f>BC200+SUM(CD201:CD249)</f>
        <v>0</v>
      </c>
      <c r="BD249" s="2">
        <f>IF(AND($C$130&lt;&gt;"",资金流水!$J$253=$C$130,ISNUMBER(资金流水!$B$253),ISNUMBER(资金流水!$S$253),资金流水!$S$253&gt;=_辅助!$J$4,资金流水!$S$253&lt;=_辅助!$J$2,OR(资金流水!$X$253="应付材料款",资金流水!$X$253="应付分包款",资金流水!$X$253="应付机械运输费",资金流水!$X$253="应付其他款")),INT(资金流水!$B$253)*10000+248,"")</f>
      </c>
      <c r="BE249" s="2">
        <f>BE200+SUM(CE201:CE249)</f>
        <v>0</v>
      </c>
      <c r="CA249" s="2">
        <f>IF(AND(OR(_余额!$B$251="材料供应商",_余额!$B$251="分包",_余额!$B$251="机械运输",_余额!$B$251="其他"),OR($C$3="全部",_余额!$B$251=$C$3),OR(_余额!$G$251&lt;&gt;0,_余额!$H$251&lt;&gt;0)),1,0)</f>
        <v>0</v>
      </c>
      <c r="CD249" s="2">
        <f>IF(($C$130&lt;&gt;"")*(应付登记!$D$253=$C$130)*ISNUMBER(应付登记!$J$253)*(应付登记!$J$253&gt;=_辅助!$J$4)*(应付登记!$J$253&lt;=_辅助!$J$2),1,0)</f>
        <v>0</v>
      </c>
      <c r="CE249" s="2">
        <f>IF(($C$130&lt;&gt;"")*(代发抵账!$E$253=$C$130)*(代发抵账!$D$253="总包代付材料分包款")*ISNUMBER(代发抵账!$H$253)*(代发抵账!$H$253&lt;=_辅助!$J$2),1,0)</f>
        <v>0</v>
      </c>
    </row>
    <row r="250">
      <c r="A250" s="94">
        <f>IF($AW250+$AX250=0,"",118)</f>
      </c>
      <c r="B250" s="95">
        <f t="shared" si="25"/>
      </c>
      <c r="C250" s="96">
        <f t="shared" si="27"/>
      </c>
      <c r="D250" s="96">
        <f t="shared" si="1"/>
      </c>
      <c r="E250" s="21">
        <f t="shared" si="4"/>
      </c>
      <c r="G250" s="94">
        <f>IF($AU250+$AV250=0,"",118)</f>
      </c>
      <c r="H250" s="95">
        <f t="shared" si="7"/>
      </c>
      <c r="I250" s="96">
        <f t="shared" si="9"/>
      </c>
      <c r="J250" s="96">
        <f t="shared" si="29"/>
      </c>
      <c r="K250" s="21">
        <f t="shared" si="11"/>
      </c>
      <c r="AU250" s="2">
        <f>IF(AND(117&gt;=1,117&lt;=$BD$1),IF(117&gt;$BD$1,0,MOD(SMALL($BD$2:$BD$2001,117),10000)),0)</f>
        <v>0</v>
      </c>
      <c r="AV250" s="2">
        <f>IF(AND(117&gt;$BD$1,117&lt;=$BD$1+$BE$300),IF(117-$BD$1&gt;$BE$300,0,IFERROR(MATCH(117-$BD$1,$BE$1:$BE$300,0),0)),0)</f>
        <v>0</v>
      </c>
      <c r="AW250" s="2">
        <f>IF(118&lt;=$BB$200,IF(118&gt;$BB$200,0,IFERROR(MATCH(118,$BB$1:$BB$200,0),0)),0)</f>
        <v>0</v>
      </c>
      <c r="AX250" s="2">
        <f>IF(AND(118&gt;$BB$200,118&lt;=$BB$200+$BC$1000),IF(118-$BB$200&gt;$BC$1000,0,IFERROR(MATCH(118-$BB$200,$BC$1:$BC$1000,0),0)),0)</f>
        <v>0</v>
      </c>
      <c r="AZ250" s="2">
        <f>AZ200+SUM(CA201:CA250)</f>
        <v>29</v>
      </c>
      <c r="BC250" s="2">
        <f>BC200+SUM(CD201:CD250)</f>
        <v>0</v>
      </c>
      <c r="BD250" s="2">
        <f>IF(AND($C$130&lt;&gt;"",资金流水!$J$254=$C$130,ISNUMBER(资金流水!$B$254),ISNUMBER(资金流水!$S$254),资金流水!$S$254&gt;=_辅助!$J$4,资金流水!$S$254&lt;=_辅助!$J$2,OR(资金流水!$X$254="应付材料款",资金流水!$X$254="应付分包款",资金流水!$X$254="应付机械运输费",资金流水!$X$254="应付其他款")),INT(资金流水!$B$254)*10000+249,"")</f>
      </c>
      <c r="BE250" s="2">
        <f>BE200+SUM(CE201:CE250)</f>
        <v>0</v>
      </c>
      <c r="CA250" s="2">
        <f>IF(AND(OR(_余额!$B$252="材料供应商",_余额!$B$252="分包",_余额!$B$252="机械运输",_余额!$B$252="其他"),OR($C$3="全部",_余额!$B$252=$C$3),OR(_余额!$G$252&lt;&gt;0,_余额!$H$252&lt;&gt;0)),1,0)</f>
        <v>0</v>
      </c>
      <c r="CD250" s="2">
        <f>IF(($C$130&lt;&gt;"")*(应付登记!$D$254=$C$130)*ISNUMBER(应付登记!$J$254)*(应付登记!$J$254&gt;=_辅助!$J$4)*(应付登记!$J$254&lt;=_辅助!$J$2),1,0)</f>
        <v>0</v>
      </c>
      <c r="CE250" s="2">
        <f>IF(($C$130&lt;&gt;"")*(代发抵账!$E$254=$C$130)*(代发抵账!$D$254="总包代付材料分包款")*ISNUMBER(代发抵账!$H$254)*(代发抵账!$H$254&lt;=_辅助!$J$2),1,0)</f>
        <v>0</v>
      </c>
    </row>
    <row r="251">
      <c r="A251" s="94">
        <f>IF($AW251+$AX251=0,"",119)</f>
      </c>
      <c r="B251" s="95">
        <f t="shared" si="25"/>
      </c>
      <c r="C251" s="96">
        <f t="shared" si="27"/>
      </c>
      <c r="D251" s="96">
        <f t="shared" si="1"/>
      </c>
      <c r="E251" s="21">
        <f t="shared" si="4"/>
      </c>
      <c r="G251" s="94">
        <f>IF($AU251+$AV251=0,"",119)</f>
      </c>
      <c r="H251" s="95">
        <f t="shared" si="7"/>
      </c>
      <c r="I251" s="96">
        <f t="shared" si="9"/>
      </c>
      <c r="J251" s="96">
        <f t="shared" si="29"/>
      </c>
      <c r="K251" s="21">
        <f t="shared" si="11"/>
      </c>
      <c r="AU251" s="2">
        <f>IF(AND(118&gt;=1,118&lt;=$BD$1),IF(118&gt;$BD$1,0,MOD(SMALL($BD$2:$BD$2001,118),10000)),0)</f>
        <v>0</v>
      </c>
      <c r="AV251" s="2">
        <f>IF(AND(118&gt;$BD$1,118&lt;=$BD$1+$BE$300),IF(118-$BD$1&gt;$BE$300,0,IFERROR(MATCH(118-$BD$1,$BE$1:$BE$300,0),0)),0)</f>
        <v>0</v>
      </c>
      <c r="AW251" s="2">
        <f>IF(119&lt;=$BB$200,IF(119&gt;$BB$200,0,IFERROR(MATCH(119,$BB$1:$BB$200,0),0)),0)</f>
        <v>0</v>
      </c>
      <c r="AX251" s="2">
        <f>IF(AND(119&gt;$BB$200,119&lt;=$BB$200+$BC$1000),IF(119-$BB$200&gt;$BC$1000,0,IFERROR(MATCH(119-$BB$200,$BC$1:$BC$1000,0),0)),0)</f>
        <v>0</v>
      </c>
      <c r="AZ251" s="2">
        <f>AZ250+SUM(CA251:CA251)</f>
        <v>29</v>
      </c>
      <c r="BC251" s="2">
        <f>BC250+SUM(CD251:CD251)</f>
        <v>0</v>
      </c>
      <c r="BD251" s="2">
        <f>IF(AND($C$130&lt;&gt;"",资金流水!$J$255=$C$130,ISNUMBER(资金流水!$B$255),ISNUMBER(资金流水!$S$255),资金流水!$S$255&gt;=_辅助!$J$4,资金流水!$S$255&lt;=_辅助!$J$2,OR(资金流水!$X$255="应付材料款",资金流水!$X$255="应付分包款",资金流水!$X$255="应付机械运输费",资金流水!$X$255="应付其他款")),INT(资金流水!$B$255)*10000+250,"")</f>
      </c>
      <c r="BE251" s="2">
        <f>BE250+SUM(CE251:CE251)</f>
        <v>0</v>
      </c>
      <c r="CA251" s="2">
        <f>IF(AND(OR(_余额!$B$253="材料供应商",_余额!$B$253="分包",_余额!$B$253="机械运输",_余额!$B$253="其他"),OR($C$3="全部",_余额!$B$253=$C$3),OR(_余额!$G$253&lt;&gt;0,_余额!$H$253&lt;&gt;0)),1,0)</f>
        <v>0</v>
      </c>
      <c r="CD251" s="2">
        <f>IF(($C$130&lt;&gt;"")*(应付登记!$D$255=$C$130)*ISNUMBER(应付登记!$J$255)*(应付登记!$J$255&gt;=_辅助!$J$4)*(应付登记!$J$255&lt;=_辅助!$J$2),1,0)</f>
        <v>0</v>
      </c>
      <c r="CE251" s="2">
        <f>IF(($C$130&lt;&gt;"")*(代发抵账!$E$255=$C$130)*(代发抵账!$D$255="总包代付材料分包款")*ISNUMBER(代发抵账!$H$255)*(代发抵账!$H$255&lt;=_辅助!$J$2),1,0)</f>
        <v>0</v>
      </c>
    </row>
    <row r="252">
      <c r="A252" s="94">
        <f>IF($AW252+$AX252=0,"",120)</f>
      </c>
      <c r="B252" s="95">
        <f t="shared" si="25"/>
      </c>
      <c r="C252" s="96">
        <f t="shared" si="27"/>
      </c>
      <c r="D252" s="96">
        <f t="shared" si="1"/>
      </c>
      <c r="E252" s="21">
        <f t="shared" si="4"/>
      </c>
      <c r="G252" s="94">
        <f>IF($AU252+$AV252=0,"",120)</f>
      </c>
      <c r="H252" s="95">
        <f t="shared" si="7"/>
      </c>
      <c r="I252" s="96">
        <f t="shared" si="9"/>
      </c>
      <c r="J252" s="96">
        <f t="shared" si="29"/>
      </c>
      <c r="K252" s="21">
        <f t="shared" si="11"/>
      </c>
      <c r="AU252" s="2">
        <f>IF(AND(119&gt;=1,119&lt;=$BD$1),IF(119&gt;$BD$1,0,MOD(SMALL($BD$2:$BD$2001,119),10000)),0)</f>
        <v>0</v>
      </c>
      <c r="AV252" s="2">
        <f>IF(AND(119&gt;$BD$1,119&lt;=$BD$1+$BE$300),IF(119-$BD$1&gt;$BE$300,0,IFERROR(MATCH(119-$BD$1,$BE$1:$BE$300,0),0)),0)</f>
        <v>0</v>
      </c>
      <c r="AW252" s="2">
        <f>IF(120&lt;=$BB$200,IF(120&gt;$BB$200,0,IFERROR(MATCH(120,$BB$1:$BB$200,0),0)),0)</f>
        <v>0</v>
      </c>
      <c r="AX252" s="2">
        <f>IF(AND(120&gt;$BB$200,120&lt;=$BB$200+$BC$1000),IF(120-$BB$200&gt;$BC$1000,0,IFERROR(MATCH(120-$BB$200,$BC$1:$BC$1000,0),0)),0)</f>
        <v>0</v>
      </c>
      <c r="AZ252" s="2">
        <f>AZ250+SUM(CA251:CA252)</f>
        <v>29</v>
      </c>
      <c r="BC252" s="2">
        <f>BC250+SUM(CD251:CD252)</f>
        <v>0</v>
      </c>
      <c r="BD252" s="2">
        <f>IF(AND($C$130&lt;&gt;"",资金流水!$J$256=$C$130,ISNUMBER(资金流水!$B$256),ISNUMBER(资金流水!$S$256),资金流水!$S$256&gt;=_辅助!$J$4,资金流水!$S$256&lt;=_辅助!$J$2,OR(资金流水!$X$256="应付材料款",资金流水!$X$256="应付分包款",资金流水!$X$256="应付机械运输费",资金流水!$X$256="应付其他款")),INT(资金流水!$B$256)*10000+251,"")</f>
      </c>
      <c r="BE252" s="2">
        <f>BE250+SUM(CE251:CE252)</f>
        <v>0</v>
      </c>
      <c r="CA252" s="2">
        <f>IF(AND(OR(_余额!$B$254="材料供应商",_余额!$B$254="分包",_余额!$B$254="机械运输",_余额!$B$254="其他"),OR($C$3="全部",_余额!$B$254=$C$3),OR(_余额!$G$254&lt;&gt;0,_余额!$H$254&lt;&gt;0)),1,0)</f>
        <v>0</v>
      </c>
      <c r="CD252" s="2">
        <f>IF(($C$130&lt;&gt;"")*(应付登记!$D$256=$C$130)*ISNUMBER(应付登记!$J$256)*(应付登记!$J$256&gt;=_辅助!$J$4)*(应付登记!$J$256&lt;=_辅助!$J$2),1,0)</f>
        <v>0</v>
      </c>
      <c r="CE252" s="2">
        <f>IF(($C$130&lt;&gt;"")*(代发抵账!$E$256=$C$130)*(代发抵账!$D$256="总包代付材料分包款")*ISNUMBER(代发抵账!$H$256)*(代发抵账!$H$256&lt;=_辅助!$J$2),1,0)</f>
        <v>0</v>
      </c>
    </row>
    <row r="253">
      <c r="A253" s="94">
        <f>IF($AW253+$AX253=0,"",121)</f>
      </c>
      <c r="B253" s="95">
        <f t="shared" si="25"/>
      </c>
      <c r="C253" s="96">
        <f t="shared" si="27"/>
      </c>
      <c r="D253" s="96">
        <f t="shared" si="1"/>
      </c>
      <c r="E253" s="21">
        <f t="shared" si="4"/>
      </c>
      <c r="G253" s="94">
        <f>IF($AU253+$AV253=0,"",121)</f>
      </c>
      <c r="H253" s="95">
        <f t="shared" si="7"/>
      </c>
      <c r="I253" s="96">
        <f t="shared" si="9"/>
      </c>
      <c r="J253" s="96">
        <f t="shared" si="29"/>
      </c>
      <c r="K253" s="21">
        <f t="shared" si="11"/>
      </c>
      <c r="AU253" s="2">
        <f>IF(AND(120&gt;=1,120&lt;=$BD$1),IF(120&gt;$BD$1,0,MOD(SMALL($BD$2:$BD$2001,120),10000)),0)</f>
        <v>0</v>
      </c>
      <c r="AV253" s="2">
        <f>IF(AND(120&gt;$BD$1,120&lt;=$BD$1+$BE$300),IF(120-$BD$1&gt;$BE$300,0,IFERROR(MATCH(120-$BD$1,$BE$1:$BE$300,0),0)),0)</f>
        <v>0</v>
      </c>
      <c r="AW253" s="2">
        <f>IF(121&lt;=$BB$200,IF(121&gt;$BB$200,0,IFERROR(MATCH(121,$BB$1:$BB$200,0),0)),0)</f>
        <v>0</v>
      </c>
      <c r="AX253" s="2">
        <f>IF(AND(121&gt;$BB$200,121&lt;=$BB$200+$BC$1000),IF(121-$BB$200&gt;$BC$1000,0,IFERROR(MATCH(121-$BB$200,$BC$1:$BC$1000,0),0)),0)</f>
        <v>0</v>
      </c>
      <c r="AZ253" s="2">
        <f>AZ250+SUM(CA251:CA253)</f>
        <v>29</v>
      </c>
      <c r="BC253" s="2">
        <f>BC250+SUM(CD251:CD253)</f>
        <v>0</v>
      </c>
      <c r="BD253" s="2">
        <f>IF(AND($C$130&lt;&gt;"",资金流水!$J$257=$C$130,ISNUMBER(资金流水!$B$257),ISNUMBER(资金流水!$S$257),资金流水!$S$257&gt;=_辅助!$J$4,资金流水!$S$257&lt;=_辅助!$J$2,OR(资金流水!$X$257="应付材料款",资金流水!$X$257="应付分包款",资金流水!$X$257="应付机械运输费",资金流水!$X$257="应付其他款")),INT(资金流水!$B$257)*10000+252,"")</f>
      </c>
      <c r="BE253" s="2">
        <f>BE250+SUM(CE251:CE253)</f>
        <v>0</v>
      </c>
      <c r="CA253" s="2">
        <f>IF(AND(OR(_余额!$B$255="材料供应商",_余额!$B$255="分包",_余额!$B$255="机械运输",_余额!$B$255="其他"),OR($C$3="全部",_余额!$B$255=$C$3),OR(_余额!$G$255&lt;&gt;0,_余额!$H$255&lt;&gt;0)),1,0)</f>
        <v>0</v>
      </c>
      <c r="CD253" s="2">
        <f>IF(($C$130&lt;&gt;"")*(应付登记!$D$257=$C$130)*ISNUMBER(应付登记!$J$257)*(应付登记!$J$257&gt;=_辅助!$J$4)*(应付登记!$J$257&lt;=_辅助!$J$2),1,0)</f>
        <v>0</v>
      </c>
      <c r="CE253" s="2">
        <f>IF(($C$130&lt;&gt;"")*(代发抵账!$E$257=$C$130)*(代发抵账!$D$257="总包代付材料分包款")*ISNUMBER(代发抵账!$H$257)*(代发抵账!$H$257&lt;=_辅助!$J$2),1,0)</f>
        <v>0</v>
      </c>
    </row>
    <row r="254">
      <c r="A254" s="94">
        <f>IF($AW254+$AX254=0,"",122)</f>
      </c>
      <c r="B254" s="95">
        <f t="shared" si="25"/>
      </c>
      <c r="C254" s="96">
        <f t="shared" si="27"/>
      </c>
      <c r="D254" s="96">
        <f t="shared" si="1"/>
      </c>
      <c r="E254" s="21">
        <f t="shared" si="4"/>
      </c>
      <c r="G254" s="94">
        <f>IF($AU254+$AV254=0,"",122)</f>
      </c>
      <c r="H254" s="95">
        <f t="shared" si="7"/>
      </c>
      <c r="I254" s="96">
        <f t="shared" si="9"/>
      </c>
      <c r="J254" s="96">
        <f t="shared" si="29"/>
      </c>
      <c r="K254" s="21">
        <f t="shared" si="11"/>
      </c>
      <c r="AU254" s="2">
        <f>IF(AND(121&gt;=1,121&lt;=$BD$1),IF(121&gt;$BD$1,0,MOD(SMALL($BD$2:$BD$2001,121),10000)),0)</f>
        <v>0</v>
      </c>
      <c r="AV254" s="2">
        <f>IF(AND(121&gt;$BD$1,121&lt;=$BD$1+$BE$300),IF(121-$BD$1&gt;$BE$300,0,IFERROR(MATCH(121-$BD$1,$BE$1:$BE$300,0),0)),0)</f>
        <v>0</v>
      </c>
      <c r="AW254" s="2">
        <f>IF(122&lt;=$BB$200,IF(122&gt;$BB$200,0,IFERROR(MATCH(122,$BB$1:$BB$200,0),0)),0)</f>
        <v>0</v>
      </c>
      <c r="AX254" s="2">
        <f>IF(AND(122&gt;$BB$200,122&lt;=$BB$200+$BC$1000),IF(122-$BB$200&gt;$BC$1000,0,IFERROR(MATCH(122-$BB$200,$BC$1:$BC$1000,0),0)),0)</f>
        <v>0</v>
      </c>
      <c r="AZ254" s="2">
        <f>AZ250+SUM(CA251:CA254)</f>
        <v>29</v>
      </c>
      <c r="BC254" s="2">
        <f>BC250+SUM(CD251:CD254)</f>
        <v>0</v>
      </c>
      <c r="BD254" s="2">
        <f>IF(AND($C$130&lt;&gt;"",资金流水!$J$258=$C$130,ISNUMBER(资金流水!$B$258),ISNUMBER(资金流水!$S$258),资金流水!$S$258&gt;=_辅助!$J$4,资金流水!$S$258&lt;=_辅助!$J$2,OR(资金流水!$X$258="应付材料款",资金流水!$X$258="应付分包款",资金流水!$X$258="应付机械运输费",资金流水!$X$258="应付其他款")),INT(资金流水!$B$258)*10000+253,"")</f>
      </c>
      <c r="BE254" s="2">
        <f>BE250+SUM(CE251:CE254)</f>
        <v>0</v>
      </c>
      <c r="CA254" s="2">
        <f>IF(AND(OR(_余额!$B$256="材料供应商",_余额!$B$256="分包",_余额!$B$256="机械运输",_余额!$B$256="其他"),OR($C$3="全部",_余额!$B$256=$C$3),OR(_余额!$G$256&lt;&gt;0,_余额!$H$256&lt;&gt;0)),1,0)</f>
        <v>0</v>
      </c>
      <c r="CD254" s="2">
        <f>IF(($C$130&lt;&gt;"")*(应付登记!$D$258=$C$130)*ISNUMBER(应付登记!$J$258)*(应付登记!$J$258&gt;=_辅助!$J$4)*(应付登记!$J$258&lt;=_辅助!$J$2),1,0)</f>
        <v>0</v>
      </c>
      <c r="CE254" s="2">
        <f>IF(($C$130&lt;&gt;"")*(代发抵账!$E$258=$C$130)*(代发抵账!$D$258="总包代付材料分包款")*ISNUMBER(代发抵账!$H$258)*(代发抵账!$H$258&lt;=_辅助!$J$2),1,0)</f>
        <v>0</v>
      </c>
    </row>
    <row r="255">
      <c r="A255" s="94">
        <f>IF($AW255+$AX255=0,"",123)</f>
      </c>
      <c r="B255" s="95">
        <f t="shared" si="25"/>
      </c>
      <c r="C255" s="96">
        <f t="shared" si="27"/>
      </c>
      <c r="D255" s="96">
        <f t="shared" si="1"/>
      </c>
      <c r="E255" s="21">
        <f t="shared" si="4"/>
      </c>
      <c r="G255" s="94">
        <f>IF($AU255+$AV255=0,"",123)</f>
      </c>
      <c r="H255" s="95">
        <f t="shared" si="7"/>
      </c>
      <c r="I255" s="96">
        <f t="shared" si="9"/>
      </c>
      <c r="J255" s="96">
        <f t="shared" si="29"/>
      </c>
      <c r="K255" s="21">
        <f t="shared" si="11"/>
      </c>
      <c r="AU255" s="2">
        <f>IF(AND(122&gt;=1,122&lt;=$BD$1),IF(122&gt;$BD$1,0,MOD(SMALL($BD$2:$BD$2001,122),10000)),0)</f>
        <v>0</v>
      </c>
      <c r="AV255" s="2">
        <f>IF(AND(122&gt;$BD$1,122&lt;=$BD$1+$BE$300),IF(122-$BD$1&gt;$BE$300,0,IFERROR(MATCH(122-$BD$1,$BE$1:$BE$300,0),0)),0)</f>
        <v>0</v>
      </c>
      <c r="AW255" s="2">
        <f>IF(123&lt;=$BB$200,IF(123&gt;$BB$200,0,IFERROR(MATCH(123,$BB$1:$BB$200,0),0)),0)</f>
        <v>0</v>
      </c>
      <c r="AX255" s="2">
        <f>IF(AND(123&gt;$BB$200,123&lt;=$BB$200+$BC$1000),IF(123-$BB$200&gt;$BC$1000,0,IFERROR(MATCH(123-$BB$200,$BC$1:$BC$1000,0),0)),0)</f>
        <v>0</v>
      </c>
      <c r="AZ255" s="2">
        <f>AZ250+SUM(CA251:CA255)</f>
        <v>29</v>
      </c>
      <c r="BC255" s="2">
        <f>BC250+SUM(CD251:CD255)</f>
        <v>0</v>
      </c>
      <c r="BD255" s="2">
        <f>IF(AND($C$130&lt;&gt;"",资金流水!$J$259=$C$130,ISNUMBER(资金流水!$B$259),ISNUMBER(资金流水!$S$259),资金流水!$S$259&gt;=_辅助!$J$4,资金流水!$S$259&lt;=_辅助!$J$2,OR(资金流水!$X$259="应付材料款",资金流水!$X$259="应付分包款",资金流水!$X$259="应付机械运输费",资金流水!$X$259="应付其他款")),INT(资金流水!$B$259)*10000+254,"")</f>
      </c>
      <c r="BE255" s="2">
        <f>BE250+SUM(CE251:CE255)</f>
        <v>0</v>
      </c>
      <c r="CA255" s="2">
        <f>IF(AND(OR(_余额!$B$257="材料供应商",_余额!$B$257="分包",_余额!$B$257="机械运输",_余额!$B$257="其他"),OR($C$3="全部",_余额!$B$257=$C$3),OR(_余额!$G$257&lt;&gt;0,_余额!$H$257&lt;&gt;0)),1,0)</f>
        <v>0</v>
      </c>
      <c r="CD255" s="2">
        <f>IF(($C$130&lt;&gt;"")*(应付登记!$D$259=$C$130)*ISNUMBER(应付登记!$J$259)*(应付登记!$J$259&gt;=_辅助!$J$4)*(应付登记!$J$259&lt;=_辅助!$J$2),1,0)</f>
        <v>0</v>
      </c>
      <c r="CE255" s="2">
        <f>IF(($C$130&lt;&gt;"")*(代发抵账!$E$259=$C$130)*(代发抵账!$D$259="总包代付材料分包款")*ISNUMBER(代发抵账!$H$259)*(代发抵账!$H$259&lt;=_辅助!$J$2),1,0)</f>
        <v>0</v>
      </c>
    </row>
    <row r="256">
      <c r="A256" s="94">
        <f>IF($AW256+$AX256=0,"",124)</f>
      </c>
      <c r="B256" s="95">
        <f t="shared" si="25"/>
      </c>
      <c r="C256" s="96">
        <f t="shared" si="27"/>
      </c>
      <c r="D256" s="96">
        <f t="shared" si="1"/>
      </c>
      <c r="E256" s="21">
        <f t="shared" si="4"/>
      </c>
      <c r="G256" s="94">
        <f>IF($AU256+$AV256=0,"",124)</f>
      </c>
      <c r="H256" s="95">
        <f t="shared" si="7"/>
      </c>
      <c r="I256" s="96">
        <f t="shared" si="9"/>
      </c>
      <c r="J256" s="96">
        <f t="shared" si="29"/>
      </c>
      <c r="K256" s="21">
        <f t="shared" si="11"/>
      </c>
      <c r="AU256" s="2">
        <f>IF(AND(123&gt;=1,123&lt;=$BD$1),IF(123&gt;$BD$1,0,MOD(SMALL($BD$2:$BD$2001,123),10000)),0)</f>
        <v>0</v>
      </c>
      <c r="AV256" s="2">
        <f>IF(AND(123&gt;$BD$1,123&lt;=$BD$1+$BE$300),IF(123-$BD$1&gt;$BE$300,0,IFERROR(MATCH(123-$BD$1,$BE$1:$BE$300,0),0)),0)</f>
        <v>0</v>
      </c>
      <c r="AW256" s="2">
        <f>IF(124&lt;=$BB$200,IF(124&gt;$BB$200,0,IFERROR(MATCH(124,$BB$1:$BB$200,0),0)),0)</f>
        <v>0</v>
      </c>
      <c r="AX256" s="2">
        <f>IF(AND(124&gt;$BB$200,124&lt;=$BB$200+$BC$1000),IF(124-$BB$200&gt;$BC$1000,0,IFERROR(MATCH(124-$BB$200,$BC$1:$BC$1000,0),0)),0)</f>
        <v>0</v>
      </c>
      <c r="AZ256" s="2">
        <f>AZ250+SUM(CA251:CA256)</f>
        <v>29</v>
      </c>
      <c r="BC256" s="2">
        <f>BC250+SUM(CD251:CD256)</f>
        <v>0</v>
      </c>
      <c r="BD256" s="2">
        <f>IF(AND($C$130&lt;&gt;"",资金流水!$J$260=$C$130,ISNUMBER(资金流水!$B$260),ISNUMBER(资金流水!$S$260),资金流水!$S$260&gt;=_辅助!$J$4,资金流水!$S$260&lt;=_辅助!$J$2,OR(资金流水!$X$260="应付材料款",资金流水!$X$260="应付分包款",资金流水!$X$260="应付机械运输费",资金流水!$X$260="应付其他款")),INT(资金流水!$B$260)*10000+255,"")</f>
      </c>
      <c r="BE256" s="2">
        <f>BE250+SUM(CE251:CE256)</f>
        <v>0</v>
      </c>
      <c r="CA256" s="2">
        <f>IF(AND(OR(_余额!$B$258="材料供应商",_余额!$B$258="分包",_余额!$B$258="机械运输",_余额!$B$258="其他"),OR($C$3="全部",_余额!$B$258=$C$3),OR(_余额!$G$258&lt;&gt;0,_余额!$H$258&lt;&gt;0)),1,0)</f>
        <v>0</v>
      </c>
      <c r="CD256" s="2">
        <f>IF(($C$130&lt;&gt;"")*(应付登记!$D$260=$C$130)*ISNUMBER(应付登记!$J$260)*(应付登记!$J$260&gt;=_辅助!$J$4)*(应付登记!$J$260&lt;=_辅助!$J$2),1,0)</f>
        <v>0</v>
      </c>
      <c r="CE256" s="2">
        <f>IF(($C$130&lt;&gt;"")*(代发抵账!$E$260=$C$130)*(代发抵账!$D$260="总包代付材料分包款")*ISNUMBER(代发抵账!$H$260)*(代发抵账!$H$260&lt;=_辅助!$J$2),1,0)</f>
        <v>0</v>
      </c>
    </row>
    <row r="257">
      <c r="A257" s="94">
        <f>IF($AW257+$AX257=0,"",125)</f>
      </c>
      <c r="B257" s="95">
        <f t="shared" si="25"/>
      </c>
      <c r="C257" s="96">
        <f t="shared" si="27"/>
      </c>
      <c r="D257" s="96">
        <f t="shared" si="1"/>
      </c>
      <c r="E257" s="21">
        <f t="shared" si="4"/>
      </c>
      <c r="G257" s="94">
        <f>IF($AU257+$AV257=0,"",125)</f>
      </c>
      <c r="H257" s="95">
        <f t="shared" si="7"/>
      </c>
      <c r="I257" s="96">
        <f t="shared" si="9"/>
      </c>
      <c r="J257" s="96">
        <f t="shared" si="29"/>
      </c>
      <c r="K257" s="21">
        <f t="shared" si="11"/>
      </c>
      <c r="AU257" s="2">
        <f>IF(AND(124&gt;=1,124&lt;=$BD$1),IF(124&gt;$BD$1,0,MOD(SMALL($BD$2:$BD$2001,124),10000)),0)</f>
        <v>0</v>
      </c>
      <c r="AV257" s="2">
        <f>IF(AND(124&gt;$BD$1,124&lt;=$BD$1+$BE$300),IF(124-$BD$1&gt;$BE$300,0,IFERROR(MATCH(124-$BD$1,$BE$1:$BE$300,0),0)),0)</f>
        <v>0</v>
      </c>
      <c r="AW257" s="2">
        <f>IF(125&lt;=$BB$200,IF(125&gt;$BB$200,0,IFERROR(MATCH(125,$BB$1:$BB$200,0),0)),0)</f>
        <v>0</v>
      </c>
      <c r="AX257" s="2">
        <f>IF(AND(125&gt;$BB$200,125&lt;=$BB$200+$BC$1000),IF(125-$BB$200&gt;$BC$1000,0,IFERROR(MATCH(125-$BB$200,$BC$1:$BC$1000,0),0)),0)</f>
        <v>0</v>
      </c>
      <c r="AZ257" s="2">
        <f>AZ250+SUM(CA251:CA257)</f>
        <v>29</v>
      </c>
      <c r="BC257" s="2">
        <f>BC250+SUM(CD251:CD257)</f>
        <v>0</v>
      </c>
      <c r="BD257" s="2">
        <f>IF(AND($C$130&lt;&gt;"",资金流水!$J$261=$C$130,ISNUMBER(资金流水!$B$261),ISNUMBER(资金流水!$S$261),资金流水!$S$261&gt;=_辅助!$J$4,资金流水!$S$261&lt;=_辅助!$J$2,OR(资金流水!$X$261="应付材料款",资金流水!$X$261="应付分包款",资金流水!$X$261="应付机械运输费",资金流水!$X$261="应付其他款")),INT(资金流水!$B$261)*10000+256,"")</f>
      </c>
      <c r="BE257" s="2">
        <f>BE250+SUM(CE251:CE257)</f>
        <v>0</v>
      </c>
      <c r="CA257" s="2">
        <f>IF(AND(OR(_余额!$B$259="材料供应商",_余额!$B$259="分包",_余额!$B$259="机械运输",_余额!$B$259="其他"),OR($C$3="全部",_余额!$B$259=$C$3),OR(_余额!$G$259&lt;&gt;0,_余额!$H$259&lt;&gt;0)),1,0)</f>
        <v>0</v>
      </c>
      <c r="CD257" s="2">
        <f>IF(($C$130&lt;&gt;"")*(应付登记!$D$261=$C$130)*ISNUMBER(应付登记!$J$261)*(应付登记!$J$261&gt;=_辅助!$J$4)*(应付登记!$J$261&lt;=_辅助!$J$2),1,0)</f>
        <v>0</v>
      </c>
      <c r="CE257" s="2">
        <f>IF(($C$130&lt;&gt;"")*(代发抵账!$E$261=$C$130)*(代发抵账!$D$261="总包代付材料分包款")*ISNUMBER(代发抵账!$H$261)*(代发抵账!$H$261&lt;=_辅助!$J$2),1,0)</f>
        <v>0</v>
      </c>
    </row>
    <row r="258">
      <c r="A258" s="94">
        <f>IF($AW258+$AX258=0,"",126)</f>
      </c>
      <c r="B258" s="95">
        <f t="shared" si="25"/>
      </c>
      <c r="C258" s="96">
        <f t="shared" si="27"/>
      </c>
      <c r="D258" s="96">
        <f t="shared" si="1"/>
      </c>
      <c r="E258" s="21">
        <f t="shared" si="4"/>
      </c>
      <c r="G258" s="94">
        <f>IF($AU258+$AV258=0,"",126)</f>
      </c>
      <c r="H258" s="95">
        <f t="shared" si="7"/>
      </c>
      <c r="I258" s="96">
        <f t="shared" si="9"/>
      </c>
      <c r="J258" s="96">
        <f t="shared" si="29"/>
      </c>
      <c r="K258" s="21">
        <f t="shared" si="11"/>
      </c>
      <c r="AU258" s="2">
        <f>IF(AND(125&gt;=1,125&lt;=$BD$1),IF(125&gt;$BD$1,0,MOD(SMALL($BD$2:$BD$2001,125),10000)),0)</f>
        <v>0</v>
      </c>
      <c r="AV258" s="2">
        <f>IF(AND(125&gt;$BD$1,125&lt;=$BD$1+$BE$300),IF(125-$BD$1&gt;$BE$300,0,IFERROR(MATCH(125-$BD$1,$BE$1:$BE$300,0),0)),0)</f>
        <v>0</v>
      </c>
      <c r="AW258" s="2">
        <f>IF(126&lt;=$BB$200,IF(126&gt;$BB$200,0,IFERROR(MATCH(126,$BB$1:$BB$200,0),0)),0)</f>
        <v>0</v>
      </c>
      <c r="AX258" s="2">
        <f>IF(AND(126&gt;$BB$200,126&lt;=$BB$200+$BC$1000),IF(126-$BB$200&gt;$BC$1000,0,IFERROR(MATCH(126-$BB$200,$BC$1:$BC$1000,0),0)),0)</f>
        <v>0</v>
      </c>
      <c r="AZ258" s="2">
        <f>AZ250+SUM(CA251:CA258)</f>
        <v>29</v>
      </c>
      <c r="BC258" s="2">
        <f>BC250+SUM(CD251:CD258)</f>
        <v>0</v>
      </c>
      <c r="BD258" s="2">
        <f>IF(AND($C$130&lt;&gt;"",资金流水!$J$262=$C$130,ISNUMBER(资金流水!$B$262),ISNUMBER(资金流水!$S$262),资金流水!$S$262&gt;=_辅助!$J$4,资金流水!$S$262&lt;=_辅助!$J$2,OR(资金流水!$X$262="应付材料款",资金流水!$X$262="应付分包款",资金流水!$X$262="应付机械运输费",资金流水!$X$262="应付其他款")),INT(资金流水!$B$262)*10000+257,"")</f>
      </c>
      <c r="BE258" s="2">
        <f>BE250+SUM(CE251:CE258)</f>
        <v>0</v>
      </c>
      <c r="CA258" s="2">
        <f>IF(AND(OR(_余额!$B$260="材料供应商",_余额!$B$260="分包",_余额!$B$260="机械运输",_余额!$B$260="其他"),OR($C$3="全部",_余额!$B$260=$C$3),OR(_余额!$G$260&lt;&gt;0,_余额!$H$260&lt;&gt;0)),1,0)</f>
        <v>0</v>
      </c>
      <c r="CD258" s="2">
        <f>IF(($C$130&lt;&gt;"")*(应付登记!$D$262=$C$130)*ISNUMBER(应付登记!$J$262)*(应付登记!$J$262&gt;=_辅助!$J$4)*(应付登记!$J$262&lt;=_辅助!$J$2),1,0)</f>
        <v>0</v>
      </c>
      <c r="CE258" s="2">
        <f>IF(($C$130&lt;&gt;"")*(代发抵账!$E$262=$C$130)*(代发抵账!$D$262="总包代付材料分包款")*ISNUMBER(代发抵账!$H$262)*(代发抵账!$H$262&lt;=_辅助!$J$2),1,0)</f>
        <v>0</v>
      </c>
    </row>
    <row r="259">
      <c r="A259" s="94">
        <f>IF($AW259+$AX259=0,"",127)</f>
      </c>
      <c r="B259" s="95">
        <f t="shared" si="25"/>
      </c>
      <c r="C259" s="96">
        <f t="shared" si="27"/>
      </c>
      <c r="D259" s="96">
        <f t="shared" si="1"/>
      </c>
      <c r="E259" s="21">
        <f t="shared" si="4"/>
      </c>
      <c r="G259" s="94">
        <f>IF($AU259+$AV259=0,"",127)</f>
      </c>
      <c r="H259" s="95">
        <f t="shared" si="7"/>
      </c>
      <c r="I259" s="96">
        <f t="shared" si="9"/>
      </c>
      <c r="J259" s="96">
        <f t="shared" si="29"/>
      </c>
      <c r="K259" s="21">
        <f t="shared" si="11"/>
      </c>
      <c r="AU259" s="2">
        <f>IF(AND(126&gt;=1,126&lt;=$BD$1),IF(126&gt;$BD$1,0,MOD(SMALL($BD$2:$BD$2001,126),10000)),0)</f>
        <v>0</v>
      </c>
      <c r="AV259" s="2">
        <f>IF(AND(126&gt;$BD$1,126&lt;=$BD$1+$BE$300),IF(126-$BD$1&gt;$BE$300,0,IFERROR(MATCH(126-$BD$1,$BE$1:$BE$300,0),0)),0)</f>
        <v>0</v>
      </c>
      <c r="AW259" s="2">
        <f>IF(127&lt;=$BB$200,IF(127&gt;$BB$200,0,IFERROR(MATCH(127,$BB$1:$BB$200,0),0)),0)</f>
        <v>0</v>
      </c>
      <c r="AX259" s="2">
        <f>IF(AND(127&gt;$BB$200,127&lt;=$BB$200+$BC$1000),IF(127-$BB$200&gt;$BC$1000,0,IFERROR(MATCH(127-$BB$200,$BC$1:$BC$1000,0),0)),0)</f>
        <v>0</v>
      </c>
      <c r="AZ259" s="2">
        <f>AZ250+SUM(CA251:CA259)</f>
        <v>29</v>
      </c>
      <c r="BC259" s="2">
        <f>BC250+SUM(CD251:CD259)</f>
        <v>0</v>
      </c>
      <c r="BD259" s="2">
        <f>IF(AND($C$130&lt;&gt;"",资金流水!$J$263=$C$130,ISNUMBER(资金流水!$B$263),ISNUMBER(资金流水!$S$263),资金流水!$S$263&gt;=_辅助!$J$4,资金流水!$S$263&lt;=_辅助!$J$2,OR(资金流水!$X$263="应付材料款",资金流水!$X$263="应付分包款",资金流水!$X$263="应付机械运输费",资金流水!$X$263="应付其他款")),INT(资金流水!$B$263)*10000+258,"")</f>
      </c>
      <c r="BE259" s="2">
        <f>BE250+SUM(CE251:CE259)</f>
        <v>0</v>
      </c>
      <c r="CA259" s="2">
        <f>IF(AND(OR(_余额!$B$261="材料供应商",_余额!$B$261="分包",_余额!$B$261="机械运输",_余额!$B$261="其他"),OR($C$3="全部",_余额!$B$261=$C$3),OR(_余额!$G$261&lt;&gt;0,_余额!$H$261&lt;&gt;0)),1,0)</f>
        <v>0</v>
      </c>
      <c r="CD259" s="2">
        <f>IF(($C$130&lt;&gt;"")*(应付登记!$D$263=$C$130)*ISNUMBER(应付登记!$J$263)*(应付登记!$J$263&gt;=_辅助!$J$4)*(应付登记!$J$263&lt;=_辅助!$J$2),1,0)</f>
        <v>0</v>
      </c>
      <c r="CE259" s="2">
        <f>IF(($C$130&lt;&gt;"")*(代发抵账!$E$263=$C$130)*(代发抵账!$D$263="总包代付材料分包款")*ISNUMBER(代发抵账!$H$263)*(代发抵账!$H$263&lt;=_辅助!$J$2),1,0)</f>
        <v>0</v>
      </c>
    </row>
    <row r="260">
      <c r="A260" s="94">
        <f>IF($AW260+$AX260=0,"",128)</f>
      </c>
      <c r="B260" s="95">
        <f t="shared" si="25"/>
      </c>
      <c r="C260" s="96">
        <f t="shared" si="27"/>
      </c>
      <c r="D260" s="96">
        <f t="shared" si="1"/>
      </c>
      <c r="E260" s="21">
        <f t="shared" si="4"/>
      </c>
      <c r="G260" s="94">
        <f>IF($AU260+$AV260=0,"",128)</f>
      </c>
      <c r="H260" s="95">
        <f t="shared" si="7"/>
      </c>
      <c r="I260" s="96">
        <f t="shared" si="9"/>
      </c>
      <c r="J260" s="96">
        <f t="shared" si="29"/>
      </c>
      <c r="K260" s="21">
        <f t="shared" si="11"/>
      </c>
      <c r="AU260" s="2">
        <f>IF(AND(127&gt;=1,127&lt;=$BD$1),IF(127&gt;$BD$1,0,MOD(SMALL($BD$2:$BD$2001,127),10000)),0)</f>
        <v>0</v>
      </c>
      <c r="AV260" s="2">
        <f>IF(AND(127&gt;$BD$1,127&lt;=$BD$1+$BE$300),IF(127-$BD$1&gt;$BE$300,0,IFERROR(MATCH(127-$BD$1,$BE$1:$BE$300,0),0)),0)</f>
        <v>0</v>
      </c>
      <c r="AW260" s="2">
        <f>IF(128&lt;=$BB$200,IF(128&gt;$BB$200,0,IFERROR(MATCH(128,$BB$1:$BB$200,0),0)),0)</f>
        <v>0</v>
      </c>
      <c r="AX260" s="2">
        <f>IF(AND(128&gt;$BB$200,128&lt;=$BB$200+$BC$1000),IF(128-$BB$200&gt;$BC$1000,0,IFERROR(MATCH(128-$BB$200,$BC$1:$BC$1000,0),0)),0)</f>
        <v>0</v>
      </c>
      <c r="AZ260" s="2">
        <f>AZ250+SUM(CA251:CA260)</f>
        <v>29</v>
      </c>
      <c r="BC260" s="2">
        <f>BC250+SUM(CD251:CD260)</f>
        <v>0</v>
      </c>
      <c r="BD260" s="2">
        <f>IF(AND($C$130&lt;&gt;"",资金流水!$J$264=$C$130,ISNUMBER(资金流水!$B$264),ISNUMBER(资金流水!$S$264),资金流水!$S$264&gt;=_辅助!$J$4,资金流水!$S$264&lt;=_辅助!$J$2,OR(资金流水!$X$264="应付材料款",资金流水!$X$264="应付分包款",资金流水!$X$264="应付机械运输费",资金流水!$X$264="应付其他款")),INT(资金流水!$B$264)*10000+259,"")</f>
      </c>
      <c r="BE260" s="2">
        <f>BE250+SUM(CE251:CE260)</f>
        <v>0</v>
      </c>
      <c r="CA260" s="2">
        <f>IF(AND(OR(_余额!$B$262="材料供应商",_余额!$B$262="分包",_余额!$B$262="机械运输",_余额!$B$262="其他"),OR($C$3="全部",_余额!$B$262=$C$3),OR(_余额!$G$262&lt;&gt;0,_余额!$H$262&lt;&gt;0)),1,0)</f>
        <v>0</v>
      </c>
      <c r="CD260" s="2">
        <f>IF(($C$130&lt;&gt;"")*(应付登记!$D$264=$C$130)*ISNUMBER(应付登记!$J$264)*(应付登记!$J$264&gt;=_辅助!$J$4)*(应付登记!$J$264&lt;=_辅助!$J$2),1,0)</f>
        <v>0</v>
      </c>
      <c r="CE260" s="2">
        <f>IF(($C$130&lt;&gt;"")*(代发抵账!$E$264=$C$130)*(代发抵账!$D$264="总包代付材料分包款")*ISNUMBER(代发抵账!$H$264)*(代发抵账!$H$264&lt;=_辅助!$J$2),1,0)</f>
        <v>0</v>
      </c>
    </row>
    <row r="261">
      <c r="A261" s="94">
        <f>IF($AW261+$AX261=0,"",129)</f>
      </c>
      <c r="B261" s="95">
        <f t="shared" si="25"/>
      </c>
      <c r="C261" s="96">
        <f t="shared" si="27"/>
      </c>
      <c r="D261" s="96">
        <f t="shared" si="1"/>
      </c>
      <c r="E261" s="21">
        <f t="shared" si="4"/>
      </c>
      <c r="G261" s="94">
        <f>IF($AU261+$AV261=0,"",129)</f>
      </c>
      <c r="H261" s="95">
        <f t="shared" si="7"/>
      </c>
      <c r="I261" s="96">
        <f t="shared" si="9"/>
      </c>
      <c r="J261" s="96">
        <f t="shared" si="29"/>
      </c>
      <c r="K261" s="21">
        <f t="shared" si="11"/>
      </c>
      <c r="AU261" s="2">
        <f>IF(AND(128&gt;=1,128&lt;=$BD$1),IF(128&gt;$BD$1,0,MOD(SMALL($BD$2:$BD$2001,128),10000)),0)</f>
        <v>0</v>
      </c>
      <c r="AV261" s="2">
        <f>IF(AND(128&gt;$BD$1,128&lt;=$BD$1+$BE$300),IF(128-$BD$1&gt;$BE$300,0,IFERROR(MATCH(128-$BD$1,$BE$1:$BE$300,0),0)),0)</f>
        <v>0</v>
      </c>
      <c r="AW261" s="2">
        <f>IF(129&lt;=$BB$200,IF(129&gt;$BB$200,0,IFERROR(MATCH(129,$BB$1:$BB$200,0),0)),0)</f>
        <v>0</v>
      </c>
      <c r="AX261" s="2">
        <f>IF(AND(129&gt;$BB$200,129&lt;=$BB$200+$BC$1000),IF(129-$BB$200&gt;$BC$1000,0,IFERROR(MATCH(129-$BB$200,$BC$1:$BC$1000,0),0)),0)</f>
        <v>0</v>
      </c>
      <c r="AZ261" s="2">
        <f>AZ250+SUM(CA251:CA261)</f>
        <v>29</v>
      </c>
      <c r="BC261" s="2">
        <f>BC250+SUM(CD251:CD261)</f>
        <v>0</v>
      </c>
      <c r="BD261" s="2">
        <f>IF(AND($C$130&lt;&gt;"",资金流水!$J$265=$C$130,ISNUMBER(资金流水!$B$265),ISNUMBER(资金流水!$S$265),资金流水!$S$265&gt;=_辅助!$J$4,资金流水!$S$265&lt;=_辅助!$J$2,OR(资金流水!$X$265="应付材料款",资金流水!$X$265="应付分包款",资金流水!$X$265="应付机械运输费",资金流水!$X$265="应付其他款")),INT(资金流水!$B$265)*10000+260,"")</f>
      </c>
      <c r="BE261" s="2">
        <f>BE250+SUM(CE251:CE261)</f>
        <v>0</v>
      </c>
      <c r="CA261" s="2">
        <f>IF(AND(OR(_余额!$B$263="材料供应商",_余额!$B$263="分包",_余额!$B$263="机械运输",_余额!$B$263="其他"),OR($C$3="全部",_余额!$B$263=$C$3),OR(_余额!$G$263&lt;&gt;0,_余额!$H$263&lt;&gt;0)),1,0)</f>
        <v>0</v>
      </c>
      <c r="CD261" s="2">
        <f>IF(($C$130&lt;&gt;"")*(应付登记!$D$265=$C$130)*ISNUMBER(应付登记!$J$265)*(应付登记!$J$265&gt;=_辅助!$J$4)*(应付登记!$J$265&lt;=_辅助!$J$2),1,0)</f>
        <v>0</v>
      </c>
      <c r="CE261" s="2">
        <f>IF(($C$130&lt;&gt;"")*(代发抵账!$E$265=$C$130)*(代发抵账!$D$265="总包代付材料分包款")*ISNUMBER(代发抵账!$H$265)*(代发抵账!$H$265&lt;=_辅助!$J$2),1,0)</f>
        <v>0</v>
      </c>
    </row>
    <row r="262">
      <c r="A262" s="94">
        <f>IF($AW262+$AX262=0,"",130)</f>
      </c>
      <c r="B262" s="95">
        <f t="shared" si="25"/>
      </c>
      <c r="C262" s="96">
        <f t="shared" si="27"/>
      </c>
      <c r="D262" s="96">
        <f t="shared" si="1"/>
      </c>
      <c r="E262" s="21">
        <f t="shared" si="4"/>
      </c>
      <c r="G262" s="94">
        <f>IF($AU262+$AV262=0,"",130)</f>
      </c>
      <c r="H262" s="95">
        <f t="shared" si="7"/>
      </c>
      <c r="I262" s="96">
        <f t="shared" si="9"/>
      </c>
      <c r="J262" s="96">
        <f t="shared" si="29"/>
      </c>
      <c r="K262" s="21">
        <f t="shared" si="11"/>
      </c>
      <c r="AU262" s="2">
        <f>IF(AND(129&gt;=1,129&lt;=$BD$1),IF(129&gt;$BD$1,0,MOD(SMALL($BD$2:$BD$2001,129),10000)),0)</f>
        <v>0</v>
      </c>
      <c r="AV262" s="2">
        <f>IF(AND(129&gt;$BD$1,129&lt;=$BD$1+$BE$300),IF(129-$BD$1&gt;$BE$300,0,IFERROR(MATCH(129-$BD$1,$BE$1:$BE$300,0),0)),0)</f>
        <v>0</v>
      </c>
      <c r="AW262" s="2">
        <f>IF(130&lt;=$BB$200,IF(130&gt;$BB$200,0,IFERROR(MATCH(130,$BB$1:$BB$200,0),0)),0)</f>
        <v>0</v>
      </c>
      <c r="AX262" s="2">
        <f>IF(AND(130&gt;$BB$200,130&lt;=$BB$200+$BC$1000),IF(130-$BB$200&gt;$BC$1000,0,IFERROR(MATCH(130-$BB$200,$BC$1:$BC$1000,0),0)),0)</f>
        <v>0</v>
      </c>
      <c r="AZ262" s="2">
        <f>AZ250+SUM(CA251:CA262)</f>
        <v>29</v>
      </c>
      <c r="BC262" s="2">
        <f>BC250+SUM(CD251:CD262)</f>
        <v>0</v>
      </c>
      <c r="BD262" s="2">
        <f>IF(AND($C$130&lt;&gt;"",资金流水!$J$266=$C$130,ISNUMBER(资金流水!$B$266),ISNUMBER(资金流水!$S$266),资金流水!$S$266&gt;=_辅助!$J$4,资金流水!$S$266&lt;=_辅助!$J$2,OR(资金流水!$X$266="应付材料款",资金流水!$X$266="应付分包款",资金流水!$X$266="应付机械运输费",资金流水!$X$266="应付其他款")),INT(资金流水!$B$266)*10000+261,"")</f>
      </c>
      <c r="BE262" s="2">
        <f>BE250+SUM(CE251:CE262)</f>
        <v>0</v>
      </c>
      <c r="CA262" s="2">
        <f>IF(AND(OR(_余额!$B$264="材料供应商",_余额!$B$264="分包",_余额!$B$264="机械运输",_余额!$B$264="其他"),OR($C$3="全部",_余额!$B$264=$C$3),OR(_余额!$G$264&lt;&gt;0,_余额!$H$264&lt;&gt;0)),1,0)</f>
        <v>0</v>
      </c>
      <c r="CD262" s="2">
        <f>IF(($C$130&lt;&gt;"")*(应付登记!$D$266=$C$130)*ISNUMBER(应付登记!$J$266)*(应付登记!$J$266&gt;=_辅助!$J$4)*(应付登记!$J$266&lt;=_辅助!$J$2),1,0)</f>
        <v>0</v>
      </c>
      <c r="CE262" s="2">
        <f>IF(($C$130&lt;&gt;"")*(代发抵账!$E$266=$C$130)*(代发抵账!$D$266="总包代付材料分包款")*ISNUMBER(代发抵账!$H$266)*(代发抵账!$H$266&lt;=_辅助!$J$2),1,0)</f>
        <v>0</v>
      </c>
    </row>
    <row r="263">
      <c r="A263" s="94">
        <f>IF($AW263+$AX263=0,"",131)</f>
      </c>
      <c r="B263" s="95">
        <f t="shared" si="25"/>
      </c>
      <c r="C263" s="96">
        <f t="shared" si="27"/>
      </c>
      <c r="D263" s="96">
        <f t="shared" si="1"/>
      </c>
      <c r="E263" s="21">
        <f t="shared" si="4"/>
      </c>
      <c r="G263" s="94">
        <f>IF($AU263+$AV263=0,"",131)</f>
      </c>
      <c r="H263" s="95">
        <f t="shared" si="7"/>
      </c>
      <c r="I263" s="96">
        <f t="shared" si="9"/>
      </c>
      <c r="J263" s="96">
        <f t="shared" si="29"/>
      </c>
      <c r="K263" s="21">
        <f t="shared" si="11"/>
      </c>
      <c r="AU263" s="2">
        <f>IF(AND(130&gt;=1,130&lt;=$BD$1),IF(130&gt;$BD$1,0,MOD(SMALL($BD$2:$BD$2001,130),10000)),0)</f>
        <v>0</v>
      </c>
      <c r="AV263" s="2">
        <f>IF(AND(130&gt;$BD$1,130&lt;=$BD$1+$BE$300),IF(130-$BD$1&gt;$BE$300,0,IFERROR(MATCH(130-$BD$1,$BE$1:$BE$300,0),0)),0)</f>
        <v>0</v>
      </c>
      <c r="AW263" s="2">
        <f>IF(131&lt;=$BB$200,IF(131&gt;$BB$200,0,IFERROR(MATCH(131,$BB$1:$BB$200,0),0)),0)</f>
        <v>0</v>
      </c>
      <c r="AX263" s="2">
        <f>IF(AND(131&gt;$BB$200,131&lt;=$BB$200+$BC$1000),IF(131-$BB$200&gt;$BC$1000,0,IFERROR(MATCH(131-$BB$200,$BC$1:$BC$1000,0),0)),0)</f>
        <v>0</v>
      </c>
      <c r="AZ263" s="2">
        <f>AZ250+SUM(CA251:CA263)</f>
        <v>29</v>
      </c>
      <c r="BC263" s="2">
        <f>BC250+SUM(CD251:CD263)</f>
        <v>0</v>
      </c>
      <c r="BD263" s="2">
        <f>IF(AND($C$130&lt;&gt;"",资金流水!$J$267=$C$130,ISNUMBER(资金流水!$B$267),ISNUMBER(资金流水!$S$267),资金流水!$S$267&gt;=_辅助!$J$4,资金流水!$S$267&lt;=_辅助!$J$2,OR(资金流水!$X$267="应付材料款",资金流水!$X$267="应付分包款",资金流水!$X$267="应付机械运输费",资金流水!$X$267="应付其他款")),INT(资金流水!$B$267)*10000+262,"")</f>
      </c>
      <c r="BE263" s="2">
        <f>BE250+SUM(CE251:CE263)</f>
        <v>0</v>
      </c>
      <c r="CA263" s="2">
        <f>IF(AND(OR(_余额!$B$265="材料供应商",_余额!$B$265="分包",_余额!$B$265="机械运输",_余额!$B$265="其他"),OR($C$3="全部",_余额!$B$265=$C$3),OR(_余额!$G$265&lt;&gt;0,_余额!$H$265&lt;&gt;0)),1,0)</f>
        <v>0</v>
      </c>
      <c r="CD263" s="2">
        <f>IF(($C$130&lt;&gt;"")*(应付登记!$D$267=$C$130)*ISNUMBER(应付登记!$J$267)*(应付登记!$J$267&gt;=_辅助!$J$4)*(应付登记!$J$267&lt;=_辅助!$J$2),1,0)</f>
        <v>0</v>
      </c>
      <c r="CE263" s="2">
        <f>IF(($C$130&lt;&gt;"")*(代发抵账!$E$267=$C$130)*(代发抵账!$D$267="总包代付材料分包款")*ISNUMBER(代发抵账!$H$267)*(代发抵账!$H$267&lt;=_辅助!$J$2),1,0)</f>
        <v>0</v>
      </c>
    </row>
    <row r="264">
      <c r="A264" s="94">
        <f>IF($AW264+$AX264=0,"",132)</f>
      </c>
      <c r="B264" s="95">
        <f t="shared" si="25"/>
      </c>
      <c r="C264" s="96">
        <f t="shared" si="27"/>
      </c>
      <c r="D264" s="96">
        <f t="shared" si="1"/>
      </c>
      <c r="E264" s="21">
        <f t="shared" si="4"/>
      </c>
      <c r="G264" s="94">
        <f>IF($AU264+$AV264=0,"",132)</f>
      </c>
      <c r="H264" s="95">
        <f t="shared" si="7"/>
      </c>
      <c r="I264" s="96">
        <f t="shared" si="9"/>
      </c>
      <c r="J264" s="96">
        <f t="shared" si="29"/>
      </c>
      <c r="K264" s="21">
        <f t="shared" si="11"/>
      </c>
      <c r="AU264" s="2">
        <f>IF(AND(131&gt;=1,131&lt;=$BD$1),IF(131&gt;$BD$1,0,MOD(SMALL($BD$2:$BD$2001,131),10000)),0)</f>
        <v>0</v>
      </c>
      <c r="AV264" s="2">
        <f>IF(AND(131&gt;$BD$1,131&lt;=$BD$1+$BE$300),IF(131-$BD$1&gt;$BE$300,0,IFERROR(MATCH(131-$BD$1,$BE$1:$BE$300,0),0)),0)</f>
        <v>0</v>
      </c>
      <c r="AW264" s="2">
        <f>IF(132&lt;=$BB$200,IF(132&gt;$BB$200,0,IFERROR(MATCH(132,$BB$1:$BB$200,0),0)),0)</f>
        <v>0</v>
      </c>
      <c r="AX264" s="2">
        <f>IF(AND(132&gt;$BB$200,132&lt;=$BB$200+$BC$1000),IF(132-$BB$200&gt;$BC$1000,0,IFERROR(MATCH(132-$BB$200,$BC$1:$BC$1000,0),0)),0)</f>
        <v>0</v>
      </c>
      <c r="AZ264" s="2">
        <f>AZ250+SUM(CA251:CA264)</f>
        <v>29</v>
      </c>
      <c r="BC264" s="2">
        <f>BC250+SUM(CD251:CD264)</f>
        <v>0</v>
      </c>
      <c r="BD264" s="2">
        <f>IF(AND($C$130&lt;&gt;"",资金流水!$J$268=$C$130,ISNUMBER(资金流水!$B$268),ISNUMBER(资金流水!$S$268),资金流水!$S$268&gt;=_辅助!$J$4,资金流水!$S$268&lt;=_辅助!$J$2,OR(资金流水!$X$268="应付材料款",资金流水!$X$268="应付分包款",资金流水!$X$268="应付机械运输费",资金流水!$X$268="应付其他款")),INT(资金流水!$B$268)*10000+263,"")</f>
      </c>
      <c r="BE264" s="2">
        <f>BE250+SUM(CE251:CE264)</f>
        <v>0</v>
      </c>
      <c r="CA264" s="2">
        <f>IF(AND(OR(_余额!$B$266="材料供应商",_余额!$B$266="分包",_余额!$B$266="机械运输",_余额!$B$266="其他"),OR($C$3="全部",_余额!$B$266=$C$3),OR(_余额!$G$266&lt;&gt;0,_余额!$H$266&lt;&gt;0)),1,0)</f>
        <v>0</v>
      </c>
      <c r="CD264" s="2">
        <f>IF(($C$130&lt;&gt;"")*(应付登记!$D$268=$C$130)*ISNUMBER(应付登记!$J$268)*(应付登记!$J$268&gt;=_辅助!$J$4)*(应付登记!$J$268&lt;=_辅助!$J$2),1,0)</f>
        <v>0</v>
      </c>
      <c r="CE264" s="2">
        <f>IF(($C$130&lt;&gt;"")*(代发抵账!$E$268=$C$130)*(代发抵账!$D$268="总包代付材料分包款")*ISNUMBER(代发抵账!$H$268)*(代发抵账!$H$268&lt;=_辅助!$J$2),1,0)</f>
        <v>0</v>
      </c>
    </row>
    <row r="265">
      <c r="A265" s="94">
        <f>IF($AW265+$AX265=0,"",133)</f>
      </c>
      <c r="B265" s="95">
        <f t="shared" si="25"/>
      </c>
      <c r="C265" s="96">
        <f t="shared" si="27"/>
      </c>
      <c r="D265" s="96">
        <f t="shared" si="1"/>
      </c>
      <c r="E265" s="21">
        <f t="shared" si="4"/>
      </c>
      <c r="G265" s="94">
        <f>IF($AU265+$AV265=0,"",133)</f>
      </c>
      <c r="H265" s="95">
        <f t="shared" si="7"/>
      </c>
      <c r="I265" s="96">
        <f t="shared" si="9"/>
      </c>
      <c r="J265" s="96">
        <f t="shared" si="29"/>
      </c>
      <c r="K265" s="21">
        <f t="shared" si="11"/>
      </c>
      <c r="AU265" s="2">
        <f>IF(AND(132&gt;=1,132&lt;=$BD$1),IF(132&gt;$BD$1,0,MOD(SMALL($BD$2:$BD$2001,132),10000)),0)</f>
        <v>0</v>
      </c>
      <c r="AV265" s="2">
        <f>IF(AND(132&gt;$BD$1,132&lt;=$BD$1+$BE$300),IF(132-$BD$1&gt;$BE$300,0,IFERROR(MATCH(132-$BD$1,$BE$1:$BE$300,0),0)),0)</f>
        <v>0</v>
      </c>
      <c r="AW265" s="2">
        <f>IF(133&lt;=$BB$200,IF(133&gt;$BB$200,0,IFERROR(MATCH(133,$BB$1:$BB$200,0),0)),0)</f>
        <v>0</v>
      </c>
      <c r="AX265" s="2">
        <f>IF(AND(133&gt;$BB$200,133&lt;=$BB$200+$BC$1000),IF(133-$BB$200&gt;$BC$1000,0,IFERROR(MATCH(133-$BB$200,$BC$1:$BC$1000,0),0)),0)</f>
        <v>0</v>
      </c>
      <c r="AZ265" s="2">
        <f>AZ250+SUM(CA251:CA265)</f>
        <v>29</v>
      </c>
      <c r="BC265" s="2">
        <f>BC250+SUM(CD251:CD265)</f>
        <v>0</v>
      </c>
      <c r="BD265" s="2">
        <f>IF(AND($C$130&lt;&gt;"",资金流水!$J$269=$C$130,ISNUMBER(资金流水!$B$269),ISNUMBER(资金流水!$S$269),资金流水!$S$269&gt;=_辅助!$J$4,资金流水!$S$269&lt;=_辅助!$J$2,OR(资金流水!$X$269="应付材料款",资金流水!$X$269="应付分包款",资金流水!$X$269="应付机械运输费",资金流水!$X$269="应付其他款")),INT(资金流水!$B$269)*10000+264,"")</f>
      </c>
      <c r="BE265" s="2">
        <f>BE250+SUM(CE251:CE265)</f>
        <v>0</v>
      </c>
      <c r="CA265" s="2">
        <f>IF(AND(OR(_余额!$B$267="材料供应商",_余额!$B$267="分包",_余额!$B$267="机械运输",_余额!$B$267="其他"),OR($C$3="全部",_余额!$B$267=$C$3),OR(_余额!$G$267&lt;&gt;0,_余额!$H$267&lt;&gt;0)),1,0)</f>
        <v>0</v>
      </c>
      <c r="CD265" s="2">
        <f>IF(($C$130&lt;&gt;"")*(应付登记!$D$269=$C$130)*ISNUMBER(应付登记!$J$269)*(应付登记!$J$269&gt;=_辅助!$J$4)*(应付登记!$J$269&lt;=_辅助!$J$2),1,0)</f>
        <v>0</v>
      </c>
      <c r="CE265" s="2">
        <f>IF(($C$130&lt;&gt;"")*(代发抵账!$E$269=$C$130)*(代发抵账!$D$269="总包代付材料分包款")*ISNUMBER(代发抵账!$H$269)*(代发抵账!$H$269&lt;=_辅助!$J$2),1,0)</f>
        <v>0</v>
      </c>
    </row>
    <row r="266">
      <c r="A266" s="94">
        <f>IF($AW266+$AX266=0,"",134)</f>
      </c>
      <c r="B266" s="95">
        <f t="shared" si="25"/>
      </c>
      <c r="C266" s="96">
        <f t="shared" si="27"/>
      </c>
      <c r="D266" s="96">
        <f t="shared" si="1"/>
      </c>
      <c r="E266" s="21">
        <f t="shared" si="4"/>
      </c>
      <c r="G266" s="94">
        <f>IF($AU266+$AV266=0,"",134)</f>
      </c>
      <c r="H266" s="95">
        <f t="shared" si="7"/>
      </c>
      <c r="I266" s="96">
        <f t="shared" si="9"/>
      </c>
      <c r="J266" s="96">
        <f t="shared" si="29"/>
      </c>
      <c r="K266" s="21">
        <f t="shared" si="11"/>
      </c>
      <c r="AU266" s="2">
        <f>IF(AND(133&gt;=1,133&lt;=$BD$1),IF(133&gt;$BD$1,0,MOD(SMALL($BD$2:$BD$2001,133),10000)),0)</f>
        <v>0</v>
      </c>
      <c r="AV266" s="2">
        <f>IF(AND(133&gt;$BD$1,133&lt;=$BD$1+$BE$300),IF(133-$BD$1&gt;$BE$300,0,IFERROR(MATCH(133-$BD$1,$BE$1:$BE$300,0),0)),0)</f>
        <v>0</v>
      </c>
      <c r="AW266" s="2">
        <f>IF(134&lt;=$BB$200,IF(134&gt;$BB$200,0,IFERROR(MATCH(134,$BB$1:$BB$200,0),0)),0)</f>
        <v>0</v>
      </c>
      <c r="AX266" s="2">
        <f>IF(AND(134&gt;$BB$200,134&lt;=$BB$200+$BC$1000),IF(134-$BB$200&gt;$BC$1000,0,IFERROR(MATCH(134-$BB$200,$BC$1:$BC$1000,0),0)),0)</f>
        <v>0</v>
      </c>
      <c r="AZ266" s="2">
        <f>AZ250+SUM(CA251:CA266)</f>
        <v>29</v>
      </c>
      <c r="BC266" s="2">
        <f>BC250+SUM(CD251:CD266)</f>
        <v>0</v>
      </c>
      <c r="BD266" s="2">
        <f>IF(AND($C$130&lt;&gt;"",资金流水!$J$270=$C$130,ISNUMBER(资金流水!$B$270),ISNUMBER(资金流水!$S$270),资金流水!$S$270&gt;=_辅助!$J$4,资金流水!$S$270&lt;=_辅助!$J$2,OR(资金流水!$X$270="应付材料款",资金流水!$X$270="应付分包款",资金流水!$X$270="应付机械运输费",资金流水!$X$270="应付其他款")),INT(资金流水!$B$270)*10000+265,"")</f>
      </c>
      <c r="BE266" s="2">
        <f>BE250+SUM(CE251:CE266)</f>
        <v>0</v>
      </c>
      <c r="CA266" s="2">
        <f>IF(AND(OR(_余额!$B$268="材料供应商",_余额!$B$268="分包",_余额!$B$268="机械运输",_余额!$B$268="其他"),OR($C$3="全部",_余额!$B$268=$C$3),OR(_余额!$G$268&lt;&gt;0,_余额!$H$268&lt;&gt;0)),1,0)</f>
        <v>0</v>
      </c>
      <c r="CD266" s="2">
        <f>IF(($C$130&lt;&gt;"")*(应付登记!$D$270=$C$130)*ISNUMBER(应付登记!$J$270)*(应付登记!$J$270&gt;=_辅助!$J$4)*(应付登记!$J$270&lt;=_辅助!$J$2),1,0)</f>
        <v>0</v>
      </c>
      <c r="CE266" s="2">
        <f>IF(($C$130&lt;&gt;"")*(代发抵账!$E$270=$C$130)*(代发抵账!$D$270="总包代付材料分包款")*ISNUMBER(代发抵账!$H$270)*(代发抵账!$H$270&lt;=_辅助!$J$2),1,0)</f>
        <v>0</v>
      </c>
    </row>
    <row r="267">
      <c r="A267" s="94">
        <f>IF($AW267+$AX267=0,"",135)</f>
      </c>
      <c r="B267" s="95">
        <f t="shared" si="25"/>
      </c>
      <c r="C267" s="96">
        <f t="shared" si="27"/>
      </c>
      <c r="D267" s="96">
        <f t="shared" si="1"/>
      </c>
      <c r="E267" s="21">
        <f t="shared" si="4"/>
      </c>
      <c r="G267" s="94">
        <f>IF($AU267+$AV267=0,"",135)</f>
      </c>
      <c r="H267" s="95">
        <f t="shared" si="7"/>
      </c>
      <c r="I267" s="96">
        <f t="shared" si="9"/>
      </c>
      <c r="J267" s="96">
        <f t="shared" si="29"/>
      </c>
      <c r="K267" s="21">
        <f t="shared" si="11"/>
      </c>
      <c r="AU267" s="2">
        <f>IF(AND(134&gt;=1,134&lt;=$BD$1),IF(134&gt;$BD$1,0,MOD(SMALL($BD$2:$BD$2001,134),10000)),0)</f>
        <v>0</v>
      </c>
      <c r="AV267" s="2">
        <f>IF(AND(134&gt;$BD$1,134&lt;=$BD$1+$BE$300),IF(134-$BD$1&gt;$BE$300,0,IFERROR(MATCH(134-$BD$1,$BE$1:$BE$300,0),0)),0)</f>
        <v>0</v>
      </c>
      <c r="AW267" s="2">
        <f>IF(135&lt;=$BB$200,IF(135&gt;$BB$200,0,IFERROR(MATCH(135,$BB$1:$BB$200,0),0)),0)</f>
        <v>0</v>
      </c>
      <c r="AX267" s="2">
        <f>IF(AND(135&gt;$BB$200,135&lt;=$BB$200+$BC$1000),IF(135-$BB$200&gt;$BC$1000,0,IFERROR(MATCH(135-$BB$200,$BC$1:$BC$1000,0),0)),0)</f>
        <v>0</v>
      </c>
      <c r="AZ267" s="2">
        <f>AZ250+SUM(CA251:CA267)</f>
        <v>29</v>
      </c>
      <c r="BC267" s="2">
        <f>BC250+SUM(CD251:CD267)</f>
        <v>0</v>
      </c>
      <c r="BD267" s="2">
        <f>IF(AND($C$130&lt;&gt;"",资金流水!$J$271=$C$130,ISNUMBER(资金流水!$B$271),ISNUMBER(资金流水!$S$271),资金流水!$S$271&gt;=_辅助!$J$4,资金流水!$S$271&lt;=_辅助!$J$2,OR(资金流水!$X$271="应付材料款",资金流水!$X$271="应付分包款",资金流水!$X$271="应付机械运输费",资金流水!$X$271="应付其他款")),INT(资金流水!$B$271)*10000+266,"")</f>
      </c>
      <c r="BE267" s="2">
        <f>BE250+SUM(CE251:CE267)</f>
        <v>0</v>
      </c>
      <c r="CA267" s="2">
        <f>IF(AND(OR(_余额!$B$269="材料供应商",_余额!$B$269="分包",_余额!$B$269="机械运输",_余额!$B$269="其他"),OR($C$3="全部",_余额!$B$269=$C$3),OR(_余额!$G$269&lt;&gt;0,_余额!$H$269&lt;&gt;0)),1,0)</f>
        <v>0</v>
      </c>
      <c r="CD267" s="2">
        <f>IF(($C$130&lt;&gt;"")*(应付登记!$D$271=$C$130)*ISNUMBER(应付登记!$J$271)*(应付登记!$J$271&gt;=_辅助!$J$4)*(应付登记!$J$271&lt;=_辅助!$J$2),1,0)</f>
        <v>0</v>
      </c>
      <c r="CE267" s="2">
        <f>IF(($C$130&lt;&gt;"")*(代发抵账!$E$271=$C$130)*(代发抵账!$D$271="总包代付材料分包款")*ISNUMBER(代发抵账!$H$271)*(代发抵账!$H$271&lt;=_辅助!$J$2),1,0)</f>
        <v>0</v>
      </c>
    </row>
    <row r="268">
      <c r="A268" s="94">
        <f>IF($AW268+$AX268=0,"",136)</f>
      </c>
      <c r="B268" s="95">
        <f t="shared" si="25"/>
      </c>
      <c r="C268" s="96">
        <f t="shared" si="27"/>
      </c>
      <c r="D268" s="96">
        <f t="shared" si="1"/>
      </c>
      <c r="E268" s="21">
        <f t="shared" si="4"/>
      </c>
      <c r="G268" s="94">
        <f>IF($AU268+$AV268=0,"",136)</f>
      </c>
      <c r="H268" s="95">
        <f t="shared" si="7"/>
      </c>
      <c r="I268" s="96">
        <f t="shared" si="9"/>
      </c>
      <c r="J268" s="96">
        <f t="shared" si="29"/>
      </c>
      <c r="K268" s="21">
        <f t="shared" si="11"/>
      </c>
      <c r="AU268" s="2">
        <f>IF(AND(135&gt;=1,135&lt;=$BD$1),IF(135&gt;$BD$1,0,MOD(SMALL($BD$2:$BD$2001,135),10000)),0)</f>
        <v>0</v>
      </c>
      <c r="AV268" s="2">
        <f>IF(AND(135&gt;$BD$1,135&lt;=$BD$1+$BE$300),IF(135-$BD$1&gt;$BE$300,0,IFERROR(MATCH(135-$BD$1,$BE$1:$BE$300,0),0)),0)</f>
        <v>0</v>
      </c>
      <c r="AW268" s="2">
        <f>IF(136&lt;=$BB$200,IF(136&gt;$BB$200,0,IFERROR(MATCH(136,$BB$1:$BB$200,0),0)),0)</f>
        <v>0</v>
      </c>
      <c r="AX268" s="2">
        <f>IF(AND(136&gt;$BB$200,136&lt;=$BB$200+$BC$1000),IF(136-$BB$200&gt;$BC$1000,0,IFERROR(MATCH(136-$BB$200,$BC$1:$BC$1000,0),0)),0)</f>
        <v>0</v>
      </c>
      <c r="AZ268" s="2">
        <f>AZ250+SUM(CA251:CA268)</f>
        <v>29</v>
      </c>
      <c r="BC268" s="2">
        <f>BC250+SUM(CD251:CD268)</f>
        <v>0</v>
      </c>
      <c r="BD268" s="2">
        <f>IF(AND($C$130&lt;&gt;"",资金流水!$J$272=$C$130,ISNUMBER(资金流水!$B$272),ISNUMBER(资金流水!$S$272),资金流水!$S$272&gt;=_辅助!$J$4,资金流水!$S$272&lt;=_辅助!$J$2,OR(资金流水!$X$272="应付材料款",资金流水!$X$272="应付分包款",资金流水!$X$272="应付机械运输费",资金流水!$X$272="应付其他款")),INT(资金流水!$B$272)*10000+267,"")</f>
      </c>
      <c r="BE268" s="2">
        <f>BE250+SUM(CE251:CE268)</f>
        <v>0</v>
      </c>
      <c r="CA268" s="2">
        <f>IF(AND(OR(_余额!$B$270="材料供应商",_余额!$B$270="分包",_余额!$B$270="机械运输",_余额!$B$270="其他"),OR($C$3="全部",_余额!$B$270=$C$3),OR(_余额!$G$270&lt;&gt;0,_余额!$H$270&lt;&gt;0)),1,0)</f>
        <v>0</v>
      </c>
      <c r="CD268" s="2">
        <f>IF(($C$130&lt;&gt;"")*(应付登记!$D$272=$C$130)*ISNUMBER(应付登记!$J$272)*(应付登记!$J$272&gt;=_辅助!$J$4)*(应付登记!$J$272&lt;=_辅助!$J$2),1,0)</f>
        <v>0</v>
      </c>
      <c r="CE268" s="2">
        <f>IF(($C$130&lt;&gt;"")*(代发抵账!$E$272=$C$130)*(代发抵账!$D$272="总包代付材料分包款")*ISNUMBER(代发抵账!$H$272)*(代发抵账!$H$272&lt;=_辅助!$J$2),1,0)</f>
        <v>0</v>
      </c>
    </row>
    <row r="269">
      <c r="A269" s="94">
        <f>IF($AW269+$AX269=0,"",137)</f>
      </c>
      <c r="B269" s="95">
        <f t="shared" si="25"/>
      </c>
      <c r="C269" s="96">
        <f t="shared" si="27"/>
      </c>
      <c r="D269" s="96">
        <f t="shared" si="1"/>
      </c>
      <c r="E269" s="21">
        <f t="shared" si="4"/>
      </c>
      <c r="G269" s="94">
        <f>IF($AU269+$AV269=0,"",137)</f>
      </c>
      <c r="H269" s="95">
        <f t="shared" si="7"/>
      </c>
      <c r="I269" s="96">
        <f t="shared" si="9"/>
      </c>
      <c r="J269" s="96">
        <f t="shared" si="29"/>
      </c>
      <c r="K269" s="21">
        <f t="shared" si="11"/>
      </c>
      <c r="AU269" s="2">
        <f>IF(AND(136&gt;=1,136&lt;=$BD$1),IF(136&gt;$BD$1,0,MOD(SMALL($BD$2:$BD$2001,136),10000)),0)</f>
        <v>0</v>
      </c>
      <c r="AV269" s="2">
        <f>IF(AND(136&gt;$BD$1,136&lt;=$BD$1+$BE$300),IF(136-$BD$1&gt;$BE$300,0,IFERROR(MATCH(136-$BD$1,$BE$1:$BE$300,0),0)),0)</f>
        <v>0</v>
      </c>
      <c r="AW269" s="2">
        <f>IF(137&lt;=$BB$200,IF(137&gt;$BB$200,0,IFERROR(MATCH(137,$BB$1:$BB$200,0),0)),0)</f>
        <v>0</v>
      </c>
      <c r="AX269" s="2">
        <f>IF(AND(137&gt;$BB$200,137&lt;=$BB$200+$BC$1000),IF(137-$BB$200&gt;$BC$1000,0,IFERROR(MATCH(137-$BB$200,$BC$1:$BC$1000,0),0)),0)</f>
        <v>0</v>
      </c>
      <c r="AZ269" s="2">
        <f>AZ250+SUM(CA251:CA269)</f>
        <v>29</v>
      </c>
      <c r="BC269" s="2">
        <f>BC250+SUM(CD251:CD269)</f>
        <v>0</v>
      </c>
      <c r="BD269" s="2">
        <f>IF(AND($C$130&lt;&gt;"",资金流水!$J$273=$C$130,ISNUMBER(资金流水!$B$273),ISNUMBER(资金流水!$S$273),资金流水!$S$273&gt;=_辅助!$J$4,资金流水!$S$273&lt;=_辅助!$J$2,OR(资金流水!$X$273="应付材料款",资金流水!$X$273="应付分包款",资金流水!$X$273="应付机械运输费",资金流水!$X$273="应付其他款")),INT(资金流水!$B$273)*10000+268,"")</f>
      </c>
      <c r="BE269" s="2">
        <f>BE250+SUM(CE251:CE269)</f>
        <v>0</v>
      </c>
      <c r="CA269" s="2">
        <f>IF(AND(OR(_余额!$B$271="材料供应商",_余额!$B$271="分包",_余额!$B$271="机械运输",_余额!$B$271="其他"),OR($C$3="全部",_余额!$B$271=$C$3),OR(_余额!$G$271&lt;&gt;0,_余额!$H$271&lt;&gt;0)),1,0)</f>
        <v>0</v>
      </c>
      <c r="CD269" s="2">
        <f>IF(($C$130&lt;&gt;"")*(应付登记!$D$273=$C$130)*ISNUMBER(应付登记!$J$273)*(应付登记!$J$273&gt;=_辅助!$J$4)*(应付登记!$J$273&lt;=_辅助!$J$2),1,0)</f>
        <v>0</v>
      </c>
      <c r="CE269" s="2">
        <f>IF(($C$130&lt;&gt;"")*(代发抵账!$E$273=$C$130)*(代发抵账!$D$273="总包代付材料分包款")*ISNUMBER(代发抵账!$H$273)*(代发抵账!$H$273&lt;=_辅助!$J$2),1,0)</f>
        <v>0</v>
      </c>
    </row>
    <row r="270">
      <c r="A270" s="94">
        <f>IF($AW270+$AX270=0,"",138)</f>
      </c>
      <c r="B270" s="95">
        <f t="shared" si="25"/>
      </c>
      <c r="C270" s="96">
        <f t="shared" si="27"/>
      </c>
      <c r="D270" s="96">
        <f t="shared" si="1"/>
      </c>
      <c r="E270" s="21">
        <f t="shared" si="4"/>
      </c>
      <c r="G270" s="94">
        <f>IF($AU270+$AV270=0,"",138)</f>
      </c>
      <c r="H270" s="95">
        <f t="shared" si="7"/>
      </c>
      <c r="I270" s="96">
        <f t="shared" si="9"/>
      </c>
      <c r="J270" s="96">
        <f t="shared" si="29"/>
      </c>
      <c r="K270" s="21">
        <f t="shared" si="11"/>
      </c>
      <c r="AU270" s="2">
        <f>IF(AND(137&gt;=1,137&lt;=$BD$1),IF(137&gt;$BD$1,0,MOD(SMALL($BD$2:$BD$2001,137),10000)),0)</f>
        <v>0</v>
      </c>
      <c r="AV270" s="2">
        <f>IF(AND(137&gt;$BD$1,137&lt;=$BD$1+$BE$300),IF(137-$BD$1&gt;$BE$300,0,IFERROR(MATCH(137-$BD$1,$BE$1:$BE$300,0),0)),0)</f>
        <v>0</v>
      </c>
      <c r="AW270" s="2">
        <f>IF(138&lt;=$BB$200,IF(138&gt;$BB$200,0,IFERROR(MATCH(138,$BB$1:$BB$200,0),0)),0)</f>
        <v>0</v>
      </c>
      <c r="AX270" s="2">
        <f>IF(AND(138&gt;$BB$200,138&lt;=$BB$200+$BC$1000),IF(138-$BB$200&gt;$BC$1000,0,IFERROR(MATCH(138-$BB$200,$BC$1:$BC$1000,0),0)),0)</f>
        <v>0</v>
      </c>
      <c r="AZ270" s="2">
        <f>AZ250+SUM(CA251:CA270)</f>
        <v>29</v>
      </c>
      <c r="BC270" s="2">
        <f>BC250+SUM(CD251:CD270)</f>
        <v>0</v>
      </c>
      <c r="BD270" s="2">
        <f>IF(AND($C$130&lt;&gt;"",资金流水!$J$274=$C$130,ISNUMBER(资金流水!$B$274),ISNUMBER(资金流水!$S$274),资金流水!$S$274&gt;=_辅助!$J$4,资金流水!$S$274&lt;=_辅助!$J$2,OR(资金流水!$X$274="应付材料款",资金流水!$X$274="应付分包款",资金流水!$X$274="应付机械运输费",资金流水!$X$274="应付其他款")),INT(资金流水!$B$274)*10000+269,"")</f>
      </c>
      <c r="BE270" s="2">
        <f>BE250+SUM(CE251:CE270)</f>
        <v>0</v>
      </c>
      <c r="CA270" s="2">
        <f>IF(AND(OR(_余额!$B$272="材料供应商",_余额!$B$272="分包",_余额!$B$272="机械运输",_余额!$B$272="其他"),OR($C$3="全部",_余额!$B$272=$C$3),OR(_余额!$G$272&lt;&gt;0,_余额!$H$272&lt;&gt;0)),1,0)</f>
        <v>0</v>
      </c>
      <c r="CD270" s="2">
        <f>IF(($C$130&lt;&gt;"")*(应付登记!$D$274=$C$130)*ISNUMBER(应付登记!$J$274)*(应付登记!$J$274&gt;=_辅助!$J$4)*(应付登记!$J$274&lt;=_辅助!$J$2),1,0)</f>
        <v>0</v>
      </c>
      <c r="CE270" s="2">
        <f>IF(($C$130&lt;&gt;"")*(代发抵账!$E$274=$C$130)*(代发抵账!$D$274="总包代付材料分包款")*ISNUMBER(代发抵账!$H$274)*(代发抵账!$H$274&lt;=_辅助!$J$2),1,0)</f>
        <v>0</v>
      </c>
    </row>
    <row r="271">
      <c r="A271" s="94">
        <f>IF($AW271+$AX271=0,"",139)</f>
      </c>
      <c r="B271" s="95">
        <f t="shared" si="25"/>
      </c>
      <c r="C271" s="96">
        <f t="shared" si="27"/>
      </c>
      <c r="D271" s="96">
        <f t="shared" si="1"/>
      </c>
      <c r="E271" s="21">
        <f t="shared" si="4"/>
      </c>
      <c r="G271" s="94">
        <f>IF($AU271+$AV271=0,"",139)</f>
      </c>
      <c r="H271" s="95">
        <f t="shared" si="7"/>
      </c>
      <c r="I271" s="96">
        <f t="shared" si="9"/>
      </c>
      <c r="J271" s="96">
        <f t="shared" si="29"/>
      </c>
      <c r="K271" s="21">
        <f t="shared" si="11"/>
      </c>
      <c r="AU271" s="2">
        <f>IF(AND(138&gt;=1,138&lt;=$BD$1),IF(138&gt;$BD$1,0,MOD(SMALL($BD$2:$BD$2001,138),10000)),0)</f>
        <v>0</v>
      </c>
      <c r="AV271" s="2">
        <f>IF(AND(138&gt;$BD$1,138&lt;=$BD$1+$BE$300),IF(138-$BD$1&gt;$BE$300,0,IFERROR(MATCH(138-$BD$1,$BE$1:$BE$300,0),0)),0)</f>
        <v>0</v>
      </c>
      <c r="AW271" s="2">
        <f>IF(139&lt;=$BB$200,IF(139&gt;$BB$200,0,IFERROR(MATCH(139,$BB$1:$BB$200,0),0)),0)</f>
        <v>0</v>
      </c>
      <c r="AX271" s="2">
        <f>IF(AND(139&gt;$BB$200,139&lt;=$BB$200+$BC$1000),IF(139-$BB$200&gt;$BC$1000,0,IFERROR(MATCH(139-$BB$200,$BC$1:$BC$1000,0),0)),0)</f>
        <v>0</v>
      </c>
      <c r="AZ271" s="2">
        <f>AZ250+SUM(CA251:CA271)</f>
        <v>29</v>
      </c>
      <c r="BC271" s="2">
        <f>BC250+SUM(CD251:CD271)</f>
        <v>0</v>
      </c>
      <c r="BD271" s="2">
        <f>IF(AND($C$130&lt;&gt;"",资金流水!$J$275=$C$130,ISNUMBER(资金流水!$B$275),ISNUMBER(资金流水!$S$275),资金流水!$S$275&gt;=_辅助!$J$4,资金流水!$S$275&lt;=_辅助!$J$2,OR(资金流水!$X$275="应付材料款",资金流水!$X$275="应付分包款",资金流水!$X$275="应付机械运输费",资金流水!$X$275="应付其他款")),INT(资金流水!$B$275)*10000+270,"")</f>
      </c>
      <c r="BE271" s="2">
        <f>BE250+SUM(CE251:CE271)</f>
        <v>0</v>
      </c>
      <c r="CA271" s="2">
        <f>IF(AND(OR(_余额!$B$273="材料供应商",_余额!$B$273="分包",_余额!$B$273="机械运输",_余额!$B$273="其他"),OR($C$3="全部",_余额!$B$273=$C$3),OR(_余额!$G$273&lt;&gt;0,_余额!$H$273&lt;&gt;0)),1,0)</f>
        <v>0</v>
      </c>
      <c r="CD271" s="2">
        <f>IF(($C$130&lt;&gt;"")*(应付登记!$D$275=$C$130)*ISNUMBER(应付登记!$J$275)*(应付登记!$J$275&gt;=_辅助!$J$4)*(应付登记!$J$275&lt;=_辅助!$J$2),1,0)</f>
        <v>0</v>
      </c>
      <c r="CE271" s="2">
        <f>IF(($C$130&lt;&gt;"")*(代发抵账!$E$275=$C$130)*(代发抵账!$D$275="总包代付材料分包款")*ISNUMBER(代发抵账!$H$275)*(代发抵账!$H$275&lt;=_辅助!$J$2),1,0)</f>
        <v>0</v>
      </c>
    </row>
    <row r="272">
      <c r="A272" s="94">
        <f>IF($AW272+$AX272=0,"",140)</f>
      </c>
      <c r="B272" s="95">
        <f t="shared" si="25"/>
      </c>
      <c r="C272" s="96">
        <f t="shared" si="27"/>
      </c>
      <c r="D272" s="96">
        <f t="shared" si="1"/>
      </c>
      <c r="E272" s="21">
        <f t="shared" si="4"/>
      </c>
      <c r="G272" s="94">
        <f>IF($AU272+$AV272=0,"",140)</f>
      </c>
      <c r="H272" s="95">
        <f t="shared" si="7"/>
      </c>
      <c r="I272" s="96">
        <f t="shared" si="9"/>
      </c>
      <c r="J272" s="96">
        <f t="shared" si="29"/>
      </c>
      <c r="K272" s="21">
        <f t="shared" si="11"/>
      </c>
      <c r="AU272" s="2">
        <f>IF(AND(139&gt;=1,139&lt;=$BD$1),IF(139&gt;$BD$1,0,MOD(SMALL($BD$2:$BD$2001,139),10000)),0)</f>
        <v>0</v>
      </c>
      <c r="AV272" s="2">
        <f>IF(AND(139&gt;$BD$1,139&lt;=$BD$1+$BE$300),IF(139-$BD$1&gt;$BE$300,0,IFERROR(MATCH(139-$BD$1,$BE$1:$BE$300,0),0)),0)</f>
        <v>0</v>
      </c>
      <c r="AW272" s="2">
        <f>IF(140&lt;=$BB$200,IF(140&gt;$BB$200,0,IFERROR(MATCH(140,$BB$1:$BB$200,0),0)),0)</f>
        <v>0</v>
      </c>
      <c r="AX272" s="2">
        <f>IF(AND(140&gt;$BB$200,140&lt;=$BB$200+$BC$1000),IF(140-$BB$200&gt;$BC$1000,0,IFERROR(MATCH(140-$BB$200,$BC$1:$BC$1000,0),0)),0)</f>
        <v>0</v>
      </c>
      <c r="AZ272" s="2">
        <f>AZ250+SUM(CA251:CA272)</f>
        <v>29</v>
      </c>
      <c r="BC272" s="2">
        <f>BC250+SUM(CD251:CD272)</f>
        <v>0</v>
      </c>
      <c r="BD272" s="2">
        <f>IF(AND($C$130&lt;&gt;"",资金流水!$J$276=$C$130,ISNUMBER(资金流水!$B$276),ISNUMBER(资金流水!$S$276),资金流水!$S$276&gt;=_辅助!$J$4,资金流水!$S$276&lt;=_辅助!$J$2,OR(资金流水!$X$276="应付材料款",资金流水!$X$276="应付分包款",资金流水!$X$276="应付机械运输费",资金流水!$X$276="应付其他款")),INT(资金流水!$B$276)*10000+271,"")</f>
      </c>
      <c r="BE272" s="2">
        <f>BE250+SUM(CE251:CE272)</f>
        <v>0</v>
      </c>
      <c r="CA272" s="2">
        <f>IF(AND(OR(_余额!$B$274="材料供应商",_余额!$B$274="分包",_余额!$B$274="机械运输",_余额!$B$274="其他"),OR($C$3="全部",_余额!$B$274=$C$3),OR(_余额!$G$274&lt;&gt;0,_余额!$H$274&lt;&gt;0)),1,0)</f>
        <v>0</v>
      </c>
      <c r="CD272" s="2">
        <f>IF(($C$130&lt;&gt;"")*(应付登记!$D$276=$C$130)*ISNUMBER(应付登记!$J$276)*(应付登记!$J$276&gt;=_辅助!$J$4)*(应付登记!$J$276&lt;=_辅助!$J$2),1,0)</f>
        <v>0</v>
      </c>
      <c r="CE272" s="2">
        <f>IF(($C$130&lt;&gt;"")*(代发抵账!$E$276=$C$130)*(代发抵账!$D$276="总包代付材料分包款")*ISNUMBER(代发抵账!$H$276)*(代发抵账!$H$276&lt;=_辅助!$J$2),1,0)</f>
        <v>0</v>
      </c>
    </row>
    <row r="273">
      <c r="A273" s="94">
        <f>IF($AW273+$AX273=0,"",141)</f>
      </c>
      <c r="B273" s="95">
        <f t="shared" si="25"/>
      </c>
      <c r="C273" s="96">
        <f t="shared" si="27"/>
      </c>
      <c r="D273" s="96">
        <f t="shared" si="1"/>
      </c>
      <c r="E273" s="21">
        <f t="shared" si="4"/>
      </c>
      <c r="G273" s="94">
        <f>IF($AU273+$AV273=0,"",141)</f>
      </c>
      <c r="H273" s="95">
        <f t="shared" si="7"/>
      </c>
      <c r="I273" s="96">
        <f t="shared" si="9"/>
      </c>
      <c r="J273" s="96">
        <f t="shared" si="29"/>
      </c>
      <c r="K273" s="21">
        <f t="shared" si="11"/>
      </c>
      <c r="AU273" s="2">
        <f>IF(AND(140&gt;=1,140&lt;=$BD$1),IF(140&gt;$BD$1,0,MOD(SMALL($BD$2:$BD$2001,140),10000)),0)</f>
        <v>0</v>
      </c>
      <c r="AV273" s="2">
        <f>IF(AND(140&gt;$BD$1,140&lt;=$BD$1+$BE$300),IF(140-$BD$1&gt;$BE$300,0,IFERROR(MATCH(140-$BD$1,$BE$1:$BE$300,0),0)),0)</f>
        <v>0</v>
      </c>
      <c r="AW273" s="2">
        <f>IF(141&lt;=$BB$200,IF(141&gt;$BB$200,0,IFERROR(MATCH(141,$BB$1:$BB$200,0),0)),0)</f>
        <v>0</v>
      </c>
      <c r="AX273" s="2">
        <f>IF(AND(141&gt;$BB$200,141&lt;=$BB$200+$BC$1000),IF(141-$BB$200&gt;$BC$1000,0,IFERROR(MATCH(141-$BB$200,$BC$1:$BC$1000,0),0)),0)</f>
        <v>0</v>
      </c>
      <c r="AZ273" s="2">
        <f>AZ250+SUM(CA251:CA273)</f>
        <v>29</v>
      </c>
      <c r="BC273" s="2">
        <f>BC250+SUM(CD251:CD273)</f>
        <v>0</v>
      </c>
      <c r="BD273" s="2">
        <f>IF(AND($C$130&lt;&gt;"",资金流水!$J$277=$C$130,ISNUMBER(资金流水!$B$277),ISNUMBER(资金流水!$S$277),资金流水!$S$277&gt;=_辅助!$J$4,资金流水!$S$277&lt;=_辅助!$J$2,OR(资金流水!$X$277="应付材料款",资金流水!$X$277="应付分包款",资金流水!$X$277="应付机械运输费",资金流水!$X$277="应付其他款")),INT(资金流水!$B$277)*10000+272,"")</f>
      </c>
      <c r="BE273" s="2">
        <f>BE250+SUM(CE251:CE273)</f>
        <v>0</v>
      </c>
      <c r="CA273" s="2">
        <f>IF(AND(OR(_余额!$B$275="材料供应商",_余额!$B$275="分包",_余额!$B$275="机械运输",_余额!$B$275="其他"),OR($C$3="全部",_余额!$B$275=$C$3),OR(_余额!$G$275&lt;&gt;0,_余额!$H$275&lt;&gt;0)),1,0)</f>
        <v>0</v>
      </c>
      <c r="CD273" s="2">
        <f>IF(($C$130&lt;&gt;"")*(应付登记!$D$277=$C$130)*ISNUMBER(应付登记!$J$277)*(应付登记!$J$277&gt;=_辅助!$J$4)*(应付登记!$J$277&lt;=_辅助!$J$2),1,0)</f>
        <v>0</v>
      </c>
      <c r="CE273" s="2">
        <f>IF(($C$130&lt;&gt;"")*(代发抵账!$E$277=$C$130)*(代发抵账!$D$277="总包代付材料分包款")*ISNUMBER(代发抵账!$H$277)*(代发抵账!$H$277&lt;=_辅助!$J$2),1,0)</f>
        <v>0</v>
      </c>
    </row>
    <row r="274">
      <c r="A274" s="94">
        <f>IF($AW274+$AX274=0,"",142)</f>
      </c>
      <c r="B274" s="95">
        <f t="shared" si="25"/>
      </c>
      <c r="C274" s="96">
        <f t="shared" si="27"/>
      </c>
      <c r="D274" s="96">
        <f t="shared" si="1"/>
      </c>
      <c r="E274" s="21">
        <f t="shared" si="4"/>
      </c>
      <c r="G274" s="94">
        <f>IF($AU274+$AV274=0,"",142)</f>
      </c>
      <c r="H274" s="95">
        <f t="shared" si="7"/>
      </c>
      <c r="I274" s="96">
        <f t="shared" si="9"/>
      </c>
      <c r="J274" s="96">
        <f t="shared" si="29"/>
      </c>
      <c r="K274" s="21">
        <f t="shared" si="11"/>
      </c>
      <c r="AU274" s="2">
        <f>IF(AND(141&gt;=1,141&lt;=$BD$1),IF(141&gt;$BD$1,0,MOD(SMALL($BD$2:$BD$2001,141),10000)),0)</f>
        <v>0</v>
      </c>
      <c r="AV274" s="2">
        <f>IF(AND(141&gt;$BD$1,141&lt;=$BD$1+$BE$300),IF(141-$BD$1&gt;$BE$300,0,IFERROR(MATCH(141-$BD$1,$BE$1:$BE$300,0),0)),0)</f>
        <v>0</v>
      </c>
      <c r="AW274" s="2">
        <f>IF(142&lt;=$BB$200,IF(142&gt;$BB$200,0,IFERROR(MATCH(142,$BB$1:$BB$200,0),0)),0)</f>
        <v>0</v>
      </c>
      <c r="AX274" s="2">
        <f>IF(AND(142&gt;$BB$200,142&lt;=$BB$200+$BC$1000),IF(142-$BB$200&gt;$BC$1000,0,IFERROR(MATCH(142-$BB$200,$BC$1:$BC$1000,0),0)),0)</f>
        <v>0</v>
      </c>
      <c r="AZ274" s="2">
        <f>AZ250+SUM(CA251:CA274)</f>
        <v>29</v>
      </c>
      <c r="BC274" s="2">
        <f>BC250+SUM(CD251:CD274)</f>
        <v>0</v>
      </c>
      <c r="BD274" s="2">
        <f>IF(AND($C$130&lt;&gt;"",资金流水!$J$278=$C$130,ISNUMBER(资金流水!$B$278),ISNUMBER(资金流水!$S$278),资金流水!$S$278&gt;=_辅助!$J$4,资金流水!$S$278&lt;=_辅助!$J$2,OR(资金流水!$X$278="应付材料款",资金流水!$X$278="应付分包款",资金流水!$X$278="应付机械运输费",资金流水!$X$278="应付其他款")),INT(资金流水!$B$278)*10000+273,"")</f>
      </c>
      <c r="BE274" s="2">
        <f>BE250+SUM(CE251:CE274)</f>
        <v>0</v>
      </c>
      <c r="CA274" s="2">
        <f>IF(AND(OR(_余额!$B$276="材料供应商",_余额!$B$276="分包",_余额!$B$276="机械运输",_余额!$B$276="其他"),OR($C$3="全部",_余额!$B$276=$C$3),OR(_余额!$G$276&lt;&gt;0,_余额!$H$276&lt;&gt;0)),1,0)</f>
        <v>0</v>
      </c>
      <c r="CD274" s="2">
        <f>IF(($C$130&lt;&gt;"")*(应付登记!$D$278=$C$130)*ISNUMBER(应付登记!$J$278)*(应付登记!$J$278&gt;=_辅助!$J$4)*(应付登记!$J$278&lt;=_辅助!$J$2),1,0)</f>
        <v>0</v>
      </c>
      <c r="CE274" s="2">
        <f>IF(($C$130&lt;&gt;"")*(代发抵账!$E$278=$C$130)*(代发抵账!$D$278="总包代付材料分包款")*ISNUMBER(代发抵账!$H$278)*(代发抵账!$H$278&lt;=_辅助!$J$2),1,0)</f>
        <v>0</v>
      </c>
    </row>
    <row r="275">
      <c r="A275" s="94">
        <f>IF($AW275+$AX275=0,"",143)</f>
      </c>
      <c r="B275" s="95">
        <f t="shared" si="25"/>
      </c>
      <c r="C275" s="96">
        <f t="shared" si="27"/>
      </c>
      <c r="D275" s="96">
        <f t="shared" si="1"/>
      </c>
      <c r="E275" s="21">
        <f t="shared" si="4"/>
      </c>
      <c r="G275" s="94">
        <f>IF($AU275+$AV275=0,"",143)</f>
      </c>
      <c r="H275" s="95">
        <f t="shared" si="7"/>
      </c>
      <c r="I275" s="96">
        <f t="shared" si="9"/>
      </c>
      <c r="J275" s="96">
        <f t="shared" si="29"/>
      </c>
      <c r="K275" s="21">
        <f t="shared" si="11"/>
      </c>
      <c r="AU275" s="2">
        <f>IF(AND(142&gt;=1,142&lt;=$BD$1),IF(142&gt;$BD$1,0,MOD(SMALL($BD$2:$BD$2001,142),10000)),0)</f>
        <v>0</v>
      </c>
      <c r="AV275" s="2">
        <f>IF(AND(142&gt;$BD$1,142&lt;=$BD$1+$BE$300),IF(142-$BD$1&gt;$BE$300,0,IFERROR(MATCH(142-$BD$1,$BE$1:$BE$300,0),0)),0)</f>
        <v>0</v>
      </c>
      <c r="AW275" s="2">
        <f>IF(143&lt;=$BB$200,IF(143&gt;$BB$200,0,IFERROR(MATCH(143,$BB$1:$BB$200,0),0)),0)</f>
        <v>0</v>
      </c>
      <c r="AX275" s="2">
        <f>IF(AND(143&gt;$BB$200,143&lt;=$BB$200+$BC$1000),IF(143-$BB$200&gt;$BC$1000,0,IFERROR(MATCH(143-$BB$200,$BC$1:$BC$1000,0),0)),0)</f>
        <v>0</v>
      </c>
      <c r="AZ275" s="2">
        <f>AZ250+SUM(CA251:CA275)</f>
        <v>29</v>
      </c>
      <c r="BC275" s="2">
        <f>BC250+SUM(CD251:CD275)</f>
        <v>0</v>
      </c>
      <c r="BD275" s="2">
        <f>IF(AND($C$130&lt;&gt;"",资金流水!$J$279=$C$130,ISNUMBER(资金流水!$B$279),ISNUMBER(资金流水!$S$279),资金流水!$S$279&gt;=_辅助!$J$4,资金流水!$S$279&lt;=_辅助!$J$2,OR(资金流水!$X$279="应付材料款",资金流水!$X$279="应付分包款",资金流水!$X$279="应付机械运输费",资金流水!$X$279="应付其他款")),INT(资金流水!$B$279)*10000+274,"")</f>
      </c>
      <c r="BE275" s="2">
        <f>BE250+SUM(CE251:CE275)</f>
        <v>0</v>
      </c>
      <c r="CA275" s="2">
        <f>IF(AND(OR(_余额!$B$277="材料供应商",_余额!$B$277="分包",_余额!$B$277="机械运输",_余额!$B$277="其他"),OR($C$3="全部",_余额!$B$277=$C$3),OR(_余额!$G$277&lt;&gt;0,_余额!$H$277&lt;&gt;0)),1,0)</f>
        <v>0</v>
      </c>
      <c r="CD275" s="2">
        <f>IF(($C$130&lt;&gt;"")*(应付登记!$D$279=$C$130)*ISNUMBER(应付登记!$J$279)*(应付登记!$J$279&gt;=_辅助!$J$4)*(应付登记!$J$279&lt;=_辅助!$J$2),1,0)</f>
        <v>0</v>
      </c>
      <c r="CE275" s="2">
        <f>IF(($C$130&lt;&gt;"")*(代发抵账!$E$279=$C$130)*(代发抵账!$D$279="总包代付材料分包款")*ISNUMBER(代发抵账!$H$279)*(代发抵账!$H$279&lt;=_辅助!$J$2),1,0)</f>
        <v>0</v>
      </c>
    </row>
    <row r="276">
      <c r="A276" s="94">
        <f>IF($AW276+$AX276=0,"",144)</f>
      </c>
      <c r="B276" s="95">
        <f t="shared" si="25"/>
      </c>
      <c r="C276" s="96">
        <f t="shared" si="27"/>
      </c>
      <c r="D276" s="96">
        <f t="shared" si="1"/>
      </c>
      <c r="E276" s="21">
        <f t="shared" si="4"/>
      </c>
      <c r="G276" s="94">
        <f>IF($AU276+$AV276=0,"",144)</f>
      </c>
      <c r="H276" s="95">
        <f t="shared" si="7"/>
      </c>
      <c r="I276" s="96">
        <f t="shared" si="9"/>
      </c>
      <c r="J276" s="96">
        <f t="shared" si="29"/>
      </c>
      <c r="K276" s="21">
        <f t="shared" si="11"/>
      </c>
      <c r="AU276" s="2">
        <f>IF(AND(143&gt;=1,143&lt;=$BD$1),IF(143&gt;$BD$1,0,MOD(SMALL($BD$2:$BD$2001,143),10000)),0)</f>
        <v>0</v>
      </c>
      <c r="AV276" s="2">
        <f>IF(AND(143&gt;$BD$1,143&lt;=$BD$1+$BE$300),IF(143-$BD$1&gt;$BE$300,0,IFERROR(MATCH(143-$BD$1,$BE$1:$BE$300,0),0)),0)</f>
        <v>0</v>
      </c>
      <c r="AW276" s="2">
        <f>IF(144&lt;=$BB$200,IF(144&gt;$BB$200,0,IFERROR(MATCH(144,$BB$1:$BB$200,0),0)),0)</f>
        <v>0</v>
      </c>
      <c r="AX276" s="2">
        <f>IF(AND(144&gt;$BB$200,144&lt;=$BB$200+$BC$1000),IF(144-$BB$200&gt;$BC$1000,0,IFERROR(MATCH(144-$BB$200,$BC$1:$BC$1000,0),0)),0)</f>
        <v>0</v>
      </c>
      <c r="AZ276" s="2">
        <f>AZ250+SUM(CA251:CA276)</f>
        <v>29</v>
      </c>
      <c r="BC276" s="2">
        <f>BC250+SUM(CD251:CD276)</f>
        <v>0</v>
      </c>
      <c r="BD276" s="2">
        <f>IF(AND($C$130&lt;&gt;"",资金流水!$J$280=$C$130,ISNUMBER(资金流水!$B$280),ISNUMBER(资金流水!$S$280),资金流水!$S$280&gt;=_辅助!$J$4,资金流水!$S$280&lt;=_辅助!$J$2,OR(资金流水!$X$280="应付材料款",资金流水!$X$280="应付分包款",资金流水!$X$280="应付机械运输费",资金流水!$X$280="应付其他款")),INT(资金流水!$B$280)*10000+275,"")</f>
      </c>
      <c r="BE276" s="2">
        <f>BE250+SUM(CE251:CE276)</f>
        <v>0</v>
      </c>
      <c r="CA276" s="2">
        <f>IF(AND(OR(_余额!$B$278="材料供应商",_余额!$B$278="分包",_余额!$B$278="机械运输",_余额!$B$278="其他"),OR($C$3="全部",_余额!$B$278=$C$3),OR(_余额!$G$278&lt;&gt;0,_余额!$H$278&lt;&gt;0)),1,0)</f>
        <v>0</v>
      </c>
      <c r="CD276" s="2">
        <f>IF(($C$130&lt;&gt;"")*(应付登记!$D$280=$C$130)*ISNUMBER(应付登记!$J$280)*(应付登记!$J$280&gt;=_辅助!$J$4)*(应付登记!$J$280&lt;=_辅助!$J$2),1,0)</f>
        <v>0</v>
      </c>
      <c r="CE276" s="2">
        <f>IF(($C$130&lt;&gt;"")*(代发抵账!$E$280=$C$130)*(代发抵账!$D$280="总包代付材料分包款")*ISNUMBER(代发抵账!$H$280)*(代发抵账!$H$280&lt;=_辅助!$J$2),1,0)</f>
        <v>0</v>
      </c>
    </row>
    <row r="277">
      <c r="A277" s="94">
        <f>IF($AW277+$AX277=0,"",145)</f>
      </c>
      <c r="B277" s="95">
        <f t="shared" si="25"/>
      </c>
      <c r="C277" s="96">
        <f t="shared" si="27"/>
      </c>
      <c r="D277" s="96">
        <f t="shared" si="1"/>
      </c>
      <c r="E277" s="21">
        <f t="shared" si="4"/>
      </c>
      <c r="G277" s="94">
        <f>IF($AU277+$AV277=0,"",145)</f>
      </c>
      <c r="H277" s="95">
        <f t="shared" si="7"/>
      </c>
      <c r="I277" s="96">
        <f t="shared" si="9"/>
      </c>
      <c r="J277" s="96">
        <f t="shared" si="29"/>
      </c>
      <c r="K277" s="21">
        <f t="shared" si="11"/>
      </c>
      <c r="AU277" s="2">
        <f>IF(AND(144&gt;=1,144&lt;=$BD$1),IF(144&gt;$BD$1,0,MOD(SMALL($BD$2:$BD$2001,144),10000)),0)</f>
        <v>0</v>
      </c>
      <c r="AV277" s="2">
        <f>IF(AND(144&gt;$BD$1,144&lt;=$BD$1+$BE$300),IF(144-$BD$1&gt;$BE$300,0,IFERROR(MATCH(144-$BD$1,$BE$1:$BE$300,0),0)),0)</f>
        <v>0</v>
      </c>
      <c r="AW277" s="2">
        <f>IF(145&lt;=$BB$200,IF(145&gt;$BB$200,0,IFERROR(MATCH(145,$BB$1:$BB$200,0),0)),0)</f>
        <v>0</v>
      </c>
      <c r="AX277" s="2">
        <f>IF(AND(145&gt;$BB$200,145&lt;=$BB$200+$BC$1000),IF(145-$BB$200&gt;$BC$1000,0,IFERROR(MATCH(145-$BB$200,$BC$1:$BC$1000,0),0)),0)</f>
        <v>0</v>
      </c>
      <c r="AZ277" s="2">
        <f>AZ250+SUM(CA251:CA277)</f>
        <v>29</v>
      </c>
      <c r="BC277" s="2">
        <f>BC250+SUM(CD251:CD277)</f>
        <v>0</v>
      </c>
      <c r="BD277" s="2">
        <f>IF(AND($C$130&lt;&gt;"",资金流水!$J$281=$C$130,ISNUMBER(资金流水!$B$281),ISNUMBER(资金流水!$S$281),资金流水!$S$281&gt;=_辅助!$J$4,资金流水!$S$281&lt;=_辅助!$J$2,OR(资金流水!$X$281="应付材料款",资金流水!$X$281="应付分包款",资金流水!$X$281="应付机械运输费",资金流水!$X$281="应付其他款")),INT(资金流水!$B$281)*10000+276,"")</f>
      </c>
      <c r="BE277" s="2">
        <f>BE250+SUM(CE251:CE277)</f>
        <v>0</v>
      </c>
      <c r="CA277" s="2">
        <f>IF(AND(OR(_余额!$B$279="材料供应商",_余额!$B$279="分包",_余额!$B$279="机械运输",_余额!$B$279="其他"),OR($C$3="全部",_余额!$B$279=$C$3),OR(_余额!$G$279&lt;&gt;0,_余额!$H$279&lt;&gt;0)),1,0)</f>
        <v>0</v>
      </c>
      <c r="CD277" s="2">
        <f>IF(($C$130&lt;&gt;"")*(应付登记!$D$281=$C$130)*ISNUMBER(应付登记!$J$281)*(应付登记!$J$281&gt;=_辅助!$J$4)*(应付登记!$J$281&lt;=_辅助!$J$2),1,0)</f>
        <v>0</v>
      </c>
      <c r="CE277" s="2">
        <f>IF(($C$130&lt;&gt;"")*(代发抵账!$E$281=$C$130)*(代发抵账!$D$281="总包代付材料分包款")*ISNUMBER(代发抵账!$H$281)*(代发抵账!$H$281&lt;=_辅助!$J$2),1,0)</f>
        <v>0</v>
      </c>
    </row>
    <row r="278">
      <c r="A278" s="94">
        <f>IF($AW278+$AX278=0,"",146)</f>
      </c>
      <c r="B278" s="95">
        <f t="shared" si="25"/>
      </c>
      <c r="C278" s="96">
        <f t="shared" si="27"/>
      </c>
      <c r="D278" s="96">
        <f t="shared" si="1"/>
      </c>
      <c r="E278" s="21">
        <f t="shared" si="4"/>
      </c>
      <c r="G278" s="94">
        <f>IF($AU278+$AV278=0,"",146)</f>
      </c>
      <c r="H278" s="95">
        <f t="shared" si="7"/>
      </c>
      <c r="I278" s="96">
        <f t="shared" si="9"/>
      </c>
      <c r="J278" s="96">
        <f t="shared" si="29"/>
      </c>
      <c r="K278" s="21">
        <f t="shared" si="11"/>
      </c>
      <c r="AU278" s="2">
        <f>IF(AND(145&gt;=1,145&lt;=$BD$1),IF(145&gt;$BD$1,0,MOD(SMALL($BD$2:$BD$2001,145),10000)),0)</f>
        <v>0</v>
      </c>
      <c r="AV278" s="2">
        <f>IF(AND(145&gt;$BD$1,145&lt;=$BD$1+$BE$300),IF(145-$BD$1&gt;$BE$300,0,IFERROR(MATCH(145-$BD$1,$BE$1:$BE$300,0),0)),0)</f>
        <v>0</v>
      </c>
      <c r="AW278" s="2">
        <f>IF(146&lt;=$BB$200,IF(146&gt;$BB$200,0,IFERROR(MATCH(146,$BB$1:$BB$200,0),0)),0)</f>
        <v>0</v>
      </c>
      <c r="AX278" s="2">
        <f>IF(AND(146&gt;$BB$200,146&lt;=$BB$200+$BC$1000),IF(146-$BB$200&gt;$BC$1000,0,IFERROR(MATCH(146-$BB$200,$BC$1:$BC$1000,0),0)),0)</f>
        <v>0</v>
      </c>
      <c r="AZ278" s="2">
        <f>AZ250+SUM(CA251:CA278)</f>
        <v>29</v>
      </c>
      <c r="BC278" s="2">
        <f>BC250+SUM(CD251:CD278)</f>
        <v>0</v>
      </c>
      <c r="BD278" s="2">
        <f>IF(AND($C$130&lt;&gt;"",资金流水!$J$282=$C$130,ISNUMBER(资金流水!$B$282),ISNUMBER(资金流水!$S$282),资金流水!$S$282&gt;=_辅助!$J$4,资金流水!$S$282&lt;=_辅助!$J$2,OR(资金流水!$X$282="应付材料款",资金流水!$X$282="应付分包款",资金流水!$X$282="应付机械运输费",资金流水!$X$282="应付其他款")),INT(资金流水!$B$282)*10000+277,"")</f>
      </c>
      <c r="BE278" s="2">
        <f>BE250+SUM(CE251:CE278)</f>
        <v>0</v>
      </c>
      <c r="CA278" s="2">
        <f>IF(AND(OR(_余额!$B$280="材料供应商",_余额!$B$280="分包",_余额!$B$280="机械运输",_余额!$B$280="其他"),OR($C$3="全部",_余额!$B$280=$C$3),OR(_余额!$G$280&lt;&gt;0,_余额!$H$280&lt;&gt;0)),1,0)</f>
        <v>0</v>
      </c>
      <c r="CD278" s="2">
        <f>IF(($C$130&lt;&gt;"")*(应付登记!$D$282=$C$130)*ISNUMBER(应付登记!$J$282)*(应付登记!$J$282&gt;=_辅助!$J$4)*(应付登记!$J$282&lt;=_辅助!$J$2),1,0)</f>
        <v>0</v>
      </c>
      <c r="CE278" s="2">
        <f>IF(($C$130&lt;&gt;"")*(代发抵账!$E$282=$C$130)*(代发抵账!$D$282="总包代付材料分包款")*ISNUMBER(代发抵账!$H$282)*(代发抵账!$H$282&lt;=_辅助!$J$2),1,0)</f>
        <v>0</v>
      </c>
    </row>
    <row r="279">
      <c r="A279" s="94">
        <f>IF($AW279+$AX279=0,"",147)</f>
      </c>
      <c r="B279" s="95">
        <f t="shared" si="25"/>
      </c>
      <c r="C279" s="96">
        <f t="shared" si="27"/>
      </c>
      <c r="D279" s="96">
        <f t="shared" si="1"/>
      </c>
      <c r="E279" s="21">
        <f t="shared" si="4"/>
      </c>
      <c r="G279" s="94">
        <f>IF($AU279+$AV279=0,"",147)</f>
      </c>
      <c r="H279" s="95">
        <f t="shared" si="7"/>
      </c>
      <c r="I279" s="96">
        <f t="shared" si="9"/>
      </c>
      <c r="J279" s="96">
        <f t="shared" si="29"/>
      </c>
      <c r="K279" s="21">
        <f t="shared" si="11"/>
      </c>
      <c r="AU279" s="2">
        <f>IF(AND(146&gt;=1,146&lt;=$BD$1),IF(146&gt;$BD$1,0,MOD(SMALL($BD$2:$BD$2001,146),10000)),0)</f>
        <v>0</v>
      </c>
      <c r="AV279" s="2">
        <f>IF(AND(146&gt;$BD$1,146&lt;=$BD$1+$BE$300),IF(146-$BD$1&gt;$BE$300,0,IFERROR(MATCH(146-$BD$1,$BE$1:$BE$300,0),0)),0)</f>
        <v>0</v>
      </c>
      <c r="AW279" s="2">
        <f>IF(147&lt;=$BB$200,IF(147&gt;$BB$200,0,IFERROR(MATCH(147,$BB$1:$BB$200,0),0)),0)</f>
        <v>0</v>
      </c>
      <c r="AX279" s="2">
        <f>IF(AND(147&gt;$BB$200,147&lt;=$BB$200+$BC$1000),IF(147-$BB$200&gt;$BC$1000,0,IFERROR(MATCH(147-$BB$200,$BC$1:$BC$1000,0),0)),0)</f>
        <v>0</v>
      </c>
      <c r="AZ279" s="2">
        <f>AZ250+SUM(CA251:CA279)</f>
        <v>29</v>
      </c>
      <c r="BC279" s="2">
        <f>BC250+SUM(CD251:CD279)</f>
        <v>0</v>
      </c>
      <c r="BD279" s="2">
        <f>IF(AND($C$130&lt;&gt;"",资金流水!$J$283=$C$130,ISNUMBER(资金流水!$B$283),ISNUMBER(资金流水!$S$283),资金流水!$S$283&gt;=_辅助!$J$4,资金流水!$S$283&lt;=_辅助!$J$2,OR(资金流水!$X$283="应付材料款",资金流水!$X$283="应付分包款",资金流水!$X$283="应付机械运输费",资金流水!$X$283="应付其他款")),INT(资金流水!$B$283)*10000+278,"")</f>
      </c>
      <c r="BE279" s="2">
        <f>BE250+SUM(CE251:CE279)</f>
        <v>0</v>
      </c>
      <c r="CA279" s="2">
        <f>IF(AND(OR(_余额!$B$281="材料供应商",_余额!$B$281="分包",_余额!$B$281="机械运输",_余额!$B$281="其他"),OR($C$3="全部",_余额!$B$281=$C$3),OR(_余额!$G$281&lt;&gt;0,_余额!$H$281&lt;&gt;0)),1,0)</f>
        <v>0</v>
      </c>
      <c r="CD279" s="2">
        <f>IF(($C$130&lt;&gt;"")*(应付登记!$D$283=$C$130)*ISNUMBER(应付登记!$J$283)*(应付登记!$J$283&gt;=_辅助!$J$4)*(应付登记!$J$283&lt;=_辅助!$J$2),1,0)</f>
        <v>0</v>
      </c>
      <c r="CE279" s="2">
        <f>IF(($C$130&lt;&gt;"")*(代发抵账!$E$283=$C$130)*(代发抵账!$D$283="总包代付材料分包款")*ISNUMBER(代发抵账!$H$283)*(代发抵账!$H$283&lt;=_辅助!$J$2),1,0)</f>
        <v>0</v>
      </c>
    </row>
    <row r="280">
      <c r="A280" s="94">
        <f>IF($AW280+$AX280=0,"",148)</f>
      </c>
      <c r="B280" s="95">
        <f t="shared" si="25"/>
      </c>
      <c r="C280" s="96">
        <f t="shared" si="27"/>
      </c>
      <c r="D280" s="96">
        <f t="shared" si="1"/>
      </c>
      <c r="E280" s="21">
        <f t="shared" si="4"/>
      </c>
      <c r="G280" s="94">
        <f>IF($AU280+$AV280=0,"",148)</f>
      </c>
      <c r="H280" s="95">
        <f t="shared" si="7"/>
      </c>
      <c r="I280" s="96">
        <f t="shared" si="9"/>
      </c>
      <c r="J280" s="96">
        <f t="shared" si="29"/>
      </c>
      <c r="K280" s="21">
        <f t="shared" si="11"/>
      </c>
      <c r="AU280" s="2">
        <f>IF(AND(147&gt;=1,147&lt;=$BD$1),IF(147&gt;$BD$1,0,MOD(SMALL($BD$2:$BD$2001,147),10000)),0)</f>
        <v>0</v>
      </c>
      <c r="AV280" s="2">
        <f>IF(AND(147&gt;$BD$1,147&lt;=$BD$1+$BE$300),IF(147-$BD$1&gt;$BE$300,0,IFERROR(MATCH(147-$BD$1,$BE$1:$BE$300,0),0)),0)</f>
        <v>0</v>
      </c>
      <c r="AW280" s="2">
        <f>IF(148&lt;=$BB$200,IF(148&gt;$BB$200,0,IFERROR(MATCH(148,$BB$1:$BB$200,0),0)),0)</f>
        <v>0</v>
      </c>
      <c r="AX280" s="2">
        <f>IF(AND(148&gt;$BB$200,148&lt;=$BB$200+$BC$1000),IF(148-$BB$200&gt;$BC$1000,0,IFERROR(MATCH(148-$BB$200,$BC$1:$BC$1000,0),0)),0)</f>
        <v>0</v>
      </c>
      <c r="AZ280" s="2">
        <f>AZ250+SUM(CA251:CA280)</f>
        <v>29</v>
      </c>
      <c r="BC280" s="2">
        <f>BC250+SUM(CD251:CD280)</f>
        <v>0</v>
      </c>
      <c r="BD280" s="2">
        <f>IF(AND($C$130&lt;&gt;"",资金流水!$J$284=$C$130,ISNUMBER(资金流水!$B$284),ISNUMBER(资金流水!$S$284),资金流水!$S$284&gt;=_辅助!$J$4,资金流水!$S$284&lt;=_辅助!$J$2,OR(资金流水!$X$284="应付材料款",资金流水!$X$284="应付分包款",资金流水!$X$284="应付机械运输费",资金流水!$X$284="应付其他款")),INT(资金流水!$B$284)*10000+279,"")</f>
      </c>
      <c r="BE280" s="2">
        <f>BE250+SUM(CE251:CE280)</f>
        <v>0</v>
      </c>
      <c r="CA280" s="2">
        <f>IF(AND(OR(_余额!$B$282="材料供应商",_余额!$B$282="分包",_余额!$B$282="机械运输",_余额!$B$282="其他"),OR($C$3="全部",_余额!$B$282=$C$3),OR(_余额!$G$282&lt;&gt;0,_余额!$H$282&lt;&gt;0)),1,0)</f>
        <v>0</v>
      </c>
      <c r="CD280" s="2">
        <f>IF(($C$130&lt;&gt;"")*(应付登记!$D$284=$C$130)*ISNUMBER(应付登记!$J$284)*(应付登记!$J$284&gt;=_辅助!$J$4)*(应付登记!$J$284&lt;=_辅助!$J$2),1,0)</f>
        <v>0</v>
      </c>
      <c r="CE280" s="2">
        <f>IF(($C$130&lt;&gt;"")*(代发抵账!$E$284=$C$130)*(代发抵账!$D$284="总包代付材料分包款")*ISNUMBER(代发抵账!$H$284)*(代发抵账!$H$284&lt;=_辅助!$J$2),1,0)</f>
        <v>0</v>
      </c>
    </row>
    <row r="281">
      <c r="A281" s="94">
        <f>IF($AW281+$AX281=0,"",149)</f>
      </c>
      <c r="B281" s="95">
        <f t="shared" si="25"/>
      </c>
      <c r="C281" s="96">
        <f t="shared" si="27"/>
      </c>
      <c r="D281" s="96">
        <f t="shared" si="1"/>
      </c>
      <c r="E281" s="21">
        <f t="shared" si="4"/>
      </c>
      <c r="G281" s="94">
        <f>IF($AU281+$AV281=0,"",149)</f>
      </c>
      <c r="H281" s="95">
        <f t="shared" si="7"/>
      </c>
      <c r="I281" s="96">
        <f t="shared" si="9"/>
      </c>
      <c r="J281" s="96">
        <f t="shared" si="29"/>
      </c>
      <c r="K281" s="21">
        <f t="shared" si="11"/>
      </c>
      <c r="AU281" s="2">
        <f>IF(AND(148&gt;=1,148&lt;=$BD$1),IF(148&gt;$BD$1,0,MOD(SMALL($BD$2:$BD$2001,148),10000)),0)</f>
        <v>0</v>
      </c>
      <c r="AV281" s="2">
        <f>IF(AND(148&gt;$BD$1,148&lt;=$BD$1+$BE$300),IF(148-$BD$1&gt;$BE$300,0,IFERROR(MATCH(148-$BD$1,$BE$1:$BE$300,0),0)),0)</f>
        <v>0</v>
      </c>
      <c r="AW281" s="2">
        <f>IF(149&lt;=$BB$200,IF(149&gt;$BB$200,0,IFERROR(MATCH(149,$BB$1:$BB$200,0),0)),0)</f>
        <v>0</v>
      </c>
      <c r="AX281" s="2">
        <f>IF(AND(149&gt;$BB$200,149&lt;=$BB$200+$BC$1000),IF(149-$BB$200&gt;$BC$1000,0,IFERROR(MATCH(149-$BB$200,$BC$1:$BC$1000,0),0)),0)</f>
        <v>0</v>
      </c>
      <c r="AZ281" s="2">
        <f>AZ250+SUM(CA251:CA281)</f>
        <v>29</v>
      </c>
      <c r="BC281" s="2">
        <f>BC250+SUM(CD251:CD281)</f>
        <v>0</v>
      </c>
      <c r="BD281" s="2">
        <f>IF(AND($C$130&lt;&gt;"",资金流水!$J$285=$C$130,ISNUMBER(资金流水!$B$285),ISNUMBER(资金流水!$S$285),资金流水!$S$285&gt;=_辅助!$J$4,资金流水!$S$285&lt;=_辅助!$J$2,OR(资金流水!$X$285="应付材料款",资金流水!$X$285="应付分包款",资金流水!$X$285="应付机械运输费",资金流水!$X$285="应付其他款")),INT(资金流水!$B$285)*10000+280,"")</f>
      </c>
      <c r="BE281" s="2">
        <f>BE250+SUM(CE251:CE281)</f>
        <v>0</v>
      </c>
      <c r="CA281" s="2">
        <f>IF(AND(OR(_余额!$B$283="材料供应商",_余额!$B$283="分包",_余额!$B$283="机械运输",_余额!$B$283="其他"),OR($C$3="全部",_余额!$B$283=$C$3),OR(_余额!$G$283&lt;&gt;0,_余额!$H$283&lt;&gt;0)),1,0)</f>
        <v>0</v>
      </c>
      <c r="CD281" s="2">
        <f>IF(($C$130&lt;&gt;"")*(应付登记!$D$285=$C$130)*ISNUMBER(应付登记!$J$285)*(应付登记!$J$285&gt;=_辅助!$J$4)*(应付登记!$J$285&lt;=_辅助!$J$2),1,0)</f>
        <v>0</v>
      </c>
      <c r="CE281" s="2">
        <f>IF(($C$130&lt;&gt;"")*(代发抵账!$E$285=$C$130)*(代发抵账!$D$285="总包代付材料分包款")*ISNUMBER(代发抵账!$H$285)*(代发抵账!$H$285&lt;=_辅助!$J$2),1,0)</f>
        <v>0</v>
      </c>
    </row>
    <row r="282">
      <c r="A282" s="94">
        <f>IF($AW282+$AX282=0,"",150)</f>
      </c>
      <c r="B282" s="95">
        <f t="shared" si="25"/>
      </c>
      <c r="C282" s="96">
        <f t="shared" si="27"/>
      </c>
      <c r="D282" s="96">
        <f t="shared" si="1"/>
      </c>
      <c r="E282" s="21">
        <f t="shared" si="4"/>
      </c>
      <c r="G282" s="94">
        <f>IF($AU282+$AV282=0,"",150)</f>
      </c>
      <c r="H282" s="95">
        <f t="shared" si="7"/>
      </c>
      <c r="I282" s="96">
        <f t="shared" si="9"/>
      </c>
      <c r="J282" s="96">
        <f t="shared" si="29"/>
      </c>
      <c r="K282" s="21">
        <f t="shared" si="11"/>
      </c>
      <c r="AU282" s="2">
        <f>IF(AND(149&gt;=1,149&lt;=$BD$1),IF(149&gt;$BD$1,0,MOD(SMALL($BD$2:$BD$2001,149),10000)),0)</f>
        <v>0</v>
      </c>
      <c r="AV282" s="2">
        <f>IF(AND(149&gt;$BD$1,149&lt;=$BD$1+$BE$300),IF(149-$BD$1&gt;$BE$300,0,IFERROR(MATCH(149-$BD$1,$BE$1:$BE$300,0),0)),0)</f>
        <v>0</v>
      </c>
      <c r="AW282" s="2">
        <f>IF(150&lt;=$BB$200,IF(150&gt;$BB$200,0,IFERROR(MATCH(150,$BB$1:$BB$200,0),0)),0)</f>
        <v>0</v>
      </c>
      <c r="AX282" s="2">
        <f>IF(AND(150&gt;$BB$200,150&lt;=$BB$200+$BC$1000),IF(150-$BB$200&gt;$BC$1000,0,IFERROR(MATCH(150-$BB$200,$BC$1:$BC$1000,0),0)),0)</f>
        <v>0</v>
      </c>
      <c r="AZ282" s="2">
        <f>AZ250+SUM(CA251:CA282)</f>
        <v>29</v>
      </c>
      <c r="BC282" s="2">
        <f>BC250+SUM(CD251:CD282)</f>
        <v>0</v>
      </c>
      <c r="BD282" s="2">
        <f>IF(AND($C$130&lt;&gt;"",资金流水!$J$286=$C$130,ISNUMBER(资金流水!$B$286),ISNUMBER(资金流水!$S$286),资金流水!$S$286&gt;=_辅助!$J$4,资金流水!$S$286&lt;=_辅助!$J$2,OR(资金流水!$X$286="应付材料款",资金流水!$X$286="应付分包款",资金流水!$X$286="应付机械运输费",资金流水!$X$286="应付其他款")),INT(资金流水!$B$286)*10000+281,"")</f>
      </c>
      <c r="BE282" s="2">
        <f>BE250+SUM(CE251:CE282)</f>
        <v>0</v>
      </c>
      <c r="CA282" s="2">
        <f>IF(AND(OR(_余额!$B$284="材料供应商",_余额!$B$284="分包",_余额!$B$284="机械运输",_余额!$B$284="其他"),OR($C$3="全部",_余额!$B$284=$C$3),OR(_余额!$G$284&lt;&gt;0,_余额!$H$284&lt;&gt;0)),1,0)</f>
        <v>0</v>
      </c>
      <c r="CD282" s="2">
        <f>IF(($C$130&lt;&gt;"")*(应付登记!$D$286=$C$130)*ISNUMBER(应付登记!$J$286)*(应付登记!$J$286&gt;=_辅助!$J$4)*(应付登记!$J$286&lt;=_辅助!$J$2),1,0)</f>
        <v>0</v>
      </c>
      <c r="CE282" s="2">
        <f>IF(($C$130&lt;&gt;"")*(代发抵账!$E$286=$C$130)*(代发抵账!$D$286="总包代付材料分包款")*ISNUMBER(代发抵账!$H$286)*(代发抵账!$H$286&lt;=_辅助!$J$2),1,0)</f>
        <v>0</v>
      </c>
    </row>
    <row r="283">
      <c r="AZ283" s="2">
        <f>AZ250+SUM(CA251:CA283)</f>
        <v>29</v>
      </c>
      <c r="BC283" s="2">
        <f>BC250+SUM(CD251:CD283)</f>
        <v>0</v>
      </c>
      <c r="BD283" s="2">
        <f>IF(AND($C$130&lt;&gt;"",资金流水!$J$287=$C$130,ISNUMBER(资金流水!$B$287),ISNUMBER(资金流水!$S$287),资金流水!$S$287&gt;=_辅助!$J$4,资金流水!$S$287&lt;=_辅助!$J$2,OR(资金流水!$X$287="应付材料款",资金流水!$X$287="应付分包款",资金流水!$X$287="应付机械运输费",资金流水!$X$287="应付其他款")),INT(资金流水!$B$287)*10000+282,"")</f>
      </c>
      <c r="BE283" s="2">
        <f>BE250+SUM(CE251:CE283)</f>
        <v>0</v>
      </c>
      <c r="CA283" s="2">
        <f>IF(AND(OR(_余额!$B$285="材料供应商",_余额!$B$285="分包",_余额!$B$285="机械运输",_余额!$B$285="其他"),OR($C$3="全部",_余额!$B$285=$C$3),OR(_余额!$G$285&lt;&gt;0,_余额!$H$285&lt;&gt;0)),1,0)</f>
        <v>0</v>
      </c>
      <c r="CD283" s="2">
        <f>IF(($C$130&lt;&gt;"")*(应付登记!$D$287=$C$130)*ISNUMBER(应付登记!$J$287)*(应付登记!$J$287&gt;=_辅助!$J$4)*(应付登记!$J$287&lt;=_辅助!$J$2),1,0)</f>
        <v>0</v>
      </c>
      <c r="CE283" s="2">
        <f>IF(($C$130&lt;&gt;"")*(代发抵账!$E$287=$C$130)*(代发抵账!$D$287="总包代付材料分包款")*ISNUMBER(代发抵账!$H$287)*(代发抵账!$H$287&lt;=_辅助!$J$2),1,0)</f>
        <v>0</v>
      </c>
    </row>
    <row r="284">
      <c r="AZ284" s="2">
        <f>AZ250+SUM(CA251:CA284)</f>
        <v>29</v>
      </c>
      <c r="BC284" s="2">
        <f>BC250+SUM(CD251:CD284)</f>
        <v>0</v>
      </c>
      <c r="BD284" s="2">
        <f>IF(AND($C$130&lt;&gt;"",资金流水!$J$288=$C$130,ISNUMBER(资金流水!$B$288),ISNUMBER(资金流水!$S$288),资金流水!$S$288&gt;=_辅助!$J$4,资金流水!$S$288&lt;=_辅助!$J$2,OR(资金流水!$X$288="应付材料款",资金流水!$X$288="应付分包款",资金流水!$X$288="应付机械运输费",资金流水!$X$288="应付其他款")),INT(资金流水!$B$288)*10000+283,"")</f>
      </c>
      <c r="BE284" s="2">
        <f>BE250+SUM(CE251:CE284)</f>
        <v>0</v>
      </c>
      <c r="CA284" s="2">
        <f>IF(AND(OR(_余额!$B$286="材料供应商",_余额!$B$286="分包",_余额!$B$286="机械运输",_余额!$B$286="其他"),OR($C$3="全部",_余额!$B$286=$C$3),OR(_余额!$G$286&lt;&gt;0,_余额!$H$286&lt;&gt;0)),1,0)</f>
        <v>0</v>
      </c>
      <c r="CD284" s="2">
        <f>IF(($C$130&lt;&gt;"")*(应付登记!$D$288=$C$130)*ISNUMBER(应付登记!$J$288)*(应付登记!$J$288&gt;=_辅助!$J$4)*(应付登记!$J$288&lt;=_辅助!$J$2),1,0)</f>
        <v>0</v>
      </c>
      <c r="CE284" s="2">
        <f>IF(($C$130&lt;&gt;"")*(代发抵账!$E$288=$C$130)*(代发抵账!$D$288="总包代付材料分包款")*ISNUMBER(代发抵账!$H$288)*(代发抵账!$H$288&lt;=_辅助!$J$2),1,0)</f>
        <v>0</v>
      </c>
    </row>
    <row r="285">
      <c r="AZ285" s="2">
        <f>AZ250+SUM(CA251:CA285)</f>
        <v>29</v>
      </c>
      <c r="BC285" s="2">
        <f>BC250+SUM(CD251:CD285)</f>
        <v>0</v>
      </c>
      <c r="BD285" s="2">
        <f>IF(AND($C$130&lt;&gt;"",资金流水!$J$289=$C$130,ISNUMBER(资金流水!$B$289),ISNUMBER(资金流水!$S$289),资金流水!$S$289&gt;=_辅助!$J$4,资金流水!$S$289&lt;=_辅助!$J$2,OR(资金流水!$X$289="应付材料款",资金流水!$X$289="应付分包款",资金流水!$X$289="应付机械运输费",资金流水!$X$289="应付其他款")),INT(资金流水!$B$289)*10000+284,"")</f>
      </c>
      <c r="BE285" s="2">
        <f>BE250+SUM(CE251:CE285)</f>
        <v>0</v>
      </c>
      <c r="CA285" s="2">
        <f>IF(AND(OR(_余额!$B$287="材料供应商",_余额!$B$287="分包",_余额!$B$287="机械运输",_余额!$B$287="其他"),OR($C$3="全部",_余额!$B$287=$C$3),OR(_余额!$G$287&lt;&gt;0,_余额!$H$287&lt;&gt;0)),1,0)</f>
        <v>0</v>
      </c>
      <c r="CD285" s="2">
        <f>IF(($C$130&lt;&gt;"")*(应付登记!$D$289=$C$130)*ISNUMBER(应付登记!$J$289)*(应付登记!$J$289&gt;=_辅助!$J$4)*(应付登记!$J$289&lt;=_辅助!$J$2),1,0)</f>
        <v>0</v>
      </c>
      <c r="CE285" s="2">
        <f>IF(($C$130&lt;&gt;"")*(代发抵账!$E$289=$C$130)*(代发抵账!$D$289="总包代付材料分包款")*ISNUMBER(代发抵账!$H$289)*(代发抵账!$H$289&lt;=_辅助!$J$2),1,0)</f>
        <v>0</v>
      </c>
    </row>
    <row r="286">
      <c r="AZ286" s="2">
        <f>AZ250+SUM(CA251:CA286)</f>
        <v>29</v>
      </c>
      <c r="BC286" s="2">
        <f>BC250+SUM(CD251:CD286)</f>
        <v>0</v>
      </c>
      <c r="BD286" s="2">
        <f>IF(AND($C$130&lt;&gt;"",资金流水!$J$290=$C$130,ISNUMBER(资金流水!$B$290),ISNUMBER(资金流水!$S$290),资金流水!$S$290&gt;=_辅助!$J$4,资金流水!$S$290&lt;=_辅助!$J$2,OR(资金流水!$X$290="应付材料款",资金流水!$X$290="应付分包款",资金流水!$X$290="应付机械运输费",资金流水!$X$290="应付其他款")),INT(资金流水!$B$290)*10000+285,"")</f>
      </c>
      <c r="BE286" s="2">
        <f>BE250+SUM(CE251:CE286)</f>
        <v>0</v>
      </c>
      <c r="CA286" s="2">
        <f>IF(AND(OR(_余额!$B$288="材料供应商",_余额!$B$288="分包",_余额!$B$288="机械运输",_余额!$B$288="其他"),OR($C$3="全部",_余额!$B$288=$C$3),OR(_余额!$G$288&lt;&gt;0,_余额!$H$288&lt;&gt;0)),1,0)</f>
        <v>0</v>
      </c>
      <c r="CD286" s="2">
        <f>IF(($C$130&lt;&gt;"")*(应付登记!$D$290=$C$130)*ISNUMBER(应付登记!$J$290)*(应付登记!$J$290&gt;=_辅助!$J$4)*(应付登记!$J$290&lt;=_辅助!$J$2),1,0)</f>
        <v>0</v>
      </c>
      <c r="CE286" s="2">
        <f>IF(($C$130&lt;&gt;"")*(代发抵账!$E$290=$C$130)*(代发抵账!$D$290="总包代付材料分包款")*ISNUMBER(代发抵账!$H$290)*(代发抵账!$H$290&lt;=_辅助!$J$2),1,0)</f>
        <v>0</v>
      </c>
    </row>
    <row r="287">
      <c r="AZ287" s="2">
        <f>AZ250+SUM(CA251:CA287)</f>
        <v>29</v>
      </c>
      <c r="BC287" s="2">
        <f>BC250+SUM(CD251:CD287)</f>
        <v>0</v>
      </c>
      <c r="BD287" s="2">
        <f>IF(AND($C$130&lt;&gt;"",资金流水!$J$291=$C$130,ISNUMBER(资金流水!$B$291),ISNUMBER(资金流水!$S$291),资金流水!$S$291&gt;=_辅助!$J$4,资金流水!$S$291&lt;=_辅助!$J$2,OR(资金流水!$X$291="应付材料款",资金流水!$X$291="应付分包款",资金流水!$X$291="应付机械运输费",资金流水!$X$291="应付其他款")),INT(资金流水!$B$291)*10000+286,"")</f>
      </c>
      <c r="BE287" s="2">
        <f>BE250+SUM(CE251:CE287)</f>
        <v>0</v>
      </c>
      <c r="CA287" s="2">
        <f>IF(AND(OR(_余额!$B$289="材料供应商",_余额!$B$289="分包",_余额!$B$289="机械运输",_余额!$B$289="其他"),OR($C$3="全部",_余额!$B$289=$C$3),OR(_余额!$G$289&lt;&gt;0,_余额!$H$289&lt;&gt;0)),1,0)</f>
        <v>0</v>
      </c>
      <c r="CD287" s="2">
        <f>IF(($C$130&lt;&gt;"")*(应付登记!$D$291=$C$130)*ISNUMBER(应付登记!$J$291)*(应付登记!$J$291&gt;=_辅助!$J$4)*(应付登记!$J$291&lt;=_辅助!$J$2),1,0)</f>
        <v>0</v>
      </c>
      <c r="CE287" s="2">
        <f>IF(($C$130&lt;&gt;"")*(代发抵账!$E$291=$C$130)*(代发抵账!$D$291="总包代付材料分包款")*ISNUMBER(代发抵账!$H$291)*(代发抵账!$H$291&lt;=_辅助!$J$2),1,0)</f>
        <v>0</v>
      </c>
    </row>
    <row r="288">
      <c r="AZ288" s="2">
        <f>AZ250+SUM(CA251:CA288)</f>
        <v>29</v>
      </c>
      <c r="BC288" s="2">
        <f>BC250+SUM(CD251:CD288)</f>
        <v>0</v>
      </c>
      <c r="BD288" s="2">
        <f>IF(AND($C$130&lt;&gt;"",资金流水!$J$292=$C$130,ISNUMBER(资金流水!$B$292),ISNUMBER(资金流水!$S$292),资金流水!$S$292&gt;=_辅助!$J$4,资金流水!$S$292&lt;=_辅助!$J$2,OR(资金流水!$X$292="应付材料款",资金流水!$X$292="应付分包款",资金流水!$X$292="应付机械运输费",资金流水!$X$292="应付其他款")),INT(资金流水!$B$292)*10000+287,"")</f>
      </c>
      <c r="BE288" s="2">
        <f>BE250+SUM(CE251:CE288)</f>
        <v>0</v>
      </c>
      <c r="CA288" s="2">
        <f>IF(AND(OR(_余额!$B$290="材料供应商",_余额!$B$290="分包",_余额!$B$290="机械运输",_余额!$B$290="其他"),OR($C$3="全部",_余额!$B$290=$C$3),OR(_余额!$G$290&lt;&gt;0,_余额!$H$290&lt;&gt;0)),1,0)</f>
        <v>0</v>
      </c>
      <c r="CD288" s="2">
        <f>IF(($C$130&lt;&gt;"")*(应付登记!$D$292=$C$130)*ISNUMBER(应付登记!$J$292)*(应付登记!$J$292&gt;=_辅助!$J$4)*(应付登记!$J$292&lt;=_辅助!$J$2),1,0)</f>
        <v>0</v>
      </c>
      <c r="CE288" s="2">
        <f>IF(($C$130&lt;&gt;"")*(代发抵账!$E$292=$C$130)*(代发抵账!$D$292="总包代付材料分包款")*ISNUMBER(代发抵账!$H$292)*(代发抵账!$H$292&lt;=_辅助!$J$2),1,0)</f>
        <v>0</v>
      </c>
    </row>
    <row r="289">
      <c r="AZ289" s="2">
        <f>AZ250+SUM(CA251:CA289)</f>
        <v>29</v>
      </c>
      <c r="BC289" s="2">
        <f>BC250+SUM(CD251:CD289)</f>
        <v>0</v>
      </c>
      <c r="BD289" s="2">
        <f>IF(AND($C$130&lt;&gt;"",资金流水!$J$293=$C$130,ISNUMBER(资金流水!$B$293),ISNUMBER(资金流水!$S$293),资金流水!$S$293&gt;=_辅助!$J$4,资金流水!$S$293&lt;=_辅助!$J$2,OR(资金流水!$X$293="应付材料款",资金流水!$X$293="应付分包款",资金流水!$X$293="应付机械运输费",资金流水!$X$293="应付其他款")),INT(资金流水!$B$293)*10000+288,"")</f>
      </c>
      <c r="BE289" s="2">
        <f>BE250+SUM(CE251:CE289)</f>
        <v>0</v>
      </c>
      <c r="CA289" s="2">
        <f>IF(AND(OR(_余额!$B$291="材料供应商",_余额!$B$291="分包",_余额!$B$291="机械运输",_余额!$B$291="其他"),OR($C$3="全部",_余额!$B$291=$C$3),OR(_余额!$G$291&lt;&gt;0,_余额!$H$291&lt;&gt;0)),1,0)</f>
        <v>0</v>
      </c>
      <c r="CD289" s="2">
        <f>IF(($C$130&lt;&gt;"")*(应付登记!$D$293=$C$130)*ISNUMBER(应付登记!$J$293)*(应付登记!$J$293&gt;=_辅助!$J$4)*(应付登记!$J$293&lt;=_辅助!$J$2),1,0)</f>
        <v>0</v>
      </c>
      <c r="CE289" s="2">
        <f>IF(($C$130&lt;&gt;"")*(代发抵账!$E$293=$C$130)*(代发抵账!$D$293="总包代付材料分包款")*ISNUMBER(代发抵账!$H$293)*(代发抵账!$H$293&lt;=_辅助!$J$2),1,0)</f>
        <v>0</v>
      </c>
    </row>
    <row r="290">
      <c r="AZ290" s="2">
        <f>AZ250+SUM(CA251:CA290)</f>
        <v>29</v>
      </c>
      <c r="BC290" s="2">
        <f>BC250+SUM(CD251:CD290)</f>
        <v>0</v>
      </c>
      <c r="BD290" s="2">
        <f>IF(AND($C$130&lt;&gt;"",资金流水!$J$294=$C$130,ISNUMBER(资金流水!$B$294),ISNUMBER(资金流水!$S$294),资金流水!$S$294&gt;=_辅助!$J$4,资金流水!$S$294&lt;=_辅助!$J$2,OR(资金流水!$X$294="应付材料款",资金流水!$X$294="应付分包款",资金流水!$X$294="应付机械运输费",资金流水!$X$294="应付其他款")),INT(资金流水!$B$294)*10000+289,"")</f>
      </c>
      <c r="BE290" s="2">
        <f>BE250+SUM(CE251:CE290)</f>
        <v>0</v>
      </c>
      <c r="CA290" s="2">
        <f>IF(AND(OR(_余额!$B$292="材料供应商",_余额!$B$292="分包",_余额!$B$292="机械运输",_余额!$B$292="其他"),OR($C$3="全部",_余额!$B$292=$C$3),OR(_余额!$G$292&lt;&gt;0,_余额!$H$292&lt;&gt;0)),1,0)</f>
        <v>0</v>
      </c>
      <c r="CD290" s="2">
        <f>IF(($C$130&lt;&gt;"")*(应付登记!$D$294=$C$130)*ISNUMBER(应付登记!$J$294)*(应付登记!$J$294&gt;=_辅助!$J$4)*(应付登记!$J$294&lt;=_辅助!$J$2),1,0)</f>
        <v>0</v>
      </c>
      <c r="CE290" s="2">
        <f>IF(($C$130&lt;&gt;"")*(代发抵账!$E$294=$C$130)*(代发抵账!$D$294="总包代付材料分包款")*ISNUMBER(代发抵账!$H$294)*(代发抵账!$H$294&lt;=_辅助!$J$2),1,0)</f>
        <v>0</v>
      </c>
    </row>
    <row r="291">
      <c r="AZ291" s="2">
        <f>AZ250+SUM(CA251:CA291)</f>
        <v>29</v>
      </c>
      <c r="BC291" s="2">
        <f>BC250+SUM(CD251:CD291)</f>
        <v>0</v>
      </c>
      <c r="BD291" s="2">
        <f>IF(AND($C$130&lt;&gt;"",资金流水!$J$295=$C$130,ISNUMBER(资金流水!$B$295),ISNUMBER(资金流水!$S$295),资金流水!$S$295&gt;=_辅助!$J$4,资金流水!$S$295&lt;=_辅助!$J$2,OR(资金流水!$X$295="应付材料款",资金流水!$X$295="应付分包款",资金流水!$X$295="应付机械运输费",资金流水!$X$295="应付其他款")),INT(资金流水!$B$295)*10000+290,"")</f>
      </c>
      <c r="BE291" s="2">
        <f>BE250+SUM(CE251:CE291)</f>
        <v>0</v>
      </c>
      <c r="CA291" s="2">
        <f>IF(AND(OR(_余额!$B$293="材料供应商",_余额!$B$293="分包",_余额!$B$293="机械运输",_余额!$B$293="其他"),OR($C$3="全部",_余额!$B$293=$C$3),OR(_余额!$G$293&lt;&gt;0,_余额!$H$293&lt;&gt;0)),1,0)</f>
        <v>0</v>
      </c>
      <c r="CD291" s="2">
        <f>IF(($C$130&lt;&gt;"")*(应付登记!$D$295=$C$130)*ISNUMBER(应付登记!$J$295)*(应付登记!$J$295&gt;=_辅助!$J$4)*(应付登记!$J$295&lt;=_辅助!$J$2),1,0)</f>
        <v>0</v>
      </c>
      <c r="CE291" s="2">
        <f>IF(($C$130&lt;&gt;"")*(代发抵账!$E$295=$C$130)*(代发抵账!$D$295="总包代付材料分包款")*ISNUMBER(代发抵账!$H$295)*(代发抵账!$H$295&lt;=_辅助!$J$2),1,0)</f>
        <v>0</v>
      </c>
    </row>
    <row r="292">
      <c r="AZ292" s="2">
        <f>AZ250+SUM(CA251:CA292)</f>
        <v>29</v>
      </c>
      <c r="BC292" s="2">
        <f>BC250+SUM(CD251:CD292)</f>
        <v>0</v>
      </c>
      <c r="BD292" s="2">
        <f>IF(AND($C$130&lt;&gt;"",资金流水!$J$296=$C$130,ISNUMBER(资金流水!$B$296),ISNUMBER(资金流水!$S$296),资金流水!$S$296&gt;=_辅助!$J$4,资金流水!$S$296&lt;=_辅助!$J$2,OR(资金流水!$X$296="应付材料款",资金流水!$X$296="应付分包款",资金流水!$X$296="应付机械运输费",资金流水!$X$296="应付其他款")),INT(资金流水!$B$296)*10000+291,"")</f>
      </c>
      <c r="BE292" s="2">
        <f>BE250+SUM(CE251:CE292)</f>
        <v>0</v>
      </c>
      <c r="CA292" s="2">
        <f>IF(AND(OR(_余额!$B$294="材料供应商",_余额!$B$294="分包",_余额!$B$294="机械运输",_余额!$B$294="其他"),OR($C$3="全部",_余额!$B$294=$C$3),OR(_余额!$G$294&lt;&gt;0,_余额!$H$294&lt;&gt;0)),1,0)</f>
        <v>0</v>
      </c>
      <c r="CD292" s="2">
        <f>IF(($C$130&lt;&gt;"")*(应付登记!$D$296=$C$130)*ISNUMBER(应付登记!$J$296)*(应付登记!$J$296&gt;=_辅助!$J$4)*(应付登记!$J$296&lt;=_辅助!$J$2),1,0)</f>
        <v>0</v>
      </c>
      <c r="CE292" s="2">
        <f>IF(($C$130&lt;&gt;"")*(代发抵账!$E$296=$C$130)*(代发抵账!$D$296="总包代付材料分包款")*ISNUMBER(代发抵账!$H$296)*(代发抵账!$H$296&lt;=_辅助!$J$2),1,0)</f>
        <v>0</v>
      </c>
    </row>
    <row r="293">
      <c r="AZ293" s="2">
        <f>AZ250+SUM(CA251:CA293)</f>
        <v>29</v>
      </c>
      <c r="BC293" s="2">
        <f>BC250+SUM(CD251:CD293)</f>
        <v>0</v>
      </c>
      <c r="BD293" s="2">
        <f>IF(AND($C$130&lt;&gt;"",资金流水!$J$297=$C$130,ISNUMBER(资金流水!$B$297),ISNUMBER(资金流水!$S$297),资金流水!$S$297&gt;=_辅助!$J$4,资金流水!$S$297&lt;=_辅助!$J$2,OR(资金流水!$X$297="应付材料款",资金流水!$X$297="应付分包款",资金流水!$X$297="应付机械运输费",资金流水!$X$297="应付其他款")),INT(资金流水!$B$297)*10000+292,"")</f>
      </c>
      <c r="BE293" s="2">
        <f>BE250+SUM(CE251:CE293)</f>
        <v>0</v>
      </c>
      <c r="CA293" s="2">
        <f>IF(AND(OR(_余额!$B$295="材料供应商",_余额!$B$295="分包",_余额!$B$295="机械运输",_余额!$B$295="其他"),OR($C$3="全部",_余额!$B$295=$C$3),OR(_余额!$G$295&lt;&gt;0,_余额!$H$295&lt;&gt;0)),1,0)</f>
        <v>0</v>
      </c>
      <c r="CD293" s="2">
        <f>IF(($C$130&lt;&gt;"")*(应付登记!$D$297=$C$130)*ISNUMBER(应付登记!$J$297)*(应付登记!$J$297&gt;=_辅助!$J$4)*(应付登记!$J$297&lt;=_辅助!$J$2),1,0)</f>
        <v>0</v>
      </c>
      <c r="CE293" s="2">
        <f>IF(($C$130&lt;&gt;"")*(代发抵账!$E$297=$C$130)*(代发抵账!$D$297="总包代付材料分包款")*ISNUMBER(代发抵账!$H$297)*(代发抵账!$H$297&lt;=_辅助!$J$2),1,0)</f>
        <v>0</v>
      </c>
    </row>
    <row r="294">
      <c r="AZ294" s="2">
        <f>AZ250+SUM(CA251:CA294)</f>
        <v>29</v>
      </c>
      <c r="BC294" s="2">
        <f>BC250+SUM(CD251:CD294)</f>
        <v>0</v>
      </c>
      <c r="BD294" s="2">
        <f>IF(AND($C$130&lt;&gt;"",资金流水!$J$298=$C$130,ISNUMBER(资金流水!$B$298),ISNUMBER(资金流水!$S$298),资金流水!$S$298&gt;=_辅助!$J$4,资金流水!$S$298&lt;=_辅助!$J$2,OR(资金流水!$X$298="应付材料款",资金流水!$X$298="应付分包款",资金流水!$X$298="应付机械运输费",资金流水!$X$298="应付其他款")),INT(资金流水!$B$298)*10000+293,"")</f>
      </c>
      <c r="BE294" s="2">
        <f>BE250+SUM(CE251:CE294)</f>
        <v>0</v>
      </c>
      <c r="CA294" s="2">
        <f>IF(AND(OR(_余额!$B$296="材料供应商",_余额!$B$296="分包",_余额!$B$296="机械运输",_余额!$B$296="其他"),OR($C$3="全部",_余额!$B$296=$C$3),OR(_余额!$G$296&lt;&gt;0,_余额!$H$296&lt;&gt;0)),1,0)</f>
        <v>0</v>
      </c>
      <c r="CD294" s="2">
        <f>IF(($C$130&lt;&gt;"")*(应付登记!$D$298=$C$130)*ISNUMBER(应付登记!$J$298)*(应付登记!$J$298&gt;=_辅助!$J$4)*(应付登记!$J$298&lt;=_辅助!$J$2),1,0)</f>
        <v>0</v>
      </c>
      <c r="CE294" s="2">
        <f>IF(($C$130&lt;&gt;"")*(代发抵账!$E$298=$C$130)*(代发抵账!$D$298="总包代付材料分包款")*ISNUMBER(代发抵账!$H$298)*(代发抵账!$H$298&lt;=_辅助!$J$2),1,0)</f>
        <v>0</v>
      </c>
    </row>
    <row r="295">
      <c r="AZ295" s="2">
        <f>AZ250+SUM(CA251:CA295)</f>
        <v>29</v>
      </c>
      <c r="BC295" s="2">
        <f>BC250+SUM(CD251:CD295)</f>
        <v>0</v>
      </c>
      <c r="BD295" s="2">
        <f>IF(AND($C$130&lt;&gt;"",资金流水!$J$299=$C$130,ISNUMBER(资金流水!$B$299),ISNUMBER(资金流水!$S$299),资金流水!$S$299&gt;=_辅助!$J$4,资金流水!$S$299&lt;=_辅助!$J$2,OR(资金流水!$X$299="应付材料款",资金流水!$X$299="应付分包款",资金流水!$X$299="应付机械运输费",资金流水!$X$299="应付其他款")),INT(资金流水!$B$299)*10000+294,"")</f>
      </c>
      <c r="BE295" s="2">
        <f>BE250+SUM(CE251:CE295)</f>
        <v>0</v>
      </c>
      <c r="CA295" s="2">
        <f>IF(AND(OR(_余额!$B$297="材料供应商",_余额!$B$297="分包",_余额!$B$297="机械运输",_余额!$B$297="其他"),OR($C$3="全部",_余额!$B$297=$C$3),OR(_余额!$G$297&lt;&gt;0,_余额!$H$297&lt;&gt;0)),1,0)</f>
        <v>0</v>
      </c>
      <c r="CD295" s="2">
        <f>IF(($C$130&lt;&gt;"")*(应付登记!$D$299=$C$130)*ISNUMBER(应付登记!$J$299)*(应付登记!$J$299&gt;=_辅助!$J$4)*(应付登记!$J$299&lt;=_辅助!$J$2),1,0)</f>
        <v>0</v>
      </c>
      <c r="CE295" s="2">
        <f>IF(($C$130&lt;&gt;"")*(代发抵账!$E$299=$C$130)*(代发抵账!$D$299="总包代付材料分包款")*ISNUMBER(代发抵账!$H$299)*(代发抵账!$H$299&lt;=_辅助!$J$2),1,0)</f>
        <v>0</v>
      </c>
    </row>
    <row r="296">
      <c r="AZ296" s="2">
        <f>AZ250+SUM(CA251:CA296)</f>
        <v>29</v>
      </c>
      <c r="BC296" s="2">
        <f>BC250+SUM(CD251:CD296)</f>
        <v>0</v>
      </c>
      <c r="BD296" s="2">
        <f>IF(AND($C$130&lt;&gt;"",资金流水!$J$300=$C$130,ISNUMBER(资金流水!$B$300),ISNUMBER(资金流水!$S$300),资金流水!$S$300&gt;=_辅助!$J$4,资金流水!$S$300&lt;=_辅助!$J$2,OR(资金流水!$X$300="应付材料款",资金流水!$X$300="应付分包款",资金流水!$X$300="应付机械运输费",资金流水!$X$300="应付其他款")),INT(资金流水!$B$300)*10000+295,"")</f>
      </c>
      <c r="BE296" s="2">
        <f>BE250+SUM(CE251:CE296)</f>
        <v>0</v>
      </c>
      <c r="CA296" s="2">
        <f>IF(AND(OR(_余额!$B$298="材料供应商",_余额!$B$298="分包",_余额!$B$298="机械运输",_余额!$B$298="其他"),OR($C$3="全部",_余额!$B$298=$C$3),OR(_余额!$G$298&lt;&gt;0,_余额!$H$298&lt;&gt;0)),1,0)</f>
        <v>0</v>
      </c>
      <c r="CD296" s="2">
        <f>IF(($C$130&lt;&gt;"")*(应付登记!$D$300=$C$130)*ISNUMBER(应付登记!$J$300)*(应付登记!$J$300&gt;=_辅助!$J$4)*(应付登记!$J$300&lt;=_辅助!$J$2),1,0)</f>
        <v>0</v>
      </c>
      <c r="CE296" s="2">
        <f>IF(($C$130&lt;&gt;"")*(代发抵账!$E$300=$C$130)*(代发抵账!$D$300="总包代付材料分包款")*ISNUMBER(代发抵账!$H$300)*(代发抵账!$H$300&lt;=_辅助!$J$2),1,0)</f>
        <v>0</v>
      </c>
    </row>
    <row r="297">
      <c r="AZ297" s="2">
        <f>AZ250+SUM(CA251:CA297)</f>
        <v>29</v>
      </c>
      <c r="BC297" s="2">
        <f>BC250+SUM(CD251:CD297)</f>
        <v>0</v>
      </c>
      <c r="BD297" s="2">
        <f>IF(AND($C$130&lt;&gt;"",资金流水!$J$301=$C$130,ISNUMBER(资金流水!$B$301),ISNUMBER(资金流水!$S$301),资金流水!$S$301&gt;=_辅助!$J$4,资金流水!$S$301&lt;=_辅助!$J$2,OR(资金流水!$X$301="应付材料款",资金流水!$X$301="应付分包款",资金流水!$X$301="应付机械运输费",资金流水!$X$301="应付其他款")),INT(资金流水!$B$301)*10000+296,"")</f>
      </c>
      <c r="BE297" s="2">
        <f>BE250+SUM(CE251:CE297)</f>
        <v>0</v>
      </c>
      <c r="CA297" s="2">
        <f>IF(AND(OR(_余额!$B$299="材料供应商",_余额!$B$299="分包",_余额!$B$299="机械运输",_余额!$B$299="其他"),OR($C$3="全部",_余额!$B$299=$C$3),OR(_余额!$G$299&lt;&gt;0,_余额!$H$299&lt;&gt;0)),1,0)</f>
        <v>0</v>
      </c>
      <c r="CD297" s="2">
        <f>IF(($C$130&lt;&gt;"")*(应付登记!$D$301=$C$130)*ISNUMBER(应付登记!$J$301)*(应付登记!$J$301&gt;=_辅助!$J$4)*(应付登记!$J$301&lt;=_辅助!$J$2),1,0)</f>
        <v>0</v>
      </c>
      <c r="CE297" s="2">
        <f>IF(($C$130&lt;&gt;"")*(代发抵账!$E$301=$C$130)*(代发抵账!$D$301="总包代付材料分包款")*ISNUMBER(代发抵账!$H$301)*(代发抵账!$H$301&lt;=_辅助!$J$2),1,0)</f>
        <v>0</v>
      </c>
    </row>
    <row r="298">
      <c r="AZ298" s="2">
        <f>AZ250+SUM(CA251:CA298)</f>
        <v>29</v>
      </c>
      <c r="BC298" s="2">
        <f>BC250+SUM(CD251:CD298)</f>
        <v>0</v>
      </c>
      <c r="BD298" s="2">
        <f>IF(AND($C$130&lt;&gt;"",资金流水!$J$302=$C$130,ISNUMBER(资金流水!$B$302),ISNUMBER(资金流水!$S$302),资金流水!$S$302&gt;=_辅助!$J$4,资金流水!$S$302&lt;=_辅助!$J$2,OR(资金流水!$X$302="应付材料款",资金流水!$X$302="应付分包款",资金流水!$X$302="应付机械运输费",资金流水!$X$302="应付其他款")),INT(资金流水!$B$302)*10000+297,"")</f>
      </c>
      <c r="BE298" s="2">
        <f>BE250+SUM(CE251:CE298)</f>
        <v>0</v>
      </c>
      <c r="CA298" s="2">
        <f>IF(AND(OR(_余额!$B$300="材料供应商",_余额!$B$300="分包",_余额!$B$300="机械运输",_余额!$B$300="其他"),OR($C$3="全部",_余额!$B$300=$C$3),OR(_余额!$G$300&lt;&gt;0,_余额!$H$300&lt;&gt;0)),1,0)</f>
        <v>0</v>
      </c>
      <c r="CD298" s="2">
        <f>IF(($C$130&lt;&gt;"")*(应付登记!$D$302=$C$130)*ISNUMBER(应付登记!$J$302)*(应付登记!$J$302&gt;=_辅助!$J$4)*(应付登记!$J$302&lt;=_辅助!$J$2),1,0)</f>
        <v>0</v>
      </c>
      <c r="CE298" s="2">
        <f>IF(($C$130&lt;&gt;"")*(代发抵账!$E$302=$C$130)*(代发抵账!$D$302="总包代付材料分包款")*ISNUMBER(代发抵账!$H$302)*(代发抵账!$H$302&lt;=_辅助!$J$2),1,0)</f>
        <v>0</v>
      </c>
    </row>
    <row r="299">
      <c r="AZ299" s="2">
        <f>AZ250+SUM(CA251:CA299)</f>
        <v>29</v>
      </c>
      <c r="BC299" s="2">
        <f>BC250+SUM(CD251:CD299)</f>
        <v>0</v>
      </c>
      <c r="BD299" s="2">
        <f>IF(AND($C$130&lt;&gt;"",资金流水!$J$303=$C$130,ISNUMBER(资金流水!$B$303),ISNUMBER(资金流水!$S$303),资金流水!$S$303&gt;=_辅助!$J$4,资金流水!$S$303&lt;=_辅助!$J$2,OR(资金流水!$X$303="应付材料款",资金流水!$X$303="应付分包款",资金流水!$X$303="应付机械运输费",资金流水!$X$303="应付其他款")),INT(资金流水!$B$303)*10000+298,"")</f>
      </c>
      <c r="BE299" s="2">
        <f>BE250+SUM(CE251:CE299)</f>
        <v>0</v>
      </c>
      <c r="CA299" s="2">
        <f>IF(AND(OR(_余额!$B$301="材料供应商",_余额!$B$301="分包",_余额!$B$301="机械运输",_余额!$B$301="其他"),OR($C$3="全部",_余额!$B$301=$C$3),OR(_余额!$G$301&lt;&gt;0,_余额!$H$301&lt;&gt;0)),1,0)</f>
        <v>0</v>
      </c>
      <c r="CD299" s="2">
        <f>IF(($C$130&lt;&gt;"")*(应付登记!$D$303=$C$130)*ISNUMBER(应付登记!$J$303)*(应付登记!$J$303&gt;=_辅助!$J$4)*(应付登记!$J$303&lt;=_辅助!$J$2),1,0)</f>
        <v>0</v>
      </c>
      <c r="CE299" s="2">
        <f>IF(($C$130&lt;&gt;"")*(代发抵账!$E$303=$C$130)*(代发抵账!$D$303="总包代付材料分包款")*ISNUMBER(代发抵账!$H$303)*(代发抵账!$H$303&lt;=_辅助!$J$2),1,0)</f>
        <v>0</v>
      </c>
    </row>
    <row r="300">
      <c r="AZ300" s="2">
        <f>AZ250+SUM(CA251:CA300)</f>
        <v>29</v>
      </c>
      <c r="BC300" s="2">
        <f>BC250+SUM(CD251:CD300)</f>
        <v>0</v>
      </c>
      <c r="BD300" s="2">
        <f>IF(AND($C$130&lt;&gt;"",资金流水!$J$304=$C$130,ISNUMBER(资金流水!$B$304),ISNUMBER(资金流水!$S$304),资金流水!$S$304&gt;=_辅助!$J$4,资金流水!$S$304&lt;=_辅助!$J$2,OR(资金流水!$X$304="应付材料款",资金流水!$X$304="应付分包款",资金流水!$X$304="应付机械运输费",资金流水!$X$304="应付其他款")),INT(资金流水!$B$304)*10000+299,"")</f>
      </c>
      <c r="BE300" s="2">
        <f>BE250+SUM(CE251:CE300)</f>
        <v>0</v>
      </c>
      <c r="CA300" s="2">
        <f>IF(AND(OR(_余额!$B$302="材料供应商",_余额!$B$302="分包",_余额!$B$302="机械运输",_余额!$B$302="其他"),OR($C$3="全部",_余额!$B$302=$C$3),OR(_余额!$G$302&lt;&gt;0,_余额!$H$302&lt;&gt;0)),1,0)</f>
        <v>0</v>
      </c>
      <c r="CD300" s="2">
        <f>IF(($C$130&lt;&gt;"")*(应付登记!$D$304=$C$130)*ISNUMBER(应付登记!$J$304)*(应付登记!$J$304&gt;=_辅助!$J$4)*(应付登记!$J$304&lt;=_辅助!$J$2),1,0)</f>
        <v>0</v>
      </c>
      <c r="CE300" s="2">
        <f>IF(($C$130&lt;&gt;"")*(代发抵账!$E$304=$C$130)*(代发抵账!$D$304="总包代付材料分包款")*ISNUMBER(代发抵账!$H$304)*(代发抵账!$H$304&lt;=_辅助!$J$2),1,0)</f>
        <v>0</v>
      </c>
    </row>
    <row r="301">
      <c r="BC301" s="2">
        <f>BC300+SUM(CD301:CD301)</f>
        <v>0</v>
      </c>
      <c r="BD301" s="2">
        <f>IF(AND($C$130&lt;&gt;"",资金流水!$J$305=$C$130,ISNUMBER(资金流水!$B$305),ISNUMBER(资金流水!$S$305),资金流水!$S$305&gt;=_辅助!$J$4,资金流水!$S$305&lt;=_辅助!$J$2,OR(资金流水!$X$305="应付材料款",资金流水!$X$305="应付分包款",资金流水!$X$305="应付机械运输费",资金流水!$X$305="应付其他款")),INT(资金流水!$B$305)*10000+300,"")</f>
      </c>
      <c r="CD301" s="2">
        <f>IF(($C$130&lt;&gt;"")*(应付登记!$D$305=$C$130)*ISNUMBER(应付登记!$J$305)*(应付登记!$J$305&gt;=_辅助!$J$4)*(应付登记!$J$305&lt;=_辅助!$J$2),1,0)</f>
        <v>0</v>
      </c>
    </row>
    <row r="302">
      <c r="BC302" s="2">
        <f>BC300+SUM(CD301:CD302)</f>
        <v>0</v>
      </c>
      <c r="BD302" s="2">
        <f>IF(AND($C$130&lt;&gt;"",资金流水!$J$306=$C$130,ISNUMBER(资金流水!$B$306),ISNUMBER(资金流水!$S$306),资金流水!$S$306&gt;=_辅助!$J$4,资金流水!$S$306&lt;=_辅助!$J$2,OR(资金流水!$X$306="应付材料款",资金流水!$X$306="应付分包款",资金流水!$X$306="应付机械运输费",资金流水!$X$306="应付其他款")),INT(资金流水!$B$306)*10000+301,"")</f>
      </c>
      <c r="CD302" s="2">
        <f>IF(($C$130&lt;&gt;"")*(应付登记!$D$306=$C$130)*ISNUMBER(应付登记!$J$306)*(应付登记!$J$306&gt;=_辅助!$J$4)*(应付登记!$J$306&lt;=_辅助!$J$2),1,0)</f>
        <v>0</v>
      </c>
    </row>
    <row r="303">
      <c r="BC303" s="2">
        <f>BC300+SUM(CD301:CD303)</f>
        <v>0</v>
      </c>
      <c r="BD303" s="2">
        <f>IF(AND($C$130&lt;&gt;"",资金流水!$J$307=$C$130,ISNUMBER(资金流水!$B$307),ISNUMBER(资金流水!$S$307),资金流水!$S$307&gt;=_辅助!$J$4,资金流水!$S$307&lt;=_辅助!$J$2,OR(资金流水!$X$307="应付材料款",资金流水!$X$307="应付分包款",资金流水!$X$307="应付机械运输费",资金流水!$X$307="应付其他款")),INT(资金流水!$B$307)*10000+302,"")</f>
      </c>
      <c r="CD303" s="2">
        <f>IF(($C$130&lt;&gt;"")*(应付登记!$D$307=$C$130)*ISNUMBER(应付登记!$J$307)*(应付登记!$J$307&gt;=_辅助!$J$4)*(应付登记!$J$307&lt;=_辅助!$J$2),1,0)</f>
        <v>0</v>
      </c>
    </row>
    <row r="304">
      <c r="BC304" s="2">
        <f>BC300+SUM(CD301:CD304)</f>
        <v>0</v>
      </c>
      <c r="BD304" s="2">
        <f>IF(AND($C$130&lt;&gt;"",资金流水!$J$308=$C$130,ISNUMBER(资金流水!$B$308),ISNUMBER(资金流水!$S$308),资金流水!$S$308&gt;=_辅助!$J$4,资金流水!$S$308&lt;=_辅助!$J$2,OR(资金流水!$X$308="应付材料款",资金流水!$X$308="应付分包款",资金流水!$X$308="应付机械运输费",资金流水!$X$308="应付其他款")),INT(资金流水!$B$308)*10000+303,"")</f>
      </c>
      <c r="CD304" s="2">
        <f>IF(($C$130&lt;&gt;"")*(应付登记!$D$308=$C$130)*ISNUMBER(应付登记!$J$308)*(应付登记!$J$308&gt;=_辅助!$J$4)*(应付登记!$J$308&lt;=_辅助!$J$2),1,0)</f>
        <v>0</v>
      </c>
    </row>
    <row r="305">
      <c r="BC305" s="2">
        <f>BC300+SUM(CD301:CD305)</f>
        <v>0</v>
      </c>
      <c r="BD305" s="2">
        <f>IF(AND($C$130&lt;&gt;"",资金流水!$J$309=$C$130,ISNUMBER(资金流水!$B$309),ISNUMBER(资金流水!$S$309),资金流水!$S$309&gt;=_辅助!$J$4,资金流水!$S$309&lt;=_辅助!$J$2,OR(资金流水!$X$309="应付材料款",资金流水!$X$309="应付分包款",资金流水!$X$309="应付机械运输费",资金流水!$X$309="应付其他款")),INT(资金流水!$B$309)*10000+304,"")</f>
      </c>
      <c r="CD305" s="2">
        <f>IF(($C$130&lt;&gt;"")*(应付登记!$D$309=$C$130)*ISNUMBER(应付登记!$J$309)*(应付登记!$J$309&gt;=_辅助!$J$4)*(应付登记!$J$309&lt;=_辅助!$J$2),1,0)</f>
        <v>0</v>
      </c>
    </row>
    <row r="306">
      <c r="BC306" s="2">
        <f>BC300+SUM(CD301:CD306)</f>
        <v>0</v>
      </c>
      <c r="BD306" s="2">
        <f>IF(AND($C$130&lt;&gt;"",资金流水!$J$310=$C$130,ISNUMBER(资金流水!$B$310),ISNUMBER(资金流水!$S$310),资金流水!$S$310&gt;=_辅助!$J$4,资金流水!$S$310&lt;=_辅助!$J$2,OR(资金流水!$X$310="应付材料款",资金流水!$X$310="应付分包款",资金流水!$X$310="应付机械运输费",资金流水!$X$310="应付其他款")),INT(资金流水!$B$310)*10000+305,"")</f>
      </c>
      <c r="CD306" s="2">
        <f>IF(($C$130&lt;&gt;"")*(应付登记!$D$310=$C$130)*ISNUMBER(应付登记!$J$310)*(应付登记!$J$310&gt;=_辅助!$J$4)*(应付登记!$J$310&lt;=_辅助!$J$2),1,0)</f>
        <v>0</v>
      </c>
    </row>
    <row r="307">
      <c r="BC307" s="2">
        <f>BC300+SUM(CD301:CD307)</f>
        <v>0</v>
      </c>
      <c r="BD307" s="2">
        <f>IF(AND($C$130&lt;&gt;"",资金流水!$J$311=$C$130,ISNUMBER(资金流水!$B$311),ISNUMBER(资金流水!$S$311),资金流水!$S$311&gt;=_辅助!$J$4,资金流水!$S$311&lt;=_辅助!$J$2,OR(资金流水!$X$311="应付材料款",资金流水!$X$311="应付分包款",资金流水!$X$311="应付机械运输费",资金流水!$X$311="应付其他款")),INT(资金流水!$B$311)*10000+306,"")</f>
      </c>
      <c r="CD307" s="2">
        <f>IF(($C$130&lt;&gt;"")*(应付登记!$D$311=$C$130)*ISNUMBER(应付登记!$J$311)*(应付登记!$J$311&gt;=_辅助!$J$4)*(应付登记!$J$311&lt;=_辅助!$J$2),1,0)</f>
        <v>0</v>
      </c>
    </row>
    <row r="308">
      <c r="BC308" s="2">
        <f>BC300+SUM(CD301:CD308)</f>
        <v>0</v>
      </c>
      <c r="BD308" s="2">
        <f>IF(AND($C$130&lt;&gt;"",资金流水!$J$312=$C$130,ISNUMBER(资金流水!$B$312),ISNUMBER(资金流水!$S$312),资金流水!$S$312&gt;=_辅助!$J$4,资金流水!$S$312&lt;=_辅助!$J$2,OR(资金流水!$X$312="应付材料款",资金流水!$X$312="应付分包款",资金流水!$X$312="应付机械运输费",资金流水!$X$312="应付其他款")),INT(资金流水!$B$312)*10000+307,"")</f>
      </c>
      <c r="CD308" s="2">
        <f>IF(($C$130&lt;&gt;"")*(应付登记!$D$312=$C$130)*ISNUMBER(应付登记!$J$312)*(应付登记!$J$312&gt;=_辅助!$J$4)*(应付登记!$J$312&lt;=_辅助!$J$2),1,0)</f>
        <v>0</v>
      </c>
    </row>
    <row r="309">
      <c r="BC309" s="2">
        <f>BC300+SUM(CD301:CD309)</f>
        <v>0</v>
      </c>
      <c r="BD309" s="2">
        <f>IF(AND($C$130&lt;&gt;"",资金流水!$J$313=$C$130,ISNUMBER(资金流水!$B$313),ISNUMBER(资金流水!$S$313),资金流水!$S$313&gt;=_辅助!$J$4,资金流水!$S$313&lt;=_辅助!$J$2,OR(资金流水!$X$313="应付材料款",资金流水!$X$313="应付分包款",资金流水!$X$313="应付机械运输费",资金流水!$X$313="应付其他款")),INT(资金流水!$B$313)*10000+308,"")</f>
      </c>
      <c r="CD309" s="2">
        <f>IF(($C$130&lt;&gt;"")*(应付登记!$D$313=$C$130)*ISNUMBER(应付登记!$J$313)*(应付登记!$J$313&gt;=_辅助!$J$4)*(应付登记!$J$313&lt;=_辅助!$J$2),1,0)</f>
        <v>0</v>
      </c>
    </row>
    <row r="310">
      <c r="BC310" s="2">
        <f>BC300+SUM(CD301:CD310)</f>
        <v>0</v>
      </c>
      <c r="BD310" s="2">
        <f>IF(AND($C$130&lt;&gt;"",资金流水!$J$314=$C$130,ISNUMBER(资金流水!$B$314),ISNUMBER(资金流水!$S$314),资金流水!$S$314&gt;=_辅助!$J$4,资金流水!$S$314&lt;=_辅助!$J$2,OR(资金流水!$X$314="应付材料款",资金流水!$X$314="应付分包款",资金流水!$X$314="应付机械运输费",资金流水!$X$314="应付其他款")),INT(资金流水!$B$314)*10000+309,"")</f>
      </c>
      <c r="CD310" s="2">
        <f>IF(($C$130&lt;&gt;"")*(应付登记!$D$314=$C$130)*ISNUMBER(应付登记!$J$314)*(应付登记!$J$314&gt;=_辅助!$J$4)*(应付登记!$J$314&lt;=_辅助!$J$2),1,0)</f>
        <v>0</v>
      </c>
    </row>
    <row r="311">
      <c r="BC311" s="2">
        <f>BC300+SUM(CD301:CD311)</f>
        <v>0</v>
      </c>
      <c r="BD311" s="2">
        <f>IF(AND($C$130&lt;&gt;"",资金流水!$J$315=$C$130,ISNUMBER(资金流水!$B$315),ISNUMBER(资金流水!$S$315),资金流水!$S$315&gt;=_辅助!$J$4,资金流水!$S$315&lt;=_辅助!$J$2,OR(资金流水!$X$315="应付材料款",资金流水!$X$315="应付分包款",资金流水!$X$315="应付机械运输费",资金流水!$X$315="应付其他款")),INT(资金流水!$B$315)*10000+310,"")</f>
      </c>
      <c r="CD311" s="2">
        <f>IF(($C$130&lt;&gt;"")*(应付登记!$D$315=$C$130)*ISNUMBER(应付登记!$J$315)*(应付登记!$J$315&gt;=_辅助!$J$4)*(应付登记!$J$315&lt;=_辅助!$J$2),1,0)</f>
        <v>0</v>
      </c>
    </row>
    <row r="312">
      <c r="BC312" s="2">
        <f>BC300+SUM(CD301:CD312)</f>
        <v>0</v>
      </c>
      <c r="BD312" s="2">
        <f>IF(AND($C$130&lt;&gt;"",资金流水!$J$316=$C$130,ISNUMBER(资金流水!$B$316),ISNUMBER(资金流水!$S$316),资金流水!$S$316&gt;=_辅助!$J$4,资金流水!$S$316&lt;=_辅助!$J$2,OR(资金流水!$X$316="应付材料款",资金流水!$X$316="应付分包款",资金流水!$X$316="应付机械运输费",资金流水!$X$316="应付其他款")),INT(资金流水!$B$316)*10000+311,"")</f>
      </c>
      <c r="CD312" s="2">
        <f>IF(($C$130&lt;&gt;"")*(应付登记!$D$316=$C$130)*ISNUMBER(应付登记!$J$316)*(应付登记!$J$316&gt;=_辅助!$J$4)*(应付登记!$J$316&lt;=_辅助!$J$2),1,0)</f>
        <v>0</v>
      </c>
    </row>
    <row r="313">
      <c r="BC313" s="2">
        <f>BC300+SUM(CD301:CD313)</f>
        <v>0</v>
      </c>
      <c r="BD313" s="2">
        <f>IF(AND($C$130&lt;&gt;"",资金流水!$J$317=$C$130,ISNUMBER(资金流水!$B$317),ISNUMBER(资金流水!$S$317),资金流水!$S$317&gt;=_辅助!$J$4,资金流水!$S$317&lt;=_辅助!$J$2,OR(资金流水!$X$317="应付材料款",资金流水!$X$317="应付分包款",资金流水!$X$317="应付机械运输费",资金流水!$X$317="应付其他款")),INT(资金流水!$B$317)*10000+312,"")</f>
      </c>
      <c r="CD313" s="2">
        <f>IF(($C$130&lt;&gt;"")*(应付登记!$D$317=$C$130)*ISNUMBER(应付登记!$J$317)*(应付登记!$J$317&gt;=_辅助!$J$4)*(应付登记!$J$317&lt;=_辅助!$J$2),1,0)</f>
        <v>0</v>
      </c>
    </row>
    <row r="314">
      <c r="BC314" s="2">
        <f>BC300+SUM(CD301:CD314)</f>
        <v>0</v>
      </c>
      <c r="BD314" s="2">
        <f>IF(AND($C$130&lt;&gt;"",资金流水!$J$318=$C$130,ISNUMBER(资金流水!$B$318),ISNUMBER(资金流水!$S$318),资金流水!$S$318&gt;=_辅助!$J$4,资金流水!$S$318&lt;=_辅助!$J$2,OR(资金流水!$X$318="应付材料款",资金流水!$X$318="应付分包款",资金流水!$X$318="应付机械运输费",资金流水!$X$318="应付其他款")),INT(资金流水!$B$318)*10000+313,"")</f>
      </c>
      <c r="CD314" s="2">
        <f>IF(($C$130&lt;&gt;"")*(应付登记!$D$318=$C$130)*ISNUMBER(应付登记!$J$318)*(应付登记!$J$318&gt;=_辅助!$J$4)*(应付登记!$J$318&lt;=_辅助!$J$2),1,0)</f>
        <v>0</v>
      </c>
    </row>
    <row r="315">
      <c r="BC315" s="2">
        <f>BC300+SUM(CD301:CD315)</f>
        <v>0</v>
      </c>
      <c r="BD315" s="2">
        <f>IF(AND($C$130&lt;&gt;"",资金流水!$J$319=$C$130,ISNUMBER(资金流水!$B$319),ISNUMBER(资金流水!$S$319),资金流水!$S$319&gt;=_辅助!$J$4,资金流水!$S$319&lt;=_辅助!$J$2,OR(资金流水!$X$319="应付材料款",资金流水!$X$319="应付分包款",资金流水!$X$319="应付机械运输费",资金流水!$X$319="应付其他款")),INT(资金流水!$B$319)*10000+314,"")</f>
      </c>
      <c r="CD315" s="2">
        <f>IF(($C$130&lt;&gt;"")*(应付登记!$D$319=$C$130)*ISNUMBER(应付登记!$J$319)*(应付登记!$J$319&gt;=_辅助!$J$4)*(应付登记!$J$319&lt;=_辅助!$J$2),1,0)</f>
        <v>0</v>
      </c>
    </row>
    <row r="316">
      <c r="BC316" s="2">
        <f>BC300+SUM(CD301:CD316)</f>
        <v>0</v>
      </c>
      <c r="BD316" s="2">
        <f>IF(AND($C$130&lt;&gt;"",资金流水!$J$320=$C$130,ISNUMBER(资金流水!$B$320),ISNUMBER(资金流水!$S$320),资金流水!$S$320&gt;=_辅助!$J$4,资金流水!$S$320&lt;=_辅助!$J$2,OR(资金流水!$X$320="应付材料款",资金流水!$X$320="应付分包款",资金流水!$X$320="应付机械运输费",资金流水!$X$320="应付其他款")),INT(资金流水!$B$320)*10000+315,"")</f>
      </c>
      <c r="CD316" s="2">
        <f>IF(($C$130&lt;&gt;"")*(应付登记!$D$320=$C$130)*ISNUMBER(应付登记!$J$320)*(应付登记!$J$320&gt;=_辅助!$J$4)*(应付登记!$J$320&lt;=_辅助!$J$2),1,0)</f>
        <v>0</v>
      </c>
    </row>
    <row r="317">
      <c r="BC317" s="2">
        <f>BC300+SUM(CD301:CD317)</f>
        <v>0</v>
      </c>
      <c r="BD317" s="2">
        <f>IF(AND($C$130&lt;&gt;"",资金流水!$J$321=$C$130,ISNUMBER(资金流水!$B$321),ISNUMBER(资金流水!$S$321),资金流水!$S$321&gt;=_辅助!$J$4,资金流水!$S$321&lt;=_辅助!$J$2,OR(资金流水!$X$321="应付材料款",资金流水!$X$321="应付分包款",资金流水!$X$321="应付机械运输费",资金流水!$X$321="应付其他款")),INT(资金流水!$B$321)*10000+316,"")</f>
      </c>
      <c r="CD317" s="2">
        <f>IF(($C$130&lt;&gt;"")*(应付登记!$D$321=$C$130)*ISNUMBER(应付登记!$J$321)*(应付登记!$J$321&gt;=_辅助!$J$4)*(应付登记!$J$321&lt;=_辅助!$J$2),1,0)</f>
        <v>0</v>
      </c>
    </row>
    <row r="318">
      <c r="BC318" s="2">
        <f>BC300+SUM(CD301:CD318)</f>
        <v>0</v>
      </c>
      <c r="BD318" s="2">
        <f>IF(AND($C$130&lt;&gt;"",资金流水!$J$322=$C$130,ISNUMBER(资金流水!$B$322),ISNUMBER(资金流水!$S$322),资金流水!$S$322&gt;=_辅助!$J$4,资金流水!$S$322&lt;=_辅助!$J$2,OR(资金流水!$X$322="应付材料款",资金流水!$X$322="应付分包款",资金流水!$X$322="应付机械运输费",资金流水!$X$322="应付其他款")),INT(资金流水!$B$322)*10000+317,"")</f>
      </c>
      <c r="CD318" s="2">
        <f>IF(($C$130&lt;&gt;"")*(应付登记!$D$322=$C$130)*ISNUMBER(应付登记!$J$322)*(应付登记!$J$322&gt;=_辅助!$J$4)*(应付登记!$J$322&lt;=_辅助!$J$2),1,0)</f>
        <v>0</v>
      </c>
    </row>
    <row r="319">
      <c r="BC319" s="2">
        <f>BC300+SUM(CD301:CD319)</f>
        <v>0</v>
      </c>
      <c r="BD319" s="2">
        <f>IF(AND($C$130&lt;&gt;"",资金流水!$J$323=$C$130,ISNUMBER(资金流水!$B$323),ISNUMBER(资金流水!$S$323),资金流水!$S$323&gt;=_辅助!$J$4,资金流水!$S$323&lt;=_辅助!$J$2,OR(资金流水!$X$323="应付材料款",资金流水!$X$323="应付分包款",资金流水!$X$323="应付机械运输费",资金流水!$X$323="应付其他款")),INT(资金流水!$B$323)*10000+318,"")</f>
      </c>
      <c r="CD319" s="2">
        <f>IF(($C$130&lt;&gt;"")*(应付登记!$D$323=$C$130)*ISNUMBER(应付登记!$J$323)*(应付登记!$J$323&gt;=_辅助!$J$4)*(应付登记!$J$323&lt;=_辅助!$J$2),1,0)</f>
        <v>0</v>
      </c>
    </row>
    <row r="320">
      <c r="BC320" s="2">
        <f>BC300+SUM(CD301:CD320)</f>
        <v>0</v>
      </c>
      <c r="BD320" s="2">
        <f>IF(AND($C$130&lt;&gt;"",资金流水!$J$324=$C$130,ISNUMBER(资金流水!$B$324),ISNUMBER(资金流水!$S$324),资金流水!$S$324&gt;=_辅助!$J$4,资金流水!$S$324&lt;=_辅助!$J$2,OR(资金流水!$X$324="应付材料款",资金流水!$X$324="应付分包款",资金流水!$X$324="应付机械运输费",资金流水!$X$324="应付其他款")),INT(资金流水!$B$324)*10000+319,"")</f>
      </c>
      <c r="CD320" s="2">
        <f>IF(($C$130&lt;&gt;"")*(应付登记!$D$324=$C$130)*ISNUMBER(应付登记!$J$324)*(应付登记!$J$324&gt;=_辅助!$J$4)*(应付登记!$J$324&lt;=_辅助!$J$2),1,0)</f>
        <v>0</v>
      </c>
    </row>
    <row r="321">
      <c r="BC321" s="2">
        <f>BC300+SUM(CD301:CD321)</f>
        <v>0</v>
      </c>
      <c r="BD321" s="2">
        <f>IF(AND($C$130&lt;&gt;"",资金流水!$J$325=$C$130,ISNUMBER(资金流水!$B$325),ISNUMBER(资金流水!$S$325),资金流水!$S$325&gt;=_辅助!$J$4,资金流水!$S$325&lt;=_辅助!$J$2,OR(资金流水!$X$325="应付材料款",资金流水!$X$325="应付分包款",资金流水!$X$325="应付机械运输费",资金流水!$X$325="应付其他款")),INT(资金流水!$B$325)*10000+320,"")</f>
      </c>
      <c r="CD321" s="2">
        <f>IF(($C$130&lt;&gt;"")*(应付登记!$D$325=$C$130)*ISNUMBER(应付登记!$J$325)*(应付登记!$J$325&gt;=_辅助!$J$4)*(应付登记!$J$325&lt;=_辅助!$J$2),1,0)</f>
        <v>0</v>
      </c>
    </row>
    <row r="322">
      <c r="BC322" s="2">
        <f>BC300+SUM(CD301:CD322)</f>
        <v>0</v>
      </c>
      <c r="BD322" s="2">
        <f>IF(AND($C$130&lt;&gt;"",资金流水!$J$326=$C$130,ISNUMBER(资金流水!$B$326),ISNUMBER(资金流水!$S$326),资金流水!$S$326&gt;=_辅助!$J$4,资金流水!$S$326&lt;=_辅助!$J$2,OR(资金流水!$X$326="应付材料款",资金流水!$X$326="应付分包款",资金流水!$X$326="应付机械运输费",资金流水!$X$326="应付其他款")),INT(资金流水!$B$326)*10000+321,"")</f>
      </c>
      <c r="CD322" s="2">
        <f>IF(($C$130&lt;&gt;"")*(应付登记!$D$326=$C$130)*ISNUMBER(应付登记!$J$326)*(应付登记!$J$326&gt;=_辅助!$J$4)*(应付登记!$J$326&lt;=_辅助!$J$2),1,0)</f>
        <v>0</v>
      </c>
    </row>
    <row r="323">
      <c r="BC323" s="2">
        <f>BC300+SUM(CD301:CD323)</f>
        <v>0</v>
      </c>
      <c r="BD323" s="2">
        <f>IF(AND($C$130&lt;&gt;"",资金流水!$J$327=$C$130,ISNUMBER(资金流水!$B$327),ISNUMBER(资金流水!$S$327),资金流水!$S$327&gt;=_辅助!$J$4,资金流水!$S$327&lt;=_辅助!$J$2,OR(资金流水!$X$327="应付材料款",资金流水!$X$327="应付分包款",资金流水!$X$327="应付机械运输费",资金流水!$X$327="应付其他款")),INT(资金流水!$B$327)*10000+322,"")</f>
      </c>
      <c r="CD323" s="2">
        <f>IF(($C$130&lt;&gt;"")*(应付登记!$D$327=$C$130)*ISNUMBER(应付登记!$J$327)*(应付登记!$J$327&gt;=_辅助!$J$4)*(应付登记!$J$327&lt;=_辅助!$J$2),1,0)</f>
        <v>0</v>
      </c>
    </row>
    <row r="324">
      <c r="BC324" s="2">
        <f>BC300+SUM(CD301:CD324)</f>
        <v>0</v>
      </c>
      <c r="BD324" s="2">
        <f>IF(AND($C$130&lt;&gt;"",资金流水!$J$328=$C$130,ISNUMBER(资金流水!$B$328),ISNUMBER(资金流水!$S$328),资金流水!$S$328&gt;=_辅助!$J$4,资金流水!$S$328&lt;=_辅助!$J$2,OR(资金流水!$X$328="应付材料款",资金流水!$X$328="应付分包款",资金流水!$X$328="应付机械运输费",资金流水!$X$328="应付其他款")),INT(资金流水!$B$328)*10000+323,"")</f>
      </c>
      <c r="CD324" s="2">
        <f>IF(($C$130&lt;&gt;"")*(应付登记!$D$328=$C$130)*ISNUMBER(应付登记!$J$328)*(应付登记!$J$328&gt;=_辅助!$J$4)*(应付登记!$J$328&lt;=_辅助!$J$2),1,0)</f>
        <v>0</v>
      </c>
    </row>
    <row r="325">
      <c r="BC325" s="2">
        <f>BC300+SUM(CD301:CD325)</f>
        <v>0</v>
      </c>
      <c r="BD325" s="2">
        <f>IF(AND($C$130&lt;&gt;"",资金流水!$J$329=$C$130,ISNUMBER(资金流水!$B$329),ISNUMBER(资金流水!$S$329),资金流水!$S$329&gt;=_辅助!$J$4,资金流水!$S$329&lt;=_辅助!$J$2,OR(资金流水!$X$329="应付材料款",资金流水!$X$329="应付分包款",资金流水!$X$329="应付机械运输费",资金流水!$X$329="应付其他款")),INT(资金流水!$B$329)*10000+324,"")</f>
      </c>
      <c r="CD325" s="2">
        <f>IF(($C$130&lt;&gt;"")*(应付登记!$D$329=$C$130)*ISNUMBER(应付登记!$J$329)*(应付登记!$J$329&gt;=_辅助!$J$4)*(应付登记!$J$329&lt;=_辅助!$J$2),1,0)</f>
        <v>0</v>
      </c>
    </row>
    <row r="326">
      <c r="BC326" s="2">
        <f>BC300+SUM(CD301:CD326)</f>
        <v>0</v>
      </c>
      <c r="BD326" s="2">
        <f>IF(AND($C$130&lt;&gt;"",资金流水!$J$330=$C$130,ISNUMBER(资金流水!$B$330),ISNUMBER(资金流水!$S$330),资金流水!$S$330&gt;=_辅助!$J$4,资金流水!$S$330&lt;=_辅助!$J$2,OR(资金流水!$X$330="应付材料款",资金流水!$X$330="应付分包款",资金流水!$X$330="应付机械运输费",资金流水!$X$330="应付其他款")),INT(资金流水!$B$330)*10000+325,"")</f>
      </c>
      <c r="CD326" s="2">
        <f>IF(($C$130&lt;&gt;"")*(应付登记!$D$330=$C$130)*ISNUMBER(应付登记!$J$330)*(应付登记!$J$330&gt;=_辅助!$J$4)*(应付登记!$J$330&lt;=_辅助!$J$2),1,0)</f>
        <v>0</v>
      </c>
    </row>
    <row r="327">
      <c r="BC327" s="2">
        <f>BC300+SUM(CD301:CD327)</f>
        <v>0</v>
      </c>
      <c r="BD327" s="2">
        <f>IF(AND($C$130&lt;&gt;"",资金流水!$J$331=$C$130,ISNUMBER(资金流水!$B$331),ISNUMBER(资金流水!$S$331),资金流水!$S$331&gt;=_辅助!$J$4,资金流水!$S$331&lt;=_辅助!$J$2,OR(资金流水!$X$331="应付材料款",资金流水!$X$331="应付分包款",资金流水!$X$331="应付机械运输费",资金流水!$X$331="应付其他款")),INT(资金流水!$B$331)*10000+326,"")</f>
      </c>
      <c r="CD327" s="2">
        <f>IF(($C$130&lt;&gt;"")*(应付登记!$D$331=$C$130)*ISNUMBER(应付登记!$J$331)*(应付登记!$J$331&gt;=_辅助!$J$4)*(应付登记!$J$331&lt;=_辅助!$J$2),1,0)</f>
        <v>0</v>
      </c>
    </row>
    <row r="328">
      <c r="BC328" s="2">
        <f>BC300+SUM(CD301:CD328)</f>
        <v>0</v>
      </c>
      <c r="BD328" s="2">
        <f>IF(AND($C$130&lt;&gt;"",资金流水!$J$332=$C$130,ISNUMBER(资金流水!$B$332),ISNUMBER(资金流水!$S$332),资金流水!$S$332&gt;=_辅助!$J$4,资金流水!$S$332&lt;=_辅助!$J$2,OR(资金流水!$X$332="应付材料款",资金流水!$X$332="应付分包款",资金流水!$X$332="应付机械运输费",资金流水!$X$332="应付其他款")),INT(资金流水!$B$332)*10000+327,"")</f>
      </c>
      <c r="CD328" s="2">
        <f>IF(($C$130&lt;&gt;"")*(应付登记!$D$332=$C$130)*ISNUMBER(应付登记!$J$332)*(应付登记!$J$332&gt;=_辅助!$J$4)*(应付登记!$J$332&lt;=_辅助!$J$2),1,0)</f>
        <v>0</v>
      </c>
    </row>
    <row r="329">
      <c r="BC329" s="2">
        <f>BC300+SUM(CD301:CD329)</f>
        <v>0</v>
      </c>
      <c r="BD329" s="2">
        <f>IF(AND($C$130&lt;&gt;"",资金流水!$J$333=$C$130,ISNUMBER(资金流水!$B$333),ISNUMBER(资金流水!$S$333),资金流水!$S$333&gt;=_辅助!$J$4,资金流水!$S$333&lt;=_辅助!$J$2,OR(资金流水!$X$333="应付材料款",资金流水!$X$333="应付分包款",资金流水!$X$333="应付机械运输费",资金流水!$X$333="应付其他款")),INT(资金流水!$B$333)*10000+328,"")</f>
      </c>
      <c r="CD329" s="2">
        <f>IF(($C$130&lt;&gt;"")*(应付登记!$D$333=$C$130)*ISNUMBER(应付登记!$J$333)*(应付登记!$J$333&gt;=_辅助!$J$4)*(应付登记!$J$333&lt;=_辅助!$J$2),1,0)</f>
        <v>0</v>
      </c>
    </row>
    <row r="330">
      <c r="BC330" s="2">
        <f>BC300+SUM(CD301:CD330)</f>
        <v>0</v>
      </c>
      <c r="BD330" s="2">
        <f>IF(AND($C$130&lt;&gt;"",资金流水!$J$334=$C$130,ISNUMBER(资金流水!$B$334),ISNUMBER(资金流水!$S$334),资金流水!$S$334&gt;=_辅助!$J$4,资金流水!$S$334&lt;=_辅助!$J$2,OR(资金流水!$X$334="应付材料款",资金流水!$X$334="应付分包款",资金流水!$X$334="应付机械运输费",资金流水!$X$334="应付其他款")),INT(资金流水!$B$334)*10000+329,"")</f>
      </c>
      <c r="CD330" s="2">
        <f>IF(($C$130&lt;&gt;"")*(应付登记!$D$334=$C$130)*ISNUMBER(应付登记!$J$334)*(应付登记!$J$334&gt;=_辅助!$J$4)*(应付登记!$J$334&lt;=_辅助!$J$2),1,0)</f>
        <v>0</v>
      </c>
    </row>
    <row r="331">
      <c r="BC331" s="2">
        <f>BC300+SUM(CD301:CD331)</f>
        <v>0</v>
      </c>
      <c r="BD331" s="2">
        <f>IF(AND($C$130&lt;&gt;"",资金流水!$J$335=$C$130,ISNUMBER(资金流水!$B$335),ISNUMBER(资金流水!$S$335),资金流水!$S$335&gt;=_辅助!$J$4,资金流水!$S$335&lt;=_辅助!$J$2,OR(资金流水!$X$335="应付材料款",资金流水!$X$335="应付分包款",资金流水!$X$335="应付机械运输费",资金流水!$X$335="应付其他款")),INT(资金流水!$B$335)*10000+330,"")</f>
      </c>
      <c r="CD331" s="2">
        <f>IF(($C$130&lt;&gt;"")*(应付登记!$D$335=$C$130)*ISNUMBER(应付登记!$J$335)*(应付登记!$J$335&gt;=_辅助!$J$4)*(应付登记!$J$335&lt;=_辅助!$J$2),1,0)</f>
        <v>0</v>
      </c>
    </row>
    <row r="332">
      <c r="BC332" s="2">
        <f>BC300+SUM(CD301:CD332)</f>
        <v>0</v>
      </c>
      <c r="BD332" s="2">
        <f>IF(AND($C$130&lt;&gt;"",资金流水!$J$336=$C$130,ISNUMBER(资金流水!$B$336),ISNUMBER(资金流水!$S$336),资金流水!$S$336&gt;=_辅助!$J$4,资金流水!$S$336&lt;=_辅助!$J$2,OR(资金流水!$X$336="应付材料款",资金流水!$X$336="应付分包款",资金流水!$X$336="应付机械运输费",资金流水!$X$336="应付其他款")),INT(资金流水!$B$336)*10000+331,"")</f>
      </c>
      <c r="CD332" s="2">
        <f>IF(($C$130&lt;&gt;"")*(应付登记!$D$336=$C$130)*ISNUMBER(应付登记!$J$336)*(应付登记!$J$336&gt;=_辅助!$J$4)*(应付登记!$J$336&lt;=_辅助!$J$2),1,0)</f>
        <v>0</v>
      </c>
    </row>
    <row r="333">
      <c r="BC333" s="2">
        <f>BC300+SUM(CD301:CD333)</f>
        <v>0</v>
      </c>
      <c r="BD333" s="2">
        <f>IF(AND($C$130&lt;&gt;"",资金流水!$J$337=$C$130,ISNUMBER(资金流水!$B$337),ISNUMBER(资金流水!$S$337),资金流水!$S$337&gt;=_辅助!$J$4,资金流水!$S$337&lt;=_辅助!$J$2,OR(资金流水!$X$337="应付材料款",资金流水!$X$337="应付分包款",资金流水!$X$337="应付机械运输费",资金流水!$X$337="应付其他款")),INT(资金流水!$B$337)*10000+332,"")</f>
      </c>
      <c r="CD333" s="2">
        <f>IF(($C$130&lt;&gt;"")*(应付登记!$D$337=$C$130)*ISNUMBER(应付登记!$J$337)*(应付登记!$J$337&gt;=_辅助!$J$4)*(应付登记!$J$337&lt;=_辅助!$J$2),1,0)</f>
        <v>0</v>
      </c>
    </row>
    <row r="334">
      <c r="BC334" s="2">
        <f>BC300+SUM(CD301:CD334)</f>
        <v>0</v>
      </c>
      <c r="BD334" s="2">
        <f>IF(AND($C$130&lt;&gt;"",资金流水!$J$338=$C$130,ISNUMBER(资金流水!$B$338),ISNUMBER(资金流水!$S$338),资金流水!$S$338&gt;=_辅助!$J$4,资金流水!$S$338&lt;=_辅助!$J$2,OR(资金流水!$X$338="应付材料款",资金流水!$X$338="应付分包款",资金流水!$X$338="应付机械运输费",资金流水!$X$338="应付其他款")),INT(资金流水!$B$338)*10000+333,"")</f>
      </c>
      <c r="CD334" s="2">
        <f>IF(($C$130&lt;&gt;"")*(应付登记!$D$338=$C$130)*ISNUMBER(应付登记!$J$338)*(应付登记!$J$338&gt;=_辅助!$J$4)*(应付登记!$J$338&lt;=_辅助!$J$2),1,0)</f>
        <v>0</v>
      </c>
    </row>
    <row r="335">
      <c r="BC335" s="2">
        <f>BC300+SUM(CD301:CD335)</f>
        <v>0</v>
      </c>
      <c r="BD335" s="2">
        <f>IF(AND($C$130&lt;&gt;"",资金流水!$J$339=$C$130,ISNUMBER(资金流水!$B$339),ISNUMBER(资金流水!$S$339),资金流水!$S$339&gt;=_辅助!$J$4,资金流水!$S$339&lt;=_辅助!$J$2,OR(资金流水!$X$339="应付材料款",资金流水!$X$339="应付分包款",资金流水!$X$339="应付机械运输费",资金流水!$X$339="应付其他款")),INT(资金流水!$B$339)*10000+334,"")</f>
      </c>
      <c r="CD335" s="2">
        <f>IF(($C$130&lt;&gt;"")*(应付登记!$D$339=$C$130)*ISNUMBER(应付登记!$J$339)*(应付登记!$J$339&gt;=_辅助!$J$4)*(应付登记!$J$339&lt;=_辅助!$J$2),1,0)</f>
        <v>0</v>
      </c>
    </row>
    <row r="336">
      <c r="BC336" s="2">
        <f>BC300+SUM(CD301:CD336)</f>
        <v>0</v>
      </c>
      <c r="BD336" s="2">
        <f>IF(AND($C$130&lt;&gt;"",资金流水!$J$340=$C$130,ISNUMBER(资金流水!$B$340),ISNUMBER(资金流水!$S$340),资金流水!$S$340&gt;=_辅助!$J$4,资金流水!$S$340&lt;=_辅助!$J$2,OR(资金流水!$X$340="应付材料款",资金流水!$X$340="应付分包款",资金流水!$X$340="应付机械运输费",资金流水!$X$340="应付其他款")),INT(资金流水!$B$340)*10000+335,"")</f>
      </c>
      <c r="CD336" s="2">
        <f>IF(($C$130&lt;&gt;"")*(应付登记!$D$340=$C$130)*ISNUMBER(应付登记!$J$340)*(应付登记!$J$340&gt;=_辅助!$J$4)*(应付登记!$J$340&lt;=_辅助!$J$2),1,0)</f>
        <v>0</v>
      </c>
    </row>
    <row r="337">
      <c r="BC337" s="2">
        <f>BC300+SUM(CD301:CD337)</f>
        <v>0</v>
      </c>
      <c r="BD337" s="2">
        <f>IF(AND($C$130&lt;&gt;"",资金流水!$J$341=$C$130,ISNUMBER(资金流水!$B$341),ISNUMBER(资金流水!$S$341),资金流水!$S$341&gt;=_辅助!$J$4,资金流水!$S$341&lt;=_辅助!$J$2,OR(资金流水!$X$341="应付材料款",资金流水!$X$341="应付分包款",资金流水!$X$341="应付机械运输费",资金流水!$X$341="应付其他款")),INT(资金流水!$B$341)*10000+336,"")</f>
      </c>
      <c r="CD337" s="2">
        <f>IF(($C$130&lt;&gt;"")*(应付登记!$D$341=$C$130)*ISNUMBER(应付登记!$J$341)*(应付登记!$J$341&gt;=_辅助!$J$4)*(应付登记!$J$341&lt;=_辅助!$J$2),1,0)</f>
        <v>0</v>
      </c>
    </row>
    <row r="338">
      <c r="BC338" s="2">
        <f>BC300+SUM(CD301:CD338)</f>
        <v>0</v>
      </c>
      <c r="BD338" s="2">
        <f>IF(AND($C$130&lt;&gt;"",资金流水!$J$342=$C$130,ISNUMBER(资金流水!$B$342),ISNUMBER(资金流水!$S$342),资金流水!$S$342&gt;=_辅助!$J$4,资金流水!$S$342&lt;=_辅助!$J$2,OR(资金流水!$X$342="应付材料款",资金流水!$X$342="应付分包款",资金流水!$X$342="应付机械运输费",资金流水!$X$342="应付其他款")),INT(资金流水!$B$342)*10000+337,"")</f>
      </c>
      <c r="CD338" s="2">
        <f>IF(($C$130&lt;&gt;"")*(应付登记!$D$342=$C$130)*ISNUMBER(应付登记!$J$342)*(应付登记!$J$342&gt;=_辅助!$J$4)*(应付登记!$J$342&lt;=_辅助!$J$2),1,0)</f>
        <v>0</v>
      </c>
    </row>
    <row r="339">
      <c r="BC339" s="2">
        <f>BC300+SUM(CD301:CD339)</f>
        <v>0</v>
      </c>
      <c r="BD339" s="2">
        <f>IF(AND($C$130&lt;&gt;"",资金流水!$J$343=$C$130,ISNUMBER(资金流水!$B$343),ISNUMBER(资金流水!$S$343),资金流水!$S$343&gt;=_辅助!$J$4,资金流水!$S$343&lt;=_辅助!$J$2,OR(资金流水!$X$343="应付材料款",资金流水!$X$343="应付分包款",资金流水!$X$343="应付机械运输费",资金流水!$X$343="应付其他款")),INT(资金流水!$B$343)*10000+338,"")</f>
      </c>
      <c r="CD339" s="2">
        <f>IF(($C$130&lt;&gt;"")*(应付登记!$D$343=$C$130)*ISNUMBER(应付登记!$J$343)*(应付登记!$J$343&gt;=_辅助!$J$4)*(应付登记!$J$343&lt;=_辅助!$J$2),1,0)</f>
        <v>0</v>
      </c>
    </row>
    <row r="340">
      <c r="BC340" s="2">
        <f>BC300+SUM(CD301:CD340)</f>
        <v>0</v>
      </c>
      <c r="BD340" s="2">
        <f>IF(AND($C$130&lt;&gt;"",资金流水!$J$344=$C$130,ISNUMBER(资金流水!$B$344),ISNUMBER(资金流水!$S$344),资金流水!$S$344&gt;=_辅助!$J$4,资金流水!$S$344&lt;=_辅助!$J$2,OR(资金流水!$X$344="应付材料款",资金流水!$X$344="应付分包款",资金流水!$X$344="应付机械运输费",资金流水!$X$344="应付其他款")),INT(资金流水!$B$344)*10000+339,"")</f>
      </c>
      <c r="CD340" s="2">
        <f>IF(($C$130&lt;&gt;"")*(应付登记!$D$344=$C$130)*ISNUMBER(应付登记!$J$344)*(应付登记!$J$344&gt;=_辅助!$J$4)*(应付登记!$J$344&lt;=_辅助!$J$2),1,0)</f>
        <v>0</v>
      </c>
    </row>
    <row r="341">
      <c r="BC341" s="2">
        <f>BC300+SUM(CD301:CD341)</f>
        <v>0</v>
      </c>
      <c r="BD341" s="2">
        <f>IF(AND($C$130&lt;&gt;"",资金流水!$J$345=$C$130,ISNUMBER(资金流水!$B$345),ISNUMBER(资金流水!$S$345),资金流水!$S$345&gt;=_辅助!$J$4,资金流水!$S$345&lt;=_辅助!$J$2,OR(资金流水!$X$345="应付材料款",资金流水!$X$345="应付分包款",资金流水!$X$345="应付机械运输费",资金流水!$X$345="应付其他款")),INT(资金流水!$B$345)*10000+340,"")</f>
      </c>
      <c r="CD341" s="2">
        <f>IF(($C$130&lt;&gt;"")*(应付登记!$D$345=$C$130)*ISNUMBER(应付登记!$J$345)*(应付登记!$J$345&gt;=_辅助!$J$4)*(应付登记!$J$345&lt;=_辅助!$J$2),1,0)</f>
        <v>0</v>
      </c>
    </row>
    <row r="342">
      <c r="BC342" s="2">
        <f>BC300+SUM(CD301:CD342)</f>
        <v>0</v>
      </c>
      <c r="BD342" s="2">
        <f>IF(AND($C$130&lt;&gt;"",资金流水!$J$346=$C$130,ISNUMBER(资金流水!$B$346),ISNUMBER(资金流水!$S$346),资金流水!$S$346&gt;=_辅助!$J$4,资金流水!$S$346&lt;=_辅助!$J$2,OR(资金流水!$X$346="应付材料款",资金流水!$X$346="应付分包款",资金流水!$X$346="应付机械运输费",资金流水!$X$346="应付其他款")),INT(资金流水!$B$346)*10000+341,"")</f>
      </c>
      <c r="CD342" s="2">
        <f>IF(($C$130&lt;&gt;"")*(应付登记!$D$346=$C$130)*ISNUMBER(应付登记!$J$346)*(应付登记!$J$346&gt;=_辅助!$J$4)*(应付登记!$J$346&lt;=_辅助!$J$2),1,0)</f>
        <v>0</v>
      </c>
    </row>
    <row r="343">
      <c r="BC343" s="2">
        <f>BC300+SUM(CD301:CD343)</f>
        <v>0</v>
      </c>
      <c r="BD343" s="2">
        <f>IF(AND($C$130&lt;&gt;"",资金流水!$J$347=$C$130,ISNUMBER(资金流水!$B$347),ISNUMBER(资金流水!$S$347),资金流水!$S$347&gt;=_辅助!$J$4,资金流水!$S$347&lt;=_辅助!$J$2,OR(资金流水!$X$347="应付材料款",资金流水!$X$347="应付分包款",资金流水!$X$347="应付机械运输费",资金流水!$X$347="应付其他款")),INT(资金流水!$B$347)*10000+342,"")</f>
      </c>
      <c r="CD343" s="2">
        <f>IF(($C$130&lt;&gt;"")*(应付登记!$D$347=$C$130)*ISNUMBER(应付登记!$J$347)*(应付登记!$J$347&gt;=_辅助!$J$4)*(应付登记!$J$347&lt;=_辅助!$J$2),1,0)</f>
        <v>0</v>
      </c>
    </row>
    <row r="344">
      <c r="BC344" s="2">
        <f>BC300+SUM(CD301:CD344)</f>
        <v>0</v>
      </c>
      <c r="BD344" s="2">
        <f>IF(AND($C$130&lt;&gt;"",资金流水!$J$348=$C$130,ISNUMBER(资金流水!$B$348),ISNUMBER(资金流水!$S$348),资金流水!$S$348&gt;=_辅助!$J$4,资金流水!$S$348&lt;=_辅助!$J$2,OR(资金流水!$X$348="应付材料款",资金流水!$X$348="应付分包款",资金流水!$X$348="应付机械运输费",资金流水!$X$348="应付其他款")),INT(资金流水!$B$348)*10000+343,"")</f>
      </c>
      <c r="CD344" s="2">
        <f>IF(($C$130&lt;&gt;"")*(应付登记!$D$348=$C$130)*ISNUMBER(应付登记!$J$348)*(应付登记!$J$348&gt;=_辅助!$J$4)*(应付登记!$J$348&lt;=_辅助!$J$2),1,0)</f>
        <v>0</v>
      </c>
    </row>
    <row r="345">
      <c r="BC345" s="2">
        <f>BC300+SUM(CD301:CD345)</f>
        <v>0</v>
      </c>
      <c r="BD345" s="2">
        <f>IF(AND($C$130&lt;&gt;"",资金流水!$J$349=$C$130,ISNUMBER(资金流水!$B$349),ISNUMBER(资金流水!$S$349),资金流水!$S$349&gt;=_辅助!$J$4,资金流水!$S$349&lt;=_辅助!$J$2,OR(资金流水!$X$349="应付材料款",资金流水!$X$349="应付分包款",资金流水!$X$349="应付机械运输费",资金流水!$X$349="应付其他款")),INT(资金流水!$B$349)*10000+344,"")</f>
      </c>
      <c r="CD345" s="2">
        <f>IF(($C$130&lt;&gt;"")*(应付登记!$D$349=$C$130)*ISNUMBER(应付登记!$J$349)*(应付登记!$J$349&gt;=_辅助!$J$4)*(应付登记!$J$349&lt;=_辅助!$J$2),1,0)</f>
        <v>0</v>
      </c>
    </row>
    <row r="346">
      <c r="BC346" s="2">
        <f>BC300+SUM(CD301:CD346)</f>
        <v>0</v>
      </c>
      <c r="BD346" s="2">
        <f>IF(AND($C$130&lt;&gt;"",资金流水!$J$350=$C$130,ISNUMBER(资金流水!$B$350),ISNUMBER(资金流水!$S$350),资金流水!$S$350&gt;=_辅助!$J$4,资金流水!$S$350&lt;=_辅助!$J$2,OR(资金流水!$X$350="应付材料款",资金流水!$X$350="应付分包款",资金流水!$X$350="应付机械运输费",资金流水!$X$350="应付其他款")),INT(资金流水!$B$350)*10000+345,"")</f>
      </c>
      <c r="CD346" s="2">
        <f>IF(($C$130&lt;&gt;"")*(应付登记!$D$350=$C$130)*ISNUMBER(应付登记!$J$350)*(应付登记!$J$350&gt;=_辅助!$J$4)*(应付登记!$J$350&lt;=_辅助!$J$2),1,0)</f>
        <v>0</v>
      </c>
    </row>
    <row r="347">
      <c r="BC347" s="2">
        <f>BC300+SUM(CD301:CD347)</f>
        <v>0</v>
      </c>
      <c r="BD347" s="2">
        <f>IF(AND($C$130&lt;&gt;"",资金流水!$J$351=$C$130,ISNUMBER(资金流水!$B$351),ISNUMBER(资金流水!$S$351),资金流水!$S$351&gt;=_辅助!$J$4,资金流水!$S$351&lt;=_辅助!$J$2,OR(资金流水!$X$351="应付材料款",资金流水!$X$351="应付分包款",资金流水!$X$351="应付机械运输费",资金流水!$X$351="应付其他款")),INT(资金流水!$B$351)*10000+346,"")</f>
      </c>
      <c r="CD347" s="2">
        <f>IF(($C$130&lt;&gt;"")*(应付登记!$D$351=$C$130)*ISNUMBER(应付登记!$J$351)*(应付登记!$J$351&gt;=_辅助!$J$4)*(应付登记!$J$351&lt;=_辅助!$J$2),1,0)</f>
        <v>0</v>
      </c>
    </row>
    <row r="348">
      <c r="BC348" s="2">
        <f>BC300+SUM(CD301:CD348)</f>
        <v>0</v>
      </c>
      <c r="BD348" s="2">
        <f>IF(AND($C$130&lt;&gt;"",资金流水!$J$352=$C$130,ISNUMBER(资金流水!$B$352),ISNUMBER(资金流水!$S$352),资金流水!$S$352&gt;=_辅助!$J$4,资金流水!$S$352&lt;=_辅助!$J$2,OR(资金流水!$X$352="应付材料款",资金流水!$X$352="应付分包款",资金流水!$X$352="应付机械运输费",资金流水!$X$352="应付其他款")),INT(资金流水!$B$352)*10000+347,"")</f>
      </c>
      <c r="CD348" s="2">
        <f>IF(($C$130&lt;&gt;"")*(应付登记!$D$352=$C$130)*ISNUMBER(应付登记!$J$352)*(应付登记!$J$352&gt;=_辅助!$J$4)*(应付登记!$J$352&lt;=_辅助!$J$2),1,0)</f>
        <v>0</v>
      </c>
    </row>
    <row r="349">
      <c r="BC349" s="2">
        <f>BC300+SUM(CD301:CD349)</f>
        <v>0</v>
      </c>
      <c r="BD349" s="2">
        <f>IF(AND($C$130&lt;&gt;"",资金流水!$J$353=$C$130,ISNUMBER(资金流水!$B$353),ISNUMBER(资金流水!$S$353),资金流水!$S$353&gt;=_辅助!$J$4,资金流水!$S$353&lt;=_辅助!$J$2,OR(资金流水!$X$353="应付材料款",资金流水!$X$353="应付分包款",资金流水!$X$353="应付机械运输费",资金流水!$X$353="应付其他款")),INT(资金流水!$B$353)*10000+348,"")</f>
      </c>
      <c r="CD349" s="2">
        <f>IF(($C$130&lt;&gt;"")*(应付登记!$D$353=$C$130)*ISNUMBER(应付登记!$J$353)*(应付登记!$J$353&gt;=_辅助!$J$4)*(应付登记!$J$353&lt;=_辅助!$J$2),1,0)</f>
        <v>0</v>
      </c>
    </row>
    <row r="350">
      <c r="BC350" s="2">
        <f>BC300+SUM(CD301:CD350)</f>
        <v>0</v>
      </c>
      <c r="BD350" s="2">
        <f>IF(AND($C$130&lt;&gt;"",资金流水!$J$354=$C$130,ISNUMBER(资金流水!$B$354),ISNUMBER(资金流水!$S$354),资金流水!$S$354&gt;=_辅助!$J$4,资金流水!$S$354&lt;=_辅助!$J$2,OR(资金流水!$X$354="应付材料款",资金流水!$X$354="应付分包款",资金流水!$X$354="应付机械运输费",资金流水!$X$354="应付其他款")),INT(资金流水!$B$354)*10000+349,"")</f>
      </c>
      <c r="CD350" s="2">
        <f>IF(($C$130&lt;&gt;"")*(应付登记!$D$354=$C$130)*ISNUMBER(应付登记!$J$354)*(应付登记!$J$354&gt;=_辅助!$J$4)*(应付登记!$J$354&lt;=_辅助!$J$2),1,0)</f>
        <v>0</v>
      </c>
    </row>
    <row r="351">
      <c r="BC351" s="2">
        <f>BC350+SUM(CD351:CD351)</f>
        <v>0</v>
      </c>
      <c r="BD351" s="2">
        <f>IF(AND($C$130&lt;&gt;"",资金流水!$J$355=$C$130,ISNUMBER(资金流水!$B$355),ISNUMBER(资金流水!$S$355),资金流水!$S$355&gt;=_辅助!$J$4,资金流水!$S$355&lt;=_辅助!$J$2,OR(资金流水!$X$355="应付材料款",资金流水!$X$355="应付分包款",资金流水!$X$355="应付机械运输费",资金流水!$X$355="应付其他款")),INT(资金流水!$B$355)*10000+350,"")</f>
      </c>
      <c r="CD351" s="2">
        <f>IF(($C$130&lt;&gt;"")*(应付登记!$D$355=$C$130)*ISNUMBER(应付登记!$J$355)*(应付登记!$J$355&gt;=_辅助!$J$4)*(应付登记!$J$355&lt;=_辅助!$J$2),1,0)</f>
        <v>0</v>
      </c>
    </row>
    <row r="352">
      <c r="BC352" s="2">
        <f>BC350+SUM(CD351:CD352)</f>
        <v>0</v>
      </c>
      <c r="BD352" s="2">
        <f>IF(AND($C$130&lt;&gt;"",资金流水!$J$356=$C$130,ISNUMBER(资金流水!$B$356),ISNUMBER(资金流水!$S$356),资金流水!$S$356&gt;=_辅助!$J$4,资金流水!$S$356&lt;=_辅助!$J$2,OR(资金流水!$X$356="应付材料款",资金流水!$X$356="应付分包款",资金流水!$X$356="应付机械运输费",资金流水!$X$356="应付其他款")),INT(资金流水!$B$356)*10000+351,"")</f>
      </c>
      <c r="CD352" s="2">
        <f>IF(($C$130&lt;&gt;"")*(应付登记!$D$356=$C$130)*ISNUMBER(应付登记!$J$356)*(应付登记!$J$356&gt;=_辅助!$J$4)*(应付登记!$J$356&lt;=_辅助!$J$2),1,0)</f>
        <v>0</v>
      </c>
    </row>
    <row r="353">
      <c r="BC353" s="2">
        <f>BC350+SUM(CD351:CD353)</f>
        <v>0</v>
      </c>
      <c r="BD353" s="2">
        <f>IF(AND($C$130&lt;&gt;"",资金流水!$J$357=$C$130,ISNUMBER(资金流水!$B$357),ISNUMBER(资金流水!$S$357),资金流水!$S$357&gt;=_辅助!$J$4,资金流水!$S$357&lt;=_辅助!$J$2,OR(资金流水!$X$357="应付材料款",资金流水!$X$357="应付分包款",资金流水!$X$357="应付机械运输费",资金流水!$X$357="应付其他款")),INT(资金流水!$B$357)*10000+352,"")</f>
      </c>
      <c r="CD353" s="2">
        <f>IF(($C$130&lt;&gt;"")*(应付登记!$D$357=$C$130)*ISNUMBER(应付登记!$J$357)*(应付登记!$J$357&gt;=_辅助!$J$4)*(应付登记!$J$357&lt;=_辅助!$J$2),1,0)</f>
        <v>0</v>
      </c>
    </row>
    <row r="354">
      <c r="BC354" s="2">
        <f>BC350+SUM(CD351:CD354)</f>
        <v>0</v>
      </c>
      <c r="BD354" s="2">
        <f>IF(AND($C$130&lt;&gt;"",资金流水!$J$358=$C$130,ISNUMBER(资金流水!$B$358),ISNUMBER(资金流水!$S$358),资金流水!$S$358&gt;=_辅助!$J$4,资金流水!$S$358&lt;=_辅助!$J$2,OR(资金流水!$X$358="应付材料款",资金流水!$X$358="应付分包款",资金流水!$X$358="应付机械运输费",资金流水!$X$358="应付其他款")),INT(资金流水!$B$358)*10000+353,"")</f>
      </c>
      <c r="CD354" s="2">
        <f>IF(($C$130&lt;&gt;"")*(应付登记!$D$358=$C$130)*ISNUMBER(应付登记!$J$358)*(应付登记!$J$358&gt;=_辅助!$J$4)*(应付登记!$J$358&lt;=_辅助!$J$2),1,0)</f>
        <v>0</v>
      </c>
    </row>
    <row r="355">
      <c r="BC355" s="2">
        <f>BC350+SUM(CD351:CD355)</f>
        <v>0</v>
      </c>
      <c r="BD355" s="2">
        <f>IF(AND($C$130&lt;&gt;"",资金流水!$J$359=$C$130,ISNUMBER(资金流水!$B$359),ISNUMBER(资金流水!$S$359),资金流水!$S$359&gt;=_辅助!$J$4,资金流水!$S$359&lt;=_辅助!$J$2,OR(资金流水!$X$359="应付材料款",资金流水!$X$359="应付分包款",资金流水!$X$359="应付机械运输费",资金流水!$X$359="应付其他款")),INT(资金流水!$B$359)*10000+354,"")</f>
      </c>
      <c r="CD355" s="2">
        <f>IF(($C$130&lt;&gt;"")*(应付登记!$D$359=$C$130)*ISNUMBER(应付登记!$J$359)*(应付登记!$J$359&gt;=_辅助!$J$4)*(应付登记!$J$359&lt;=_辅助!$J$2),1,0)</f>
        <v>0</v>
      </c>
    </row>
    <row r="356">
      <c r="BC356" s="2">
        <f>BC350+SUM(CD351:CD356)</f>
        <v>0</v>
      </c>
      <c r="BD356" s="2">
        <f>IF(AND($C$130&lt;&gt;"",资金流水!$J$360=$C$130,ISNUMBER(资金流水!$B$360),ISNUMBER(资金流水!$S$360),资金流水!$S$360&gt;=_辅助!$J$4,资金流水!$S$360&lt;=_辅助!$J$2,OR(资金流水!$X$360="应付材料款",资金流水!$X$360="应付分包款",资金流水!$X$360="应付机械运输费",资金流水!$X$360="应付其他款")),INT(资金流水!$B$360)*10000+355,"")</f>
      </c>
      <c r="CD356" s="2">
        <f>IF(($C$130&lt;&gt;"")*(应付登记!$D$360=$C$130)*ISNUMBER(应付登记!$J$360)*(应付登记!$J$360&gt;=_辅助!$J$4)*(应付登记!$J$360&lt;=_辅助!$J$2),1,0)</f>
        <v>0</v>
      </c>
    </row>
    <row r="357">
      <c r="BC357" s="2">
        <f>BC350+SUM(CD351:CD357)</f>
        <v>0</v>
      </c>
      <c r="BD357" s="2">
        <f>IF(AND($C$130&lt;&gt;"",资金流水!$J$361=$C$130,ISNUMBER(资金流水!$B$361),ISNUMBER(资金流水!$S$361),资金流水!$S$361&gt;=_辅助!$J$4,资金流水!$S$361&lt;=_辅助!$J$2,OR(资金流水!$X$361="应付材料款",资金流水!$X$361="应付分包款",资金流水!$X$361="应付机械运输费",资金流水!$X$361="应付其他款")),INT(资金流水!$B$361)*10000+356,"")</f>
      </c>
      <c r="CD357" s="2">
        <f>IF(($C$130&lt;&gt;"")*(应付登记!$D$361=$C$130)*ISNUMBER(应付登记!$J$361)*(应付登记!$J$361&gt;=_辅助!$J$4)*(应付登记!$J$361&lt;=_辅助!$J$2),1,0)</f>
        <v>0</v>
      </c>
    </row>
    <row r="358">
      <c r="BC358" s="2">
        <f>BC350+SUM(CD351:CD358)</f>
        <v>0</v>
      </c>
      <c r="BD358" s="2">
        <f>IF(AND($C$130&lt;&gt;"",资金流水!$J$362=$C$130,ISNUMBER(资金流水!$B$362),ISNUMBER(资金流水!$S$362),资金流水!$S$362&gt;=_辅助!$J$4,资金流水!$S$362&lt;=_辅助!$J$2,OR(资金流水!$X$362="应付材料款",资金流水!$X$362="应付分包款",资金流水!$X$362="应付机械运输费",资金流水!$X$362="应付其他款")),INT(资金流水!$B$362)*10000+357,"")</f>
      </c>
      <c r="CD358" s="2">
        <f>IF(($C$130&lt;&gt;"")*(应付登记!$D$362=$C$130)*ISNUMBER(应付登记!$J$362)*(应付登记!$J$362&gt;=_辅助!$J$4)*(应付登记!$J$362&lt;=_辅助!$J$2),1,0)</f>
        <v>0</v>
      </c>
    </row>
    <row r="359">
      <c r="BC359" s="2">
        <f>BC350+SUM(CD351:CD359)</f>
        <v>0</v>
      </c>
      <c r="BD359" s="2">
        <f>IF(AND($C$130&lt;&gt;"",资金流水!$J$363=$C$130,ISNUMBER(资金流水!$B$363),ISNUMBER(资金流水!$S$363),资金流水!$S$363&gt;=_辅助!$J$4,资金流水!$S$363&lt;=_辅助!$J$2,OR(资金流水!$X$363="应付材料款",资金流水!$X$363="应付分包款",资金流水!$X$363="应付机械运输费",资金流水!$X$363="应付其他款")),INT(资金流水!$B$363)*10000+358,"")</f>
      </c>
      <c r="CD359" s="2">
        <f>IF(($C$130&lt;&gt;"")*(应付登记!$D$363=$C$130)*ISNUMBER(应付登记!$J$363)*(应付登记!$J$363&gt;=_辅助!$J$4)*(应付登记!$J$363&lt;=_辅助!$J$2),1,0)</f>
        <v>0</v>
      </c>
    </row>
    <row r="360">
      <c r="BC360" s="2">
        <f>BC350+SUM(CD351:CD360)</f>
        <v>0</v>
      </c>
      <c r="BD360" s="2">
        <f>IF(AND($C$130&lt;&gt;"",资金流水!$J$364=$C$130,ISNUMBER(资金流水!$B$364),ISNUMBER(资金流水!$S$364),资金流水!$S$364&gt;=_辅助!$J$4,资金流水!$S$364&lt;=_辅助!$J$2,OR(资金流水!$X$364="应付材料款",资金流水!$X$364="应付分包款",资金流水!$X$364="应付机械运输费",资金流水!$X$364="应付其他款")),INT(资金流水!$B$364)*10000+359,"")</f>
      </c>
      <c r="CD360" s="2">
        <f>IF(($C$130&lt;&gt;"")*(应付登记!$D$364=$C$130)*ISNUMBER(应付登记!$J$364)*(应付登记!$J$364&gt;=_辅助!$J$4)*(应付登记!$J$364&lt;=_辅助!$J$2),1,0)</f>
        <v>0</v>
      </c>
    </row>
    <row r="361">
      <c r="BC361" s="2">
        <f>BC350+SUM(CD351:CD361)</f>
        <v>0</v>
      </c>
      <c r="BD361" s="2">
        <f>IF(AND($C$130&lt;&gt;"",资金流水!$J$365=$C$130,ISNUMBER(资金流水!$B$365),ISNUMBER(资金流水!$S$365),资金流水!$S$365&gt;=_辅助!$J$4,资金流水!$S$365&lt;=_辅助!$J$2,OR(资金流水!$X$365="应付材料款",资金流水!$X$365="应付分包款",资金流水!$X$365="应付机械运输费",资金流水!$X$365="应付其他款")),INT(资金流水!$B$365)*10000+360,"")</f>
      </c>
      <c r="CD361" s="2">
        <f>IF(($C$130&lt;&gt;"")*(应付登记!$D$365=$C$130)*ISNUMBER(应付登记!$J$365)*(应付登记!$J$365&gt;=_辅助!$J$4)*(应付登记!$J$365&lt;=_辅助!$J$2),1,0)</f>
        <v>0</v>
      </c>
    </row>
    <row r="362">
      <c r="BC362" s="2">
        <f>BC350+SUM(CD351:CD362)</f>
        <v>0</v>
      </c>
      <c r="BD362" s="2">
        <f>IF(AND($C$130&lt;&gt;"",资金流水!$J$366=$C$130,ISNUMBER(资金流水!$B$366),ISNUMBER(资金流水!$S$366),资金流水!$S$366&gt;=_辅助!$J$4,资金流水!$S$366&lt;=_辅助!$J$2,OR(资金流水!$X$366="应付材料款",资金流水!$X$366="应付分包款",资金流水!$X$366="应付机械运输费",资金流水!$X$366="应付其他款")),INT(资金流水!$B$366)*10000+361,"")</f>
      </c>
      <c r="CD362" s="2">
        <f>IF(($C$130&lt;&gt;"")*(应付登记!$D$366=$C$130)*ISNUMBER(应付登记!$J$366)*(应付登记!$J$366&gt;=_辅助!$J$4)*(应付登记!$J$366&lt;=_辅助!$J$2),1,0)</f>
        <v>0</v>
      </c>
    </row>
    <row r="363">
      <c r="BC363" s="2">
        <f>BC350+SUM(CD351:CD363)</f>
        <v>0</v>
      </c>
      <c r="BD363" s="2">
        <f>IF(AND($C$130&lt;&gt;"",资金流水!$J$367=$C$130,ISNUMBER(资金流水!$B$367),ISNUMBER(资金流水!$S$367),资金流水!$S$367&gt;=_辅助!$J$4,资金流水!$S$367&lt;=_辅助!$J$2,OR(资金流水!$X$367="应付材料款",资金流水!$X$367="应付分包款",资金流水!$X$367="应付机械运输费",资金流水!$X$367="应付其他款")),INT(资金流水!$B$367)*10000+362,"")</f>
      </c>
      <c r="CD363" s="2">
        <f>IF(($C$130&lt;&gt;"")*(应付登记!$D$367=$C$130)*ISNUMBER(应付登记!$J$367)*(应付登记!$J$367&gt;=_辅助!$J$4)*(应付登记!$J$367&lt;=_辅助!$J$2),1,0)</f>
        <v>0</v>
      </c>
    </row>
    <row r="364">
      <c r="BC364" s="2">
        <f>BC350+SUM(CD351:CD364)</f>
        <v>0</v>
      </c>
      <c r="BD364" s="2">
        <f>IF(AND($C$130&lt;&gt;"",资金流水!$J$368=$C$130,ISNUMBER(资金流水!$B$368),ISNUMBER(资金流水!$S$368),资金流水!$S$368&gt;=_辅助!$J$4,资金流水!$S$368&lt;=_辅助!$J$2,OR(资金流水!$X$368="应付材料款",资金流水!$X$368="应付分包款",资金流水!$X$368="应付机械运输费",资金流水!$X$368="应付其他款")),INT(资金流水!$B$368)*10000+363,"")</f>
      </c>
      <c r="CD364" s="2">
        <f>IF(($C$130&lt;&gt;"")*(应付登记!$D$368=$C$130)*ISNUMBER(应付登记!$J$368)*(应付登记!$J$368&gt;=_辅助!$J$4)*(应付登记!$J$368&lt;=_辅助!$J$2),1,0)</f>
        <v>0</v>
      </c>
    </row>
    <row r="365">
      <c r="BC365" s="2">
        <f>BC350+SUM(CD351:CD365)</f>
        <v>0</v>
      </c>
      <c r="BD365" s="2">
        <f>IF(AND($C$130&lt;&gt;"",资金流水!$J$369=$C$130,ISNUMBER(资金流水!$B$369),ISNUMBER(资金流水!$S$369),资金流水!$S$369&gt;=_辅助!$J$4,资金流水!$S$369&lt;=_辅助!$J$2,OR(资金流水!$X$369="应付材料款",资金流水!$X$369="应付分包款",资金流水!$X$369="应付机械运输费",资金流水!$X$369="应付其他款")),INT(资金流水!$B$369)*10000+364,"")</f>
      </c>
      <c r="CD365" s="2">
        <f>IF(($C$130&lt;&gt;"")*(应付登记!$D$369=$C$130)*ISNUMBER(应付登记!$J$369)*(应付登记!$J$369&gt;=_辅助!$J$4)*(应付登记!$J$369&lt;=_辅助!$J$2),1,0)</f>
        <v>0</v>
      </c>
    </row>
    <row r="366">
      <c r="BC366" s="2">
        <f>BC350+SUM(CD351:CD366)</f>
        <v>0</v>
      </c>
      <c r="BD366" s="2">
        <f>IF(AND($C$130&lt;&gt;"",资金流水!$J$370=$C$130,ISNUMBER(资金流水!$B$370),ISNUMBER(资金流水!$S$370),资金流水!$S$370&gt;=_辅助!$J$4,资金流水!$S$370&lt;=_辅助!$J$2,OR(资金流水!$X$370="应付材料款",资金流水!$X$370="应付分包款",资金流水!$X$370="应付机械运输费",资金流水!$X$370="应付其他款")),INT(资金流水!$B$370)*10000+365,"")</f>
      </c>
      <c r="CD366" s="2">
        <f>IF(($C$130&lt;&gt;"")*(应付登记!$D$370=$C$130)*ISNUMBER(应付登记!$J$370)*(应付登记!$J$370&gt;=_辅助!$J$4)*(应付登记!$J$370&lt;=_辅助!$J$2),1,0)</f>
        <v>0</v>
      </c>
    </row>
    <row r="367">
      <c r="BC367" s="2">
        <f>BC350+SUM(CD351:CD367)</f>
        <v>0</v>
      </c>
      <c r="BD367" s="2">
        <f>IF(AND($C$130&lt;&gt;"",资金流水!$J$371=$C$130,ISNUMBER(资金流水!$B$371),ISNUMBER(资金流水!$S$371),资金流水!$S$371&gt;=_辅助!$J$4,资金流水!$S$371&lt;=_辅助!$J$2,OR(资金流水!$X$371="应付材料款",资金流水!$X$371="应付分包款",资金流水!$X$371="应付机械运输费",资金流水!$X$371="应付其他款")),INT(资金流水!$B$371)*10000+366,"")</f>
      </c>
      <c r="CD367" s="2">
        <f>IF(($C$130&lt;&gt;"")*(应付登记!$D$371=$C$130)*ISNUMBER(应付登记!$J$371)*(应付登记!$J$371&gt;=_辅助!$J$4)*(应付登记!$J$371&lt;=_辅助!$J$2),1,0)</f>
        <v>0</v>
      </c>
    </row>
    <row r="368">
      <c r="BC368" s="2">
        <f>BC350+SUM(CD351:CD368)</f>
        <v>0</v>
      </c>
      <c r="BD368" s="2">
        <f>IF(AND($C$130&lt;&gt;"",资金流水!$J$372=$C$130,ISNUMBER(资金流水!$B$372),ISNUMBER(资金流水!$S$372),资金流水!$S$372&gt;=_辅助!$J$4,资金流水!$S$372&lt;=_辅助!$J$2,OR(资金流水!$X$372="应付材料款",资金流水!$X$372="应付分包款",资金流水!$X$372="应付机械运输费",资金流水!$X$372="应付其他款")),INT(资金流水!$B$372)*10000+367,"")</f>
      </c>
      <c r="CD368" s="2">
        <f>IF(($C$130&lt;&gt;"")*(应付登记!$D$372=$C$130)*ISNUMBER(应付登记!$J$372)*(应付登记!$J$372&gt;=_辅助!$J$4)*(应付登记!$J$372&lt;=_辅助!$J$2),1,0)</f>
        <v>0</v>
      </c>
    </row>
    <row r="369">
      <c r="BC369" s="2">
        <f>BC350+SUM(CD351:CD369)</f>
        <v>0</v>
      </c>
      <c r="BD369" s="2">
        <f>IF(AND($C$130&lt;&gt;"",资金流水!$J$373=$C$130,ISNUMBER(资金流水!$B$373),ISNUMBER(资金流水!$S$373),资金流水!$S$373&gt;=_辅助!$J$4,资金流水!$S$373&lt;=_辅助!$J$2,OR(资金流水!$X$373="应付材料款",资金流水!$X$373="应付分包款",资金流水!$X$373="应付机械运输费",资金流水!$X$373="应付其他款")),INT(资金流水!$B$373)*10000+368,"")</f>
      </c>
      <c r="CD369" s="2">
        <f>IF(($C$130&lt;&gt;"")*(应付登记!$D$373=$C$130)*ISNUMBER(应付登记!$J$373)*(应付登记!$J$373&gt;=_辅助!$J$4)*(应付登记!$J$373&lt;=_辅助!$J$2),1,0)</f>
        <v>0</v>
      </c>
    </row>
    <row r="370">
      <c r="BC370" s="2">
        <f>BC350+SUM(CD351:CD370)</f>
        <v>0</v>
      </c>
      <c r="BD370" s="2">
        <f>IF(AND($C$130&lt;&gt;"",资金流水!$J$374=$C$130,ISNUMBER(资金流水!$B$374),ISNUMBER(资金流水!$S$374),资金流水!$S$374&gt;=_辅助!$J$4,资金流水!$S$374&lt;=_辅助!$J$2,OR(资金流水!$X$374="应付材料款",资金流水!$X$374="应付分包款",资金流水!$X$374="应付机械运输费",资金流水!$X$374="应付其他款")),INT(资金流水!$B$374)*10000+369,"")</f>
      </c>
      <c r="CD370" s="2">
        <f>IF(($C$130&lt;&gt;"")*(应付登记!$D$374=$C$130)*ISNUMBER(应付登记!$J$374)*(应付登记!$J$374&gt;=_辅助!$J$4)*(应付登记!$J$374&lt;=_辅助!$J$2),1,0)</f>
        <v>0</v>
      </c>
    </row>
    <row r="371">
      <c r="BC371" s="2">
        <f>BC350+SUM(CD351:CD371)</f>
        <v>0</v>
      </c>
      <c r="BD371" s="2">
        <f>IF(AND($C$130&lt;&gt;"",资金流水!$J$375=$C$130,ISNUMBER(资金流水!$B$375),ISNUMBER(资金流水!$S$375),资金流水!$S$375&gt;=_辅助!$J$4,资金流水!$S$375&lt;=_辅助!$J$2,OR(资金流水!$X$375="应付材料款",资金流水!$X$375="应付分包款",资金流水!$X$375="应付机械运输费",资金流水!$X$375="应付其他款")),INT(资金流水!$B$375)*10000+370,"")</f>
      </c>
      <c r="CD371" s="2">
        <f>IF(($C$130&lt;&gt;"")*(应付登记!$D$375=$C$130)*ISNUMBER(应付登记!$J$375)*(应付登记!$J$375&gt;=_辅助!$J$4)*(应付登记!$J$375&lt;=_辅助!$J$2),1,0)</f>
        <v>0</v>
      </c>
    </row>
    <row r="372">
      <c r="BC372" s="2">
        <f>BC350+SUM(CD351:CD372)</f>
        <v>0</v>
      </c>
      <c r="BD372" s="2">
        <f>IF(AND($C$130&lt;&gt;"",资金流水!$J$376=$C$130,ISNUMBER(资金流水!$B$376),ISNUMBER(资金流水!$S$376),资金流水!$S$376&gt;=_辅助!$J$4,资金流水!$S$376&lt;=_辅助!$J$2,OR(资金流水!$X$376="应付材料款",资金流水!$X$376="应付分包款",资金流水!$X$376="应付机械运输费",资金流水!$X$376="应付其他款")),INT(资金流水!$B$376)*10000+371,"")</f>
      </c>
      <c r="CD372" s="2">
        <f>IF(($C$130&lt;&gt;"")*(应付登记!$D$376=$C$130)*ISNUMBER(应付登记!$J$376)*(应付登记!$J$376&gt;=_辅助!$J$4)*(应付登记!$J$376&lt;=_辅助!$J$2),1,0)</f>
        <v>0</v>
      </c>
    </row>
    <row r="373">
      <c r="BC373" s="2">
        <f>BC350+SUM(CD351:CD373)</f>
        <v>0</v>
      </c>
      <c r="BD373" s="2">
        <f>IF(AND($C$130&lt;&gt;"",资金流水!$J$377=$C$130,ISNUMBER(资金流水!$B$377),ISNUMBER(资金流水!$S$377),资金流水!$S$377&gt;=_辅助!$J$4,资金流水!$S$377&lt;=_辅助!$J$2,OR(资金流水!$X$377="应付材料款",资金流水!$X$377="应付分包款",资金流水!$X$377="应付机械运输费",资金流水!$X$377="应付其他款")),INT(资金流水!$B$377)*10000+372,"")</f>
      </c>
      <c r="CD373" s="2">
        <f>IF(($C$130&lt;&gt;"")*(应付登记!$D$377=$C$130)*ISNUMBER(应付登记!$J$377)*(应付登记!$J$377&gt;=_辅助!$J$4)*(应付登记!$J$377&lt;=_辅助!$J$2),1,0)</f>
        <v>0</v>
      </c>
    </row>
    <row r="374">
      <c r="BC374" s="2">
        <f>BC350+SUM(CD351:CD374)</f>
        <v>0</v>
      </c>
      <c r="BD374" s="2">
        <f>IF(AND($C$130&lt;&gt;"",资金流水!$J$378=$C$130,ISNUMBER(资金流水!$B$378),ISNUMBER(资金流水!$S$378),资金流水!$S$378&gt;=_辅助!$J$4,资金流水!$S$378&lt;=_辅助!$J$2,OR(资金流水!$X$378="应付材料款",资金流水!$X$378="应付分包款",资金流水!$X$378="应付机械运输费",资金流水!$X$378="应付其他款")),INT(资金流水!$B$378)*10000+373,"")</f>
      </c>
      <c r="CD374" s="2">
        <f>IF(($C$130&lt;&gt;"")*(应付登记!$D$378=$C$130)*ISNUMBER(应付登记!$J$378)*(应付登记!$J$378&gt;=_辅助!$J$4)*(应付登记!$J$378&lt;=_辅助!$J$2),1,0)</f>
        <v>0</v>
      </c>
    </row>
    <row r="375">
      <c r="BC375" s="2">
        <f>BC350+SUM(CD351:CD375)</f>
        <v>0</v>
      </c>
      <c r="BD375" s="2">
        <f>IF(AND($C$130&lt;&gt;"",资金流水!$J$379=$C$130,ISNUMBER(资金流水!$B$379),ISNUMBER(资金流水!$S$379),资金流水!$S$379&gt;=_辅助!$J$4,资金流水!$S$379&lt;=_辅助!$J$2,OR(资金流水!$X$379="应付材料款",资金流水!$X$379="应付分包款",资金流水!$X$379="应付机械运输费",资金流水!$X$379="应付其他款")),INT(资金流水!$B$379)*10000+374,"")</f>
      </c>
      <c r="CD375" s="2">
        <f>IF(($C$130&lt;&gt;"")*(应付登记!$D$379=$C$130)*ISNUMBER(应付登记!$J$379)*(应付登记!$J$379&gt;=_辅助!$J$4)*(应付登记!$J$379&lt;=_辅助!$J$2),1,0)</f>
        <v>0</v>
      </c>
    </row>
    <row r="376">
      <c r="BC376" s="2">
        <f>BC350+SUM(CD351:CD376)</f>
        <v>0</v>
      </c>
      <c r="BD376" s="2">
        <f>IF(AND($C$130&lt;&gt;"",资金流水!$J$380=$C$130,ISNUMBER(资金流水!$B$380),ISNUMBER(资金流水!$S$380),资金流水!$S$380&gt;=_辅助!$J$4,资金流水!$S$380&lt;=_辅助!$J$2,OR(资金流水!$X$380="应付材料款",资金流水!$X$380="应付分包款",资金流水!$X$380="应付机械运输费",资金流水!$X$380="应付其他款")),INT(资金流水!$B$380)*10000+375,"")</f>
      </c>
      <c r="CD376" s="2">
        <f>IF(($C$130&lt;&gt;"")*(应付登记!$D$380=$C$130)*ISNUMBER(应付登记!$J$380)*(应付登记!$J$380&gt;=_辅助!$J$4)*(应付登记!$J$380&lt;=_辅助!$J$2),1,0)</f>
        <v>0</v>
      </c>
    </row>
    <row r="377">
      <c r="BC377" s="2">
        <f>BC350+SUM(CD351:CD377)</f>
        <v>0</v>
      </c>
      <c r="BD377" s="2">
        <f>IF(AND($C$130&lt;&gt;"",资金流水!$J$381=$C$130,ISNUMBER(资金流水!$B$381),ISNUMBER(资金流水!$S$381),资金流水!$S$381&gt;=_辅助!$J$4,资金流水!$S$381&lt;=_辅助!$J$2,OR(资金流水!$X$381="应付材料款",资金流水!$X$381="应付分包款",资金流水!$X$381="应付机械运输费",资金流水!$X$381="应付其他款")),INT(资金流水!$B$381)*10000+376,"")</f>
      </c>
      <c r="CD377" s="2">
        <f>IF(($C$130&lt;&gt;"")*(应付登记!$D$381=$C$130)*ISNUMBER(应付登记!$J$381)*(应付登记!$J$381&gt;=_辅助!$J$4)*(应付登记!$J$381&lt;=_辅助!$J$2),1,0)</f>
        <v>0</v>
      </c>
    </row>
    <row r="378">
      <c r="BC378" s="2">
        <f>BC350+SUM(CD351:CD378)</f>
        <v>0</v>
      </c>
      <c r="BD378" s="2">
        <f>IF(AND($C$130&lt;&gt;"",资金流水!$J$382=$C$130,ISNUMBER(资金流水!$B$382),ISNUMBER(资金流水!$S$382),资金流水!$S$382&gt;=_辅助!$J$4,资金流水!$S$382&lt;=_辅助!$J$2,OR(资金流水!$X$382="应付材料款",资金流水!$X$382="应付分包款",资金流水!$X$382="应付机械运输费",资金流水!$X$382="应付其他款")),INT(资金流水!$B$382)*10000+377,"")</f>
      </c>
      <c r="CD378" s="2">
        <f>IF(($C$130&lt;&gt;"")*(应付登记!$D$382=$C$130)*ISNUMBER(应付登记!$J$382)*(应付登记!$J$382&gt;=_辅助!$J$4)*(应付登记!$J$382&lt;=_辅助!$J$2),1,0)</f>
        <v>0</v>
      </c>
    </row>
    <row r="379">
      <c r="BC379" s="2">
        <f>BC350+SUM(CD351:CD379)</f>
        <v>0</v>
      </c>
      <c r="BD379" s="2">
        <f>IF(AND($C$130&lt;&gt;"",资金流水!$J$383=$C$130,ISNUMBER(资金流水!$B$383),ISNUMBER(资金流水!$S$383),资金流水!$S$383&gt;=_辅助!$J$4,资金流水!$S$383&lt;=_辅助!$J$2,OR(资金流水!$X$383="应付材料款",资金流水!$X$383="应付分包款",资金流水!$X$383="应付机械运输费",资金流水!$X$383="应付其他款")),INT(资金流水!$B$383)*10000+378,"")</f>
      </c>
      <c r="CD379" s="2">
        <f>IF(($C$130&lt;&gt;"")*(应付登记!$D$383=$C$130)*ISNUMBER(应付登记!$J$383)*(应付登记!$J$383&gt;=_辅助!$J$4)*(应付登记!$J$383&lt;=_辅助!$J$2),1,0)</f>
        <v>0</v>
      </c>
    </row>
    <row r="380">
      <c r="BC380" s="2">
        <f>BC350+SUM(CD351:CD380)</f>
        <v>0</v>
      </c>
      <c r="BD380" s="2">
        <f>IF(AND($C$130&lt;&gt;"",资金流水!$J$384=$C$130,ISNUMBER(资金流水!$B$384),ISNUMBER(资金流水!$S$384),资金流水!$S$384&gt;=_辅助!$J$4,资金流水!$S$384&lt;=_辅助!$J$2,OR(资金流水!$X$384="应付材料款",资金流水!$X$384="应付分包款",资金流水!$X$384="应付机械运输费",资金流水!$X$384="应付其他款")),INT(资金流水!$B$384)*10000+379,"")</f>
      </c>
      <c r="CD380" s="2">
        <f>IF(($C$130&lt;&gt;"")*(应付登记!$D$384=$C$130)*ISNUMBER(应付登记!$J$384)*(应付登记!$J$384&gt;=_辅助!$J$4)*(应付登记!$J$384&lt;=_辅助!$J$2),1,0)</f>
        <v>0</v>
      </c>
    </row>
    <row r="381">
      <c r="BC381" s="2">
        <f>BC350+SUM(CD351:CD381)</f>
        <v>0</v>
      </c>
      <c r="BD381" s="2">
        <f>IF(AND($C$130&lt;&gt;"",资金流水!$J$385=$C$130,ISNUMBER(资金流水!$B$385),ISNUMBER(资金流水!$S$385),资金流水!$S$385&gt;=_辅助!$J$4,资金流水!$S$385&lt;=_辅助!$J$2,OR(资金流水!$X$385="应付材料款",资金流水!$X$385="应付分包款",资金流水!$X$385="应付机械运输费",资金流水!$X$385="应付其他款")),INT(资金流水!$B$385)*10000+380,"")</f>
      </c>
      <c r="CD381" s="2">
        <f>IF(($C$130&lt;&gt;"")*(应付登记!$D$385=$C$130)*ISNUMBER(应付登记!$J$385)*(应付登记!$J$385&gt;=_辅助!$J$4)*(应付登记!$J$385&lt;=_辅助!$J$2),1,0)</f>
        <v>0</v>
      </c>
    </row>
    <row r="382">
      <c r="BC382" s="2">
        <f>BC350+SUM(CD351:CD382)</f>
        <v>0</v>
      </c>
      <c r="BD382" s="2">
        <f>IF(AND($C$130&lt;&gt;"",资金流水!$J$386=$C$130,ISNUMBER(资金流水!$B$386),ISNUMBER(资金流水!$S$386),资金流水!$S$386&gt;=_辅助!$J$4,资金流水!$S$386&lt;=_辅助!$J$2,OR(资金流水!$X$386="应付材料款",资金流水!$X$386="应付分包款",资金流水!$X$386="应付机械运输费",资金流水!$X$386="应付其他款")),INT(资金流水!$B$386)*10000+381,"")</f>
      </c>
      <c r="CD382" s="2">
        <f>IF(($C$130&lt;&gt;"")*(应付登记!$D$386=$C$130)*ISNUMBER(应付登记!$J$386)*(应付登记!$J$386&gt;=_辅助!$J$4)*(应付登记!$J$386&lt;=_辅助!$J$2),1,0)</f>
        <v>0</v>
      </c>
    </row>
    <row r="383">
      <c r="BC383" s="2">
        <f>BC350+SUM(CD351:CD383)</f>
        <v>0</v>
      </c>
      <c r="BD383" s="2">
        <f>IF(AND($C$130&lt;&gt;"",资金流水!$J$387=$C$130,ISNUMBER(资金流水!$B$387),ISNUMBER(资金流水!$S$387),资金流水!$S$387&gt;=_辅助!$J$4,资金流水!$S$387&lt;=_辅助!$J$2,OR(资金流水!$X$387="应付材料款",资金流水!$X$387="应付分包款",资金流水!$X$387="应付机械运输费",资金流水!$X$387="应付其他款")),INT(资金流水!$B$387)*10000+382,"")</f>
      </c>
      <c r="CD383" s="2">
        <f>IF(($C$130&lt;&gt;"")*(应付登记!$D$387=$C$130)*ISNUMBER(应付登记!$J$387)*(应付登记!$J$387&gt;=_辅助!$J$4)*(应付登记!$J$387&lt;=_辅助!$J$2),1,0)</f>
        <v>0</v>
      </c>
    </row>
    <row r="384">
      <c r="BC384" s="2">
        <f>BC350+SUM(CD351:CD384)</f>
        <v>0</v>
      </c>
      <c r="BD384" s="2">
        <f>IF(AND($C$130&lt;&gt;"",资金流水!$J$388=$C$130,ISNUMBER(资金流水!$B$388),ISNUMBER(资金流水!$S$388),资金流水!$S$388&gt;=_辅助!$J$4,资金流水!$S$388&lt;=_辅助!$J$2,OR(资金流水!$X$388="应付材料款",资金流水!$X$388="应付分包款",资金流水!$X$388="应付机械运输费",资金流水!$X$388="应付其他款")),INT(资金流水!$B$388)*10000+383,"")</f>
      </c>
      <c r="CD384" s="2">
        <f>IF(($C$130&lt;&gt;"")*(应付登记!$D$388=$C$130)*ISNUMBER(应付登记!$J$388)*(应付登记!$J$388&gt;=_辅助!$J$4)*(应付登记!$J$388&lt;=_辅助!$J$2),1,0)</f>
        <v>0</v>
      </c>
    </row>
    <row r="385">
      <c r="BC385" s="2">
        <f>BC350+SUM(CD351:CD385)</f>
        <v>0</v>
      </c>
      <c r="BD385" s="2">
        <f>IF(AND($C$130&lt;&gt;"",资金流水!$J$389=$C$130,ISNUMBER(资金流水!$B$389),ISNUMBER(资金流水!$S$389),资金流水!$S$389&gt;=_辅助!$J$4,资金流水!$S$389&lt;=_辅助!$J$2,OR(资金流水!$X$389="应付材料款",资金流水!$X$389="应付分包款",资金流水!$X$389="应付机械运输费",资金流水!$X$389="应付其他款")),INT(资金流水!$B$389)*10000+384,"")</f>
      </c>
      <c r="CD385" s="2">
        <f>IF(($C$130&lt;&gt;"")*(应付登记!$D$389=$C$130)*ISNUMBER(应付登记!$J$389)*(应付登记!$J$389&gt;=_辅助!$J$4)*(应付登记!$J$389&lt;=_辅助!$J$2),1,0)</f>
        <v>0</v>
      </c>
    </row>
    <row r="386">
      <c r="BC386" s="2">
        <f>BC350+SUM(CD351:CD386)</f>
        <v>0</v>
      </c>
      <c r="BD386" s="2">
        <f>IF(AND($C$130&lt;&gt;"",资金流水!$J$390=$C$130,ISNUMBER(资金流水!$B$390),ISNUMBER(资金流水!$S$390),资金流水!$S$390&gt;=_辅助!$J$4,资金流水!$S$390&lt;=_辅助!$J$2,OR(资金流水!$X$390="应付材料款",资金流水!$X$390="应付分包款",资金流水!$X$390="应付机械运输费",资金流水!$X$390="应付其他款")),INT(资金流水!$B$390)*10000+385,"")</f>
      </c>
      <c r="CD386" s="2">
        <f>IF(($C$130&lt;&gt;"")*(应付登记!$D$390=$C$130)*ISNUMBER(应付登记!$J$390)*(应付登记!$J$390&gt;=_辅助!$J$4)*(应付登记!$J$390&lt;=_辅助!$J$2),1,0)</f>
        <v>0</v>
      </c>
    </row>
    <row r="387">
      <c r="BC387" s="2">
        <f>BC350+SUM(CD351:CD387)</f>
        <v>0</v>
      </c>
      <c r="BD387" s="2">
        <f>IF(AND($C$130&lt;&gt;"",资金流水!$J$391=$C$130,ISNUMBER(资金流水!$B$391),ISNUMBER(资金流水!$S$391),资金流水!$S$391&gt;=_辅助!$J$4,资金流水!$S$391&lt;=_辅助!$J$2,OR(资金流水!$X$391="应付材料款",资金流水!$X$391="应付分包款",资金流水!$X$391="应付机械运输费",资金流水!$X$391="应付其他款")),INT(资金流水!$B$391)*10000+386,"")</f>
      </c>
      <c r="CD387" s="2">
        <f>IF(($C$130&lt;&gt;"")*(应付登记!$D$391=$C$130)*ISNUMBER(应付登记!$J$391)*(应付登记!$J$391&gt;=_辅助!$J$4)*(应付登记!$J$391&lt;=_辅助!$J$2),1,0)</f>
        <v>0</v>
      </c>
    </row>
    <row r="388">
      <c r="BC388" s="2">
        <f>BC350+SUM(CD351:CD388)</f>
        <v>0</v>
      </c>
      <c r="BD388" s="2">
        <f>IF(AND($C$130&lt;&gt;"",资金流水!$J$392=$C$130,ISNUMBER(资金流水!$B$392),ISNUMBER(资金流水!$S$392),资金流水!$S$392&gt;=_辅助!$J$4,资金流水!$S$392&lt;=_辅助!$J$2,OR(资金流水!$X$392="应付材料款",资金流水!$X$392="应付分包款",资金流水!$X$392="应付机械运输费",资金流水!$X$392="应付其他款")),INT(资金流水!$B$392)*10000+387,"")</f>
      </c>
      <c r="CD388" s="2">
        <f>IF(($C$130&lt;&gt;"")*(应付登记!$D$392=$C$130)*ISNUMBER(应付登记!$J$392)*(应付登记!$J$392&gt;=_辅助!$J$4)*(应付登记!$J$392&lt;=_辅助!$J$2),1,0)</f>
        <v>0</v>
      </c>
    </row>
    <row r="389">
      <c r="BC389" s="2">
        <f>BC350+SUM(CD351:CD389)</f>
        <v>0</v>
      </c>
      <c r="BD389" s="2">
        <f>IF(AND($C$130&lt;&gt;"",资金流水!$J$393=$C$130,ISNUMBER(资金流水!$B$393),ISNUMBER(资金流水!$S$393),资金流水!$S$393&gt;=_辅助!$J$4,资金流水!$S$393&lt;=_辅助!$J$2,OR(资金流水!$X$393="应付材料款",资金流水!$X$393="应付分包款",资金流水!$X$393="应付机械运输费",资金流水!$X$393="应付其他款")),INT(资金流水!$B$393)*10000+388,"")</f>
      </c>
      <c r="CD389" s="2">
        <f>IF(($C$130&lt;&gt;"")*(应付登记!$D$393=$C$130)*ISNUMBER(应付登记!$J$393)*(应付登记!$J$393&gt;=_辅助!$J$4)*(应付登记!$J$393&lt;=_辅助!$J$2),1,0)</f>
        <v>0</v>
      </c>
    </row>
    <row r="390">
      <c r="BC390" s="2">
        <f>BC350+SUM(CD351:CD390)</f>
        <v>0</v>
      </c>
      <c r="BD390" s="2">
        <f>IF(AND($C$130&lt;&gt;"",资金流水!$J$394=$C$130,ISNUMBER(资金流水!$B$394),ISNUMBER(资金流水!$S$394),资金流水!$S$394&gt;=_辅助!$J$4,资金流水!$S$394&lt;=_辅助!$J$2,OR(资金流水!$X$394="应付材料款",资金流水!$X$394="应付分包款",资金流水!$X$394="应付机械运输费",资金流水!$X$394="应付其他款")),INT(资金流水!$B$394)*10000+389,"")</f>
      </c>
      <c r="CD390" s="2">
        <f>IF(($C$130&lt;&gt;"")*(应付登记!$D$394=$C$130)*ISNUMBER(应付登记!$J$394)*(应付登记!$J$394&gt;=_辅助!$J$4)*(应付登记!$J$394&lt;=_辅助!$J$2),1,0)</f>
        <v>0</v>
      </c>
    </row>
    <row r="391">
      <c r="BC391" s="2">
        <f>BC350+SUM(CD351:CD391)</f>
        <v>0</v>
      </c>
      <c r="BD391" s="2">
        <f>IF(AND($C$130&lt;&gt;"",资金流水!$J$395=$C$130,ISNUMBER(资金流水!$B$395),ISNUMBER(资金流水!$S$395),资金流水!$S$395&gt;=_辅助!$J$4,资金流水!$S$395&lt;=_辅助!$J$2,OR(资金流水!$X$395="应付材料款",资金流水!$X$395="应付分包款",资金流水!$X$395="应付机械运输费",资金流水!$X$395="应付其他款")),INT(资金流水!$B$395)*10000+390,"")</f>
      </c>
      <c r="CD391" s="2">
        <f>IF(($C$130&lt;&gt;"")*(应付登记!$D$395=$C$130)*ISNUMBER(应付登记!$J$395)*(应付登记!$J$395&gt;=_辅助!$J$4)*(应付登记!$J$395&lt;=_辅助!$J$2),1,0)</f>
        <v>0</v>
      </c>
    </row>
    <row r="392">
      <c r="BC392" s="2">
        <f>BC350+SUM(CD351:CD392)</f>
        <v>0</v>
      </c>
      <c r="BD392" s="2">
        <f>IF(AND($C$130&lt;&gt;"",资金流水!$J$396=$C$130,ISNUMBER(资金流水!$B$396),ISNUMBER(资金流水!$S$396),资金流水!$S$396&gt;=_辅助!$J$4,资金流水!$S$396&lt;=_辅助!$J$2,OR(资金流水!$X$396="应付材料款",资金流水!$X$396="应付分包款",资金流水!$X$396="应付机械运输费",资金流水!$X$396="应付其他款")),INT(资金流水!$B$396)*10000+391,"")</f>
      </c>
      <c r="CD392" s="2">
        <f>IF(($C$130&lt;&gt;"")*(应付登记!$D$396=$C$130)*ISNUMBER(应付登记!$J$396)*(应付登记!$J$396&gt;=_辅助!$J$4)*(应付登记!$J$396&lt;=_辅助!$J$2),1,0)</f>
        <v>0</v>
      </c>
    </row>
    <row r="393">
      <c r="BC393" s="2">
        <f>BC350+SUM(CD351:CD393)</f>
        <v>0</v>
      </c>
      <c r="BD393" s="2">
        <f>IF(AND($C$130&lt;&gt;"",资金流水!$J$397=$C$130,ISNUMBER(资金流水!$B$397),ISNUMBER(资金流水!$S$397),资金流水!$S$397&gt;=_辅助!$J$4,资金流水!$S$397&lt;=_辅助!$J$2,OR(资金流水!$X$397="应付材料款",资金流水!$X$397="应付分包款",资金流水!$X$397="应付机械运输费",资金流水!$X$397="应付其他款")),INT(资金流水!$B$397)*10000+392,"")</f>
      </c>
      <c r="CD393" s="2">
        <f>IF(($C$130&lt;&gt;"")*(应付登记!$D$397=$C$130)*ISNUMBER(应付登记!$J$397)*(应付登记!$J$397&gt;=_辅助!$J$4)*(应付登记!$J$397&lt;=_辅助!$J$2),1,0)</f>
        <v>0</v>
      </c>
    </row>
    <row r="394">
      <c r="BC394" s="2">
        <f>BC350+SUM(CD351:CD394)</f>
        <v>0</v>
      </c>
      <c r="BD394" s="2">
        <f>IF(AND($C$130&lt;&gt;"",资金流水!$J$398=$C$130,ISNUMBER(资金流水!$B$398),ISNUMBER(资金流水!$S$398),资金流水!$S$398&gt;=_辅助!$J$4,资金流水!$S$398&lt;=_辅助!$J$2,OR(资金流水!$X$398="应付材料款",资金流水!$X$398="应付分包款",资金流水!$X$398="应付机械运输费",资金流水!$X$398="应付其他款")),INT(资金流水!$B$398)*10000+393,"")</f>
      </c>
      <c r="CD394" s="2">
        <f>IF(($C$130&lt;&gt;"")*(应付登记!$D$398=$C$130)*ISNUMBER(应付登记!$J$398)*(应付登记!$J$398&gt;=_辅助!$J$4)*(应付登记!$J$398&lt;=_辅助!$J$2),1,0)</f>
        <v>0</v>
      </c>
    </row>
    <row r="395">
      <c r="BC395" s="2">
        <f>BC350+SUM(CD351:CD395)</f>
        <v>0</v>
      </c>
      <c r="BD395" s="2">
        <f>IF(AND($C$130&lt;&gt;"",资金流水!$J$399=$C$130,ISNUMBER(资金流水!$B$399),ISNUMBER(资金流水!$S$399),资金流水!$S$399&gt;=_辅助!$J$4,资金流水!$S$399&lt;=_辅助!$J$2,OR(资金流水!$X$399="应付材料款",资金流水!$X$399="应付分包款",资金流水!$X$399="应付机械运输费",资金流水!$X$399="应付其他款")),INT(资金流水!$B$399)*10000+394,"")</f>
      </c>
      <c r="CD395" s="2">
        <f>IF(($C$130&lt;&gt;"")*(应付登记!$D$399=$C$130)*ISNUMBER(应付登记!$J$399)*(应付登记!$J$399&gt;=_辅助!$J$4)*(应付登记!$J$399&lt;=_辅助!$J$2),1,0)</f>
        <v>0</v>
      </c>
    </row>
    <row r="396">
      <c r="BC396" s="2">
        <f>BC350+SUM(CD351:CD396)</f>
        <v>0</v>
      </c>
      <c r="BD396" s="2">
        <f>IF(AND($C$130&lt;&gt;"",资金流水!$J$400=$C$130,ISNUMBER(资金流水!$B$400),ISNUMBER(资金流水!$S$400),资金流水!$S$400&gt;=_辅助!$J$4,资金流水!$S$400&lt;=_辅助!$J$2,OR(资金流水!$X$400="应付材料款",资金流水!$X$400="应付分包款",资金流水!$X$400="应付机械运输费",资金流水!$X$400="应付其他款")),INT(资金流水!$B$400)*10000+395,"")</f>
      </c>
      <c r="CD396" s="2">
        <f>IF(($C$130&lt;&gt;"")*(应付登记!$D$400=$C$130)*ISNUMBER(应付登记!$J$400)*(应付登记!$J$400&gt;=_辅助!$J$4)*(应付登记!$J$400&lt;=_辅助!$J$2),1,0)</f>
        <v>0</v>
      </c>
    </row>
    <row r="397">
      <c r="BC397" s="2">
        <f>BC350+SUM(CD351:CD397)</f>
        <v>0</v>
      </c>
      <c r="BD397" s="2">
        <f>IF(AND($C$130&lt;&gt;"",资金流水!$J$401=$C$130,ISNUMBER(资金流水!$B$401),ISNUMBER(资金流水!$S$401),资金流水!$S$401&gt;=_辅助!$J$4,资金流水!$S$401&lt;=_辅助!$J$2,OR(资金流水!$X$401="应付材料款",资金流水!$X$401="应付分包款",资金流水!$X$401="应付机械运输费",资金流水!$X$401="应付其他款")),INT(资金流水!$B$401)*10000+396,"")</f>
      </c>
      <c r="CD397" s="2">
        <f>IF(($C$130&lt;&gt;"")*(应付登记!$D$401=$C$130)*ISNUMBER(应付登记!$J$401)*(应付登记!$J$401&gt;=_辅助!$J$4)*(应付登记!$J$401&lt;=_辅助!$J$2),1,0)</f>
        <v>0</v>
      </c>
    </row>
    <row r="398">
      <c r="BC398" s="2">
        <f>BC350+SUM(CD351:CD398)</f>
        <v>0</v>
      </c>
      <c r="BD398" s="2">
        <f>IF(AND($C$130&lt;&gt;"",资金流水!$J$402=$C$130,ISNUMBER(资金流水!$B$402),ISNUMBER(资金流水!$S$402),资金流水!$S$402&gt;=_辅助!$J$4,资金流水!$S$402&lt;=_辅助!$J$2,OR(资金流水!$X$402="应付材料款",资金流水!$X$402="应付分包款",资金流水!$X$402="应付机械运输费",资金流水!$X$402="应付其他款")),INT(资金流水!$B$402)*10000+397,"")</f>
      </c>
      <c r="CD398" s="2">
        <f>IF(($C$130&lt;&gt;"")*(应付登记!$D$402=$C$130)*ISNUMBER(应付登记!$J$402)*(应付登记!$J$402&gt;=_辅助!$J$4)*(应付登记!$J$402&lt;=_辅助!$J$2),1,0)</f>
        <v>0</v>
      </c>
    </row>
    <row r="399">
      <c r="BC399" s="2">
        <f>BC350+SUM(CD351:CD399)</f>
        <v>0</v>
      </c>
      <c r="BD399" s="2">
        <f>IF(AND($C$130&lt;&gt;"",资金流水!$J$403=$C$130,ISNUMBER(资金流水!$B$403),ISNUMBER(资金流水!$S$403),资金流水!$S$403&gt;=_辅助!$J$4,资金流水!$S$403&lt;=_辅助!$J$2,OR(资金流水!$X$403="应付材料款",资金流水!$X$403="应付分包款",资金流水!$X$403="应付机械运输费",资金流水!$X$403="应付其他款")),INT(资金流水!$B$403)*10000+398,"")</f>
      </c>
      <c r="CD399" s="2">
        <f>IF(($C$130&lt;&gt;"")*(应付登记!$D$403=$C$130)*ISNUMBER(应付登记!$J$403)*(应付登记!$J$403&gt;=_辅助!$J$4)*(应付登记!$J$403&lt;=_辅助!$J$2),1,0)</f>
        <v>0</v>
      </c>
    </row>
    <row r="400">
      <c r="BC400" s="2">
        <f>BC350+SUM(CD351:CD400)</f>
        <v>0</v>
      </c>
      <c r="BD400" s="2">
        <f>IF(AND($C$130&lt;&gt;"",资金流水!$J$404=$C$130,ISNUMBER(资金流水!$B$404),ISNUMBER(资金流水!$S$404),资金流水!$S$404&gt;=_辅助!$J$4,资金流水!$S$404&lt;=_辅助!$J$2,OR(资金流水!$X$404="应付材料款",资金流水!$X$404="应付分包款",资金流水!$X$404="应付机械运输费",资金流水!$X$404="应付其他款")),INT(资金流水!$B$404)*10000+399,"")</f>
      </c>
      <c r="CD400" s="2">
        <f>IF(($C$130&lt;&gt;"")*(应付登记!$D$404=$C$130)*ISNUMBER(应付登记!$J$404)*(应付登记!$J$404&gt;=_辅助!$J$4)*(应付登记!$J$404&lt;=_辅助!$J$2),1,0)</f>
        <v>0</v>
      </c>
    </row>
    <row r="401">
      <c r="BC401" s="2">
        <f>BC400+SUM(CD401:CD401)</f>
        <v>0</v>
      </c>
      <c r="BD401" s="2">
        <f>IF(AND($C$130&lt;&gt;"",资金流水!$J$405=$C$130,ISNUMBER(资金流水!$B$405),ISNUMBER(资金流水!$S$405),资金流水!$S$405&gt;=_辅助!$J$4,资金流水!$S$405&lt;=_辅助!$J$2,OR(资金流水!$X$405="应付材料款",资金流水!$X$405="应付分包款",资金流水!$X$405="应付机械运输费",资金流水!$X$405="应付其他款")),INT(资金流水!$B$405)*10000+400,"")</f>
      </c>
      <c r="CD401" s="2">
        <f>IF(($C$130&lt;&gt;"")*(应付登记!$D$405=$C$130)*ISNUMBER(应付登记!$J$405)*(应付登记!$J$405&gt;=_辅助!$J$4)*(应付登记!$J$405&lt;=_辅助!$J$2),1,0)</f>
        <v>0</v>
      </c>
    </row>
    <row r="402">
      <c r="BC402" s="2">
        <f>BC400+SUM(CD401:CD402)</f>
        <v>0</v>
      </c>
      <c r="BD402" s="2">
        <f>IF(AND($C$130&lt;&gt;"",资金流水!$J$406=$C$130,ISNUMBER(资金流水!$B$406),ISNUMBER(资金流水!$S$406),资金流水!$S$406&gt;=_辅助!$J$4,资金流水!$S$406&lt;=_辅助!$J$2,OR(资金流水!$X$406="应付材料款",资金流水!$X$406="应付分包款",资金流水!$X$406="应付机械运输费",资金流水!$X$406="应付其他款")),INT(资金流水!$B$406)*10000+401,"")</f>
      </c>
      <c r="CD402" s="2">
        <f>IF(($C$130&lt;&gt;"")*(应付登记!$D$406=$C$130)*ISNUMBER(应付登记!$J$406)*(应付登记!$J$406&gt;=_辅助!$J$4)*(应付登记!$J$406&lt;=_辅助!$J$2),1,0)</f>
        <v>0</v>
      </c>
    </row>
    <row r="403">
      <c r="BC403" s="2">
        <f>BC400+SUM(CD401:CD403)</f>
        <v>0</v>
      </c>
      <c r="BD403" s="2">
        <f>IF(AND($C$130&lt;&gt;"",资金流水!$J$407=$C$130,ISNUMBER(资金流水!$B$407),ISNUMBER(资金流水!$S$407),资金流水!$S$407&gt;=_辅助!$J$4,资金流水!$S$407&lt;=_辅助!$J$2,OR(资金流水!$X$407="应付材料款",资金流水!$X$407="应付分包款",资金流水!$X$407="应付机械运输费",资金流水!$X$407="应付其他款")),INT(资金流水!$B$407)*10000+402,"")</f>
      </c>
      <c r="CD403" s="2">
        <f>IF(($C$130&lt;&gt;"")*(应付登记!$D$407=$C$130)*ISNUMBER(应付登记!$J$407)*(应付登记!$J$407&gt;=_辅助!$J$4)*(应付登记!$J$407&lt;=_辅助!$J$2),1,0)</f>
        <v>0</v>
      </c>
    </row>
    <row r="404">
      <c r="BC404" s="2">
        <f>BC400+SUM(CD401:CD404)</f>
        <v>0</v>
      </c>
      <c r="BD404" s="2">
        <f>IF(AND($C$130&lt;&gt;"",资金流水!$J$408=$C$130,ISNUMBER(资金流水!$B$408),ISNUMBER(资金流水!$S$408),资金流水!$S$408&gt;=_辅助!$J$4,资金流水!$S$408&lt;=_辅助!$J$2,OR(资金流水!$X$408="应付材料款",资金流水!$X$408="应付分包款",资金流水!$X$408="应付机械运输费",资金流水!$X$408="应付其他款")),INT(资金流水!$B$408)*10000+403,"")</f>
      </c>
      <c r="CD404" s="2">
        <f>IF(($C$130&lt;&gt;"")*(应付登记!$D$408=$C$130)*ISNUMBER(应付登记!$J$408)*(应付登记!$J$408&gt;=_辅助!$J$4)*(应付登记!$J$408&lt;=_辅助!$J$2),1,0)</f>
        <v>0</v>
      </c>
    </row>
    <row r="405">
      <c r="BC405" s="2">
        <f>BC400+SUM(CD401:CD405)</f>
        <v>0</v>
      </c>
      <c r="BD405" s="2">
        <f>IF(AND($C$130&lt;&gt;"",资金流水!$J$409=$C$130,ISNUMBER(资金流水!$B$409),ISNUMBER(资金流水!$S$409),资金流水!$S$409&gt;=_辅助!$J$4,资金流水!$S$409&lt;=_辅助!$J$2,OR(资金流水!$X$409="应付材料款",资金流水!$X$409="应付分包款",资金流水!$X$409="应付机械运输费",资金流水!$X$409="应付其他款")),INT(资金流水!$B$409)*10000+404,"")</f>
      </c>
      <c r="CD405" s="2">
        <f>IF(($C$130&lt;&gt;"")*(应付登记!$D$409=$C$130)*ISNUMBER(应付登记!$J$409)*(应付登记!$J$409&gt;=_辅助!$J$4)*(应付登记!$J$409&lt;=_辅助!$J$2),1,0)</f>
        <v>0</v>
      </c>
    </row>
    <row r="406">
      <c r="BC406" s="2">
        <f>BC400+SUM(CD401:CD406)</f>
        <v>0</v>
      </c>
      <c r="BD406" s="2">
        <f>IF(AND($C$130&lt;&gt;"",资金流水!$J$410=$C$130,ISNUMBER(资金流水!$B$410),ISNUMBER(资金流水!$S$410),资金流水!$S$410&gt;=_辅助!$J$4,资金流水!$S$410&lt;=_辅助!$J$2,OR(资金流水!$X$410="应付材料款",资金流水!$X$410="应付分包款",资金流水!$X$410="应付机械运输费",资金流水!$X$410="应付其他款")),INT(资金流水!$B$410)*10000+405,"")</f>
      </c>
      <c r="CD406" s="2">
        <f>IF(($C$130&lt;&gt;"")*(应付登记!$D$410=$C$130)*ISNUMBER(应付登记!$J$410)*(应付登记!$J$410&gt;=_辅助!$J$4)*(应付登记!$J$410&lt;=_辅助!$J$2),1,0)</f>
        <v>0</v>
      </c>
    </row>
    <row r="407">
      <c r="BC407" s="2">
        <f>BC400+SUM(CD401:CD407)</f>
        <v>0</v>
      </c>
      <c r="BD407" s="2">
        <f>IF(AND($C$130&lt;&gt;"",资金流水!$J$411=$C$130,ISNUMBER(资金流水!$B$411),ISNUMBER(资金流水!$S$411),资金流水!$S$411&gt;=_辅助!$J$4,资金流水!$S$411&lt;=_辅助!$J$2,OR(资金流水!$X$411="应付材料款",资金流水!$X$411="应付分包款",资金流水!$X$411="应付机械运输费",资金流水!$X$411="应付其他款")),INT(资金流水!$B$411)*10000+406,"")</f>
      </c>
      <c r="CD407" s="2">
        <f>IF(($C$130&lt;&gt;"")*(应付登记!$D$411=$C$130)*ISNUMBER(应付登记!$J$411)*(应付登记!$J$411&gt;=_辅助!$J$4)*(应付登记!$J$411&lt;=_辅助!$J$2),1,0)</f>
        <v>0</v>
      </c>
    </row>
    <row r="408">
      <c r="BC408" s="2">
        <f>BC400+SUM(CD401:CD408)</f>
        <v>0</v>
      </c>
      <c r="BD408" s="2">
        <f>IF(AND($C$130&lt;&gt;"",资金流水!$J$412=$C$130,ISNUMBER(资金流水!$B$412),ISNUMBER(资金流水!$S$412),资金流水!$S$412&gt;=_辅助!$J$4,资金流水!$S$412&lt;=_辅助!$J$2,OR(资金流水!$X$412="应付材料款",资金流水!$X$412="应付分包款",资金流水!$X$412="应付机械运输费",资金流水!$X$412="应付其他款")),INT(资金流水!$B$412)*10000+407,"")</f>
      </c>
      <c r="CD408" s="2">
        <f>IF(($C$130&lt;&gt;"")*(应付登记!$D$412=$C$130)*ISNUMBER(应付登记!$J$412)*(应付登记!$J$412&gt;=_辅助!$J$4)*(应付登记!$J$412&lt;=_辅助!$J$2),1,0)</f>
        <v>0</v>
      </c>
    </row>
    <row r="409">
      <c r="BC409" s="2">
        <f>BC400+SUM(CD401:CD409)</f>
        <v>0</v>
      </c>
      <c r="BD409" s="2">
        <f>IF(AND($C$130&lt;&gt;"",资金流水!$J$413=$C$130,ISNUMBER(资金流水!$B$413),ISNUMBER(资金流水!$S$413),资金流水!$S$413&gt;=_辅助!$J$4,资金流水!$S$413&lt;=_辅助!$J$2,OR(资金流水!$X$413="应付材料款",资金流水!$X$413="应付分包款",资金流水!$X$413="应付机械运输费",资金流水!$X$413="应付其他款")),INT(资金流水!$B$413)*10000+408,"")</f>
      </c>
      <c r="CD409" s="2">
        <f>IF(($C$130&lt;&gt;"")*(应付登记!$D$413=$C$130)*ISNUMBER(应付登记!$J$413)*(应付登记!$J$413&gt;=_辅助!$J$4)*(应付登记!$J$413&lt;=_辅助!$J$2),1,0)</f>
        <v>0</v>
      </c>
    </row>
    <row r="410">
      <c r="BC410" s="2">
        <f>BC400+SUM(CD401:CD410)</f>
        <v>0</v>
      </c>
      <c r="BD410" s="2">
        <f>IF(AND($C$130&lt;&gt;"",资金流水!$J$414=$C$130,ISNUMBER(资金流水!$B$414),ISNUMBER(资金流水!$S$414),资金流水!$S$414&gt;=_辅助!$J$4,资金流水!$S$414&lt;=_辅助!$J$2,OR(资金流水!$X$414="应付材料款",资金流水!$X$414="应付分包款",资金流水!$X$414="应付机械运输费",资金流水!$X$414="应付其他款")),INT(资金流水!$B$414)*10000+409,"")</f>
      </c>
      <c r="CD410" s="2">
        <f>IF(($C$130&lt;&gt;"")*(应付登记!$D$414=$C$130)*ISNUMBER(应付登记!$J$414)*(应付登记!$J$414&gt;=_辅助!$J$4)*(应付登记!$J$414&lt;=_辅助!$J$2),1,0)</f>
        <v>0</v>
      </c>
    </row>
    <row r="411">
      <c r="BC411" s="2">
        <f>BC400+SUM(CD401:CD411)</f>
        <v>0</v>
      </c>
      <c r="BD411" s="2">
        <f>IF(AND($C$130&lt;&gt;"",资金流水!$J$415=$C$130,ISNUMBER(资金流水!$B$415),ISNUMBER(资金流水!$S$415),资金流水!$S$415&gt;=_辅助!$J$4,资金流水!$S$415&lt;=_辅助!$J$2,OR(资金流水!$X$415="应付材料款",资金流水!$X$415="应付分包款",资金流水!$X$415="应付机械运输费",资金流水!$X$415="应付其他款")),INT(资金流水!$B$415)*10000+410,"")</f>
      </c>
      <c r="CD411" s="2">
        <f>IF(($C$130&lt;&gt;"")*(应付登记!$D$415=$C$130)*ISNUMBER(应付登记!$J$415)*(应付登记!$J$415&gt;=_辅助!$J$4)*(应付登记!$J$415&lt;=_辅助!$J$2),1,0)</f>
        <v>0</v>
      </c>
    </row>
    <row r="412">
      <c r="BC412" s="2">
        <f>BC400+SUM(CD401:CD412)</f>
        <v>0</v>
      </c>
      <c r="BD412" s="2">
        <f>IF(AND($C$130&lt;&gt;"",资金流水!$J$416=$C$130,ISNUMBER(资金流水!$B$416),ISNUMBER(资金流水!$S$416),资金流水!$S$416&gt;=_辅助!$J$4,资金流水!$S$416&lt;=_辅助!$J$2,OR(资金流水!$X$416="应付材料款",资金流水!$X$416="应付分包款",资金流水!$X$416="应付机械运输费",资金流水!$X$416="应付其他款")),INT(资金流水!$B$416)*10000+411,"")</f>
      </c>
      <c r="CD412" s="2">
        <f>IF(($C$130&lt;&gt;"")*(应付登记!$D$416=$C$130)*ISNUMBER(应付登记!$J$416)*(应付登记!$J$416&gt;=_辅助!$J$4)*(应付登记!$J$416&lt;=_辅助!$J$2),1,0)</f>
        <v>0</v>
      </c>
    </row>
    <row r="413">
      <c r="BC413" s="2">
        <f>BC400+SUM(CD401:CD413)</f>
        <v>0</v>
      </c>
      <c r="BD413" s="2">
        <f>IF(AND($C$130&lt;&gt;"",资金流水!$J$417=$C$130,ISNUMBER(资金流水!$B$417),ISNUMBER(资金流水!$S$417),资金流水!$S$417&gt;=_辅助!$J$4,资金流水!$S$417&lt;=_辅助!$J$2,OR(资金流水!$X$417="应付材料款",资金流水!$X$417="应付分包款",资金流水!$X$417="应付机械运输费",资金流水!$X$417="应付其他款")),INT(资金流水!$B$417)*10000+412,"")</f>
      </c>
      <c r="CD413" s="2">
        <f>IF(($C$130&lt;&gt;"")*(应付登记!$D$417=$C$130)*ISNUMBER(应付登记!$J$417)*(应付登记!$J$417&gt;=_辅助!$J$4)*(应付登记!$J$417&lt;=_辅助!$J$2),1,0)</f>
        <v>0</v>
      </c>
    </row>
    <row r="414">
      <c r="BC414" s="2">
        <f>BC400+SUM(CD401:CD414)</f>
        <v>0</v>
      </c>
      <c r="BD414" s="2">
        <f>IF(AND($C$130&lt;&gt;"",资金流水!$J$418=$C$130,ISNUMBER(资金流水!$B$418),ISNUMBER(资金流水!$S$418),资金流水!$S$418&gt;=_辅助!$J$4,资金流水!$S$418&lt;=_辅助!$J$2,OR(资金流水!$X$418="应付材料款",资金流水!$X$418="应付分包款",资金流水!$X$418="应付机械运输费",资金流水!$X$418="应付其他款")),INT(资金流水!$B$418)*10000+413,"")</f>
      </c>
      <c r="CD414" s="2">
        <f>IF(($C$130&lt;&gt;"")*(应付登记!$D$418=$C$130)*ISNUMBER(应付登记!$J$418)*(应付登记!$J$418&gt;=_辅助!$J$4)*(应付登记!$J$418&lt;=_辅助!$J$2),1,0)</f>
        <v>0</v>
      </c>
    </row>
    <row r="415">
      <c r="BC415" s="2">
        <f>BC400+SUM(CD401:CD415)</f>
        <v>0</v>
      </c>
      <c r="BD415" s="2">
        <f>IF(AND($C$130&lt;&gt;"",资金流水!$J$419=$C$130,ISNUMBER(资金流水!$B$419),ISNUMBER(资金流水!$S$419),资金流水!$S$419&gt;=_辅助!$J$4,资金流水!$S$419&lt;=_辅助!$J$2,OR(资金流水!$X$419="应付材料款",资金流水!$X$419="应付分包款",资金流水!$X$419="应付机械运输费",资金流水!$X$419="应付其他款")),INT(资金流水!$B$419)*10000+414,"")</f>
      </c>
      <c r="CD415" s="2">
        <f>IF(($C$130&lt;&gt;"")*(应付登记!$D$419=$C$130)*ISNUMBER(应付登记!$J$419)*(应付登记!$J$419&gt;=_辅助!$J$4)*(应付登记!$J$419&lt;=_辅助!$J$2),1,0)</f>
        <v>0</v>
      </c>
    </row>
    <row r="416">
      <c r="BC416" s="2">
        <f>BC400+SUM(CD401:CD416)</f>
        <v>0</v>
      </c>
      <c r="BD416" s="2">
        <f>IF(AND($C$130&lt;&gt;"",资金流水!$J$420=$C$130,ISNUMBER(资金流水!$B$420),ISNUMBER(资金流水!$S$420),资金流水!$S$420&gt;=_辅助!$J$4,资金流水!$S$420&lt;=_辅助!$J$2,OR(资金流水!$X$420="应付材料款",资金流水!$X$420="应付分包款",资金流水!$X$420="应付机械运输费",资金流水!$X$420="应付其他款")),INT(资金流水!$B$420)*10000+415,"")</f>
      </c>
      <c r="CD416" s="2">
        <f>IF(($C$130&lt;&gt;"")*(应付登记!$D$420=$C$130)*ISNUMBER(应付登记!$J$420)*(应付登记!$J$420&gt;=_辅助!$J$4)*(应付登记!$J$420&lt;=_辅助!$J$2),1,0)</f>
        <v>0</v>
      </c>
    </row>
    <row r="417">
      <c r="BC417" s="2">
        <f>BC400+SUM(CD401:CD417)</f>
        <v>0</v>
      </c>
      <c r="BD417" s="2">
        <f>IF(AND($C$130&lt;&gt;"",资金流水!$J$421=$C$130,ISNUMBER(资金流水!$B$421),ISNUMBER(资金流水!$S$421),资金流水!$S$421&gt;=_辅助!$J$4,资金流水!$S$421&lt;=_辅助!$J$2,OR(资金流水!$X$421="应付材料款",资金流水!$X$421="应付分包款",资金流水!$X$421="应付机械运输费",资金流水!$X$421="应付其他款")),INT(资金流水!$B$421)*10000+416,"")</f>
      </c>
      <c r="CD417" s="2">
        <f>IF(($C$130&lt;&gt;"")*(应付登记!$D$421=$C$130)*ISNUMBER(应付登记!$J$421)*(应付登记!$J$421&gt;=_辅助!$J$4)*(应付登记!$J$421&lt;=_辅助!$J$2),1,0)</f>
        <v>0</v>
      </c>
    </row>
    <row r="418">
      <c r="BC418" s="2">
        <f>BC400+SUM(CD401:CD418)</f>
        <v>0</v>
      </c>
      <c r="BD418" s="2">
        <f>IF(AND($C$130&lt;&gt;"",资金流水!$J$422=$C$130,ISNUMBER(资金流水!$B$422),ISNUMBER(资金流水!$S$422),资金流水!$S$422&gt;=_辅助!$J$4,资金流水!$S$422&lt;=_辅助!$J$2,OR(资金流水!$X$422="应付材料款",资金流水!$X$422="应付分包款",资金流水!$X$422="应付机械运输费",资金流水!$X$422="应付其他款")),INT(资金流水!$B$422)*10000+417,"")</f>
      </c>
      <c r="CD418" s="2">
        <f>IF(($C$130&lt;&gt;"")*(应付登记!$D$422=$C$130)*ISNUMBER(应付登记!$J$422)*(应付登记!$J$422&gt;=_辅助!$J$4)*(应付登记!$J$422&lt;=_辅助!$J$2),1,0)</f>
        <v>0</v>
      </c>
    </row>
    <row r="419">
      <c r="BC419" s="2">
        <f>BC400+SUM(CD401:CD419)</f>
        <v>0</v>
      </c>
      <c r="BD419" s="2">
        <f>IF(AND($C$130&lt;&gt;"",资金流水!$J$423=$C$130,ISNUMBER(资金流水!$B$423),ISNUMBER(资金流水!$S$423),资金流水!$S$423&gt;=_辅助!$J$4,资金流水!$S$423&lt;=_辅助!$J$2,OR(资金流水!$X$423="应付材料款",资金流水!$X$423="应付分包款",资金流水!$X$423="应付机械运输费",资金流水!$X$423="应付其他款")),INT(资金流水!$B$423)*10000+418,"")</f>
      </c>
      <c r="CD419" s="2">
        <f>IF(($C$130&lt;&gt;"")*(应付登记!$D$423=$C$130)*ISNUMBER(应付登记!$J$423)*(应付登记!$J$423&gt;=_辅助!$J$4)*(应付登记!$J$423&lt;=_辅助!$J$2),1,0)</f>
        <v>0</v>
      </c>
    </row>
    <row r="420">
      <c r="BC420" s="2">
        <f>BC400+SUM(CD401:CD420)</f>
        <v>0</v>
      </c>
      <c r="BD420" s="2">
        <f>IF(AND($C$130&lt;&gt;"",资金流水!$J$424=$C$130,ISNUMBER(资金流水!$B$424),ISNUMBER(资金流水!$S$424),资金流水!$S$424&gt;=_辅助!$J$4,资金流水!$S$424&lt;=_辅助!$J$2,OR(资金流水!$X$424="应付材料款",资金流水!$X$424="应付分包款",资金流水!$X$424="应付机械运输费",资金流水!$X$424="应付其他款")),INT(资金流水!$B$424)*10000+419,"")</f>
      </c>
      <c r="CD420" s="2">
        <f>IF(($C$130&lt;&gt;"")*(应付登记!$D$424=$C$130)*ISNUMBER(应付登记!$J$424)*(应付登记!$J$424&gt;=_辅助!$J$4)*(应付登记!$J$424&lt;=_辅助!$J$2),1,0)</f>
        <v>0</v>
      </c>
    </row>
    <row r="421">
      <c r="BC421" s="2">
        <f>BC400+SUM(CD401:CD421)</f>
        <v>0</v>
      </c>
      <c r="BD421" s="2">
        <f>IF(AND($C$130&lt;&gt;"",资金流水!$J$425=$C$130,ISNUMBER(资金流水!$B$425),ISNUMBER(资金流水!$S$425),资金流水!$S$425&gt;=_辅助!$J$4,资金流水!$S$425&lt;=_辅助!$J$2,OR(资金流水!$X$425="应付材料款",资金流水!$X$425="应付分包款",资金流水!$X$425="应付机械运输费",资金流水!$X$425="应付其他款")),INT(资金流水!$B$425)*10000+420,"")</f>
      </c>
      <c r="CD421" s="2">
        <f>IF(($C$130&lt;&gt;"")*(应付登记!$D$425=$C$130)*ISNUMBER(应付登记!$J$425)*(应付登记!$J$425&gt;=_辅助!$J$4)*(应付登记!$J$425&lt;=_辅助!$J$2),1,0)</f>
        <v>0</v>
      </c>
    </row>
    <row r="422">
      <c r="BC422" s="2">
        <f>BC400+SUM(CD401:CD422)</f>
        <v>0</v>
      </c>
      <c r="BD422" s="2">
        <f>IF(AND($C$130&lt;&gt;"",资金流水!$J$426=$C$130,ISNUMBER(资金流水!$B$426),ISNUMBER(资金流水!$S$426),资金流水!$S$426&gt;=_辅助!$J$4,资金流水!$S$426&lt;=_辅助!$J$2,OR(资金流水!$X$426="应付材料款",资金流水!$X$426="应付分包款",资金流水!$X$426="应付机械运输费",资金流水!$X$426="应付其他款")),INT(资金流水!$B$426)*10000+421,"")</f>
      </c>
      <c r="CD422" s="2">
        <f>IF(($C$130&lt;&gt;"")*(应付登记!$D$426=$C$130)*ISNUMBER(应付登记!$J$426)*(应付登记!$J$426&gt;=_辅助!$J$4)*(应付登记!$J$426&lt;=_辅助!$J$2),1,0)</f>
        <v>0</v>
      </c>
    </row>
    <row r="423">
      <c r="BC423" s="2">
        <f>BC400+SUM(CD401:CD423)</f>
        <v>0</v>
      </c>
      <c r="BD423" s="2">
        <f>IF(AND($C$130&lt;&gt;"",资金流水!$J$427=$C$130,ISNUMBER(资金流水!$B$427),ISNUMBER(资金流水!$S$427),资金流水!$S$427&gt;=_辅助!$J$4,资金流水!$S$427&lt;=_辅助!$J$2,OR(资金流水!$X$427="应付材料款",资金流水!$X$427="应付分包款",资金流水!$X$427="应付机械运输费",资金流水!$X$427="应付其他款")),INT(资金流水!$B$427)*10000+422,"")</f>
      </c>
      <c r="CD423" s="2">
        <f>IF(($C$130&lt;&gt;"")*(应付登记!$D$427=$C$130)*ISNUMBER(应付登记!$J$427)*(应付登记!$J$427&gt;=_辅助!$J$4)*(应付登记!$J$427&lt;=_辅助!$J$2),1,0)</f>
        <v>0</v>
      </c>
    </row>
    <row r="424">
      <c r="BC424" s="2">
        <f>BC400+SUM(CD401:CD424)</f>
        <v>0</v>
      </c>
      <c r="BD424" s="2">
        <f>IF(AND($C$130&lt;&gt;"",资金流水!$J$428=$C$130,ISNUMBER(资金流水!$B$428),ISNUMBER(资金流水!$S$428),资金流水!$S$428&gt;=_辅助!$J$4,资金流水!$S$428&lt;=_辅助!$J$2,OR(资金流水!$X$428="应付材料款",资金流水!$X$428="应付分包款",资金流水!$X$428="应付机械运输费",资金流水!$X$428="应付其他款")),INT(资金流水!$B$428)*10000+423,"")</f>
      </c>
      <c r="CD424" s="2">
        <f>IF(($C$130&lt;&gt;"")*(应付登记!$D$428=$C$130)*ISNUMBER(应付登记!$J$428)*(应付登记!$J$428&gt;=_辅助!$J$4)*(应付登记!$J$428&lt;=_辅助!$J$2),1,0)</f>
        <v>0</v>
      </c>
    </row>
    <row r="425">
      <c r="BC425" s="2">
        <f>BC400+SUM(CD401:CD425)</f>
        <v>0</v>
      </c>
      <c r="BD425" s="2">
        <f>IF(AND($C$130&lt;&gt;"",资金流水!$J$429=$C$130,ISNUMBER(资金流水!$B$429),ISNUMBER(资金流水!$S$429),资金流水!$S$429&gt;=_辅助!$J$4,资金流水!$S$429&lt;=_辅助!$J$2,OR(资金流水!$X$429="应付材料款",资金流水!$X$429="应付分包款",资金流水!$X$429="应付机械运输费",资金流水!$X$429="应付其他款")),INT(资金流水!$B$429)*10000+424,"")</f>
      </c>
      <c r="CD425" s="2">
        <f>IF(($C$130&lt;&gt;"")*(应付登记!$D$429=$C$130)*ISNUMBER(应付登记!$J$429)*(应付登记!$J$429&gt;=_辅助!$J$4)*(应付登记!$J$429&lt;=_辅助!$J$2),1,0)</f>
        <v>0</v>
      </c>
    </row>
    <row r="426">
      <c r="BC426" s="2">
        <f>BC400+SUM(CD401:CD426)</f>
        <v>0</v>
      </c>
      <c r="BD426" s="2">
        <f>IF(AND($C$130&lt;&gt;"",资金流水!$J$430=$C$130,ISNUMBER(资金流水!$B$430),ISNUMBER(资金流水!$S$430),资金流水!$S$430&gt;=_辅助!$J$4,资金流水!$S$430&lt;=_辅助!$J$2,OR(资金流水!$X$430="应付材料款",资金流水!$X$430="应付分包款",资金流水!$X$430="应付机械运输费",资金流水!$X$430="应付其他款")),INT(资金流水!$B$430)*10000+425,"")</f>
      </c>
      <c r="CD426" s="2">
        <f>IF(($C$130&lt;&gt;"")*(应付登记!$D$430=$C$130)*ISNUMBER(应付登记!$J$430)*(应付登记!$J$430&gt;=_辅助!$J$4)*(应付登记!$J$430&lt;=_辅助!$J$2),1,0)</f>
        <v>0</v>
      </c>
    </row>
    <row r="427">
      <c r="BC427" s="2">
        <f>BC400+SUM(CD401:CD427)</f>
        <v>0</v>
      </c>
      <c r="BD427" s="2">
        <f>IF(AND($C$130&lt;&gt;"",资金流水!$J$431=$C$130,ISNUMBER(资金流水!$B$431),ISNUMBER(资金流水!$S$431),资金流水!$S$431&gt;=_辅助!$J$4,资金流水!$S$431&lt;=_辅助!$J$2,OR(资金流水!$X$431="应付材料款",资金流水!$X$431="应付分包款",资金流水!$X$431="应付机械运输费",资金流水!$X$431="应付其他款")),INT(资金流水!$B$431)*10000+426,"")</f>
      </c>
      <c r="CD427" s="2">
        <f>IF(($C$130&lt;&gt;"")*(应付登记!$D$431=$C$130)*ISNUMBER(应付登记!$J$431)*(应付登记!$J$431&gt;=_辅助!$J$4)*(应付登记!$J$431&lt;=_辅助!$J$2),1,0)</f>
        <v>0</v>
      </c>
    </row>
    <row r="428">
      <c r="BC428" s="2">
        <f>BC400+SUM(CD401:CD428)</f>
        <v>0</v>
      </c>
      <c r="BD428" s="2">
        <f>IF(AND($C$130&lt;&gt;"",资金流水!$J$432=$C$130,ISNUMBER(资金流水!$B$432),ISNUMBER(资金流水!$S$432),资金流水!$S$432&gt;=_辅助!$J$4,资金流水!$S$432&lt;=_辅助!$J$2,OR(资金流水!$X$432="应付材料款",资金流水!$X$432="应付分包款",资金流水!$X$432="应付机械运输费",资金流水!$X$432="应付其他款")),INT(资金流水!$B$432)*10000+427,"")</f>
      </c>
      <c r="CD428" s="2">
        <f>IF(($C$130&lt;&gt;"")*(应付登记!$D$432=$C$130)*ISNUMBER(应付登记!$J$432)*(应付登记!$J$432&gt;=_辅助!$J$4)*(应付登记!$J$432&lt;=_辅助!$J$2),1,0)</f>
        <v>0</v>
      </c>
    </row>
    <row r="429">
      <c r="BC429" s="2">
        <f>BC400+SUM(CD401:CD429)</f>
        <v>0</v>
      </c>
      <c r="BD429" s="2">
        <f>IF(AND($C$130&lt;&gt;"",资金流水!$J$433=$C$130,ISNUMBER(资金流水!$B$433),ISNUMBER(资金流水!$S$433),资金流水!$S$433&gt;=_辅助!$J$4,资金流水!$S$433&lt;=_辅助!$J$2,OR(资金流水!$X$433="应付材料款",资金流水!$X$433="应付分包款",资金流水!$X$433="应付机械运输费",资金流水!$X$433="应付其他款")),INT(资金流水!$B$433)*10000+428,"")</f>
      </c>
      <c r="CD429" s="2">
        <f>IF(($C$130&lt;&gt;"")*(应付登记!$D$433=$C$130)*ISNUMBER(应付登记!$J$433)*(应付登记!$J$433&gt;=_辅助!$J$4)*(应付登记!$J$433&lt;=_辅助!$J$2),1,0)</f>
        <v>0</v>
      </c>
    </row>
    <row r="430">
      <c r="BC430" s="2">
        <f>BC400+SUM(CD401:CD430)</f>
        <v>0</v>
      </c>
      <c r="BD430" s="2">
        <f>IF(AND($C$130&lt;&gt;"",资金流水!$J$434=$C$130,ISNUMBER(资金流水!$B$434),ISNUMBER(资金流水!$S$434),资金流水!$S$434&gt;=_辅助!$J$4,资金流水!$S$434&lt;=_辅助!$J$2,OR(资金流水!$X$434="应付材料款",资金流水!$X$434="应付分包款",资金流水!$X$434="应付机械运输费",资金流水!$X$434="应付其他款")),INT(资金流水!$B$434)*10000+429,"")</f>
      </c>
      <c r="CD430" s="2">
        <f>IF(($C$130&lt;&gt;"")*(应付登记!$D$434=$C$130)*ISNUMBER(应付登记!$J$434)*(应付登记!$J$434&gt;=_辅助!$J$4)*(应付登记!$J$434&lt;=_辅助!$J$2),1,0)</f>
        <v>0</v>
      </c>
    </row>
    <row r="431">
      <c r="BC431" s="2">
        <f>BC400+SUM(CD401:CD431)</f>
        <v>0</v>
      </c>
      <c r="BD431" s="2">
        <f>IF(AND($C$130&lt;&gt;"",资金流水!$J$435=$C$130,ISNUMBER(资金流水!$B$435),ISNUMBER(资金流水!$S$435),资金流水!$S$435&gt;=_辅助!$J$4,资金流水!$S$435&lt;=_辅助!$J$2,OR(资金流水!$X$435="应付材料款",资金流水!$X$435="应付分包款",资金流水!$X$435="应付机械运输费",资金流水!$X$435="应付其他款")),INT(资金流水!$B$435)*10000+430,"")</f>
      </c>
      <c r="CD431" s="2">
        <f>IF(($C$130&lt;&gt;"")*(应付登记!$D$435=$C$130)*ISNUMBER(应付登记!$J$435)*(应付登记!$J$435&gt;=_辅助!$J$4)*(应付登记!$J$435&lt;=_辅助!$J$2),1,0)</f>
        <v>0</v>
      </c>
    </row>
    <row r="432">
      <c r="BC432" s="2">
        <f>BC400+SUM(CD401:CD432)</f>
        <v>0</v>
      </c>
      <c r="BD432" s="2">
        <f>IF(AND($C$130&lt;&gt;"",资金流水!$J$436=$C$130,ISNUMBER(资金流水!$B$436),ISNUMBER(资金流水!$S$436),资金流水!$S$436&gt;=_辅助!$J$4,资金流水!$S$436&lt;=_辅助!$J$2,OR(资金流水!$X$436="应付材料款",资金流水!$X$436="应付分包款",资金流水!$X$436="应付机械运输费",资金流水!$X$436="应付其他款")),INT(资金流水!$B$436)*10000+431,"")</f>
      </c>
      <c r="CD432" s="2">
        <f>IF(($C$130&lt;&gt;"")*(应付登记!$D$436=$C$130)*ISNUMBER(应付登记!$J$436)*(应付登记!$J$436&gt;=_辅助!$J$4)*(应付登记!$J$436&lt;=_辅助!$J$2),1,0)</f>
        <v>0</v>
      </c>
    </row>
    <row r="433">
      <c r="BC433" s="2">
        <f>BC400+SUM(CD401:CD433)</f>
        <v>0</v>
      </c>
      <c r="BD433" s="2">
        <f>IF(AND($C$130&lt;&gt;"",资金流水!$J$437=$C$130,ISNUMBER(资金流水!$B$437),ISNUMBER(资金流水!$S$437),资金流水!$S$437&gt;=_辅助!$J$4,资金流水!$S$437&lt;=_辅助!$J$2,OR(资金流水!$X$437="应付材料款",资金流水!$X$437="应付分包款",资金流水!$X$437="应付机械运输费",资金流水!$X$437="应付其他款")),INT(资金流水!$B$437)*10000+432,"")</f>
      </c>
      <c r="CD433" s="2">
        <f>IF(($C$130&lt;&gt;"")*(应付登记!$D$437=$C$130)*ISNUMBER(应付登记!$J$437)*(应付登记!$J$437&gt;=_辅助!$J$4)*(应付登记!$J$437&lt;=_辅助!$J$2),1,0)</f>
        <v>0</v>
      </c>
    </row>
    <row r="434">
      <c r="BC434" s="2">
        <f>BC400+SUM(CD401:CD434)</f>
        <v>0</v>
      </c>
      <c r="BD434" s="2">
        <f>IF(AND($C$130&lt;&gt;"",资金流水!$J$438=$C$130,ISNUMBER(资金流水!$B$438),ISNUMBER(资金流水!$S$438),资金流水!$S$438&gt;=_辅助!$J$4,资金流水!$S$438&lt;=_辅助!$J$2,OR(资金流水!$X$438="应付材料款",资金流水!$X$438="应付分包款",资金流水!$X$438="应付机械运输费",资金流水!$X$438="应付其他款")),INT(资金流水!$B$438)*10000+433,"")</f>
      </c>
      <c r="CD434" s="2">
        <f>IF(($C$130&lt;&gt;"")*(应付登记!$D$438=$C$130)*ISNUMBER(应付登记!$J$438)*(应付登记!$J$438&gt;=_辅助!$J$4)*(应付登记!$J$438&lt;=_辅助!$J$2),1,0)</f>
        <v>0</v>
      </c>
    </row>
    <row r="435">
      <c r="BC435" s="2">
        <f>BC400+SUM(CD401:CD435)</f>
        <v>0</v>
      </c>
      <c r="BD435" s="2">
        <f>IF(AND($C$130&lt;&gt;"",资金流水!$J$439=$C$130,ISNUMBER(资金流水!$B$439),ISNUMBER(资金流水!$S$439),资金流水!$S$439&gt;=_辅助!$J$4,资金流水!$S$439&lt;=_辅助!$J$2,OR(资金流水!$X$439="应付材料款",资金流水!$X$439="应付分包款",资金流水!$X$439="应付机械运输费",资金流水!$X$439="应付其他款")),INT(资金流水!$B$439)*10000+434,"")</f>
      </c>
      <c r="CD435" s="2">
        <f>IF(($C$130&lt;&gt;"")*(应付登记!$D$439=$C$130)*ISNUMBER(应付登记!$J$439)*(应付登记!$J$439&gt;=_辅助!$J$4)*(应付登记!$J$439&lt;=_辅助!$J$2),1,0)</f>
        <v>0</v>
      </c>
    </row>
    <row r="436">
      <c r="BC436" s="2">
        <f>BC400+SUM(CD401:CD436)</f>
        <v>0</v>
      </c>
      <c r="BD436" s="2">
        <f>IF(AND($C$130&lt;&gt;"",资金流水!$J$440=$C$130,ISNUMBER(资金流水!$B$440),ISNUMBER(资金流水!$S$440),资金流水!$S$440&gt;=_辅助!$J$4,资金流水!$S$440&lt;=_辅助!$J$2,OR(资金流水!$X$440="应付材料款",资金流水!$X$440="应付分包款",资金流水!$X$440="应付机械运输费",资金流水!$X$440="应付其他款")),INT(资金流水!$B$440)*10000+435,"")</f>
      </c>
      <c r="CD436" s="2">
        <f>IF(($C$130&lt;&gt;"")*(应付登记!$D$440=$C$130)*ISNUMBER(应付登记!$J$440)*(应付登记!$J$440&gt;=_辅助!$J$4)*(应付登记!$J$440&lt;=_辅助!$J$2),1,0)</f>
        <v>0</v>
      </c>
    </row>
    <row r="437">
      <c r="BC437" s="2">
        <f>BC400+SUM(CD401:CD437)</f>
        <v>0</v>
      </c>
      <c r="BD437" s="2">
        <f>IF(AND($C$130&lt;&gt;"",资金流水!$J$441=$C$130,ISNUMBER(资金流水!$B$441),ISNUMBER(资金流水!$S$441),资金流水!$S$441&gt;=_辅助!$J$4,资金流水!$S$441&lt;=_辅助!$J$2,OR(资金流水!$X$441="应付材料款",资金流水!$X$441="应付分包款",资金流水!$X$441="应付机械运输费",资金流水!$X$441="应付其他款")),INT(资金流水!$B$441)*10000+436,"")</f>
      </c>
      <c r="CD437" s="2">
        <f>IF(($C$130&lt;&gt;"")*(应付登记!$D$441=$C$130)*ISNUMBER(应付登记!$J$441)*(应付登记!$J$441&gt;=_辅助!$J$4)*(应付登记!$J$441&lt;=_辅助!$J$2),1,0)</f>
        <v>0</v>
      </c>
    </row>
    <row r="438">
      <c r="BC438" s="2">
        <f>BC400+SUM(CD401:CD438)</f>
        <v>0</v>
      </c>
      <c r="BD438" s="2">
        <f>IF(AND($C$130&lt;&gt;"",资金流水!$J$442=$C$130,ISNUMBER(资金流水!$B$442),ISNUMBER(资金流水!$S$442),资金流水!$S$442&gt;=_辅助!$J$4,资金流水!$S$442&lt;=_辅助!$J$2,OR(资金流水!$X$442="应付材料款",资金流水!$X$442="应付分包款",资金流水!$X$442="应付机械运输费",资金流水!$X$442="应付其他款")),INT(资金流水!$B$442)*10000+437,"")</f>
      </c>
      <c r="CD438" s="2">
        <f>IF(($C$130&lt;&gt;"")*(应付登记!$D$442=$C$130)*ISNUMBER(应付登记!$J$442)*(应付登记!$J$442&gt;=_辅助!$J$4)*(应付登记!$J$442&lt;=_辅助!$J$2),1,0)</f>
        <v>0</v>
      </c>
    </row>
    <row r="439">
      <c r="BC439" s="2">
        <f>BC400+SUM(CD401:CD439)</f>
        <v>0</v>
      </c>
      <c r="BD439" s="2">
        <f>IF(AND($C$130&lt;&gt;"",资金流水!$J$443=$C$130,ISNUMBER(资金流水!$B$443),ISNUMBER(资金流水!$S$443),资金流水!$S$443&gt;=_辅助!$J$4,资金流水!$S$443&lt;=_辅助!$J$2,OR(资金流水!$X$443="应付材料款",资金流水!$X$443="应付分包款",资金流水!$X$443="应付机械运输费",资金流水!$X$443="应付其他款")),INT(资金流水!$B$443)*10000+438,"")</f>
      </c>
      <c r="CD439" s="2">
        <f>IF(($C$130&lt;&gt;"")*(应付登记!$D$443=$C$130)*ISNUMBER(应付登记!$J$443)*(应付登记!$J$443&gt;=_辅助!$J$4)*(应付登记!$J$443&lt;=_辅助!$J$2),1,0)</f>
        <v>0</v>
      </c>
    </row>
    <row r="440">
      <c r="BC440" s="2">
        <f>BC400+SUM(CD401:CD440)</f>
        <v>0</v>
      </c>
      <c r="BD440" s="2">
        <f>IF(AND($C$130&lt;&gt;"",资金流水!$J$444=$C$130,ISNUMBER(资金流水!$B$444),ISNUMBER(资金流水!$S$444),资金流水!$S$444&gt;=_辅助!$J$4,资金流水!$S$444&lt;=_辅助!$J$2,OR(资金流水!$X$444="应付材料款",资金流水!$X$444="应付分包款",资金流水!$X$444="应付机械运输费",资金流水!$X$444="应付其他款")),INT(资金流水!$B$444)*10000+439,"")</f>
      </c>
      <c r="CD440" s="2">
        <f>IF(($C$130&lt;&gt;"")*(应付登记!$D$444=$C$130)*ISNUMBER(应付登记!$J$444)*(应付登记!$J$444&gt;=_辅助!$J$4)*(应付登记!$J$444&lt;=_辅助!$J$2),1,0)</f>
        <v>0</v>
      </c>
    </row>
    <row r="441">
      <c r="BC441" s="2">
        <f>BC400+SUM(CD401:CD441)</f>
        <v>0</v>
      </c>
      <c r="BD441" s="2">
        <f>IF(AND($C$130&lt;&gt;"",资金流水!$J$445=$C$130,ISNUMBER(资金流水!$B$445),ISNUMBER(资金流水!$S$445),资金流水!$S$445&gt;=_辅助!$J$4,资金流水!$S$445&lt;=_辅助!$J$2,OR(资金流水!$X$445="应付材料款",资金流水!$X$445="应付分包款",资金流水!$X$445="应付机械运输费",资金流水!$X$445="应付其他款")),INT(资金流水!$B$445)*10000+440,"")</f>
      </c>
      <c r="CD441" s="2">
        <f>IF(($C$130&lt;&gt;"")*(应付登记!$D$445=$C$130)*ISNUMBER(应付登记!$J$445)*(应付登记!$J$445&gt;=_辅助!$J$4)*(应付登记!$J$445&lt;=_辅助!$J$2),1,0)</f>
        <v>0</v>
      </c>
    </row>
    <row r="442">
      <c r="BC442" s="2">
        <f>BC400+SUM(CD401:CD442)</f>
        <v>0</v>
      </c>
      <c r="BD442" s="2">
        <f>IF(AND($C$130&lt;&gt;"",资金流水!$J$446=$C$130,ISNUMBER(资金流水!$B$446),ISNUMBER(资金流水!$S$446),资金流水!$S$446&gt;=_辅助!$J$4,资金流水!$S$446&lt;=_辅助!$J$2,OR(资金流水!$X$446="应付材料款",资金流水!$X$446="应付分包款",资金流水!$X$446="应付机械运输费",资金流水!$X$446="应付其他款")),INT(资金流水!$B$446)*10000+441,"")</f>
      </c>
      <c r="CD442" s="2">
        <f>IF(($C$130&lt;&gt;"")*(应付登记!$D$446=$C$130)*ISNUMBER(应付登记!$J$446)*(应付登记!$J$446&gt;=_辅助!$J$4)*(应付登记!$J$446&lt;=_辅助!$J$2),1,0)</f>
        <v>0</v>
      </c>
    </row>
    <row r="443">
      <c r="BC443" s="2">
        <f>BC400+SUM(CD401:CD443)</f>
        <v>0</v>
      </c>
      <c r="BD443" s="2">
        <f>IF(AND($C$130&lt;&gt;"",资金流水!$J$447=$C$130,ISNUMBER(资金流水!$B$447),ISNUMBER(资金流水!$S$447),资金流水!$S$447&gt;=_辅助!$J$4,资金流水!$S$447&lt;=_辅助!$J$2,OR(资金流水!$X$447="应付材料款",资金流水!$X$447="应付分包款",资金流水!$X$447="应付机械运输费",资金流水!$X$447="应付其他款")),INT(资金流水!$B$447)*10000+442,"")</f>
      </c>
      <c r="CD443" s="2">
        <f>IF(($C$130&lt;&gt;"")*(应付登记!$D$447=$C$130)*ISNUMBER(应付登记!$J$447)*(应付登记!$J$447&gt;=_辅助!$J$4)*(应付登记!$J$447&lt;=_辅助!$J$2),1,0)</f>
        <v>0</v>
      </c>
    </row>
    <row r="444">
      <c r="BC444" s="2">
        <f>BC400+SUM(CD401:CD444)</f>
        <v>0</v>
      </c>
      <c r="BD444" s="2">
        <f>IF(AND($C$130&lt;&gt;"",资金流水!$J$448=$C$130,ISNUMBER(资金流水!$B$448),ISNUMBER(资金流水!$S$448),资金流水!$S$448&gt;=_辅助!$J$4,资金流水!$S$448&lt;=_辅助!$J$2,OR(资金流水!$X$448="应付材料款",资金流水!$X$448="应付分包款",资金流水!$X$448="应付机械运输费",资金流水!$X$448="应付其他款")),INT(资金流水!$B$448)*10000+443,"")</f>
      </c>
      <c r="CD444" s="2">
        <f>IF(($C$130&lt;&gt;"")*(应付登记!$D$448=$C$130)*ISNUMBER(应付登记!$J$448)*(应付登记!$J$448&gt;=_辅助!$J$4)*(应付登记!$J$448&lt;=_辅助!$J$2),1,0)</f>
        <v>0</v>
      </c>
    </row>
    <row r="445">
      <c r="BC445" s="2">
        <f>BC400+SUM(CD401:CD445)</f>
        <v>0</v>
      </c>
      <c r="BD445" s="2">
        <f>IF(AND($C$130&lt;&gt;"",资金流水!$J$449=$C$130,ISNUMBER(资金流水!$B$449),ISNUMBER(资金流水!$S$449),资金流水!$S$449&gt;=_辅助!$J$4,资金流水!$S$449&lt;=_辅助!$J$2,OR(资金流水!$X$449="应付材料款",资金流水!$X$449="应付分包款",资金流水!$X$449="应付机械运输费",资金流水!$X$449="应付其他款")),INT(资金流水!$B$449)*10000+444,"")</f>
      </c>
      <c r="CD445" s="2">
        <f>IF(($C$130&lt;&gt;"")*(应付登记!$D$449=$C$130)*ISNUMBER(应付登记!$J$449)*(应付登记!$J$449&gt;=_辅助!$J$4)*(应付登记!$J$449&lt;=_辅助!$J$2),1,0)</f>
        <v>0</v>
      </c>
    </row>
    <row r="446">
      <c r="BC446" s="2">
        <f>BC400+SUM(CD401:CD446)</f>
        <v>0</v>
      </c>
      <c r="BD446" s="2">
        <f>IF(AND($C$130&lt;&gt;"",资金流水!$J$450=$C$130,ISNUMBER(资金流水!$B$450),ISNUMBER(资金流水!$S$450),资金流水!$S$450&gt;=_辅助!$J$4,资金流水!$S$450&lt;=_辅助!$J$2,OR(资金流水!$X$450="应付材料款",资金流水!$X$450="应付分包款",资金流水!$X$450="应付机械运输费",资金流水!$X$450="应付其他款")),INT(资金流水!$B$450)*10000+445,"")</f>
      </c>
      <c r="CD446" s="2">
        <f>IF(($C$130&lt;&gt;"")*(应付登记!$D$450=$C$130)*ISNUMBER(应付登记!$J$450)*(应付登记!$J$450&gt;=_辅助!$J$4)*(应付登记!$J$450&lt;=_辅助!$J$2),1,0)</f>
        <v>0</v>
      </c>
    </row>
    <row r="447">
      <c r="BC447" s="2">
        <f>BC400+SUM(CD401:CD447)</f>
        <v>0</v>
      </c>
      <c r="BD447" s="2">
        <f>IF(AND($C$130&lt;&gt;"",资金流水!$J$451=$C$130,ISNUMBER(资金流水!$B$451),ISNUMBER(资金流水!$S$451),资金流水!$S$451&gt;=_辅助!$J$4,资金流水!$S$451&lt;=_辅助!$J$2,OR(资金流水!$X$451="应付材料款",资金流水!$X$451="应付分包款",资金流水!$X$451="应付机械运输费",资金流水!$X$451="应付其他款")),INT(资金流水!$B$451)*10000+446,"")</f>
      </c>
      <c r="CD447" s="2">
        <f>IF(($C$130&lt;&gt;"")*(应付登记!$D$451=$C$130)*ISNUMBER(应付登记!$J$451)*(应付登记!$J$451&gt;=_辅助!$J$4)*(应付登记!$J$451&lt;=_辅助!$J$2),1,0)</f>
        <v>0</v>
      </c>
    </row>
    <row r="448">
      <c r="BC448" s="2">
        <f>BC400+SUM(CD401:CD448)</f>
        <v>0</v>
      </c>
      <c r="BD448" s="2">
        <f>IF(AND($C$130&lt;&gt;"",资金流水!$J$452=$C$130,ISNUMBER(资金流水!$B$452),ISNUMBER(资金流水!$S$452),资金流水!$S$452&gt;=_辅助!$J$4,资金流水!$S$452&lt;=_辅助!$J$2,OR(资金流水!$X$452="应付材料款",资金流水!$X$452="应付分包款",资金流水!$X$452="应付机械运输费",资金流水!$X$452="应付其他款")),INT(资金流水!$B$452)*10000+447,"")</f>
      </c>
      <c r="CD448" s="2">
        <f>IF(($C$130&lt;&gt;"")*(应付登记!$D$452=$C$130)*ISNUMBER(应付登记!$J$452)*(应付登记!$J$452&gt;=_辅助!$J$4)*(应付登记!$J$452&lt;=_辅助!$J$2),1,0)</f>
        <v>0</v>
      </c>
    </row>
    <row r="449">
      <c r="BC449" s="2">
        <f>BC400+SUM(CD401:CD449)</f>
        <v>0</v>
      </c>
      <c r="BD449" s="2">
        <f>IF(AND($C$130&lt;&gt;"",资金流水!$J$453=$C$130,ISNUMBER(资金流水!$B$453),ISNUMBER(资金流水!$S$453),资金流水!$S$453&gt;=_辅助!$J$4,资金流水!$S$453&lt;=_辅助!$J$2,OR(资金流水!$X$453="应付材料款",资金流水!$X$453="应付分包款",资金流水!$X$453="应付机械运输费",资金流水!$X$453="应付其他款")),INT(资金流水!$B$453)*10000+448,"")</f>
      </c>
      <c r="CD449" s="2">
        <f>IF(($C$130&lt;&gt;"")*(应付登记!$D$453=$C$130)*ISNUMBER(应付登记!$J$453)*(应付登记!$J$453&gt;=_辅助!$J$4)*(应付登记!$J$453&lt;=_辅助!$J$2),1,0)</f>
        <v>0</v>
      </c>
    </row>
    <row r="450">
      <c r="BC450" s="2">
        <f>BC400+SUM(CD401:CD450)</f>
        <v>0</v>
      </c>
      <c r="BD450" s="2">
        <f>IF(AND($C$130&lt;&gt;"",资金流水!$J$454=$C$130,ISNUMBER(资金流水!$B$454),ISNUMBER(资金流水!$S$454),资金流水!$S$454&gt;=_辅助!$J$4,资金流水!$S$454&lt;=_辅助!$J$2,OR(资金流水!$X$454="应付材料款",资金流水!$X$454="应付分包款",资金流水!$X$454="应付机械运输费",资金流水!$X$454="应付其他款")),INT(资金流水!$B$454)*10000+449,"")</f>
      </c>
      <c r="CD450" s="2">
        <f>IF(($C$130&lt;&gt;"")*(应付登记!$D$454=$C$130)*ISNUMBER(应付登记!$J$454)*(应付登记!$J$454&gt;=_辅助!$J$4)*(应付登记!$J$454&lt;=_辅助!$J$2),1,0)</f>
        <v>0</v>
      </c>
    </row>
    <row r="451">
      <c r="BC451" s="2">
        <f>BC450+SUM(CD451:CD451)</f>
        <v>0</v>
      </c>
      <c r="BD451" s="2">
        <f>IF(AND($C$130&lt;&gt;"",资金流水!$J$455=$C$130,ISNUMBER(资金流水!$B$455),ISNUMBER(资金流水!$S$455),资金流水!$S$455&gt;=_辅助!$J$4,资金流水!$S$455&lt;=_辅助!$J$2,OR(资金流水!$X$455="应付材料款",资金流水!$X$455="应付分包款",资金流水!$X$455="应付机械运输费",资金流水!$X$455="应付其他款")),INT(资金流水!$B$455)*10000+450,"")</f>
      </c>
      <c r="CD451" s="2">
        <f>IF(($C$130&lt;&gt;"")*(应付登记!$D$455=$C$130)*ISNUMBER(应付登记!$J$455)*(应付登记!$J$455&gt;=_辅助!$J$4)*(应付登记!$J$455&lt;=_辅助!$J$2),1,0)</f>
        <v>0</v>
      </c>
    </row>
    <row r="452">
      <c r="BC452" s="2">
        <f>BC450+SUM(CD451:CD452)</f>
        <v>0</v>
      </c>
      <c r="BD452" s="2">
        <f>IF(AND($C$130&lt;&gt;"",资金流水!$J$456=$C$130,ISNUMBER(资金流水!$B$456),ISNUMBER(资金流水!$S$456),资金流水!$S$456&gt;=_辅助!$J$4,资金流水!$S$456&lt;=_辅助!$J$2,OR(资金流水!$X$456="应付材料款",资金流水!$X$456="应付分包款",资金流水!$X$456="应付机械运输费",资金流水!$X$456="应付其他款")),INT(资金流水!$B$456)*10000+451,"")</f>
      </c>
      <c r="CD452" s="2">
        <f>IF(($C$130&lt;&gt;"")*(应付登记!$D$456=$C$130)*ISNUMBER(应付登记!$J$456)*(应付登记!$J$456&gt;=_辅助!$J$4)*(应付登记!$J$456&lt;=_辅助!$J$2),1,0)</f>
        <v>0</v>
      </c>
    </row>
    <row r="453">
      <c r="BC453" s="2">
        <f>BC450+SUM(CD451:CD453)</f>
        <v>0</v>
      </c>
      <c r="BD453" s="2">
        <f>IF(AND($C$130&lt;&gt;"",资金流水!$J$457=$C$130,ISNUMBER(资金流水!$B$457),ISNUMBER(资金流水!$S$457),资金流水!$S$457&gt;=_辅助!$J$4,资金流水!$S$457&lt;=_辅助!$J$2,OR(资金流水!$X$457="应付材料款",资金流水!$X$457="应付分包款",资金流水!$X$457="应付机械运输费",资金流水!$X$457="应付其他款")),INT(资金流水!$B$457)*10000+452,"")</f>
      </c>
      <c r="CD453" s="2">
        <f>IF(($C$130&lt;&gt;"")*(应付登记!$D$457=$C$130)*ISNUMBER(应付登记!$J$457)*(应付登记!$J$457&gt;=_辅助!$J$4)*(应付登记!$J$457&lt;=_辅助!$J$2),1,0)</f>
        <v>0</v>
      </c>
    </row>
    <row r="454">
      <c r="BC454" s="2">
        <f>BC450+SUM(CD451:CD454)</f>
        <v>0</v>
      </c>
      <c r="BD454" s="2">
        <f>IF(AND($C$130&lt;&gt;"",资金流水!$J$458=$C$130,ISNUMBER(资金流水!$B$458),ISNUMBER(资金流水!$S$458),资金流水!$S$458&gt;=_辅助!$J$4,资金流水!$S$458&lt;=_辅助!$J$2,OR(资金流水!$X$458="应付材料款",资金流水!$X$458="应付分包款",资金流水!$X$458="应付机械运输费",资金流水!$X$458="应付其他款")),INT(资金流水!$B$458)*10000+453,"")</f>
      </c>
      <c r="CD454" s="2">
        <f>IF(($C$130&lt;&gt;"")*(应付登记!$D$458=$C$130)*ISNUMBER(应付登记!$J$458)*(应付登记!$J$458&gt;=_辅助!$J$4)*(应付登记!$J$458&lt;=_辅助!$J$2),1,0)</f>
        <v>0</v>
      </c>
    </row>
    <row r="455">
      <c r="BC455" s="2">
        <f>BC450+SUM(CD451:CD455)</f>
        <v>0</v>
      </c>
      <c r="BD455" s="2">
        <f>IF(AND($C$130&lt;&gt;"",资金流水!$J$459=$C$130,ISNUMBER(资金流水!$B$459),ISNUMBER(资金流水!$S$459),资金流水!$S$459&gt;=_辅助!$J$4,资金流水!$S$459&lt;=_辅助!$J$2,OR(资金流水!$X$459="应付材料款",资金流水!$X$459="应付分包款",资金流水!$X$459="应付机械运输费",资金流水!$X$459="应付其他款")),INT(资金流水!$B$459)*10000+454,"")</f>
      </c>
      <c r="CD455" s="2">
        <f>IF(($C$130&lt;&gt;"")*(应付登记!$D$459=$C$130)*ISNUMBER(应付登记!$J$459)*(应付登记!$J$459&gt;=_辅助!$J$4)*(应付登记!$J$459&lt;=_辅助!$J$2),1,0)</f>
        <v>0</v>
      </c>
    </row>
    <row r="456">
      <c r="BC456" s="2">
        <f>BC450+SUM(CD451:CD456)</f>
        <v>0</v>
      </c>
      <c r="BD456" s="2">
        <f>IF(AND($C$130&lt;&gt;"",资金流水!$J$460=$C$130,ISNUMBER(资金流水!$B$460),ISNUMBER(资金流水!$S$460),资金流水!$S$460&gt;=_辅助!$J$4,资金流水!$S$460&lt;=_辅助!$J$2,OR(资金流水!$X$460="应付材料款",资金流水!$X$460="应付分包款",资金流水!$X$460="应付机械运输费",资金流水!$X$460="应付其他款")),INT(资金流水!$B$460)*10000+455,"")</f>
      </c>
      <c r="CD456" s="2">
        <f>IF(($C$130&lt;&gt;"")*(应付登记!$D$460=$C$130)*ISNUMBER(应付登记!$J$460)*(应付登记!$J$460&gt;=_辅助!$J$4)*(应付登记!$J$460&lt;=_辅助!$J$2),1,0)</f>
        <v>0</v>
      </c>
    </row>
    <row r="457">
      <c r="BC457" s="2">
        <f>BC450+SUM(CD451:CD457)</f>
        <v>0</v>
      </c>
      <c r="BD457" s="2">
        <f>IF(AND($C$130&lt;&gt;"",资金流水!$J$461=$C$130,ISNUMBER(资金流水!$B$461),ISNUMBER(资金流水!$S$461),资金流水!$S$461&gt;=_辅助!$J$4,资金流水!$S$461&lt;=_辅助!$J$2,OR(资金流水!$X$461="应付材料款",资金流水!$X$461="应付分包款",资金流水!$X$461="应付机械运输费",资金流水!$X$461="应付其他款")),INT(资金流水!$B$461)*10000+456,"")</f>
      </c>
      <c r="CD457" s="2">
        <f>IF(($C$130&lt;&gt;"")*(应付登记!$D$461=$C$130)*ISNUMBER(应付登记!$J$461)*(应付登记!$J$461&gt;=_辅助!$J$4)*(应付登记!$J$461&lt;=_辅助!$J$2),1,0)</f>
        <v>0</v>
      </c>
    </row>
    <row r="458">
      <c r="BC458" s="2">
        <f>BC450+SUM(CD451:CD458)</f>
        <v>0</v>
      </c>
      <c r="BD458" s="2">
        <f>IF(AND($C$130&lt;&gt;"",资金流水!$J$462=$C$130,ISNUMBER(资金流水!$B$462),ISNUMBER(资金流水!$S$462),资金流水!$S$462&gt;=_辅助!$J$4,资金流水!$S$462&lt;=_辅助!$J$2,OR(资金流水!$X$462="应付材料款",资金流水!$X$462="应付分包款",资金流水!$X$462="应付机械运输费",资金流水!$X$462="应付其他款")),INT(资金流水!$B$462)*10000+457,"")</f>
      </c>
      <c r="CD458" s="2">
        <f>IF(($C$130&lt;&gt;"")*(应付登记!$D$462=$C$130)*ISNUMBER(应付登记!$J$462)*(应付登记!$J$462&gt;=_辅助!$J$4)*(应付登记!$J$462&lt;=_辅助!$J$2),1,0)</f>
        <v>0</v>
      </c>
    </row>
    <row r="459">
      <c r="BC459" s="2">
        <f>BC450+SUM(CD451:CD459)</f>
        <v>0</v>
      </c>
      <c r="BD459" s="2">
        <f>IF(AND($C$130&lt;&gt;"",资金流水!$J$463=$C$130,ISNUMBER(资金流水!$B$463),ISNUMBER(资金流水!$S$463),资金流水!$S$463&gt;=_辅助!$J$4,资金流水!$S$463&lt;=_辅助!$J$2,OR(资金流水!$X$463="应付材料款",资金流水!$X$463="应付分包款",资金流水!$X$463="应付机械运输费",资金流水!$X$463="应付其他款")),INT(资金流水!$B$463)*10000+458,"")</f>
      </c>
      <c r="CD459" s="2">
        <f>IF(($C$130&lt;&gt;"")*(应付登记!$D$463=$C$130)*ISNUMBER(应付登记!$J$463)*(应付登记!$J$463&gt;=_辅助!$J$4)*(应付登记!$J$463&lt;=_辅助!$J$2),1,0)</f>
        <v>0</v>
      </c>
    </row>
    <row r="460">
      <c r="BC460" s="2">
        <f>BC450+SUM(CD451:CD460)</f>
        <v>0</v>
      </c>
      <c r="BD460" s="2">
        <f>IF(AND($C$130&lt;&gt;"",资金流水!$J$464=$C$130,ISNUMBER(资金流水!$B$464),ISNUMBER(资金流水!$S$464),资金流水!$S$464&gt;=_辅助!$J$4,资金流水!$S$464&lt;=_辅助!$J$2,OR(资金流水!$X$464="应付材料款",资金流水!$X$464="应付分包款",资金流水!$X$464="应付机械运输费",资金流水!$X$464="应付其他款")),INT(资金流水!$B$464)*10000+459,"")</f>
      </c>
      <c r="CD460" s="2">
        <f>IF(($C$130&lt;&gt;"")*(应付登记!$D$464=$C$130)*ISNUMBER(应付登记!$J$464)*(应付登记!$J$464&gt;=_辅助!$J$4)*(应付登记!$J$464&lt;=_辅助!$J$2),1,0)</f>
        <v>0</v>
      </c>
    </row>
    <row r="461">
      <c r="BC461" s="2">
        <f>BC450+SUM(CD451:CD461)</f>
        <v>0</v>
      </c>
      <c r="BD461" s="2">
        <f>IF(AND($C$130&lt;&gt;"",资金流水!$J$465=$C$130,ISNUMBER(资金流水!$B$465),ISNUMBER(资金流水!$S$465),资金流水!$S$465&gt;=_辅助!$J$4,资金流水!$S$465&lt;=_辅助!$J$2,OR(资金流水!$X$465="应付材料款",资金流水!$X$465="应付分包款",资金流水!$X$465="应付机械运输费",资金流水!$X$465="应付其他款")),INT(资金流水!$B$465)*10000+460,"")</f>
      </c>
      <c r="CD461" s="2">
        <f>IF(($C$130&lt;&gt;"")*(应付登记!$D$465=$C$130)*ISNUMBER(应付登记!$J$465)*(应付登记!$J$465&gt;=_辅助!$J$4)*(应付登记!$J$465&lt;=_辅助!$J$2),1,0)</f>
        <v>0</v>
      </c>
    </row>
    <row r="462">
      <c r="BC462" s="2">
        <f>BC450+SUM(CD451:CD462)</f>
        <v>0</v>
      </c>
      <c r="BD462" s="2">
        <f>IF(AND($C$130&lt;&gt;"",资金流水!$J$466=$C$130,ISNUMBER(资金流水!$B$466),ISNUMBER(资金流水!$S$466),资金流水!$S$466&gt;=_辅助!$J$4,资金流水!$S$466&lt;=_辅助!$J$2,OR(资金流水!$X$466="应付材料款",资金流水!$X$466="应付分包款",资金流水!$X$466="应付机械运输费",资金流水!$X$466="应付其他款")),INT(资金流水!$B$466)*10000+461,"")</f>
      </c>
      <c r="CD462" s="2">
        <f>IF(($C$130&lt;&gt;"")*(应付登记!$D$466=$C$130)*ISNUMBER(应付登记!$J$466)*(应付登记!$J$466&gt;=_辅助!$J$4)*(应付登记!$J$466&lt;=_辅助!$J$2),1,0)</f>
        <v>0</v>
      </c>
    </row>
    <row r="463">
      <c r="BC463" s="2">
        <f>BC450+SUM(CD451:CD463)</f>
        <v>0</v>
      </c>
      <c r="BD463" s="2">
        <f>IF(AND($C$130&lt;&gt;"",资金流水!$J$467=$C$130,ISNUMBER(资金流水!$B$467),ISNUMBER(资金流水!$S$467),资金流水!$S$467&gt;=_辅助!$J$4,资金流水!$S$467&lt;=_辅助!$J$2,OR(资金流水!$X$467="应付材料款",资金流水!$X$467="应付分包款",资金流水!$X$467="应付机械运输费",资金流水!$X$467="应付其他款")),INT(资金流水!$B$467)*10000+462,"")</f>
      </c>
      <c r="CD463" s="2">
        <f>IF(($C$130&lt;&gt;"")*(应付登记!$D$467=$C$130)*ISNUMBER(应付登记!$J$467)*(应付登记!$J$467&gt;=_辅助!$J$4)*(应付登记!$J$467&lt;=_辅助!$J$2),1,0)</f>
        <v>0</v>
      </c>
    </row>
    <row r="464">
      <c r="BC464" s="2">
        <f>BC450+SUM(CD451:CD464)</f>
        <v>0</v>
      </c>
      <c r="BD464" s="2">
        <f>IF(AND($C$130&lt;&gt;"",资金流水!$J$468=$C$130,ISNUMBER(资金流水!$B$468),ISNUMBER(资金流水!$S$468),资金流水!$S$468&gt;=_辅助!$J$4,资金流水!$S$468&lt;=_辅助!$J$2,OR(资金流水!$X$468="应付材料款",资金流水!$X$468="应付分包款",资金流水!$X$468="应付机械运输费",资金流水!$X$468="应付其他款")),INT(资金流水!$B$468)*10000+463,"")</f>
      </c>
      <c r="CD464" s="2">
        <f>IF(($C$130&lt;&gt;"")*(应付登记!$D$468=$C$130)*ISNUMBER(应付登记!$J$468)*(应付登记!$J$468&gt;=_辅助!$J$4)*(应付登记!$J$468&lt;=_辅助!$J$2),1,0)</f>
        <v>0</v>
      </c>
    </row>
    <row r="465">
      <c r="BC465" s="2">
        <f>BC450+SUM(CD451:CD465)</f>
        <v>0</v>
      </c>
      <c r="BD465" s="2">
        <f>IF(AND($C$130&lt;&gt;"",资金流水!$J$469=$C$130,ISNUMBER(资金流水!$B$469),ISNUMBER(资金流水!$S$469),资金流水!$S$469&gt;=_辅助!$J$4,资金流水!$S$469&lt;=_辅助!$J$2,OR(资金流水!$X$469="应付材料款",资金流水!$X$469="应付分包款",资金流水!$X$469="应付机械运输费",资金流水!$X$469="应付其他款")),INT(资金流水!$B$469)*10000+464,"")</f>
      </c>
      <c r="CD465" s="2">
        <f>IF(($C$130&lt;&gt;"")*(应付登记!$D$469=$C$130)*ISNUMBER(应付登记!$J$469)*(应付登记!$J$469&gt;=_辅助!$J$4)*(应付登记!$J$469&lt;=_辅助!$J$2),1,0)</f>
        <v>0</v>
      </c>
    </row>
    <row r="466">
      <c r="BC466" s="2">
        <f>BC450+SUM(CD451:CD466)</f>
        <v>0</v>
      </c>
      <c r="BD466" s="2">
        <f>IF(AND($C$130&lt;&gt;"",资金流水!$J$470=$C$130,ISNUMBER(资金流水!$B$470),ISNUMBER(资金流水!$S$470),资金流水!$S$470&gt;=_辅助!$J$4,资金流水!$S$470&lt;=_辅助!$J$2,OR(资金流水!$X$470="应付材料款",资金流水!$X$470="应付分包款",资金流水!$X$470="应付机械运输费",资金流水!$X$470="应付其他款")),INT(资金流水!$B$470)*10000+465,"")</f>
      </c>
      <c r="CD466" s="2">
        <f>IF(($C$130&lt;&gt;"")*(应付登记!$D$470=$C$130)*ISNUMBER(应付登记!$J$470)*(应付登记!$J$470&gt;=_辅助!$J$4)*(应付登记!$J$470&lt;=_辅助!$J$2),1,0)</f>
        <v>0</v>
      </c>
    </row>
    <row r="467">
      <c r="BC467" s="2">
        <f>BC450+SUM(CD451:CD467)</f>
        <v>0</v>
      </c>
      <c r="BD467" s="2">
        <f>IF(AND($C$130&lt;&gt;"",资金流水!$J$471=$C$130,ISNUMBER(资金流水!$B$471),ISNUMBER(资金流水!$S$471),资金流水!$S$471&gt;=_辅助!$J$4,资金流水!$S$471&lt;=_辅助!$J$2,OR(资金流水!$X$471="应付材料款",资金流水!$X$471="应付分包款",资金流水!$X$471="应付机械运输费",资金流水!$X$471="应付其他款")),INT(资金流水!$B$471)*10000+466,"")</f>
      </c>
      <c r="CD467" s="2">
        <f>IF(($C$130&lt;&gt;"")*(应付登记!$D$471=$C$130)*ISNUMBER(应付登记!$J$471)*(应付登记!$J$471&gt;=_辅助!$J$4)*(应付登记!$J$471&lt;=_辅助!$J$2),1,0)</f>
        <v>0</v>
      </c>
    </row>
    <row r="468">
      <c r="BC468" s="2">
        <f>BC450+SUM(CD451:CD468)</f>
        <v>0</v>
      </c>
      <c r="BD468" s="2">
        <f>IF(AND($C$130&lt;&gt;"",资金流水!$J$472=$C$130,ISNUMBER(资金流水!$B$472),ISNUMBER(资金流水!$S$472),资金流水!$S$472&gt;=_辅助!$J$4,资金流水!$S$472&lt;=_辅助!$J$2,OR(资金流水!$X$472="应付材料款",资金流水!$X$472="应付分包款",资金流水!$X$472="应付机械运输费",资金流水!$X$472="应付其他款")),INT(资金流水!$B$472)*10000+467,"")</f>
      </c>
      <c r="CD468" s="2">
        <f>IF(($C$130&lt;&gt;"")*(应付登记!$D$472=$C$130)*ISNUMBER(应付登记!$J$472)*(应付登记!$J$472&gt;=_辅助!$J$4)*(应付登记!$J$472&lt;=_辅助!$J$2),1,0)</f>
        <v>0</v>
      </c>
    </row>
    <row r="469">
      <c r="BC469" s="2">
        <f>BC450+SUM(CD451:CD469)</f>
        <v>0</v>
      </c>
      <c r="BD469" s="2">
        <f>IF(AND($C$130&lt;&gt;"",资金流水!$J$473=$C$130,ISNUMBER(资金流水!$B$473),ISNUMBER(资金流水!$S$473),资金流水!$S$473&gt;=_辅助!$J$4,资金流水!$S$473&lt;=_辅助!$J$2,OR(资金流水!$X$473="应付材料款",资金流水!$X$473="应付分包款",资金流水!$X$473="应付机械运输费",资金流水!$X$473="应付其他款")),INT(资金流水!$B$473)*10000+468,"")</f>
      </c>
      <c r="CD469" s="2">
        <f>IF(($C$130&lt;&gt;"")*(应付登记!$D$473=$C$130)*ISNUMBER(应付登记!$J$473)*(应付登记!$J$473&gt;=_辅助!$J$4)*(应付登记!$J$473&lt;=_辅助!$J$2),1,0)</f>
        <v>0</v>
      </c>
    </row>
    <row r="470">
      <c r="BC470" s="2">
        <f>BC450+SUM(CD451:CD470)</f>
        <v>0</v>
      </c>
      <c r="BD470" s="2">
        <f>IF(AND($C$130&lt;&gt;"",资金流水!$J$474=$C$130,ISNUMBER(资金流水!$B$474),ISNUMBER(资金流水!$S$474),资金流水!$S$474&gt;=_辅助!$J$4,资金流水!$S$474&lt;=_辅助!$J$2,OR(资金流水!$X$474="应付材料款",资金流水!$X$474="应付分包款",资金流水!$X$474="应付机械运输费",资金流水!$X$474="应付其他款")),INT(资金流水!$B$474)*10000+469,"")</f>
      </c>
      <c r="CD470" s="2">
        <f>IF(($C$130&lt;&gt;"")*(应付登记!$D$474=$C$130)*ISNUMBER(应付登记!$J$474)*(应付登记!$J$474&gt;=_辅助!$J$4)*(应付登记!$J$474&lt;=_辅助!$J$2),1,0)</f>
        <v>0</v>
      </c>
    </row>
    <row r="471">
      <c r="BC471" s="2">
        <f>BC450+SUM(CD451:CD471)</f>
        <v>0</v>
      </c>
      <c r="BD471" s="2">
        <f>IF(AND($C$130&lt;&gt;"",资金流水!$J$475=$C$130,ISNUMBER(资金流水!$B$475),ISNUMBER(资金流水!$S$475),资金流水!$S$475&gt;=_辅助!$J$4,资金流水!$S$475&lt;=_辅助!$J$2,OR(资金流水!$X$475="应付材料款",资金流水!$X$475="应付分包款",资金流水!$X$475="应付机械运输费",资金流水!$X$475="应付其他款")),INT(资金流水!$B$475)*10000+470,"")</f>
      </c>
      <c r="CD471" s="2">
        <f>IF(($C$130&lt;&gt;"")*(应付登记!$D$475=$C$130)*ISNUMBER(应付登记!$J$475)*(应付登记!$J$475&gt;=_辅助!$J$4)*(应付登记!$J$475&lt;=_辅助!$J$2),1,0)</f>
        <v>0</v>
      </c>
    </row>
    <row r="472">
      <c r="BC472" s="2">
        <f>BC450+SUM(CD451:CD472)</f>
        <v>0</v>
      </c>
      <c r="BD472" s="2">
        <f>IF(AND($C$130&lt;&gt;"",资金流水!$J$476=$C$130,ISNUMBER(资金流水!$B$476),ISNUMBER(资金流水!$S$476),资金流水!$S$476&gt;=_辅助!$J$4,资金流水!$S$476&lt;=_辅助!$J$2,OR(资金流水!$X$476="应付材料款",资金流水!$X$476="应付分包款",资金流水!$X$476="应付机械运输费",资金流水!$X$476="应付其他款")),INT(资金流水!$B$476)*10000+471,"")</f>
      </c>
      <c r="CD472" s="2">
        <f>IF(($C$130&lt;&gt;"")*(应付登记!$D$476=$C$130)*ISNUMBER(应付登记!$J$476)*(应付登记!$J$476&gt;=_辅助!$J$4)*(应付登记!$J$476&lt;=_辅助!$J$2),1,0)</f>
        <v>0</v>
      </c>
    </row>
    <row r="473">
      <c r="BC473" s="2">
        <f>BC450+SUM(CD451:CD473)</f>
        <v>0</v>
      </c>
      <c r="BD473" s="2">
        <f>IF(AND($C$130&lt;&gt;"",资金流水!$J$477=$C$130,ISNUMBER(资金流水!$B$477),ISNUMBER(资金流水!$S$477),资金流水!$S$477&gt;=_辅助!$J$4,资金流水!$S$477&lt;=_辅助!$J$2,OR(资金流水!$X$477="应付材料款",资金流水!$X$477="应付分包款",资金流水!$X$477="应付机械运输费",资金流水!$X$477="应付其他款")),INT(资金流水!$B$477)*10000+472,"")</f>
      </c>
      <c r="CD473" s="2">
        <f>IF(($C$130&lt;&gt;"")*(应付登记!$D$477=$C$130)*ISNUMBER(应付登记!$J$477)*(应付登记!$J$477&gt;=_辅助!$J$4)*(应付登记!$J$477&lt;=_辅助!$J$2),1,0)</f>
        <v>0</v>
      </c>
    </row>
    <row r="474">
      <c r="BC474" s="2">
        <f>BC450+SUM(CD451:CD474)</f>
        <v>0</v>
      </c>
      <c r="BD474" s="2">
        <f>IF(AND($C$130&lt;&gt;"",资金流水!$J$478=$C$130,ISNUMBER(资金流水!$B$478),ISNUMBER(资金流水!$S$478),资金流水!$S$478&gt;=_辅助!$J$4,资金流水!$S$478&lt;=_辅助!$J$2,OR(资金流水!$X$478="应付材料款",资金流水!$X$478="应付分包款",资金流水!$X$478="应付机械运输费",资金流水!$X$478="应付其他款")),INT(资金流水!$B$478)*10000+473,"")</f>
      </c>
      <c r="CD474" s="2">
        <f>IF(($C$130&lt;&gt;"")*(应付登记!$D$478=$C$130)*ISNUMBER(应付登记!$J$478)*(应付登记!$J$478&gt;=_辅助!$J$4)*(应付登记!$J$478&lt;=_辅助!$J$2),1,0)</f>
        <v>0</v>
      </c>
    </row>
    <row r="475">
      <c r="BC475" s="2">
        <f>BC450+SUM(CD451:CD475)</f>
        <v>0</v>
      </c>
      <c r="BD475" s="2">
        <f>IF(AND($C$130&lt;&gt;"",资金流水!$J$479=$C$130,ISNUMBER(资金流水!$B$479),ISNUMBER(资金流水!$S$479),资金流水!$S$479&gt;=_辅助!$J$4,资金流水!$S$479&lt;=_辅助!$J$2,OR(资金流水!$X$479="应付材料款",资金流水!$X$479="应付分包款",资金流水!$X$479="应付机械运输费",资金流水!$X$479="应付其他款")),INT(资金流水!$B$479)*10000+474,"")</f>
      </c>
      <c r="CD475" s="2">
        <f>IF(($C$130&lt;&gt;"")*(应付登记!$D$479=$C$130)*ISNUMBER(应付登记!$J$479)*(应付登记!$J$479&gt;=_辅助!$J$4)*(应付登记!$J$479&lt;=_辅助!$J$2),1,0)</f>
        <v>0</v>
      </c>
    </row>
    <row r="476">
      <c r="BC476" s="2">
        <f>BC450+SUM(CD451:CD476)</f>
        <v>0</v>
      </c>
      <c r="BD476" s="2">
        <f>IF(AND($C$130&lt;&gt;"",资金流水!$J$480=$C$130,ISNUMBER(资金流水!$B$480),ISNUMBER(资金流水!$S$480),资金流水!$S$480&gt;=_辅助!$J$4,资金流水!$S$480&lt;=_辅助!$J$2,OR(资金流水!$X$480="应付材料款",资金流水!$X$480="应付分包款",资金流水!$X$480="应付机械运输费",资金流水!$X$480="应付其他款")),INT(资金流水!$B$480)*10000+475,"")</f>
      </c>
      <c r="CD476" s="2">
        <f>IF(($C$130&lt;&gt;"")*(应付登记!$D$480=$C$130)*ISNUMBER(应付登记!$J$480)*(应付登记!$J$480&gt;=_辅助!$J$4)*(应付登记!$J$480&lt;=_辅助!$J$2),1,0)</f>
        <v>0</v>
      </c>
    </row>
    <row r="477">
      <c r="BC477" s="2">
        <f>BC450+SUM(CD451:CD477)</f>
        <v>0</v>
      </c>
      <c r="BD477" s="2">
        <f>IF(AND($C$130&lt;&gt;"",资金流水!$J$481=$C$130,ISNUMBER(资金流水!$B$481),ISNUMBER(资金流水!$S$481),资金流水!$S$481&gt;=_辅助!$J$4,资金流水!$S$481&lt;=_辅助!$J$2,OR(资金流水!$X$481="应付材料款",资金流水!$X$481="应付分包款",资金流水!$X$481="应付机械运输费",资金流水!$X$481="应付其他款")),INT(资金流水!$B$481)*10000+476,"")</f>
      </c>
      <c r="CD477" s="2">
        <f>IF(($C$130&lt;&gt;"")*(应付登记!$D$481=$C$130)*ISNUMBER(应付登记!$J$481)*(应付登记!$J$481&gt;=_辅助!$J$4)*(应付登记!$J$481&lt;=_辅助!$J$2),1,0)</f>
        <v>0</v>
      </c>
    </row>
    <row r="478">
      <c r="BC478" s="2">
        <f>BC450+SUM(CD451:CD478)</f>
        <v>0</v>
      </c>
      <c r="BD478" s="2">
        <f>IF(AND($C$130&lt;&gt;"",资金流水!$J$482=$C$130,ISNUMBER(资金流水!$B$482),ISNUMBER(资金流水!$S$482),资金流水!$S$482&gt;=_辅助!$J$4,资金流水!$S$482&lt;=_辅助!$J$2,OR(资金流水!$X$482="应付材料款",资金流水!$X$482="应付分包款",资金流水!$X$482="应付机械运输费",资金流水!$X$482="应付其他款")),INT(资金流水!$B$482)*10000+477,"")</f>
      </c>
      <c r="CD478" s="2">
        <f>IF(($C$130&lt;&gt;"")*(应付登记!$D$482=$C$130)*ISNUMBER(应付登记!$J$482)*(应付登记!$J$482&gt;=_辅助!$J$4)*(应付登记!$J$482&lt;=_辅助!$J$2),1,0)</f>
        <v>0</v>
      </c>
    </row>
    <row r="479">
      <c r="BC479" s="2">
        <f>BC450+SUM(CD451:CD479)</f>
        <v>0</v>
      </c>
      <c r="BD479" s="2">
        <f>IF(AND($C$130&lt;&gt;"",资金流水!$J$483=$C$130,ISNUMBER(资金流水!$B$483),ISNUMBER(资金流水!$S$483),资金流水!$S$483&gt;=_辅助!$J$4,资金流水!$S$483&lt;=_辅助!$J$2,OR(资金流水!$X$483="应付材料款",资金流水!$X$483="应付分包款",资金流水!$X$483="应付机械运输费",资金流水!$X$483="应付其他款")),INT(资金流水!$B$483)*10000+478,"")</f>
      </c>
      <c r="CD479" s="2">
        <f>IF(($C$130&lt;&gt;"")*(应付登记!$D$483=$C$130)*ISNUMBER(应付登记!$J$483)*(应付登记!$J$483&gt;=_辅助!$J$4)*(应付登记!$J$483&lt;=_辅助!$J$2),1,0)</f>
        <v>0</v>
      </c>
    </row>
    <row r="480">
      <c r="BC480" s="2">
        <f>BC450+SUM(CD451:CD480)</f>
        <v>0</v>
      </c>
      <c r="BD480" s="2">
        <f>IF(AND($C$130&lt;&gt;"",资金流水!$J$484=$C$130,ISNUMBER(资金流水!$B$484),ISNUMBER(资金流水!$S$484),资金流水!$S$484&gt;=_辅助!$J$4,资金流水!$S$484&lt;=_辅助!$J$2,OR(资金流水!$X$484="应付材料款",资金流水!$X$484="应付分包款",资金流水!$X$484="应付机械运输费",资金流水!$X$484="应付其他款")),INT(资金流水!$B$484)*10000+479,"")</f>
      </c>
      <c r="CD480" s="2">
        <f>IF(($C$130&lt;&gt;"")*(应付登记!$D$484=$C$130)*ISNUMBER(应付登记!$J$484)*(应付登记!$J$484&gt;=_辅助!$J$4)*(应付登记!$J$484&lt;=_辅助!$J$2),1,0)</f>
        <v>0</v>
      </c>
    </row>
    <row r="481">
      <c r="BC481" s="2">
        <f>BC450+SUM(CD451:CD481)</f>
        <v>0</v>
      </c>
      <c r="BD481" s="2">
        <f>IF(AND($C$130&lt;&gt;"",资金流水!$J$485=$C$130,ISNUMBER(资金流水!$B$485),ISNUMBER(资金流水!$S$485),资金流水!$S$485&gt;=_辅助!$J$4,资金流水!$S$485&lt;=_辅助!$J$2,OR(资金流水!$X$485="应付材料款",资金流水!$X$485="应付分包款",资金流水!$X$485="应付机械运输费",资金流水!$X$485="应付其他款")),INT(资金流水!$B$485)*10000+480,"")</f>
      </c>
      <c r="CD481" s="2">
        <f>IF(($C$130&lt;&gt;"")*(应付登记!$D$485=$C$130)*ISNUMBER(应付登记!$J$485)*(应付登记!$J$485&gt;=_辅助!$J$4)*(应付登记!$J$485&lt;=_辅助!$J$2),1,0)</f>
        <v>0</v>
      </c>
    </row>
    <row r="482">
      <c r="BC482" s="2">
        <f>BC450+SUM(CD451:CD482)</f>
        <v>0</v>
      </c>
      <c r="BD482" s="2">
        <f>IF(AND($C$130&lt;&gt;"",资金流水!$J$486=$C$130,ISNUMBER(资金流水!$B$486),ISNUMBER(资金流水!$S$486),资金流水!$S$486&gt;=_辅助!$J$4,资金流水!$S$486&lt;=_辅助!$J$2,OR(资金流水!$X$486="应付材料款",资金流水!$X$486="应付分包款",资金流水!$X$486="应付机械运输费",资金流水!$X$486="应付其他款")),INT(资金流水!$B$486)*10000+481,"")</f>
      </c>
      <c r="CD482" s="2">
        <f>IF(($C$130&lt;&gt;"")*(应付登记!$D$486=$C$130)*ISNUMBER(应付登记!$J$486)*(应付登记!$J$486&gt;=_辅助!$J$4)*(应付登记!$J$486&lt;=_辅助!$J$2),1,0)</f>
        <v>0</v>
      </c>
    </row>
    <row r="483">
      <c r="BC483" s="2">
        <f>BC450+SUM(CD451:CD483)</f>
        <v>0</v>
      </c>
      <c r="BD483" s="2">
        <f>IF(AND($C$130&lt;&gt;"",资金流水!$J$487=$C$130,ISNUMBER(资金流水!$B$487),ISNUMBER(资金流水!$S$487),资金流水!$S$487&gt;=_辅助!$J$4,资金流水!$S$487&lt;=_辅助!$J$2,OR(资金流水!$X$487="应付材料款",资金流水!$X$487="应付分包款",资金流水!$X$487="应付机械运输费",资金流水!$X$487="应付其他款")),INT(资金流水!$B$487)*10000+482,"")</f>
      </c>
      <c r="CD483" s="2">
        <f>IF(($C$130&lt;&gt;"")*(应付登记!$D$487=$C$130)*ISNUMBER(应付登记!$J$487)*(应付登记!$J$487&gt;=_辅助!$J$4)*(应付登记!$J$487&lt;=_辅助!$J$2),1,0)</f>
        <v>0</v>
      </c>
    </row>
    <row r="484">
      <c r="BC484" s="2">
        <f>BC450+SUM(CD451:CD484)</f>
        <v>0</v>
      </c>
      <c r="BD484" s="2">
        <f>IF(AND($C$130&lt;&gt;"",资金流水!$J$488=$C$130,ISNUMBER(资金流水!$B$488),ISNUMBER(资金流水!$S$488),资金流水!$S$488&gt;=_辅助!$J$4,资金流水!$S$488&lt;=_辅助!$J$2,OR(资金流水!$X$488="应付材料款",资金流水!$X$488="应付分包款",资金流水!$X$488="应付机械运输费",资金流水!$X$488="应付其他款")),INT(资金流水!$B$488)*10000+483,"")</f>
      </c>
      <c r="CD484" s="2">
        <f>IF(($C$130&lt;&gt;"")*(应付登记!$D$488=$C$130)*ISNUMBER(应付登记!$J$488)*(应付登记!$J$488&gt;=_辅助!$J$4)*(应付登记!$J$488&lt;=_辅助!$J$2),1,0)</f>
        <v>0</v>
      </c>
    </row>
    <row r="485">
      <c r="BC485" s="2">
        <f>BC450+SUM(CD451:CD485)</f>
        <v>0</v>
      </c>
      <c r="BD485" s="2">
        <f>IF(AND($C$130&lt;&gt;"",资金流水!$J$489=$C$130,ISNUMBER(资金流水!$B$489),ISNUMBER(资金流水!$S$489),资金流水!$S$489&gt;=_辅助!$J$4,资金流水!$S$489&lt;=_辅助!$J$2,OR(资金流水!$X$489="应付材料款",资金流水!$X$489="应付分包款",资金流水!$X$489="应付机械运输费",资金流水!$X$489="应付其他款")),INT(资金流水!$B$489)*10000+484,"")</f>
      </c>
      <c r="CD485" s="2">
        <f>IF(($C$130&lt;&gt;"")*(应付登记!$D$489=$C$130)*ISNUMBER(应付登记!$J$489)*(应付登记!$J$489&gt;=_辅助!$J$4)*(应付登记!$J$489&lt;=_辅助!$J$2),1,0)</f>
        <v>0</v>
      </c>
    </row>
    <row r="486">
      <c r="BC486" s="2">
        <f>BC450+SUM(CD451:CD486)</f>
        <v>0</v>
      </c>
      <c r="BD486" s="2">
        <f>IF(AND($C$130&lt;&gt;"",资金流水!$J$490=$C$130,ISNUMBER(资金流水!$B$490),ISNUMBER(资金流水!$S$490),资金流水!$S$490&gt;=_辅助!$J$4,资金流水!$S$490&lt;=_辅助!$J$2,OR(资金流水!$X$490="应付材料款",资金流水!$X$490="应付分包款",资金流水!$X$490="应付机械运输费",资金流水!$X$490="应付其他款")),INT(资金流水!$B$490)*10000+485,"")</f>
      </c>
      <c r="CD486" s="2">
        <f>IF(($C$130&lt;&gt;"")*(应付登记!$D$490=$C$130)*ISNUMBER(应付登记!$J$490)*(应付登记!$J$490&gt;=_辅助!$J$4)*(应付登记!$J$490&lt;=_辅助!$J$2),1,0)</f>
        <v>0</v>
      </c>
    </row>
    <row r="487">
      <c r="BC487" s="2">
        <f>BC450+SUM(CD451:CD487)</f>
        <v>0</v>
      </c>
      <c r="BD487" s="2">
        <f>IF(AND($C$130&lt;&gt;"",资金流水!$J$491=$C$130,ISNUMBER(资金流水!$B$491),ISNUMBER(资金流水!$S$491),资金流水!$S$491&gt;=_辅助!$J$4,资金流水!$S$491&lt;=_辅助!$J$2,OR(资金流水!$X$491="应付材料款",资金流水!$X$491="应付分包款",资金流水!$X$491="应付机械运输费",资金流水!$X$491="应付其他款")),INT(资金流水!$B$491)*10000+486,"")</f>
      </c>
      <c r="CD487" s="2">
        <f>IF(($C$130&lt;&gt;"")*(应付登记!$D$491=$C$130)*ISNUMBER(应付登记!$J$491)*(应付登记!$J$491&gt;=_辅助!$J$4)*(应付登记!$J$491&lt;=_辅助!$J$2),1,0)</f>
        <v>0</v>
      </c>
    </row>
    <row r="488">
      <c r="BC488" s="2">
        <f>BC450+SUM(CD451:CD488)</f>
        <v>0</v>
      </c>
      <c r="BD488" s="2">
        <f>IF(AND($C$130&lt;&gt;"",资金流水!$J$492=$C$130,ISNUMBER(资金流水!$B$492),ISNUMBER(资金流水!$S$492),资金流水!$S$492&gt;=_辅助!$J$4,资金流水!$S$492&lt;=_辅助!$J$2,OR(资金流水!$X$492="应付材料款",资金流水!$X$492="应付分包款",资金流水!$X$492="应付机械运输费",资金流水!$X$492="应付其他款")),INT(资金流水!$B$492)*10000+487,"")</f>
      </c>
      <c r="CD488" s="2">
        <f>IF(($C$130&lt;&gt;"")*(应付登记!$D$492=$C$130)*ISNUMBER(应付登记!$J$492)*(应付登记!$J$492&gt;=_辅助!$J$4)*(应付登记!$J$492&lt;=_辅助!$J$2),1,0)</f>
        <v>0</v>
      </c>
    </row>
    <row r="489">
      <c r="BC489" s="2">
        <f>BC450+SUM(CD451:CD489)</f>
        <v>0</v>
      </c>
      <c r="BD489" s="2">
        <f>IF(AND($C$130&lt;&gt;"",资金流水!$J$493=$C$130,ISNUMBER(资金流水!$B$493),ISNUMBER(资金流水!$S$493),资金流水!$S$493&gt;=_辅助!$J$4,资金流水!$S$493&lt;=_辅助!$J$2,OR(资金流水!$X$493="应付材料款",资金流水!$X$493="应付分包款",资金流水!$X$493="应付机械运输费",资金流水!$X$493="应付其他款")),INT(资金流水!$B$493)*10000+488,"")</f>
      </c>
      <c r="CD489" s="2">
        <f>IF(($C$130&lt;&gt;"")*(应付登记!$D$493=$C$130)*ISNUMBER(应付登记!$J$493)*(应付登记!$J$493&gt;=_辅助!$J$4)*(应付登记!$J$493&lt;=_辅助!$J$2),1,0)</f>
        <v>0</v>
      </c>
    </row>
    <row r="490">
      <c r="BC490" s="2">
        <f>BC450+SUM(CD451:CD490)</f>
        <v>0</v>
      </c>
      <c r="BD490" s="2">
        <f>IF(AND($C$130&lt;&gt;"",资金流水!$J$494=$C$130,ISNUMBER(资金流水!$B$494),ISNUMBER(资金流水!$S$494),资金流水!$S$494&gt;=_辅助!$J$4,资金流水!$S$494&lt;=_辅助!$J$2,OR(资金流水!$X$494="应付材料款",资金流水!$X$494="应付分包款",资金流水!$X$494="应付机械运输费",资金流水!$X$494="应付其他款")),INT(资金流水!$B$494)*10000+489,"")</f>
      </c>
      <c r="CD490" s="2">
        <f>IF(($C$130&lt;&gt;"")*(应付登记!$D$494=$C$130)*ISNUMBER(应付登记!$J$494)*(应付登记!$J$494&gt;=_辅助!$J$4)*(应付登记!$J$494&lt;=_辅助!$J$2),1,0)</f>
        <v>0</v>
      </c>
    </row>
    <row r="491">
      <c r="BC491" s="2">
        <f>BC450+SUM(CD451:CD491)</f>
        <v>0</v>
      </c>
      <c r="BD491" s="2">
        <f>IF(AND($C$130&lt;&gt;"",资金流水!$J$495=$C$130,ISNUMBER(资金流水!$B$495),ISNUMBER(资金流水!$S$495),资金流水!$S$495&gt;=_辅助!$J$4,资金流水!$S$495&lt;=_辅助!$J$2,OR(资金流水!$X$495="应付材料款",资金流水!$X$495="应付分包款",资金流水!$X$495="应付机械运输费",资金流水!$X$495="应付其他款")),INT(资金流水!$B$495)*10000+490,"")</f>
      </c>
      <c r="CD491" s="2">
        <f>IF(($C$130&lt;&gt;"")*(应付登记!$D$495=$C$130)*ISNUMBER(应付登记!$J$495)*(应付登记!$J$495&gt;=_辅助!$J$4)*(应付登记!$J$495&lt;=_辅助!$J$2),1,0)</f>
        <v>0</v>
      </c>
    </row>
    <row r="492">
      <c r="BC492" s="2">
        <f>BC450+SUM(CD451:CD492)</f>
        <v>0</v>
      </c>
      <c r="BD492" s="2">
        <f>IF(AND($C$130&lt;&gt;"",资金流水!$J$496=$C$130,ISNUMBER(资金流水!$B$496),ISNUMBER(资金流水!$S$496),资金流水!$S$496&gt;=_辅助!$J$4,资金流水!$S$496&lt;=_辅助!$J$2,OR(资金流水!$X$496="应付材料款",资金流水!$X$496="应付分包款",资金流水!$X$496="应付机械运输费",资金流水!$X$496="应付其他款")),INT(资金流水!$B$496)*10000+491,"")</f>
      </c>
      <c r="CD492" s="2">
        <f>IF(($C$130&lt;&gt;"")*(应付登记!$D$496=$C$130)*ISNUMBER(应付登记!$J$496)*(应付登记!$J$496&gt;=_辅助!$J$4)*(应付登记!$J$496&lt;=_辅助!$J$2),1,0)</f>
        <v>0</v>
      </c>
    </row>
    <row r="493">
      <c r="BC493" s="2">
        <f>BC450+SUM(CD451:CD493)</f>
        <v>0</v>
      </c>
      <c r="BD493" s="2">
        <f>IF(AND($C$130&lt;&gt;"",资金流水!$J$497=$C$130,ISNUMBER(资金流水!$B$497),ISNUMBER(资金流水!$S$497),资金流水!$S$497&gt;=_辅助!$J$4,资金流水!$S$497&lt;=_辅助!$J$2,OR(资金流水!$X$497="应付材料款",资金流水!$X$497="应付分包款",资金流水!$X$497="应付机械运输费",资金流水!$X$497="应付其他款")),INT(资金流水!$B$497)*10000+492,"")</f>
      </c>
      <c r="CD493" s="2">
        <f>IF(($C$130&lt;&gt;"")*(应付登记!$D$497=$C$130)*ISNUMBER(应付登记!$J$497)*(应付登记!$J$497&gt;=_辅助!$J$4)*(应付登记!$J$497&lt;=_辅助!$J$2),1,0)</f>
        <v>0</v>
      </c>
    </row>
    <row r="494">
      <c r="BC494" s="2">
        <f>BC450+SUM(CD451:CD494)</f>
        <v>0</v>
      </c>
      <c r="BD494" s="2">
        <f>IF(AND($C$130&lt;&gt;"",资金流水!$J$498=$C$130,ISNUMBER(资金流水!$B$498),ISNUMBER(资金流水!$S$498),资金流水!$S$498&gt;=_辅助!$J$4,资金流水!$S$498&lt;=_辅助!$J$2,OR(资金流水!$X$498="应付材料款",资金流水!$X$498="应付分包款",资金流水!$X$498="应付机械运输费",资金流水!$X$498="应付其他款")),INT(资金流水!$B$498)*10000+493,"")</f>
      </c>
      <c r="CD494" s="2">
        <f>IF(($C$130&lt;&gt;"")*(应付登记!$D$498=$C$130)*ISNUMBER(应付登记!$J$498)*(应付登记!$J$498&gt;=_辅助!$J$4)*(应付登记!$J$498&lt;=_辅助!$J$2),1,0)</f>
        <v>0</v>
      </c>
    </row>
    <row r="495">
      <c r="BC495" s="2">
        <f>BC450+SUM(CD451:CD495)</f>
        <v>0</v>
      </c>
      <c r="BD495" s="2">
        <f>IF(AND($C$130&lt;&gt;"",资金流水!$J$499=$C$130,ISNUMBER(资金流水!$B$499),ISNUMBER(资金流水!$S$499),资金流水!$S$499&gt;=_辅助!$J$4,资金流水!$S$499&lt;=_辅助!$J$2,OR(资金流水!$X$499="应付材料款",资金流水!$X$499="应付分包款",资金流水!$X$499="应付机械运输费",资金流水!$X$499="应付其他款")),INT(资金流水!$B$499)*10000+494,"")</f>
      </c>
      <c r="CD495" s="2">
        <f>IF(($C$130&lt;&gt;"")*(应付登记!$D$499=$C$130)*ISNUMBER(应付登记!$J$499)*(应付登记!$J$499&gt;=_辅助!$J$4)*(应付登记!$J$499&lt;=_辅助!$J$2),1,0)</f>
        <v>0</v>
      </c>
    </row>
    <row r="496">
      <c r="BC496" s="2">
        <f>BC450+SUM(CD451:CD496)</f>
        <v>0</v>
      </c>
      <c r="BD496" s="2">
        <f>IF(AND($C$130&lt;&gt;"",资金流水!$J$500=$C$130,ISNUMBER(资金流水!$B$500),ISNUMBER(资金流水!$S$500),资金流水!$S$500&gt;=_辅助!$J$4,资金流水!$S$500&lt;=_辅助!$J$2,OR(资金流水!$X$500="应付材料款",资金流水!$X$500="应付分包款",资金流水!$X$500="应付机械运输费",资金流水!$X$500="应付其他款")),INT(资金流水!$B$500)*10000+495,"")</f>
      </c>
      <c r="CD496" s="2">
        <f>IF(($C$130&lt;&gt;"")*(应付登记!$D$500=$C$130)*ISNUMBER(应付登记!$J$500)*(应付登记!$J$500&gt;=_辅助!$J$4)*(应付登记!$J$500&lt;=_辅助!$J$2),1,0)</f>
        <v>0</v>
      </c>
    </row>
    <row r="497">
      <c r="BC497" s="2">
        <f>BC450+SUM(CD451:CD497)</f>
        <v>0</v>
      </c>
      <c r="BD497" s="2">
        <f>IF(AND($C$130&lt;&gt;"",资金流水!$J$501=$C$130,ISNUMBER(资金流水!$B$501),ISNUMBER(资金流水!$S$501),资金流水!$S$501&gt;=_辅助!$J$4,资金流水!$S$501&lt;=_辅助!$J$2,OR(资金流水!$X$501="应付材料款",资金流水!$X$501="应付分包款",资金流水!$X$501="应付机械运输费",资金流水!$X$501="应付其他款")),INT(资金流水!$B$501)*10000+496,"")</f>
      </c>
      <c r="CD497" s="2">
        <f>IF(($C$130&lt;&gt;"")*(应付登记!$D$501=$C$130)*ISNUMBER(应付登记!$J$501)*(应付登记!$J$501&gt;=_辅助!$J$4)*(应付登记!$J$501&lt;=_辅助!$J$2),1,0)</f>
        <v>0</v>
      </c>
    </row>
    <row r="498">
      <c r="BC498" s="2">
        <f>BC450+SUM(CD451:CD498)</f>
        <v>0</v>
      </c>
      <c r="BD498" s="2">
        <f>IF(AND($C$130&lt;&gt;"",资金流水!$J$502=$C$130,ISNUMBER(资金流水!$B$502),ISNUMBER(资金流水!$S$502),资金流水!$S$502&gt;=_辅助!$J$4,资金流水!$S$502&lt;=_辅助!$J$2,OR(资金流水!$X$502="应付材料款",资金流水!$X$502="应付分包款",资金流水!$X$502="应付机械运输费",资金流水!$X$502="应付其他款")),INT(资金流水!$B$502)*10000+497,"")</f>
      </c>
      <c r="CD498" s="2">
        <f>IF(($C$130&lt;&gt;"")*(应付登记!$D$502=$C$130)*ISNUMBER(应付登记!$J$502)*(应付登记!$J$502&gt;=_辅助!$J$4)*(应付登记!$J$502&lt;=_辅助!$J$2),1,0)</f>
        <v>0</v>
      </c>
    </row>
    <row r="499">
      <c r="BC499" s="2">
        <f>BC450+SUM(CD451:CD499)</f>
        <v>0</v>
      </c>
      <c r="BD499" s="2">
        <f>IF(AND($C$130&lt;&gt;"",资金流水!$J$503=$C$130,ISNUMBER(资金流水!$B$503),ISNUMBER(资金流水!$S$503),资金流水!$S$503&gt;=_辅助!$J$4,资金流水!$S$503&lt;=_辅助!$J$2,OR(资金流水!$X$503="应付材料款",资金流水!$X$503="应付分包款",资金流水!$X$503="应付机械运输费",资金流水!$X$503="应付其他款")),INT(资金流水!$B$503)*10000+498,"")</f>
      </c>
      <c r="CD499" s="2">
        <f>IF(($C$130&lt;&gt;"")*(应付登记!$D$503=$C$130)*ISNUMBER(应付登记!$J$503)*(应付登记!$J$503&gt;=_辅助!$J$4)*(应付登记!$J$503&lt;=_辅助!$J$2),1,0)</f>
        <v>0</v>
      </c>
    </row>
    <row r="500">
      <c r="BC500" s="2">
        <f>BC450+SUM(CD451:CD500)</f>
        <v>0</v>
      </c>
      <c r="BD500" s="2">
        <f>IF(AND($C$130&lt;&gt;"",资金流水!$J$504=$C$130,ISNUMBER(资金流水!$B$504),ISNUMBER(资金流水!$S$504),资金流水!$S$504&gt;=_辅助!$J$4,资金流水!$S$504&lt;=_辅助!$J$2,OR(资金流水!$X$504="应付材料款",资金流水!$X$504="应付分包款",资金流水!$X$504="应付机械运输费",资金流水!$X$504="应付其他款")),INT(资金流水!$B$504)*10000+499,"")</f>
      </c>
      <c r="CD500" s="2">
        <f>IF(($C$130&lt;&gt;"")*(应付登记!$D$504=$C$130)*ISNUMBER(应付登记!$J$504)*(应付登记!$J$504&gt;=_辅助!$J$4)*(应付登记!$J$504&lt;=_辅助!$J$2),1,0)</f>
        <v>0</v>
      </c>
    </row>
    <row r="501">
      <c r="BC501" s="2">
        <f>BC500+SUM(CD501:CD501)</f>
        <v>0</v>
      </c>
      <c r="BD501" s="2">
        <f>IF(AND($C$130&lt;&gt;"",资金流水!$J$505=$C$130,ISNUMBER(资金流水!$B$505),ISNUMBER(资金流水!$S$505),资金流水!$S$505&gt;=_辅助!$J$4,资金流水!$S$505&lt;=_辅助!$J$2,OR(资金流水!$X$505="应付材料款",资金流水!$X$505="应付分包款",资金流水!$X$505="应付机械运输费",资金流水!$X$505="应付其他款")),INT(资金流水!$B$505)*10000+500,"")</f>
      </c>
      <c r="CD501" s="2">
        <f>IF(($C$130&lt;&gt;"")*(应付登记!$D$505=$C$130)*ISNUMBER(应付登记!$J$505)*(应付登记!$J$505&gt;=_辅助!$J$4)*(应付登记!$J$505&lt;=_辅助!$J$2),1,0)</f>
        <v>0</v>
      </c>
    </row>
    <row r="502">
      <c r="BC502" s="2">
        <f>BC500+SUM(CD501:CD502)</f>
        <v>0</v>
      </c>
      <c r="BD502" s="2">
        <f>IF(AND($C$130&lt;&gt;"",资金流水!$J$506=$C$130,ISNUMBER(资金流水!$B$506),ISNUMBER(资金流水!$S$506),资金流水!$S$506&gt;=_辅助!$J$4,资金流水!$S$506&lt;=_辅助!$J$2,OR(资金流水!$X$506="应付材料款",资金流水!$X$506="应付分包款",资金流水!$X$506="应付机械运输费",资金流水!$X$506="应付其他款")),INT(资金流水!$B$506)*10000+501,"")</f>
      </c>
      <c r="CD502" s="2">
        <f>IF(($C$130&lt;&gt;"")*(应付登记!$D$506=$C$130)*ISNUMBER(应付登记!$J$506)*(应付登记!$J$506&gt;=_辅助!$J$4)*(应付登记!$J$506&lt;=_辅助!$J$2),1,0)</f>
        <v>0</v>
      </c>
    </row>
    <row r="503">
      <c r="BC503" s="2">
        <f>BC500+SUM(CD501:CD503)</f>
        <v>0</v>
      </c>
      <c r="BD503" s="2">
        <f>IF(AND($C$130&lt;&gt;"",资金流水!$J$507=$C$130,ISNUMBER(资金流水!$B$507),ISNUMBER(资金流水!$S$507),资金流水!$S$507&gt;=_辅助!$J$4,资金流水!$S$507&lt;=_辅助!$J$2,OR(资金流水!$X$507="应付材料款",资金流水!$X$507="应付分包款",资金流水!$X$507="应付机械运输费",资金流水!$X$507="应付其他款")),INT(资金流水!$B$507)*10000+502,"")</f>
      </c>
      <c r="CD503" s="2">
        <f>IF(($C$130&lt;&gt;"")*(应付登记!$D$507=$C$130)*ISNUMBER(应付登记!$J$507)*(应付登记!$J$507&gt;=_辅助!$J$4)*(应付登记!$J$507&lt;=_辅助!$J$2),1,0)</f>
        <v>0</v>
      </c>
    </row>
    <row r="504">
      <c r="BC504" s="2">
        <f>BC500+SUM(CD501:CD504)</f>
        <v>0</v>
      </c>
      <c r="BD504" s="2">
        <f>IF(AND($C$130&lt;&gt;"",资金流水!$J$508=$C$130,ISNUMBER(资金流水!$B$508),ISNUMBER(资金流水!$S$508),资金流水!$S$508&gt;=_辅助!$J$4,资金流水!$S$508&lt;=_辅助!$J$2,OR(资金流水!$X$508="应付材料款",资金流水!$X$508="应付分包款",资金流水!$X$508="应付机械运输费",资金流水!$X$508="应付其他款")),INT(资金流水!$B$508)*10000+503,"")</f>
      </c>
      <c r="CD504" s="2">
        <f>IF(($C$130&lt;&gt;"")*(应付登记!$D$508=$C$130)*ISNUMBER(应付登记!$J$508)*(应付登记!$J$508&gt;=_辅助!$J$4)*(应付登记!$J$508&lt;=_辅助!$J$2),1,0)</f>
        <v>0</v>
      </c>
    </row>
    <row r="505">
      <c r="BC505" s="2">
        <f>BC500+SUM(CD501:CD505)</f>
        <v>0</v>
      </c>
      <c r="BD505" s="2">
        <f>IF(AND($C$130&lt;&gt;"",资金流水!$J$509=$C$130,ISNUMBER(资金流水!$B$509),ISNUMBER(资金流水!$S$509),资金流水!$S$509&gt;=_辅助!$J$4,资金流水!$S$509&lt;=_辅助!$J$2,OR(资金流水!$X$509="应付材料款",资金流水!$X$509="应付分包款",资金流水!$X$509="应付机械运输费",资金流水!$X$509="应付其他款")),INT(资金流水!$B$509)*10000+504,"")</f>
      </c>
      <c r="CD505" s="2">
        <f>IF(($C$130&lt;&gt;"")*(应付登记!$D$509=$C$130)*ISNUMBER(应付登记!$J$509)*(应付登记!$J$509&gt;=_辅助!$J$4)*(应付登记!$J$509&lt;=_辅助!$J$2),1,0)</f>
        <v>0</v>
      </c>
    </row>
    <row r="506">
      <c r="BC506" s="2">
        <f>BC500+SUM(CD501:CD506)</f>
        <v>0</v>
      </c>
      <c r="BD506" s="2">
        <f>IF(AND($C$130&lt;&gt;"",资金流水!$J$510=$C$130,ISNUMBER(资金流水!$B$510),ISNUMBER(资金流水!$S$510),资金流水!$S$510&gt;=_辅助!$J$4,资金流水!$S$510&lt;=_辅助!$J$2,OR(资金流水!$X$510="应付材料款",资金流水!$X$510="应付分包款",资金流水!$X$510="应付机械运输费",资金流水!$X$510="应付其他款")),INT(资金流水!$B$510)*10000+505,"")</f>
      </c>
      <c r="CD506" s="2">
        <f>IF(($C$130&lt;&gt;"")*(应付登记!$D$510=$C$130)*ISNUMBER(应付登记!$J$510)*(应付登记!$J$510&gt;=_辅助!$J$4)*(应付登记!$J$510&lt;=_辅助!$J$2),1,0)</f>
        <v>0</v>
      </c>
    </row>
    <row r="507">
      <c r="BC507" s="2">
        <f>BC500+SUM(CD501:CD507)</f>
        <v>0</v>
      </c>
      <c r="BD507" s="2">
        <f>IF(AND($C$130&lt;&gt;"",资金流水!$J$511=$C$130,ISNUMBER(资金流水!$B$511),ISNUMBER(资金流水!$S$511),资金流水!$S$511&gt;=_辅助!$J$4,资金流水!$S$511&lt;=_辅助!$J$2,OR(资金流水!$X$511="应付材料款",资金流水!$X$511="应付分包款",资金流水!$X$511="应付机械运输费",资金流水!$X$511="应付其他款")),INT(资金流水!$B$511)*10000+506,"")</f>
      </c>
      <c r="CD507" s="2">
        <f>IF(($C$130&lt;&gt;"")*(应付登记!$D$511=$C$130)*ISNUMBER(应付登记!$J$511)*(应付登记!$J$511&gt;=_辅助!$J$4)*(应付登记!$J$511&lt;=_辅助!$J$2),1,0)</f>
        <v>0</v>
      </c>
    </row>
    <row r="508">
      <c r="BC508" s="2">
        <f>BC500+SUM(CD501:CD508)</f>
        <v>0</v>
      </c>
      <c r="BD508" s="2">
        <f>IF(AND($C$130&lt;&gt;"",资金流水!$J$512=$C$130,ISNUMBER(资金流水!$B$512),ISNUMBER(资金流水!$S$512),资金流水!$S$512&gt;=_辅助!$J$4,资金流水!$S$512&lt;=_辅助!$J$2,OR(资金流水!$X$512="应付材料款",资金流水!$X$512="应付分包款",资金流水!$X$512="应付机械运输费",资金流水!$X$512="应付其他款")),INT(资金流水!$B$512)*10000+507,"")</f>
      </c>
      <c r="CD508" s="2">
        <f>IF(($C$130&lt;&gt;"")*(应付登记!$D$512=$C$130)*ISNUMBER(应付登记!$J$512)*(应付登记!$J$512&gt;=_辅助!$J$4)*(应付登记!$J$512&lt;=_辅助!$J$2),1,0)</f>
        <v>0</v>
      </c>
    </row>
    <row r="509">
      <c r="BC509" s="2">
        <f>BC500+SUM(CD501:CD509)</f>
        <v>0</v>
      </c>
      <c r="BD509" s="2">
        <f>IF(AND($C$130&lt;&gt;"",资金流水!$J$513=$C$130,ISNUMBER(资金流水!$B$513),ISNUMBER(资金流水!$S$513),资金流水!$S$513&gt;=_辅助!$J$4,资金流水!$S$513&lt;=_辅助!$J$2,OR(资金流水!$X$513="应付材料款",资金流水!$X$513="应付分包款",资金流水!$X$513="应付机械运输费",资金流水!$X$513="应付其他款")),INT(资金流水!$B$513)*10000+508,"")</f>
      </c>
      <c r="CD509" s="2">
        <f>IF(($C$130&lt;&gt;"")*(应付登记!$D$513=$C$130)*ISNUMBER(应付登记!$J$513)*(应付登记!$J$513&gt;=_辅助!$J$4)*(应付登记!$J$513&lt;=_辅助!$J$2),1,0)</f>
        <v>0</v>
      </c>
    </row>
    <row r="510">
      <c r="BC510" s="2">
        <f>BC500+SUM(CD501:CD510)</f>
        <v>0</v>
      </c>
      <c r="BD510" s="2">
        <f>IF(AND($C$130&lt;&gt;"",资金流水!$J$514=$C$130,ISNUMBER(资金流水!$B$514),ISNUMBER(资金流水!$S$514),资金流水!$S$514&gt;=_辅助!$J$4,资金流水!$S$514&lt;=_辅助!$J$2,OR(资金流水!$X$514="应付材料款",资金流水!$X$514="应付分包款",资金流水!$X$514="应付机械运输费",资金流水!$X$514="应付其他款")),INT(资金流水!$B$514)*10000+509,"")</f>
      </c>
      <c r="CD510" s="2">
        <f>IF(($C$130&lt;&gt;"")*(应付登记!$D$514=$C$130)*ISNUMBER(应付登记!$J$514)*(应付登记!$J$514&gt;=_辅助!$J$4)*(应付登记!$J$514&lt;=_辅助!$J$2),1,0)</f>
        <v>0</v>
      </c>
    </row>
    <row r="511">
      <c r="BC511" s="2">
        <f>BC500+SUM(CD501:CD511)</f>
        <v>0</v>
      </c>
      <c r="BD511" s="2">
        <f>IF(AND($C$130&lt;&gt;"",资金流水!$J$515=$C$130,ISNUMBER(资金流水!$B$515),ISNUMBER(资金流水!$S$515),资金流水!$S$515&gt;=_辅助!$J$4,资金流水!$S$515&lt;=_辅助!$J$2,OR(资金流水!$X$515="应付材料款",资金流水!$X$515="应付分包款",资金流水!$X$515="应付机械运输费",资金流水!$X$515="应付其他款")),INT(资金流水!$B$515)*10000+510,"")</f>
      </c>
      <c r="CD511" s="2">
        <f>IF(($C$130&lt;&gt;"")*(应付登记!$D$515=$C$130)*ISNUMBER(应付登记!$J$515)*(应付登记!$J$515&gt;=_辅助!$J$4)*(应付登记!$J$515&lt;=_辅助!$J$2),1,0)</f>
        <v>0</v>
      </c>
    </row>
    <row r="512">
      <c r="BC512" s="2">
        <f>BC500+SUM(CD501:CD512)</f>
        <v>0</v>
      </c>
      <c r="BD512" s="2">
        <f>IF(AND($C$130&lt;&gt;"",资金流水!$J$516=$C$130,ISNUMBER(资金流水!$B$516),ISNUMBER(资金流水!$S$516),资金流水!$S$516&gt;=_辅助!$J$4,资金流水!$S$516&lt;=_辅助!$J$2,OR(资金流水!$X$516="应付材料款",资金流水!$X$516="应付分包款",资金流水!$X$516="应付机械运输费",资金流水!$X$516="应付其他款")),INT(资金流水!$B$516)*10000+511,"")</f>
      </c>
      <c r="CD512" s="2">
        <f>IF(($C$130&lt;&gt;"")*(应付登记!$D$516=$C$130)*ISNUMBER(应付登记!$J$516)*(应付登记!$J$516&gt;=_辅助!$J$4)*(应付登记!$J$516&lt;=_辅助!$J$2),1,0)</f>
        <v>0</v>
      </c>
    </row>
    <row r="513">
      <c r="BC513" s="2">
        <f>BC500+SUM(CD501:CD513)</f>
        <v>0</v>
      </c>
      <c r="BD513" s="2">
        <f>IF(AND($C$130&lt;&gt;"",资金流水!$J$517=$C$130,ISNUMBER(资金流水!$B$517),ISNUMBER(资金流水!$S$517),资金流水!$S$517&gt;=_辅助!$J$4,资金流水!$S$517&lt;=_辅助!$J$2,OR(资金流水!$X$517="应付材料款",资金流水!$X$517="应付分包款",资金流水!$X$517="应付机械运输费",资金流水!$X$517="应付其他款")),INT(资金流水!$B$517)*10000+512,"")</f>
      </c>
      <c r="CD513" s="2">
        <f>IF(($C$130&lt;&gt;"")*(应付登记!$D$517=$C$130)*ISNUMBER(应付登记!$J$517)*(应付登记!$J$517&gt;=_辅助!$J$4)*(应付登记!$J$517&lt;=_辅助!$J$2),1,0)</f>
        <v>0</v>
      </c>
    </row>
    <row r="514">
      <c r="BC514" s="2">
        <f>BC500+SUM(CD501:CD514)</f>
        <v>0</v>
      </c>
      <c r="BD514" s="2">
        <f>IF(AND($C$130&lt;&gt;"",资金流水!$J$518=$C$130,ISNUMBER(资金流水!$B$518),ISNUMBER(资金流水!$S$518),资金流水!$S$518&gt;=_辅助!$J$4,资金流水!$S$518&lt;=_辅助!$J$2,OR(资金流水!$X$518="应付材料款",资金流水!$X$518="应付分包款",资金流水!$X$518="应付机械运输费",资金流水!$X$518="应付其他款")),INT(资金流水!$B$518)*10000+513,"")</f>
      </c>
      <c r="CD514" s="2">
        <f>IF(($C$130&lt;&gt;"")*(应付登记!$D$518=$C$130)*ISNUMBER(应付登记!$J$518)*(应付登记!$J$518&gt;=_辅助!$J$4)*(应付登记!$J$518&lt;=_辅助!$J$2),1,0)</f>
        <v>0</v>
      </c>
    </row>
    <row r="515">
      <c r="BC515" s="2">
        <f>BC500+SUM(CD501:CD515)</f>
        <v>0</v>
      </c>
      <c r="BD515" s="2">
        <f>IF(AND($C$130&lt;&gt;"",资金流水!$J$519=$C$130,ISNUMBER(资金流水!$B$519),ISNUMBER(资金流水!$S$519),资金流水!$S$519&gt;=_辅助!$J$4,资金流水!$S$519&lt;=_辅助!$J$2,OR(资金流水!$X$519="应付材料款",资金流水!$X$519="应付分包款",资金流水!$X$519="应付机械运输费",资金流水!$X$519="应付其他款")),INT(资金流水!$B$519)*10000+514,"")</f>
      </c>
      <c r="CD515" s="2">
        <f>IF(($C$130&lt;&gt;"")*(应付登记!$D$519=$C$130)*ISNUMBER(应付登记!$J$519)*(应付登记!$J$519&gt;=_辅助!$J$4)*(应付登记!$J$519&lt;=_辅助!$J$2),1,0)</f>
        <v>0</v>
      </c>
    </row>
    <row r="516">
      <c r="BC516" s="2">
        <f>BC500+SUM(CD501:CD516)</f>
        <v>0</v>
      </c>
      <c r="BD516" s="2">
        <f>IF(AND($C$130&lt;&gt;"",资金流水!$J$520=$C$130,ISNUMBER(资金流水!$B$520),ISNUMBER(资金流水!$S$520),资金流水!$S$520&gt;=_辅助!$J$4,资金流水!$S$520&lt;=_辅助!$J$2,OR(资金流水!$X$520="应付材料款",资金流水!$X$520="应付分包款",资金流水!$X$520="应付机械运输费",资金流水!$X$520="应付其他款")),INT(资金流水!$B$520)*10000+515,"")</f>
      </c>
      <c r="CD516" s="2">
        <f>IF(($C$130&lt;&gt;"")*(应付登记!$D$520=$C$130)*ISNUMBER(应付登记!$J$520)*(应付登记!$J$520&gt;=_辅助!$J$4)*(应付登记!$J$520&lt;=_辅助!$J$2),1,0)</f>
        <v>0</v>
      </c>
    </row>
    <row r="517">
      <c r="BC517" s="2">
        <f>BC500+SUM(CD501:CD517)</f>
        <v>0</v>
      </c>
      <c r="BD517" s="2">
        <f>IF(AND($C$130&lt;&gt;"",资金流水!$J$521=$C$130,ISNUMBER(资金流水!$B$521),ISNUMBER(资金流水!$S$521),资金流水!$S$521&gt;=_辅助!$J$4,资金流水!$S$521&lt;=_辅助!$J$2,OR(资金流水!$X$521="应付材料款",资金流水!$X$521="应付分包款",资金流水!$X$521="应付机械运输费",资金流水!$X$521="应付其他款")),INT(资金流水!$B$521)*10000+516,"")</f>
      </c>
      <c r="CD517" s="2">
        <f>IF(($C$130&lt;&gt;"")*(应付登记!$D$521=$C$130)*ISNUMBER(应付登记!$J$521)*(应付登记!$J$521&gt;=_辅助!$J$4)*(应付登记!$J$521&lt;=_辅助!$J$2),1,0)</f>
        <v>0</v>
      </c>
    </row>
    <row r="518">
      <c r="BC518" s="2">
        <f>BC500+SUM(CD501:CD518)</f>
        <v>0</v>
      </c>
      <c r="BD518" s="2">
        <f>IF(AND($C$130&lt;&gt;"",资金流水!$J$522=$C$130,ISNUMBER(资金流水!$B$522),ISNUMBER(资金流水!$S$522),资金流水!$S$522&gt;=_辅助!$J$4,资金流水!$S$522&lt;=_辅助!$J$2,OR(资金流水!$X$522="应付材料款",资金流水!$X$522="应付分包款",资金流水!$X$522="应付机械运输费",资金流水!$X$522="应付其他款")),INT(资金流水!$B$522)*10000+517,"")</f>
      </c>
      <c r="CD518" s="2">
        <f>IF(($C$130&lt;&gt;"")*(应付登记!$D$522=$C$130)*ISNUMBER(应付登记!$J$522)*(应付登记!$J$522&gt;=_辅助!$J$4)*(应付登记!$J$522&lt;=_辅助!$J$2),1,0)</f>
        <v>0</v>
      </c>
    </row>
    <row r="519">
      <c r="BC519" s="2">
        <f>BC500+SUM(CD501:CD519)</f>
        <v>0</v>
      </c>
      <c r="BD519" s="2">
        <f>IF(AND($C$130&lt;&gt;"",资金流水!$J$523=$C$130,ISNUMBER(资金流水!$B$523),ISNUMBER(资金流水!$S$523),资金流水!$S$523&gt;=_辅助!$J$4,资金流水!$S$523&lt;=_辅助!$J$2,OR(资金流水!$X$523="应付材料款",资金流水!$X$523="应付分包款",资金流水!$X$523="应付机械运输费",资金流水!$X$523="应付其他款")),INT(资金流水!$B$523)*10000+518,"")</f>
      </c>
      <c r="CD519" s="2">
        <f>IF(($C$130&lt;&gt;"")*(应付登记!$D$523=$C$130)*ISNUMBER(应付登记!$J$523)*(应付登记!$J$523&gt;=_辅助!$J$4)*(应付登记!$J$523&lt;=_辅助!$J$2),1,0)</f>
        <v>0</v>
      </c>
    </row>
    <row r="520">
      <c r="BC520" s="2">
        <f>BC500+SUM(CD501:CD520)</f>
        <v>0</v>
      </c>
      <c r="BD520" s="2">
        <f>IF(AND($C$130&lt;&gt;"",资金流水!$J$524=$C$130,ISNUMBER(资金流水!$B$524),ISNUMBER(资金流水!$S$524),资金流水!$S$524&gt;=_辅助!$J$4,资金流水!$S$524&lt;=_辅助!$J$2,OR(资金流水!$X$524="应付材料款",资金流水!$X$524="应付分包款",资金流水!$X$524="应付机械运输费",资金流水!$X$524="应付其他款")),INT(资金流水!$B$524)*10000+519,"")</f>
      </c>
      <c r="CD520" s="2">
        <f>IF(($C$130&lt;&gt;"")*(应付登记!$D$524=$C$130)*ISNUMBER(应付登记!$J$524)*(应付登记!$J$524&gt;=_辅助!$J$4)*(应付登记!$J$524&lt;=_辅助!$J$2),1,0)</f>
        <v>0</v>
      </c>
    </row>
    <row r="521">
      <c r="BC521" s="2">
        <f>BC500+SUM(CD501:CD521)</f>
        <v>0</v>
      </c>
      <c r="BD521" s="2">
        <f>IF(AND($C$130&lt;&gt;"",资金流水!$J$525=$C$130,ISNUMBER(资金流水!$B$525),ISNUMBER(资金流水!$S$525),资金流水!$S$525&gt;=_辅助!$J$4,资金流水!$S$525&lt;=_辅助!$J$2,OR(资金流水!$X$525="应付材料款",资金流水!$X$525="应付分包款",资金流水!$X$525="应付机械运输费",资金流水!$X$525="应付其他款")),INT(资金流水!$B$525)*10000+520,"")</f>
      </c>
      <c r="CD521" s="2">
        <f>IF(($C$130&lt;&gt;"")*(应付登记!$D$525=$C$130)*ISNUMBER(应付登记!$J$525)*(应付登记!$J$525&gt;=_辅助!$J$4)*(应付登记!$J$525&lt;=_辅助!$J$2),1,0)</f>
        <v>0</v>
      </c>
    </row>
    <row r="522">
      <c r="BC522" s="2">
        <f>BC500+SUM(CD501:CD522)</f>
        <v>0</v>
      </c>
      <c r="BD522" s="2">
        <f>IF(AND($C$130&lt;&gt;"",资金流水!$J$526=$C$130,ISNUMBER(资金流水!$B$526),ISNUMBER(资金流水!$S$526),资金流水!$S$526&gt;=_辅助!$J$4,资金流水!$S$526&lt;=_辅助!$J$2,OR(资金流水!$X$526="应付材料款",资金流水!$X$526="应付分包款",资金流水!$X$526="应付机械运输费",资金流水!$X$526="应付其他款")),INT(资金流水!$B$526)*10000+521,"")</f>
      </c>
      <c r="CD522" s="2">
        <f>IF(($C$130&lt;&gt;"")*(应付登记!$D$526=$C$130)*ISNUMBER(应付登记!$J$526)*(应付登记!$J$526&gt;=_辅助!$J$4)*(应付登记!$J$526&lt;=_辅助!$J$2),1,0)</f>
        <v>0</v>
      </c>
    </row>
    <row r="523">
      <c r="BC523" s="2">
        <f>BC500+SUM(CD501:CD523)</f>
        <v>0</v>
      </c>
      <c r="BD523" s="2">
        <f>IF(AND($C$130&lt;&gt;"",资金流水!$J$527=$C$130,ISNUMBER(资金流水!$B$527),ISNUMBER(资金流水!$S$527),资金流水!$S$527&gt;=_辅助!$J$4,资金流水!$S$527&lt;=_辅助!$J$2,OR(资金流水!$X$527="应付材料款",资金流水!$X$527="应付分包款",资金流水!$X$527="应付机械运输费",资金流水!$X$527="应付其他款")),INT(资金流水!$B$527)*10000+522,"")</f>
      </c>
      <c r="CD523" s="2">
        <f>IF(($C$130&lt;&gt;"")*(应付登记!$D$527=$C$130)*ISNUMBER(应付登记!$J$527)*(应付登记!$J$527&gt;=_辅助!$J$4)*(应付登记!$J$527&lt;=_辅助!$J$2),1,0)</f>
        <v>0</v>
      </c>
    </row>
    <row r="524">
      <c r="BC524" s="2">
        <f>BC500+SUM(CD501:CD524)</f>
        <v>0</v>
      </c>
      <c r="BD524" s="2">
        <f>IF(AND($C$130&lt;&gt;"",资金流水!$J$528=$C$130,ISNUMBER(资金流水!$B$528),ISNUMBER(资金流水!$S$528),资金流水!$S$528&gt;=_辅助!$J$4,资金流水!$S$528&lt;=_辅助!$J$2,OR(资金流水!$X$528="应付材料款",资金流水!$X$528="应付分包款",资金流水!$X$528="应付机械运输费",资金流水!$X$528="应付其他款")),INT(资金流水!$B$528)*10000+523,"")</f>
      </c>
      <c r="CD524" s="2">
        <f>IF(($C$130&lt;&gt;"")*(应付登记!$D$528=$C$130)*ISNUMBER(应付登记!$J$528)*(应付登记!$J$528&gt;=_辅助!$J$4)*(应付登记!$J$528&lt;=_辅助!$J$2),1,0)</f>
        <v>0</v>
      </c>
    </row>
    <row r="525">
      <c r="BC525" s="2">
        <f>BC500+SUM(CD501:CD525)</f>
        <v>0</v>
      </c>
      <c r="BD525" s="2">
        <f>IF(AND($C$130&lt;&gt;"",资金流水!$J$529=$C$130,ISNUMBER(资金流水!$B$529),ISNUMBER(资金流水!$S$529),资金流水!$S$529&gt;=_辅助!$J$4,资金流水!$S$529&lt;=_辅助!$J$2,OR(资金流水!$X$529="应付材料款",资金流水!$X$529="应付分包款",资金流水!$X$529="应付机械运输费",资金流水!$X$529="应付其他款")),INT(资金流水!$B$529)*10000+524,"")</f>
      </c>
      <c r="CD525" s="2">
        <f>IF(($C$130&lt;&gt;"")*(应付登记!$D$529=$C$130)*ISNUMBER(应付登记!$J$529)*(应付登记!$J$529&gt;=_辅助!$J$4)*(应付登记!$J$529&lt;=_辅助!$J$2),1,0)</f>
        <v>0</v>
      </c>
    </row>
    <row r="526">
      <c r="BC526" s="2">
        <f>BC500+SUM(CD501:CD526)</f>
        <v>0</v>
      </c>
      <c r="BD526" s="2">
        <f>IF(AND($C$130&lt;&gt;"",资金流水!$J$530=$C$130,ISNUMBER(资金流水!$B$530),ISNUMBER(资金流水!$S$530),资金流水!$S$530&gt;=_辅助!$J$4,资金流水!$S$530&lt;=_辅助!$J$2,OR(资金流水!$X$530="应付材料款",资金流水!$X$530="应付分包款",资金流水!$X$530="应付机械运输费",资金流水!$X$530="应付其他款")),INT(资金流水!$B$530)*10000+525,"")</f>
      </c>
      <c r="CD526" s="2">
        <f>IF(($C$130&lt;&gt;"")*(应付登记!$D$530=$C$130)*ISNUMBER(应付登记!$J$530)*(应付登记!$J$530&gt;=_辅助!$J$4)*(应付登记!$J$530&lt;=_辅助!$J$2),1,0)</f>
        <v>0</v>
      </c>
    </row>
    <row r="527">
      <c r="BC527" s="2">
        <f>BC500+SUM(CD501:CD527)</f>
        <v>0</v>
      </c>
      <c r="BD527" s="2">
        <f>IF(AND($C$130&lt;&gt;"",资金流水!$J$531=$C$130,ISNUMBER(资金流水!$B$531),ISNUMBER(资金流水!$S$531),资金流水!$S$531&gt;=_辅助!$J$4,资金流水!$S$531&lt;=_辅助!$J$2,OR(资金流水!$X$531="应付材料款",资金流水!$X$531="应付分包款",资金流水!$X$531="应付机械运输费",资金流水!$X$531="应付其他款")),INT(资金流水!$B$531)*10000+526,"")</f>
      </c>
      <c r="CD527" s="2">
        <f>IF(($C$130&lt;&gt;"")*(应付登记!$D$531=$C$130)*ISNUMBER(应付登记!$J$531)*(应付登记!$J$531&gt;=_辅助!$J$4)*(应付登记!$J$531&lt;=_辅助!$J$2),1,0)</f>
        <v>0</v>
      </c>
    </row>
    <row r="528">
      <c r="BC528" s="2">
        <f>BC500+SUM(CD501:CD528)</f>
        <v>0</v>
      </c>
      <c r="BD528" s="2">
        <f>IF(AND($C$130&lt;&gt;"",资金流水!$J$532=$C$130,ISNUMBER(资金流水!$B$532),ISNUMBER(资金流水!$S$532),资金流水!$S$532&gt;=_辅助!$J$4,资金流水!$S$532&lt;=_辅助!$J$2,OR(资金流水!$X$532="应付材料款",资金流水!$X$532="应付分包款",资金流水!$X$532="应付机械运输费",资金流水!$X$532="应付其他款")),INT(资金流水!$B$532)*10000+527,"")</f>
      </c>
      <c r="CD528" s="2">
        <f>IF(($C$130&lt;&gt;"")*(应付登记!$D$532=$C$130)*ISNUMBER(应付登记!$J$532)*(应付登记!$J$532&gt;=_辅助!$J$4)*(应付登记!$J$532&lt;=_辅助!$J$2),1,0)</f>
        <v>0</v>
      </c>
    </row>
    <row r="529">
      <c r="BC529" s="2">
        <f>BC500+SUM(CD501:CD529)</f>
        <v>0</v>
      </c>
      <c r="BD529" s="2">
        <f>IF(AND($C$130&lt;&gt;"",资金流水!$J$533=$C$130,ISNUMBER(资金流水!$B$533),ISNUMBER(资金流水!$S$533),资金流水!$S$533&gt;=_辅助!$J$4,资金流水!$S$533&lt;=_辅助!$J$2,OR(资金流水!$X$533="应付材料款",资金流水!$X$533="应付分包款",资金流水!$X$533="应付机械运输费",资金流水!$X$533="应付其他款")),INT(资金流水!$B$533)*10000+528,"")</f>
      </c>
      <c r="CD529" s="2">
        <f>IF(($C$130&lt;&gt;"")*(应付登记!$D$533=$C$130)*ISNUMBER(应付登记!$J$533)*(应付登记!$J$533&gt;=_辅助!$J$4)*(应付登记!$J$533&lt;=_辅助!$J$2),1,0)</f>
        <v>0</v>
      </c>
    </row>
    <row r="530">
      <c r="BC530" s="2">
        <f>BC500+SUM(CD501:CD530)</f>
        <v>0</v>
      </c>
      <c r="BD530" s="2">
        <f>IF(AND($C$130&lt;&gt;"",资金流水!$J$534=$C$130,ISNUMBER(资金流水!$B$534),ISNUMBER(资金流水!$S$534),资金流水!$S$534&gt;=_辅助!$J$4,资金流水!$S$534&lt;=_辅助!$J$2,OR(资金流水!$X$534="应付材料款",资金流水!$X$534="应付分包款",资金流水!$X$534="应付机械运输费",资金流水!$X$534="应付其他款")),INT(资金流水!$B$534)*10000+529,"")</f>
      </c>
      <c r="CD530" s="2">
        <f>IF(($C$130&lt;&gt;"")*(应付登记!$D$534=$C$130)*ISNUMBER(应付登记!$J$534)*(应付登记!$J$534&gt;=_辅助!$J$4)*(应付登记!$J$534&lt;=_辅助!$J$2),1,0)</f>
        <v>0</v>
      </c>
    </row>
    <row r="531">
      <c r="BC531" s="2">
        <f>BC500+SUM(CD501:CD531)</f>
        <v>0</v>
      </c>
      <c r="BD531" s="2">
        <f>IF(AND($C$130&lt;&gt;"",资金流水!$J$535=$C$130,ISNUMBER(资金流水!$B$535),ISNUMBER(资金流水!$S$535),资金流水!$S$535&gt;=_辅助!$J$4,资金流水!$S$535&lt;=_辅助!$J$2,OR(资金流水!$X$535="应付材料款",资金流水!$X$535="应付分包款",资金流水!$X$535="应付机械运输费",资金流水!$X$535="应付其他款")),INT(资金流水!$B$535)*10000+530,"")</f>
      </c>
      <c r="CD531" s="2">
        <f>IF(($C$130&lt;&gt;"")*(应付登记!$D$535=$C$130)*ISNUMBER(应付登记!$J$535)*(应付登记!$J$535&gt;=_辅助!$J$4)*(应付登记!$J$535&lt;=_辅助!$J$2),1,0)</f>
        <v>0</v>
      </c>
    </row>
    <row r="532">
      <c r="BC532" s="2">
        <f>BC500+SUM(CD501:CD532)</f>
        <v>0</v>
      </c>
      <c r="BD532" s="2">
        <f>IF(AND($C$130&lt;&gt;"",资金流水!$J$536=$C$130,ISNUMBER(资金流水!$B$536),ISNUMBER(资金流水!$S$536),资金流水!$S$536&gt;=_辅助!$J$4,资金流水!$S$536&lt;=_辅助!$J$2,OR(资金流水!$X$536="应付材料款",资金流水!$X$536="应付分包款",资金流水!$X$536="应付机械运输费",资金流水!$X$536="应付其他款")),INT(资金流水!$B$536)*10000+531,"")</f>
      </c>
      <c r="CD532" s="2">
        <f>IF(($C$130&lt;&gt;"")*(应付登记!$D$536=$C$130)*ISNUMBER(应付登记!$J$536)*(应付登记!$J$536&gt;=_辅助!$J$4)*(应付登记!$J$536&lt;=_辅助!$J$2),1,0)</f>
        <v>0</v>
      </c>
    </row>
    <row r="533">
      <c r="BC533" s="2">
        <f>BC500+SUM(CD501:CD533)</f>
        <v>0</v>
      </c>
      <c r="BD533" s="2">
        <f>IF(AND($C$130&lt;&gt;"",资金流水!$J$537=$C$130,ISNUMBER(资金流水!$B$537),ISNUMBER(资金流水!$S$537),资金流水!$S$537&gt;=_辅助!$J$4,资金流水!$S$537&lt;=_辅助!$J$2,OR(资金流水!$X$537="应付材料款",资金流水!$X$537="应付分包款",资金流水!$X$537="应付机械运输费",资金流水!$X$537="应付其他款")),INT(资金流水!$B$537)*10000+532,"")</f>
      </c>
      <c r="CD533" s="2">
        <f>IF(($C$130&lt;&gt;"")*(应付登记!$D$537=$C$130)*ISNUMBER(应付登记!$J$537)*(应付登记!$J$537&gt;=_辅助!$J$4)*(应付登记!$J$537&lt;=_辅助!$J$2),1,0)</f>
        <v>0</v>
      </c>
    </row>
    <row r="534">
      <c r="BC534" s="2">
        <f>BC500+SUM(CD501:CD534)</f>
        <v>0</v>
      </c>
      <c r="BD534" s="2">
        <f>IF(AND($C$130&lt;&gt;"",资金流水!$J$538=$C$130,ISNUMBER(资金流水!$B$538),ISNUMBER(资金流水!$S$538),资金流水!$S$538&gt;=_辅助!$J$4,资金流水!$S$538&lt;=_辅助!$J$2,OR(资金流水!$X$538="应付材料款",资金流水!$X$538="应付分包款",资金流水!$X$538="应付机械运输费",资金流水!$X$538="应付其他款")),INT(资金流水!$B$538)*10000+533,"")</f>
      </c>
      <c r="CD534" s="2">
        <f>IF(($C$130&lt;&gt;"")*(应付登记!$D$538=$C$130)*ISNUMBER(应付登记!$J$538)*(应付登记!$J$538&gt;=_辅助!$J$4)*(应付登记!$J$538&lt;=_辅助!$J$2),1,0)</f>
        <v>0</v>
      </c>
    </row>
    <row r="535">
      <c r="BC535" s="2">
        <f>BC500+SUM(CD501:CD535)</f>
        <v>0</v>
      </c>
      <c r="BD535" s="2">
        <f>IF(AND($C$130&lt;&gt;"",资金流水!$J$539=$C$130,ISNUMBER(资金流水!$B$539),ISNUMBER(资金流水!$S$539),资金流水!$S$539&gt;=_辅助!$J$4,资金流水!$S$539&lt;=_辅助!$J$2,OR(资金流水!$X$539="应付材料款",资金流水!$X$539="应付分包款",资金流水!$X$539="应付机械运输费",资金流水!$X$539="应付其他款")),INT(资金流水!$B$539)*10000+534,"")</f>
      </c>
      <c r="CD535" s="2">
        <f>IF(($C$130&lt;&gt;"")*(应付登记!$D$539=$C$130)*ISNUMBER(应付登记!$J$539)*(应付登记!$J$539&gt;=_辅助!$J$4)*(应付登记!$J$539&lt;=_辅助!$J$2),1,0)</f>
        <v>0</v>
      </c>
    </row>
    <row r="536">
      <c r="BC536" s="2">
        <f>BC500+SUM(CD501:CD536)</f>
        <v>0</v>
      </c>
      <c r="BD536" s="2">
        <f>IF(AND($C$130&lt;&gt;"",资金流水!$J$540=$C$130,ISNUMBER(资金流水!$B$540),ISNUMBER(资金流水!$S$540),资金流水!$S$540&gt;=_辅助!$J$4,资金流水!$S$540&lt;=_辅助!$J$2,OR(资金流水!$X$540="应付材料款",资金流水!$X$540="应付分包款",资金流水!$X$540="应付机械运输费",资金流水!$X$540="应付其他款")),INT(资金流水!$B$540)*10000+535,"")</f>
      </c>
      <c r="CD536" s="2">
        <f>IF(($C$130&lt;&gt;"")*(应付登记!$D$540=$C$130)*ISNUMBER(应付登记!$J$540)*(应付登记!$J$540&gt;=_辅助!$J$4)*(应付登记!$J$540&lt;=_辅助!$J$2),1,0)</f>
        <v>0</v>
      </c>
    </row>
    <row r="537">
      <c r="BC537" s="2">
        <f>BC500+SUM(CD501:CD537)</f>
        <v>0</v>
      </c>
      <c r="BD537" s="2">
        <f>IF(AND($C$130&lt;&gt;"",资金流水!$J$541=$C$130,ISNUMBER(资金流水!$B$541),ISNUMBER(资金流水!$S$541),资金流水!$S$541&gt;=_辅助!$J$4,资金流水!$S$541&lt;=_辅助!$J$2,OR(资金流水!$X$541="应付材料款",资金流水!$X$541="应付分包款",资金流水!$X$541="应付机械运输费",资金流水!$X$541="应付其他款")),INT(资金流水!$B$541)*10000+536,"")</f>
      </c>
      <c r="CD537" s="2">
        <f>IF(($C$130&lt;&gt;"")*(应付登记!$D$541=$C$130)*ISNUMBER(应付登记!$J$541)*(应付登记!$J$541&gt;=_辅助!$J$4)*(应付登记!$J$541&lt;=_辅助!$J$2),1,0)</f>
        <v>0</v>
      </c>
    </row>
    <row r="538">
      <c r="BC538" s="2">
        <f>BC500+SUM(CD501:CD538)</f>
        <v>0</v>
      </c>
      <c r="BD538" s="2">
        <f>IF(AND($C$130&lt;&gt;"",资金流水!$J$542=$C$130,ISNUMBER(资金流水!$B$542),ISNUMBER(资金流水!$S$542),资金流水!$S$542&gt;=_辅助!$J$4,资金流水!$S$542&lt;=_辅助!$J$2,OR(资金流水!$X$542="应付材料款",资金流水!$X$542="应付分包款",资金流水!$X$542="应付机械运输费",资金流水!$X$542="应付其他款")),INT(资金流水!$B$542)*10000+537,"")</f>
      </c>
      <c r="CD538" s="2">
        <f>IF(($C$130&lt;&gt;"")*(应付登记!$D$542=$C$130)*ISNUMBER(应付登记!$J$542)*(应付登记!$J$542&gt;=_辅助!$J$4)*(应付登记!$J$542&lt;=_辅助!$J$2),1,0)</f>
        <v>0</v>
      </c>
    </row>
    <row r="539">
      <c r="BC539" s="2">
        <f>BC500+SUM(CD501:CD539)</f>
        <v>0</v>
      </c>
      <c r="BD539" s="2">
        <f>IF(AND($C$130&lt;&gt;"",资金流水!$J$543=$C$130,ISNUMBER(资金流水!$B$543),ISNUMBER(资金流水!$S$543),资金流水!$S$543&gt;=_辅助!$J$4,资金流水!$S$543&lt;=_辅助!$J$2,OR(资金流水!$X$543="应付材料款",资金流水!$X$543="应付分包款",资金流水!$X$543="应付机械运输费",资金流水!$X$543="应付其他款")),INT(资金流水!$B$543)*10000+538,"")</f>
      </c>
      <c r="CD539" s="2">
        <f>IF(($C$130&lt;&gt;"")*(应付登记!$D$543=$C$130)*ISNUMBER(应付登记!$J$543)*(应付登记!$J$543&gt;=_辅助!$J$4)*(应付登记!$J$543&lt;=_辅助!$J$2),1,0)</f>
        <v>0</v>
      </c>
    </row>
    <row r="540">
      <c r="BC540" s="2">
        <f>BC500+SUM(CD501:CD540)</f>
        <v>0</v>
      </c>
      <c r="BD540" s="2">
        <f>IF(AND($C$130&lt;&gt;"",资金流水!$J$544=$C$130,ISNUMBER(资金流水!$B$544),ISNUMBER(资金流水!$S$544),资金流水!$S$544&gt;=_辅助!$J$4,资金流水!$S$544&lt;=_辅助!$J$2,OR(资金流水!$X$544="应付材料款",资金流水!$X$544="应付分包款",资金流水!$X$544="应付机械运输费",资金流水!$X$544="应付其他款")),INT(资金流水!$B$544)*10000+539,"")</f>
      </c>
      <c r="CD540" s="2">
        <f>IF(($C$130&lt;&gt;"")*(应付登记!$D$544=$C$130)*ISNUMBER(应付登记!$J$544)*(应付登记!$J$544&gt;=_辅助!$J$4)*(应付登记!$J$544&lt;=_辅助!$J$2),1,0)</f>
        <v>0</v>
      </c>
    </row>
    <row r="541">
      <c r="BC541" s="2">
        <f>BC500+SUM(CD501:CD541)</f>
        <v>0</v>
      </c>
      <c r="BD541" s="2">
        <f>IF(AND($C$130&lt;&gt;"",资金流水!$J$545=$C$130,ISNUMBER(资金流水!$B$545),ISNUMBER(资金流水!$S$545),资金流水!$S$545&gt;=_辅助!$J$4,资金流水!$S$545&lt;=_辅助!$J$2,OR(资金流水!$X$545="应付材料款",资金流水!$X$545="应付分包款",资金流水!$X$545="应付机械运输费",资金流水!$X$545="应付其他款")),INT(资金流水!$B$545)*10000+540,"")</f>
      </c>
      <c r="CD541" s="2">
        <f>IF(($C$130&lt;&gt;"")*(应付登记!$D$545=$C$130)*ISNUMBER(应付登记!$J$545)*(应付登记!$J$545&gt;=_辅助!$J$4)*(应付登记!$J$545&lt;=_辅助!$J$2),1,0)</f>
        <v>0</v>
      </c>
    </row>
    <row r="542">
      <c r="BC542" s="2">
        <f>BC500+SUM(CD501:CD542)</f>
        <v>0</v>
      </c>
      <c r="BD542" s="2">
        <f>IF(AND($C$130&lt;&gt;"",资金流水!$J$546=$C$130,ISNUMBER(资金流水!$B$546),ISNUMBER(资金流水!$S$546),资金流水!$S$546&gt;=_辅助!$J$4,资金流水!$S$546&lt;=_辅助!$J$2,OR(资金流水!$X$546="应付材料款",资金流水!$X$546="应付分包款",资金流水!$X$546="应付机械运输费",资金流水!$X$546="应付其他款")),INT(资金流水!$B$546)*10000+541,"")</f>
      </c>
      <c r="CD542" s="2">
        <f>IF(($C$130&lt;&gt;"")*(应付登记!$D$546=$C$130)*ISNUMBER(应付登记!$J$546)*(应付登记!$J$546&gt;=_辅助!$J$4)*(应付登记!$J$546&lt;=_辅助!$J$2),1,0)</f>
        <v>0</v>
      </c>
    </row>
    <row r="543">
      <c r="BC543" s="2">
        <f>BC500+SUM(CD501:CD543)</f>
        <v>0</v>
      </c>
      <c r="BD543" s="2">
        <f>IF(AND($C$130&lt;&gt;"",资金流水!$J$547=$C$130,ISNUMBER(资金流水!$B$547),ISNUMBER(资金流水!$S$547),资金流水!$S$547&gt;=_辅助!$J$4,资金流水!$S$547&lt;=_辅助!$J$2,OR(资金流水!$X$547="应付材料款",资金流水!$X$547="应付分包款",资金流水!$X$547="应付机械运输费",资金流水!$X$547="应付其他款")),INT(资金流水!$B$547)*10000+542,"")</f>
      </c>
      <c r="CD543" s="2">
        <f>IF(($C$130&lt;&gt;"")*(应付登记!$D$547=$C$130)*ISNUMBER(应付登记!$J$547)*(应付登记!$J$547&gt;=_辅助!$J$4)*(应付登记!$J$547&lt;=_辅助!$J$2),1,0)</f>
        <v>0</v>
      </c>
    </row>
    <row r="544">
      <c r="BC544" s="2">
        <f>BC500+SUM(CD501:CD544)</f>
        <v>0</v>
      </c>
      <c r="BD544" s="2">
        <f>IF(AND($C$130&lt;&gt;"",资金流水!$J$548=$C$130,ISNUMBER(资金流水!$B$548),ISNUMBER(资金流水!$S$548),资金流水!$S$548&gt;=_辅助!$J$4,资金流水!$S$548&lt;=_辅助!$J$2,OR(资金流水!$X$548="应付材料款",资金流水!$X$548="应付分包款",资金流水!$X$548="应付机械运输费",资金流水!$X$548="应付其他款")),INT(资金流水!$B$548)*10000+543,"")</f>
      </c>
      <c r="CD544" s="2">
        <f>IF(($C$130&lt;&gt;"")*(应付登记!$D$548=$C$130)*ISNUMBER(应付登记!$J$548)*(应付登记!$J$548&gt;=_辅助!$J$4)*(应付登记!$J$548&lt;=_辅助!$J$2),1,0)</f>
        <v>0</v>
      </c>
    </row>
    <row r="545">
      <c r="BC545" s="2">
        <f>BC500+SUM(CD501:CD545)</f>
        <v>0</v>
      </c>
      <c r="BD545" s="2">
        <f>IF(AND($C$130&lt;&gt;"",资金流水!$J$549=$C$130,ISNUMBER(资金流水!$B$549),ISNUMBER(资金流水!$S$549),资金流水!$S$549&gt;=_辅助!$J$4,资金流水!$S$549&lt;=_辅助!$J$2,OR(资金流水!$X$549="应付材料款",资金流水!$X$549="应付分包款",资金流水!$X$549="应付机械运输费",资金流水!$X$549="应付其他款")),INT(资金流水!$B$549)*10000+544,"")</f>
      </c>
      <c r="CD545" s="2">
        <f>IF(($C$130&lt;&gt;"")*(应付登记!$D$549=$C$130)*ISNUMBER(应付登记!$J$549)*(应付登记!$J$549&gt;=_辅助!$J$4)*(应付登记!$J$549&lt;=_辅助!$J$2),1,0)</f>
        <v>0</v>
      </c>
    </row>
    <row r="546">
      <c r="BC546" s="2">
        <f>BC500+SUM(CD501:CD546)</f>
        <v>0</v>
      </c>
      <c r="BD546" s="2">
        <f>IF(AND($C$130&lt;&gt;"",资金流水!$J$550=$C$130,ISNUMBER(资金流水!$B$550),ISNUMBER(资金流水!$S$550),资金流水!$S$550&gt;=_辅助!$J$4,资金流水!$S$550&lt;=_辅助!$J$2,OR(资金流水!$X$550="应付材料款",资金流水!$X$550="应付分包款",资金流水!$X$550="应付机械运输费",资金流水!$X$550="应付其他款")),INT(资金流水!$B$550)*10000+545,"")</f>
      </c>
      <c r="CD546" s="2">
        <f>IF(($C$130&lt;&gt;"")*(应付登记!$D$550=$C$130)*ISNUMBER(应付登记!$J$550)*(应付登记!$J$550&gt;=_辅助!$J$4)*(应付登记!$J$550&lt;=_辅助!$J$2),1,0)</f>
        <v>0</v>
      </c>
    </row>
    <row r="547">
      <c r="BC547" s="2">
        <f>BC500+SUM(CD501:CD547)</f>
        <v>0</v>
      </c>
      <c r="BD547" s="2">
        <f>IF(AND($C$130&lt;&gt;"",资金流水!$J$551=$C$130,ISNUMBER(资金流水!$B$551),ISNUMBER(资金流水!$S$551),资金流水!$S$551&gt;=_辅助!$J$4,资金流水!$S$551&lt;=_辅助!$J$2,OR(资金流水!$X$551="应付材料款",资金流水!$X$551="应付分包款",资金流水!$X$551="应付机械运输费",资金流水!$X$551="应付其他款")),INT(资金流水!$B$551)*10000+546,"")</f>
      </c>
      <c r="CD547" s="2">
        <f>IF(($C$130&lt;&gt;"")*(应付登记!$D$551=$C$130)*ISNUMBER(应付登记!$J$551)*(应付登记!$J$551&gt;=_辅助!$J$4)*(应付登记!$J$551&lt;=_辅助!$J$2),1,0)</f>
        <v>0</v>
      </c>
    </row>
    <row r="548">
      <c r="BC548" s="2">
        <f>BC500+SUM(CD501:CD548)</f>
        <v>0</v>
      </c>
      <c r="BD548" s="2">
        <f>IF(AND($C$130&lt;&gt;"",资金流水!$J$552=$C$130,ISNUMBER(资金流水!$B$552),ISNUMBER(资金流水!$S$552),资金流水!$S$552&gt;=_辅助!$J$4,资金流水!$S$552&lt;=_辅助!$J$2,OR(资金流水!$X$552="应付材料款",资金流水!$X$552="应付分包款",资金流水!$X$552="应付机械运输费",资金流水!$X$552="应付其他款")),INT(资金流水!$B$552)*10000+547,"")</f>
      </c>
      <c r="CD548" s="2">
        <f>IF(($C$130&lt;&gt;"")*(应付登记!$D$552=$C$130)*ISNUMBER(应付登记!$J$552)*(应付登记!$J$552&gt;=_辅助!$J$4)*(应付登记!$J$552&lt;=_辅助!$J$2),1,0)</f>
        <v>0</v>
      </c>
    </row>
    <row r="549">
      <c r="BC549" s="2">
        <f>BC500+SUM(CD501:CD549)</f>
        <v>0</v>
      </c>
      <c r="BD549" s="2">
        <f>IF(AND($C$130&lt;&gt;"",资金流水!$J$553=$C$130,ISNUMBER(资金流水!$B$553),ISNUMBER(资金流水!$S$553),资金流水!$S$553&gt;=_辅助!$J$4,资金流水!$S$553&lt;=_辅助!$J$2,OR(资金流水!$X$553="应付材料款",资金流水!$X$553="应付分包款",资金流水!$X$553="应付机械运输费",资金流水!$X$553="应付其他款")),INT(资金流水!$B$553)*10000+548,"")</f>
      </c>
      <c r="CD549" s="2">
        <f>IF(($C$130&lt;&gt;"")*(应付登记!$D$553=$C$130)*ISNUMBER(应付登记!$J$553)*(应付登记!$J$553&gt;=_辅助!$J$4)*(应付登记!$J$553&lt;=_辅助!$J$2),1,0)</f>
        <v>0</v>
      </c>
    </row>
    <row r="550">
      <c r="BC550" s="2">
        <f>BC500+SUM(CD501:CD550)</f>
        <v>0</v>
      </c>
      <c r="BD550" s="2">
        <f>IF(AND($C$130&lt;&gt;"",资金流水!$J$554=$C$130,ISNUMBER(资金流水!$B$554),ISNUMBER(资金流水!$S$554),资金流水!$S$554&gt;=_辅助!$J$4,资金流水!$S$554&lt;=_辅助!$J$2,OR(资金流水!$X$554="应付材料款",资金流水!$X$554="应付分包款",资金流水!$X$554="应付机械运输费",资金流水!$X$554="应付其他款")),INT(资金流水!$B$554)*10000+549,"")</f>
      </c>
      <c r="CD550" s="2">
        <f>IF(($C$130&lt;&gt;"")*(应付登记!$D$554=$C$130)*ISNUMBER(应付登记!$J$554)*(应付登记!$J$554&gt;=_辅助!$J$4)*(应付登记!$J$554&lt;=_辅助!$J$2),1,0)</f>
        <v>0</v>
      </c>
    </row>
    <row r="551">
      <c r="BC551" s="2">
        <f>BC550+SUM(CD551:CD551)</f>
        <v>0</v>
      </c>
      <c r="BD551" s="2">
        <f>IF(AND($C$130&lt;&gt;"",资金流水!$J$555=$C$130,ISNUMBER(资金流水!$B$555),ISNUMBER(资金流水!$S$555),资金流水!$S$555&gt;=_辅助!$J$4,资金流水!$S$555&lt;=_辅助!$J$2,OR(资金流水!$X$555="应付材料款",资金流水!$X$555="应付分包款",资金流水!$X$555="应付机械运输费",资金流水!$X$555="应付其他款")),INT(资金流水!$B$555)*10000+550,"")</f>
      </c>
      <c r="CD551" s="2">
        <f>IF(($C$130&lt;&gt;"")*(应付登记!$D$555=$C$130)*ISNUMBER(应付登记!$J$555)*(应付登记!$J$555&gt;=_辅助!$J$4)*(应付登记!$J$555&lt;=_辅助!$J$2),1,0)</f>
        <v>0</v>
      </c>
    </row>
    <row r="552">
      <c r="BC552" s="2">
        <f>BC550+SUM(CD551:CD552)</f>
        <v>0</v>
      </c>
      <c r="BD552" s="2">
        <f>IF(AND($C$130&lt;&gt;"",资金流水!$J$556=$C$130,ISNUMBER(资金流水!$B$556),ISNUMBER(资金流水!$S$556),资金流水!$S$556&gt;=_辅助!$J$4,资金流水!$S$556&lt;=_辅助!$J$2,OR(资金流水!$X$556="应付材料款",资金流水!$X$556="应付分包款",资金流水!$X$556="应付机械运输费",资金流水!$X$556="应付其他款")),INT(资金流水!$B$556)*10000+551,"")</f>
      </c>
      <c r="CD552" s="2">
        <f>IF(($C$130&lt;&gt;"")*(应付登记!$D$556=$C$130)*ISNUMBER(应付登记!$J$556)*(应付登记!$J$556&gt;=_辅助!$J$4)*(应付登记!$J$556&lt;=_辅助!$J$2),1,0)</f>
        <v>0</v>
      </c>
    </row>
    <row r="553">
      <c r="BC553" s="2">
        <f>BC550+SUM(CD551:CD553)</f>
        <v>0</v>
      </c>
      <c r="BD553" s="2">
        <f>IF(AND($C$130&lt;&gt;"",资金流水!$J$557=$C$130,ISNUMBER(资金流水!$B$557),ISNUMBER(资金流水!$S$557),资金流水!$S$557&gt;=_辅助!$J$4,资金流水!$S$557&lt;=_辅助!$J$2,OR(资金流水!$X$557="应付材料款",资金流水!$X$557="应付分包款",资金流水!$X$557="应付机械运输费",资金流水!$X$557="应付其他款")),INT(资金流水!$B$557)*10000+552,"")</f>
      </c>
      <c r="CD553" s="2">
        <f>IF(($C$130&lt;&gt;"")*(应付登记!$D$557=$C$130)*ISNUMBER(应付登记!$J$557)*(应付登记!$J$557&gt;=_辅助!$J$4)*(应付登记!$J$557&lt;=_辅助!$J$2),1,0)</f>
        <v>0</v>
      </c>
    </row>
    <row r="554">
      <c r="BC554" s="2">
        <f>BC550+SUM(CD551:CD554)</f>
        <v>0</v>
      </c>
      <c r="BD554" s="2">
        <f>IF(AND($C$130&lt;&gt;"",资金流水!$J$558=$C$130,ISNUMBER(资金流水!$B$558),ISNUMBER(资金流水!$S$558),资金流水!$S$558&gt;=_辅助!$J$4,资金流水!$S$558&lt;=_辅助!$J$2,OR(资金流水!$X$558="应付材料款",资金流水!$X$558="应付分包款",资金流水!$X$558="应付机械运输费",资金流水!$X$558="应付其他款")),INT(资金流水!$B$558)*10000+553,"")</f>
      </c>
      <c r="CD554" s="2">
        <f>IF(($C$130&lt;&gt;"")*(应付登记!$D$558=$C$130)*ISNUMBER(应付登记!$J$558)*(应付登记!$J$558&gt;=_辅助!$J$4)*(应付登记!$J$558&lt;=_辅助!$J$2),1,0)</f>
        <v>0</v>
      </c>
    </row>
    <row r="555">
      <c r="BC555" s="2">
        <f>BC550+SUM(CD551:CD555)</f>
        <v>0</v>
      </c>
      <c r="BD555" s="2">
        <f>IF(AND($C$130&lt;&gt;"",资金流水!$J$559=$C$130,ISNUMBER(资金流水!$B$559),ISNUMBER(资金流水!$S$559),资金流水!$S$559&gt;=_辅助!$J$4,资金流水!$S$559&lt;=_辅助!$J$2,OR(资金流水!$X$559="应付材料款",资金流水!$X$559="应付分包款",资金流水!$X$559="应付机械运输费",资金流水!$X$559="应付其他款")),INT(资金流水!$B$559)*10000+554,"")</f>
      </c>
      <c r="CD555" s="2">
        <f>IF(($C$130&lt;&gt;"")*(应付登记!$D$559=$C$130)*ISNUMBER(应付登记!$J$559)*(应付登记!$J$559&gt;=_辅助!$J$4)*(应付登记!$J$559&lt;=_辅助!$J$2),1,0)</f>
        <v>0</v>
      </c>
    </row>
    <row r="556">
      <c r="BC556" s="2">
        <f>BC550+SUM(CD551:CD556)</f>
        <v>0</v>
      </c>
      <c r="BD556" s="2">
        <f>IF(AND($C$130&lt;&gt;"",资金流水!$J$560=$C$130,ISNUMBER(资金流水!$B$560),ISNUMBER(资金流水!$S$560),资金流水!$S$560&gt;=_辅助!$J$4,资金流水!$S$560&lt;=_辅助!$J$2,OR(资金流水!$X$560="应付材料款",资金流水!$X$560="应付分包款",资金流水!$X$560="应付机械运输费",资金流水!$X$560="应付其他款")),INT(资金流水!$B$560)*10000+555,"")</f>
      </c>
      <c r="CD556" s="2">
        <f>IF(($C$130&lt;&gt;"")*(应付登记!$D$560=$C$130)*ISNUMBER(应付登记!$J$560)*(应付登记!$J$560&gt;=_辅助!$J$4)*(应付登记!$J$560&lt;=_辅助!$J$2),1,0)</f>
        <v>0</v>
      </c>
    </row>
    <row r="557">
      <c r="BC557" s="2">
        <f>BC550+SUM(CD551:CD557)</f>
        <v>0</v>
      </c>
      <c r="BD557" s="2">
        <f>IF(AND($C$130&lt;&gt;"",资金流水!$J$561=$C$130,ISNUMBER(资金流水!$B$561),ISNUMBER(资金流水!$S$561),资金流水!$S$561&gt;=_辅助!$J$4,资金流水!$S$561&lt;=_辅助!$J$2,OR(资金流水!$X$561="应付材料款",资金流水!$X$561="应付分包款",资金流水!$X$561="应付机械运输费",资金流水!$X$561="应付其他款")),INT(资金流水!$B$561)*10000+556,"")</f>
      </c>
      <c r="CD557" s="2">
        <f>IF(($C$130&lt;&gt;"")*(应付登记!$D$561=$C$130)*ISNUMBER(应付登记!$J$561)*(应付登记!$J$561&gt;=_辅助!$J$4)*(应付登记!$J$561&lt;=_辅助!$J$2),1,0)</f>
        <v>0</v>
      </c>
    </row>
    <row r="558">
      <c r="BC558" s="2">
        <f>BC550+SUM(CD551:CD558)</f>
        <v>0</v>
      </c>
      <c r="BD558" s="2">
        <f>IF(AND($C$130&lt;&gt;"",资金流水!$J$562=$C$130,ISNUMBER(资金流水!$B$562),ISNUMBER(资金流水!$S$562),资金流水!$S$562&gt;=_辅助!$J$4,资金流水!$S$562&lt;=_辅助!$J$2,OR(资金流水!$X$562="应付材料款",资金流水!$X$562="应付分包款",资金流水!$X$562="应付机械运输费",资金流水!$X$562="应付其他款")),INT(资金流水!$B$562)*10000+557,"")</f>
      </c>
      <c r="CD558" s="2">
        <f>IF(($C$130&lt;&gt;"")*(应付登记!$D$562=$C$130)*ISNUMBER(应付登记!$J$562)*(应付登记!$J$562&gt;=_辅助!$J$4)*(应付登记!$J$562&lt;=_辅助!$J$2),1,0)</f>
        <v>0</v>
      </c>
    </row>
    <row r="559">
      <c r="BC559" s="2">
        <f>BC550+SUM(CD551:CD559)</f>
        <v>0</v>
      </c>
      <c r="BD559" s="2">
        <f>IF(AND($C$130&lt;&gt;"",资金流水!$J$563=$C$130,ISNUMBER(资金流水!$B$563),ISNUMBER(资金流水!$S$563),资金流水!$S$563&gt;=_辅助!$J$4,资金流水!$S$563&lt;=_辅助!$J$2,OR(资金流水!$X$563="应付材料款",资金流水!$X$563="应付分包款",资金流水!$X$563="应付机械运输费",资金流水!$X$563="应付其他款")),INT(资金流水!$B$563)*10000+558,"")</f>
      </c>
      <c r="CD559" s="2">
        <f>IF(($C$130&lt;&gt;"")*(应付登记!$D$563=$C$130)*ISNUMBER(应付登记!$J$563)*(应付登记!$J$563&gt;=_辅助!$J$4)*(应付登记!$J$563&lt;=_辅助!$J$2),1,0)</f>
        <v>0</v>
      </c>
    </row>
    <row r="560">
      <c r="BC560" s="2">
        <f>BC550+SUM(CD551:CD560)</f>
        <v>0</v>
      </c>
      <c r="BD560" s="2">
        <f>IF(AND($C$130&lt;&gt;"",资金流水!$J$564=$C$130,ISNUMBER(资金流水!$B$564),ISNUMBER(资金流水!$S$564),资金流水!$S$564&gt;=_辅助!$J$4,资金流水!$S$564&lt;=_辅助!$J$2,OR(资金流水!$X$564="应付材料款",资金流水!$X$564="应付分包款",资金流水!$X$564="应付机械运输费",资金流水!$X$564="应付其他款")),INT(资金流水!$B$564)*10000+559,"")</f>
      </c>
      <c r="CD560" s="2">
        <f>IF(($C$130&lt;&gt;"")*(应付登记!$D$564=$C$130)*ISNUMBER(应付登记!$J$564)*(应付登记!$J$564&gt;=_辅助!$J$4)*(应付登记!$J$564&lt;=_辅助!$J$2),1,0)</f>
        <v>0</v>
      </c>
    </row>
    <row r="561">
      <c r="BC561" s="2">
        <f>BC550+SUM(CD551:CD561)</f>
        <v>0</v>
      </c>
      <c r="BD561" s="2">
        <f>IF(AND($C$130&lt;&gt;"",资金流水!$J$565=$C$130,ISNUMBER(资金流水!$B$565),ISNUMBER(资金流水!$S$565),资金流水!$S$565&gt;=_辅助!$J$4,资金流水!$S$565&lt;=_辅助!$J$2,OR(资金流水!$X$565="应付材料款",资金流水!$X$565="应付分包款",资金流水!$X$565="应付机械运输费",资金流水!$X$565="应付其他款")),INT(资金流水!$B$565)*10000+560,"")</f>
      </c>
      <c r="CD561" s="2">
        <f>IF(($C$130&lt;&gt;"")*(应付登记!$D$565=$C$130)*ISNUMBER(应付登记!$J$565)*(应付登记!$J$565&gt;=_辅助!$J$4)*(应付登记!$J$565&lt;=_辅助!$J$2),1,0)</f>
        <v>0</v>
      </c>
    </row>
    <row r="562">
      <c r="BC562" s="2">
        <f>BC550+SUM(CD551:CD562)</f>
        <v>0</v>
      </c>
      <c r="BD562" s="2">
        <f>IF(AND($C$130&lt;&gt;"",资金流水!$J$566=$C$130,ISNUMBER(资金流水!$B$566),ISNUMBER(资金流水!$S$566),资金流水!$S$566&gt;=_辅助!$J$4,资金流水!$S$566&lt;=_辅助!$J$2,OR(资金流水!$X$566="应付材料款",资金流水!$X$566="应付分包款",资金流水!$X$566="应付机械运输费",资金流水!$X$566="应付其他款")),INT(资金流水!$B$566)*10000+561,"")</f>
      </c>
      <c r="CD562" s="2">
        <f>IF(($C$130&lt;&gt;"")*(应付登记!$D$566=$C$130)*ISNUMBER(应付登记!$J$566)*(应付登记!$J$566&gt;=_辅助!$J$4)*(应付登记!$J$566&lt;=_辅助!$J$2),1,0)</f>
        <v>0</v>
      </c>
    </row>
    <row r="563">
      <c r="BC563" s="2">
        <f>BC550+SUM(CD551:CD563)</f>
        <v>0</v>
      </c>
      <c r="BD563" s="2">
        <f>IF(AND($C$130&lt;&gt;"",资金流水!$J$567=$C$130,ISNUMBER(资金流水!$B$567),ISNUMBER(资金流水!$S$567),资金流水!$S$567&gt;=_辅助!$J$4,资金流水!$S$567&lt;=_辅助!$J$2,OR(资金流水!$X$567="应付材料款",资金流水!$X$567="应付分包款",资金流水!$X$567="应付机械运输费",资金流水!$X$567="应付其他款")),INT(资金流水!$B$567)*10000+562,"")</f>
      </c>
      <c r="CD563" s="2">
        <f>IF(($C$130&lt;&gt;"")*(应付登记!$D$567=$C$130)*ISNUMBER(应付登记!$J$567)*(应付登记!$J$567&gt;=_辅助!$J$4)*(应付登记!$J$567&lt;=_辅助!$J$2),1,0)</f>
        <v>0</v>
      </c>
    </row>
    <row r="564">
      <c r="BC564" s="2">
        <f>BC550+SUM(CD551:CD564)</f>
        <v>0</v>
      </c>
      <c r="BD564" s="2">
        <f>IF(AND($C$130&lt;&gt;"",资金流水!$J$568=$C$130,ISNUMBER(资金流水!$B$568),ISNUMBER(资金流水!$S$568),资金流水!$S$568&gt;=_辅助!$J$4,资金流水!$S$568&lt;=_辅助!$J$2,OR(资金流水!$X$568="应付材料款",资金流水!$X$568="应付分包款",资金流水!$X$568="应付机械运输费",资金流水!$X$568="应付其他款")),INT(资金流水!$B$568)*10000+563,"")</f>
      </c>
      <c r="CD564" s="2">
        <f>IF(($C$130&lt;&gt;"")*(应付登记!$D$568=$C$130)*ISNUMBER(应付登记!$J$568)*(应付登记!$J$568&gt;=_辅助!$J$4)*(应付登记!$J$568&lt;=_辅助!$J$2),1,0)</f>
        <v>0</v>
      </c>
    </row>
    <row r="565">
      <c r="BC565" s="2">
        <f>BC550+SUM(CD551:CD565)</f>
        <v>0</v>
      </c>
      <c r="BD565" s="2">
        <f>IF(AND($C$130&lt;&gt;"",资金流水!$J$569=$C$130,ISNUMBER(资金流水!$B$569),ISNUMBER(资金流水!$S$569),资金流水!$S$569&gt;=_辅助!$J$4,资金流水!$S$569&lt;=_辅助!$J$2,OR(资金流水!$X$569="应付材料款",资金流水!$X$569="应付分包款",资金流水!$X$569="应付机械运输费",资金流水!$X$569="应付其他款")),INT(资金流水!$B$569)*10000+564,"")</f>
      </c>
      <c r="CD565" s="2">
        <f>IF(($C$130&lt;&gt;"")*(应付登记!$D$569=$C$130)*ISNUMBER(应付登记!$J$569)*(应付登记!$J$569&gt;=_辅助!$J$4)*(应付登记!$J$569&lt;=_辅助!$J$2),1,0)</f>
        <v>0</v>
      </c>
    </row>
    <row r="566">
      <c r="BC566" s="2">
        <f>BC550+SUM(CD551:CD566)</f>
        <v>0</v>
      </c>
      <c r="BD566" s="2">
        <f>IF(AND($C$130&lt;&gt;"",资金流水!$J$570=$C$130,ISNUMBER(资金流水!$B$570),ISNUMBER(资金流水!$S$570),资金流水!$S$570&gt;=_辅助!$J$4,资金流水!$S$570&lt;=_辅助!$J$2,OR(资金流水!$X$570="应付材料款",资金流水!$X$570="应付分包款",资金流水!$X$570="应付机械运输费",资金流水!$X$570="应付其他款")),INT(资金流水!$B$570)*10000+565,"")</f>
      </c>
      <c r="CD566" s="2">
        <f>IF(($C$130&lt;&gt;"")*(应付登记!$D$570=$C$130)*ISNUMBER(应付登记!$J$570)*(应付登记!$J$570&gt;=_辅助!$J$4)*(应付登记!$J$570&lt;=_辅助!$J$2),1,0)</f>
        <v>0</v>
      </c>
    </row>
    <row r="567">
      <c r="BC567" s="2">
        <f>BC550+SUM(CD551:CD567)</f>
        <v>0</v>
      </c>
      <c r="BD567" s="2">
        <f>IF(AND($C$130&lt;&gt;"",资金流水!$J$571=$C$130,ISNUMBER(资金流水!$B$571),ISNUMBER(资金流水!$S$571),资金流水!$S$571&gt;=_辅助!$J$4,资金流水!$S$571&lt;=_辅助!$J$2,OR(资金流水!$X$571="应付材料款",资金流水!$X$571="应付分包款",资金流水!$X$571="应付机械运输费",资金流水!$X$571="应付其他款")),INT(资金流水!$B$571)*10000+566,"")</f>
      </c>
      <c r="CD567" s="2">
        <f>IF(($C$130&lt;&gt;"")*(应付登记!$D$571=$C$130)*ISNUMBER(应付登记!$J$571)*(应付登记!$J$571&gt;=_辅助!$J$4)*(应付登记!$J$571&lt;=_辅助!$J$2),1,0)</f>
        <v>0</v>
      </c>
    </row>
    <row r="568">
      <c r="BC568" s="2">
        <f>BC550+SUM(CD551:CD568)</f>
        <v>0</v>
      </c>
      <c r="BD568" s="2">
        <f>IF(AND($C$130&lt;&gt;"",资金流水!$J$572=$C$130,ISNUMBER(资金流水!$B$572),ISNUMBER(资金流水!$S$572),资金流水!$S$572&gt;=_辅助!$J$4,资金流水!$S$572&lt;=_辅助!$J$2,OR(资金流水!$X$572="应付材料款",资金流水!$X$572="应付分包款",资金流水!$X$572="应付机械运输费",资金流水!$X$572="应付其他款")),INT(资金流水!$B$572)*10000+567,"")</f>
      </c>
      <c r="CD568" s="2">
        <f>IF(($C$130&lt;&gt;"")*(应付登记!$D$572=$C$130)*ISNUMBER(应付登记!$J$572)*(应付登记!$J$572&gt;=_辅助!$J$4)*(应付登记!$J$572&lt;=_辅助!$J$2),1,0)</f>
        <v>0</v>
      </c>
    </row>
    <row r="569">
      <c r="BC569" s="2">
        <f>BC550+SUM(CD551:CD569)</f>
        <v>0</v>
      </c>
      <c r="BD569" s="2">
        <f>IF(AND($C$130&lt;&gt;"",资金流水!$J$573=$C$130,ISNUMBER(资金流水!$B$573),ISNUMBER(资金流水!$S$573),资金流水!$S$573&gt;=_辅助!$J$4,资金流水!$S$573&lt;=_辅助!$J$2,OR(资金流水!$X$573="应付材料款",资金流水!$X$573="应付分包款",资金流水!$X$573="应付机械运输费",资金流水!$X$573="应付其他款")),INT(资金流水!$B$573)*10000+568,"")</f>
      </c>
      <c r="CD569" s="2">
        <f>IF(($C$130&lt;&gt;"")*(应付登记!$D$573=$C$130)*ISNUMBER(应付登记!$J$573)*(应付登记!$J$573&gt;=_辅助!$J$4)*(应付登记!$J$573&lt;=_辅助!$J$2),1,0)</f>
        <v>0</v>
      </c>
    </row>
    <row r="570">
      <c r="BC570" s="2">
        <f>BC550+SUM(CD551:CD570)</f>
        <v>0</v>
      </c>
      <c r="BD570" s="2">
        <f>IF(AND($C$130&lt;&gt;"",资金流水!$J$574=$C$130,ISNUMBER(资金流水!$B$574),ISNUMBER(资金流水!$S$574),资金流水!$S$574&gt;=_辅助!$J$4,资金流水!$S$574&lt;=_辅助!$J$2,OR(资金流水!$X$574="应付材料款",资金流水!$X$574="应付分包款",资金流水!$X$574="应付机械运输费",资金流水!$X$574="应付其他款")),INT(资金流水!$B$574)*10000+569,"")</f>
      </c>
      <c r="CD570" s="2">
        <f>IF(($C$130&lt;&gt;"")*(应付登记!$D$574=$C$130)*ISNUMBER(应付登记!$J$574)*(应付登记!$J$574&gt;=_辅助!$J$4)*(应付登记!$J$574&lt;=_辅助!$J$2),1,0)</f>
        <v>0</v>
      </c>
    </row>
    <row r="571">
      <c r="BC571" s="2">
        <f>BC550+SUM(CD551:CD571)</f>
        <v>0</v>
      </c>
      <c r="BD571" s="2">
        <f>IF(AND($C$130&lt;&gt;"",资金流水!$J$575=$C$130,ISNUMBER(资金流水!$B$575),ISNUMBER(资金流水!$S$575),资金流水!$S$575&gt;=_辅助!$J$4,资金流水!$S$575&lt;=_辅助!$J$2,OR(资金流水!$X$575="应付材料款",资金流水!$X$575="应付分包款",资金流水!$X$575="应付机械运输费",资金流水!$X$575="应付其他款")),INT(资金流水!$B$575)*10000+570,"")</f>
      </c>
      <c r="CD571" s="2">
        <f>IF(($C$130&lt;&gt;"")*(应付登记!$D$575=$C$130)*ISNUMBER(应付登记!$J$575)*(应付登记!$J$575&gt;=_辅助!$J$4)*(应付登记!$J$575&lt;=_辅助!$J$2),1,0)</f>
        <v>0</v>
      </c>
    </row>
    <row r="572">
      <c r="BC572" s="2">
        <f>BC550+SUM(CD551:CD572)</f>
        <v>0</v>
      </c>
      <c r="BD572" s="2">
        <f>IF(AND($C$130&lt;&gt;"",资金流水!$J$576=$C$130,ISNUMBER(资金流水!$B$576),ISNUMBER(资金流水!$S$576),资金流水!$S$576&gt;=_辅助!$J$4,资金流水!$S$576&lt;=_辅助!$J$2,OR(资金流水!$X$576="应付材料款",资金流水!$X$576="应付分包款",资金流水!$X$576="应付机械运输费",资金流水!$X$576="应付其他款")),INT(资金流水!$B$576)*10000+571,"")</f>
      </c>
      <c r="CD572" s="2">
        <f>IF(($C$130&lt;&gt;"")*(应付登记!$D$576=$C$130)*ISNUMBER(应付登记!$J$576)*(应付登记!$J$576&gt;=_辅助!$J$4)*(应付登记!$J$576&lt;=_辅助!$J$2),1,0)</f>
        <v>0</v>
      </c>
    </row>
    <row r="573">
      <c r="BC573" s="2">
        <f>BC550+SUM(CD551:CD573)</f>
        <v>0</v>
      </c>
      <c r="BD573" s="2">
        <f>IF(AND($C$130&lt;&gt;"",资金流水!$J$577=$C$130,ISNUMBER(资金流水!$B$577),ISNUMBER(资金流水!$S$577),资金流水!$S$577&gt;=_辅助!$J$4,资金流水!$S$577&lt;=_辅助!$J$2,OR(资金流水!$X$577="应付材料款",资金流水!$X$577="应付分包款",资金流水!$X$577="应付机械运输费",资金流水!$X$577="应付其他款")),INT(资金流水!$B$577)*10000+572,"")</f>
      </c>
      <c r="CD573" s="2">
        <f>IF(($C$130&lt;&gt;"")*(应付登记!$D$577=$C$130)*ISNUMBER(应付登记!$J$577)*(应付登记!$J$577&gt;=_辅助!$J$4)*(应付登记!$J$577&lt;=_辅助!$J$2),1,0)</f>
        <v>0</v>
      </c>
    </row>
    <row r="574">
      <c r="BC574" s="2">
        <f>BC550+SUM(CD551:CD574)</f>
        <v>0</v>
      </c>
      <c r="BD574" s="2">
        <f>IF(AND($C$130&lt;&gt;"",资金流水!$J$578=$C$130,ISNUMBER(资金流水!$B$578),ISNUMBER(资金流水!$S$578),资金流水!$S$578&gt;=_辅助!$J$4,资金流水!$S$578&lt;=_辅助!$J$2,OR(资金流水!$X$578="应付材料款",资金流水!$X$578="应付分包款",资金流水!$X$578="应付机械运输费",资金流水!$X$578="应付其他款")),INT(资金流水!$B$578)*10000+573,"")</f>
      </c>
      <c r="CD574" s="2">
        <f>IF(($C$130&lt;&gt;"")*(应付登记!$D$578=$C$130)*ISNUMBER(应付登记!$J$578)*(应付登记!$J$578&gt;=_辅助!$J$4)*(应付登记!$J$578&lt;=_辅助!$J$2),1,0)</f>
        <v>0</v>
      </c>
    </row>
    <row r="575">
      <c r="BC575" s="2">
        <f>BC550+SUM(CD551:CD575)</f>
        <v>0</v>
      </c>
      <c r="BD575" s="2">
        <f>IF(AND($C$130&lt;&gt;"",资金流水!$J$579=$C$130,ISNUMBER(资金流水!$B$579),ISNUMBER(资金流水!$S$579),资金流水!$S$579&gt;=_辅助!$J$4,资金流水!$S$579&lt;=_辅助!$J$2,OR(资金流水!$X$579="应付材料款",资金流水!$X$579="应付分包款",资金流水!$X$579="应付机械运输费",资金流水!$X$579="应付其他款")),INT(资金流水!$B$579)*10000+574,"")</f>
      </c>
      <c r="CD575" s="2">
        <f>IF(($C$130&lt;&gt;"")*(应付登记!$D$579=$C$130)*ISNUMBER(应付登记!$J$579)*(应付登记!$J$579&gt;=_辅助!$J$4)*(应付登记!$J$579&lt;=_辅助!$J$2),1,0)</f>
        <v>0</v>
      </c>
    </row>
    <row r="576">
      <c r="BC576" s="2">
        <f>BC550+SUM(CD551:CD576)</f>
        <v>0</v>
      </c>
      <c r="BD576" s="2">
        <f>IF(AND($C$130&lt;&gt;"",资金流水!$J$580=$C$130,ISNUMBER(资金流水!$B$580),ISNUMBER(资金流水!$S$580),资金流水!$S$580&gt;=_辅助!$J$4,资金流水!$S$580&lt;=_辅助!$J$2,OR(资金流水!$X$580="应付材料款",资金流水!$X$580="应付分包款",资金流水!$X$580="应付机械运输费",资金流水!$X$580="应付其他款")),INT(资金流水!$B$580)*10000+575,"")</f>
      </c>
      <c r="CD576" s="2">
        <f>IF(($C$130&lt;&gt;"")*(应付登记!$D$580=$C$130)*ISNUMBER(应付登记!$J$580)*(应付登记!$J$580&gt;=_辅助!$J$4)*(应付登记!$J$580&lt;=_辅助!$J$2),1,0)</f>
        <v>0</v>
      </c>
    </row>
    <row r="577">
      <c r="BC577" s="2">
        <f>BC550+SUM(CD551:CD577)</f>
        <v>0</v>
      </c>
      <c r="BD577" s="2">
        <f>IF(AND($C$130&lt;&gt;"",资金流水!$J$581=$C$130,ISNUMBER(资金流水!$B$581),ISNUMBER(资金流水!$S$581),资金流水!$S$581&gt;=_辅助!$J$4,资金流水!$S$581&lt;=_辅助!$J$2,OR(资金流水!$X$581="应付材料款",资金流水!$X$581="应付分包款",资金流水!$X$581="应付机械运输费",资金流水!$X$581="应付其他款")),INT(资金流水!$B$581)*10000+576,"")</f>
      </c>
      <c r="CD577" s="2">
        <f>IF(($C$130&lt;&gt;"")*(应付登记!$D$581=$C$130)*ISNUMBER(应付登记!$J$581)*(应付登记!$J$581&gt;=_辅助!$J$4)*(应付登记!$J$581&lt;=_辅助!$J$2),1,0)</f>
        <v>0</v>
      </c>
    </row>
    <row r="578">
      <c r="BC578" s="2">
        <f>BC550+SUM(CD551:CD578)</f>
        <v>0</v>
      </c>
      <c r="BD578" s="2">
        <f>IF(AND($C$130&lt;&gt;"",资金流水!$J$582=$C$130,ISNUMBER(资金流水!$B$582),ISNUMBER(资金流水!$S$582),资金流水!$S$582&gt;=_辅助!$J$4,资金流水!$S$582&lt;=_辅助!$J$2,OR(资金流水!$X$582="应付材料款",资金流水!$X$582="应付分包款",资金流水!$X$582="应付机械运输费",资金流水!$X$582="应付其他款")),INT(资金流水!$B$582)*10000+577,"")</f>
      </c>
      <c r="CD578" s="2">
        <f>IF(($C$130&lt;&gt;"")*(应付登记!$D$582=$C$130)*ISNUMBER(应付登记!$J$582)*(应付登记!$J$582&gt;=_辅助!$J$4)*(应付登记!$J$582&lt;=_辅助!$J$2),1,0)</f>
        <v>0</v>
      </c>
    </row>
    <row r="579">
      <c r="BC579" s="2">
        <f>BC550+SUM(CD551:CD579)</f>
        <v>0</v>
      </c>
      <c r="BD579" s="2">
        <f>IF(AND($C$130&lt;&gt;"",资金流水!$J$583=$C$130,ISNUMBER(资金流水!$B$583),ISNUMBER(资金流水!$S$583),资金流水!$S$583&gt;=_辅助!$J$4,资金流水!$S$583&lt;=_辅助!$J$2,OR(资金流水!$X$583="应付材料款",资金流水!$X$583="应付分包款",资金流水!$X$583="应付机械运输费",资金流水!$X$583="应付其他款")),INT(资金流水!$B$583)*10000+578,"")</f>
      </c>
      <c r="CD579" s="2">
        <f>IF(($C$130&lt;&gt;"")*(应付登记!$D$583=$C$130)*ISNUMBER(应付登记!$J$583)*(应付登记!$J$583&gt;=_辅助!$J$4)*(应付登记!$J$583&lt;=_辅助!$J$2),1,0)</f>
        <v>0</v>
      </c>
    </row>
    <row r="580">
      <c r="BC580" s="2">
        <f>BC550+SUM(CD551:CD580)</f>
        <v>0</v>
      </c>
      <c r="BD580" s="2">
        <f>IF(AND($C$130&lt;&gt;"",资金流水!$J$584=$C$130,ISNUMBER(资金流水!$B$584),ISNUMBER(资金流水!$S$584),资金流水!$S$584&gt;=_辅助!$J$4,资金流水!$S$584&lt;=_辅助!$J$2,OR(资金流水!$X$584="应付材料款",资金流水!$X$584="应付分包款",资金流水!$X$584="应付机械运输费",资金流水!$X$584="应付其他款")),INT(资金流水!$B$584)*10000+579,"")</f>
      </c>
      <c r="CD580" s="2">
        <f>IF(($C$130&lt;&gt;"")*(应付登记!$D$584=$C$130)*ISNUMBER(应付登记!$J$584)*(应付登记!$J$584&gt;=_辅助!$J$4)*(应付登记!$J$584&lt;=_辅助!$J$2),1,0)</f>
        <v>0</v>
      </c>
    </row>
    <row r="581">
      <c r="BC581" s="2">
        <f>BC550+SUM(CD551:CD581)</f>
        <v>0</v>
      </c>
      <c r="BD581" s="2">
        <f>IF(AND($C$130&lt;&gt;"",资金流水!$J$585=$C$130,ISNUMBER(资金流水!$B$585),ISNUMBER(资金流水!$S$585),资金流水!$S$585&gt;=_辅助!$J$4,资金流水!$S$585&lt;=_辅助!$J$2,OR(资金流水!$X$585="应付材料款",资金流水!$X$585="应付分包款",资金流水!$X$585="应付机械运输费",资金流水!$X$585="应付其他款")),INT(资金流水!$B$585)*10000+580,"")</f>
      </c>
      <c r="CD581" s="2">
        <f>IF(($C$130&lt;&gt;"")*(应付登记!$D$585=$C$130)*ISNUMBER(应付登记!$J$585)*(应付登记!$J$585&gt;=_辅助!$J$4)*(应付登记!$J$585&lt;=_辅助!$J$2),1,0)</f>
        <v>0</v>
      </c>
    </row>
    <row r="582">
      <c r="BC582" s="2">
        <f>BC550+SUM(CD551:CD582)</f>
        <v>0</v>
      </c>
      <c r="BD582" s="2">
        <f>IF(AND($C$130&lt;&gt;"",资金流水!$J$586=$C$130,ISNUMBER(资金流水!$B$586),ISNUMBER(资金流水!$S$586),资金流水!$S$586&gt;=_辅助!$J$4,资金流水!$S$586&lt;=_辅助!$J$2,OR(资金流水!$X$586="应付材料款",资金流水!$X$586="应付分包款",资金流水!$X$586="应付机械运输费",资金流水!$X$586="应付其他款")),INT(资金流水!$B$586)*10000+581,"")</f>
      </c>
      <c r="CD582" s="2">
        <f>IF(($C$130&lt;&gt;"")*(应付登记!$D$586=$C$130)*ISNUMBER(应付登记!$J$586)*(应付登记!$J$586&gt;=_辅助!$J$4)*(应付登记!$J$586&lt;=_辅助!$J$2),1,0)</f>
        <v>0</v>
      </c>
    </row>
    <row r="583">
      <c r="BC583" s="2">
        <f>BC550+SUM(CD551:CD583)</f>
        <v>0</v>
      </c>
      <c r="BD583" s="2">
        <f>IF(AND($C$130&lt;&gt;"",资金流水!$J$587=$C$130,ISNUMBER(资金流水!$B$587),ISNUMBER(资金流水!$S$587),资金流水!$S$587&gt;=_辅助!$J$4,资金流水!$S$587&lt;=_辅助!$J$2,OR(资金流水!$X$587="应付材料款",资金流水!$X$587="应付分包款",资金流水!$X$587="应付机械运输费",资金流水!$X$587="应付其他款")),INT(资金流水!$B$587)*10000+582,"")</f>
      </c>
      <c r="CD583" s="2">
        <f>IF(($C$130&lt;&gt;"")*(应付登记!$D$587=$C$130)*ISNUMBER(应付登记!$J$587)*(应付登记!$J$587&gt;=_辅助!$J$4)*(应付登记!$J$587&lt;=_辅助!$J$2),1,0)</f>
        <v>0</v>
      </c>
    </row>
    <row r="584">
      <c r="BC584" s="2">
        <f>BC550+SUM(CD551:CD584)</f>
        <v>0</v>
      </c>
      <c r="BD584" s="2">
        <f>IF(AND($C$130&lt;&gt;"",资金流水!$J$588=$C$130,ISNUMBER(资金流水!$B$588),ISNUMBER(资金流水!$S$588),资金流水!$S$588&gt;=_辅助!$J$4,资金流水!$S$588&lt;=_辅助!$J$2,OR(资金流水!$X$588="应付材料款",资金流水!$X$588="应付分包款",资金流水!$X$588="应付机械运输费",资金流水!$X$588="应付其他款")),INT(资金流水!$B$588)*10000+583,"")</f>
      </c>
      <c r="CD584" s="2">
        <f>IF(($C$130&lt;&gt;"")*(应付登记!$D$588=$C$130)*ISNUMBER(应付登记!$J$588)*(应付登记!$J$588&gt;=_辅助!$J$4)*(应付登记!$J$588&lt;=_辅助!$J$2),1,0)</f>
        <v>0</v>
      </c>
    </row>
    <row r="585">
      <c r="BC585" s="2">
        <f>BC550+SUM(CD551:CD585)</f>
        <v>0</v>
      </c>
      <c r="BD585" s="2">
        <f>IF(AND($C$130&lt;&gt;"",资金流水!$J$589=$C$130,ISNUMBER(资金流水!$B$589),ISNUMBER(资金流水!$S$589),资金流水!$S$589&gt;=_辅助!$J$4,资金流水!$S$589&lt;=_辅助!$J$2,OR(资金流水!$X$589="应付材料款",资金流水!$X$589="应付分包款",资金流水!$X$589="应付机械运输费",资金流水!$X$589="应付其他款")),INT(资金流水!$B$589)*10000+584,"")</f>
      </c>
      <c r="CD585" s="2">
        <f>IF(($C$130&lt;&gt;"")*(应付登记!$D$589=$C$130)*ISNUMBER(应付登记!$J$589)*(应付登记!$J$589&gt;=_辅助!$J$4)*(应付登记!$J$589&lt;=_辅助!$J$2),1,0)</f>
        <v>0</v>
      </c>
    </row>
    <row r="586">
      <c r="BC586" s="2">
        <f>BC550+SUM(CD551:CD586)</f>
        <v>0</v>
      </c>
      <c r="BD586" s="2">
        <f>IF(AND($C$130&lt;&gt;"",资金流水!$J$590=$C$130,ISNUMBER(资金流水!$B$590),ISNUMBER(资金流水!$S$590),资金流水!$S$590&gt;=_辅助!$J$4,资金流水!$S$590&lt;=_辅助!$J$2,OR(资金流水!$X$590="应付材料款",资金流水!$X$590="应付分包款",资金流水!$X$590="应付机械运输费",资金流水!$X$590="应付其他款")),INT(资金流水!$B$590)*10000+585,"")</f>
      </c>
      <c r="CD586" s="2">
        <f>IF(($C$130&lt;&gt;"")*(应付登记!$D$590=$C$130)*ISNUMBER(应付登记!$J$590)*(应付登记!$J$590&gt;=_辅助!$J$4)*(应付登记!$J$590&lt;=_辅助!$J$2),1,0)</f>
        <v>0</v>
      </c>
    </row>
    <row r="587">
      <c r="BC587" s="2">
        <f>BC550+SUM(CD551:CD587)</f>
        <v>0</v>
      </c>
      <c r="BD587" s="2">
        <f>IF(AND($C$130&lt;&gt;"",资金流水!$J$591=$C$130,ISNUMBER(资金流水!$B$591),ISNUMBER(资金流水!$S$591),资金流水!$S$591&gt;=_辅助!$J$4,资金流水!$S$591&lt;=_辅助!$J$2,OR(资金流水!$X$591="应付材料款",资金流水!$X$591="应付分包款",资金流水!$X$591="应付机械运输费",资金流水!$X$591="应付其他款")),INT(资金流水!$B$591)*10000+586,"")</f>
      </c>
      <c r="CD587" s="2">
        <f>IF(($C$130&lt;&gt;"")*(应付登记!$D$591=$C$130)*ISNUMBER(应付登记!$J$591)*(应付登记!$J$591&gt;=_辅助!$J$4)*(应付登记!$J$591&lt;=_辅助!$J$2),1,0)</f>
        <v>0</v>
      </c>
    </row>
    <row r="588">
      <c r="BC588" s="2">
        <f>BC550+SUM(CD551:CD588)</f>
        <v>0</v>
      </c>
      <c r="BD588" s="2">
        <f>IF(AND($C$130&lt;&gt;"",资金流水!$J$592=$C$130,ISNUMBER(资金流水!$B$592),ISNUMBER(资金流水!$S$592),资金流水!$S$592&gt;=_辅助!$J$4,资金流水!$S$592&lt;=_辅助!$J$2,OR(资金流水!$X$592="应付材料款",资金流水!$X$592="应付分包款",资金流水!$X$592="应付机械运输费",资金流水!$X$592="应付其他款")),INT(资金流水!$B$592)*10000+587,"")</f>
      </c>
      <c r="CD588" s="2">
        <f>IF(($C$130&lt;&gt;"")*(应付登记!$D$592=$C$130)*ISNUMBER(应付登记!$J$592)*(应付登记!$J$592&gt;=_辅助!$J$4)*(应付登记!$J$592&lt;=_辅助!$J$2),1,0)</f>
        <v>0</v>
      </c>
    </row>
    <row r="589">
      <c r="BC589" s="2">
        <f>BC550+SUM(CD551:CD589)</f>
        <v>0</v>
      </c>
      <c r="BD589" s="2">
        <f>IF(AND($C$130&lt;&gt;"",资金流水!$J$593=$C$130,ISNUMBER(资金流水!$B$593),ISNUMBER(资金流水!$S$593),资金流水!$S$593&gt;=_辅助!$J$4,资金流水!$S$593&lt;=_辅助!$J$2,OR(资金流水!$X$593="应付材料款",资金流水!$X$593="应付分包款",资金流水!$X$593="应付机械运输费",资金流水!$X$593="应付其他款")),INT(资金流水!$B$593)*10000+588,"")</f>
      </c>
      <c r="CD589" s="2">
        <f>IF(($C$130&lt;&gt;"")*(应付登记!$D$593=$C$130)*ISNUMBER(应付登记!$J$593)*(应付登记!$J$593&gt;=_辅助!$J$4)*(应付登记!$J$593&lt;=_辅助!$J$2),1,0)</f>
        <v>0</v>
      </c>
    </row>
    <row r="590">
      <c r="BC590" s="2">
        <f>BC550+SUM(CD551:CD590)</f>
        <v>0</v>
      </c>
      <c r="BD590" s="2">
        <f>IF(AND($C$130&lt;&gt;"",资金流水!$J$594=$C$130,ISNUMBER(资金流水!$B$594),ISNUMBER(资金流水!$S$594),资金流水!$S$594&gt;=_辅助!$J$4,资金流水!$S$594&lt;=_辅助!$J$2,OR(资金流水!$X$594="应付材料款",资金流水!$X$594="应付分包款",资金流水!$X$594="应付机械运输费",资金流水!$X$594="应付其他款")),INT(资金流水!$B$594)*10000+589,"")</f>
      </c>
      <c r="CD590" s="2">
        <f>IF(($C$130&lt;&gt;"")*(应付登记!$D$594=$C$130)*ISNUMBER(应付登记!$J$594)*(应付登记!$J$594&gt;=_辅助!$J$4)*(应付登记!$J$594&lt;=_辅助!$J$2),1,0)</f>
        <v>0</v>
      </c>
    </row>
    <row r="591">
      <c r="BC591" s="2">
        <f>BC550+SUM(CD551:CD591)</f>
        <v>0</v>
      </c>
      <c r="BD591" s="2">
        <f>IF(AND($C$130&lt;&gt;"",资金流水!$J$595=$C$130,ISNUMBER(资金流水!$B$595),ISNUMBER(资金流水!$S$595),资金流水!$S$595&gt;=_辅助!$J$4,资金流水!$S$595&lt;=_辅助!$J$2,OR(资金流水!$X$595="应付材料款",资金流水!$X$595="应付分包款",资金流水!$X$595="应付机械运输费",资金流水!$X$595="应付其他款")),INT(资金流水!$B$595)*10000+590,"")</f>
      </c>
      <c r="CD591" s="2">
        <f>IF(($C$130&lt;&gt;"")*(应付登记!$D$595=$C$130)*ISNUMBER(应付登记!$J$595)*(应付登记!$J$595&gt;=_辅助!$J$4)*(应付登记!$J$595&lt;=_辅助!$J$2),1,0)</f>
        <v>0</v>
      </c>
    </row>
    <row r="592">
      <c r="BC592" s="2">
        <f>BC550+SUM(CD551:CD592)</f>
        <v>0</v>
      </c>
      <c r="BD592" s="2">
        <f>IF(AND($C$130&lt;&gt;"",资金流水!$J$596=$C$130,ISNUMBER(资金流水!$B$596),ISNUMBER(资金流水!$S$596),资金流水!$S$596&gt;=_辅助!$J$4,资金流水!$S$596&lt;=_辅助!$J$2,OR(资金流水!$X$596="应付材料款",资金流水!$X$596="应付分包款",资金流水!$X$596="应付机械运输费",资金流水!$X$596="应付其他款")),INT(资金流水!$B$596)*10000+591,"")</f>
      </c>
      <c r="CD592" s="2">
        <f>IF(($C$130&lt;&gt;"")*(应付登记!$D$596=$C$130)*ISNUMBER(应付登记!$J$596)*(应付登记!$J$596&gt;=_辅助!$J$4)*(应付登记!$J$596&lt;=_辅助!$J$2),1,0)</f>
        <v>0</v>
      </c>
    </row>
    <row r="593">
      <c r="BC593" s="2">
        <f>BC550+SUM(CD551:CD593)</f>
        <v>0</v>
      </c>
      <c r="BD593" s="2">
        <f>IF(AND($C$130&lt;&gt;"",资金流水!$J$597=$C$130,ISNUMBER(资金流水!$B$597),ISNUMBER(资金流水!$S$597),资金流水!$S$597&gt;=_辅助!$J$4,资金流水!$S$597&lt;=_辅助!$J$2,OR(资金流水!$X$597="应付材料款",资金流水!$X$597="应付分包款",资金流水!$X$597="应付机械运输费",资金流水!$X$597="应付其他款")),INT(资金流水!$B$597)*10000+592,"")</f>
      </c>
      <c r="CD593" s="2">
        <f>IF(($C$130&lt;&gt;"")*(应付登记!$D$597=$C$130)*ISNUMBER(应付登记!$J$597)*(应付登记!$J$597&gt;=_辅助!$J$4)*(应付登记!$J$597&lt;=_辅助!$J$2),1,0)</f>
        <v>0</v>
      </c>
    </row>
    <row r="594">
      <c r="BC594" s="2">
        <f>BC550+SUM(CD551:CD594)</f>
        <v>0</v>
      </c>
      <c r="BD594" s="2">
        <f>IF(AND($C$130&lt;&gt;"",资金流水!$J$598=$C$130,ISNUMBER(资金流水!$B$598),ISNUMBER(资金流水!$S$598),资金流水!$S$598&gt;=_辅助!$J$4,资金流水!$S$598&lt;=_辅助!$J$2,OR(资金流水!$X$598="应付材料款",资金流水!$X$598="应付分包款",资金流水!$X$598="应付机械运输费",资金流水!$X$598="应付其他款")),INT(资金流水!$B$598)*10000+593,"")</f>
      </c>
      <c r="CD594" s="2">
        <f>IF(($C$130&lt;&gt;"")*(应付登记!$D$598=$C$130)*ISNUMBER(应付登记!$J$598)*(应付登记!$J$598&gt;=_辅助!$J$4)*(应付登记!$J$598&lt;=_辅助!$J$2),1,0)</f>
        <v>0</v>
      </c>
    </row>
    <row r="595">
      <c r="BC595" s="2">
        <f>BC550+SUM(CD551:CD595)</f>
        <v>0</v>
      </c>
      <c r="BD595" s="2">
        <f>IF(AND($C$130&lt;&gt;"",资金流水!$J$599=$C$130,ISNUMBER(资金流水!$B$599),ISNUMBER(资金流水!$S$599),资金流水!$S$599&gt;=_辅助!$J$4,资金流水!$S$599&lt;=_辅助!$J$2,OR(资金流水!$X$599="应付材料款",资金流水!$X$599="应付分包款",资金流水!$X$599="应付机械运输费",资金流水!$X$599="应付其他款")),INT(资金流水!$B$599)*10000+594,"")</f>
      </c>
      <c r="CD595" s="2">
        <f>IF(($C$130&lt;&gt;"")*(应付登记!$D$599=$C$130)*ISNUMBER(应付登记!$J$599)*(应付登记!$J$599&gt;=_辅助!$J$4)*(应付登记!$J$599&lt;=_辅助!$J$2),1,0)</f>
        <v>0</v>
      </c>
    </row>
    <row r="596">
      <c r="BC596" s="2">
        <f>BC550+SUM(CD551:CD596)</f>
        <v>0</v>
      </c>
      <c r="BD596" s="2">
        <f>IF(AND($C$130&lt;&gt;"",资金流水!$J$600=$C$130,ISNUMBER(资金流水!$B$600),ISNUMBER(资金流水!$S$600),资金流水!$S$600&gt;=_辅助!$J$4,资金流水!$S$600&lt;=_辅助!$J$2,OR(资金流水!$X$600="应付材料款",资金流水!$X$600="应付分包款",资金流水!$X$600="应付机械运输费",资金流水!$X$600="应付其他款")),INT(资金流水!$B$600)*10000+595,"")</f>
      </c>
      <c r="CD596" s="2">
        <f>IF(($C$130&lt;&gt;"")*(应付登记!$D$600=$C$130)*ISNUMBER(应付登记!$J$600)*(应付登记!$J$600&gt;=_辅助!$J$4)*(应付登记!$J$600&lt;=_辅助!$J$2),1,0)</f>
        <v>0</v>
      </c>
    </row>
    <row r="597">
      <c r="BC597" s="2">
        <f>BC550+SUM(CD551:CD597)</f>
        <v>0</v>
      </c>
      <c r="BD597" s="2">
        <f>IF(AND($C$130&lt;&gt;"",资金流水!$J$601=$C$130,ISNUMBER(资金流水!$B$601),ISNUMBER(资金流水!$S$601),资金流水!$S$601&gt;=_辅助!$J$4,资金流水!$S$601&lt;=_辅助!$J$2,OR(资金流水!$X$601="应付材料款",资金流水!$X$601="应付分包款",资金流水!$X$601="应付机械运输费",资金流水!$X$601="应付其他款")),INT(资金流水!$B$601)*10000+596,"")</f>
      </c>
      <c r="CD597" s="2">
        <f>IF(($C$130&lt;&gt;"")*(应付登记!$D$601=$C$130)*ISNUMBER(应付登记!$J$601)*(应付登记!$J$601&gt;=_辅助!$J$4)*(应付登记!$J$601&lt;=_辅助!$J$2),1,0)</f>
        <v>0</v>
      </c>
    </row>
    <row r="598">
      <c r="BC598" s="2">
        <f>BC550+SUM(CD551:CD598)</f>
        <v>0</v>
      </c>
      <c r="BD598" s="2">
        <f>IF(AND($C$130&lt;&gt;"",资金流水!$J$602=$C$130,ISNUMBER(资金流水!$B$602),ISNUMBER(资金流水!$S$602),资金流水!$S$602&gt;=_辅助!$J$4,资金流水!$S$602&lt;=_辅助!$J$2,OR(资金流水!$X$602="应付材料款",资金流水!$X$602="应付分包款",资金流水!$X$602="应付机械运输费",资金流水!$X$602="应付其他款")),INT(资金流水!$B$602)*10000+597,"")</f>
      </c>
      <c r="CD598" s="2">
        <f>IF(($C$130&lt;&gt;"")*(应付登记!$D$602=$C$130)*ISNUMBER(应付登记!$J$602)*(应付登记!$J$602&gt;=_辅助!$J$4)*(应付登记!$J$602&lt;=_辅助!$J$2),1,0)</f>
        <v>0</v>
      </c>
    </row>
    <row r="599">
      <c r="BC599" s="2">
        <f>BC550+SUM(CD551:CD599)</f>
        <v>0</v>
      </c>
      <c r="BD599" s="2">
        <f>IF(AND($C$130&lt;&gt;"",资金流水!$J$603=$C$130,ISNUMBER(资金流水!$B$603),ISNUMBER(资金流水!$S$603),资金流水!$S$603&gt;=_辅助!$J$4,资金流水!$S$603&lt;=_辅助!$J$2,OR(资金流水!$X$603="应付材料款",资金流水!$X$603="应付分包款",资金流水!$X$603="应付机械运输费",资金流水!$X$603="应付其他款")),INT(资金流水!$B$603)*10000+598,"")</f>
      </c>
      <c r="CD599" s="2">
        <f>IF(($C$130&lt;&gt;"")*(应付登记!$D$603=$C$130)*ISNUMBER(应付登记!$J$603)*(应付登记!$J$603&gt;=_辅助!$J$4)*(应付登记!$J$603&lt;=_辅助!$J$2),1,0)</f>
        <v>0</v>
      </c>
    </row>
    <row r="600">
      <c r="BC600" s="2">
        <f>BC550+SUM(CD551:CD600)</f>
        <v>0</v>
      </c>
      <c r="BD600" s="2">
        <f>IF(AND($C$130&lt;&gt;"",资金流水!$J$604=$C$130,ISNUMBER(资金流水!$B$604),ISNUMBER(资金流水!$S$604),资金流水!$S$604&gt;=_辅助!$J$4,资金流水!$S$604&lt;=_辅助!$J$2,OR(资金流水!$X$604="应付材料款",资金流水!$X$604="应付分包款",资金流水!$X$604="应付机械运输费",资金流水!$X$604="应付其他款")),INT(资金流水!$B$604)*10000+599,"")</f>
      </c>
      <c r="CD600" s="2">
        <f>IF(($C$130&lt;&gt;"")*(应付登记!$D$604=$C$130)*ISNUMBER(应付登记!$J$604)*(应付登记!$J$604&gt;=_辅助!$J$4)*(应付登记!$J$604&lt;=_辅助!$J$2),1,0)</f>
        <v>0</v>
      </c>
    </row>
    <row r="601">
      <c r="BC601" s="2">
        <f>BC600+SUM(CD601:CD601)</f>
        <v>0</v>
      </c>
      <c r="BD601" s="2">
        <f>IF(AND($C$130&lt;&gt;"",资金流水!$J$605=$C$130,ISNUMBER(资金流水!$B$605),ISNUMBER(资金流水!$S$605),资金流水!$S$605&gt;=_辅助!$J$4,资金流水!$S$605&lt;=_辅助!$J$2,OR(资金流水!$X$605="应付材料款",资金流水!$X$605="应付分包款",资金流水!$X$605="应付机械运输费",资金流水!$X$605="应付其他款")),INT(资金流水!$B$605)*10000+600,"")</f>
      </c>
      <c r="CD601" s="2">
        <f>IF(($C$130&lt;&gt;"")*(应付登记!$D$605=$C$130)*ISNUMBER(应付登记!$J$605)*(应付登记!$J$605&gt;=_辅助!$J$4)*(应付登记!$J$605&lt;=_辅助!$J$2),1,0)</f>
        <v>0</v>
      </c>
    </row>
    <row r="602">
      <c r="BC602" s="2">
        <f>BC600+SUM(CD601:CD602)</f>
        <v>0</v>
      </c>
      <c r="BD602" s="2">
        <f>IF(AND($C$130&lt;&gt;"",资金流水!$J$606=$C$130,ISNUMBER(资金流水!$B$606),ISNUMBER(资金流水!$S$606),资金流水!$S$606&gt;=_辅助!$J$4,资金流水!$S$606&lt;=_辅助!$J$2,OR(资金流水!$X$606="应付材料款",资金流水!$X$606="应付分包款",资金流水!$X$606="应付机械运输费",资金流水!$X$606="应付其他款")),INT(资金流水!$B$606)*10000+601,"")</f>
      </c>
      <c r="CD602" s="2">
        <f>IF(($C$130&lt;&gt;"")*(应付登记!$D$606=$C$130)*ISNUMBER(应付登记!$J$606)*(应付登记!$J$606&gt;=_辅助!$J$4)*(应付登记!$J$606&lt;=_辅助!$J$2),1,0)</f>
        <v>0</v>
      </c>
    </row>
    <row r="603">
      <c r="BC603" s="2">
        <f>BC600+SUM(CD601:CD603)</f>
        <v>0</v>
      </c>
      <c r="BD603" s="2">
        <f>IF(AND($C$130&lt;&gt;"",资金流水!$J$607=$C$130,ISNUMBER(资金流水!$B$607),ISNUMBER(资金流水!$S$607),资金流水!$S$607&gt;=_辅助!$J$4,资金流水!$S$607&lt;=_辅助!$J$2,OR(资金流水!$X$607="应付材料款",资金流水!$X$607="应付分包款",资金流水!$X$607="应付机械运输费",资金流水!$X$607="应付其他款")),INT(资金流水!$B$607)*10000+602,"")</f>
      </c>
      <c r="CD603" s="2">
        <f>IF(($C$130&lt;&gt;"")*(应付登记!$D$607=$C$130)*ISNUMBER(应付登记!$J$607)*(应付登记!$J$607&gt;=_辅助!$J$4)*(应付登记!$J$607&lt;=_辅助!$J$2),1,0)</f>
        <v>0</v>
      </c>
    </row>
    <row r="604">
      <c r="BC604" s="2">
        <f>BC600+SUM(CD601:CD604)</f>
        <v>0</v>
      </c>
      <c r="BD604" s="2">
        <f>IF(AND($C$130&lt;&gt;"",资金流水!$J$608=$C$130,ISNUMBER(资金流水!$B$608),ISNUMBER(资金流水!$S$608),资金流水!$S$608&gt;=_辅助!$J$4,资金流水!$S$608&lt;=_辅助!$J$2,OR(资金流水!$X$608="应付材料款",资金流水!$X$608="应付分包款",资金流水!$X$608="应付机械运输费",资金流水!$X$608="应付其他款")),INT(资金流水!$B$608)*10000+603,"")</f>
      </c>
      <c r="CD604" s="2">
        <f>IF(($C$130&lt;&gt;"")*(应付登记!$D$608=$C$130)*ISNUMBER(应付登记!$J$608)*(应付登记!$J$608&gt;=_辅助!$J$4)*(应付登记!$J$608&lt;=_辅助!$J$2),1,0)</f>
        <v>0</v>
      </c>
    </row>
    <row r="605">
      <c r="BC605" s="2">
        <f>BC600+SUM(CD601:CD605)</f>
        <v>0</v>
      </c>
      <c r="BD605" s="2">
        <f>IF(AND($C$130&lt;&gt;"",资金流水!$J$609=$C$130,ISNUMBER(资金流水!$B$609),ISNUMBER(资金流水!$S$609),资金流水!$S$609&gt;=_辅助!$J$4,资金流水!$S$609&lt;=_辅助!$J$2,OR(资金流水!$X$609="应付材料款",资金流水!$X$609="应付分包款",资金流水!$X$609="应付机械运输费",资金流水!$X$609="应付其他款")),INT(资金流水!$B$609)*10000+604,"")</f>
      </c>
      <c r="CD605" s="2">
        <f>IF(($C$130&lt;&gt;"")*(应付登记!$D$609=$C$130)*ISNUMBER(应付登记!$J$609)*(应付登记!$J$609&gt;=_辅助!$J$4)*(应付登记!$J$609&lt;=_辅助!$J$2),1,0)</f>
        <v>0</v>
      </c>
    </row>
    <row r="606">
      <c r="BC606" s="2">
        <f>BC600+SUM(CD601:CD606)</f>
        <v>0</v>
      </c>
      <c r="BD606" s="2">
        <f>IF(AND($C$130&lt;&gt;"",资金流水!$J$610=$C$130,ISNUMBER(资金流水!$B$610),ISNUMBER(资金流水!$S$610),资金流水!$S$610&gt;=_辅助!$J$4,资金流水!$S$610&lt;=_辅助!$J$2,OR(资金流水!$X$610="应付材料款",资金流水!$X$610="应付分包款",资金流水!$X$610="应付机械运输费",资金流水!$X$610="应付其他款")),INT(资金流水!$B$610)*10000+605,"")</f>
      </c>
      <c r="CD606" s="2">
        <f>IF(($C$130&lt;&gt;"")*(应付登记!$D$610=$C$130)*ISNUMBER(应付登记!$J$610)*(应付登记!$J$610&gt;=_辅助!$J$4)*(应付登记!$J$610&lt;=_辅助!$J$2),1,0)</f>
        <v>0</v>
      </c>
    </row>
    <row r="607">
      <c r="BC607" s="2">
        <f>BC600+SUM(CD601:CD607)</f>
        <v>0</v>
      </c>
      <c r="BD607" s="2">
        <f>IF(AND($C$130&lt;&gt;"",资金流水!$J$611=$C$130,ISNUMBER(资金流水!$B$611),ISNUMBER(资金流水!$S$611),资金流水!$S$611&gt;=_辅助!$J$4,资金流水!$S$611&lt;=_辅助!$J$2,OR(资金流水!$X$611="应付材料款",资金流水!$X$611="应付分包款",资金流水!$X$611="应付机械运输费",资金流水!$X$611="应付其他款")),INT(资金流水!$B$611)*10000+606,"")</f>
      </c>
      <c r="CD607" s="2">
        <f>IF(($C$130&lt;&gt;"")*(应付登记!$D$611=$C$130)*ISNUMBER(应付登记!$J$611)*(应付登记!$J$611&gt;=_辅助!$J$4)*(应付登记!$J$611&lt;=_辅助!$J$2),1,0)</f>
        <v>0</v>
      </c>
    </row>
    <row r="608">
      <c r="BC608" s="2">
        <f>BC600+SUM(CD601:CD608)</f>
        <v>0</v>
      </c>
      <c r="BD608" s="2">
        <f>IF(AND($C$130&lt;&gt;"",资金流水!$J$612=$C$130,ISNUMBER(资金流水!$B$612),ISNUMBER(资金流水!$S$612),资金流水!$S$612&gt;=_辅助!$J$4,资金流水!$S$612&lt;=_辅助!$J$2,OR(资金流水!$X$612="应付材料款",资金流水!$X$612="应付分包款",资金流水!$X$612="应付机械运输费",资金流水!$X$612="应付其他款")),INT(资金流水!$B$612)*10000+607,"")</f>
      </c>
      <c r="CD608" s="2">
        <f>IF(($C$130&lt;&gt;"")*(应付登记!$D$612=$C$130)*ISNUMBER(应付登记!$J$612)*(应付登记!$J$612&gt;=_辅助!$J$4)*(应付登记!$J$612&lt;=_辅助!$J$2),1,0)</f>
        <v>0</v>
      </c>
    </row>
    <row r="609">
      <c r="BC609" s="2">
        <f>BC600+SUM(CD601:CD609)</f>
        <v>0</v>
      </c>
      <c r="BD609" s="2">
        <f>IF(AND($C$130&lt;&gt;"",资金流水!$J$613=$C$130,ISNUMBER(资金流水!$B$613),ISNUMBER(资金流水!$S$613),资金流水!$S$613&gt;=_辅助!$J$4,资金流水!$S$613&lt;=_辅助!$J$2,OR(资金流水!$X$613="应付材料款",资金流水!$X$613="应付分包款",资金流水!$X$613="应付机械运输费",资金流水!$X$613="应付其他款")),INT(资金流水!$B$613)*10000+608,"")</f>
      </c>
      <c r="CD609" s="2">
        <f>IF(($C$130&lt;&gt;"")*(应付登记!$D$613=$C$130)*ISNUMBER(应付登记!$J$613)*(应付登记!$J$613&gt;=_辅助!$J$4)*(应付登记!$J$613&lt;=_辅助!$J$2),1,0)</f>
        <v>0</v>
      </c>
    </row>
    <row r="610">
      <c r="BC610" s="2">
        <f>BC600+SUM(CD601:CD610)</f>
        <v>0</v>
      </c>
      <c r="BD610" s="2">
        <f>IF(AND($C$130&lt;&gt;"",资金流水!$J$614=$C$130,ISNUMBER(资金流水!$B$614),ISNUMBER(资金流水!$S$614),资金流水!$S$614&gt;=_辅助!$J$4,资金流水!$S$614&lt;=_辅助!$J$2,OR(资金流水!$X$614="应付材料款",资金流水!$X$614="应付分包款",资金流水!$X$614="应付机械运输费",资金流水!$X$614="应付其他款")),INT(资金流水!$B$614)*10000+609,"")</f>
      </c>
      <c r="CD610" s="2">
        <f>IF(($C$130&lt;&gt;"")*(应付登记!$D$614=$C$130)*ISNUMBER(应付登记!$J$614)*(应付登记!$J$614&gt;=_辅助!$J$4)*(应付登记!$J$614&lt;=_辅助!$J$2),1,0)</f>
        <v>0</v>
      </c>
    </row>
    <row r="611">
      <c r="BC611" s="2">
        <f>BC600+SUM(CD601:CD611)</f>
        <v>0</v>
      </c>
      <c r="BD611" s="2">
        <f>IF(AND($C$130&lt;&gt;"",资金流水!$J$615=$C$130,ISNUMBER(资金流水!$B$615),ISNUMBER(资金流水!$S$615),资金流水!$S$615&gt;=_辅助!$J$4,资金流水!$S$615&lt;=_辅助!$J$2,OR(资金流水!$X$615="应付材料款",资金流水!$X$615="应付分包款",资金流水!$X$615="应付机械运输费",资金流水!$X$615="应付其他款")),INT(资金流水!$B$615)*10000+610,"")</f>
      </c>
      <c r="CD611" s="2">
        <f>IF(($C$130&lt;&gt;"")*(应付登记!$D$615=$C$130)*ISNUMBER(应付登记!$J$615)*(应付登记!$J$615&gt;=_辅助!$J$4)*(应付登记!$J$615&lt;=_辅助!$J$2),1,0)</f>
        <v>0</v>
      </c>
    </row>
    <row r="612">
      <c r="BC612" s="2">
        <f>BC600+SUM(CD601:CD612)</f>
        <v>0</v>
      </c>
      <c r="BD612" s="2">
        <f>IF(AND($C$130&lt;&gt;"",资金流水!$J$616=$C$130,ISNUMBER(资金流水!$B$616),ISNUMBER(资金流水!$S$616),资金流水!$S$616&gt;=_辅助!$J$4,资金流水!$S$616&lt;=_辅助!$J$2,OR(资金流水!$X$616="应付材料款",资金流水!$X$616="应付分包款",资金流水!$X$616="应付机械运输费",资金流水!$X$616="应付其他款")),INT(资金流水!$B$616)*10000+611,"")</f>
      </c>
      <c r="CD612" s="2">
        <f>IF(($C$130&lt;&gt;"")*(应付登记!$D$616=$C$130)*ISNUMBER(应付登记!$J$616)*(应付登记!$J$616&gt;=_辅助!$J$4)*(应付登记!$J$616&lt;=_辅助!$J$2),1,0)</f>
        <v>0</v>
      </c>
    </row>
    <row r="613">
      <c r="BC613" s="2">
        <f>BC600+SUM(CD601:CD613)</f>
        <v>0</v>
      </c>
      <c r="BD613" s="2">
        <f>IF(AND($C$130&lt;&gt;"",资金流水!$J$617=$C$130,ISNUMBER(资金流水!$B$617),ISNUMBER(资金流水!$S$617),资金流水!$S$617&gt;=_辅助!$J$4,资金流水!$S$617&lt;=_辅助!$J$2,OR(资金流水!$X$617="应付材料款",资金流水!$X$617="应付分包款",资金流水!$X$617="应付机械运输费",资金流水!$X$617="应付其他款")),INT(资金流水!$B$617)*10000+612,"")</f>
      </c>
      <c r="CD613" s="2">
        <f>IF(($C$130&lt;&gt;"")*(应付登记!$D$617=$C$130)*ISNUMBER(应付登记!$J$617)*(应付登记!$J$617&gt;=_辅助!$J$4)*(应付登记!$J$617&lt;=_辅助!$J$2),1,0)</f>
        <v>0</v>
      </c>
    </row>
    <row r="614">
      <c r="BC614" s="2">
        <f>BC600+SUM(CD601:CD614)</f>
        <v>0</v>
      </c>
      <c r="BD614" s="2">
        <f>IF(AND($C$130&lt;&gt;"",资金流水!$J$618=$C$130,ISNUMBER(资金流水!$B$618),ISNUMBER(资金流水!$S$618),资金流水!$S$618&gt;=_辅助!$J$4,资金流水!$S$618&lt;=_辅助!$J$2,OR(资金流水!$X$618="应付材料款",资金流水!$X$618="应付分包款",资金流水!$X$618="应付机械运输费",资金流水!$X$618="应付其他款")),INT(资金流水!$B$618)*10000+613,"")</f>
      </c>
      <c r="CD614" s="2">
        <f>IF(($C$130&lt;&gt;"")*(应付登记!$D$618=$C$130)*ISNUMBER(应付登记!$J$618)*(应付登记!$J$618&gt;=_辅助!$J$4)*(应付登记!$J$618&lt;=_辅助!$J$2),1,0)</f>
        <v>0</v>
      </c>
    </row>
    <row r="615">
      <c r="BC615" s="2">
        <f>BC600+SUM(CD601:CD615)</f>
        <v>0</v>
      </c>
      <c r="BD615" s="2">
        <f>IF(AND($C$130&lt;&gt;"",资金流水!$J$619=$C$130,ISNUMBER(资金流水!$B$619),ISNUMBER(资金流水!$S$619),资金流水!$S$619&gt;=_辅助!$J$4,资金流水!$S$619&lt;=_辅助!$J$2,OR(资金流水!$X$619="应付材料款",资金流水!$X$619="应付分包款",资金流水!$X$619="应付机械运输费",资金流水!$X$619="应付其他款")),INT(资金流水!$B$619)*10000+614,"")</f>
      </c>
      <c r="CD615" s="2">
        <f>IF(($C$130&lt;&gt;"")*(应付登记!$D$619=$C$130)*ISNUMBER(应付登记!$J$619)*(应付登记!$J$619&gt;=_辅助!$J$4)*(应付登记!$J$619&lt;=_辅助!$J$2),1,0)</f>
        <v>0</v>
      </c>
    </row>
    <row r="616">
      <c r="BC616" s="2">
        <f>BC600+SUM(CD601:CD616)</f>
        <v>0</v>
      </c>
      <c r="BD616" s="2">
        <f>IF(AND($C$130&lt;&gt;"",资金流水!$J$620=$C$130,ISNUMBER(资金流水!$B$620),ISNUMBER(资金流水!$S$620),资金流水!$S$620&gt;=_辅助!$J$4,资金流水!$S$620&lt;=_辅助!$J$2,OR(资金流水!$X$620="应付材料款",资金流水!$X$620="应付分包款",资金流水!$X$620="应付机械运输费",资金流水!$X$620="应付其他款")),INT(资金流水!$B$620)*10000+615,"")</f>
      </c>
      <c r="CD616" s="2">
        <f>IF(($C$130&lt;&gt;"")*(应付登记!$D$620=$C$130)*ISNUMBER(应付登记!$J$620)*(应付登记!$J$620&gt;=_辅助!$J$4)*(应付登记!$J$620&lt;=_辅助!$J$2),1,0)</f>
        <v>0</v>
      </c>
    </row>
    <row r="617">
      <c r="BC617" s="2">
        <f>BC600+SUM(CD601:CD617)</f>
        <v>0</v>
      </c>
      <c r="BD617" s="2">
        <f>IF(AND($C$130&lt;&gt;"",资金流水!$J$621=$C$130,ISNUMBER(资金流水!$B$621),ISNUMBER(资金流水!$S$621),资金流水!$S$621&gt;=_辅助!$J$4,资金流水!$S$621&lt;=_辅助!$J$2,OR(资金流水!$X$621="应付材料款",资金流水!$X$621="应付分包款",资金流水!$X$621="应付机械运输费",资金流水!$X$621="应付其他款")),INT(资金流水!$B$621)*10000+616,"")</f>
      </c>
      <c r="CD617" s="2">
        <f>IF(($C$130&lt;&gt;"")*(应付登记!$D$621=$C$130)*ISNUMBER(应付登记!$J$621)*(应付登记!$J$621&gt;=_辅助!$J$4)*(应付登记!$J$621&lt;=_辅助!$J$2),1,0)</f>
        <v>0</v>
      </c>
    </row>
    <row r="618">
      <c r="BC618" s="2">
        <f>BC600+SUM(CD601:CD618)</f>
        <v>0</v>
      </c>
      <c r="BD618" s="2">
        <f>IF(AND($C$130&lt;&gt;"",资金流水!$J$622=$C$130,ISNUMBER(资金流水!$B$622),ISNUMBER(资金流水!$S$622),资金流水!$S$622&gt;=_辅助!$J$4,资金流水!$S$622&lt;=_辅助!$J$2,OR(资金流水!$X$622="应付材料款",资金流水!$X$622="应付分包款",资金流水!$X$622="应付机械运输费",资金流水!$X$622="应付其他款")),INT(资金流水!$B$622)*10000+617,"")</f>
      </c>
      <c r="CD618" s="2">
        <f>IF(($C$130&lt;&gt;"")*(应付登记!$D$622=$C$130)*ISNUMBER(应付登记!$J$622)*(应付登记!$J$622&gt;=_辅助!$J$4)*(应付登记!$J$622&lt;=_辅助!$J$2),1,0)</f>
        <v>0</v>
      </c>
    </row>
    <row r="619">
      <c r="BC619" s="2">
        <f>BC600+SUM(CD601:CD619)</f>
        <v>0</v>
      </c>
      <c r="BD619" s="2">
        <f>IF(AND($C$130&lt;&gt;"",资金流水!$J$623=$C$130,ISNUMBER(资金流水!$B$623),ISNUMBER(资金流水!$S$623),资金流水!$S$623&gt;=_辅助!$J$4,资金流水!$S$623&lt;=_辅助!$J$2,OR(资金流水!$X$623="应付材料款",资金流水!$X$623="应付分包款",资金流水!$X$623="应付机械运输费",资金流水!$X$623="应付其他款")),INT(资金流水!$B$623)*10000+618,"")</f>
      </c>
      <c r="CD619" s="2">
        <f>IF(($C$130&lt;&gt;"")*(应付登记!$D$623=$C$130)*ISNUMBER(应付登记!$J$623)*(应付登记!$J$623&gt;=_辅助!$J$4)*(应付登记!$J$623&lt;=_辅助!$J$2),1,0)</f>
        <v>0</v>
      </c>
    </row>
    <row r="620">
      <c r="BC620" s="2">
        <f>BC600+SUM(CD601:CD620)</f>
        <v>0</v>
      </c>
      <c r="BD620" s="2">
        <f>IF(AND($C$130&lt;&gt;"",资金流水!$J$624=$C$130,ISNUMBER(资金流水!$B$624),ISNUMBER(资金流水!$S$624),资金流水!$S$624&gt;=_辅助!$J$4,资金流水!$S$624&lt;=_辅助!$J$2,OR(资金流水!$X$624="应付材料款",资金流水!$X$624="应付分包款",资金流水!$X$624="应付机械运输费",资金流水!$X$624="应付其他款")),INT(资金流水!$B$624)*10000+619,"")</f>
      </c>
      <c r="CD620" s="2">
        <f>IF(($C$130&lt;&gt;"")*(应付登记!$D$624=$C$130)*ISNUMBER(应付登记!$J$624)*(应付登记!$J$624&gt;=_辅助!$J$4)*(应付登记!$J$624&lt;=_辅助!$J$2),1,0)</f>
        <v>0</v>
      </c>
    </row>
    <row r="621">
      <c r="BC621" s="2">
        <f>BC600+SUM(CD601:CD621)</f>
        <v>0</v>
      </c>
      <c r="BD621" s="2">
        <f>IF(AND($C$130&lt;&gt;"",资金流水!$J$625=$C$130,ISNUMBER(资金流水!$B$625),ISNUMBER(资金流水!$S$625),资金流水!$S$625&gt;=_辅助!$J$4,资金流水!$S$625&lt;=_辅助!$J$2,OR(资金流水!$X$625="应付材料款",资金流水!$X$625="应付分包款",资金流水!$X$625="应付机械运输费",资金流水!$X$625="应付其他款")),INT(资金流水!$B$625)*10000+620,"")</f>
      </c>
      <c r="CD621" s="2">
        <f>IF(($C$130&lt;&gt;"")*(应付登记!$D$625=$C$130)*ISNUMBER(应付登记!$J$625)*(应付登记!$J$625&gt;=_辅助!$J$4)*(应付登记!$J$625&lt;=_辅助!$J$2),1,0)</f>
        <v>0</v>
      </c>
    </row>
    <row r="622">
      <c r="BC622" s="2">
        <f>BC600+SUM(CD601:CD622)</f>
        <v>0</v>
      </c>
      <c r="BD622" s="2">
        <f>IF(AND($C$130&lt;&gt;"",资金流水!$J$626=$C$130,ISNUMBER(资金流水!$B$626),ISNUMBER(资金流水!$S$626),资金流水!$S$626&gt;=_辅助!$J$4,资金流水!$S$626&lt;=_辅助!$J$2,OR(资金流水!$X$626="应付材料款",资金流水!$X$626="应付分包款",资金流水!$X$626="应付机械运输费",资金流水!$X$626="应付其他款")),INT(资金流水!$B$626)*10000+621,"")</f>
      </c>
      <c r="CD622" s="2">
        <f>IF(($C$130&lt;&gt;"")*(应付登记!$D$626=$C$130)*ISNUMBER(应付登记!$J$626)*(应付登记!$J$626&gt;=_辅助!$J$4)*(应付登记!$J$626&lt;=_辅助!$J$2),1,0)</f>
        <v>0</v>
      </c>
    </row>
    <row r="623">
      <c r="BC623" s="2">
        <f>BC600+SUM(CD601:CD623)</f>
        <v>0</v>
      </c>
      <c r="BD623" s="2">
        <f>IF(AND($C$130&lt;&gt;"",资金流水!$J$627=$C$130,ISNUMBER(资金流水!$B$627),ISNUMBER(资金流水!$S$627),资金流水!$S$627&gt;=_辅助!$J$4,资金流水!$S$627&lt;=_辅助!$J$2,OR(资金流水!$X$627="应付材料款",资金流水!$X$627="应付分包款",资金流水!$X$627="应付机械运输费",资金流水!$X$627="应付其他款")),INT(资金流水!$B$627)*10000+622,"")</f>
      </c>
      <c r="CD623" s="2">
        <f>IF(($C$130&lt;&gt;"")*(应付登记!$D$627=$C$130)*ISNUMBER(应付登记!$J$627)*(应付登记!$J$627&gt;=_辅助!$J$4)*(应付登记!$J$627&lt;=_辅助!$J$2),1,0)</f>
        <v>0</v>
      </c>
    </row>
    <row r="624">
      <c r="BC624" s="2">
        <f>BC600+SUM(CD601:CD624)</f>
        <v>0</v>
      </c>
      <c r="BD624" s="2">
        <f>IF(AND($C$130&lt;&gt;"",资金流水!$J$628=$C$130,ISNUMBER(资金流水!$B$628),ISNUMBER(资金流水!$S$628),资金流水!$S$628&gt;=_辅助!$J$4,资金流水!$S$628&lt;=_辅助!$J$2,OR(资金流水!$X$628="应付材料款",资金流水!$X$628="应付分包款",资金流水!$X$628="应付机械运输费",资金流水!$X$628="应付其他款")),INT(资金流水!$B$628)*10000+623,"")</f>
      </c>
      <c r="CD624" s="2">
        <f>IF(($C$130&lt;&gt;"")*(应付登记!$D$628=$C$130)*ISNUMBER(应付登记!$J$628)*(应付登记!$J$628&gt;=_辅助!$J$4)*(应付登记!$J$628&lt;=_辅助!$J$2),1,0)</f>
        <v>0</v>
      </c>
    </row>
    <row r="625">
      <c r="BC625" s="2">
        <f>BC600+SUM(CD601:CD625)</f>
        <v>0</v>
      </c>
      <c r="BD625" s="2">
        <f>IF(AND($C$130&lt;&gt;"",资金流水!$J$629=$C$130,ISNUMBER(资金流水!$B$629),ISNUMBER(资金流水!$S$629),资金流水!$S$629&gt;=_辅助!$J$4,资金流水!$S$629&lt;=_辅助!$J$2,OR(资金流水!$X$629="应付材料款",资金流水!$X$629="应付分包款",资金流水!$X$629="应付机械运输费",资金流水!$X$629="应付其他款")),INT(资金流水!$B$629)*10000+624,"")</f>
      </c>
      <c r="CD625" s="2">
        <f>IF(($C$130&lt;&gt;"")*(应付登记!$D$629=$C$130)*ISNUMBER(应付登记!$J$629)*(应付登记!$J$629&gt;=_辅助!$J$4)*(应付登记!$J$629&lt;=_辅助!$J$2),1,0)</f>
        <v>0</v>
      </c>
    </row>
    <row r="626">
      <c r="BC626" s="2">
        <f>BC600+SUM(CD601:CD626)</f>
        <v>0</v>
      </c>
      <c r="BD626" s="2">
        <f>IF(AND($C$130&lt;&gt;"",资金流水!$J$630=$C$130,ISNUMBER(资金流水!$B$630),ISNUMBER(资金流水!$S$630),资金流水!$S$630&gt;=_辅助!$J$4,资金流水!$S$630&lt;=_辅助!$J$2,OR(资金流水!$X$630="应付材料款",资金流水!$X$630="应付分包款",资金流水!$X$630="应付机械运输费",资金流水!$X$630="应付其他款")),INT(资金流水!$B$630)*10000+625,"")</f>
      </c>
      <c r="CD626" s="2">
        <f>IF(($C$130&lt;&gt;"")*(应付登记!$D$630=$C$130)*ISNUMBER(应付登记!$J$630)*(应付登记!$J$630&gt;=_辅助!$J$4)*(应付登记!$J$630&lt;=_辅助!$J$2),1,0)</f>
        <v>0</v>
      </c>
    </row>
    <row r="627">
      <c r="BC627" s="2">
        <f>BC600+SUM(CD601:CD627)</f>
        <v>0</v>
      </c>
      <c r="BD627" s="2">
        <f>IF(AND($C$130&lt;&gt;"",资金流水!$J$631=$C$130,ISNUMBER(资金流水!$B$631),ISNUMBER(资金流水!$S$631),资金流水!$S$631&gt;=_辅助!$J$4,资金流水!$S$631&lt;=_辅助!$J$2,OR(资金流水!$X$631="应付材料款",资金流水!$X$631="应付分包款",资金流水!$X$631="应付机械运输费",资金流水!$X$631="应付其他款")),INT(资金流水!$B$631)*10000+626,"")</f>
      </c>
      <c r="CD627" s="2">
        <f>IF(($C$130&lt;&gt;"")*(应付登记!$D$631=$C$130)*ISNUMBER(应付登记!$J$631)*(应付登记!$J$631&gt;=_辅助!$J$4)*(应付登记!$J$631&lt;=_辅助!$J$2),1,0)</f>
        <v>0</v>
      </c>
    </row>
    <row r="628">
      <c r="BC628" s="2">
        <f>BC600+SUM(CD601:CD628)</f>
        <v>0</v>
      </c>
      <c r="BD628" s="2">
        <f>IF(AND($C$130&lt;&gt;"",资金流水!$J$632=$C$130,ISNUMBER(资金流水!$B$632),ISNUMBER(资金流水!$S$632),资金流水!$S$632&gt;=_辅助!$J$4,资金流水!$S$632&lt;=_辅助!$J$2,OR(资金流水!$X$632="应付材料款",资金流水!$X$632="应付分包款",资金流水!$X$632="应付机械运输费",资金流水!$X$632="应付其他款")),INT(资金流水!$B$632)*10000+627,"")</f>
      </c>
      <c r="CD628" s="2">
        <f>IF(($C$130&lt;&gt;"")*(应付登记!$D$632=$C$130)*ISNUMBER(应付登记!$J$632)*(应付登记!$J$632&gt;=_辅助!$J$4)*(应付登记!$J$632&lt;=_辅助!$J$2),1,0)</f>
        <v>0</v>
      </c>
    </row>
    <row r="629">
      <c r="BC629" s="2">
        <f>BC600+SUM(CD601:CD629)</f>
        <v>0</v>
      </c>
      <c r="BD629" s="2">
        <f>IF(AND($C$130&lt;&gt;"",资金流水!$J$633=$C$130,ISNUMBER(资金流水!$B$633),ISNUMBER(资金流水!$S$633),资金流水!$S$633&gt;=_辅助!$J$4,资金流水!$S$633&lt;=_辅助!$J$2,OR(资金流水!$X$633="应付材料款",资金流水!$X$633="应付分包款",资金流水!$X$633="应付机械运输费",资金流水!$X$633="应付其他款")),INT(资金流水!$B$633)*10000+628,"")</f>
      </c>
      <c r="CD629" s="2">
        <f>IF(($C$130&lt;&gt;"")*(应付登记!$D$633=$C$130)*ISNUMBER(应付登记!$J$633)*(应付登记!$J$633&gt;=_辅助!$J$4)*(应付登记!$J$633&lt;=_辅助!$J$2),1,0)</f>
        <v>0</v>
      </c>
    </row>
    <row r="630">
      <c r="BC630" s="2">
        <f>BC600+SUM(CD601:CD630)</f>
        <v>0</v>
      </c>
      <c r="BD630" s="2">
        <f>IF(AND($C$130&lt;&gt;"",资金流水!$J$634=$C$130,ISNUMBER(资金流水!$B$634),ISNUMBER(资金流水!$S$634),资金流水!$S$634&gt;=_辅助!$J$4,资金流水!$S$634&lt;=_辅助!$J$2,OR(资金流水!$X$634="应付材料款",资金流水!$X$634="应付分包款",资金流水!$X$634="应付机械运输费",资金流水!$X$634="应付其他款")),INT(资金流水!$B$634)*10000+629,"")</f>
      </c>
      <c r="CD630" s="2">
        <f>IF(($C$130&lt;&gt;"")*(应付登记!$D$634=$C$130)*ISNUMBER(应付登记!$J$634)*(应付登记!$J$634&gt;=_辅助!$J$4)*(应付登记!$J$634&lt;=_辅助!$J$2),1,0)</f>
        <v>0</v>
      </c>
    </row>
    <row r="631">
      <c r="BC631" s="2">
        <f>BC600+SUM(CD601:CD631)</f>
        <v>0</v>
      </c>
      <c r="BD631" s="2">
        <f>IF(AND($C$130&lt;&gt;"",资金流水!$J$635=$C$130,ISNUMBER(资金流水!$B$635),ISNUMBER(资金流水!$S$635),资金流水!$S$635&gt;=_辅助!$J$4,资金流水!$S$635&lt;=_辅助!$J$2,OR(资金流水!$X$635="应付材料款",资金流水!$X$635="应付分包款",资金流水!$X$635="应付机械运输费",资金流水!$X$635="应付其他款")),INT(资金流水!$B$635)*10000+630,"")</f>
      </c>
      <c r="CD631" s="2">
        <f>IF(($C$130&lt;&gt;"")*(应付登记!$D$635=$C$130)*ISNUMBER(应付登记!$J$635)*(应付登记!$J$635&gt;=_辅助!$J$4)*(应付登记!$J$635&lt;=_辅助!$J$2),1,0)</f>
        <v>0</v>
      </c>
    </row>
    <row r="632">
      <c r="BC632" s="2">
        <f>BC600+SUM(CD601:CD632)</f>
        <v>0</v>
      </c>
      <c r="BD632" s="2">
        <f>IF(AND($C$130&lt;&gt;"",资金流水!$J$636=$C$130,ISNUMBER(资金流水!$B$636),ISNUMBER(资金流水!$S$636),资金流水!$S$636&gt;=_辅助!$J$4,资金流水!$S$636&lt;=_辅助!$J$2,OR(资金流水!$X$636="应付材料款",资金流水!$X$636="应付分包款",资金流水!$X$636="应付机械运输费",资金流水!$X$636="应付其他款")),INT(资金流水!$B$636)*10000+631,"")</f>
      </c>
      <c r="CD632" s="2">
        <f>IF(($C$130&lt;&gt;"")*(应付登记!$D$636=$C$130)*ISNUMBER(应付登记!$J$636)*(应付登记!$J$636&gt;=_辅助!$J$4)*(应付登记!$J$636&lt;=_辅助!$J$2),1,0)</f>
        <v>0</v>
      </c>
    </row>
    <row r="633">
      <c r="BC633" s="2">
        <f>BC600+SUM(CD601:CD633)</f>
        <v>0</v>
      </c>
      <c r="BD633" s="2">
        <f>IF(AND($C$130&lt;&gt;"",资金流水!$J$637=$C$130,ISNUMBER(资金流水!$B$637),ISNUMBER(资金流水!$S$637),资金流水!$S$637&gt;=_辅助!$J$4,资金流水!$S$637&lt;=_辅助!$J$2,OR(资金流水!$X$637="应付材料款",资金流水!$X$637="应付分包款",资金流水!$X$637="应付机械运输费",资金流水!$X$637="应付其他款")),INT(资金流水!$B$637)*10000+632,"")</f>
      </c>
      <c r="CD633" s="2">
        <f>IF(($C$130&lt;&gt;"")*(应付登记!$D$637=$C$130)*ISNUMBER(应付登记!$J$637)*(应付登记!$J$637&gt;=_辅助!$J$4)*(应付登记!$J$637&lt;=_辅助!$J$2),1,0)</f>
        <v>0</v>
      </c>
    </row>
    <row r="634">
      <c r="BC634" s="2">
        <f>BC600+SUM(CD601:CD634)</f>
        <v>0</v>
      </c>
      <c r="BD634" s="2">
        <f>IF(AND($C$130&lt;&gt;"",资金流水!$J$638=$C$130,ISNUMBER(资金流水!$B$638),ISNUMBER(资金流水!$S$638),资金流水!$S$638&gt;=_辅助!$J$4,资金流水!$S$638&lt;=_辅助!$J$2,OR(资金流水!$X$638="应付材料款",资金流水!$X$638="应付分包款",资金流水!$X$638="应付机械运输费",资金流水!$X$638="应付其他款")),INT(资金流水!$B$638)*10000+633,"")</f>
      </c>
      <c r="CD634" s="2">
        <f>IF(($C$130&lt;&gt;"")*(应付登记!$D$638=$C$130)*ISNUMBER(应付登记!$J$638)*(应付登记!$J$638&gt;=_辅助!$J$4)*(应付登记!$J$638&lt;=_辅助!$J$2),1,0)</f>
        <v>0</v>
      </c>
    </row>
    <row r="635">
      <c r="BC635" s="2">
        <f>BC600+SUM(CD601:CD635)</f>
        <v>0</v>
      </c>
      <c r="BD635" s="2">
        <f>IF(AND($C$130&lt;&gt;"",资金流水!$J$639=$C$130,ISNUMBER(资金流水!$B$639),ISNUMBER(资金流水!$S$639),资金流水!$S$639&gt;=_辅助!$J$4,资金流水!$S$639&lt;=_辅助!$J$2,OR(资金流水!$X$639="应付材料款",资金流水!$X$639="应付分包款",资金流水!$X$639="应付机械运输费",资金流水!$X$639="应付其他款")),INT(资金流水!$B$639)*10000+634,"")</f>
      </c>
      <c r="CD635" s="2">
        <f>IF(($C$130&lt;&gt;"")*(应付登记!$D$639=$C$130)*ISNUMBER(应付登记!$J$639)*(应付登记!$J$639&gt;=_辅助!$J$4)*(应付登记!$J$639&lt;=_辅助!$J$2),1,0)</f>
        <v>0</v>
      </c>
    </row>
    <row r="636">
      <c r="BC636" s="2">
        <f>BC600+SUM(CD601:CD636)</f>
        <v>0</v>
      </c>
      <c r="BD636" s="2">
        <f>IF(AND($C$130&lt;&gt;"",资金流水!$J$640=$C$130,ISNUMBER(资金流水!$B$640),ISNUMBER(资金流水!$S$640),资金流水!$S$640&gt;=_辅助!$J$4,资金流水!$S$640&lt;=_辅助!$J$2,OR(资金流水!$X$640="应付材料款",资金流水!$X$640="应付分包款",资金流水!$X$640="应付机械运输费",资金流水!$X$640="应付其他款")),INT(资金流水!$B$640)*10000+635,"")</f>
      </c>
      <c r="CD636" s="2">
        <f>IF(($C$130&lt;&gt;"")*(应付登记!$D$640=$C$130)*ISNUMBER(应付登记!$J$640)*(应付登记!$J$640&gt;=_辅助!$J$4)*(应付登记!$J$640&lt;=_辅助!$J$2),1,0)</f>
        <v>0</v>
      </c>
    </row>
    <row r="637">
      <c r="BC637" s="2">
        <f>BC600+SUM(CD601:CD637)</f>
        <v>0</v>
      </c>
      <c r="BD637" s="2">
        <f>IF(AND($C$130&lt;&gt;"",资金流水!$J$641=$C$130,ISNUMBER(资金流水!$B$641),ISNUMBER(资金流水!$S$641),资金流水!$S$641&gt;=_辅助!$J$4,资金流水!$S$641&lt;=_辅助!$J$2,OR(资金流水!$X$641="应付材料款",资金流水!$X$641="应付分包款",资金流水!$X$641="应付机械运输费",资金流水!$X$641="应付其他款")),INT(资金流水!$B$641)*10000+636,"")</f>
      </c>
      <c r="CD637" s="2">
        <f>IF(($C$130&lt;&gt;"")*(应付登记!$D$641=$C$130)*ISNUMBER(应付登记!$J$641)*(应付登记!$J$641&gt;=_辅助!$J$4)*(应付登记!$J$641&lt;=_辅助!$J$2),1,0)</f>
        <v>0</v>
      </c>
    </row>
    <row r="638">
      <c r="BC638" s="2">
        <f>BC600+SUM(CD601:CD638)</f>
        <v>0</v>
      </c>
      <c r="BD638" s="2">
        <f>IF(AND($C$130&lt;&gt;"",资金流水!$J$642=$C$130,ISNUMBER(资金流水!$B$642),ISNUMBER(资金流水!$S$642),资金流水!$S$642&gt;=_辅助!$J$4,资金流水!$S$642&lt;=_辅助!$J$2,OR(资金流水!$X$642="应付材料款",资金流水!$X$642="应付分包款",资金流水!$X$642="应付机械运输费",资金流水!$X$642="应付其他款")),INT(资金流水!$B$642)*10000+637,"")</f>
      </c>
      <c r="CD638" s="2">
        <f>IF(($C$130&lt;&gt;"")*(应付登记!$D$642=$C$130)*ISNUMBER(应付登记!$J$642)*(应付登记!$J$642&gt;=_辅助!$J$4)*(应付登记!$J$642&lt;=_辅助!$J$2),1,0)</f>
        <v>0</v>
      </c>
    </row>
    <row r="639">
      <c r="BC639" s="2">
        <f>BC600+SUM(CD601:CD639)</f>
        <v>0</v>
      </c>
      <c r="BD639" s="2">
        <f>IF(AND($C$130&lt;&gt;"",资金流水!$J$643=$C$130,ISNUMBER(资金流水!$B$643),ISNUMBER(资金流水!$S$643),资金流水!$S$643&gt;=_辅助!$J$4,资金流水!$S$643&lt;=_辅助!$J$2,OR(资金流水!$X$643="应付材料款",资金流水!$X$643="应付分包款",资金流水!$X$643="应付机械运输费",资金流水!$X$643="应付其他款")),INT(资金流水!$B$643)*10000+638,"")</f>
      </c>
      <c r="CD639" s="2">
        <f>IF(($C$130&lt;&gt;"")*(应付登记!$D$643=$C$130)*ISNUMBER(应付登记!$J$643)*(应付登记!$J$643&gt;=_辅助!$J$4)*(应付登记!$J$643&lt;=_辅助!$J$2),1,0)</f>
        <v>0</v>
      </c>
    </row>
    <row r="640">
      <c r="BC640" s="2">
        <f>BC600+SUM(CD601:CD640)</f>
        <v>0</v>
      </c>
      <c r="BD640" s="2">
        <f>IF(AND($C$130&lt;&gt;"",资金流水!$J$644=$C$130,ISNUMBER(资金流水!$B$644),ISNUMBER(资金流水!$S$644),资金流水!$S$644&gt;=_辅助!$J$4,资金流水!$S$644&lt;=_辅助!$J$2,OR(资金流水!$X$644="应付材料款",资金流水!$X$644="应付分包款",资金流水!$X$644="应付机械运输费",资金流水!$X$644="应付其他款")),INT(资金流水!$B$644)*10000+639,"")</f>
      </c>
      <c r="CD640" s="2">
        <f>IF(($C$130&lt;&gt;"")*(应付登记!$D$644=$C$130)*ISNUMBER(应付登记!$J$644)*(应付登记!$J$644&gt;=_辅助!$J$4)*(应付登记!$J$644&lt;=_辅助!$J$2),1,0)</f>
        <v>0</v>
      </c>
    </row>
    <row r="641">
      <c r="BC641" s="2">
        <f>BC600+SUM(CD601:CD641)</f>
        <v>0</v>
      </c>
      <c r="BD641" s="2">
        <f>IF(AND($C$130&lt;&gt;"",资金流水!$J$645=$C$130,ISNUMBER(资金流水!$B$645),ISNUMBER(资金流水!$S$645),资金流水!$S$645&gt;=_辅助!$J$4,资金流水!$S$645&lt;=_辅助!$J$2,OR(资金流水!$X$645="应付材料款",资金流水!$X$645="应付分包款",资金流水!$X$645="应付机械运输费",资金流水!$X$645="应付其他款")),INT(资金流水!$B$645)*10000+640,"")</f>
      </c>
      <c r="CD641" s="2">
        <f>IF(($C$130&lt;&gt;"")*(应付登记!$D$645=$C$130)*ISNUMBER(应付登记!$J$645)*(应付登记!$J$645&gt;=_辅助!$J$4)*(应付登记!$J$645&lt;=_辅助!$J$2),1,0)</f>
        <v>0</v>
      </c>
    </row>
    <row r="642">
      <c r="BC642" s="2">
        <f>BC600+SUM(CD601:CD642)</f>
        <v>0</v>
      </c>
      <c r="BD642" s="2">
        <f>IF(AND($C$130&lt;&gt;"",资金流水!$J$646=$C$130,ISNUMBER(资金流水!$B$646),ISNUMBER(资金流水!$S$646),资金流水!$S$646&gt;=_辅助!$J$4,资金流水!$S$646&lt;=_辅助!$J$2,OR(资金流水!$X$646="应付材料款",资金流水!$X$646="应付分包款",资金流水!$X$646="应付机械运输费",资金流水!$X$646="应付其他款")),INT(资金流水!$B$646)*10000+641,"")</f>
      </c>
      <c r="CD642" s="2">
        <f>IF(($C$130&lt;&gt;"")*(应付登记!$D$646=$C$130)*ISNUMBER(应付登记!$J$646)*(应付登记!$J$646&gt;=_辅助!$J$4)*(应付登记!$J$646&lt;=_辅助!$J$2),1,0)</f>
        <v>0</v>
      </c>
    </row>
    <row r="643">
      <c r="BC643" s="2">
        <f>BC600+SUM(CD601:CD643)</f>
        <v>0</v>
      </c>
      <c r="BD643" s="2">
        <f>IF(AND($C$130&lt;&gt;"",资金流水!$J$647=$C$130,ISNUMBER(资金流水!$B$647),ISNUMBER(资金流水!$S$647),资金流水!$S$647&gt;=_辅助!$J$4,资金流水!$S$647&lt;=_辅助!$J$2,OR(资金流水!$X$647="应付材料款",资金流水!$X$647="应付分包款",资金流水!$X$647="应付机械运输费",资金流水!$X$647="应付其他款")),INT(资金流水!$B$647)*10000+642,"")</f>
      </c>
      <c r="CD643" s="2">
        <f>IF(($C$130&lt;&gt;"")*(应付登记!$D$647=$C$130)*ISNUMBER(应付登记!$J$647)*(应付登记!$J$647&gt;=_辅助!$J$4)*(应付登记!$J$647&lt;=_辅助!$J$2),1,0)</f>
        <v>0</v>
      </c>
    </row>
    <row r="644">
      <c r="BC644" s="2">
        <f>BC600+SUM(CD601:CD644)</f>
        <v>0</v>
      </c>
      <c r="BD644" s="2">
        <f>IF(AND($C$130&lt;&gt;"",资金流水!$J$648=$C$130,ISNUMBER(资金流水!$B$648),ISNUMBER(资金流水!$S$648),资金流水!$S$648&gt;=_辅助!$J$4,资金流水!$S$648&lt;=_辅助!$J$2,OR(资金流水!$X$648="应付材料款",资金流水!$X$648="应付分包款",资金流水!$X$648="应付机械运输费",资金流水!$X$648="应付其他款")),INT(资金流水!$B$648)*10000+643,"")</f>
      </c>
      <c r="CD644" s="2">
        <f>IF(($C$130&lt;&gt;"")*(应付登记!$D$648=$C$130)*ISNUMBER(应付登记!$J$648)*(应付登记!$J$648&gt;=_辅助!$J$4)*(应付登记!$J$648&lt;=_辅助!$J$2),1,0)</f>
        <v>0</v>
      </c>
    </row>
    <row r="645">
      <c r="BC645" s="2">
        <f>BC600+SUM(CD601:CD645)</f>
        <v>0</v>
      </c>
      <c r="BD645" s="2">
        <f>IF(AND($C$130&lt;&gt;"",资金流水!$J$649=$C$130,ISNUMBER(资金流水!$B$649),ISNUMBER(资金流水!$S$649),资金流水!$S$649&gt;=_辅助!$J$4,资金流水!$S$649&lt;=_辅助!$J$2,OR(资金流水!$X$649="应付材料款",资金流水!$X$649="应付分包款",资金流水!$X$649="应付机械运输费",资金流水!$X$649="应付其他款")),INT(资金流水!$B$649)*10000+644,"")</f>
      </c>
      <c r="CD645" s="2">
        <f>IF(($C$130&lt;&gt;"")*(应付登记!$D$649=$C$130)*ISNUMBER(应付登记!$J$649)*(应付登记!$J$649&gt;=_辅助!$J$4)*(应付登记!$J$649&lt;=_辅助!$J$2),1,0)</f>
        <v>0</v>
      </c>
    </row>
    <row r="646">
      <c r="BC646" s="2">
        <f>BC600+SUM(CD601:CD646)</f>
        <v>0</v>
      </c>
      <c r="BD646" s="2">
        <f>IF(AND($C$130&lt;&gt;"",资金流水!$J$650=$C$130,ISNUMBER(资金流水!$B$650),ISNUMBER(资金流水!$S$650),资金流水!$S$650&gt;=_辅助!$J$4,资金流水!$S$650&lt;=_辅助!$J$2,OR(资金流水!$X$650="应付材料款",资金流水!$X$650="应付分包款",资金流水!$X$650="应付机械运输费",资金流水!$X$650="应付其他款")),INT(资金流水!$B$650)*10000+645,"")</f>
      </c>
      <c r="CD646" s="2">
        <f>IF(($C$130&lt;&gt;"")*(应付登记!$D$650=$C$130)*ISNUMBER(应付登记!$J$650)*(应付登记!$J$650&gt;=_辅助!$J$4)*(应付登记!$J$650&lt;=_辅助!$J$2),1,0)</f>
        <v>0</v>
      </c>
    </row>
    <row r="647">
      <c r="BC647" s="2">
        <f>BC600+SUM(CD601:CD647)</f>
        <v>0</v>
      </c>
      <c r="BD647" s="2">
        <f>IF(AND($C$130&lt;&gt;"",资金流水!$J$651=$C$130,ISNUMBER(资金流水!$B$651),ISNUMBER(资金流水!$S$651),资金流水!$S$651&gt;=_辅助!$J$4,资金流水!$S$651&lt;=_辅助!$J$2,OR(资金流水!$X$651="应付材料款",资金流水!$X$651="应付分包款",资金流水!$X$651="应付机械运输费",资金流水!$X$651="应付其他款")),INT(资金流水!$B$651)*10000+646,"")</f>
      </c>
      <c r="CD647" s="2">
        <f>IF(($C$130&lt;&gt;"")*(应付登记!$D$651=$C$130)*ISNUMBER(应付登记!$J$651)*(应付登记!$J$651&gt;=_辅助!$J$4)*(应付登记!$J$651&lt;=_辅助!$J$2),1,0)</f>
        <v>0</v>
      </c>
    </row>
    <row r="648">
      <c r="BC648" s="2">
        <f>BC600+SUM(CD601:CD648)</f>
        <v>0</v>
      </c>
      <c r="BD648" s="2">
        <f>IF(AND($C$130&lt;&gt;"",资金流水!$J$652=$C$130,ISNUMBER(资金流水!$B$652),ISNUMBER(资金流水!$S$652),资金流水!$S$652&gt;=_辅助!$J$4,资金流水!$S$652&lt;=_辅助!$J$2,OR(资金流水!$X$652="应付材料款",资金流水!$X$652="应付分包款",资金流水!$X$652="应付机械运输费",资金流水!$X$652="应付其他款")),INT(资金流水!$B$652)*10000+647,"")</f>
      </c>
      <c r="CD648" s="2">
        <f>IF(($C$130&lt;&gt;"")*(应付登记!$D$652=$C$130)*ISNUMBER(应付登记!$J$652)*(应付登记!$J$652&gt;=_辅助!$J$4)*(应付登记!$J$652&lt;=_辅助!$J$2),1,0)</f>
        <v>0</v>
      </c>
    </row>
    <row r="649">
      <c r="BC649" s="2">
        <f>BC600+SUM(CD601:CD649)</f>
        <v>0</v>
      </c>
      <c r="BD649" s="2">
        <f>IF(AND($C$130&lt;&gt;"",资金流水!$J$653=$C$130,ISNUMBER(资金流水!$B$653),ISNUMBER(资金流水!$S$653),资金流水!$S$653&gt;=_辅助!$J$4,资金流水!$S$653&lt;=_辅助!$J$2,OR(资金流水!$X$653="应付材料款",资金流水!$X$653="应付分包款",资金流水!$X$653="应付机械运输费",资金流水!$X$653="应付其他款")),INT(资金流水!$B$653)*10000+648,"")</f>
      </c>
      <c r="CD649" s="2">
        <f>IF(($C$130&lt;&gt;"")*(应付登记!$D$653=$C$130)*ISNUMBER(应付登记!$J$653)*(应付登记!$J$653&gt;=_辅助!$J$4)*(应付登记!$J$653&lt;=_辅助!$J$2),1,0)</f>
        <v>0</v>
      </c>
    </row>
    <row r="650">
      <c r="BC650" s="2">
        <f>BC600+SUM(CD601:CD650)</f>
        <v>0</v>
      </c>
      <c r="BD650" s="2">
        <f>IF(AND($C$130&lt;&gt;"",资金流水!$J$654=$C$130,ISNUMBER(资金流水!$B$654),ISNUMBER(资金流水!$S$654),资金流水!$S$654&gt;=_辅助!$J$4,资金流水!$S$654&lt;=_辅助!$J$2,OR(资金流水!$X$654="应付材料款",资金流水!$X$654="应付分包款",资金流水!$X$654="应付机械运输费",资金流水!$X$654="应付其他款")),INT(资金流水!$B$654)*10000+649,"")</f>
      </c>
      <c r="CD650" s="2">
        <f>IF(($C$130&lt;&gt;"")*(应付登记!$D$654=$C$130)*ISNUMBER(应付登记!$J$654)*(应付登记!$J$654&gt;=_辅助!$J$4)*(应付登记!$J$654&lt;=_辅助!$J$2),1,0)</f>
        <v>0</v>
      </c>
    </row>
    <row r="651">
      <c r="BC651" s="2">
        <f>BC650+SUM(CD651:CD651)</f>
        <v>0</v>
      </c>
      <c r="BD651" s="2">
        <f>IF(AND($C$130&lt;&gt;"",资金流水!$J$655=$C$130,ISNUMBER(资金流水!$B$655),ISNUMBER(资金流水!$S$655),资金流水!$S$655&gt;=_辅助!$J$4,资金流水!$S$655&lt;=_辅助!$J$2,OR(资金流水!$X$655="应付材料款",资金流水!$X$655="应付分包款",资金流水!$X$655="应付机械运输费",资金流水!$X$655="应付其他款")),INT(资金流水!$B$655)*10000+650,"")</f>
      </c>
      <c r="CD651" s="2">
        <f>IF(($C$130&lt;&gt;"")*(应付登记!$D$655=$C$130)*ISNUMBER(应付登记!$J$655)*(应付登记!$J$655&gt;=_辅助!$J$4)*(应付登记!$J$655&lt;=_辅助!$J$2),1,0)</f>
        <v>0</v>
      </c>
    </row>
    <row r="652">
      <c r="BC652" s="2">
        <f>BC650+SUM(CD651:CD652)</f>
        <v>0</v>
      </c>
      <c r="BD652" s="2">
        <f>IF(AND($C$130&lt;&gt;"",资金流水!$J$656=$C$130,ISNUMBER(资金流水!$B$656),ISNUMBER(资金流水!$S$656),资金流水!$S$656&gt;=_辅助!$J$4,资金流水!$S$656&lt;=_辅助!$J$2,OR(资金流水!$X$656="应付材料款",资金流水!$X$656="应付分包款",资金流水!$X$656="应付机械运输费",资金流水!$X$656="应付其他款")),INT(资金流水!$B$656)*10000+651,"")</f>
      </c>
      <c r="CD652" s="2">
        <f>IF(($C$130&lt;&gt;"")*(应付登记!$D$656=$C$130)*ISNUMBER(应付登记!$J$656)*(应付登记!$J$656&gt;=_辅助!$J$4)*(应付登记!$J$656&lt;=_辅助!$J$2),1,0)</f>
        <v>0</v>
      </c>
    </row>
    <row r="653">
      <c r="BC653" s="2">
        <f>BC650+SUM(CD651:CD653)</f>
        <v>0</v>
      </c>
      <c r="BD653" s="2">
        <f>IF(AND($C$130&lt;&gt;"",资金流水!$J$657=$C$130,ISNUMBER(资金流水!$B$657),ISNUMBER(资金流水!$S$657),资金流水!$S$657&gt;=_辅助!$J$4,资金流水!$S$657&lt;=_辅助!$J$2,OR(资金流水!$X$657="应付材料款",资金流水!$X$657="应付分包款",资金流水!$X$657="应付机械运输费",资金流水!$X$657="应付其他款")),INT(资金流水!$B$657)*10000+652,"")</f>
      </c>
      <c r="CD653" s="2">
        <f>IF(($C$130&lt;&gt;"")*(应付登记!$D$657=$C$130)*ISNUMBER(应付登记!$J$657)*(应付登记!$J$657&gt;=_辅助!$J$4)*(应付登记!$J$657&lt;=_辅助!$J$2),1,0)</f>
        <v>0</v>
      </c>
    </row>
    <row r="654">
      <c r="BC654" s="2">
        <f>BC650+SUM(CD651:CD654)</f>
        <v>0</v>
      </c>
      <c r="BD654" s="2">
        <f>IF(AND($C$130&lt;&gt;"",资金流水!$J$658=$C$130,ISNUMBER(资金流水!$B$658),ISNUMBER(资金流水!$S$658),资金流水!$S$658&gt;=_辅助!$J$4,资金流水!$S$658&lt;=_辅助!$J$2,OR(资金流水!$X$658="应付材料款",资金流水!$X$658="应付分包款",资金流水!$X$658="应付机械运输费",资金流水!$X$658="应付其他款")),INT(资金流水!$B$658)*10000+653,"")</f>
      </c>
      <c r="CD654" s="2">
        <f>IF(($C$130&lt;&gt;"")*(应付登记!$D$658=$C$130)*ISNUMBER(应付登记!$J$658)*(应付登记!$J$658&gt;=_辅助!$J$4)*(应付登记!$J$658&lt;=_辅助!$J$2),1,0)</f>
        <v>0</v>
      </c>
    </row>
    <row r="655">
      <c r="BC655" s="2">
        <f>BC650+SUM(CD651:CD655)</f>
        <v>0</v>
      </c>
      <c r="BD655" s="2">
        <f>IF(AND($C$130&lt;&gt;"",资金流水!$J$659=$C$130,ISNUMBER(资金流水!$B$659),ISNUMBER(资金流水!$S$659),资金流水!$S$659&gt;=_辅助!$J$4,资金流水!$S$659&lt;=_辅助!$J$2,OR(资金流水!$X$659="应付材料款",资金流水!$X$659="应付分包款",资金流水!$X$659="应付机械运输费",资金流水!$X$659="应付其他款")),INT(资金流水!$B$659)*10000+654,"")</f>
      </c>
      <c r="CD655" s="2">
        <f>IF(($C$130&lt;&gt;"")*(应付登记!$D$659=$C$130)*ISNUMBER(应付登记!$J$659)*(应付登记!$J$659&gt;=_辅助!$J$4)*(应付登记!$J$659&lt;=_辅助!$J$2),1,0)</f>
        <v>0</v>
      </c>
    </row>
    <row r="656">
      <c r="BC656" s="2">
        <f>BC650+SUM(CD651:CD656)</f>
        <v>0</v>
      </c>
      <c r="BD656" s="2">
        <f>IF(AND($C$130&lt;&gt;"",资金流水!$J$660=$C$130,ISNUMBER(资金流水!$B$660),ISNUMBER(资金流水!$S$660),资金流水!$S$660&gt;=_辅助!$J$4,资金流水!$S$660&lt;=_辅助!$J$2,OR(资金流水!$X$660="应付材料款",资金流水!$X$660="应付分包款",资金流水!$X$660="应付机械运输费",资金流水!$X$660="应付其他款")),INT(资金流水!$B$660)*10000+655,"")</f>
      </c>
      <c r="CD656" s="2">
        <f>IF(($C$130&lt;&gt;"")*(应付登记!$D$660=$C$130)*ISNUMBER(应付登记!$J$660)*(应付登记!$J$660&gt;=_辅助!$J$4)*(应付登记!$J$660&lt;=_辅助!$J$2),1,0)</f>
        <v>0</v>
      </c>
    </row>
    <row r="657">
      <c r="BC657" s="2">
        <f>BC650+SUM(CD651:CD657)</f>
        <v>0</v>
      </c>
      <c r="BD657" s="2">
        <f>IF(AND($C$130&lt;&gt;"",资金流水!$J$661=$C$130,ISNUMBER(资金流水!$B$661),ISNUMBER(资金流水!$S$661),资金流水!$S$661&gt;=_辅助!$J$4,资金流水!$S$661&lt;=_辅助!$J$2,OR(资金流水!$X$661="应付材料款",资金流水!$X$661="应付分包款",资金流水!$X$661="应付机械运输费",资金流水!$X$661="应付其他款")),INT(资金流水!$B$661)*10000+656,"")</f>
      </c>
      <c r="CD657" s="2">
        <f>IF(($C$130&lt;&gt;"")*(应付登记!$D$661=$C$130)*ISNUMBER(应付登记!$J$661)*(应付登记!$J$661&gt;=_辅助!$J$4)*(应付登记!$J$661&lt;=_辅助!$J$2),1,0)</f>
        <v>0</v>
      </c>
    </row>
    <row r="658">
      <c r="BC658" s="2">
        <f>BC650+SUM(CD651:CD658)</f>
        <v>0</v>
      </c>
      <c r="BD658" s="2">
        <f>IF(AND($C$130&lt;&gt;"",资金流水!$J$662=$C$130,ISNUMBER(资金流水!$B$662),ISNUMBER(资金流水!$S$662),资金流水!$S$662&gt;=_辅助!$J$4,资金流水!$S$662&lt;=_辅助!$J$2,OR(资金流水!$X$662="应付材料款",资金流水!$X$662="应付分包款",资金流水!$X$662="应付机械运输费",资金流水!$X$662="应付其他款")),INT(资金流水!$B$662)*10000+657,"")</f>
      </c>
      <c r="CD658" s="2">
        <f>IF(($C$130&lt;&gt;"")*(应付登记!$D$662=$C$130)*ISNUMBER(应付登记!$J$662)*(应付登记!$J$662&gt;=_辅助!$J$4)*(应付登记!$J$662&lt;=_辅助!$J$2),1,0)</f>
        <v>0</v>
      </c>
    </row>
    <row r="659">
      <c r="BC659" s="2">
        <f>BC650+SUM(CD651:CD659)</f>
        <v>0</v>
      </c>
      <c r="BD659" s="2">
        <f>IF(AND($C$130&lt;&gt;"",资金流水!$J$663=$C$130,ISNUMBER(资金流水!$B$663),ISNUMBER(资金流水!$S$663),资金流水!$S$663&gt;=_辅助!$J$4,资金流水!$S$663&lt;=_辅助!$J$2,OR(资金流水!$X$663="应付材料款",资金流水!$X$663="应付分包款",资金流水!$X$663="应付机械运输费",资金流水!$X$663="应付其他款")),INT(资金流水!$B$663)*10000+658,"")</f>
      </c>
      <c r="CD659" s="2">
        <f>IF(($C$130&lt;&gt;"")*(应付登记!$D$663=$C$130)*ISNUMBER(应付登记!$J$663)*(应付登记!$J$663&gt;=_辅助!$J$4)*(应付登记!$J$663&lt;=_辅助!$J$2),1,0)</f>
        <v>0</v>
      </c>
    </row>
    <row r="660">
      <c r="BC660" s="2">
        <f>BC650+SUM(CD651:CD660)</f>
        <v>0</v>
      </c>
      <c r="BD660" s="2">
        <f>IF(AND($C$130&lt;&gt;"",资金流水!$J$664=$C$130,ISNUMBER(资金流水!$B$664),ISNUMBER(资金流水!$S$664),资金流水!$S$664&gt;=_辅助!$J$4,资金流水!$S$664&lt;=_辅助!$J$2,OR(资金流水!$X$664="应付材料款",资金流水!$X$664="应付分包款",资金流水!$X$664="应付机械运输费",资金流水!$X$664="应付其他款")),INT(资金流水!$B$664)*10000+659,"")</f>
      </c>
      <c r="CD660" s="2">
        <f>IF(($C$130&lt;&gt;"")*(应付登记!$D$664=$C$130)*ISNUMBER(应付登记!$J$664)*(应付登记!$J$664&gt;=_辅助!$J$4)*(应付登记!$J$664&lt;=_辅助!$J$2),1,0)</f>
        <v>0</v>
      </c>
    </row>
    <row r="661">
      <c r="BC661" s="2">
        <f>BC650+SUM(CD651:CD661)</f>
        <v>0</v>
      </c>
      <c r="BD661" s="2">
        <f>IF(AND($C$130&lt;&gt;"",资金流水!$J$665=$C$130,ISNUMBER(资金流水!$B$665),ISNUMBER(资金流水!$S$665),资金流水!$S$665&gt;=_辅助!$J$4,资金流水!$S$665&lt;=_辅助!$J$2,OR(资金流水!$X$665="应付材料款",资金流水!$X$665="应付分包款",资金流水!$X$665="应付机械运输费",资金流水!$X$665="应付其他款")),INT(资金流水!$B$665)*10000+660,"")</f>
      </c>
      <c r="CD661" s="2">
        <f>IF(($C$130&lt;&gt;"")*(应付登记!$D$665=$C$130)*ISNUMBER(应付登记!$J$665)*(应付登记!$J$665&gt;=_辅助!$J$4)*(应付登记!$J$665&lt;=_辅助!$J$2),1,0)</f>
        <v>0</v>
      </c>
    </row>
    <row r="662">
      <c r="BC662" s="2">
        <f>BC650+SUM(CD651:CD662)</f>
        <v>0</v>
      </c>
      <c r="BD662" s="2">
        <f>IF(AND($C$130&lt;&gt;"",资金流水!$J$666=$C$130,ISNUMBER(资金流水!$B$666),ISNUMBER(资金流水!$S$666),资金流水!$S$666&gt;=_辅助!$J$4,资金流水!$S$666&lt;=_辅助!$J$2,OR(资金流水!$X$666="应付材料款",资金流水!$X$666="应付分包款",资金流水!$X$666="应付机械运输费",资金流水!$X$666="应付其他款")),INT(资金流水!$B$666)*10000+661,"")</f>
      </c>
      <c r="CD662" s="2">
        <f>IF(($C$130&lt;&gt;"")*(应付登记!$D$666=$C$130)*ISNUMBER(应付登记!$J$666)*(应付登记!$J$666&gt;=_辅助!$J$4)*(应付登记!$J$666&lt;=_辅助!$J$2),1,0)</f>
        <v>0</v>
      </c>
    </row>
    <row r="663">
      <c r="BC663" s="2">
        <f>BC650+SUM(CD651:CD663)</f>
        <v>0</v>
      </c>
      <c r="BD663" s="2">
        <f>IF(AND($C$130&lt;&gt;"",资金流水!$J$667=$C$130,ISNUMBER(资金流水!$B$667),ISNUMBER(资金流水!$S$667),资金流水!$S$667&gt;=_辅助!$J$4,资金流水!$S$667&lt;=_辅助!$J$2,OR(资金流水!$X$667="应付材料款",资金流水!$X$667="应付分包款",资金流水!$X$667="应付机械运输费",资金流水!$X$667="应付其他款")),INT(资金流水!$B$667)*10000+662,"")</f>
      </c>
      <c r="CD663" s="2">
        <f>IF(($C$130&lt;&gt;"")*(应付登记!$D$667=$C$130)*ISNUMBER(应付登记!$J$667)*(应付登记!$J$667&gt;=_辅助!$J$4)*(应付登记!$J$667&lt;=_辅助!$J$2),1,0)</f>
        <v>0</v>
      </c>
    </row>
    <row r="664">
      <c r="BC664" s="2">
        <f>BC650+SUM(CD651:CD664)</f>
        <v>0</v>
      </c>
      <c r="BD664" s="2">
        <f>IF(AND($C$130&lt;&gt;"",资金流水!$J$668=$C$130,ISNUMBER(资金流水!$B$668),ISNUMBER(资金流水!$S$668),资金流水!$S$668&gt;=_辅助!$J$4,资金流水!$S$668&lt;=_辅助!$J$2,OR(资金流水!$X$668="应付材料款",资金流水!$X$668="应付分包款",资金流水!$X$668="应付机械运输费",资金流水!$X$668="应付其他款")),INT(资金流水!$B$668)*10000+663,"")</f>
      </c>
      <c r="CD664" s="2">
        <f>IF(($C$130&lt;&gt;"")*(应付登记!$D$668=$C$130)*ISNUMBER(应付登记!$J$668)*(应付登记!$J$668&gt;=_辅助!$J$4)*(应付登记!$J$668&lt;=_辅助!$J$2),1,0)</f>
        <v>0</v>
      </c>
    </row>
    <row r="665">
      <c r="BC665" s="2">
        <f>BC650+SUM(CD651:CD665)</f>
        <v>0</v>
      </c>
      <c r="BD665" s="2">
        <f>IF(AND($C$130&lt;&gt;"",资金流水!$J$669=$C$130,ISNUMBER(资金流水!$B$669),ISNUMBER(资金流水!$S$669),资金流水!$S$669&gt;=_辅助!$J$4,资金流水!$S$669&lt;=_辅助!$J$2,OR(资金流水!$X$669="应付材料款",资金流水!$X$669="应付分包款",资金流水!$X$669="应付机械运输费",资金流水!$X$669="应付其他款")),INT(资金流水!$B$669)*10000+664,"")</f>
      </c>
      <c r="CD665" s="2">
        <f>IF(($C$130&lt;&gt;"")*(应付登记!$D$669=$C$130)*ISNUMBER(应付登记!$J$669)*(应付登记!$J$669&gt;=_辅助!$J$4)*(应付登记!$J$669&lt;=_辅助!$J$2),1,0)</f>
        <v>0</v>
      </c>
    </row>
    <row r="666">
      <c r="BC666" s="2">
        <f>BC650+SUM(CD651:CD666)</f>
        <v>0</v>
      </c>
      <c r="BD666" s="2">
        <f>IF(AND($C$130&lt;&gt;"",资金流水!$J$670=$C$130,ISNUMBER(资金流水!$B$670),ISNUMBER(资金流水!$S$670),资金流水!$S$670&gt;=_辅助!$J$4,资金流水!$S$670&lt;=_辅助!$J$2,OR(资金流水!$X$670="应付材料款",资金流水!$X$670="应付分包款",资金流水!$X$670="应付机械运输费",资金流水!$X$670="应付其他款")),INT(资金流水!$B$670)*10000+665,"")</f>
      </c>
      <c r="CD666" s="2">
        <f>IF(($C$130&lt;&gt;"")*(应付登记!$D$670=$C$130)*ISNUMBER(应付登记!$J$670)*(应付登记!$J$670&gt;=_辅助!$J$4)*(应付登记!$J$670&lt;=_辅助!$J$2),1,0)</f>
        <v>0</v>
      </c>
    </row>
    <row r="667">
      <c r="BC667" s="2">
        <f>BC650+SUM(CD651:CD667)</f>
        <v>0</v>
      </c>
      <c r="BD667" s="2">
        <f>IF(AND($C$130&lt;&gt;"",资金流水!$J$671=$C$130,ISNUMBER(资金流水!$B$671),ISNUMBER(资金流水!$S$671),资金流水!$S$671&gt;=_辅助!$J$4,资金流水!$S$671&lt;=_辅助!$J$2,OR(资金流水!$X$671="应付材料款",资金流水!$X$671="应付分包款",资金流水!$X$671="应付机械运输费",资金流水!$X$671="应付其他款")),INT(资金流水!$B$671)*10000+666,"")</f>
      </c>
      <c r="CD667" s="2">
        <f>IF(($C$130&lt;&gt;"")*(应付登记!$D$671=$C$130)*ISNUMBER(应付登记!$J$671)*(应付登记!$J$671&gt;=_辅助!$J$4)*(应付登记!$J$671&lt;=_辅助!$J$2),1,0)</f>
        <v>0</v>
      </c>
    </row>
    <row r="668">
      <c r="BC668" s="2">
        <f>BC650+SUM(CD651:CD668)</f>
        <v>0</v>
      </c>
      <c r="BD668" s="2">
        <f>IF(AND($C$130&lt;&gt;"",资金流水!$J$672=$C$130,ISNUMBER(资金流水!$B$672),ISNUMBER(资金流水!$S$672),资金流水!$S$672&gt;=_辅助!$J$4,资金流水!$S$672&lt;=_辅助!$J$2,OR(资金流水!$X$672="应付材料款",资金流水!$X$672="应付分包款",资金流水!$X$672="应付机械运输费",资金流水!$X$672="应付其他款")),INT(资金流水!$B$672)*10000+667,"")</f>
      </c>
      <c r="CD668" s="2">
        <f>IF(($C$130&lt;&gt;"")*(应付登记!$D$672=$C$130)*ISNUMBER(应付登记!$J$672)*(应付登记!$J$672&gt;=_辅助!$J$4)*(应付登记!$J$672&lt;=_辅助!$J$2),1,0)</f>
        <v>0</v>
      </c>
    </row>
    <row r="669">
      <c r="BC669" s="2">
        <f>BC650+SUM(CD651:CD669)</f>
        <v>0</v>
      </c>
      <c r="BD669" s="2">
        <f>IF(AND($C$130&lt;&gt;"",资金流水!$J$673=$C$130,ISNUMBER(资金流水!$B$673),ISNUMBER(资金流水!$S$673),资金流水!$S$673&gt;=_辅助!$J$4,资金流水!$S$673&lt;=_辅助!$J$2,OR(资金流水!$X$673="应付材料款",资金流水!$X$673="应付分包款",资金流水!$X$673="应付机械运输费",资金流水!$X$673="应付其他款")),INT(资金流水!$B$673)*10000+668,"")</f>
      </c>
      <c r="CD669" s="2">
        <f>IF(($C$130&lt;&gt;"")*(应付登记!$D$673=$C$130)*ISNUMBER(应付登记!$J$673)*(应付登记!$J$673&gt;=_辅助!$J$4)*(应付登记!$J$673&lt;=_辅助!$J$2),1,0)</f>
        <v>0</v>
      </c>
    </row>
    <row r="670">
      <c r="BC670" s="2">
        <f>BC650+SUM(CD651:CD670)</f>
        <v>0</v>
      </c>
      <c r="BD670" s="2">
        <f>IF(AND($C$130&lt;&gt;"",资金流水!$J$674=$C$130,ISNUMBER(资金流水!$B$674),ISNUMBER(资金流水!$S$674),资金流水!$S$674&gt;=_辅助!$J$4,资金流水!$S$674&lt;=_辅助!$J$2,OR(资金流水!$X$674="应付材料款",资金流水!$X$674="应付分包款",资金流水!$X$674="应付机械运输费",资金流水!$X$674="应付其他款")),INT(资金流水!$B$674)*10000+669,"")</f>
      </c>
      <c r="CD670" s="2">
        <f>IF(($C$130&lt;&gt;"")*(应付登记!$D$674=$C$130)*ISNUMBER(应付登记!$J$674)*(应付登记!$J$674&gt;=_辅助!$J$4)*(应付登记!$J$674&lt;=_辅助!$J$2),1,0)</f>
        <v>0</v>
      </c>
    </row>
    <row r="671">
      <c r="BC671" s="2">
        <f>BC650+SUM(CD651:CD671)</f>
        <v>0</v>
      </c>
      <c r="BD671" s="2">
        <f>IF(AND($C$130&lt;&gt;"",资金流水!$J$675=$C$130,ISNUMBER(资金流水!$B$675),ISNUMBER(资金流水!$S$675),资金流水!$S$675&gt;=_辅助!$J$4,资金流水!$S$675&lt;=_辅助!$J$2,OR(资金流水!$X$675="应付材料款",资金流水!$X$675="应付分包款",资金流水!$X$675="应付机械运输费",资金流水!$X$675="应付其他款")),INT(资金流水!$B$675)*10000+670,"")</f>
      </c>
      <c r="CD671" s="2">
        <f>IF(($C$130&lt;&gt;"")*(应付登记!$D$675=$C$130)*ISNUMBER(应付登记!$J$675)*(应付登记!$J$675&gt;=_辅助!$J$4)*(应付登记!$J$675&lt;=_辅助!$J$2),1,0)</f>
        <v>0</v>
      </c>
    </row>
    <row r="672">
      <c r="BC672" s="2">
        <f>BC650+SUM(CD651:CD672)</f>
        <v>0</v>
      </c>
      <c r="BD672" s="2">
        <f>IF(AND($C$130&lt;&gt;"",资金流水!$J$676=$C$130,ISNUMBER(资金流水!$B$676),ISNUMBER(资金流水!$S$676),资金流水!$S$676&gt;=_辅助!$J$4,资金流水!$S$676&lt;=_辅助!$J$2,OR(资金流水!$X$676="应付材料款",资金流水!$X$676="应付分包款",资金流水!$X$676="应付机械运输费",资金流水!$X$676="应付其他款")),INT(资金流水!$B$676)*10000+671,"")</f>
      </c>
      <c r="CD672" s="2">
        <f>IF(($C$130&lt;&gt;"")*(应付登记!$D$676=$C$130)*ISNUMBER(应付登记!$J$676)*(应付登记!$J$676&gt;=_辅助!$J$4)*(应付登记!$J$676&lt;=_辅助!$J$2),1,0)</f>
        <v>0</v>
      </c>
    </row>
    <row r="673">
      <c r="BC673" s="2">
        <f>BC650+SUM(CD651:CD673)</f>
        <v>0</v>
      </c>
      <c r="BD673" s="2">
        <f>IF(AND($C$130&lt;&gt;"",资金流水!$J$677=$C$130,ISNUMBER(资金流水!$B$677),ISNUMBER(资金流水!$S$677),资金流水!$S$677&gt;=_辅助!$J$4,资金流水!$S$677&lt;=_辅助!$J$2,OR(资金流水!$X$677="应付材料款",资金流水!$X$677="应付分包款",资金流水!$X$677="应付机械运输费",资金流水!$X$677="应付其他款")),INT(资金流水!$B$677)*10000+672,"")</f>
      </c>
      <c r="CD673" s="2">
        <f>IF(($C$130&lt;&gt;"")*(应付登记!$D$677=$C$130)*ISNUMBER(应付登记!$J$677)*(应付登记!$J$677&gt;=_辅助!$J$4)*(应付登记!$J$677&lt;=_辅助!$J$2),1,0)</f>
        <v>0</v>
      </c>
    </row>
    <row r="674">
      <c r="BC674" s="2">
        <f>BC650+SUM(CD651:CD674)</f>
        <v>0</v>
      </c>
      <c r="BD674" s="2">
        <f>IF(AND($C$130&lt;&gt;"",资金流水!$J$678=$C$130,ISNUMBER(资金流水!$B$678),ISNUMBER(资金流水!$S$678),资金流水!$S$678&gt;=_辅助!$J$4,资金流水!$S$678&lt;=_辅助!$J$2,OR(资金流水!$X$678="应付材料款",资金流水!$X$678="应付分包款",资金流水!$X$678="应付机械运输费",资金流水!$X$678="应付其他款")),INT(资金流水!$B$678)*10000+673,"")</f>
      </c>
      <c r="CD674" s="2">
        <f>IF(($C$130&lt;&gt;"")*(应付登记!$D$678=$C$130)*ISNUMBER(应付登记!$J$678)*(应付登记!$J$678&gt;=_辅助!$J$4)*(应付登记!$J$678&lt;=_辅助!$J$2),1,0)</f>
        <v>0</v>
      </c>
    </row>
    <row r="675">
      <c r="BC675" s="2">
        <f>BC650+SUM(CD651:CD675)</f>
        <v>0</v>
      </c>
      <c r="BD675" s="2">
        <f>IF(AND($C$130&lt;&gt;"",资金流水!$J$679=$C$130,ISNUMBER(资金流水!$B$679),ISNUMBER(资金流水!$S$679),资金流水!$S$679&gt;=_辅助!$J$4,资金流水!$S$679&lt;=_辅助!$J$2,OR(资金流水!$X$679="应付材料款",资金流水!$X$679="应付分包款",资金流水!$X$679="应付机械运输费",资金流水!$X$679="应付其他款")),INT(资金流水!$B$679)*10000+674,"")</f>
      </c>
      <c r="CD675" s="2">
        <f>IF(($C$130&lt;&gt;"")*(应付登记!$D$679=$C$130)*ISNUMBER(应付登记!$J$679)*(应付登记!$J$679&gt;=_辅助!$J$4)*(应付登记!$J$679&lt;=_辅助!$J$2),1,0)</f>
        <v>0</v>
      </c>
    </row>
    <row r="676">
      <c r="BC676" s="2">
        <f>BC650+SUM(CD651:CD676)</f>
        <v>0</v>
      </c>
      <c r="BD676" s="2">
        <f>IF(AND($C$130&lt;&gt;"",资金流水!$J$680=$C$130,ISNUMBER(资金流水!$B$680),ISNUMBER(资金流水!$S$680),资金流水!$S$680&gt;=_辅助!$J$4,资金流水!$S$680&lt;=_辅助!$J$2,OR(资金流水!$X$680="应付材料款",资金流水!$X$680="应付分包款",资金流水!$X$680="应付机械运输费",资金流水!$X$680="应付其他款")),INT(资金流水!$B$680)*10000+675,"")</f>
      </c>
      <c r="CD676" s="2">
        <f>IF(($C$130&lt;&gt;"")*(应付登记!$D$680=$C$130)*ISNUMBER(应付登记!$J$680)*(应付登记!$J$680&gt;=_辅助!$J$4)*(应付登记!$J$680&lt;=_辅助!$J$2),1,0)</f>
        <v>0</v>
      </c>
    </row>
    <row r="677">
      <c r="BC677" s="2">
        <f>BC650+SUM(CD651:CD677)</f>
        <v>0</v>
      </c>
      <c r="BD677" s="2">
        <f>IF(AND($C$130&lt;&gt;"",资金流水!$J$681=$C$130,ISNUMBER(资金流水!$B$681),ISNUMBER(资金流水!$S$681),资金流水!$S$681&gt;=_辅助!$J$4,资金流水!$S$681&lt;=_辅助!$J$2,OR(资金流水!$X$681="应付材料款",资金流水!$X$681="应付分包款",资金流水!$X$681="应付机械运输费",资金流水!$X$681="应付其他款")),INT(资金流水!$B$681)*10000+676,"")</f>
      </c>
      <c r="CD677" s="2">
        <f>IF(($C$130&lt;&gt;"")*(应付登记!$D$681=$C$130)*ISNUMBER(应付登记!$J$681)*(应付登记!$J$681&gt;=_辅助!$J$4)*(应付登记!$J$681&lt;=_辅助!$J$2),1,0)</f>
        <v>0</v>
      </c>
    </row>
    <row r="678">
      <c r="BC678" s="2">
        <f>BC650+SUM(CD651:CD678)</f>
        <v>0</v>
      </c>
      <c r="BD678" s="2">
        <f>IF(AND($C$130&lt;&gt;"",资金流水!$J$682=$C$130,ISNUMBER(资金流水!$B$682),ISNUMBER(资金流水!$S$682),资金流水!$S$682&gt;=_辅助!$J$4,资金流水!$S$682&lt;=_辅助!$J$2,OR(资金流水!$X$682="应付材料款",资金流水!$X$682="应付分包款",资金流水!$X$682="应付机械运输费",资金流水!$X$682="应付其他款")),INT(资金流水!$B$682)*10000+677,"")</f>
      </c>
      <c r="CD678" s="2">
        <f>IF(($C$130&lt;&gt;"")*(应付登记!$D$682=$C$130)*ISNUMBER(应付登记!$J$682)*(应付登记!$J$682&gt;=_辅助!$J$4)*(应付登记!$J$682&lt;=_辅助!$J$2),1,0)</f>
        <v>0</v>
      </c>
    </row>
    <row r="679">
      <c r="BC679" s="2">
        <f>BC650+SUM(CD651:CD679)</f>
        <v>0</v>
      </c>
      <c r="BD679" s="2">
        <f>IF(AND($C$130&lt;&gt;"",资金流水!$J$683=$C$130,ISNUMBER(资金流水!$B$683),ISNUMBER(资金流水!$S$683),资金流水!$S$683&gt;=_辅助!$J$4,资金流水!$S$683&lt;=_辅助!$J$2,OR(资金流水!$X$683="应付材料款",资金流水!$X$683="应付分包款",资金流水!$X$683="应付机械运输费",资金流水!$X$683="应付其他款")),INT(资金流水!$B$683)*10000+678,"")</f>
      </c>
      <c r="CD679" s="2">
        <f>IF(($C$130&lt;&gt;"")*(应付登记!$D$683=$C$130)*ISNUMBER(应付登记!$J$683)*(应付登记!$J$683&gt;=_辅助!$J$4)*(应付登记!$J$683&lt;=_辅助!$J$2),1,0)</f>
        <v>0</v>
      </c>
    </row>
    <row r="680">
      <c r="BC680" s="2">
        <f>BC650+SUM(CD651:CD680)</f>
        <v>0</v>
      </c>
      <c r="BD680" s="2">
        <f>IF(AND($C$130&lt;&gt;"",资金流水!$J$684=$C$130,ISNUMBER(资金流水!$B$684),ISNUMBER(资金流水!$S$684),资金流水!$S$684&gt;=_辅助!$J$4,资金流水!$S$684&lt;=_辅助!$J$2,OR(资金流水!$X$684="应付材料款",资金流水!$X$684="应付分包款",资金流水!$X$684="应付机械运输费",资金流水!$X$684="应付其他款")),INT(资金流水!$B$684)*10000+679,"")</f>
      </c>
      <c r="CD680" s="2">
        <f>IF(($C$130&lt;&gt;"")*(应付登记!$D$684=$C$130)*ISNUMBER(应付登记!$J$684)*(应付登记!$J$684&gt;=_辅助!$J$4)*(应付登记!$J$684&lt;=_辅助!$J$2),1,0)</f>
        <v>0</v>
      </c>
    </row>
    <row r="681">
      <c r="BC681" s="2">
        <f>BC650+SUM(CD651:CD681)</f>
        <v>0</v>
      </c>
      <c r="BD681" s="2">
        <f>IF(AND($C$130&lt;&gt;"",资金流水!$J$685=$C$130,ISNUMBER(资金流水!$B$685),ISNUMBER(资金流水!$S$685),资金流水!$S$685&gt;=_辅助!$J$4,资金流水!$S$685&lt;=_辅助!$J$2,OR(资金流水!$X$685="应付材料款",资金流水!$X$685="应付分包款",资金流水!$X$685="应付机械运输费",资金流水!$X$685="应付其他款")),INT(资金流水!$B$685)*10000+680,"")</f>
      </c>
      <c r="CD681" s="2">
        <f>IF(($C$130&lt;&gt;"")*(应付登记!$D$685=$C$130)*ISNUMBER(应付登记!$J$685)*(应付登记!$J$685&gt;=_辅助!$J$4)*(应付登记!$J$685&lt;=_辅助!$J$2),1,0)</f>
        <v>0</v>
      </c>
    </row>
    <row r="682">
      <c r="BC682" s="2">
        <f>BC650+SUM(CD651:CD682)</f>
        <v>0</v>
      </c>
      <c r="BD682" s="2">
        <f>IF(AND($C$130&lt;&gt;"",资金流水!$J$686=$C$130,ISNUMBER(资金流水!$B$686),ISNUMBER(资金流水!$S$686),资金流水!$S$686&gt;=_辅助!$J$4,资金流水!$S$686&lt;=_辅助!$J$2,OR(资金流水!$X$686="应付材料款",资金流水!$X$686="应付分包款",资金流水!$X$686="应付机械运输费",资金流水!$X$686="应付其他款")),INT(资金流水!$B$686)*10000+681,"")</f>
      </c>
      <c r="CD682" s="2">
        <f>IF(($C$130&lt;&gt;"")*(应付登记!$D$686=$C$130)*ISNUMBER(应付登记!$J$686)*(应付登记!$J$686&gt;=_辅助!$J$4)*(应付登记!$J$686&lt;=_辅助!$J$2),1,0)</f>
        <v>0</v>
      </c>
    </row>
    <row r="683">
      <c r="BC683" s="2">
        <f>BC650+SUM(CD651:CD683)</f>
        <v>0</v>
      </c>
      <c r="BD683" s="2">
        <f>IF(AND($C$130&lt;&gt;"",资金流水!$J$687=$C$130,ISNUMBER(资金流水!$B$687),ISNUMBER(资金流水!$S$687),资金流水!$S$687&gt;=_辅助!$J$4,资金流水!$S$687&lt;=_辅助!$J$2,OR(资金流水!$X$687="应付材料款",资金流水!$X$687="应付分包款",资金流水!$X$687="应付机械运输费",资金流水!$X$687="应付其他款")),INT(资金流水!$B$687)*10000+682,"")</f>
      </c>
      <c r="CD683" s="2">
        <f>IF(($C$130&lt;&gt;"")*(应付登记!$D$687=$C$130)*ISNUMBER(应付登记!$J$687)*(应付登记!$J$687&gt;=_辅助!$J$4)*(应付登记!$J$687&lt;=_辅助!$J$2),1,0)</f>
        <v>0</v>
      </c>
    </row>
    <row r="684">
      <c r="BC684" s="2">
        <f>BC650+SUM(CD651:CD684)</f>
        <v>0</v>
      </c>
      <c r="BD684" s="2">
        <f>IF(AND($C$130&lt;&gt;"",资金流水!$J$688=$C$130,ISNUMBER(资金流水!$B$688),ISNUMBER(资金流水!$S$688),资金流水!$S$688&gt;=_辅助!$J$4,资金流水!$S$688&lt;=_辅助!$J$2,OR(资金流水!$X$688="应付材料款",资金流水!$X$688="应付分包款",资金流水!$X$688="应付机械运输费",资金流水!$X$688="应付其他款")),INT(资金流水!$B$688)*10000+683,"")</f>
      </c>
      <c r="CD684" s="2">
        <f>IF(($C$130&lt;&gt;"")*(应付登记!$D$688=$C$130)*ISNUMBER(应付登记!$J$688)*(应付登记!$J$688&gt;=_辅助!$J$4)*(应付登记!$J$688&lt;=_辅助!$J$2),1,0)</f>
        <v>0</v>
      </c>
    </row>
    <row r="685">
      <c r="BC685" s="2">
        <f>BC650+SUM(CD651:CD685)</f>
        <v>0</v>
      </c>
      <c r="BD685" s="2">
        <f>IF(AND($C$130&lt;&gt;"",资金流水!$J$689=$C$130,ISNUMBER(资金流水!$B$689),ISNUMBER(资金流水!$S$689),资金流水!$S$689&gt;=_辅助!$J$4,资金流水!$S$689&lt;=_辅助!$J$2,OR(资金流水!$X$689="应付材料款",资金流水!$X$689="应付分包款",资金流水!$X$689="应付机械运输费",资金流水!$X$689="应付其他款")),INT(资金流水!$B$689)*10000+684,"")</f>
      </c>
      <c r="CD685" s="2">
        <f>IF(($C$130&lt;&gt;"")*(应付登记!$D$689=$C$130)*ISNUMBER(应付登记!$J$689)*(应付登记!$J$689&gt;=_辅助!$J$4)*(应付登记!$J$689&lt;=_辅助!$J$2),1,0)</f>
        <v>0</v>
      </c>
    </row>
    <row r="686">
      <c r="BC686" s="2">
        <f>BC650+SUM(CD651:CD686)</f>
        <v>0</v>
      </c>
      <c r="BD686" s="2">
        <f>IF(AND($C$130&lt;&gt;"",资金流水!$J$690=$C$130,ISNUMBER(资金流水!$B$690),ISNUMBER(资金流水!$S$690),资金流水!$S$690&gt;=_辅助!$J$4,资金流水!$S$690&lt;=_辅助!$J$2,OR(资金流水!$X$690="应付材料款",资金流水!$X$690="应付分包款",资金流水!$X$690="应付机械运输费",资金流水!$X$690="应付其他款")),INT(资金流水!$B$690)*10000+685,"")</f>
      </c>
      <c r="CD686" s="2">
        <f>IF(($C$130&lt;&gt;"")*(应付登记!$D$690=$C$130)*ISNUMBER(应付登记!$J$690)*(应付登记!$J$690&gt;=_辅助!$J$4)*(应付登记!$J$690&lt;=_辅助!$J$2),1,0)</f>
        <v>0</v>
      </c>
    </row>
    <row r="687">
      <c r="BC687" s="2">
        <f>BC650+SUM(CD651:CD687)</f>
        <v>0</v>
      </c>
      <c r="BD687" s="2">
        <f>IF(AND($C$130&lt;&gt;"",资金流水!$J$691=$C$130,ISNUMBER(资金流水!$B$691),ISNUMBER(资金流水!$S$691),资金流水!$S$691&gt;=_辅助!$J$4,资金流水!$S$691&lt;=_辅助!$J$2,OR(资金流水!$X$691="应付材料款",资金流水!$X$691="应付分包款",资金流水!$X$691="应付机械运输费",资金流水!$X$691="应付其他款")),INT(资金流水!$B$691)*10000+686,"")</f>
      </c>
      <c r="CD687" s="2">
        <f>IF(($C$130&lt;&gt;"")*(应付登记!$D$691=$C$130)*ISNUMBER(应付登记!$J$691)*(应付登记!$J$691&gt;=_辅助!$J$4)*(应付登记!$J$691&lt;=_辅助!$J$2),1,0)</f>
        <v>0</v>
      </c>
    </row>
    <row r="688">
      <c r="BC688" s="2">
        <f>BC650+SUM(CD651:CD688)</f>
        <v>0</v>
      </c>
      <c r="BD688" s="2">
        <f>IF(AND($C$130&lt;&gt;"",资金流水!$J$692=$C$130,ISNUMBER(资金流水!$B$692),ISNUMBER(资金流水!$S$692),资金流水!$S$692&gt;=_辅助!$J$4,资金流水!$S$692&lt;=_辅助!$J$2,OR(资金流水!$X$692="应付材料款",资金流水!$X$692="应付分包款",资金流水!$X$692="应付机械运输费",资金流水!$X$692="应付其他款")),INT(资金流水!$B$692)*10000+687,"")</f>
      </c>
      <c r="CD688" s="2">
        <f>IF(($C$130&lt;&gt;"")*(应付登记!$D$692=$C$130)*ISNUMBER(应付登记!$J$692)*(应付登记!$J$692&gt;=_辅助!$J$4)*(应付登记!$J$692&lt;=_辅助!$J$2),1,0)</f>
        <v>0</v>
      </c>
    </row>
    <row r="689">
      <c r="BC689" s="2">
        <f>BC650+SUM(CD651:CD689)</f>
        <v>0</v>
      </c>
      <c r="BD689" s="2">
        <f>IF(AND($C$130&lt;&gt;"",资金流水!$J$693=$C$130,ISNUMBER(资金流水!$B$693),ISNUMBER(资金流水!$S$693),资金流水!$S$693&gt;=_辅助!$J$4,资金流水!$S$693&lt;=_辅助!$J$2,OR(资金流水!$X$693="应付材料款",资金流水!$X$693="应付分包款",资金流水!$X$693="应付机械运输费",资金流水!$X$693="应付其他款")),INT(资金流水!$B$693)*10000+688,"")</f>
      </c>
      <c r="CD689" s="2">
        <f>IF(($C$130&lt;&gt;"")*(应付登记!$D$693=$C$130)*ISNUMBER(应付登记!$J$693)*(应付登记!$J$693&gt;=_辅助!$J$4)*(应付登记!$J$693&lt;=_辅助!$J$2),1,0)</f>
        <v>0</v>
      </c>
    </row>
    <row r="690">
      <c r="BC690" s="2">
        <f>BC650+SUM(CD651:CD690)</f>
        <v>0</v>
      </c>
      <c r="BD690" s="2">
        <f>IF(AND($C$130&lt;&gt;"",资金流水!$J$694=$C$130,ISNUMBER(资金流水!$B$694),ISNUMBER(资金流水!$S$694),资金流水!$S$694&gt;=_辅助!$J$4,资金流水!$S$694&lt;=_辅助!$J$2,OR(资金流水!$X$694="应付材料款",资金流水!$X$694="应付分包款",资金流水!$X$694="应付机械运输费",资金流水!$X$694="应付其他款")),INT(资金流水!$B$694)*10000+689,"")</f>
      </c>
      <c r="CD690" s="2">
        <f>IF(($C$130&lt;&gt;"")*(应付登记!$D$694=$C$130)*ISNUMBER(应付登记!$J$694)*(应付登记!$J$694&gt;=_辅助!$J$4)*(应付登记!$J$694&lt;=_辅助!$J$2),1,0)</f>
        <v>0</v>
      </c>
    </row>
    <row r="691">
      <c r="BC691" s="2">
        <f>BC650+SUM(CD651:CD691)</f>
        <v>0</v>
      </c>
      <c r="BD691" s="2">
        <f>IF(AND($C$130&lt;&gt;"",资金流水!$J$695=$C$130,ISNUMBER(资金流水!$B$695),ISNUMBER(资金流水!$S$695),资金流水!$S$695&gt;=_辅助!$J$4,资金流水!$S$695&lt;=_辅助!$J$2,OR(资金流水!$X$695="应付材料款",资金流水!$X$695="应付分包款",资金流水!$X$695="应付机械运输费",资金流水!$X$695="应付其他款")),INT(资金流水!$B$695)*10000+690,"")</f>
      </c>
      <c r="CD691" s="2">
        <f>IF(($C$130&lt;&gt;"")*(应付登记!$D$695=$C$130)*ISNUMBER(应付登记!$J$695)*(应付登记!$J$695&gt;=_辅助!$J$4)*(应付登记!$J$695&lt;=_辅助!$J$2),1,0)</f>
        <v>0</v>
      </c>
    </row>
    <row r="692">
      <c r="BC692" s="2">
        <f>BC650+SUM(CD651:CD692)</f>
        <v>0</v>
      </c>
      <c r="BD692" s="2">
        <f>IF(AND($C$130&lt;&gt;"",资金流水!$J$696=$C$130,ISNUMBER(资金流水!$B$696),ISNUMBER(资金流水!$S$696),资金流水!$S$696&gt;=_辅助!$J$4,资金流水!$S$696&lt;=_辅助!$J$2,OR(资金流水!$X$696="应付材料款",资金流水!$X$696="应付分包款",资金流水!$X$696="应付机械运输费",资金流水!$X$696="应付其他款")),INT(资金流水!$B$696)*10000+691,"")</f>
      </c>
      <c r="CD692" s="2">
        <f>IF(($C$130&lt;&gt;"")*(应付登记!$D$696=$C$130)*ISNUMBER(应付登记!$J$696)*(应付登记!$J$696&gt;=_辅助!$J$4)*(应付登记!$J$696&lt;=_辅助!$J$2),1,0)</f>
        <v>0</v>
      </c>
    </row>
    <row r="693">
      <c r="BC693" s="2">
        <f>BC650+SUM(CD651:CD693)</f>
        <v>0</v>
      </c>
      <c r="BD693" s="2">
        <f>IF(AND($C$130&lt;&gt;"",资金流水!$J$697=$C$130,ISNUMBER(资金流水!$B$697),ISNUMBER(资金流水!$S$697),资金流水!$S$697&gt;=_辅助!$J$4,资金流水!$S$697&lt;=_辅助!$J$2,OR(资金流水!$X$697="应付材料款",资金流水!$X$697="应付分包款",资金流水!$X$697="应付机械运输费",资金流水!$X$697="应付其他款")),INT(资金流水!$B$697)*10000+692,"")</f>
      </c>
      <c r="CD693" s="2">
        <f>IF(($C$130&lt;&gt;"")*(应付登记!$D$697=$C$130)*ISNUMBER(应付登记!$J$697)*(应付登记!$J$697&gt;=_辅助!$J$4)*(应付登记!$J$697&lt;=_辅助!$J$2),1,0)</f>
        <v>0</v>
      </c>
    </row>
    <row r="694">
      <c r="BC694" s="2">
        <f>BC650+SUM(CD651:CD694)</f>
        <v>0</v>
      </c>
      <c r="BD694" s="2">
        <f>IF(AND($C$130&lt;&gt;"",资金流水!$J$698=$C$130,ISNUMBER(资金流水!$B$698),ISNUMBER(资金流水!$S$698),资金流水!$S$698&gt;=_辅助!$J$4,资金流水!$S$698&lt;=_辅助!$J$2,OR(资金流水!$X$698="应付材料款",资金流水!$X$698="应付分包款",资金流水!$X$698="应付机械运输费",资金流水!$X$698="应付其他款")),INT(资金流水!$B$698)*10000+693,"")</f>
      </c>
      <c r="CD694" s="2">
        <f>IF(($C$130&lt;&gt;"")*(应付登记!$D$698=$C$130)*ISNUMBER(应付登记!$J$698)*(应付登记!$J$698&gt;=_辅助!$J$4)*(应付登记!$J$698&lt;=_辅助!$J$2),1,0)</f>
        <v>0</v>
      </c>
    </row>
    <row r="695">
      <c r="BC695" s="2">
        <f>BC650+SUM(CD651:CD695)</f>
        <v>0</v>
      </c>
      <c r="BD695" s="2">
        <f>IF(AND($C$130&lt;&gt;"",资金流水!$J$699=$C$130,ISNUMBER(资金流水!$B$699),ISNUMBER(资金流水!$S$699),资金流水!$S$699&gt;=_辅助!$J$4,资金流水!$S$699&lt;=_辅助!$J$2,OR(资金流水!$X$699="应付材料款",资金流水!$X$699="应付分包款",资金流水!$X$699="应付机械运输费",资金流水!$X$699="应付其他款")),INT(资金流水!$B$699)*10000+694,"")</f>
      </c>
      <c r="CD695" s="2">
        <f>IF(($C$130&lt;&gt;"")*(应付登记!$D$699=$C$130)*ISNUMBER(应付登记!$J$699)*(应付登记!$J$699&gt;=_辅助!$J$4)*(应付登记!$J$699&lt;=_辅助!$J$2),1,0)</f>
        <v>0</v>
      </c>
    </row>
    <row r="696">
      <c r="BC696" s="2">
        <f>BC650+SUM(CD651:CD696)</f>
        <v>0</v>
      </c>
      <c r="BD696" s="2">
        <f>IF(AND($C$130&lt;&gt;"",资金流水!$J$700=$C$130,ISNUMBER(资金流水!$B$700),ISNUMBER(资金流水!$S$700),资金流水!$S$700&gt;=_辅助!$J$4,资金流水!$S$700&lt;=_辅助!$J$2,OR(资金流水!$X$700="应付材料款",资金流水!$X$700="应付分包款",资金流水!$X$700="应付机械运输费",资金流水!$X$700="应付其他款")),INT(资金流水!$B$700)*10000+695,"")</f>
      </c>
      <c r="CD696" s="2">
        <f>IF(($C$130&lt;&gt;"")*(应付登记!$D$700=$C$130)*ISNUMBER(应付登记!$J$700)*(应付登记!$J$700&gt;=_辅助!$J$4)*(应付登记!$J$700&lt;=_辅助!$J$2),1,0)</f>
        <v>0</v>
      </c>
    </row>
    <row r="697">
      <c r="BC697" s="2">
        <f>BC650+SUM(CD651:CD697)</f>
        <v>0</v>
      </c>
      <c r="BD697" s="2">
        <f>IF(AND($C$130&lt;&gt;"",资金流水!$J$701=$C$130,ISNUMBER(资金流水!$B$701),ISNUMBER(资金流水!$S$701),资金流水!$S$701&gt;=_辅助!$J$4,资金流水!$S$701&lt;=_辅助!$J$2,OR(资金流水!$X$701="应付材料款",资金流水!$X$701="应付分包款",资金流水!$X$701="应付机械运输费",资金流水!$X$701="应付其他款")),INT(资金流水!$B$701)*10000+696,"")</f>
      </c>
      <c r="CD697" s="2">
        <f>IF(($C$130&lt;&gt;"")*(应付登记!$D$701=$C$130)*ISNUMBER(应付登记!$J$701)*(应付登记!$J$701&gt;=_辅助!$J$4)*(应付登记!$J$701&lt;=_辅助!$J$2),1,0)</f>
        <v>0</v>
      </c>
    </row>
    <row r="698">
      <c r="BC698" s="2">
        <f>BC650+SUM(CD651:CD698)</f>
        <v>0</v>
      </c>
      <c r="BD698" s="2">
        <f>IF(AND($C$130&lt;&gt;"",资金流水!$J$702=$C$130,ISNUMBER(资金流水!$B$702),ISNUMBER(资金流水!$S$702),资金流水!$S$702&gt;=_辅助!$J$4,资金流水!$S$702&lt;=_辅助!$J$2,OR(资金流水!$X$702="应付材料款",资金流水!$X$702="应付分包款",资金流水!$X$702="应付机械运输费",资金流水!$X$702="应付其他款")),INT(资金流水!$B$702)*10000+697,"")</f>
      </c>
      <c r="CD698" s="2">
        <f>IF(($C$130&lt;&gt;"")*(应付登记!$D$702=$C$130)*ISNUMBER(应付登记!$J$702)*(应付登记!$J$702&gt;=_辅助!$J$4)*(应付登记!$J$702&lt;=_辅助!$J$2),1,0)</f>
        <v>0</v>
      </c>
    </row>
    <row r="699">
      <c r="BC699" s="2">
        <f>BC650+SUM(CD651:CD699)</f>
        <v>0</v>
      </c>
      <c r="BD699" s="2">
        <f>IF(AND($C$130&lt;&gt;"",资金流水!$J$703=$C$130,ISNUMBER(资金流水!$B$703),ISNUMBER(资金流水!$S$703),资金流水!$S$703&gt;=_辅助!$J$4,资金流水!$S$703&lt;=_辅助!$J$2,OR(资金流水!$X$703="应付材料款",资金流水!$X$703="应付分包款",资金流水!$X$703="应付机械运输费",资金流水!$X$703="应付其他款")),INT(资金流水!$B$703)*10000+698,"")</f>
      </c>
      <c r="CD699" s="2">
        <f>IF(($C$130&lt;&gt;"")*(应付登记!$D$703=$C$130)*ISNUMBER(应付登记!$J$703)*(应付登记!$J$703&gt;=_辅助!$J$4)*(应付登记!$J$703&lt;=_辅助!$J$2),1,0)</f>
        <v>0</v>
      </c>
    </row>
    <row r="700">
      <c r="BC700" s="2">
        <f>BC650+SUM(CD651:CD700)</f>
        <v>0</v>
      </c>
      <c r="BD700" s="2">
        <f>IF(AND($C$130&lt;&gt;"",资金流水!$J$704=$C$130,ISNUMBER(资金流水!$B$704),ISNUMBER(资金流水!$S$704),资金流水!$S$704&gt;=_辅助!$J$4,资金流水!$S$704&lt;=_辅助!$J$2,OR(资金流水!$X$704="应付材料款",资金流水!$X$704="应付分包款",资金流水!$X$704="应付机械运输费",资金流水!$X$704="应付其他款")),INT(资金流水!$B$704)*10000+699,"")</f>
      </c>
      <c r="CD700" s="2">
        <f>IF(($C$130&lt;&gt;"")*(应付登记!$D$704=$C$130)*ISNUMBER(应付登记!$J$704)*(应付登记!$J$704&gt;=_辅助!$J$4)*(应付登记!$J$704&lt;=_辅助!$J$2),1,0)</f>
        <v>0</v>
      </c>
    </row>
    <row r="701">
      <c r="BC701" s="2">
        <f>BC700+SUM(CD701:CD701)</f>
        <v>0</v>
      </c>
      <c r="BD701" s="2">
        <f>IF(AND($C$130&lt;&gt;"",资金流水!$J$705=$C$130,ISNUMBER(资金流水!$B$705),ISNUMBER(资金流水!$S$705),资金流水!$S$705&gt;=_辅助!$J$4,资金流水!$S$705&lt;=_辅助!$J$2,OR(资金流水!$X$705="应付材料款",资金流水!$X$705="应付分包款",资金流水!$X$705="应付机械运输费",资金流水!$X$705="应付其他款")),INT(资金流水!$B$705)*10000+700,"")</f>
      </c>
      <c r="CD701" s="2">
        <f>IF(($C$130&lt;&gt;"")*(应付登记!$D$705=$C$130)*ISNUMBER(应付登记!$J$705)*(应付登记!$J$705&gt;=_辅助!$J$4)*(应付登记!$J$705&lt;=_辅助!$J$2),1,0)</f>
        <v>0</v>
      </c>
    </row>
    <row r="702">
      <c r="BC702" s="2">
        <f>BC700+SUM(CD701:CD702)</f>
        <v>0</v>
      </c>
      <c r="BD702" s="2">
        <f>IF(AND($C$130&lt;&gt;"",资金流水!$J$706=$C$130,ISNUMBER(资金流水!$B$706),ISNUMBER(资金流水!$S$706),资金流水!$S$706&gt;=_辅助!$J$4,资金流水!$S$706&lt;=_辅助!$J$2,OR(资金流水!$X$706="应付材料款",资金流水!$X$706="应付分包款",资金流水!$X$706="应付机械运输费",资金流水!$X$706="应付其他款")),INT(资金流水!$B$706)*10000+701,"")</f>
      </c>
      <c r="CD702" s="2">
        <f>IF(($C$130&lt;&gt;"")*(应付登记!$D$706=$C$130)*ISNUMBER(应付登记!$J$706)*(应付登记!$J$706&gt;=_辅助!$J$4)*(应付登记!$J$706&lt;=_辅助!$J$2),1,0)</f>
        <v>0</v>
      </c>
    </row>
    <row r="703">
      <c r="BC703" s="2">
        <f>BC700+SUM(CD701:CD703)</f>
        <v>0</v>
      </c>
      <c r="BD703" s="2">
        <f>IF(AND($C$130&lt;&gt;"",资金流水!$J$707=$C$130,ISNUMBER(资金流水!$B$707),ISNUMBER(资金流水!$S$707),资金流水!$S$707&gt;=_辅助!$J$4,资金流水!$S$707&lt;=_辅助!$J$2,OR(资金流水!$X$707="应付材料款",资金流水!$X$707="应付分包款",资金流水!$X$707="应付机械运输费",资金流水!$X$707="应付其他款")),INT(资金流水!$B$707)*10000+702,"")</f>
      </c>
      <c r="CD703" s="2">
        <f>IF(($C$130&lt;&gt;"")*(应付登记!$D$707=$C$130)*ISNUMBER(应付登记!$J$707)*(应付登记!$J$707&gt;=_辅助!$J$4)*(应付登记!$J$707&lt;=_辅助!$J$2),1,0)</f>
        <v>0</v>
      </c>
    </row>
    <row r="704">
      <c r="BC704" s="2">
        <f>BC700+SUM(CD701:CD704)</f>
        <v>0</v>
      </c>
      <c r="BD704" s="2">
        <f>IF(AND($C$130&lt;&gt;"",资金流水!$J$708=$C$130,ISNUMBER(资金流水!$B$708),ISNUMBER(资金流水!$S$708),资金流水!$S$708&gt;=_辅助!$J$4,资金流水!$S$708&lt;=_辅助!$J$2,OR(资金流水!$X$708="应付材料款",资金流水!$X$708="应付分包款",资金流水!$X$708="应付机械运输费",资金流水!$X$708="应付其他款")),INT(资金流水!$B$708)*10000+703,"")</f>
      </c>
      <c r="CD704" s="2">
        <f>IF(($C$130&lt;&gt;"")*(应付登记!$D$708=$C$130)*ISNUMBER(应付登记!$J$708)*(应付登记!$J$708&gt;=_辅助!$J$4)*(应付登记!$J$708&lt;=_辅助!$J$2),1,0)</f>
        <v>0</v>
      </c>
    </row>
    <row r="705">
      <c r="BC705" s="2">
        <f>BC700+SUM(CD701:CD705)</f>
        <v>0</v>
      </c>
      <c r="BD705" s="2">
        <f>IF(AND($C$130&lt;&gt;"",资金流水!$J$709=$C$130,ISNUMBER(资金流水!$B$709),ISNUMBER(资金流水!$S$709),资金流水!$S$709&gt;=_辅助!$J$4,资金流水!$S$709&lt;=_辅助!$J$2,OR(资金流水!$X$709="应付材料款",资金流水!$X$709="应付分包款",资金流水!$X$709="应付机械运输费",资金流水!$X$709="应付其他款")),INT(资金流水!$B$709)*10000+704,"")</f>
      </c>
      <c r="CD705" s="2">
        <f>IF(($C$130&lt;&gt;"")*(应付登记!$D$709=$C$130)*ISNUMBER(应付登记!$J$709)*(应付登记!$J$709&gt;=_辅助!$J$4)*(应付登记!$J$709&lt;=_辅助!$J$2),1,0)</f>
        <v>0</v>
      </c>
    </row>
    <row r="706">
      <c r="BC706" s="2">
        <f>BC700+SUM(CD701:CD706)</f>
        <v>0</v>
      </c>
      <c r="BD706" s="2">
        <f>IF(AND($C$130&lt;&gt;"",资金流水!$J$710=$C$130,ISNUMBER(资金流水!$B$710),ISNUMBER(资金流水!$S$710),资金流水!$S$710&gt;=_辅助!$J$4,资金流水!$S$710&lt;=_辅助!$J$2,OR(资金流水!$X$710="应付材料款",资金流水!$X$710="应付分包款",资金流水!$X$710="应付机械运输费",资金流水!$X$710="应付其他款")),INT(资金流水!$B$710)*10000+705,"")</f>
      </c>
      <c r="CD706" s="2">
        <f>IF(($C$130&lt;&gt;"")*(应付登记!$D$710=$C$130)*ISNUMBER(应付登记!$J$710)*(应付登记!$J$710&gt;=_辅助!$J$4)*(应付登记!$J$710&lt;=_辅助!$J$2),1,0)</f>
        <v>0</v>
      </c>
    </row>
    <row r="707">
      <c r="BC707" s="2">
        <f>BC700+SUM(CD701:CD707)</f>
        <v>0</v>
      </c>
      <c r="BD707" s="2">
        <f>IF(AND($C$130&lt;&gt;"",资金流水!$J$711=$C$130,ISNUMBER(资金流水!$B$711),ISNUMBER(资金流水!$S$711),资金流水!$S$711&gt;=_辅助!$J$4,资金流水!$S$711&lt;=_辅助!$J$2,OR(资金流水!$X$711="应付材料款",资金流水!$X$711="应付分包款",资金流水!$X$711="应付机械运输费",资金流水!$X$711="应付其他款")),INT(资金流水!$B$711)*10000+706,"")</f>
      </c>
      <c r="CD707" s="2">
        <f>IF(($C$130&lt;&gt;"")*(应付登记!$D$711=$C$130)*ISNUMBER(应付登记!$J$711)*(应付登记!$J$711&gt;=_辅助!$J$4)*(应付登记!$J$711&lt;=_辅助!$J$2),1,0)</f>
        <v>0</v>
      </c>
    </row>
    <row r="708">
      <c r="BC708" s="2">
        <f>BC700+SUM(CD701:CD708)</f>
        <v>0</v>
      </c>
      <c r="BD708" s="2">
        <f>IF(AND($C$130&lt;&gt;"",资金流水!$J$712=$C$130,ISNUMBER(资金流水!$B$712),ISNUMBER(资金流水!$S$712),资金流水!$S$712&gt;=_辅助!$J$4,资金流水!$S$712&lt;=_辅助!$J$2,OR(资金流水!$X$712="应付材料款",资金流水!$X$712="应付分包款",资金流水!$X$712="应付机械运输费",资金流水!$X$712="应付其他款")),INT(资金流水!$B$712)*10000+707,"")</f>
      </c>
      <c r="CD708" s="2">
        <f>IF(($C$130&lt;&gt;"")*(应付登记!$D$712=$C$130)*ISNUMBER(应付登记!$J$712)*(应付登记!$J$712&gt;=_辅助!$J$4)*(应付登记!$J$712&lt;=_辅助!$J$2),1,0)</f>
        <v>0</v>
      </c>
    </row>
    <row r="709">
      <c r="BC709" s="2">
        <f>BC700+SUM(CD701:CD709)</f>
        <v>0</v>
      </c>
      <c r="BD709" s="2">
        <f>IF(AND($C$130&lt;&gt;"",资金流水!$J$713=$C$130,ISNUMBER(资金流水!$B$713),ISNUMBER(资金流水!$S$713),资金流水!$S$713&gt;=_辅助!$J$4,资金流水!$S$713&lt;=_辅助!$J$2,OR(资金流水!$X$713="应付材料款",资金流水!$X$713="应付分包款",资金流水!$X$713="应付机械运输费",资金流水!$X$713="应付其他款")),INT(资金流水!$B$713)*10000+708,"")</f>
      </c>
      <c r="CD709" s="2">
        <f>IF(($C$130&lt;&gt;"")*(应付登记!$D$713=$C$130)*ISNUMBER(应付登记!$J$713)*(应付登记!$J$713&gt;=_辅助!$J$4)*(应付登记!$J$713&lt;=_辅助!$J$2),1,0)</f>
        <v>0</v>
      </c>
    </row>
    <row r="710">
      <c r="BC710" s="2">
        <f>BC700+SUM(CD701:CD710)</f>
        <v>0</v>
      </c>
      <c r="BD710" s="2">
        <f>IF(AND($C$130&lt;&gt;"",资金流水!$J$714=$C$130,ISNUMBER(资金流水!$B$714),ISNUMBER(资金流水!$S$714),资金流水!$S$714&gt;=_辅助!$J$4,资金流水!$S$714&lt;=_辅助!$J$2,OR(资金流水!$X$714="应付材料款",资金流水!$X$714="应付分包款",资金流水!$X$714="应付机械运输费",资金流水!$X$714="应付其他款")),INT(资金流水!$B$714)*10000+709,"")</f>
      </c>
      <c r="CD710" s="2">
        <f>IF(($C$130&lt;&gt;"")*(应付登记!$D$714=$C$130)*ISNUMBER(应付登记!$J$714)*(应付登记!$J$714&gt;=_辅助!$J$4)*(应付登记!$J$714&lt;=_辅助!$J$2),1,0)</f>
        <v>0</v>
      </c>
    </row>
    <row r="711">
      <c r="BC711" s="2">
        <f>BC700+SUM(CD701:CD711)</f>
        <v>0</v>
      </c>
      <c r="BD711" s="2">
        <f>IF(AND($C$130&lt;&gt;"",资金流水!$J$715=$C$130,ISNUMBER(资金流水!$B$715),ISNUMBER(资金流水!$S$715),资金流水!$S$715&gt;=_辅助!$J$4,资金流水!$S$715&lt;=_辅助!$J$2,OR(资金流水!$X$715="应付材料款",资金流水!$X$715="应付分包款",资金流水!$X$715="应付机械运输费",资金流水!$X$715="应付其他款")),INT(资金流水!$B$715)*10000+710,"")</f>
      </c>
      <c r="CD711" s="2">
        <f>IF(($C$130&lt;&gt;"")*(应付登记!$D$715=$C$130)*ISNUMBER(应付登记!$J$715)*(应付登记!$J$715&gt;=_辅助!$J$4)*(应付登记!$J$715&lt;=_辅助!$J$2),1,0)</f>
        <v>0</v>
      </c>
    </row>
    <row r="712">
      <c r="BC712" s="2">
        <f>BC700+SUM(CD701:CD712)</f>
        <v>0</v>
      </c>
      <c r="BD712" s="2">
        <f>IF(AND($C$130&lt;&gt;"",资金流水!$J$716=$C$130,ISNUMBER(资金流水!$B$716),ISNUMBER(资金流水!$S$716),资金流水!$S$716&gt;=_辅助!$J$4,资金流水!$S$716&lt;=_辅助!$J$2,OR(资金流水!$X$716="应付材料款",资金流水!$X$716="应付分包款",资金流水!$X$716="应付机械运输费",资金流水!$X$716="应付其他款")),INT(资金流水!$B$716)*10000+711,"")</f>
      </c>
      <c r="CD712" s="2">
        <f>IF(($C$130&lt;&gt;"")*(应付登记!$D$716=$C$130)*ISNUMBER(应付登记!$J$716)*(应付登记!$J$716&gt;=_辅助!$J$4)*(应付登记!$J$716&lt;=_辅助!$J$2),1,0)</f>
        <v>0</v>
      </c>
    </row>
    <row r="713">
      <c r="BC713" s="2">
        <f>BC700+SUM(CD701:CD713)</f>
        <v>0</v>
      </c>
      <c r="BD713" s="2">
        <f>IF(AND($C$130&lt;&gt;"",资金流水!$J$717=$C$130,ISNUMBER(资金流水!$B$717),ISNUMBER(资金流水!$S$717),资金流水!$S$717&gt;=_辅助!$J$4,资金流水!$S$717&lt;=_辅助!$J$2,OR(资金流水!$X$717="应付材料款",资金流水!$X$717="应付分包款",资金流水!$X$717="应付机械运输费",资金流水!$X$717="应付其他款")),INT(资金流水!$B$717)*10000+712,"")</f>
      </c>
      <c r="CD713" s="2">
        <f>IF(($C$130&lt;&gt;"")*(应付登记!$D$717=$C$130)*ISNUMBER(应付登记!$J$717)*(应付登记!$J$717&gt;=_辅助!$J$4)*(应付登记!$J$717&lt;=_辅助!$J$2),1,0)</f>
        <v>0</v>
      </c>
    </row>
    <row r="714">
      <c r="BC714" s="2">
        <f>BC700+SUM(CD701:CD714)</f>
        <v>0</v>
      </c>
      <c r="BD714" s="2">
        <f>IF(AND($C$130&lt;&gt;"",资金流水!$J$718=$C$130,ISNUMBER(资金流水!$B$718),ISNUMBER(资金流水!$S$718),资金流水!$S$718&gt;=_辅助!$J$4,资金流水!$S$718&lt;=_辅助!$J$2,OR(资金流水!$X$718="应付材料款",资金流水!$X$718="应付分包款",资金流水!$X$718="应付机械运输费",资金流水!$X$718="应付其他款")),INT(资金流水!$B$718)*10000+713,"")</f>
      </c>
      <c r="CD714" s="2">
        <f>IF(($C$130&lt;&gt;"")*(应付登记!$D$718=$C$130)*ISNUMBER(应付登记!$J$718)*(应付登记!$J$718&gt;=_辅助!$J$4)*(应付登记!$J$718&lt;=_辅助!$J$2),1,0)</f>
        <v>0</v>
      </c>
    </row>
    <row r="715">
      <c r="BC715" s="2">
        <f>BC700+SUM(CD701:CD715)</f>
        <v>0</v>
      </c>
      <c r="BD715" s="2">
        <f>IF(AND($C$130&lt;&gt;"",资金流水!$J$719=$C$130,ISNUMBER(资金流水!$B$719),ISNUMBER(资金流水!$S$719),资金流水!$S$719&gt;=_辅助!$J$4,资金流水!$S$719&lt;=_辅助!$J$2,OR(资金流水!$X$719="应付材料款",资金流水!$X$719="应付分包款",资金流水!$X$719="应付机械运输费",资金流水!$X$719="应付其他款")),INT(资金流水!$B$719)*10000+714,"")</f>
      </c>
      <c r="CD715" s="2">
        <f>IF(($C$130&lt;&gt;"")*(应付登记!$D$719=$C$130)*ISNUMBER(应付登记!$J$719)*(应付登记!$J$719&gt;=_辅助!$J$4)*(应付登记!$J$719&lt;=_辅助!$J$2),1,0)</f>
        <v>0</v>
      </c>
    </row>
    <row r="716">
      <c r="BC716" s="2">
        <f>BC700+SUM(CD701:CD716)</f>
        <v>0</v>
      </c>
      <c r="BD716" s="2">
        <f>IF(AND($C$130&lt;&gt;"",资金流水!$J$720=$C$130,ISNUMBER(资金流水!$B$720),ISNUMBER(资金流水!$S$720),资金流水!$S$720&gt;=_辅助!$J$4,资金流水!$S$720&lt;=_辅助!$J$2,OR(资金流水!$X$720="应付材料款",资金流水!$X$720="应付分包款",资金流水!$X$720="应付机械运输费",资金流水!$X$720="应付其他款")),INT(资金流水!$B$720)*10000+715,"")</f>
      </c>
      <c r="CD716" s="2">
        <f>IF(($C$130&lt;&gt;"")*(应付登记!$D$720=$C$130)*ISNUMBER(应付登记!$J$720)*(应付登记!$J$720&gt;=_辅助!$J$4)*(应付登记!$J$720&lt;=_辅助!$J$2),1,0)</f>
        <v>0</v>
      </c>
    </row>
    <row r="717">
      <c r="BC717" s="2">
        <f>BC700+SUM(CD701:CD717)</f>
        <v>0</v>
      </c>
      <c r="BD717" s="2">
        <f>IF(AND($C$130&lt;&gt;"",资金流水!$J$721=$C$130,ISNUMBER(资金流水!$B$721),ISNUMBER(资金流水!$S$721),资金流水!$S$721&gt;=_辅助!$J$4,资金流水!$S$721&lt;=_辅助!$J$2,OR(资金流水!$X$721="应付材料款",资金流水!$X$721="应付分包款",资金流水!$X$721="应付机械运输费",资金流水!$X$721="应付其他款")),INT(资金流水!$B$721)*10000+716,"")</f>
      </c>
      <c r="CD717" s="2">
        <f>IF(($C$130&lt;&gt;"")*(应付登记!$D$721=$C$130)*ISNUMBER(应付登记!$J$721)*(应付登记!$J$721&gt;=_辅助!$J$4)*(应付登记!$J$721&lt;=_辅助!$J$2),1,0)</f>
        <v>0</v>
      </c>
    </row>
    <row r="718">
      <c r="BC718" s="2">
        <f>BC700+SUM(CD701:CD718)</f>
        <v>0</v>
      </c>
      <c r="BD718" s="2">
        <f>IF(AND($C$130&lt;&gt;"",资金流水!$J$722=$C$130,ISNUMBER(资金流水!$B$722),ISNUMBER(资金流水!$S$722),资金流水!$S$722&gt;=_辅助!$J$4,资金流水!$S$722&lt;=_辅助!$J$2,OR(资金流水!$X$722="应付材料款",资金流水!$X$722="应付分包款",资金流水!$X$722="应付机械运输费",资金流水!$X$722="应付其他款")),INT(资金流水!$B$722)*10000+717,"")</f>
      </c>
      <c r="CD718" s="2">
        <f>IF(($C$130&lt;&gt;"")*(应付登记!$D$722=$C$130)*ISNUMBER(应付登记!$J$722)*(应付登记!$J$722&gt;=_辅助!$J$4)*(应付登记!$J$722&lt;=_辅助!$J$2),1,0)</f>
        <v>0</v>
      </c>
    </row>
    <row r="719">
      <c r="BC719" s="2">
        <f>BC700+SUM(CD701:CD719)</f>
        <v>0</v>
      </c>
      <c r="BD719" s="2">
        <f>IF(AND($C$130&lt;&gt;"",资金流水!$J$723=$C$130,ISNUMBER(资金流水!$B$723),ISNUMBER(资金流水!$S$723),资金流水!$S$723&gt;=_辅助!$J$4,资金流水!$S$723&lt;=_辅助!$J$2,OR(资金流水!$X$723="应付材料款",资金流水!$X$723="应付分包款",资金流水!$X$723="应付机械运输费",资金流水!$X$723="应付其他款")),INT(资金流水!$B$723)*10000+718,"")</f>
      </c>
      <c r="CD719" s="2">
        <f>IF(($C$130&lt;&gt;"")*(应付登记!$D$723=$C$130)*ISNUMBER(应付登记!$J$723)*(应付登记!$J$723&gt;=_辅助!$J$4)*(应付登记!$J$723&lt;=_辅助!$J$2),1,0)</f>
        <v>0</v>
      </c>
    </row>
    <row r="720">
      <c r="BC720" s="2">
        <f>BC700+SUM(CD701:CD720)</f>
        <v>0</v>
      </c>
      <c r="BD720" s="2">
        <f>IF(AND($C$130&lt;&gt;"",资金流水!$J$724=$C$130,ISNUMBER(资金流水!$B$724),ISNUMBER(资金流水!$S$724),资金流水!$S$724&gt;=_辅助!$J$4,资金流水!$S$724&lt;=_辅助!$J$2,OR(资金流水!$X$724="应付材料款",资金流水!$X$724="应付分包款",资金流水!$X$724="应付机械运输费",资金流水!$X$724="应付其他款")),INT(资金流水!$B$724)*10000+719,"")</f>
      </c>
      <c r="CD720" s="2">
        <f>IF(($C$130&lt;&gt;"")*(应付登记!$D$724=$C$130)*ISNUMBER(应付登记!$J$724)*(应付登记!$J$724&gt;=_辅助!$J$4)*(应付登记!$J$724&lt;=_辅助!$J$2),1,0)</f>
        <v>0</v>
      </c>
    </row>
    <row r="721">
      <c r="BC721" s="2">
        <f>BC700+SUM(CD701:CD721)</f>
        <v>0</v>
      </c>
      <c r="BD721" s="2">
        <f>IF(AND($C$130&lt;&gt;"",资金流水!$J$725=$C$130,ISNUMBER(资金流水!$B$725),ISNUMBER(资金流水!$S$725),资金流水!$S$725&gt;=_辅助!$J$4,资金流水!$S$725&lt;=_辅助!$J$2,OR(资金流水!$X$725="应付材料款",资金流水!$X$725="应付分包款",资金流水!$X$725="应付机械运输费",资金流水!$X$725="应付其他款")),INT(资金流水!$B$725)*10000+720,"")</f>
      </c>
      <c r="CD721" s="2">
        <f>IF(($C$130&lt;&gt;"")*(应付登记!$D$725=$C$130)*ISNUMBER(应付登记!$J$725)*(应付登记!$J$725&gt;=_辅助!$J$4)*(应付登记!$J$725&lt;=_辅助!$J$2),1,0)</f>
        <v>0</v>
      </c>
    </row>
    <row r="722">
      <c r="BC722" s="2">
        <f>BC700+SUM(CD701:CD722)</f>
        <v>0</v>
      </c>
      <c r="BD722" s="2">
        <f>IF(AND($C$130&lt;&gt;"",资金流水!$J$726=$C$130,ISNUMBER(资金流水!$B$726),ISNUMBER(资金流水!$S$726),资金流水!$S$726&gt;=_辅助!$J$4,资金流水!$S$726&lt;=_辅助!$J$2,OR(资金流水!$X$726="应付材料款",资金流水!$X$726="应付分包款",资金流水!$X$726="应付机械运输费",资金流水!$X$726="应付其他款")),INT(资金流水!$B$726)*10000+721,"")</f>
      </c>
      <c r="CD722" s="2">
        <f>IF(($C$130&lt;&gt;"")*(应付登记!$D$726=$C$130)*ISNUMBER(应付登记!$J$726)*(应付登记!$J$726&gt;=_辅助!$J$4)*(应付登记!$J$726&lt;=_辅助!$J$2),1,0)</f>
        <v>0</v>
      </c>
    </row>
    <row r="723">
      <c r="BC723" s="2">
        <f>BC700+SUM(CD701:CD723)</f>
        <v>0</v>
      </c>
      <c r="BD723" s="2">
        <f>IF(AND($C$130&lt;&gt;"",资金流水!$J$727=$C$130,ISNUMBER(资金流水!$B$727),ISNUMBER(资金流水!$S$727),资金流水!$S$727&gt;=_辅助!$J$4,资金流水!$S$727&lt;=_辅助!$J$2,OR(资金流水!$X$727="应付材料款",资金流水!$X$727="应付分包款",资金流水!$X$727="应付机械运输费",资金流水!$X$727="应付其他款")),INT(资金流水!$B$727)*10000+722,"")</f>
      </c>
      <c r="CD723" s="2">
        <f>IF(($C$130&lt;&gt;"")*(应付登记!$D$727=$C$130)*ISNUMBER(应付登记!$J$727)*(应付登记!$J$727&gt;=_辅助!$J$4)*(应付登记!$J$727&lt;=_辅助!$J$2),1,0)</f>
        <v>0</v>
      </c>
    </row>
    <row r="724">
      <c r="BC724" s="2">
        <f>BC700+SUM(CD701:CD724)</f>
        <v>0</v>
      </c>
      <c r="BD724" s="2">
        <f>IF(AND($C$130&lt;&gt;"",资金流水!$J$728=$C$130,ISNUMBER(资金流水!$B$728),ISNUMBER(资金流水!$S$728),资金流水!$S$728&gt;=_辅助!$J$4,资金流水!$S$728&lt;=_辅助!$J$2,OR(资金流水!$X$728="应付材料款",资金流水!$X$728="应付分包款",资金流水!$X$728="应付机械运输费",资金流水!$X$728="应付其他款")),INT(资金流水!$B$728)*10000+723,"")</f>
      </c>
      <c r="CD724" s="2">
        <f>IF(($C$130&lt;&gt;"")*(应付登记!$D$728=$C$130)*ISNUMBER(应付登记!$J$728)*(应付登记!$J$728&gt;=_辅助!$J$4)*(应付登记!$J$728&lt;=_辅助!$J$2),1,0)</f>
        <v>0</v>
      </c>
    </row>
    <row r="725">
      <c r="BC725" s="2">
        <f>BC700+SUM(CD701:CD725)</f>
        <v>0</v>
      </c>
      <c r="BD725" s="2">
        <f>IF(AND($C$130&lt;&gt;"",资金流水!$J$729=$C$130,ISNUMBER(资金流水!$B$729),ISNUMBER(资金流水!$S$729),资金流水!$S$729&gt;=_辅助!$J$4,资金流水!$S$729&lt;=_辅助!$J$2,OR(资金流水!$X$729="应付材料款",资金流水!$X$729="应付分包款",资金流水!$X$729="应付机械运输费",资金流水!$X$729="应付其他款")),INT(资金流水!$B$729)*10000+724,"")</f>
      </c>
      <c r="CD725" s="2">
        <f>IF(($C$130&lt;&gt;"")*(应付登记!$D$729=$C$130)*ISNUMBER(应付登记!$J$729)*(应付登记!$J$729&gt;=_辅助!$J$4)*(应付登记!$J$729&lt;=_辅助!$J$2),1,0)</f>
        <v>0</v>
      </c>
    </row>
    <row r="726">
      <c r="BC726" s="2">
        <f>BC700+SUM(CD701:CD726)</f>
        <v>0</v>
      </c>
      <c r="BD726" s="2">
        <f>IF(AND($C$130&lt;&gt;"",资金流水!$J$730=$C$130,ISNUMBER(资金流水!$B$730),ISNUMBER(资金流水!$S$730),资金流水!$S$730&gt;=_辅助!$J$4,资金流水!$S$730&lt;=_辅助!$J$2,OR(资金流水!$X$730="应付材料款",资金流水!$X$730="应付分包款",资金流水!$X$730="应付机械运输费",资金流水!$X$730="应付其他款")),INT(资金流水!$B$730)*10000+725,"")</f>
      </c>
      <c r="CD726" s="2">
        <f>IF(($C$130&lt;&gt;"")*(应付登记!$D$730=$C$130)*ISNUMBER(应付登记!$J$730)*(应付登记!$J$730&gt;=_辅助!$J$4)*(应付登记!$J$730&lt;=_辅助!$J$2),1,0)</f>
        <v>0</v>
      </c>
    </row>
    <row r="727">
      <c r="BC727" s="2">
        <f>BC700+SUM(CD701:CD727)</f>
        <v>0</v>
      </c>
      <c r="BD727" s="2">
        <f>IF(AND($C$130&lt;&gt;"",资金流水!$J$731=$C$130,ISNUMBER(资金流水!$B$731),ISNUMBER(资金流水!$S$731),资金流水!$S$731&gt;=_辅助!$J$4,资金流水!$S$731&lt;=_辅助!$J$2,OR(资金流水!$X$731="应付材料款",资金流水!$X$731="应付分包款",资金流水!$X$731="应付机械运输费",资金流水!$X$731="应付其他款")),INT(资金流水!$B$731)*10000+726,"")</f>
      </c>
      <c r="CD727" s="2">
        <f>IF(($C$130&lt;&gt;"")*(应付登记!$D$731=$C$130)*ISNUMBER(应付登记!$J$731)*(应付登记!$J$731&gt;=_辅助!$J$4)*(应付登记!$J$731&lt;=_辅助!$J$2),1,0)</f>
        <v>0</v>
      </c>
    </row>
    <row r="728">
      <c r="BC728" s="2">
        <f>BC700+SUM(CD701:CD728)</f>
        <v>0</v>
      </c>
      <c r="BD728" s="2">
        <f>IF(AND($C$130&lt;&gt;"",资金流水!$J$732=$C$130,ISNUMBER(资金流水!$B$732),ISNUMBER(资金流水!$S$732),资金流水!$S$732&gt;=_辅助!$J$4,资金流水!$S$732&lt;=_辅助!$J$2,OR(资金流水!$X$732="应付材料款",资金流水!$X$732="应付分包款",资金流水!$X$732="应付机械运输费",资金流水!$X$732="应付其他款")),INT(资金流水!$B$732)*10000+727,"")</f>
      </c>
      <c r="CD728" s="2">
        <f>IF(($C$130&lt;&gt;"")*(应付登记!$D$732=$C$130)*ISNUMBER(应付登记!$J$732)*(应付登记!$J$732&gt;=_辅助!$J$4)*(应付登记!$J$732&lt;=_辅助!$J$2),1,0)</f>
        <v>0</v>
      </c>
    </row>
    <row r="729">
      <c r="BC729" s="2">
        <f>BC700+SUM(CD701:CD729)</f>
        <v>0</v>
      </c>
      <c r="BD729" s="2">
        <f>IF(AND($C$130&lt;&gt;"",资金流水!$J$733=$C$130,ISNUMBER(资金流水!$B$733),ISNUMBER(资金流水!$S$733),资金流水!$S$733&gt;=_辅助!$J$4,资金流水!$S$733&lt;=_辅助!$J$2,OR(资金流水!$X$733="应付材料款",资金流水!$X$733="应付分包款",资金流水!$X$733="应付机械运输费",资金流水!$X$733="应付其他款")),INT(资金流水!$B$733)*10000+728,"")</f>
      </c>
      <c r="CD729" s="2">
        <f>IF(($C$130&lt;&gt;"")*(应付登记!$D$733=$C$130)*ISNUMBER(应付登记!$J$733)*(应付登记!$J$733&gt;=_辅助!$J$4)*(应付登记!$J$733&lt;=_辅助!$J$2),1,0)</f>
        <v>0</v>
      </c>
    </row>
    <row r="730">
      <c r="BC730" s="2">
        <f>BC700+SUM(CD701:CD730)</f>
        <v>0</v>
      </c>
      <c r="BD730" s="2">
        <f>IF(AND($C$130&lt;&gt;"",资金流水!$J$734=$C$130,ISNUMBER(资金流水!$B$734),ISNUMBER(资金流水!$S$734),资金流水!$S$734&gt;=_辅助!$J$4,资金流水!$S$734&lt;=_辅助!$J$2,OR(资金流水!$X$734="应付材料款",资金流水!$X$734="应付分包款",资金流水!$X$734="应付机械运输费",资金流水!$X$734="应付其他款")),INT(资金流水!$B$734)*10000+729,"")</f>
      </c>
      <c r="CD730" s="2">
        <f>IF(($C$130&lt;&gt;"")*(应付登记!$D$734=$C$130)*ISNUMBER(应付登记!$J$734)*(应付登记!$J$734&gt;=_辅助!$J$4)*(应付登记!$J$734&lt;=_辅助!$J$2),1,0)</f>
        <v>0</v>
      </c>
    </row>
    <row r="731">
      <c r="BC731" s="2">
        <f>BC700+SUM(CD701:CD731)</f>
        <v>0</v>
      </c>
      <c r="BD731" s="2">
        <f>IF(AND($C$130&lt;&gt;"",资金流水!$J$735=$C$130,ISNUMBER(资金流水!$B$735),ISNUMBER(资金流水!$S$735),资金流水!$S$735&gt;=_辅助!$J$4,资金流水!$S$735&lt;=_辅助!$J$2,OR(资金流水!$X$735="应付材料款",资金流水!$X$735="应付分包款",资金流水!$X$735="应付机械运输费",资金流水!$X$735="应付其他款")),INT(资金流水!$B$735)*10000+730,"")</f>
      </c>
      <c r="CD731" s="2">
        <f>IF(($C$130&lt;&gt;"")*(应付登记!$D$735=$C$130)*ISNUMBER(应付登记!$J$735)*(应付登记!$J$735&gt;=_辅助!$J$4)*(应付登记!$J$735&lt;=_辅助!$J$2),1,0)</f>
        <v>0</v>
      </c>
    </row>
    <row r="732">
      <c r="BC732" s="2">
        <f>BC700+SUM(CD701:CD732)</f>
        <v>0</v>
      </c>
      <c r="BD732" s="2">
        <f>IF(AND($C$130&lt;&gt;"",资金流水!$J$736=$C$130,ISNUMBER(资金流水!$B$736),ISNUMBER(资金流水!$S$736),资金流水!$S$736&gt;=_辅助!$J$4,资金流水!$S$736&lt;=_辅助!$J$2,OR(资金流水!$X$736="应付材料款",资金流水!$X$736="应付分包款",资金流水!$X$736="应付机械运输费",资金流水!$X$736="应付其他款")),INT(资金流水!$B$736)*10000+731,"")</f>
      </c>
      <c r="CD732" s="2">
        <f>IF(($C$130&lt;&gt;"")*(应付登记!$D$736=$C$130)*ISNUMBER(应付登记!$J$736)*(应付登记!$J$736&gt;=_辅助!$J$4)*(应付登记!$J$736&lt;=_辅助!$J$2),1,0)</f>
        <v>0</v>
      </c>
    </row>
    <row r="733">
      <c r="BC733" s="2">
        <f>BC700+SUM(CD701:CD733)</f>
        <v>0</v>
      </c>
      <c r="BD733" s="2">
        <f>IF(AND($C$130&lt;&gt;"",资金流水!$J$737=$C$130,ISNUMBER(资金流水!$B$737),ISNUMBER(资金流水!$S$737),资金流水!$S$737&gt;=_辅助!$J$4,资金流水!$S$737&lt;=_辅助!$J$2,OR(资金流水!$X$737="应付材料款",资金流水!$X$737="应付分包款",资金流水!$X$737="应付机械运输费",资金流水!$X$737="应付其他款")),INT(资金流水!$B$737)*10000+732,"")</f>
      </c>
      <c r="CD733" s="2">
        <f>IF(($C$130&lt;&gt;"")*(应付登记!$D$737=$C$130)*ISNUMBER(应付登记!$J$737)*(应付登记!$J$737&gt;=_辅助!$J$4)*(应付登记!$J$737&lt;=_辅助!$J$2),1,0)</f>
        <v>0</v>
      </c>
    </row>
    <row r="734">
      <c r="BC734" s="2">
        <f>BC700+SUM(CD701:CD734)</f>
        <v>0</v>
      </c>
      <c r="BD734" s="2">
        <f>IF(AND($C$130&lt;&gt;"",资金流水!$J$738=$C$130,ISNUMBER(资金流水!$B$738),ISNUMBER(资金流水!$S$738),资金流水!$S$738&gt;=_辅助!$J$4,资金流水!$S$738&lt;=_辅助!$J$2,OR(资金流水!$X$738="应付材料款",资金流水!$X$738="应付分包款",资金流水!$X$738="应付机械运输费",资金流水!$X$738="应付其他款")),INT(资金流水!$B$738)*10000+733,"")</f>
      </c>
      <c r="CD734" s="2">
        <f>IF(($C$130&lt;&gt;"")*(应付登记!$D$738=$C$130)*ISNUMBER(应付登记!$J$738)*(应付登记!$J$738&gt;=_辅助!$J$4)*(应付登记!$J$738&lt;=_辅助!$J$2),1,0)</f>
        <v>0</v>
      </c>
    </row>
    <row r="735">
      <c r="BC735" s="2">
        <f>BC700+SUM(CD701:CD735)</f>
        <v>0</v>
      </c>
      <c r="BD735" s="2">
        <f>IF(AND($C$130&lt;&gt;"",资金流水!$J$739=$C$130,ISNUMBER(资金流水!$B$739),ISNUMBER(资金流水!$S$739),资金流水!$S$739&gt;=_辅助!$J$4,资金流水!$S$739&lt;=_辅助!$J$2,OR(资金流水!$X$739="应付材料款",资金流水!$X$739="应付分包款",资金流水!$X$739="应付机械运输费",资金流水!$X$739="应付其他款")),INT(资金流水!$B$739)*10000+734,"")</f>
      </c>
      <c r="CD735" s="2">
        <f>IF(($C$130&lt;&gt;"")*(应付登记!$D$739=$C$130)*ISNUMBER(应付登记!$J$739)*(应付登记!$J$739&gt;=_辅助!$J$4)*(应付登记!$J$739&lt;=_辅助!$J$2),1,0)</f>
        <v>0</v>
      </c>
    </row>
    <row r="736">
      <c r="BC736" s="2">
        <f>BC700+SUM(CD701:CD736)</f>
        <v>0</v>
      </c>
      <c r="BD736" s="2">
        <f>IF(AND($C$130&lt;&gt;"",资金流水!$J$740=$C$130,ISNUMBER(资金流水!$B$740),ISNUMBER(资金流水!$S$740),资金流水!$S$740&gt;=_辅助!$J$4,资金流水!$S$740&lt;=_辅助!$J$2,OR(资金流水!$X$740="应付材料款",资金流水!$X$740="应付分包款",资金流水!$X$740="应付机械运输费",资金流水!$X$740="应付其他款")),INT(资金流水!$B$740)*10000+735,"")</f>
      </c>
      <c r="CD736" s="2">
        <f>IF(($C$130&lt;&gt;"")*(应付登记!$D$740=$C$130)*ISNUMBER(应付登记!$J$740)*(应付登记!$J$740&gt;=_辅助!$J$4)*(应付登记!$J$740&lt;=_辅助!$J$2),1,0)</f>
        <v>0</v>
      </c>
    </row>
    <row r="737">
      <c r="BC737" s="2">
        <f>BC700+SUM(CD701:CD737)</f>
        <v>0</v>
      </c>
      <c r="BD737" s="2">
        <f>IF(AND($C$130&lt;&gt;"",资金流水!$J$741=$C$130,ISNUMBER(资金流水!$B$741),ISNUMBER(资金流水!$S$741),资金流水!$S$741&gt;=_辅助!$J$4,资金流水!$S$741&lt;=_辅助!$J$2,OR(资金流水!$X$741="应付材料款",资金流水!$X$741="应付分包款",资金流水!$X$741="应付机械运输费",资金流水!$X$741="应付其他款")),INT(资金流水!$B$741)*10000+736,"")</f>
      </c>
      <c r="CD737" s="2">
        <f>IF(($C$130&lt;&gt;"")*(应付登记!$D$741=$C$130)*ISNUMBER(应付登记!$J$741)*(应付登记!$J$741&gt;=_辅助!$J$4)*(应付登记!$J$741&lt;=_辅助!$J$2),1,0)</f>
        <v>0</v>
      </c>
    </row>
    <row r="738">
      <c r="BC738" s="2">
        <f>BC700+SUM(CD701:CD738)</f>
        <v>0</v>
      </c>
      <c r="BD738" s="2">
        <f>IF(AND($C$130&lt;&gt;"",资金流水!$J$742=$C$130,ISNUMBER(资金流水!$B$742),ISNUMBER(资金流水!$S$742),资金流水!$S$742&gt;=_辅助!$J$4,资金流水!$S$742&lt;=_辅助!$J$2,OR(资金流水!$X$742="应付材料款",资金流水!$X$742="应付分包款",资金流水!$X$742="应付机械运输费",资金流水!$X$742="应付其他款")),INT(资金流水!$B$742)*10000+737,"")</f>
      </c>
      <c r="CD738" s="2">
        <f>IF(($C$130&lt;&gt;"")*(应付登记!$D$742=$C$130)*ISNUMBER(应付登记!$J$742)*(应付登记!$J$742&gt;=_辅助!$J$4)*(应付登记!$J$742&lt;=_辅助!$J$2),1,0)</f>
        <v>0</v>
      </c>
    </row>
    <row r="739">
      <c r="BC739" s="2">
        <f>BC700+SUM(CD701:CD739)</f>
        <v>0</v>
      </c>
      <c r="BD739" s="2">
        <f>IF(AND($C$130&lt;&gt;"",资金流水!$J$743=$C$130,ISNUMBER(资金流水!$B$743),ISNUMBER(资金流水!$S$743),资金流水!$S$743&gt;=_辅助!$J$4,资金流水!$S$743&lt;=_辅助!$J$2,OR(资金流水!$X$743="应付材料款",资金流水!$X$743="应付分包款",资金流水!$X$743="应付机械运输费",资金流水!$X$743="应付其他款")),INT(资金流水!$B$743)*10000+738,"")</f>
      </c>
      <c r="CD739" s="2">
        <f>IF(($C$130&lt;&gt;"")*(应付登记!$D$743=$C$130)*ISNUMBER(应付登记!$J$743)*(应付登记!$J$743&gt;=_辅助!$J$4)*(应付登记!$J$743&lt;=_辅助!$J$2),1,0)</f>
        <v>0</v>
      </c>
    </row>
    <row r="740">
      <c r="BC740" s="2">
        <f>BC700+SUM(CD701:CD740)</f>
        <v>0</v>
      </c>
      <c r="BD740" s="2">
        <f>IF(AND($C$130&lt;&gt;"",资金流水!$J$744=$C$130,ISNUMBER(资金流水!$B$744),ISNUMBER(资金流水!$S$744),资金流水!$S$744&gt;=_辅助!$J$4,资金流水!$S$744&lt;=_辅助!$J$2,OR(资金流水!$X$744="应付材料款",资金流水!$X$744="应付分包款",资金流水!$X$744="应付机械运输费",资金流水!$X$744="应付其他款")),INT(资金流水!$B$744)*10000+739,"")</f>
      </c>
      <c r="CD740" s="2">
        <f>IF(($C$130&lt;&gt;"")*(应付登记!$D$744=$C$130)*ISNUMBER(应付登记!$J$744)*(应付登记!$J$744&gt;=_辅助!$J$4)*(应付登记!$J$744&lt;=_辅助!$J$2),1,0)</f>
        <v>0</v>
      </c>
    </row>
    <row r="741">
      <c r="BC741" s="2">
        <f>BC700+SUM(CD701:CD741)</f>
        <v>0</v>
      </c>
      <c r="BD741" s="2">
        <f>IF(AND($C$130&lt;&gt;"",资金流水!$J$745=$C$130,ISNUMBER(资金流水!$B$745),ISNUMBER(资金流水!$S$745),资金流水!$S$745&gt;=_辅助!$J$4,资金流水!$S$745&lt;=_辅助!$J$2,OR(资金流水!$X$745="应付材料款",资金流水!$X$745="应付分包款",资金流水!$X$745="应付机械运输费",资金流水!$X$745="应付其他款")),INT(资金流水!$B$745)*10000+740,"")</f>
      </c>
      <c r="CD741" s="2">
        <f>IF(($C$130&lt;&gt;"")*(应付登记!$D$745=$C$130)*ISNUMBER(应付登记!$J$745)*(应付登记!$J$745&gt;=_辅助!$J$4)*(应付登记!$J$745&lt;=_辅助!$J$2),1,0)</f>
        <v>0</v>
      </c>
    </row>
    <row r="742">
      <c r="BC742" s="2">
        <f>BC700+SUM(CD701:CD742)</f>
        <v>0</v>
      </c>
      <c r="BD742" s="2">
        <f>IF(AND($C$130&lt;&gt;"",资金流水!$J$746=$C$130,ISNUMBER(资金流水!$B$746),ISNUMBER(资金流水!$S$746),资金流水!$S$746&gt;=_辅助!$J$4,资金流水!$S$746&lt;=_辅助!$J$2,OR(资金流水!$X$746="应付材料款",资金流水!$X$746="应付分包款",资金流水!$X$746="应付机械运输费",资金流水!$X$746="应付其他款")),INT(资金流水!$B$746)*10000+741,"")</f>
      </c>
      <c r="CD742" s="2">
        <f>IF(($C$130&lt;&gt;"")*(应付登记!$D$746=$C$130)*ISNUMBER(应付登记!$J$746)*(应付登记!$J$746&gt;=_辅助!$J$4)*(应付登记!$J$746&lt;=_辅助!$J$2),1,0)</f>
        <v>0</v>
      </c>
    </row>
    <row r="743">
      <c r="BC743" s="2">
        <f>BC700+SUM(CD701:CD743)</f>
        <v>0</v>
      </c>
      <c r="BD743" s="2">
        <f>IF(AND($C$130&lt;&gt;"",资金流水!$J$747=$C$130,ISNUMBER(资金流水!$B$747),ISNUMBER(资金流水!$S$747),资金流水!$S$747&gt;=_辅助!$J$4,资金流水!$S$747&lt;=_辅助!$J$2,OR(资金流水!$X$747="应付材料款",资金流水!$X$747="应付分包款",资金流水!$X$747="应付机械运输费",资金流水!$X$747="应付其他款")),INT(资金流水!$B$747)*10000+742,"")</f>
      </c>
      <c r="CD743" s="2">
        <f>IF(($C$130&lt;&gt;"")*(应付登记!$D$747=$C$130)*ISNUMBER(应付登记!$J$747)*(应付登记!$J$747&gt;=_辅助!$J$4)*(应付登记!$J$747&lt;=_辅助!$J$2),1,0)</f>
        <v>0</v>
      </c>
    </row>
    <row r="744">
      <c r="BC744" s="2">
        <f>BC700+SUM(CD701:CD744)</f>
        <v>0</v>
      </c>
      <c r="BD744" s="2">
        <f>IF(AND($C$130&lt;&gt;"",资金流水!$J$748=$C$130,ISNUMBER(资金流水!$B$748),ISNUMBER(资金流水!$S$748),资金流水!$S$748&gt;=_辅助!$J$4,资金流水!$S$748&lt;=_辅助!$J$2,OR(资金流水!$X$748="应付材料款",资金流水!$X$748="应付分包款",资金流水!$X$748="应付机械运输费",资金流水!$X$748="应付其他款")),INT(资金流水!$B$748)*10000+743,"")</f>
      </c>
      <c r="CD744" s="2">
        <f>IF(($C$130&lt;&gt;"")*(应付登记!$D$748=$C$130)*ISNUMBER(应付登记!$J$748)*(应付登记!$J$748&gt;=_辅助!$J$4)*(应付登记!$J$748&lt;=_辅助!$J$2),1,0)</f>
        <v>0</v>
      </c>
    </row>
    <row r="745">
      <c r="BC745" s="2">
        <f>BC700+SUM(CD701:CD745)</f>
        <v>0</v>
      </c>
      <c r="BD745" s="2">
        <f>IF(AND($C$130&lt;&gt;"",资金流水!$J$749=$C$130,ISNUMBER(资金流水!$B$749),ISNUMBER(资金流水!$S$749),资金流水!$S$749&gt;=_辅助!$J$4,资金流水!$S$749&lt;=_辅助!$J$2,OR(资金流水!$X$749="应付材料款",资金流水!$X$749="应付分包款",资金流水!$X$749="应付机械运输费",资金流水!$X$749="应付其他款")),INT(资金流水!$B$749)*10000+744,"")</f>
      </c>
      <c r="CD745" s="2">
        <f>IF(($C$130&lt;&gt;"")*(应付登记!$D$749=$C$130)*ISNUMBER(应付登记!$J$749)*(应付登记!$J$749&gt;=_辅助!$J$4)*(应付登记!$J$749&lt;=_辅助!$J$2),1,0)</f>
        <v>0</v>
      </c>
    </row>
    <row r="746">
      <c r="BC746" s="2">
        <f>BC700+SUM(CD701:CD746)</f>
        <v>0</v>
      </c>
      <c r="BD746" s="2">
        <f>IF(AND($C$130&lt;&gt;"",资金流水!$J$750=$C$130,ISNUMBER(资金流水!$B$750),ISNUMBER(资金流水!$S$750),资金流水!$S$750&gt;=_辅助!$J$4,资金流水!$S$750&lt;=_辅助!$J$2,OR(资金流水!$X$750="应付材料款",资金流水!$X$750="应付分包款",资金流水!$X$750="应付机械运输费",资金流水!$X$750="应付其他款")),INT(资金流水!$B$750)*10000+745,"")</f>
      </c>
      <c r="CD746" s="2">
        <f>IF(($C$130&lt;&gt;"")*(应付登记!$D$750=$C$130)*ISNUMBER(应付登记!$J$750)*(应付登记!$J$750&gt;=_辅助!$J$4)*(应付登记!$J$750&lt;=_辅助!$J$2),1,0)</f>
        <v>0</v>
      </c>
    </row>
    <row r="747">
      <c r="BC747" s="2">
        <f>BC700+SUM(CD701:CD747)</f>
        <v>0</v>
      </c>
      <c r="BD747" s="2">
        <f>IF(AND($C$130&lt;&gt;"",资金流水!$J$751=$C$130,ISNUMBER(资金流水!$B$751),ISNUMBER(资金流水!$S$751),资金流水!$S$751&gt;=_辅助!$J$4,资金流水!$S$751&lt;=_辅助!$J$2,OR(资金流水!$X$751="应付材料款",资金流水!$X$751="应付分包款",资金流水!$X$751="应付机械运输费",资金流水!$X$751="应付其他款")),INT(资金流水!$B$751)*10000+746,"")</f>
      </c>
      <c r="CD747" s="2">
        <f>IF(($C$130&lt;&gt;"")*(应付登记!$D$751=$C$130)*ISNUMBER(应付登记!$J$751)*(应付登记!$J$751&gt;=_辅助!$J$4)*(应付登记!$J$751&lt;=_辅助!$J$2),1,0)</f>
        <v>0</v>
      </c>
    </row>
    <row r="748">
      <c r="BC748" s="2">
        <f>BC700+SUM(CD701:CD748)</f>
        <v>0</v>
      </c>
      <c r="BD748" s="2">
        <f>IF(AND($C$130&lt;&gt;"",资金流水!$J$752=$C$130,ISNUMBER(资金流水!$B$752),ISNUMBER(资金流水!$S$752),资金流水!$S$752&gt;=_辅助!$J$4,资金流水!$S$752&lt;=_辅助!$J$2,OR(资金流水!$X$752="应付材料款",资金流水!$X$752="应付分包款",资金流水!$X$752="应付机械运输费",资金流水!$X$752="应付其他款")),INT(资金流水!$B$752)*10000+747,"")</f>
      </c>
      <c r="CD748" s="2">
        <f>IF(($C$130&lt;&gt;"")*(应付登记!$D$752=$C$130)*ISNUMBER(应付登记!$J$752)*(应付登记!$J$752&gt;=_辅助!$J$4)*(应付登记!$J$752&lt;=_辅助!$J$2),1,0)</f>
        <v>0</v>
      </c>
    </row>
    <row r="749">
      <c r="BC749" s="2">
        <f>BC700+SUM(CD701:CD749)</f>
        <v>0</v>
      </c>
      <c r="BD749" s="2">
        <f>IF(AND($C$130&lt;&gt;"",资金流水!$J$753=$C$130,ISNUMBER(资金流水!$B$753),ISNUMBER(资金流水!$S$753),资金流水!$S$753&gt;=_辅助!$J$4,资金流水!$S$753&lt;=_辅助!$J$2,OR(资金流水!$X$753="应付材料款",资金流水!$X$753="应付分包款",资金流水!$X$753="应付机械运输费",资金流水!$X$753="应付其他款")),INT(资金流水!$B$753)*10000+748,"")</f>
      </c>
      <c r="CD749" s="2">
        <f>IF(($C$130&lt;&gt;"")*(应付登记!$D$753=$C$130)*ISNUMBER(应付登记!$J$753)*(应付登记!$J$753&gt;=_辅助!$J$4)*(应付登记!$J$753&lt;=_辅助!$J$2),1,0)</f>
        <v>0</v>
      </c>
    </row>
    <row r="750">
      <c r="BC750" s="2">
        <f>BC700+SUM(CD701:CD750)</f>
        <v>0</v>
      </c>
      <c r="BD750" s="2">
        <f>IF(AND($C$130&lt;&gt;"",资金流水!$J$754=$C$130,ISNUMBER(资金流水!$B$754),ISNUMBER(资金流水!$S$754),资金流水!$S$754&gt;=_辅助!$J$4,资金流水!$S$754&lt;=_辅助!$J$2,OR(资金流水!$X$754="应付材料款",资金流水!$X$754="应付分包款",资金流水!$X$754="应付机械运输费",资金流水!$X$754="应付其他款")),INT(资金流水!$B$754)*10000+749,"")</f>
      </c>
      <c r="CD750" s="2">
        <f>IF(($C$130&lt;&gt;"")*(应付登记!$D$754=$C$130)*ISNUMBER(应付登记!$J$754)*(应付登记!$J$754&gt;=_辅助!$J$4)*(应付登记!$J$754&lt;=_辅助!$J$2),1,0)</f>
        <v>0</v>
      </c>
    </row>
    <row r="751">
      <c r="BC751" s="2">
        <f>BC750+SUM(CD751:CD751)</f>
        <v>0</v>
      </c>
      <c r="BD751" s="2">
        <f>IF(AND($C$130&lt;&gt;"",资金流水!$J$755=$C$130,ISNUMBER(资金流水!$B$755),ISNUMBER(资金流水!$S$755),资金流水!$S$755&gt;=_辅助!$J$4,资金流水!$S$755&lt;=_辅助!$J$2,OR(资金流水!$X$755="应付材料款",资金流水!$X$755="应付分包款",资金流水!$X$755="应付机械运输费",资金流水!$X$755="应付其他款")),INT(资金流水!$B$755)*10000+750,"")</f>
      </c>
      <c r="CD751" s="2">
        <f>IF(($C$130&lt;&gt;"")*(应付登记!$D$755=$C$130)*ISNUMBER(应付登记!$J$755)*(应付登记!$J$755&gt;=_辅助!$J$4)*(应付登记!$J$755&lt;=_辅助!$J$2),1,0)</f>
        <v>0</v>
      </c>
    </row>
    <row r="752">
      <c r="BC752" s="2">
        <f>BC750+SUM(CD751:CD752)</f>
        <v>0</v>
      </c>
      <c r="BD752" s="2">
        <f>IF(AND($C$130&lt;&gt;"",资金流水!$J$756=$C$130,ISNUMBER(资金流水!$B$756),ISNUMBER(资金流水!$S$756),资金流水!$S$756&gt;=_辅助!$J$4,资金流水!$S$756&lt;=_辅助!$J$2,OR(资金流水!$X$756="应付材料款",资金流水!$X$756="应付分包款",资金流水!$X$756="应付机械运输费",资金流水!$X$756="应付其他款")),INT(资金流水!$B$756)*10000+751,"")</f>
      </c>
      <c r="CD752" s="2">
        <f>IF(($C$130&lt;&gt;"")*(应付登记!$D$756=$C$130)*ISNUMBER(应付登记!$J$756)*(应付登记!$J$756&gt;=_辅助!$J$4)*(应付登记!$J$756&lt;=_辅助!$J$2),1,0)</f>
        <v>0</v>
      </c>
    </row>
    <row r="753">
      <c r="BC753" s="2">
        <f>BC750+SUM(CD751:CD753)</f>
        <v>0</v>
      </c>
      <c r="BD753" s="2">
        <f>IF(AND($C$130&lt;&gt;"",资金流水!$J$757=$C$130,ISNUMBER(资金流水!$B$757),ISNUMBER(资金流水!$S$757),资金流水!$S$757&gt;=_辅助!$J$4,资金流水!$S$757&lt;=_辅助!$J$2,OR(资金流水!$X$757="应付材料款",资金流水!$X$757="应付分包款",资金流水!$X$757="应付机械运输费",资金流水!$X$757="应付其他款")),INT(资金流水!$B$757)*10000+752,"")</f>
      </c>
      <c r="CD753" s="2">
        <f>IF(($C$130&lt;&gt;"")*(应付登记!$D$757=$C$130)*ISNUMBER(应付登记!$J$757)*(应付登记!$J$757&gt;=_辅助!$J$4)*(应付登记!$J$757&lt;=_辅助!$J$2),1,0)</f>
        <v>0</v>
      </c>
    </row>
    <row r="754">
      <c r="BC754" s="2">
        <f>BC750+SUM(CD751:CD754)</f>
        <v>0</v>
      </c>
      <c r="BD754" s="2">
        <f>IF(AND($C$130&lt;&gt;"",资金流水!$J$758=$C$130,ISNUMBER(资金流水!$B$758),ISNUMBER(资金流水!$S$758),资金流水!$S$758&gt;=_辅助!$J$4,资金流水!$S$758&lt;=_辅助!$J$2,OR(资金流水!$X$758="应付材料款",资金流水!$X$758="应付分包款",资金流水!$X$758="应付机械运输费",资金流水!$X$758="应付其他款")),INT(资金流水!$B$758)*10000+753,"")</f>
      </c>
      <c r="CD754" s="2">
        <f>IF(($C$130&lt;&gt;"")*(应付登记!$D$758=$C$130)*ISNUMBER(应付登记!$J$758)*(应付登记!$J$758&gt;=_辅助!$J$4)*(应付登记!$J$758&lt;=_辅助!$J$2),1,0)</f>
        <v>0</v>
      </c>
    </row>
    <row r="755">
      <c r="BC755" s="2">
        <f>BC750+SUM(CD751:CD755)</f>
        <v>0</v>
      </c>
      <c r="BD755" s="2">
        <f>IF(AND($C$130&lt;&gt;"",资金流水!$J$759=$C$130,ISNUMBER(资金流水!$B$759),ISNUMBER(资金流水!$S$759),资金流水!$S$759&gt;=_辅助!$J$4,资金流水!$S$759&lt;=_辅助!$J$2,OR(资金流水!$X$759="应付材料款",资金流水!$X$759="应付分包款",资金流水!$X$759="应付机械运输费",资金流水!$X$759="应付其他款")),INT(资金流水!$B$759)*10000+754,"")</f>
      </c>
      <c r="CD755" s="2">
        <f>IF(($C$130&lt;&gt;"")*(应付登记!$D$759=$C$130)*ISNUMBER(应付登记!$J$759)*(应付登记!$J$759&gt;=_辅助!$J$4)*(应付登记!$J$759&lt;=_辅助!$J$2),1,0)</f>
        <v>0</v>
      </c>
    </row>
    <row r="756">
      <c r="BC756" s="2">
        <f>BC750+SUM(CD751:CD756)</f>
        <v>0</v>
      </c>
      <c r="BD756" s="2">
        <f>IF(AND($C$130&lt;&gt;"",资金流水!$J$760=$C$130,ISNUMBER(资金流水!$B$760),ISNUMBER(资金流水!$S$760),资金流水!$S$760&gt;=_辅助!$J$4,资金流水!$S$760&lt;=_辅助!$J$2,OR(资金流水!$X$760="应付材料款",资金流水!$X$760="应付分包款",资金流水!$X$760="应付机械运输费",资金流水!$X$760="应付其他款")),INT(资金流水!$B$760)*10000+755,"")</f>
      </c>
      <c r="CD756" s="2">
        <f>IF(($C$130&lt;&gt;"")*(应付登记!$D$760=$C$130)*ISNUMBER(应付登记!$J$760)*(应付登记!$J$760&gt;=_辅助!$J$4)*(应付登记!$J$760&lt;=_辅助!$J$2),1,0)</f>
        <v>0</v>
      </c>
    </row>
    <row r="757">
      <c r="BC757" s="2">
        <f>BC750+SUM(CD751:CD757)</f>
        <v>0</v>
      </c>
      <c r="BD757" s="2">
        <f>IF(AND($C$130&lt;&gt;"",资金流水!$J$761=$C$130,ISNUMBER(资金流水!$B$761),ISNUMBER(资金流水!$S$761),资金流水!$S$761&gt;=_辅助!$J$4,资金流水!$S$761&lt;=_辅助!$J$2,OR(资金流水!$X$761="应付材料款",资金流水!$X$761="应付分包款",资金流水!$X$761="应付机械运输费",资金流水!$X$761="应付其他款")),INT(资金流水!$B$761)*10000+756,"")</f>
      </c>
      <c r="CD757" s="2">
        <f>IF(($C$130&lt;&gt;"")*(应付登记!$D$761=$C$130)*ISNUMBER(应付登记!$J$761)*(应付登记!$J$761&gt;=_辅助!$J$4)*(应付登记!$J$761&lt;=_辅助!$J$2),1,0)</f>
        <v>0</v>
      </c>
    </row>
    <row r="758">
      <c r="BC758" s="2">
        <f>BC750+SUM(CD751:CD758)</f>
        <v>0</v>
      </c>
      <c r="BD758" s="2">
        <f>IF(AND($C$130&lt;&gt;"",资金流水!$J$762=$C$130,ISNUMBER(资金流水!$B$762),ISNUMBER(资金流水!$S$762),资金流水!$S$762&gt;=_辅助!$J$4,资金流水!$S$762&lt;=_辅助!$J$2,OR(资金流水!$X$762="应付材料款",资金流水!$X$762="应付分包款",资金流水!$X$762="应付机械运输费",资金流水!$X$762="应付其他款")),INT(资金流水!$B$762)*10000+757,"")</f>
      </c>
      <c r="CD758" s="2">
        <f>IF(($C$130&lt;&gt;"")*(应付登记!$D$762=$C$130)*ISNUMBER(应付登记!$J$762)*(应付登记!$J$762&gt;=_辅助!$J$4)*(应付登记!$J$762&lt;=_辅助!$J$2),1,0)</f>
        <v>0</v>
      </c>
    </row>
    <row r="759">
      <c r="BC759" s="2">
        <f>BC750+SUM(CD751:CD759)</f>
        <v>0</v>
      </c>
      <c r="BD759" s="2">
        <f>IF(AND($C$130&lt;&gt;"",资金流水!$J$763=$C$130,ISNUMBER(资金流水!$B$763),ISNUMBER(资金流水!$S$763),资金流水!$S$763&gt;=_辅助!$J$4,资金流水!$S$763&lt;=_辅助!$J$2,OR(资金流水!$X$763="应付材料款",资金流水!$X$763="应付分包款",资金流水!$X$763="应付机械运输费",资金流水!$X$763="应付其他款")),INT(资金流水!$B$763)*10000+758,"")</f>
      </c>
      <c r="CD759" s="2">
        <f>IF(($C$130&lt;&gt;"")*(应付登记!$D$763=$C$130)*ISNUMBER(应付登记!$J$763)*(应付登记!$J$763&gt;=_辅助!$J$4)*(应付登记!$J$763&lt;=_辅助!$J$2),1,0)</f>
        <v>0</v>
      </c>
    </row>
    <row r="760">
      <c r="BC760" s="2">
        <f>BC750+SUM(CD751:CD760)</f>
        <v>0</v>
      </c>
      <c r="BD760" s="2">
        <f>IF(AND($C$130&lt;&gt;"",资金流水!$J$764=$C$130,ISNUMBER(资金流水!$B$764),ISNUMBER(资金流水!$S$764),资金流水!$S$764&gt;=_辅助!$J$4,资金流水!$S$764&lt;=_辅助!$J$2,OR(资金流水!$X$764="应付材料款",资金流水!$X$764="应付分包款",资金流水!$X$764="应付机械运输费",资金流水!$X$764="应付其他款")),INT(资金流水!$B$764)*10000+759,"")</f>
      </c>
      <c r="CD760" s="2">
        <f>IF(($C$130&lt;&gt;"")*(应付登记!$D$764=$C$130)*ISNUMBER(应付登记!$J$764)*(应付登记!$J$764&gt;=_辅助!$J$4)*(应付登记!$J$764&lt;=_辅助!$J$2),1,0)</f>
        <v>0</v>
      </c>
    </row>
    <row r="761">
      <c r="BC761" s="2">
        <f>BC750+SUM(CD751:CD761)</f>
        <v>0</v>
      </c>
      <c r="BD761" s="2">
        <f>IF(AND($C$130&lt;&gt;"",资金流水!$J$765=$C$130,ISNUMBER(资金流水!$B$765),ISNUMBER(资金流水!$S$765),资金流水!$S$765&gt;=_辅助!$J$4,资金流水!$S$765&lt;=_辅助!$J$2,OR(资金流水!$X$765="应付材料款",资金流水!$X$765="应付分包款",资金流水!$X$765="应付机械运输费",资金流水!$X$765="应付其他款")),INT(资金流水!$B$765)*10000+760,"")</f>
      </c>
      <c r="CD761" s="2">
        <f>IF(($C$130&lt;&gt;"")*(应付登记!$D$765=$C$130)*ISNUMBER(应付登记!$J$765)*(应付登记!$J$765&gt;=_辅助!$J$4)*(应付登记!$J$765&lt;=_辅助!$J$2),1,0)</f>
        <v>0</v>
      </c>
    </row>
    <row r="762">
      <c r="BC762" s="2">
        <f>BC750+SUM(CD751:CD762)</f>
        <v>0</v>
      </c>
      <c r="BD762" s="2">
        <f>IF(AND($C$130&lt;&gt;"",资金流水!$J$766=$C$130,ISNUMBER(资金流水!$B$766),ISNUMBER(资金流水!$S$766),资金流水!$S$766&gt;=_辅助!$J$4,资金流水!$S$766&lt;=_辅助!$J$2,OR(资金流水!$X$766="应付材料款",资金流水!$X$766="应付分包款",资金流水!$X$766="应付机械运输费",资金流水!$X$766="应付其他款")),INT(资金流水!$B$766)*10000+761,"")</f>
      </c>
      <c r="CD762" s="2">
        <f>IF(($C$130&lt;&gt;"")*(应付登记!$D$766=$C$130)*ISNUMBER(应付登记!$J$766)*(应付登记!$J$766&gt;=_辅助!$J$4)*(应付登记!$J$766&lt;=_辅助!$J$2),1,0)</f>
        <v>0</v>
      </c>
    </row>
    <row r="763">
      <c r="BC763" s="2">
        <f>BC750+SUM(CD751:CD763)</f>
        <v>0</v>
      </c>
      <c r="BD763" s="2">
        <f>IF(AND($C$130&lt;&gt;"",资金流水!$J$767=$C$130,ISNUMBER(资金流水!$B$767),ISNUMBER(资金流水!$S$767),资金流水!$S$767&gt;=_辅助!$J$4,资金流水!$S$767&lt;=_辅助!$J$2,OR(资金流水!$X$767="应付材料款",资金流水!$X$767="应付分包款",资金流水!$X$767="应付机械运输费",资金流水!$X$767="应付其他款")),INT(资金流水!$B$767)*10000+762,"")</f>
      </c>
      <c r="CD763" s="2">
        <f>IF(($C$130&lt;&gt;"")*(应付登记!$D$767=$C$130)*ISNUMBER(应付登记!$J$767)*(应付登记!$J$767&gt;=_辅助!$J$4)*(应付登记!$J$767&lt;=_辅助!$J$2),1,0)</f>
        <v>0</v>
      </c>
    </row>
    <row r="764">
      <c r="BC764" s="2">
        <f>BC750+SUM(CD751:CD764)</f>
        <v>0</v>
      </c>
      <c r="BD764" s="2">
        <f>IF(AND($C$130&lt;&gt;"",资金流水!$J$768=$C$130,ISNUMBER(资金流水!$B$768),ISNUMBER(资金流水!$S$768),资金流水!$S$768&gt;=_辅助!$J$4,资金流水!$S$768&lt;=_辅助!$J$2,OR(资金流水!$X$768="应付材料款",资金流水!$X$768="应付分包款",资金流水!$X$768="应付机械运输费",资金流水!$X$768="应付其他款")),INT(资金流水!$B$768)*10000+763,"")</f>
      </c>
      <c r="CD764" s="2">
        <f>IF(($C$130&lt;&gt;"")*(应付登记!$D$768=$C$130)*ISNUMBER(应付登记!$J$768)*(应付登记!$J$768&gt;=_辅助!$J$4)*(应付登记!$J$768&lt;=_辅助!$J$2),1,0)</f>
        <v>0</v>
      </c>
    </row>
    <row r="765">
      <c r="BC765" s="2">
        <f>BC750+SUM(CD751:CD765)</f>
        <v>0</v>
      </c>
      <c r="BD765" s="2">
        <f>IF(AND($C$130&lt;&gt;"",资金流水!$J$769=$C$130,ISNUMBER(资金流水!$B$769),ISNUMBER(资金流水!$S$769),资金流水!$S$769&gt;=_辅助!$J$4,资金流水!$S$769&lt;=_辅助!$J$2,OR(资金流水!$X$769="应付材料款",资金流水!$X$769="应付分包款",资金流水!$X$769="应付机械运输费",资金流水!$X$769="应付其他款")),INT(资金流水!$B$769)*10000+764,"")</f>
      </c>
      <c r="CD765" s="2">
        <f>IF(($C$130&lt;&gt;"")*(应付登记!$D$769=$C$130)*ISNUMBER(应付登记!$J$769)*(应付登记!$J$769&gt;=_辅助!$J$4)*(应付登记!$J$769&lt;=_辅助!$J$2),1,0)</f>
        <v>0</v>
      </c>
    </row>
    <row r="766">
      <c r="BC766" s="2">
        <f>BC750+SUM(CD751:CD766)</f>
        <v>0</v>
      </c>
      <c r="BD766" s="2">
        <f>IF(AND($C$130&lt;&gt;"",资金流水!$J$770=$C$130,ISNUMBER(资金流水!$B$770),ISNUMBER(资金流水!$S$770),资金流水!$S$770&gt;=_辅助!$J$4,资金流水!$S$770&lt;=_辅助!$J$2,OR(资金流水!$X$770="应付材料款",资金流水!$X$770="应付分包款",资金流水!$X$770="应付机械运输费",资金流水!$X$770="应付其他款")),INT(资金流水!$B$770)*10000+765,"")</f>
      </c>
      <c r="CD766" s="2">
        <f>IF(($C$130&lt;&gt;"")*(应付登记!$D$770=$C$130)*ISNUMBER(应付登记!$J$770)*(应付登记!$J$770&gt;=_辅助!$J$4)*(应付登记!$J$770&lt;=_辅助!$J$2),1,0)</f>
        <v>0</v>
      </c>
    </row>
    <row r="767">
      <c r="BC767" s="2">
        <f>BC750+SUM(CD751:CD767)</f>
        <v>0</v>
      </c>
      <c r="BD767" s="2">
        <f>IF(AND($C$130&lt;&gt;"",资金流水!$J$771=$C$130,ISNUMBER(资金流水!$B$771),ISNUMBER(资金流水!$S$771),资金流水!$S$771&gt;=_辅助!$J$4,资金流水!$S$771&lt;=_辅助!$J$2,OR(资金流水!$X$771="应付材料款",资金流水!$X$771="应付分包款",资金流水!$X$771="应付机械运输费",资金流水!$X$771="应付其他款")),INT(资金流水!$B$771)*10000+766,"")</f>
      </c>
      <c r="CD767" s="2">
        <f>IF(($C$130&lt;&gt;"")*(应付登记!$D$771=$C$130)*ISNUMBER(应付登记!$J$771)*(应付登记!$J$771&gt;=_辅助!$J$4)*(应付登记!$J$771&lt;=_辅助!$J$2),1,0)</f>
        <v>0</v>
      </c>
    </row>
    <row r="768">
      <c r="BC768" s="2">
        <f>BC750+SUM(CD751:CD768)</f>
        <v>0</v>
      </c>
      <c r="BD768" s="2">
        <f>IF(AND($C$130&lt;&gt;"",资金流水!$J$772=$C$130,ISNUMBER(资金流水!$B$772),ISNUMBER(资金流水!$S$772),资金流水!$S$772&gt;=_辅助!$J$4,资金流水!$S$772&lt;=_辅助!$J$2,OR(资金流水!$X$772="应付材料款",资金流水!$X$772="应付分包款",资金流水!$X$772="应付机械运输费",资金流水!$X$772="应付其他款")),INT(资金流水!$B$772)*10000+767,"")</f>
      </c>
      <c r="CD768" s="2">
        <f>IF(($C$130&lt;&gt;"")*(应付登记!$D$772=$C$130)*ISNUMBER(应付登记!$J$772)*(应付登记!$J$772&gt;=_辅助!$J$4)*(应付登记!$J$772&lt;=_辅助!$J$2),1,0)</f>
        <v>0</v>
      </c>
    </row>
    <row r="769">
      <c r="BC769" s="2">
        <f>BC750+SUM(CD751:CD769)</f>
        <v>0</v>
      </c>
      <c r="BD769" s="2">
        <f>IF(AND($C$130&lt;&gt;"",资金流水!$J$773=$C$130,ISNUMBER(资金流水!$B$773),ISNUMBER(资金流水!$S$773),资金流水!$S$773&gt;=_辅助!$J$4,资金流水!$S$773&lt;=_辅助!$J$2,OR(资金流水!$X$773="应付材料款",资金流水!$X$773="应付分包款",资金流水!$X$773="应付机械运输费",资金流水!$X$773="应付其他款")),INT(资金流水!$B$773)*10000+768,"")</f>
      </c>
      <c r="CD769" s="2">
        <f>IF(($C$130&lt;&gt;"")*(应付登记!$D$773=$C$130)*ISNUMBER(应付登记!$J$773)*(应付登记!$J$773&gt;=_辅助!$J$4)*(应付登记!$J$773&lt;=_辅助!$J$2),1,0)</f>
        <v>0</v>
      </c>
    </row>
    <row r="770">
      <c r="BC770" s="2">
        <f>BC750+SUM(CD751:CD770)</f>
        <v>0</v>
      </c>
      <c r="BD770" s="2">
        <f>IF(AND($C$130&lt;&gt;"",资金流水!$J$774=$C$130,ISNUMBER(资金流水!$B$774),ISNUMBER(资金流水!$S$774),资金流水!$S$774&gt;=_辅助!$J$4,资金流水!$S$774&lt;=_辅助!$J$2,OR(资金流水!$X$774="应付材料款",资金流水!$X$774="应付分包款",资金流水!$X$774="应付机械运输费",资金流水!$X$774="应付其他款")),INT(资金流水!$B$774)*10000+769,"")</f>
      </c>
      <c r="CD770" s="2">
        <f>IF(($C$130&lt;&gt;"")*(应付登记!$D$774=$C$130)*ISNUMBER(应付登记!$J$774)*(应付登记!$J$774&gt;=_辅助!$J$4)*(应付登记!$J$774&lt;=_辅助!$J$2),1,0)</f>
        <v>0</v>
      </c>
    </row>
    <row r="771">
      <c r="BC771" s="2">
        <f>BC750+SUM(CD751:CD771)</f>
        <v>0</v>
      </c>
      <c r="BD771" s="2">
        <f>IF(AND($C$130&lt;&gt;"",资金流水!$J$775=$C$130,ISNUMBER(资金流水!$B$775),ISNUMBER(资金流水!$S$775),资金流水!$S$775&gt;=_辅助!$J$4,资金流水!$S$775&lt;=_辅助!$J$2,OR(资金流水!$X$775="应付材料款",资金流水!$X$775="应付分包款",资金流水!$X$775="应付机械运输费",资金流水!$X$775="应付其他款")),INT(资金流水!$B$775)*10000+770,"")</f>
      </c>
      <c r="CD771" s="2">
        <f>IF(($C$130&lt;&gt;"")*(应付登记!$D$775=$C$130)*ISNUMBER(应付登记!$J$775)*(应付登记!$J$775&gt;=_辅助!$J$4)*(应付登记!$J$775&lt;=_辅助!$J$2),1,0)</f>
        <v>0</v>
      </c>
    </row>
    <row r="772">
      <c r="BC772" s="2">
        <f>BC750+SUM(CD751:CD772)</f>
        <v>0</v>
      </c>
      <c r="BD772" s="2">
        <f>IF(AND($C$130&lt;&gt;"",资金流水!$J$776=$C$130,ISNUMBER(资金流水!$B$776),ISNUMBER(资金流水!$S$776),资金流水!$S$776&gt;=_辅助!$J$4,资金流水!$S$776&lt;=_辅助!$J$2,OR(资金流水!$X$776="应付材料款",资金流水!$X$776="应付分包款",资金流水!$X$776="应付机械运输费",资金流水!$X$776="应付其他款")),INT(资金流水!$B$776)*10000+771,"")</f>
      </c>
      <c r="CD772" s="2">
        <f>IF(($C$130&lt;&gt;"")*(应付登记!$D$776=$C$130)*ISNUMBER(应付登记!$J$776)*(应付登记!$J$776&gt;=_辅助!$J$4)*(应付登记!$J$776&lt;=_辅助!$J$2),1,0)</f>
        <v>0</v>
      </c>
    </row>
    <row r="773">
      <c r="BC773" s="2">
        <f>BC750+SUM(CD751:CD773)</f>
        <v>0</v>
      </c>
      <c r="BD773" s="2">
        <f>IF(AND($C$130&lt;&gt;"",资金流水!$J$777=$C$130,ISNUMBER(资金流水!$B$777),ISNUMBER(资金流水!$S$777),资金流水!$S$777&gt;=_辅助!$J$4,资金流水!$S$777&lt;=_辅助!$J$2,OR(资金流水!$X$777="应付材料款",资金流水!$X$777="应付分包款",资金流水!$X$777="应付机械运输费",资金流水!$X$777="应付其他款")),INT(资金流水!$B$777)*10000+772,"")</f>
      </c>
      <c r="CD773" s="2">
        <f>IF(($C$130&lt;&gt;"")*(应付登记!$D$777=$C$130)*ISNUMBER(应付登记!$J$777)*(应付登记!$J$777&gt;=_辅助!$J$4)*(应付登记!$J$777&lt;=_辅助!$J$2),1,0)</f>
        <v>0</v>
      </c>
    </row>
    <row r="774">
      <c r="BC774" s="2">
        <f>BC750+SUM(CD751:CD774)</f>
        <v>0</v>
      </c>
      <c r="BD774" s="2">
        <f>IF(AND($C$130&lt;&gt;"",资金流水!$J$778=$C$130,ISNUMBER(资金流水!$B$778),ISNUMBER(资金流水!$S$778),资金流水!$S$778&gt;=_辅助!$J$4,资金流水!$S$778&lt;=_辅助!$J$2,OR(资金流水!$X$778="应付材料款",资金流水!$X$778="应付分包款",资金流水!$X$778="应付机械运输费",资金流水!$X$778="应付其他款")),INT(资金流水!$B$778)*10000+773,"")</f>
      </c>
      <c r="CD774" s="2">
        <f>IF(($C$130&lt;&gt;"")*(应付登记!$D$778=$C$130)*ISNUMBER(应付登记!$J$778)*(应付登记!$J$778&gt;=_辅助!$J$4)*(应付登记!$J$778&lt;=_辅助!$J$2),1,0)</f>
        <v>0</v>
      </c>
    </row>
    <row r="775">
      <c r="BC775" s="2">
        <f>BC750+SUM(CD751:CD775)</f>
        <v>0</v>
      </c>
      <c r="BD775" s="2">
        <f>IF(AND($C$130&lt;&gt;"",资金流水!$J$779=$C$130,ISNUMBER(资金流水!$B$779),ISNUMBER(资金流水!$S$779),资金流水!$S$779&gt;=_辅助!$J$4,资金流水!$S$779&lt;=_辅助!$J$2,OR(资金流水!$X$779="应付材料款",资金流水!$X$779="应付分包款",资金流水!$X$779="应付机械运输费",资金流水!$X$779="应付其他款")),INT(资金流水!$B$779)*10000+774,"")</f>
      </c>
      <c r="CD775" s="2">
        <f>IF(($C$130&lt;&gt;"")*(应付登记!$D$779=$C$130)*ISNUMBER(应付登记!$J$779)*(应付登记!$J$779&gt;=_辅助!$J$4)*(应付登记!$J$779&lt;=_辅助!$J$2),1,0)</f>
        <v>0</v>
      </c>
    </row>
    <row r="776">
      <c r="BC776" s="2">
        <f>BC750+SUM(CD751:CD776)</f>
        <v>0</v>
      </c>
      <c r="BD776" s="2">
        <f>IF(AND($C$130&lt;&gt;"",资金流水!$J$780=$C$130,ISNUMBER(资金流水!$B$780),ISNUMBER(资金流水!$S$780),资金流水!$S$780&gt;=_辅助!$J$4,资金流水!$S$780&lt;=_辅助!$J$2,OR(资金流水!$X$780="应付材料款",资金流水!$X$780="应付分包款",资金流水!$X$780="应付机械运输费",资金流水!$X$780="应付其他款")),INT(资金流水!$B$780)*10000+775,"")</f>
      </c>
      <c r="CD776" s="2">
        <f>IF(($C$130&lt;&gt;"")*(应付登记!$D$780=$C$130)*ISNUMBER(应付登记!$J$780)*(应付登记!$J$780&gt;=_辅助!$J$4)*(应付登记!$J$780&lt;=_辅助!$J$2),1,0)</f>
        <v>0</v>
      </c>
    </row>
    <row r="777">
      <c r="BC777" s="2">
        <f>BC750+SUM(CD751:CD777)</f>
        <v>0</v>
      </c>
      <c r="BD777" s="2">
        <f>IF(AND($C$130&lt;&gt;"",资金流水!$J$781=$C$130,ISNUMBER(资金流水!$B$781),ISNUMBER(资金流水!$S$781),资金流水!$S$781&gt;=_辅助!$J$4,资金流水!$S$781&lt;=_辅助!$J$2,OR(资金流水!$X$781="应付材料款",资金流水!$X$781="应付分包款",资金流水!$X$781="应付机械运输费",资金流水!$X$781="应付其他款")),INT(资金流水!$B$781)*10000+776,"")</f>
      </c>
      <c r="CD777" s="2">
        <f>IF(($C$130&lt;&gt;"")*(应付登记!$D$781=$C$130)*ISNUMBER(应付登记!$J$781)*(应付登记!$J$781&gt;=_辅助!$J$4)*(应付登记!$J$781&lt;=_辅助!$J$2),1,0)</f>
        <v>0</v>
      </c>
    </row>
    <row r="778">
      <c r="BC778" s="2">
        <f>BC750+SUM(CD751:CD778)</f>
        <v>0</v>
      </c>
      <c r="BD778" s="2">
        <f>IF(AND($C$130&lt;&gt;"",资金流水!$J$782=$C$130,ISNUMBER(资金流水!$B$782),ISNUMBER(资金流水!$S$782),资金流水!$S$782&gt;=_辅助!$J$4,资金流水!$S$782&lt;=_辅助!$J$2,OR(资金流水!$X$782="应付材料款",资金流水!$X$782="应付分包款",资金流水!$X$782="应付机械运输费",资金流水!$X$782="应付其他款")),INT(资金流水!$B$782)*10000+777,"")</f>
      </c>
      <c r="CD778" s="2">
        <f>IF(($C$130&lt;&gt;"")*(应付登记!$D$782=$C$130)*ISNUMBER(应付登记!$J$782)*(应付登记!$J$782&gt;=_辅助!$J$4)*(应付登记!$J$782&lt;=_辅助!$J$2),1,0)</f>
        <v>0</v>
      </c>
    </row>
    <row r="779">
      <c r="BC779" s="2">
        <f>BC750+SUM(CD751:CD779)</f>
        <v>0</v>
      </c>
      <c r="BD779" s="2">
        <f>IF(AND($C$130&lt;&gt;"",资金流水!$J$783=$C$130,ISNUMBER(资金流水!$B$783),ISNUMBER(资金流水!$S$783),资金流水!$S$783&gt;=_辅助!$J$4,资金流水!$S$783&lt;=_辅助!$J$2,OR(资金流水!$X$783="应付材料款",资金流水!$X$783="应付分包款",资金流水!$X$783="应付机械运输费",资金流水!$X$783="应付其他款")),INT(资金流水!$B$783)*10000+778,"")</f>
      </c>
      <c r="CD779" s="2">
        <f>IF(($C$130&lt;&gt;"")*(应付登记!$D$783=$C$130)*ISNUMBER(应付登记!$J$783)*(应付登记!$J$783&gt;=_辅助!$J$4)*(应付登记!$J$783&lt;=_辅助!$J$2),1,0)</f>
        <v>0</v>
      </c>
    </row>
    <row r="780">
      <c r="BC780" s="2">
        <f>BC750+SUM(CD751:CD780)</f>
        <v>0</v>
      </c>
      <c r="BD780" s="2">
        <f>IF(AND($C$130&lt;&gt;"",资金流水!$J$784=$C$130,ISNUMBER(资金流水!$B$784),ISNUMBER(资金流水!$S$784),资金流水!$S$784&gt;=_辅助!$J$4,资金流水!$S$784&lt;=_辅助!$J$2,OR(资金流水!$X$784="应付材料款",资金流水!$X$784="应付分包款",资金流水!$X$784="应付机械运输费",资金流水!$X$784="应付其他款")),INT(资金流水!$B$784)*10000+779,"")</f>
      </c>
      <c r="CD780" s="2">
        <f>IF(($C$130&lt;&gt;"")*(应付登记!$D$784=$C$130)*ISNUMBER(应付登记!$J$784)*(应付登记!$J$784&gt;=_辅助!$J$4)*(应付登记!$J$784&lt;=_辅助!$J$2),1,0)</f>
        <v>0</v>
      </c>
    </row>
    <row r="781">
      <c r="BC781" s="2">
        <f>BC750+SUM(CD751:CD781)</f>
        <v>0</v>
      </c>
      <c r="BD781" s="2">
        <f>IF(AND($C$130&lt;&gt;"",资金流水!$J$785=$C$130,ISNUMBER(资金流水!$B$785),ISNUMBER(资金流水!$S$785),资金流水!$S$785&gt;=_辅助!$J$4,资金流水!$S$785&lt;=_辅助!$J$2,OR(资金流水!$X$785="应付材料款",资金流水!$X$785="应付分包款",资金流水!$X$785="应付机械运输费",资金流水!$X$785="应付其他款")),INT(资金流水!$B$785)*10000+780,"")</f>
      </c>
      <c r="CD781" s="2">
        <f>IF(($C$130&lt;&gt;"")*(应付登记!$D$785=$C$130)*ISNUMBER(应付登记!$J$785)*(应付登记!$J$785&gt;=_辅助!$J$4)*(应付登记!$J$785&lt;=_辅助!$J$2),1,0)</f>
        <v>0</v>
      </c>
    </row>
    <row r="782">
      <c r="BC782" s="2">
        <f>BC750+SUM(CD751:CD782)</f>
        <v>0</v>
      </c>
      <c r="BD782" s="2">
        <f>IF(AND($C$130&lt;&gt;"",资金流水!$J$786=$C$130,ISNUMBER(资金流水!$B$786),ISNUMBER(资金流水!$S$786),资金流水!$S$786&gt;=_辅助!$J$4,资金流水!$S$786&lt;=_辅助!$J$2,OR(资金流水!$X$786="应付材料款",资金流水!$X$786="应付分包款",资金流水!$X$786="应付机械运输费",资金流水!$X$786="应付其他款")),INT(资金流水!$B$786)*10000+781,"")</f>
      </c>
      <c r="CD782" s="2">
        <f>IF(($C$130&lt;&gt;"")*(应付登记!$D$786=$C$130)*ISNUMBER(应付登记!$J$786)*(应付登记!$J$786&gt;=_辅助!$J$4)*(应付登记!$J$786&lt;=_辅助!$J$2),1,0)</f>
        <v>0</v>
      </c>
    </row>
    <row r="783">
      <c r="BC783" s="2">
        <f>BC750+SUM(CD751:CD783)</f>
        <v>0</v>
      </c>
      <c r="BD783" s="2">
        <f>IF(AND($C$130&lt;&gt;"",资金流水!$J$787=$C$130,ISNUMBER(资金流水!$B$787),ISNUMBER(资金流水!$S$787),资金流水!$S$787&gt;=_辅助!$J$4,资金流水!$S$787&lt;=_辅助!$J$2,OR(资金流水!$X$787="应付材料款",资金流水!$X$787="应付分包款",资金流水!$X$787="应付机械运输费",资金流水!$X$787="应付其他款")),INT(资金流水!$B$787)*10000+782,"")</f>
      </c>
      <c r="CD783" s="2">
        <f>IF(($C$130&lt;&gt;"")*(应付登记!$D$787=$C$130)*ISNUMBER(应付登记!$J$787)*(应付登记!$J$787&gt;=_辅助!$J$4)*(应付登记!$J$787&lt;=_辅助!$J$2),1,0)</f>
        <v>0</v>
      </c>
    </row>
    <row r="784">
      <c r="BC784" s="2">
        <f>BC750+SUM(CD751:CD784)</f>
        <v>0</v>
      </c>
      <c r="BD784" s="2">
        <f>IF(AND($C$130&lt;&gt;"",资金流水!$J$788=$C$130,ISNUMBER(资金流水!$B$788),ISNUMBER(资金流水!$S$788),资金流水!$S$788&gt;=_辅助!$J$4,资金流水!$S$788&lt;=_辅助!$J$2,OR(资金流水!$X$788="应付材料款",资金流水!$X$788="应付分包款",资金流水!$X$788="应付机械运输费",资金流水!$X$788="应付其他款")),INT(资金流水!$B$788)*10000+783,"")</f>
      </c>
      <c r="CD784" s="2">
        <f>IF(($C$130&lt;&gt;"")*(应付登记!$D$788=$C$130)*ISNUMBER(应付登记!$J$788)*(应付登记!$J$788&gt;=_辅助!$J$4)*(应付登记!$J$788&lt;=_辅助!$J$2),1,0)</f>
        <v>0</v>
      </c>
    </row>
    <row r="785">
      <c r="BC785" s="2">
        <f>BC750+SUM(CD751:CD785)</f>
        <v>0</v>
      </c>
      <c r="BD785" s="2">
        <f>IF(AND($C$130&lt;&gt;"",资金流水!$J$789=$C$130,ISNUMBER(资金流水!$B$789),ISNUMBER(资金流水!$S$789),资金流水!$S$789&gt;=_辅助!$J$4,资金流水!$S$789&lt;=_辅助!$J$2,OR(资金流水!$X$789="应付材料款",资金流水!$X$789="应付分包款",资金流水!$X$789="应付机械运输费",资金流水!$X$789="应付其他款")),INT(资金流水!$B$789)*10000+784,"")</f>
      </c>
      <c r="CD785" s="2">
        <f>IF(($C$130&lt;&gt;"")*(应付登记!$D$789=$C$130)*ISNUMBER(应付登记!$J$789)*(应付登记!$J$789&gt;=_辅助!$J$4)*(应付登记!$J$789&lt;=_辅助!$J$2),1,0)</f>
        <v>0</v>
      </c>
    </row>
    <row r="786">
      <c r="BC786" s="2">
        <f>BC750+SUM(CD751:CD786)</f>
        <v>0</v>
      </c>
      <c r="BD786" s="2">
        <f>IF(AND($C$130&lt;&gt;"",资金流水!$J$790=$C$130,ISNUMBER(资金流水!$B$790),ISNUMBER(资金流水!$S$790),资金流水!$S$790&gt;=_辅助!$J$4,资金流水!$S$790&lt;=_辅助!$J$2,OR(资金流水!$X$790="应付材料款",资金流水!$X$790="应付分包款",资金流水!$X$790="应付机械运输费",资金流水!$X$790="应付其他款")),INT(资金流水!$B$790)*10000+785,"")</f>
      </c>
      <c r="CD786" s="2">
        <f>IF(($C$130&lt;&gt;"")*(应付登记!$D$790=$C$130)*ISNUMBER(应付登记!$J$790)*(应付登记!$J$790&gt;=_辅助!$J$4)*(应付登记!$J$790&lt;=_辅助!$J$2),1,0)</f>
        <v>0</v>
      </c>
    </row>
    <row r="787">
      <c r="BC787" s="2">
        <f>BC750+SUM(CD751:CD787)</f>
        <v>0</v>
      </c>
      <c r="BD787" s="2">
        <f>IF(AND($C$130&lt;&gt;"",资金流水!$J$791=$C$130,ISNUMBER(资金流水!$B$791),ISNUMBER(资金流水!$S$791),资金流水!$S$791&gt;=_辅助!$J$4,资金流水!$S$791&lt;=_辅助!$J$2,OR(资金流水!$X$791="应付材料款",资金流水!$X$791="应付分包款",资金流水!$X$791="应付机械运输费",资金流水!$X$791="应付其他款")),INT(资金流水!$B$791)*10000+786,"")</f>
      </c>
      <c r="CD787" s="2">
        <f>IF(($C$130&lt;&gt;"")*(应付登记!$D$791=$C$130)*ISNUMBER(应付登记!$J$791)*(应付登记!$J$791&gt;=_辅助!$J$4)*(应付登记!$J$791&lt;=_辅助!$J$2),1,0)</f>
        <v>0</v>
      </c>
    </row>
    <row r="788">
      <c r="BC788" s="2">
        <f>BC750+SUM(CD751:CD788)</f>
        <v>0</v>
      </c>
      <c r="BD788" s="2">
        <f>IF(AND($C$130&lt;&gt;"",资金流水!$J$792=$C$130,ISNUMBER(资金流水!$B$792),ISNUMBER(资金流水!$S$792),资金流水!$S$792&gt;=_辅助!$J$4,资金流水!$S$792&lt;=_辅助!$J$2,OR(资金流水!$X$792="应付材料款",资金流水!$X$792="应付分包款",资金流水!$X$792="应付机械运输费",资金流水!$X$792="应付其他款")),INT(资金流水!$B$792)*10000+787,"")</f>
      </c>
      <c r="CD788" s="2">
        <f>IF(($C$130&lt;&gt;"")*(应付登记!$D$792=$C$130)*ISNUMBER(应付登记!$J$792)*(应付登记!$J$792&gt;=_辅助!$J$4)*(应付登记!$J$792&lt;=_辅助!$J$2),1,0)</f>
        <v>0</v>
      </c>
    </row>
    <row r="789">
      <c r="BC789" s="2">
        <f>BC750+SUM(CD751:CD789)</f>
        <v>0</v>
      </c>
      <c r="BD789" s="2">
        <f>IF(AND($C$130&lt;&gt;"",资金流水!$J$793=$C$130,ISNUMBER(资金流水!$B$793),ISNUMBER(资金流水!$S$793),资金流水!$S$793&gt;=_辅助!$J$4,资金流水!$S$793&lt;=_辅助!$J$2,OR(资金流水!$X$793="应付材料款",资金流水!$X$793="应付分包款",资金流水!$X$793="应付机械运输费",资金流水!$X$793="应付其他款")),INT(资金流水!$B$793)*10000+788,"")</f>
      </c>
      <c r="CD789" s="2">
        <f>IF(($C$130&lt;&gt;"")*(应付登记!$D$793=$C$130)*ISNUMBER(应付登记!$J$793)*(应付登记!$J$793&gt;=_辅助!$J$4)*(应付登记!$J$793&lt;=_辅助!$J$2),1,0)</f>
        <v>0</v>
      </c>
    </row>
    <row r="790">
      <c r="BC790" s="2">
        <f>BC750+SUM(CD751:CD790)</f>
        <v>0</v>
      </c>
      <c r="BD790" s="2">
        <f>IF(AND($C$130&lt;&gt;"",资金流水!$J$794=$C$130,ISNUMBER(资金流水!$B$794),ISNUMBER(资金流水!$S$794),资金流水!$S$794&gt;=_辅助!$J$4,资金流水!$S$794&lt;=_辅助!$J$2,OR(资金流水!$X$794="应付材料款",资金流水!$X$794="应付分包款",资金流水!$X$794="应付机械运输费",资金流水!$X$794="应付其他款")),INT(资金流水!$B$794)*10000+789,"")</f>
      </c>
      <c r="CD790" s="2">
        <f>IF(($C$130&lt;&gt;"")*(应付登记!$D$794=$C$130)*ISNUMBER(应付登记!$J$794)*(应付登记!$J$794&gt;=_辅助!$J$4)*(应付登记!$J$794&lt;=_辅助!$J$2),1,0)</f>
        <v>0</v>
      </c>
    </row>
    <row r="791">
      <c r="BC791" s="2">
        <f>BC750+SUM(CD751:CD791)</f>
        <v>0</v>
      </c>
      <c r="BD791" s="2">
        <f>IF(AND($C$130&lt;&gt;"",资金流水!$J$795=$C$130,ISNUMBER(资金流水!$B$795),ISNUMBER(资金流水!$S$795),资金流水!$S$795&gt;=_辅助!$J$4,资金流水!$S$795&lt;=_辅助!$J$2,OR(资金流水!$X$795="应付材料款",资金流水!$X$795="应付分包款",资金流水!$X$795="应付机械运输费",资金流水!$X$795="应付其他款")),INT(资金流水!$B$795)*10000+790,"")</f>
      </c>
      <c r="CD791" s="2">
        <f>IF(($C$130&lt;&gt;"")*(应付登记!$D$795=$C$130)*ISNUMBER(应付登记!$J$795)*(应付登记!$J$795&gt;=_辅助!$J$4)*(应付登记!$J$795&lt;=_辅助!$J$2),1,0)</f>
        <v>0</v>
      </c>
    </row>
    <row r="792">
      <c r="BC792" s="2">
        <f>BC750+SUM(CD751:CD792)</f>
        <v>0</v>
      </c>
      <c r="BD792" s="2">
        <f>IF(AND($C$130&lt;&gt;"",资金流水!$J$796=$C$130,ISNUMBER(资金流水!$B$796),ISNUMBER(资金流水!$S$796),资金流水!$S$796&gt;=_辅助!$J$4,资金流水!$S$796&lt;=_辅助!$J$2,OR(资金流水!$X$796="应付材料款",资金流水!$X$796="应付分包款",资金流水!$X$796="应付机械运输费",资金流水!$X$796="应付其他款")),INT(资金流水!$B$796)*10000+791,"")</f>
      </c>
      <c r="CD792" s="2">
        <f>IF(($C$130&lt;&gt;"")*(应付登记!$D$796=$C$130)*ISNUMBER(应付登记!$J$796)*(应付登记!$J$796&gt;=_辅助!$J$4)*(应付登记!$J$796&lt;=_辅助!$J$2),1,0)</f>
        <v>0</v>
      </c>
    </row>
    <row r="793">
      <c r="BC793" s="2">
        <f>BC750+SUM(CD751:CD793)</f>
        <v>0</v>
      </c>
      <c r="BD793" s="2">
        <f>IF(AND($C$130&lt;&gt;"",资金流水!$J$797=$C$130,ISNUMBER(资金流水!$B$797),ISNUMBER(资金流水!$S$797),资金流水!$S$797&gt;=_辅助!$J$4,资金流水!$S$797&lt;=_辅助!$J$2,OR(资金流水!$X$797="应付材料款",资金流水!$X$797="应付分包款",资金流水!$X$797="应付机械运输费",资金流水!$X$797="应付其他款")),INT(资金流水!$B$797)*10000+792,"")</f>
      </c>
      <c r="CD793" s="2">
        <f>IF(($C$130&lt;&gt;"")*(应付登记!$D$797=$C$130)*ISNUMBER(应付登记!$J$797)*(应付登记!$J$797&gt;=_辅助!$J$4)*(应付登记!$J$797&lt;=_辅助!$J$2),1,0)</f>
        <v>0</v>
      </c>
    </row>
    <row r="794">
      <c r="BC794" s="2">
        <f>BC750+SUM(CD751:CD794)</f>
        <v>0</v>
      </c>
      <c r="BD794" s="2">
        <f>IF(AND($C$130&lt;&gt;"",资金流水!$J$798=$C$130,ISNUMBER(资金流水!$B$798),ISNUMBER(资金流水!$S$798),资金流水!$S$798&gt;=_辅助!$J$4,资金流水!$S$798&lt;=_辅助!$J$2,OR(资金流水!$X$798="应付材料款",资金流水!$X$798="应付分包款",资金流水!$X$798="应付机械运输费",资金流水!$X$798="应付其他款")),INT(资金流水!$B$798)*10000+793,"")</f>
      </c>
      <c r="CD794" s="2">
        <f>IF(($C$130&lt;&gt;"")*(应付登记!$D$798=$C$130)*ISNUMBER(应付登记!$J$798)*(应付登记!$J$798&gt;=_辅助!$J$4)*(应付登记!$J$798&lt;=_辅助!$J$2),1,0)</f>
        <v>0</v>
      </c>
    </row>
    <row r="795">
      <c r="BC795" s="2">
        <f>BC750+SUM(CD751:CD795)</f>
        <v>0</v>
      </c>
      <c r="BD795" s="2">
        <f>IF(AND($C$130&lt;&gt;"",资金流水!$J$799=$C$130,ISNUMBER(资金流水!$B$799),ISNUMBER(资金流水!$S$799),资金流水!$S$799&gt;=_辅助!$J$4,资金流水!$S$799&lt;=_辅助!$J$2,OR(资金流水!$X$799="应付材料款",资金流水!$X$799="应付分包款",资金流水!$X$799="应付机械运输费",资金流水!$X$799="应付其他款")),INT(资金流水!$B$799)*10000+794,"")</f>
      </c>
      <c r="CD795" s="2">
        <f>IF(($C$130&lt;&gt;"")*(应付登记!$D$799=$C$130)*ISNUMBER(应付登记!$J$799)*(应付登记!$J$799&gt;=_辅助!$J$4)*(应付登记!$J$799&lt;=_辅助!$J$2),1,0)</f>
        <v>0</v>
      </c>
    </row>
    <row r="796">
      <c r="BC796" s="2">
        <f>BC750+SUM(CD751:CD796)</f>
        <v>0</v>
      </c>
      <c r="BD796" s="2">
        <f>IF(AND($C$130&lt;&gt;"",资金流水!$J$800=$C$130,ISNUMBER(资金流水!$B$800),ISNUMBER(资金流水!$S$800),资金流水!$S$800&gt;=_辅助!$J$4,资金流水!$S$800&lt;=_辅助!$J$2,OR(资金流水!$X$800="应付材料款",资金流水!$X$800="应付分包款",资金流水!$X$800="应付机械运输费",资金流水!$X$800="应付其他款")),INT(资金流水!$B$800)*10000+795,"")</f>
      </c>
      <c r="CD796" s="2">
        <f>IF(($C$130&lt;&gt;"")*(应付登记!$D$800=$C$130)*ISNUMBER(应付登记!$J$800)*(应付登记!$J$800&gt;=_辅助!$J$4)*(应付登记!$J$800&lt;=_辅助!$J$2),1,0)</f>
        <v>0</v>
      </c>
    </row>
    <row r="797">
      <c r="BC797" s="2">
        <f>BC750+SUM(CD751:CD797)</f>
        <v>0</v>
      </c>
      <c r="BD797" s="2">
        <f>IF(AND($C$130&lt;&gt;"",资金流水!$J$801=$C$130,ISNUMBER(资金流水!$B$801),ISNUMBER(资金流水!$S$801),资金流水!$S$801&gt;=_辅助!$J$4,资金流水!$S$801&lt;=_辅助!$J$2,OR(资金流水!$X$801="应付材料款",资金流水!$X$801="应付分包款",资金流水!$X$801="应付机械运输费",资金流水!$X$801="应付其他款")),INT(资金流水!$B$801)*10000+796,"")</f>
      </c>
      <c r="CD797" s="2">
        <f>IF(($C$130&lt;&gt;"")*(应付登记!$D$801=$C$130)*ISNUMBER(应付登记!$J$801)*(应付登记!$J$801&gt;=_辅助!$J$4)*(应付登记!$J$801&lt;=_辅助!$J$2),1,0)</f>
        <v>0</v>
      </c>
    </row>
    <row r="798">
      <c r="BC798" s="2">
        <f>BC750+SUM(CD751:CD798)</f>
        <v>0</v>
      </c>
      <c r="BD798" s="2">
        <f>IF(AND($C$130&lt;&gt;"",资金流水!$J$802=$C$130,ISNUMBER(资金流水!$B$802),ISNUMBER(资金流水!$S$802),资金流水!$S$802&gt;=_辅助!$J$4,资金流水!$S$802&lt;=_辅助!$J$2,OR(资金流水!$X$802="应付材料款",资金流水!$X$802="应付分包款",资金流水!$X$802="应付机械运输费",资金流水!$X$802="应付其他款")),INT(资金流水!$B$802)*10000+797,"")</f>
      </c>
      <c r="CD798" s="2">
        <f>IF(($C$130&lt;&gt;"")*(应付登记!$D$802=$C$130)*ISNUMBER(应付登记!$J$802)*(应付登记!$J$802&gt;=_辅助!$J$4)*(应付登记!$J$802&lt;=_辅助!$J$2),1,0)</f>
        <v>0</v>
      </c>
    </row>
    <row r="799">
      <c r="BC799" s="2">
        <f>BC750+SUM(CD751:CD799)</f>
        <v>0</v>
      </c>
      <c r="BD799" s="2">
        <f>IF(AND($C$130&lt;&gt;"",资金流水!$J$803=$C$130,ISNUMBER(资金流水!$B$803),ISNUMBER(资金流水!$S$803),资金流水!$S$803&gt;=_辅助!$J$4,资金流水!$S$803&lt;=_辅助!$J$2,OR(资金流水!$X$803="应付材料款",资金流水!$X$803="应付分包款",资金流水!$X$803="应付机械运输费",资金流水!$X$803="应付其他款")),INT(资金流水!$B$803)*10000+798,"")</f>
      </c>
      <c r="CD799" s="2">
        <f>IF(($C$130&lt;&gt;"")*(应付登记!$D$803=$C$130)*ISNUMBER(应付登记!$J$803)*(应付登记!$J$803&gt;=_辅助!$J$4)*(应付登记!$J$803&lt;=_辅助!$J$2),1,0)</f>
        <v>0</v>
      </c>
    </row>
    <row r="800">
      <c r="BC800" s="2">
        <f>BC750+SUM(CD751:CD800)</f>
        <v>0</v>
      </c>
      <c r="BD800" s="2">
        <f>IF(AND($C$130&lt;&gt;"",资金流水!$J$804=$C$130,ISNUMBER(资金流水!$B$804),ISNUMBER(资金流水!$S$804),资金流水!$S$804&gt;=_辅助!$J$4,资金流水!$S$804&lt;=_辅助!$J$2,OR(资金流水!$X$804="应付材料款",资金流水!$X$804="应付分包款",资金流水!$X$804="应付机械运输费",资金流水!$X$804="应付其他款")),INT(资金流水!$B$804)*10000+799,"")</f>
      </c>
      <c r="CD800" s="2">
        <f>IF(($C$130&lt;&gt;"")*(应付登记!$D$804=$C$130)*ISNUMBER(应付登记!$J$804)*(应付登记!$J$804&gt;=_辅助!$J$4)*(应付登记!$J$804&lt;=_辅助!$J$2),1,0)</f>
        <v>0</v>
      </c>
    </row>
    <row r="801">
      <c r="BC801" s="2">
        <f>BC800+SUM(CD801:CD801)</f>
        <v>0</v>
      </c>
      <c r="BD801" s="2">
        <f>IF(AND($C$130&lt;&gt;"",资金流水!$J$805=$C$130,ISNUMBER(资金流水!$B$805),ISNUMBER(资金流水!$S$805),资金流水!$S$805&gt;=_辅助!$J$4,资金流水!$S$805&lt;=_辅助!$J$2,OR(资金流水!$X$805="应付材料款",资金流水!$X$805="应付分包款",资金流水!$X$805="应付机械运输费",资金流水!$X$805="应付其他款")),INT(资金流水!$B$805)*10000+800,"")</f>
      </c>
      <c r="CD801" s="2">
        <f>IF(($C$130&lt;&gt;"")*(应付登记!$D$805=$C$130)*ISNUMBER(应付登记!$J$805)*(应付登记!$J$805&gt;=_辅助!$J$4)*(应付登记!$J$805&lt;=_辅助!$J$2),1,0)</f>
        <v>0</v>
      </c>
    </row>
    <row r="802">
      <c r="BC802" s="2">
        <f>BC800+SUM(CD801:CD802)</f>
        <v>0</v>
      </c>
      <c r="BD802" s="2">
        <f>IF(AND($C$130&lt;&gt;"",资金流水!$J$806=$C$130,ISNUMBER(资金流水!$B$806),ISNUMBER(资金流水!$S$806),资金流水!$S$806&gt;=_辅助!$J$4,资金流水!$S$806&lt;=_辅助!$J$2,OR(资金流水!$X$806="应付材料款",资金流水!$X$806="应付分包款",资金流水!$X$806="应付机械运输费",资金流水!$X$806="应付其他款")),INT(资金流水!$B$806)*10000+801,"")</f>
      </c>
      <c r="CD802" s="2">
        <f>IF(($C$130&lt;&gt;"")*(应付登记!$D$806=$C$130)*ISNUMBER(应付登记!$J$806)*(应付登记!$J$806&gt;=_辅助!$J$4)*(应付登记!$J$806&lt;=_辅助!$J$2),1,0)</f>
        <v>0</v>
      </c>
    </row>
    <row r="803">
      <c r="BC803" s="2">
        <f>BC800+SUM(CD801:CD803)</f>
        <v>0</v>
      </c>
      <c r="BD803" s="2">
        <f>IF(AND($C$130&lt;&gt;"",资金流水!$J$807=$C$130,ISNUMBER(资金流水!$B$807),ISNUMBER(资金流水!$S$807),资金流水!$S$807&gt;=_辅助!$J$4,资金流水!$S$807&lt;=_辅助!$J$2,OR(资金流水!$X$807="应付材料款",资金流水!$X$807="应付分包款",资金流水!$X$807="应付机械运输费",资金流水!$X$807="应付其他款")),INT(资金流水!$B$807)*10000+802,"")</f>
      </c>
      <c r="CD803" s="2">
        <f>IF(($C$130&lt;&gt;"")*(应付登记!$D$807=$C$130)*ISNUMBER(应付登记!$J$807)*(应付登记!$J$807&gt;=_辅助!$J$4)*(应付登记!$J$807&lt;=_辅助!$J$2),1,0)</f>
        <v>0</v>
      </c>
    </row>
    <row r="804">
      <c r="BC804" s="2">
        <f>BC800+SUM(CD801:CD804)</f>
        <v>0</v>
      </c>
      <c r="BD804" s="2">
        <f>IF(AND($C$130&lt;&gt;"",资金流水!$J$808=$C$130,ISNUMBER(资金流水!$B$808),ISNUMBER(资金流水!$S$808),资金流水!$S$808&gt;=_辅助!$J$4,资金流水!$S$808&lt;=_辅助!$J$2,OR(资金流水!$X$808="应付材料款",资金流水!$X$808="应付分包款",资金流水!$X$808="应付机械运输费",资金流水!$X$808="应付其他款")),INT(资金流水!$B$808)*10000+803,"")</f>
      </c>
      <c r="CD804" s="2">
        <f>IF(($C$130&lt;&gt;"")*(应付登记!$D$808=$C$130)*ISNUMBER(应付登记!$J$808)*(应付登记!$J$808&gt;=_辅助!$J$4)*(应付登记!$J$808&lt;=_辅助!$J$2),1,0)</f>
        <v>0</v>
      </c>
    </row>
    <row r="805">
      <c r="BC805" s="2">
        <f>BC800+SUM(CD801:CD805)</f>
        <v>0</v>
      </c>
      <c r="BD805" s="2">
        <f>IF(AND($C$130&lt;&gt;"",资金流水!$J$809=$C$130,ISNUMBER(资金流水!$B$809),ISNUMBER(资金流水!$S$809),资金流水!$S$809&gt;=_辅助!$J$4,资金流水!$S$809&lt;=_辅助!$J$2,OR(资金流水!$X$809="应付材料款",资金流水!$X$809="应付分包款",资金流水!$X$809="应付机械运输费",资金流水!$X$809="应付其他款")),INT(资金流水!$B$809)*10000+804,"")</f>
      </c>
      <c r="CD805" s="2">
        <f>IF(($C$130&lt;&gt;"")*(应付登记!$D$809=$C$130)*ISNUMBER(应付登记!$J$809)*(应付登记!$J$809&gt;=_辅助!$J$4)*(应付登记!$J$809&lt;=_辅助!$J$2),1,0)</f>
        <v>0</v>
      </c>
    </row>
    <row r="806">
      <c r="BC806" s="2">
        <f>BC800+SUM(CD801:CD806)</f>
        <v>0</v>
      </c>
      <c r="BD806" s="2">
        <f>IF(AND($C$130&lt;&gt;"",资金流水!$J$810=$C$130,ISNUMBER(资金流水!$B$810),ISNUMBER(资金流水!$S$810),资金流水!$S$810&gt;=_辅助!$J$4,资金流水!$S$810&lt;=_辅助!$J$2,OR(资金流水!$X$810="应付材料款",资金流水!$X$810="应付分包款",资金流水!$X$810="应付机械运输费",资金流水!$X$810="应付其他款")),INT(资金流水!$B$810)*10000+805,"")</f>
      </c>
      <c r="CD806" s="2">
        <f>IF(($C$130&lt;&gt;"")*(应付登记!$D$810=$C$130)*ISNUMBER(应付登记!$J$810)*(应付登记!$J$810&gt;=_辅助!$J$4)*(应付登记!$J$810&lt;=_辅助!$J$2),1,0)</f>
        <v>0</v>
      </c>
    </row>
    <row r="807">
      <c r="BC807" s="2">
        <f>BC800+SUM(CD801:CD807)</f>
        <v>0</v>
      </c>
      <c r="BD807" s="2">
        <f>IF(AND($C$130&lt;&gt;"",资金流水!$J$811=$C$130,ISNUMBER(资金流水!$B$811),ISNUMBER(资金流水!$S$811),资金流水!$S$811&gt;=_辅助!$J$4,资金流水!$S$811&lt;=_辅助!$J$2,OR(资金流水!$X$811="应付材料款",资金流水!$X$811="应付分包款",资金流水!$X$811="应付机械运输费",资金流水!$X$811="应付其他款")),INT(资金流水!$B$811)*10000+806,"")</f>
      </c>
      <c r="CD807" s="2">
        <f>IF(($C$130&lt;&gt;"")*(应付登记!$D$811=$C$130)*ISNUMBER(应付登记!$J$811)*(应付登记!$J$811&gt;=_辅助!$J$4)*(应付登记!$J$811&lt;=_辅助!$J$2),1,0)</f>
        <v>0</v>
      </c>
    </row>
    <row r="808">
      <c r="BC808" s="2">
        <f>BC800+SUM(CD801:CD808)</f>
        <v>0</v>
      </c>
      <c r="BD808" s="2">
        <f>IF(AND($C$130&lt;&gt;"",资金流水!$J$812=$C$130,ISNUMBER(资金流水!$B$812),ISNUMBER(资金流水!$S$812),资金流水!$S$812&gt;=_辅助!$J$4,资金流水!$S$812&lt;=_辅助!$J$2,OR(资金流水!$X$812="应付材料款",资金流水!$X$812="应付分包款",资金流水!$X$812="应付机械运输费",资金流水!$X$812="应付其他款")),INT(资金流水!$B$812)*10000+807,"")</f>
      </c>
      <c r="CD808" s="2">
        <f>IF(($C$130&lt;&gt;"")*(应付登记!$D$812=$C$130)*ISNUMBER(应付登记!$J$812)*(应付登记!$J$812&gt;=_辅助!$J$4)*(应付登记!$J$812&lt;=_辅助!$J$2),1,0)</f>
        <v>0</v>
      </c>
    </row>
    <row r="809">
      <c r="BC809" s="2">
        <f>BC800+SUM(CD801:CD809)</f>
        <v>0</v>
      </c>
      <c r="BD809" s="2">
        <f>IF(AND($C$130&lt;&gt;"",资金流水!$J$813=$C$130,ISNUMBER(资金流水!$B$813),ISNUMBER(资金流水!$S$813),资金流水!$S$813&gt;=_辅助!$J$4,资金流水!$S$813&lt;=_辅助!$J$2,OR(资金流水!$X$813="应付材料款",资金流水!$X$813="应付分包款",资金流水!$X$813="应付机械运输费",资金流水!$X$813="应付其他款")),INT(资金流水!$B$813)*10000+808,"")</f>
      </c>
      <c r="CD809" s="2">
        <f>IF(($C$130&lt;&gt;"")*(应付登记!$D$813=$C$130)*ISNUMBER(应付登记!$J$813)*(应付登记!$J$813&gt;=_辅助!$J$4)*(应付登记!$J$813&lt;=_辅助!$J$2),1,0)</f>
        <v>0</v>
      </c>
    </row>
    <row r="810">
      <c r="BC810" s="2">
        <f>BC800+SUM(CD801:CD810)</f>
        <v>0</v>
      </c>
      <c r="BD810" s="2">
        <f>IF(AND($C$130&lt;&gt;"",资金流水!$J$814=$C$130,ISNUMBER(资金流水!$B$814),ISNUMBER(资金流水!$S$814),资金流水!$S$814&gt;=_辅助!$J$4,资金流水!$S$814&lt;=_辅助!$J$2,OR(资金流水!$X$814="应付材料款",资金流水!$X$814="应付分包款",资金流水!$X$814="应付机械运输费",资金流水!$X$814="应付其他款")),INT(资金流水!$B$814)*10000+809,"")</f>
      </c>
      <c r="CD810" s="2">
        <f>IF(($C$130&lt;&gt;"")*(应付登记!$D$814=$C$130)*ISNUMBER(应付登记!$J$814)*(应付登记!$J$814&gt;=_辅助!$J$4)*(应付登记!$J$814&lt;=_辅助!$J$2),1,0)</f>
        <v>0</v>
      </c>
    </row>
    <row r="811">
      <c r="BC811" s="2">
        <f>BC800+SUM(CD801:CD811)</f>
        <v>0</v>
      </c>
      <c r="BD811" s="2">
        <f>IF(AND($C$130&lt;&gt;"",资金流水!$J$815=$C$130,ISNUMBER(资金流水!$B$815),ISNUMBER(资金流水!$S$815),资金流水!$S$815&gt;=_辅助!$J$4,资金流水!$S$815&lt;=_辅助!$J$2,OR(资金流水!$X$815="应付材料款",资金流水!$X$815="应付分包款",资金流水!$X$815="应付机械运输费",资金流水!$X$815="应付其他款")),INT(资金流水!$B$815)*10000+810,"")</f>
      </c>
      <c r="CD811" s="2">
        <f>IF(($C$130&lt;&gt;"")*(应付登记!$D$815=$C$130)*ISNUMBER(应付登记!$J$815)*(应付登记!$J$815&gt;=_辅助!$J$4)*(应付登记!$J$815&lt;=_辅助!$J$2),1,0)</f>
        <v>0</v>
      </c>
    </row>
    <row r="812">
      <c r="BC812" s="2">
        <f>BC800+SUM(CD801:CD812)</f>
        <v>0</v>
      </c>
      <c r="BD812" s="2">
        <f>IF(AND($C$130&lt;&gt;"",资金流水!$J$816=$C$130,ISNUMBER(资金流水!$B$816),ISNUMBER(资金流水!$S$816),资金流水!$S$816&gt;=_辅助!$J$4,资金流水!$S$816&lt;=_辅助!$J$2,OR(资金流水!$X$816="应付材料款",资金流水!$X$816="应付分包款",资金流水!$X$816="应付机械运输费",资金流水!$X$816="应付其他款")),INT(资金流水!$B$816)*10000+811,"")</f>
      </c>
      <c r="CD812" s="2">
        <f>IF(($C$130&lt;&gt;"")*(应付登记!$D$816=$C$130)*ISNUMBER(应付登记!$J$816)*(应付登记!$J$816&gt;=_辅助!$J$4)*(应付登记!$J$816&lt;=_辅助!$J$2),1,0)</f>
        <v>0</v>
      </c>
    </row>
    <row r="813">
      <c r="BC813" s="2">
        <f>BC800+SUM(CD801:CD813)</f>
        <v>0</v>
      </c>
      <c r="BD813" s="2">
        <f>IF(AND($C$130&lt;&gt;"",资金流水!$J$817=$C$130,ISNUMBER(资金流水!$B$817),ISNUMBER(资金流水!$S$817),资金流水!$S$817&gt;=_辅助!$J$4,资金流水!$S$817&lt;=_辅助!$J$2,OR(资金流水!$X$817="应付材料款",资金流水!$X$817="应付分包款",资金流水!$X$817="应付机械运输费",资金流水!$X$817="应付其他款")),INT(资金流水!$B$817)*10000+812,"")</f>
      </c>
      <c r="CD813" s="2">
        <f>IF(($C$130&lt;&gt;"")*(应付登记!$D$817=$C$130)*ISNUMBER(应付登记!$J$817)*(应付登记!$J$817&gt;=_辅助!$J$4)*(应付登记!$J$817&lt;=_辅助!$J$2),1,0)</f>
        <v>0</v>
      </c>
    </row>
    <row r="814">
      <c r="BC814" s="2">
        <f>BC800+SUM(CD801:CD814)</f>
        <v>0</v>
      </c>
      <c r="BD814" s="2">
        <f>IF(AND($C$130&lt;&gt;"",资金流水!$J$818=$C$130,ISNUMBER(资金流水!$B$818),ISNUMBER(资金流水!$S$818),资金流水!$S$818&gt;=_辅助!$J$4,资金流水!$S$818&lt;=_辅助!$J$2,OR(资金流水!$X$818="应付材料款",资金流水!$X$818="应付分包款",资金流水!$X$818="应付机械运输费",资金流水!$X$818="应付其他款")),INT(资金流水!$B$818)*10000+813,"")</f>
      </c>
      <c r="CD814" s="2">
        <f>IF(($C$130&lt;&gt;"")*(应付登记!$D$818=$C$130)*ISNUMBER(应付登记!$J$818)*(应付登记!$J$818&gt;=_辅助!$J$4)*(应付登记!$J$818&lt;=_辅助!$J$2),1,0)</f>
        <v>0</v>
      </c>
    </row>
    <row r="815">
      <c r="BC815" s="2">
        <f>BC800+SUM(CD801:CD815)</f>
        <v>0</v>
      </c>
      <c r="BD815" s="2">
        <f>IF(AND($C$130&lt;&gt;"",资金流水!$J$819=$C$130,ISNUMBER(资金流水!$B$819),ISNUMBER(资金流水!$S$819),资金流水!$S$819&gt;=_辅助!$J$4,资金流水!$S$819&lt;=_辅助!$J$2,OR(资金流水!$X$819="应付材料款",资金流水!$X$819="应付分包款",资金流水!$X$819="应付机械运输费",资金流水!$X$819="应付其他款")),INT(资金流水!$B$819)*10000+814,"")</f>
      </c>
      <c r="CD815" s="2">
        <f>IF(($C$130&lt;&gt;"")*(应付登记!$D$819=$C$130)*ISNUMBER(应付登记!$J$819)*(应付登记!$J$819&gt;=_辅助!$J$4)*(应付登记!$J$819&lt;=_辅助!$J$2),1,0)</f>
        <v>0</v>
      </c>
    </row>
    <row r="816">
      <c r="BC816" s="2">
        <f>BC800+SUM(CD801:CD816)</f>
        <v>0</v>
      </c>
      <c r="BD816" s="2">
        <f>IF(AND($C$130&lt;&gt;"",资金流水!$J$820=$C$130,ISNUMBER(资金流水!$B$820),ISNUMBER(资金流水!$S$820),资金流水!$S$820&gt;=_辅助!$J$4,资金流水!$S$820&lt;=_辅助!$J$2,OR(资金流水!$X$820="应付材料款",资金流水!$X$820="应付分包款",资金流水!$X$820="应付机械运输费",资金流水!$X$820="应付其他款")),INT(资金流水!$B$820)*10000+815,"")</f>
      </c>
      <c r="CD816" s="2">
        <f>IF(($C$130&lt;&gt;"")*(应付登记!$D$820=$C$130)*ISNUMBER(应付登记!$J$820)*(应付登记!$J$820&gt;=_辅助!$J$4)*(应付登记!$J$820&lt;=_辅助!$J$2),1,0)</f>
        <v>0</v>
      </c>
    </row>
    <row r="817">
      <c r="BC817" s="2">
        <f>BC800+SUM(CD801:CD817)</f>
        <v>0</v>
      </c>
      <c r="BD817" s="2">
        <f>IF(AND($C$130&lt;&gt;"",资金流水!$J$821=$C$130,ISNUMBER(资金流水!$B$821),ISNUMBER(资金流水!$S$821),资金流水!$S$821&gt;=_辅助!$J$4,资金流水!$S$821&lt;=_辅助!$J$2,OR(资金流水!$X$821="应付材料款",资金流水!$X$821="应付分包款",资金流水!$X$821="应付机械运输费",资金流水!$X$821="应付其他款")),INT(资金流水!$B$821)*10000+816,"")</f>
      </c>
      <c r="CD817" s="2">
        <f>IF(($C$130&lt;&gt;"")*(应付登记!$D$821=$C$130)*ISNUMBER(应付登记!$J$821)*(应付登记!$J$821&gt;=_辅助!$J$4)*(应付登记!$J$821&lt;=_辅助!$J$2),1,0)</f>
        <v>0</v>
      </c>
    </row>
    <row r="818">
      <c r="BC818" s="2">
        <f>BC800+SUM(CD801:CD818)</f>
        <v>0</v>
      </c>
      <c r="BD818" s="2">
        <f>IF(AND($C$130&lt;&gt;"",资金流水!$J$822=$C$130,ISNUMBER(资金流水!$B$822),ISNUMBER(资金流水!$S$822),资金流水!$S$822&gt;=_辅助!$J$4,资金流水!$S$822&lt;=_辅助!$J$2,OR(资金流水!$X$822="应付材料款",资金流水!$X$822="应付分包款",资金流水!$X$822="应付机械运输费",资金流水!$X$822="应付其他款")),INT(资金流水!$B$822)*10000+817,"")</f>
      </c>
      <c r="CD818" s="2">
        <f>IF(($C$130&lt;&gt;"")*(应付登记!$D$822=$C$130)*ISNUMBER(应付登记!$J$822)*(应付登记!$J$822&gt;=_辅助!$J$4)*(应付登记!$J$822&lt;=_辅助!$J$2),1,0)</f>
        <v>0</v>
      </c>
    </row>
    <row r="819">
      <c r="BC819" s="2">
        <f>BC800+SUM(CD801:CD819)</f>
        <v>0</v>
      </c>
      <c r="BD819" s="2">
        <f>IF(AND($C$130&lt;&gt;"",资金流水!$J$823=$C$130,ISNUMBER(资金流水!$B$823),ISNUMBER(资金流水!$S$823),资金流水!$S$823&gt;=_辅助!$J$4,资金流水!$S$823&lt;=_辅助!$J$2,OR(资金流水!$X$823="应付材料款",资金流水!$X$823="应付分包款",资金流水!$X$823="应付机械运输费",资金流水!$X$823="应付其他款")),INT(资金流水!$B$823)*10000+818,"")</f>
      </c>
      <c r="CD819" s="2">
        <f>IF(($C$130&lt;&gt;"")*(应付登记!$D$823=$C$130)*ISNUMBER(应付登记!$J$823)*(应付登记!$J$823&gt;=_辅助!$J$4)*(应付登记!$J$823&lt;=_辅助!$J$2),1,0)</f>
        <v>0</v>
      </c>
    </row>
    <row r="820">
      <c r="BC820" s="2">
        <f>BC800+SUM(CD801:CD820)</f>
        <v>0</v>
      </c>
      <c r="BD820" s="2">
        <f>IF(AND($C$130&lt;&gt;"",资金流水!$J$824=$C$130,ISNUMBER(资金流水!$B$824),ISNUMBER(资金流水!$S$824),资金流水!$S$824&gt;=_辅助!$J$4,资金流水!$S$824&lt;=_辅助!$J$2,OR(资金流水!$X$824="应付材料款",资金流水!$X$824="应付分包款",资金流水!$X$824="应付机械运输费",资金流水!$X$824="应付其他款")),INT(资金流水!$B$824)*10000+819,"")</f>
      </c>
      <c r="CD820" s="2">
        <f>IF(($C$130&lt;&gt;"")*(应付登记!$D$824=$C$130)*ISNUMBER(应付登记!$J$824)*(应付登记!$J$824&gt;=_辅助!$J$4)*(应付登记!$J$824&lt;=_辅助!$J$2),1,0)</f>
        <v>0</v>
      </c>
    </row>
    <row r="821">
      <c r="BC821" s="2">
        <f>BC800+SUM(CD801:CD821)</f>
        <v>0</v>
      </c>
      <c r="BD821" s="2">
        <f>IF(AND($C$130&lt;&gt;"",资金流水!$J$825=$C$130,ISNUMBER(资金流水!$B$825),ISNUMBER(资金流水!$S$825),资金流水!$S$825&gt;=_辅助!$J$4,资金流水!$S$825&lt;=_辅助!$J$2,OR(资金流水!$X$825="应付材料款",资金流水!$X$825="应付分包款",资金流水!$X$825="应付机械运输费",资金流水!$X$825="应付其他款")),INT(资金流水!$B$825)*10000+820,"")</f>
      </c>
      <c r="CD821" s="2">
        <f>IF(($C$130&lt;&gt;"")*(应付登记!$D$825=$C$130)*ISNUMBER(应付登记!$J$825)*(应付登记!$J$825&gt;=_辅助!$J$4)*(应付登记!$J$825&lt;=_辅助!$J$2),1,0)</f>
        <v>0</v>
      </c>
    </row>
    <row r="822">
      <c r="BC822" s="2">
        <f>BC800+SUM(CD801:CD822)</f>
        <v>0</v>
      </c>
      <c r="BD822" s="2">
        <f>IF(AND($C$130&lt;&gt;"",资金流水!$J$826=$C$130,ISNUMBER(资金流水!$B$826),ISNUMBER(资金流水!$S$826),资金流水!$S$826&gt;=_辅助!$J$4,资金流水!$S$826&lt;=_辅助!$J$2,OR(资金流水!$X$826="应付材料款",资金流水!$X$826="应付分包款",资金流水!$X$826="应付机械运输费",资金流水!$X$826="应付其他款")),INT(资金流水!$B$826)*10000+821,"")</f>
      </c>
      <c r="CD822" s="2">
        <f>IF(($C$130&lt;&gt;"")*(应付登记!$D$826=$C$130)*ISNUMBER(应付登记!$J$826)*(应付登记!$J$826&gt;=_辅助!$J$4)*(应付登记!$J$826&lt;=_辅助!$J$2),1,0)</f>
        <v>0</v>
      </c>
    </row>
    <row r="823">
      <c r="BC823" s="2">
        <f>BC800+SUM(CD801:CD823)</f>
        <v>0</v>
      </c>
      <c r="BD823" s="2">
        <f>IF(AND($C$130&lt;&gt;"",资金流水!$J$827=$C$130,ISNUMBER(资金流水!$B$827),ISNUMBER(资金流水!$S$827),资金流水!$S$827&gt;=_辅助!$J$4,资金流水!$S$827&lt;=_辅助!$J$2,OR(资金流水!$X$827="应付材料款",资金流水!$X$827="应付分包款",资金流水!$X$827="应付机械运输费",资金流水!$X$827="应付其他款")),INT(资金流水!$B$827)*10000+822,"")</f>
      </c>
      <c r="CD823" s="2">
        <f>IF(($C$130&lt;&gt;"")*(应付登记!$D$827=$C$130)*ISNUMBER(应付登记!$J$827)*(应付登记!$J$827&gt;=_辅助!$J$4)*(应付登记!$J$827&lt;=_辅助!$J$2),1,0)</f>
        <v>0</v>
      </c>
    </row>
    <row r="824">
      <c r="BC824" s="2">
        <f>BC800+SUM(CD801:CD824)</f>
        <v>0</v>
      </c>
      <c r="BD824" s="2">
        <f>IF(AND($C$130&lt;&gt;"",资金流水!$J$828=$C$130,ISNUMBER(资金流水!$B$828),ISNUMBER(资金流水!$S$828),资金流水!$S$828&gt;=_辅助!$J$4,资金流水!$S$828&lt;=_辅助!$J$2,OR(资金流水!$X$828="应付材料款",资金流水!$X$828="应付分包款",资金流水!$X$828="应付机械运输费",资金流水!$X$828="应付其他款")),INT(资金流水!$B$828)*10000+823,"")</f>
      </c>
      <c r="CD824" s="2">
        <f>IF(($C$130&lt;&gt;"")*(应付登记!$D$828=$C$130)*ISNUMBER(应付登记!$J$828)*(应付登记!$J$828&gt;=_辅助!$J$4)*(应付登记!$J$828&lt;=_辅助!$J$2),1,0)</f>
        <v>0</v>
      </c>
    </row>
    <row r="825">
      <c r="BC825" s="2">
        <f>BC800+SUM(CD801:CD825)</f>
        <v>0</v>
      </c>
      <c r="BD825" s="2">
        <f>IF(AND($C$130&lt;&gt;"",资金流水!$J$829=$C$130,ISNUMBER(资金流水!$B$829),ISNUMBER(资金流水!$S$829),资金流水!$S$829&gt;=_辅助!$J$4,资金流水!$S$829&lt;=_辅助!$J$2,OR(资金流水!$X$829="应付材料款",资金流水!$X$829="应付分包款",资金流水!$X$829="应付机械运输费",资金流水!$X$829="应付其他款")),INT(资金流水!$B$829)*10000+824,"")</f>
      </c>
      <c r="CD825" s="2">
        <f>IF(($C$130&lt;&gt;"")*(应付登记!$D$829=$C$130)*ISNUMBER(应付登记!$J$829)*(应付登记!$J$829&gt;=_辅助!$J$4)*(应付登记!$J$829&lt;=_辅助!$J$2),1,0)</f>
        <v>0</v>
      </c>
    </row>
    <row r="826">
      <c r="BC826" s="2">
        <f>BC800+SUM(CD801:CD826)</f>
        <v>0</v>
      </c>
      <c r="BD826" s="2">
        <f>IF(AND($C$130&lt;&gt;"",资金流水!$J$830=$C$130,ISNUMBER(资金流水!$B$830),ISNUMBER(资金流水!$S$830),资金流水!$S$830&gt;=_辅助!$J$4,资金流水!$S$830&lt;=_辅助!$J$2,OR(资金流水!$X$830="应付材料款",资金流水!$X$830="应付分包款",资金流水!$X$830="应付机械运输费",资金流水!$X$830="应付其他款")),INT(资金流水!$B$830)*10000+825,"")</f>
      </c>
      <c r="CD826" s="2">
        <f>IF(($C$130&lt;&gt;"")*(应付登记!$D$830=$C$130)*ISNUMBER(应付登记!$J$830)*(应付登记!$J$830&gt;=_辅助!$J$4)*(应付登记!$J$830&lt;=_辅助!$J$2),1,0)</f>
        <v>0</v>
      </c>
    </row>
    <row r="827">
      <c r="BC827" s="2">
        <f>BC800+SUM(CD801:CD827)</f>
        <v>0</v>
      </c>
      <c r="BD827" s="2">
        <f>IF(AND($C$130&lt;&gt;"",资金流水!$J$831=$C$130,ISNUMBER(资金流水!$B$831),ISNUMBER(资金流水!$S$831),资金流水!$S$831&gt;=_辅助!$J$4,资金流水!$S$831&lt;=_辅助!$J$2,OR(资金流水!$X$831="应付材料款",资金流水!$X$831="应付分包款",资金流水!$X$831="应付机械运输费",资金流水!$X$831="应付其他款")),INT(资金流水!$B$831)*10000+826,"")</f>
      </c>
      <c r="CD827" s="2">
        <f>IF(($C$130&lt;&gt;"")*(应付登记!$D$831=$C$130)*ISNUMBER(应付登记!$J$831)*(应付登记!$J$831&gt;=_辅助!$J$4)*(应付登记!$J$831&lt;=_辅助!$J$2),1,0)</f>
        <v>0</v>
      </c>
    </row>
    <row r="828">
      <c r="BC828" s="2">
        <f>BC800+SUM(CD801:CD828)</f>
        <v>0</v>
      </c>
      <c r="BD828" s="2">
        <f>IF(AND($C$130&lt;&gt;"",资金流水!$J$832=$C$130,ISNUMBER(资金流水!$B$832),ISNUMBER(资金流水!$S$832),资金流水!$S$832&gt;=_辅助!$J$4,资金流水!$S$832&lt;=_辅助!$J$2,OR(资金流水!$X$832="应付材料款",资金流水!$X$832="应付分包款",资金流水!$X$832="应付机械运输费",资金流水!$X$832="应付其他款")),INT(资金流水!$B$832)*10000+827,"")</f>
      </c>
      <c r="CD828" s="2">
        <f>IF(($C$130&lt;&gt;"")*(应付登记!$D$832=$C$130)*ISNUMBER(应付登记!$J$832)*(应付登记!$J$832&gt;=_辅助!$J$4)*(应付登记!$J$832&lt;=_辅助!$J$2),1,0)</f>
        <v>0</v>
      </c>
    </row>
    <row r="829">
      <c r="BC829" s="2">
        <f>BC800+SUM(CD801:CD829)</f>
        <v>0</v>
      </c>
      <c r="BD829" s="2">
        <f>IF(AND($C$130&lt;&gt;"",资金流水!$J$833=$C$130,ISNUMBER(资金流水!$B$833),ISNUMBER(资金流水!$S$833),资金流水!$S$833&gt;=_辅助!$J$4,资金流水!$S$833&lt;=_辅助!$J$2,OR(资金流水!$X$833="应付材料款",资金流水!$X$833="应付分包款",资金流水!$X$833="应付机械运输费",资金流水!$X$833="应付其他款")),INT(资金流水!$B$833)*10000+828,"")</f>
      </c>
      <c r="CD829" s="2">
        <f>IF(($C$130&lt;&gt;"")*(应付登记!$D$833=$C$130)*ISNUMBER(应付登记!$J$833)*(应付登记!$J$833&gt;=_辅助!$J$4)*(应付登记!$J$833&lt;=_辅助!$J$2),1,0)</f>
        <v>0</v>
      </c>
    </row>
    <row r="830">
      <c r="BC830" s="2">
        <f>BC800+SUM(CD801:CD830)</f>
        <v>0</v>
      </c>
      <c r="BD830" s="2">
        <f>IF(AND($C$130&lt;&gt;"",资金流水!$J$834=$C$130,ISNUMBER(资金流水!$B$834),ISNUMBER(资金流水!$S$834),资金流水!$S$834&gt;=_辅助!$J$4,资金流水!$S$834&lt;=_辅助!$J$2,OR(资金流水!$X$834="应付材料款",资金流水!$X$834="应付分包款",资金流水!$X$834="应付机械运输费",资金流水!$X$834="应付其他款")),INT(资金流水!$B$834)*10000+829,"")</f>
      </c>
      <c r="CD830" s="2">
        <f>IF(($C$130&lt;&gt;"")*(应付登记!$D$834=$C$130)*ISNUMBER(应付登记!$J$834)*(应付登记!$J$834&gt;=_辅助!$J$4)*(应付登记!$J$834&lt;=_辅助!$J$2),1,0)</f>
        <v>0</v>
      </c>
    </row>
    <row r="831">
      <c r="BC831" s="2">
        <f>BC800+SUM(CD801:CD831)</f>
        <v>0</v>
      </c>
      <c r="BD831" s="2">
        <f>IF(AND($C$130&lt;&gt;"",资金流水!$J$835=$C$130,ISNUMBER(资金流水!$B$835),ISNUMBER(资金流水!$S$835),资金流水!$S$835&gt;=_辅助!$J$4,资金流水!$S$835&lt;=_辅助!$J$2,OR(资金流水!$X$835="应付材料款",资金流水!$X$835="应付分包款",资金流水!$X$835="应付机械运输费",资金流水!$X$835="应付其他款")),INT(资金流水!$B$835)*10000+830,"")</f>
      </c>
      <c r="CD831" s="2">
        <f>IF(($C$130&lt;&gt;"")*(应付登记!$D$835=$C$130)*ISNUMBER(应付登记!$J$835)*(应付登记!$J$835&gt;=_辅助!$J$4)*(应付登记!$J$835&lt;=_辅助!$J$2),1,0)</f>
        <v>0</v>
      </c>
    </row>
    <row r="832">
      <c r="BC832" s="2">
        <f>BC800+SUM(CD801:CD832)</f>
        <v>0</v>
      </c>
      <c r="BD832" s="2">
        <f>IF(AND($C$130&lt;&gt;"",资金流水!$J$836=$C$130,ISNUMBER(资金流水!$B$836),ISNUMBER(资金流水!$S$836),资金流水!$S$836&gt;=_辅助!$J$4,资金流水!$S$836&lt;=_辅助!$J$2,OR(资金流水!$X$836="应付材料款",资金流水!$X$836="应付分包款",资金流水!$X$836="应付机械运输费",资金流水!$X$836="应付其他款")),INT(资金流水!$B$836)*10000+831,"")</f>
      </c>
      <c r="CD832" s="2">
        <f>IF(($C$130&lt;&gt;"")*(应付登记!$D$836=$C$130)*ISNUMBER(应付登记!$J$836)*(应付登记!$J$836&gt;=_辅助!$J$4)*(应付登记!$J$836&lt;=_辅助!$J$2),1,0)</f>
        <v>0</v>
      </c>
    </row>
    <row r="833">
      <c r="BC833" s="2">
        <f>BC800+SUM(CD801:CD833)</f>
        <v>0</v>
      </c>
      <c r="BD833" s="2">
        <f>IF(AND($C$130&lt;&gt;"",资金流水!$J$837=$C$130,ISNUMBER(资金流水!$B$837),ISNUMBER(资金流水!$S$837),资金流水!$S$837&gt;=_辅助!$J$4,资金流水!$S$837&lt;=_辅助!$J$2,OR(资金流水!$X$837="应付材料款",资金流水!$X$837="应付分包款",资金流水!$X$837="应付机械运输费",资金流水!$X$837="应付其他款")),INT(资金流水!$B$837)*10000+832,"")</f>
      </c>
      <c r="CD833" s="2">
        <f>IF(($C$130&lt;&gt;"")*(应付登记!$D$837=$C$130)*ISNUMBER(应付登记!$J$837)*(应付登记!$J$837&gt;=_辅助!$J$4)*(应付登记!$J$837&lt;=_辅助!$J$2),1,0)</f>
        <v>0</v>
      </c>
    </row>
    <row r="834">
      <c r="BC834" s="2">
        <f>BC800+SUM(CD801:CD834)</f>
        <v>0</v>
      </c>
      <c r="BD834" s="2">
        <f>IF(AND($C$130&lt;&gt;"",资金流水!$J$838=$C$130,ISNUMBER(资金流水!$B$838),ISNUMBER(资金流水!$S$838),资金流水!$S$838&gt;=_辅助!$J$4,资金流水!$S$838&lt;=_辅助!$J$2,OR(资金流水!$X$838="应付材料款",资金流水!$X$838="应付分包款",资金流水!$X$838="应付机械运输费",资金流水!$X$838="应付其他款")),INT(资金流水!$B$838)*10000+833,"")</f>
      </c>
      <c r="CD834" s="2">
        <f>IF(($C$130&lt;&gt;"")*(应付登记!$D$838=$C$130)*ISNUMBER(应付登记!$J$838)*(应付登记!$J$838&gt;=_辅助!$J$4)*(应付登记!$J$838&lt;=_辅助!$J$2),1,0)</f>
        <v>0</v>
      </c>
    </row>
    <row r="835">
      <c r="BC835" s="2">
        <f>BC800+SUM(CD801:CD835)</f>
        <v>0</v>
      </c>
      <c r="BD835" s="2">
        <f>IF(AND($C$130&lt;&gt;"",资金流水!$J$839=$C$130,ISNUMBER(资金流水!$B$839),ISNUMBER(资金流水!$S$839),资金流水!$S$839&gt;=_辅助!$J$4,资金流水!$S$839&lt;=_辅助!$J$2,OR(资金流水!$X$839="应付材料款",资金流水!$X$839="应付分包款",资金流水!$X$839="应付机械运输费",资金流水!$X$839="应付其他款")),INT(资金流水!$B$839)*10000+834,"")</f>
      </c>
      <c r="CD835" s="2">
        <f>IF(($C$130&lt;&gt;"")*(应付登记!$D$839=$C$130)*ISNUMBER(应付登记!$J$839)*(应付登记!$J$839&gt;=_辅助!$J$4)*(应付登记!$J$839&lt;=_辅助!$J$2),1,0)</f>
        <v>0</v>
      </c>
    </row>
    <row r="836">
      <c r="BC836" s="2">
        <f>BC800+SUM(CD801:CD836)</f>
        <v>0</v>
      </c>
      <c r="BD836" s="2">
        <f>IF(AND($C$130&lt;&gt;"",资金流水!$J$840=$C$130,ISNUMBER(资金流水!$B$840),ISNUMBER(资金流水!$S$840),资金流水!$S$840&gt;=_辅助!$J$4,资金流水!$S$840&lt;=_辅助!$J$2,OR(资金流水!$X$840="应付材料款",资金流水!$X$840="应付分包款",资金流水!$X$840="应付机械运输费",资金流水!$X$840="应付其他款")),INT(资金流水!$B$840)*10000+835,"")</f>
      </c>
      <c r="CD836" s="2">
        <f>IF(($C$130&lt;&gt;"")*(应付登记!$D$840=$C$130)*ISNUMBER(应付登记!$J$840)*(应付登记!$J$840&gt;=_辅助!$J$4)*(应付登记!$J$840&lt;=_辅助!$J$2),1,0)</f>
        <v>0</v>
      </c>
    </row>
    <row r="837">
      <c r="BC837" s="2">
        <f>BC800+SUM(CD801:CD837)</f>
        <v>0</v>
      </c>
      <c r="BD837" s="2">
        <f>IF(AND($C$130&lt;&gt;"",资金流水!$J$841=$C$130,ISNUMBER(资金流水!$B$841),ISNUMBER(资金流水!$S$841),资金流水!$S$841&gt;=_辅助!$J$4,资金流水!$S$841&lt;=_辅助!$J$2,OR(资金流水!$X$841="应付材料款",资金流水!$X$841="应付分包款",资金流水!$X$841="应付机械运输费",资金流水!$X$841="应付其他款")),INT(资金流水!$B$841)*10000+836,"")</f>
      </c>
      <c r="CD837" s="2">
        <f>IF(($C$130&lt;&gt;"")*(应付登记!$D$841=$C$130)*ISNUMBER(应付登记!$J$841)*(应付登记!$J$841&gt;=_辅助!$J$4)*(应付登记!$J$841&lt;=_辅助!$J$2),1,0)</f>
        <v>0</v>
      </c>
    </row>
    <row r="838">
      <c r="BC838" s="2">
        <f>BC800+SUM(CD801:CD838)</f>
        <v>0</v>
      </c>
      <c r="BD838" s="2">
        <f>IF(AND($C$130&lt;&gt;"",资金流水!$J$842=$C$130,ISNUMBER(资金流水!$B$842),ISNUMBER(资金流水!$S$842),资金流水!$S$842&gt;=_辅助!$J$4,资金流水!$S$842&lt;=_辅助!$J$2,OR(资金流水!$X$842="应付材料款",资金流水!$X$842="应付分包款",资金流水!$X$842="应付机械运输费",资金流水!$X$842="应付其他款")),INT(资金流水!$B$842)*10000+837,"")</f>
      </c>
      <c r="CD838" s="2">
        <f>IF(($C$130&lt;&gt;"")*(应付登记!$D$842=$C$130)*ISNUMBER(应付登记!$J$842)*(应付登记!$J$842&gt;=_辅助!$J$4)*(应付登记!$J$842&lt;=_辅助!$J$2),1,0)</f>
        <v>0</v>
      </c>
    </row>
    <row r="839">
      <c r="BC839" s="2">
        <f>BC800+SUM(CD801:CD839)</f>
        <v>0</v>
      </c>
      <c r="BD839" s="2">
        <f>IF(AND($C$130&lt;&gt;"",资金流水!$J$843=$C$130,ISNUMBER(资金流水!$B$843),ISNUMBER(资金流水!$S$843),资金流水!$S$843&gt;=_辅助!$J$4,资金流水!$S$843&lt;=_辅助!$J$2,OR(资金流水!$X$843="应付材料款",资金流水!$X$843="应付分包款",资金流水!$X$843="应付机械运输费",资金流水!$X$843="应付其他款")),INT(资金流水!$B$843)*10000+838,"")</f>
      </c>
      <c r="CD839" s="2">
        <f>IF(($C$130&lt;&gt;"")*(应付登记!$D$843=$C$130)*ISNUMBER(应付登记!$J$843)*(应付登记!$J$843&gt;=_辅助!$J$4)*(应付登记!$J$843&lt;=_辅助!$J$2),1,0)</f>
        <v>0</v>
      </c>
    </row>
    <row r="840">
      <c r="BC840" s="2">
        <f>BC800+SUM(CD801:CD840)</f>
        <v>0</v>
      </c>
      <c r="BD840" s="2">
        <f>IF(AND($C$130&lt;&gt;"",资金流水!$J$844=$C$130,ISNUMBER(资金流水!$B$844),ISNUMBER(资金流水!$S$844),资金流水!$S$844&gt;=_辅助!$J$4,资金流水!$S$844&lt;=_辅助!$J$2,OR(资金流水!$X$844="应付材料款",资金流水!$X$844="应付分包款",资金流水!$X$844="应付机械运输费",资金流水!$X$844="应付其他款")),INT(资金流水!$B$844)*10000+839,"")</f>
      </c>
      <c r="CD840" s="2">
        <f>IF(($C$130&lt;&gt;"")*(应付登记!$D$844=$C$130)*ISNUMBER(应付登记!$J$844)*(应付登记!$J$844&gt;=_辅助!$J$4)*(应付登记!$J$844&lt;=_辅助!$J$2),1,0)</f>
        <v>0</v>
      </c>
    </row>
    <row r="841">
      <c r="BC841" s="2">
        <f>BC800+SUM(CD801:CD841)</f>
        <v>0</v>
      </c>
      <c r="BD841" s="2">
        <f>IF(AND($C$130&lt;&gt;"",资金流水!$J$845=$C$130,ISNUMBER(资金流水!$B$845),ISNUMBER(资金流水!$S$845),资金流水!$S$845&gt;=_辅助!$J$4,资金流水!$S$845&lt;=_辅助!$J$2,OR(资金流水!$X$845="应付材料款",资金流水!$X$845="应付分包款",资金流水!$X$845="应付机械运输费",资金流水!$X$845="应付其他款")),INT(资金流水!$B$845)*10000+840,"")</f>
      </c>
      <c r="CD841" s="2">
        <f>IF(($C$130&lt;&gt;"")*(应付登记!$D$845=$C$130)*ISNUMBER(应付登记!$J$845)*(应付登记!$J$845&gt;=_辅助!$J$4)*(应付登记!$J$845&lt;=_辅助!$J$2),1,0)</f>
        <v>0</v>
      </c>
    </row>
    <row r="842">
      <c r="BC842" s="2">
        <f>BC800+SUM(CD801:CD842)</f>
        <v>0</v>
      </c>
      <c r="BD842" s="2">
        <f>IF(AND($C$130&lt;&gt;"",资金流水!$J$846=$C$130,ISNUMBER(资金流水!$B$846),ISNUMBER(资金流水!$S$846),资金流水!$S$846&gt;=_辅助!$J$4,资金流水!$S$846&lt;=_辅助!$J$2,OR(资金流水!$X$846="应付材料款",资金流水!$X$846="应付分包款",资金流水!$X$846="应付机械运输费",资金流水!$X$846="应付其他款")),INT(资金流水!$B$846)*10000+841,"")</f>
      </c>
      <c r="CD842" s="2">
        <f>IF(($C$130&lt;&gt;"")*(应付登记!$D$846=$C$130)*ISNUMBER(应付登记!$J$846)*(应付登记!$J$846&gt;=_辅助!$J$4)*(应付登记!$J$846&lt;=_辅助!$J$2),1,0)</f>
        <v>0</v>
      </c>
    </row>
    <row r="843">
      <c r="BC843" s="2">
        <f>BC800+SUM(CD801:CD843)</f>
        <v>0</v>
      </c>
      <c r="BD843" s="2">
        <f>IF(AND($C$130&lt;&gt;"",资金流水!$J$847=$C$130,ISNUMBER(资金流水!$B$847),ISNUMBER(资金流水!$S$847),资金流水!$S$847&gt;=_辅助!$J$4,资金流水!$S$847&lt;=_辅助!$J$2,OR(资金流水!$X$847="应付材料款",资金流水!$X$847="应付分包款",资金流水!$X$847="应付机械运输费",资金流水!$X$847="应付其他款")),INT(资金流水!$B$847)*10000+842,"")</f>
      </c>
      <c r="CD843" s="2">
        <f>IF(($C$130&lt;&gt;"")*(应付登记!$D$847=$C$130)*ISNUMBER(应付登记!$J$847)*(应付登记!$J$847&gt;=_辅助!$J$4)*(应付登记!$J$847&lt;=_辅助!$J$2),1,0)</f>
        <v>0</v>
      </c>
    </row>
    <row r="844">
      <c r="BC844" s="2">
        <f>BC800+SUM(CD801:CD844)</f>
        <v>0</v>
      </c>
      <c r="BD844" s="2">
        <f>IF(AND($C$130&lt;&gt;"",资金流水!$J$848=$C$130,ISNUMBER(资金流水!$B$848),ISNUMBER(资金流水!$S$848),资金流水!$S$848&gt;=_辅助!$J$4,资金流水!$S$848&lt;=_辅助!$J$2,OR(资金流水!$X$848="应付材料款",资金流水!$X$848="应付分包款",资金流水!$X$848="应付机械运输费",资金流水!$X$848="应付其他款")),INT(资金流水!$B$848)*10000+843,"")</f>
      </c>
      <c r="CD844" s="2">
        <f>IF(($C$130&lt;&gt;"")*(应付登记!$D$848=$C$130)*ISNUMBER(应付登记!$J$848)*(应付登记!$J$848&gt;=_辅助!$J$4)*(应付登记!$J$848&lt;=_辅助!$J$2),1,0)</f>
        <v>0</v>
      </c>
    </row>
    <row r="845">
      <c r="BC845" s="2">
        <f>BC800+SUM(CD801:CD845)</f>
        <v>0</v>
      </c>
      <c r="BD845" s="2">
        <f>IF(AND($C$130&lt;&gt;"",资金流水!$J$849=$C$130,ISNUMBER(资金流水!$B$849),ISNUMBER(资金流水!$S$849),资金流水!$S$849&gt;=_辅助!$J$4,资金流水!$S$849&lt;=_辅助!$J$2,OR(资金流水!$X$849="应付材料款",资金流水!$X$849="应付分包款",资金流水!$X$849="应付机械运输费",资金流水!$X$849="应付其他款")),INT(资金流水!$B$849)*10000+844,"")</f>
      </c>
      <c r="CD845" s="2">
        <f>IF(($C$130&lt;&gt;"")*(应付登记!$D$849=$C$130)*ISNUMBER(应付登记!$J$849)*(应付登记!$J$849&gt;=_辅助!$J$4)*(应付登记!$J$849&lt;=_辅助!$J$2),1,0)</f>
        <v>0</v>
      </c>
    </row>
    <row r="846">
      <c r="BC846" s="2">
        <f>BC800+SUM(CD801:CD846)</f>
        <v>0</v>
      </c>
      <c r="BD846" s="2">
        <f>IF(AND($C$130&lt;&gt;"",资金流水!$J$850=$C$130,ISNUMBER(资金流水!$B$850),ISNUMBER(资金流水!$S$850),资金流水!$S$850&gt;=_辅助!$J$4,资金流水!$S$850&lt;=_辅助!$J$2,OR(资金流水!$X$850="应付材料款",资金流水!$X$850="应付分包款",资金流水!$X$850="应付机械运输费",资金流水!$X$850="应付其他款")),INT(资金流水!$B$850)*10000+845,"")</f>
      </c>
      <c r="CD846" s="2">
        <f>IF(($C$130&lt;&gt;"")*(应付登记!$D$850=$C$130)*ISNUMBER(应付登记!$J$850)*(应付登记!$J$850&gt;=_辅助!$J$4)*(应付登记!$J$850&lt;=_辅助!$J$2),1,0)</f>
        <v>0</v>
      </c>
    </row>
    <row r="847">
      <c r="BC847" s="2">
        <f>BC800+SUM(CD801:CD847)</f>
        <v>0</v>
      </c>
      <c r="BD847" s="2">
        <f>IF(AND($C$130&lt;&gt;"",资金流水!$J$851=$C$130,ISNUMBER(资金流水!$B$851),ISNUMBER(资金流水!$S$851),资金流水!$S$851&gt;=_辅助!$J$4,资金流水!$S$851&lt;=_辅助!$J$2,OR(资金流水!$X$851="应付材料款",资金流水!$X$851="应付分包款",资金流水!$X$851="应付机械运输费",资金流水!$X$851="应付其他款")),INT(资金流水!$B$851)*10000+846,"")</f>
      </c>
      <c r="CD847" s="2">
        <f>IF(($C$130&lt;&gt;"")*(应付登记!$D$851=$C$130)*ISNUMBER(应付登记!$J$851)*(应付登记!$J$851&gt;=_辅助!$J$4)*(应付登记!$J$851&lt;=_辅助!$J$2),1,0)</f>
        <v>0</v>
      </c>
    </row>
    <row r="848">
      <c r="BC848" s="2">
        <f>BC800+SUM(CD801:CD848)</f>
        <v>0</v>
      </c>
      <c r="BD848" s="2">
        <f>IF(AND($C$130&lt;&gt;"",资金流水!$J$852=$C$130,ISNUMBER(资金流水!$B$852),ISNUMBER(资金流水!$S$852),资金流水!$S$852&gt;=_辅助!$J$4,资金流水!$S$852&lt;=_辅助!$J$2,OR(资金流水!$X$852="应付材料款",资金流水!$X$852="应付分包款",资金流水!$X$852="应付机械运输费",资金流水!$X$852="应付其他款")),INT(资金流水!$B$852)*10000+847,"")</f>
      </c>
      <c r="CD848" s="2">
        <f>IF(($C$130&lt;&gt;"")*(应付登记!$D$852=$C$130)*ISNUMBER(应付登记!$J$852)*(应付登记!$J$852&gt;=_辅助!$J$4)*(应付登记!$J$852&lt;=_辅助!$J$2),1,0)</f>
        <v>0</v>
      </c>
    </row>
    <row r="849">
      <c r="BC849" s="2">
        <f>BC800+SUM(CD801:CD849)</f>
        <v>0</v>
      </c>
      <c r="BD849" s="2">
        <f>IF(AND($C$130&lt;&gt;"",资金流水!$J$853=$C$130,ISNUMBER(资金流水!$B$853),ISNUMBER(资金流水!$S$853),资金流水!$S$853&gt;=_辅助!$J$4,资金流水!$S$853&lt;=_辅助!$J$2,OR(资金流水!$X$853="应付材料款",资金流水!$X$853="应付分包款",资金流水!$X$853="应付机械运输费",资金流水!$X$853="应付其他款")),INT(资金流水!$B$853)*10000+848,"")</f>
      </c>
      <c r="CD849" s="2">
        <f>IF(($C$130&lt;&gt;"")*(应付登记!$D$853=$C$130)*ISNUMBER(应付登记!$J$853)*(应付登记!$J$853&gt;=_辅助!$J$4)*(应付登记!$J$853&lt;=_辅助!$J$2),1,0)</f>
        <v>0</v>
      </c>
    </row>
    <row r="850">
      <c r="BC850" s="2">
        <f>BC800+SUM(CD801:CD850)</f>
        <v>0</v>
      </c>
      <c r="BD850" s="2">
        <f>IF(AND($C$130&lt;&gt;"",资金流水!$J$854=$C$130,ISNUMBER(资金流水!$B$854),ISNUMBER(资金流水!$S$854),资金流水!$S$854&gt;=_辅助!$J$4,资金流水!$S$854&lt;=_辅助!$J$2,OR(资金流水!$X$854="应付材料款",资金流水!$X$854="应付分包款",资金流水!$X$854="应付机械运输费",资金流水!$X$854="应付其他款")),INT(资金流水!$B$854)*10000+849,"")</f>
      </c>
      <c r="CD850" s="2">
        <f>IF(($C$130&lt;&gt;"")*(应付登记!$D$854=$C$130)*ISNUMBER(应付登记!$J$854)*(应付登记!$J$854&gt;=_辅助!$J$4)*(应付登记!$J$854&lt;=_辅助!$J$2),1,0)</f>
        <v>0</v>
      </c>
    </row>
    <row r="851">
      <c r="BC851" s="2">
        <f>BC850+SUM(CD851:CD851)</f>
        <v>0</v>
      </c>
      <c r="BD851" s="2">
        <f>IF(AND($C$130&lt;&gt;"",资金流水!$J$855=$C$130,ISNUMBER(资金流水!$B$855),ISNUMBER(资金流水!$S$855),资金流水!$S$855&gt;=_辅助!$J$4,资金流水!$S$855&lt;=_辅助!$J$2,OR(资金流水!$X$855="应付材料款",资金流水!$X$855="应付分包款",资金流水!$X$855="应付机械运输费",资金流水!$X$855="应付其他款")),INT(资金流水!$B$855)*10000+850,"")</f>
      </c>
      <c r="CD851" s="2">
        <f>IF(($C$130&lt;&gt;"")*(应付登记!$D$855=$C$130)*ISNUMBER(应付登记!$J$855)*(应付登记!$J$855&gt;=_辅助!$J$4)*(应付登记!$J$855&lt;=_辅助!$J$2),1,0)</f>
        <v>0</v>
      </c>
    </row>
    <row r="852">
      <c r="BC852" s="2">
        <f>BC850+SUM(CD851:CD852)</f>
        <v>0</v>
      </c>
      <c r="BD852" s="2">
        <f>IF(AND($C$130&lt;&gt;"",资金流水!$J$856=$C$130,ISNUMBER(资金流水!$B$856),ISNUMBER(资金流水!$S$856),资金流水!$S$856&gt;=_辅助!$J$4,资金流水!$S$856&lt;=_辅助!$J$2,OR(资金流水!$X$856="应付材料款",资金流水!$X$856="应付分包款",资金流水!$X$856="应付机械运输费",资金流水!$X$856="应付其他款")),INT(资金流水!$B$856)*10000+851,"")</f>
      </c>
      <c r="CD852" s="2">
        <f>IF(($C$130&lt;&gt;"")*(应付登记!$D$856=$C$130)*ISNUMBER(应付登记!$J$856)*(应付登记!$J$856&gt;=_辅助!$J$4)*(应付登记!$J$856&lt;=_辅助!$J$2),1,0)</f>
        <v>0</v>
      </c>
    </row>
    <row r="853">
      <c r="BC853" s="2">
        <f>BC850+SUM(CD851:CD853)</f>
        <v>0</v>
      </c>
      <c r="BD853" s="2">
        <f>IF(AND($C$130&lt;&gt;"",资金流水!$J$857=$C$130,ISNUMBER(资金流水!$B$857),ISNUMBER(资金流水!$S$857),资金流水!$S$857&gt;=_辅助!$J$4,资金流水!$S$857&lt;=_辅助!$J$2,OR(资金流水!$X$857="应付材料款",资金流水!$X$857="应付分包款",资金流水!$X$857="应付机械运输费",资金流水!$X$857="应付其他款")),INT(资金流水!$B$857)*10000+852,"")</f>
      </c>
      <c r="CD853" s="2">
        <f>IF(($C$130&lt;&gt;"")*(应付登记!$D$857=$C$130)*ISNUMBER(应付登记!$J$857)*(应付登记!$J$857&gt;=_辅助!$J$4)*(应付登记!$J$857&lt;=_辅助!$J$2),1,0)</f>
        <v>0</v>
      </c>
    </row>
    <row r="854">
      <c r="BC854" s="2">
        <f>BC850+SUM(CD851:CD854)</f>
        <v>0</v>
      </c>
      <c r="BD854" s="2">
        <f>IF(AND($C$130&lt;&gt;"",资金流水!$J$858=$C$130,ISNUMBER(资金流水!$B$858),ISNUMBER(资金流水!$S$858),资金流水!$S$858&gt;=_辅助!$J$4,资金流水!$S$858&lt;=_辅助!$J$2,OR(资金流水!$X$858="应付材料款",资金流水!$X$858="应付分包款",资金流水!$X$858="应付机械运输费",资金流水!$X$858="应付其他款")),INT(资金流水!$B$858)*10000+853,"")</f>
      </c>
      <c r="CD854" s="2">
        <f>IF(($C$130&lt;&gt;"")*(应付登记!$D$858=$C$130)*ISNUMBER(应付登记!$J$858)*(应付登记!$J$858&gt;=_辅助!$J$4)*(应付登记!$J$858&lt;=_辅助!$J$2),1,0)</f>
        <v>0</v>
      </c>
    </row>
    <row r="855">
      <c r="BC855" s="2">
        <f>BC850+SUM(CD851:CD855)</f>
        <v>0</v>
      </c>
      <c r="BD855" s="2">
        <f>IF(AND($C$130&lt;&gt;"",资金流水!$J$859=$C$130,ISNUMBER(资金流水!$B$859),ISNUMBER(资金流水!$S$859),资金流水!$S$859&gt;=_辅助!$J$4,资金流水!$S$859&lt;=_辅助!$J$2,OR(资金流水!$X$859="应付材料款",资金流水!$X$859="应付分包款",资金流水!$X$859="应付机械运输费",资金流水!$X$859="应付其他款")),INT(资金流水!$B$859)*10000+854,"")</f>
      </c>
      <c r="CD855" s="2">
        <f>IF(($C$130&lt;&gt;"")*(应付登记!$D$859=$C$130)*ISNUMBER(应付登记!$J$859)*(应付登记!$J$859&gt;=_辅助!$J$4)*(应付登记!$J$859&lt;=_辅助!$J$2),1,0)</f>
        <v>0</v>
      </c>
    </row>
    <row r="856">
      <c r="BC856" s="2">
        <f>BC850+SUM(CD851:CD856)</f>
        <v>0</v>
      </c>
      <c r="BD856" s="2">
        <f>IF(AND($C$130&lt;&gt;"",资金流水!$J$860=$C$130,ISNUMBER(资金流水!$B$860),ISNUMBER(资金流水!$S$860),资金流水!$S$860&gt;=_辅助!$J$4,资金流水!$S$860&lt;=_辅助!$J$2,OR(资金流水!$X$860="应付材料款",资金流水!$X$860="应付分包款",资金流水!$X$860="应付机械运输费",资金流水!$X$860="应付其他款")),INT(资金流水!$B$860)*10000+855,"")</f>
      </c>
      <c r="CD856" s="2">
        <f>IF(($C$130&lt;&gt;"")*(应付登记!$D$860=$C$130)*ISNUMBER(应付登记!$J$860)*(应付登记!$J$860&gt;=_辅助!$J$4)*(应付登记!$J$860&lt;=_辅助!$J$2),1,0)</f>
        <v>0</v>
      </c>
    </row>
    <row r="857">
      <c r="BC857" s="2">
        <f>BC850+SUM(CD851:CD857)</f>
        <v>0</v>
      </c>
      <c r="BD857" s="2">
        <f>IF(AND($C$130&lt;&gt;"",资金流水!$J$861=$C$130,ISNUMBER(资金流水!$B$861),ISNUMBER(资金流水!$S$861),资金流水!$S$861&gt;=_辅助!$J$4,资金流水!$S$861&lt;=_辅助!$J$2,OR(资金流水!$X$861="应付材料款",资金流水!$X$861="应付分包款",资金流水!$X$861="应付机械运输费",资金流水!$X$861="应付其他款")),INT(资金流水!$B$861)*10000+856,"")</f>
      </c>
      <c r="CD857" s="2">
        <f>IF(($C$130&lt;&gt;"")*(应付登记!$D$861=$C$130)*ISNUMBER(应付登记!$J$861)*(应付登记!$J$861&gt;=_辅助!$J$4)*(应付登记!$J$861&lt;=_辅助!$J$2),1,0)</f>
        <v>0</v>
      </c>
    </row>
    <row r="858">
      <c r="BC858" s="2">
        <f>BC850+SUM(CD851:CD858)</f>
        <v>0</v>
      </c>
      <c r="BD858" s="2">
        <f>IF(AND($C$130&lt;&gt;"",资金流水!$J$862=$C$130,ISNUMBER(资金流水!$B$862),ISNUMBER(资金流水!$S$862),资金流水!$S$862&gt;=_辅助!$J$4,资金流水!$S$862&lt;=_辅助!$J$2,OR(资金流水!$X$862="应付材料款",资金流水!$X$862="应付分包款",资金流水!$X$862="应付机械运输费",资金流水!$X$862="应付其他款")),INT(资金流水!$B$862)*10000+857,"")</f>
      </c>
      <c r="CD858" s="2">
        <f>IF(($C$130&lt;&gt;"")*(应付登记!$D$862=$C$130)*ISNUMBER(应付登记!$J$862)*(应付登记!$J$862&gt;=_辅助!$J$4)*(应付登记!$J$862&lt;=_辅助!$J$2),1,0)</f>
        <v>0</v>
      </c>
    </row>
    <row r="859">
      <c r="BC859" s="2">
        <f>BC850+SUM(CD851:CD859)</f>
        <v>0</v>
      </c>
      <c r="BD859" s="2">
        <f>IF(AND($C$130&lt;&gt;"",资金流水!$J$863=$C$130,ISNUMBER(资金流水!$B$863),ISNUMBER(资金流水!$S$863),资金流水!$S$863&gt;=_辅助!$J$4,资金流水!$S$863&lt;=_辅助!$J$2,OR(资金流水!$X$863="应付材料款",资金流水!$X$863="应付分包款",资金流水!$X$863="应付机械运输费",资金流水!$X$863="应付其他款")),INT(资金流水!$B$863)*10000+858,"")</f>
      </c>
      <c r="CD859" s="2">
        <f>IF(($C$130&lt;&gt;"")*(应付登记!$D$863=$C$130)*ISNUMBER(应付登记!$J$863)*(应付登记!$J$863&gt;=_辅助!$J$4)*(应付登记!$J$863&lt;=_辅助!$J$2),1,0)</f>
        <v>0</v>
      </c>
    </row>
    <row r="860">
      <c r="BC860" s="2">
        <f>BC850+SUM(CD851:CD860)</f>
        <v>0</v>
      </c>
      <c r="BD860" s="2">
        <f>IF(AND($C$130&lt;&gt;"",资金流水!$J$864=$C$130,ISNUMBER(资金流水!$B$864),ISNUMBER(资金流水!$S$864),资金流水!$S$864&gt;=_辅助!$J$4,资金流水!$S$864&lt;=_辅助!$J$2,OR(资金流水!$X$864="应付材料款",资金流水!$X$864="应付分包款",资金流水!$X$864="应付机械运输费",资金流水!$X$864="应付其他款")),INT(资金流水!$B$864)*10000+859,"")</f>
      </c>
      <c r="CD860" s="2">
        <f>IF(($C$130&lt;&gt;"")*(应付登记!$D$864=$C$130)*ISNUMBER(应付登记!$J$864)*(应付登记!$J$864&gt;=_辅助!$J$4)*(应付登记!$J$864&lt;=_辅助!$J$2),1,0)</f>
        <v>0</v>
      </c>
    </row>
    <row r="861">
      <c r="BC861" s="2">
        <f>BC850+SUM(CD851:CD861)</f>
        <v>0</v>
      </c>
      <c r="BD861" s="2">
        <f>IF(AND($C$130&lt;&gt;"",资金流水!$J$865=$C$130,ISNUMBER(资金流水!$B$865),ISNUMBER(资金流水!$S$865),资金流水!$S$865&gt;=_辅助!$J$4,资金流水!$S$865&lt;=_辅助!$J$2,OR(资金流水!$X$865="应付材料款",资金流水!$X$865="应付分包款",资金流水!$X$865="应付机械运输费",资金流水!$X$865="应付其他款")),INT(资金流水!$B$865)*10000+860,"")</f>
      </c>
      <c r="CD861" s="2">
        <f>IF(($C$130&lt;&gt;"")*(应付登记!$D$865=$C$130)*ISNUMBER(应付登记!$J$865)*(应付登记!$J$865&gt;=_辅助!$J$4)*(应付登记!$J$865&lt;=_辅助!$J$2),1,0)</f>
        <v>0</v>
      </c>
    </row>
    <row r="862">
      <c r="BC862" s="2">
        <f>BC850+SUM(CD851:CD862)</f>
        <v>0</v>
      </c>
      <c r="BD862" s="2">
        <f>IF(AND($C$130&lt;&gt;"",资金流水!$J$866=$C$130,ISNUMBER(资金流水!$B$866),ISNUMBER(资金流水!$S$866),资金流水!$S$866&gt;=_辅助!$J$4,资金流水!$S$866&lt;=_辅助!$J$2,OR(资金流水!$X$866="应付材料款",资金流水!$X$866="应付分包款",资金流水!$X$866="应付机械运输费",资金流水!$X$866="应付其他款")),INT(资金流水!$B$866)*10000+861,"")</f>
      </c>
      <c r="CD862" s="2">
        <f>IF(($C$130&lt;&gt;"")*(应付登记!$D$866=$C$130)*ISNUMBER(应付登记!$J$866)*(应付登记!$J$866&gt;=_辅助!$J$4)*(应付登记!$J$866&lt;=_辅助!$J$2),1,0)</f>
        <v>0</v>
      </c>
    </row>
    <row r="863">
      <c r="BC863" s="2">
        <f>BC850+SUM(CD851:CD863)</f>
        <v>0</v>
      </c>
      <c r="BD863" s="2">
        <f>IF(AND($C$130&lt;&gt;"",资金流水!$J$867=$C$130,ISNUMBER(资金流水!$B$867),ISNUMBER(资金流水!$S$867),资金流水!$S$867&gt;=_辅助!$J$4,资金流水!$S$867&lt;=_辅助!$J$2,OR(资金流水!$X$867="应付材料款",资金流水!$X$867="应付分包款",资金流水!$X$867="应付机械运输费",资金流水!$X$867="应付其他款")),INT(资金流水!$B$867)*10000+862,"")</f>
      </c>
      <c r="CD863" s="2">
        <f>IF(($C$130&lt;&gt;"")*(应付登记!$D$867=$C$130)*ISNUMBER(应付登记!$J$867)*(应付登记!$J$867&gt;=_辅助!$J$4)*(应付登记!$J$867&lt;=_辅助!$J$2),1,0)</f>
        <v>0</v>
      </c>
    </row>
    <row r="864">
      <c r="BC864" s="2">
        <f>BC850+SUM(CD851:CD864)</f>
        <v>0</v>
      </c>
      <c r="BD864" s="2">
        <f>IF(AND($C$130&lt;&gt;"",资金流水!$J$868=$C$130,ISNUMBER(资金流水!$B$868),ISNUMBER(资金流水!$S$868),资金流水!$S$868&gt;=_辅助!$J$4,资金流水!$S$868&lt;=_辅助!$J$2,OR(资金流水!$X$868="应付材料款",资金流水!$X$868="应付分包款",资金流水!$X$868="应付机械运输费",资金流水!$X$868="应付其他款")),INT(资金流水!$B$868)*10000+863,"")</f>
      </c>
      <c r="CD864" s="2">
        <f>IF(($C$130&lt;&gt;"")*(应付登记!$D$868=$C$130)*ISNUMBER(应付登记!$J$868)*(应付登记!$J$868&gt;=_辅助!$J$4)*(应付登记!$J$868&lt;=_辅助!$J$2),1,0)</f>
        <v>0</v>
      </c>
    </row>
    <row r="865">
      <c r="BC865" s="2">
        <f>BC850+SUM(CD851:CD865)</f>
        <v>0</v>
      </c>
      <c r="BD865" s="2">
        <f>IF(AND($C$130&lt;&gt;"",资金流水!$J$869=$C$130,ISNUMBER(资金流水!$B$869),ISNUMBER(资金流水!$S$869),资金流水!$S$869&gt;=_辅助!$J$4,资金流水!$S$869&lt;=_辅助!$J$2,OR(资金流水!$X$869="应付材料款",资金流水!$X$869="应付分包款",资金流水!$X$869="应付机械运输费",资金流水!$X$869="应付其他款")),INT(资金流水!$B$869)*10000+864,"")</f>
      </c>
      <c r="CD865" s="2">
        <f>IF(($C$130&lt;&gt;"")*(应付登记!$D$869=$C$130)*ISNUMBER(应付登记!$J$869)*(应付登记!$J$869&gt;=_辅助!$J$4)*(应付登记!$J$869&lt;=_辅助!$J$2),1,0)</f>
        <v>0</v>
      </c>
    </row>
    <row r="866">
      <c r="BC866" s="2">
        <f>BC850+SUM(CD851:CD866)</f>
        <v>0</v>
      </c>
      <c r="BD866" s="2">
        <f>IF(AND($C$130&lt;&gt;"",资金流水!$J$870=$C$130,ISNUMBER(资金流水!$B$870),ISNUMBER(资金流水!$S$870),资金流水!$S$870&gt;=_辅助!$J$4,资金流水!$S$870&lt;=_辅助!$J$2,OR(资金流水!$X$870="应付材料款",资金流水!$X$870="应付分包款",资金流水!$X$870="应付机械运输费",资金流水!$X$870="应付其他款")),INT(资金流水!$B$870)*10000+865,"")</f>
      </c>
      <c r="CD866" s="2">
        <f>IF(($C$130&lt;&gt;"")*(应付登记!$D$870=$C$130)*ISNUMBER(应付登记!$J$870)*(应付登记!$J$870&gt;=_辅助!$J$4)*(应付登记!$J$870&lt;=_辅助!$J$2),1,0)</f>
        <v>0</v>
      </c>
    </row>
    <row r="867">
      <c r="BC867" s="2">
        <f>BC850+SUM(CD851:CD867)</f>
        <v>0</v>
      </c>
      <c r="BD867" s="2">
        <f>IF(AND($C$130&lt;&gt;"",资金流水!$J$871=$C$130,ISNUMBER(资金流水!$B$871),ISNUMBER(资金流水!$S$871),资金流水!$S$871&gt;=_辅助!$J$4,资金流水!$S$871&lt;=_辅助!$J$2,OR(资金流水!$X$871="应付材料款",资金流水!$X$871="应付分包款",资金流水!$X$871="应付机械运输费",资金流水!$X$871="应付其他款")),INT(资金流水!$B$871)*10000+866,"")</f>
      </c>
      <c r="CD867" s="2">
        <f>IF(($C$130&lt;&gt;"")*(应付登记!$D$871=$C$130)*ISNUMBER(应付登记!$J$871)*(应付登记!$J$871&gt;=_辅助!$J$4)*(应付登记!$J$871&lt;=_辅助!$J$2),1,0)</f>
        <v>0</v>
      </c>
    </row>
    <row r="868">
      <c r="BC868" s="2">
        <f>BC850+SUM(CD851:CD868)</f>
        <v>0</v>
      </c>
      <c r="BD868" s="2">
        <f>IF(AND($C$130&lt;&gt;"",资金流水!$J$872=$C$130,ISNUMBER(资金流水!$B$872),ISNUMBER(资金流水!$S$872),资金流水!$S$872&gt;=_辅助!$J$4,资金流水!$S$872&lt;=_辅助!$J$2,OR(资金流水!$X$872="应付材料款",资金流水!$X$872="应付分包款",资金流水!$X$872="应付机械运输费",资金流水!$X$872="应付其他款")),INT(资金流水!$B$872)*10000+867,"")</f>
      </c>
      <c r="CD868" s="2">
        <f>IF(($C$130&lt;&gt;"")*(应付登记!$D$872=$C$130)*ISNUMBER(应付登记!$J$872)*(应付登记!$J$872&gt;=_辅助!$J$4)*(应付登记!$J$872&lt;=_辅助!$J$2),1,0)</f>
        <v>0</v>
      </c>
    </row>
    <row r="869">
      <c r="BC869" s="2">
        <f>BC850+SUM(CD851:CD869)</f>
        <v>0</v>
      </c>
      <c r="BD869" s="2">
        <f>IF(AND($C$130&lt;&gt;"",资金流水!$J$873=$C$130,ISNUMBER(资金流水!$B$873),ISNUMBER(资金流水!$S$873),资金流水!$S$873&gt;=_辅助!$J$4,资金流水!$S$873&lt;=_辅助!$J$2,OR(资金流水!$X$873="应付材料款",资金流水!$X$873="应付分包款",资金流水!$X$873="应付机械运输费",资金流水!$X$873="应付其他款")),INT(资金流水!$B$873)*10000+868,"")</f>
      </c>
      <c r="CD869" s="2">
        <f>IF(($C$130&lt;&gt;"")*(应付登记!$D$873=$C$130)*ISNUMBER(应付登记!$J$873)*(应付登记!$J$873&gt;=_辅助!$J$4)*(应付登记!$J$873&lt;=_辅助!$J$2),1,0)</f>
        <v>0</v>
      </c>
    </row>
    <row r="870">
      <c r="BC870" s="2">
        <f>BC850+SUM(CD851:CD870)</f>
        <v>0</v>
      </c>
      <c r="BD870" s="2">
        <f>IF(AND($C$130&lt;&gt;"",资金流水!$J$874=$C$130,ISNUMBER(资金流水!$B$874),ISNUMBER(资金流水!$S$874),资金流水!$S$874&gt;=_辅助!$J$4,资金流水!$S$874&lt;=_辅助!$J$2,OR(资金流水!$X$874="应付材料款",资金流水!$X$874="应付分包款",资金流水!$X$874="应付机械运输费",资金流水!$X$874="应付其他款")),INT(资金流水!$B$874)*10000+869,"")</f>
      </c>
      <c r="CD870" s="2">
        <f>IF(($C$130&lt;&gt;"")*(应付登记!$D$874=$C$130)*ISNUMBER(应付登记!$J$874)*(应付登记!$J$874&gt;=_辅助!$J$4)*(应付登记!$J$874&lt;=_辅助!$J$2),1,0)</f>
        <v>0</v>
      </c>
    </row>
    <row r="871">
      <c r="BC871" s="2">
        <f>BC850+SUM(CD851:CD871)</f>
        <v>0</v>
      </c>
      <c r="BD871" s="2">
        <f>IF(AND($C$130&lt;&gt;"",资金流水!$J$875=$C$130,ISNUMBER(资金流水!$B$875),ISNUMBER(资金流水!$S$875),资金流水!$S$875&gt;=_辅助!$J$4,资金流水!$S$875&lt;=_辅助!$J$2,OR(资金流水!$X$875="应付材料款",资金流水!$X$875="应付分包款",资金流水!$X$875="应付机械运输费",资金流水!$X$875="应付其他款")),INT(资金流水!$B$875)*10000+870,"")</f>
      </c>
      <c r="CD871" s="2">
        <f>IF(($C$130&lt;&gt;"")*(应付登记!$D$875=$C$130)*ISNUMBER(应付登记!$J$875)*(应付登记!$J$875&gt;=_辅助!$J$4)*(应付登记!$J$875&lt;=_辅助!$J$2),1,0)</f>
        <v>0</v>
      </c>
    </row>
    <row r="872">
      <c r="BC872" s="2">
        <f>BC850+SUM(CD851:CD872)</f>
        <v>0</v>
      </c>
      <c r="BD872" s="2">
        <f>IF(AND($C$130&lt;&gt;"",资金流水!$J$876=$C$130,ISNUMBER(资金流水!$B$876),ISNUMBER(资金流水!$S$876),资金流水!$S$876&gt;=_辅助!$J$4,资金流水!$S$876&lt;=_辅助!$J$2,OR(资金流水!$X$876="应付材料款",资金流水!$X$876="应付分包款",资金流水!$X$876="应付机械运输费",资金流水!$X$876="应付其他款")),INT(资金流水!$B$876)*10000+871,"")</f>
      </c>
      <c r="CD872" s="2">
        <f>IF(($C$130&lt;&gt;"")*(应付登记!$D$876=$C$130)*ISNUMBER(应付登记!$J$876)*(应付登记!$J$876&gt;=_辅助!$J$4)*(应付登记!$J$876&lt;=_辅助!$J$2),1,0)</f>
        <v>0</v>
      </c>
    </row>
    <row r="873">
      <c r="BC873" s="2">
        <f>BC850+SUM(CD851:CD873)</f>
        <v>0</v>
      </c>
      <c r="BD873" s="2">
        <f>IF(AND($C$130&lt;&gt;"",资金流水!$J$877=$C$130,ISNUMBER(资金流水!$B$877),ISNUMBER(资金流水!$S$877),资金流水!$S$877&gt;=_辅助!$J$4,资金流水!$S$877&lt;=_辅助!$J$2,OR(资金流水!$X$877="应付材料款",资金流水!$X$877="应付分包款",资金流水!$X$877="应付机械运输费",资金流水!$X$877="应付其他款")),INT(资金流水!$B$877)*10000+872,"")</f>
      </c>
      <c r="CD873" s="2">
        <f>IF(($C$130&lt;&gt;"")*(应付登记!$D$877=$C$130)*ISNUMBER(应付登记!$J$877)*(应付登记!$J$877&gt;=_辅助!$J$4)*(应付登记!$J$877&lt;=_辅助!$J$2),1,0)</f>
        <v>0</v>
      </c>
    </row>
    <row r="874">
      <c r="BC874" s="2">
        <f>BC850+SUM(CD851:CD874)</f>
        <v>0</v>
      </c>
      <c r="BD874" s="2">
        <f>IF(AND($C$130&lt;&gt;"",资金流水!$J$878=$C$130,ISNUMBER(资金流水!$B$878),ISNUMBER(资金流水!$S$878),资金流水!$S$878&gt;=_辅助!$J$4,资金流水!$S$878&lt;=_辅助!$J$2,OR(资金流水!$X$878="应付材料款",资金流水!$X$878="应付分包款",资金流水!$X$878="应付机械运输费",资金流水!$X$878="应付其他款")),INT(资金流水!$B$878)*10000+873,"")</f>
      </c>
      <c r="CD874" s="2">
        <f>IF(($C$130&lt;&gt;"")*(应付登记!$D$878=$C$130)*ISNUMBER(应付登记!$J$878)*(应付登记!$J$878&gt;=_辅助!$J$4)*(应付登记!$J$878&lt;=_辅助!$J$2),1,0)</f>
        <v>0</v>
      </c>
    </row>
    <row r="875">
      <c r="BC875" s="2">
        <f>BC850+SUM(CD851:CD875)</f>
        <v>0</v>
      </c>
      <c r="BD875" s="2">
        <f>IF(AND($C$130&lt;&gt;"",资金流水!$J$879=$C$130,ISNUMBER(资金流水!$B$879),ISNUMBER(资金流水!$S$879),资金流水!$S$879&gt;=_辅助!$J$4,资金流水!$S$879&lt;=_辅助!$J$2,OR(资金流水!$X$879="应付材料款",资金流水!$X$879="应付分包款",资金流水!$X$879="应付机械运输费",资金流水!$X$879="应付其他款")),INT(资金流水!$B$879)*10000+874,"")</f>
      </c>
      <c r="CD875" s="2">
        <f>IF(($C$130&lt;&gt;"")*(应付登记!$D$879=$C$130)*ISNUMBER(应付登记!$J$879)*(应付登记!$J$879&gt;=_辅助!$J$4)*(应付登记!$J$879&lt;=_辅助!$J$2),1,0)</f>
        <v>0</v>
      </c>
    </row>
    <row r="876">
      <c r="BC876" s="2">
        <f>BC850+SUM(CD851:CD876)</f>
        <v>0</v>
      </c>
      <c r="BD876" s="2">
        <f>IF(AND($C$130&lt;&gt;"",资金流水!$J$880=$C$130,ISNUMBER(资金流水!$B$880),ISNUMBER(资金流水!$S$880),资金流水!$S$880&gt;=_辅助!$J$4,资金流水!$S$880&lt;=_辅助!$J$2,OR(资金流水!$X$880="应付材料款",资金流水!$X$880="应付分包款",资金流水!$X$880="应付机械运输费",资金流水!$X$880="应付其他款")),INT(资金流水!$B$880)*10000+875,"")</f>
      </c>
      <c r="CD876" s="2">
        <f>IF(($C$130&lt;&gt;"")*(应付登记!$D$880=$C$130)*ISNUMBER(应付登记!$J$880)*(应付登记!$J$880&gt;=_辅助!$J$4)*(应付登记!$J$880&lt;=_辅助!$J$2),1,0)</f>
        <v>0</v>
      </c>
    </row>
    <row r="877">
      <c r="BC877" s="2">
        <f>BC850+SUM(CD851:CD877)</f>
        <v>0</v>
      </c>
      <c r="BD877" s="2">
        <f>IF(AND($C$130&lt;&gt;"",资金流水!$J$881=$C$130,ISNUMBER(资金流水!$B$881),ISNUMBER(资金流水!$S$881),资金流水!$S$881&gt;=_辅助!$J$4,资金流水!$S$881&lt;=_辅助!$J$2,OR(资金流水!$X$881="应付材料款",资金流水!$X$881="应付分包款",资金流水!$X$881="应付机械运输费",资金流水!$X$881="应付其他款")),INT(资金流水!$B$881)*10000+876,"")</f>
      </c>
      <c r="CD877" s="2">
        <f>IF(($C$130&lt;&gt;"")*(应付登记!$D$881=$C$130)*ISNUMBER(应付登记!$J$881)*(应付登记!$J$881&gt;=_辅助!$J$4)*(应付登记!$J$881&lt;=_辅助!$J$2),1,0)</f>
        <v>0</v>
      </c>
    </row>
    <row r="878">
      <c r="BC878" s="2">
        <f>BC850+SUM(CD851:CD878)</f>
        <v>0</v>
      </c>
      <c r="BD878" s="2">
        <f>IF(AND($C$130&lt;&gt;"",资金流水!$J$882=$C$130,ISNUMBER(资金流水!$B$882),ISNUMBER(资金流水!$S$882),资金流水!$S$882&gt;=_辅助!$J$4,资金流水!$S$882&lt;=_辅助!$J$2,OR(资金流水!$X$882="应付材料款",资金流水!$X$882="应付分包款",资金流水!$X$882="应付机械运输费",资金流水!$X$882="应付其他款")),INT(资金流水!$B$882)*10000+877,"")</f>
      </c>
      <c r="CD878" s="2">
        <f>IF(($C$130&lt;&gt;"")*(应付登记!$D$882=$C$130)*ISNUMBER(应付登记!$J$882)*(应付登记!$J$882&gt;=_辅助!$J$4)*(应付登记!$J$882&lt;=_辅助!$J$2),1,0)</f>
        <v>0</v>
      </c>
    </row>
    <row r="879">
      <c r="BC879" s="2">
        <f>BC850+SUM(CD851:CD879)</f>
        <v>0</v>
      </c>
      <c r="BD879" s="2">
        <f>IF(AND($C$130&lt;&gt;"",资金流水!$J$883=$C$130,ISNUMBER(资金流水!$B$883),ISNUMBER(资金流水!$S$883),资金流水!$S$883&gt;=_辅助!$J$4,资金流水!$S$883&lt;=_辅助!$J$2,OR(资金流水!$X$883="应付材料款",资金流水!$X$883="应付分包款",资金流水!$X$883="应付机械运输费",资金流水!$X$883="应付其他款")),INT(资金流水!$B$883)*10000+878,"")</f>
      </c>
      <c r="CD879" s="2">
        <f>IF(($C$130&lt;&gt;"")*(应付登记!$D$883=$C$130)*ISNUMBER(应付登记!$J$883)*(应付登记!$J$883&gt;=_辅助!$J$4)*(应付登记!$J$883&lt;=_辅助!$J$2),1,0)</f>
        <v>0</v>
      </c>
    </row>
    <row r="880">
      <c r="BC880" s="2">
        <f>BC850+SUM(CD851:CD880)</f>
        <v>0</v>
      </c>
      <c r="BD880" s="2">
        <f>IF(AND($C$130&lt;&gt;"",资金流水!$J$884=$C$130,ISNUMBER(资金流水!$B$884),ISNUMBER(资金流水!$S$884),资金流水!$S$884&gt;=_辅助!$J$4,资金流水!$S$884&lt;=_辅助!$J$2,OR(资金流水!$X$884="应付材料款",资金流水!$X$884="应付分包款",资金流水!$X$884="应付机械运输费",资金流水!$X$884="应付其他款")),INT(资金流水!$B$884)*10000+879,"")</f>
      </c>
      <c r="CD880" s="2">
        <f>IF(($C$130&lt;&gt;"")*(应付登记!$D$884=$C$130)*ISNUMBER(应付登记!$J$884)*(应付登记!$J$884&gt;=_辅助!$J$4)*(应付登记!$J$884&lt;=_辅助!$J$2),1,0)</f>
        <v>0</v>
      </c>
    </row>
    <row r="881">
      <c r="BC881" s="2">
        <f>BC850+SUM(CD851:CD881)</f>
        <v>0</v>
      </c>
      <c r="BD881" s="2">
        <f>IF(AND($C$130&lt;&gt;"",资金流水!$J$885=$C$130,ISNUMBER(资金流水!$B$885),ISNUMBER(资金流水!$S$885),资金流水!$S$885&gt;=_辅助!$J$4,资金流水!$S$885&lt;=_辅助!$J$2,OR(资金流水!$X$885="应付材料款",资金流水!$X$885="应付分包款",资金流水!$X$885="应付机械运输费",资金流水!$X$885="应付其他款")),INT(资金流水!$B$885)*10000+880,"")</f>
      </c>
      <c r="CD881" s="2">
        <f>IF(($C$130&lt;&gt;"")*(应付登记!$D$885=$C$130)*ISNUMBER(应付登记!$J$885)*(应付登记!$J$885&gt;=_辅助!$J$4)*(应付登记!$J$885&lt;=_辅助!$J$2),1,0)</f>
        <v>0</v>
      </c>
    </row>
    <row r="882">
      <c r="BC882" s="2">
        <f>BC850+SUM(CD851:CD882)</f>
        <v>0</v>
      </c>
      <c r="BD882" s="2">
        <f>IF(AND($C$130&lt;&gt;"",资金流水!$J$886=$C$130,ISNUMBER(资金流水!$B$886),ISNUMBER(资金流水!$S$886),资金流水!$S$886&gt;=_辅助!$J$4,资金流水!$S$886&lt;=_辅助!$J$2,OR(资金流水!$X$886="应付材料款",资金流水!$X$886="应付分包款",资金流水!$X$886="应付机械运输费",资金流水!$X$886="应付其他款")),INT(资金流水!$B$886)*10000+881,"")</f>
      </c>
      <c r="CD882" s="2">
        <f>IF(($C$130&lt;&gt;"")*(应付登记!$D$886=$C$130)*ISNUMBER(应付登记!$J$886)*(应付登记!$J$886&gt;=_辅助!$J$4)*(应付登记!$J$886&lt;=_辅助!$J$2),1,0)</f>
        <v>0</v>
      </c>
    </row>
    <row r="883">
      <c r="BC883" s="2">
        <f>BC850+SUM(CD851:CD883)</f>
        <v>0</v>
      </c>
      <c r="BD883" s="2">
        <f>IF(AND($C$130&lt;&gt;"",资金流水!$J$887=$C$130,ISNUMBER(资金流水!$B$887),ISNUMBER(资金流水!$S$887),资金流水!$S$887&gt;=_辅助!$J$4,资金流水!$S$887&lt;=_辅助!$J$2,OR(资金流水!$X$887="应付材料款",资金流水!$X$887="应付分包款",资金流水!$X$887="应付机械运输费",资金流水!$X$887="应付其他款")),INT(资金流水!$B$887)*10000+882,"")</f>
      </c>
      <c r="CD883" s="2">
        <f>IF(($C$130&lt;&gt;"")*(应付登记!$D$887=$C$130)*ISNUMBER(应付登记!$J$887)*(应付登记!$J$887&gt;=_辅助!$J$4)*(应付登记!$J$887&lt;=_辅助!$J$2),1,0)</f>
        <v>0</v>
      </c>
    </row>
    <row r="884">
      <c r="BC884" s="2">
        <f>BC850+SUM(CD851:CD884)</f>
        <v>0</v>
      </c>
      <c r="BD884" s="2">
        <f>IF(AND($C$130&lt;&gt;"",资金流水!$J$888=$C$130,ISNUMBER(资金流水!$B$888),ISNUMBER(资金流水!$S$888),资金流水!$S$888&gt;=_辅助!$J$4,资金流水!$S$888&lt;=_辅助!$J$2,OR(资金流水!$X$888="应付材料款",资金流水!$X$888="应付分包款",资金流水!$X$888="应付机械运输费",资金流水!$X$888="应付其他款")),INT(资金流水!$B$888)*10000+883,"")</f>
      </c>
      <c r="CD884" s="2">
        <f>IF(($C$130&lt;&gt;"")*(应付登记!$D$888=$C$130)*ISNUMBER(应付登记!$J$888)*(应付登记!$J$888&gt;=_辅助!$J$4)*(应付登记!$J$888&lt;=_辅助!$J$2),1,0)</f>
        <v>0</v>
      </c>
    </row>
    <row r="885">
      <c r="BC885" s="2">
        <f>BC850+SUM(CD851:CD885)</f>
        <v>0</v>
      </c>
      <c r="BD885" s="2">
        <f>IF(AND($C$130&lt;&gt;"",资金流水!$J$889=$C$130,ISNUMBER(资金流水!$B$889),ISNUMBER(资金流水!$S$889),资金流水!$S$889&gt;=_辅助!$J$4,资金流水!$S$889&lt;=_辅助!$J$2,OR(资金流水!$X$889="应付材料款",资金流水!$X$889="应付分包款",资金流水!$X$889="应付机械运输费",资金流水!$X$889="应付其他款")),INT(资金流水!$B$889)*10000+884,"")</f>
      </c>
      <c r="CD885" s="2">
        <f>IF(($C$130&lt;&gt;"")*(应付登记!$D$889=$C$130)*ISNUMBER(应付登记!$J$889)*(应付登记!$J$889&gt;=_辅助!$J$4)*(应付登记!$J$889&lt;=_辅助!$J$2),1,0)</f>
        <v>0</v>
      </c>
    </row>
    <row r="886">
      <c r="BC886" s="2">
        <f>BC850+SUM(CD851:CD886)</f>
        <v>0</v>
      </c>
      <c r="BD886" s="2">
        <f>IF(AND($C$130&lt;&gt;"",资金流水!$J$890=$C$130,ISNUMBER(资金流水!$B$890),ISNUMBER(资金流水!$S$890),资金流水!$S$890&gt;=_辅助!$J$4,资金流水!$S$890&lt;=_辅助!$J$2,OR(资金流水!$X$890="应付材料款",资金流水!$X$890="应付分包款",资金流水!$X$890="应付机械运输费",资金流水!$X$890="应付其他款")),INT(资金流水!$B$890)*10000+885,"")</f>
      </c>
      <c r="CD886" s="2">
        <f>IF(($C$130&lt;&gt;"")*(应付登记!$D$890=$C$130)*ISNUMBER(应付登记!$J$890)*(应付登记!$J$890&gt;=_辅助!$J$4)*(应付登记!$J$890&lt;=_辅助!$J$2),1,0)</f>
        <v>0</v>
      </c>
    </row>
    <row r="887">
      <c r="BC887" s="2">
        <f>BC850+SUM(CD851:CD887)</f>
        <v>0</v>
      </c>
      <c r="BD887" s="2">
        <f>IF(AND($C$130&lt;&gt;"",资金流水!$J$891=$C$130,ISNUMBER(资金流水!$B$891),ISNUMBER(资金流水!$S$891),资金流水!$S$891&gt;=_辅助!$J$4,资金流水!$S$891&lt;=_辅助!$J$2,OR(资金流水!$X$891="应付材料款",资金流水!$X$891="应付分包款",资金流水!$X$891="应付机械运输费",资金流水!$X$891="应付其他款")),INT(资金流水!$B$891)*10000+886,"")</f>
      </c>
      <c r="CD887" s="2">
        <f>IF(($C$130&lt;&gt;"")*(应付登记!$D$891=$C$130)*ISNUMBER(应付登记!$J$891)*(应付登记!$J$891&gt;=_辅助!$J$4)*(应付登记!$J$891&lt;=_辅助!$J$2),1,0)</f>
        <v>0</v>
      </c>
    </row>
    <row r="888">
      <c r="BC888" s="2">
        <f>BC850+SUM(CD851:CD888)</f>
        <v>0</v>
      </c>
      <c r="BD888" s="2">
        <f>IF(AND($C$130&lt;&gt;"",资金流水!$J$892=$C$130,ISNUMBER(资金流水!$B$892),ISNUMBER(资金流水!$S$892),资金流水!$S$892&gt;=_辅助!$J$4,资金流水!$S$892&lt;=_辅助!$J$2,OR(资金流水!$X$892="应付材料款",资金流水!$X$892="应付分包款",资金流水!$X$892="应付机械运输费",资金流水!$X$892="应付其他款")),INT(资金流水!$B$892)*10000+887,"")</f>
      </c>
      <c r="CD888" s="2">
        <f>IF(($C$130&lt;&gt;"")*(应付登记!$D$892=$C$130)*ISNUMBER(应付登记!$J$892)*(应付登记!$J$892&gt;=_辅助!$J$4)*(应付登记!$J$892&lt;=_辅助!$J$2),1,0)</f>
        <v>0</v>
      </c>
    </row>
    <row r="889">
      <c r="BC889" s="2">
        <f>BC850+SUM(CD851:CD889)</f>
        <v>0</v>
      </c>
      <c r="BD889" s="2">
        <f>IF(AND($C$130&lt;&gt;"",资金流水!$J$893=$C$130,ISNUMBER(资金流水!$B$893),ISNUMBER(资金流水!$S$893),资金流水!$S$893&gt;=_辅助!$J$4,资金流水!$S$893&lt;=_辅助!$J$2,OR(资金流水!$X$893="应付材料款",资金流水!$X$893="应付分包款",资金流水!$X$893="应付机械运输费",资金流水!$X$893="应付其他款")),INT(资金流水!$B$893)*10000+888,"")</f>
      </c>
      <c r="CD889" s="2">
        <f>IF(($C$130&lt;&gt;"")*(应付登记!$D$893=$C$130)*ISNUMBER(应付登记!$J$893)*(应付登记!$J$893&gt;=_辅助!$J$4)*(应付登记!$J$893&lt;=_辅助!$J$2),1,0)</f>
        <v>0</v>
      </c>
    </row>
    <row r="890">
      <c r="BC890" s="2">
        <f>BC850+SUM(CD851:CD890)</f>
        <v>0</v>
      </c>
      <c r="BD890" s="2">
        <f>IF(AND($C$130&lt;&gt;"",资金流水!$J$894=$C$130,ISNUMBER(资金流水!$B$894),ISNUMBER(资金流水!$S$894),资金流水!$S$894&gt;=_辅助!$J$4,资金流水!$S$894&lt;=_辅助!$J$2,OR(资金流水!$X$894="应付材料款",资金流水!$X$894="应付分包款",资金流水!$X$894="应付机械运输费",资金流水!$X$894="应付其他款")),INT(资金流水!$B$894)*10000+889,"")</f>
      </c>
      <c r="CD890" s="2">
        <f>IF(($C$130&lt;&gt;"")*(应付登记!$D$894=$C$130)*ISNUMBER(应付登记!$J$894)*(应付登记!$J$894&gt;=_辅助!$J$4)*(应付登记!$J$894&lt;=_辅助!$J$2),1,0)</f>
        <v>0</v>
      </c>
    </row>
    <row r="891">
      <c r="BC891" s="2">
        <f>BC850+SUM(CD851:CD891)</f>
        <v>0</v>
      </c>
      <c r="BD891" s="2">
        <f>IF(AND($C$130&lt;&gt;"",资金流水!$J$895=$C$130,ISNUMBER(资金流水!$B$895),ISNUMBER(资金流水!$S$895),资金流水!$S$895&gt;=_辅助!$J$4,资金流水!$S$895&lt;=_辅助!$J$2,OR(资金流水!$X$895="应付材料款",资金流水!$X$895="应付分包款",资金流水!$X$895="应付机械运输费",资金流水!$X$895="应付其他款")),INT(资金流水!$B$895)*10000+890,"")</f>
      </c>
      <c r="CD891" s="2">
        <f>IF(($C$130&lt;&gt;"")*(应付登记!$D$895=$C$130)*ISNUMBER(应付登记!$J$895)*(应付登记!$J$895&gt;=_辅助!$J$4)*(应付登记!$J$895&lt;=_辅助!$J$2),1,0)</f>
        <v>0</v>
      </c>
    </row>
    <row r="892">
      <c r="BC892" s="2">
        <f>BC850+SUM(CD851:CD892)</f>
        <v>0</v>
      </c>
      <c r="BD892" s="2">
        <f>IF(AND($C$130&lt;&gt;"",资金流水!$J$896=$C$130,ISNUMBER(资金流水!$B$896),ISNUMBER(资金流水!$S$896),资金流水!$S$896&gt;=_辅助!$J$4,资金流水!$S$896&lt;=_辅助!$J$2,OR(资金流水!$X$896="应付材料款",资金流水!$X$896="应付分包款",资金流水!$X$896="应付机械运输费",资金流水!$X$896="应付其他款")),INT(资金流水!$B$896)*10000+891,"")</f>
      </c>
      <c r="CD892" s="2">
        <f>IF(($C$130&lt;&gt;"")*(应付登记!$D$896=$C$130)*ISNUMBER(应付登记!$J$896)*(应付登记!$J$896&gt;=_辅助!$J$4)*(应付登记!$J$896&lt;=_辅助!$J$2),1,0)</f>
        <v>0</v>
      </c>
    </row>
    <row r="893">
      <c r="BC893" s="2">
        <f>BC850+SUM(CD851:CD893)</f>
        <v>0</v>
      </c>
      <c r="BD893" s="2">
        <f>IF(AND($C$130&lt;&gt;"",资金流水!$J$897=$C$130,ISNUMBER(资金流水!$B$897),ISNUMBER(资金流水!$S$897),资金流水!$S$897&gt;=_辅助!$J$4,资金流水!$S$897&lt;=_辅助!$J$2,OR(资金流水!$X$897="应付材料款",资金流水!$X$897="应付分包款",资金流水!$X$897="应付机械运输费",资金流水!$X$897="应付其他款")),INT(资金流水!$B$897)*10000+892,"")</f>
      </c>
      <c r="CD893" s="2">
        <f>IF(($C$130&lt;&gt;"")*(应付登记!$D$897=$C$130)*ISNUMBER(应付登记!$J$897)*(应付登记!$J$897&gt;=_辅助!$J$4)*(应付登记!$J$897&lt;=_辅助!$J$2),1,0)</f>
        <v>0</v>
      </c>
    </row>
    <row r="894">
      <c r="BC894" s="2">
        <f>BC850+SUM(CD851:CD894)</f>
        <v>0</v>
      </c>
      <c r="BD894" s="2">
        <f>IF(AND($C$130&lt;&gt;"",资金流水!$J$898=$C$130,ISNUMBER(资金流水!$B$898),ISNUMBER(资金流水!$S$898),资金流水!$S$898&gt;=_辅助!$J$4,资金流水!$S$898&lt;=_辅助!$J$2,OR(资金流水!$X$898="应付材料款",资金流水!$X$898="应付分包款",资金流水!$X$898="应付机械运输费",资金流水!$X$898="应付其他款")),INT(资金流水!$B$898)*10000+893,"")</f>
      </c>
      <c r="CD894" s="2">
        <f>IF(($C$130&lt;&gt;"")*(应付登记!$D$898=$C$130)*ISNUMBER(应付登记!$J$898)*(应付登记!$J$898&gt;=_辅助!$J$4)*(应付登记!$J$898&lt;=_辅助!$J$2),1,0)</f>
        <v>0</v>
      </c>
    </row>
    <row r="895">
      <c r="BC895" s="2">
        <f>BC850+SUM(CD851:CD895)</f>
        <v>0</v>
      </c>
      <c r="BD895" s="2">
        <f>IF(AND($C$130&lt;&gt;"",资金流水!$J$899=$C$130,ISNUMBER(资金流水!$B$899),ISNUMBER(资金流水!$S$899),资金流水!$S$899&gt;=_辅助!$J$4,资金流水!$S$899&lt;=_辅助!$J$2,OR(资金流水!$X$899="应付材料款",资金流水!$X$899="应付分包款",资金流水!$X$899="应付机械运输费",资金流水!$X$899="应付其他款")),INT(资金流水!$B$899)*10000+894,"")</f>
      </c>
      <c r="CD895" s="2">
        <f>IF(($C$130&lt;&gt;"")*(应付登记!$D$899=$C$130)*ISNUMBER(应付登记!$J$899)*(应付登记!$J$899&gt;=_辅助!$J$4)*(应付登记!$J$899&lt;=_辅助!$J$2),1,0)</f>
        <v>0</v>
      </c>
    </row>
    <row r="896">
      <c r="BC896" s="2">
        <f>BC850+SUM(CD851:CD896)</f>
        <v>0</v>
      </c>
      <c r="BD896" s="2">
        <f>IF(AND($C$130&lt;&gt;"",资金流水!$J$900=$C$130,ISNUMBER(资金流水!$B$900),ISNUMBER(资金流水!$S$900),资金流水!$S$900&gt;=_辅助!$J$4,资金流水!$S$900&lt;=_辅助!$J$2,OR(资金流水!$X$900="应付材料款",资金流水!$X$900="应付分包款",资金流水!$X$900="应付机械运输费",资金流水!$X$900="应付其他款")),INT(资金流水!$B$900)*10000+895,"")</f>
      </c>
      <c r="CD896" s="2">
        <f>IF(($C$130&lt;&gt;"")*(应付登记!$D$900=$C$130)*ISNUMBER(应付登记!$J$900)*(应付登记!$J$900&gt;=_辅助!$J$4)*(应付登记!$J$900&lt;=_辅助!$J$2),1,0)</f>
        <v>0</v>
      </c>
    </row>
    <row r="897">
      <c r="BC897" s="2">
        <f>BC850+SUM(CD851:CD897)</f>
        <v>0</v>
      </c>
      <c r="BD897" s="2">
        <f>IF(AND($C$130&lt;&gt;"",资金流水!$J$901=$C$130,ISNUMBER(资金流水!$B$901),ISNUMBER(资金流水!$S$901),资金流水!$S$901&gt;=_辅助!$J$4,资金流水!$S$901&lt;=_辅助!$J$2,OR(资金流水!$X$901="应付材料款",资金流水!$X$901="应付分包款",资金流水!$X$901="应付机械运输费",资金流水!$X$901="应付其他款")),INT(资金流水!$B$901)*10000+896,"")</f>
      </c>
      <c r="CD897" s="2">
        <f>IF(($C$130&lt;&gt;"")*(应付登记!$D$901=$C$130)*ISNUMBER(应付登记!$J$901)*(应付登记!$J$901&gt;=_辅助!$J$4)*(应付登记!$J$901&lt;=_辅助!$J$2),1,0)</f>
        <v>0</v>
      </c>
    </row>
    <row r="898">
      <c r="BC898" s="2">
        <f>BC850+SUM(CD851:CD898)</f>
        <v>0</v>
      </c>
      <c r="BD898" s="2">
        <f>IF(AND($C$130&lt;&gt;"",资金流水!$J$902=$C$130,ISNUMBER(资金流水!$B$902),ISNUMBER(资金流水!$S$902),资金流水!$S$902&gt;=_辅助!$J$4,资金流水!$S$902&lt;=_辅助!$J$2,OR(资金流水!$X$902="应付材料款",资金流水!$X$902="应付分包款",资金流水!$X$902="应付机械运输费",资金流水!$X$902="应付其他款")),INT(资金流水!$B$902)*10000+897,"")</f>
      </c>
      <c r="CD898" s="2">
        <f>IF(($C$130&lt;&gt;"")*(应付登记!$D$902=$C$130)*ISNUMBER(应付登记!$J$902)*(应付登记!$J$902&gt;=_辅助!$J$4)*(应付登记!$J$902&lt;=_辅助!$J$2),1,0)</f>
        <v>0</v>
      </c>
    </row>
    <row r="899">
      <c r="BC899" s="2">
        <f>BC850+SUM(CD851:CD899)</f>
        <v>0</v>
      </c>
      <c r="BD899" s="2">
        <f>IF(AND($C$130&lt;&gt;"",资金流水!$J$903=$C$130,ISNUMBER(资金流水!$B$903),ISNUMBER(资金流水!$S$903),资金流水!$S$903&gt;=_辅助!$J$4,资金流水!$S$903&lt;=_辅助!$J$2,OR(资金流水!$X$903="应付材料款",资金流水!$X$903="应付分包款",资金流水!$X$903="应付机械运输费",资金流水!$X$903="应付其他款")),INT(资金流水!$B$903)*10000+898,"")</f>
      </c>
      <c r="CD899" s="2">
        <f>IF(($C$130&lt;&gt;"")*(应付登记!$D$903=$C$130)*ISNUMBER(应付登记!$J$903)*(应付登记!$J$903&gt;=_辅助!$J$4)*(应付登记!$J$903&lt;=_辅助!$J$2),1,0)</f>
        <v>0</v>
      </c>
    </row>
    <row r="900">
      <c r="BC900" s="2">
        <f>BC850+SUM(CD851:CD900)</f>
        <v>0</v>
      </c>
      <c r="BD900" s="2">
        <f>IF(AND($C$130&lt;&gt;"",资金流水!$J$904=$C$130,ISNUMBER(资金流水!$B$904),ISNUMBER(资金流水!$S$904),资金流水!$S$904&gt;=_辅助!$J$4,资金流水!$S$904&lt;=_辅助!$J$2,OR(资金流水!$X$904="应付材料款",资金流水!$X$904="应付分包款",资金流水!$X$904="应付机械运输费",资金流水!$X$904="应付其他款")),INT(资金流水!$B$904)*10000+899,"")</f>
      </c>
      <c r="CD900" s="2">
        <f>IF(($C$130&lt;&gt;"")*(应付登记!$D$904=$C$130)*ISNUMBER(应付登记!$J$904)*(应付登记!$J$904&gt;=_辅助!$J$4)*(应付登记!$J$904&lt;=_辅助!$J$2),1,0)</f>
        <v>0</v>
      </c>
    </row>
    <row r="901">
      <c r="BC901" s="2">
        <f>BC900+SUM(CD901:CD901)</f>
        <v>0</v>
      </c>
      <c r="BD901" s="2">
        <f>IF(AND($C$130&lt;&gt;"",资金流水!$J$905=$C$130,ISNUMBER(资金流水!$B$905),ISNUMBER(资金流水!$S$905),资金流水!$S$905&gt;=_辅助!$J$4,资金流水!$S$905&lt;=_辅助!$J$2,OR(资金流水!$X$905="应付材料款",资金流水!$X$905="应付分包款",资金流水!$X$905="应付机械运输费",资金流水!$X$905="应付其他款")),INT(资金流水!$B$905)*10000+900,"")</f>
      </c>
      <c r="CD901" s="2">
        <f>IF(($C$130&lt;&gt;"")*(应付登记!$D$905=$C$130)*ISNUMBER(应付登记!$J$905)*(应付登记!$J$905&gt;=_辅助!$J$4)*(应付登记!$J$905&lt;=_辅助!$J$2),1,0)</f>
        <v>0</v>
      </c>
    </row>
    <row r="902">
      <c r="BC902" s="2">
        <f>BC900+SUM(CD901:CD902)</f>
        <v>0</v>
      </c>
      <c r="BD902" s="2">
        <f>IF(AND($C$130&lt;&gt;"",资金流水!$J$906=$C$130,ISNUMBER(资金流水!$B$906),ISNUMBER(资金流水!$S$906),资金流水!$S$906&gt;=_辅助!$J$4,资金流水!$S$906&lt;=_辅助!$J$2,OR(资金流水!$X$906="应付材料款",资金流水!$X$906="应付分包款",资金流水!$X$906="应付机械运输费",资金流水!$X$906="应付其他款")),INT(资金流水!$B$906)*10000+901,"")</f>
      </c>
      <c r="CD902" s="2">
        <f>IF(($C$130&lt;&gt;"")*(应付登记!$D$906=$C$130)*ISNUMBER(应付登记!$J$906)*(应付登记!$J$906&gt;=_辅助!$J$4)*(应付登记!$J$906&lt;=_辅助!$J$2),1,0)</f>
        <v>0</v>
      </c>
    </row>
    <row r="903">
      <c r="BC903" s="2">
        <f>BC900+SUM(CD901:CD903)</f>
        <v>0</v>
      </c>
      <c r="BD903" s="2">
        <f>IF(AND($C$130&lt;&gt;"",资金流水!$J$907=$C$130,ISNUMBER(资金流水!$B$907),ISNUMBER(资金流水!$S$907),资金流水!$S$907&gt;=_辅助!$J$4,资金流水!$S$907&lt;=_辅助!$J$2,OR(资金流水!$X$907="应付材料款",资金流水!$X$907="应付分包款",资金流水!$X$907="应付机械运输费",资金流水!$X$907="应付其他款")),INT(资金流水!$B$907)*10000+902,"")</f>
      </c>
      <c r="CD903" s="2">
        <f>IF(($C$130&lt;&gt;"")*(应付登记!$D$907=$C$130)*ISNUMBER(应付登记!$J$907)*(应付登记!$J$907&gt;=_辅助!$J$4)*(应付登记!$J$907&lt;=_辅助!$J$2),1,0)</f>
        <v>0</v>
      </c>
    </row>
    <row r="904">
      <c r="BC904" s="2">
        <f>BC900+SUM(CD901:CD904)</f>
        <v>0</v>
      </c>
      <c r="BD904" s="2">
        <f>IF(AND($C$130&lt;&gt;"",资金流水!$J$908=$C$130,ISNUMBER(资金流水!$B$908),ISNUMBER(资金流水!$S$908),资金流水!$S$908&gt;=_辅助!$J$4,资金流水!$S$908&lt;=_辅助!$J$2,OR(资金流水!$X$908="应付材料款",资金流水!$X$908="应付分包款",资金流水!$X$908="应付机械运输费",资金流水!$X$908="应付其他款")),INT(资金流水!$B$908)*10000+903,"")</f>
      </c>
      <c r="CD904" s="2">
        <f>IF(($C$130&lt;&gt;"")*(应付登记!$D$908=$C$130)*ISNUMBER(应付登记!$J$908)*(应付登记!$J$908&gt;=_辅助!$J$4)*(应付登记!$J$908&lt;=_辅助!$J$2),1,0)</f>
        <v>0</v>
      </c>
    </row>
    <row r="905">
      <c r="BC905" s="2">
        <f>BC900+SUM(CD901:CD905)</f>
        <v>0</v>
      </c>
      <c r="BD905" s="2">
        <f>IF(AND($C$130&lt;&gt;"",资金流水!$J$909=$C$130,ISNUMBER(资金流水!$B$909),ISNUMBER(资金流水!$S$909),资金流水!$S$909&gt;=_辅助!$J$4,资金流水!$S$909&lt;=_辅助!$J$2,OR(资金流水!$X$909="应付材料款",资金流水!$X$909="应付分包款",资金流水!$X$909="应付机械运输费",资金流水!$X$909="应付其他款")),INT(资金流水!$B$909)*10000+904,"")</f>
      </c>
      <c r="CD905" s="2">
        <f>IF(($C$130&lt;&gt;"")*(应付登记!$D$909=$C$130)*ISNUMBER(应付登记!$J$909)*(应付登记!$J$909&gt;=_辅助!$J$4)*(应付登记!$J$909&lt;=_辅助!$J$2),1,0)</f>
        <v>0</v>
      </c>
    </row>
    <row r="906">
      <c r="BC906" s="2">
        <f>BC900+SUM(CD901:CD906)</f>
        <v>0</v>
      </c>
      <c r="BD906" s="2">
        <f>IF(AND($C$130&lt;&gt;"",资金流水!$J$910=$C$130,ISNUMBER(资金流水!$B$910),ISNUMBER(资金流水!$S$910),资金流水!$S$910&gt;=_辅助!$J$4,资金流水!$S$910&lt;=_辅助!$J$2,OR(资金流水!$X$910="应付材料款",资金流水!$X$910="应付分包款",资金流水!$X$910="应付机械运输费",资金流水!$X$910="应付其他款")),INT(资金流水!$B$910)*10000+905,"")</f>
      </c>
      <c r="CD906" s="2">
        <f>IF(($C$130&lt;&gt;"")*(应付登记!$D$910=$C$130)*ISNUMBER(应付登记!$J$910)*(应付登记!$J$910&gt;=_辅助!$J$4)*(应付登记!$J$910&lt;=_辅助!$J$2),1,0)</f>
        <v>0</v>
      </c>
    </row>
    <row r="907">
      <c r="BC907" s="2">
        <f>BC900+SUM(CD901:CD907)</f>
        <v>0</v>
      </c>
      <c r="BD907" s="2">
        <f>IF(AND($C$130&lt;&gt;"",资金流水!$J$911=$C$130,ISNUMBER(资金流水!$B$911),ISNUMBER(资金流水!$S$911),资金流水!$S$911&gt;=_辅助!$J$4,资金流水!$S$911&lt;=_辅助!$J$2,OR(资金流水!$X$911="应付材料款",资金流水!$X$911="应付分包款",资金流水!$X$911="应付机械运输费",资金流水!$X$911="应付其他款")),INT(资金流水!$B$911)*10000+906,"")</f>
      </c>
      <c r="CD907" s="2">
        <f>IF(($C$130&lt;&gt;"")*(应付登记!$D$911=$C$130)*ISNUMBER(应付登记!$J$911)*(应付登记!$J$911&gt;=_辅助!$J$4)*(应付登记!$J$911&lt;=_辅助!$J$2),1,0)</f>
        <v>0</v>
      </c>
    </row>
    <row r="908">
      <c r="BC908" s="2">
        <f>BC900+SUM(CD901:CD908)</f>
        <v>0</v>
      </c>
      <c r="BD908" s="2">
        <f>IF(AND($C$130&lt;&gt;"",资金流水!$J$912=$C$130,ISNUMBER(资金流水!$B$912),ISNUMBER(资金流水!$S$912),资金流水!$S$912&gt;=_辅助!$J$4,资金流水!$S$912&lt;=_辅助!$J$2,OR(资金流水!$X$912="应付材料款",资金流水!$X$912="应付分包款",资金流水!$X$912="应付机械运输费",资金流水!$X$912="应付其他款")),INT(资金流水!$B$912)*10000+907,"")</f>
      </c>
      <c r="CD908" s="2">
        <f>IF(($C$130&lt;&gt;"")*(应付登记!$D$912=$C$130)*ISNUMBER(应付登记!$J$912)*(应付登记!$J$912&gt;=_辅助!$J$4)*(应付登记!$J$912&lt;=_辅助!$J$2),1,0)</f>
        <v>0</v>
      </c>
    </row>
    <row r="909">
      <c r="BC909" s="2">
        <f>BC900+SUM(CD901:CD909)</f>
        <v>0</v>
      </c>
      <c r="BD909" s="2">
        <f>IF(AND($C$130&lt;&gt;"",资金流水!$J$913=$C$130,ISNUMBER(资金流水!$B$913),ISNUMBER(资金流水!$S$913),资金流水!$S$913&gt;=_辅助!$J$4,资金流水!$S$913&lt;=_辅助!$J$2,OR(资金流水!$X$913="应付材料款",资金流水!$X$913="应付分包款",资金流水!$X$913="应付机械运输费",资金流水!$X$913="应付其他款")),INT(资金流水!$B$913)*10000+908,"")</f>
      </c>
      <c r="CD909" s="2">
        <f>IF(($C$130&lt;&gt;"")*(应付登记!$D$913=$C$130)*ISNUMBER(应付登记!$J$913)*(应付登记!$J$913&gt;=_辅助!$J$4)*(应付登记!$J$913&lt;=_辅助!$J$2),1,0)</f>
        <v>0</v>
      </c>
    </row>
    <row r="910">
      <c r="BC910" s="2">
        <f>BC900+SUM(CD901:CD910)</f>
        <v>0</v>
      </c>
      <c r="BD910" s="2">
        <f>IF(AND($C$130&lt;&gt;"",资金流水!$J$914=$C$130,ISNUMBER(资金流水!$B$914),ISNUMBER(资金流水!$S$914),资金流水!$S$914&gt;=_辅助!$J$4,资金流水!$S$914&lt;=_辅助!$J$2,OR(资金流水!$X$914="应付材料款",资金流水!$X$914="应付分包款",资金流水!$X$914="应付机械运输费",资金流水!$X$914="应付其他款")),INT(资金流水!$B$914)*10000+909,"")</f>
      </c>
      <c r="CD910" s="2">
        <f>IF(($C$130&lt;&gt;"")*(应付登记!$D$914=$C$130)*ISNUMBER(应付登记!$J$914)*(应付登记!$J$914&gt;=_辅助!$J$4)*(应付登记!$J$914&lt;=_辅助!$J$2),1,0)</f>
        <v>0</v>
      </c>
    </row>
    <row r="911">
      <c r="BC911" s="2">
        <f>BC900+SUM(CD901:CD911)</f>
        <v>0</v>
      </c>
      <c r="BD911" s="2">
        <f>IF(AND($C$130&lt;&gt;"",资金流水!$J$915=$C$130,ISNUMBER(资金流水!$B$915),ISNUMBER(资金流水!$S$915),资金流水!$S$915&gt;=_辅助!$J$4,资金流水!$S$915&lt;=_辅助!$J$2,OR(资金流水!$X$915="应付材料款",资金流水!$X$915="应付分包款",资金流水!$X$915="应付机械运输费",资金流水!$X$915="应付其他款")),INT(资金流水!$B$915)*10000+910,"")</f>
      </c>
      <c r="CD911" s="2">
        <f>IF(($C$130&lt;&gt;"")*(应付登记!$D$915=$C$130)*ISNUMBER(应付登记!$J$915)*(应付登记!$J$915&gt;=_辅助!$J$4)*(应付登记!$J$915&lt;=_辅助!$J$2),1,0)</f>
        <v>0</v>
      </c>
    </row>
    <row r="912">
      <c r="BC912" s="2">
        <f>BC900+SUM(CD901:CD912)</f>
        <v>0</v>
      </c>
      <c r="BD912" s="2">
        <f>IF(AND($C$130&lt;&gt;"",资金流水!$J$916=$C$130,ISNUMBER(资金流水!$B$916),ISNUMBER(资金流水!$S$916),资金流水!$S$916&gt;=_辅助!$J$4,资金流水!$S$916&lt;=_辅助!$J$2,OR(资金流水!$X$916="应付材料款",资金流水!$X$916="应付分包款",资金流水!$X$916="应付机械运输费",资金流水!$X$916="应付其他款")),INT(资金流水!$B$916)*10000+911,"")</f>
      </c>
      <c r="CD912" s="2">
        <f>IF(($C$130&lt;&gt;"")*(应付登记!$D$916=$C$130)*ISNUMBER(应付登记!$J$916)*(应付登记!$J$916&gt;=_辅助!$J$4)*(应付登记!$J$916&lt;=_辅助!$J$2),1,0)</f>
        <v>0</v>
      </c>
    </row>
    <row r="913">
      <c r="BC913" s="2">
        <f>BC900+SUM(CD901:CD913)</f>
        <v>0</v>
      </c>
      <c r="BD913" s="2">
        <f>IF(AND($C$130&lt;&gt;"",资金流水!$J$917=$C$130,ISNUMBER(资金流水!$B$917),ISNUMBER(资金流水!$S$917),资金流水!$S$917&gt;=_辅助!$J$4,资金流水!$S$917&lt;=_辅助!$J$2,OR(资金流水!$X$917="应付材料款",资金流水!$X$917="应付分包款",资金流水!$X$917="应付机械运输费",资金流水!$X$917="应付其他款")),INT(资金流水!$B$917)*10000+912,"")</f>
      </c>
      <c r="CD913" s="2">
        <f>IF(($C$130&lt;&gt;"")*(应付登记!$D$917=$C$130)*ISNUMBER(应付登记!$J$917)*(应付登记!$J$917&gt;=_辅助!$J$4)*(应付登记!$J$917&lt;=_辅助!$J$2),1,0)</f>
        <v>0</v>
      </c>
    </row>
    <row r="914">
      <c r="BC914" s="2">
        <f>BC900+SUM(CD901:CD914)</f>
        <v>0</v>
      </c>
      <c r="BD914" s="2">
        <f>IF(AND($C$130&lt;&gt;"",资金流水!$J$918=$C$130,ISNUMBER(资金流水!$B$918),ISNUMBER(资金流水!$S$918),资金流水!$S$918&gt;=_辅助!$J$4,资金流水!$S$918&lt;=_辅助!$J$2,OR(资金流水!$X$918="应付材料款",资金流水!$X$918="应付分包款",资金流水!$X$918="应付机械运输费",资金流水!$X$918="应付其他款")),INT(资金流水!$B$918)*10000+913,"")</f>
      </c>
      <c r="CD914" s="2">
        <f>IF(($C$130&lt;&gt;"")*(应付登记!$D$918=$C$130)*ISNUMBER(应付登记!$J$918)*(应付登记!$J$918&gt;=_辅助!$J$4)*(应付登记!$J$918&lt;=_辅助!$J$2),1,0)</f>
        <v>0</v>
      </c>
    </row>
    <row r="915">
      <c r="BC915" s="2">
        <f>BC900+SUM(CD901:CD915)</f>
        <v>0</v>
      </c>
      <c r="BD915" s="2">
        <f>IF(AND($C$130&lt;&gt;"",资金流水!$J$919=$C$130,ISNUMBER(资金流水!$B$919),ISNUMBER(资金流水!$S$919),资金流水!$S$919&gt;=_辅助!$J$4,资金流水!$S$919&lt;=_辅助!$J$2,OR(资金流水!$X$919="应付材料款",资金流水!$X$919="应付分包款",资金流水!$X$919="应付机械运输费",资金流水!$X$919="应付其他款")),INT(资金流水!$B$919)*10000+914,"")</f>
      </c>
      <c r="CD915" s="2">
        <f>IF(($C$130&lt;&gt;"")*(应付登记!$D$919=$C$130)*ISNUMBER(应付登记!$J$919)*(应付登记!$J$919&gt;=_辅助!$J$4)*(应付登记!$J$919&lt;=_辅助!$J$2),1,0)</f>
        <v>0</v>
      </c>
    </row>
    <row r="916">
      <c r="BC916" s="2">
        <f>BC900+SUM(CD901:CD916)</f>
        <v>0</v>
      </c>
      <c r="BD916" s="2">
        <f>IF(AND($C$130&lt;&gt;"",资金流水!$J$920=$C$130,ISNUMBER(资金流水!$B$920),ISNUMBER(资金流水!$S$920),资金流水!$S$920&gt;=_辅助!$J$4,资金流水!$S$920&lt;=_辅助!$J$2,OR(资金流水!$X$920="应付材料款",资金流水!$X$920="应付分包款",资金流水!$X$920="应付机械运输费",资金流水!$X$920="应付其他款")),INT(资金流水!$B$920)*10000+915,"")</f>
      </c>
      <c r="CD916" s="2">
        <f>IF(($C$130&lt;&gt;"")*(应付登记!$D$920=$C$130)*ISNUMBER(应付登记!$J$920)*(应付登记!$J$920&gt;=_辅助!$J$4)*(应付登记!$J$920&lt;=_辅助!$J$2),1,0)</f>
        <v>0</v>
      </c>
    </row>
    <row r="917">
      <c r="BC917" s="2">
        <f>BC900+SUM(CD901:CD917)</f>
        <v>0</v>
      </c>
      <c r="BD917" s="2">
        <f>IF(AND($C$130&lt;&gt;"",资金流水!$J$921=$C$130,ISNUMBER(资金流水!$B$921),ISNUMBER(资金流水!$S$921),资金流水!$S$921&gt;=_辅助!$J$4,资金流水!$S$921&lt;=_辅助!$J$2,OR(资金流水!$X$921="应付材料款",资金流水!$X$921="应付分包款",资金流水!$X$921="应付机械运输费",资金流水!$X$921="应付其他款")),INT(资金流水!$B$921)*10000+916,"")</f>
      </c>
      <c r="CD917" s="2">
        <f>IF(($C$130&lt;&gt;"")*(应付登记!$D$921=$C$130)*ISNUMBER(应付登记!$J$921)*(应付登记!$J$921&gt;=_辅助!$J$4)*(应付登记!$J$921&lt;=_辅助!$J$2),1,0)</f>
        <v>0</v>
      </c>
    </row>
    <row r="918">
      <c r="BC918" s="2">
        <f>BC900+SUM(CD901:CD918)</f>
        <v>0</v>
      </c>
      <c r="BD918" s="2">
        <f>IF(AND($C$130&lt;&gt;"",资金流水!$J$922=$C$130,ISNUMBER(资金流水!$B$922),ISNUMBER(资金流水!$S$922),资金流水!$S$922&gt;=_辅助!$J$4,资金流水!$S$922&lt;=_辅助!$J$2,OR(资金流水!$X$922="应付材料款",资金流水!$X$922="应付分包款",资金流水!$X$922="应付机械运输费",资金流水!$X$922="应付其他款")),INT(资金流水!$B$922)*10000+917,"")</f>
      </c>
      <c r="CD918" s="2">
        <f>IF(($C$130&lt;&gt;"")*(应付登记!$D$922=$C$130)*ISNUMBER(应付登记!$J$922)*(应付登记!$J$922&gt;=_辅助!$J$4)*(应付登记!$J$922&lt;=_辅助!$J$2),1,0)</f>
        <v>0</v>
      </c>
    </row>
    <row r="919">
      <c r="BC919" s="2">
        <f>BC900+SUM(CD901:CD919)</f>
        <v>0</v>
      </c>
      <c r="BD919" s="2">
        <f>IF(AND($C$130&lt;&gt;"",资金流水!$J$923=$C$130,ISNUMBER(资金流水!$B$923),ISNUMBER(资金流水!$S$923),资金流水!$S$923&gt;=_辅助!$J$4,资金流水!$S$923&lt;=_辅助!$J$2,OR(资金流水!$X$923="应付材料款",资金流水!$X$923="应付分包款",资金流水!$X$923="应付机械运输费",资金流水!$X$923="应付其他款")),INT(资金流水!$B$923)*10000+918,"")</f>
      </c>
      <c r="CD919" s="2">
        <f>IF(($C$130&lt;&gt;"")*(应付登记!$D$923=$C$130)*ISNUMBER(应付登记!$J$923)*(应付登记!$J$923&gt;=_辅助!$J$4)*(应付登记!$J$923&lt;=_辅助!$J$2),1,0)</f>
        <v>0</v>
      </c>
    </row>
    <row r="920">
      <c r="BC920" s="2">
        <f>BC900+SUM(CD901:CD920)</f>
        <v>0</v>
      </c>
      <c r="BD920" s="2">
        <f>IF(AND($C$130&lt;&gt;"",资金流水!$J$924=$C$130,ISNUMBER(资金流水!$B$924),ISNUMBER(资金流水!$S$924),资金流水!$S$924&gt;=_辅助!$J$4,资金流水!$S$924&lt;=_辅助!$J$2,OR(资金流水!$X$924="应付材料款",资金流水!$X$924="应付分包款",资金流水!$X$924="应付机械运输费",资金流水!$X$924="应付其他款")),INT(资金流水!$B$924)*10000+919,"")</f>
      </c>
      <c r="CD920" s="2">
        <f>IF(($C$130&lt;&gt;"")*(应付登记!$D$924=$C$130)*ISNUMBER(应付登记!$J$924)*(应付登记!$J$924&gt;=_辅助!$J$4)*(应付登记!$J$924&lt;=_辅助!$J$2),1,0)</f>
        <v>0</v>
      </c>
    </row>
    <row r="921">
      <c r="BC921" s="2">
        <f>BC900+SUM(CD901:CD921)</f>
        <v>0</v>
      </c>
      <c r="BD921" s="2">
        <f>IF(AND($C$130&lt;&gt;"",资金流水!$J$925=$C$130,ISNUMBER(资金流水!$B$925),ISNUMBER(资金流水!$S$925),资金流水!$S$925&gt;=_辅助!$J$4,资金流水!$S$925&lt;=_辅助!$J$2,OR(资金流水!$X$925="应付材料款",资金流水!$X$925="应付分包款",资金流水!$X$925="应付机械运输费",资金流水!$X$925="应付其他款")),INT(资金流水!$B$925)*10000+920,"")</f>
      </c>
      <c r="CD921" s="2">
        <f>IF(($C$130&lt;&gt;"")*(应付登记!$D$925=$C$130)*ISNUMBER(应付登记!$J$925)*(应付登记!$J$925&gt;=_辅助!$J$4)*(应付登记!$J$925&lt;=_辅助!$J$2),1,0)</f>
        <v>0</v>
      </c>
    </row>
    <row r="922">
      <c r="BC922" s="2">
        <f>BC900+SUM(CD901:CD922)</f>
        <v>0</v>
      </c>
      <c r="BD922" s="2">
        <f>IF(AND($C$130&lt;&gt;"",资金流水!$J$926=$C$130,ISNUMBER(资金流水!$B$926),ISNUMBER(资金流水!$S$926),资金流水!$S$926&gt;=_辅助!$J$4,资金流水!$S$926&lt;=_辅助!$J$2,OR(资金流水!$X$926="应付材料款",资金流水!$X$926="应付分包款",资金流水!$X$926="应付机械运输费",资金流水!$X$926="应付其他款")),INT(资金流水!$B$926)*10000+921,"")</f>
      </c>
      <c r="CD922" s="2">
        <f>IF(($C$130&lt;&gt;"")*(应付登记!$D$926=$C$130)*ISNUMBER(应付登记!$J$926)*(应付登记!$J$926&gt;=_辅助!$J$4)*(应付登记!$J$926&lt;=_辅助!$J$2),1,0)</f>
        <v>0</v>
      </c>
    </row>
    <row r="923">
      <c r="BC923" s="2">
        <f>BC900+SUM(CD901:CD923)</f>
        <v>0</v>
      </c>
      <c r="BD923" s="2">
        <f>IF(AND($C$130&lt;&gt;"",资金流水!$J$927=$C$130,ISNUMBER(资金流水!$B$927),ISNUMBER(资金流水!$S$927),资金流水!$S$927&gt;=_辅助!$J$4,资金流水!$S$927&lt;=_辅助!$J$2,OR(资金流水!$X$927="应付材料款",资金流水!$X$927="应付分包款",资金流水!$X$927="应付机械运输费",资金流水!$X$927="应付其他款")),INT(资金流水!$B$927)*10000+922,"")</f>
      </c>
      <c r="CD923" s="2">
        <f>IF(($C$130&lt;&gt;"")*(应付登记!$D$927=$C$130)*ISNUMBER(应付登记!$J$927)*(应付登记!$J$927&gt;=_辅助!$J$4)*(应付登记!$J$927&lt;=_辅助!$J$2),1,0)</f>
        <v>0</v>
      </c>
    </row>
    <row r="924">
      <c r="BC924" s="2">
        <f>BC900+SUM(CD901:CD924)</f>
        <v>0</v>
      </c>
      <c r="BD924" s="2">
        <f>IF(AND($C$130&lt;&gt;"",资金流水!$J$928=$C$130,ISNUMBER(资金流水!$B$928),ISNUMBER(资金流水!$S$928),资金流水!$S$928&gt;=_辅助!$J$4,资金流水!$S$928&lt;=_辅助!$J$2,OR(资金流水!$X$928="应付材料款",资金流水!$X$928="应付分包款",资金流水!$X$928="应付机械运输费",资金流水!$X$928="应付其他款")),INT(资金流水!$B$928)*10000+923,"")</f>
      </c>
      <c r="CD924" s="2">
        <f>IF(($C$130&lt;&gt;"")*(应付登记!$D$928=$C$130)*ISNUMBER(应付登记!$J$928)*(应付登记!$J$928&gt;=_辅助!$J$4)*(应付登记!$J$928&lt;=_辅助!$J$2),1,0)</f>
        <v>0</v>
      </c>
    </row>
    <row r="925">
      <c r="BC925" s="2">
        <f>BC900+SUM(CD901:CD925)</f>
        <v>0</v>
      </c>
      <c r="BD925" s="2">
        <f>IF(AND($C$130&lt;&gt;"",资金流水!$J$929=$C$130,ISNUMBER(资金流水!$B$929),ISNUMBER(资金流水!$S$929),资金流水!$S$929&gt;=_辅助!$J$4,资金流水!$S$929&lt;=_辅助!$J$2,OR(资金流水!$X$929="应付材料款",资金流水!$X$929="应付分包款",资金流水!$X$929="应付机械运输费",资金流水!$X$929="应付其他款")),INT(资金流水!$B$929)*10000+924,"")</f>
      </c>
      <c r="CD925" s="2">
        <f>IF(($C$130&lt;&gt;"")*(应付登记!$D$929=$C$130)*ISNUMBER(应付登记!$J$929)*(应付登记!$J$929&gt;=_辅助!$J$4)*(应付登记!$J$929&lt;=_辅助!$J$2),1,0)</f>
        <v>0</v>
      </c>
    </row>
    <row r="926">
      <c r="BC926" s="2">
        <f>BC900+SUM(CD901:CD926)</f>
        <v>0</v>
      </c>
      <c r="BD926" s="2">
        <f>IF(AND($C$130&lt;&gt;"",资金流水!$J$930=$C$130,ISNUMBER(资金流水!$B$930),ISNUMBER(资金流水!$S$930),资金流水!$S$930&gt;=_辅助!$J$4,资金流水!$S$930&lt;=_辅助!$J$2,OR(资金流水!$X$930="应付材料款",资金流水!$X$930="应付分包款",资金流水!$X$930="应付机械运输费",资金流水!$X$930="应付其他款")),INT(资金流水!$B$930)*10000+925,"")</f>
      </c>
      <c r="CD926" s="2">
        <f>IF(($C$130&lt;&gt;"")*(应付登记!$D$930=$C$130)*ISNUMBER(应付登记!$J$930)*(应付登记!$J$930&gt;=_辅助!$J$4)*(应付登记!$J$930&lt;=_辅助!$J$2),1,0)</f>
        <v>0</v>
      </c>
    </row>
    <row r="927">
      <c r="BC927" s="2">
        <f>BC900+SUM(CD901:CD927)</f>
        <v>0</v>
      </c>
      <c r="BD927" s="2">
        <f>IF(AND($C$130&lt;&gt;"",资金流水!$J$931=$C$130,ISNUMBER(资金流水!$B$931),ISNUMBER(资金流水!$S$931),资金流水!$S$931&gt;=_辅助!$J$4,资金流水!$S$931&lt;=_辅助!$J$2,OR(资金流水!$X$931="应付材料款",资金流水!$X$931="应付分包款",资金流水!$X$931="应付机械运输费",资金流水!$X$931="应付其他款")),INT(资金流水!$B$931)*10000+926,"")</f>
      </c>
      <c r="CD927" s="2">
        <f>IF(($C$130&lt;&gt;"")*(应付登记!$D$931=$C$130)*ISNUMBER(应付登记!$J$931)*(应付登记!$J$931&gt;=_辅助!$J$4)*(应付登记!$J$931&lt;=_辅助!$J$2),1,0)</f>
        <v>0</v>
      </c>
    </row>
    <row r="928">
      <c r="BC928" s="2">
        <f>BC900+SUM(CD901:CD928)</f>
        <v>0</v>
      </c>
      <c r="BD928" s="2">
        <f>IF(AND($C$130&lt;&gt;"",资金流水!$J$932=$C$130,ISNUMBER(资金流水!$B$932),ISNUMBER(资金流水!$S$932),资金流水!$S$932&gt;=_辅助!$J$4,资金流水!$S$932&lt;=_辅助!$J$2,OR(资金流水!$X$932="应付材料款",资金流水!$X$932="应付分包款",资金流水!$X$932="应付机械运输费",资金流水!$X$932="应付其他款")),INT(资金流水!$B$932)*10000+927,"")</f>
      </c>
      <c r="CD928" s="2">
        <f>IF(($C$130&lt;&gt;"")*(应付登记!$D$932=$C$130)*ISNUMBER(应付登记!$J$932)*(应付登记!$J$932&gt;=_辅助!$J$4)*(应付登记!$J$932&lt;=_辅助!$J$2),1,0)</f>
        <v>0</v>
      </c>
    </row>
    <row r="929">
      <c r="BC929" s="2">
        <f>BC900+SUM(CD901:CD929)</f>
        <v>0</v>
      </c>
      <c r="BD929" s="2">
        <f>IF(AND($C$130&lt;&gt;"",资金流水!$J$933=$C$130,ISNUMBER(资金流水!$B$933),ISNUMBER(资金流水!$S$933),资金流水!$S$933&gt;=_辅助!$J$4,资金流水!$S$933&lt;=_辅助!$J$2,OR(资金流水!$X$933="应付材料款",资金流水!$X$933="应付分包款",资金流水!$X$933="应付机械运输费",资金流水!$X$933="应付其他款")),INT(资金流水!$B$933)*10000+928,"")</f>
      </c>
      <c r="CD929" s="2">
        <f>IF(($C$130&lt;&gt;"")*(应付登记!$D$933=$C$130)*ISNUMBER(应付登记!$J$933)*(应付登记!$J$933&gt;=_辅助!$J$4)*(应付登记!$J$933&lt;=_辅助!$J$2),1,0)</f>
        <v>0</v>
      </c>
    </row>
    <row r="930">
      <c r="BC930" s="2">
        <f>BC900+SUM(CD901:CD930)</f>
        <v>0</v>
      </c>
      <c r="BD930" s="2">
        <f>IF(AND($C$130&lt;&gt;"",资金流水!$J$934=$C$130,ISNUMBER(资金流水!$B$934),ISNUMBER(资金流水!$S$934),资金流水!$S$934&gt;=_辅助!$J$4,资金流水!$S$934&lt;=_辅助!$J$2,OR(资金流水!$X$934="应付材料款",资金流水!$X$934="应付分包款",资金流水!$X$934="应付机械运输费",资金流水!$X$934="应付其他款")),INT(资金流水!$B$934)*10000+929,"")</f>
      </c>
      <c r="CD930" s="2">
        <f>IF(($C$130&lt;&gt;"")*(应付登记!$D$934=$C$130)*ISNUMBER(应付登记!$J$934)*(应付登记!$J$934&gt;=_辅助!$J$4)*(应付登记!$J$934&lt;=_辅助!$J$2),1,0)</f>
        <v>0</v>
      </c>
    </row>
    <row r="931">
      <c r="BC931" s="2">
        <f>BC900+SUM(CD901:CD931)</f>
        <v>0</v>
      </c>
      <c r="BD931" s="2">
        <f>IF(AND($C$130&lt;&gt;"",资金流水!$J$935=$C$130,ISNUMBER(资金流水!$B$935),ISNUMBER(资金流水!$S$935),资金流水!$S$935&gt;=_辅助!$J$4,资金流水!$S$935&lt;=_辅助!$J$2,OR(资金流水!$X$935="应付材料款",资金流水!$X$935="应付分包款",资金流水!$X$935="应付机械运输费",资金流水!$X$935="应付其他款")),INT(资金流水!$B$935)*10000+930,"")</f>
      </c>
      <c r="CD931" s="2">
        <f>IF(($C$130&lt;&gt;"")*(应付登记!$D$935=$C$130)*ISNUMBER(应付登记!$J$935)*(应付登记!$J$935&gt;=_辅助!$J$4)*(应付登记!$J$935&lt;=_辅助!$J$2),1,0)</f>
        <v>0</v>
      </c>
    </row>
    <row r="932">
      <c r="BC932" s="2">
        <f>BC900+SUM(CD901:CD932)</f>
        <v>0</v>
      </c>
      <c r="BD932" s="2">
        <f>IF(AND($C$130&lt;&gt;"",资金流水!$J$936=$C$130,ISNUMBER(资金流水!$B$936),ISNUMBER(资金流水!$S$936),资金流水!$S$936&gt;=_辅助!$J$4,资金流水!$S$936&lt;=_辅助!$J$2,OR(资金流水!$X$936="应付材料款",资金流水!$X$936="应付分包款",资金流水!$X$936="应付机械运输费",资金流水!$X$936="应付其他款")),INT(资金流水!$B$936)*10000+931,"")</f>
      </c>
      <c r="CD932" s="2">
        <f>IF(($C$130&lt;&gt;"")*(应付登记!$D$936=$C$130)*ISNUMBER(应付登记!$J$936)*(应付登记!$J$936&gt;=_辅助!$J$4)*(应付登记!$J$936&lt;=_辅助!$J$2),1,0)</f>
        <v>0</v>
      </c>
    </row>
    <row r="933">
      <c r="BC933" s="2">
        <f>BC900+SUM(CD901:CD933)</f>
        <v>0</v>
      </c>
      <c r="BD933" s="2">
        <f>IF(AND($C$130&lt;&gt;"",资金流水!$J$937=$C$130,ISNUMBER(资金流水!$B$937),ISNUMBER(资金流水!$S$937),资金流水!$S$937&gt;=_辅助!$J$4,资金流水!$S$937&lt;=_辅助!$J$2,OR(资金流水!$X$937="应付材料款",资金流水!$X$937="应付分包款",资金流水!$X$937="应付机械运输费",资金流水!$X$937="应付其他款")),INT(资金流水!$B$937)*10000+932,"")</f>
      </c>
      <c r="CD933" s="2">
        <f>IF(($C$130&lt;&gt;"")*(应付登记!$D$937=$C$130)*ISNUMBER(应付登记!$J$937)*(应付登记!$J$937&gt;=_辅助!$J$4)*(应付登记!$J$937&lt;=_辅助!$J$2),1,0)</f>
        <v>0</v>
      </c>
    </row>
    <row r="934">
      <c r="BC934" s="2">
        <f>BC900+SUM(CD901:CD934)</f>
        <v>0</v>
      </c>
      <c r="BD934" s="2">
        <f>IF(AND($C$130&lt;&gt;"",资金流水!$J$938=$C$130,ISNUMBER(资金流水!$B$938),ISNUMBER(资金流水!$S$938),资金流水!$S$938&gt;=_辅助!$J$4,资金流水!$S$938&lt;=_辅助!$J$2,OR(资金流水!$X$938="应付材料款",资金流水!$X$938="应付分包款",资金流水!$X$938="应付机械运输费",资金流水!$X$938="应付其他款")),INT(资金流水!$B$938)*10000+933,"")</f>
      </c>
      <c r="CD934" s="2">
        <f>IF(($C$130&lt;&gt;"")*(应付登记!$D$938=$C$130)*ISNUMBER(应付登记!$J$938)*(应付登记!$J$938&gt;=_辅助!$J$4)*(应付登记!$J$938&lt;=_辅助!$J$2),1,0)</f>
        <v>0</v>
      </c>
    </row>
    <row r="935">
      <c r="BC935" s="2">
        <f>BC900+SUM(CD901:CD935)</f>
        <v>0</v>
      </c>
      <c r="BD935" s="2">
        <f>IF(AND($C$130&lt;&gt;"",资金流水!$J$939=$C$130,ISNUMBER(资金流水!$B$939),ISNUMBER(资金流水!$S$939),资金流水!$S$939&gt;=_辅助!$J$4,资金流水!$S$939&lt;=_辅助!$J$2,OR(资金流水!$X$939="应付材料款",资金流水!$X$939="应付分包款",资金流水!$X$939="应付机械运输费",资金流水!$X$939="应付其他款")),INT(资金流水!$B$939)*10000+934,"")</f>
      </c>
      <c r="CD935" s="2">
        <f>IF(($C$130&lt;&gt;"")*(应付登记!$D$939=$C$130)*ISNUMBER(应付登记!$J$939)*(应付登记!$J$939&gt;=_辅助!$J$4)*(应付登记!$J$939&lt;=_辅助!$J$2),1,0)</f>
        <v>0</v>
      </c>
    </row>
    <row r="936">
      <c r="BC936" s="2">
        <f>BC900+SUM(CD901:CD936)</f>
        <v>0</v>
      </c>
      <c r="BD936" s="2">
        <f>IF(AND($C$130&lt;&gt;"",资金流水!$J$940=$C$130,ISNUMBER(资金流水!$B$940),ISNUMBER(资金流水!$S$940),资金流水!$S$940&gt;=_辅助!$J$4,资金流水!$S$940&lt;=_辅助!$J$2,OR(资金流水!$X$940="应付材料款",资金流水!$X$940="应付分包款",资金流水!$X$940="应付机械运输费",资金流水!$X$940="应付其他款")),INT(资金流水!$B$940)*10000+935,"")</f>
      </c>
      <c r="CD936" s="2">
        <f>IF(($C$130&lt;&gt;"")*(应付登记!$D$940=$C$130)*ISNUMBER(应付登记!$J$940)*(应付登记!$J$940&gt;=_辅助!$J$4)*(应付登记!$J$940&lt;=_辅助!$J$2),1,0)</f>
        <v>0</v>
      </c>
    </row>
    <row r="937">
      <c r="BC937" s="2">
        <f>BC900+SUM(CD901:CD937)</f>
        <v>0</v>
      </c>
      <c r="BD937" s="2">
        <f>IF(AND($C$130&lt;&gt;"",资金流水!$J$941=$C$130,ISNUMBER(资金流水!$B$941),ISNUMBER(资金流水!$S$941),资金流水!$S$941&gt;=_辅助!$J$4,资金流水!$S$941&lt;=_辅助!$J$2,OR(资金流水!$X$941="应付材料款",资金流水!$X$941="应付分包款",资金流水!$X$941="应付机械运输费",资金流水!$X$941="应付其他款")),INT(资金流水!$B$941)*10000+936,"")</f>
      </c>
      <c r="CD937" s="2">
        <f>IF(($C$130&lt;&gt;"")*(应付登记!$D$941=$C$130)*ISNUMBER(应付登记!$J$941)*(应付登记!$J$941&gt;=_辅助!$J$4)*(应付登记!$J$941&lt;=_辅助!$J$2),1,0)</f>
        <v>0</v>
      </c>
    </row>
    <row r="938">
      <c r="BC938" s="2">
        <f>BC900+SUM(CD901:CD938)</f>
        <v>0</v>
      </c>
      <c r="BD938" s="2">
        <f>IF(AND($C$130&lt;&gt;"",资金流水!$J$942=$C$130,ISNUMBER(资金流水!$B$942),ISNUMBER(资金流水!$S$942),资金流水!$S$942&gt;=_辅助!$J$4,资金流水!$S$942&lt;=_辅助!$J$2,OR(资金流水!$X$942="应付材料款",资金流水!$X$942="应付分包款",资金流水!$X$942="应付机械运输费",资金流水!$X$942="应付其他款")),INT(资金流水!$B$942)*10000+937,"")</f>
      </c>
      <c r="CD938" s="2">
        <f>IF(($C$130&lt;&gt;"")*(应付登记!$D$942=$C$130)*ISNUMBER(应付登记!$J$942)*(应付登记!$J$942&gt;=_辅助!$J$4)*(应付登记!$J$942&lt;=_辅助!$J$2),1,0)</f>
        <v>0</v>
      </c>
    </row>
    <row r="939">
      <c r="BC939" s="2">
        <f>BC900+SUM(CD901:CD939)</f>
        <v>0</v>
      </c>
      <c r="BD939" s="2">
        <f>IF(AND($C$130&lt;&gt;"",资金流水!$J$943=$C$130,ISNUMBER(资金流水!$B$943),ISNUMBER(资金流水!$S$943),资金流水!$S$943&gt;=_辅助!$J$4,资金流水!$S$943&lt;=_辅助!$J$2,OR(资金流水!$X$943="应付材料款",资金流水!$X$943="应付分包款",资金流水!$X$943="应付机械运输费",资金流水!$X$943="应付其他款")),INT(资金流水!$B$943)*10000+938,"")</f>
      </c>
      <c r="CD939" s="2">
        <f>IF(($C$130&lt;&gt;"")*(应付登记!$D$943=$C$130)*ISNUMBER(应付登记!$J$943)*(应付登记!$J$943&gt;=_辅助!$J$4)*(应付登记!$J$943&lt;=_辅助!$J$2),1,0)</f>
        <v>0</v>
      </c>
    </row>
    <row r="940">
      <c r="BC940" s="2">
        <f>BC900+SUM(CD901:CD940)</f>
        <v>0</v>
      </c>
      <c r="BD940" s="2">
        <f>IF(AND($C$130&lt;&gt;"",资金流水!$J$944=$C$130,ISNUMBER(资金流水!$B$944),ISNUMBER(资金流水!$S$944),资金流水!$S$944&gt;=_辅助!$J$4,资金流水!$S$944&lt;=_辅助!$J$2,OR(资金流水!$X$944="应付材料款",资金流水!$X$944="应付分包款",资金流水!$X$944="应付机械运输费",资金流水!$X$944="应付其他款")),INT(资金流水!$B$944)*10000+939,"")</f>
      </c>
      <c r="CD940" s="2">
        <f>IF(($C$130&lt;&gt;"")*(应付登记!$D$944=$C$130)*ISNUMBER(应付登记!$J$944)*(应付登记!$J$944&gt;=_辅助!$J$4)*(应付登记!$J$944&lt;=_辅助!$J$2),1,0)</f>
        <v>0</v>
      </c>
    </row>
    <row r="941">
      <c r="BC941" s="2">
        <f>BC900+SUM(CD901:CD941)</f>
        <v>0</v>
      </c>
      <c r="BD941" s="2">
        <f>IF(AND($C$130&lt;&gt;"",资金流水!$J$945=$C$130,ISNUMBER(资金流水!$B$945),ISNUMBER(资金流水!$S$945),资金流水!$S$945&gt;=_辅助!$J$4,资金流水!$S$945&lt;=_辅助!$J$2,OR(资金流水!$X$945="应付材料款",资金流水!$X$945="应付分包款",资金流水!$X$945="应付机械运输费",资金流水!$X$945="应付其他款")),INT(资金流水!$B$945)*10000+940,"")</f>
      </c>
      <c r="CD941" s="2">
        <f>IF(($C$130&lt;&gt;"")*(应付登记!$D$945=$C$130)*ISNUMBER(应付登记!$J$945)*(应付登记!$J$945&gt;=_辅助!$J$4)*(应付登记!$J$945&lt;=_辅助!$J$2),1,0)</f>
        <v>0</v>
      </c>
    </row>
    <row r="942">
      <c r="BC942" s="2">
        <f>BC900+SUM(CD901:CD942)</f>
        <v>0</v>
      </c>
      <c r="BD942" s="2">
        <f>IF(AND($C$130&lt;&gt;"",资金流水!$J$946=$C$130,ISNUMBER(资金流水!$B$946),ISNUMBER(资金流水!$S$946),资金流水!$S$946&gt;=_辅助!$J$4,资金流水!$S$946&lt;=_辅助!$J$2,OR(资金流水!$X$946="应付材料款",资金流水!$X$946="应付分包款",资金流水!$X$946="应付机械运输费",资金流水!$X$946="应付其他款")),INT(资金流水!$B$946)*10000+941,"")</f>
      </c>
      <c r="CD942" s="2">
        <f>IF(($C$130&lt;&gt;"")*(应付登记!$D$946=$C$130)*ISNUMBER(应付登记!$J$946)*(应付登记!$J$946&gt;=_辅助!$J$4)*(应付登记!$J$946&lt;=_辅助!$J$2),1,0)</f>
        <v>0</v>
      </c>
    </row>
    <row r="943">
      <c r="BC943" s="2">
        <f>BC900+SUM(CD901:CD943)</f>
        <v>0</v>
      </c>
      <c r="BD943" s="2">
        <f>IF(AND($C$130&lt;&gt;"",资金流水!$J$947=$C$130,ISNUMBER(资金流水!$B$947),ISNUMBER(资金流水!$S$947),资金流水!$S$947&gt;=_辅助!$J$4,资金流水!$S$947&lt;=_辅助!$J$2,OR(资金流水!$X$947="应付材料款",资金流水!$X$947="应付分包款",资金流水!$X$947="应付机械运输费",资金流水!$X$947="应付其他款")),INT(资金流水!$B$947)*10000+942,"")</f>
      </c>
      <c r="CD943" s="2">
        <f>IF(($C$130&lt;&gt;"")*(应付登记!$D$947=$C$130)*ISNUMBER(应付登记!$J$947)*(应付登记!$J$947&gt;=_辅助!$J$4)*(应付登记!$J$947&lt;=_辅助!$J$2),1,0)</f>
        <v>0</v>
      </c>
    </row>
    <row r="944">
      <c r="BC944" s="2">
        <f>BC900+SUM(CD901:CD944)</f>
        <v>0</v>
      </c>
      <c r="BD944" s="2">
        <f>IF(AND($C$130&lt;&gt;"",资金流水!$J$948=$C$130,ISNUMBER(资金流水!$B$948),ISNUMBER(资金流水!$S$948),资金流水!$S$948&gt;=_辅助!$J$4,资金流水!$S$948&lt;=_辅助!$J$2,OR(资金流水!$X$948="应付材料款",资金流水!$X$948="应付分包款",资金流水!$X$948="应付机械运输费",资金流水!$X$948="应付其他款")),INT(资金流水!$B$948)*10000+943,"")</f>
      </c>
      <c r="CD944" s="2">
        <f>IF(($C$130&lt;&gt;"")*(应付登记!$D$948=$C$130)*ISNUMBER(应付登记!$J$948)*(应付登记!$J$948&gt;=_辅助!$J$4)*(应付登记!$J$948&lt;=_辅助!$J$2),1,0)</f>
        <v>0</v>
      </c>
    </row>
    <row r="945">
      <c r="BC945" s="2">
        <f>BC900+SUM(CD901:CD945)</f>
        <v>0</v>
      </c>
      <c r="BD945" s="2">
        <f>IF(AND($C$130&lt;&gt;"",资金流水!$J$949=$C$130,ISNUMBER(资金流水!$B$949),ISNUMBER(资金流水!$S$949),资金流水!$S$949&gt;=_辅助!$J$4,资金流水!$S$949&lt;=_辅助!$J$2,OR(资金流水!$X$949="应付材料款",资金流水!$X$949="应付分包款",资金流水!$X$949="应付机械运输费",资金流水!$X$949="应付其他款")),INT(资金流水!$B$949)*10000+944,"")</f>
      </c>
      <c r="CD945" s="2">
        <f>IF(($C$130&lt;&gt;"")*(应付登记!$D$949=$C$130)*ISNUMBER(应付登记!$J$949)*(应付登记!$J$949&gt;=_辅助!$J$4)*(应付登记!$J$949&lt;=_辅助!$J$2),1,0)</f>
        <v>0</v>
      </c>
    </row>
    <row r="946">
      <c r="BC946" s="2">
        <f>BC900+SUM(CD901:CD946)</f>
        <v>0</v>
      </c>
      <c r="BD946" s="2">
        <f>IF(AND($C$130&lt;&gt;"",资金流水!$J$950=$C$130,ISNUMBER(资金流水!$B$950),ISNUMBER(资金流水!$S$950),资金流水!$S$950&gt;=_辅助!$J$4,资金流水!$S$950&lt;=_辅助!$J$2,OR(资金流水!$X$950="应付材料款",资金流水!$X$950="应付分包款",资金流水!$X$950="应付机械运输费",资金流水!$X$950="应付其他款")),INT(资金流水!$B$950)*10000+945,"")</f>
      </c>
      <c r="CD946" s="2">
        <f>IF(($C$130&lt;&gt;"")*(应付登记!$D$950=$C$130)*ISNUMBER(应付登记!$J$950)*(应付登记!$J$950&gt;=_辅助!$J$4)*(应付登记!$J$950&lt;=_辅助!$J$2),1,0)</f>
        <v>0</v>
      </c>
    </row>
    <row r="947">
      <c r="BC947" s="2">
        <f>BC900+SUM(CD901:CD947)</f>
        <v>0</v>
      </c>
      <c r="BD947" s="2">
        <f>IF(AND($C$130&lt;&gt;"",资金流水!$J$951=$C$130,ISNUMBER(资金流水!$B$951),ISNUMBER(资金流水!$S$951),资金流水!$S$951&gt;=_辅助!$J$4,资金流水!$S$951&lt;=_辅助!$J$2,OR(资金流水!$X$951="应付材料款",资金流水!$X$951="应付分包款",资金流水!$X$951="应付机械运输费",资金流水!$X$951="应付其他款")),INT(资金流水!$B$951)*10000+946,"")</f>
      </c>
      <c r="CD947" s="2">
        <f>IF(($C$130&lt;&gt;"")*(应付登记!$D$951=$C$130)*ISNUMBER(应付登记!$J$951)*(应付登记!$J$951&gt;=_辅助!$J$4)*(应付登记!$J$951&lt;=_辅助!$J$2),1,0)</f>
        <v>0</v>
      </c>
    </row>
    <row r="948">
      <c r="BC948" s="2">
        <f>BC900+SUM(CD901:CD948)</f>
        <v>0</v>
      </c>
      <c r="BD948" s="2">
        <f>IF(AND($C$130&lt;&gt;"",资金流水!$J$952=$C$130,ISNUMBER(资金流水!$B$952),ISNUMBER(资金流水!$S$952),资金流水!$S$952&gt;=_辅助!$J$4,资金流水!$S$952&lt;=_辅助!$J$2,OR(资金流水!$X$952="应付材料款",资金流水!$X$952="应付分包款",资金流水!$X$952="应付机械运输费",资金流水!$X$952="应付其他款")),INT(资金流水!$B$952)*10000+947,"")</f>
      </c>
      <c r="CD948" s="2">
        <f>IF(($C$130&lt;&gt;"")*(应付登记!$D$952=$C$130)*ISNUMBER(应付登记!$J$952)*(应付登记!$J$952&gt;=_辅助!$J$4)*(应付登记!$J$952&lt;=_辅助!$J$2),1,0)</f>
        <v>0</v>
      </c>
    </row>
    <row r="949">
      <c r="BC949" s="2">
        <f>BC900+SUM(CD901:CD949)</f>
        <v>0</v>
      </c>
      <c r="BD949" s="2">
        <f>IF(AND($C$130&lt;&gt;"",资金流水!$J$953=$C$130,ISNUMBER(资金流水!$B$953),ISNUMBER(资金流水!$S$953),资金流水!$S$953&gt;=_辅助!$J$4,资金流水!$S$953&lt;=_辅助!$J$2,OR(资金流水!$X$953="应付材料款",资金流水!$X$953="应付分包款",资金流水!$X$953="应付机械运输费",资金流水!$X$953="应付其他款")),INT(资金流水!$B$953)*10000+948,"")</f>
      </c>
      <c r="CD949" s="2">
        <f>IF(($C$130&lt;&gt;"")*(应付登记!$D$953=$C$130)*ISNUMBER(应付登记!$J$953)*(应付登记!$J$953&gt;=_辅助!$J$4)*(应付登记!$J$953&lt;=_辅助!$J$2),1,0)</f>
        <v>0</v>
      </c>
    </row>
    <row r="950">
      <c r="BC950" s="2">
        <f>BC900+SUM(CD901:CD950)</f>
        <v>0</v>
      </c>
      <c r="BD950" s="2">
        <f>IF(AND($C$130&lt;&gt;"",资金流水!$J$954=$C$130,ISNUMBER(资金流水!$B$954),ISNUMBER(资金流水!$S$954),资金流水!$S$954&gt;=_辅助!$J$4,资金流水!$S$954&lt;=_辅助!$J$2,OR(资金流水!$X$954="应付材料款",资金流水!$X$954="应付分包款",资金流水!$X$954="应付机械运输费",资金流水!$X$954="应付其他款")),INT(资金流水!$B$954)*10000+949,"")</f>
      </c>
      <c r="CD950" s="2">
        <f>IF(($C$130&lt;&gt;"")*(应付登记!$D$954=$C$130)*ISNUMBER(应付登记!$J$954)*(应付登记!$J$954&gt;=_辅助!$J$4)*(应付登记!$J$954&lt;=_辅助!$J$2),1,0)</f>
        <v>0</v>
      </c>
    </row>
    <row r="951">
      <c r="BC951" s="2">
        <f>BC950+SUM(CD951:CD951)</f>
        <v>0</v>
      </c>
      <c r="BD951" s="2">
        <f>IF(AND($C$130&lt;&gt;"",资金流水!$J$955=$C$130,ISNUMBER(资金流水!$B$955),ISNUMBER(资金流水!$S$955),资金流水!$S$955&gt;=_辅助!$J$4,资金流水!$S$955&lt;=_辅助!$J$2,OR(资金流水!$X$955="应付材料款",资金流水!$X$955="应付分包款",资金流水!$X$955="应付机械运输费",资金流水!$X$955="应付其他款")),INT(资金流水!$B$955)*10000+950,"")</f>
      </c>
      <c r="CD951" s="2">
        <f>IF(($C$130&lt;&gt;"")*(应付登记!$D$955=$C$130)*ISNUMBER(应付登记!$J$955)*(应付登记!$J$955&gt;=_辅助!$J$4)*(应付登记!$J$955&lt;=_辅助!$J$2),1,0)</f>
        <v>0</v>
      </c>
    </row>
    <row r="952">
      <c r="BC952" s="2">
        <f>BC950+SUM(CD951:CD952)</f>
        <v>0</v>
      </c>
      <c r="BD952" s="2">
        <f>IF(AND($C$130&lt;&gt;"",资金流水!$J$956=$C$130,ISNUMBER(资金流水!$B$956),ISNUMBER(资金流水!$S$956),资金流水!$S$956&gt;=_辅助!$J$4,资金流水!$S$956&lt;=_辅助!$J$2,OR(资金流水!$X$956="应付材料款",资金流水!$X$956="应付分包款",资金流水!$X$956="应付机械运输费",资金流水!$X$956="应付其他款")),INT(资金流水!$B$956)*10000+951,"")</f>
      </c>
      <c r="CD952" s="2">
        <f>IF(($C$130&lt;&gt;"")*(应付登记!$D$956=$C$130)*ISNUMBER(应付登记!$J$956)*(应付登记!$J$956&gt;=_辅助!$J$4)*(应付登记!$J$956&lt;=_辅助!$J$2),1,0)</f>
        <v>0</v>
      </c>
    </row>
    <row r="953">
      <c r="BC953" s="2">
        <f>BC950+SUM(CD951:CD953)</f>
        <v>0</v>
      </c>
      <c r="BD953" s="2">
        <f>IF(AND($C$130&lt;&gt;"",资金流水!$J$957=$C$130,ISNUMBER(资金流水!$B$957),ISNUMBER(资金流水!$S$957),资金流水!$S$957&gt;=_辅助!$J$4,资金流水!$S$957&lt;=_辅助!$J$2,OR(资金流水!$X$957="应付材料款",资金流水!$X$957="应付分包款",资金流水!$X$957="应付机械运输费",资金流水!$X$957="应付其他款")),INT(资金流水!$B$957)*10000+952,"")</f>
      </c>
      <c r="CD953" s="2">
        <f>IF(($C$130&lt;&gt;"")*(应付登记!$D$957=$C$130)*ISNUMBER(应付登记!$J$957)*(应付登记!$J$957&gt;=_辅助!$J$4)*(应付登记!$J$957&lt;=_辅助!$J$2),1,0)</f>
        <v>0</v>
      </c>
    </row>
    <row r="954">
      <c r="BC954" s="2">
        <f>BC950+SUM(CD951:CD954)</f>
        <v>0</v>
      </c>
      <c r="BD954" s="2">
        <f>IF(AND($C$130&lt;&gt;"",资金流水!$J$958=$C$130,ISNUMBER(资金流水!$B$958),ISNUMBER(资金流水!$S$958),资金流水!$S$958&gt;=_辅助!$J$4,资金流水!$S$958&lt;=_辅助!$J$2,OR(资金流水!$X$958="应付材料款",资金流水!$X$958="应付分包款",资金流水!$X$958="应付机械运输费",资金流水!$X$958="应付其他款")),INT(资金流水!$B$958)*10000+953,"")</f>
      </c>
      <c r="CD954" s="2">
        <f>IF(($C$130&lt;&gt;"")*(应付登记!$D$958=$C$130)*ISNUMBER(应付登记!$J$958)*(应付登记!$J$958&gt;=_辅助!$J$4)*(应付登记!$J$958&lt;=_辅助!$J$2),1,0)</f>
        <v>0</v>
      </c>
    </row>
    <row r="955">
      <c r="BC955" s="2">
        <f>BC950+SUM(CD951:CD955)</f>
        <v>0</v>
      </c>
      <c r="BD955" s="2">
        <f>IF(AND($C$130&lt;&gt;"",资金流水!$J$959=$C$130,ISNUMBER(资金流水!$B$959),ISNUMBER(资金流水!$S$959),资金流水!$S$959&gt;=_辅助!$J$4,资金流水!$S$959&lt;=_辅助!$J$2,OR(资金流水!$X$959="应付材料款",资金流水!$X$959="应付分包款",资金流水!$X$959="应付机械运输费",资金流水!$X$959="应付其他款")),INT(资金流水!$B$959)*10000+954,"")</f>
      </c>
      <c r="CD955" s="2">
        <f>IF(($C$130&lt;&gt;"")*(应付登记!$D$959=$C$130)*ISNUMBER(应付登记!$J$959)*(应付登记!$J$959&gt;=_辅助!$J$4)*(应付登记!$J$959&lt;=_辅助!$J$2),1,0)</f>
        <v>0</v>
      </c>
    </row>
    <row r="956">
      <c r="BC956" s="2">
        <f>BC950+SUM(CD951:CD956)</f>
        <v>0</v>
      </c>
      <c r="BD956" s="2">
        <f>IF(AND($C$130&lt;&gt;"",资金流水!$J$960=$C$130,ISNUMBER(资金流水!$B$960),ISNUMBER(资金流水!$S$960),资金流水!$S$960&gt;=_辅助!$J$4,资金流水!$S$960&lt;=_辅助!$J$2,OR(资金流水!$X$960="应付材料款",资金流水!$X$960="应付分包款",资金流水!$X$960="应付机械运输费",资金流水!$X$960="应付其他款")),INT(资金流水!$B$960)*10000+955,"")</f>
      </c>
      <c r="CD956" s="2">
        <f>IF(($C$130&lt;&gt;"")*(应付登记!$D$960=$C$130)*ISNUMBER(应付登记!$J$960)*(应付登记!$J$960&gt;=_辅助!$J$4)*(应付登记!$J$960&lt;=_辅助!$J$2),1,0)</f>
        <v>0</v>
      </c>
    </row>
    <row r="957">
      <c r="BC957" s="2">
        <f>BC950+SUM(CD951:CD957)</f>
        <v>0</v>
      </c>
      <c r="BD957" s="2">
        <f>IF(AND($C$130&lt;&gt;"",资金流水!$J$961=$C$130,ISNUMBER(资金流水!$B$961),ISNUMBER(资金流水!$S$961),资金流水!$S$961&gt;=_辅助!$J$4,资金流水!$S$961&lt;=_辅助!$J$2,OR(资金流水!$X$961="应付材料款",资金流水!$X$961="应付分包款",资金流水!$X$961="应付机械运输费",资金流水!$X$961="应付其他款")),INT(资金流水!$B$961)*10000+956,"")</f>
      </c>
      <c r="CD957" s="2">
        <f>IF(($C$130&lt;&gt;"")*(应付登记!$D$961=$C$130)*ISNUMBER(应付登记!$J$961)*(应付登记!$J$961&gt;=_辅助!$J$4)*(应付登记!$J$961&lt;=_辅助!$J$2),1,0)</f>
        <v>0</v>
      </c>
    </row>
    <row r="958">
      <c r="BC958" s="2">
        <f>BC950+SUM(CD951:CD958)</f>
        <v>0</v>
      </c>
      <c r="BD958" s="2">
        <f>IF(AND($C$130&lt;&gt;"",资金流水!$J$962=$C$130,ISNUMBER(资金流水!$B$962),ISNUMBER(资金流水!$S$962),资金流水!$S$962&gt;=_辅助!$J$4,资金流水!$S$962&lt;=_辅助!$J$2,OR(资金流水!$X$962="应付材料款",资金流水!$X$962="应付分包款",资金流水!$X$962="应付机械运输费",资金流水!$X$962="应付其他款")),INT(资金流水!$B$962)*10000+957,"")</f>
      </c>
      <c r="CD958" s="2">
        <f>IF(($C$130&lt;&gt;"")*(应付登记!$D$962=$C$130)*ISNUMBER(应付登记!$J$962)*(应付登记!$J$962&gt;=_辅助!$J$4)*(应付登记!$J$962&lt;=_辅助!$J$2),1,0)</f>
        <v>0</v>
      </c>
    </row>
    <row r="959">
      <c r="BC959" s="2">
        <f>BC950+SUM(CD951:CD959)</f>
        <v>0</v>
      </c>
      <c r="BD959" s="2">
        <f>IF(AND($C$130&lt;&gt;"",资金流水!$J$963=$C$130,ISNUMBER(资金流水!$B$963),ISNUMBER(资金流水!$S$963),资金流水!$S$963&gt;=_辅助!$J$4,资金流水!$S$963&lt;=_辅助!$J$2,OR(资金流水!$X$963="应付材料款",资金流水!$X$963="应付分包款",资金流水!$X$963="应付机械运输费",资金流水!$X$963="应付其他款")),INT(资金流水!$B$963)*10000+958,"")</f>
      </c>
      <c r="CD959" s="2">
        <f>IF(($C$130&lt;&gt;"")*(应付登记!$D$963=$C$130)*ISNUMBER(应付登记!$J$963)*(应付登记!$J$963&gt;=_辅助!$J$4)*(应付登记!$J$963&lt;=_辅助!$J$2),1,0)</f>
        <v>0</v>
      </c>
    </row>
    <row r="960">
      <c r="BC960" s="2">
        <f>BC950+SUM(CD951:CD960)</f>
        <v>0</v>
      </c>
      <c r="BD960" s="2">
        <f>IF(AND($C$130&lt;&gt;"",资金流水!$J$964=$C$130,ISNUMBER(资金流水!$B$964),ISNUMBER(资金流水!$S$964),资金流水!$S$964&gt;=_辅助!$J$4,资金流水!$S$964&lt;=_辅助!$J$2,OR(资金流水!$X$964="应付材料款",资金流水!$X$964="应付分包款",资金流水!$X$964="应付机械运输费",资金流水!$X$964="应付其他款")),INT(资金流水!$B$964)*10000+959,"")</f>
      </c>
      <c r="CD960" s="2">
        <f>IF(($C$130&lt;&gt;"")*(应付登记!$D$964=$C$130)*ISNUMBER(应付登记!$J$964)*(应付登记!$J$964&gt;=_辅助!$J$4)*(应付登记!$J$964&lt;=_辅助!$J$2),1,0)</f>
        <v>0</v>
      </c>
    </row>
    <row r="961">
      <c r="BC961" s="2">
        <f>BC950+SUM(CD951:CD961)</f>
        <v>0</v>
      </c>
      <c r="BD961" s="2">
        <f>IF(AND($C$130&lt;&gt;"",资金流水!$J$965=$C$130,ISNUMBER(资金流水!$B$965),ISNUMBER(资金流水!$S$965),资金流水!$S$965&gt;=_辅助!$J$4,资金流水!$S$965&lt;=_辅助!$J$2,OR(资金流水!$X$965="应付材料款",资金流水!$X$965="应付分包款",资金流水!$X$965="应付机械运输费",资金流水!$X$965="应付其他款")),INT(资金流水!$B$965)*10000+960,"")</f>
      </c>
      <c r="CD961" s="2">
        <f>IF(($C$130&lt;&gt;"")*(应付登记!$D$965=$C$130)*ISNUMBER(应付登记!$J$965)*(应付登记!$J$965&gt;=_辅助!$J$4)*(应付登记!$J$965&lt;=_辅助!$J$2),1,0)</f>
        <v>0</v>
      </c>
    </row>
    <row r="962">
      <c r="BC962" s="2">
        <f>BC950+SUM(CD951:CD962)</f>
        <v>0</v>
      </c>
      <c r="BD962" s="2">
        <f>IF(AND($C$130&lt;&gt;"",资金流水!$J$966=$C$130,ISNUMBER(资金流水!$B$966),ISNUMBER(资金流水!$S$966),资金流水!$S$966&gt;=_辅助!$J$4,资金流水!$S$966&lt;=_辅助!$J$2,OR(资金流水!$X$966="应付材料款",资金流水!$X$966="应付分包款",资金流水!$X$966="应付机械运输费",资金流水!$X$966="应付其他款")),INT(资金流水!$B$966)*10000+961,"")</f>
      </c>
      <c r="CD962" s="2">
        <f>IF(($C$130&lt;&gt;"")*(应付登记!$D$966=$C$130)*ISNUMBER(应付登记!$J$966)*(应付登记!$J$966&gt;=_辅助!$J$4)*(应付登记!$J$966&lt;=_辅助!$J$2),1,0)</f>
        <v>0</v>
      </c>
    </row>
    <row r="963">
      <c r="BC963" s="2">
        <f>BC950+SUM(CD951:CD963)</f>
        <v>0</v>
      </c>
      <c r="BD963" s="2">
        <f>IF(AND($C$130&lt;&gt;"",资金流水!$J$967=$C$130,ISNUMBER(资金流水!$B$967),ISNUMBER(资金流水!$S$967),资金流水!$S$967&gt;=_辅助!$J$4,资金流水!$S$967&lt;=_辅助!$J$2,OR(资金流水!$X$967="应付材料款",资金流水!$X$967="应付分包款",资金流水!$X$967="应付机械运输费",资金流水!$X$967="应付其他款")),INT(资金流水!$B$967)*10000+962,"")</f>
      </c>
      <c r="CD963" s="2">
        <f>IF(($C$130&lt;&gt;"")*(应付登记!$D$967=$C$130)*ISNUMBER(应付登记!$J$967)*(应付登记!$J$967&gt;=_辅助!$J$4)*(应付登记!$J$967&lt;=_辅助!$J$2),1,0)</f>
        <v>0</v>
      </c>
    </row>
    <row r="964">
      <c r="BC964" s="2">
        <f>BC950+SUM(CD951:CD964)</f>
        <v>0</v>
      </c>
      <c r="BD964" s="2">
        <f>IF(AND($C$130&lt;&gt;"",资金流水!$J$968=$C$130,ISNUMBER(资金流水!$B$968),ISNUMBER(资金流水!$S$968),资金流水!$S$968&gt;=_辅助!$J$4,资金流水!$S$968&lt;=_辅助!$J$2,OR(资金流水!$X$968="应付材料款",资金流水!$X$968="应付分包款",资金流水!$X$968="应付机械运输费",资金流水!$X$968="应付其他款")),INT(资金流水!$B$968)*10000+963,"")</f>
      </c>
      <c r="CD964" s="2">
        <f>IF(($C$130&lt;&gt;"")*(应付登记!$D$968=$C$130)*ISNUMBER(应付登记!$J$968)*(应付登记!$J$968&gt;=_辅助!$J$4)*(应付登记!$J$968&lt;=_辅助!$J$2),1,0)</f>
        <v>0</v>
      </c>
    </row>
    <row r="965">
      <c r="BC965" s="2">
        <f>BC950+SUM(CD951:CD965)</f>
        <v>0</v>
      </c>
      <c r="BD965" s="2">
        <f>IF(AND($C$130&lt;&gt;"",资金流水!$J$969=$C$130,ISNUMBER(资金流水!$B$969),ISNUMBER(资金流水!$S$969),资金流水!$S$969&gt;=_辅助!$J$4,资金流水!$S$969&lt;=_辅助!$J$2,OR(资金流水!$X$969="应付材料款",资金流水!$X$969="应付分包款",资金流水!$X$969="应付机械运输费",资金流水!$X$969="应付其他款")),INT(资金流水!$B$969)*10000+964,"")</f>
      </c>
      <c r="CD965" s="2">
        <f>IF(($C$130&lt;&gt;"")*(应付登记!$D$969=$C$130)*ISNUMBER(应付登记!$J$969)*(应付登记!$J$969&gt;=_辅助!$J$4)*(应付登记!$J$969&lt;=_辅助!$J$2),1,0)</f>
        <v>0</v>
      </c>
    </row>
    <row r="966">
      <c r="BC966" s="2">
        <f>BC950+SUM(CD951:CD966)</f>
        <v>0</v>
      </c>
      <c r="BD966" s="2">
        <f>IF(AND($C$130&lt;&gt;"",资金流水!$J$970=$C$130,ISNUMBER(资金流水!$B$970),ISNUMBER(资金流水!$S$970),资金流水!$S$970&gt;=_辅助!$J$4,资金流水!$S$970&lt;=_辅助!$J$2,OR(资金流水!$X$970="应付材料款",资金流水!$X$970="应付分包款",资金流水!$X$970="应付机械运输费",资金流水!$X$970="应付其他款")),INT(资金流水!$B$970)*10000+965,"")</f>
      </c>
      <c r="CD966" s="2">
        <f>IF(($C$130&lt;&gt;"")*(应付登记!$D$970=$C$130)*ISNUMBER(应付登记!$J$970)*(应付登记!$J$970&gt;=_辅助!$J$4)*(应付登记!$J$970&lt;=_辅助!$J$2),1,0)</f>
        <v>0</v>
      </c>
    </row>
    <row r="967">
      <c r="BC967" s="2">
        <f>BC950+SUM(CD951:CD967)</f>
        <v>0</v>
      </c>
      <c r="BD967" s="2">
        <f>IF(AND($C$130&lt;&gt;"",资金流水!$J$971=$C$130,ISNUMBER(资金流水!$B$971),ISNUMBER(资金流水!$S$971),资金流水!$S$971&gt;=_辅助!$J$4,资金流水!$S$971&lt;=_辅助!$J$2,OR(资金流水!$X$971="应付材料款",资金流水!$X$971="应付分包款",资金流水!$X$971="应付机械运输费",资金流水!$X$971="应付其他款")),INT(资金流水!$B$971)*10000+966,"")</f>
      </c>
      <c r="CD967" s="2">
        <f>IF(($C$130&lt;&gt;"")*(应付登记!$D$971=$C$130)*ISNUMBER(应付登记!$J$971)*(应付登记!$J$971&gt;=_辅助!$J$4)*(应付登记!$J$971&lt;=_辅助!$J$2),1,0)</f>
        <v>0</v>
      </c>
    </row>
    <row r="968">
      <c r="BC968" s="2">
        <f>BC950+SUM(CD951:CD968)</f>
        <v>0</v>
      </c>
      <c r="BD968" s="2">
        <f>IF(AND($C$130&lt;&gt;"",资金流水!$J$972=$C$130,ISNUMBER(资金流水!$B$972),ISNUMBER(资金流水!$S$972),资金流水!$S$972&gt;=_辅助!$J$4,资金流水!$S$972&lt;=_辅助!$J$2,OR(资金流水!$X$972="应付材料款",资金流水!$X$972="应付分包款",资金流水!$X$972="应付机械运输费",资金流水!$X$972="应付其他款")),INT(资金流水!$B$972)*10000+967,"")</f>
      </c>
      <c r="CD968" s="2">
        <f>IF(($C$130&lt;&gt;"")*(应付登记!$D$972=$C$130)*ISNUMBER(应付登记!$J$972)*(应付登记!$J$972&gt;=_辅助!$J$4)*(应付登记!$J$972&lt;=_辅助!$J$2),1,0)</f>
        <v>0</v>
      </c>
    </row>
    <row r="969">
      <c r="BC969" s="2">
        <f>BC950+SUM(CD951:CD969)</f>
        <v>0</v>
      </c>
      <c r="BD969" s="2">
        <f>IF(AND($C$130&lt;&gt;"",资金流水!$J$973=$C$130,ISNUMBER(资金流水!$B$973),ISNUMBER(资金流水!$S$973),资金流水!$S$973&gt;=_辅助!$J$4,资金流水!$S$973&lt;=_辅助!$J$2,OR(资金流水!$X$973="应付材料款",资金流水!$X$973="应付分包款",资金流水!$X$973="应付机械运输费",资金流水!$X$973="应付其他款")),INT(资金流水!$B$973)*10000+968,"")</f>
      </c>
      <c r="CD969" s="2">
        <f>IF(($C$130&lt;&gt;"")*(应付登记!$D$973=$C$130)*ISNUMBER(应付登记!$J$973)*(应付登记!$J$973&gt;=_辅助!$J$4)*(应付登记!$J$973&lt;=_辅助!$J$2),1,0)</f>
        <v>0</v>
      </c>
    </row>
    <row r="970">
      <c r="BC970" s="2">
        <f>BC950+SUM(CD951:CD970)</f>
        <v>0</v>
      </c>
      <c r="BD970" s="2">
        <f>IF(AND($C$130&lt;&gt;"",资金流水!$J$974=$C$130,ISNUMBER(资金流水!$B$974),ISNUMBER(资金流水!$S$974),资金流水!$S$974&gt;=_辅助!$J$4,资金流水!$S$974&lt;=_辅助!$J$2,OR(资金流水!$X$974="应付材料款",资金流水!$X$974="应付分包款",资金流水!$X$974="应付机械运输费",资金流水!$X$974="应付其他款")),INT(资金流水!$B$974)*10000+969,"")</f>
      </c>
      <c r="CD970" s="2">
        <f>IF(($C$130&lt;&gt;"")*(应付登记!$D$974=$C$130)*ISNUMBER(应付登记!$J$974)*(应付登记!$J$974&gt;=_辅助!$J$4)*(应付登记!$J$974&lt;=_辅助!$J$2),1,0)</f>
        <v>0</v>
      </c>
    </row>
    <row r="971">
      <c r="BC971" s="2">
        <f>BC950+SUM(CD951:CD971)</f>
        <v>0</v>
      </c>
      <c r="BD971" s="2">
        <f>IF(AND($C$130&lt;&gt;"",资金流水!$J$975=$C$130,ISNUMBER(资金流水!$B$975),ISNUMBER(资金流水!$S$975),资金流水!$S$975&gt;=_辅助!$J$4,资金流水!$S$975&lt;=_辅助!$J$2,OR(资金流水!$X$975="应付材料款",资金流水!$X$975="应付分包款",资金流水!$X$975="应付机械运输费",资金流水!$X$975="应付其他款")),INT(资金流水!$B$975)*10000+970,"")</f>
      </c>
      <c r="CD971" s="2">
        <f>IF(($C$130&lt;&gt;"")*(应付登记!$D$975=$C$130)*ISNUMBER(应付登记!$J$975)*(应付登记!$J$975&gt;=_辅助!$J$4)*(应付登记!$J$975&lt;=_辅助!$J$2),1,0)</f>
        <v>0</v>
      </c>
    </row>
    <row r="972">
      <c r="BC972" s="2">
        <f>BC950+SUM(CD951:CD972)</f>
        <v>0</v>
      </c>
      <c r="BD972" s="2">
        <f>IF(AND($C$130&lt;&gt;"",资金流水!$J$976=$C$130,ISNUMBER(资金流水!$B$976),ISNUMBER(资金流水!$S$976),资金流水!$S$976&gt;=_辅助!$J$4,资金流水!$S$976&lt;=_辅助!$J$2,OR(资金流水!$X$976="应付材料款",资金流水!$X$976="应付分包款",资金流水!$X$976="应付机械运输费",资金流水!$X$976="应付其他款")),INT(资金流水!$B$976)*10000+971,"")</f>
      </c>
      <c r="CD972" s="2">
        <f>IF(($C$130&lt;&gt;"")*(应付登记!$D$976=$C$130)*ISNUMBER(应付登记!$J$976)*(应付登记!$J$976&gt;=_辅助!$J$4)*(应付登记!$J$976&lt;=_辅助!$J$2),1,0)</f>
        <v>0</v>
      </c>
    </row>
    <row r="973">
      <c r="BC973" s="2">
        <f>BC950+SUM(CD951:CD973)</f>
        <v>0</v>
      </c>
      <c r="BD973" s="2">
        <f>IF(AND($C$130&lt;&gt;"",资金流水!$J$977=$C$130,ISNUMBER(资金流水!$B$977),ISNUMBER(资金流水!$S$977),资金流水!$S$977&gt;=_辅助!$J$4,资金流水!$S$977&lt;=_辅助!$J$2,OR(资金流水!$X$977="应付材料款",资金流水!$X$977="应付分包款",资金流水!$X$977="应付机械运输费",资金流水!$X$977="应付其他款")),INT(资金流水!$B$977)*10000+972,"")</f>
      </c>
      <c r="CD973" s="2">
        <f>IF(($C$130&lt;&gt;"")*(应付登记!$D$977=$C$130)*ISNUMBER(应付登记!$J$977)*(应付登记!$J$977&gt;=_辅助!$J$4)*(应付登记!$J$977&lt;=_辅助!$J$2),1,0)</f>
        <v>0</v>
      </c>
    </row>
    <row r="974">
      <c r="BC974" s="2">
        <f>BC950+SUM(CD951:CD974)</f>
        <v>0</v>
      </c>
      <c r="BD974" s="2">
        <f>IF(AND($C$130&lt;&gt;"",资金流水!$J$978=$C$130,ISNUMBER(资金流水!$B$978),ISNUMBER(资金流水!$S$978),资金流水!$S$978&gt;=_辅助!$J$4,资金流水!$S$978&lt;=_辅助!$J$2,OR(资金流水!$X$978="应付材料款",资金流水!$X$978="应付分包款",资金流水!$X$978="应付机械运输费",资金流水!$X$978="应付其他款")),INT(资金流水!$B$978)*10000+973,"")</f>
      </c>
      <c r="CD974" s="2">
        <f>IF(($C$130&lt;&gt;"")*(应付登记!$D$978=$C$130)*ISNUMBER(应付登记!$J$978)*(应付登记!$J$978&gt;=_辅助!$J$4)*(应付登记!$J$978&lt;=_辅助!$J$2),1,0)</f>
        <v>0</v>
      </c>
    </row>
    <row r="975">
      <c r="BC975" s="2">
        <f>BC950+SUM(CD951:CD975)</f>
        <v>0</v>
      </c>
      <c r="BD975" s="2">
        <f>IF(AND($C$130&lt;&gt;"",资金流水!$J$979=$C$130,ISNUMBER(资金流水!$B$979),ISNUMBER(资金流水!$S$979),资金流水!$S$979&gt;=_辅助!$J$4,资金流水!$S$979&lt;=_辅助!$J$2,OR(资金流水!$X$979="应付材料款",资金流水!$X$979="应付分包款",资金流水!$X$979="应付机械运输费",资金流水!$X$979="应付其他款")),INT(资金流水!$B$979)*10000+974,"")</f>
      </c>
      <c r="CD975" s="2">
        <f>IF(($C$130&lt;&gt;"")*(应付登记!$D$979=$C$130)*ISNUMBER(应付登记!$J$979)*(应付登记!$J$979&gt;=_辅助!$J$4)*(应付登记!$J$979&lt;=_辅助!$J$2),1,0)</f>
        <v>0</v>
      </c>
    </row>
    <row r="976">
      <c r="BC976" s="2">
        <f>BC950+SUM(CD951:CD976)</f>
        <v>0</v>
      </c>
      <c r="BD976" s="2">
        <f>IF(AND($C$130&lt;&gt;"",资金流水!$J$980=$C$130,ISNUMBER(资金流水!$B$980),ISNUMBER(资金流水!$S$980),资金流水!$S$980&gt;=_辅助!$J$4,资金流水!$S$980&lt;=_辅助!$J$2,OR(资金流水!$X$980="应付材料款",资金流水!$X$980="应付分包款",资金流水!$X$980="应付机械运输费",资金流水!$X$980="应付其他款")),INT(资金流水!$B$980)*10000+975,"")</f>
      </c>
      <c r="CD976" s="2">
        <f>IF(($C$130&lt;&gt;"")*(应付登记!$D$980=$C$130)*ISNUMBER(应付登记!$J$980)*(应付登记!$J$980&gt;=_辅助!$J$4)*(应付登记!$J$980&lt;=_辅助!$J$2),1,0)</f>
        <v>0</v>
      </c>
    </row>
    <row r="977">
      <c r="BC977" s="2">
        <f>BC950+SUM(CD951:CD977)</f>
        <v>0</v>
      </c>
      <c r="BD977" s="2">
        <f>IF(AND($C$130&lt;&gt;"",资金流水!$J$981=$C$130,ISNUMBER(资金流水!$B$981),ISNUMBER(资金流水!$S$981),资金流水!$S$981&gt;=_辅助!$J$4,资金流水!$S$981&lt;=_辅助!$J$2,OR(资金流水!$X$981="应付材料款",资金流水!$X$981="应付分包款",资金流水!$X$981="应付机械运输费",资金流水!$X$981="应付其他款")),INT(资金流水!$B$981)*10000+976,"")</f>
      </c>
      <c r="CD977" s="2">
        <f>IF(($C$130&lt;&gt;"")*(应付登记!$D$981=$C$130)*ISNUMBER(应付登记!$J$981)*(应付登记!$J$981&gt;=_辅助!$J$4)*(应付登记!$J$981&lt;=_辅助!$J$2),1,0)</f>
        <v>0</v>
      </c>
    </row>
    <row r="978">
      <c r="BC978" s="2">
        <f>BC950+SUM(CD951:CD978)</f>
        <v>0</v>
      </c>
      <c r="BD978" s="2">
        <f>IF(AND($C$130&lt;&gt;"",资金流水!$J$982=$C$130,ISNUMBER(资金流水!$B$982),ISNUMBER(资金流水!$S$982),资金流水!$S$982&gt;=_辅助!$J$4,资金流水!$S$982&lt;=_辅助!$J$2,OR(资金流水!$X$982="应付材料款",资金流水!$X$982="应付分包款",资金流水!$X$982="应付机械运输费",资金流水!$X$982="应付其他款")),INT(资金流水!$B$982)*10000+977,"")</f>
      </c>
      <c r="CD978" s="2">
        <f>IF(($C$130&lt;&gt;"")*(应付登记!$D$982=$C$130)*ISNUMBER(应付登记!$J$982)*(应付登记!$J$982&gt;=_辅助!$J$4)*(应付登记!$J$982&lt;=_辅助!$J$2),1,0)</f>
        <v>0</v>
      </c>
    </row>
    <row r="979">
      <c r="BC979" s="2">
        <f>BC950+SUM(CD951:CD979)</f>
        <v>0</v>
      </c>
      <c r="BD979" s="2">
        <f>IF(AND($C$130&lt;&gt;"",资金流水!$J$983=$C$130,ISNUMBER(资金流水!$B$983),ISNUMBER(资金流水!$S$983),资金流水!$S$983&gt;=_辅助!$J$4,资金流水!$S$983&lt;=_辅助!$J$2,OR(资金流水!$X$983="应付材料款",资金流水!$X$983="应付分包款",资金流水!$X$983="应付机械运输费",资金流水!$X$983="应付其他款")),INT(资金流水!$B$983)*10000+978,"")</f>
      </c>
      <c r="CD979" s="2">
        <f>IF(($C$130&lt;&gt;"")*(应付登记!$D$983=$C$130)*ISNUMBER(应付登记!$J$983)*(应付登记!$J$983&gt;=_辅助!$J$4)*(应付登记!$J$983&lt;=_辅助!$J$2),1,0)</f>
        <v>0</v>
      </c>
    </row>
    <row r="980">
      <c r="BC980" s="2">
        <f>BC950+SUM(CD951:CD980)</f>
        <v>0</v>
      </c>
      <c r="BD980" s="2">
        <f>IF(AND($C$130&lt;&gt;"",资金流水!$J$984=$C$130,ISNUMBER(资金流水!$B$984),ISNUMBER(资金流水!$S$984),资金流水!$S$984&gt;=_辅助!$J$4,资金流水!$S$984&lt;=_辅助!$J$2,OR(资金流水!$X$984="应付材料款",资金流水!$X$984="应付分包款",资金流水!$X$984="应付机械运输费",资金流水!$X$984="应付其他款")),INT(资金流水!$B$984)*10000+979,"")</f>
      </c>
      <c r="CD980" s="2">
        <f>IF(($C$130&lt;&gt;"")*(应付登记!$D$984=$C$130)*ISNUMBER(应付登记!$J$984)*(应付登记!$J$984&gt;=_辅助!$J$4)*(应付登记!$J$984&lt;=_辅助!$J$2),1,0)</f>
        <v>0</v>
      </c>
    </row>
    <row r="981">
      <c r="BC981" s="2">
        <f>BC950+SUM(CD951:CD981)</f>
        <v>0</v>
      </c>
      <c r="BD981" s="2">
        <f>IF(AND($C$130&lt;&gt;"",资金流水!$J$985=$C$130,ISNUMBER(资金流水!$B$985),ISNUMBER(资金流水!$S$985),资金流水!$S$985&gt;=_辅助!$J$4,资金流水!$S$985&lt;=_辅助!$J$2,OR(资金流水!$X$985="应付材料款",资金流水!$X$985="应付分包款",资金流水!$X$985="应付机械运输费",资金流水!$X$985="应付其他款")),INT(资金流水!$B$985)*10000+980,"")</f>
      </c>
      <c r="CD981" s="2">
        <f>IF(($C$130&lt;&gt;"")*(应付登记!$D$985=$C$130)*ISNUMBER(应付登记!$J$985)*(应付登记!$J$985&gt;=_辅助!$J$4)*(应付登记!$J$985&lt;=_辅助!$J$2),1,0)</f>
        <v>0</v>
      </c>
    </row>
    <row r="982">
      <c r="BC982" s="2">
        <f>BC950+SUM(CD951:CD982)</f>
        <v>0</v>
      </c>
      <c r="BD982" s="2">
        <f>IF(AND($C$130&lt;&gt;"",资金流水!$J$986=$C$130,ISNUMBER(资金流水!$B$986),ISNUMBER(资金流水!$S$986),资金流水!$S$986&gt;=_辅助!$J$4,资金流水!$S$986&lt;=_辅助!$J$2,OR(资金流水!$X$986="应付材料款",资金流水!$X$986="应付分包款",资金流水!$X$986="应付机械运输费",资金流水!$X$986="应付其他款")),INT(资金流水!$B$986)*10000+981,"")</f>
      </c>
      <c r="CD982" s="2">
        <f>IF(($C$130&lt;&gt;"")*(应付登记!$D$986=$C$130)*ISNUMBER(应付登记!$J$986)*(应付登记!$J$986&gt;=_辅助!$J$4)*(应付登记!$J$986&lt;=_辅助!$J$2),1,0)</f>
        <v>0</v>
      </c>
    </row>
    <row r="983">
      <c r="BC983" s="2">
        <f>BC950+SUM(CD951:CD983)</f>
        <v>0</v>
      </c>
      <c r="BD983" s="2">
        <f>IF(AND($C$130&lt;&gt;"",资金流水!$J$987=$C$130,ISNUMBER(资金流水!$B$987),ISNUMBER(资金流水!$S$987),资金流水!$S$987&gt;=_辅助!$J$4,资金流水!$S$987&lt;=_辅助!$J$2,OR(资金流水!$X$987="应付材料款",资金流水!$X$987="应付分包款",资金流水!$X$987="应付机械运输费",资金流水!$X$987="应付其他款")),INT(资金流水!$B$987)*10000+982,"")</f>
      </c>
      <c r="CD983" s="2">
        <f>IF(($C$130&lt;&gt;"")*(应付登记!$D$987=$C$130)*ISNUMBER(应付登记!$J$987)*(应付登记!$J$987&gt;=_辅助!$J$4)*(应付登记!$J$987&lt;=_辅助!$J$2),1,0)</f>
        <v>0</v>
      </c>
    </row>
    <row r="984">
      <c r="BC984" s="2">
        <f>BC950+SUM(CD951:CD984)</f>
        <v>0</v>
      </c>
      <c r="BD984" s="2">
        <f>IF(AND($C$130&lt;&gt;"",资金流水!$J$988=$C$130,ISNUMBER(资金流水!$B$988),ISNUMBER(资金流水!$S$988),资金流水!$S$988&gt;=_辅助!$J$4,资金流水!$S$988&lt;=_辅助!$J$2,OR(资金流水!$X$988="应付材料款",资金流水!$X$988="应付分包款",资金流水!$X$988="应付机械运输费",资金流水!$X$988="应付其他款")),INT(资金流水!$B$988)*10000+983,"")</f>
      </c>
      <c r="CD984" s="2">
        <f>IF(($C$130&lt;&gt;"")*(应付登记!$D$988=$C$130)*ISNUMBER(应付登记!$J$988)*(应付登记!$J$988&gt;=_辅助!$J$4)*(应付登记!$J$988&lt;=_辅助!$J$2),1,0)</f>
        <v>0</v>
      </c>
    </row>
    <row r="985">
      <c r="BC985" s="2">
        <f>BC950+SUM(CD951:CD985)</f>
        <v>0</v>
      </c>
      <c r="BD985" s="2">
        <f>IF(AND($C$130&lt;&gt;"",资金流水!$J$989=$C$130,ISNUMBER(资金流水!$B$989),ISNUMBER(资金流水!$S$989),资金流水!$S$989&gt;=_辅助!$J$4,资金流水!$S$989&lt;=_辅助!$J$2,OR(资金流水!$X$989="应付材料款",资金流水!$X$989="应付分包款",资金流水!$X$989="应付机械运输费",资金流水!$X$989="应付其他款")),INT(资金流水!$B$989)*10000+984,"")</f>
      </c>
      <c r="CD985" s="2">
        <f>IF(($C$130&lt;&gt;"")*(应付登记!$D$989=$C$130)*ISNUMBER(应付登记!$J$989)*(应付登记!$J$989&gt;=_辅助!$J$4)*(应付登记!$J$989&lt;=_辅助!$J$2),1,0)</f>
        <v>0</v>
      </c>
    </row>
    <row r="986">
      <c r="BC986" s="2">
        <f>BC950+SUM(CD951:CD986)</f>
        <v>0</v>
      </c>
      <c r="BD986" s="2">
        <f>IF(AND($C$130&lt;&gt;"",资金流水!$J$990=$C$130,ISNUMBER(资金流水!$B$990),ISNUMBER(资金流水!$S$990),资金流水!$S$990&gt;=_辅助!$J$4,资金流水!$S$990&lt;=_辅助!$J$2,OR(资金流水!$X$990="应付材料款",资金流水!$X$990="应付分包款",资金流水!$X$990="应付机械运输费",资金流水!$X$990="应付其他款")),INT(资金流水!$B$990)*10000+985,"")</f>
      </c>
      <c r="CD986" s="2">
        <f>IF(($C$130&lt;&gt;"")*(应付登记!$D$990=$C$130)*ISNUMBER(应付登记!$J$990)*(应付登记!$J$990&gt;=_辅助!$J$4)*(应付登记!$J$990&lt;=_辅助!$J$2),1,0)</f>
        <v>0</v>
      </c>
    </row>
    <row r="987">
      <c r="BC987" s="2">
        <f>BC950+SUM(CD951:CD987)</f>
        <v>0</v>
      </c>
      <c r="BD987" s="2">
        <f>IF(AND($C$130&lt;&gt;"",资金流水!$J$991=$C$130,ISNUMBER(资金流水!$B$991),ISNUMBER(资金流水!$S$991),资金流水!$S$991&gt;=_辅助!$J$4,资金流水!$S$991&lt;=_辅助!$J$2,OR(资金流水!$X$991="应付材料款",资金流水!$X$991="应付分包款",资金流水!$X$991="应付机械运输费",资金流水!$X$991="应付其他款")),INT(资金流水!$B$991)*10000+986,"")</f>
      </c>
      <c r="CD987" s="2">
        <f>IF(($C$130&lt;&gt;"")*(应付登记!$D$991=$C$130)*ISNUMBER(应付登记!$J$991)*(应付登记!$J$991&gt;=_辅助!$J$4)*(应付登记!$J$991&lt;=_辅助!$J$2),1,0)</f>
        <v>0</v>
      </c>
    </row>
    <row r="988">
      <c r="BC988" s="2">
        <f>BC950+SUM(CD951:CD988)</f>
        <v>0</v>
      </c>
      <c r="BD988" s="2">
        <f>IF(AND($C$130&lt;&gt;"",资金流水!$J$992=$C$130,ISNUMBER(资金流水!$B$992),ISNUMBER(资金流水!$S$992),资金流水!$S$992&gt;=_辅助!$J$4,资金流水!$S$992&lt;=_辅助!$J$2,OR(资金流水!$X$992="应付材料款",资金流水!$X$992="应付分包款",资金流水!$X$992="应付机械运输费",资金流水!$X$992="应付其他款")),INT(资金流水!$B$992)*10000+987,"")</f>
      </c>
      <c r="CD988" s="2">
        <f>IF(($C$130&lt;&gt;"")*(应付登记!$D$992=$C$130)*ISNUMBER(应付登记!$J$992)*(应付登记!$J$992&gt;=_辅助!$J$4)*(应付登记!$J$992&lt;=_辅助!$J$2),1,0)</f>
        <v>0</v>
      </c>
    </row>
    <row r="989">
      <c r="BC989" s="2">
        <f>BC950+SUM(CD951:CD989)</f>
        <v>0</v>
      </c>
      <c r="BD989" s="2">
        <f>IF(AND($C$130&lt;&gt;"",资金流水!$J$993=$C$130,ISNUMBER(资金流水!$B$993),ISNUMBER(资金流水!$S$993),资金流水!$S$993&gt;=_辅助!$J$4,资金流水!$S$993&lt;=_辅助!$J$2,OR(资金流水!$X$993="应付材料款",资金流水!$X$993="应付分包款",资金流水!$X$993="应付机械运输费",资金流水!$X$993="应付其他款")),INT(资金流水!$B$993)*10000+988,"")</f>
      </c>
      <c r="CD989" s="2">
        <f>IF(($C$130&lt;&gt;"")*(应付登记!$D$993=$C$130)*ISNUMBER(应付登记!$J$993)*(应付登记!$J$993&gt;=_辅助!$J$4)*(应付登记!$J$993&lt;=_辅助!$J$2),1,0)</f>
        <v>0</v>
      </c>
    </row>
    <row r="990">
      <c r="BC990" s="2">
        <f>BC950+SUM(CD951:CD990)</f>
        <v>0</v>
      </c>
      <c r="BD990" s="2">
        <f>IF(AND($C$130&lt;&gt;"",资金流水!$J$994=$C$130,ISNUMBER(资金流水!$B$994),ISNUMBER(资金流水!$S$994),资金流水!$S$994&gt;=_辅助!$J$4,资金流水!$S$994&lt;=_辅助!$J$2,OR(资金流水!$X$994="应付材料款",资金流水!$X$994="应付分包款",资金流水!$X$994="应付机械运输费",资金流水!$X$994="应付其他款")),INT(资金流水!$B$994)*10000+989,"")</f>
      </c>
      <c r="CD990" s="2">
        <f>IF(($C$130&lt;&gt;"")*(应付登记!$D$994=$C$130)*ISNUMBER(应付登记!$J$994)*(应付登记!$J$994&gt;=_辅助!$J$4)*(应付登记!$J$994&lt;=_辅助!$J$2),1,0)</f>
        <v>0</v>
      </c>
    </row>
    <row r="991">
      <c r="BC991" s="2">
        <f>BC950+SUM(CD951:CD991)</f>
        <v>0</v>
      </c>
      <c r="BD991" s="2">
        <f>IF(AND($C$130&lt;&gt;"",资金流水!$J$995=$C$130,ISNUMBER(资金流水!$B$995),ISNUMBER(资金流水!$S$995),资金流水!$S$995&gt;=_辅助!$J$4,资金流水!$S$995&lt;=_辅助!$J$2,OR(资金流水!$X$995="应付材料款",资金流水!$X$995="应付分包款",资金流水!$X$995="应付机械运输费",资金流水!$X$995="应付其他款")),INT(资金流水!$B$995)*10000+990,"")</f>
      </c>
      <c r="CD991" s="2">
        <f>IF(($C$130&lt;&gt;"")*(应付登记!$D$995=$C$130)*ISNUMBER(应付登记!$J$995)*(应付登记!$J$995&gt;=_辅助!$J$4)*(应付登记!$J$995&lt;=_辅助!$J$2),1,0)</f>
        <v>0</v>
      </c>
    </row>
    <row r="992">
      <c r="BC992" s="2">
        <f>BC950+SUM(CD951:CD992)</f>
        <v>0</v>
      </c>
      <c r="BD992" s="2">
        <f>IF(AND($C$130&lt;&gt;"",资金流水!$J$996=$C$130,ISNUMBER(资金流水!$B$996),ISNUMBER(资金流水!$S$996),资金流水!$S$996&gt;=_辅助!$J$4,资金流水!$S$996&lt;=_辅助!$J$2,OR(资金流水!$X$996="应付材料款",资金流水!$X$996="应付分包款",资金流水!$X$996="应付机械运输费",资金流水!$X$996="应付其他款")),INT(资金流水!$B$996)*10000+991,"")</f>
      </c>
      <c r="CD992" s="2">
        <f>IF(($C$130&lt;&gt;"")*(应付登记!$D$996=$C$130)*ISNUMBER(应付登记!$J$996)*(应付登记!$J$996&gt;=_辅助!$J$4)*(应付登记!$J$996&lt;=_辅助!$J$2),1,0)</f>
        <v>0</v>
      </c>
    </row>
    <row r="993">
      <c r="BC993" s="2">
        <f>BC950+SUM(CD951:CD993)</f>
        <v>0</v>
      </c>
      <c r="BD993" s="2">
        <f>IF(AND($C$130&lt;&gt;"",资金流水!$J$997=$C$130,ISNUMBER(资金流水!$B$997),ISNUMBER(资金流水!$S$997),资金流水!$S$997&gt;=_辅助!$J$4,资金流水!$S$997&lt;=_辅助!$J$2,OR(资金流水!$X$997="应付材料款",资金流水!$X$997="应付分包款",资金流水!$X$997="应付机械运输费",资金流水!$X$997="应付其他款")),INT(资金流水!$B$997)*10000+992,"")</f>
      </c>
      <c r="CD993" s="2">
        <f>IF(($C$130&lt;&gt;"")*(应付登记!$D$997=$C$130)*ISNUMBER(应付登记!$J$997)*(应付登记!$J$997&gt;=_辅助!$J$4)*(应付登记!$J$997&lt;=_辅助!$J$2),1,0)</f>
        <v>0</v>
      </c>
    </row>
    <row r="994">
      <c r="BC994" s="2">
        <f>BC950+SUM(CD951:CD994)</f>
        <v>0</v>
      </c>
      <c r="BD994" s="2">
        <f>IF(AND($C$130&lt;&gt;"",资金流水!$J$998=$C$130,ISNUMBER(资金流水!$B$998),ISNUMBER(资金流水!$S$998),资金流水!$S$998&gt;=_辅助!$J$4,资金流水!$S$998&lt;=_辅助!$J$2,OR(资金流水!$X$998="应付材料款",资金流水!$X$998="应付分包款",资金流水!$X$998="应付机械运输费",资金流水!$X$998="应付其他款")),INT(资金流水!$B$998)*10000+993,"")</f>
      </c>
      <c r="CD994" s="2">
        <f>IF(($C$130&lt;&gt;"")*(应付登记!$D$998=$C$130)*ISNUMBER(应付登记!$J$998)*(应付登记!$J$998&gt;=_辅助!$J$4)*(应付登记!$J$998&lt;=_辅助!$J$2),1,0)</f>
        <v>0</v>
      </c>
    </row>
    <row r="995">
      <c r="BC995" s="2">
        <f>BC950+SUM(CD951:CD995)</f>
        <v>0</v>
      </c>
      <c r="BD995" s="2">
        <f>IF(AND($C$130&lt;&gt;"",资金流水!$J$999=$C$130,ISNUMBER(资金流水!$B$999),ISNUMBER(资金流水!$S$999),资金流水!$S$999&gt;=_辅助!$J$4,资金流水!$S$999&lt;=_辅助!$J$2,OR(资金流水!$X$999="应付材料款",资金流水!$X$999="应付分包款",资金流水!$X$999="应付机械运输费",资金流水!$X$999="应付其他款")),INT(资金流水!$B$999)*10000+994,"")</f>
      </c>
      <c r="CD995" s="2">
        <f>IF(($C$130&lt;&gt;"")*(应付登记!$D$999=$C$130)*ISNUMBER(应付登记!$J$999)*(应付登记!$J$999&gt;=_辅助!$J$4)*(应付登记!$J$999&lt;=_辅助!$J$2),1,0)</f>
        <v>0</v>
      </c>
    </row>
    <row r="996">
      <c r="BC996" s="2">
        <f>BC950+SUM(CD951:CD996)</f>
        <v>0</v>
      </c>
      <c r="BD996" s="2">
        <f>IF(AND($C$130&lt;&gt;"",资金流水!$J$1000=$C$130,ISNUMBER(资金流水!$B$1000),ISNUMBER(资金流水!$S$1000),资金流水!$S$1000&gt;=_辅助!$J$4,资金流水!$S$1000&lt;=_辅助!$J$2,OR(资金流水!$X$1000="应付材料款",资金流水!$X$1000="应付分包款",资金流水!$X$1000="应付机械运输费",资金流水!$X$1000="应付其他款")),INT(资金流水!$B$1000)*10000+995,"")</f>
      </c>
      <c r="CD996" s="2">
        <f>IF(($C$130&lt;&gt;"")*(应付登记!$D$1000=$C$130)*ISNUMBER(应付登记!$J$1000)*(应付登记!$J$1000&gt;=_辅助!$J$4)*(应付登记!$J$1000&lt;=_辅助!$J$2),1,0)</f>
        <v>0</v>
      </c>
    </row>
    <row r="997">
      <c r="BC997" s="2">
        <f>BC950+SUM(CD951:CD997)</f>
        <v>0</v>
      </c>
      <c r="BD997" s="2">
        <f>IF(AND($C$130&lt;&gt;"",资金流水!$J$1001=$C$130,ISNUMBER(资金流水!$B$1001),ISNUMBER(资金流水!$S$1001),资金流水!$S$1001&gt;=_辅助!$J$4,资金流水!$S$1001&lt;=_辅助!$J$2,OR(资金流水!$X$1001="应付材料款",资金流水!$X$1001="应付分包款",资金流水!$X$1001="应付机械运输费",资金流水!$X$1001="应付其他款")),INT(资金流水!$B$1001)*10000+996,"")</f>
      </c>
      <c r="CD997" s="2">
        <f>IF(($C$130&lt;&gt;"")*(应付登记!$D$1001=$C$130)*ISNUMBER(应付登记!$J$1001)*(应付登记!$J$1001&gt;=_辅助!$J$4)*(应付登记!$J$1001&lt;=_辅助!$J$2),1,0)</f>
        <v>0</v>
      </c>
    </row>
    <row r="998">
      <c r="BC998" s="2">
        <f>BC950+SUM(CD951:CD998)</f>
        <v>0</v>
      </c>
      <c r="BD998" s="2">
        <f>IF(AND($C$130&lt;&gt;"",资金流水!$J$1002=$C$130,ISNUMBER(资金流水!$B$1002),ISNUMBER(资金流水!$S$1002),资金流水!$S$1002&gt;=_辅助!$J$4,资金流水!$S$1002&lt;=_辅助!$J$2,OR(资金流水!$X$1002="应付材料款",资金流水!$X$1002="应付分包款",资金流水!$X$1002="应付机械运输费",资金流水!$X$1002="应付其他款")),INT(资金流水!$B$1002)*10000+997,"")</f>
      </c>
      <c r="CD998" s="2">
        <f>IF(($C$130&lt;&gt;"")*(应付登记!$D$1002=$C$130)*ISNUMBER(应付登记!$J$1002)*(应付登记!$J$1002&gt;=_辅助!$J$4)*(应付登记!$J$1002&lt;=_辅助!$J$2),1,0)</f>
        <v>0</v>
      </c>
    </row>
    <row r="999">
      <c r="BC999" s="2">
        <f>BC950+SUM(CD951:CD999)</f>
        <v>0</v>
      </c>
      <c r="BD999" s="2">
        <f>IF(AND($C$130&lt;&gt;"",资金流水!$J$1003=$C$130,ISNUMBER(资金流水!$B$1003),ISNUMBER(资金流水!$S$1003),资金流水!$S$1003&gt;=_辅助!$J$4,资金流水!$S$1003&lt;=_辅助!$J$2,OR(资金流水!$X$1003="应付材料款",资金流水!$X$1003="应付分包款",资金流水!$X$1003="应付机械运输费",资金流水!$X$1003="应付其他款")),INT(资金流水!$B$1003)*10000+998,"")</f>
      </c>
      <c r="CD999" s="2">
        <f>IF(($C$130&lt;&gt;"")*(应付登记!$D$1003=$C$130)*ISNUMBER(应付登记!$J$1003)*(应付登记!$J$1003&gt;=_辅助!$J$4)*(应付登记!$J$1003&lt;=_辅助!$J$2),1,0)</f>
        <v>0</v>
      </c>
    </row>
    <row r="1000">
      <c r="BC1000" s="2">
        <f>BC950+SUM(CD951:CD1000)</f>
        <v>0</v>
      </c>
      <c r="BD1000" s="2">
        <f>IF(AND($C$130&lt;&gt;"",资金流水!$J$1004=$C$130,ISNUMBER(资金流水!$B$1004),ISNUMBER(资金流水!$S$1004),资金流水!$S$1004&gt;=_辅助!$J$4,资金流水!$S$1004&lt;=_辅助!$J$2,OR(资金流水!$X$1004="应付材料款",资金流水!$X$1004="应付分包款",资金流水!$X$1004="应付机械运输费",资金流水!$X$1004="应付其他款")),INT(资金流水!$B$1004)*10000+999,"")</f>
      </c>
      <c r="CD1000" s="2">
        <f>IF(($C$130&lt;&gt;"")*(应付登记!$D$1004=$C$130)*ISNUMBER(应付登记!$J$1004)*(应付登记!$J$1004&gt;=_辅助!$J$4)*(应付登记!$J$1004&lt;=_辅助!$J$2),1,0)</f>
        <v>0</v>
      </c>
    </row>
    <row r="1001">
      <c r="BD1001" s="2">
        <f>IF(AND($C$130&lt;&gt;"",资金流水!$J$1005=$C$130,ISNUMBER(资金流水!$B$1005),ISNUMBER(资金流水!$S$1005),资金流水!$S$1005&gt;=_辅助!$J$4,资金流水!$S$1005&lt;=_辅助!$J$2,OR(资金流水!$X$1005="应付材料款",资金流水!$X$1005="应付分包款",资金流水!$X$1005="应付机械运输费",资金流水!$X$1005="应付其他款")),INT(资金流水!$B$1005)*10000+1000,"")</f>
      </c>
    </row>
    <row r="1002">
      <c r="BD1002" s="2">
        <f>IF(AND($C$130&lt;&gt;"",资金流水!$J$1006=$C$130,ISNUMBER(资金流水!$B$1006),ISNUMBER(资金流水!$S$1006),资金流水!$S$1006&gt;=_辅助!$J$4,资金流水!$S$1006&lt;=_辅助!$J$2,OR(资金流水!$X$1006="应付材料款",资金流水!$X$1006="应付分包款",资金流水!$X$1006="应付机械运输费",资金流水!$X$1006="应付其他款")),INT(资金流水!$B$1006)*10000+1001,"")</f>
      </c>
    </row>
    <row r="1003">
      <c r="BD1003" s="2">
        <f>IF(AND($C$130&lt;&gt;"",资金流水!$J$1007=$C$130,ISNUMBER(资金流水!$B$1007),ISNUMBER(资金流水!$S$1007),资金流水!$S$1007&gt;=_辅助!$J$4,资金流水!$S$1007&lt;=_辅助!$J$2,OR(资金流水!$X$1007="应付材料款",资金流水!$X$1007="应付分包款",资金流水!$X$1007="应付机械运输费",资金流水!$X$1007="应付其他款")),INT(资金流水!$B$1007)*10000+1002,"")</f>
      </c>
    </row>
    <row r="1004">
      <c r="BD1004" s="2">
        <f>IF(AND($C$130&lt;&gt;"",资金流水!$J$1008=$C$130,ISNUMBER(资金流水!$B$1008),ISNUMBER(资金流水!$S$1008),资金流水!$S$1008&gt;=_辅助!$J$4,资金流水!$S$1008&lt;=_辅助!$J$2,OR(资金流水!$X$1008="应付材料款",资金流水!$X$1008="应付分包款",资金流水!$X$1008="应付机械运输费",资金流水!$X$1008="应付其他款")),INT(资金流水!$B$1008)*10000+1003,"")</f>
      </c>
    </row>
    <row r="1005">
      <c r="BD1005" s="2">
        <f>IF(AND($C$130&lt;&gt;"",资金流水!$J$1009=$C$130,ISNUMBER(资金流水!$B$1009),ISNUMBER(资金流水!$S$1009),资金流水!$S$1009&gt;=_辅助!$J$4,资金流水!$S$1009&lt;=_辅助!$J$2,OR(资金流水!$X$1009="应付材料款",资金流水!$X$1009="应付分包款",资金流水!$X$1009="应付机械运输费",资金流水!$X$1009="应付其他款")),INT(资金流水!$B$1009)*10000+1004,"")</f>
      </c>
    </row>
    <row r="1006">
      <c r="BD1006" s="2">
        <f>IF(AND($C$130&lt;&gt;"",资金流水!$J$1010=$C$130,ISNUMBER(资金流水!$B$1010),ISNUMBER(资金流水!$S$1010),资金流水!$S$1010&gt;=_辅助!$J$4,资金流水!$S$1010&lt;=_辅助!$J$2,OR(资金流水!$X$1010="应付材料款",资金流水!$X$1010="应付分包款",资金流水!$X$1010="应付机械运输费",资金流水!$X$1010="应付其他款")),INT(资金流水!$B$1010)*10000+1005,"")</f>
      </c>
    </row>
    <row r="1007">
      <c r="BD1007" s="2">
        <f>IF(AND($C$130&lt;&gt;"",资金流水!$J$1011=$C$130,ISNUMBER(资金流水!$B$1011),ISNUMBER(资金流水!$S$1011),资金流水!$S$1011&gt;=_辅助!$J$4,资金流水!$S$1011&lt;=_辅助!$J$2,OR(资金流水!$X$1011="应付材料款",资金流水!$X$1011="应付分包款",资金流水!$X$1011="应付机械运输费",资金流水!$X$1011="应付其他款")),INT(资金流水!$B$1011)*10000+1006,"")</f>
      </c>
    </row>
    <row r="1008">
      <c r="BD1008" s="2">
        <f>IF(AND($C$130&lt;&gt;"",资金流水!$J$1012=$C$130,ISNUMBER(资金流水!$B$1012),ISNUMBER(资金流水!$S$1012),资金流水!$S$1012&gt;=_辅助!$J$4,资金流水!$S$1012&lt;=_辅助!$J$2,OR(资金流水!$X$1012="应付材料款",资金流水!$X$1012="应付分包款",资金流水!$X$1012="应付机械运输费",资金流水!$X$1012="应付其他款")),INT(资金流水!$B$1012)*10000+1007,"")</f>
      </c>
    </row>
    <row r="1009">
      <c r="BD1009" s="2">
        <f>IF(AND($C$130&lt;&gt;"",资金流水!$J$1013=$C$130,ISNUMBER(资金流水!$B$1013),ISNUMBER(资金流水!$S$1013),资金流水!$S$1013&gt;=_辅助!$J$4,资金流水!$S$1013&lt;=_辅助!$J$2,OR(资金流水!$X$1013="应付材料款",资金流水!$X$1013="应付分包款",资金流水!$X$1013="应付机械运输费",资金流水!$X$1013="应付其他款")),INT(资金流水!$B$1013)*10000+1008,"")</f>
      </c>
    </row>
    <row r="1010">
      <c r="BD1010" s="2">
        <f>IF(AND($C$130&lt;&gt;"",资金流水!$J$1014=$C$130,ISNUMBER(资金流水!$B$1014),ISNUMBER(资金流水!$S$1014),资金流水!$S$1014&gt;=_辅助!$J$4,资金流水!$S$1014&lt;=_辅助!$J$2,OR(资金流水!$X$1014="应付材料款",资金流水!$X$1014="应付分包款",资金流水!$X$1014="应付机械运输费",资金流水!$X$1014="应付其他款")),INT(资金流水!$B$1014)*10000+1009,"")</f>
      </c>
    </row>
    <row r="1011">
      <c r="BD1011" s="2">
        <f>IF(AND($C$130&lt;&gt;"",资金流水!$J$1015=$C$130,ISNUMBER(资金流水!$B$1015),ISNUMBER(资金流水!$S$1015),资金流水!$S$1015&gt;=_辅助!$J$4,资金流水!$S$1015&lt;=_辅助!$J$2,OR(资金流水!$X$1015="应付材料款",资金流水!$X$1015="应付分包款",资金流水!$X$1015="应付机械运输费",资金流水!$X$1015="应付其他款")),INT(资金流水!$B$1015)*10000+1010,"")</f>
      </c>
    </row>
    <row r="1012">
      <c r="BD1012" s="2">
        <f>IF(AND($C$130&lt;&gt;"",资金流水!$J$1016=$C$130,ISNUMBER(资金流水!$B$1016),ISNUMBER(资金流水!$S$1016),资金流水!$S$1016&gt;=_辅助!$J$4,资金流水!$S$1016&lt;=_辅助!$J$2,OR(资金流水!$X$1016="应付材料款",资金流水!$X$1016="应付分包款",资金流水!$X$1016="应付机械运输费",资金流水!$X$1016="应付其他款")),INT(资金流水!$B$1016)*10000+1011,"")</f>
      </c>
    </row>
    <row r="1013">
      <c r="BD1013" s="2">
        <f>IF(AND($C$130&lt;&gt;"",资金流水!$J$1017=$C$130,ISNUMBER(资金流水!$B$1017),ISNUMBER(资金流水!$S$1017),资金流水!$S$1017&gt;=_辅助!$J$4,资金流水!$S$1017&lt;=_辅助!$J$2,OR(资金流水!$X$1017="应付材料款",资金流水!$X$1017="应付分包款",资金流水!$X$1017="应付机械运输费",资金流水!$X$1017="应付其他款")),INT(资金流水!$B$1017)*10000+1012,"")</f>
      </c>
    </row>
    <row r="1014">
      <c r="BD1014" s="2">
        <f>IF(AND($C$130&lt;&gt;"",资金流水!$J$1018=$C$130,ISNUMBER(资金流水!$B$1018),ISNUMBER(资金流水!$S$1018),资金流水!$S$1018&gt;=_辅助!$J$4,资金流水!$S$1018&lt;=_辅助!$J$2,OR(资金流水!$X$1018="应付材料款",资金流水!$X$1018="应付分包款",资金流水!$X$1018="应付机械运输费",资金流水!$X$1018="应付其他款")),INT(资金流水!$B$1018)*10000+1013,"")</f>
      </c>
    </row>
    <row r="1015">
      <c r="BD1015" s="2">
        <f>IF(AND($C$130&lt;&gt;"",资金流水!$J$1019=$C$130,ISNUMBER(资金流水!$B$1019),ISNUMBER(资金流水!$S$1019),资金流水!$S$1019&gt;=_辅助!$J$4,资金流水!$S$1019&lt;=_辅助!$J$2,OR(资金流水!$X$1019="应付材料款",资金流水!$X$1019="应付分包款",资金流水!$X$1019="应付机械运输费",资金流水!$X$1019="应付其他款")),INT(资金流水!$B$1019)*10000+1014,"")</f>
      </c>
    </row>
    <row r="1016">
      <c r="BD1016" s="2">
        <f>IF(AND($C$130&lt;&gt;"",资金流水!$J$1020=$C$130,ISNUMBER(资金流水!$B$1020),ISNUMBER(资金流水!$S$1020),资金流水!$S$1020&gt;=_辅助!$J$4,资金流水!$S$1020&lt;=_辅助!$J$2,OR(资金流水!$X$1020="应付材料款",资金流水!$X$1020="应付分包款",资金流水!$X$1020="应付机械运输费",资金流水!$X$1020="应付其他款")),INT(资金流水!$B$1020)*10000+1015,"")</f>
      </c>
    </row>
    <row r="1017">
      <c r="BD1017" s="2">
        <f>IF(AND($C$130&lt;&gt;"",资金流水!$J$1021=$C$130,ISNUMBER(资金流水!$B$1021),ISNUMBER(资金流水!$S$1021),资金流水!$S$1021&gt;=_辅助!$J$4,资金流水!$S$1021&lt;=_辅助!$J$2,OR(资金流水!$X$1021="应付材料款",资金流水!$X$1021="应付分包款",资金流水!$X$1021="应付机械运输费",资金流水!$X$1021="应付其他款")),INT(资金流水!$B$1021)*10000+1016,"")</f>
      </c>
    </row>
    <row r="1018">
      <c r="BD1018" s="2">
        <f>IF(AND($C$130&lt;&gt;"",资金流水!$J$1022=$C$130,ISNUMBER(资金流水!$B$1022),ISNUMBER(资金流水!$S$1022),资金流水!$S$1022&gt;=_辅助!$J$4,资金流水!$S$1022&lt;=_辅助!$J$2,OR(资金流水!$X$1022="应付材料款",资金流水!$X$1022="应付分包款",资金流水!$X$1022="应付机械运输费",资金流水!$X$1022="应付其他款")),INT(资金流水!$B$1022)*10000+1017,"")</f>
      </c>
    </row>
    <row r="1019">
      <c r="BD1019" s="2">
        <f>IF(AND($C$130&lt;&gt;"",资金流水!$J$1023=$C$130,ISNUMBER(资金流水!$B$1023),ISNUMBER(资金流水!$S$1023),资金流水!$S$1023&gt;=_辅助!$J$4,资金流水!$S$1023&lt;=_辅助!$J$2,OR(资金流水!$X$1023="应付材料款",资金流水!$X$1023="应付分包款",资金流水!$X$1023="应付机械运输费",资金流水!$X$1023="应付其他款")),INT(资金流水!$B$1023)*10000+1018,"")</f>
      </c>
    </row>
    <row r="1020">
      <c r="BD1020" s="2">
        <f>IF(AND($C$130&lt;&gt;"",资金流水!$J$1024=$C$130,ISNUMBER(资金流水!$B$1024),ISNUMBER(资金流水!$S$1024),资金流水!$S$1024&gt;=_辅助!$J$4,资金流水!$S$1024&lt;=_辅助!$J$2,OR(资金流水!$X$1024="应付材料款",资金流水!$X$1024="应付分包款",资金流水!$X$1024="应付机械运输费",资金流水!$X$1024="应付其他款")),INT(资金流水!$B$1024)*10000+1019,"")</f>
      </c>
    </row>
    <row r="1021">
      <c r="BD1021" s="2">
        <f>IF(AND($C$130&lt;&gt;"",资金流水!$J$1025=$C$130,ISNUMBER(资金流水!$B$1025),ISNUMBER(资金流水!$S$1025),资金流水!$S$1025&gt;=_辅助!$J$4,资金流水!$S$1025&lt;=_辅助!$J$2,OR(资金流水!$X$1025="应付材料款",资金流水!$X$1025="应付分包款",资金流水!$X$1025="应付机械运输费",资金流水!$X$1025="应付其他款")),INT(资金流水!$B$1025)*10000+1020,"")</f>
      </c>
    </row>
    <row r="1022">
      <c r="BD1022" s="2">
        <f>IF(AND($C$130&lt;&gt;"",资金流水!$J$1026=$C$130,ISNUMBER(资金流水!$B$1026),ISNUMBER(资金流水!$S$1026),资金流水!$S$1026&gt;=_辅助!$J$4,资金流水!$S$1026&lt;=_辅助!$J$2,OR(资金流水!$X$1026="应付材料款",资金流水!$X$1026="应付分包款",资金流水!$X$1026="应付机械运输费",资金流水!$X$1026="应付其他款")),INT(资金流水!$B$1026)*10000+1021,"")</f>
      </c>
    </row>
    <row r="1023">
      <c r="BD1023" s="2">
        <f>IF(AND($C$130&lt;&gt;"",资金流水!$J$1027=$C$130,ISNUMBER(资金流水!$B$1027),ISNUMBER(资金流水!$S$1027),资金流水!$S$1027&gt;=_辅助!$J$4,资金流水!$S$1027&lt;=_辅助!$J$2,OR(资金流水!$X$1027="应付材料款",资金流水!$X$1027="应付分包款",资金流水!$X$1027="应付机械运输费",资金流水!$X$1027="应付其他款")),INT(资金流水!$B$1027)*10000+1022,"")</f>
      </c>
    </row>
    <row r="1024">
      <c r="BD1024" s="2">
        <f>IF(AND($C$130&lt;&gt;"",资金流水!$J$1028=$C$130,ISNUMBER(资金流水!$B$1028),ISNUMBER(资金流水!$S$1028),资金流水!$S$1028&gt;=_辅助!$J$4,资金流水!$S$1028&lt;=_辅助!$J$2,OR(资金流水!$X$1028="应付材料款",资金流水!$X$1028="应付分包款",资金流水!$X$1028="应付机械运输费",资金流水!$X$1028="应付其他款")),INT(资金流水!$B$1028)*10000+1023,"")</f>
      </c>
    </row>
    <row r="1025">
      <c r="BD1025" s="2">
        <f>IF(AND($C$130&lt;&gt;"",资金流水!$J$1029=$C$130,ISNUMBER(资金流水!$B$1029),ISNUMBER(资金流水!$S$1029),资金流水!$S$1029&gt;=_辅助!$J$4,资金流水!$S$1029&lt;=_辅助!$J$2,OR(资金流水!$X$1029="应付材料款",资金流水!$X$1029="应付分包款",资金流水!$X$1029="应付机械运输费",资金流水!$X$1029="应付其他款")),INT(资金流水!$B$1029)*10000+1024,"")</f>
      </c>
    </row>
    <row r="1026">
      <c r="BD1026" s="2">
        <f>IF(AND($C$130&lt;&gt;"",资金流水!$J$1030=$C$130,ISNUMBER(资金流水!$B$1030),ISNUMBER(资金流水!$S$1030),资金流水!$S$1030&gt;=_辅助!$J$4,资金流水!$S$1030&lt;=_辅助!$J$2,OR(资金流水!$X$1030="应付材料款",资金流水!$X$1030="应付分包款",资金流水!$X$1030="应付机械运输费",资金流水!$X$1030="应付其他款")),INT(资金流水!$B$1030)*10000+1025,"")</f>
      </c>
    </row>
    <row r="1027">
      <c r="BD1027" s="2">
        <f>IF(AND($C$130&lt;&gt;"",资金流水!$J$1031=$C$130,ISNUMBER(资金流水!$B$1031),ISNUMBER(资金流水!$S$1031),资金流水!$S$1031&gt;=_辅助!$J$4,资金流水!$S$1031&lt;=_辅助!$J$2,OR(资金流水!$X$1031="应付材料款",资金流水!$X$1031="应付分包款",资金流水!$X$1031="应付机械运输费",资金流水!$X$1031="应付其他款")),INT(资金流水!$B$1031)*10000+1026,"")</f>
      </c>
    </row>
    <row r="1028">
      <c r="BD1028" s="2">
        <f>IF(AND($C$130&lt;&gt;"",资金流水!$J$1032=$C$130,ISNUMBER(资金流水!$B$1032),ISNUMBER(资金流水!$S$1032),资金流水!$S$1032&gt;=_辅助!$J$4,资金流水!$S$1032&lt;=_辅助!$J$2,OR(资金流水!$X$1032="应付材料款",资金流水!$X$1032="应付分包款",资金流水!$X$1032="应付机械运输费",资金流水!$X$1032="应付其他款")),INT(资金流水!$B$1032)*10000+1027,"")</f>
      </c>
    </row>
    <row r="1029">
      <c r="BD1029" s="2">
        <f>IF(AND($C$130&lt;&gt;"",资金流水!$J$1033=$C$130,ISNUMBER(资金流水!$B$1033),ISNUMBER(资金流水!$S$1033),资金流水!$S$1033&gt;=_辅助!$J$4,资金流水!$S$1033&lt;=_辅助!$J$2,OR(资金流水!$X$1033="应付材料款",资金流水!$X$1033="应付分包款",资金流水!$X$1033="应付机械运输费",资金流水!$X$1033="应付其他款")),INT(资金流水!$B$1033)*10000+1028,"")</f>
      </c>
    </row>
    <row r="1030">
      <c r="BD1030" s="2">
        <f>IF(AND($C$130&lt;&gt;"",资金流水!$J$1034=$C$130,ISNUMBER(资金流水!$B$1034),ISNUMBER(资金流水!$S$1034),资金流水!$S$1034&gt;=_辅助!$J$4,资金流水!$S$1034&lt;=_辅助!$J$2,OR(资金流水!$X$1034="应付材料款",资金流水!$X$1034="应付分包款",资金流水!$X$1034="应付机械运输费",资金流水!$X$1034="应付其他款")),INT(资金流水!$B$1034)*10000+1029,"")</f>
      </c>
    </row>
    <row r="1031">
      <c r="BD1031" s="2">
        <f>IF(AND($C$130&lt;&gt;"",资金流水!$J$1035=$C$130,ISNUMBER(资金流水!$B$1035),ISNUMBER(资金流水!$S$1035),资金流水!$S$1035&gt;=_辅助!$J$4,资金流水!$S$1035&lt;=_辅助!$J$2,OR(资金流水!$X$1035="应付材料款",资金流水!$X$1035="应付分包款",资金流水!$X$1035="应付机械运输费",资金流水!$X$1035="应付其他款")),INT(资金流水!$B$1035)*10000+1030,"")</f>
      </c>
    </row>
    <row r="1032">
      <c r="BD1032" s="2">
        <f>IF(AND($C$130&lt;&gt;"",资金流水!$J$1036=$C$130,ISNUMBER(资金流水!$B$1036),ISNUMBER(资金流水!$S$1036),资金流水!$S$1036&gt;=_辅助!$J$4,资金流水!$S$1036&lt;=_辅助!$J$2,OR(资金流水!$X$1036="应付材料款",资金流水!$X$1036="应付分包款",资金流水!$X$1036="应付机械运输费",资金流水!$X$1036="应付其他款")),INT(资金流水!$B$1036)*10000+1031,"")</f>
      </c>
    </row>
    <row r="1033">
      <c r="BD1033" s="2">
        <f>IF(AND($C$130&lt;&gt;"",资金流水!$J$1037=$C$130,ISNUMBER(资金流水!$B$1037),ISNUMBER(资金流水!$S$1037),资金流水!$S$1037&gt;=_辅助!$J$4,资金流水!$S$1037&lt;=_辅助!$J$2,OR(资金流水!$X$1037="应付材料款",资金流水!$X$1037="应付分包款",资金流水!$X$1037="应付机械运输费",资金流水!$X$1037="应付其他款")),INT(资金流水!$B$1037)*10000+1032,"")</f>
      </c>
    </row>
    <row r="1034">
      <c r="BD1034" s="2">
        <f>IF(AND($C$130&lt;&gt;"",资金流水!$J$1038=$C$130,ISNUMBER(资金流水!$B$1038),ISNUMBER(资金流水!$S$1038),资金流水!$S$1038&gt;=_辅助!$J$4,资金流水!$S$1038&lt;=_辅助!$J$2,OR(资金流水!$X$1038="应付材料款",资金流水!$X$1038="应付分包款",资金流水!$X$1038="应付机械运输费",资金流水!$X$1038="应付其他款")),INT(资金流水!$B$1038)*10000+1033,"")</f>
      </c>
    </row>
    <row r="1035">
      <c r="BD1035" s="2">
        <f>IF(AND($C$130&lt;&gt;"",资金流水!$J$1039=$C$130,ISNUMBER(资金流水!$B$1039),ISNUMBER(资金流水!$S$1039),资金流水!$S$1039&gt;=_辅助!$J$4,资金流水!$S$1039&lt;=_辅助!$J$2,OR(资金流水!$X$1039="应付材料款",资金流水!$X$1039="应付分包款",资金流水!$X$1039="应付机械运输费",资金流水!$X$1039="应付其他款")),INT(资金流水!$B$1039)*10000+1034,"")</f>
      </c>
    </row>
    <row r="1036">
      <c r="BD1036" s="2">
        <f>IF(AND($C$130&lt;&gt;"",资金流水!$J$1040=$C$130,ISNUMBER(资金流水!$B$1040),ISNUMBER(资金流水!$S$1040),资金流水!$S$1040&gt;=_辅助!$J$4,资金流水!$S$1040&lt;=_辅助!$J$2,OR(资金流水!$X$1040="应付材料款",资金流水!$X$1040="应付分包款",资金流水!$X$1040="应付机械运输费",资金流水!$X$1040="应付其他款")),INT(资金流水!$B$1040)*10000+1035,"")</f>
      </c>
    </row>
    <row r="1037">
      <c r="BD1037" s="2">
        <f>IF(AND($C$130&lt;&gt;"",资金流水!$J$1041=$C$130,ISNUMBER(资金流水!$B$1041),ISNUMBER(资金流水!$S$1041),资金流水!$S$1041&gt;=_辅助!$J$4,资金流水!$S$1041&lt;=_辅助!$J$2,OR(资金流水!$X$1041="应付材料款",资金流水!$X$1041="应付分包款",资金流水!$X$1041="应付机械运输费",资金流水!$X$1041="应付其他款")),INT(资金流水!$B$1041)*10000+1036,"")</f>
      </c>
    </row>
    <row r="1038">
      <c r="BD1038" s="2">
        <f>IF(AND($C$130&lt;&gt;"",资金流水!$J$1042=$C$130,ISNUMBER(资金流水!$B$1042),ISNUMBER(资金流水!$S$1042),资金流水!$S$1042&gt;=_辅助!$J$4,资金流水!$S$1042&lt;=_辅助!$J$2,OR(资金流水!$X$1042="应付材料款",资金流水!$X$1042="应付分包款",资金流水!$X$1042="应付机械运输费",资金流水!$X$1042="应付其他款")),INT(资金流水!$B$1042)*10000+1037,"")</f>
      </c>
    </row>
    <row r="1039">
      <c r="BD1039" s="2">
        <f>IF(AND($C$130&lt;&gt;"",资金流水!$J$1043=$C$130,ISNUMBER(资金流水!$B$1043),ISNUMBER(资金流水!$S$1043),资金流水!$S$1043&gt;=_辅助!$J$4,资金流水!$S$1043&lt;=_辅助!$J$2,OR(资金流水!$X$1043="应付材料款",资金流水!$X$1043="应付分包款",资金流水!$X$1043="应付机械运输费",资金流水!$X$1043="应付其他款")),INT(资金流水!$B$1043)*10000+1038,"")</f>
      </c>
    </row>
    <row r="1040">
      <c r="BD1040" s="2">
        <f>IF(AND($C$130&lt;&gt;"",资金流水!$J$1044=$C$130,ISNUMBER(资金流水!$B$1044),ISNUMBER(资金流水!$S$1044),资金流水!$S$1044&gt;=_辅助!$J$4,资金流水!$S$1044&lt;=_辅助!$J$2,OR(资金流水!$X$1044="应付材料款",资金流水!$X$1044="应付分包款",资金流水!$X$1044="应付机械运输费",资金流水!$X$1044="应付其他款")),INT(资金流水!$B$1044)*10000+1039,"")</f>
      </c>
    </row>
    <row r="1041">
      <c r="BD1041" s="2">
        <f>IF(AND($C$130&lt;&gt;"",资金流水!$J$1045=$C$130,ISNUMBER(资金流水!$B$1045),ISNUMBER(资金流水!$S$1045),资金流水!$S$1045&gt;=_辅助!$J$4,资金流水!$S$1045&lt;=_辅助!$J$2,OR(资金流水!$X$1045="应付材料款",资金流水!$X$1045="应付分包款",资金流水!$X$1045="应付机械运输费",资金流水!$X$1045="应付其他款")),INT(资金流水!$B$1045)*10000+1040,"")</f>
      </c>
    </row>
    <row r="1042">
      <c r="BD1042" s="2">
        <f>IF(AND($C$130&lt;&gt;"",资金流水!$J$1046=$C$130,ISNUMBER(资金流水!$B$1046),ISNUMBER(资金流水!$S$1046),资金流水!$S$1046&gt;=_辅助!$J$4,资金流水!$S$1046&lt;=_辅助!$J$2,OR(资金流水!$X$1046="应付材料款",资金流水!$X$1046="应付分包款",资金流水!$X$1046="应付机械运输费",资金流水!$X$1046="应付其他款")),INT(资金流水!$B$1046)*10000+1041,"")</f>
      </c>
    </row>
    <row r="1043">
      <c r="BD1043" s="2">
        <f>IF(AND($C$130&lt;&gt;"",资金流水!$J$1047=$C$130,ISNUMBER(资金流水!$B$1047),ISNUMBER(资金流水!$S$1047),资金流水!$S$1047&gt;=_辅助!$J$4,资金流水!$S$1047&lt;=_辅助!$J$2,OR(资金流水!$X$1047="应付材料款",资金流水!$X$1047="应付分包款",资金流水!$X$1047="应付机械运输费",资金流水!$X$1047="应付其他款")),INT(资金流水!$B$1047)*10000+1042,"")</f>
      </c>
    </row>
    <row r="1044">
      <c r="BD1044" s="2">
        <f>IF(AND($C$130&lt;&gt;"",资金流水!$J$1048=$C$130,ISNUMBER(资金流水!$B$1048),ISNUMBER(资金流水!$S$1048),资金流水!$S$1048&gt;=_辅助!$J$4,资金流水!$S$1048&lt;=_辅助!$J$2,OR(资金流水!$X$1048="应付材料款",资金流水!$X$1048="应付分包款",资金流水!$X$1048="应付机械运输费",资金流水!$X$1048="应付其他款")),INT(资金流水!$B$1048)*10000+1043,"")</f>
      </c>
    </row>
    <row r="1045">
      <c r="BD1045" s="2">
        <f>IF(AND($C$130&lt;&gt;"",资金流水!$J$1049=$C$130,ISNUMBER(资金流水!$B$1049),ISNUMBER(资金流水!$S$1049),资金流水!$S$1049&gt;=_辅助!$J$4,资金流水!$S$1049&lt;=_辅助!$J$2,OR(资金流水!$X$1049="应付材料款",资金流水!$X$1049="应付分包款",资金流水!$X$1049="应付机械运输费",资金流水!$X$1049="应付其他款")),INT(资金流水!$B$1049)*10000+1044,"")</f>
      </c>
    </row>
    <row r="1046">
      <c r="BD1046" s="2">
        <f>IF(AND($C$130&lt;&gt;"",资金流水!$J$1050=$C$130,ISNUMBER(资金流水!$B$1050),ISNUMBER(资金流水!$S$1050),资金流水!$S$1050&gt;=_辅助!$J$4,资金流水!$S$1050&lt;=_辅助!$J$2,OR(资金流水!$X$1050="应付材料款",资金流水!$X$1050="应付分包款",资金流水!$X$1050="应付机械运输费",资金流水!$X$1050="应付其他款")),INT(资金流水!$B$1050)*10000+1045,"")</f>
      </c>
    </row>
    <row r="1047">
      <c r="BD1047" s="2">
        <f>IF(AND($C$130&lt;&gt;"",资金流水!$J$1051=$C$130,ISNUMBER(资金流水!$B$1051),ISNUMBER(资金流水!$S$1051),资金流水!$S$1051&gt;=_辅助!$J$4,资金流水!$S$1051&lt;=_辅助!$J$2,OR(资金流水!$X$1051="应付材料款",资金流水!$X$1051="应付分包款",资金流水!$X$1051="应付机械运输费",资金流水!$X$1051="应付其他款")),INT(资金流水!$B$1051)*10000+1046,"")</f>
      </c>
    </row>
    <row r="1048">
      <c r="BD1048" s="2">
        <f>IF(AND($C$130&lt;&gt;"",资金流水!$J$1052=$C$130,ISNUMBER(资金流水!$B$1052),ISNUMBER(资金流水!$S$1052),资金流水!$S$1052&gt;=_辅助!$J$4,资金流水!$S$1052&lt;=_辅助!$J$2,OR(资金流水!$X$1052="应付材料款",资金流水!$X$1052="应付分包款",资金流水!$X$1052="应付机械运输费",资金流水!$X$1052="应付其他款")),INT(资金流水!$B$1052)*10000+1047,"")</f>
      </c>
    </row>
    <row r="1049">
      <c r="BD1049" s="2">
        <f>IF(AND($C$130&lt;&gt;"",资金流水!$J$1053=$C$130,ISNUMBER(资金流水!$B$1053),ISNUMBER(资金流水!$S$1053),资金流水!$S$1053&gt;=_辅助!$J$4,资金流水!$S$1053&lt;=_辅助!$J$2,OR(资金流水!$X$1053="应付材料款",资金流水!$X$1053="应付分包款",资金流水!$X$1053="应付机械运输费",资金流水!$X$1053="应付其他款")),INT(资金流水!$B$1053)*10000+1048,"")</f>
      </c>
    </row>
    <row r="1050">
      <c r="BD1050" s="2">
        <f>IF(AND($C$130&lt;&gt;"",资金流水!$J$1054=$C$130,ISNUMBER(资金流水!$B$1054),ISNUMBER(资金流水!$S$1054),资金流水!$S$1054&gt;=_辅助!$J$4,资金流水!$S$1054&lt;=_辅助!$J$2,OR(资金流水!$X$1054="应付材料款",资金流水!$X$1054="应付分包款",资金流水!$X$1054="应付机械运输费",资金流水!$X$1054="应付其他款")),INT(资金流水!$B$1054)*10000+1049,"")</f>
      </c>
    </row>
    <row r="1051">
      <c r="BD1051" s="2">
        <f>IF(AND($C$130&lt;&gt;"",资金流水!$J$1055=$C$130,ISNUMBER(资金流水!$B$1055),ISNUMBER(资金流水!$S$1055),资金流水!$S$1055&gt;=_辅助!$J$4,资金流水!$S$1055&lt;=_辅助!$J$2,OR(资金流水!$X$1055="应付材料款",资金流水!$X$1055="应付分包款",资金流水!$X$1055="应付机械运输费",资金流水!$X$1055="应付其他款")),INT(资金流水!$B$1055)*10000+1050,"")</f>
      </c>
    </row>
    <row r="1052">
      <c r="BD1052" s="2">
        <f>IF(AND($C$130&lt;&gt;"",资金流水!$J$1056=$C$130,ISNUMBER(资金流水!$B$1056),ISNUMBER(资金流水!$S$1056),资金流水!$S$1056&gt;=_辅助!$J$4,资金流水!$S$1056&lt;=_辅助!$J$2,OR(资金流水!$X$1056="应付材料款",资金流水!$X$1056="应付分包款",资金流水!$X$1056="应付机械运输费",资金流水!$X$1056="应付其他款")),INT(资金流水!$B$1056)*10000+1051,"")</f>
      </c>
    </row>
    <row r="1053">
      <c r="BD1053" s="2">
        <f>IF(AND($C$130&lt;&gt;"",资金流水!$J$1057=$C$130,ISNUMBER(资金流水!$B$1057),ISNUMBER(资金流水!$S$1057),资金流水!$S$1057&gt;=_辅助!$J$4,资金流水!$S$1057&lt;=_辅助!$J$2,OR(资金流水!$X$1057="应付材料款",资金流水!$X$1057="应付分包款",资金流水!$X$1057="应付机械运输费",资金流水!$X$1057="应付其他款")),INT(资金流水!$B$1057)*10000+1052,"")</f>
      </c>
    </row>
    <row r="1054">
      <c r="BD1054" s="2">
        <f>IF(AND($C$130&lt;&gt;"",资金流水!$J$1058=$C$130,ISNUMBER(资金流水!$B$1058),ISNUMBER(资金流水!$S$1058),资金流水!$S$1058&gt;=_辅助!$J$4,资金流水!$S$1058&lt;=_辅助!$J$2,OR(资金流水!$X$1058="应付材料款",资金流水!$X$1058="应付分包款",资金流水!$X$1058="应付机械运输费",资金流水!$X$1058="应付其他款")),INT(资金流水!$B$1058)*10000+1053,"")</f>
      </c>
    </row>
    <row r="1055">
      <c r="BD1055" s="2">
        <f>IF(AND($C$130&lt;&gt;"",资金流水!$J$1059=$C$130,ISNUMBER(资金流水!$B$1059),ISNUMBER(资金流水!$S$1059),资金流水!$S$1059&gt;=_辅助!$J$4,资金流水!$S$1059&lt;=_辅助!$J$2,OR(资金流水!$X$1059="应付材料款",资金流水!$X$1059="应付分包款",资金流水!$X$1059="应付机械运输费",资金流水!$X$1059="应付其他款")),INT(资金流水!$B$1059)*10000+1054,"")</f>
      </c>
    </row>
    <row r="1056">
      <c r="BD1056" s="2">
        <f>IF(AND($C$130&lt;&gt;"",资金流水!$J$1060=$C$130,ISNUMBER(资金流水!$B$1060),ISNUMBER(资金流水!$S$1060),资金流水!$S$1060&gt;=_辅助!$J$4,资金流水!$S$1060&lt;=_辅助!$J$2,OR(资金流水!$X$1060="应付材料款",资金流水!$X$1060="应付分包款",资金流水!$X$1060="应付机械运输费",资金流水!$X$1060="应付其他款")),INT(资金流水!$B$1060)*10000+1055,"")</f>
      </c>
    </row>
    <row r="1057">
      <c r="BD1057" s="2">
        <f>IF(AND($C$130&lt;&gt;"",资金流水!$J$1061=$C$130,ISNUMBER(资金流水!$B$1061),ISNUMBER(资金流水!$S$1061),资金流水!$S$1061&gt;=_辅助!$J$4,资金流水!$S$1061&lt;=_辅助!$J$2,OR(资金流水!$X$1061="应付材料款",资金流水!$X$1061="应付分包款",资金流水!$X$1061="应付机械运输费",资金流水!$X$1061="应付其他款")),INT(资金流水!$B$1061)*10000+1056,"")</f>
      </c>
    </row>
    <row r="1058">
      <c r="BD1058" s="2">
        <f>IF(AND($C$130&lt;&gt;"",资金流水!$J$1062=$C$130,ISNUMBER(资金流水!$B$1062),ISNUMBER(资金流水!$S$1062),资金流水!$S$1062&gt;=_辅助!$J$4,资金流水!$S$1062&lt;=_辅助!$J$2,OR(资金流水!$X$1062="应付材料款",资金流水!$X$1062="应付分包款",资金流水!$X$1062="应付机械运输费",资金流水!$X$1062="应付其他款")),INT(资金流水!$B$1062)*10000+1057,"")</f>
      </c>
    </row>
    <row r="1059">
      <c r="BD1059" s="2">
        <f>IF(AND($C$130&lt;&gt;"",资金流水!$J$1063=$C$130,ISNUMBER(资金流水!$B$1063),ISNUMBER(资金流水!$S$1063),资金流水!$S$1063&gt;=_辅助!$J$4,资金流水!$S$1063&lt;=_辅助!$J$2,OR(资金流水!$X$1063="应付材料款",资金流水!$X$1063="应付分包款",资金流水!$X$1063="应付机械运输费",资金流水!$X$1063="应付其他款")),INT(资金流水!$B$1063)*10000+1058,"")</f>
      </c>
    </row>
    <row r="1060">
      <c r="BD1060" s="2">
        <f>IF(AND($C$130&lt;&gt;"",资金流水!$J$1064=$C$130,ISNUMBER(资金流水!$B$1064),ISNUMBER(资金流水!$S$1064),资金流水!$S$1064&gt;=_辅助!$J$4,资金流水!$S$1064&lt;=_辅助!$J$2,OR(资金流水!$X$1064="应付材料款",资金流水!$X$1064="应付分包款",资金流水!$X$1064="应付机械运输费",资金流水!$X$1064="应付其他款")),INT(资金流水!$B$1064)*10000+1059,"")</f>
      </c>
    </row>
    <row r="1061">
      <c r="BD1061" s="2">
        <f>IF(AND($C$130&lt;&gt;"",资金流水!$J$1065=$C$130,ISNUMBER(资金流水!$B$1065),ISNUMBER(资金流水!$S$1065),资金流水!$S$1065&gt;=_辅助!$J$4,资金流水!$S$1065&lt;=_辅助!$J$2,OR(资金流水!$X$1065="应付材料款",资金流水!$X$1065="应付分包款",资金流水!$X$1065="应付机械运输费",资金流水!$X$1065="应付其他款")),INT(资金流水!$B$1065)*10000+1060,"")</f>
      </c>
    </row>
    <row r="1062">
      <c r="BD1062" s="2">
        <f>IF(AND($C$130&lt;&gt;"",资金流水!$J$1066=$C$130,ISNUMBER(资金流水!$B$1066),ISNUMBER(资金流水!$S$1066),资金流水!$S$1066&gt;=_辅助!$J$4,资金流水!$S$1066&lt;=_辅助!$J$2,OR(资金流水!$X$1066="应付材料款",资金流水!$X$1066="应付分包款",资金流水!$X$1066="应付机械运输费",资金流水!$X$1066="应付其他款")),INT(资金流水!$B$1066)*10000+1061,"")</f>
      </c>
    </row>
    <row r="1063">
      <c r="BD1063" s="2">
        <f>IF(AND($C$130&lt;&gt;"",资金流水!$J$1067=$C$130,ISNUMBER(资金流水!$B$1067),ISNUMBER(资金流水!$S$1067),资金流水!$S$1067&gt;=_辅助!$J$4,资金流水!$S$1067&lt;=_辅助!$J$2,OR(资金流水!$X$1067="应付材料款",资金流水!$X$1067="应付分包款",资金流水!$X$1067="应付机械运输费",资金流水!$X$1067="应付其他款")),INT(资金流水!$B$1067)*10000+1062,"")</f>
      </c>
    </row>
    <row r="1064">
      <c r="BD1064" s="2">
        <f>IF(AND($C$130&lt;&gt;"",资金流水!$J$1068=$C$130,ISNUMBER(资金流水!$B$1068),ISNUMBER(资金流水!$S$1068),资金流水!$S$1068&gt;=_辅助!$J$4,资金流水!$S$1068&lt;=_辅助!$J$2,OR(资金流水!$X$1068="应付材料款",资金流水!$X$1068="应付分包款",资金流水!$X$1068="应付机械运输费",资金流水!$X$1068="应付其他款")),INT(资金流水!$B$1068)*10000+1063,"")</f>
      </c>
    </row>
    <row r="1065">
      <c r="BD1065" s="2">
        <f>IF(AND($C$130&lt;&gt;"",资金流水!$J$1069=$C$130,ISNUMBER(资金流水!$B$1069),ISNUMBER(资金流水!$S$1069),资金流水!$S$1069&gt;=_辅助!$J$4,资金流水!$S$1069&lt;=_辅助!$J$2,OR(资金流水!$X$1069="应付材料款",资金流水!$X$1069="应付分包款",资金流水!$X$1069="应付机械运输费",资金流水!$X$1069="应付其他款")),INT(资金流水!$B$1069)*10000+1064,"")</f>
      </c>
    </row>
    <row r="1066">
      <c r="BD1066" s="2">
        <f>IF(AND($C$130&lt;&gt;"",资金流水!$J$1070=$C$130,ISNUMBER(资金流水!$B$1070),ISNUMBER(资金流水!$S$1070),资金流水!$S$1070&gt;=_辅助!$J$4,资金流水!$S$1070&lt;=_辅助!$J$2,OR(资金流水!$X$1070="应付材料款",资金流水!$X$1070="应付分包款",资金流水!$X$1070="应付机械运输费",资金流水!$X$1070="应付其他款")),INT(资金流水!$B$1070)*10000+1065,"")</f>
      </c>
    </row>
    <row r="1067">
      <c r="BD1067" s="2">
        <f>IF(AND($C$130&lt;&gt;"",资金流水!$J$1071=$C$130,ISNUMBER(资金流水!$B$1071),ISNUMBER(资金流水!$S$1071),资金流水!$S$1071&gt;=_辅助!$J$4,资金流水!$S$1071&lt;=_辅助!$J$2,OR(资金流水!$X$1071="应付材料款",资金流水!$X$1071="应付分包款",资金流水!$X$1071="应付机械运输费",资金流水!$X$1071="应付其他款")),INT(资金流水!$B$1071)*10000+1066,"")</f>
      </c>
    </row>
    <row r="1068">
      <c r="BD1068" s="2">
        <f>IF(AND($C$130&lt;&gt;"",资金流水!$J$1072=$C$130,ISNUMBER(资金流水!$B$1072),ISNUMBER(资金流水!$S$1072),资金流水!$S$1072&gt;=_辅助!$J$4,资金流水!$S$1072&lt;=_辅助!$J$2,OR(资金流水!$X$1072="应付材料款",资金流水!$X$1072="应付分包款",资金流水!$X$1072="应付机械运输费",资金流水!$X$1072="应付其他款")),INT(资金流水!$B$1072)*10000+1067,"")</f>
      </c>
    </row>
    <row r="1069">
      <c r="BD1069" s="2">
        <f>IF(AND($C$130&lt;&gt;"",资金流水!$J$1073=$C$130,ISNUMBER(资金流水!$B$1073),ISNUMBER(资金流水!$S$1073),资金流水!$S$1073&gt;=_辅助!$J$4,资金流水!$S$1073&lt;=_辅助!$J$2,OR(资金流水!$X$1073="应付材料款",资金流水!$X$1073="应付分包款",资金流水!$X$1073="应付机械运输费",资金流水!$X$1073="应付其他款")),INT(资金流水!$B$1073)*10000+1068,"")</f>
      </c>
    </row>
    <row r="1070">
      <c r="BD1070" s="2">
        <f>IF(AND($C$130&lt;&gt;"",资金流水!$J$1074=$C$130,ISNUMBER(资金流水!$B$1074),ISNUMBER(资金流水!$S$1074),资金流水!$S$1074&gt;=_辅助!$J$4,资金流水!$S$1074&lt;=_辅助!$J$2,OR(资金流水!$X$1074="应付材料款",资金流水!$X$1074="应付分包款",资金流水!$X$1074="应付机械运输费",资金流水!$X$1074="应付其他款")),INT(资金流水!$B$1074)*10000+1069,"")</f>
      </c>
    </row>
    <row r="1071">
      <c r="BD1071" s="2">
        <f>IF(AND($C$130&lt;&gt;"",资金流水!$J$1075=$C$130,ISNUMBER(资金流水!$B$1075),ISNUMBER(资金流水!$S$1075),资金流水!$S$1075&gt;=_辅助!$J$4,资金流水!$S$1075&lt;=_辅助!$J$2,OR(资金流水!$X$1075="应付材料款",资金流水!$X$1075="应付分包款",资金流水!$X$1075="应付机械运输费",资金流水!$X$1075="应付其他款")),INT(资金流水!$B$1075)*10000+1070,"")</f>
      </c>
    </row>
    <row r="1072">
      <c r="BD1072" s="2">
        <f>IF(AND($C$130&lt;&gt;"",资金流水!$J$1076=$C$130,ISNUMBER(资金流水!$B$1076),ISNUMBER(资金流水!$S$1076),资金流水!$S$1076&gt;=_辅助!$J$4,资金流水!$S$1076&lt;=_辅助!$J$2,OR(资金流水!$X$1076="应付材料款",资金流水!$X$1076="应付分包款",资金流水!$X$1076="应付机械运输费",资金流水!$X$1076="应付其他款")),INT(资金流水!$B$1076)*10000+1071,"")</f>
      </c>
    </row>
    <row r="1073">
      <c r="BD1073" s="2">
        <f>IF(AND($C$130&lt;&gt;"",资金流水!$J$1077=$C$130,ISNUMBER(资金流水!$B$1077),ISNUMBER(资金流水!$S$1077),资金流水!$S$1077&gt;=_辅助!$J$4,资金流水!$S$1077&lt;=_辅助!$J$2,OR(资金流水!$X$1077="应付材料款",资金流水!$X$1077="应付分包款",资金流水!$X$1077="应付机械运输费",资金流水!$X$1077="应付其他款")),INT(资金流水!$B$1077)*10000+1072,"")</f>
      </c>
    </row>
    <row r="1074">
      <c r="BD1074" s="2">
        <f>IF(AND($C$130&lt;&gt;"",资金流水!$J$1078=$C$130,ISNUMBER(资金流水!$B$1078),ISNUMBER(资金流水!$S$1078),资金流水!$S$1078&gt;=_辅助!$J$4,资金流水!$S$1078&lt;=_辅助!$J$2,OR(资金流水!$X$1078="应付材料款",资金流水!$X$1078="应付分包款",资金流水!$X$1078="应付机械运输费",资金流水!$X$1078="应付其他款")),INT(资金流水!$B$1078)*10000+1073,"")</f>
      </c>
    </row>
    <row r="1075">
      <c r="BD1075" s="2">
        <f>IF(AND($C$130&lt;&gt;"",资金流水!$J$1079=$C$130,ISNUMBER(资金流水!$B$1079),ISNUMBER(资金流水!$S$1079),资金流水!$S$1079&gt;=_辅助!$J$4,资金流水!$S$1079&lt;=_辅助!$J$2,OR(资金流水!$X$1079="应付材料款",资金流水!$X$1079="应付分包款",资金流水!$X$1079="应付机械运输费",资金流水!$X$1079="应付其他款")),INT(资金流水!$B$1079)*10000+1074,"")</f>
      </c>
    </row>
    <row r="1076">
      <c r="BD1076" s="2">
        <f>IF(AND($C$130&lt;&gt;"",资金流水!$J$1080=$C$130,ISNUMBER(资金流水!$B$1080),ISNUMBER(资金流水!$S$1080),资金流水!$S$1080&gt;=_辅助!$J$4,资金流水!$S$1080&lt;=_辅助!$J$2,OR(资金流水!$X$1080="应付材料款",资金流水!$X$1080="应付分包款",资金流水!$X$1080="应付机械运输费",资金流水!$X$1080="应付其他款")),INT(资金流水!$B$1080)*10000+1075,"")</f>
      </c>
    </row>
    <row r="1077">
      <c r="BD1077" s="2">
        <f>IF(AND($C$130&lt;&gt;"",资金流水!$J$1081=$C$130,ISNUMBER(资金流水!$B$1081),ISNUMBER(资金流水!$S$1081),资金流水!$S$1081&gt;=_辅助!$J$4,资金流水!$S$1081&lt;=_辅助!$J$2,OR(资金流水!$X$1081="应付材料款",资金流水!$X$1081="应付分包款",资金流水!$X$1081="应付机械运输费",资金流水!$X$1081="应付其他款")),INT(资金流水!$B$1081)*10000+1076,"")</f>
      </c>
    </row>
    <row r="1078">
      <c r="BD1078" s="2">
        <f>IF(AND($C$130&lt;&gt;"",资金流水!$J$1082=$C$130,ISNUMBER(资金流水!$B$1082),ISNUMBER(资金流水!$S$1082),资金流水!$S$1082&gt;=_辅助!$J$4,资金流水!$S$1082&lt;=_辅助!$J$2,OR(资金流水!$X$1082="应付材料款",资金流水!$X$1082="应付分包款",资金流水!$X$1082="应付机械运输费",资金流水!$X$1082="应付其他款")),INT(资金流水!$B$1082)*10000+1077,"")</f>
      </c>
    </row>
    <row r="1079">
      <c r="BD1079" s="2">
        <f>IF(AND($C$130&lt;&gt;"",资金流水!$J$1083=$C$130,ISNUMBER(资金流水!$B$1083),ISNUMBER(资金流水!$S$1083),资金流水!$S$1083&gt;=_辅助!$J$4,资金流水!$S$1083&lt;=_辅助!$J$2,OR(资金流水!$X$1083="应付材料款",资金流水!$X$1083="应付分包款",资金流水!$X$1083="应付机械运输费",资金流水!$X$1083="应付其他款")),INT(资金流水!$B$1083)*10000+1078,"")</f>
      </c>
    </row>
    <row r="1080">
      <c r="BD1080" s="2">
        <f>IF(AND($C$130&lt;&gt;"",资金流水!$J$1084=$C$130,ISNUMBER(资金流水!$B$1084),ISNUMBER(资金流水!$S$1084),资金流水!$S$1084&gt;=_辅助!$J$4,资金流水!$S$1084&lt;=_辅助!$J$2,OR(资金流水!$X$1084="应付材料款",资金流水!$X$1084="应付分包款",资金流水!$X$1084="应付机械运输费",资金流水!$X$1084="应付其他款")),INT(资金流水!$B$1084)*10000+1079,"")</f>
      </c>
    </row>
    <row r="1081">
      <c r="BD1081" s="2">
        <f>IF(AND($C$130&lt;&gt;"",资金流水!$J$1085=$C$130,ISNUMBER(资金流水!$B$1085),ISNUMBER(资金流水!$S$1085),资金流水!$S$1085&gt;=_辅助!$J$4,资金流水!$S$1085&lt;=_辅助!$J$2,OR(资金流水!$X$1085="应付材料款",资金流水!$X$1085="应付分包款",资金流水!$X$1085="应付机械运输费",资金流水!$X$1085="应付其他款")),INT(资金流水!$B$1085)*10000+1080,"")</f>
      </c>
    </row>
    <row r="1082">
      <c r="BD1082" s="2">
        <f>IF(AND($C$130&lt;&gt;"",资金流水!$J$1086=$C$130,ISNUMBER(资金流水!$B$1086),ISNUMBER(资金流水!$S$1086),资金流水!$S$1086&gt;=_辅助!$J$4,资金流水!$S$1086&lt;=_辅助!$J$2,OR(资金流水!$X$1086="应付材料款",资金流水!$X$1086="应付分包款",资金流水!$X$1086="应付机械运输费",资金流水!$X$1086="应付其他款")),INT(资金流水!$B$1086)*10000+1081,"")</f>
      </c>
    </row>
    <row r="1083">
      <c r="BD1083" s="2">
        <f>IF(AND($C$130&lt;&gt;"",资金流水!$J$1087=$C$130,ISNUMBER(资金流水!$B$1087),ISNUMBER(资金流水!$S$1087),资金流水!$S$1087&gt;=_辅助!$J$4,资金流水!$S$1087&lt;=_辅助!$J$2,OR(资金流水!$X$1087="应付材料款",资金流水!$X$1087="应付分包款",资金流水!$X$1087="应付机械运输费",资金流水!$X$1087="应付其他款")),INT(资金流水!$B$1087)*10000+1082,"")</f>
      </c>
    </row>
    <row r="1084">
      <c r="BD1084" s="2">
        <f>IF(AND($C$130&lt;&gt;"",资金流水!$J$1088=$C$130,ISNUMBER(资金流水!$B$1088),ISNUMBER(资金流水!$S$1088),资金流水!$S$1088&gt;=_辅助!$J$4,资金流水!$S$1088&lt;=_辅助!$J$2,OR(资金流水!$X$1088="应付材料款",资金流水!$X$1088="应付分包款",资金流水!$X$1088="应付机械运输费",资金流水!$X$1088="应付其他款")),INT(资金流水!$B$1088)*10000+1083,"")</f>
      </c>
    </row>
    <row r="1085">
      <c r="BD1085" s="2">
        <f>IF(AND($C$130&lt;&gt;"",资金流水!$J$1089=$C$130,ISNUMBER(资金流水!$B$1089),ISNUMBER(资金流水!$S$1089),资金流水!$S$1089&gt;=_辅助!$J$4,资金流水!$S$1089&lt;=_辅助!$J$2,OR(资金流水!$X$1089="应付材料款",资金流水!$X$1089="应付分包款",资金流水!$X$1089="应付机械运输费",资金流水!$X$1089="应付其他款")),INT(资金流水!$B$1089)*10000+1084,"")</f>
      </c>
    </row>
    <row r="1086">
      <c r="BD1086" s="2">
        <f>IF(AND($C$130&lt;&gt;"",资金流水!$J$1090=$C$130,ISNUMBER(资金流水!$B$1090),ISNUMBER(资金流水!$S$1090),资金流水!$S$1090&gt;=_辅助!$J$4,资金流水!$S$1090&lt;=_辅助!$J$2,OR(资金流水!$X$1090="应付材料款",资金流水!$X$1090="应付分包款",资金流水!$X$1090="应付机械运输费",资金流水!$X$1090="应付其他款")),INT(资金流水!$B$1090)*10000+1085,"")</f>
      </c>
    </row>
    <row r="1087">
      <c r="BD1087" s="2">
        <f>IF(AND($C$130&lt;&gt;"",资金流水!$J$1091=$C$130,ISNUMBER(资金流水!$B$1091),ISNUMBER(资金流水!$S$1091),资金流水!$S$1091&gt;=_辅助!$J$4,资金流水!$S$1091&lt;=_辅助!$J$2,OR(资金流水!$X$1091="应付材料款",资金流水!$X$1091="应付分包款",资金流水!$X$1091="应付机械运输费",资金流水!$X$1091="应付其他款")),INT(资金流水!$B$1091)*10000+1086,"")</f>
      </c>
    </row>
    <row r="1088">
      <c r="BD1088" s="2">
        <f>IF(AND($C$130&lt;&gt;"",资金流水!$J$1092=$C$130,ISNUMBER(资金流水!$B$1092),ISNUMBER(资金流水!$S$1092),资金流水!$S$1092&gt;=_辅助!$J$4,资金流水!$S$1092&lt;=_辅助!$J$2,OR(资金流水!$X$1092="应付材料款",资金流水!$X$1092="应付分包款",资金流水!$X$1092="应付机械运输费",资金流水!$X$1092="应付其他款")),INT(资金流水!$B$1092)*10000+1087,"")</f>
      </c>
    </row>
    <row r="1089">
      <c r="BD1089" s="2">
        <f>IF(AND($C$130&lt;&gt;"",资金流水!$J$1093=$C$130,ISNUMBER(资金流水!$B$1093),ISNUMBER(资金流水!$S$1093),资金流水!$S$1093&gt;=_辅助!$J$4,资金流水!$S$1093&lt;=_辅助!$J$2,OR(资金流水!$X$1093="应付材料款",资金流水!$X$1093="应付分包款",资金流水!$X$1093="应付机械运输费",资金流水!$X$1093="应付其他款")),INT(资金流水!$B$1093)*10000+1088,"")</f>
      </c>
    </row>
    <row r="1090">
      <c r="BD1090" s="2">
        <f>IF(AND($C$130&lt;&gt;"",资金流水!$J$1094=$C$130,ISNUMBER(资金流水!$B$1094),ISNUMBER(资金流水!$S$1094),资金流水!$S$1094&gt;=_辅助!$J$4,资金流水!$S$1094&lt;=_辅助!$J$2,OR(资金流水!$X$1094="应付材料款",资金流水!$X$1094="应付分包款",资金流水!$X$1094="应付机械运输费",资金流水!$X$1094="应付其他款")),INT(资金流水!$B$1094)*10000+1089,"")</f>
      </c>
    </row>
    <row r="1091">
      <c r="BD1091" s="2">
        <f>IF(AND($C$130&lt;&gt;"",资金流水!$J$1095=$C$130,ISNUMBER(资金流水!$B$1095),ISNUMBER(资金流水!$S$1095),资金流水!$S$1095&gt;=_辅助!$J$4,资金流水!$S$1095&lt;=_辅助!$J$2,OR(资金流水!$X$1095="应付材料款",资金流水!$X$1095="应付分包款",资金流水!$X$1095="应付机械运输费",资金流水!$X$1095="应付其他款")),INT(资金流水!$B$1095)*10000+1090,"")</f>
      </c>
    </row>
    <row r="1092">
      <c r="BD1092" s="2">
        <f>IF(AND($C$130&lt;&gt;"",资金流水!$J$1096=$C$130,ISNUMBER(资金流水!$B$1096),ISNUMBER(资金流水!$S$1096),资金流水!$S$1096&gt;=_辅助!$J$4,资金流水!$S$1096&lt;=_辅助!$J$2,OR(资金流水!$X$1096="应付材料款",资金流水!$X$1096="应付分包款",资金流水!$X$1096="应付机械运输费",资金流水!$X$1096="应付其他款")),INT(资金流水!$B$1096)*10000+1091,"")</f>
      </c>
    </row>
    <row r="1093">
      <c r="BD1093" s="2">
        <f>IF(AND($C$130&lt;&gt;"",资金流水!$J$1097=$C$130,ISNUMBER(资金流水!$B$1097),ISNUMBER(资金流水!$S$1097),资金流水!$S$1097&gt;=_辅助!$J$4,资金流水!$S$1097&lt;=_辅助!$J$2,OR(资金流水!$X$1097="应付材料款",资金流水!$X$1097="应付分包款",资金流水!$X$1097="应付机械运输费",资金流水!$X$1097="应付其他款")),INT(资金流水!$B$1097)*10000+1092,"")</f>
      </c>
    </row>
    <row r="1094">
      <c r="BD1094" s="2">
        <f>IF(AND($C$130&lt;&gt;"",资金流水!$J$1098=$C$130,ISNUMBER(资金流水!$B$1098),ISNUMBER(资金流水!$S$1098),资金流水!$S$1098&gt;=_辅助!$J$4,资金流水!$S$1098&lt;=_辅助!$J$2,OR(资金流水!$X$1098="应付材料款",资金流水!$X$1098="应付分包款",资金流水!$X$1098="应付机械运输费",资金流水!$X$1098="应付其他款")),INT(资金流水!$B$1098)*10000+1093,"")</f>
      </c>
    </row>
    <row r="1095">
      <c r="BD1095" s="2">
        <f>IF(AND($C$130&lt;&gt;"",资金流水!$J$1099=$C$130,ISNUMBER(资金流水!$B$1099),ISNUMBER(资金流水!$S$1099),资金流水!$S$1099&gt;=_辅助!$J$4,资金流水!$S$1099&lt;=_辅助!$J$2,OR(资金流水!$X$1099="应付材料款",资金流水!$X$1099="应付分包款",资金流水!$X$1099="应付机械运输费",资金流水!$X$1099="应付其他款")),INT(资金流水!$B$1099)*10000+1094,"")</f>
      </c>
    </row>
    <row r="1096">
      <c r="BD1096" s="2">
        <f>IF(AND($C$130&lt;&gt;"",资金流水!$J$1100=$C$130,ISNUMBER(资金流水!$B$1100),ISNUMBER(资金流水!$S$1100),资金流水!$S$1100&gt;=_辅助!$J$4,资金流水!$S$1100&lt;=_辅助!$J$2,OR(资金流水!$X$1100="应付材料款",资金流水!$X$1100="应付分包款",资金流水!$X$1100="应付机械运输费",资金流水!$X$1100="应付其他款")),INT(资金流水!$B$1100)*10000+1095,"")</f>
      </c>
    </row>
    <row r="1097">
      <c r="BD1097" s="2">
        <f>IF(AND($C$130&lt;&gt;"",资金流水!$J$1101=$C$130,ISNUMBER(资金流水!$B$1101),ISNUMBER(资金流水!$S$1101),资金流水!$S$1101&gt;=_辅助!$J$4,资金流水!$S$1101&lt;=_辅助!$J$2,OR(资金流水!$X$1101="应付材料款",资金流水!$X$1101="应付分包款",资金流水!$X$1101="应付机械运输费",资金流水!$X$1101="应付其他款")),INT(资金流水!$B$1101)*10000+1096,"")</f>
      </c>
    </row>
    <row r="1098">
      <c r="BD1098" s="2">
        <f>IF(AND($C$130&lt;&gt;"",资金流水!$J$1102=$C$130,ISNUMBER(资金流水!$B$1102),ISNUMBER(资金流水!$S$1102),资金流水!$S$1102&gt;=_辅助!$J$4,资金流水!$S$1102&lt;=_辅助!$J$2,OR(资金流水!$X$1102="应付材料款",资金流水!$X$1102="应付分包款",资金流水!$X$1102="应付机械运输费",资金流水!$X$1102="应付其他款")),INT(资金流水!$B$1102)*10000+1097,"")</f>
      </c>
    </row>
    <row r="1099">
      <c r="BD1099" s="2">
        <f>IF(AND($C$130&lt;&gt;"",资金流水!$J$1103=$C$130,ISNUMBER(资金流水!$B$1103),ISNUMBER(资金流水!$S$1103),资金流水!$S$1103&gt;=_辅助!$J$4,资金流水!$S$1103&lt;=_辅助!$J$2,OR(资金流水!$X$1103="应付材料款",资金流水!$X$1103="应付分包款",资金流水!$X$1103="应付机械运输费",资金流水!$X$1103="应付其他款")),INT(资金流水!$B$1103)*10000+1098,"")</f>
      </c>
    </row>
    <row r="1100">
      <c r="BD1100" s="2">
        <f>IF(AND($C$130&lt;&gt;"",资金流水!$J$1104=$C$130,ISNUMBER(资金流水!$B$1104),ISNUMBER(资金流水!$S$1104),资金流水!$S$1104&gt;=_辅助!$J$4,资金流水!$S$1104&lt;=_辅助!$J$2,OR(资金流水!$X$1104="应付材料款",资金流水!$X$1104="应付分包款",资金流水!$X$1104="应付机械运输费",资金流水!$X$1104="应付其他款")),INT(资金流水!$B$1104)*10000+1099,"")</f>
      </c>
    </row>
    <row r="1101">
      <c r="BD1101" s="2">
        <f>IF(AND($C$130&lt;&gt;"",资金流水!$J$1105=$C$130,ISNUMBER(资金流水!$B$1105),ISNUMBER(资金流水!$S$1105),资金流水!$S$1105&gt;=_辅助!$J$4,资金流水!$S$1105&lt;=_辅助!$J$2,OR(资金流水!$X$1105="应付材料款",资金流水!$X$1105="应付分包款",资金流水!$X$1105="应付机械运输费",资金流水!$X$1105="应付其他款")),INT(资金流水!$B$1105)*10000+1100,"")</f>
      </c>
    </row>
    <row r="1102">
      <c r="BD1102" s="2">
        <f>IF(AND($C$130&lt;&gt;"",资金流水!$J$1106=$C$130,ISNUMBER(资金流水!$B$1106),ISNUMBER(资金流水!$S$1106),资金流水!$S$1106&gt;=_辅助!$J$4,资金流水!$S$1106&lt;=_辅助!$J$2,OR(资金流水!$X$1106="应付材料款",资金流水!$X$1106="应付分包款",资金流水!$X$1106="应付机械运输费",资金流水!$X$1106="应付其他款")),INT(资金流水!$B$1106)*10000+1101,"")</f>
      </c>
    </row>
    <row r="1103">
      <c r="BD1103" s="2">
        <f>IF(AND($C$130&lt;&gt;"",资金流水!$J$1107=$C$130,ISNUMBER(资金流水!$B$1107),ISNUMBER(资金流水!$S$1107),资金流水!$S$1107&gt;=_辅助!$J$4,资金流水!$S$1107&lt;=_辅助!$J$2,OR(资金流水!$X$1107="应付材料款",资金流水!$X$1107="应付分包款",资金流水!$X$1107="应付机械运输费",资金流水!$X$1107="应付其他款")),INT(资金流水!$B$1107)*10000+1102,"")</f>
      </c>
    </row>
    <row r="1104">
      <c r="BD1104" s="2">
        <f>IF(AND($C$130&lt;&gt;"",资金流水!$J$1108=$C$130,ISNUMBER(资金流水!$B$1108),ISNUMBER(资金流水!$S$1108),资金流水!$S$1108&gt;=_辅助!$J$4,资金流水!$S$1108&lt;=_辅助!$J$2,OR(资金流水!$X$1108="应付材料款",资金流水!$X$1108="应付分包款",资金流水!$X$1108="应付机械运输费",资金流水!$X$1108="应付其他款")),INT(资金流水!$B$1108)*10000+1103,"")</f>
      </c>
    </row>
    <row r="1105">
      <c r="BD1105" s="2">
        <f>IF(AND($C$130&lt;&gt;"",资金流水!$J$1109=$C$130,ISNUMBER(资金流水!$B$1109),ISNUMBER(资金流水!$S$1109),资金流水!$S$1109&gt;=_辅助!$J$4,资金流水!$S$1109&lt;=_辅助!$J$2,OR(资金流水!$X$1109="应付材料款",资金流水!$X$1109="应付分包款",资金流水!$X$1109="应付机械运输费",资金流水!$X$1109="应付其他款")),INT(资金流水!$B$1109)*10000+1104,"")</f>
      </c>
    </row>
    <row r="1106">
      <c r="BD1106" s="2">
        <f>IF(AND($C$130&lt;&gt;"",资金流水!$J$1110=$C$130,ISNUMBER(资金流水!$B$1110),ISNUMBER(资金流水!$S$1110),资金流水!$S$1110&gt;=_辅助!$J$4,资金流水!$S$1110&lt;=_辅助!$J$2,OR(资金流水!$X$1110="应付材料款",资金流水!$X$1110="应付分包款",资金流水!$X$1110="应付机械运输费",资金流水!$X$1110="应付其他款")),INT(资金流水!$B$1110)*10000+1105,"")</f>
      </c>
    </row>
    <row r="1107">
      <c r="BD1107" s="2">
        <f>IF(AND($C$130&lt;&gt;"",资金流水!$J$1111=$C$130,ISNUMBER(资金流水!$B$1111),ISNUMBER(资金流水!$S$1111),资金流水!$S$1111&gt;=_辅助!$J$4,资金流水!$S$1111&lt;=_辅助!$J$2,OR(资金流水!$X$1111="应付材料款",资金流水!$X$1111="应付分包款",资金流水!$X$1111="应付机械运输费",资金流水!$X$1111="应付其他款")),INT(资金流水!$B$1111)*10000+1106,"")</f>
      </c>
    </row>
    <row r="1108">
      <c r="BD1108" s="2">
        <f>IF(AND($C$130&lt;&gt;"",资金流水!$J$1112=$C$130,ISNUMBER(资金流水!$B$1112),ISNUMBER(资金流水!$S$1112),资金流水!$S$1112&gt;=_辅助!$J$4,资金流水!$S$1112&lt;=_辅助!$J$2,OR(资金流水!$X$1112="应付材料款",资金流水!$X$1112="应付分包款",资金流水!$X$1112="应付机械运输费",资金流水!$X$1112="应付其他款")),INT(资金流水!$B$1112)*10000+1107,"")</f>
      </c>
    </row>
    <row r="1109">
      <c r="BD1109" s="2">
        <f>IF(AND($C$130&lt;&gt;"",资金流水!$J$1113=$C$130,ISNUMBER(资金流水!$B$1113),ISNUMBER(资金流水!$S$1113),资金流水!$S$1113&gt;=_辅助!$J$4,资金流水!$S$1113&lt;=_辅助!$J$2,OR(资金流水!$X$1113="应付材料款",资金流水!$X$1113="应付分包款",资金流水!$X$1113="应付机械运输费",资金流水!$X$1113="应付其他款")),INT(资金流水!$B$1113)*10000+1108,"")</f>
      </c>
    </row>
    <row r="1110">
      <c r="BD1110" s="2">
        <f>IF(AND($C$130&lt;&gt;"",资金流水!$J$1114=$C$130,ISNUMBER(资金流水!$B$1114),ISNUMBER(资金流水!$S$1114),资金流水!$S$1114&gt;=_辅助!$J$4,资金流水!$S$1114&lt;=_辅助!$J$2,OR(资金流水!$X$1114="应付材料款",资金流水!$X$1114="应付分包款",资金流水!$X$1114="应付机械运输费",资金流水!$X$1114="应付其他款")),INT(资金流水!$B$1114)*10000+1109,"")</f>
      </c>
    </row>
    <row r="1111">
      <c r="BD1111" s="2">
        <f>IF(AND($C$130&lt;&gt;"",资金流水!$J$1115=$C$130,ISNUMBER(资金流水!$B$1115),ISNUMBER(资金流水!$S$1115),资金流水!$S$1115&gt;=_辅助!$J$4,资金流水!$S$1115&lt;=_辅助!$J$2,OR(资金流水!$X$1115="应付材料款",资金流水!$X$1115="应付分包款",资金流水!$X$1115="应付机械运输费",资金流水!$X$1115="应付其他款")),INT(资金流水!$B$1115)*10000+1110,"")</f>
      </c>
    </row>
    <row r="1112">
      <c r="BD1112" s="2">
        <f>IF(AND($C$130&lt;&gt;"",资金流水!$J$1116=$C$130,ISNUMBER(资金流水!$B$1116),ISNUMBER(资金流水!$S$1116),资金流水!$S$1116&gt;=_辅助!$J$4,资金流水!$S$1116&lt;=_辅助!$J$2,OR(资金流水!$X$1116="应付材料款",资金流水!$X$1116="应付分包款",资金流水!$X$1116="应付机械运输费",资金流水!$X$1116="应付其他款")),INT(资金流水!$B$1116)*10000+1111,"")</f>
      </c>
    </row>
    <row r="1113">
      <c r="BD1113" s="2">
        <f>IF(AND($C$130&lt;&gt;"",资金流水!$J$1117=$C$130,ISNUMBER(资金流水!$B$1117),ISNUMBER(资金流水!$S$1117),资金流水!$S$1117&gt;=_辅助!$J$4,资金流水!$S$1117&lt;=_辅助!$J$2,OR(资金流水!$X$1117="应付材料款",资金流水!$X$1117="应付分包款",资金流水!$X$1117="应付机械运输费",资金流水!$X$1117="应付其他款")),INT(资金流水!$B$1117)*10000+1112,"")</f>
      </c>
    </row>
    <row r="1114">
      <c r="BD1114" s="2">
        <f>IF(AND($C$130&lt;&gt;"",资金流水!$J$1118=$C$130,ISNUMBER(资金流水!$B$1118),ISNUMBER(资金流水!$S$1118),资金流水!$S$1118&gt;=_辅助!$J$4,资金流水!$S$1118&lt;=_辅助!$J$2,OR(资金流水!$X$1118="应付材料款",资金流水!$X$1118="应付分包款",资金流水!$X$1118="应付机械运输费",资金流水!$X$1118="应付其他款")),INT(资金流水!$B$1118)*10000+1113,"")</f>
      </c>
    </row>
    <row r="1115">
      <c r="BD1115" s="2">
        <f>IF(AND($C$130&lt;&gt;"",资金流水!$J$1119=$C$130,ISNUMBER(资金流水!$B$1119),ISNUMBER(资金流水!$S$1119),资金流水!$S$1119&gt;=_辅助!$J$4,资金流水!$S$1119&lt;=_辅助!$J$2,OR(资金流水!$X$1119="应付材料款",资金流水!$X$1119="应付分包款",资金流水!$X$1119="应付机械运输费",资金流水!$X$1119="应付其他款")),INT(资金流水!$B$1119)*10000+1114,"")</f>
      </c>
    </row>
    <row r="1116">
      <c r="BD1116" s="2">
        <f>IF(AND($C$130&lt;&gt;"",资金流水!$J$1120=$C$130,ISNUMBER(资金流水!$B$1120),ISNUMBER(资金流水!$S$1120),资金流水!$S$1120&gt;=_辅助!$J$4,资金流水!$S$1120&lt;=_辅助!$J$2,OR(资金流水!$X$1120="应付材料款",资金流水!$X$1120="应付分包款",资金流水!$X$1120="应付机械运输费",资金流水!$X$1120="应付其他款")),INT(资金流水!$B$1120)*10000+1115,"")</f>
      </c>
    </row>
    <row r="1117">
      <c r="BD1117" s="2">
        <f>IF(AND($C$130&lt;&gt;"",资金流水!$J$1121=$C$130,ISNUMBER(资金流水!$B$1121),ISNUMBER(资金流水!$S$1121),资金流水!$S$1121&gt;=_辅助!$J$4,资金流水!$S$1121&lt;=_辅助!$J$2,OR(资金流水!$X$1121="应付材料款",资金流水!$X$1121="应付分包款",资金流水!$X$1121="应付机械运输费",资金流水!$X$1121="应付其他款")),INT(资金流水!$B$1121)*10000+1116,"")</f>
      </c>
    </row>
    <row r="1118">
      <c r="BD1118" s="2">
        <f>IF(AND($C$130&lt;&gt;"",资金流水!$J$1122=$C$130,ISNUMBER(资金流水!$B$1122),ISNUMBER(资金流水!$S$1122),资金流水!$S$1122&gt;=_辅助!$J$4,资金流水!$S$1122&lt;=_辅助!$J$2,OR(资金流水!$X$1122="应付材料款",资金流水!$X$1122="应付分包款",资金流水!$X$1122="应付机械运输费",资金流水!$X$1122="应付其他款")),INT(资金流水!$B$1122)*10000+1117,"")</f>
      </c>
    </row>
    <row r="1119">
      <c r="BD1119" s="2">
        <f>IF(AND($C$130&lt;&gt;"",资金流水!$J$1123=$C$130,ISNUMBER(资金流水!$B$1123),ISNUMBER(资金流水!$S$1123),资金流水!$S$1123&gt;=_辅助!$J$4,资金流水!$S$1123&lt;=_辅助!$J$2,OR(资金流水!$X$1123="应付材料款",资金流水!$X$1123="应付分包款",资金流水!$X$1123="应付机械运输费",资金流水!$X$1123="应付其他款")),INT(资金流水!$B$1123)*10000+1118,"")</f>
      </c>
    </row>
    <row r="1120">
      <c r="BD1120" s="2">
        <f>IF(AND($C$130&lt;&gt;"",资金流水!$J$1124=$C$130,ISNUMBER(资金流水!$B$1124),ISNUMBER(资金流水!$S$1124),资金流水!$S$1124&gt;=_辅助!$J$4,资金流水!$S$1124&lt;=_辅助!$J$2,OR(资金流水!$X$1124="应付材料款",资金流水!$X$1124="应付分包款",资金流水!$X$1124="应付机械运输费",资金流水!$X$1124="应付其他款")),INT(资金流水!$B$1124)*10000+1119,"")</f>
      </c>
    </row>
    <row r="1121">
      <c r="BD1121" s="2">
        <f>IF(AND($C$130&lt;&gt;"",资金流水!$J$1125=$C$130,ISNUMBER(资金流水!$B$1125),ISNUMBER(资金流水!$S$1125),资金流水!$S$1125&gt;=_辅助!$J$4,资金流水!$S$1125&lt;=_辅助!$J$2,OR(资金流水!$X$1125="应付材料款",资金流水!$X$1125="应付分包款",资金流水!$X$1125="应付机械运输费",资金流水!$X$1125="应付其他款")),INT(资金流水!$B$1125)*10000+1120,"")</f>
      </c>
    </row>
    <row r="1122">
      <c r="BD1122" s="2">
        <f>IF(AND($C$130&lt;&gt;"",资金流水!$J$1126=$C$130,ISNUMBER(资金流水!$B$1126),ISNUMBER(资金流水!$S$1126),资金流水!$S$1126&gt;=_辅助!$J$4,资金流水!$S$1126&lt;=_辅助!$J$2,OR(资金流水!$X$1126="应付材料款",资金流水!$X$1126="应付分包款",资金流水!$X$1126="应付机械运输费",资金流水!$X$1126="应付其他款")),INT(资金流水!$B$1126)*10000+1121,"")</f>
      </c>
    </row>
    <row r="1123">
      <c r="BD1123" s="2">
        <f>IF(AND($C$130&lt;&gt;"",资金流水!$J$1127=$C$130,ISNUMBER(资金流水!$B$1127),ISNUMBER(资金流水!$S$1127),资金流水!$S$1127&gt;=_辅助!$J$4,资金流水!$S$1127&lt;=_辅助!$J$2,OR(资金流水!$X$1127="应付材料款",资金流水!$X$1127="应付分包款",资金流水!$X$1127="应付机械运输费",资金流水!$X$1127="应付其他款")),INT(资金流水!$B$1127)*10000+1122,"")</f>
      </c>
    </row>
    <row r="1124">
      <c r="BD1124" s="2">
        <f>IF(AND($C$130&lt;&gt;"",资金流水!$J$1128=$C$130,ISNUMBER(资金流水!$B$1128),ISNUMBER(资金流水!$S$1128),资金流水!$S$1128&gt;=_辅助!$J$4,资金流水!$S$1128&lt;=_辅助!$J$2,OR(资金流水!$X$1128="应付材料款",资金流水!$X$1128="应付分包款",资金流水!$X$1128="应付机械运输费",资金流水!$X$1128="应付其他款")),INT(资金流水!$B$1128)*10000+1123,"")</f>
      </c>
    </row>
    <row r="1125">
      <c r="BD1125" s="2">
        <f>IF(AND($C$130&lt;&gt;"",资金流水!$J$1129=$C$130,ISNUMBER(资金流水!$B$1129),ISNUMBER(资金流水!$S$1129),资金流水!$S$1129&gt;=_辅助!$J$4,资金流水!$S$1129&lt;=_辅助!$J$2,OR(资金流水!$X$1129="应付材料款",资金流水!$X$1129="应付分包款",资金流水!$X$1129="应付机械运输费",资金流水!$X$1129="应付其他款")),INT(资金流水!$B$1129)*10000+1124,"")</f>
      </c>
    </row>
    <row r="1126">
      <c r="BD1126" s="2">
        <f>IF(AND($C$130&lt;&gt;"",资金流水!$J$1130=$C$130,ISNUMBER(资金流水!$B$1130),ISNUMBER(资金流水!$S$1130),资金流水!$S$1130&gt;=_辅助!$J$4,资金流水!$S$1130&lt;=_辅助!$J$2,OR(资金流水!$X$1130="应付材料款",资金流水!$X$1130="应付分包款",资金流水!$X$1130="应付机械运输费",资金流水!$X$1130="应付其他款")),INT(资金流水!$B$1130)*10000+1125,"")</f>
      </c>
    </row>
    <row r="1127">
      <c r="BD1127" s="2">
        <f>IF(AND($C$130&lt;&gt;"",资金流水!$J$1131=$C$130,ISNUMBER(资金流水!$B$1131),ISNUMBER(资金流水!$S$1131),资金流水!$S$1131&gt;=_辅助!$J$4,资金流水!$S$1131&lt;=_辅助!$J$2,OR(资金流水!$X$1131="应付材料款",资金流水!$X$1131="应付分包款",资金流水!$X$1131="应付机械运输费",资金流水!$X$1131="应付其他款")),INT(资金流水!$B$1131)*10000+1126,"")</f>
      </c>
    </row>
    <row r="1128">
      <c r="BD1128" s="2">
        <f>IF(AND($C$130&lt;&gt;"",资金流水!$J$1132=$C$130,ISNUMBER(资金流水!$B$1132),ISNUMBER(资金流水!$S$1132),资金流水!$S$1132&gt;=_辅助!$J$4,资金流水!$S$1132&lt;=_辅助!$J$2,OR(资金流水!$X$1132="应付材料款",资金流水!$X$1132="应付分包款",资金流水!$X$1132="应付机械运输费",资金流水!$X$1132="应付其他款")),INT(资金流水!$B$1132)*10000+1127,"")</f>
      </c>
    </row>
    <row r="1129">
      <c r="BD1129" s="2">
        <f>IF(AND($C$130&lt;&gt;"",资金流水!$J$1133=$C$130,ISNUMBER(资金流水!$B$1133),ISNUMBER(资金流水!$S$1133),资金流水!$S$1133&gt;=_辅助!$J$4,资金流水!$S$1133&lt;=_辅助!$J$2,OR(资金流水!$X$1133="应付材料款",资金流水!$X$1133="应付分包款",资金流水!$X$1133="应付机械运输费",资金流水!$X$1133="应付其他款")),INT(资金流水!$B$1133)*10000+1128,"")</f>
      </c>
    </row>
    <row r="1130">
      <c r="BD1130" s="2">
        <f>IF(AND($C$130&lt;&gt;"",资金流水!$J$1134=$C$130,ISNUMBER(资金流水!$B$1134),ISNUMBER(资金流水!$S$1134),资金流水!$S$1134&gt;=_辅助!$J$4,资金流水!$S$1134&lt;=_辅助!$J$2,OR(资金流水!$X$1134="应付材料款",资金流水!$X$1134="应付分包款",资金流水!$X$1134="应付机械运输费",资金流水!$X$1134="应付其他款")),INT(资金流水!$B$1134)*10000+1129,"")</f>
      </c>
    </row>
    <row r="1131">
      <c r="BD1131" s="2">
        <f>IF(AND($C$130&lt;&gt;"",资金流水!$J$1135=$C$130,ISNUMBER(资金流水!$B$1135),ISNUMBER(资金流水!$S$1135),资金流水!$S$1135&gt;=_辅助!$J$4,资金流水!$S$1135&lt;=_辅助!$J$2,OR(资金流水!$X$1135="应付材料款",资金流水!$X$1135="应付分包款",资金流水!$X$1135="应付机械运输费",资金流水!$X$1135="应付其他款")),INT(资金流水!$B$1135)*10000+1130,"")</f>
      </c>
    </row>
    <row r="1132">
      <c r="BD1132" s="2">
        <f>IF(AND($C$130&lt;&gt;"",资金流水!$J$1136=$C$130,ISNUMBER(资金流水!$B$1136),ISNUMBER(资金流水!$S$1136),资金流水!$S$1136&gt;=_辅助!$J$4,资金流水!$S$1136&lt;=_辅助!$J$2,OR(资金流水!$X$1136="应付材料款",资金流水!$X$1136="应付分包款",资金流水!$X$1136="应付机械运输费",资金流水!$X$1136="应付其他款")),INT(资金流水!$B$1136)*10000+1131,"")</f>
      </c>
    </row>
    <row r="1133">
      <c r="BD1133" s="2">
        <f>IF(AND($C$130&lt;&gt;"",资金流水!$J$1137=$C$130,ISNUMBER(资金流水!$B$1137),ISNUMBER(资金流水!$S$1137),资金流水!$S$1137&gt;=_辅助!$J$4,资金流水!$S$1137&lt;=_辅助!$J$2,OR(资金流水!$X$1137="应付材料款",资金流水!$X$1137="应付分包款",资金流水!$X$1137="应付机械运输费",资金流水!$X$1137="应付其他款")),INT(资金流水!$B$1137)*10000+1132,"")</f>
      </c>
    </row>
    <row r="1134">
      <c r="BD1134" s="2">
        <f>IF(AND($C$130&lt;&gt;"",资金流水!$J$1138=$C$130,ISNUMBER(资金流水!$B$1138),ISNUMBER(资金流水!$S$1138),资金流水!$S$1138&gt;=_辅助!$J$4,资金流水!$S$1138&lt;=_辅助!$J$2,OR(资金流水!$X$1138="应付材料款",资金流水!$X$1138="应付分包款",资金流水!$X$1138="应付机械运输费",资金流水!$X$1138="应付其他款")),INT(资金流水!$B$1138)*10000+1133,"")</f>
      </c>
    </row>
    <row r="1135">
      <c r="BD1135" s="2">
        <f>IF(AND($C$130&lt;&gt;"",资金流水!$J$1139=$C$130,ISNUMBER(资金流水!$B$1139),ISNUMBER(资金流水!$S$1139),资金流水!$S$1139&gt;=_辅助!$J$4,资金流水!$S$1139&lt;=_辅助!$J$2,OR(资金流水!$X$1139="应付材料款",资金流水!$X$1139="应付分包款",资金流水!$X$1139="应付机械运输费",资金流水!$X$1139="应付其他款")),INT(资金流水!$B$1139)*10000+1134,"")</f>
      </c>
    </row>
    <row r="1136">
      <c r="BD1136" s="2">
        <f>IF(AND($C$130&lt;&gt;"",资金流水!$J$1140=$C$130,ISNUMBER(资金流水!$B$1140),ISNUMBER(资金流水!$S$1140),资金流水!$S$1140&gt;=_辅助!$J$4,资金流水!$S$1140&lt;=_辅助!$J$2,OR(资金流水!$X$1140="应付材料款",资金流水!$X$1140="应付分包款",资金流水!$X$1140="应付机械运输费",资金流水!$X$1140="应付其他款")),INT(资金流水!$B$1140)*10000+1135,"")</f>
      </c>
    </row>
    <row r="1137">
      <c r="BD1137" s="2">
        <f>IF(AND($C$130&lt;&gt;"",资金流水!$J$1141=$C$130,ISNUMBER(资金流水!$B$1141),ISNUMBER(资金流水!$S$1141),资金流水!$S$1141&gt;=_辅助!$J$4,资金流水!$S$1141&lt;=_辅助!$J$2,OR(资金流水!$X$1141="应付材料款",资金流水!$X$1141="应付分包款",资金流水!$X$1141="应付机械运输费",资金流水!$X$1141="应付其他款")),INT(资金流水!$B$1141)*10000+1136,"")</f>
      </c>
    </row>
    <row r="1138">
      <c r="BD1138" s="2">
        <f>IF(AND($C$130&lt;&gt;"",资金流水!$J$1142=$C$130,ISNUMBER(资金流水!$B$1142),ISNUMBER(资金流水!$S$1142),资金流水!$S$1142&gt;=_辅助!$J$4,资金流水!$S$1142&lt;=_辅助!$J$2,OR(资金流水!$X$1142="应付材料款",资金流水!$X$1142="应付分包款",资金流水!$X$1142="应付机械运输费",资金流水!$X$1142="应付其他款")),INT(资金流水!$B$1142)*10000+1137,"")</f>
      </c>
    </row>
    <row r="1139">
      <c r="BD1139" s="2">
        <f>IF(AND($C$130&lt;&gt;"",资金流水!$J$1143=$C$130,ISNUMBER(资金流水!$B$1143),ISNUMBER(资金流水!$S$1143),资金流水!$S$1143&gt;=_辅助!$J$4,资金流水!$S$1143&lt;=_辅助!$J$2,OR(资金流水!$X$1143="应付材料款",资金流水!$X$1143="应付分包款",资金流水!$X$1143="应付机械运输费",资金流水!$X$1143="应付其他款")),INT(资金流水!$B$1143)*10000+1138,"")</f>
      </c>
    </row>
    <row r="1140">
      <c r="BD1140" s="2">
        <f>IF(AND($C$130&lt;&gt;"",资金流水!$J$1144=$C$130,ISNUMBER(资金流水!$B$1144),ISNUMBER(资金流水!$S$1144),资金流水!$S$1144&gt;=_辅助!$J$4,资金流水!$S$1144&lt;=_辅助!$J$2,OR(资金流水!$X$1144="应付材料款",资金流水!$X$1144="应付分包款",资金流水!$X$1144="应付机械运输费",资金流水!$X$1144="应付其他款")),INT(资金流水!$B$1144)*10000+1139,"")</f>
      </c>
    </row>
    <row r="1141">
      <c r="BD1141" s="2">
        <f>IF(AND($C$130&lt;&gt;"",资金流水!$J$1145=$C$130,ISNUMBER(资金流水!$B$1145),ISNUMBER(资金流水!$S$1145),资金流水!$S$1145&gt;=_辅助!$J$4,资金流水!$S$1145&lt;=_辅助!$J$2,OR(资金流水!$X$1145="应付材料款",资金流水!$X$1145="应付分包款",资金流水!$X$1145="应付机械运输费",资金流水!$X$1145="应付其他款")),INT(资金流水!$B$1145)*10000+1140,"")</f>
      </c>
    </row>
    <row r="1142">
      <c r="BD1142" s="2">
        <f>IF(AND($C$130&lt;&gt;"",资金流水!$J$1146=$C$130,ISNUMBER(资金流水!$B$1146),ISNUMBER(资金流水!$S$1146),资金流水!$S$1146&gt;=_辅助!$J$4,资金流水!$S$1146&lt;=_辅助!$J$2,OR(资金流水!$X$1146="应付材料款",资金流水!$X$1146="应付分包款",资金流水!$X$1146="应付机械运输费",资金流水!$X$1146="应付其他款")),INT(资金流水!$B$1146)*10000+1141,"")</f>
      </c>
    </row>
    <row r="1143">
      <c r="BD1143" s="2">
        <f>IF(AND($C$130&lt;&gt;"",资金流水!$J$1147=$C$130,ISNUMBER(资金流水!$B$1147),ISNUMBER(资金流水!$S$1147),资金流水!$S$1147&gt;=_辅助!$J$4,资金流水!$S$1147&lt;=_辅助!$J$2,OR(资金流水!$X$1147="应付材料款",资金流水!$X$1147="应付分包款",资金流水!$X$1147="应付机械运输费",资金流水!$X$1147="应付其他款")),INT(资金流水!$B$1147)*10000+1142,"")</f>
      </c>
    </row>
    <row r="1144">
      <c r="BD1144" s="2">
        <f>IF(AND($C$130&lt;&gt;"",资金流水!$J$1148=$C$130,ISNUMBER(资金流水!$B$1148),ISNUMBER(资金流水!$S$1148),资金流水!$S$1148&gt;=_辅助!$J$4,资金流水!$S$1148&lt;=_辅助!$J$2,OR(资金流水!$X$1148="应付材料款",资金流水!$X$1148="应付分包款",资金流水!$X$1148="应付机械运输费",资金流水!$X$1148="应付其他款")),INT(资金流水!$B$1148)*10000+1143,"")</f>
      </c>
    </row>
    <row r="1145">
      <c r="BD1145" s="2">
        <f>IF(AND($C$130&lt;&gt;"",资金流水!$J$1149=$C$130,ISNUMBER(资金流水!$B$1149),ISNUMBER(资金流水!$S$1149),资金流水!$S$1149&gt;=_辅助!$J$4,资金流水!$S$1149&lt;=_辅助!$J$2,OR(资金流水!$X$1149="应付材料款",资金流水!$X$1149="应付分包款",资金流水!$X$1149="应付机械运输费",资金流水!$X$1149="应付其他款")),INT(资金流水!$B$1149)*10000+1144,"")</f>
      </c>
    </row>
    <row r="1146">
      <c r="BD1146" s="2">
        <f>IF(AND($C$130&lt;&gt;"",资金流水!$J$1150=$C$130,ISNUMBER(资金流水!$B$1150),ISNUMBER(资金流水!$S$1150),资金流水!$S$1150&gt;=_辅助!$J$4,资金流水!$S$1150&lt;=_辅助!$J$2,OR(资金流水!$X$1150="应付材料款",资金流水!$X$1150="应付分包款",资金流水!$X$1150="应付机械运输费",资金流水!$X$1150="应付其他款")),INT(资金流水!$B$1150)*10000+1145,"")</f>
      </c>
    </row>
    <row r="1147">
      <c r="BD1147" s="2">
        <f>IF(AND($C$130&lt;&gt;"",资金流水!$J$1151=$C$130,ISNUMBER(资金流水!$B$1151),ISNUMBER(资金流水!$S$1151),资金流水!$S$1151&gt;=_辅助!$J$4,资金流水!$S$1151&lt;=_辅助!$J$2,OR(资金流水!$X$1151="应付材料款",资金流水!$X$1151="应付分包款",资金流水!$X$1151="应付机械运输费",资金流水!$X$1151="应付其他款")),INT(资金流水!$B$1151)*10000+1146,"")</f>
      </c>
    </row>
    <row r="1148">
      <c r="BD1148" s="2">
        <f>IF(AND($C$130&lt;&gt;"",资金流水!$J$1152=$C$130,ISNUMBER(资金流水!$B$1152),ISNUMBER(资金流水!$S$1152),资金流水!$S$1152&gt;=_辅助!$J$4,资金流水!$S$1152&lt;=_辅助!$J$2,OR(资金流水!$X$1152="应付材料款",资金流水!$X$1152="应付分包款",资金流水!$X$1152="应付机械运输费",资金流水!$X$1152="应付其他款")),INT(资金流水!$B$1152)*10000+1147,"")</f>
      </c>
    </row>
    <row r="1149">
      <c r="BD1149" s="2">
        <f>IF(AND($C$130&lt;&gt;"",资金流水!$J$1153=$C$130,ISNUMBER(资金流水!$B$1153),ISNUMBER(资金流水!$S$1153),资金流水!$S$1153&gt;=_辅助!$J$4,资金流水!$S$1153&lt;=_辅助!$J$2,OR(资金流水!$X$1153="应付材料款",资金流水!$X$1153="应付分包款",资金流水!$X$1153="应付机械运输费",资金流水!$X$1153="应付其他款")),INT(资金流水!$B$1153)*10000+1148,"")</f>
      </c>
    </row>
    <row r="1150">
      <c r="BD1150" s="2">
        <f>IF(AND($C$130&lt;&gt;"",资金流水!$J$1154=$C$130,ISNUMBER(资金流水!$B$1154),ISNUMBER(资金流水!$S$1154),资金流水!$S$1154&gt;=_辅助!$J$4,资金流水!$S$1154&lt;=_辅助!$J$2,OR(资金流水!$X$1154="应付材料款",资金流水!$X$1154="应付分包款",资金流水!$X$1154="应付机械运输费",资金流水!$X$1154="应付其他款")),INT(资金流水!$B$1154)*10000+1149,"")</f>
      </c>
    </row>
    <row r="1151">
      <c r="BD1151" s="2">
        <f>IF(AND($C$130&lt;&gt;"",资金流水!$J$1155=$C$130,ISNUMBER(资金流水!$B$1155),ISNUMBER(资金流水!$S$1155),资金流水!$S$1155&gt;=_辅助!$J$4,资金流水!$S$1155&lt;=_辅助!$J$2,OR(资金流水!$X$1155="应付材料款",资金流水!$X$1155="应付分包款",资金流水!$X$1155="应付机械运输费",资金流水!$X$1155="应付其他款")),INT(资金流水!$B$1155)*10000+1150,"")</f>
      </c>
    </row>
    <row r="1152">
      <c r="BD1152" s="2">
        <f>IF(AND($C$130&lt;&gt;"",资金流水!$J$1156=$C$130,ISNUMBER(资金流水!$B$1156),ISNUMBER(资金流水!$S$1156),资金流水!$S$1156&gt;=_辅助!$J$4,资金流水!$S$1156&lt;=_辅助!$J$2,OR(资金流水!$X$1156="应付材料款",资金流水!$X$1156="应付分包款",资金流水!$X$1156="应付机械运输费",资金流水!$X$1156="应付其他款")),INT(资金流水!$B$1156)*10000+1151,"")</f>
      </c>
    </row>
    <row r="1153">
      <c r="BD1153" s="2">
        <f>IF(AND($C$130&lt;&gt;"",资金流水!$J$1157=$C$130,ISNUMBER(资金流水!$B$1157),ISNUMBER(资金流水!$S$1157),资金流水!$S$1157&gt;=_辅助!$J$4,资金流水!$S$1157&lt;=_辅助!$J$2,OR(资金流水!$X$1157="应付材料款",资金流水!$X$1157="应付分包款",资金流水!$X$1157="应付机械运输费",资金流水!$X$1157="应付其他款")),INT(资金流水!$B$1157)*10000+1152,"")</f>
      </c>
    </row>
    <row r="1154">
      <c r="BD1154" s="2">
        <f>IF(AND($C$130&lt;&gt;"",资金流水!$J$1158=$C$130,ISNUMBER(资金流水!$B$1158),ISNUMBER(资金流水!$S$1158),资金流水!$S$1158&gt;=_辅助!$J$4,资金流水!$S$1158&lt;=_辅助!$J$2,OR(资金流水!$X$1158="应付材料款",资金流水!$X$1158="应付分包款",资金流水!$X$1158="应付机械运输费",资金流水!$X$1158="应付其他款")),INT(资金流水!$B$1158)*10000+1153,"")</f>
      </c>
    </row>
    <row r="1155">
      <c r="BD1155" s="2">
        <f>IF(AND($C$130&lt;&gt;"",资金流水!$J$1159=$C$130,ISNUMBER(资金流水!$B$1159),ISNUMBER(资金流水!$S$1159),资金流水!$S$1159&gt;=_辅助!$J$4,资金流水!$S$1159&lt;=_辅助!$J$2,OR(资金流水!$X$1159="应付材料款",资金流水!$X$1159="应付分包款",资金流水!$X$1159="应付机械运输费",资金流水!$X$1159="应付其他款")),INT(资金流水!$B$1159)*10000+1154,"")</f>
      </c>
    </row>
    <row r="1156">
      <c r="BD1156" s="2">
        <f>IF(AND($C$130&lt;&gt;"",资金流水!$J$1160=$C$130,ISNUMBER(资金流水!$B$1160),ISNUMBER(资金流水!$S$1160),资金流水!$S$1160&gt;=_辅助!$J$4,资金流水!$S$1160&lt;=_辅助!$J$2,OR(资金流水!$X$1160="应付材料款",资金流水!$X$1160="应付分包款",资金流水!$X$1160="应付机械运输费",资金流水!$X$1160="应付其他款")),INT(资金流水!$B$1160)*10000+1155,"")</f>
      </c>
    </row>
    <row r="1157">
      <c r="BD1157" s="2">
        <f>IF(AND($C$130&lt;&gt;"",资金流水!$J$1161=$C$130,ISNUMBER(资金流水!$B$1161),ISNUMBER(资金流水!$S$1161),资金流水!$S$1161&gt;=_辅助!$J$4,资金流水!$S$1161&lt;=_辅助!$J$2,OR(资金流水!$X$1161="应付材料款",资金流水!$X$1161="应付分包款",资金流水!$X$1161="应付机械运输费",资金流水!$X$1161="应付其他款")),INT(资金流水!$B$1161)*10000+1156,"")</f>
      </c>
    </row>
    <row r="1158">
      <c r="BD1158" s="2">
        <f>IF(AND($C$130&lt;&gt;"",资金流水!$J$1162=$C$130,ISNUMBER(资金流水!$B$1162),ISNUMBER(资金流水!$S$1162),资金流水!$S$1162&gt;=_辅助!$J$4,资金流水!$S$1162&lt;=_辅助!$J$2,OR(资金流水!$X$1162="应付材料款",资金流水!$X$1162="应付分包款",资金流水!$X$1162="应付机械运输费",资金流水!$X$1162="应付其他款")),INT(资金流水!$B$1162)*10000+1157,"")</f>
      </c>
    </row>
    <row r="1159">
      <c r="BD1159" s="2">
        <f>IF(AND($C$130&lt;&gt;"",资金流水!$J$1163=$C$130,ISNUMBER(资金流水!$B$1163),ISNUMBER(资金流水!$S$1163),资金流水!$S$1163&gt;=_辅助!$J$4,资金流水!$S$1163&lt;=_辅助!$J$2,OR(资金流水!$X$1163="应付材料款",资金流水!$X$1163="应付分包款",资金流水!$X$1163="应付机械运输费",资金流水!$X$1163="应付其他款")),INT(资金流水!$B$1163)*10000+1158,"")</f>
      </c>
    </row>
    <row r="1160">
      <c r="BD1160" s="2">
        <f>IF(AND($C$130&lt;&gt;"",资金流水!$J$1164=$C$130,ISNUMBER(资金流水!$B$1164),ISNUMBER(资金流水!$S$1164),资金流水!$S$1164&gt;=_辅助!$J$4,资金流水!$S$1164&lt;=_辅助!$J$2,OR(资金流水!$X$1164="应付材料款",资金流水!$X$1164="应付分包款",资金流水!$X$1164="应付机械运输费",资金流水!$X$1164="应付其他款")),INT(资金流水!$B$1164)*10000+1159,"")</f>
      </c>
    </row>
    <row r="1161">
      <c r="BD1161" s="2">
        <f>IF(AND($C$130&lt;&gt;"",资金流水!$J$1165=$C$130,ISNUMBER(资金流水!$B$1165),ISNUMBER(资金流水!$S$1165),资金流水!$S$1165&gt;=_辅助!$J$4,资金流水!$S$1165&lt;=_辅助!$J$2,OR(资金流水!$X$1165="应付材料款",资金流水!$X$1165="应付分包款",资金流水!$X$1165="应付机械运输费",资金流水!$X$1165="应付其他款")),INT(资金流水!$B$1165)*10000+1160,"")</f>
      </c>
    </row>
    <row r="1162">
      <c r="BD1162" s="2">
        <f>IF(AND($C$130&lt;&gt;"",资金流水!$J$1166=$C$130,ISNUMBER(资金流水!$B$1166),ISNUMBER(资金流水!$S$1166),资金流水!$S$1166&gt;=_辅助!$J$4,资金流水!$S$1166&lt;=_辅助!$J$2,OR(资金流水!$X$1166="应付材料款",资金流水!$X$1166="应付分包款",资金流水!$X$1166="应付机械运输费",资金流水!$X$1166="应付其他款")),INT(资金流水!$B$1166)*10000+1161,"")</f>
      </c>
    </row>
    <row r="1163">
      <c r="BD1163" s="2">
        <f>IF(AND($C$130&lt;&gt;"",资金流水!$J$1167=$C$130,ISNUMBER(资金流水!$B$1167),ISNUMBER(资金流水!$S$1167),资金流水!$S$1167&gt;=_辅助!$J$4,资金流水!$S$1167&lt;=_辅助!$J$2,OR(资金流水!$X$1167="应付材料款",资金流水!$X$1167="应付分包款",资金流水!$X$1167="应付机械运输费",资金流水!$X$1167="应付其他款")),INT(资金流水!$B$1167)*10000+1162,"")</f>
      </c>
    </row>
    <row r="1164">
      <c r="BD1164" s="2">
        <f>IF(AND($C$130&lt;&gt;"",资金流水!$J$1168=$C$130,ISNUMBER(资金流水!$B$1168),ISNUMBER(资金流水!$S$1168),资金流水!$S$1168&gt;=_辅助!$J$4,资金流水!$S$1168&lt;=_辅助!$J$2,OR(资金流水!$X$1168="应付材料款",资金流水!$X$1168="应付分包款",资金流水!$X$1168="应付机械运输费",资金流水!$X$1168="应付其他款")),INT(资金流水!$B$1168)*10000+1163,"")</f>
      </c>
    </row>
    <row r="1165">
      <c r="BD1165" s="2">
        <f>IF(AND($C$130&lt;&gt;"",资金流水!$J$1169=$C$130,ISNUMBER(资金流水!$B$1169),ISNUMBER(资金流水!$S$1169),资金流水!$S$1169&gt;=_辅助!$J$4,资金流水!$S$1169&lt;=_辅助!$J$2,OR(资金流水!$X$1169="应付材料款",资金流水!$X$1169="应付分包款",资金流水!$X$1169="应付机械运输费",资金流水!$X$1169="应付其他款")),INT(资金流水!$B$1169)*10000+1164,"")</f>
      </c>
    </row>
    <row r="1166">
      <c r="BD1166" s="2">
        <f>IF(AND($C$130&lt;&gt;"",资金流水!$J$1170=$C$130,ISNUMBER(资金流水!$B$1170),ISNUMBER(资金流水!$S$1170),资金流水!$S$1170&gt;=_辅助!$J$4,资金流水!$S$1170&lt;=_辅助!$J$2,OR(资金流水!$X$1170="应付材料款",资金流水!$X$1170="应付分包款",资金流水!$X$1170="应付机械运输费",资金流水!$X$1170="应付其他款")),INT(资金流水!$B$1170)*10000+1165,"")</f>
      </c>
    </row>
    <row r="1167">
      <c r="BD1167" s="2">
        <f>IF(AND($C$130&lt;&gt;"",资金流水!$J$1171=$C$130,ISNUMBER(资金流水!$B$1171),ISNUMBER(资金流水!$S$1171),资金流水!$S$1171&gt;=_辅助!$J$4,资金流水!$S$1171&lt;=_辅助!$J$2,OR(资金流水!$X$1171="应付材料款",资金流水!$X$1171="应付分包款",资金流水!$X$1171="应付机械运输费",资金流水!$X$1171="应付其他款")),INT(资金流水!$B$1171)*10000+1166,"")</f>
      </c>
    </row>
    <row r="1168">
      <c r="BD1168" s="2">
        <f>IF(AND($C$130&lt;&gt;"",资金流水!$J$1172=$C$130,ISNUMBER(资金流水!$B$1172),ISNUMBER(资金流水!$S$1172),资金流水!$S$1172&gt;=_辅助!$J$4,资金流水!$S$1172&lt;=_辅助!$J$2,OR(资金流水!$X$1172="应付材料款",资金流水!$X$1172="应付分包款",资金流水!$X$1172="应付机械运输费",资金流水!$X$1172="应付其他款")),INT(资金流水!$B$1172)*10000+1167,"")</f>
      </c>
    </row>
    <row r="1169">
      <c r="BD1169" s="2">
        <f>IF(AND($C$130&lt;&gt;"",资金流水!$J$1173=$C$130,ISNUMBER(资金流水!$B$1173),ISNUMBER(资金流水!$S$1173),资金流水!$S$1173&gt;=_辅助!$J$4,资金流水!$S$1173&lt;=_辅助!$J$2,OR(资金流水!$X$1173="应付材料款",资金流水!$X$1173="应付分包款",资金流水!$X$1173="应付机械运输费",资金流水!$X$1173="应付其他款")),INT(资金流水!$B$1173)*10000+1168,"")</f>
      </c>
    </row>
    <row r="1170">
      <c r="BD1170" s="2">
        <f>IF(AND($C$130&lt;&gt;"",资金流水!$J$1174=$C$130,ISNUMBER(资金流水!$B$1174),ISNUMBER(资金流水!$S$1174),资金流水!$S$1174&gt;=_辅助!$J$4,资金流水!$S$1174&lt;=_辅助!$J$2,OR(资金流水!$X$1174="应付材料款",资金流水!$X$1174="应付分包款",资金流水!$X$1174="应付机械运输费",资金流水!$X$1174="应付其他款")),INT(资金流水!$B$1174)*10000+1169,"")</f>
      </c>
    </row>
    <row r="1171">
      <c r="BD1171" s="2">
        <f>IF(AND($C$130&lt;&gt;"",资金流水!$J$1175=$C$130,ISNUMBER(资金流水!$B$1175),ISNUMBER(资金流水!$S$1175),资金流水!$S$1175&gt;=_辅助!$J$4,资金流水!$S$1175&lt;=_辅助!$J$2,OR(资金流水!$X$1175="应付材料款",资金流水!$X$1175="应付分包款",资金流水!$X$1175="应付机械运输费",资金流水!$X$1175="应付其他款")),INT(资金流水!$B$1175)*10000+1170,"")</f>
      </c>
    </row>
    <row r="1172">
      <c r="BD1172" s="2">
        <f>IF(AND($C$130&lt;&gt;"",资金流水!$J$1176=$C$130,ISNUMBER(资金流水!$B$1176),ISNUMBER(资金流水!$S$1176),资金流水!$S$1176&gt;=_辅助!$J$4,资金流水!$S$1176&lt;=_辅助!$J$2,OR(资金流水!$X$1176="应付材料款",资金流水!$X$1176="应付分包款",资金流水!$X$1176="应付机械运输费",资金流水!$X$1176="应付其他款")),INT(资金流水!$B$1176)*10000+1171,"")</f>
      </c>
    </row>
    <row r="1173">
      <c r="BD1173" s="2">
        <f>IF(AND($C$130&lt;&gt;"",资金流水!$J$1177=$C$130,ISNUMBER(资金流水!$B$1177),ISNUMBER(资金流水!$S$1177),资金流水!$S$1177&gt;=_辅助!$J$4,资金流水!$S$1177&lt;=_辅助!$J$2,OR(资金流水!$X$1177="应付材料款",资金流水!$X$1177="应付分包款",资金流水!$X$1177="应付机械运输费",资金流水!$X$1177="应付其他款")),INT(资金流水!$B$1177)*10000+1172,"")</f>
      </c>
    </row>
    <row r="1174">
      <c r="BD1174" s="2">
        <f>IF(AND($C$130&lt;&gt;"",资金流水!$J$1178=$C$130,ISNUMBER(资金流水!$B$1178),ISNUMBER(资金流水!$S$1178),资金流水!$S$1178&gt;=_辅助!$J$4,资金流水!$S$1178&lt;=_辅助!$J$2,OR(资金流水!$X$1178="应付材料款",资金流水!$X$1178="应付分包款",资金流水!$X$1178="应付机械运输费",资金流水!$X$1178="应付其他款")),INT(资金流水!$B$1178)*10000+1173,"")</f>
      </c>
    </row>
    <row r="1175">
      <c r="BD1175" s="2">
        <f>IF(AND($C$130&lt;&gt;"",资金流水!$J$1179=$C$130,ISNUMBER(资金流水!$B$1179),ISNUMBER(资金流水!$S$1179),资金流水!$S$1179&gt;=_辅助!$J$4,资金流水!$S$1179&lt;=_辅助!$J$2,OR(资金流水!$X$1179="应付材料款",资金流水!$X$1179="应付分包款",资金流水!$X$1179="应付机械运输费",资金流水!$X$1179="应付其他款")),INT(资金流水!$B$1179)*10000+1174,"")</f>
      </c>
    </row>
    <row r="1176">
      <c r="BD1176" s="2">
        <f>IF(AND($C$130&lt;&gt;"",资金流水!$J$1180=$C$130,ISNUMBER(资金流水!$B$1180),ISNUMBER(资金流水!$S$1180),资金流水!$S$1180&gt;=_辅助!$J$4,资金流水!$S$1180&lt;=_辅助!$J$2,OR(资金流水!$X$1180="应付材料款",资金流水!$X$1180="应付分包款",资金流水!$X$1180="应付机械运输费",资金流水!$X$1180="应付其他款")),INT(资金流水!$B$1180)*10000+1175,"")</f>
      </c>
    </row>
    <row r="1177">
      <c r="BD1177" s="2">
        <f>IF(AND($C$130&lt;&gt;"",资金流水!$J$1181=$C$130,ISNUMBER(资金流水!$B$1181),ISNUMBER(资金流水!$S$1181),资金流水!$S$1181&gt;=_辅助!$J$4,资金流水!$S$1181&lt;=_辅助!$J$2,OR(资金流水!$X$1181="应付材料款",资金流水!$X$1181="应付分包款",资金流水!$X$1181="应付机械运输费",资金流水!$X$1181="应付其他款")),INT(资金流水!$B$1181)*10000+1176,"")</f>
      </c>
    </row>
    <row r="1178">
      <c r="BD1178" s="2">
        <f>IF(AND($C$130&lt;&gt;"",资金流水!$J$1182=$C$130,ISNUMBER(资金流水!$B$1182),ISNUMBER(资金流水!$S$1182),资金流水!$S$1182&gt;=_辅助!$J$4,资金流水!$S$1182&lt;=_辅助!$J$2,OR(资金流水!$X$1182="应付材料款",资金流水!$X$1182="应付分包款",资金流水!$X$1182="应付机械运输费",资金流水!$X$1182="应付其他款")),INT(资金流水!$B$1182)*10000+1177,"")</f>
      </c>
    </row>
    <row r="1179">
      <c r="BD1179" s="2">
        <f>IF(AND($C$130&lt;&gt;"",资金流水!$J$1183=$C$130,ISNUMBER(资金流水!$B$1183),ISNUMBER(资金流水!$S$1183),资金流水!$S$1183&gt;=_辅助!$J$4,资金流水!$S$1183&lt;=_辅助!$J$2,OR(资金流水!$X$1183="应付材料款",资金流水!$X$1183="应付分包款",资金流水!$X$1183="应付机械运输费",资金流水!$X$1183="应付其他款")),INT(资金流水!$B$1183)*10000+1178,"")</f>
      </c>
    </row>
    <row r="1180">
      <c r="BD1180" s="2">
        <f>IF(AND($C$130&lt;&gt;"",资金流水!$J$1184=$C$130,ISNUMBER(资金流水!$B$1184),ISNUMBER(资金流水!$S$1184),资金流水!$S$1184&gt;=_辅助!$J$4,资金流水!$S$1184&lt;=_辅助!$J$2,OR(资金流水!$X$1184="应付材料款",资金流水!$X$1184="应付分包款",资金流水!$X$1184="应付机械运输费",资金流水!$X$1184="应付其他款")),INT(资金流水!$B$1184)*10000+1179,"")</f>
      </c>
    </row>
    <row r="1181">
      <c r="BD1181" s="2">
        <f>IF(AND($C$130&lt;&gt;"",资金流水!$J$1185=$C$130,ISNUMBER(资金流水!$B$1185),ISNUMBER(资金流水!$S$1185),资金流水!$S$1185&gt;=_辅助!$J$4,资金流水!$S$1185&lt;=_辅助!$J$2,OR(资金流水!$X$1185="应付材料款",资金流水!$X$1185="应付分包款",资金流水!$X$1185="应付机械运输费",资金流水!$X$1185="应付其他款")),INT(资金流水!$B$1185)*10000+1180,"")</f>
      </c>
    </row>
    <row r="1182">
      <c r="BD1182" s="2">
        <f>IF(AND($C$130&lt;&gt;"",资金流水!$J$1186=$C$130,ISNUMBER(资金流水!$B$1186),ISNUMBER(资金流水!$S$1186),资金流水!$S$1186&gt;=_辅助!$J$4,资金流水!$S$1186&lt;=_辅助!$J$2,OR(资金流水!$X$1186="应付材料款",资金流水!$X$1186="应付分包款",资金流水!$X$1186="应付机械运输费",资金流水!$X$1186="应付其他款")),INT(资金流水!$B$1186)*10000+1181,"")</f>
      </c>
    </row>
    <row r="1183">
      <c r="BD1183" s="2">
        <f>IF(AND($C$130&lt;&gt;"",资金流水!$J$1187=$C$130,ISNUMBER(资金流水!$B$1187),ISNUMBER(资金流水!$S$1187),资金流水!$S$1187&gt;=_辅助!$J$4,资金流水!$S$1187&lt;=_辅助!$J$2,OR(资金流水!$X$1187="应付材料款",资金流水!$X$1187="应付分包款",资金流水!$X$1187="应付机械运输费",资金流水!$X$1187="应付其他款")),INT(资金流水!$B$1187)*10000+1182,"")</f>
      </c>
    </row>
    <row r="1184">
      <c r="BD1184" s="2">
        <f>IF(AND($C$130&lt;&gt;"",资金流水!$J$1188=$C$130,ISNUMBER(资金流水!$B$1188),ISNUMBER(资金流水!$S$1188),资金流水!$S$1188&gt;=_辅助!$J$4,资金流水!$S$1188&lt;=_辅助!$J$2,OR(资金流水!$X$1188="应付材料款",资金流水!$X$1188="应付分包款",资金流水!$X$1188="应付机械运输费",资金流水!$X$1188="应付其他款")),INT(资金流水!$B$1188)*10000+1183,"")</f>
      </c>
    </row>
    <row r="1185">
      <c r="BD1185" s="2">
        <f>IF(AND($C$130&lt;&gt;"",资金流水!$J$1189=$C$130,ISNUMBER(资金流水!$B$1189),ISNUMBER(资金流水!$S$1189),资金流水!$S$1189&gt;=_辅助!$J$4,资金流水!$S$1189&lt;=_辅助!$J$2,OR(资金流水!$X$1189="应付材料款",资金流水!$X$1189="应付分包款",资金流水!$X$1189="应付机械运输费",资金流水!$X$1189="应付其他款")),INT(资金流水!$B$1189)*10000+1184,"")</f>
      </c>
    </row>
    <row r="1186">
      <c r="BD1186" s="2">
        <f>IF(AND($C$130&lt;&gt;"",资金流水!$J$1190=$C$130,ISNUMBER(资金流水!$B$1190),ISNUMBER(资金流水!$S$1190),资金流水!$S$1190&gt;=_辅助!$J$4,资金流水!$S$1190&lt;=_辅助!$J$2,OR(资金流水!$X$1190="应付材料款",资金流水!$X$1190="应付分包款",资金流水!$X$1190="应付机械运输费",资金流水!$X$1190="应付其他款")),INT(资金流水!$B$1190)*10000+1185,"")</f>
      </c>
    </row>
    <row r="1187">
      <c r="BD1187" s="2">
        <f>IF(AND($C$130&lt;&gt;"",资金流水!$J$1191=$C$130,ISNUMBER(资金流水!$B$1191),ISNUMBER(资金流水!$S$1191),资金流水!$S$1191&gt;=_辅助!$J$4,资金流水!$S$1191&lt;=_辅助!$J$2,OR(资金流水!$X$1191="应付材料款",资金流水!$X$1191="应付分包款",资金流水!$X$1191="应付机械运输费",资金流水!$X$1191="应付其他款")),INT(资金流水!$B$1191)*10000+1186,"")</f>
      </c>
    </row>
    <row r="1188">
      <c r="BD1188" s="2">
        <f>IF(AND($C$130&lt;&gt;"",资金流水!$J$1192=$C$130,ISNUMBER(资金流水!$B$1192),ISNUMBER(资金流水!$S$1192),资金流水!$S$1192&gt;=_辅助!$J$4,资金流水!$S$1192&lt;=_辅助!$J$2,OR(资金流水!$X$1192="应付材料款",资金流水!$X$1192="应付分包款",资金流水!$X$1192="应付机械运输费",资金流水!$X$1192="应付其他款")),INT(资金流水!$B$1192)*10000+1187,"")</f>
      </c>
    </row>
    <row r="1189">
      <c r="BD1189" s="2">
        <f>IF(AND($C$130&lt;&gt;"",资金流水!$J$1193=$C$130,ISNUMBER(资金流水!$B$1193),ISNUMBER(资金流水!$S$1193),资金流水!$S$1193&gt;=_辅助!$J$4,资金流水!$S$1193&lt;=_辅助!$J$2,OR(资金流水!$X$1193="应付材料款",资金流水!$X$1193="应付分包款",资金流水!$X$1193="应付机械运输费",资金流水!$X$1193="应付其他款")),INT(资金流水!$B$1193)*10000+1188,"")</f>
      </c>
    </row>
    <row r="1190">
      <c r="BD1190" s="2">
        <f>IF(AND($C$130&lt;&gt;"",资金流水!$J$1194=$C$130,ISNUMBER(资金流水!$B$1194),ISNUMBER(资金流水!$S$1194),资金流水!$S$1194&gt;=_辅助!$J$4,资金流水!$S$1194&lt;=_辅助!$J$2,OR(资金流水!$X$1194="应付材料款",资金流水!$X$1194="应付分包款",资金流水!$X$1194="应付机械运输费",资金流水!$X$1194="应付其他款")),INT(资金流水!$B$1194)*10000+1189,"")</f>
      </c>
    </row>
    <row r="1191">
      <c r="BD1191" s="2">
        <f>IF(AND($C$130&lt;&gt;"",资金流水!$J$1195=$C$130,ISNUMBER(资金流水!$B$1195),ISNUMBER(资金流水!$S$1195),资金流水!$S$1195&gt;=_辅助!$J$4,资金流水!$S$1195&lt;=_辅助!$J$2,OR(资金流水!$X$1195="应付材料款",资金流水!$X$1195="应付分包款",资金流水!$X$1195="应付机械运输费",资金流水!$X$1195="应付其他款")),INT(资金流水!$B$1195)*10000+1190,"")</f>
      </c>
    </row>
    <row r="1192">
      <c r="BD1192" s="2">
        <f>IF(AND($C$130&lt;&gt;"",资金流水!$J$1196=$C$130,ISNUMBER(资金流水!$B$1196),ISNUMBER(资金流水!$S$1196),资金流水!$S$1196&gt;=_辅助!$J$4,资金流水!$S$1196&lt;=_辅助!$J$2,OR(资金流水!$X$1196="应付材料款",资金流水!$X$1196="应付分包款",资金流水!$X$1196="应付机械运输费",资金流水!$X$1196="应付其他款")),INT(资金流水!$B$1196)*10000+1191,"")</f>
      </c>
    </row>
    <row r="1193">
      <c r="BD1193" s="2">
        <f>IF(AND($C$130&lt;&gt;"",资金流水!$J$1197=$C$130,ISNUMBER(资金流水!$B$1197),ISNUMBER(资金流水!$S$1197),资金流水!$S$1197&gt;=_辅助!$J$4,资金流水!$S$1197&lt;=_辅助!$J$2,OR(资金流水!$X$1197="应付材料款",资金流水!$X$1197="应付分包款",资金流水!$X$1197="应付机械运输费",资金流水!$X$1197="应付其他款")),INT(资金流水!$B$1197)*10000+1192,"")</f>
      </c>
    </row>
    <row r="1194">
      <c r="BD1194" s="2">
        <f>IF(AND($C$130&lt;&gt;"",资金流水!$J$1198=$C$130,ISNUMBER(资金流水!$B$1198),ISNUMBER(资金流水!$S$1198),资金流水!$S$1198&gt;=_辅助!$J$4,资金流水!$S$1198&lt;=_辅助!$J$2,OR(资金流水!$X$1198="应付材料款",资金流水!$X$1198="应付分包款",资金流水!$X$1198="应付机械运输费",资金流水!$X$1198="应付其他款")),INT(资金流水!$B$1198)*10000+1193,"")</f>
      </c>
    </row>
    <row r="1195">
      <c r="BD1195" s="2">
        <f>IF(AND($C$130&lt;&gt;"",资金流水!$J$1199=$C$130,ISNUMBER(资金流水!$B$1199),ISNUMBER(资金流水!$S$1199),资金流水!$S$1199&gt;=_辅助!$J$4,资金流水!$S$1199&lt;=_辅助!$J$2,OR(资金流水!$X$1199="应付材料款",资金流水!$X$1199="应付分包款",资金流水!$X$1199="应付机械运输费",资金流水!$X$1199="应付其他款")),INT(资金流水!$B$1199)*10000+1194,"")</f>
      </c>
    </row>
    <row r="1196">
      <c r="BD1196" s="2">
        <f>IF(AND($C$130&lt;&gt;"",资金流水!$J$1200=$C$130,ISNUMBER(资金流水!$B$1200),ISNUMBER(资金流水!$S$1200),资金流水!$S$1200&gt;=_辅助!$J$4,资金流水!$S$1200&lt;=_辅助!$J$2,OR(资金流水!$X$1200="应付材料款",资金流水!$X$1200="应付分包款",资金流水!$X$1200="应付机械运输费",资金流水!$X$1200="应付其他款")),INT(资金流水!$B$1200)*10000+1195,"")</f>
      </c>
    </row>
    <row r="1197">
      <c r="BD1197" s="2">
        <f>IF(AND($C$130&lt;&gt;"",资金流水!$J$1201=$C$130,ISNUMBER(资金流水!$B$1201),ISNUMBER(资金流水!$S$1201),资金流水!$S$1201&gt;=_辅助!$J$4,资金流水!$S$1201&lt;=_辅助!$J$2,OR(资金流水!$X$1201="应付材料款",资金流水!$X$1201="应付分包款",资金流水!$X$1201="应付机械运输费",资金流水!$X$1201="应付其他款")),INT(资金流水!$B$1201)*10000+1196,"")</f>
      </c>
    </row>
    <row r="1198">
      <c r="BD1198" s="2">
        <f>IF(AND($C$130&lt;&gt;"",资金流水!$J$1202=$C$130,ISNUMBER(资金流水!$B$1202),ISNUMBER(资金流水!$S$1202),资金流水!$S$1202&gt;=_辅助!$J$4,资金流水!$S$1202&lt;=_辅助!$J$2,OR(资金流水!$X$1202="应付材料款",资金流水!$X$1202="应付分包款",资金流水!$X$1202="应付机械运输费",资金流水!$X$1202="应付其他款")),INT(资金流水!$B$1202)*10000+1197,"")</f>
      </c>
    </row>
    <row r="1199">
      <c r="BD1199" s="2">
        <f>IF(AND($C$130&lt;&gt;"",资金流水!$J$1203=$C$130,ISNUMBER(资金流水!$B$1203),ISNUMBER(资金流水!$S$1203),资金流水!$S$1203&gt;=_辅助!$J$4,资金流水!$S$1203&lt;=_辅助!$J$2,OR(资金流水!$X$1203="应付材料款",资金流水!$X$1203="应付分包款",资金流水!$X$1203="应付机械运输费",资金流水!$X$1203="应付其他款")),INT(资金流水!$B$1203)*10000+1198,"")</f>
      </c>
    </row>
    <row r="1200">
      <c r="BD1200" s="2">
        <f>IF(AND($C$130&lt;&gt;"",资金流水!$J$1204=$C$130,ISNUMBER(资金流水!$B$1204),ISNUMBER(资金流水!$S$1204),资金流水!$S$1204&gt;=_辅助!$J$4,资金流水!$S$1204&lt;=_辅助!$J$2,OR(资金流水!$X$1204="应付材料款",资金流水!$X$1204="应付分包款",资金流水!$X$1204="应付机械运输费",资金流水!$X$1204="应付其他款")),INT(资金流水!$B$1204)*10000+1199,"")</f>
      </c>
    </row>
    <row r="1201">
      <c r="BD1201" s="2">
        <f>IF(AND($C$130&lt;&gt;"",资金流水!$J$1205=$C$130,ISNUMBER(资金流水!$B$1205),ISNUMBER(资金流水!$S$1205),资金流水!$S$1205&gt;=_辅助!$J$4,资金流水!$S$1205&lt;=_辅助!$J$2,OR(资金流水!$X$1205="应付材料款",资金流水!$X$1205="应付分包款",资金流水!$X$1205="应付机械运输费",资金流水!$X$1205="应付其他款")),INT(资金流水!$B$1205)*10000+1200,"")</f>
      </c>
    </row>
    <row r="1202">
      <c r="BD1202" s="2">
        <f>IF(AND($C$130&lt;&gt;"",资金流水!$J$1206=$C$130,ISNUMBER(资金流水!$B$1206),ISNUMBER(资金流水!$S$1206),资金流水!$S$1206&gt;=_辅助!$J$4,资金流水!$S$1206&lt;=_辅助!$J$2,OR(资金流水!$X$1206="应付材料款",资金流水!$X$1206="应付分包款",资金流水!$X$1206="应付机械运输费",资金流水!$X$1206="应付其他款")),INT(资金流水!$B$1206)*10000+1201,"")</f>
      </c>
    </row>
    <row r="1203">
      <c r="BD1203" s="2">
        <f>IF(AND($C$130&lt;&gt;"",资金流水!$J$1207=$C$130,ISNUMBER(资金流水!$B$1207),ISNUMBER(资金流水!$S$1207),资金流水!$S$1207&gt;=_辅助!$J$4,资金流水!$S$1207&lt;=_辅助!$J$2,OR(资金流水!$X$1207="应付材料款",资金流水!$X$1207="应付分包款",资金流水!$X$1207="应付机械运输费",资金流水!$X$1207="应付其他款")),INT(资金流水!$B$1207)*10000+1202,"")</f>
      </c>
    </row>
    <row r="1204">
      <c r="BD1204" s="2">
        <f>IF(AND($C$130&lt;&gt;"",资金流水!$J$1208=$C$130,ISNUMBER(资金流水!$B$1208),ISNUMBER(资金流水!$S$1208),资金流水!$S$1208&gt;=_辅助!$J$4,资金流水!$S$1208&lt;=_辅助!$J$2,OR(资金流水!$X$1208="应付材料款",资金流水!$X$1208="应付分包款",资金流水!$X$1208="应付机械运输费",资金流水!$X$1208="应付其他款")),INT(资金流水!$B$1208)*10000+1203,"")</f>
      </c>
    </row>
    <row r="1205">
      <c r="BD1205" s="2">
        <f>IF(AND($C$130&lt;&gt;"",资金流水!$J$1209=$C$130,ISNUMBER(资金流水!$B$1209),ISNUMBER(资金流水!$S$1209),资金流水!$S$1209&gt;=_辅助!$J$4,资金流水!$S$1209&lt;=_辅助!$J$2,OR(资金流水!$X$1209="应付材料款",资金流水!$X$1209="应付分包款",资金流水!$X$1209="应付机械运输费",资金流水!$X$1209="应付其他款")),INT(资金流水!$B$1209)*10000+1204,"")</f>
      </c>
    </row>
    <row r="1206">
      <c r="BD1206" s="2">
        <f>IF(AND($C$130&lt;&gt;"",资金流水!$J$1210=$C$130,ISNUMBER(资金流水!$B$1210),ISNUMBER(资金流水!$S$1210),资金流水!$S$1210&gt;=_辅助!$J$4,资金流水!$S$1210&lt;=_辅助!$J$2,OR(资金流水!$X$1210="应付材料款",资金流水!$X$1210="应付分包款",资金流水!$X$1210="应付机械运输费",资金流水!$X$1210="应付其他款")),INT(资金流水!$B$1210)*10000+1205,"")</f>
      </c>
    </row>
    <row r="1207">
      <c r="BD1207" s="2">
        <f>IF(AND($C$130&lt;&gt;"",资金流水!$J$1211=$C$130,ISNUMBER(资金流水!$B$1211),ISNUMBER(资金流水!$S$1211),资金流水!$S$1211&gt;=_辅助!$J$4,资金流水!$S$1211&lt;=_辅助!$J$2,OR(资金流水!$X$1211="应付材料款",资金流水!$X$1211="应付分包款",资金流水!$X$1211="应付机械运输费",资金流水!$X$1211="应付其他款")),INT(资金流水!$B$1211)*10000+1206,"")</f>
      </c>
    </row>
    <row r="1208">
      <c r="BD1208" s="2">
        <f>IF(AND($C$130&lt;&gt;"",资金流水!$J$1212=$C$130,ISNUMBER(资金流水!$B$1212),ISNUMBER(资金流水!$S$1212),资金流水!$S$1212&gt;=_辅助!$J$4,资金流水!$S$1212&lt;=_辅助!$J$2,OR(资金流水!$X$1212="应付材料款",资金流水!$X$1212="应付分包款",资金流水!$X$1212="应付机械运输费",资金流水!$X$1212="应付其他款")),INT(资金流水!$B$1212)*10000+1207,"")</f>
      </c>
    </row>
    <row r="1209">
      <c r="BD1209" s="2">
        <f>IF(AND($C$130&lt;&gt;"",资金流水!$J$1213=$C$130,ISNUMBER(资金流水!$B$1213),ISNUMBER(资金流水!$S$1213),资金流水!$S$1213&gt;=_辅助!$J$4,资金流水!$S$1213&lt;=_辅助!$J$2,OR(资金流水!$X$1213="应付材料款",资金流水!$X$1213="应付分包款",资金流水!$X$1213="应付机械运输费",资金流水!$X$1213="应付其他款")),INT(资金流水!$B$1213)*10000+1208,"")</f>
      </c>
    </row>
    <row r="1210">
      <c r="BD1210" s="2">
        <f>IF(AND($C$130&lt;&gt;"",资金流水!$J$1214=$C$130,ISNUMBER(资金流水!$B$1214),ISNUMBER(资金流水!$S$1214),资金流水!$S$1214&gt;=_辅助!$J$4,资金流水!$S$1214&lt;=_辅助!$J$2,OR(资金流水!$X$1214="应付材料款",资金流水!$X$1214="应付分包款",资金流水!$X$1214="应付机械运输费",资金流水!$X$1214="应付其他款")),INT(资金流水!$B$1214)*10000+1209,"")</f>
      </c>
    </row>
    <row r="1211">
      <c r="BD1211" s="2">
        <f>IF(AND($C$130&lt;&gt;"",资金流水!$J$1215=$C$130,ISNUMBER(资金流水!$B$1215),ISNUMBER(资金流水!$S$1215),资金流水!$S$1215&gt;=_辅助!$J$4,资金流水!$S$1215&lt;=_辅助!$J$2,OR(资金流水!$X$1215="应付材料款",资金流水!$X$1215="应付分包款",资金流水!$X$1215="应付机械运输费",资金流水!$X$1215="应付其他款")),INT(资金流水!$B$1215)*10000+1210,"")</f>
      </c>
    </row>
    <row r="1212">
      <c r="BD1212" s="2">
        <f>IF(AND($C$130&lt;&gt;"",资金流水!$J$1216=$C$130,ISNUMBER(资金流水!$B$1216),ISNUMBER(资金流水!$S$1216),资金流水!$S$1216&gt;=_辅助!$J$4,资金流水!$S$1216&lt;=_辅助!$J$2,OR(资金流水!$X$1216="应付材料款",资金流水!$X$1216="应付分包款",资金流水!$X$1216="应付机械运输费",资金流水!$X$1216="应付其他款")),INT(资金流水!$B$1216)*10000+1211,"")</f>
      </c>
    </row>
    <row r="1213">
      <c r="BD1213" s="2">
        <f>IF(AND($C$130&lt;&gt;"",资金流水!$J$1217=$C$130,ISNUMBER(资金流水!$B$1217),ISNUMBER(资金流水!$S$1217),资金流水!$S$1217&gt;=_辅助!$J$4,资金流水!$S$1217&lt;=_辅助!$J$2,OR(资金流水!$X$1217="应付材料款",资金流水!$X$1217="应付分包款",资金流水!$X$1217="应付机械运输费",资金流水!$X$1217="应付其他款")),INT(资金流水!$B$1217)*10000+1212,"")</f>
      </c>
    </row>
    <row r="1214">
      <c r="BD1214" s="2">
        <f>IF(AND($C$130&lt;&gt;"",资金流水!$J$1218=$C$130,ISNUMBER(资金流水!$B$1218),ISNUMBER(资金流水!$S$1218),资金流水!$S$1218&gt;=_辅助!$J$4,资金流水!$S$1218&lt;=_辅助!$J$2,OR(资金流水!$X$1218="应付材料款",资金流水!$X$1218="应付分包款",资金流水!$X$1218="应付机械运输费",资金流水!$X$1218="应付其他款")),INT(资金流水!$B$1218)*10000+1213,"")</f>
      </c>
    </row>
    <row r="1215">
      <c r="BD1215" s="2">
        <f>IF(AND($C$130&lt;&gt;"",资金流水!$J$1219=$C$130,ISNUMBER(资金流水!$B$1219),ISNUMBER(资金流水!$S$1219),资金流水!$S$1219&gt;=_辅助!$J$4,资金流水!$S$1219&lt;=_辅助!$J$2,OR(资金流水!$X$1219="应付材料款",资金流水!$X$1219="应付分包款",资金流水!$X$1219="应付机械运输费",资金流水!$X$1219="应付其他款")),INT(资金流水!$B$1219)*10000+1214,"")</f>
      </c>
    </row>
    <row r="1216">
      <c r="BD1216" s="2">
        <f>IF(AND($C$130&lt;&gt;"",资金流水!$J$1220=$C$130,ISNUMBER(资金流水!$B$1220),ISNUMBER(资金流水!$S$1220),资金流水!$S$1220&gt;=_辅助!$J$4,资金流水!$S$1220&lt;=_辅助!$J$2,OR(资金流水!$X$1220="应付材料款",资金流水!$X$1220="应付分包款",资金流水!$X$1220="应付机械运输费",资金流水!$X$1220="应付其他款")),INT(资金流水!$B$1220)*10000+1215,"")</f>
      </c>
    </row>
    <row r="1217">
      <c r="BD1217" s="2">
        <f>IF(AND($C$130&lt;&gt;"",资金流水!$J$1221=$C$130,ISNUMBER(资金流水!$B$1221),ISNUMBER(资金流水!$S$1221),资金流水!$S$1221&gt;=_辅助!$J$4,资金流水!$S$1221&lt;=_辅助!$J$2,OR(资金流水!$X$1221="应付材料款",资金流水!$X$1221="应付分包款",资金流水!$X$1221="应付机械运输费",资金流水!$X$1221="应付其他款")),INT(资金流水!$B$1221)*10000+1216,"")</f>
      </c>
    </row>
    <row r="1218">
      <c r="BD1218" s="2">
        <f>IF(AND($C$130&lt;&gt;"",资金流水!$J$1222=$C$130,ISNUMBER(资金流水!$B$1222),ISNUMBER(资金流水!$S$1222),资金流水!$S$1222&gt;=_辅助!$J$4,资金流水!$S$1222&lt;=_辅助!$J$2,OR(资金流水!$X$1222="应付材料款",资金流水!$X$1222="应付分包款",资金流水!$X$1222="应付机械运输费",资金流水!$X$1222="应付其他款")),INT(资金流水!$B$1222)*10000+1217,"")</f>
      </c>
    </row>
    <row r="1219">
      <c r="BD1219" s="2">
        <f>IF(AND($C$130&lt;&gt;"",资金流水!$J$1223=$C$130,ISNUMBER(资金流水!$B$1223),ISNUMBER(资金流水!$S$1223),资金流水!$S$1223&gt;=_辅助!$J$4,资金流水!$S$1223&lt;=_辅助!$J$2,OR(资金流水!$X$1223="应付材料款",资金流水!$X$1223="应付分包款",资金流水!$X$1223="应付机械运输费",资金流水!$X$1223="应付其他款")),INT(资金流水!$B$1223)*10000+1218,"")</f>
      </c>
    </row>
    <row r="1220">
      <c r="BD1220" s="2">
        <f>IF(AND($C$130&lt;&gt;"",资金流水!$J$1224=$C$130,ISNUMBER(资金流水!$B$1224),ISNUMBER(资金流水!$S$1224),资金流水!$S$1224&gt;=_辅助!$J$4,资金流水!$S$1224&lt;=_辅助!$J$2,OR(资金流水!$X$1224="应付材料款",资金流水!$X$1224="应付分包款",资金流水!$X$1224="应付机械运输费",资金流水!$X$1224="应付其他款")),INT(资金流水!$B$1224)*10000+1219,"")</f>
      </c>
    </row>
    <row r="1221">
      <c r="BD1221" s="2">
        <f>IF(AND($C$130&lt;&gt;"",资金流水!$J$1225=$C$130,ISNUMBER(资金流水!$B$1225),ISNUMBER(资金流水!$S$1225),资金流水!$S$1225&gt;=_辅助!$J$4,资金流水!$S$1225&lt;=_辅助!$J$2,OR(资金流水!$X$1225="应付材料款",资金流水!$X$1225="应付分包款",资金流水!$X$1225="应付机械运输费",资金流水!$X$1225="应付其他款")),INT(资金流水!$B$1225)*10000+1220,"")</f>
      </c>
    </row>
    <row r="1222">
      <c r="BD1222" s="2">
        <f>IF(AND($C$130&lt;&gt;"",资金流水!$J$1226=$C$130,ISNUMBER(资金流水!$B$1226),ISNUMBER(资金流水!$S$1226),资金流水!$S$1226&gt;=_辅助!$J$4,资金流水!$S$1226&lt;=_辅助!$J$2,OR(资金流水!$X$1226="应付材料款",资金流水!$X$1226="应付分包款",资金流水!$X$1226="应付机械运输费",资金流水!$X$1226="应付其他款")),INT(资金流水!$B$1226)*10000+1221,"")</f>
      </c>
    </row>
    <row r="1223">
      <c r="BD1223" s="2">
        <f>IF(AND($C$130&lt;&gt;"",资金流水!$J$1227=$C$130,ISNUMBER(资金流水!$B$1227),ISNUMBER(资金流水!$S$1227),资金流水!$S$1227&gt;=_辅助!$J$4,资金流水!$S$1227&lt;=_辅助!$J$2,OR(资金流水!$X$1227="应付材料款",资金流水!$X$1227="应付分包款",资金流水!$X$1227="应付机械运输费",资金流水!$X$1227="应付其他款")),INT(资金流水!$B$1227)*10000+1222,"")</f>
      </c>
    </row>
    <row r="1224">
      <c r="BD1224" s="2">
        <f>IF(AND($C$130&lt;&gt;"",资金流水!$J$1228=$C$130,ISNUMBER(资金流水!$B$1228),ISNUMBER(资金流水!$S$1228),资金流水!$S$1228&gt;=_辅助!$J$4,资金流水!$S$1228&lt;=_辅助!$J$2,OR(资金流水!$X$1228="应付材料款",资金流水!$X$1228="应付分包款",资金流水!$X$1228="应付机械运输费",资金流水!$X$1228="应付其他款")),INT(资金流水!$B$1228)*10000+1223,"")</f>
      </c>
    </row>
    <row r="1225">
      <c r="BD1225" s="2">
        <f>IF(AND($C$130&lt;&gt;"",资金流水!$J$1229=$C$130,ISNUMBER(资金流水!$B$1229),ISNUMBER(资金流水!$S$1229),资金流水!$S$1229&gt;=_辅助!$J$4,资金流水!$S$1229&lt;=_辅助!$J$2,OR(资金流水!$X$1229="应付材料款",资金流水!$X$1229="应付分包款",资金流水!$X$1229="应付机械运输费",资金流水!$X$1229="应付其他款")),INT(资金流水!$B$1229)*10000+1224,"")</f>
      </c>
    </row>
    <row r="1226">
      <c r="BD1226" s="2">
        <f>IF(AND($C$130&lt;&gt;"",资金流水!$J$1230=$C$130,ISNUMBER(资金流水!$B$1230),ISNUMBER(资金流水!$S$1230),资金流水!$S$1230&gt;=_辅助!$J$4,资金流水!$S$1230&lt;=_辅助!$J$2,OR(资金流水!$X$1230="应付材料款",资金流水!$X$1230="应付分包款",资金流水!$X$1230="应付机械运输费",资金流水!$X$1230="应付其他款")),INT(资金流水!$B$1230)*10000+1225,"")</f>
      </c>
    </row>
    <row r="1227">
      <c r="BD1227" s="2">
        <f>IF(AND($C$130&lt;&gt;"",资金流水!$J$1231=$C$130,ISNUMBER(资金流水!$B$1231),ISNUMBER(资金流水!$S$1231),资金流水!$S$1231&gt;=_辅助!$J$4,资金流水!$S$1231&lt;=_辅助!$J$2,OR(资金流水!$X$1231="应付材料款",资金流水!$X$1231="应付分包款",资金流水!$X$1231="应付机械运输费",资金流水!$X$1231="应付其他款")),INT(资金流水!$B$1231)*10000+1226,"")</f>
      </c>
    </row>
    <row r="1228">
      <c r="BD1228" s="2">
        <f>IF(AND($C$130&lt;&gt;"",资金流水!$J$1232=$C$130,ISNUMBER(资金流水!$B$1232),ISNUMBER(资金流水!$S$1232),资金流水!$S$1232&gt;=_辅助!$J$4,资金流水!$S$1232&lt;=_辅助!$J$2,OR(资金流水!$X$1232="应付材料款",资金流水!$X$1232="应付分包款",资金流水!$X$1232="应付机械运输费",资金流水!$X$1232="应付其他款")),INT(资金流水!$B$1232)*10000+1227,"")</f>
      </c>
    </row>
    <row r="1229">
      <c r="BD1229" s="2">
        <f>IF(AND($C$130&lt;&gt;"",资金流水!$J$1233=$C$130,ISNUMBER(资金流水!$B$1233),ISNUMBER(资金流水!$S$1233),资金流水!$S$1233&gt;=_辅助!$J$4,资金流水!$S$1233&lt;=_辅助!$J$2,OR(资金流水!$X$1233="应付材料款",资金流水!$X$1233="应付分包款",资金流水!$X$1233="应付机械运输费",资金流水!$X$1233="应付其他款")),INT(资金流水!$B$1233)*10000+1228,"")</f>
      </c>
    </row>
    <row r="1230">
      <c r="BD1230" s="2">
        <f>IF(AND($C$130&lt;&gt;"",资金流水!$J$1234=$C$130,ISNUMBER(资金流水!$B$1234),ISNUMBER(资金流水!$S$1234),资金流水!$S$1234&gt;=_辅助!$J$4,资金流水!$S$1234&lt;=_辅助!$J$2,OR(资金流水!$X$1234="应付材料款",资金流水!$X$1234="应付分包款",资金流水!$X$1234="应付机械运输费",资金流水!$X$1234="应付其他款")),INT(资金流水!$B$1234)*10000+1229,"")</f>
      </c>
    </row>
    <row r="1231">
      <c r="BD1231" s="2">
        <f>IF(AND($C$130&lt;&gt;"",资金流水!$J$1235=$C$130,ISNUMBER(资金流水!$B$1235),ISNUMBER(资金流水!$S$1235),资金流水!$S$1235&gt;=_辅助!$J$4,资金流水!$S$1235&lt;=_辅助!$J$2,OR(资金流水!$X$1235="应付材料款",资金流水!$X$1235="应付分包款",资金流水!$X$1235="应付机械运输费",资金流水!$X$1235="应付其他款")),INT(资金流水!$B$1235)*10000+1230,"")</f>
      </c>
    </row>
    <row r="1232">
      <c r="BD1232" s="2">
        <f>IF(AND($C$130&lt;&gt;"",资金流水!$J$1236=$C$130,ISNUMBER(资金流水!$B$1236),ISNUMBER(资金流水!$S$1236),资金流水!$S$1236&gt;=_辅助!$J$4,资金流水!$S$1236&lt;=_辅助!$J$2,OR(资金流水!$X$1236="应付材料款",资金流水!$X$1236="应付分包款",资金流水!$X$1236="应付机械运输费",资金流水!$X$1236="应付其他款")),INT(资金流水!$B$1236)*10000+1231,"")</f>
      </c>
    </row>
    <row r="1233">
      <c r="BD1233" s="2">
        <f>IF(AND($C$130&lt;&gt;"",资金流水!$J$1237=$C$130,ISNUMBER(资金流水!$B$1237),ISNUMBER(资金流水!$S$1237),资金流水!$S$1237&gt;=_辅助!$J$4,资金流水!$S$1237&lt;=_辅助!$J$2,OR(资金流水!$X$1237="应付材料款",资金流水!$X$1237="应付分包款",资金流水!$X$1237="应付机械运输费",资金流水!$X$1237="应付其他款")),INT(资金流水!$B$1237)*10000+1232,"")</f>
      </c>
    </row>
    <row r="1234">
      <c r="BD1234" s="2">
        <f>IF(AND($C$130&lt;&gt;"",资金流水!$J$1238=$C$130,ISNUMBER(资金流水!$B$1238),ISNUMBER(资金流水!$S$1238),资金流水!$S$1238&gt;=_辅助!$J$4,资金流水!$S$1238&lt;=_辅助!$J$2,OR(资金流水!$X$1238="应付材料款",资金流水!$X$1238="应付分包款",资金流水!$X$1238="应付机械运输费",资金流水!$X$1238="应付其他款")),INT(资金流水!$B$1238)*10000+1233,"")</f>
      </c>
    </row>
    <row r="1235">
      <c r="BD1235" s="2">
        <f>IF(AND($C$130&lt;&gt;"",资金流水!$J$1239=$C$130,ISNUMBER(资金流水!$B$1239),ISNUMBER(资金流水!$S$1239),资金流水!$S$1239&gt;=_辅助!$J$4,资金流水!$S$1239&lt;=_辅助!$J$2,OR(资金流水!$X$1239="应付材料款",资金流水!$X$1239="应付分包款",资金流水!$X$1239="应付机械运输费",资金流水!$X$1239="应付其他款")),INT(资金流水!$B$1239)*10000+1234,"")</f>
      </c>
    </row>
    <row r="1236">
      <c r="BD1236" s="2">
        <f>IF(AND($C$130&lt;&gt;"",资金流水!$J$1240=$C$130,ISNUMBER(资金流水!$B$1240),ISNUMBER(资金流水!$S$1240),资金流水!$S$1240&gt;=_辅助!$J$4,资金流水!$S$1240&lt;=_辅助!$J$2,OR(资金流水!$X$1240="应付材料款",资金流水!$X$1240="应付分包款",资金流水!$X$1240="应付机械运输费",资金流水!$X$1240="应付其他款")),INT(资金流水!$B$1240)*10000+1235,"")</f>
      </c>
    </row>
    <row r="1237">
      <c r="BD1237" s="2">
        <f>IF(AND($C$130&lt;&gt;"",资金流水!$J$1241=$C$130,ISNUMBER(资金流水!$B$1241),ISNUMBER(资金流水!$S$1241),资金流水!$S$1241&gt;=_辅助!$J$4,资金流水!$S$1241&lt;=_辅助!$J$2,OR(资金流水!$X$1241="应付材料款",资金流水!$X$1241="应付分包款",资金流水!$X$1241="应付机械运输费",资金流水!$X$1241="应付其他款")),INT(资金流水!$B$1241)*10000+1236,"")</f>
      </c>
    </row>
    <row r="1238">
      <c r="BD1238" s="2">
        <f>IF(AND($C$130&lt;&gt;"",资金流水!$J$1242=$C$130,ISNUMBER(资金流水!$B$1242),ISNUMBER(资金流水!$S$1242),资金流水!$S$1242&gt;=_辅助!$J$4,资金流水!$S$1242&lt;=_辅助!$J$2,OR(资金流水!$X$1242="应付材料款",资金流水!$X$1242="应付分包款",资金流水!$X$1242="应付机械运输费",资金流水!$X$1242="应付其他款")),INT(资金流水!$B$1242)*10000+1237,"")</f>
      </c>
    </row>
    <row r="1239">
      <c r="BD1239" s="2">
        <f>IF(AND($C$130&lt;&gt;"",资金流水!$J$1243=$C$130,ISNUMBER(资金流水!$B$1243),ISNUMBER(资金流水!$S$1243),资金流水!$S$1243&gt;=_辅助!$J$4,资金流水!$S$1243&lt;=_辅助!$J$2,OR(资金流水!$X$1243="应付材料款",资金流水!$X$1243="应付分包款",资金流水!$X$1243="应付机械运输费",资金流水!$X$1243="应付其他款")),INT(资金流水!$B$1243)*10000+1238,"")</f>
      </c>
    </row>
    <row r="1240">
      <c r="BD1240" s="2">
        <f>IF(AND($C$130&lt;&gt;"",资金流水!$J$1244=$C$130,ISNUMBER(资金流水!$B$1244),ISNUMBER(资金流水!$S$1244),资金流水!$S$1244&gt;=_辅助!$J$4,资金流水!$S$1244&lt;=_辅助!$J$2,OR(资金流水!$X$1244="应付材料款",资金流水!$X$1244="应付分包款",资金流水!$X$1244="应付机械运输费",资金流水!$X$1244="应付其他款")),INT(资金流水!$B$1244)*10000+1239,"")</f>
      </c>
    </row>
    <row r="1241">
      <c r="BD1241" s="2">
        <f>IF(AND($C$130&lt;&gt;"",资金流水!$J$1245=$C$130,ISNUMBER(资金流水!$B$1245),ISNUMBER(资金流水!$S$1245),资金流水!$S$1245&gt;=_辅助!$J$4,资金流水!$S$1245&lt;=_辅助!$J$2,OR(资金流水!$X$1245="应付材料款",资金流水!$X$1245="应付分包款",资金流水!$X$1245="应付机械运输费",资金流水!$X$1245="应付其他款")),INT(资金流水!$B$1245)*10000+1240,"")</f>
      </c>
    </row>
    <row r="1242">
      <c r="BD1242" s="2">
        <f>IF(AND($C$130&lt;&gt;"",资金流水!$J$1246=$C$130,ISNUMBER(资金流水!$B$1246),ISNUMBER(资金流水!$S$1246),资金流水!$S$1246&gt;=_辅助!$J$4,资金流水!$S$1246&lt;=_辅助!$J$2,OR(资金流水!$X$1246="应付材料款",资金流水!$X$1246="应付分包款",资金流水!$X$1246="应付机械运输费",资金流水!$X$1246="应付其他款")),INT(资金流水!$B$1246)*10000+1241,"")</f>
      </c>
    </row>
    <row r="1243">
      <c r="BD1243" s="2">
        <f>IF(AND($C$130&lt;&gt;"",资金流水!$J$1247=$C$130,ISNUMBER(资金流水!$B$1247),ISNUMBER(资金流水!$S$1247),资金流水!$S$1247&gt;=_辅助!$J$4,资金流水!$S$1247&lt;=_辅助!$J$2,OR(资金流水!$X$1247="应付材料款",资金流水!$X$1247="应付分包款",资金流水!$X$1247="应付机械运输费",资金流水!$X$1247="应付其他款")),INT(资金流水!$B$1247)*10000+1242,"")</f>
      </c>
    </row>
    <row r="1244">
      <c r="BD1244" s="2">
        <f>IF(AND($C$130&lt;&gt;"",资金流水!$J$1248=$C$130,ISNUMBER(资金流水!$B$1248),ISNUMBER(资金流水!$S$1248),资金流水!$S$1248&gt;=_辅助!$J$4,资金流水!$S$1248&lt;=_辅助!$J$2,OR(资金流水!$X$1248="应付材料款",资金流水!$X$1248="应付分包款",资金流水!$X$1248="应付机械运输费",资金流水!$X$1248="应付其他款")),INT(资金流水!$B$1248)*10000+1243,"")</f>
      </c>
    </row>
    <row r="1245">
      <c r="BD1245" s="2">
        <f>IF(AND($C$130&lt;&gt;"",资金流水!$J$1249=$C$130,ISNUMBER(资金流水!$B$1249),ISNUMBER(资金流水!$S$1249),资金流水!$S$1249&gt;=_辅助!$J$4,资金流水!$S$1249&lt;=_辅助!$J$2,OR(资金流水!$X$1249="应付材料款",资金流水!$X$1249="应付分包款",资金流水!$X$1249="应付机械运输费",资金流水!$X$1249="应付其他款")),INT(资金流水!$B$1249)*10000+1244,"")</f>
      </c>
    </row>
    <row r="1246">
      <c r="BD1246" s="2">
        <f>IF(AND($C$130&lt;&gt;"",资金流水!$J$1250=$C$130,ISNUMBER(资金流水!$B$1250),ISNUMBER(资金流水!$S$1250),资金流水!$S$1250&gt;=_辅助!$J$4,资金流水!$S$1250&lt;=_辅助!$J$2,OR(资金流水!$X$1250="应付材料款",资金流水!$X$1250="应付分包款",资金流水!$X$1250="应付机械运输费",资金流水!$X$1250="应付其他款")),INT(资金流水!$B$1250)*10000+1245,"")</f>
      </c>
    </row>
    <row r="1247">
      <c r="BD1247" s="2">
        <f>IF(AND($C$130&lt;&gt;"",资金流水!$J$1251=$C$130,ISNUMBER(资金流水!$B$1251),ISNUMBER(资金流水!$S$1251),资金流水!$S$1251&gt;=_辅助!$J$4,资金流水!$S$1251&lt;=_辅助!$J$2,OR(资金流水!$X$1251="应付材料款",资金流水!$X$1251="应付分包款",资金流水!$X$1251="应付机械运输费",资金流水!$X$1251="应付其他款")),INT(资金流水!$B$1251)*10000+1246,"")</f>
      </c>
    </row>
    <row r="1248">
      <c r="BD1248" s="2">
        <f>IF(AND($C$130&lt;&gt;"",资金流水!$J$1252=$C$130,ISNUMBER(资金流水!$B$1252),ISNUMBER(资金流水!$S$1252),资金流水!$S$1252&gt;=_辅助!$J$4,资金流水!$S$1252&lt;=_辅助!$J$2,OR(资金流水!$X$1252="应付材料款",资金流水!$X$1252="应付分包款",资金流水!$X$1252="应付机械运输费",资金流水!$X$1252="应付其他款")),INT(资金流水!$B$1252)*10000+1247,"")</f>
      </c>
    </row>
    <row r="1249">
      <c r="BD1249" s="2">
        <f>IF(AND($C$130&lt;&gt;"",资金流水!$J$1253=$C$130,ISNUMBER(资金流水!$B$1253),ISNUMBER(资金流水!$S$1253),资金流水!$S$1253&gt;=_辅助!$J$4,资金流水!$S$1253&lt;=_辅助!$J$2,OR(资金流水!$X$1253="应付材料款",资金流水!$X$1253="应付分包款",资金流水!$X$1253="应付机械运输费",资金流水!$X$1253="应付其他款")),INT(资金流水!$B$1253)*10000+1248,"")</f>
      </c>
    </row>
    <row r="1250">
      <c r="BD1250" s="2">
        <f>IF(AND($C$130&lt;&gt;"",资金流水!$J$1254=$C$130,ISNUMBER(资金流水!$B$1254),ISNUMBER(资金流水!$S$1254),资金流水!$S$1254&gt;=_辅助!$J$4,资金流水!$S$1254&lt;=_辅助!$J$2,OR(资金流水!$X$1254="应付材料款",资金流水!$X$1254="应付分包款",资金流水!$X$1254="应付机械运输费",资金流水!$X$1254="应付其他款")),INT(资金流水!$B$1254)*10000+1249,"")</f>
      </c>
    </row>
    <row r="1251">
      <c r="BD1251" s="2">
        <f>IF(AND($C$130&lt;&gt;"",资金流水!$J$1255=$C$130,ISNUMBER(资金流水!$B$1255),ISNUMBER(资金流水!$S$1255),资金流水!$S$1255&gt;=_辅助!$J$4,资金流水!$S$1255&lt;=_辅助!$J$2,OR(资金流水!$X$1255="应付材料款",资金流水!$X$1255="应付分包款",资金流水!$X$1255="应付机械运输费",资金流水!$X$1255="应付其他款")),INT(资金流水!$B$1255)*10000+1250,"")</f>
      </c>
    </row>
    <row r="1252">
      <c r="BD1252" s="2">
        <f>IF(AND($C$130&lt;&gt;"",资金流水!$J$1256=$C$130,ISNUMBER(资金流水!$B$1256),ISNUMBER(资金流水!$S$1256),资金流水!$S$1256&gt;=_辅助!$J$4,资金流水!$S$1256&lt;=_辅助!$J$2,OR(资金流水!$X$1256="应付材料款",资金流水!$X$1256="应付分包款",资金流水!$X$1256="应付机械运输费",资金流水!$X$1256="应付其他款")),INT(资金流水!$B$1256)*10000+1251,"")</f>
      </c>
    </row>
    <row r="1253">
      <c r="BD1253" s="2">
        <f>IF(AND($C$130&lt;&gt;"",资金流水!$J$1257=$C$130,ISNUMBER(资金流水!$B$1257),ISNUMBER(资金流水!$S$1257),资金流水!$S$1257&gt;=_辅助!$J$4,资金流水!$S$1257&lt;=_辅助!$J$2,OR(资金流水!$X$1257="应付材料款",资金流水!$X$1257="应付分包款",资金流水!$X$1257="应付机械运输费",资金流水!$X$1257="应付其他款")),INT(资金流水!$B$1257)*10000+1252,"")</f>
      </c>
    </row>
    <row r="1254">
      <c r="BD1254" s="2">
        <f>IF(AND($C$130&lt;&gt;"",资金流水!$J$1258=$C$130,ISNUMBER(资金流水!$B$1258),ISNUMBER(资金流水!$S$1258),资金流水!$S$1258&gt;=_辅助!$J$4,资金流水!$S$1258&lt;=_辅助!$J$2,OR(资金流水!$X$1258="应付材料款",资金流水!$X$1258="应付分包款",资金流水!$X$1258="应付机械运输费",资金流水!$X$1258="应付其他款")),INT(资金流水!$B$1258)*10000+1253,"")</f>
      </c>
    </row>
    <row r="1255">
      <c r="BD1255" s="2">
        <f>IF(AND($C$130&lt;&gt;"",资金流水!$J$1259=$C$130,ISNUMBER(资金流水!$B$1259),ISNUMBER(资金流水!$S$1259),资金流水!$S$1259&gt;=_辅助!$J$4,资金流水!$S$1259&lt;=_辅助!$J$2,OR(资金流水!$X$1259="应付材料款",资金流水!$X$1259="应付分包款",资金流水!$X$1259="应付机械运输费",资金流水!$X$1259="应付其他款")),INT(资金流水!$B$1259)*10000+1254,"")</f>
      </c>
    </row>
    <row r="1256">
      <c r="BD1256" s="2">
        <f>IF(AND($C$130&lt;&gt;"",资金流水!$J$1260=$C$130,ISNUMBER(资金流水!$B$1260),ISNUMBER(资金流水!$S$1260),资金流水!$S$1260&gt;=_辅助!$J$4,资金流水!$S$1260&lt;=_辅助!$J$2,OR(资金流水!$X$1260="应付材料款",资金流水!$X$1260="应付分包款",资金流水!$X$1260="应付机械运输费",资金流水!$X$1260="应付其他款")),INT(资金流水!$B$1260)*10000+1255,"")</f>
      </c>
    </row>
    <row r="1257">
      <c r="BD1257" s="2">
        <f>IF(AND($C$130&lt;&gt;"",资金流水!$J$1261=$C$130,ISNUMBER(资金流水!$B$1261),ISNUMBER(资金流水!$S$1261),资金流水!$S$1261&gt;=_辅助!$J$4,资金流水!$S$1261&lt;=_辅助!$J$2,OR(资金流水!$X$1261="应付材料款",资金流水!$X$1261="应付分包款",资金流水!$X$1261="应付机械运输费",资金流水!$X$1261="应付其他款")),INT(资金流水!$B$1261)*10000+1256,"")</f>
      </c>
    </row>
    <row r="1258">
      <c r="BD1258" s="2">
        <f>IF(AND($C$130&lt;&gt;"",资金流水!$J$1262=$C$130,ISNUMBER(资金流水!$B$1262),ISNUMBER(资金流水!$S$1262),资金流水!$S$1262&gt;=_辅助!$J$4,资金流水!$S$1262&lt;=_辅助!$J$2,OR(资金流水!$X$1262="应付材料款",资金流水!$X$1262="应付分包款",资金流水!$X$1262="应付机械运输费",资金流水!$X$1262="应付其他款")),INT(资金流水!$B$1262)*10000+1257,"")</f>
      </c>
    </row>
    <row r="1259">
      <c r="BD1259" s="2">
        <f>IF(AND($C$130&lt;&gt;"",资金流水!$J$1263=$C$130,ISNUMBER(资金流水!$B$1263),ISNUMBER(资金流水!$S$1263),资金流水!$S$1263&gt;=_辅助!$J$4,资金流水!$S$1263&lt;=_辅助!$J$2,OR(资金流水!$X$1263="应付材料款",资金流水!$X$1263="应付分包款",资金流水!$X$1263="应付机械运输费",资金流水!$X$1263="应付其他款")),INT(资金流水!$B$1263)*10000+1258,"")</f>
      </c>
    </row>
    <row r="1260">
      <c r="BD1260" s="2">
        <f>IF(AND($C$130&lt;&gt;"",资金流水!$J$1264=$C$130,ISNUMBER(资金流水!$B$1264),ISNUMBER(资金流水!$S$1264),资金流水!$S$1264&gt;=_辅助!$J$4,资金流水!$S$1264&lt;=_辅助!$J$2,OR(资金流水!$X$1264="应付材料款",资金流水!$X$1264="应付分包款",资金流水!$X$1264="应付机械运输费",资金流水!$X$1264="应付其他款")),INT(资金流水!$B$1264)*10000+1259,"")</f>
      </c>
    </row>
    <row r="1261">
      <c r="BD1261" s="2">
        <f>IF(AND($C$130&lt;&gt;"",资金流水!$J$1265=$C$130,ISNUMBER(资金流水!$B$1265),ISNUMBER(资金流水!$S$1265),资金流水!$S$1265&gt;=_辅助!$J$4,资金流水!$S$1265&lt;=_辅助!$J$2,OR(资金流水!$X$1265="应付材料款",资金流水!$X$1265="应付分包款",资金流水!$X$1265="应付机械运输费",资金流水!$X$1265="应付其他款")),INT(资金流水!$B$1265)*10000+1260,"")</f>
      </c>
    </row>
    <row r="1262">
      <c r="BD1262" s="2">
        <f>IF(AND($C$130&lt;&gt;"",资金流水!$J$1266=$C$130,ISNUMBER(资金流水!$B$1266),ISNUMBER(资金流水!$S$1266),资金流水!$S$1266&gt;=_辅助!$J$4,资金流水!$S$1266&lt;=_辅助!$J$2,OR(资金流水!$X$1266="应付材料款",资金流水!$X$1266="应付分包款",资金流水!$X$1266="应付机械运输费",资金流水!$X$1266="应付其他款")),INT(资金流水!$B$1266)*10000+1261,"")</f>
      </c>
    </row>
    <row r="1263">
      <c r="BD1263" s="2">
        <f>IF(AND($C$130&lt;&gt;"",资金流水!$J$1267=$C$130,ISNUMBER(资金流水!$B$1267),ISNUMBER(资金流水!$S$1267),资金流水!$S$1267&gt;=_辅助!$J$4,资金流水!$S$1267&lt;=_辅助!$J$2,OR(资金流水!$X$1267="应付材料款",资金流水!$X$1267="应付分包款",资金流水!$X$1267="应付机械运输费",资金流水!$X$1267="应付其他款")),INT(资金流水!$B$1267)*10000+1262,"")</f>
      </c>
    </row>
    <row r="1264">
      <c r="BD1264" s="2">
        <f>IF(AND($C$130&lt;&gt;"",资金流水!$J$1268=$C$130,ISNUMBER(资金流水!$B$1268),ISNUMBER(资金流水!$S$1268),资金流水!$S$1268&gt;=_辅助!$J$4,资金流水!$S$1268&lt;=_辅助!$J$2,OR(资金流水!$X$1268="应付材料款",资金流水!$X$1268="应付分包款",资金流水!$X$1268="应付机械运输费",资金流水!$X$1268="应付其他款")),INT(资金流水!$B$1268)*10000+1263,"")</f>
      </c>
    </row>
    <row r="1265">
      <c r="BD1265" s="2">
        <f>IF(AND($C$130&lt;&gt;"",资金流水!$J$1269=$C$130,ISNUMBER(资金流水!$B$1269),ISNUMBER(资金流水!$S$1269),资金流水!$S$1269&gt;=_辅助!$J$4,资金流水!$S$1269&lt;=_辅助!$J$2,OR(资金流水!$X$1269="应付材料款",资金流水!$X$1269="应付分包款",资金流水!$X$1269="应付机械运输费",资金流水!$X$1269="应付其他款")),INT(资金流水!$B$1269)*10000+1264,"")</f>
      </c>
    </row>
    <row r="1266">
      <c r="BD1266" s="2">
        <f>IF(AND($C$130&lt;&gt;"",资金流水!$J$1270=$C$130,ISNUMBER(资金流水!$B$1270),ISNUMBER(资金流水!$S$1270),资金流水!$S$1270&gt;=_辅助!$J$4,资金流水!$S$1270&lt;=_辅助!$J$2,OR(资金流水!$X$1270="应付材料款",资金流水!$X$1270="应付分包款",资金流水!$X$1270="应付机械运输费",资金流水!$X$1270="应付其他款")),INT(资金流水!$B$1270)*10000+1265,"")</f>
      </c>
    </row>
    <row r="1267">
      <c r="BD1267" s="2">
        <f>IF(AND($C$130&lt;&gt;"",资金流水!$J$1271=$C$130,ISNUMBER(资金流水!$B$1271),ISNUMBER(资金流水!$S$1271),资金流水!$S$1271&gt;=_辅助!$J$4,资金流水!$S$1271&lt;=_辅助!$J$2,OR(资金流水!$X$1271="应付材料款",资金流水!$X$1271="应付分包款",资金流水!$X$1271="应付机械运输费",资金流水!$X$1271="应付其他款")),INT(资金流水!$B$1271)*10000+1266,"")</f>
      </c>
    </row>
    <row r="1268">
      <c r="BD1268" s="2">
        <f>IF(AND($C$130&lt;&gt;"",资金流水!$J$1272=$C$130,ISNUMBER(资金流水!$B$1272),ISNUMBER(资金流水!$S$1272),资金流水!$S$1272&gt;=_辅助!$J$4,资金流水!$S$1272&lt;=_辅助!$J$2,OR(资金流水!$X$1272="应付材料款",资金流水!$X$1272="应付分包款",资金流水!$X$1272="应付机械运输费",资金流水!$X$1272="应付其他款")),INT(资金流水!$B$1272)*10000+1267,"")</f>
      </c>
    </row>
    <row r="1269">
      <c r="BD1269" s="2">
        <f>IF(AND($C$130&lt;&gt;"",资金流水!$J$1273=$C$130,ISNUMBER(资金流水!$B$1273),ISNUMBER(资金流水!$S$1273),资金流水!$S$1273&gt;=_辅助!$J$4,资金流水!$S$1273&lt;=_辅助!$J$2,OR(资金流水!$X$1273="应付材料款",资金流水!$X$1273="应付分包款",资金流水!$X$1273="应付机械运输费",资金流水!$X$1273="应付其他款")),INT(资金流水!$B$1273)*10000+1268,"")</f>
      </c>
    </row>
    <row r="1270">
      <c r="BD1270" s="2">
        <f>IF(AND($C$130&lt;&gt;"",资金流水!$J$1274=$C$130,ISNUMBER(资金流水!$B$1274),ISNUMBER(资金流水!$S$1274),资金流水!$S$1274&gt;=_辅助!$J$4,资金流水!$S$1274&lt;=_辅助!$J$2,OR(资金流水!$X$1274="应付材料款",资金流水!$X$1274="应付分包款",资金流水!$X$1274="应付机械运输费",资金流水!$X$1274="应付其他款")),INT(资金流水!$B$1274)*10000+1269,"")</f>
      </c>
    </row>
    <row r="1271">
      <c r="BD1271" s="2">
        <f>IF(AND($C$130&lt;&gt;"",资金流水!$J$1275=$C$130,ISNUMBER(资金流水!$B$1275),ISNUMBER(资金流水!$S$1275),资金流水!$S$1275&gt;=_辅助!$J$4,资金流水!$S$1275&lt;=_辅助!$J$2,OR(资金流水!$X$1275="应付材料款",资金流水!$X$1275="应付分包款",资金流水!$X$1275="应付机械运输费",资金流水!$X$1275="应付其他款")),INT(资金流水!$B$1275)*10000+1270,"")</f>
      </c>
    </row>
    <row r="1272">
      <c r="BD1272" s="2">
        <f>IF(AND($C$130&lt;&gt;"",资金流水!$J$1276=$C$130,ISNUMBER(资金流水!$B$1276),ISNUMBER(资金流水!$S$1276),资金流水!$S$1276&gt;=_辅助!$J$4,资金流水!$S$1276&lt;=_辅助!$J$2,OR(资金流水!$X$1276="应付材料款",资金流水!$X$1276="应付分包款",资金流水!$X$1276="应付机械运输费",资金流水!$X$1276="应付其他款")),INT(资金流水!$B$1276)*10000+1271,"")</f>
      </c>
    </row>
    <row r="1273">
      <c r="BD1273" s="2">
        <f>IF(AND($C$130&lt;&gt;"",资金流水!$J$1277=$C$130,ISNUMBER(资金流水!$B$1277),ISNUMBER(资金流水!$S$1277),资金流水!$S$1277&gt;=_辅助!$J$4,资金流水!$S$1277&lt;=_辅助!$J$2,OR(资金流水!$X$1277="应付材料款",资金流水!$X$1277="应付分包款",资金流水!$X$1277="应付机械运输费",资金流水!$X$1277="应付其他款")),INT(资金流水!$B$1277)*10000+1272,"")</f>
      </c>
    </row>
    <row r="1274">
      <c r="BD1274" s="2">
        <f>IF(AND($C$130&lt;&gt;"",资金流水!$J$1278=$C$130,ISNUMBER(资金流水!$B$1278),ISNUMBER(资金流水!$S$1278),资金流水!$S$1278&gt;=_辅助!$J$4,资金流水!$S$1278&lt;=_辅助!$J$2,OR(资金流水!$X$1278="应付材料款",资金流水!$X$1278="应付分包款",资金流水!$X$1278="应付机械运输费",资金流水!$X$1278="应付其他款")),INT(资金流水!$B$1278)*10000+1273,"")</f>
      </c>
    </row>
    <row r="1275">
      <c r="BD1275" s="2">
        <f>IF(AND($C$130&lt;&gt;"",资金流水!$J$1279=$C$130,ISNUMBER(资金流水!$B$1279),ISNUMBER(资金流水!$S$1279),资金流水!$S$1279&gt;=_辅助!$J$4,资金流水!$S$1279&lt;=_辅助!$J$2,OR(资金流水!$X$1279="应付材料款",资金流水!$X$1279="应付分包款",资金流水!$X$1279="应付机械运输费",资金流水!$X$1279="应付其他款")),INT(资金流水!$B$1279)*10000+1274,"")</f>
      </c>
    </row>
    <row r="1276">
      <c r="BD1276" s="2">
        <f>IF(AND($C$130&lt;&gt;"",资金流水!$J$1280=$C$130,ISNUMBER(资金流水!$B$1280),ISNUMBER(资金流水!$S$1280),资金流水!$S$1280&gt;=_辅助!$J$4,资金流水!$S$1280&lt;=_辅助!$J$2,OR(资金流水!$X$1280="应付材料款",资金流水!$X$1280="应付分包款",资金流水!$X$1280="应付机械运输费",资金流水!$X$1280="应付其他款")),INT(资金流水!$B$1280)*10000+1275,"")</f>
      </c>
    </row>
    <row r="1277">
      <c r="BD1277" s="2">
        <f>IF(AND($C$130&lt;&gt;"",资金流水!$J$1281=$C$130,ISNUMBER(资金流水!$B$1281),ISNUMBER(资金流水!$S$1281),资金流水!$S$1281&gt;=_辅助!$J$4,资金流水!$S$1281&lt;=_辅助!$J$2,OR(资金流水!$X$1281="应付材料款",资金流水!$X$1281="应付分包款",资金流水!$X$1281="应付机械运输费",资金流水!$X$1281="应付其他款")),INT(资金流水!$B$1281)*10000+1276,"")</f>
      </c>
    </row>
    <row r="1278">
      <c r="BD1278" s="2">
        <f>IF(AND($C$130&lt;&gt;"",资金流水!$J$1282=$C$130,ISNUMBER(资金流水!$B$1282),ISNUMBER(资金流水!$S$1282),资金流水!$S$1282&gt;=_辅助!$J$4,资金流水!$S$1282&lt;=_辅助!$J$2,OR(资金流水!$X$1282="应付材料款",资金流水!$X$1282="应付分包款",资金流水!$X$1282="应付机械运输费",资金流水!$X$1282="应付其他款")),INT(资金流水!$B$1282)*10000+1277,"")</f>
      </c>
    </row>
    <row r="1279">
      <c r="BD1279" s="2">
        <f>IF(AND($C$130&lt;&gt;"",资金流水!$J$1283=$C$130,ISNUMBER(资金流水!$B$1283),ISNUMBER(资金流水!$S$1283),资金流水!$S$1283&gt;=_辅助!$J$4,资金流水!$S$1283&lt;=_辅助!$J$2,OR(资金流水!$X$1283="应付材料款",资金流水!$X$1283="应付分包款",资金流水!$X$1283="应付机械运输费",资金流水!$X$1283="应付其他款")),INT(资金流水!$B$1283)*10000+1278,"")</f>
      </c>
    </row>
    <row r="1280">
      <c r="BD1280" s="2">
        <f>IF(AND($C$130&lt;&gt;"",资金流水!$J$1284=$C$130,ISNUMBER(资金流水!$B$1284),ISNUMBER(资金流水!$S$1284),资金流水!$S$1284&gt;=_辅助!$J$4,资金流水!$S$1284&lt;=_辅助!$J$2,OR(资金流水!$X$1284="应付材料款",资金流水!$X$1284="应付分包款",资金流水!$X$1284="应付机械运输费",资金流水!$X$1284="应付其他款")),INT(资金流水!$B$1284)*10000+1279,"")</f>
      </c>
    </row>
    <row r="1281">
      <c r="BD1281" s="2">
        <f>IF(AND($C$130&lt;&gt;"",资金流水!$J$1285=$C$130,ISNUMBER(资金流水!$B$1285),ISNUMBER(资金流水!$S$1285),资金流水!$S$1285&gt;=_辅助!$J$4,资金流水!$S$1285&lt;=_辅助!$J$2,OR(资金流水!$X$1285="应付材料款",资金流水!$X$1285="应付分包款",资金流水!$X$1285="应付机械运输费",资金流水!$X$1285="应付其他款")),INT(资金流水!$B$1285)*10000+1280,"")</f>
      </c>
    </row>
    <row r="1282">
      <c r="BD1282" s="2">
        <f>IF(AND($C$130&lt;&gt;"",资金流水!$J$1286=$C$130,ISNUMBER(资金流水!$B$1286),ISNUMBER(资金流水!$S$1286),资金流水!$S$1286&gt;=_辅助!$J$4,资金流水!$S$1286&lt;=_辅助!$J$2,OR(资金流水!$X$1286="应付材料款",资金流水!$X$1286="应付分包款",资金流水!$X$1286="应付机械运输费",资金流水!$X$1286="应付其他款")),INT(资金流水!$B$1286)*10000+1281,"")</f>
      </c>
    </row>
    <row r="1283">
      <c r="BD1283" s="2">
        <f>IF(AND($C$130&lt;&gt;"",资金流水!$J$1287=$C$130,ISNUMBER(资金流水!$B$1287),ISNUMBER(资金流水!$S$1287),资金流水!$S$1287&gt;=_辅助!$J$4,资金流水!$S$1287&lt;=_辅助!$J$2,OR(资金流水!$X$1287="应付材料款",资金流水!$X$1287="应付分包款",资金流水!$X$1287="应付机械运输费",资金流水!$X$1287="应付其他款")),INT(资金流水!$B$1287)*10000+1282,"")</f>
      </c>
    </row>
    <row r="1284">
      <c r="BD1284" s="2">
        <f>IF(AND($C$130&lt;&gt;"",资金流水!$J$1288=$C$130,ISNUMBER(资金流水!$B$1288),ISNUMBER(资金流水!$S$1288),资金流水!$S$1288&gt;=_辅助!$J$4,资金流水!$S$1288&lt;=_辅助!$J$2,OR(资金流水!$X$1288="应付材料款",资金流水!$X$1288="应付分包款",资金流水!$X$1288="应付机械运输费",资金流水!$X$1288="应付其他款")),INT(资金流水!$B$1288)*10000+1283,"")</f>
      </c>
    </row>
    <row r="1285">
      <c r="BD1285" s="2">
        <f>IF(AND($C$130&lt;&gt;"",资金流水!$J$1289=$C$130,ISNUMBER(资金流水!$B$1289),ISNUMBER(资金流水!$S$1289),资金流水!$S$1289&gt;=_辅助!$J$4,资金流水!$S$1289&lt;=_辅助!$J$2,OR(资金流水!$X$1289="应付材料款",资金流水!$X$1289="应付分包款",资金流水!$X$1289="应付机械运输费",资金流水!$X$1289="应付其他款")),INT(资金流水!$B$1289)*10000+1284,"")</f>
      </c>
    </row>
    <row r="1286">
      <c r="BD1286" s="2">
        <f>IF(AND($C$130&lt;&gt;"",资金流水!$J$1290=$C$130,ISNUMBER(资金流水!$B$1290),ISNUMBER(资金流水!$S$1290),资金流水!$S$1290&gt;=_辅助!$J$4,资金流水!$S$1290&lt;=_辅助!$J$2,OR(资金流水!$X$1290="应付材料款",资金流水!$X$1290="应付分包款",资金流水!$X$1290="应付机械运输费",资金流水!$X$1290="应付其他款")),INT(资金流水!$B$1290)*10000+1285,"")</f>
      </c>
    </row>
    <row r="1287">
      <c r="BD1287" s="2">
        <f>IF(AND($C$130&lt;&gt;"",资金流水!$J$1291=$C$130,ISNUMBER(资金流水!$B$1291),ISNUMBER(资金流水!$S$1291),资金流水!$S$1291&gt;=_辅助!$J$4,资金流水!$S$1291&lt;=_辅助!$J$2,OR(资金流水!$X$1291="应付材料款",资金流水!$X$1291="应付分包款",资金流水!$X$1291="应付机械运输费",资金流水!$X$1291="应付其他款")),INT(资金流水!$B$1291)*10000+1286,"")</f>
      </c>
    </row>
    <row r="1288">
      <c r="BD1288" s="2">
        <f>IF(AND($C$130&lt;&gt;"",资金流水!$J$1292=$C$130,ISNUMBER(资金流水!$B$1292),ISNUMBER(资金流水!$S$1292),资金流水!$S$1292&gt;=_辅助!$J$4,资金流水!$S$1292&lt;=_辅助!$J$2,OR(资金流水!$X$1292="应付材料款",资金流水!$X$1292="应付分包款",资金流水!$X$1292="应付机械运输费",资金流水!$X$1292="应付其他款")),INT(资金流水!$B$1292)*10000+1287,"")</f>
      </c>
    </row>
    <row r="1289">
      <c r="BD1289" s="2">
        <f>IF(AND($C$130&lt;&gt;"",资金流水!$J$1293=$C$130,ISNUMBER(资金流水!$B$1293),ISNUMBER(资金流水!$S$1293),资金流水!$S$1293&gt;=_辅助!$J$4,资金流水!$S$1293&lt;=_辅助!$J$2,OR(资金流水!$X$1293="应付材料款",资金流水!$X$1293="应付分包款",资金流水!$X$1293="应付机械运输费",资金流水!$X$1293="应付其他款")),INT(资金流水!$B$1293)*10000+1288,"")</f>
      </c>
    </row>
    <row r="1290">
      <c r="BD1290" s="2">
        <f>IF(AND($C$130&lt;&gt;"",资金流水!$J$1294=$C$130,ISNUMBER(资金流水!$B$1294),ISNUMBER(资金流水!$S$1294),资金流水!$S$1294&gt;=_辅助!$J$4,资金流水!$S$1294&lt;=_辅助!$J$2,OR(资金流水!$X$1294="应付材料款",资金流水!$X$1294="应付分包款",资金流水!$X$1294="应付机械运输费",资金流水!$X$1294="应付其他款")),INT(资金流水!$B$1294)*10000+1289,"")</f>
      </c>
    </row>
    <row r="1291">
      <c r="BD1291" s="2">
        <f>IF(AND($C$130&lt;&gt;"",资金流水!$J$1295=$C$130,ISNUMBER(资金流水!$B$1295),ISNUMBER(资金流水!$S$1295),资金流水!$S$1295&gt;=_辅助!$J$4,资金流水!$S$1295&lt;=_辅助!$J$2,OR(资金流水!$X$1295="应付材料款",资金流水!$X$1295="应付分包款",资金流水!$X$1295="应付机械运输费",资金流水!$X$1295="应付其他款")),INT(资金流水!$B$1295)*10000+1290,"")</f>
      </c>
    </row>
    <row r="1292">
      <c r="BD1292" s="2">
        <f>IF(AND($C$130&lt;&gt;"",资金流水!$J$1296=$C$130,ISNUMBER(资金流水!$B$1296),ISNUMBER(资金流水!$S$1296),资金流水!$S$1296&gt;=_辅助!$J$4,资金流水!$S$1296&lt;=_辅助!$J$2,OR(资金流水!$X$1296="应付材料款",资金流水!$X$1296="应付分包款",资金流水!$X$1296="应付机械运输费",资金流水!$X$1296="应付其他款")),INT(资金流水!$B$1296)*10000+1291,"")</f>
      </c>
    </row>
    <row r="1293">
      <c r="BD1293" s="2">
        <f>IF(AND($C$130&lt;&gt;"",资金流水!$J$1297=$C$130,ISNUMBER(资金流水!$B$1297),ISNUMBER(资金流水!$S$1297),资金流水!$S$1297&gt;=_辅助!$J$4,资金流水!$S$1297&lt;=_辅助!$J$2,OR(资金流水!$X$1297="应付材料款",资金流水!$X$1297="应付分包款",资金流水!$X$1297="应付机械运输费",资金流水!$X$1297="应付其他款")),INT(资金流水!$B$1297)*10000+1292,"")</f>
      </c>
    </row>
    <row r="1294">
      <c r="BD1294" s="2">
        <f>IF(AND($C$130&lt;&gt;"",资金流水!$J$1298=$C$130,ISNUMBER(资金流水!$B$1298),ISNUMBER(资金流水!$S$1298),资金流水!$S$1298&gt;=_辅助!$J$4,资金流水!$S$1298&lt;=_辅助!$J$2,OR(资金流水!$X$1298="应付材料款",资金流水!$X$1298="应付分包款",资金流水!$X$1298="应付机械运输费",资金流水!$X$1298="应付其他款")),INT(资金流水!$B$1298)*10000+1293,"")</f>
      </c>
    </row>
    <row r="1295">
      <c r="BD1295" s="2">
        <f>IF(AND($C$130&lt;&gt;"",资金流水!$J$1299=$C$130,ISNUMBER(资金流水!$B$1299),ISNUMBER(资金流水!$S$1299),资金流水!$S$1299&gt;=_辅助!$J$4,资金流水!$S$1299&lt;=_辅助!$J$2,OR(资金流水!$X$1299="应付材料款",资金流水!$X$1299="应付分包款",资金流水!$X$1299="应付机械运输费",资金流水!$X$1299="应付其他款")),INT(资金流水!$B$1299)*10000+1294,"")</f>
      </c>
    </row>
    <row r="1296">
      <c r="BD1296" s="2">
        <f>IF(AND($C$130&lt;&gt;"",资金流水!$J$1300=$C$130,ISNUMBER(资金流水!$B$1300),ISNUMBER(资金流水!$S$1300),资金流水!$S$1300&gt;=_辅助!$J$4,资金流水!$S$1300&lt;=_辅助!$J$2,OR(资金流水!$X$1300="应付材料款",资金流水!$X$1300="应付分包款",资金流水!$X$1300="应付机械运输费",资金流水!$X$1300="应付其他款")),INT(资金流水!$B$1300)*10000+1295,"")</f>
      </c>
    </row>
    <row r="1297">
      <c r="BD1297" s="2">
        <f>IF(AND($C$130&lt;&gt;"",资金流水!$J$1301=$C$130,ISNUMBER(资金流水!$B$1301),ISNUMBER(资金流水!$S$1301),资金流水!$S$1301&gt;=_辅助!$J$4,资金流水!$S$1301&lt;=_辅助!$J$2,OR(资金流水!$X$1301="应付材料款",资金流水!$X$1301="应付分包款",资金流水!$X$1301="应付机械运输费",资金流水!$X$1301="应付其他款")),INT(资金流水!$B$1301)*10000+1296,"")</f>
      </c>
    </row>
    <row r="1298">
      <c r="BD1298" s="2">
        <f>IF(AND($C$130&lt;&gt;"",资金流水!$J$1302=$C$130,ISNUMBER(资金流水!$B$1302),ISNUMBER(资金流水!$S$1302),资金流水!$S$1302&gt;=_辅助!$J$4,资金流水!$S$1302&lt;=_辅助!$J$2,OR(资金流水!$X$1302="应付材料款",资金流水!$X$1302="应付分包款",资金流水!$X$1302="应付机械运输费",资金流水!$X$1302="应付其他款")),INT(资金流水!$B$1302)*10000+1297,"")</f>
      </c>
    </row>
    <row r="1299">
      <c r="BD1299" s="2">
        <f>IF(AND($C$130&lt;&gt;"",资金流水!$J$1303=$C$130,ISNUMBER(资金流水!$B$1303),ISNUMBER(资金流水!$S$1303),资金流水!$S$1303&gt;=_辅助!$J$4,资金流水!$S$1303&lt;=_辅助!$J$2,OR(资金流水!$X$1303="应付材料款",资金流水!$X$1303="应付分包款",资金流水!$X$1303="应付机械运输费",资金流水!$X$1303="应付其他款")),INT(资金流水!$B$1303)*10000+1298,"")</f>
      </c>
    </row>
    <row r="1300">
      <c r="BD1300" s="2">
        <f>IF(AND($C$130&lt;&gt;"",资金流水!$J$1304=$C$130,ISNUMBER(资金流水!$B$1304),ISNUMBER(资金流水!$S$1304),资金流水!$S$1304&gt;=_辅助!$J$4,资金流水!$S$1304&lt;=_辅助!$J$2,OR(资金流水!$X$1304="应付材料款",资金流水!$X$1304="应付分包款",资金流水!$X$1304="应付机械运输费",资金流水!$X$1304="应付其他款")),INT(资金流水!$B$1304)*10000+1299,"")</f>
      </c>
    </row>
    <row r="1301">
      <c r="BD1301" s="2">
        <f>IF(AND($C$130&lt;&gt;"",资金流水!$J$1305=$C$130,ISNUMBER(资金流水!$B$1305),ISNUMBER(资金流水!$S$1305),资金流水!$S$1305&gt;=_辅助!$J$4,资金流水!$S$1305&lt;=_辅助!$J$2,OR(资金流水!$X$1305="应付材料款",资金流水!$X$1305="应付分包款",资金流水!$X$1305="应付机械运输费",资金流水!$X$1305="应付其他款")),INT(资金流水!$B$1305)*10000+1300,"")</f>
      </c>
    </row>
    <row r="1302">
      <c r="BD1302" s="2">
        <f>IF(AND($C$130&lt;&gt;"",资金流水!$J$1306=$C$130,ISNUMBER(资金流水!$B$1306),ISNUMBER(资金流水!$S$1306),资金流水!$S$1306&gt;=_辅助!$J$4,资金流水!$S$1306&lt;=_辅助!$J$2,OR(资金流水!$X$1306="应付材料款",资金流水!$X$1306="应付分包款",资金流水!$X$1306="应付机械运输费",资金流水!$X$1306="应付其他款")),INT(资金流水!$B$1306)*10000+1301,"")</f>
      </c>
    </row>
    <row r="1303">
      <c r="BD1303" s="2">
        <f>IF(AND($C$130&lt;&gt;"",资金流水!$J$1307=$C$130,ISNUMBER(资金流水!$B$1307),ISNUMBER(资金流水!$S$1307),资金流水!$S$1307&gt;=_辅助!$J$4,资金流水!$S$1307&lt;=_辅助!$J$2,OR(资金流水!$X$1307="应付材料款",资金流水!$X$1307="应付分包款",资金流水!$X$1307="应付机械运输费",资金流水!$X$1307="应付其他款")),INT(资金流水!$B$1307)*10000+1302,"")</f>
      </c>
    </row>
    <row r="1304">
      <c r="BD1304" s="2">
        <f>IF(AND($C$130&lt;&gt;"",资金流水!$J$1308=$C$130,ISNUMBER(资金流水!$B$1308),ISNUMBER(资金流水!$S$1308),资金流水!$S$1308&gt;=_辅助!$J$4,资金流水!$S$1308&lt;=_辅助!$J$2,OR(资金流水!$X$1308="应付材料款",资金流水!$X$1308="应付分包款",资金流水!$X$1308="应付机械运输费",资金流水!$X$1308="应付其他款")),INT(资金流水!$B$1308)*10000+1303,"")</f>
      </c>
    </row>
    <row r="1305">
      <c r="BD1305" s="2">
        <f>IF(AND($C$130&lt;&gt;"",资金流水!$J$1309=$C$130,ISNUMBER(资金流水!$B$1309),ISNUMBER(资金流水!$S$1309),资金流水!$S$1309&gt;=_辅助!$J$4,资金流水!$S$1309&lt;=_辅助!$J$2,OR(资金流水!$X$1309="应付材料款",资金流水!$X$1309="应付分包款",资金流水!$X$1309="应付机械运输费",资金流水!$X$1309="应付其他款")),INT(资金流水!$B$1309)*10000+1304,"")</f>
      </c>
    </row>
    <row r="1306">
      <c r="BD1306" s="2">
        <f>IF(AND($C$130&lt;&gt;"",资金流水!$J$1310=$C$130,ISNUMBER(资金流水!$B$1310),ISNUMBER(资金流水!$S$1310),资金流水!$S$1310&gt;=_辅助!$J$4,资金流水!$S$1310&lt;=_辅助!$J$2,OR(资金流水!$X$1310="应付材料款",资金流水!$X$1310="应付分包款",资金流水!$X$1310="应付机械运输费",资金流水!$X$1310="应付其他款")),INT(资金流水!$B$1310)*10000+1305,"")</f>
      </c>
    </row>
    <row r="1307">
      <c r="BD1307" s="2">
        <f>IF(AND($C$130&lt;&gt;"",资金流水!$J$1311=$C$130,ISNUMBER(资金流水!$B$1311),ISNUMBER(资金流水!$S$1311),资金流水!$S$1311&gt;=_辅助!$J$4,资金流水!$S$1311&lt;=_辅助!$J$2,OR(资金流水!$X$1311="应付材料款",资金流水!$X$1311="应付分包款",资金流水!$X$1311="应付机械运输费",资金流水!$X$1311="应付其他款")),INT(资金流水!$B$1311)*10000+1306,"")</f>
      </c>
    </row>
    <row r="1308">
      <c r="BD1308" s="2">
        <f>IF(AND($C$130&lt;&gt;"",资金流水!$J$1312=$C$130,ISNUMBER(资金流水!$B$1312),ISNUMBER(资金流水!$S$1312),资金流水!$S$1312&gt;=_辅助!$J$4,资金流水!$S$1312&lt;=_辅助!$J$2,OR(资金流水!$X$1312="应付材料款",资金流水!$X$1312="应付分包款",资金流水!$X$1312="应付机械运输费",资金流水!$X$1312="应付其他款")),INT(资金流水!$B$1312)*10000+1307,"")</f>
      </c>
    </row>
    <row r="1309">
      <c r="BD1309" s="2">
        <f>IF(AND($C$130&lt;&gt;"",资金流水!$J$1313=$C$130,ISNUMBER(资金流水!$B$1313),ISNUMBER(资金流水!$S$1313),资金流水!$S$1313&gt;=_辅助!$J$4,资金流水!$S$1313&lt;=_辅助!$J$2,OR(资金流水!$X$1313="应付材料款",资金流水!$X$1313="应付分包款",资金流水!$X$1313="应付机械运输费",资金流水!$X$1313="应付其他款")),INT(资金流水!$B$1313)*10000+1308,"")</f>
      </c>
    </row>
    <row r="1310">
      <c r="BD1310" s="2">
        <f>IF(AND($C$130&lt;&gt;"",资金流水!$J$1314=$C$130,ISNUMBER(资金流水!$B$1314),ISNUMBER(资金流水!$S$1314),资金流水!$S$1314&gt;=_辅助!$J$4,资金流水!$S$1314&lt;=_辅助!$J$2,OR(资金流水!$X$1314="应付材料款",资金流水!$X$1314="应付分包款",资金流水!$X$1314="应付机械运输费",资金流水!$X$1314="应付其他款")),INT(资金流水!$B$1314)*10000+1309,"")</f>
      </c>
    </row>
    <row r="1311">
      <c r="BD1311" s="2">
        <f>IF(AND($C$130&lt;&gt;"",资金流水!$J$1315=$C$130,ISNUMBER(资金流水!$B$1315),ISNUMBER(资金流水!$S$1315),资金流水!$S$1315&gt;=_辅助!$J$4,资金流水!$S$1315&lt;=_辅助!$J$2,OR(资金流水!$X$1315="应付材料款",资金流水!$X$1315="应付分包款",资金流水!$X$1315="应付机械运输费",资金流水!$X$1315="应付其他款")),INT(资金流水!$B$1315)*10000+1310,"")</f>
      </c>
    </row>
    <row r="1312">
      <c r="BD1312" s="2">
        <f>IF(AND($C$130&lt;&gt;"",资金流水!$J$1316=$C$130,ISNUMBER(资金流水!$B$1316),ISNUMBER(资金流水!$S$1316),资金流水!$S$1316&gt;=_辅助!$J$4,资金流水!$S$1316&lt;=_辅助!$J$2,OR(资金流水!$X$1316="应付材料款",资金流水!$X$1316="应付分包款",资金流水!$X$1316="应付机械运输费",资金流水!$X$1316="应付其他款")),INT(资金流水!$B$1316)*10000+1311,"")</f>
      </c>
    </row>
    <row r="1313">
      <c r="BD1313" s="2">
        <f>IF(AND($C$130&lt;&gt;"",资金流水!$J$1317=$C$130,ISNUMBER(资金流水!$B$1317),ISNUMBER(资金流水!$S$1317),资金流水!$S$1317&gt;=_辅助!$J$4,资金流水!$S$1317&lt;=_辅助!$J$2,OR(资金流水!$X$1317="应付材料款",资金流水!$X$1317="应付分包款",资金流水!$X$1317="应付机械运输费",资金流水!$X$1317="应付其他款")),INT(资金流水!$B$1317)*10000+1312,"")</f>
      </c>
    </row>
    <row r="1314">
      <c r="BD1314" s="2">
        <f>IF(AND($C$130&lt;&gt;"",资金流水!$J$1318=$C$130,ISNUMBER(资金流水!$B$1318),ISNUMBER(资金流水!$S$1318),资金流水!$S$1318&gt;=_辅助!$J$4,资金流水!$S$1318&lt;=_辅助!$J$2,OR(资金流水!$X$1318="应付材料款",资金流水!$X$1318="应付分包款",资金流水!$X$1318="应付机械运输费",资金流水!$X$1318="应付其他款")),INT(资金流水!$B$1318)*10000+1313,"")</f>
      </c>
    </row>
    <row r="1315">
      <c r="BD1315" s="2">
        <f>IF(AND($C$130&lt;&gt;"",资金流水!$J$1319=$C$130,ISNUMBER(资金流水!$B$1319),ISNUMBER(资金流水!$S$1319),资金流水!$S$1319&gt;=_辅助!$J$4,资金流水!$S$1319&lt;=_辅助!$J$2,OR(资金流水!$X$1319="应付材料款",资金流水!$X$1319="应付分包款",资金流水!$X$1319="应付机械运输费",资金流水!$X$1319="应付其他款")),INT(资金流水!$B$1319)*10000+1314,"")</f>
      </c>
    </row>
    <row r="1316">
      <c r="BD1316" s="2">
        <f>IF(AND($C$130&lt;&gt;"",资金流水!$J$1320=$C$130,ISNUMBER(资金流水!$B$1320),ISNUMBER(资金流水!$S$1320),资金流水!$S$1320&gt;=_辅助!$J$4,资金流水!$S$1320&lt;=_辅助!$J$2,OR(资金流水!$X$1320="应付材料款",资金流水!$X$1320="应付分包款",资金流水!$X$1320="应付机械运输费",资金流水!$X$1320="应付其他款")),INT(资金流水!$B$1320)*10000+1315,"")</f>
      </c>
    </row>
    <row r="1317">
      <c r="BD1317" s="2">
        <f>IF(AND($C$130&lt;&gt;"",资金流水!$J$1321=$C$130,ISNUMBER(资金流水!$B$1321),ISNUMBER(资金流水!$S$1321),资金流水!$S$1321&gt;=_辅助!$J$4,资金流水!$S$1321&lt;=_辅助!$J$2,OR(资金流水!$X$1321="应付材料款",资金流水!$X$1321="应付分包款",资金流水!$X$1321="应付机械运输费",资金流水!$X$1321="应付其他款")),INT(资金流水!$B$1321)*10000+1316,"")</f>
      </c>
    </row>
    <row r="1318">
      <c r="BD1318" s="2">
        <f>IF(AND($C$130&lt;&gt;"",资金流水!$J$1322=$C$130,ISNUMBER(资金流水!$B$1322),ISNUMBER(资金流水!$S$1322),资金流水!$S$1322&gt;=_辅助!$J$4,资金流水!$S$1322&lt;=_辅助!$J$2,OR(资金流水!$X$1322="应付材料款",资金流水!$X$1322="应付分包款",资金流水!$X$1322="应付机械运输费",资金流水!$X$1322="应付其他款")),INT(资金流水!$B$1322)*10000+1317,"")</f>
      </c>
    </row>
    <row r="1319">
      <c r="BD1319" s="2">
        <f>IF(AND($C$130&lt;&gt;"",资金流水!$J$1323=$C$130,ISNUMBER(资金流水!$B$1323),ISNUMBER(资金流水!$S$1323),资金流水!$S$1323&gt;=_辅助!$J$4,资金流水!$S$1323&lt;=_辅助!$J$2,OR(资金流水!$X$1323="应付材料款",资金流水!$X$1323="应付分包款",资金流水!$X$1323="应付机械运输费",资金流水!$X$1323="应付其他款")),INT(资金流水!$B$1323)*10000+1318,"")</f>
      </c>
    </row>
    <row r="1320">
      <c r="BD1320" s="2">
        <f>IF(AND($C$130&lt;&gt;"",资金流水!$J$1324=$C$130,ISNUMBER(资金流水!$B$1324),ISNUMBER(资金流水!$S$1324),资金流水!$S$1324&gt;=_辅助!$J$4,资金流水!$S$1324&lt;=_辅助!$J$2,OR(资金流水!$X$1324="应付材料款",资金流水!$X$1324="应付分包款",资金流水!$X$1324="应付机械运输费",资金流水!$X$1324="应付其他款")),INT(资金流水!$B$1324)*10000+1319,"")</f>
      </c>
    </row>
    <row r="1321">
      <c r="BD1321" s="2">
        <f>IF(AND($C$130&lt;&gt;"",资金流水!$J$1325=$C$130,ISNUMBER(资金流水!$B$1325),ISNUMBER(资金流水!$S$1325),资金流水!$S$1325&gt;=_辅助!$J$4,资金流水!$S$1325&lt;=_辅助!$J$2,OR(资金流水!$X$1325="应付材料款",资金流水!$X$1325="应付分包款",资金流水!$X$1325="应付机械运输费",资金流水!$X$1325="应付其他款")),INT(资金流水!$B$1325)*10000+1320,"")</f>
      </c>
    </row>
    <row r="1322">
      <c r="BD1322" s="2">
        <f>IF(AND($C$130&lt;&gt;"",资金流水!$J$1326=$C$130,ISNUMBER(资金流水!$B$1326),ISNUMBER(资金流水!$S$1326),资金流水!$S$1326&gt;=_辅助!$J$4,资金流水!$S$1326&lt;=_辅助!$J$2,OR(资金流水!$X$1326="应付材料款",资金流水!$X$1326="应付分包款",资金流水!$X$1326="应付机械运输费",资金流水!$X$1326="应付其他款")),INT(资金流水!$B$1326)*10000+1321,"")</f>
      </c>
    </row>
    <row r="1323">
      <c r="BD1323" s="2">
        <f>IF(AND($C$130&lt;&gt;"",资金流水!$J$1327=$C$130,ISNUMBER(资金流水!$B$1327),ISNUMBER(资金流水!$S$1327),资金流水!$S$1327&gt;=_辅助!$J$4,资金流水!$S$1327&lt;=_辅助!$J$2,OR(资金流水!$X$1327="应付材料款",资金流水!$X$1327="应付分包款",资金流水!$X$1327="应付机械运输费",资金流水!$X$1327="应付其他款")),INT(资金流水!$B$1327)*10000+1322,"")</f>
      </c>
    </row>
    <row r="1324">
      <c r="BD1324" s="2">
        <f>IF(AND($C$130&lt;&gt;"",资金流水!$J$1328=$C$130,ISNUMBER(资金流水!$B$1328),ISNUMBER(资金流水!$S$1328),资金流水!$S$1328&gt;=_辅助!$J$4,资金流水!$S$1328&lt;=_辅助!$J$2,OR(资金流水!$X$1328="应付材料款",资金流水!$X$1328="应付分包款",资金流水!$X$1328="应付机械运输费",资金流水!$X$1328="应付其他款")),INT(资金流水!$B$1328)*10000+1323,"")</f>
      </c>
    </row>
    <row r="1325">
      <c r="BD1325" s="2">
        <f>IF(AND($C$130&lt;&gt;"",资金流水!$J$1329=$C$130,ISNUMBER(资金流水!$B$1329),ISNUMBER(资金流水!$S$1329),资金流水!$S$1329&gt;=_辅助!$J$4,资金流水!$S$1329&lt;=_辅助!$J$2,OR(资金流水!$X$1329="应付材料款",资金流水!$X$1329="应付分包款",资金流水!$X$1329="应付机械运输费",资金流水!$X$1329="应付其他款")),INT(资金流水!$B$1329)*10000+1324,"")</f>
      </c>
    </row>
    <row r="1326">
      <c r="BD1326" s="2">
        <f>IF(AND($C$130&lt;&gt;"",资金流水!$J$1330=$C$130,ISNUMBER(资金流水!$B$1330),ISNUMBER(资金流水!$S$1330),资金流水!$S$1330&gt;=_辅助!$J$4,资金流水!$S$1330&lt;=_辅助!$J$2,OR(资金流水!$X$1330="应付材料款",资金流水!$X$1330="应付分包款",资金流水!$X$1330="应付机械运输费",资金流水!$X$1330="应付其他款")),INT(资金流水!$B$1330)*10000+1325,"")</f>
      </c>
    </row>
    <row r="1327">
      <c r="BD1327" s="2">
        <f>IF(AND($C$130&lt;&gt;"",资金流水!$J$1331=$C$130,ISNUMBER(资金流水!$B$1331),ISNUMBER(资金流水!$S$1331),资金流水!$S$1331&gt;=_辅助!$J$4,资金流水!$S$1331&lt;=_辅助!$J$2,OR(资金流水!$X$1331="应付材料款",资金流水!$X$1331="应付分包款",资金流水!$X$1331="应付机械运输费",资金流水!$X$1331="应付其他款")),INT(资金流水!$B$1331)*10000+1326,"")</f>
      </c>
    </row>
    <row r="1328">
      <c r="BD1328" s="2">
        <f>IF(AND($C$130&lt;&gt;"",资金流水!$J$1332=$C$130,ISNUMBER(资金流水!$B$1332),ISNUMBER(资金流水!$S$1332),资金流水!$S$1332&gt;=_辅助!$J$4,资金流水!$S$1332&lt;=_辅助!$J$2,OR(资金流水!$X$1332="应付材料款",资金流水!$X$1332="应付分包款",资金流水!$X$1332="应付机械运输费",资金流水!$X$1332="应付其他款")),INT(资金流水!$B$1332)*10000+1327,"")</f>
      </c>
    </row>
    <row r="1329">
      <c r="BD1329" s="2">
        <f>IF(AND($C$130&lt;&gt;"",资金流水!$J$1333=$C$130,ISNUMBER(资金流水!$B$1333),ISNUMBER(资金流水!$S$1333),资金流水!$S$1333&gt;=_辅助!$J$4,资金流水!$S$1333&lt;=_辅助!$J$2,OR(资金流水!$X$1333="应付材料款",资金流水!$X$1333="应付分包款",资金流水!$X$1333="应付机械运输费",资金流水!$X$1333="应付其他款")),INT(资金流水!$B$1333)*10000+1328,"")</f>
      </c>
    </row>
    <row r="1330">
      <c r="BD1330" s="2">
        <f>IF(AND($C$130&lt;&gt;"",资金流水!$J$1334=$C$130,ISNUMBER(资金流水!$B$1334),ISNUMBER(资金流水!$S$1334),资金流水!$S$1334&gt;=_辅助!$J$4,资金流水!$S$1334&lt;=_辅助!$J$2,OR(资金流水!$X$1334="应付材料款",资金流水!$X$1334="应付分包款",资金流水!$X$1334="应付机械运输费",资金流水!$X$1334="应付其他款")),INT(资金流水!$B$1334)*10000+1329,"")</f>
      </c>
    </row>
    <row r="1331">
      <c r="BD1331" s="2">
        <f>IF(AND($C$130&lt;&gt;"",资金流水!$J$1335=$C$130,ISNUMBER(资金流水!$B$1335),ISNUMBER(资金流水!$S$1335),资金流水!$S$1335&gt;=_辅助!$J$4,资金流水!$S$1335&lt;=_辅助!$J$2,OR(资金流水!$X$1335="应付材料款",资金流水!$X$1335="应付分包款",资金流水!$X$1335="应付机械运输费",资金流水!$X$1335="应付其他款")),INT(资金流水!$B$1335)*10000+1330,"")</f>
      </c>
    </row>
    <row r="1332">
      <c r="BD1332" s="2">
        <f>IF(AND($C$130&lt;&gt;"",资金流水!$J$1336=$C$130,ISNUMBER(资金流水!$B$1336),ISNUMBER(资金流水!$S$1336),资金流水!$S$1336&gt;=_辅助!$J$4,资金流水!$S$1336&lt;=_辅助!$J$2,OR(资金流水!$X$1336="应付材料款",资金流水!$X$1336="应付分包款",资金流水!$X$1336="应付机械运输费",资金流水!$X$1336="应付其他款")),INT(资金流水!$B$1336)*10000+1331,"")</f>
      </c>
    </row>
    <row r="1333">
      <c r="BD1333" s="2">
        <f>IF(AND($C$130&lt;&gt;"",资金流水!$J$1337=$C$130,ISNUMBER(资金流水!$B$1337),ISNUMBER(资金流水!$S$1337),资金流水!$S$1337&gt;=_辅助!$J$4,资金流水!$S$1337&lt;=_辅助!$J$2,OR(资金流水!$X$1337="应付材料款",资金流水!$X$1337="应付分包款",资金流水!$X$1337="应付机械运输费",资金流水!$X$1337="应付其他款")),INT(资金流水!$B$1337)*10000+1332,"")</f>
      </c>
    </row>
    <row r="1334">
      <c r="BD1334" s="2">
        <f>IF(AND($C$130&lt;&gt;"",资金流水!$J$1338=$C$130,ISNUMBER(资金流水!$B$1338),ISNUMBER(资金流水!$S$1338),资金流水!$S$1338&gt;=_辅助!$J$4,资金流水!$S$1338&lt;=_辅助!$J$2,OR(资金流水!$X$1338="应付材料款",资金流水!$X$1338="应付分包款",资金流水!$X$1338="应付机械运输费",资金流水!$X$1338="应付其他款")),INT(资金流水!$B$1338)*10000+1333,"")</f>
      </c>
    </row>
    <row r="1335">
      <c r="BD1335" s="2">
        <f>IF(AND($C$130&lt;&gt;"",资金流水!$J$1339=$C$130,ISNUMBER(资金流水!$B$1339),ISNUMBER(资金流水!$S$1339),资金流水!$S$1339&gt;=_辅助!$J$4,资金流水!$S$1339&lt;=_辅助!$J$2,OR(资金流水!$X$1339="应付材料款",资金流水!$X$1339="应付分包款",资金流水!$X$1339="应付机械运输费",资金流水!$X$1339="应付其他款")),INT(资金流水!$B$1339)*10000+1334,"")</f>
      </c>
    </row>
    <row r="1336">
      <c r="BD1336" s="2">
        <f>IF(AND($C$130&lt;&gt;"",资金流水!$J$1340=$C$130,ISNUMBER(资金流水!$B$1340),ISNUMBER(资金流水!$S$1340),资金流水!$S$1340&gt;=_辅助!$J$4,资金流水!$S$1340&lt;=_辅助!$J$2,OR(资金流水!$X$1340="应付材料款",资金流水!$X$1340="应付分包款",资金流水!$X$1340="应付机械运输费",资金流水!$X$1340="应付其他款")),INT(资金流水!$B$1340)*10000+1335,"")</f>
      </c>
    </row>
    <row r="1337">
      <c r="BD1337" s="2">
        <f>IF(AND($C$130&lt;&gt;"",资金流水!$J$1341=$C$130,ISNUMBER(资金流水!$B$1341),ISNUMBER(资金流水!$S$1341),资金流水!$S$1341&gt;=_辅助!$J$4,资金流水!$S$1341&lt;=_辅助!$J$2,OR(资金流水!$X$1341="应付材料款",资金流水!$X$1341="应付分包款",资金流水!$X$1341="应付机械运输费",资金流水!$X$1341="应付其他款")),INT(资金流水!$B$1341)*10000+1336,"")</f>
      </c>
    </row>
    <row r="1338">
      <c r="BD1338" s="2">
        <f>IF(AND($C$130&lt;&gt;"",资金流水!$J$1342=$C$130,ISNUMBER(资金流水!$B$1342),ISNUMBER(资金流水!$S$1342),资金流水!$S$1342&gt;=_辅助!$J$4,资金流水!$S$1342&lt;=_辅助!$J$2,OR(资金流水!$X$1342="应付材料款",资金流水!$X$1342="应付分包款",资金流水!$X$1342="应付机械运输费",资金流水!$X$1342="应付其他款")),INT(资金流水!$B$1342)*10000+1337,"")</f>
      </c>
    </row>
    <row r="1339">
      <c r="BD1339" s="2">
        <f>IF(AND($C$130&lt;&gt;"",资金流水!$J$1343=$C$130,ISNUMBER(资金流水!$B$1343),ISNUMBER(资金流水!$S$1343),资金流水!$S$1343&gt;=_辅助!$J$4,资金流水!$S$1343&lt;=_辅助!$J$2,OR(资金流水!$X$1343="应付材料款",资金流水!$X$1343="应付分包款",资金流水!$X$1343="应付机械运输费",资金流水!$X$1343="应付其他款")),INT(资金流水!$B$1343)*10000+1338,"")</f>
      </c>
    </row>
    <row r="1340">
      <c r="BD1340" s="2">
        <f>IF(AND($C$130&lt;&gt;"",资金流水!$J$1344=$C$130,ISNUMBER(资金流水!$B$1344),ISNUMBER(资金流水!$S$1344),资金流水!$S$1344&gt;=_辅助!$J$4,资金流水!$S$1344&lt;=_辅助!$J$2,OR(资金流水!$X$1344="应付材料款",资金流水!$X$1344="应付分包款",资金流水!$X$1344="应付机械运输费",资金流水!$X$1344="应付其他款")),INT(资金流水!$B$1344)*10000+1339,"")</f>
      </c>
    </row>
    <row r="1341">
      <c r="BD1341" s="2">
        <f>IF(AND($C$130&lt;&gt;"",资金流水!$J$1345=$C$130,ISNUMBER(资金流水!$B$1345),ISNUMBER(资金流水!$S$1345),资金流水!$S$1345&gt;=_辅助!$J$4,资金流水!$S$1345&lt;=_辅助!$J$2,OR(资金流水!$X$1345="应付材料款",资金流水!$X$1345="应付分包款",资金流水!$X$1345="应付机械运输费",资金流水!$X$1345="应付其他款")),INT(资金流水!$B$1345)*10000+1340,"")</f>
      </c>
    </row>
    <row r="1342">
      <c r="BD1342" s="2">
        <f>IF(AND($C$130&lt;&gt;"",资金流水!$J$1346=$C$130,ISNUMBER(资金流水!$B$1346),ISNUMBER(资金流水!$S$1346),资金流水!$S$1346&gt;=_辅助!$J$4,资金流水!$S$1346&lt;=_辅助!$J$2,OR(资金流水!$X$1346="应付材料款",资金流水!$X$1346="应付分包款",资金流水!$X$1346="应付机械运输费",资金流水!$X$1346="应付其他款")),INT(资金流水!$B$1346)*10000+1341,"")</f>
      </c>
    </row>
    <row r="1343">
      <c r="BD1343" s="2">
        <f>IF(AND($C$130&lt;&gt;"",资金流水!$J$1347=$C$130,ISNUMBER(资金流水!$B$1347),ISNUMBER(资金流水!$S$1347),资金流水!$S$1347&gt;=_辅助!$J$4,资金流水!$S$1347&lt;=_辅助!$J$2,OR(资金流水!$X$1347="应付材料款",资金流水!$X$1347="应付分包款",资金流水!$X$1347="应付机械运输费",资金流水!$X$1347="应付其他款")),INT(资金流水!$B$1347)*10000+1342,"")</f>
      </c>
    </row>
    <row r="1344">
      <c r="BD1344" s="2">
        <f>IF(AND($C$130&lt;&gt;"",资金流水!$J$1348=$C$130,ISNUMBER(资金流水!$B$1348),ISNUMBER(资金流水!$S$1348),资金流水!$S$1348&gt;=_辅助!$J$4,资金流水!$S$1348&lt;=_辅助!$J$2,OR(资金流水!$X$1348="应付材料款",资金流水!$X$1348="应付分包款",资金流水!$X$1348="应付机械运输费",资金流水!$X$1348="应付其他款")),INT(资金流水!$B$1348)*10000+1343,"")</f>
      </c>
    </row>
    <row r="1345">
      <c r="BD1345" s="2">
        <f>IF(AND($C$130&lt;&gt;"",资金流水!$J$1349=$C$130,ISNUMBER(资金流水!$B$1349),ISNUMBER(资金流水!$S$1349),资金流水!$S$1349&gt;=_辅助!$J$4,资金流水!$S$1349&lt;=_辅助!$J$2,OR(资金流水!$X$1349="应付材料款",资金流水!$X$1349="应付分包款",资金流水!$X$1349="应付机械运输费",资金流水!$X$1349="应付其他款")),INT(资金流水!$B$1349)*10000+1344,"")</f>
      </c>
    </row>
    <row r="1346">
      <c r="BD1346" s="2">
        <f>IF(AND($C$130&lt;&gt;"",资金流水!$J$1350=$C$130,ISNUMBER(资金流水!$B$1350),ISNUMBER(资金流水!$S$1350),资金流水!$S$1350&gt;=_辅助!$J$4,资金流水!$S$1350&lt;=_辅助!$J$2,OR(资金流水!$X$1350="应付材料款",资金流水!$X$1350="应付分包款",资金流水!$X$1350="应付机械运输费",资金流水!$X$1350="应付其他款")),INT(资金流水!$B$1350)*10000+1345,"")</f>
      </c>
    </row>
    <row r="1347">
      <c r="BD1347" s="2">
        <f>IF(AND($C$130&lt;&gt;"",资金流水!$J$1351=$C$130,ISNUMBER(资金流水!$B$1351),ISNUMBER(资金流水!$S$1351),资金流水!$S$1351&gt;=_辅助!$J$4,资金流水!$S$1351&lt;=_辅助!$J$2,OR(资金流水!$X$1351="应付材料款",资金流水!$X$1351="应付分包款",资金流水!$X$1351="应付机械运输费",资金流水!$X$1351="应付其他款")),INT(资金流水!$B$1351)*10000+1346,"")</f>
      </c>
    </row>
    <row r="1348">
      <c r="BD1348" s="2">
        <f>IF(AND($C$130&lt;&gt;"",资金流水!$J$1352=$C$130,ISNUMBER(资金流水!$B$1352),ISNUMBER(资金流水!$S$1352),资金流水!$S$1352&gt;=_辅助!$J$4,资金流水!$S$1352&lt;=_辅助!$J$2,OR(资金流水!$X$1352="应付材料款",资金流水!$X$1352="应付分包款",资金流水!$X$1352="应付机械运输费",资金流水!$X$1352="应付其他款")),INT(资金流水!$B$1352)*10000+1347,"")</f>
      </c>
    </row>
    <row r="1349">
      <c r="BD1349" s="2">
        <f>IF(AND($C$130&lt;&gt;"",资金流水!$J$1353=$C$130,ISNUMBER(资金流水!$B$1353),ISNUMBER(资金流水!$S$1353),资金流水!$S$1353&gt;=_辅助!$J$4,资金流水!$S$1353&lt;=_辅助!$J$2,OR(资金流水!$X$1353="应付材料款",资金流水!$X$1353="应付分包款",资金流水!$X$1353="应付机械运输费",资金流水!$X$1353="应付其他款")),INT(资金流水!$B$1353)*10000+1348,"")</f>
      </c>
    </row>
    <row r="1350">
      <c r="BD1350" s="2">
        <f>IF(AND($C$130&lt;&gt;"",资金流水!$J$1354=$C$130,ISNUMBER(资金流水!$B$1354),ISNUMBER(资金流水!$S$1354),资金流水!$S$1354&gt;=_辅助!$J$4,资金流水!$S$1354&lt;=_辅助!$J$2,OR(资金流水!$X$1354="应付材料款",资金流水!$X$1354="应付分包款",资金流水!$X$1354="应付机械运输费",资金流水!$X$1354="应付其他款")),INT(资金流水!$B$1354)*10000+1349,"")</f>
      </c>
    </row>
    <row r="1351">
      <c r="BD1351" s="2">
        <f>IF(AND($C$130&lt;&gt;"",资金流水!$J$1355=$C$130,ISNUMBER(资金流水!$B$1355),ISNUMBER(资金流水!$S$1355),资金流水!$S$1355&gt;=_辅助!$J$4,资金流水!$S$1355&lt;=_辅助!$J$2,OR(资金流水!$X$1355="应付材料款",资金流水!$X$1355="应付分包款",资金流水!$X$1355="应付机械运输费",资金流水!$X$1355="应付其他款")),INT(资金流水!$B$1355)*10000+1350,"")</f>
      </c>
    </row>
    <row r="1352">
      <c r="BD1352" s="2">
        <f>IF(AND($C$130&lt;&gt;"",资金流水!$J$1356=$C$130,ISNUMBER(资金流水!$B$1356),ISNUMBER(资金流水!$S$1356),资金流水!$S$1356&gt;=_辅助!$J$4,资金流水!$S$1356&lt;=_辅助!$J$2,OR(资金流水!$X$1356="应付材料款",资金流水!$X$1356="应付分包款",资金流水!$X$1356="应付机械运输费",资金流水!$X$1356="应付其他款")),INT(资金流水!$B$1356)*10000+1351,"")</f>
      </c>
    </row>
    <row r="1353">
      <c r="BD1353" s="2">
        <f>IF(AND($C$130&lt;&gt;"",资金流水!$J$1357=$C$130,ISNUMBER(资金流水!$B$1357),ISNUMBER(资金流水!$S$1357),资金流水!$S$1357&gt;=_辅助!$J$4,资金流水!$S$1357&lt;=_辅助!$J$2,OR(资金流水!$X$1357="应付材料款",资金流水!$X$1357="应付分包款",资金流水!$X$1357="应付机械运输费",资金流水!$X$1357="应付其他款")),INT(资金流水!$B$1357)*10000+1352,"")</f>
      </c>
    </row>
    <row r="1354">
      <c r="BD1354" s="2">
        <f>IF(AND($C$130&lt;&gt;"",资金流水!$J$1358=$C$130,ISNUMBER(资金流水!$B$1358),ISNUMBER(资金流水!$S$1358),资金流水!$S$1358&gt;=_辅助!$J$4,资金流水!$S$1358&lt;=_辅助!$J$2,OR(资金流水!$X$1358="应付材料款",资金流水!$X$1358="应付分包款",资金流水!$X$1358="应付机械运输费",资金流水!$X$1358="应付其他款")),INT(资金流水!$B$1358)*10000+1353,"")</f>
      </c>
    </row>
    <row r="1355">
      <c r="BD1355" s="2">
        <f>IF(AND($C$130&lt;&gt;"",资金流水!$J$1359=$C$130,ISNUMBER(资金流水!$B$1359),ISNUMBER(资金流水!$S$1359),资金流水!$S$1359&gt;=_辅助!$J$4,资金流水!$S$1359&lt;=_辅助!$J$2,OR(资金流水!$X$1359="应付材料款",资金流水!$X$1359="应付分包款",资金流水!$X$1359="应付机械运输费",资金流水!$X$1359="应付其他款")),INT(资金流水!$B$1359)*10000+1354,"")</f>
      </c>
    </row>
    <row r="1356">
      <c r="BD1356" s="2">
        <f>IF(AND($C$130&lt;&gt;"",资金流水!$J$1360=$C$130,ISNUMBER(资金流水!$B$1360),ISNUMBER(资金流水!$S$1360),资金流水!$S$1360&gt;=_辅助!$J$4,资金流水!$S$1360&lt;=_辅助!$J$2,OR(资金流水!$X$1360="应付材料款",资金流水!$X$1360="应付分包款",资金流水!$X$1360="应付机械运输费",资金流水!$X$1360="应付其他款")),INT(资金流水!$B$1360)*10000+1355,"")</f>
      </c>
    </row>
    <row r="1357">
      <c r="BD1357" s="2">
        <f>IF(AND($C$130&lt;&gt;"",资金流水!$J$1361=$C$130,ISNUMBER(资金流水!$B$1361),ISNUMBER(资金流水!$S$1361),资金流水!$S$1361&gt;=_辅助!$J$4,资金流水!$S$1361&lt;=_辅助!$J$2,OR(资金流水!$X$1361="应付材料款",资金流水!$X$1361="应付分包款",资金流水!$X$1361="应付机械运输费",资金流水!$X$1361="应付其他款")),INT(资金流水!$B$1361)*10000+1356,"")</f>
      </c>
    </row>
    <row r="1358">
      <c r="BD1358" s="2">
        <f>IF(AND($C$130&lt;&gt;"",资金流水!$J$1362=$C$130,ISNUMBER(资金流水!$B$1362),ISNUMBER(资金流水!$S$1362),资金流水!$S$1362&gt;=_辅助!$J$4,资金流水!$S$1362&lt;=_辅助!$J$2,OR(资金流水!$X$1362="应付材料款",资金流水!$X$1362="应付分包款",资金流水!$X$1362="应付机械运输费",资金流水!$X$1362="应付其他款")),INT(资金流水!$B$1362)*10000+1357,"")</f>
      </c>
    </row>
    <row r="1359">
      <c r="BD1359" s="2">
        <f>IF(AND($C$130&lt;&gt;"",资金流水!$J$1363=$C$130,ISNUMBER(资金流水!$B$1363),ISNUMBER(资金流水!$S$1363),资金流水!$S$1363&gt;=_辅助!$J$4,资金流水!$S$1363&lt;=_辅助!$J$2,OR(资金流水!$X$1363="应付材料款",资金流水!$X$1363="应付分包款",资金流水!$X$1363="应付机械运输费",资金流水!$X$1363="应付其他款")),INT(资金流水!$B$1363)*10000+1358,"")</f>
      </c>
    </row>
    <row r="1360">
      <c r="BD1360" s="2">
        <f>IF(AND($C$130&lt;&gt;"",资金流水!$J$1364=$C$130,ISNUMBER(资金流水!$B$1364),ISNUMBER(资金流水!$S$1364),资金流水!$S$1364&gt;=_辅助!$J$4,资金流水!$S$1364&lt;=_辅助!$J$2,OR(资金流水!$X$1364="应付材料款",资金流水!$X$1364="应付分包款",资金流水!$X$1364="应付机械运输费",资金流水!$X$1364="应付其他款")),INT(资金流水!$B$1364)*10000+1359,"")</f>
      </c>
    </row>
    <row r="1361">
      <c r="BD1361" s="2">
        <f>IF(AND($C$130&lt;&gt;"",资金流水!$J$1365=$C$130,ISNUMBER(资金流水!$B$1365),ISNUMBER(资金流水!$S$1365),资金流水!$S$1365&gt;=_辅助!$J$4,资金流水!$S$1365&lt;=_辅助!$J$2,OR(资金流水!$X$1365="应付材料款",资金流水!$X$1365="应付分包款",资金流水!$X$1365="应付机械运输费",资金流水!$X$1365="应付其他款")),INT(资金流水!$B$1365)*10000+1360,"")</f>
      </c>
    </row>
    <row r="1362">
      <c r="BD1362" s="2">
        <f>IF(AND($C$130&lt;&gt;"",资金流水!$J$1366=$C$130,ISNUMBER(资金流水!$B$1366),ISNUMBER(资金流水!$S$1366),资金流水!$S$1366&gt;=_辅助!$J$4,资金流水!$S$1366&lt;=_辅助!$J$2,OR(资金流水!$X$1366="应付材料款",资金流水!$X$1366="应付分包款",资金流水!$X$1366="应付机械运输费",资金流水!$X$1366="应付其他款")),INT(资金流水!$B$1366)*10000+1361,"")</f>
      </c>
    </row>
    <row r="1363">
      <c r="BD1363" s="2">
        <f>IF(AND($C$130&lt;&gt;"",资金流水!$J$1367=$C$130,ISNUMBER(资金流水!$B$1367),ISNUMBER(资金流水!$S$1367),资金流水!$S$1367&gt;=_辅助!$J$4,资金流水!$S$1367&lt;=_辅助!$J$2,OR(资金流水!$X$1367="应付材料款",资金流水!$X$1367="应付分包款",资金流水!$X$1367="应付机械运输费",资金流水!$X$1367="应付其他款")),INT(资金流水!$B$1367)*10000+1362,"")</f>
      </c>
    </row>
    <row r="1364">
      <c r="BD1364" s="2">
        <f>IF(AND($C$130&lt;&gt;"",资金流水!$J$1368=$C$130,ISNUMBER(资金流水!$B$1368),ISNUMBER(资金流水!$S$1368),资金流水!$S$1368&gt;=_辅助!$J$4,资金流水!$S$1368&lt;=_辅助!$J$2,OR(资金流水!$X$1368="应付材料款",资金流水!$X$1368="应付分包款",资金流水!$X$1368="应付机械运输费",资金流水!$X$1368="应付其他款")),INT(资金流水!$B$1368)*10000+1363,"")</f>
      </c>
    </row>
    <row r="1365">
      <c r="BD1365" s="2">
        <f>IF(AND($C$130&lt;&gt;"",资金流水!$J$1369=$C$130,ISNUMBER(资金流水!$B$1369),ISNUMBER(资金流水!$S$1369),资金流水!$S$1369&gt;=_辅助!$J$4,资金流水!$S$1369&lt;=_辅助!$J$2,OR(资金流水!$X$1369="应付材料款",资金流水!$X$1369="应付分包款",资金流水!$X$1369="应付机械运输费",资金流水!$X$1369="应付其他款")),INT(资金流水!$B$1369)*10000+1364,"")</f>
      </c>
    </row>
    <row r="1366">
      <c r="BD1366" s="2">
        <f>IF(AND($C$130&lt;&gt;"",资金流水!$J$1370=$C$130,ISNUMBER(资金流水!$B$1370),ISNUMBER(资金流水!$S$1370),资金流水!$S$1370&gt;=_辅助!$J$4,资金流水!$S$1370&lt;=_辅助!$J$2,OR(资金流水!$X$1370="应付材料款",资金流水!$X$1370="应付分包款",资金流水!$X$1370="应付机械运输费",资金流水!$X$1370="应付其他款")),INT(资金流水!$B$1370)*10000+1365,"")</f>
      </c>
    </row>
    <row r="1367">
      <c r="BD1367" s="2">
        <f>IF(AND($C$130&lt;&gt;"",资金流水!$J$1371=$C$130,ISNUMBER(资金流水!$B$1371),ISNUMBER(资金流水!$S$1371),资金流水!$S$1371&gt;=_辅助!$J$4,资金流水!$S$1371&lt;=_辅助!$J$2,OR(资金流水!$X$1371="应付材料款",资金流水!$X$1371="应付分包款",资金流水!$X$1371="应付机械运输费",资金流水!$X$1371="应付其他款")),INT(资金流水!$B$1371)*10000+1366,"")</f>
      </c>
    </row>
    <row r="1368">
      <c r="BD1368" s="2">
        <f>IF(AND($C$130&lt;&gt;"",资金流水!$J$1372=$C$130,ISNUMBER(资金流水!$B$1372),ISNUMBER(资金流水!$S$1372),资金流水!$S$1372&gt;=_辅助!$J$4,资金流水!$S$1372&lt;=_辅助!$J$2,OR(资金流水!$X$1372="应付材料款",资金流水!$X$1372="应付分包款",资金流水!$X$1372="应付机械运输费",资金流水!$X$1372="应付其他款")),INT(资金流水!$B$1372)*10000+1367,"")</f>
      </c>
    </row>
    <row r="1369">
      <c r="BD1369" s="2">
        <f>IF(AND($C$130&lt;&gt;"",资金流水!$J$1373=$C$130,ISNUMBER(资金流水!$B$1373),ISNUMBER(资金流水!$S$1373),资金流水!$S$1373&gt;=_辅助!$J$4,资金流水!$S$1373&lt;=_辅助!$J$2,OR(资金流水!$X$1373="应付材料款",资金流水!$X$1373="应付分包款",资金流水!$X$1373="应付机械运输费",资金流水!$X$1373="应付其他款")),INT(资金流水!$B$1373)*10000+1368,"")</f>
      </c>
    </row>
    <row r="1370">
      <c r="BD1370" s="2">
        <f>IF(AND($C$130&lt;&gt;"",资金流水!$J$1374=$C$130,ISNUMBER(资金流水!$B$1374),ISNUMBER(资金流水!$S$1374),资金流水!$S$1374&gt;=_辅助!$J$4,资金流水!$S$1374&lt;=_辅助!$J$2,OR(资金流水!$X$1374="应付材料款",资金流水!$X$1374="应付分包款",资金流水!$X$1374="应付机械运输费",资金流水!$X$1374="应付其他款")),INT(资金流水!$B$1374)*10000+1369,"")</f>
      </c>
    </row>
    <row r="1371">
      <c r="BD1371" s="2">
        <f>IF(AND($C$130&lt;&gt;"",资金流水!$J$1375=$C$130,ISNUMBER(资金流水!$B$1375),ISNUMBER(资金流水!$S$1375),资金流水!$S$1375&gt;=_辅助!$J$4,资金流水!$S$1375&lt;=_辅助!$J$2,OR(资金流水!$X$1375="应付材料款",资金流水!$X$1375="应付分包款",资金流水!$X$1375="应付机械运输费",资金流水!$X$1375="应付其他款")),INT(资金流水!$B$1375)*10000+1370,"")</f>
      </c>
    </row>
    <row r="1372">
      <c r="BD1372" s="2">
        <f>IF(AND($C$130&lt;&gt;"",资金流水!$J$1376=$C$130,ISNUMBER(资金流水!$B$1376),ISNUMBER(资金流水!$S$1376),资金流水!$S$1376&gt;=_辅助!$J$4,资金流水!$S$1376&lt;=_辅助!$J$2,OR(资金流水!$X$1376="应付材料款",资金流水!$X$1376="应付分包款",资金流水!$X$1376="应付机械运输费",资金流水!$X$1376="应付其他款")),INT(资金流水!$B$1376)*10000+1371,"")</f>
      </c>
    </row>
    <row r="1373">
      <c r="BD1373" s="2">
        <f>IF(AND($C$130&lt;&gt;"",资金流水!$J$1377=$C$130,ISNUMBER(资金流水!$B$1377),ISNUMBER(资金流水!$S$1377),资金流水!$S$1377&gt;=_辅助!$J$4,资金流水!$S$1377&lt;=_辅助!$J$2,OR(资金流水!$X$1377="应付材料款",资金流水!$X$1377="应付分包款",资金流水!$X$1377="应付机械运输费",资金流水!$X$1377="应付其他款")),INT(资金流水!$B$1377)*10000+1372,"")</f>
      </c>
    </row>
    <row r="1374">
      <c r="BD1374" s="2">
        <f>IF(AND($C$130&lt;&gt;"",资金流水!$J$1378=$C$130,ISNUMBER(资金流水!$B$1378),ISNUMBER(资金流水!$S$1378),资金流水!$S$1378&gt;=_辅助!$J$4,资金流水!$S$1378&lt;=_辅助!$J$2,OR(资金流水!$X$1378="应付材料款",资金流水!$X$1378="应付分包款",资金流水!$X$1378="应付机械运输费",资金流水!$X$1378="应付其他款")),INT(资金流水!$B$1378)*10000+1373,"")</f>
      </c>
    </row>
    <row r="1375">
      <c r="BD1375" s="2">
        <f>IF(AND($C$130&lt;&gt;"",资金流水!$J$1379=$C$130,ISNUMBER(资金流水!$B$1379),ISNUMBER(资金流水!$S$1379),资金流水!$S$1379&gt;=_辅助!$J$4,资金流水!$S$1379&lt;=_辅助!$J$2,OR(资金流水!$X$1379="应付材料款",资金流水!$X$1379="应付分包款",资金流水!$X$1379="应付机械运输费",资金流水!$X$1379="应付其他款")),INT(资金流水!$B$1379)*10000+1374,"")</f>
      </c>
    </row>
    <row r="1376">
      <c r="BD1376" s="2">
        <f>IF(AND($C$130&lt;&gt;"",资金流水!$J$1380=$C$130,ISNUMBER(资金流水!$B$1380),ISNUMBER(资金流水!$S$1380),资金流水!$S$1380&gt;=_辅助!$J$4,资金流水!$S$1380&lt;=_辅助!$J$2,OR(资金流水!$X$1380="应付材料款",资金流水!$X$1380="应付分包款",资金流水!$X$1380="应付机械运输费",资金流水!$X$1380="应付其他款")),INT(资金流水!$B$1380)*10000+1375,"")</f>
      </c>
    </row>
    <row r="1377">
      <c r="BD1377" s="2">
        <f>IF(AND($C$130&lt;&gt;"",资金流水!$J$1381=$C$130,ISNUMBER(资金流水!$B$1381),ISNUMBER(资金流水!$S$1381),资金流水!$S$1381&gt;=_辅助!$J$4,资金流水!$S$1381&lt;=_辅助!$J$2,OR(资金流水!$X$1381="应付材料款",资金流水!$X$1381="应付分包款",资金流水!$X$1381="应付机械运输费",资金流水!$X$1381="应付其他款")),INT(资金流水!$B$1381)*10000+1376,"")</f>
      </c>
    </row>
    <row r="1378">
      <c r="BD1378" s="2">
        <f>IF(AND($C$130&lt;&gt;"",资金流水!$J$1382=$C$130,ISNUMBER(资金流水!$B$1382),ISNUMBER(资金流水!$S$1382),资金流水!$S$1382&gt;=_辅助!$J$4,资金流水!$S$1382&lt;=_辅助!$J$2,OR(资金流水!$X$1382="应付材料款",资金流水!$X$1382="应付分包款",资金流水!$X$1382="应付机械运输费",资金流水!$X$1382="应付其他款")),INT(资金流水!$B$1382)*10000+1377,"")</f>
      </c>
    </row>
    <row r="1379">
      <c r="BD1379" s="2">
        <f>IF(AND($C$130&lt;&gt;"",资金流水!$J$1383=$C$130,ISNUMBER(资金流水!$B$1383),ISNUMBER(资金流水!$S$1383),资金流水!$S$1383&gt;=_辅助!$J$4,资金流水!$S$1383&lt;=_辅助!$J$2,OR(资金流水!$X$1383="应付材料款",资金流水!$X$1383="应付分包款",资金流水!$X$1383="应付机械运输费",资金流水!$X$1383="应付其他款")),INT(资金流水!$B$1383)*10000+1378,"")</f>
      </c>
    </row>
    <row r="1380">
      <c r="BD1380" s="2">
        <f>IF(AND($C$130&lt;&gt;"",资金流水!$J$1384=$C$130,ISNUMBER(资金流水!$B$1384),ISNUMBER(资金流水!$S$1384),资金流水!$S$1384&gt;=_辅助!$J$4,资金流水!$S$1384&lt;=_辅助!$J$2,OR(资金流水!$X$1384="应付材料款",资金流水!$X$1384="应付分包款",资金流水!$X$1384="应付机械运输费",资金流水!$X$1384="应付其他款")),INT(资金流水!$B$1384)*10000+1379,"")</f>
      </c>
    </row>
    <row r="1381">
      <c r="BD1381" s="2">
        <f>IF(AND($C$130&lt;&gt;"",资金流水!$J$1385=$C$130,ISNUMBER(资金流水!$B$1385),ISNUMBER(资金流水!$S$1385),资金流水!$S$1385&gt;=_辅助!$J$4,资金流水!$S$1385&lt;=_辅助!$J$2,OR(资金流水!$X$1385="应付材料款",资金流水!$X$1385="应付分包款",资金流水!$X$1385="应付机械运输费",资金流水!$X$1385="应付其他款")),INT(资金流水!$B$1385)*10000+1380,"")</f>
      </c>
    </row>
    <row r="1382">
      <c r="BD1382" s="2">
        <f>IF(AND($C$130&lt;&gt;"",资金流水!$J$1386=$C$130,ISNUMBER(资金流水!$B$1386),ISNUMBER(资金流水!$S$1386),资金流水!$S$1386&gt;=_辅助!$J$4,资金流水!$S$1386&lt;=_辅助!$J$2,OR(资金流水!$X$1386="应付材料款",资金流水!$X$1386="应付分包款",资金流水!$X$1386="应付机械运输费",资金流水!$X$1386="应付其他款")),INT(资金流水!$B$1386)*10000+1381,"")</f>
      </c>
    </row>
    <row r="1383">
      <c r="BD1383" s="2">
        <f>IF(AND($C$130&lt;&gt;"",资金流水!$J$1387=$C$130,ISNUMBER(资金流水!$B$1387),ISNUMBER(资金流水!$S$1387),资金流水!$S$1387&gt;=_辅助!$J$4,资金流水!$S$1387&lt;=_辅助!$J$2,OR(资金流水!$X$1387="应付材料款",资金流水!$X$1387="应付分包款",资金流水!$X$1387="应付机械运输费",资金流水!$X$1387="应付其他款")),INT(资金流水!$B$1387)*10000+1382,"")</f>
      </c>
    </row>
    <row r="1384">
      <c r="BD1384" s="2">
        <f>IF(AND($C$130&lt;&gt;"",资金流水!$J$1388=$C$130,ISNUMBER(资金流水!$B$1388),ISNUMBER(资金流水!$S$1388),资金流水!$S$1388&gt;=_辅助!$J$4,资金流水!$S$1388&lt;=_辅助!$J$2,OR(资金流水!$X$1388="应付材料款",资金流水!$X$1388="应付分包款",资金流水!$X$1388="应付机械运输费",资金流水!$X$1388="应付其他款")),INT(资金流水!$B$1388)*10000+1383,"")</f>
      </c>
    </row>
    <row r="1385">
      <c r="BD1385" s="2">
        <f>IF(AND($C$130&lt;&gt;"",资金流水!$J$1389=$C$130,ISNUMBER(资金流水!$B$1389),ISNUMBER(资金流水!$S$1389),资金流水!$S$1389&gt;=_辅助!$J$4,资金流水!$S$1389&lt;=_辅助!$J$2,OR(资金流水!$X$1389="应付材料款",资金流水!$X$1389="应付分包款",资金流水!$X$1389="应付机械运输费",资金流水!$X$1389="应付其他款")),INT(资金流水!$B$1389)*10000+1384,"")</f>
      </c>
    </row>
    <row r="1386">
      <c r="BD1386" s="2">
        <f>IF(AND($C$130&lt;&gt;"",资金流水!$J$1390=$C$130,ISNUMBER(资金流水!$B$1390),ISNUMBER(资金流水!$S$1390),资金流水!$S$1390&gt;=_辅助!$J$4,资金流水!$S$1390&lt;=_辅助!$J$2,OR(资金流水!$X$1390="应付材料款",资金流水!$X$1390="应付分包款",资金流水!$X$1390="应付机械运输费",资金流水!$X$1390="应付其他款")),INT(资金流水!$B$1390)*10000+1385,"")</f>
      </c>
    </row>
    <row r="1387">
      <c r="BD1387" s="2">
        <f>IF(AND($C$130&lt;&gt;"",资金流水!$J$1391=$C$130,ISNUMBER(资金流水!$B$1391),ISNUMBER(资金流水!$S$1391),资金流水!$S$1391&gt;=_辅助!$J$4,资金流水!$S$1391&lt;=_辅助!$J$2,OR(资金流水!$X$1391="应付材料款",资金流水!$X$1391="应付分包款",资金流水!$X$1391="应付机械运输费",资金流水!$X$1391="应付其他款")),INT(资金流水!$B$1391)*10000+1386,"")</f>
      </c>
    </row>
    <row r="1388">
      <c r="BD1388" s="2">
        <f>IF(AND($C$130&lt;&gt;"",资金流水!$J$1392=$C$130,ISNUMBER(资金流水!$B$1392),ISNUMBER(资金流水!$S$1392),资金流水!$S$1392&gt;=_辅助!$J$4,资金流水!$S$1392&lt;=_辅助!$J$2,OR(资金流水!$X$1392="应付材料款",资金流水!$X$1392="应付分包款",资金流水!$X$1392="应付机械运输费",资金流水!$X$1392="应付其他款")),INT(资金流水!$B$1392)*10000+1387,"")</f>
      </c>
    </row>
    <row r="1389">
      <c r="BD1389" s="2">
        <f>IF(AND($C$130&lt;&gt;"",资金流水!$J$1393=$C$130,ISNUMBER(资金流水!$B$1393),ISNUMBER(资金流水!$S$1393),资金流水!$S$1393&gt;=_辅助!$J$4,资金流水!$S$1393&lt;=_辅助!$J$2,OR(资金流水!$X$1393="应付材料款",资金流水!$X$1393="应付分包款",资金流水!$X$1393="应付机械运输费",资金流水!$X$1393="应付其他款")),INT(资金流水!$B$1393)*10000+1388,"")</f>
      </c>
    </row>
    <row r="1390">
      <c r="BD1390" s="2">
        <f>IF(AND($C$130&lt;&gt;"",资金流水!$J$1394=$C$130,ISNUMBER(资金流水!$B$1394),ISNUMBER(资金流水!$S$1394),资金流水!$S$1394&gt;=_辅助!$J$4,资金流水!$S$1394&lt;=_辅助!$J$2,OR(资金流水!$X$1394="应付材料款",资金流水!$X$1394="应付分包款",资金流水!$X$1394="应付机械运输费",资金流水!$X$1394="应付其他款")),INT(资金流水!$B$1394)*10000+1389,"")</f>
      </c>
    </row>
    <row r="1391">
      <c r="BD1391" s="2">
        <f>IF(AND($C$130&lt;&gt;"",资金流水!$J$1395=$C$130,ISNUMBER(资金流水!$B$1395),ISNUMBER(资金流水!$S$1395),资金流水!$S$1395&gt;=_辅助!$J$4,资金流水!$S$1395&lt;=_辅助!$J$2,OR(资金流水!$X$1395="应付材料款",资金流水!$X$1395="应付分包款",资金流水!$X$1395="应付机械运输费",资金流水!$X$1395="应付其他款")),INT(资金流水!$B$1395)*10000+1390,"")</f>
      </c>
    </row>
    <row r="1392">
      <c r="BD1392" s="2">
        <f>IF(AND($C$130&lt;&gt;"",资金流水!$J$1396=$C$130,ISNUMBER(资金流水!$B$1396),ISNUMBER(资金流水!$S$1396),资金流水!$S$1396&gt;=_辅助!$J$4,资金流水!$S$1396&lt;=_辅助!$J$2,OR(资金流水!$X$1396="应付材料款",资金流水!$X$1396="应付分包款",资金流水!$X$1396="应付机械运输费",资金流水!$X$1396="应付其他款")),INT(资金流水!$B$1396)*10000+1391,"")</f>
      </c>
    </row>
    <row r="1393">
      <c r="BD1393" s="2">
        <f>IF(AND($C$130&lt;&gt;"",资金流水!$J$1397=$C$130,ISNUMBER(资金流水!$B$1397),ISNUMBER(资金流水!$S$1397),资金流水!$S$1397&gt;=_辅助!$J$4,资金流水!$S$1397&lt;=_辅助!$J$2,OR(资金流水!$X$1397="应付材料款",资金流水!$X$1397="应付分包款",资金流水!$X$1397="应付机械运输费",资金流水!$X$1397="应付其他款")),INT(资金流水!$B$1397)*10000+1392,"")</f>
      </c>
    </row>
    <row r="1394">
      <c r="BD1394" s="2">
        <f>IF(AND($C$130&lt;&gt;"",资金流水!$J$1398=$C$130,ISNUMBER(资金流水!$B$1398),ISNUMBER(资金流水!$S$1398),资金流水!$S$1398&gt;=_辅助!$J$4,资金流水!$S$1398&lt;=_辅助!$J$2,OR(资金流水!$X$1398="应付材料款",资金流水!$X$1398="应付分包款",资金流水!$X$1398="应付机械运输费",资金流水!$X$1398="应付其他款")),INT(资金流水!$B$1398)*10000+1393,"")</f>
      </c>
    </row>
    <row r="1395">
      <c r="BD1395" s="2">
        <f>IF(AND($C$130&lt;&gt;"",资金流水!$J$1399=$C$130,ISNUMBER(资金流水!$B$1399),ISNUMBER(资金流水!$S$1399),资金流水!$S$1399&gt;=_辅助!$J$4,资金流水!$S$1399&lt;=_辅助!$J$2,OR(资金流水!$X$1399="应付材料款",资金流水!$X$1399="应付分包款",资金流水!$X$1399="应付机械运输费",资金流水!$X$1399="应付其他款")),INT(资金流水!$B$1399)*10000+1394,"")</f>
      </c>
    </row>
    <row r="1396">
      <c r="BD1396" s="2">
        <f>IF(AND($C$130&lt;&gt;"",资金流水!$J$1400=$C$130,ISNUMBER(资金流水!$B$1400),ISNUMBER(资金流水!$S$1400),资金流水!$S$1400&gt;=_辅助!$J$4,资金流水!$S$1400&lt;=_辅助!$J$2,OR(资金流水!$X$1400="应付材料款",资金流水!$X$1400="应付分包款",资金流水!$X$1400="应付机械运输费",资金流水!$X$1400="应付其他款")),INT(资金流水!$B$1400)*10000+1395,"")</f>
      </c>
    </row>
    <row r="1397">
      <c r="BD1397" s="2">
        <f>IF(AND($C$130&lt;&gt;"",资金流水!$J$1401=$C$130,ISNUMBER(资金流水!$B$1401),ISNUMBER(资金流水!$S$1401),资金流水!$S$1401&gt;=_辅助!$J$4,资金流水!$S$1401&lt;=_辅助!$J$2,OR(资金流水!$X$1401="应付材料款",资金流水!$X$1401="应付分包款",资金流水!$X$1401="应付机械运输费",资金流水!$X$1401="应付其他款")),INT(资金流水!$B$1401)*10000+1396,"")</f>
      </c>
    </row>
    <row r="1398">
      <c r="BD1398" s="2">
        <f>IF(AND($C$130&lt;&gt;"",资金流水!$J$1402=$C$130,ISNUMBER(资金流水!$B$1402),ISNUMBER(资金流水!$S$1402),资金流水!$S$1402&gt;=_辅助!$J$4,资金流水!$S$1402&lt;=_辅助!$J$2,OR(资金流水!$X$1402="应付材料款",资金流水!$X$1402="应付分包款",资金流水!$X$1402="应付机械运输费",资金流水!$X$1402="应付其他款")),INT(资金流水!$B$1402)*10000+1397,"")</f>
      </c>
    </row>
    <row r="1399">
      <c r="BD1399" s="2">
        <f>IF(AND($C$130&lt;&gt;"",资金流水!$J$1403=$C$130,ISNUMBER(资金流水!$B$1403),ISNUMBER(资金流水!$S$1403),资金流水!$S$1403&gt;=_辅助!$J$4,资金流水!$S$1403&lt;=_辅助!$J$2,OR(资金流水!$X$1403="应付材料款",资金流水!$X$1403="应付分包款",资金流水!$X$1403="应付机械运输费",资金流水!$X$1403="应付其他款")),INT(资金流水!$B$1403)*10000+1398,"")</f>
      </c>
    </row>
    <row r="1400">
      <c r="BD1400" s="2">
        <f>IF(AND($C$130&lt;&gt;"",资金流水!$J$1404=$C$130,ISNUMBER(资金流水!$B$1404),ISNUMBER(资金流水!$S$1404),资金流水!$S$1404&gt;=_辅助!$J$4,资金流水!$S$1404&lt;=_辅助!$J$2,OR(资金流水!$X$1404="应付材料款",资金流水!$X$1404="应付分包款",资金流水!$X$1404="应付机械运输费",资金流水!$X$1404="应付其他款")),INT(资金流水!$B$1404)*10000+1399,"")</f>
      </c>
    </row>
    <row r="1401">
      <c r="BD1401" s="2">
        <f>IF(AND($C$130&lt;&gt;"",资金流水!$J$1405=$C$130,ISNUMBER(资金流水!$B$1405),ISNUMBER(资金流水!$S$1405),资金流水!$S$1405&gt;=_辅助!$J$4,资金流水!$S$1405&lt;=_辅助!$J$2,OR(资金流水!$X$1405="应付材料款",资金流水!$X$1405="应付分包款",资金流水!$X$1405="应付机械运输费",资金流水!$X$1405="应付其他款")),INT(资金流水!$B$1405)*10000+1400,"")</f>
      </c>
    </row>
    <row r="1402">
      <c r="BD1402" s="2">
        <f>IF(AND($C$130&lt;&gt;"",资金流水!$J$1406=$C$130,ISNUMBER(资金流水!$B$1406),ISNUMBER(资金流水!$S$1406),资金流水!$S$1406&gt;=_辅助!$J$4,资金流水!$S$1406&lt;=_辅助!$J$2,OR(资金流水!$X$1406="应付材料款",资金流水!$X$1406="应付分包款",资金流水!$X$1406="应付机械运输费",资金流水!$X$1406="应付其他款")),INT(资金流水!$B$1406)*10000+1401,"")</f>
      </c>
    </row>
    <row r="1403">
      <c r="BD1403" s="2">
        <f>IF(AND($C$130&lt;&gt;"",资金流水!$J$1407=$C$130,ISNUMBER(资金流水!$B$1407),ISNUMBER(资金流水!$S$1407),资金流水!$S$1407&gt;=_辅助!$J$4,资金流水!$S$1407&lt;=_辅助!$J$2,OR(资金流水!$X$1407="应付材料款",资金流水!$X$1407="应付分包款",资金流水!$X$1407="应付机械运输费",资金流水!$X$1407="应付其他款")),INT(资金流水!$B$1407)*10000+1402,"")</f>
      </c>
    </row>
    <row r="1404">
      <c r="BD1404" s="2">
        <f>IF(AND($C$130&lt;&gt;"",资金流水!$J$1408=$C$130,ISNUMBER(资金流水!$B$1408),ISNUMBER(资金流水!$S$1408),资金流水!$S$1408&gt;=_辅助!$J$4,资金流水!$S$1408&lt;=_辅助!$J$2,OR(资金流水!$X$1408="应付材料款",资金流水!$X$1408="应付分包款",资金流水!$X$1408="应付机械运输费",资金流水!$X$1408="应付其他款")),INT(资金流水!$B$1408)*10000+1403,"")</f>
      </c>
    </row>
    <row r="1405">
      <c r="BD1405" s="2">
        <f>IF(AND($C$130&lt;&gt;"",资金流水!$J$1409=$C$130,ISNUMBER(资金流水!$B$1409),ISNUMBER(资金流水!$S$1409),资金流水!$S$1409&gt;=_辅助!$J$4,资金流水!$S$1409&lt;=_辅助!$J$2,OR(资金流水!$X$1409="应付材料款",资金流水!$X$1409="应付分包款",资金流水!$X$1409="应付机械运输费",资金流水!$X$1409="应付其他款")),INT(资金流水!$B$1409)*10000+1404,"")</f>
      </c>
    </row>
    <row r="1406">
      <c r="BD1406" s="2">
        <f>IF(AND($C$130&lt;&gt;"",资金流水!$J$1410=$C$130,ISNUMBER(资金流水!$B$1410),ISNUMBER(资金流水!$S$1410),资金流水!$S$1410&gt;=_辅助!$J$4,资金流水!$S$1410&lt;=_辅助!$J$2,OR(资金流水!$X$1410="应付材料款",资金流水!$X$1410="应付分包款",资金流水!$X$1410="应付机械运输费",资金流水!$X$1410="应付其他款")),INT(资金流水!$B$1410)*10000+1405,"")</f>
      </c>
    </row>
    <row r="1407">
      <c r="BD1407" s="2">
        <f>IF(AND($C$130&lt;&gt;"",资金流水!$J$1411=$C$130,ISNUMBER(资金流水!$B$1411),ISNUMBER(资金流水!$S$1411),资金流水!$S$1411&gt;=_辅助!$J$4,资金流水!$S$1411&lt;=_辅助!$J$2,OR(资金流水!$X$1411="应付材料款",资金流水!$X$1411="应付分包款",资金流水!$X$1411="应付机械运输费",资金流水!$X$1411="应付其他款")),INT(资金流水!$B$1411)*10000+1406,"")</f>
      </c>
    </row>
    <row r="1408">
      <c r="BD1408" s="2">
        <f>IF(AND($C$130&lt;&gt;"",资金流水!$J$1412=$C$130,ISNUMBER(资金流水!$B$1412),ISNUMBER(资金流水!$S$1412),资金流水!$S$1412&gt;=_辅助!$J$4,资金流水!$S$1412&lt;=_辅助!$J$2,OR(资金流水!$X$1412="应付材料款",资金流水!$X$1412="应付分包款",资金流水!$X$1412="应付机械运输费",资金流水!$X$1412="应付其他款")),INT(资金流水!$B$1412)*10000+1407,"")</f>
      </c>
    </row>
    <row r="1409">
      <c r="BD1409" s="2">
        <f>IF(AND($C$130&lt;&gt;"",资金流水!$J$1413=$C$130,ISNUMBER(资金流水!$B$1413),ISNUMBER(资金流水!$S$1413),资金流水!$S$1413&gt;=_辅助!$J$4,资金流水!$S$1413&lt;=_辅助!$J$2,OR(资金流水!$X$1413="应付材料款",资金流水!$X$1413="应付分包款",资金流水!$X$1413="应付机械运输费",资金流水!$X$1413="应付其他款")),INT(资金流水!$B$1413)*10000+1408,"")</f>
      </c>
    </row>
    <row r="1410">
      <c r="BD1410" s="2">
        <f>IF(AND($C$130&lt;&gt;"",资金流水!$J$1414=$C$130,ISNUMBER(资金流水!$B$1414),ISNUMBER(资金流水!$S$1414),资金流水!$S$1414&gt;=_辅助!$J$4,资金流水!$S$1414&lt;=_辅助!$J$2,OR(资金流水!$X$1414="应付材料款",资金流水!$X$1414="应付分包款",资金流水!$X$1414="应付机械运输费",资金流水!$X$1414="应付其他款")),INT(资金流水!$B$1414)*10000+1409,"")</f>
      </c>
    </row>
    <row r="1411">
      <c r="BD1411" s="2">
        <f>IF(AND($C$130&lt;&gt;"",资金流水!$J$1415=$C$130,ISNUMBER(资金流水!$B$1415),ISNUMBER(资金流水!$S$1415),资金流水!$S$1415&gt;=_辅助!$J$4,资金流水!$S$1415&lt;=_辅助!$J$2,OR(资金流水!$X$1415="应付材料款",资金流水!$X$1415="应付分包款",资金流水!$X$1415="应付机械运输费",资金流水!$X$1415="应付其他款")),INT(资金流水!$B$1415)*10000+1410,"")</f>
      </c>
    </row>
    <row r="1412">
      <c r="BD1412" s="2">
        <f>IF(AND($C$130&lt;&gt;"",资金流水!$J$1416=$C$130,ISNUMBER(资金流水!$B$1416),ISNUMBER(资金流水!$S$1416),资金流水!$S$1416&gt;=_辅助!$J$4,资金流水!$S$1416&lt;=_辅助!$J$2,OR(资金流水!$X$1416="应付材料款",资金流水!$X$1416="应付分包款",资金流水!$X$1416="应付机械运输费",资金流水!$X$1416="应付其他款")),INT(资金流水!$B$1416)*10000+1411,"")</f>
      </c>
    </row>
    <row r="1413">
      <c r="BD1413" s="2">
        <f>IF(AND($C$130&lt;&gt;"",资金流水!$J$1417=$C$130,ISNUMBER(资金流水!$B$1417),ISNUMBER(资金流水!$S$1417),资金流水!$S$1417&gt;=_辅助!$J$4,资金流水!$S$1417&lt;=_辅助!$J$2,OR(资金流水!$X$1417="应付材料款",资金流水!$X$1417="应付分包款",资金流水!$X$1417="应付机械运输费",资金流水!$X$1417="应付其他款")),INT(资金流水!$B$1417)*10000+1412,"")</f>
      </c>
    </row>
    <row r="1414">
      <c r="BD1414" s="2">
        <f>IF(AND($C$130&lt;&gt;"",资金流水!$J$1418=$C$130,ISNUMBER(资金流水!$B$1418),ISNUMBER(资金流水!$S$1418),资金流水!$S$1418&gt;=_辅助!$J$4,资金流水!$S$1418&lt;=_辅助!$J$2,OR(资金流水!$X$1418="应付材料款",资金流水!$X$1418="应付分包款",资金流水!$X$1418="应付机械运输费",资金流水!$X$1418="应付其他款")),INT(资金流水!$B$1418)*10000+1413,"")</f>
      </c>
    </row>
    <row r="1415">
      <c r="BD1415" s="2">
        <f>IF(AND($C$130&lt;&gt;"",资金流水!$J$1419=$C$130,ISNUMBER(资金流水!$B$1419),ISNUMBER(资金流水!$S$1419),资金流水!$S$1419&gt;=_辅助!$J$4,资金流水!$S$1419&lt;=_辅助!$J$2,OR(资金流水!$X$1419="应付材料款",资金流水!$X$1419="应付分包款",资金流水!$X$1419="应付机械运输费",资金流水!$X$1419="应付其他款")),INT(资金流水!$B$1419)*10000+1414,"")</f>
      </c>
    </row>
    <row r="1416">
      <c r="BD1416" s="2">
        <f>IF(AND($C$130&lt;&gt;"",资金流水!$J$1420=$C$130,ISNUMBER(资金流水!$B$1420),ISNUMBER(资金流水!$S$1420),资金流水!$S$1420&gt;=_辅助!$J$4,资金流水!$S$1420&lt;=_辅助!$J$2,OR(资金流水!$X$1420="应付材料款",资金流水!$X$1420="应付分包款",资金流水!$X$1420="应付机械运输费",资金流水!$X$1420="应付其他款")),INT(资金流水!$B$1420)*10000+1415,"")</f>
      </c>
    </row>
    <row r="1417">
      <c r="BD1417" s="2">
        <f>IF(AND($C$130&lt;&gt;"",资金流水!$J$1421=$C$130,ISNUMBER(资金流水!$B$1421),ISNUMBER(资金流水!$S$1421),资金流水!$S$1421&gt;=_辅助!$J$4,资金流水!$S$1421&lt;=_辅助!$J$2,OR(资金流水!$X$1421="应付材料款",资金流水!$X$1421="应付分包款",资金流水!$X$1421="应付机械运输费",资金流水!$X$1421="应付其他款")),INT(资金流水!$B$1421)*10000+1416,"")</f>
      </c>
    </row>
    <row r="1418">
      <c r="BD1418" s="2">
        <f>IF(AND($C$130&lt;&gt;"",资金流水!$J$1422=$C$130,ISNUMBER(资金流水!$B$1422),ISNUMBER(资金流水!$S$1422),资金流水!$S$1422&gt;=_辅助!$J$4,资金流水!$S$1422&lt;=_辅助!$J$2,OR(资金流水!$X$1422="应付材料款",资金流水!$X$1422="应付分包款",资金流水!$X$1422="应付机械运输费",资金流水!$X$1422="应付其他款")),INT(资金流水!$B$1422)*10000+1417,"")</f>
      </c>
    </row>
    <row r="1419">
      <c r="BD1419" s="2">
        <f>IF(AND($C$130&lt;&gt;"",资金流水!$J$1423=$C$130,ISNUMBER(资金流水!$B$1423),ISNUMBER(资金流水!$S$1423),资金流水!$S$1423&gt;=_辅助!$J$4,资金流水!$S$1423&lt;=_辅助!$J$2,OR(资金流水!$X$1423="应付材料款",资金流水!$X$1423="应付分包款",资金流水!$X$1423="应付机械运输费",资金流水!$X$1423="应付其他款")),INT(资金流水!$B$1423)*10000+1418,"")</f>
      </c>
    </row>
    <row r="1420">
      <c r="BD1420" s="2">
        <f>IF(AND($C$130&lt;&gt;"",资金流水!$J$1424=$C$130,ISNUMBER(资金流水!$B$1424),ISNUMBER(资金流水!$S$1424),资金流水!$S$1424&gt;=_辅助!$J$4,资金流水!$S$1424&lt;=_辅助!$J$2,OR(资金流水!$X$1424="应付材料款",资金流水!$X$1424="应付分包款",资金流水!$X$1424="应付机械运输费",资金流水!$X$1424="应付其他款")),INT(资金流水!$B$1424)*10000+1419,"")</f>
      </c>
    </row>
    <row r="1421">
      <c r="BD1421" s="2">
        <f>IF(AND($C$130&lt;&gt;"",资金流水!$J$1425=$C$130,ISNUMBER(资金流水!$B$1425),ISNUMBER(资金流水!$S$1425),资金流水!$S$1425&gt;=_辅助!$J$4,资金流水!$S$1425&lt;=_辅助!$J$2,OR(资金流水!$X$1425="应付材料款",资金流水!$X$1425="应付分包款",资金流水!$X$1425="应付机械运输费",资金流水!$X$1425="应付其他款")),INT(资金流水!$B$1425)*10000+1420,"")</f>
      </c>
    </row>
    <row r="1422">
      <c r="BD1422" s="2">
        <f>IF(AND($C$130&lt;&gt;"",资金流水!$J$1426=$C$130,ISNUMBER(资金流水!$B$1426),ISNUMBER(资金流水!$S$1426),资金流水!$S$1426&gt;=_辅助!$J$4,资金流水!$S$1426&lt;=_辅助!$J$2,OR(资金流水!$X$1426="应付材料款",资金流水!$X$1426="应付分包款",资金流水!$X$1426="应付机械运输费",资金流水!$X$1426="应付其他款")),INT(资金流水!$B$1426)*10000+1421,"")</f>
      </c>
    </row>
    <row r="1423">
      <c r="BD1423" s="2">
        <f>IF(AND($C$130&lt;&gt;"",资金流水!$J$1427=$C$130,ISNUMBER(资金流水!$B$1427),ISNUMBER(资金流水!$S$1427),资金流水!$S$1427&gt;=_辅助!$J$4,资金流水!$S$1427&lt;=_辅助!$J$2,OR(资金流水!$X$1427="应付材料款",资金流水!$X$1427="应付分包款",资金流水!$X$1427="应付机械运输费",资金流水!$X$1427="应付其他款")),INT(资金流水!$B$1427)*10000+1422,"")</f>
      </c>
    </row>
    <row r="1424">
      <c r="BD1424" s="2">
        <f>IF(AND($C$130&lt;&gt;"",资金流水!$J$1428=$C$130,ISNUMBER(资金流水!$B$1428),ISNUMBER(资金流水!$S$1428),资金流水!$S$1428&gt;=_辅助!$J$4,资金流水!$S$1428&lt;=_辅助!$J$2,OR(资金流水!$X$1428="应付材料款",资金流水!$X$1428="应付分包款",资金流水!$X$1428="应付机械运输费",资金流水!$X$1428="应付其他款")),INT(资金流水!$B$1428)*10000+1423,"")</f>
      </c>
    </row>
    <row r="1425">
      <c r="BD1425" s="2">
        <f>IF(AND($C$130&lt;&gt;"",资金流水!$J$1429=$C$130,ISNUMBER(资金流水!$B$1429),ISNUMBER(资金流水!$S$1429),资金流水!$S$1429&gt;=_辅助!$J$4,资金流水!$S$1429&lt;=_辅助!$J$2,OR(资金流水!$X$1429="应付材料款",资金流水!$X$1429="应付分包款",资金流水!$X$1429="应付机械运输费",资金流水!$X$1429="应付其他款")),INT(资金流水!$B$1429)*10000+1424,"")</f>
      </c>
    </row>
    <row r="1426">
      <c r="BD1426" s="2">
        <f>IF(AND($C$130&lt;&gt;"",资金流水!$J$1430=$C$130,ISNUMBER(资金流水!$B$1430),ISNUMBER(资金流水!$S$1430),资金流水!$S$1430&gt;=_辅助!$J$4,资金流水!$S$1430&lt;=_辅助!$J$2,OR(资金流水!$X$1430="应付材料款",资金流水!$X$1430="应付分包款",资金流水!$X$1430="应付机械运输费",资金流水!$X$1430="应付其他款")),INT(资金流水!$B$1430)*10000+1425,"")</f>
      </c>
    </row>
    <row r="1427">
      <c r="BD1427" s="2">
        <f>IF(AND($C$130&lt;&gt;"",资金流水!$J$1431=$C$130,ISNUMBER(资金流水!$B$1431),ISNUMBER(资金流水!$S$1431),资金流水!$S$1431&gt;=_辅助!$J$4,资金流水!$S$1431&lt;=_辅助!$J$2,OR(资金流水!$X$1431="应付材料款",资金流水!$X$1431="应付分包款",资金流水!$X$1431="应付机械运输费",资金流水!$X$1431="应付其他款")),INT(资金流水!$B$1431)*10000+1426,"")</f>
      </c>
    </row>
    <row r="1428">
      <c r="BD1428" s="2">
        <f>IF(AND($C$130&lt;&gt;"",资金流水!$J$1432=$C$130,ISNUMBER(资金流水!$B$1432),ISNUMBER(资金流水!$S$1432),资金流水!$S$1432&gt;=_辅助!$J$4,资金流水!$S$1432&lt;=_辅助!$J$2,OR(资金流水!$X$1432="应付材料款",资金流水!$X$1432="应付分包款",资金流水!$X$1432="应付机械运输费",资金流水!$X$1432="应付其他款")),INT(资金流水!$B$1432)*10000+1427,"")</f>
      </c>
    </row>
    <row r="1429">
      <c r="BD1429" s="2">
        <f>IF(AND($C$130&lt;&gt;"",资金流水!$J$1433=$C$130,ISNUMBER(资金流水!$B$1433),ISNUMBER(资金流水!$S$1433),资金流水!$S$1433&gt;=_辅助!$J$4,资金流水!$S$1433&lt;=_辅助!$J$2,OR(资金流水!$X$1433="应付材料款",资金流水!$X$1433="应付分包款",资金流水!$X$1433="应付机械运输费",资金流水!$X$1433="应付其他款")),INT(资金流水!$B$1433)*10000+1428,"")</f>
      </c>
    </row>
    <row r="1430">
      <c r="BD1430" s="2">
        <f>IF(AND($C$130&lt;&gt;"",资金流水!$J$1434=$C$130,ISNUMBER(资金流水!$B$1434),ISNUMBER(资金流水!$S$1434),资金流水!$S$1434&gt;=_辅助!$J$4,资金流水!$S$1434&lt;=_辅助!$J$2,OR(资金流水!$X$1434="应付材料款",资金流水!$X$1434="应付分包款",资金流水!$X$1434="应付机械运输费",资金流水!$X$1434="应付其他款")),INT(资金流水!$B$1434)*10000+1429,"")</f>
      </c>
    </row>
    <row r="1431">
      <c r="BD1431" s="2">
        <f>IF(AND($C$130&lt;&gt;"",资金流水!$J$1435=$C$130,ISNUMBER(资金流水!$B$1435),ISNUMBER(资金流水!$S$1435),资金流水!$S$1435&gt;=_辅助!$J$4,资金流水!$S$1435&lt;=_辅助!$J$2,OR(资金流水!$X$1435="应付材料款",资金流水!$X$1435="应付分包款",资金流水!$X$1435="应付机械运输费",资金流水!$X$1435="应付其他款")),INT(资金流水!$B$1435)*10000+1430,"")</f>
      </c>
    </row>
    <row r="1432">
      <c r="BD1432" s="2">
        <f>IF(AND($C$130&lt;&gt;"",资金流水!$J$1436=$C$130,ISNUMBER(资金流水!$B$1436),ISNUMBER(资金流水!$S$1436),资金流水!$S$1436&gt;=_辅助!$J$4,资金流水!$S$1436&lt;=_辅助!$J$2,OR(资金流水!$X$1436="应付材料款",资金流水!$X$1436="应付分包款",资金流水!$X$1436="应付机械运输费",资金流水!$X$1436="应付其他款")),INT(资金流水!$B$1436)*10000+1431,"")</f>
      </c>
    </row>
    <row r="1433">
      <c r="BD1433" s="2">
        <f>IF(AND($C$130&lt;&gt;"",资金流水!$J$1437=$C$130,ISNUMBER(资金流水!$B$1437),ISNUMBER(资金流水!$S$1437),资金流水!$S$1437&gt;=_辅助!$J$4,资金流水!$S$1437&lt;=_辅助!$J$2,OR(资金流水!$X$1437="应付材料款",资金流水!$X$1437="应付分包款",资金流水!$X$1437="应付机械运输费",资金流水!$X$1437="应付其他款")),INT(资金流水!$B$1437)*10000+1432,"")</f>
      </c>
    </row>
    <row r="1434">
      <c r="BD1434" s="2">
        <f>IF(AND($C$130&lt;&gt;"",资金流水!$J$1438=$C$130,ISNUMBER(资金流水!$B$1438),ISNUMBER(资金流水!$S$1438),资金流水!$S$1438&gt;=_辅助!$J$4,资金流水!$S$1438&lt;=_辅助!$J$2,OR(资金流水!$X$1438="应付材料款",资金流水!$X$1438="应付分包款",资金流水!$X$1438="应付机械运输费",资金流水!$X$1438="应付其他款")),INT(资金流水!$B$1438)*10000+1433,"")</f>
      </c>
    </row>
    <row r="1435">
      <c r="BD1435" s="2">
        <f>IF(AND($C$130&lt;&gt;"",资金流水!$J$1439=$C$130,ISNUMBER(资金流水!$B$1439),ISNUMBER(资金流水!$S$1439),资金流水!$S$1439&gt;=_辅助!$J$4,资金流水!$S$1439&lt;=_辅助!$J$2,OR(资金流水!$X$1439="应付材料款",资金流水!$X$1439="应付分包款",资金流水!$X$1439="应付机械运输费",资金流水!$X$1439="应付其他款")),INT(资金流水!$B$1439)*10000+1434,"")</f>
      </c>
    </row>
    <row r="1436">
      <c r="BD1436" s="2">
        <f>IF(AND($C$130&lt;&gt;"",资金流水!$J$1440=$C$130,ISNUMBER(资金流水!$B$1440),ISNUMBER(资金流水!$S$1440),资金流水!$S$1440&gt;=_辅助!$J$4,资金流水!$S$1440&lt;=_辅助!$J$2,OR(资金流水!$X$1440="应付材料款",资金流水!$X$1440="应付分包款",资金流水!$X$1440="应付机械运输费",资金流水!$X$1440="应付其他款")),INT(资金流水!$B$1440)*10000+1435,"")</f>
      </c>
    </row>
    <row r="1437">
      <c r="BD1437" s="2">
        <f>IF(AND($C$130&lt;&gt;"",资金流水!$J$1441=$C$130,ISNUMBER(资金流水!$B$1441),ISNUMBER(资金流水!$S$1441),资金流水!$S$1441&gt;=_辅助!$J$4,资金流水!$S$1441&lt;=_辅助!$J$2,OR(资金流水!$X$1441="应付材料款",资金流水!$X$1441="应付分包款",资金流水!$X$1441="应付机械运输费",资金流水!$X$1441="应付其他款")),INT(资金流水!$B$1441)*10000+1436,"")</f>
      </c>
    </row>
    <row r="1438">
      <c r="BD1438" s="2">
        <f>IF(AND($C$130&lt;&gt;"",资金流水!$J$1442=$C$130,ISNUMBER(资金流水!$B$1442),ISNUMBER(资金流水!$S$1442),资金流水!$S$1442&gt;=_辅助!$J$4,资金流水!$S$1442&lt;=_辅助!$J$2,OR(资金流水!$X$1442="应付材料款",资金流水!$X$1442="应付分包款",资金流水!$X$1442="应付机械运输费",资金流水!$X$1442="应付其他款")),INT(资金流水!$B$1442)*10000+1437,"")</f>
      </c>
    </row>
    <row r="1439">
      <c r="BD1439" s="2">
        <f>IF(AND($C$130&lt;&gt;"",资金流水!$J$1443=$C$130,ISNUMBER(资金流水!$B$1443),ISNUMBER(资金流水!$S$1443),资金流水!$S$1443&gt;=_辅助!$J$4,资金流水!$S$1443&lt;=_辅助!$J$2,OR(资金流水!$X$1443="应付材料款",资金流水!$X$1443="应付分包款",资金流水!$X$1443="应付机械运输费",资金流水!$X$1443="应付其他款")),INT(资金流水!$B$1443)*10000+1438,"")</f>
      </c>
    </row>
    <row r="1440">
      <c r="BD1440" s="2">
        <f>IF(AND($C$130&lt;&gt;"",资金流水!$J$1444=$C$130,ISNUMBER(资金流水!$B$1444),ISNUMBER(资金流水!$S$1444),资金流水!$S$1444&gt;=_辅助!$J$4,资金流水!$S$1444&lt;=_辅助!$J$2,OR(资金流水!$X$1444="应付材料款",资金流水!$X$1444="应付分包款",资金流水!$X$1444="应付机械运输费",资金流水!$X$1444="应付其他款")),INT(资金流水!$B$1444)*10000+1439,"")</f>
      </c>
    </row>
    <row r="1441">
      <c r="BD1441" s="2">
        <f>IF(AND($C$130&lt;&gt;"",资金流水!$J$1445=$C$130,ISNUMBER(资金流水!$B$1445),ISNUMBER(资金流水!$S$1445),资金流水!$S$1445&gt;=_辅助!$J$4,资金流水!$S$1445&lt;=_辅助!$J$2,OR(资金流水!$X$1445="应付材料款",资金流水!$X$1445="应付分包款",资金流水!$X$1445="应付机械运输费",资金流水!$X$1445="应付其他款")),INT(资金流水!$B$1445)*10000+1440,"")</f>
      </c>
    </row>
    <row r="1442">
      <c r="BD1442" s="2">
        <f>IF(AND($C$130&lt;&gt;"",资金流水!$J$1446=$C$130,ISNUMBER(资金流水!$B$1446),ISNUMBER(资金流水!$S$1446),资金流水!$S$1446&gt;=_辅助!$J$4,资金流水!$S$1446&lt;=_辅助!$J$2,OR(资金流水!$X$1446="应付材料款",资金流水!$X$1446="应付分包款",资金流水!$X$1446="应付机械运输费",资金流水!$X$1446="应付其他款")),INT(资金流水!$B$1446)*10000+1441,"")</f>
      </c>
    </row>
    <row r="1443">
      <c r="BD1443" s="2">
        <f>IF(AND($C$130&lt;&gt;"",资金流水!$J$1447=$C$130,ISNUMBER(资金流水!$B$1447),ISNUMBER(资金流水!$S$1447),资金流水!$S$1447&gt;=_辅助!$J$4,资金流水!$S$1447&lt;=_辅助!$J$2,OR(资金流水!$X$1447="应付材料款",资金流水!$X$1447="应付分包款",资金流水!$X$1447="应付机械运输费",资金流水!$X$1447="应付其他款")),INT(资金流水!$B$1447)*10000+1442,"")</f>
      </c>
    </row>
    <row r="1444">
      <c r="BD1444" s="2">
        <f>IF(AND($C$130&lt;&gt;"",资金流水!$J$1448=$C$130,ISNUMBER(资金流水!$B$1448),ISNUMBER(资金流水!$S$1448),资金流水!$S$1448&gt;=_辅助!$J$4,资金流水!$S$1448&lt;=_辅助!$J$2,OR(资金流水!$X$1448="应付材料款",资金流水!$X$1448="应付分包款",资金流水!$X$1448="应付机械运输费",资金流水!$X$1448="应付其他款")),INT(资金流水!$B$1448)*10000+1443,"")</f>
      </c>
    </row>
    <row r="1445">
      <c r="BD1445" s="2">
        <f>IF(AND($C$130&lt;&gt;"",资金流水!$J$1449=$C$130,ISNUMBER(资金流水!$B$1449),ISNUMBER(资金流水!$S$1449),资金流水!$S$1449&gt;=_辅助!$J$4,资金流水!$S$1449&lt;=_辅助!$J$2,OR(资金流水!$X$1449="应付材料款",资金流水!$X$1449="应付分包款",资金流水!$X$1449="应付机械运输费",资金流水!$X$1449="应付其他款")),INT(资金流水!$B$1449)*10000+1444,"")</f>
      </c>
    </row>
    <row r="1446">
      <c r="BD1446" s="2">
        <f>IF(AND($C$130&lt;&gt;"",资金流水!$J$1450=$C$130,ISNUMBER(资金流水!$B$1450),ISNUMBER(资金流水!$S$1450),资金流水!$S$1450&gt;=_辅助!$J$4,资金流水!$S$1450&lt;=_辅助!$J$2,OR(资金流水!$X$1450="应付材料款",资金流水!$X$1450="应付分包款",资金流水!$X$1450="应付机械运输费",资金流水!$X$1450="应付其他款")),INT(资金流水!$B$1450)*10000+1445,"")</f>
      </c>
    </row>
    <row r="1447">
      <c r="BD1447" s="2">
        <f>IF(AND($C$130&lt;&gt;"",资金流水!$J$1451=$C$130,ISNUMBER(资金流水!$B$1451),ISNUMBER(资金流水!$S$1451),资金流水!$S$1451&gt;=_辅助!$J$4,资金流水!$S$1451&lt;=_辅助!$J$2,OR(资金流水!$X$1451="应付材料款",资金流水!$X$1451="应付分包款",资金流水!$X$1451="应付机械运输费",资金流水!$X$1451="应付其他款")),INT(资金流水!$B$1451)*10000+1446,"")</f>
      </c>
    </row>
    <row r="1448">
      <c r="BD1448" s="2">
        <f>IF(AND($C$130&lt;&gt;"",资金流水!$J$1452=$C$130,ISNUMBER(资金流水!$B$1452),ISNUMBER(资金流水!$S$1452),资金流水!$S$1452&gt;=_辅助!$J$4,资金流水!$S$1452&lt;=_辅助!$J$2,OR(资金流水!$X$1452="应付材料款",资金流水!$X$1452="应付分包款",资金流水!$X$1452="应付机械运输费",资金流水!$X$1452="应付其他款")),INT(资金流水!$B$1452)*10000+1447,"")</f>
      </c>
    </row>
    <row r="1449">
      <c r="BD1449" s="2">
        <f>IF(AND($C$130&lt;&gt;"",资金流水!$J$1453=$C$130,ISNUMBER(资金流水!$B$1453),ISNUMBER(资金流水!$S$1453),资金流水!$S$1453&gt;=_辅助!$J$4,资金流水!$S$1453&lt;=_辅助!$J$2,OR(资金流水!$X$1453="应付材料款",资金流水!$X$1453="应付分包款",资金流水!$X$1453="应付机械运输费",资金流水!$X$1453="应付其他款")),INT(资金流水!$B$1453)*10000+1448,"")</f>
      </c>
    </row>
    <row r="1450">
      <c r="BD1450" s="2">
        <f>IF(AND($C$130&lt;&gt;"",资金流水!$J$1454=$C$130,ISNUMBER(资金流水!$B$1454),ISNUMBER(资金流水!$S$1454),资金流水!$S$1454&gt;=_辅助!$J$4,资金流水!$S$1454&lt;=_辅助!$J$2,OR(资金流水!$X$1454="应付材料款",资金流水!$X$1454="应付分包款",资金流水!$X$1454="应付机械运输费",资金流水!$X$1454="应付其他款")),INT(资金流水!$B$1454)*10000+1449,"")</f>
      </c>
    </row>
    <row r="1451">
      <c r="BD1451" s="2">
        <f>IF(AND($C$130&lt;&gt;"",资金流水!$J$1455=$C$130,ISNUMBER(资金流水!$B$1455),ISNUMBER(资金流水!$S$1455),资金流水!$S$1455&gt;=_辅助!$J$4,资金流水!$S$1455&lt;=_辅助!$J$2,OR(资金流水!$X$1455="应付材料款",资金流水!$X$1455="应付分包款",资金流水!$X$1455="应付机械运输费",资金流水!$X$1455="应付其他款")),INT(资金流水!$B$1455)*10000+1450,"")</f>
      </c>
    </row>
    <row r="1452">
      <c r="BD1452" s="2">
        <f>IF(AND($C$130&lt;&gt;"",资金流水!$J$1456=$C$130,ISNUMBER(资金流水!$B$1456),ISNUMBER(资金流水!$S$1456),资金流水!$S$1456&gt;=_辅助!$J$4,资金流水!$S$1456&lt;=_辅助!$J$2,OR(资金流水!$X$1456="应付材料款",资金流水!$X$1456="应付分包款",资金流水!$X$1456="应付机械运输费",资金流水!$X$1456="应付其他款")),INT(资金流水!$B$1456)*10000+1451,"")</f>
      </c>
    </row>
    <row r="1453">
      <c r="BD1453" s="2">
        <f>IF(AND($C$130&lt;&gt;"",资金流水!$J$1457=$C$130,ISNUMBER(资金流水!$B$1457),ISNUMBER(资金流水!$S$1457),资金流水!$S$1457&gt;=_辅助!$J$4,资金流水!$S$1457&lt;=_辅助!$J$2,OR(资金流水!$X$1457="应付材料款",资金流水!$X$1457="应付分包款",资金流水!$X$1457="应付机械运输费",资金流水!$X$1457="应付其他款")),INT(资金流水!$B$1457)*10000+1452,"")</f>
      </c>
    </row>
    <row r="1454">
      <c r="BD1454" s="2">
        <f>IF(AND($C$130&lt;&gt;"",资金流水!$J$1458=$C$130,ISNUMBER(资金流水!$B$1458),ISNUMBER(资金流水!$S$1458),资金流水!$S$1458&gt;=_辅助!$J$4,资金流水!$S$1458&lt;=_辅助!$J$2,OR(资金流水!$X$1458="应付材料款",资金流水!$X$1458="应付分包款",资金流水!$X$1458="应付机械运输费",资金流水!$X$1458="应付其他款")),INT(资金流水!$B$1458)*10000+1453,"")</f>
      </c>
    </row>
    <row r="1455">
      <c r="BD1455" s="2">
        <f>IF(AND($C$130&lt;&gt;"",资金流水!$J$1459=$C$130,ISNUMBER(资金流水!$B$1459),ISNUMBER(资金流水!$S$1459),资金流水!$S$1459&gt;=_辅助!$J$4,资金流水!$S$1459&lt;=_辅助!$J$2,OR(资金流水!$X$1459="应付材料款",资金流水!$X$1459="应付分包款",资金流水!$X$1459="应付机械运输费",资金流水!$X$1459="应付其他款")),INT(资金流水!$B$1459)*10000+1454,"")</f>
      </c>
    </row>
    <row r="1456">
      <c r="BD1456" s="2">
        <f>IF(AND($C$130&lt;&gt;"",资金流水!$J$1460=$C$130,ISNUMBER(资金流水!$B$1460),ISNUMBER(资金流水!$S$1460),资金流水!$S$1460&gt;=_辅助!$J$4,资金流水!$S$1460&lt;=_辅助!$J$2,OR(资金流水!$X$1460="应付材料款",资金流水!$X$1460="应付分包款",资金流水!$X$1460="应付机械运输费",资金流水!$X$1460="应付其他款")),INT(资金流水!$B$1460)*10000+1455,"")</f>
      </c>
    </row>
    <row r="1457">
      <c r="BD1457" s="2">
        <f>IF(AND($C$130&lt;&gt;"",资金流水!$J$1461=$C$130,ISNUMBER(资金流水!$B$1461),ISNUMBER(资金流水!$S$1461),资金流水!$S$1461&gt;=_辅助!$J$4,资金流水!$S$1461&lt;=_辅助!$J$2,OR(资金流水!$X$1461="应付材料款",资金流水!$X$1461="应付分包款",资金流水!$X$1461="应付机械运输费",资金流水!$X$1461="应付其他款")),INT(资金流水!$B$1461)*10000+1456,"")</f>
      </c>
    </row>
    <row r="1458">
      <c r="BD1458" s="2">
        <f>IF(AND($C$130&lt;&gt;"",资金流水!$J$1462=$C$130,ISNUMBER(资金流水!$B$1462),ISNUMBER(资金流水!$S$1462),资金流水!$S$1462&gt;=_辅助!$J$4,资金流水!$S$1462&lt;=_辅助!$J$2,OR(资金流水!$X$1462="应付材料款",资金流水!$X$1462="应付分包款",资金流水!$X$1462="应付机械运输费",资金流水!$X$1462="应付其他款")),INT(资金流水!$B$1462)*10000+1457,"")</f>
      </c>
    </row>
    <row r="1459">
      <c r="BD1459" s="2">
        <f>IF(AND($C$130&lt;&gt;"",资金流水!$J$1463=$C$130,ISNUMBER(资金流水!$B$1463),ISNUMBER(资金流水!$S$1463),资金流水!$S$1463&gt;=_辅助!$J$4,资金流水!$S$1463&lt;=_辅助!$J$2,OR(资金流水!$X$1463="应付材料款",资金流水!$X$1463="应付分包款",资金流水!$X$1463="应付机械运输费",资金流水!$X$1463="应付其他款")),INT(资金流水!$B$1463)*10000+1458,"")</f>
      </c>
    </row>
    <row r="1460">
      <c r="BD1460" s="2">
        <f>IF(AND($C$130&lt;&gt;"",资金流水!$J$1464=$C$130,ISNUMBER(资金流水!$B$1464),ISNUMBER(资金流水!$S$1464),资金流水!$S$1464&gt;=_辅助!$J$4,资金流水!$S$1464&lt;=_辅助!$J$2,OR(资金流水!$X$1464="应付材料款",资金流水!$X$1464="应付分包款",资金流水!$X$1464="应付机械运输费",资金流水!$X$1464="应付其他款")),INT(资金流水!$B$1464)*10000+1459,"")</f>
      </c>
    </row>
    <row r="1461">
      <c r="BD1461" s="2">
        <f>IF(AND($C$130&lt;&gt;"",资金流水!$J$1465=$C$130,ISNUMBER(资金流水!$B$1465),ISNUMBER(资金流水!$S$1465),资金流水!$S$1465&gt;=_辅助!$J$4,资金流水!$S$1465&lt;=_辅助!$J$2,OR(资金流水!$X$1465="应付材料款",资金流水!$X$1465="应付分包款",资金流水!$X$1465="应付机械运输费",资金流水!$X$1465="应付其他款")),INT(资金流水!$B$1465)*10000+1460,"")</f>
      </c>
    </row>
    <row r="1462">
      <c r="BD1462" s="2">
        <f>IF(AND($C$130&lt;&gt;"",资金流水!$J$1466=$C$130,ISNUMBER(资金流水!$B$1466),ISNUMBER(资金流水!$S$1466),资金流水!$S$1466&gt;=_辅助!$J$4,资金流水!$S$1466&lt;=_辅助!$J$2,OR(资金流水!$X$1466="应付材料款",资金流水!$X$1466="应付分包款",资金流水!$X$1466="应付机械运输费",资金流水!$X$1466="应付其他款")),INT(资金流水!$B$1466)*10000+1461,"")</f>
      </c>
    </row>
    <row r="1463">
      <c r="BD1463" s="2">
        <f>IF(AND($C$130&lt;&gt;"",资金流水!$J$1467=$C$130,ISNUMBER(资金流水!$B$1467),ISNUMBER(资金流水!$S$1467),资金流水!$S$1467&gt;=_辅助!$J$4,资金流水!$S$1467&lt;=_辅助!$J$2,OR(资金流水!$X$1467="应付材料款",资金流水!$X$1467="应付分包款",资金流水!$X$1467="应付机械运输费",资金流水!$X$1467="应付其他款")),INT(资金流水!$B$1467)*10000+1462,"")</f>
      </c>
    </row>
    <row r="1464">
      <c r="BD1464" s="2">
        <f>IF(AND($C$130&lt;&gt;"",资金流水!$J$1468=$C$130,ISNUMBER(资金流水!$B$1468),ISNUMBER(资金流水!$S$1468),资金流水!$S$1468&gt;=_辅助!$J$4,资金流水!$S$1468&lt;=_辅助!$J$2,OR(资金流水!$X$1468="应付材料款",资金流水!$X$1468="应付分包款",资金流水!$X$1468="应付机械运输费",资金流水!$X$1468="应付其他款")),INT(资金流水!$B$1468)*10000+1463,"")</f>
      </c>
    </row>
    <row r="1465">
      <c r="BD1465" s="2">
        <f>IF(AND($C$130&lt;&gt;"",资金流水!$J$1469=$C$130,ISNUMBER(资金流水!$B$1469),ISNUMBER(资金流水!$S$1469),资金流水!$S$1469&gt;=_辅助!$J$4,资金流水!$S$1469&lt;=_辅助!$J$2,OR(资金流水!$X$1469="应付材料款",资金流水!$X$1469="应付分包款",资金流水!$X$1469="应付机械运输费",资金流水!$X$1469="应付其他款")),INT(资金流水!$B$1469)*10000+1464,"")</f>
      </c>
    </row>
    <row r="1466">
      <c r="BD1466" s="2">
        <f>IF(AND($C$130&lt;&gt;"",资金流水!$J$1470=$C$130,ISNUMBER(资金流水!$B$1470),ISNUMBER(资金流水!$S$1470),资金流水!$S$1470&gt;=_辅助!$J$4,资金流水!$S$1470&lt;=_辅助!$J$2,OR(资金流水!$X$1470="应付材料款",资金流水!$X$1470="应付分包款",资金流水!$X$1470="应付机械运输费",资金流水!$X$1470="应付其他款")),INT(资金流水!$B$1470)*10000+1465,"")</f>
      </c>
    </row>
    <row r="1467">
      <c r="BD1467" s="2">
        <f>IF(AND($C$130&lt;&gt;"",资金流水!$J$1471=$C$130,ISNUMBER(资金流水!$B$1471),ISNUMBER(资金流水!$S$1471),资金流水!$S$1471&gt;=_辅助!$J$4,资金流水!$S$1471&lt;=_辅助!$J$2,OR(资金流水!$X$1471="应付材料款",资金流水!$X$1471="应付分包款",资金流水!$X$1471="应付机械运输费",资金流水!$X$1471="应付其他款")),INT(资金流水!$B$1471)*10000+1466,"")</f>
      </c>
    </row>
    <row r="1468">
      <c r="BD1468" s="2">
        <f>IF(AND($C$130&lt;&gt;"",资金流水!$J$1472=$C$130,ISNUMBER(资金流水!$B$1472),ISNUMBER(资金流水!$S$1472),资金流水!$S$1472&gt;=_辅助!$J$4,资金流水!$S$1472&lt;=_辅助!$J$2,OR(资金流水!$X$1472="应付材料款",资金流水!$X$1472="应付分包款",资金流水!$X$1472="应付机械运输费",资金流水!$X$1472="应付其他款")),INT(资金流水!$B$1472)*10000+1467,"")</f>
      </c>
    </row>
    <row r="1469">
      <c r="BD1469" s="2">
        <f>IF(AND($C$130&lt;&gt;"",资金流水!$J$1473=$C$130,ISNUMBER(资金流水!$B$1473),ISNUMBER(资金流水!$S$1473),资金流水!$S$1473&gt;=_辅助!$J$4,资金流水!$S$1473&lt;=_辅助!$J$2,OR(资金流水!$X$1473="应付材料款",资金流水!$X$1473="应付分包款",资金流水!$X$1473="应付机械运输费",资金流水!$X$1473="应付其他款")),INT(资金流水!$B$1473)*10000+1468,"")</f>
      </c>
    </row>
    <row r="1470">
      <c r="BD1470" s="2">
        <f>IF(AND($C$130&lt;&gt;"",资金流水!$J$1474=$C$130,ISNUMBER(资金流水!$B$1474),ISNUMBER(资金流水!$S$1474),资金流水!$S$1474&gt;=_辅助!$J$4,资金流水!$S$1474&lt;=_辅助!$J$2,OR(资金流水!$X$1474="应付材料款",资金流水!$X$1474="应付分包款",资金流水!$X$1474="应付机械运输费",资金流水!$X$1474="应付其他款")),INT(资金流水!$B$1474)*10000+1469,"")</f>
      </c>
    </row>
    <row r="1471">
      <c r="BD1471" s="2">
        <f>IF(AND($C$130&lt;&gt;"",资金流水!$J$1475=$C$130,ISNUMBER(资金流水!$B$1475),ISNUMBER(资金流水!$S$1475),资金流水!$S$1475&gt;=_辅助!$J$4,资金流水!$S$1475&lt;=_辅助!$J$2,OR(资金流水!$X$1475="应付材料款",资金流水!$X$1475="应付分包款",资金流水!$X$1475="应付机械运输费",资金流水!$X$1475="应付其他款")),INT(资金流水!$B$1475)*10000+1470,"")</f>
      </c>
    </row>
    <row r="1472">
      <c r="BD1472" s="2">
        <f>IF(AND($C$130&lt;&gt;"",资金流水!$J$1476=$C$130,ISNUMBER(资金流水!$B$1476),ISNUMBER(资金流水!$S$1476),资金流水!$S$1476&gt;=_辅助!$J$4,资金流水!$S$1476&lt;=_辅助!$J$2,OR(资金流水!$X$1476="应付材料款",资金流水!$X$1476="应付分包款",资金流水!$X$1476="应付机械运输费",资金流水!$X$1476="应付其他款")),INT(资金流水!$B$1476)*10000+1471,"")</f>
      </c>
    </row>
    <row r="1473">
      <c r="BD1473" s="2">
        <f>IF(AND($C$130&lt;&gt;"",资金流水!$J$1477=$C$130,ISNUMBER(资金流水!$B$1477),ISNUMBER(资金流水!$S$1477),资金流水!$S$1477&gt;=_辅助!$J$4,资金流水!$S$1477&lt;=_辅助!$J$2,OR(资金流水!$X$1477="应付材料款",资金流水!$X$1477="应付分包款",资金流水!$X$1477="应付机械运输费",资金流水!$X$1477="应付其他款")),INT(资金流水!$B$1477)*10000+1472,"")</f>
      </c>
    </row>
    <row r="1474">
      <c r="BD1474" s="2">
        <f>IF(AND($C$130&lt;&gt;"",资金流水!$J$1478=$C$130,ISNUMBER(资金流水!$B$1478),ISNUMBER(资金流水!$S$1478),资金流水!$S$1478&gt;=_辅助!$J$4,资金流水!$S$1478&lt;=_辅助!$J$2,OR(资金流水!$X$1478="应付材料款",资金流水!$X$1478="应付分包款",资金流水!$X$1478="应付机械运输费",资金流水!$X$1478="应付其他款")),INT(资金流水!$B$1478)*10000+1473,"")</f>
      </c>
    </row>
    <row r="1475">
      <c r="BD1475" s="2">
        <f>IF(AND($C$130&lt;&gt;"",资金流水!$J$1479=$C$130,ISNUMBER(资金流水!$B$1479),ISNUMBER(资金流水!$S$1479),资金流水!$S$1479&gt;=_辅助!$J$4,资金流水!$S$1479&lt;=_辅助!$J$2,OR(资金流水!$X$1479="应付材料款",资金流水!$X$1479="应付分包款",资金流水!$X$1479="应付机械运输费",资金流水!$X$1479="应付其他款")),INT(资金流水!$B$1479)*10000+1474,"")</f>
      </c>
    </row>
    <row r="1476">
      <c r="BD1476" s="2">
        <f>IF(AND($C$130&lt;&gt;"",资金流水!$J$1480=$C$130,ISNUMBER(资金流水!$B$1480),ISNUMBER(资金流水!$S$1480),资金流水!$S$1480&gt;=_辅助!$J$4,资金流水!$S$1480&lt;=_辅助!$J$2,OR(资金流水!$X$1480="应付材料款",资金流水!$X$1480="应付分包款",资金流水!$X$1480="应付机械运输费",资金流水!$X$1480="应付其他款")),INT(资金流水!$B$1480)*10000+1475,"")</f>
      </c>
    </row>
    <row r="1477">
      <c r="BD1477" s="2">
        <f>IF(AND($C$130&lt;&gt;"",资金流水!$J$1481=$C$130,ISNUMBER(资金流水!$B$1481),ISNUMBER(资金流水!$S$1481),资金流水!$S$1481&gt;=_辅助!$J$4,资金流水!$S$1481&lt;=_辅助!$J$2,OR(资金流水!$X$1481="应付材料款",资金流水!$X$1481="应付分包款",资金流水!$X$1481="应付机械运输费",资金流水!$X$1481="应付其他款")),INT(资金流水!$B$1481)*10000+1476,"")</f>
      </c>
    </row>
    <row r="1478">
      <c r="BD1478" s="2">
        <f>IF(AND($C$130&lt;&gt;"",资金流水!$J$1482=$C$130,ISNUMBER(资金流水!$B$1482),ISNUMBER(资金流水!$S$1482),资金流水!$S$1482&gt;=_辅助!$J$4,资金流水!$S$1482&lt;=_辅助!$J$2,OR(资金流水!$X$1482="应付材料款",资金流水!$X$1482="应付分包款",资金流水!$X$1482="应付机械运输费",资金流水!$X$1482="应付其他款")),INT(资金流水!$B$1482)*10000+1477,"")</f>
      </c>
    </row>
    <row r="1479">
      <c r="BD1479" s="2">
        <f>IF(AND($C$130&lt;&gt;"",资金流水!$J$1483=$C$130,ISNUMBER(资金流水!$B$1483),ISNUMBER(资金流水!$S$1483),资金流水!$S$1483&gt;=_辅助!$J$4,资金流水!$S$1483&lt;=_辅助!$J$2,OR(资金流水!$X$1483="应付材料款",资金流水!$X$1483="应付分包款",资金流水!$X$1483="应付机械运输费",资金流水!$X$1483="应付其他款")),INT(资金流水!$B$1483)*10000+1478,"")</f>
      </c>
    </row>
    <row r="1480">
      <c r="BD1480" s="2">
        <f>IF(AND($C$130&lt;&gt;"",资金流水!$J$1484=$C$130,ISNUMBER(资金流水!$B$1484),ISNUMBER(资金流水!$S$1484),资金流水!$S$1484&gt;=_辅助!$J$4,资金流水!$S$1484&lt;=_辅助!$J$2,OR(资金流水!$X$1484="应付材料款",资金流水!$X$1484="应付分包款",资金流水!$X$1484="应付机械运输费",资金流水!$X$1484="应付其他款")),INT(资金流水!$B$1484)*10000+1479,"")</f>
      </c>
    </row>
    <row r="1481">
      <c r="BD1481" s="2">
        <f>IF(AND($C$130&lt;&gt;"",资金流水!$J$1485=$C$130,ISNUMBER(资金流水!$B$1485),ISNUMBER(资金流水!$S$1485),资金流水!$S$1485&gt;=_辅助!$J$4,资金流水!$S$1485&lt;=_辅助!$J$2,OR(资金流水!$X$1485="应付材料款",资金流水!$X$1485="应付分包款",资金流水!$X$1485="应付机械运输费",资金流水!$X$1485="应付其他款")),INT(资金流水!$B$1485)*10000+1480,"")</f>
      </c>
    </row>
    <row r="1482">
      <c r="BD1482" s="2">
        <f>IF(AND($C$130&lt;&gt;"",资金流水!$J$1486=$C$130,ISNUMBER(资金流水!$B$1486),ISNUMBER(资金流水!$S$1486),资金流水!$S$1486&gt;=_辅助!$J$4,资金流水!$S$1486&lt;=_辅助!$J$2,OR(资金流水!$X$1486="应付材料款",资金流水!$X$1486="应付分包款",资金流水!$X$1486="应付机械运输费",资金流水!$X$1486="应付其他款")),INT(资金流水!$B$1486)*10000+1481,"")</f>
      </c>
    </row>
    <row r="1483">
      <c r="BD1483" s="2">
        <f>IF(AND($C$130&lt;&gt;"",资金流水!$J$1487=$C$130,ISNUMBER(资金流水!$B$1487),ISNUMBER(资金流水!$S$1487),资金流水!$S$1487&gt;=_辅助!$J$4,资金流水!$S$1487&lt;=_辅助!$J$2,OR(资金流水!$X$1487="应付材料款",资金流水!$X$1487="应付分包款",资金流水!$X$1487="应付机械运输费",资金流水!$X$1487="应付其他款")),INT(资金流水!$B$1487)*10000+1482,"")</f>
      </c>
    </row>
    <row r="1484">
      <c r="BD1484" s="2">
        <f>IF(AND($C$130&lt;&gt;"",资金流水!$J$1488=$C$130,ISNUMBER(资金流水!$B$1488),ISNUMBER(资金流水!$S$1488),资金流水!$S$1488&gt;=_辅助!$J$4,资金流水!$S$1488&lt;=_辅助!$J$2,OR(资金流水!$X$1488="应付材料款",资金流水!$X$1488="应付分包款",资金流水!$X$1488="应付机械运输费",资金流水!$X$1488="应付其他款")),INT(资金流水!$B$1488)*10000+1483,"")</f>
      </c>
    </row>
    <row r="1485">
      <c r="BD1485" s="2">
        <f>IF(AND($C$130&lt;&gt;"",资金流水!$J$1489=$C$130,ISNUMBER(资金流水!$B$1489),ISNUMBER(资金流水!$S$1489),资金流水!$S$1489&gt;=_辅助!$J$4,资金流水!$S$1489&lt;=_辅助!$J$2,OR(资金流水!$X$1489="应付材料款",资金流水!$X$1489="应付分包款",资金流水!$X$1489="应付机械运输费",资金流水!$X$1489="应付其他款")),INT(资金流水!$B$1489)*10000+1484,"")</f>
      </c>
    </row>
    <row r="1486">
      <c r="BD1486" s="2">
        <f>IF(AND($C$130&lt;&gt;"",资金流水!$J$1490=$C$130,ISNUMBER(资金流水!$B$1490),ISNUMBER(资金流水!$S$1490),资金流水!$S$1490&gt;=_辅助!$J$4,资金流水!$S$1490&lt;=_辅助!$J$2,OR(资金流水!$X$1490="应付材料款",资金流水!$X$1490="应付分包款",资金流水!$X$1490="应付机械运输费",资金流水!$X$1490="应付其他款")),INT(资金流水!$B$1490)*10000+1485,"")</f>
      </c>
    </row>
    <row r="1487">
      <c r="BD1487" s="2">
        <f>IF(AND($C$130&lt;&gt;"",资金流水!$J$1491=$C$130,ISNUMBER(资金流水!$B$1491),ISNUMBER(资金流水!$S$1491),资金流水!$S$1491&gt;=_辅助!$J$4,资金流水!$S$1491&lt;=_辅助!$J$2,OR(资金流水!$X$1491="应付材料款",资金流水!$X$1491="应付分包款",资金流水!$X$1491="应付机械运输费",资金流水!$X$1491="应付其他款")),INT(资金流水!$B$1491)*10000+1486,"")</f>
      </c>
    </row>
    <row r="1488">
      <c r="BD1488" s="2">
        <f>IF(AND($C$130&lt;&gt;"",资金流水!$J$1492=$C$130,ISNUMBER(资金流水!$B$1492),ISNUMBER(资金流水!$S$1492),资金流水!$S$1492&gt;=_辅助!$J$4,资金流水!$S$1492&lt;=_辅助!$J$2,OR(资金流水!$X$1492="应付材料款",资金流水!$X$1492="应付分包款",资金流水!$X$1492="应付机械运输费",资金流水!$X$1492="应付其他款")),INT(资金流水!$B$1492)*10000+1487,"")</f>
      </c>
    </row>
    <row r="1489">
      <c r="BD1489" s="2">
        <f>IF(AND($C$130&lt;&gt;"",资金流水!$J$1493=$C$130,ISNUMBER(资金流水!$B$1493),ISNUMBER(资金流水!$S$1493),资金流水!$S$1493&gt;=_辅助!$J$4,资金流水!$S$1493&lt;=_辅助!$J$2,OR(资金流水!$X$1493="应付材料款",资金流水!$X$1493="应付分包款",资金流水!$X$1493="应付机械运输费",资金流水!$X$1493="应付其他款")),INT(资金流水!$B$1493)*10000+1488,"")</f>
      </c>
    </row>
    <row r="1490">
      <c r="BD1490" s="2">
        <f>IF(AND($C$130&lt;&gt;"",资金流水!$J$1494=$C$130,ISNUMBER(资金流水!$B$1494),ISNUMBER(资金流水!$S$1494),资金流水!$S$1494&gt;=_辅助!$J$4,资金流水!$S$1494&lt;=_辅助!$J$2,OR(资金流水!$X$1494="应付材料款",资金流水!$X$1494="应付分包款",资金流水!$X$1494="应付机械运输费",资金流水!$X$1494="应付其他款")),INT(资金流水!$B$1494)*10000+1489,"")</f>
      </c>
    </row>
    <row r="1491">
      <c r="BD1491" s="2">
        <f>IF(AND($C$130&lt;&gt;"",资金流水!$J$1495=$C$130,ISNUMBER(资金流水!$B$1495),ISNUMBER(资金流水!$S$1495),资金流水!$S$1495&gt;=_辅助!$J$4,资金流水!$S$1495&lt;=_辅助!$J$2,OR(资金流水!$X$1495="应付材料款",资金流水!$X$1495="应付分包款",资金流水!$X$1495="应付机械运输费",资金流水!$X$1495="应付其他款")),INT(资金流水!$B$1495)*10000+1490,"")</f>
      </c>
    </row>
    <row r="1492">
      <c r="BD1492" s="2">
        <f>IF(AND($C$130&lt;&gt;"",资金流水!$J$1496=$C$130,ISNUMBER(资金流水!$B$1496),ISNUMBER(资金流水!$S$1496),资金流水!$S$1496&gt;=_辅助!$J$4,资金流水!$S$1496&lt;=_辅助!$J$2,OR(资金流水!$X$1496="应付材料款",资金流水!$X$1496="应付分包款",资金流水!$X$1496="应付机械运输费",资金流水!$X$1496="应付其他款")),INT(资金流水!$B$1496)*10000+1491,"")</f>
      </c>
    </row>
    <row r="1493">
      <c r="BD1493" s="2">
        <f>IF(AND($C$130&lt;&gt;"",资金流水!$J$1497=$C$130,ISNUMBER(资金流水!$B$1497),ISNUMBER(资金流水!$S$1497),资金流水!$S$1497&gt;=_辅助!$J$4,资金流水!$S$1497&lt;=_辅助!$J$2,OR(资金流水!$X$1497="应付材料款",资金流水!$X$1497="应付分包款",资金流水!$X$1497="应付机械运输费",资金流水!$X$1497="应付其他款")),INT(资金流水!$B$1497)*10000+1492,"")</f>
      </c>
    </row>
    <row r="1494">
      <c r="BD1494" s="2">
        <f>IF(AND($C$130&lt;&gt;"",资金流水!$J$1498=$C$130,ISNUMBER(资金流水!$B$1498),ISNUMBER(资金流水!$S$1498),资金流水!$S$1498&gt;=_辅助!$J$4,资金流水!$S$1498&lt;=_辅助!$J$2,OR(资金流水!$X$1498="应付材料款",资金流水!$X$1498="应付分包款",资金流水!$X$1498="应付机械运输费",资金流水!$X$1498="应付其他款")),INT(资金流水!$B$1498)*10000+1493,"")</f>
      </c>
    </row>
    <row r="1495">
      <c r="BD1495" s="2">
        <f>IF(AND($C$130&lt;&gt;"",资金流水!$J$1499=$C$130,ISNUMBER(资金流水!$B$1499),ISNUMBER(资金流水!$S$1499),资金流水!$S$1499&gt;=_辅助!$J$4,资金流水!$S$1499&lt;=_辅助!$J$2,OR(资金流水!$X$1499="应付材料款",资金流水!$X$1499="应付分包款",资金流水!$X$1499="应付机械运输费",资金流水!$X$1499="应付其他款")),INT(资金流水!$B$1499)*10000+1494,"")</f>
      </c>
    </row>
    <row r="1496">
      <c r="BD1496" s="2">
        <f>IF(AND($C$130&lt;&gt;"",资金流水!$J$1500=$C$130,ISNUMBER(资金流水!$B$1500),ISNUMBER(资金流水!$S$1500),资金流水!$S$1500&gt;=_辅助!$J$4,资金流水!$S$1500&lt;=_辅助!$J$2,OR(资金流水!$X$1500="应付材料款",资金流水!$X$1500="应付分包款",资金流水!$X$1500="应付机械运输费",资金流水!$X$1500="应付其他款")),INT(资金流水!$B$1500)*10000+1495,"")</f>
      </c>
    </row>
    <row r="1497">
      <c r="BD1497" s="2">
        <f>IF(AND($C$130&lt;&gt;"",资金流水!$J$1501=$C$130,ISNUMBER(资金流水!$B$1501),ISNUMBER(资金流水!$S$1501),资金流水!$S$1501&gt;=_辅助!$J$4,资金流水!$S$1501&lt;=_辅助!$J$2,OR(资金流水!$X$1501="应付材料款",资金流水!$X$1501="应付分包款",资金流水!$X$1501="应付机械运输费",资金流水!$X$1501="应付其他款")),INT(资金流水!$B$1501)*10000+1496,"")</f>
      </c>
    </row>
    <row r="1498">
      <c r="BD1498" s="2">
        <f>IF(AND($C$130&lt;&gt;"",资金流水!$J$1502=$C$130,ISNUMBER(资金流水!$B$1502),ISNUMBER(资金流水!$S$1502),资金流水!$S$1502&gt;=_辅助!$J$4,资金流水!$S$1502&lt;=_辅助!$J$2,OR(资金流水!$X$1502="应付材料款",资金流水!$X$1502="应付分包款",资金流水!$X$1502="应付机械运输费",资金流水!$X$1502="应付其他款")),INT(资金流水!$B$1502)*10000+1497,"")</f>
      </c>
    </row>
    <row r="1499">
      <c r="BD1499" s="2">
        <f>IF(AND($C$130&lt;&gt;"",资金流水!$J$1503=$C$130,ISNUMBER(资金流水!$B$1503),ISNUMBER(资金流水!$S$1503),资金流水!$S$1503&gt;=_辅助!$J$4,资金流水!$S$1503&lt;=_辅助!$J$2,OR(资金流水!$X$1503="应付材料款",资金流水!$X$1503="应付分包款",资金流水!$X$1503="应付机械运输费",资金流水!$X$1503="应付其他款")),INT(资金流水!$B$1503)*10000+1498,"")</f>
      </c>
    </row>
    <row r="1500">
      <c r="BD1500" s="2">
        <f>IF(AND($C$130&lt;&gt;"",资金流水!$J$1504=$C$130,ISNUMBER(资金流水!$B$1504),ISNUMBER(资金流水!$S$1504),资金流水!$S$1504&gt;=_辅助!$J$4,资金流水!$S$1504&lt;=_辅助!$J$2,OR(资金流水!$X$1504="应付材料款",资金流水!$X$1504="应付分包款",资金流水!$X$1504="应付机械运输费",资金流水!$X$1504="应付其他款")),INT(资金流水!$B$1504)*10000+1499,"")</f>
      </c>
    </row>
    <row r="1501">
      <c r="BD1501" s="2">
        <f>IF(AND($C$130&lt;&gt;"",资金流水!$J$1505=$C$130,ISNUMBER(资金流水!$B$1505),ISNUMBER(资金流水!$S$1505),资金流水!$S$1505&gt;=_辅助!$J$4,资金流水!$S$1505&lt;=_辅助!$J$2,OR(资金流水!$X$1505="应付材料款",资金流水!$X$1505="应付分包款",资金流水!$X$1505="应付机械运输费",资金流水!$X$1505="应付其他款")),INT(资金流水!$B$1505)*10000+1500,"")</f>
      </c>
    </row>
    <row r="1502">
      <c r="BD1502" s="2">
        <f>IF(AND($C$130&lt;&gt;"",资金流水!$J$1506=$C$130,ISNUMBER(资金流水!$B$1506),ISNUMBER(资金流水!$S$1506),资金流水!$S$1506&gt;=_辅助!$J$4,资金流水!$S$1506&lt;=_辅助!$J$2,OR(资金流水!$X$1506="应付材料款",资金流水!$X$1506="应付分包款",资金流水!$X$1506="应付机械运输费",资金流水!$X$1506="应付其他款")),INT(资金流水!$B$1506)*10000+1501,"")</f>
      </c>
    </row>
    <row r="1503">
      <c r="BD1503" s="2">
        <f>IF(AND($C$130&lt;&gt;"",资金流水!$J$1507=$C$130,ISNUMBER(资金流水!$B$1507),ISNUMBER(资金流水!$S$1507),资金流水!$S$1507&gt;=_辅助!$J$4,资金流水!$S$1507&lt;=_辅助!$J$2,OR(资金流水!$X$1507="应付材料款",资金流水!$X$1507="应付分包款",资金流水!$X$1507="应付机械运输费",资金流水!$X$1507="应付其他款")),INT(资金流水!$B$1507)*10000+1502,"")</f>
      </c>
    </row>
    <row r="1504">
      <c r="BD1504" s="2">
        <f>IF(AND($C$130&lt;&gt;"",资金流水!$J$1508=$C$130,ISNUMBER(资金流水!$B$1508),ISNUMBER(资金流水!$S$1508),资金流水!$S$1508&gt;=_辅助!$J$4,资金流水!$S$1508&lt;=_辅助!$J$2,OR(资金流水!$X$1508="应付材料款",资金流水!$X$1508="应付分包款",资金流水!$X$1508="应付机械运输费",资金流水!$X$1508="应付其他款")),INT(资金流水!$B$1508)*10000+1503,"")</f>
      </c>
    </row>
    <row r="1505">
      <c r="BD1505" s="2">
        <f>IF(AND($C$130&lt;&gt;"",资金流水!$J$1509=$C$130,ISNUMBER(资金流水!$B$1509),ISNUMBER(资金流水!$S$1509),资金流水!$S$1509&gt;=_辅助!$J$4,资金流水!$S$1509&lt;=_辅助!$J$2,OR(资金流水!$X$1509="应付材料款",资金流水!$X$1509="应付分包款",资金流水!$X$1509="应付机械运输费",资金流水!$X$1509="应付其他款")),INT(资金流水!$B$1509)*10000+1504,"")</f>
      </c>
    </row>
    <row r="1506">
      <c r="BD1506" s="2">
        <f>IF(AND($C$130&lt;&gt;"",资金流水!$J$1510=$C$130,ISNUMBER(资金流水!$B$1510),ISNUMBER(资金流水!$S$1510),资金流水!$S$1510&gt;=_辅助!$J$4,资金流水!$S$1510&lt;=_辅助!$J$2,OR(资金流水!$X$1510="应付材料款",资金流水!$X$1510="应付分包款",资金流水!$X$1510="应付机械运输费",资金流水!$X$1510="应付其他款")),INT(资金流水!$B$1510)*10000+1505,"")</f>
      </c>
    </row>
    <row r="1507">
      <c r="BD1507" s="2">
        <f>IF(AND($C$130&lt;&gt;"",资金流水!$J$1511=$C$130,ISNUMBER(资金流水!$B$1511),ISNUMBER(资金流水!$S$1511),资金流水!$S$1511&gt;=_辅助!$J$4,资金流水!$S$1511&lt;=_辅助!$J$2,OR(资金流水!$X$1511="应付材料款",资金流水!$X$1511="应付分包款",资金流水!$X$1511="应付机械运输费",资金流水!$X$1511="应付其他款")),INT(资金流水!$B$1511)*10000+1506,"")</f>
      </c>
    </row>
    <row r="1508">
      <c r="BD1508" s="2">
        <f>IF(AND($C$130&lt;&gt;"",资金流水!$J$1512=$C$130,ISNUMBER(资金流水!$B$1512),ISNUMBER(资金流水!$S$1512),资金流水!$S$1512&gt;=_辅助!$J$4,资金流水!$S$1512&lt;=_辅助!$J$2,OR(资金流水!$X$1512="应付材料款",资金流水!$X$1512="应付分包款",资金流水!$X$1512="应付机械运输费",资金流水!$X$1512="应付其他款")),INT(资金流水!$B$1512)*10000+1507,"")</f>
      </c>
    </row>
    <row r="1509">
      <c r="BD1509" s="2">
        <f>IF(AND($C$130&lt;&gt;"",资金流水!$J$1513=$C$130,ISNUMBER(资金流水!$B$1513),ISNUMBER(资金流水!$S$1513),资金流水!$S$1513&gt;=_辅助!$J$4,资金流水!$S$1513&lt;=_辅助!$J$2,OR(资金流水!$X$1513="应付材料款",资金流水!$X$1513="应付分包款",资金流水!$X$1513="应付机械运输费",资金流水!$X$1513="应付其他款")),INT(资金流水!$B$1513)*10000+1508,"")</f>
      </c>
    </row>
    <row r="1510">
      <c r="BD1510" s="2">
        <f>IF(AND($C$130&lt;&gt;"",资金流水!$J$1514=$C$130,ISNUMBER(资金流水!$B$1514),ISNUMBER(资金流水!$S$1514),资金流水!$S$1514&gt;=_辅助!$J$4,资金流水!$S$1514&lt;=_辅助!$J$2,OR(资金流水!$X$1514="应付材料款",资金流水!$X$1514="应付分包款",资金流水!$X$1514="应付机械运输费",资金流水!$X$1514="应付其他款")),INT(资金流水!$B$1514)*10000+1509,"")</f>
      </c>
    </row>
    <row r="1511">
      <c r="BD1511" s="2">
        <f>IF(AND($C$130&lt;&gt;"",资金流水!$J$1515=$C$130,ISNUMBER(资金流水!$B$1515),ISNUMBER(资金流水!$S$1515),资金流水!$S$1515&gt;=_辅助!$J$4,资金流水!$S$1515&lt;=_辅助!$J$2,OR(资金流水!$X$1515="应付材料款",资金流水!$X$1515="应付分包款",资金流水!$X$1515="应付机械运输费",资金流水!$X$1515="应付其他款")),INT(资金流水!$B$1515)*10000+1510,"")</f>
      </c>
    </row>
    <row r="1512">
      <c r="BD1512" s="2">
        <f>IF(AND($C$130&lt;&gt;"",资金流水!$J$1516=$C$130,ISNUMBER(资金流水!$B$1516),ISNUMBER(资金流水!$S$1516),资金流水!$S$1516&gt;=_辅助!$J$4,资金流水!$S$1516&lt;=_辅助!$J$2,OR(资金流水!$X$1516="应付材料款",资金流水!$X$1516="应付分包款",资金流水!$X$1516="应付机械运输费",资金流水!$X$1516="应付其他款")),INT(资金流水!$B$1516)*10000+1511,"")</f>
      </c>
    </row>
    <row r="1513">
      <c r="BD1513" s="2">
        <f>IF(AND($C$130&lt;&gt;"",资金流水!$J$1517=$C$130,ISNUMBER(资金流水!$B$1517),ISNUMBER(资金流水!$S$1517),资金流水!$S$1517&gt;=_辅助!$J$4,资金流水!$S$1517&lt;=_辅助!$J$2,OR(资金流水!$X$1517="应付材料款",资金流水!$X$1517="应付分包款",资金流水!$X$1517="应付机械运输费",资金流水!$X$1517="应付其他款")),INT(资金流水!$B$1517)*10000+1512,"")</f>
      </c>
    </row>
    <row r="1514">
      <c r="BD1514" s="2">
        <f>IF(AND($C$130&lt;&gt;"",资金流水!$J$1518=$C$130,ISNUMBER(资金流水!$B$1518),ISNUMBER(资金流水!$S$1518),资金流水!$S$1518&gt;=_辅助!$J$4,资金流水!$S$1518&lt;=_辅助!$J$2,OR(资金流水!$X$1518="应付材料款",资金流水!$X$1518="应付分包款",资金流水!$X$1518="应付机械运输费",资金流水!$X$1518="应付其他款")),INT(资金流水!$B$1518)*10000+1513,"")</f>
      </c>
    </row>
    <row r="1515">
      <c r="BD1515" s="2">
        <f>IF(AND($C$130&lt;&gt;"",资金流水!$J$1519=$C$130,ISNUMBER(资金流水!$B$1519),ISNUMBER(资金流水!$S$1519),资金流水!$S$1519&gt;=_辅助!$J$4,资金流水!$S$1519&lt;=_辅助!$J$2,OR(资金流水!$X$1519="应付材料款",资金流水!$X$1519="应付分包款",资金流水!$X$1519="应付机械运输费",资金流水!$X$1519="应付其他款")),INT(资金流水!$B$1519)*10000+1514,"")</f>
      </c>
    </row>
    <row r="1516">
      <c r="BD1516" s="2">
        <f>IF(AND($C$130&lt;&gt;"",资金流水!$J$1520=$C$130,ISNUMBER(资金流水!$B$1520),ISNUMBER(资金流水!$S$1520),资金流水!$S$1520&gt;=_辅助!$J$4,资金流水!$S$1520&lt;=_辅助!$J$2,OR(资金流水!$X$1520="应付材料款",资金流水!$X$1520="应付分包款",资金流水!$X$1520="应付机械运输费",资金流水!$X$1520="应付其他款")),INT(资金流水!$B$1520)*10000+1515,"")</f>
      </c>
    </row>
    <row r="1517">
      <c r="BD1517" s="2">
        <f>IF(AND($C$130&lt;&gt;"",资金流水!$J$1521=$C$130,ISNUMBER(资金流水!$B$1521),ISNUMBER(资金流水!$S$1521),资金流水!$S$1521&gt;=_辅助!$J$4,资金流水!$S$1521&lt;=_辅助!$J$2,OR(资金流水!$X$1521="应付材料款",资金流水!$X$1521="应付分包款",资金流水!$X$1521="应付机械运输费",资金流水!$X$1521="应付其他款")),INT(资金流水!$B$1521)*10000+1516,"")</f>
      </c>
    </row>
    <row r="1518">
      <c r="BD1518" s="2">
        <f>IF(AND($C$130&lt;&gt;"",资金流水!$J$1522=$C$130,ISNUMBER(资金流水!$B$1522),ISNUMBER(资金流水!$S$1522),资金流水!$S$1522&gt;=_辅助!$J$4,资金流水!$S$1522&lt;=_辅助!$J$2,OR(资金流水!$X$1522="应付材料款",资金流水!$X$1522="应付分包款",资金流水!$X$1522="应付机械运输费",资金流水!$X$1522="应付其他款")),INT(资金流水!$B$1522)*10000+1517,"")</f>
      </c>
    </row>
    <row r="1519">
      <c r="BD1519" s="2">
        <f>IF(AND($C$130&lt;&gt;"",资金流水!$J$1523=$C$130,ISNUMBER(资金流水!$B$1523),ISNUMBER(资金流水!$S$1523),资金流水!$S$1523&gt;=_辅助!$J$4,资金流水!$S$1523&lt;=_辅助!$J$2,OR(资金流水!$X$1523="应付材料款",资金流水!$X$1523="应付分包款",资金流水!$X$1523="应付机械运输费",资金流水!$X$1523="应付其他款")),INT(资金流水!$B$1523)*10000+1518,"")</f>
      </c>
    </row>
    <row r="1520">
      <c r="BD1520" s="2">
        <f>IF(AND($C$130&lt;&gt;"",资金流水!$J$1524=$C$130,ISNUMBER(资金流水!$B$1524),ISNUMBER(资金流水!$S$1524),资金流水!$S$1524&gt;=_辅助!$J$4,资金流水!$S$1524&lt;=_辅助!$J$2,OR(资金流水!$X$1524="应付材料款",资金流水!$X$1524="应付分包款",资金流水!$X$1524="应付机械运输费",资金流水!$X$1524="应付其他款")),INT(资金流水!$B$1524)*10000+1519,"")</f>
      </c>
    </row>
    <row r="1521">
      <c r="BD1521" s="2">
        <f>IF(AND($C$130&lt;&gt;"",资金流水!$J$1525=$C$130,ISNUMBER(资金流水!$B$1525),ISNUMBER(资金流水!$S$1525),资金流水!$S$1525&gt;=_辅助!$J$4,资金流水!$S$1525&lt;=_辅助!$J$2,OR(资金流水!$X$1525="应付材料款",资金流水!$X$1525="应付分包款",资金流水!$X$1525="应付机械运输费",资金流水!$X$1525="应付其他款")),INT(资金流水!$B$1525)*10000+1520,"")</f>
      </c>
    </row>
    <row r="1522">
      <c r="BD1522" s="2">
        <f>IF(AND($C$130&lt;&gt;"",资金流水!$J$1526=$C$130,ISNUMBER(资金流水!$B$1526),ISNUMBER(资金流水!$S$1526),资金流水!$S$1526&gt;=_辅助!$J$4,资金流水!$S$1526&lt;=_辅助!$J$2,OR(资金流水!$X$1526="应付材料款",资金流水!$X$1526="应付分包款",资金流水!$X$1526="应付机械运输费",资金流水!$X$1526="应付其他款")),INT(资金流水!$B$1526)*10000+1521,"")</f>
      </c>
    </row>
    <row r="1523">
      <c r="BD1523" s="2">
        <f>IF(AND($C$130&lt;&gt;"",资金流水!$J$1527=$C$130,ISNUMBER(资金流水!$B$1527),ISNUMBER(资金流水!$S$1527),资金流水!$S$1527&gt;=_辅助!$J$4,资金流水!$S$1527&lt;=_辅助!$J$2,OR(资金流水!$X$1527="应付材料款",资金流水!$X$1527="应付分包款",资金流水!$X$1527="应付机械运输费",资金流水!$X$1527="应付其他款")),INT(资金流水!$B$1527)*10000+1522,"")</f>
      </c>
    </row>
    <row r="1524">
      <c r="BD1524" s="2">
        <f>IF(AND($C$130&lt;&gt;"",资金流水!$J$1528=$C$130,ISNUMBER(资金流水!$B$1528),ISNUMBER(资金流水!$S$1528),资金流水!$S$1528&gt;=_辅助!$J$4,资金流水!$S$1528&lt;=_辅助!$J$2,OR(资金流水!$X$1528="应付材料款",资金流水!$X$1528="应付分包款",资金流水!$X$1528="应付机械运输费",资金流水!$X$1528="应付其他款")),INT(资金流水!$B$1528)*10000+1523,"")</f>
      </c>
    </row>
    <row r="1525">
      <c r="BD1525" s="2">
        <f>IF(AND($C$130&lt;&gt;"",资金流水!$J$1529=$C$130,ISNUMBER(资金流水!$B$1529),ISNUMBER(资金流水!$S$1529),资金流水!$S$1529&gt;=_辅助!$J$4,资金流水!$S$1529&lt;=_辅助!$J$2,OR(资金流水!$X$1529="应付材料款",资金流水!$X$1529="应付分包款",资金流水!$X$1529="应付机械运输费",资金流水!$X$1529="应付其他款")),INT(资金流水!$B$1529)*10000+1524,"")</f>
      </c>
    </row>
    <row r="1526">
      <c r="BD1526" s="2">
        <f>IF(AND($C$130&lt;&gt;"",资金流水!$J$1530=$C$130,ISNUMBER(资金流水!$B$1530),ISNUMBER(资金流水!$S$1530),资金流水!$S$1530&gt;=_辅助!$J$4,资金流水!$S$1530&lt;=_辅助!$J$2,OR(资金流水!$X$1530="应付材料款",资金流水!$X$1530="应付分包款",资金流水!$X$1530="应付机械运输费",资金流水!$X$1530="应付其他款")),INT(资金流水!$B$1530)*10000+1525,"")</f>
      </c>
    </row>
    <row r="1527">
      <c r="BD1527" s="2">
        <f>IF(AND($C$130&lt;&gt;"",资金流水!$J$1531=$C$130,ISNUMBER(资金流水!$B$1531),ISNUMBER(资金流水!$S$1531),资金流水!$S$1531&gt;=_辅助!$J$4,资金流水!$S$1531&lt;=_辅助!$J$2,OR(资金流水!$X$1531="应付材料款",资金流水!$X$1531="应付分包款",资金流水!$X$1531="应付机械运输费",资金流水!$X$1531="应付其他款")),INT(资金流水!$B$1531)*10000+1526,"")</f>
      </c>
    </row>
    <row r="1528">
      <c r="BD1528" s="2">
        <f>IF(AND($C$130&lt;&gt;"",资金流水!$J$1532=$C$130,ISNUMBER(资金流水!$B$1532),ISNUMBER(资金流水!$S$1532),资金流水!$S$1532&gt;=_辅助!$J$4,资金流水!$S$1532&lt;=_辅助!$J$2,OR(资金流水!$X$1532="应付材料款",资金流水!$X$1532="应付分包款",资金流水!$X$1532="应付机械运输费",资金流水!$X$1532="应付其他款")),INT(资金流水!$B$1532)*10000+1527,"")</f>
      </c>
    </row>
    <row r="1529">
      <c r="BD1529" s="2">
        <f>IF(AND($C$130&lt;&gt;"",资金流水!$J$1533=$C$130,ISNUMBER(资金流水!$B$1533),ISNUMBER(资金流水!$S$1533),资金流水!$S$1533&gt;=_辅助!$J$4,资金流水!$S$1533&lt;=_辅助!$J$2,OR(资金流水!$X$1533="应付材料款",资金流水!$X$1533="应付分包款",资金流水!$X$1533="应付机械运输费",资金流水!$X$1533="应付其他款")),INT(资金流水!$B$1533)*10000+1528,"")</f>
      </c>
    </row>
    <row r="1530">
      <c r="BD1530" s="2">
        <f>IF(AND($C$130&lt;&gt;"",资金流水!$J$1534=$C$130,ISNUMBER(资金流水!$B$1534),ISNUMBER(资金流水!$S$1534),资金流水!$S$1534&gt;=_辅助!$J$4,资金流水!$S$1534&lt;=_辅助!$J$2,OR(资金流水!$X$1534="应付材料款",资金流水!$X$1534="应付分包款",资金流水!$X$1534="应付机械运输费",资金流水!$X$1534="应付其他款")),INT(资金流水!$B$1534)*10000+1529,"")</f>
      </c>
    </row>
    <row r="1531">
      <c r="BD1531" s="2">
        <f>IF(AND($C$130&lt;&gt;"",资金流水!$J$1535=$C$130,ISNUMBER(资金流水!$B$1535),ISNUMBER(资金流水!$S$1535),资金流水!$S$1535&gt;=_辅助!$J$4,资金流水!$S$1535&lt;=_辅助!$J$2,OR(资金流水!$X$1535="应付材料款",资金流水!$X$1535="应付分包款",资金流水!$X$1535="应付机械运输费",资金流水!$X$1535="应付其他款")),INT(资金流水!$B$1535)*10000+1530,"")</f>
      </c>
    </row>
    <row r="1532">
      <c r="BD1532" s="2">
        <f>IF(AND($C$130&lt;&gt;"",资金流水!$J$1536=$C$130,ISNUMBER(资金流水!$B$1536),ISNUMBER(资金流水!$S$1536),资金流水!$S$1536&gt;=_辅助!$J$4,资金流水!$S$1536&lt;=_辅助!$J$2,OR(资金流水!$X$1536="应付材料款",资金流水!$X$1536="应付分包款",资金流水!$X$1536="应付机械运输费",资金流水!$X$1536="应付其他款")),INT(资金流水!$B$1536)*10000+1531,"")</f>
      </c>
    </row>
    <row r="1533">
      <c r="BD1533" s="2">
        <f>IF(AND($C$130&lt;&gt;"",资金流水!$J$1537=$C$130,ISNUMBER(资金流水!$B$1537),ISNUMBER(资金流水!$S$1537),资金流水!$S$1537&gt;=_辅助!$J$4,资金流水!$S$1537&lt;=_辅助!$J$2,OR(资金流水!$X$1537="应付材料款",资金流水!$X$1537="应付分包款",资金流水!$X$1537="应付机械运输费",资金流水!$X$1537="应付其他款")),INT(资金流水!$B$1537)*10000+1532,"")</f>
      </c>
    </row>
    <row r="1534">
      <c r="BD1534" s="2">
        <f>IF(AND($C$130&lt;&gt;"",资金流水!$J$1538=$C$130,ISNUMBER(资金流水!$B$1538),ISNUMBER(资金流水!$S$1538),资金流水!$S$1538&gt;=_辅助!$J$4,资金流水!$S$1538&lt;=_辅助!$J$2,OR(资金流水!$X$1538="应付材料款",资金流水!$X$1538="应付分包款",资金流水!$X$1538="应付机械运输费",资金流水!$X$1538="应付其他款")),INT(资金流水!$B$1538)*10000+1533,"")</f>
      </c>
    </row>
    <row r="1535">
      <c r="BD1535" s="2">
        <f>IF(AND($C$130&lt;&gt;"",资金流水!$J$1539=$C$130,ISNUMBER(资金流水!$B$1539),ISNUMBER(资金流水!$S$1539),资金流水!$S$1539&gt;=_辅助!$J$4,资金流水!$S$1539&lt;=_辅助!$J$2,OR(资金流水!$X$1539="应付材料款",资金流水!$X$1539="应付分包款",资金流水!$X$1539="应付机械运输费",资金流水!$X$1539="应付其他款")),INT(资金流水!$B$1539)*10000+1534,"")</f>
      </c>
    </row>
    <row r="1536">
      <c r="BD1536" s="2">
        <f>IF(AND($C$130&lt;&gt;"",资金流水!$J$1540=$C$130,ISNUMBER(资金流水!$B$1540),ISNUMBER(资金流水!$S$1540),资金流水!$S$1540&gt;=_辅助!$J$4,资金流水!$S$1540&lt;=_辅助!$J$2,OR(资金流水!$X$1540="应付材料款",资金流水!$X$1540="应付分包款",资金流水!$X$1540="应付机械运输费",资金流水!$X$1540="应付其他款")),INT(资金流水!$B$1540)*10000+1535,"")</f>
      </c>
    </row>
    <row r="1537">
      <c r="BD1537" s="2">
        <f>IF(AND($C$130&lt;&gt;"",资金流水!$J$1541=$C$130,ISNUMBER(资金流水!$B$1541),ISNUMBER(资金流水!$S$1541),资金流水!$S$1541&gt;=_辅助!$J$4,资金流水!$S$1541&lt;=_辅助!$J$2,OR(资金流水!$X$1541="应付材料款",资金流水!$X$1541="应付分包款",资金流水!$X$1541="应付机械运输费",资金流水!$X$1541="应付其他款")),INT(资金流水!$B$1541)*10000+1536,"")</f>
      </c>
    </row>
    <row r="1538">
      <c r="BD1538" s="2">
        <f>IF(AND($C$130&lt;&gt;"",资金流水!$J$1542=$C$130,ISNUMBER(资金流水!$B$1542),ISNUMBER(资金流水!$S$1542),资金流水!$S$1542&gt;=_辅助!$J$4,资金流水!$S$1542&lt;=_辅助!$J$2,OR(资金流水!$X$1542="应付材料款",资金流水!$X$1542="应付分包款",资金流水!$X$1542="应付机械运输费",资金流水!$X$1542="应付其他款")),INT(资金流水!$B$1542)*10000+1537,"")</f>
      </c>
    </row>
    <row r="1539">
      <c r="BD1539" s="2">
        <f>IF(AND($C$130&lt;&gt;"",资金流水!$J$1543=$C$130,ISNUMBER(资金流水!$B$1543),ISNUMBER(资金流水!$S$1543),资金流水!$S$1543&gt;=_辅助!$J$4,资金流水!$S$1543&lt;=_辅助!$J$2,OR(资金流水!$X$1543="应付材料款",资金流水!$X$1543="应付分包款",资金流水!$X$1543="应付机械运输费",资金流水!$X$1543="应付其他款")),INT(资金流水!$B$1543)*10000+1538,"")</f>
      </c>
    </row>
    <row r="1540">
      <c r="BD1540" s="2">
        <f>IF(AND($C$130&lt;&gt;"",资金流水!$J$1544=$C$130,ISNUMBER(资金流水!$B$1544),ISNUMBER(资金流水!$S$1544),资金流水!$S$1544&gt;=_辅助!$J$4,资金流水!$S$1544&lt;=_辅助!$J$2,OR(资金流水!$X$1544="应付材料款",资金流水!$X$1544="应付分包款",资金流水!$X$1544="应付机械运输费",资金流水!$X$1544="应付其他款")),INT(资金流水!$B$1544)*10000+1539,"")</f>
      </c>
    </row>
    <row r="1541">
      <c r="BD1541" s="2">
        <f>IF(AND($C$130&lt;&gt;"",资金流水!$J$1545=$C$130,ISNUMBER(资金流水!$B$1545),ISNUMBER(资金流水!$S$1545),资金流水!$S$1545&gt;=_辅助!$J$4,资金流水!$S$1545&lt;=_辅助!$J$2,OR(资金流水!$X$1545="应付材料款",资金流水!$X$1545="应付分包款",资金流水!$X$1545="应付机械运输费",资金流水!$X$1545="应付其他款")),INT(资金流水!$B$1545)*10000+1540,"")</f>
      </c>
    </row>
    <row r="1542">
      <c r="BD1542" s="2">
        <f>IF(AND($C$130&lt;&gt;"",资金流水!$J$1546=$C$130,ISNUMBER(资金流水!$B$1546),ISNUMBER(资金流水!$S$1546),资金流水!$S$1546&gt;=_辅助!$J$4,资金流水!$S$1546&lt;=_辅助!$J$2,OR(资金流水!$X$1546="应付材料款",资金流水!$X$1546="应付分包款",资金流水!$X$1546="应付机械运输费",资金流水!$X$1546="应付其他款")),INT(资金流水!$B$1546)*10000+1541,"")</f>
      </c>
    </row>
    <row r="1543">
      <c r="BD1543" s="2">
        <f>IF(AND($C$130&lt;&gt;"",资金流水!$J$1547=$C$130,ISNUMBER(资金流水!$B$1547),ISNUMBER(资金流水!$S$1547),资金流水!$S$1547&gt;=_辅助!$J$4,资金流水!$S$1547&lt;=_辅助!$J$2,OR(资金流水!$X$1547="应付材料款",资金流水!$X$1547="应付分包款",资金流水!$X$1547="应付机械运输费",资金流水!$X$1547="应付其他款")),INT(资金流水!$B$1547)*10000+1542,"")</f>
      </c>
    </row>
    <row r="1544">
      <c r="BD1544" s="2">
        <f>IF(AND($C$130&lt;&gt;"",资金流水!$J$1548=$C$130,ISNUMBER(资金流水!$B$1548),ISNUMBER(资金流水!$S$1548),资金流水!$S$1548&gt;=_辅助!$J$4,资金流水!$S$1548&lt;=_辅助!$J$2,OR(资金流水!$X$1548="应付材料款",资金流水!$X$1548="应付分包款",资金流水!$X$1548="应付机械运输费",资金流水!$X$1548="应付其他款")),INT(资金流水!$B$1548)*10000+1543,"")</f>
      </c>
    </row>
    <row r="1545">
      <c r="BD1545" s="2">
        <f>IF(AND($C$130&lt;&gt;"",资金流水!$J$1549=$C$130,ISNUMBER(资金流水!$B$1549),ISNUMBER(资金流水!$S$1549),资金流水!$S$1549&gt;=_辅助!$J$4,资金流水!$S$1549&lt;=_辅助!$J$2,OR(资金流水!$X$1549="应付材料款",资金流水!$X$1549="应付分包款",资金流水!$X$1549="应付机械运输费",资金流水!$X$1549="应付其他款")),INT(资金流水!$B$1549)*10000+1544,"")</f>
      </c>
    </row>
    <row r="1546">
      <c r="BD1546" s="2">
        <f>IF(AND($C$130&lt;&gt;"",资金流水!$J$1550=$C$130,ISNUMBER(资金流水!$B$1550),ISNUMBER(资金流水!$S$1550),资金流水!$S$1550&gt;=_辅助!$J$4,资金流水!$S$1550&lt;=_辅助!$J$2,OR(资金流水!$X$1550="应付材料款",资金流水!$X$1550="应付分包款",资金流水!$X$1550="应付机械运输费",资金流水!$X$1550="应付其他款")),INT(资金流水!$B$1550)*10000+1545,"")</f>
      </c>
    </row>
    <row r="1547">
      <c r="BD1547" s="2">
        <f>IF(AND($C$130&lt;&gt;"",资金流水!$J$1551=$C$130,ISNUMBER(资金流水!$B$1551),ISNUMBER(资金流水!$S$1551),资金流水!$S$1551&gt;=_辅助!$J$4,资金流水!$S$1551&lt;=_辅助!$J$2,OR(资金流水!$X$1551="应付材料款",资金流水!$X$1551="应付分包款",资金流水!$X$1551="应付机械运输费",资金流水!$X$1551="应付其他款")),INT(资金流水!$B$1551)*10000+1546,"")</f>
      </c>
    </row>
    <row r="1548">
      <c r="BD1548" s="2">
        <f>IF(AND($C$130&lt;&gt;"",资金流水!$J$1552=$C$130,ISNUMBER(资金流水!$B$1552),ISNUMBER(资金流水!$S$1552),资金流水!$S$1552&gt;=_辅助!$J$4,资金流水!$S$1552&lt;=_辅助!$J$2,OR(资金流水!$X$1552="应付材料款",资金流水!$X$1552="应付分包款",资金流水!$X$1552="应付机械运输费",资金流水!$X$1552="应付其他款")),INT(资金流水!$B$1552)*10000+1547,"")</f>
      </c>
    </row>
    <row r="1549">
      <c r="BD1549" s="2">
        <f>IF(AND($C$130&lt;&gt;"",资金流水!$J$1553=$C$130,ISNUMBER(资金流水!$B$1553),ISNUMBER(资金流水!$S$1553),资金流水!$S$1553&gt;=_辅助!$J$4,资金流水!$S$1553&lt;=_辅助!$J$2,OR(资金流水!$X$1553="应付材料款",资金流水!$X$1553="应付分包款",资金流水!$X$1553="应付机械运输费",资金流水!$X$1553="应付其他款")),INT(资金流水!$B$1553)*10000+1548,"")</f>
      </c>
    </row>
    <row r="1550">
      <c r="BD1550" s="2">
        <f>IF(AND($C$130&lt;&gt;"",资金流水!$J$1554=$C$130,ISNUMBER(资金流水!$B$1554),ISNUMBER(资金流水!$S$1554),资金流水!$S$1554&gt;=_辅助!$J$4,资金流水!$S$1554&lt;=_辅助!$J$2,OR(资金流水!$X$1554="应付材料款",资金流水!$X$1554="应付分包款",资金流水!$X$1554="应付机械运输费",资金流水!$X$1554="应付其他款")),INT(资金流水!$B$1554)*10000+1549,"")</f>
      </c>
    </row>
    <row r="1551">
      <c r="BD1551" s="2">
        <f>IF(AND($C$130&lt;&gt;"",资金流水!$J$1555=$C$130,ISNUMBER(资金流水!$B$1555),ISNUMBER(资金流水!$S$1555),资金流水!$S$1555&gt;=_辅助!$J$4,资金流水!$S$1555&lt;=_辅助!$J$2,OR(资金流水!$X$1555="应付材料款",资金流水!$X$1555="应付分包款",资金流水!$X$1555="应付机械运输费",资金流水!$X$1555="应付其他款")),INT(资金流水!$B$1555)*10000+1550,"")</f>
      </c>
    </row>
    <row r="1552">
      <c r="BD1552" s="2">
        <f>IF(AND($C$130&lt;&gt;"",资金流水!$J$1556=$C$130,ISNUMBER(资金流水!$B$1556),ISNUMBER(资金流水!$S$1556),资金流水!$S$1556&gt;=_辅助!$J$4,资金流水!$S$1556&lt;=_辅助!$J$2,OR(资金流水!$X$1556="应付材料款",资金流水!$X$1556="应付分包款",资金流水!$X$1556="应付机械运输费",资金流水!$X$1556="应付其他款")),INT(资金流水!$B$1556)*10000+1551,"")</f>
      </c>
    </row>
    <row r="1553">
      <c r="BD1553" s="2">
        <f>IF(AND($C$130&lt;&gt;"",资金流水!$J$1557=$C$130,ISNUMBER(资金流水!$B$1557),ISNUMBER(资金流水!$S$1557),资金流水!$S$1557&gt;=_辅助!$J$4,资金流水!$S$1557&lt;=_辅助!$J$2,OR(资金流水!$X$1557="应付材料款",资金流水!$X$1557="应付分包款",资金流水!$X$1557="应付机械运输费",资金流水!$X$1557="应付其他款")),INT(资金流水!$B$1557)*10000+1552,"")</f>
      </c>
    </row>
    <row r="1554">
      <c r="BD1554" s="2">
        <f>IF(AND($C$130&lt;&gt;"",资金流水!$J$1558=$C$130,ISNUMBER(资金流水!$B$1558),ISNUMBER(资金流水!$S$1558),资金流水!$S$1558&gt;=_辅助!$J$4,资金流水!$S$1558&lt;=_辅助!$J$2,OR(资金流水!$X$1558="应付材料款",资金流水!$X$1558="应付分包款",资金流水!$X$1558="应付机械运输费",资金流水!$X$1558="应付其他款")),INT(资金流水!$B$1558)*10000+1553,"")</f>
      </c>
    </row>
    <row r="1555">
      <c r="BD1555" s="2">
        <f>IF(AND($C$130&lt;&gt;"",资金流水!$J$1559=$C$130,ISNUMBER(资金流水!$B$1559),ISNUMBER(资金流水!$S$1559),资金流水!$S$1559&gt;=_辅助!$J$4,资金流水!$S$1559&lt;=_辅助!$J$2,OR(资金流水!$X$1559="应付材料款",资金流水!$X$1559="应付分包款",资金流水!$X$1559="应付机械运输费",资金流水!$X$1559="应付其他款")),INT(资金流水!$B$1559)*10000+1554,"")</f>
      </c>
    </row>
    <row r="1556">
      <c r="BD1556" s="2">
        <f>IF(AND($C$130&lt;&gt;"",资金流水!$J$1560=$C$130,ISNUMBER(资金流水!$B$1560),ISNUMBER(资金流水!$S$1560),资金流水!$S$1560&gt;=_辅助!$J$4,资金流水!$S$1560&lt;=_辅助!$J$2,OR(资金流水!$X$1560="应付材料款",资金流水!$X$1560="应付分包款",资金流水!$X$1560="应付机械运输费",资金流水!$X$1560="应付其他款")),INT(资金流水!$B$1560)*10000+1555,"")</f>
      </c>
    </row>
    <row r="1557">
      <c r="BD1557" s="2">
        <f>IF(AND($C$130&lt;&gt;"",资金流水!$J$1561=$C$130,ISNUMBER(资金流水!$B$1561),ISNUMBER(资金流水!$S$1561),资金流水!$S$1561&gt;=_辅助!$J$4,资金流水!$S$1561&lt;=_辅助!$J$2,OR(资金流水!$X$1561="应付材料款",资金流水!$X$1561="应付分包款",资金流水!$X$1561="应付机械运输费",资金流水!$X$1561="应付其他款")),INT(资金流水!$B$1561)*10000+1556,"")</f>
      </c>
    </row>
    <row r="1558">
      <c r="BD1558" s="2">
        <f>IF(AND($C$130&lt;&gt;"",资金流水!$J$1562=$C$130,ISNUMBER(资金流水!$B$1562),ISNUMBER(资金流水!$S$1562),资金流水!$S$1562&gt;=_辅助!$J$4,资金流水!$S$1562&lt;=_辅助!$J$2,OR(资金流水!$X$1562="应付材料款",资金流水!$X$1562="应付分包款",资金流水!$X$1562="应付机械运输费",资金流水!$X$1562="应付其他款")),INT(资金流水!$B$1562)*10000+1557,"")</f>
      </c>
    </row>
    <row r="1559">
      <c r="BD1559" s="2">
        <f>IF(AND($C$130&lt;&gt;"",资金流水!$J$1563=$C$130,ISNUMBER(资金流水!$B$1563),ISNUMBER(资金流水!$S$1563),资金流水!$S$1563&gt;=_辅助!$J$4,资金流水!$S$1563&lt;=_辅助!$J$2,OR(资金流水!$X$1563="应付材料款",资金流水!$X$1563="应付分包款",资金流水!$X$1563="应付机械运输费",资金流水!$X$1563="应付其他款")),INT(资金流水!$B$1563)*10000+1558,"")</f>
      </c>
    </row>
    <row r="1560">
      <c r="BD1560" s="2">
        <f>IF(AND($C$130&lt;&gt;"",资金流水!$J$1564=$C$130,ISNUMBER(资金流水!$B$1564),ISNUMBER(资金流水!$S$1564),资金流水!$S$1564&gt;=_辅助!$J$4,资金流水!$S$1564&lt;=_辅助!$J$2,OR(资金流水!$X$1564="应付材料款",资金流水!$X$1564="应付分包款",资金流水!$X$1564="应付机械运输费",资金流水!$X$1564="应付其他款")),INT(资金流水!$B$1564)*10000+1559,"")</f>
      </c>
    </row>
    <row r="1561">
      <c r="BD1561" s="2">
        <f>IF(AND($C$130&lt;&gt;"",资金流水!$J$1565=$C$130,ISNUMBER(资金流水!$B$1565),ISNUMBER(资金流水!$S$1565),资金流水!$S$1565&gt;=_辅助!$J$4,资金流水!$S$1565&lt;=_辅助!$J$2,OR(资金流水!$X$1565="应付材料款",资金流水!$X$1565="应付分包款",资金流水!$X$1565="应付机械运输费",资金流水!$X$1565="应付其他款")),INT(资金流水!$B$1565)*10000+1560,"")</f>
      </c>
    </row>
    <row r="1562">
      <c r="BD1562" s="2">
        <f>IF(AND($C$130&lt;&gt;"",资金流水!$J$1566=$C$130,ISNUMBER(资金流水!$B$1566),ISNUMBER(资金流水!$S$1566),资金流水!$S$1566&gt;=_辅助!$J$4,资金流水!$S$1566&lt;=_辅助!$J$2,OR(资金流水!$X$1566="应付材料款",资金流水!$X$1566="应付分包款",资金流水!$X$1566="应付机械运输费",资金流水!$X$1566="应付其他款")),INT(资金流水!$B$1566)*10000+1561,"")</f>
      </c>
    </row>
    <row r="1563">
      <c r="BD1563" s="2">
        <f>IF(AND($C$130&lt;&gt;"",资金流水!$J$1567=$C$130,ISNUMBER(资金流水!$B$1567),ISNUMBER(资金流水!$S$1567),资金流水!$S$1567&gt;=_辅助!$J$4,资金流水!$S$1567&lt;=_辅助!$J$2,OR(资金流水!$X$1567="应付材料款",资金流水!$X$1567="应付分包款",资金流水!$X$1567="应付机械运输费",资金流水!$X$1567="应付其他款")),INT(资金流水!$B$1567)*10000+1562,"")</f>
      </c>
    </row>
    <row r="1564">
      <c r="BD1564" s="2">
        <f>IF(AND($C$130&lt;&gt;"",资金流水!$J$1568=$C$130,ISNUMBER(资金流水!$B$1568),ISNUMBER(资金流水!$S$1568),资金流水!$S$1568&gt;=_辅助!$J$4,资金流水!$S$1568&lt;=_辅助!$J$2,OR(资金流水!$X$1568="应付材料款",资金流水!$X$1568="应付分包款",资金流水!$X$1568="应付机械运输费",资金流水!$X$1568="应付其他款")),INT(资金流水!$B$1568)*10000+1563,"")</f>
      </c>
    </row>
    <row r="1565">
      <c r="BD1565" s="2">
        <f>IF(AND($C$130&lt;&gt;"",资金流水!$J$1569=$C$130,ISNUMBER(资金流水!$B$1569),ISNUMBER(资金流水!$S$1569),资金流水!$S$1569&gt;=_辅助!$J$4,资金流水!$S$1569&lt;=_辅助!$J$2,OR(资金流水!$X$1569="应付材料款",资金流水!$X$1569="应付分包款",资金流水!$X$1569="应付机械运输费",资金流水!$X$1569="应付其他款")),INT(资金流水!$B$1569)*10000+1564,"")</f>
      </c>
    </row>
    <row r="1566">
      <c r="BD1566" s="2">
        <f>IF(AND($C$130&lt;&gt;"",资金流水!$J$1570=$C$130,ISNUMBER(资金流水!$B$1570),ISNUMBER(资金流水!$S$1570),资金流水!$S$1570&gt;=_辅助!$J$4,资金流水!$S$1570&lt;=_辅助!$J$2,OR(资金流水!$X$1570="应付材料款",资金流水!$X$1570="应付分包款",资金流水!$X$1570="应付机械运输费",资金流水!$X$1570="应付其他款")),INT(资金流水!$B$1570)*10000+1565,"")</f>
      </c>
    </row>
    <row r="1567">
      <c r="BD1567" s="2">
        <f>IF(AND($C$130&lt;&gt;"",资金流水!$J$1571=$C$130,ISNUMBER(资金流水!$B$1571),ISNUMBER(资金流水!$S$1571),资金流水!$S$1571&gt;=_辅助!$J$4,资金流水!$S$1571&lt;=_辅助!$J$2,OR(资金流水!$X$1571="应付材料款",资金流水!$X$1571="应付分包款",资金流水!$X$1571="应付机械运输费",资金流水!$X$1571="应付其他款")),INT(资金流水!$B$1571)*10000+1566,"")</f>
      </c>
    </row>
    <row r="1568">
      <c r="BD1568" s="2">
        <f>IF(AND($C$130&lt;&gt;"",资金流水!$J$1572=$C$130,ISNUMBER(资金流水!$B$1572),ISNUMBER(资金流水!$S$1572),资金流水!$S$1572&gt;=_辅助!$J$4,资金流水!$S$1572&lt;=_辅助!$J$2,OR(资金流水!$X$1572="应付材料款",资金流水!$X$1572="应付分包款",资金流水!$X$1572="应付机械运输费",资金流水!$X$1572="应付其他款")),INT(资金流水!$B$1572)*10000+1567,"")</f>
      </c>
    </row>
    <row r="1569">
      <c r="BD1569" s="2">
        <f>IF(AND($C$130&lt;&gt;"",资金流水!$J$1573=$C$130,ISNUMBER(资金流水!$B$1573),ISNUMBER(资金流水!$S$1573),资金流水!$S$1573&gt;=_辅助!$J$4,资金流水!$S$1573&lt;=_辅助!$J$2,OR(资金流水!$X$1573="应付材料款",资金流水!$X$1573="应付分包款",资金流水!$X$1573="应付机械运输费",资金流水!$X$1573="应付其他款")),INT(资金流水!$B$1573)*10000+1568,"")</f>
      </c>
    </row>
    <row r="1570">
      <c r="BD1570" s="2">
        <f>IF(AND($C$130&lt;&gt;"",资金流水!$J$1574=$C$130,ISNUMBER(资金流水!$B$1574),ISNUMBER(资金流水!$S$1574),资金流水!$S$1574&gt;=_辅助!$J$4,资金流水!$S$1574&lt;=_辅助!$J$2,OR(资金流水!$X$1574="应付材料款",资金流水!$X$1574="应付分包款",资金流水!$X$1574="应付机械运输费",资金流水!$X$1574="应付其他款")),INT(资金流水!$B$1574)*10000+1569,"")</f>
      </c>
    </row>
    <row r="1571">
      <c r="BD1571" s="2">
        <f>IF(AND($C$130&lt;&gt;"",资金流水!$J$1575=$C$130,ISNUMBER(资金流水!$B$1575),ISNUMBER(资金流水!$S$1575),资金流水!$S$1575&gt;=_辅助!$J$4,资金流水!$S$1575&lt;=_辅助!$J$2,OR(资金流水!$X$1575="应付材料款",资金流水!$X$1575="应付分包款",资金流水!$X$1575="应付机械运输费",资金流水!$X$1575="应付其他款")),INT(资金流水!$B$1575)*10000+1570,"")</f>
      </c>
    </row>
    <row r="1572">
      <c r="BD1572" s="2">
        <f>IF(AND($C$130&lt;&gt;"",资金流水!$J$1576=$C$130,ISNUMBER(资金流水!$B$1576),ISNUMBER(资金流水!$S$1576),资金流水!$S$1576&gt;=_辅助!$J$4,资金流水!$S$1576&lt;=_辅助!$J$2,OR(资金流水!$X$1576="应付材料款",资金流水!$X$1576="应付分包款",资金流水!$X$1576="应付机械运输费",资金流水!$X$1576="应付其他款")),INT(资金流水!$B$1576)*10000+1571,"")</f>
      </c>
    </row>
    <row r="1573">
      <c r="BD1573" s="2">
        <f>IF(AND($C$130&lt;&gt;"",资金流水!$J$1577=$C$130,ISNUMBER(资金流水!$B$1577),ISNUMBER(资金流水!$S$1577),资金流水!$S$1577&gt;=_辅助!$J$4,资金流水!$S$1577&lt;=_辅助!$J$2,OR(资金流水!$X$1577="应付材料款",资金流水!$X$1577="应付分包款",资金流水!$X$1577="应付机械运输费",资金流水!$X$1577="应付其他款")),INT(资金流水!$B$1577)*10000+1572,"")</f>
      </c>
    </row>
    <row r="1574">
      <c r="BD1574" s="2">
        <f>IF(AND($C$130&lt;&gt;"",资金流水!$J$1578=$C$130,ISNUMBER(资金流水!$B$1578),ISNUMBER(资金流水!$S$1578),资金流水!$S$1578&gt;=_辅助!$J$4,资金流水!$S$1578&lt;=_辅助!$J$2,OR(资金流水!$X$1578="应付材料款",资金流水!$X$1578="应付分包款",资金流水!$X$1578="应付机械运输费",资金流水!$X$1578="应付其他款")),INT(资金流水!$B$1578)*10000+1573,"")</f>
      </c>
    </row>
    <row r="1575">
      <c r="BD1575" s="2">
        <f>IF(AND($C$130&lt;&gt;"",资金流水!$J$1579=$C$130,ISNUMBER(资金流水!$B$1579),ISNUMBER(资金流水!$S$1579),资金流水!$S$1579&gt;=_辅助!$J$4,资金流水!$S$1579&lt;=_辅助!$J$2,OR(资金流水!$X$1579="应付材料款",资金流水!$X$1579="应付分包款",资金流水!$X$1579="应付机械运输费",资金流水!$X$1579="应付其他款")),INT(资金流水!$B$1579)*10000+1574,"")</f>
      </c>
    </row>
    <row r="1576">
      <c r="BD1576" s="2">
        <f>IF(AND($C$130&lt;&gt;"",资金流水!$J$1580=$C$130,ISNUMBER(资金流水!$B$1580),ISNUMBER(资金流水!$S$1580),资金流水!$S$1580&gt;=_辅助!$J$4,资金流水!$S$1580&lt;=_辅助!$J$2,OR(资金流水!$X$1580="应付材料款",资金流水!$X$1580="应付分包款",资金流水!$X$1580="应付机械运输费",资金流水!$X$1580="应付其他款")),INT(资金流水!$B$1580)*10000+1575,"")</f>
      </c>
    </row>
    <row r="1577">
      <c r="BD1577" s="2">
        <f>IF(AND($C$130&lt;&gt;"",资金流水!$J$1581=$C$130,ISNUMBER(资金流水!$B$1581),ISNUMBER(资金流水!$S$1581),资金流水!$S$1581&gt;=_辅助!$J$4,资金流水!$S$1581&lt;=_辅助!$J$2,OR(资金流水!$X$1581="应付材料款",资金流水!$X$1581="应付分包款",资金流水!$X$1581="应付机械运输费",资金流水!$X$1581="应付其他款")),INT(资金流水!$B$1581)*10000+1576,"")</f>
      </c>
    </row>
    <row r="1578">
      <c r="BD1578" s="2">
        <f>IF(AND($C$130&lt;&gt;"",资金流水!$J$1582=$C$130,ISNUMBER(资金流水!$B$1582),ISNUMBER(资金流水!$S$1582),资金流水!$S$1582&gt;=_辅助!$J$4,资金流水!$S$1582&lt;=_辅助!$J$2,OR(资金流水!$X$1582="应付材料款",资金流水!$X$1582="应付分包款",资金流水!$X$1582="应付机械运输费",资金流水!$X$1582="应付其他款")),INT(资金流水!$B$1582)*10000+1577,"")</f>
      </c>
    </row>
    <row r="1579">
      <c r="BD1579" s="2">
        <f>IF(AND($C$130&lt;&gt;"",资金流水!$J$1583=$C$130,ISNUMBER(资金流水!$B$1583),ISNUMBER(资金流水!$S$1583),资金流水!$S$1583&gt;=_辅助!$J$4,资金流水!$S$1583&lt;=_辅助!$J$2,OR(资金流水!$X$1583="应付材料款",资金流水!$X$1583="应付分包款",资金流水!$X$1583="应付机械运输费",资金流水!$X$1583="应付其他款")),INT(资金流水!$B$1583)*10000+1578,"")</f>
      </c>
    </row>
    <row r="1580">
      <c r="BD1580" s="2">
        <f>IF(AND($C$130&lt;&gt;"",资金流水!$J$1584=$C$130,ISNUMBER(资金流水!$B$1584),ISNUMBER(资金流水!$S$1584),资金流水!$S$1584&gt;=_辅助!$J$4,资金流水!$S$1584&lt;=_辅助!$J$2,OR(资金流水!$X$1584="应付材料款",资金流水!$X$1584="应付分包款",资金流水!$X$1584="应付机械运输费",资金流水!$X$1584="应付其他款")),INT(资金流水!$B$1584)*10000+1579,"")</f>
      </c>
    </row>
    <row r="1581">
      <c r="BD1581" s="2">
        <f>IF(AND($C$130&lt;&gt;"",资金流水!$J$1585=$C$130,ISNUMBER(资金流水!$B$1585),ISNUMBER(资金流水!$S$1585),资金流水!$S$1585&gt;=_辅助!$J$4,资金流水!$S$1585&lt;=_辅助!$J$2,OR(资金流水!$X$1585="应付材料款",资金流水!$X$1585="应付分包款",资金流水!$X$1585="应付机械运输费",资金流水!$X$1585="应付其他款")),INT(资金流水!$B$1585)*10000+1580,"")</f>
      </c>
    </row>
    <row r="1582">
      <c r="BD1582" s="2">
        <f>IF(AND($C$130&lt;&gt;"",资金流水!$J$1586=$C$130,ISNUMBER(资金流水!$B$1586),ISNUMBER(资金流水!$S$1586),资金流水!$S$1586&gt;=_辅助!$J$4,资金流水!$S$1586&lt;=_辅助!$J$2,OR(资金流水!$X$1586="应付材料款",资金流水!$X$1586="应付分包款",资金流水!$X$1586="应付机械运输费",资金流水!$X$1586="应付其他款")),INT(资金流水!$B$1586)*10000+1581,"")</f>
      </c>
    </row>
    <row r="1583">
      <c r="BD1583" s="2">
        <f>IF(AND($C$130&lt;&gt;"",资金流水!$J$1587=$C$130,ISNUMBER(资金流水!$B$1587),ISNUMBER(资金流水!$S$1587),资金流水!$S$1587&gt;=_辅助!$J$4,资金流水!$S$1587&lt;=_辅助!$J$2,OR(资金流水!$X$1587="应付材料款",资金流水!$X$1587="应付分包款",资金流水!$X$1587="应付机械运输费",资金流水!$X$1587="应付其他款")),INT(资金流水!$B$1587)*10000+1582,"")</f>
      </c>
    </row>
    <row r="1584">
      <c r="BD1584" s="2">
        <f>IF(AND($C$130&lt;&gt;"",资金流水!$J$1588=$C$130,ISNUMBER(资金流水!$B$1588),ISNUMBER(资金流水!$S$1588),资金流水!$S$1588&gt;=_辅助!$J$4,资金流水!$S$1588&lt;=_辅助!$J$2,OR(资金流水!$X$1588="应付材料款",资金流水!$X$1588="应付分包款",资金流水!$X$1588="应付机械运输费",资金流水!$X$1588="应付其他款")),INT(资金流水!$B$1588)*10000+1583,"")</f>
      </c>
    </row>
    <row r="1585">
      <c r="BD1585" s="2">
        <f>IF(AND($C$130&lt;&gt;"",资金流水!$J$1589=$C$130,ISNUMBER(资金流水!$B$1589),ISNUMBER(资金流水!$S$1589),资金流水!$S$1589&gt;=_辅助!$J$4,资金流水!$S$1589&lt;=_辅助!$J$2,OR(资金流水!$X$1589="应付材料款",资金流水!$X$1589="应付分包款",资金流水!$X$1589="应付机械运输费",资金流水!$X$1589="应付其他款")),INT(资金流水!$B$1589)*10000+1584,"")</f>
      </c>
    </row>
    <row r="1586">
      <c r="BD1586" s="2">
        <f>IF(AND($C$130&lt;&gt;"",资金流水!$J$1590=$C$130,ISNUMBER(资金流水!$B$1590),ISNUMBER(资金流水!$S$1590),资金流水!$S$1590&gt;=_辅助!$J$4,资金流水!$S$1590&lt;=_辅助!$J$2,OR(资金流水!$X$1590="应付材料款",资金流水!$X$1590="应付分包款",资金流水!$X$1590="应付机械运输费",资金流水!$X$1590="应付其他款")),INT(资金流水!$B$1590)*10000+1585,"")</f>
      </c>
    </row>
    <row r="1587">
      <c r="BD1587" s="2">
        <f>IF(AND($C$130&lt;&gt;"",资金流水!$J$1591=$C$130,ISNUMBER(资金流水!$B$1591),ISNUMBER(资金流水!$S$1591),资金流水!$S$1591&gt;=_辅助!$J$4,资金流水!$S$1591&lt;=_辅助!$J$2,OR(资金流水!$X$1591="应付材料款",资金流水!$X$1591="应付分包款",资金流水!$X$1591="应付机械运输费",资金流水!$X$1591="应付其他款")),INT(资金流水!$B$1591)*10000+1586,"")</f>
      </c>
    </row>
    <row r="1588">
      <c r="BD1588" s="2">
        <f>IF(AND($C$130&lt;&gt;"",资金流水!$J$1592=$C$130,ISNUMBER(资金流水!$B$1592),ISNUMBER(资金流水!$S$1592),资金流水!$S$1592&gt;=_辅助!$J$4,资金流水!$S$1592&lt;=_辅助!$J$2,OR(资金流水!$X$1592="应付材料款",资金流水!$X$1592="应付分包款",资金流水!$X$1592="应付机械运输费",资金流水!$X$1592="应付其他款")),INT(资金流水!$B$1592)*10000+1587,"")</f>
      </c>
    </row>
    <row r="1589">
      <c r="BD1589" s="2">
        <f>IF(AND($C$130&lt;&gt;"",资金流水!$J$1593=$C$130,ISNUMBER(资金流水!$B$1593),ISNUMBER(资金流水!$S$1593),资金流水!$S$1593&gt;=_辅助!$J$4,资金流水!$S$1593&lt;=_辅助!$J$2,OR(资金流水!$X$1593="应付材料款",资金流水!$X$1593="应付分包款",资金流水!$X$1593="应付机械运输费",资金流水!$X$1593="应付其他款")),INT(资金流水!$B$1593)*10000+1588,"")</f>
      </c>
    </row>
    <row r="1590">
      <c r="BD1590" s="2">
        <f>IF(AND($C$130&lt;&gt;"",资金流水!$J$1594=$C$130,ISNUMBER(资金流水!$B$1594),ISNUMBER(资金流水!$S$1594),资金流水!$S$1594&gt;=_辅助!$J$4,资金流水!$S$1594&lt;=_辅助!$J$2,OR(资金流水!$X$1594="应付材料款",资金流水!$X$1594="应付分包款",资金流水!$X$1594="应付机械运输费",资金流水!$X$1594="应付其他款")),INT(资金流水!$B$1594)*10000+1589,"")</f>
      </c>
    </row>
    <row r="1591">
      <c r="BD1591" s="2">
        <f>IF(AND($C$130&lt;&gt;"",资金流水!$J$1595=$C$130,ISNUMBER(资金流水!$B$1595),ISNUMBER(资金流水!$S$1595),资金流水!$S$1595&gt;=_辅助!$J$4,资金流水!$S$1595&lt;=_辅助!$J$2,OR(资金流水!$X$1595="应付材料款",资金流水!$X$1595="应付分包款",资金流水!$X$1595="应付机械运输费",资金流水!$X$1595="应付其他款")),INT(资金流水!$B$1595)*10000+1590,"")</f>
      </c>
    </row>
    <row r="1592">
      <c r="BD1592" s="2">
        <f>IF(AND($C$130&lt;&gt;"",资金流水!$J$1596=$C$130,ISNUMBER(资金流水!$B$1596),ISNUMBER(资金流水!$S$1596),资金流水!$S$1596&gt;=_辅助!$J$4,资金流水!$S$1596&lt;=_辅助!$J$2,OR(资金流水!$X$1596="应付材料款",资金流水!$X$1596="应付分包款",资金流水!$X$1596="应付机械运输费",资金流水!$X$1596="应付其他款")),INT(资金流水!$B$1596)*10000+1591,"")</f>
      </c>
    </row>
    <row r="1593">
      <c r="BD1593" s="2">
        <f>IF(AND($C$130&lt;&gt;"",资金流水!$J$1597=$C$130,ISNUMBER(资金流水!$B$1597),ISNUMBER(资金流水!$S$1597),资金流水!$S$1597&gt;=_辅助!$J$4,资金流水!$S$1597&lt;=_辅助!$J$2,OR(资金流水!$X$1597="应付材料款",资金流水!$X$1597="应付分包款",资金流水!$X$1597="应付机械运输费",资金流水!$X$1597="应付其他款")),INT(资金流水!$B$1597)*10000+1592,"")</f>
      </c>
    </row>
    <row r="1594">
      <c r="BD1594" s="2">
        <f>IF(AND($C$130&lt;&gt;"",资金流水!$J$1598=$C$130,ISNUMBER(资金流水!$B$1598),ISNUMBER(资金流水!$S$1598),资金流水!$S$1598&gt;=_辅助!$J$4,资金流水!$S$1598&lt;=_辅助!$J$2,OR(资金流水!$X$1598="应付材料款",资金流水!$X$1598="应付分包款",资金流水!$X$1598="应付机械运输费",资金流水!$X$1598="应付其他款")),INT(资金流水!$B$1598)*10000+1593,"")</f>
      </c>
    </row>
    <row r="1595">
      <c r="BD1595" s="2">
        <f>IF(AND($C$130&lt;&gt;"",资金流水!$J$1599=$C$130,ISNUMBER(资金流水!$B$1599),ISNUMBER(资金流水!$S$1599),资金流水!$S$1599&gt;=_辅助!$J$4,资金流水!$S$1599&lt;=_辅助!$J$2,OR(资金流水!$X$1599="应付材料款",资金流水!$X$1599="应付分包款",资金流水!$X$1599="应付机械运输费",资金流水!$X$1599="应付其他款")),INT(资金流水!$B$1599)*10000+1594,"")</f>
      </c>
    </row>
    <row r="1596">
      <c r="BD1596" s="2">
        <f>IF(AND($C$130&lt;&gt;"",资金流水!$J$1600=$C$130,ISNUMBER(资金流水!$B$1600),ISNUMBER(资金流水!$S$1600),资金流水!$S$1600&gt;=_辅助!$J$4,资金流水!$S$1600&lt;=_辅助!$J$2,OR(资金流水!$X$1600="应付材料款",资金流水!$X$1600="应付分包款",资金流水!$X$1600="应付机械运输费",资金流水!$X$1600="应付其他款")),INT(资金流水!$B$1600)*10000+1595,"")</f>
      </c>
    </row>
    <row r="1597">
      <c r="BD1597" s="2">
        <f>IF(AND($C$130&lt;&gt;"",资金流水!$J$1601=$C$130,ISNUMBER(资金流水!$B$1601),ISNUMBER(资金流水!$S$1601),资金流水!$S$1601&gt;=_辅助!$J$4,资金流水!$S$1601&lt;=_辅助!$J$2,OR(资金流水!$X$1601="应付材料款",资金流水!$X$1601="应付分包款",资金流水!$X$1601="应付机械运输费",资金流水!$X$1601="应付其他款")),INT(资金流水!$B$1601)*10000+1596,"")</f>
      </c>
    </row>
    <row r="1598">
      <c r="BD1598" s="2">
        <f>IF(AND($C$130&lt;&gt;"",资金流水!$J$1602=$C$130,ISNUMBER(资金流水!$B$1602),ISNUMBER(资金流水!$S$1602),资金流水!$S$1602&gt;=_辅助!$J$4,资金流水!$S$1602&lt;=_辅助!$J$2,OR(资金流水!$X$1602="应付材料款",资金流水!$X$1602="应付分包款",资金流水!$X$1602="应付机械运输费",资金流水!$X$1602="应付其他款")),INT(资金流水!$B$1602)*10000+1597,"")</f>
      </c>
    </row>
    <row r="1599">
      <c r="BD1599" s="2">
        <f>IF(AND($C$130&lt;&gt;"",资金流水!$J$1603=$C$130,ISNUMBER(资金流水!$B$1603),ISNUMBER(资金流水!$S$1603),资金流水!$S$1603&gt;=_辅助!$J$4,资金流水!$S$1603&lt;=_辅助!$J$2,OR(资金流水!$X$1603="应付材料款",资金流水!$X$1603="应付分包款",资金流水!$X$1603="应付机械运输费",资金流水!$X$1603="应付其他款")),INT(资金流水!$B$1603)*10000+1598,"")</f>
      </c>
    </row>
    <row r="1600">
      <c r="BD1600" s="2">
        <f>IF(AND($C$130&lt;&gt;"",资金流水!$J$1604=$C$130,ISNUMBER(资金流水!$B$1604),ISNUMBER(资金流水!$S$1604),资金流水!$S$1604&gt;=_辅助!$J$4,资金流水!$S$1604&lt;=_辅助!$J$2,OR(资金流水!$X$1604="应付材料款",资金流水!$X$1604="应付分包款",资金流水!$X$1604="应付机械运输费",资金流水!$X$1604="应付其他款")),INT(资金流水!$B$1604)*10000+1599,"")</f>
      </c>
    </row>
    <row r="1601">
      <c r="BD1601" s="2">
        <f>IF(AND($C$130&lt;&gt;"",资金流水!$J$1605=$C$130,ISNUMBER(资金流水!$B$1605),ISNUMBER(资金流水!$S$1605),资金流水!$S$1605&gt;=_辅助!$J$4,资金流水!$S$1605&lt;=_辅助!$J$2,OR(资金流水!$X$1605="应付材料款",资金流水!$X$1605="应付分包款",资金流水!$X$1605="应付机械运输费",资金流水!$X$1605="应付其他款")),INT(资金流水!$B$1605)*10000+1600,"")</f>
      </c>
    </row>
    <row r="1602">
      <c r="BD1602" s="2">
        <f>IF(AND($C$130&lt;&gt;"",资金流水!$J$1606=$C$130,ISNUMBER(资金流水!$B$1606),ISNUMBER(资金流水!$S$1606),资金流水!$S$1606&gt;=_辅助!$J$4,资金流水!$S$1606&lt;=_辅助!$J$2,OR(资金流水!$X$1606="应付材料款",资金流水!$X$1606="应付分包款",资金流水!$X$1606="应付机械运输费",资金流水!$X$1606="应付其他款")),INT(资金流水!$B$1606)*10000+1601,"")</f>
      </c>
    </row>
    <row r="1603">
      <c r="BD1603" s="2">
        <f>IF(AND($C$130&lt;&gt;"",资金流水!$J$1607=$C$130,ISNUMBER(资金流水!$B$1607),ISNUMBER(资金流水!$S$1607),资金流水!$S$1607&gt;=_辅助!$J$4,资金流水!$S$1607&lt;=_辅助!$J$2,OR(资金流水!$X$1607="应付材料款",资金流水!$X$1607="应付分包款",资金流水!$X$1607="应付机械运输费",资金流水!$X$1607="应付其他款")),INT(资金流水!$B$1607)*10000+1602,"")</f>
      </c>
    </row>
    <row r="1604">
      <c r="BD1604" s="2">
        <f>IF(AND($C$130&lt;&gt;"",资金流水!$J$1608=$C$130,ISNUMBER(资金流水!$B$1608),ISNUMBER(资金流水!$S$1608),资金流水!$S$1608&gt;=_辅助!$J$4,资金流水!$S$1608&lt;=_辅助!$J$2,OR(资金流水!$X$1608="应付材料款",资金流水!$X$1608="应付分包款",资金流水!$X$1608="应付机械运输费",资金流水!$X$1608="应付其他款")),INT(资金流水!$B$1608)*10000+1603,"")</f>
      </c>
    </row>
    <row r="1605">
      <c r="BD1605" s="2">
        <f>IF(AND($C$130&lt;&gt;"",资金流水!$J$1609=$C$130,ISNUMBER(资金流水!$B$1609),ISNUMBER(资金流水!$S$1609),资金流水!$S$1609&gt;=_辅助!$J$4,资金流水!$S$1609&lt;=_辅助!$J$2,OR(资金流水!$X$1609="应付材料款",资金流水!$X$1609="应付分包款",资金流水!$X$1609="应付机械运输费",资金流水!$X$1609="应付其他款")),INT(资金流水!$B$1609)*10000+1604,"")</f>
      </c>
    </row>
    <row r="1606">
      <c r="BD1606" s="2">
        <f>IF(AND($C$130&lt;&gt;"",资金流水!$J$1610=$C$130,ISNUMBER(资金流水!$B$1610),ISNUMBER(资金流水!$S$1610),资金流水!$S$1610&gt;=_辅助!$J$4,资金流水!$S$1610&lt;=_辅助!$J$2,OR(资金流水!$X$1610="应付材料款",资金流水!$X$1610="应付分包款",资金流水!$X$1610="应付机械运输费",资金流水!$X$1610="应付其他款")),INT(资金流水!$B$1610)*10000+1605,"")</f>
      </c>
    </row>
    <row r="1607">
      <c r="BD1607" s="2">
        <f>IF(AND($C$130&lt;&gt;"",资金流水!$J$1611=$C$130,ISNUMBER(资金流水!$B$1611),ISNUMBER(资金流水!$S$1611),资金流水!$S$1611&gt;=_辅助!$J$4,资金流水!$S$1611&lt;=_辅助!$J$2,OR(资金流水!$X$1611="应付材料款",资金流水!$X$1611="应付分包款",资金流水!$X$1611="应付机械运输费",资金流水!$X$1611="应付其他款")),INT(资金流水!$B$1611)*10000+1606,"")</f>
      </c>
    </row>
    <row r="1608">
      <c r="BD1608" s="2">
        <f>IF(AND($C$130&lt;&gt;"",资金流水!$J$1612=$C$130,ISNUMBER(资金流水!$B$1612),ISNUMBER(资金流水!$S$1612),资金流水!$S$1612&gt;=_辅助!$J$4,资金流水!$S$1612&lt;=_辅助!$J$2,OR(资金流水!$X$1612="应付材料款",资金流水!$X$1612="应付分包款",资金流水!$X$1612="应付机械运输费",资金流水!$X$1612="应付其他款")),INT(资金流水!$B$1612)*10000+1607,"")</f>
      </c>
    </row>
    <row r="1609">
      <c r="BD1609" s="2">
        <f>IF(AND($C$130&lt;&gt;"",资金流水!$J$1613=$C$130,ISNUMBER(资金流水!$B$1613),ISNUMBER(资金流水!$S$1613),资金流水!$S$1613&gt;=_辅助!$J$4,资金流水!$S$1613&lt;=_辅助!$J$2,OR(资金流水!$X$1613="应付材料款",资金流水!$X$1613="应付分包款",资金流水!$X$1613="应付机械运输费",资金流水!$X$1613="应付其他款")),INT(资金流水!$B$1613)*10000+1608,"")</f>
      </c>
    </row>
    <row r="1610">
      <c r="BD1610" s="2">
        <f>IF(AND($C$130&lt;&gt;"",资金流水!$J$1614=$C$130,ISNUMBER(资金流水!$B$1614),ISNUMBER(资金流水!$S$1614),资金流水!$S$1614&gt;=_辅助!$J$4,资金流水!$S$1614&lt;=_辅助!$J$2,OR(资金流水!$X$1614="应付材料款",资金流水!$X$1614="应付分包款",资金流水!$X$1614="应付机械运输费",资金流水!$X$1614="应付其他款")),INT(资金流水!$B$1614)*10000+1609,"")</f>
      </c>
    </row>
    <row r="1611">
      <c r="BD1611" s="2">
        <f>IF(AND($C$130&lt;&gt;"",资金流水!$J$1615=$C$130,ISNUMBER(资金流水!$B$1615),ISNUMBER(资金流水!$S$1615),资金流水!$S$1615&gt;=_辅助!$J$4,资金流水!$S$1615&lt;=_辅助!$J$2,OR(资金流水!$X$1615="应付材料款",资金流水!$X$1615="应付分包款",资金流水!$X$1615="应付机械运输费",资金流水!$X$1615="应付其他款")),INT(资金流水!$B$1615)*10000+1610,"")</f>
      </c>
    </row>
    <row r="1612">
      <c r="BD1612" s="2">
        <f>IF(AND($C$130&lt;&gt;"",资金流水!$J$1616=$C$130,ISNUMBER(资金流水!$B$1616),ISNUMBER(资金流水!$S$1616),资金流水!$S$1616&gt;=_辅助!$J$4,资金流水!$S$1616&lt;=_辅助!$J$2,OR(资金流水!$X$1616="应付材料款",资金流水!$X$1616="应付分包款",资金流水!$X$1616="应付机械运输费",资金流水!$X$1616="应付其他款")),INT(资金流水!$B$1616)*10000+1611,"")</f>
      </c>
    </row>
    <row r="1613">
      <c r="BD1613" s="2">
        <f>IF(AND($C$130&lt;&gt;"",资金流水!$J$1617=$C$130,ISNUMBER(资金流水!$B$1617),ISNUMBER(资金流水!$S$1617),资金流水!$S$1617&gt;=_辅助!$J$4,资金流水!$S$1617&lt;=_辅助!$J$2,OR(资金流水!$X$1617="应付材料款",资金流水!$X$1617="应付分包款",资金流水!$X$1617="应付机械运输费",资金流水!$X$1617="应付其他款")),INT(资金流水!$B$1617)*10000+1612,"")</f>
      </c>
    </row>
    <row r="1614">
      <c r="BD1614" s="2">
        <f>IF(AND($C$130&lt;&gt;"",资金流水!$J$1618=$C$130,ISNUMBER(资金流水!$B$1618),ISNUMBER(资金流水!$S$1618),资金流水!$S$1618&gt;=_辅助!$J$4,资金流水!$S$1618&lt;=_辅助!$J$2,OR(资金流水!$X$1618="应付材料款",资金流水!$X$1618="应付分包款",资金流水!$X$1618="应付机械运输费",资金流水!$X$1618="应付其他款")),INT(资金流水!$B$1618)*10000+1613,"")</f>
      </c>
    </row>
    <row r="1615">
      <c r="BD1615" s="2">
        <f>IF(AND($C$130&lt;&gt;"",资金流水!$J$1619=$C$130,ISNUMBER(资金流水!$B$1619),ISNUMBER(资金流水!$S$1619),资金流水!$S$1619&gt;=_辅助!$J$4,资金流水!$S$1619&lt;=_辅助!$J$2,OR(资金流水!$X$1619="应付材料款",资金流水!$X$1619="应付分包款",资金流水!$X$1619="应付机械运输费",资金流水!$X$1619="应付其他款")),INT(资金流水!$B$1619)*10000+1614,"")</f>
      </c>
    </row>
    <row r="1616">
      <c r="BD1616" s="2">
        <f>IF(AND($C$130&lt;&gt;"",资金流水!$J$1620=$C$130,ISNUMBER(资金流水!$B$1620),ISNUMBER(资金流水!$S$1620),资金流水!$S$1620&gt;=_辅助!$J$4,资金流水!$S$1620&lt;=_辅助!$J$2,OR(资金流水!$X$1620="应付材料款",资金流水!$X$1620="应付分包款",资金流水!$X$1620="应付机械运输费",资金流水!$X$1620="应付其他款")),INT(资金流水!$B$1620)*10000+1615,"")</f>
      </c>
    </row>
    <row r="1617">
      <c r="BD1617" s="2">
        <f>IF(AND($C$130&lt;&gt;"",资金流水!$J$1621=$C$130,ISNUMBER(资金流水!$B$1621),ISNUMBER(资金流水!$S$1621),资金流水!$S$1621&gt;=_辅助!$J$4,资金流水!$S$1621&lt;=_辅助!$J$2,OR(资金流水!$X$1621="应付材料款",资金流水!$X$1621="应付分包款",资金流水!$X$1621="应付机械运输费",资金流水!$X$1621="应付其他款")),INT(资金流水!$B$1621)*10000+1616,"")</f>
      </c>
    </row>
    <row r="1618">
      <c r="BD1618" s="2">
        <f>IF(AND($C$130&lt;&gt;"",资金流水!$J$1622=$C$130,ISNUMBER(资金流水!$B$1622),ISNUMBER(资金流水!$S$1622),资金流水!$S$1622&gt;=_辅助!$J$4,资金流水!$S$1622&lt;=_辅助!$J$2,OR(资金流水!$X$1622="应付材料款",资金流水!$X$1622="应付分包款",资金流水!$X$1622="应付机械运输费",资金流水!$X$1622="应付其他款")),INT(资金流水!$B$1622)*10000+1617,"")</f>
      </c>
    </row>
    <row r="1619">
      <c r="BD1619" s="2">
        <f>IF(AND($C$130&lt;&gt;"",资金流水!$J$1623=$C$130,ISNUMBER(资金流水!$B$1623),ISNUMBER(资金流水!$S$1623),资金流水!$S$1623&gt;=_辅助!$J$4,资金流水!$S$1623&lt;=_辅助!$J$2,OR(资金流水!$X$1623="应付材料款",资金流水!$X$1623="应付分包款",资金流水!$X$1623="应付机械运输费",资金流水!$X$1623="应付其他款")),INT(资金流水!$B$1623)*10000+1618,"")</f>
      </c>
    </row>
    <row r="1620">
      <c r="BD1620" s="2">
        <f>IF(AND($C$130&lt;&gt;"",资金流水!$J$1624=$C$130,ISNUMBER(资金流水!$B$1624),ISNUMBER(资金流水!$S$1624),资金流水!$S$1624&gt;=_辅助!$J$4,资金流水!$S$1624&lt;=_辅助!$J$2,OR(资金流水!$X$1624="应付材料款",资金流水!$X$1624="应付分包款",资金流水!$X$1624="应付机械运输费",资金流水!$X$1624="应付其他款")),INT(资金流水!$B$1624)*10000+1619,"")</f>
      </c>
    </row>
    <row r="1621">
      <c r="BD1621" s="2">
        <f>IF(AND($C$130&lt;&gt;"",资金流水!$J$1625=$C$130,ISNUMBER(资金流水!$B$1625),ISNUMBER(资金流水!$S$1625),资金流水!$S$1625&gt;=_辅助!$J$4,资金流水!$S$1625&lt;=_辅助!$J$2,OR(资金流水!$X$1625="应付材料款",资金流水!$X$1625="应付分包款",资金流水!$X$1625="应付机械运输费",资金流水!$X$1625="应付其他款")),INT(资金流水!$B$1625)*10000+1620,"")</f>
      </c>
    </row>
    <row r="1622">
      <c r="BD1622" s="2">
        <f>IF(AND($C$130&lt;&gt;"",资金流水!$J$1626=$C$130,ISNUMBER(资金流水!$B$1626),ISNUMBER(资金流水!$S$1626),资金流水!$S$1626&gt;=_辅助!$J$4,资金流水!$S$1626&lt;=_辅助!$J$2,OR(资金流水!$X$1626="应付材料款",资金流水!$X$1626="应付分包款",资金流水!$X$1626="应付机械运输费",资金流水!$X$1626="应付其他款")),INT(资金流水!$B$1626)*10000+1621,"")</f>
      </c>
    </row>
    <row r="1623">
      <c r="BD1623" s="2">
        <f>IF(AND($C$130&lt;&gt;"",资金流水!$J$1627=$C$130,ISNUMBER(资金流水!$B$1627),ISNUMBER(资金流水!$S$1627),资金流水!$S$1627&gt;=_辅助!$J$4,资金流水!$S$1627&lt;=_辅助!$J$2,OR(资金流水!$X$1627="应付材料款",资金流水!$X$1627="应付分包款",资金流水!$X$1627="应付机械运输费",资金流水!$X$1627="应付其他款")),INT(资金流水!$B$1627)*10000+1622,"")</f>
      </c>
    </row>
    <row r="1624">
      <c r="BD1624" s="2">
        <f>IF(AND($C$130&lt;&gt;"",资金流水!$J$1628=$C$130,ISNUMBER(资金流水!$B$1628),ISNUMBER(资金流水!$S$1628),资金流水!$S$1628&gt;=_辅助!$J$4,资金流水!$S$1628&lt;=_辅助!$J$2,OR(资金流水!$X$1628="应付材料款",资金流水!$X$1628="应付分包款",资金流水!$X$1628="应付机械运输费",资金流水!$X$1628="应付其他款")),INT(资金流水!$B$1628)*10000+1623,"")</f>
      </c>
    </row>
    <row r="1625">
      <c r="BD1625" s="2">
        <f>IF(AND($C$130&lt;&gt;"",资金流水!$J$1629=$C$130,ISNUMBER(资金流水!$B$1629),ISNUMBER(资金流水!$S$1629),资金流水!$S$1629&gt;=_辅助!$J$4,资金流水!$S$1629&lt;=_辅助!$J$2,OR(资金流水!$X$1629="应付材料款",资金流水!$X$1629="应付分包款",资金流水!$X$1629="应付机械运输费",资金流水!$X$1629="应付其他款")),INT(资金流水!$B$1629)*10000+1624,"")</f>
      </c>
    </row>
    <row r="1626">
      <c r="BD1626" s="2">
        <f>IF(AND($C$130&lt;&gt;"",资金流水!$J$1630=$C$130,ISNUMBER(资金流水!$B$1630),ISNUMBER(资金流水!$S$1630),资金流水!$S$1630&gt;=_辅助!$J$4,资金流水!$S$1630&lt;=_辅助!$J$2,OR(资金流水!$X$1630="应付材料款",资金流水!$X$1630="应付分包款",资金流水!$X$1630="应付机械运输费",资金流水!$X$1630="应付其他款")),INT(资金流水!$B$1630)*10000+1625,"")</f>
      </c>
    </row>
    <row r="1627">
      <c r="BD1627" s="2">
        <f>IF(AND($C$130&lt;&gt;"",资金流水!$J$1631=$C$130,ISNUMBER(资金流水!$B$1631),ISNUMBER(资金流水!$S$1631),资金流水!$S$1631&gt;=_辅助!$J$4,资金流水!$S$1631&lt;=_辅助!$J$2,OR(资金流水!$X$1631="应付材料款",资金流水!$X$1631="应付分包款",资金流水!$X$1631="应付机械运输费",资金流水!$X$1631="应付其他款")),INT(资金流水!$B$1631)*10000+1626,"")</f>
      </c>
    </row>
    <row r="1628">
      <c r="BD1628" s="2">
        <f>IF(AND($C$130&lt;&gt;"",资金流水!$J$1632=$C$130,ISNUMBER(资金流水!$B$1632),ISNUMBER(资金流水!$S$1632),资金流水!$S$1632&gt;=_辅助!$J$4,资金流水!$S$1632&lt;=_辅助!$J$2,OR(资金流水!$X$1632="应付材料款",资金流水!$X$1632="应付分包款",资金流水!$X$1632="应付机械运输费",资金流水!$X$1632="应付其他款")),INT(资金流水!$B$1632)*10000+1627,"")</f>
      </c>
    </row>
    <row r="1629">
      <c r="BD1629" s="2">
        <f>IF(AND($C$130&lt;&gt;"",资金流水!$J$1633=$C$130,ISNUMBER(资金流水!$B$1633),ISNUMBER(资金流水!$S$1633),资金流水!$S$1633&gt;=_辅助!$J$4,资金流水!$S$1633&lt;=_辅助!$J$2,OR(资金流水!$X$1633="应付材料款",资金流水!$X$1633="应付分包款",资金流水!$X$1633="应付机械运输费",资金流水!$X$1633="应付其他款")),INT(资金流水!$B$1633)*10000+1628,"")</f>
      </c>
    </row>
    <row r="1630">
      <c r="BD1630" s="2">
        <f>IF(AND($C$130&lt;&gt;"",资金流水!$J$1634=$C$130,ISNUMBER(资金流水!$B$1634),ISNUMBER(资金流水!$S$1634),资金流水!$S$1634&gt;=_辅助!$J$4,资金流水!$S$1634&lt;=_辅助!$J$2,OR(资金流水!$X$1634="应付材料款",资金流水!$X$1634="应付分包款",资金流水!$X$1634="应付机械运输费",资金流水!$X$1634="应付其他款")),INT(资金流水!$B$1634)*10000+1629,"")</f>
      </c>
    </row>
    <row r="1631">
      <c r="BD1631" s="2">
        <f>IF(AND($C$130&lt;&gt;"",资金流水!$J$1635=$C$130,ISNUMBER(资金流水!$B$1635),ISNUMBER(资金流水!$S$1635),资金流水!$S$1635&gt;=_辅助!$J$4,资金流水!$S$1635&lt;=_辅助!$J$2,OR(资金流水!$X$1635="应付材料款",资金流水!$X$1635="应付分包款",资金流水!$X$1635="应付机械运输费",资金流水!$X$1635="应付其他款")),INT(资金流水!$B$1635)*10000+1630,"")</f>
      </c>
    </row>
    <row r="1632">
      <c r="BD1632" s="2">
        <f>IF(AND($C$130&lt;&gt;"",资金流水!$J$1636=$C$130,ISNUMBER(资金流水!$B$1636),ISNUMBER(资金流水!$S$1636),资金流水!$S$1636&gt;=_辅助!$J$4,资金流水!$S$1636&lt;=_辅助!$J$2,OR(资金流水!$X$1636="应付材料款",资金流水!$X$1636="应付分包款",资金流水!$X$1636="应付机械运输费",资金流水!$X$1636="应付其他款")),INT(资金流水!$B$1636)*10000+1631,"")</f>
      </c>
    </row>
    <row r="1633">
      <c r="BD1633" s="2">
        <f>IF(AND($C$130&lt;&gt;"",资金流水!$J$1637=$C$130,ISNUMBER(资金流水!$B$1637),ISNUMBER(资金流水!$S$1637),资金流水!$S$1637&gt;=_辅助!$J$4,资金流水!$S$1637&lt;=_辅助!$J$2,OR(资金流水!$X$1637="应付材料款",资金流水!$X$1637="应付分包款",资金流水!$X$1637="应付机械运输费",资金流水!$X$1637="应付其他款")),INT(资金流水!$B$1637)*10000+1632,"")</f>
      </c>
    </row>
    <row r="1634">
      <c r="BD1634" s="2">
        <f>IF(AND($C$130&lt;&gt;"",资金流水!$J$1638=$C$130,ISNUMBER(资金流水!$B$1638),ISNUMBER(资金流水!$S$1638),资金流水!$S$1638&gt;=_辅助!$J$4,资金流水!$S$1638&lt;=_辅助!$J$2,OR(资金流水!$X$1638="应付材料款",资金流水!$X$1638="应付分包款",资金流水!$X$1638="应付机械运输费",资金流水!$X$1638="应付其他款")),INT(资金流水!$B$1638)*10000+1633,"")</f>
      </c>
    </row>
    <row r="1635">
      <c r="BD1635" s="2">
        <f>IF(AND($C$130&lt;&gt;"",资金流水!$J$1639=$C$130,ISNUMBER(资金流水!$B$1639),ISNUMBER(资金流水!$S$1639),资金流水!$S$1639&gt;=_辅助!$J$4,资金流水!$S$1639&lt;=_辅助!$J$2,OR(资金流水!$X$1639="应付材料款",资金流水!$X$1639="应付分包款",资金流水!$X$1639="应付机械运输费",资金流水!$X$1639="应付其他款")),INT(资金流水!$B$1639)*10000+1634,"")</f>
      </c>
    </row>
    <row r="1636">
      <c r="BD1636" s="2">
        <f>IF(AND($C$130&lt;&gt;"",资金流水!$J$1640=$C$130,ISNUMBER(资金流水!$B$1640),ISNUMBER(资金流水!$S$1640),资金流水!$S$1640&gt;=_辅助!$J$4,资金流水!$S$1640&lt;=_辅助!$J$2,OR(资金流水!$X$1640="应付材料款",资金流水!$X$1640="应付分包款",资金流水!$X$1640="应付机械运输费",资金流水!$X$1640="应付其他款")),INT(资金流水!$B$1640)*10000+1635,"")</f>
      </c>
    </row>
    <row r="1637">
      <c r="BD1637" s="2">
        <f>IF(AND($C$130&lt;&gt;"",资金流水!$J$1641=$C$130,ISNUMBER(资金流水!$B$1641),ISNUMBER(资金流水!$S$1641),资金流水!$S$1641&gt;=_辅助!$J$4,资金流水!$S$1641&lt;=_辅助!$J$2,OR(资金流水!$X$1641="应付材料款",资金流水!$X$1641="应付分包款",资金流水!$X$1641="应付机械运输费",资金流水!$X$1641="应付其他款")),INT(资金流水!$B$1641)*10000+1636,"")</f>
      </c>
    </row>
    <row r="1638">
      <c r="BD1638" s="2">
        <f>IF(AND($C$130&lt;&gt;"",资金流水!$J$1642=$C$130,ISNUMBER(资金流水!$B$1642),ISNUMBER(资金流水!$S$1642),资金流水!$S$1642&gt;=_辅助!$J$4,资金流水!$S$1642&lt;=_辅助!$J$2,OR(资金流水!$X$1642="应付材料款",资金流水!$X$1642="应付分包款",资金流水!$X$1642="应付机械运输费",资金流水!$X$1642="应付其他款")),INT(资金流水!$B$1642)*10000+1637,"")</f>
      </c>
    </row>
    <row r="1639">
      <c r="BD1639" s="2">
        <f>IF(AND($C$130&lt;&gt;"",资金流水!$J$1643=$C$130,ISNUMBER(资金流水!$B$1643),ISNUMBER(资金流水!$S$1643),资金流水!$S$1643&gt;=_辅助!$J$4,资金流水!$S$1643&lt;=_辅助!$J$2,OR(资金流水!$X$1643="应付材料款",资金流水!$X$1643="应付分包款",资金流水!$X$1643="应付机械运输费",资金流水!$X$1643="应付其他款")),INT(资金流水!$B$1643)*10000+1638,"")</f>
      </c>
    </row>
    <row r="1640">
      <c r="BD1640" s="2">
        <f>IF(AND($C$130&lt;&gt;"",资金流水!$J$1644=$C$130,ISNUMBER(资金流水!$B$1644),ISNUMBER(资金流水!$S$1644),资金流水!$S$1644&gt;=_辅助!$J$4,资金流水!$S$1644&lt;=_辅助!$J$2,OR(资金流水!$X$1644="应付材料款",资金流水!$X$1644="应付分包款",资金流水!$X$1644="应付机械运输费",资金流水!$X$1644="应付其他款")),INT(资金流水!$B$1644)*10000+1639,"")</f>
      </c>
    </row>
    <row r="1641">
      <c r="BD1641" s="2">
        <f>IF(AND($C$130&lt;&gt;"",资金流水!$J$1645=$C$130,ISNUMBER(资金流水!$B$1645),ISNUMBER(资金流水!$S$1645),资金流水!$S$1645&gt;=_辅助!$J$4,资金流水!$S$1645&lt;=_辅助!$J$2,OR(资金流水!$X$1645="应付材料款",资金流水!$X$1645="应付分包款",资金流水!$X$1645="应付机械运输费",资金流水!$X$1645="应付其他款")),INT(资金流水!$B$1645)*10000+1640,"")</f>
      </c>
    </row>
    <row r="1642">
      <c r="BD1642" s="2">
        <f>IF(AND($C$130&lt;&gt;"",资金流水!$J$1646=$C$130,ISNUMBER(资金流水!$B$1646),ISNUMBER(资金流水!$S$1646),资金流水!$S$1646&gt;=_辅助!$J$4,资金流水!$S$1646&lt;=_辅助!$J$2,OR(资金流水!$X$1646="应付材料款",资金流水!$X$1646="应付分包款",资金流水!$X$1646="应付机械运输费",资金流水!$X$1646="应付其他款")),INT(资金流水!$B$1646)*10000+1641,"")</f>
      </c>
    </row>
    <row r="1643">
      <c r="BD1643" s="2">
        <f>IF(AND($C$130&lt;&gt;"",资金流水!$J$1647=$C$130,ISNUMBER(资金流水!$B$1647),ISNUMBER(资金流水!$S$1647),资金流水!$S$1647&gt;=_辅助!$J$4,资金流水!$S$1647&lt;=_辅助!$J$2,OR(资金流水!$X$1647="应付材料款",资金流水!$X$1647="应付分包款",资金流水!$X$1647="应付机械运输费",资金流水!$X$1647="应付其他款")),INT(资金流水!$B$1647)*10000+1642,"")</f>
      </c>
    </row>
    <row r="1644">
      <c r="BD1644" s="2">
        <f>IF(AND($C$130&lt;&gt;"",资金流水!$J$1648=$C$130,ISNUMBER(资金流水!$B$1648),ISNUMBER(资金流水!$S$1648),资金流水!$S$1648&gt;=_辅助!$J$4,资金流水!$S$1648&lt;=_辅助!$J$2,OR(资金流水!$X$1648="应付材料款",资金流水!$X$1648="应付分包款",资金流水!$X$1648="应付机械运输费",资金流水!$X$1648="应付其他款")),INT(资金流水!$B$1648)*10000+1643,"")</f>
      </c>
    </row>
    <row r="1645">
      <c r="BD1645" s="2">
        <f>IF(AND($C$130&lt;&gt;"",资金流水!$J$1649=$C$130,ISNUMBER(资金流水!$B$1649),ISNUMBER(资金流水!$S$1649),资金流水!$S$1649&gt;=_辅助!$J$4,资金流水!$S$1649&lt;=_辅助!$J$2,OR(资金流水!$X$1649="应付材料款",资金流水!$X$1649="应付分包款",资金流水!$X$1649="应付机械运输费",资金流水!$X$1649="应付其他款")),INT(资金流水!$B$1649)*10000+1644,"")</f>
      </c>
    </row>
    <row r="1646">
      <c r="BD1646" s="2">
        <f>IF(AND($C$130&lt;&gt;"",资金流水!$J$1650=$C$130,ISNUMBER(资金流水!$B$1650),ISNUMBER(资金流水!$S$1650),资金流水!$S$1650&gt;=_辅助!$J$4,资金流水!$S$1650&lt;=_辅助!$J$2,OR(资金流水!$X$1650="应付材料款",资金流水!$X$1650="应付分包款",资金流水!$X$1650="应付机械运输费",资金流水!$X$1650="应付其他款")),INT(资金流水!$B$1650)*10000+1645,"")</f>
      </c>
    </row>
    <row r="1647">
      <c r="BD1647" s="2">
        <f>IF(AND($C$130&lt;&gt;"",资金流水!$J$1651=$C$130,ISNUMBER(资金流水!$B$1651),ISNUMBER(资金流水!$S$1651),资金流水!$S$1651&gt;=_辅助!$J$4,资金流水!$S$1651&lt;=_辅助!$J$2,OR(资金流水!$X$1651="应付材料款",资金流水!$X$1651="应付分包款",资金流水!$X$1651="应付机械运输费",资金流水!$X$1651="应付其他款")),INT(资金流水!$B$1651)*10000+1646,"")</f>
      </c>
    </row>
    <row r="1648">
      <c r="BD1648" s="2">
        <f>IF(AND($C$130&lt;&gt;"",资金流水!$J$1652=$C$130,ISNUMBER(资金流水!$B$1652),ISNUMBER(资金流水!$S$1652),资金流水!$S$1652&gt;=_辅助!$J$4,资金流水!$S$1652&lt;=_辅助!$J$2,OR(资金流水!$X$1652="应付材料款",资金流水!$X$1652="应付分包款",资金流水!$X$1652="应付机械运输费",资金流水!$X$1652="应付其他款")),INT(资金流水!$B$1652)*10000+1647,"")</f>
      </c>
    </row>
    <row r="1649">
      <c r="BD1649" s="2">
        <f>IF(AND($C$130&lt;&gt;"",资金流水!$J$1653=$C$130,ISNUMBER(资金流水!$B$1653),ISNUMBER(资金流水!$S$1653),资金流水!$S$1653&gt;=_辅助!$J$4,资金流水!$S$1653&lt;=_辅助!$J$2,OR(资金流水!$X$1653="应付材料款",资金流水!$X$1653="应付分包款",资金流水!$X$1653="应付机械运输费",资金流水!$X$1653="应付其他款")),INT(资金流水!$B$1653)*10000+1648,"")</f>
      </c>
    </row>
    <row r="1650">
      <c r="BD1650" s="2">
        <f>IF(AND($C$130&lt;&gt;"",资金流水!$J$1654=$C$130,ISNUMBER(资金流水!$B$1654),ISNUMBER(资金流水!$S$1654),资金流水!$S$1654&gt;=_辅助!$J$4,资金流水!$S$1654&lt;=_辅助!$J$2,OR(资金流水!$X$1654="应付材料款",资金流水!$X$1654="应付分包款",资金流水!$X$1654="应付机械运输费",资金流水!$X$1654="应付其他款")),INT(资金流水!$B$1654)*10000+1649,"")</f>
      </c>
    </row>
    <row r="1651">
      <c r="BD1651" s="2">
        <f>IF(AND($C$130&lt;&gt;"",资金流水!$J$1655=$C$130,ISNUMBER(资金流水!$B$1655),ISNUMBER(资金流水!$S$1655),资金流水!$S$1655&gt;=_辅助!$J$4,资金流水!$S$1655&lt;=_辅助!$J$2,OR(资金流水!$X$1655="应付材料款",资金流水!$X$1655="应付分包款",资金流水!$X$1655="应付机械运输费",资金流水!$X$1655="应付其他款")),INT(资金流水!$B$1655)*10000+1650,"")</f>
      </c>
    </row>
    <row r="1652">
      <c r="BD1652" s="2">
        <f>IF(AND($C$130&lt;&gt;"",资金流水!$J$1656=$C$130,ISNUMBER(资金流水!$B$1656),ISNUMBER(资金流水!$S$1656),资金流水!$S$1656&gt;=_辅助!$J$4,资金流水!$S$1656&lt;=_辅助!$J$2,OR(资金流水!$X$1656="应付材料款",资金流水!$X$1656="应付分包款",资金流水!$X$1656="应付机械运输费",资金流水!$X$1656="应付其他款")),INT(资金流水!$B$1656)*10000+1651,"")</f>
      </c>
    </row>
    <row r="1653">
      <c r="BD1653" s="2">
        <f>IF(AND($C$130&lt;&gt;"",资金流水!$J$1657=$C$130,ISNUMBER(资金流水!$B$1657),ISNUMBER(资金流水!$S$1657),资金流水!$S$1657&gt;=_辅助!$J$4,资金流水!$S$1657&lt;=_辅助!$J$2,OR(资金流水!$X$1657="应付材料款",资金流水!$X$1657="应付分包款",资金流水!$X$1657="应付机械运输费",资金流水!$X$1657="应付其他款")),INT(资金流水!$B$1657)*10000+1652,"")</f>
      </c>
    </row>
    <row r="1654">
      <c r="BD1654" s="2">
        <f>IF(AND($C$130&lt;&gt;"",资金流水!$J$1658=$C$130,ISNUMBER(资金流水!$B$1658),ISNUMBER(资金流水!$S$1658),资金流水!$S$1658&gt;=_辅助!$J$4,资金流水!$S$1658&lt;=_辅助!$J$2,OR(资金流水!$X$1658="应付材料款",资金流水!$X$1658="应付分包款",资金流水!$X$1658="应付机械运输费",资金流水!$X$1658="应付其他款")),INT(资金流水!$B$1658)*10000+1653,"")</f>
      </c>
    </row>
    <row r="1655">
      <c r="BD1655" s="2">
        <f>IF(AND($C$130&lt;&gt;"",资金流水!$J$1659=$C$130,ISNUMBER(资金流水!$B$1659),ISNUMBER(资金流水!$S$1659),资金流水!$S$1659&gt;=_辅助!$J$4,资金流水!$S$1659&lt;=_辅助!$J$2,OR(资金流水!$X$1659="应付材料款",资金流水!$X$1659="应付分包款",资金流水!$X$1659="应付机械运输费",资金流水!$X$1659="应付其他款")),INT(资金流水!$B$1659)*10000+1654,"")</f>
      </c>
    </row>
    <row r="1656">
      <c r="BD1656" s="2">
        <f>IF(AND($C$130&lt;&gt;"",资金流水!$J$1660=$C$130,ISNUMBER(资金流水!$B$1660),ISNUMBER(资金流水!$S$1660),资金流水!$S$1660&gt;=_辅助!$J$4,资金流水!$S$1660&lt;=_辅助!$J$2,OR(资金流水!$X$1660="应付材料款",资金流水!$X$1660="应付分包款",资金流水!$X$1660="应付机械运输费",资金流水!$X$1660="应付其他款")),INT(资金流水!$B$1660)*10000+1655,"")</f>
      </c>
    </row>
    <row r="1657">
      <c r="BD1657" s="2">
        <f>IF(AND($C$130&lt;&gt;"",资金流水!$J$1661=$C$130,ISNUMBER(资金流水!$B$1661),ISNUMBER(资金流水!$S$1661),资金流水!$S$1661&gt;=_辅助!$J$4,资金流水!$S$1661&lt;=_辅助!$J$2,OR(资金流水!$X$1661="应付材料款",资金流水!$X$1661="应付分包款",资金流水!$X$1661="应付机械运输费",资金流水!$X$1661="应付其他款")),INT(资金流水!$B$1661)*10000+1656,"")</f>
      </c>
    </row>
    <row r="1658">
      <c r="BD1658" s="2">
        <f>IF(AND($C$130&lt;&gt;"",资金流水!$J$1662=$C$130,ISNUMBER(资金流水!$B$1662),ISNUMBER(资金流水!$S$1662),资金流水!$S$1662&gt;=_辅助!$J$4,资金流水!$S$1662&lt;=_辅助!$J$2,OR(资金流水!$X$1662="应付材料款",资金流水!$X$1662="应付分包款",资金流水!$X$1662="应付机械运输费",资金流水!$X$1662="应付其他款")),INT(资金流水!$B$1662)*10000+1657,"")</f>
      </c>
    </row>
    <row r="1659">
      <c r="BD1659" s="2">
        <f>IF(AND($C$130&lt;&gt;"",资金流水!$J$1663=$C$130,ISNUMBER(资金流水!$B$1663),ISNUMBER(资金流水!$S$1663),资金流水!$S$1663&gt;=_辅助!$J$4,资金流水!$S$1663&lt;=_辅助!$J$2,OR(资金流水!$X$1663="应付材料款",资金流水!$X$1663="应付分包款",资金流水!$X$1663="应付机械运输费",资金流水!$X$1663="应付其他款")),INT(资金流水!$B$1663)*10000+1658,"")</f>
      </c>
    </row>
    <row r="1660">
      <c r="BD1660" s="2">
        <f>IF(AND($C$130&lt;&gt;"",资金流水!$J$1664=$C$130,ISNUMBER(资金流水!$B$1664),ISNUMBER(资金流水!$S$1664),资金流水!$S$1664&gt;=_辅助!$J$4,资金流水!$S$1664&lt;=_辅助!$J$2,OR(资金流水!$X$1664="应付材料款",资金流水!$X$1664="应付分包款",资金流水!$X$1664="应付机械运输费",资金流水!$X$1664="应付其他款")),INT(资金流水!$B$1664)*10000+1659,"")</f>
      </c>
    </row>
    <row r="1661">
      <c r="BD1661" s="2">
        <f>IF(AND($C$130&lt;&gt;"",资金流水!$J$1665=$C$130,ISNUMBER(资金流水!$B$1665),ISNUMBER(资金流水!$S$1665),资金流水!$S$1665&gt;=_辅助!$J$4,资金流水!$S$1665&lt;=_辅助!$J$2,OR(资金流水!$X$1665="应付材料款",资金流水!$X$1665="应付分包款",资金流水!$X$1665="应付机械运输费",资金流水!$X$1665="应付其他款")),INT(资金流水!$B$1665)*10000+1660,"")</f>
      </c>
    </row>
    <row r="1662">
      <c r="BD1662" s="2">
        <f>IF(AND($C$130&lt;&gt;"",资金流水!$J$1666=$C$130,ISNUMBER(资金流水!$B$1666),ISNUMBER(资金流水!$S$1666),资金流水!$S$1666&gt;=_辅助!$J$4,资金流水!$S$1666&lt;=_辅助!$J$2,OR(资金流水!$X$1666="应付材料款",资金流水!$X$1666="应付分包款",资金流水!$X$1666="应付机械运输费",资金流水!$X$1666="应付其他款")),INT(资金流水!$B$1666)*10000+1661,"")</f>
      </c>
    </row>
    <row r="1663">
      <c r="BD1663" s="2">
        <f>IF(AND($C$130&lt;&gt;"",资金流水!$J$1667=$C$130,ISNUMBER(资金流水!$B$1667),ISNUMBER(资金流水!$S$1667),资金流水!$S$1667&gt;=_辅助!$J$4,资金流水!$S$1667&lt;=_辅助!$J$2,OR(资金流水!$X$1667="应付材料款",资金流水!$X$1667="应付分包款",资金流水!$X$1667="应付机械运输费",资金流水!$X$1667="应付其他款")),INT(资金流水!$B$1667)*10000+1662,"")</f>
      </c>
    </row>
    <row r="1664">
      <c r="BD1664" s="2">
        <f>IF(AND($C$130&lt;&gt;"",资金流水!$J$1668=$C$130,ISNUMBER(资金流水!$B$1668),ISNUMBER(资金流水!$S$1668),资金流水!$S$1668&gt;=_辅助!$J$4,资金流水!$S$1668&lt;=_辅助!$J$2,OR(资金流水!$X$1668="应付材料款",资金流水!$X$1668="应付分包款",资金流水!$X$1668="应付机械运输费",资金流水!$X$1668="应付其他款")),INT(资金流水!$B$1668)*10000+1663,"")</f>
      </c>
    </row>
    <row r="1665">
      <c r="BD1665" s="2">
        <f>IF(AND($C$130&lt;&gt;"",资金流水!$J$1669=$C$130,ISNUMBER(资金流水!$B$1669),ISNUMBER(资金流水!$S$1669),资金流水!$S$1669&gt;=_辅助!$J$4,资金流水!$S$1669&lt;=_辅助!$J$2,OR(资金流水!$X$1669="应付材料款",资金流水!$X$1669="应付分包款",资金流水!$X$1669="应付机械运输费",资金流水!$X$1669="应付其他款")),INT(资金流水!$B$1669)*10000+1664,"")</f>
      </c>
    </row>
    <row r="1666">
      <c r="BD1666" s="2">
        <f>IF(AND($C$130&lt;&gt;"",资金流水!$J$1670=$C$130,ISNUMBER(资金流水!$B$1670),ISNUMBER(资金流水!$S$1670),资金流水!$S$1670&gt;=_辅助!$J$4,资金流水!$S$1670&lt;=_辅助!$J$2,OR(资金流水!$X$1670="应付材料款",资金流水!$X$1670="应付分包款",资金流水!$X$1670="应付机械运输费",资金流水!$X$1670="应付其他款")),INT(资金流水!$B$1670)*10000+1665,"")</f>
      </c>
    </row>
    <row r="1667">
      <c r="BD1667" s="2">
        <f>IF(AND($C$130&lt;&gt;"",资金流水!$J$1671=$C$130,ISNUMBER(资金流水!$B$1671),ISNUMBER(资金流水!$S$1671),资金流水!$S$1671&gt;=_辅助!$J$4,资金流水!$S$1671&lt;=_辅助!$J$2,OR(资金流水!$X$1671="应付材料款",资金流水!$X$1671="应付分包款",资金流水!$X$1671="应付机械运输费",资金流水!$X$1671="应付其他款")),INT(资金流水!$B$1671)*10000+1666,"")</f>
      </c>
    </row>
    <row r="1668">
      <c r="BD1668" s="2">
        <f>IF(AND($C$130&lt;&gt;"",资金流水!$J$1672=$C$130,ISNUMBER(资金流水!$B$1672),ISNUMBER(资金流水!$S$1672),资金流水!$S$1672&gt;=_辅助!$J$4,资金流水!$S$1672&lt;=_辅助!$J$2,OR(资金流水!$X$1672="应付材料款",资金流水!$X$1672="应付分包款",资金流水!$X$1672="应付机械运输费",资金流水!$X$1672="应付其他款")),INT(资金流水!$B$1672)*10000+1667,"")</f>
      </c>
    </row>
    <row r="1669">
      <c r="BD1669" s="2">
        <f>IF(AND($C$130&lt;&gt;"",资金流水!$J$1673=$C$130,ISNUMBER(资金流水!$B$1673),ISNUMBER(资金流水!$S$1673),资金流水!$S$1673&gt;=_辅助!$J$4,资金流水!$S$1673&lt;=_辅助!$J$2,OR(资金流水!$X$1673="应付材料款",资金流水!$X$1673="应付分包款",资金流水!$X$1673="应付机械运输费",资金流水!$X$1673="应付其他款")),INT(资金流水!$B$1673)*10000+1668,"")</f>
      </c>
    </row>
    <row r="1670">
      <c r="BD1670" s="2">
        <f>IF(AND($C$130&lt;&gt;"",资金流水!$J$1674=$C$130,ISNUMBER(资金流水!$B$1674),ISNUMBER(资金流水!$S$1674),资金流水!$S$1674&gt;=_辅助!$J$4,资金流水!$S$1674&lt;=_辅助!$J$2,OR(资金流水!$X$1674="应付材料款",资金流水!$X$1674="应付分包款",资金流水!$X$1674="应付机械运输费",资金流水!$X$1674="应付其他款")),INT(资金流水!$B$1674)*10000+1669,"")</f>
      </c>
    </row>
    <row r="1671">
      <c r="BD1671" s="2">
        <f>IF(AND($C$130&lt;&gt;"",资金流水!$J$1675=$C$130,ISNUMBER(资金流水!$B$1675),ISNUMBER(资金流水!$S$1675),资金流水!$S$1675&gt;=_辅助!$J$4,资金流水!$S$1675&lt;=_辅助!$J$2,OR(资金流水!$X$1675="应付材料款",资金流水!$X$1675="应付分包款",资金流水!$X$1675="应付机械运输费",资金流水!$X$1675="应付其他款")),INT(资金流水!$B$1675)*10000+1670,"")</f>
      </c>
    </row>
    <row r="1672">
      <c r="BD1672" s="2">
        <f>IF(AND($C$130&lt;&gt;"",资金流水!$J$1676=$C$130,ISNUMBER(资金流水!$B$1676),ISNUMBER(资金流水!$S$1676),资金流水!$S$1676&gt;=_辅助!$J$4,资金流水!$S$1676&lt;=_辅助!$J$2,OR(资金流水!$X$1676="应付材料款",资金流水!$X$1676="应付分包款",资金流水!$X$1676="应付机械运输费",资金流水!$X$1676="应付其他款")),INT(资金流水!$B$1676)*10000+1671,"")</f>
      </c>
    </row>
    <row r="1673">
      <c r="BD1673" s="2">
        <f>IF(AND($C$130&lt;&gt;"",资金流水!$J$1677=$C$130,ISNUMBER(资金流水!$B$1677),ISNUMBER(资金流水!$S$1677),资金流水!$S$1677&gt;=_辅助!$J$4,资金流水!$S$1677&lt;=_辅助!$J$2,OR(资金流水!$X$1677="应付材料款",资金流水!$X$1677="应付分包款",资金流水!$X$1677="应付机械运输费",资金流水!$X$1677="应付其他款")),INT(资金流水!$B$1677)*10000+1672,"")</f>
      </c>
    </row>
    <row r="1674">
      <c r="BD1674" s="2">
        <f>IF(AND($C$130&lt;&gt;"",资金流水!$J$1678=$C$130,ISNUMBER(资金流水!$B$1678),ISNUMBER(资金流水!$S$1678),资金流水!$S$1678&gt;=_辅助!$J$4,资金流水!$S$1678&lt;=_辅助!$J$2,OR(资金流水!$X$1678="应付材料款",资金流水!$X$1678="应付分包款",资金流水!$X$1678="应付机械运输费",资金流水!$X$1678="应付其他款")),INT(资金流水!$B$1678)*10000+1673,"")</f>
      </c>
    </row>
    <row r="1675">
      <c r="BD1675" s="2">
        <f>IF(AND($C$130&lt;&gt;"",资金流水!$J$1679=$C$130,ISNUMBER(资金流水!$B$1679),ISNUMBER(资金流水!$S$1679),资金流水!$S$1679&gt;=_辅助!$J$4,资金流水!$S$1679&lt;=_辅助!$J$2,OR(资金流水!$X$1679="应付材料款",资金流水!$X$1679="应付分包款",资金流水!$X$1679="应付机械运输费",资金流水!$X$1679="应付其他款")),INT(资金流水!$B$1679)*10000+1674,"")</f>
      </c>
    </row>
    <row r="1676">
      <c r="BD1676" s="2">
        <f>IF(AND($C$130&lt;&gt;"",资金流水!$J$1680=$C$130,ISNUMBER(资金流水!$B$1680),ISNUMBER(资金流水!$S$1680),资金流水!$S$1680&gt;=_辅助!$J$4,资金流水!$S$1680&lt;=_辅助!$J$2,OR(资金流水!$X$1680="应付材料款",资金流水!$X$1680="应付分包款",资金流水!$X$1680="应付机械运输费",资金流水!$X$1680="应付其他款")),INT(资金流水!$B$1680)*10000+1675,"")</f>
      </c>
    </row>
    <row r="1677">
      <c r="BD1677" s="2">
        <f>IF(AND($C$130&lt;&gt;"",资金流水!$J$1681=$C$130,ISNUMBER(资金流水!$B$1681),ISNUMBER(资金流水!$S$1681),资金流水!$S$1681&gt;=_辅助!$J$4,资金流水!$S$1681&lt;=_辅助!$J$2,OR(资金流水!$X$1681="应付材料款",资金流水!$X$1681="应付分包款",资金流水!$X$1681="应付机械运输费",资金流水!$X$1681="应付其他款")),INT(资金流水!$B$1681)*10000+1676,"")</f>
      </c>
    </row>
    <row r="1678">
      <c r="BD1678" s="2">
        <f>IF(AND($C$130&lt;&gt;"",资金流水!$J$1682=$C$130,ISNUMBER(资金流水!$B$1682),ISNUMBER(资金流水!$S$1682),资金流水!$S$1682&gt;=_辅助!$J$4,资金流水!$S$1682&lt;=_辅助!$J$2,OR(资金流水!$X$1682="应付材料款",资金流水!$X$1682="应付分包款",资金流水!$X$1682="应付机械运输费",资金流水!$X$1682="应付其他款")),INT(资金流水!$B$1682)*10000+1677,"")</f>
      </c>
    </row>
    <row r="1679">
      <c r="BD1679" s="2">
        <f>IF(AND($C$130&lt;&gt;"",资金流水!$J$1683=$C$130,ISNUMBER(资金流水!$B$1683),ISNUMBER(资金流水!$S$1683),资金流水!$S$1683&gt;=_辅助!$J$4,资金流水!$S$1683&lt;=_辅助!$J$2,OR(资金流水!$X$1683="应付材料款",资金流水!$X$1683="应付分包款",资金流水!$X$1683="应付机械运输费",资金流水!$X$1683="应付其他款")),INT(资金流水!$B$1683)*10000+1678,"")</f>
      </c>
    </row>
    <row r="1680">
      <c r="BD1680" s="2">
        <f>IF(AND($C$130&lt;&gt;"",资金流水!$J$1684=$C$130,ISNUMBER(资金流水!$B$1684),ISNUMBER(资金流水!$S$1684),资金流水!$S$1684&gt;=_辅助!$J$4,资金流水!$S$1684&lt;=_辅助!$J$2,OR(资金流水!$X$1684="应付材料款",资金流水!$X$1684="应付分包款",资金流水!$X$1684="应付机械运输费",资金流水!$X$1684="应付其他款")),INT(资金流水!$B$1684)*10000+1679,"")</f>
      </c>
    </row>
    <row r="1681">
      <c r="BD1681" s="2">
        <f>IF(AND($C$130&lt;&gt;"",资金流水!$J$1685=$C$130,ISNUMBER(资金流水!$B$1685),ISNUMBER(资金流水!$S$1685),资金流水!$S$1685&gt;=_辅助!$J$4,资金流水!$S$1685&lt;=_辅助!$J$2,OR(资金流水!$X$1685="应付材料款",资金流水!$X$1685="应付分包款",资金流水!$X$1685="应付机械运输费",资金流水!$X$1685="应付其他款")),INT(资金流水!$B$1685)*10000+1680,"")</f>
      </c>
    </row>
    <row r="1682">
      <c r="BD1682" s="2">
        <f>IF(AND($C$130&lt;&gt;"",资金流水!$J$1686=$C$130,ISNUMBER(资金流水!$B$1686),ISNUMBER(资金流水!$S$1686),资金流水!$S$1686&gt;=_辅助!$J$4,资金流水!$S$1686&lt;=_辅助!$J$2,OR(资金流水!$X$1686="应付材料款",资金流水!$X$1686="应付分包款",资金流水!$X$1686="应付机械运输费",资金流水!$X$1686="应付其他款")),INT(资金流水!$B$1686)*10000+1681,"")</f>
      </c>
    </row>
    <row r="1683">
      <c r="BD1683" s="2">
        <f>IF(AND($C$130&lt;&gt;"",资金流水!$J$1687=$C$130,ISNUMBER(资金流水!$B$1687),ISNUMBER(资金流水!$S$1687),资金流水!$S$1687&gt;=_辅助!$J$4,资金流水!$S$1687&lt;=_辅助!$J$2,OR(资金流水!$X$1687="应付材料款",资金流水!$X$1687="应付分包款",资金流水!$X$1687="应付机械运输费",资金流水!$X$1687="应付其他款")),INT(资金流水!$B$1687)*10000+1682,"")</f>
      </c>
    </row>
    <row r="1684">
      <c r="BD1684" s="2">
        <f>IF(AND($C$130&lt;&gt;"",资金流水!$J$1688=$C$130,ISNUMBER(资金流水!$B$1688),ISNUMBER(资金流水!$S$1688),资金流水!$S$1688&gt;=_辅助!$J$4,资金流水!$S$1688&lt;=_辅助!$J$2,OR(资金流水!$X$1688="应付材料款",资金流水!$X$1688="应付分包款",资金流水!$X$1688="应付机械运输费",资金流水!$X$1688="应付其他款")),INT(资金流水!$B$1688)*10000+1683,"")</f>
      </c>
    </row>
    <row r="1685">
      <c r="BD1685" s="2">
        <f>IF(AND($C$130&lt;&gt;"",资金流水!$J$1689=$C$130,ISNUMBER(资金流水!$B$1689),ISNUMBER(资金流水!$S$1689),资金流水!$S$1689&gt;=_辅助!$J$4,资金流水!$S$1689&lt;=_辅助!$J$2,OR(资金流水!$X$1689="应付材料款",资金流水!$X$1689="应付分包款",资金流水!$X$1689="应付机械运输费",资金流水!$X$1689="应付其他款")),INT(资金流水!$B$1689)*10000+1684,"")</f>
      </c>
    </row>
    <row r="1686">
      <c r="BD1686" s="2">
        <f>IF(AND($C$130&lt;&gt;"",资金流水!$J$1690=$C$130,ISNUMBER(资金流水!$B$1690),ISNUMBER(资金流水!$S$1690),资金流水!$S$1690&gt;=_辅助!$J$4,资金流水!$S$1690&lt;=_辅助!$J$2,OR(资金流水!$X$1690="应付材料款",资金流水!$X$1690="应付分包款",资金流水!$X$1690="应付机械运输费",资金流水!$X$1690="应付其他款")),INT(资金流水!$B$1690)*10000+1685,"")</f>
      </c>
    </row>
    <row r="1687">
      <c r="BD1687" s="2">
        <f>IF(AND($C$130&lt;&gt;"",资金流水!$J$1691=$C$130,ISNUMBER(资金流水!$B$1691),ISNUMBER(资金流水!$S$1691),资金流水!$S$1691&gt;=_辅助!$J$4,资金流水!$S$1691&lt;=_辅助!$J$2,OR(资金流水!$X$1691="应付材料款",资金流水!$X$1691="应付分包款",资金流水!$X$1691="应付机械运输费",资金流水!$X$1691="应付其他款")),INT(资金流水!$B$1691)*10000+1686,"")</f>
      </c>
    </row>
    <row r="1688">
      <c r="BD1688" s="2">
        <f>IF(AND($C$130&lt;&gt;"",资金流水!$J$1692=$C$130,ISNUMBER(资金流水!$B$1692),ISNUMBER(资金流水!$S$1692),资金流水!$S$1692&gt;=_辅助!$J$4,资金流水!$S$1692&lt;=_辅助!$J$2,OR(资金流水!$X$1692="应付材料款",资金流水!$X$1692="应付分包款",资金流水!$X$1692="应付机械运输费",资金流水!$X$1692="应付其他款")),INT(资金流水!$B$1692)*10000+1687,"")</f>
      </c>
    </row>
    <row r="1689">
      <c r="BD1689" s="2">
        <f>IF(AND($C$130&lt;&gt;"",资金流水!$J$1693=$C$130,ISNUMBER(资金流水!$B$1693),ISNUMBER(资金流水!$S$1693),资金流水!$S$1693&gt;=_辅助!$J$4,资金流水!$S$1693&lt;=_辅助!$J$2,OR(资金流水!$X$1693="应付材料款",资金流水!$X$1693="应付分包款",资金流水!$X$1693="应付机械运输费",资金流水!$X$1693="应付其他款")),INT(资金流水!$B$1693)*10000+1688,"")</f>
      </c>
    </row>
    <row r="1690">
      <c r="BD1690" s="2">
        <f>IF(AND($C$130&lt;&gt;"",资金流水!$J$1694=$C$130,ISNUMBER(资金流水!$B$1694),ISNUMBER(资金流水!$S$1694),资金流水!$S$1694&gt;=_辅助!$J$4,资金流水!$S$1694&lt;=_辅助!$J$2,OR(资金流水!$X$1694="应付材料款",资金流水!$X$1694="应付分包款",资金流水!$X$1694="应付机械运输费",资金流水!$X$1694="应付其他款")),INT(资金流水!$B$1694)*10000+1689,"")</f>
      </c>
    </row>
    <row r="1691">
      <c r="BD1691" s="2">
        <f>IF(AND($C$130&lt;&gt;"",资金流水!$J$1695=$C$130,ISNUMBER(资金流水!$B$1695),ISNUMBER(资金流水!$S$1695),资金流水!$S$1695&gt;=_辅助!$J$4,资金流水!$S$1695&lt;=_辅助!$J$2,OR(资金流水!$X$1695="应付材料款",资金流水!$X$1695="应付分包款",资金流水!$X$1695="应付机械运输费",资金流水!$X$1695="应付其他款")),INT(资金流水!$B$1695)*10000+1690,"")</f>
      </c>
    </row>
    <row r="1692">
      <c r="BD1692" s="2">
        <f>IF(AND($C$130&lt;&gt;"",资金流水!$J$1696=$C$130,ISNUMBER(资金流水!$B$1696),ISNUMBER(资金流水!$S$1696),资金流水!$S$1696&gt;=_辅助!$J$4,资金流水!$S$1696&lt;=_辅助!$J$2,OR(资金流水!$X$1696="应付材料款",资金流水!$X$1696="应付分包款",资金流水!$X$1696="应付机械运输费",资金流水!$X$1696="应付其他款")),INT(资金流水!$B$1696)*10000+1691,"")</f>
      </c>
    </row>
    <row r="1693">
      <c r="BD1693" s="2">
        <f>IF(AND($C$130&lt;&gt;"",资金流水!$J$1697=$C$130,ISNUMBER(资金流水!$B$1697),ISNUMBER(资金流水!$S$1697),资金流水!$S$1697&gt;=_辅助!$J$4,资金流水!$S$1697&lt;=_辅助!$J$2,OR(资金流水!$X$1697="应付材料款",资金流水!$X$1697="应付分包款",资金流水!$X$1697="应付机械运输费",资金流水!$X$1697="应付其他款")),INT(资金流水!$B$1697)*10000+1692,"")</f>
      </c>
    </row>
    <row r="1694">
      <c r="BD1694" s="2">
        <f>IF(AND($C$130&lt;&gt;"",资金流水!$J$1698=$C$130,ISNUMBER(资金流水!$B$1698),ISNUMBER(资金流水!$S$1698),资金流水!$S$1698&gt;=_辅助!$J$4,资金流水!$S$1698&lt;=_辅助!$J$2,OR(资金流水!$X$1698="应付材料款",资金流水!$X$1698="应付分包款",资金流水!$X$1698="应付机械运输费",资金流水!$X$1698="应付其他款")),INT(资金流水!$B$1698)*10000+1693,"")</f>
      </c>
    </row>
    <row r="1695">
      <c r="BD1695" s="2">
        <f>IF(AND($C$130&lt;&gt;"",资金流水!$J$1699=$C$130,ISNUMBER(资金流水!$B$1699),ISNUMBER(资金流水!$S$1699),资金流水!$S$1699&gt;=_辅助!$J$4,资金流水!$S$1699&lt;=_辅助!$J$2,OR(资金流水!$X$1699="应付材料款",资金流水!$X$1699="应付分包款",资金流水!$X$1699="应付机械运输费",资金流水!$X$1699="应付其他款")),INT(资金流水!$B$1699)*10000+1694,"")</f>
      </c>
    </row>
    <row r="1696">
      <c r="BD1696" s="2">
        <f>IF(AND($C$130&lt;&gt;"",资金流水!$J$1700=$C$130,ISNUMBER(资金流水!$B$1700),ISNUMBER(资金流水!$S$1700),资金流水!$S$1700&gt;=_辅助!$J$4,资金流水!$S$1700&lt;=_辅助!$J$2,OR(资金流水!$X$1700="应付材料款",资金流水!$X$1700="应付分包款",资金流水!$X$1700="应付机械运输费",资金流水!$X$1700="应付其他款")),INT(资金流水!$B$1700)*10000+1695,"")</f>
      </c>
    </row>
    <row r="1697">
      <c r="BD1697" s="2">
        <f>IF(AND($C$130&lt;&gt;"",资金流水!$J$1701=$C$130,ISNUMBER(资金流水!$B$1701),ISNUMBER(资金流水!$S$1701),资金流水!$S$1701&gt;=_辅助!$J$4,资金流水!$S$1701&lt;=_辅助!$J$2,OR(资金流水!$X$1701="应付材料款",资金流水!$X$1701="应付分包款",资金流水!$X$1701="应付机械运输费",资金流水!$X$1701="应付其他款")),INT(资金流水!$B$1701)*10000+1696,"")</f>
      </c>
    </row>
    <row r="1698">
      <c r="BD1698" s="2">
        <f>IF(AND($C$130&lt;&gt;"",资金流水!$J$1702=$C$130,ISNUMBER(资金流水!$B$1702),ISNUMBER(资金流水!$S$1702),资金流水!$S$1702&gt;=_辅助!$J$4,资金流水!$S$1702&lt;=_辅助!$J$2,OR(资金流水!$X$1702="应付材料款",资金流水!$X$1702="应付分包款",资金流水!$X$1702="应付机械运输费",资金流水!$X$1702="应付其他款")),INT(资金流水!$B$1702)*10000+1697,"")</f>
      </c>
    </row>
    <row r="1699">
      <c r="BD1699" s="2">
        <f>IF(AND($C$130&lt;&gt;"",资金流水!$J$1703=$C$130,ISNUMBER(资金流水!$B$1703),ISNUMBER(资金流水!$S$1703),资金流水!$S$1703&gt;=_辅助!$J$4,资金流水!$S$1703&lt;=_辅助!$J$2,OR(资金流水!$X$1703="应付材料款",资金流水!$X$1703="应付分包款",资金流水!$X$1703="应付机械运输费",资金流水!$X$1703="应付其他款")),INT(资金流水!$B$1703)*10000+1698,"")</f>
      </c>
    </row>
    <row r="1700">
      <c r="BD1700" s="2">
        <f>IF(AND($C$130&lt;&gt;"",资金流水!$J$1704=$C$130,ISNUMBER(资金流水!$B$1704),ISNUMBER(资金流水!$S$1704),资金流水!$S$1704&gt;=_辅助!$J$4,资金流水!$S$1704&lt;=_辅助!$J$2,OR(资金流水!$X$1704="应付材料款",资金流水!$X$1704="应付分包款",资金流水!$X$1704="应付机械运输费",资金流水!$X$1704="应付其他款")),INT(资金流水!$B$1704)*10000+1699,"")</f>
      </c>
    </row>
    <row r="1701">
      <c r="BD1701" s="2">
        <f>IF(AND($C$130&lt;&gt;"",资金流水!$J$1705=$C$130,ISNUMBER(资金流水!$B$1705),ISNUMBER(资金流水!$S$1705),资金流水!$S$1705&gt;=_辅助!$J$4,资金流水!$S$1705&lt;=_辅助!$J$2,OR(资金流水!$X$1705="应付材料款",资金流水!$X$1705="应付分包款",资金流水!$X$1705="应付机械运输费",资金流水!$X$1705="应付其他款")),INT(资金流水!$B$1705)*10000+1700,"")</f>
      </c>
    </row>
    <row r="1702">
      <c r="BD1702" s="2">
        <f>IF(AND($C$130&lt;&gt;"",资金流水!$J$1706=$C$130,ISNUMBER(资金流水!$B$1706),ISNUMBER(资金流水!$S$1706),资金流水!$S$1706&gt;=_辅助!$J$4,资金流水!$S$1706&lt;=_辅助!$J$2,OR(资金流水!$X$1706="应付材料款",资金流水!$X$1706="应付分包款",资金流水!$X$1706="应付机械运输费",资金流水!$X$1706="应付其他款")),INT(资金流水!$B$1706)*10000+1701,"")</f>
      </c>
    </row>
    <row r="1703">
      <c r="BD1703" s="2">
        <f>IF(AND($C$130&lt;&gt;"",资金流水!$J$1707=$C$130,ISNUMBER(资金流水!$B$1707),ISNUMBER(资金流水!$S$1707),资金流水!$S$1707&gt;=_辅助!$J$4,资金流水!$S$1707&lt;=_辅助!$J$2,OR(资金流水!$X$1707="应付材料款",资金流水!$X$1707="应付分包款",资金流水!$X$1707="应付机械运输费",资金流水!$X$1707="应付其他款")),INT(资金流水!$B$1707)*10000+1702,"")</f>
      </c>
    </row>
    <row r="1704">
      <c r="BD1704" s="2">
        <f>IF(AND($C$130&lt;&gt;"",资金流水!$J$1708=$C$130,ISNUMBER(资金流水!$B$1708),ISNUMBER(资金流水!$S$1708),资金流水!$S$1708&gt;=_辅助!$J$4,资金流水!$S$1708&lt;=_辅助!$J$2,OR(资金流水!$X$1708="应付材料款",资金流水!$X$1708="应付分包款",资金流水!$X$1708="应付机械运输费",资金流水!$X$1708="应付其他款")),INT(资金流水!$B$1708)*10000+1703,"")</f>
      </c>
    </row>
    <row r="1705">
      <c r="BD1705" s="2">
        <f>IF(AND($C$130&lt;&gt;"",资金流水!$J$1709=$C$130,ISNUMBER(资金流水!$B$1709),ISNUMBER(资金流水!$S$1709),资金流水!$S$1709&gt;=_辅助!$J$4,资金流水!$S$1709&lt;=_辅助!$J$2,OR(资金流水!$X$1709="应付材料款",资金流水!$X$1709="应付分包款",资金流水!$X$1709="应付机械运输费",资金流水!$X$1709="应付其他款")),INT(资金流水!$B$1709)*10000+1704,"")</f>
      </c>
    </row>
    <row r="1706">
      <c r="BD1706" s="2">
        <f>IF(AND($C$130&lt;&gt;"",资金流水!$J$1710=$C$130,ISNUMBER(资金流水!$B$1710),ISNUMBER(资金流水!$S$1710),资金流水!$S$1710&gt;=_辅助!$J$4,资金流水!$S$1710&lt;=_辅助!$J$2,OR(资金流水!$X$1710="应付材料款",资金流水!$X$1710="应付分包款",资金流水!$X$1710="应付机械运输费",资金流水!$X$1710="应付其他款")),INT(资金流水!$B$1710)*10000+1705,"")</f>
      </c>
    </row>
    <row r="1707">
      <c r="BD1707" s="2">
        <f>IF(AND($C$130&lt;&gt;"",资金流水!$J$1711=$C$130,ISNUMBER(资金流水!$B$1711),ISNUMBER(资金流水!$S$1711),资金流水!$S$1711&gt;=_辅助!$J$4,资金流水!$S$1711&lt;=_辅助!$J$2,OR(资金流水!$X$1711="应付材料款",资金流水!$X$1711="应付分包款",资金流水!$X$1711="应付机械运输费",资金流水!$X$1711="应付其他款")),INT(资金流水!$B$1711)*10000+1706,"")</f>
      </c>
    </row>
    <row r="1708">
      <c r="BD1708" s="2">
        <f>IF(AND($C$130&lt;&gt;"",资金流水!$J$1712=$C$130,ISNUMBER(资金流水!$B$1712),ISNUMBER(资金流水!$S$1712),资金流水!$S$1712&gt;=_辅助!$J$4,资金流水!$S$1712&lt;=_辅助!$J$2,OR(资金流水!$X$1712="应付材料款",资金流水!$X$1712="应付分包款",资金流水!$X$1712="应付机械运输费",资金流水!$X$1712="应付其他款")),INT(资金流水!$B$1712)*10000+1707,"")</f>
      </c>
    </row>
    <row r="1709">
      <c r="BD1709" s="2">
        <f>IF(AND($C$130&lt;&gt;"",资金流水!$J$1713=$C$130,ISNUMBER(资金流水!$B$1713),ISNUMBER(资金流水!$S$1713),资金流水!$S$1713&gt;=_辅助!$J$4,资金流水!$S$1713&lt;=_辅助!$J$2,OR(资金流水!$X$1713="应付材料款",资金流水!$X$1713="应付分包款",资金流水!$X$1713="应付机械运输费",资金流水!$X$1713="应付其他款")),INT(资金流水!$B$1713)*10000+1708,"")</f>
      </c>
    </row>
    <row r="1710">
      <c r="BD1710" s="2">
        <f>IF(AND($C$130&lt;&gt;"",资金流水!$J$1714=$C$130,ISNUMBER(资金流水!$B$1714),ISNUMBER(资金流水!$S$1714),资金流水!$S$1714&gt;=_辅助!$J$4,资金流水!$S$1714&lt;=_辅助!$J$2,OR(资金流水!$X$1714="应付材料款",资金流水!$X$1714="应付分包款",资金流水!$X$1714="应付机械运输费",资金流水!$X$1714="应付其他款")),INT(资金流水!$B$1714)*10000+1709,"")</f>
      </c>
    </row>
    <row r="1711">
      <c r="BD1711" s="2">
        <f>IF(AND($C$130&lt;&gt;"",资金流水!$J$1715=$C$130,ISNUMBER(资金流水!$B$1715),ISNUMBER(资金流水!$S$1715),资金流水!$S$1715&gt;=_辅助!$J$4,资金流水!$S$1715&lt;=_辅助!$J$2,OR(资金流水!$X$1715="应付材料款",资金流水!$X$1715="应付分包款",资金流水!$X$1715="应付机械运输费",资金流水!$X$1715="应付其他款")),INT(资金流水!$B$1715)*10000+1710,"")</f>
      </c>
    </row>
    <row r="1712">
      <c r="BD1712" s="2">
        <f>IF(AND($C$130&lt;&gt;"",资金流水!$J$1716=$C$130,ISNUMBER(资金流水!$B$1716),ISNUMBER(资金流水!$S$1716),资金流水!$S$1716&gt;=_辅助!$J$4,资金流水!$S$1716&lt;=_辅助!$J$2,OR(资金流水!$X$1716="应付材料款",资金流水!$X$1716="应付分包款",资金流水!$X$1716="应付机械运输费",资金流水!$X$1716="应付其他款")),INT(资金流水!$B$1716)*10000+1711,"")</f>
      </c>
    </row>
    <row r="1713">
      <c r="BD1713" s="2">
        <f>IF(AND($C$130&lt;&gt;"",资金流水!$J$1717=$C$130,ISNUMBER(资金流水!$B$1717),ISNUMBER(资金流水!$S$1717),资金流水!$S$1717&gt;=_辅助!$J$4,资金流水!$S$1717&lt;=_辅助!$J$2,OR(资金流水!$X$1717="应付材料款",资金流水!$X$1717="应付分包款",资金流水!$X$1717="应付机械运输费",资金流水!$X$1717="应付其他款")),INT(资金流水!$B$1717)*10000+1712,"")</f>
      </c>
    </row>
    <row r="1714">
      <c r="BD1714" s="2">
        <f>IF(AND($C$130&lt;&gt;"",资金流水!$J$1718=$C$130,ISNUMBER(资金流水!$B$1718),ISNUMBER(资金流水!$S$1718),资金流水!$S$1718&gt;=_辅助!$J$4,资金流水!$S$1718&lt;=_辅助!$J$2,OR(资金流水!$X$1718="应付材料款",资金流水!$X$1718="应付分包款",资金流水!$X$1718="应付机械运输费",资金流水!$X$1718="应付其他款")),INT(资金流水!$B$1718)*10000+1713,"")</f>
      </c>
    </row>
    <row r="1715">
      <c r="BD1715" s="2">
        <f>IF(AND($C$130&lt;&gt;"",资金流水!$J$1719=$C$130,ISNUMBER(资金流水!$B$1719),ISNUMBER(资金流水!$S$1719),资金流水!$S$1719&gt;=_辅助!$J$4,资金流水!$S$1719&lt;=_辅助!$J$2,OR(资金流水!$X$1719="应付材料款",资金流水!$X$1719="应付分包款",资金流水!$X$1719="应付机械运输费",资金流水!$X$1719="应付其他款")),INT(资金流水!$B$1719)*10000+1714,"")</f>
      </c>
    </row>
    <row r="1716">
      <c r="BD1716" s="2">
        <f>IF(AND($C$130&lt;&gt;"",资金流水!$J$1720=$C$130,ISNUMBER(资金流水!$B$1720),ISNUMBER(资金流水!$S$1720),资金流水!$S$1720&gt;=_辅助!$J$4,资金流水!$S$1720&lt;=_辅助!$J$2,OR(资金流水!$X$1720="应付材料款",资金流水!$X$1720="应付分包款",资金流水!$X$1720="应付机械运输费",资金流水!$X$1720="应付其他款")),INT(资金流水!$B$1720)*10000+1715,"")</f>
      </c>
    </row>
    <row r="1717">
      <c r="BD1717" s="2">
        <f>IF(AND($C$130&lt;&gt;"",资金流水!$J$1721=$C$130,ISNUMBER(资金流水!$B$1721),ISNUMBER(资金流水!$S$1721),资金流水!$S$1721&gt;=_辅助!$J$4,资金流水!$S$1721&lt;=_辅助!$J$2,OR(资金流水!$X$1721="应付材料款",资金流水!$X$1721="应付分包款",资金流水!$X$1721="应付机械运输费",资金流水!$X$1721="应付其他款")),INT(资金流水!$B$1721)*10000+1716,"")</f>
      </c>
    </row>
    <row r="1718">
      <c r="BD1718" s="2">
        <f>IF(AND($C$130&lt;&gt;"",资金流水!$J$1722=$C$130,ISNUMBER(资金流水!$B$1722),ISNUMBER(资金流水!$S$1722),资金流水!$S$1722&gt;=_辅助!$J$4,资金流水!$S$1722&lt;=_辅助!$J$2,OR(资金流水!$X$1722="应付材料款",资金流水!$X$1722="应付分包款",资金流水!$X$1722="应付机械运输费",资金流水!$X$1722="应付其他款")),INT(资金流水!$B$1722)*10000+1717,"")</f>
      </c>
    </row>
    <row r="1719">
      <c r="BD1719" s="2">
        <f>IF(AND($C$130&lt;&gt;"",资金流水!$J$1723=$C$130,ISNUMBER(资金流水!$B$1723),ISNUMBER(资金流水!$S$1723),资金流水!$S$1723&gt;=_辅助!$J$4,资金流水!$S$1723&lt;=_辅助!$J$2,OR(资金流水!$X$1723="应付材料款",资金流水!$X$1723="应付分包款",资金流水!$X$1723="应付机械运输费",资金流水!$X$1723="应付其他款")),INT(资金流水!$B$1723)*10000+1718,"")</f>
      </c>
    </row>
    <row r="1720">
      <c r="BD1720" s="2">
        <f>IF(AND($C$130&lt;&gt;"",资金流水!$J$1724=$C$130,ISNUMBER(资金流水!$B$1724),ISNUMBER(资金流水!$S$1724),资金流水!$S$1724&gt;=_辅助!$J$4,资金流水!$S$1724&lt;=_辅助!$J$2,OR(资金流水!$X$1724="应付材料款",资金流水!$X$1724="应付分包款",资金流水!$X$1724="应付机械运输费",资金流水!$X$1724="应付其他款")),INT(资金流水!$B$1724)*10000+1719,"")</f>
      </c>
    </row>
    <row r="1721">
      <c r="BD1721" s="2">
        <f>IF(AND($C$130&lt;&gt;"",资金流水!$J$1725=$C$130,ISNUMBER(资金流水!$B$1725),ISNUMBER(资金流水!$S$1725),资金流水!$S$1725&gt;=_辅助!$J$4,资金流水!$S$1725&lt;=_辅助!$J$2,OR(资金流水!$X$1725="应付材料款",资金流水!$X$1725="应付分包款",资金流水!$X$1725="应付机械运输费",资金流水!$X$1725="应付其他款")),INT(资金流水!$B$1725)*10000+1720,"")</f>
      </c>
    </row>
    <row r="1722">
      <c r="BD1722" s="2">
        <f>IF(AND($C$130&lt;&gt;"",资金流水!$J$1726=$C$130,ISNUMBER(资金流水!$B$1726),ISNUMBER(资金流水!$S$1726),资金流水!$S$1726&gt;=_辅助!$J$4,资金流水!$S$1726&lt;=_辅助!$J$2,OR(资金流水!$X$1726="应付材料款",资金流水!$X$1726="应付分包款",资金流水!$X$1726="应付机械运输费",资金流水!$X$1726="应付其他款")),INT(资金流水!$B$1726)*10000+1721,"")</f>
      </c>
    </row>
    <row r="1723">
      <c r="BD1723" s="2">
        <f>IF(AND($C$130&lt;&gt;"",资金流水!$J$1727=$C$130,ISNUMBER(资金流水!$B$1727),ISNUMBER(资金流水!$S$1727),资金流水!$S$1727&gt;=_辅助!$J$4,资金流水!$S$1727&lt;=_辅助!$J$2,OR(资金流水!$X$1727="应付材料款",资金流水!$X$1727="应付分包款",资金流水!$X$1727="应付机械运输费",资金流水!$X$1727="应付其他款")),INT(资金流水!$B$1727)*10000+1722,"")</f>
      </c>
    </row>
    <row r="1724">
      <c r="BD1724" s="2">
        <f>IF(AND($C$130&lt;&gt;"",资金流水!$J$1728=$C$130,ISNUMBER(资金流水!$B$1728),ISNUMBER(资金流水!$S$1728),资金流水!$S$1728&gt;=_辅助!$J$4,资金流水!$S$1728&lt;=_辅助!$J$2,OR(资金流水!$X$1728="应付材料款",资金流水!$X$1728="应付分包款",资金流水!$X$1728="应付机械运输费",资金流水!$X$1728="应付其他款")),INT(资金流水!$B$1728)*10000+1723,"")</f>
      </c>
    </row>
    <row r="1725">
      <c r="BD1725" s="2">
        <f>IF(AND($C$130&lt;&gt;"",资金流水!$J$1729=$C$130,ISNUMBER(资金流水!$B$1729),ISNUMBER(资金流水!$S$1729),资金流水!$S$1729&gt;=_辅助!$J$4,资金流水!$S$1729&lt;=_辅助!$J$2,OR(资金流水!$X$1729="应付材料款",资金流水!$X$1729="应付分包款",资金流水!$X$1729="应付机械运输费",资金流水!$X$1729="应付其他款")),INT(资金流水!$B$1729)*10000+1724,"")</f>
      </c>
    </row>
    <row r="1726">
      <c r="BD1726" s="2">
        <f>IF(AND($C$130&lt;&gt;"",资金流水!$J$1730=$C$130,ISNUMBER(资金流水!$B$1730),ISNUMBER(资金流水!$S$1730),资金流水!$S$1730&gt;=_辅助!$J$4,资金流水!$S$1730&lt;=_辅助!$J$2,OR(资金流水!$X$1730="应付材料款",资金流水!$X$1730="应付分包款",资金流水!$X$1730="应付机械运输费",资金流水!$X$1730="应付其他款")),INT(资金流水!$B$1730)*10000+1725,"")</f>
      </c>
    </row>
    <row r="1727">
      <c r="BD1727" s="2">
        <f>IF(AND($C$130&lt;&gt;"",资金流水!$J$1731=$C$130,ISNUMBER(资金流水!$B$1731),ISNUMBER(资金流水!$S$1731),资金流水!$S$1731&gt;=_辅助!$J$4,资金流水!$S$1731&lt;=_辅助!$J$2,OR(资金流水!$X$1731="应付材料款",资金流水!$X$1731="应付分包款",资金流水!$X$1731="应付机械运输费",资金流水!$X$1731="应付其他款")),INT(资金流水!$B$1731)*10000+1726,"")</f>
      </c>
    </row>
    <row r="1728">
      <c r="BD1728" s="2">
        <f>IF(AND($C$130&lt;&gt;"",资金流水!$J$1732=$C$130,ISNUMBER(资金流水!$B$1732),ISNUMBER(资金流水!$S$1732),资金流水!$S$1732&gt;=_辅助!$J$4,资金流水!$S$1732&lt;=_辅助!$J$2,OR(资金流水!$X$1732="应付材料款",资金流水!$X$1732="应付分包款",资金流水!$X$1732="应付机械运输费",资金流水!$X$1732="应付其他款")),INT(资金流水!$B$1732)*10000+1727,"")</f>
      </c>
    </row>
    <row r="1729">
      <c r="BD1729" s="2">
        <f>IF(AND($C$130&lt;&gt;"",资金流水!$J$1733=$C$130,ISNUMBER(资金流水!$B$1733),ISNUMBER(资金流水!$S$1733),资金流水!$S$1733&gt;=_辅助!$J$4,资金流水!$S$1733&lt;=_辅助!$J$2,OR(资金流水!$X$1733="应付材料款",资金流水!$X$1733="应付分包款",资金流水!$X$1733="应付机械运输费",资金流水!$X$1733="应付其他款")),INT(资金流水!$B$1733)*10000+1728,"")</f>
      </c>
    </row>
    <row r="1730">
      <c r="BD1730" s="2">
        <f>IF(AND($C$130&lt;&gt;"",资金流水!$J$1734=$C$130,ISNUMBER(资金流水!$B$1734),ISNUMBER(资金流水!$S$1734),资金流水!$S$1734&gt;=_辅助!$J$4,资金流水!$S$1734&lt;=_辅助!$J$2,OR(资金流水!$X$1734="应付材料款",资金流水!$X$1734="应付分包款",资金流水!$X$1734="应付机械运输费",资金流水!$X$1734="应付其他款")),INT(资金流水!$B$1734)*10000+1729,"")</f>
      </c>
    </row>
    <row r="1731">
      <c r="BD1731" s="2">
        <f>IF(AND($C$130&lt;&gt;"",资金流水!$J$1735=$C$130,ISNUMBER(资金流水!$B$1735),ISNUMBER(资金流水!$S$1735),资金流水!$S$1735&gt;=_辅助!$J$4,资金流水!$S$1735&lt;=_辅助!$J$2,OR(资金流水!$X$1735="应付材料款",资金流水!$X$1735="应付分包款",资金流水!$X$1735="应付机械运输费",资金流水!$X$1735="应付其他款")),INT(资金流水!$B$1735)*10000+1730,"")</f>
      </c>
    </row>
    <row r="1732">
      <c r="BD1732" s="2">
        <f>IF(AND($C$130&lt;&gt;"",资金流水!$J$1736=$C$130,ISNUMBER(资金流水!$B$1736),ISNUMBER(资金流水!$S$1736),资金流水!$S$1736&gt;=_辅助!$J$4,资金流水!$S$1736&lt;=_辅助!$J$2,OR(资金流水!$X$1736="应付材料款",资金流水!$X$1736="应付分包款",资金流水!$X$1736="应付机械运输费",资金流水!$X$1736="应付其他款")),INT(资金流水!$B$1736)*10000+1731,"")</f>
      </c>
    </row>
    <row r="1733">
      <c r="BD1733" s="2">
        <f>IF(AND($C$130&lt;&gt;"",资金流水!$J$1737=$C$130,ISNUMBER(资金流水!$B$1737),ISNUMBER(资金流水!$S$1737),资金流水!$S$1737&gt;=_辅助!$J$4,资金流水!$S$1737&lt;=_辅助!$J$2,OR(资金流水!$X$1737="应付材料款",资金流水!$X$1737="应付分包款",资金流水!$X$1737="应付机械运输费",资金流水!$X$1737="应付其他款")),INT(资金流水!$B$1737)*10000+1732,"")</f>
      </c>
    </row>
    <row r="1734">
      <c r="BD1734" s="2">
        <f>IF(AND($C$130&lt;&gt;"",资金流水!$J$1738=$C$130,ISNUMBER(资金流水!$B$1738),ISNUMBER(资金流水!$S$1738),资金流水!$S$1738&gt;=_辅助!$J$4,资金流水!$S$1738&lt;=_辅助!$J$2,OR(资金流水!$X$1738="应付材料款",资金流水!$X$1738="应付分包款",资金流水!$X$1738="应付机械运输费",资金流水!$X$1738="应付其他款")),INT(资金流水!$B$1738)*10000+1733,"")</f>
      </c>
    </row>
    <row r="1735">
      <c r="BD1735" s="2">
        <f>IF(AND($C$130&lt;&gt;"",资金流水!$J$1739=$C$130,ISNUMBER(资金流水!$B$1739),ISNUMBER(资金流水!$S$1739),资金流水!$S$1739&gt;=_辅助!$J$4,资金流水!$S$1739&lt;=_辅助!$J$2,OR(资金流水!$X$1739="应付材料款",资金流水!$X$1739="应付分包款",资金流水!$X$1739="应付机械运输费",资金流水!$X$1739="应付其他款")),INT(资金流水!$B$1739)*10000+1734,"")</f>
      </c>
    </row>
    <row r="1736">
      <c r="BD1736" s="2">
        <f>IF(AND($C$130&lt;&gt;"",资金流水!$J$1740=$C$130,ISNUMBER(资金流水!$B$1740),ISNUMBER(资金流水!$S$1740),资金流水!$S$1740&gt;=_辅助!$J$4,资金流水!$S$1740&lt;=_辅助!$J$2,OR(资金流水!$X$1740="应付材料款",资金流水!$X$1740="应付分包款",资金流水!$X$1740="应付机械运输费",资金流水!$X$1740="应付其他款")),INT(资金流水!$B$1740)*10000+1735,"")</f>
      </c>
    </row>
    <row r="1737">
      <c r="BD1737" s="2">
        <f>IF(AND($C$130&lt;&gt;"",资金流水!$J$1741=$C$130,ISNUMBER(资金流水!$B$1741),ISNUMBER(资金流水!$S$1741),资金流水!$S$1741&gt;=_辅助!$J$4,资金流水!$S$1741&lt;=_辅助!$J$2,OR(资金流水!$X$1741="应付材料款",资金流水!$X$1741="应付分包款",资金流水!$X$1741="应付机械运输费",资金流水!$X$1741="应付其他款")),INT(资金流水!$B$1741)*10000+1736,"")</f>
      </c>
    </row>
    <row r="1738">
      <c r="BD1738" s="2">
        <f>IF(AND($C$130&lt;&gt;"",资金流水!$J$1742=$C$130,ISNUMBER(资金流水!$B$1742),ISNUMBER(资金流水!$S$1742),资金流水!$S$1742&gt;=_辅助!$J$4,资金流水!$S$1742&lt;=_辅助!$J$2,OR(资金流水!$X$1742="应付材料款",资金流水!$X$1742="应付分包款",资金流水!$X$1742="应付机械运输费",资金流水!$X$1742="应付其他款")),INT(资金流水!$B$1742)*10000+1737,"")</f>
      </c>
    </row>
    <row r="1739">
      <c r="BD1739" s="2">
        <f>IF(AND($C$130&lt;&gt;"",资金流水!$J$1743=$C$130,ISNUMBER(资金流水!$B$1743),ISNUMBER(资金流水!$S$1743),资金流水!$S$1743&gt;=_辅助!$J$4,资金流水!$S$1743&lt;=_辅助!$J$2,OR(资金流水!$X$1743="应付材料款",资金流水!$X$1743="应付分包款",资金流水!$X$1743="应付机械运输费",资金流水!$X$1743="应付其他款")),INT(资金流水!$B$1743)*10000+1738,"")</f>
      </c>
    </row>
    <row r="1740">
      <c r="BD1740" s="2">
        <f>IF(AND($C$130&lt;&gt;"",资金流水!$J$1744=$C$130,ISNUMBER(资金流水!$B$1744),ISNUMBER(资金流水!$S$1744),资金流水!$S$1744&gt;=_辅助!$J$4,资金流水!$S$1744&lt;=_辅助!$J$2,OR(资金流水!$X$1744="应付材料款",资金流水!$X$1744="应付分包款",资金流水!$X$1744="应付机械运输费",资金流水!$X$1744="应付其他款")),INT(资金流水!$B$1744)*10000+1739,"")</f>
      </c>
    </row>
    <row r="1741">
      <c r="BD1741" s="2">
        <f>IF(AND($C$130&lt;&gt;"",资金流水!$J$1745=$C$130,ISNUMBER(资金流水!$B$1745),ISNUMBER(资金流水!$S$1745),资金流水!$S$1745&gt;=_辅助!$J$4,资金流水!$S$1745&lt;=_辅助!$J$2,OR(资金流水!$X$1745="应付材料款",资金流水!$X$1745="应付分包款",资金流水!$X$1745="应付机械运输费",资金流水!$X$1745="应付其他款")),INT(资金流水!$B$1745)*10000+1740,"")</f>
      </c>
    </row>
    <row r="1742">
      <c r="BD1742" s="2">
        <f>IF(AND($C$130&lt;&gt;"",资金流水!$J$1746=$C$130,ISNUMBER(资金流水!$B$1746),ISNUMBER(资金流水!$S$1746),资金流水!$S$1746&gt;=_辅助!$J$4,资金流水!$S$1746&lt;=_辅助!$J$2,OR(资金流水!$X$1746="应付材料款",资金流水!$X$1746="应付分包款",资金流水!$X$1746="应付机械运输费",资金流水!$X$1746="应付其他款")),INT(资金流水!$B$1746)*10000+1741,"")</f>
      </c>
    </row>
    <row r="1743">
      <c r="BD1743" s="2">
        <f>IF(AND($C$130&lt;&gt;"",资金流水!$J$1747=$C$130,ISNUMBER(资金流水!$B$1747),ISNUMBER(资金流水!$S$1747),资金流水!$S$1747&gt;=_辅助!$J$4,资金流水!$S$1747&lt;=_辅助!$J$2,OR(资金流水!$X$1747="应付材料款",资金流水!$X$1747="应付分包款",资金流水!$X$1747="应付机械运输费",资金流水!$X$1747="应付其他款")),INT(资金流水!$B$1747)*10000+1742,"")</f>
      </c>
    </row>
    <row r="1744">
      <c r="BD1744" s="2">
        <f>IF(AND($C$130&lt;&gt;"",资金流水!$J$1748=$C$130,ISNUMBER(资金流水!$B$1748),ISNUMBER(资金流水!$S$1748),资金流水!$S$1748&gt;=_辅助!$J$4,资金流水!$S$1748&lt;=_辅助!$J$2,OR(资金流水!$X$1748="应付材料款",资金流水!$X$1748="应付分包款",资金流水!$X$1748="应付机械运输费",资金流水!$X$1748="应付其他款")),INT(资金流水!$B$1748)*10000+1743,"")</f>
      </c>
    </row>
    <row r="1745">
      <c r="BD1745" s="2">
        <f>IF(AND($C$130&lt;&gt;"",资金流水!$J$1749=$C$130,ISNUMBER(资金流水!$B$1749),ISNUMBER(资金流水!$S$1749),资金流水!$S$1749&gt;=_辅助!$J$4,资金流水!$S$1749&lt;=_辅助!$J$2,OR(资金流水!$X$1749="应付材料款",资金流水!$X$1749="应付分包款",资金流水!$X$1749="应付机械运输费",资金流水!$X$1749="应付其他款")),INT(资金流水!$B$1749)*10000+1744,"")</f>
      </c>
    </row>
    <row r="1746">
      <c r="BD1746" s="2">
        <f>IF(AND($C$130&lt;&gt;"",资金流水!$J$1750=$C$130,ISNUMBER(资金流水!$B$1750),ISNUMBER(资金流水!$S$1750),资金流水!$S$1750&gt;=_辅助!$J$4,资金流水!$S$1750&lt;=_辅助!$J$2,OR(资金流水!$X$1750="应付材料款",资金流水!$X$1750="应付分包款",资金流水!$X$1750="应付机械运输费",资金流水!$X$1750="应付其他款")),INT(资金流水!$B$1750)*10000+1745,"")</f>
      </c>
    </row>
    <row r="1747">
      <c r="BD1747" s="2">
        <f>IF(AND($C$130&lt;&gt;"",资金流水!$J$1751=$C$130,ISNUMBER(资金流水!$B$1751),ISNUMBER(资金流水!$S$1751),资金流水!$S$1751&gt;=_辅助!$J$4,资金流水!$S$1751&lt;=_辅助!$J$2,OR(资金流水!$X$1751="应付材料款",资金流水!$X$1751="应付分包款",资金流水!$X$1751="应付机械运输费",资金流水!$X$1751="应付其他款")),INT(资金流水!$B$1751)*10000+1746,"")</f>
      </c>
    </row>
    <row r="1748">
      <c r="BD1748" s="2">
        <f>IF(AND($C$130&lt;&gt;"",资金流水!$J$1752=$C$130,ISNUMBER(资金流水!$B$1752),ISNUMBER(资金流水!$S$1752),资金流水!$S$1752&gt;=_辅助!$J$4,资金流水!$S$1752&lt;=_辅助!$J$2,OR(资金流水!$X$1752="应付材料款",资金流水!$X$1752="应付分包款",资金流水!$X$1752="应付机械运输费",资金流水!$X$1752="应付其他款")),INT(资金流水!$B$1752)*10000+1747,"")</f>
      </c>
    </row>
    <row r="1749">
      <c r="BD1749" s="2">
        <f>IF(AND($C$130&lt;&gt;"",资金流水!$J$1753=$C$130,ISNUMBER(资金流水!$B$1753),ISNUMBER(资金流水!$S$1753),资金流水!$S$1753&gt;=_辅助!$J$4,资金流水!$S$1753&lt;=_辅助!$J$2,OR(资金流水!$X$1753="应付材料款",资金流水!$X$1753="应付分包款",资金流水!$X$1753="应付机械运输费",资金流水!$X$1753="应付其他款")),INT(资金流水!$B$1753)*10000+1748,"")</f>
      </c>
    </row>
    <row r="1750">
      <c r="BD1750" s="2">
        <f>IF(AND($C$130&lt;&gt;"",资金流水!$J$1754=$C$130,ISNUMBER(资金流水!$B$1754),ISNUMBER(资金流水!$S$1754),资金流水!$S$1754&gt;=_辅助!$J$4,资金流水!$S$1754&lt;=_辅助!$J$2,OR(资金流水!$X$1754="应付材料款",资金流水!$X$1754="应付分包款",资金流水!$X$1754="应付机械运输费",资金流水!$X$1754="应付其他款")),INT(资金流水!$B$1754)*10000+1749,"")</f>
      </c>
    </row>
    <row r="1751">
      <c r="BD1751" s="2">
        <f>IF(AND($C$130&lt;&gt;"",资金流水!$J$1755=$C$130,ISNUMBER(资金流水!$B$1755),ISNUMBER(资金流水!$S$1755),资金流水!$S$1755&gt;=_辅助!$J$4,资金流水!$S$1755&lt;=_辅助!$J$2,OR(资金流水!$X$1755="应付材料款",资金流水!$X$1755="应付分包款",资金流水!$X$1755="应付机械运输费",资金流水!$X$1755="应付其他款")),INT(资金流水!$B$1755)*10000+1750,"")</f>
      </c>
    </row>
    <row r="1752">
      <c r="BD1752" s="2">
        <f>IF(AND($C$130&lt;&gt;"",资金流水!$J$1756=$C$130,ISNUMBER(资金流水!$B$1756),ISNUMBER(资金流水!$S$1756),资金流水!$S$1756&gt;=_辅助!$J$4,资金流水!$S$1756&lt;=_辅助!$J$2,OR(资金流水!$X$1756="应付材料款",资金流水!$X$1756="应付分包款",资金流水!$X$1756="应付机械运输费",资金流水!$X$1756="应付其他款")),INT(资金流水!$B$1756)*10000+1751,"")</f>
      </c>
    </row>
    <row r="1753">
      <c r="BD1753" s="2">
        <f>IF(AND($C$130&lt;&gt;"",资金流水!$J$1757=$C$130,ISNUMBER(资金流水!$B$1757),ISNUMBER(资金流水!$S$1757),资金流水!$S$1757&gt;=_辅助!$J$4,资金流水!$S$1757&lt;=_辅助!$J$2,OR(资金流水!$X$1757="应付材料款",资金流水!$X$1757="应付分包款",资金流水!$X$1757="应付机械运输费",资金流水!$X$1757="应付其他款")),INT(资金流水!$B$1757)*10000+1752,"")</f>
      </c>
    </row>
    <row r="1754">
      <c r="BD1754" s="2">
        <f>IF(AND($C$130&lt;&gt;"",资金流水!$J$1758=$C$130,ISNUMBER(资金流水!$B$1758),ISNUMBER(资金流水!$S$1758),资金流水!$S$1758&gt;=_辅助!$J$4,资金流水!$S$1758&lt;=_辅助!$J$2,OR(资金流水!$X$1758="应付材料款",资金流水!$X$1758="应付分包款",资金流水!$X$1758="应付机械运输费",资金流水!$X$1758="应付其他款")),INT(资金流水!$B$1758)*10000+1753,"")</f>
      </c>
    </row>
    <row r="1755">
      <c r="BD1755" s="2">
        <f>IF(AND($C$130&lt;&gt;"",资金流水!$J$1759=$C$130,ISNUMBER(资金流水!$B$1759),ISNUMBER(资金流水!$S$1759),资金流水!$S$1759&gt;=_辅助!$J$4,资金流水!$S$1759&lt;=_辅助!$J$2,OR(资金流水!$X$1759="应付材料款",资金流水!$X$1759="应付分包款",资金流水!$X$1759="应付机械运输费",资金流水!$X$1759="应付其他款")),INT(资金流水!$B$1759)*10000+1754,"")</f>
      </c>
    </row>
    <row r="1756">
      <c r="BD1756" s="2">
        <f>IF(AND($C$130&lt;&gt;"",资金流水!$J$1760=$C$130,ISNUMBER(资金流水!$B$1760),ISNUMBER(资金流水!$S$1760),资金流水!$S$1760&gt;=_辅助!$J$4,资金流水!$S$1760&lt;=_辅助!$J$2,OR(资金流水!$X$1760="应付材料款",资金流水!$X$1760="应付分包款",资金流水!$X$1760="应付机械运输费",资金流水!$X$1760="应付其他款")),INT(资金流水!$B$1760)*10000+1755,"")</f>
      </c>
    </row>
    <row r="1757">
      <c r="BD1757" s="2">
        <f>IF(AND($C$130&lt;&gt;"",资金流水!$J$1761=$C$130,ISNUMBER(资金流水!$B$1761),ISNUMBER(资金流水!$S$1761),资金流水!$S$1761&gt;=_辅助!$J$4,资金流水!$S$1761&lt;=_辅助!$J$2,OR(资金流水!$X$1761="应付材料款",资金流水!$X$1761="应付分包款",资金流水!$X$1761="应付机械运输费",资金流水!$X$1761="应付其他款")),INT(资金流水!$B$1761)*10000+1756,"")</f>
      </c>
    </row>
    <row r="1758">
      <c r="BD1758" s="2">
        <f>IF(AND($C$130&lt;&gt;"",资金流水!$J$1762=$C$130,ISNUMBER(资金流水!$B$1762),ISNUMBER(资金流水!$S$1762),资金流水!$S$1762&gt;=_辅助!$J$4,资金流水!$S$1762&lt;=_辅助!$J$2,OR(资金流水!$X$1762="应付材料款",资金流水!$X$1762="应付分包款",资金流水!$X$1762="应付机械运输费",资金流水!$X$1762="应付其他款")),INT(资金流水!$B$1762)*10000+1757,"")</f>
      </c>
    </row>
    <row r="1759">
      <c r="BD1759" s="2">
        <f>IF(AND($C$130&lt;&gt;"",资金流水!$J$1763=$C$130,ISNUMBER(资金流水!$B$1763),ISNUMBER(资金流水!$S$1763),资金流水!$S$1763&gt;=_辅助!$J$4,资金流水!$S$1763&lt;=_辅助!$J$2,OR(资金流水!$X$1763="应付材料款",资金流水!$X$1763="应付分包款",资金流水!$X$1763="应付机械运输费",资金流水!$X$1763="应付其他款")),INT(资金流水!$B$1763)*10000+1758,"")</f>
      </c>
    </row>
    <row r="1760">
      <c r="BD1760" s="2">
        <f>IF(AND($C$130&lt;&gt;"",资金流水!$J$1764=$C$130,ISNUMBER(资金流水!$B$1764),ISNUMBER(资金流水!$S$1764),资金流水!$S$1764&gt;=_辅助!$J$4,资金流水!$S$1764&lt;=_辅助!$J$2,OR(资金流水!$X$1764="应付材料款",资金流水!$X$1764="应付分包款",资金流水!$X$1764="应付机械运输费",资金流水!$X$1764="应付其他款")),INT(资金流水!$B$1764)*10000+1759,"")</f>
      </c>
    </row>
    <row r="1761">
      <c r="BD1761" s="2">
        <f>IF(AND($C$130&lt;&gt;"",资金流水!$J$1765=$C$130,ISNUMBER(资金流水!$B$1765),ISNUMBER(资金流水!$S$1765),资金流水!$S$1765&gt;=_辅助!$J$4,资金流水!$S$1765&lt;=_辅助!$J$2,OR(资金流水!$X$1765="应付材料款",资金流水!$X$1765="应付分包款",资金流水!$X$1765="应付机械运输费",资金流水!$X$1765="应付其他款")),INT(资金流水!$B$1765)*10000+1760,"")</f>
      </c>
    </row>
    <row r="1762">
      <c r="BD1762" s="2">
        <f>IF(AND($C$130&lt;&gt;"",资金流水!$J$1766=$C$130,ISNUMBER(资金流水!$B$1766),ISNUMBER(资金流水!$S$1766),资金流水!$S$1766&gt;=_辅助!$J$4,资金流水!$S$1766&lt;=_辅助!$J$2,OR(资金流水!$X$1766="应付材料款",资金流水!$X$1766="应付分包款",资金流水!$X$1766="应付机械运输费",资金流水!$X$1766="应付其他款")),INT(资金流水!$B$1766)*10000+1761,"")</f>
      </c>
    </row>
    <row r="1763">
      <c r="BD1763" s="2">
        <f>IF(AND($C$130&lt;&gt;"",资金流水!$J$1767=$C$130,ISNUMBER(资金流水!$B$1767),ISNUMBER(资金流水!$S$1767),资金流水!$S$1767&gt;=_辅助!$J$4,资金流水!$S$1767&lt;=_辅助!$J$2,OR(资金流水!$X$1767="应付材料款",资金流水!$X$1767="应付分包款",资金流水!$X$1767="应付机械运输费",资金流水!$X$1767="应付其他款")),INT(资金流水!$B$1767)*10000+1762,"")</f>
      </c>
    </row>
    <row r="1764">
      <c r="BD1764" s="2">
        <f>IF(AND($C$130&lt;&gt;"",资金流水!$J$1768=$C$130,ISNUMBER(资金流水!$B$1768),ISNUMBER(资金流水!$S$1768),资金流水!$S$1768&gt;=_辅助!$J$4,资金流水!$S$1768&lt;=_辅助!$J$2,OR(资金流水!$X$1768="应付材料款",资金流水!$X$1768="应付分包款",资金流水!$X$1768="应付机械运输费",资金流水!$X$1768="应付其他款")),INT(资金流水!$B$1768)*10000+1763,"")</f>
      </c>
    </row>
    <row r="1765">
      <c r="BD1765" s="2">
        <f>IF(AND($C$130&lt;&gt;"",资金流水!$J$1769=$C$130,ISNUMBER(资金流水!$B$1769),ISNUMBER(资金流水!$S$1769),资金流水!$S$1769&gt;=_辅助!$J$4,资金流水!$S$1769&lt;=_辅助!$J$2,OR(资金流水!$X$1769="应付材料款",资金流水!$X$1769="应付分包款",资金流水!$X$1769="应付机械运输费",资金流水!$X$1769="应付其他款")),INT(资金流水!$B$1769)*10000+1764,"")</f>
      </c>
    </row>
    <row r="1766">
      <c r="BD1766" s="2">
        <f>IF(AND($C$130&lt;&gt;"",资金流水!$J$1770=$C$130,ISNUMBER(资金流水!$B$1770),ISNUMBER(资金流水!$S$1770),资金流水!$S$1770&gt;=_辅助!$J$4,资金流水!$S$1770&lt;=_辅助!$J$2,OR(资金流水!$X$1770="应付材料款",资金流水!$X$1770="应付分包款",资金流水!$X$1770="应付机械运输费",资金流水!$X$1770="应付其他款")),INT(资金流水!$B$1770)*10000+1765,"")</f>
      </c>
    </row>
    <row r="1767">
      <c r="BD1767" s="2">
        <f>IF(AND($C$130&lt;&gt;"",资金流水!$J$1771=$C$130,ISNUMBER(资金流水!$B$1771),ISNUMBER(资金流水!$S$1771),资金流水!$S$1771&gt;=_辅助!$J$4,资金流水!$S$1771&lt;=_辅助!$J$2,OR(资金流水!$X$1771="应付材料款",资金流水!$X$1771="应付分包款",资金流水!$X$1771="应付机械运输费",资金流水!$X$1771="应付其他款")),INT(资金流水!$B$1771)*10000+1766,"")</f>
      </c>
    </row>
    <row r="1768">
      <c r="BD1768" s="2">
        <f>IF(AND($C$130&lt;&gt;"",资金流水!$J$1772=$C$130,ISNUMBER(资金流水!$B$1772),ISNUMBER(资金流水!$S$1772),资金流水!$S$1772&gt;=_辅助!$J$4,资金流水!$S$1772&lt;=_辅助!$J$2,OR(资金流水!$X$1772="应付材料款",资金流水!$X$1772="应付分包款",资金流水!$X$1772="应付机械运输费",资金流水!$X$1772="应付其他款")),INT(资金流水!$B$1772)*10000+1767,"")</f>
      </c>
    </row>
    <row r="1769">
      <c r="BD1769" s="2">
        <f>IF(AND($C$130&lt;&gt;"",资金流水!$J$1773=$C$130,ISNUMBER(资金流水!$B$1773),ISNUMBER(资金流水!$S$1773),资金流水!$S$1773&gt;=_辅助!$J$4,资金流水!$S$1773&lt;=_辅助!$J$2,OR(资金流水!$X$1773="应付材料款",资金流水!$X$1773="应付分包款",资金流水!$X$1773="应付机械运输费",资金流水!$X$1773="应付其他款")),INT(资金流水!$B$1773)*10000+1768,"")</f>
      </c>
    </row>
    <row r="1770">
      <c r="BD1770" s="2">
        <f>IF(AND($C$130&lt;&gt;"",资金流水!$J$1774=$C$130,ISNUMBER(资金流水!$B$1774),ISNUMBER(资金流水!$S$1774),资金流水!$S$1774&gt;=_辅助!$J$4,资金流水!$S$1774&lt;=_辅助!$J$2,OR(资金流水!$X$1774="应付材料款",资金流水!$X$1774="应付分包款",资金流水!$X$1774="应付机械运输费",资金流水!$X$1774="应付其他款")),INT(资金流水!$B$1774)*10000+1769,"")</f>
      </c>
    </row>
    <row r="1771">
      <c r="BD1771" s="2">
        <f>IF(AND($C$130&lt;&gt;"",资金流水!$J$1775=$C$130,ISNUMBER(资金流水!$B$1775),ISNUMBER(资金流水!$S$1775),资金流水!$S$1775&gt;=_辅助!$J$4,资金流水!$S$1775&lt;=_辅助!$J$2,OR(资金流水!$X$1775="应付材料款",资金流水!$X$1775="应付分包款",资金流水!$X$1775="应付机械运输费",资金流水!$X$1775="应付其他款")),INT(资金流水!$B$1775)*10000+1770,"")</f>
      </c>
    </row>
    <row r="1772">
      <c r="BD1772" s="2">
        <f>IF(AND($C$130&lt;&gt;"",资金流水!$J$1776=$C$130,ISNUMBER(资金流水!$B$1776),ISNUMBER(资金流水!$S$1776),资金流水!$S$1776&gt;=_辅助!$J$4,资金流水!$S$1776&lt;=_辅助!$J$2,OR(资金流水!$X$1776="应付材料款",资金流水!$X$1776="应付分包款",资金流水!$X$1776="应付机械运输费",资金流水!$X$1776="应付其他款")),INT(资金流水!$B$1776)*10000+1771,"")</f>
      </c>
    </row>
    <row r="1773">
      <c r="BD1773" s="2">
        <f>IF(AND($C$130&lt;&gt;"",资金流水!$J$1777=$C$130,ISNUMBER(资金流水!$B$1777),ISNUMBER(资金流水!$S$1777),资金流水!$S$1777&gt;=_辅助!$J$4,资金流水!$S$1777&lt;=_辅助!$J$2,OR(资金流水!$X$1777="应付材料款",资金流水!$X$1777="应付分包款",资金流水!$X$1777="应付机械运输费",资金流水!$X$1777="应付其他款")),INT(资金流水!$B$1777)*10000+1772,"")</f>
      </c>
    </row>
    <row r="1774">
      <c r="BD1774" s="2">
        <f>IF(AND($C$130&lt;&gt;"",资金流水!$J$1778=$C$130,ISNUMBER(资金流水!$B$1778),ISNUMBER(资金流水!$S$1778),资金流水!$S$1778&gt;=_辅助!$J$4,资金流水!$S$1778&lt;=_辅助!$J$2,OR(资金流水!$X$1778="应付材料款",资金流水!$X$1778="应付分包款",资金流水!$X$1778="应付机械运输费",资金流水!$X$1778="应付其他款")),INT(资金流水!$B$1778)*10000+1773,"")</f>
      </c>
    </row>
    <row r="1775">
      <c r="BD1775" s="2">
        <f>IF(AND($C$130&lt;&gt;"",资金流水!$J$1779=$C$130,ISNUMBER(资金流水!$B$1779),ISNUMBER(资金流水!$S$1779),资金流水!$S$1779&gt;=_辅助!$J$4,资金流水!$S$1779&lt;=_辅助!$J$2,OR(资金流水!$X$1779="应付材料款",资金流水!$X$1779="应付分包款",资金流水!$X$1779="应付机械运输费",资金流水!$X$1779="应付其他款")),INT(资金流水!$B$1779)*10000+1774,"")</f>
      </c>
    </row>
    <row r="1776">
      <c r="BD1776" s="2">
        <f>IF(AND($C$130&lt;&gt;"",资金流水!$J$1780=$C$130,ISNUMBER(资金流水!$B$1780),ISNUMBER(资金流水!$S$1780),资金流水!$S$1780&gt;=_辅助!$J$4,资金流水!$S$1780&lt;=_辅助!$J$2,OR(资金流水!$X$1780="应付材料款",资金流水!$X$1780="应付分包款",资金流水!$X$1780="应付机械运输费",资金流水!$X$1780="应付其他款")),INT(资金流水!$B$1780)*10000+1775,"")</f>
      </c>
    </row>
    <row r="1777">
      <c r="BD1777" s="2">
        <f>IF(AND($C$130&lt;&gt;"",资金流水!$J$1781=$C$130,ISNUMBER(资金流水!$B$1781),ISNUMBER(资金流水!$S$1781),资金流水!$S$1781&gt;=_辅助!$J$4,资金流水!$S$1781&lt;=_辅助!$J$2,OR(资金流水!$X$1781="应付材料款",资金流水!$X$1781="应付分包款",资金流水!$X$1781="应付机械运输费",资金流水!$X$1781="应付其他款")),INT(资金流水!$B$1781)*10000+1776,"")</f>
      </c>
    </row>
    <row r="1778">
      <c r="BD1778" s="2">
        <f>IF(AND($C$130&lt;&gt;"",资金流水!$J$1782=$C$130,ISNUMBER(资金流水!$B$1782),ISNUMBER(资金流水!$S$1782),资金流水!$S$1782&gt;=_辅助!$J$4,资金流水!$S$1782&lt;=_辅助!$J$2,OR(资金流水!$X$1782="应付材料款",资金流水!$X$1782="应付分包款",资金流水!$X$1782="应付机械运输费",资金流水!$X$1782="应付其他款")),INT(资金流水!$B$1782)*10000+1777,"")</f>
      </c>
    </row>
    <row r="1779">
      <c r="BD1779" s="2">
        <f>IF(AND($C$130&lt;&gt;"",资金流水!$J$1783=$C$130,ISNUMBER(资金流水!$B$1783),ISNUMBER(资金流水!$S$1783),资金流水!$S$1783&gt;=_辅助!$J$4,资金流水!$S$1783&lt;=_辅助!$J$2,OR(资金流水!$X$1783="应付材料款",资金流水!$X$1783="应付分包款",资金流水!$X$1783="应付机械运输费",资金流水!$X$1783="应付其他款")),INT(资金流水!$B$1783)*10000+1778,"")</f>
      </c>
    </row>
    <row r="1780">
      <c r="BD1780" s="2">
        <f>IF(AND($C$130&lt;&gt;"",资金流水!$J$1784=$C$130,ISNUMBER(资金流水!$B$1784),ISNUMBER(资金流水!$S$1784),资金流水!$S$1784&gt;=_辅助!$J$4,资金流水!$S$1784&lt;=_辅助!$J$2,OR(资金流水!$X$1784="应付材料款",资金流水!$X$1784="应付分包款",资金流水!$X$1784="应付机械运输费",资金流水!$X$1784="应付其他款")),INT(资金流水!$B$1784)*10000+1779,"")</f>
      </c>
    </row>
    <row r="1781">
      <c r="BD1781" s="2">
        <f>IF(AND($C$130&lt;&gt;"",资金流水!$J$1785=$C$130,ISNUMBER(资金流水!$B$1785),ISNUMBER(资金流水!$S$1785),资金流水!$S$1785&gt;=_辅助!$J$4,资金流水!$S$1785&lt;=_辅助!$J$2,OR(资金流水!$X$1785="应付材料款",资金流水!$X$1785="应付分包款",资金流水!$X$1785="应付机械运输费",资金流水!$X$1785="应付其他款")),INT(资金流水!$B$1785)*10000+1780,"")</f>
      </c>
    </row>
    <row r="1782">
      <c r="BD1782" s="2">
        <f>IF(AND($C$130&lt;&gt;"",资金流水!$J$1786=$C$130,ISNUMBER(资金流水!$B$1786),ISNUMBER(资金流水!$S$1786),资金流水!$S$1786&gt;=_辅助!$J$4,资金流水!$S$1786&lt;=_辅助!$J$2,OR(资金流水!$X$1786="应付材料款",资金流水!$X$1786="应付分包款",资金流水!$X$1786="应付机械运输费",资金流水!$X$1786="应付其他款")),INT(资金流水!$B$1786)*10000+1781,"")</f>
      </c>
    </row>
    <row r="1783">
      <c r="BD1783" s="2">
        <f>IF(AND($C$130&lt;&gt;"",资金流水!$J$1787=$C$130,ISNUMBER(资金流水!$B$1787),ISNUMBER(资金流水!$S$1787),资金流水!$S$1787&gt;=_辅助!$J$4,资金流水!$S$1787&lt;=_辅助!$J$2,OR(资金流水!$X$1787="应付材料款",资金流水!$X$1787="应付分包款",资金流水!$X$1787="应付机械运输费",资金流水!$X$1787="应付其他款")),INT(资金流水!$B$1787)*10000+1782,"")</f>
      </c>
    </row>
    <row r="1784">
      <c r="BD1784" s="2">
        <f>IF(AND($C$130&lt;&gt;"",资金流水!$J$1788=$C$130,ISNUMBER(资金流水!$B$1788),ISNUMBER(资金流水!$S$1788),资金流水!$S$1788&gt;=_辅助!$J$4,资金流水!$S$1788&lt;=_辅助!$J$2,OR(资金流水!$X$1788="应付材料款",资金流水!$X$1788="应付分包款",资金流水!$X$1788="应付机械运输费",资金流水!$X$1788="应付其他款")),INT(资金流水!$B$1788)*10000+1783,"")</f>
      </c>
    </row>
    <row r="1785">
      <c r="BD1785" s="2">
        <f>IF(AND($C$130&lt;&gt;"",资金流水!$J$1789=$C$130,ISNUMBER(资金流水!$B$1789),ISNUMBER(资金流水!$S$1789),资金流水!$S$1789&gt;=_辅助!$J$4,资金流水!$S$1789&lt;=_辅助!$J$2,OR(资金流水!$X$1789="应付材料款",资金流水!$X$1789="应付分包款",资金流水!$X$1789="应付机械运输费",资金流水!$X$1789="应付其他款")),INT(资金流水!$B$1789)*10000+1784,"")</f>
      </c>
    </row>
    <row r="1786">
      <c r="BD1786" s="2">
        <f>IF(AND($C$130&lt;&gt;"",资金流水!$J$1790=$C$130,ISNUMBER(资金流水!$B$1790),ISNUMBER(资金流水!$S$1790),资金流水!$S$1790&gt;=_辅助!$J$4,资金流水!$S$1790&lt;=_辅助!$J$2,OR(资金流水!$X$1790="应付材料款",资金流水!$X$1790="应付分包款",资金流水!$X$1790="应付机械运输费",资金流水!$X$1790="应付其他款")),INT(资金流水!$B$1790)*10000+1785,"")</f>
      </c>
    </row>
    <row r="1787">
      <c r="BD1787" s="2">
        <f>IF(AND($C$130&lt;&gt;"",资金流水!$J$1791=$C$130,ISNUMBER(资金流水!$B$1791),ISNUMBER(资金流水!$S$1791),资金流水!$S$1791&gt;=_辅助!$J$4,资金流水!$S$1791&lt;=_辅助!$J$2,OR(资金流水!$X$1791="应付材料款",资金流水!$X$1791="应付分包款",资金流水!$X$1791="应付机械运输费",资金流水!$X$1791="应付其他款")),INT(资金流水!$B$1791)*10000+1786,"")</f>
      </c>
    </row>
    <row r="1788">
      <c r="BD1788" s="2">
        <f>IF(AND($C$130&lt;&gt;"",资金流水!$J$1792=$C$130,ISNUMBER(资金流水!$B$1792),ISNUMBER(资金流水!$S$1792),资金流水!$S$1792&gt;=_辅助!$J$4,资金流水!$S$1792&lt;=_辅助!$J$2,OR(资金流水!$X$1792="应付材料款",资金流水!$X$1792="应付分包款",资金流水!$X$1792="应付机械运输费",资金流水!$X$1792="应付其他款")),INT(资金流水!$B$1792)*10000+1787,"")</f>
      </c>
    </row>
    <row r="1789">
      <c r="BD1789" s="2">
        <f>IF(AND($C$130&lt;&gt;"",资金流水!$J$1793=$C$130,ISNUMBER(资金流水!$B$1793),ISNUMBER(资金流水!$S$1793),资金流水!$S$1793&gt;=_辅助!$J$4,资金流水!$S$1793&lt;=_辅助!$J$2,OR(资金流水!$X$1793="应付材料款",资金流水!$X$1793="应付分包款",资金流水!$X$1793="应付机械运输费",资金流水!$X$1793="应付其他款")),INT(资金流水!$B$1793)*10000+1788,"")</f>
      </c>
    </row>
    <row r="1790">
      <c r="BD1790" s="2">
        <f>IF(AND($C$130&lt;&gt;"",资金流水!$J$1794=$C$130,ISNUMBER(资金流水!$B$1794),ISNUMBER(资金流水!$S$1794),资金流水!$S$1794&gt;=_辅助!$J$4,资金流水!$S$1794&lt;=_辅助!$J$2,OR(资金流水!$X$1794="应付材料款",资金流水!$X$1794="应付分包款",资金流水!$X$1794="应付机械运输费",资金流水!$X$1794="应付其他款")),INT(资金流水!$B$1794)*10000+1789,"")</f>
      </c>
    </row>
    <row r="1791">
      <c r="BD1791" s="2">
        <f>IF(AND($C$130&lt;&gt;"",资金流水!$J$1795=$C$130,ISNUMBER(资金流水!$B$1795),ISNUMBER(资金流水!$S$1795),资金流水!$S$1795&gt;=_辅助!$J$4,资金流水!$S$1795&lt;=_辅助!$J$2,OR(资金流水!$X$1795="应付材料款",资金流水!$X$1795="应付分包款",资金流水!$X$1795="应付机械运输费",资金流水!$X$1795="应付其他款")),INT(资金流水!$B$1795)*10000+1790,"")</f>
      </c>
    </row>
    <row r="1792">
      <c r="BD1792" s="2">
        <f>IF(AND($C$130&lt;&gt;"",资金流水!$J$1796=$C$130,ISNUMBER(资金流水!$B$1796),ISNUMBER(资金流水!$S$1796),资金流水!$S$1796&gt;=_辅助!$J$4,资金流水!$S$1796&lt;=_辅助!$J$2,OR(资金流水!$X$1796="应付材料款",资金流水!$X$1796="应付分包款",资金流水!$X$1796="应付机械运输费",资金流水!$X$1796="应付其他款")),INT(资金流水!$B$1796)*10000+1791,"")</f>
      </c>
    </row>
    <row r="1793">
      <c r="BD1793" s="2">
        <f>IF(AND($C$130&lt;&gt;"",资金流水!$J$1797=$C$130,ISNUMBER(资金流水!$B$1797),ISNUMBER(资金流水!$S$1797),资金流水!$S$1797&gt;=_辅助!$J$4,资金流水!$S$1797&lt;=_辅助!$J$2,OR(资金流水!$X$1797="应付材料款",资金流水!$X$1797="应付分包款",资金流水!$X$1797="应付机械运输费",资金流水!$X$1797="应付其他款")),INT(资金流水!$B$1797)*10000+1792,"")</f>
      </c>
    </row>
    <row r="1794">
      <c r="BD1794" s="2">
        <f>IF(AND($C$130&lt;&gt;"",资金流水!$J$1798=$C$130,ISNUMBER(资金流水!$B$1798),ISNUMBER(资金流水!$S$1798),资金流水!$S$1798&gt;=_辅助!$J$4,资金流水!$S$1798&lt;=_辅助!$J$2,OR(资金流水!$X$1798="应付材料款",资金流水!$X$1798="应付分包款",资金流水!$X$1798="应付机械运输费",资金流水!$X$1798="应付其他款")),INT(资金流水!$B$1798)*10000+1793,"")</f>
      </c>
    </row>
    <row r="1795">
      <c r="BD1795" s="2">
        <f>IF(AND($C$130&lt;&gt;"",资金流水!$J$1799=$C$130,ISNUMBER(资金流水!$B$1799),ISNUMBER(资金流水!$S$1799),资金流水!$S$1799&gt;=_辅助!$J$4,资金流水!$S$1799&lt;=_辅助!$J$2,OR(资金流水!$X$1799="应付材料款",资金流水!$X$1799="应付分包款",资金流水!$X$1799="应付机械运输费",资金流水!$X$1799="应付其他款")),INT(资金流水!$B$1799)*10000+1794,"")</f>
      </c>
    </row>
    <row r="1796">
      <c r="BD1796" s="2">
        <f>IF(AND($C$130&lt;&gt;"",资金流水!$J$1800=$C$130,ISNUMBER(资金流水!$B$1800),ISNUMBER(资金流水!$S$1800),资金流水!$S$1800&gt;=_辅助!$J$4,资金流水!$S$1800&lt;=_辅助!$J$2,OR(资金流水!$X$1800="应付材料款",资金流水!$X$1800="应付分包款",资金流水!$X$1800="应付机械运输费",资金流水!$X$1800="应付其他款")),INT(资金流水!$B$1800)*10000+1795,"")</f>
      </c>
    </row>
    <row r="1797">
      <c r="BD1797" s="2">
        <f>IF(AND($C$130&lt;&gt;"",资金流水!$J$1801=$C$130,ISNUMBER(资金流水!$B$1801),ISNUMBER(资金流水!$S$1801),资金流水!$S$1801&gt;=_辅助!$J$4,资金流水!$S$1801&lt;=_辅助!$J$2,OR(资金流水!$X$1801="应付材料款",资金流水!$X$1801="应付分包款",资金流水!$X$1801="应付机械运输费",资金流水!$X$1801="应付其他款")),INT(资金流水!$B$1801)*10000+1796,"")</f>
      </c>
    </row>
    <row r="1798">
      <c r="BD1798" s="2">
        <f>IF(AND($C$130&lt;&gt;"",资金流水!$J$1802=$C$130,ISNUMBER(资金流水!$B$1802),ISNUMBER(资金流水!$S$1802),资金流水!$S$1802&gt;=_辅助!$J$4,资金流水!$S$1802&lt;=_辅助!$J$2,OR(资金流水!$X$1802="应付材料款",资金流水!$X$1802="应付分包款",资金流水!$X$1802="应付机械运输费",资金流水!$X$1802="应付其他款")),INT(资金流水!$B$1802)*10000+1797,"")</f>
      </c>
    </row>
    <row r="1799">
      <c r="BD1799" s="2">
        <f>IF(AND($C$130&lt;&gt;"",资金流水!$J$1803=$C$130,ISNUMBER(资金流水!$B$1803),ISNUMBER(资金流水!$S$1803),资金流水!$S$1803&gt;=_辅助!$J$4,资金流水!$S$1803&lt;=_辅助!$J$2,OR(资金流水!$X$1803="应付材料款",资金流水!$X$1803="应付分包款",资金流水!$X$1803="应付机械运输费",资金流水!$X$1803="应付其他款")),INT(资金流水!$B$1803)*10000+1798,"")</f>
      </c>
    </row>
    <row r="1800">
      <c r="BD1800" s="2">
        <f>IF(AND($C$130&lt;&gt;"",资金流水!$J$1804=$C$130,ISNUMBER(资金流水!$B$1804),ISNUMBER(资金流水!$S$1804),资金流水!$S$1804&gt;=_辅助!$J$4,资金流水!$S$1804&lt;=_辅助!$J$2,OR(资金流水!$X$1804="应付材料款",资金流水!$X$1804="应付分包款",资金流水!$X$1804="应付机械运输费",资金流水!$X$1804="应付其他款")),INT(资金流水!$B$1804)*10000+1799,"")</f>
      </c>
    </row>
    <row r="1801">
      <c r="BD1801" s="2">
        <f>IF(AND($C$130&lt;&gt;"",资金流水!$J$1805=$C$130,ISNUMBER(资金流水!$B$1805),ISNUMBER(资金流水!$S$1805),资金流水!$S$1805&gt;=_辅助!$J$4,资金流水!$S$1805&lt;=_辅助!$J$2,OR(资金流水!$X$1805="应付材料款",资金流水!$X$1805="应付分包款",资金流水!$X$1805="应付机械运输费",资金流水!$X$1805="应付其他款")),INT(资金流水!$B$1805)*10000+1800,"")</f>
      </c>
    </row>
    <row r="1802">
      <c r="BD1802" s="2">
        <f>IF(AND($C$130&lt;&gt;"",资金流水!$J$1806=$C$130,ISNUMBER(资金流水!$B$1806),ISNUMBER(资金流水!$S$1806),资金流水!$S$1806&gt;=_辅助!$J$4,资金流水!$S$1806&lt;=_辅助!$J$2,OR(资金流水!$X$1806="应付材料款",资金流水!$X$1806="应付分包款",资金流水!$X$1806="应付机械运输费",资金流水!$X$1806="应付其他款")),INT(资金流水!$B$1806)*10000+1801,"")</f>
      </c>
    </row>
    <row r="1803">
      <c r="BD1803" s="2">
        <f>IF(AND($C$130&lt;&gt;"",资金流水!$J$1807=$C$130,ISNUMBER(资金流水!$B$1807),ISNUMBER(资金流水!$S$1807),资金流水!$S$1807&gt;=_辅助!$J$4,资金流水!$S$1807&lt;=_辅助!$J$2,OR(资金流水!$X$1807="应付材料款",资金流水!$X$1807="应付分包款",资金流水!$X$1807="应付机械运输费",资金流水!$X$1807="应付其他款")),INT(资金流水!$B$1807)*10000+1802,"")</f>
      </c>
    </row>
    <row r="1804">
      <c r="BD1804" s="2">
        <f>IF(AND($C$130&lt;&gt;"",资金流水!$J$1808=$C$130,ISNUMBER(资金流水!$B$1808),ISNUMBER(资金流水!$S$1808),资金流水!$S$1808&gt;=_辅助!$J$4,资金流水!$S$1808&lt;=_辅助!$J$2,OR(资金流水!$X$1808="应付材料款",资金流水!$X$1808="应付分包款",资金流水!$X$1808="应付机械运输费",资金流水!$X$1808="应付其他款")),INT(资金流水!$B$1808)*10000+1803,"")</f>
      </c>
    </row>
    <row r="1805">
      <c r="BD1805" s="2">
        <f>IF(AND($C$130&lt;&gt;"",资金流水!$J$1809=$C$130,ISNUMBER(资金流水!$B$1809),ISNUMBER(资金流水!$S$1809),资金流水!$S$1809&gt;=_辅助!$J$4,资金流水!$S$1809&lt;=_辅助!$J$2,OR(资金流水!$X$1809="应付材料款",资金流水!$X$1809="应付分包款",资金流水!$X$1809="应付机械运输费",资金流水!$X$1809="应付其他款")),INT(资金流水!$B$1809)*10000+1804,"")</f>
      </c>
    </row>
    <row r="1806">
      <c r="BD1806" s="2">
        <f>IF(AND($C$130&lt;&gt;"",资金流水!$J$1810=$C$130,ISNUMBER(资金流水!$B$1810),ISNUMBER(资金流水!$S$1810),资金流水!$S$1810&gt;=_辅助!$J$4,资金流水!$S$1810&lt;=_辅助!$J$2,OR(资金流水!$X$1810="应付材料款",资金流水!$X$1810="应付分包款",资金流水!$X$1810="应付机械运输费",资金流水!$X$1810="应付其他款")),INT(资金流水!$B$1810)*10000+1805,"")</f>
      </c>
    </row>
    <row r="1807">
      <c r="BD1807" s="2">
        <f>IF(AND($C$130&lt;&gt;"",资金流水!$J$1811=$C$130,ISNUMBER(资金流水!$B$1811),ISNUMBER(资金流水!$S$1811),资金流水!$S$1811&gt;=_辅助!$J$4,资金流水!$S$1811&lt;=_辅助!$J$2,OR(资金流水!$X$1811="应付材料款",资金流水!$X$1811="应付分包款",资金流水!$X$1811="应付机械运输费",资金流水!$X$1811="应付其他款")),INT(资金流水!$B$1811)*10000+1806,"")</f>
      </c>
    </row>
    <row r="1808">
      <c r="BD1808" s="2">
        <f>IF(AND($C$130&lt;&gt;"",资金流水!$J$1812=$C$130,ISNUMBER(资金流水!$B$1812),ISNUMBER(资金流水!$S$1812),资金流水!$S$1812&gt;=_辅助!$J$4,资金流水!$S$1812&lt;=_辅助!$J$2,OR(资金流水!$X$1812="应付材料款",资金流水!$X$1812="应付分包款",资金流水!$X$1812="应付机械运输费",资金流水!$X$1812="应付其他款")),INT(资金流水!$B$1812)*10000+1807,"")</f>
      </c>
    </row>
    <row r="1809">
      <c r="BD1809" s="2">
        <f>IF(AND($C$130&lt;&gt;"",资金流水!$J$1813=$C$130,ISNUMBER(资金流水!$B$1813),ISNUMBER(资金流水!$S$1813),资金流水!$S$1813&gt;=_辅助!$J$4,资金流水!$S$1813&lt;=_辅助!$J$2,OR(资金流水!$X$1813="应付材料款",资金流水!$X$1813="应付分包款",资金流水!$X$1813="应付机械运输费",资金流水!$X$1813="应付其他款")),INT(资金流水!$B$1813)*10000+1808,"")</f>
      </c>
    </row>
    <row r="1810">
      <c r="BD1810" s="2">
        <f>IF(AND($C$130&lt;&gt;"",资金流水!$J$1814=$C$130,ISNUMBER(资金流水!$B$1814),ISNUMBER(资金流水!$S$1814),资金流水!$S$1814&gt;=_辅助!$J$4,资金流水!$S$1814&lt;=_辅助!$J$2,OR(资金流水!$X$1814="应付材料款",资金流水!$X$1814="应付分包款",资金流水!$X$1814="应付机械运输费",资金流水!$X$1814="应付其他款")),INT(资金流水!$B$1814)*10000+1809,"")</f>
      </c>
    </row>
    <row r="1811">
      <c r="BD1811" s="2">
        <f>IF(AND($C$130&lt;&gt;"",资金流水!$J$1815=$C$130,ISNUMBER(资金流水!$B$1815),ISNUMBER(资金流水!$S$1815),资金流水!$S$1815&gt;=_辅助!$J$4,资金流水!$S$1815&lt;=_辅助!$J$2,OR(资金流水!$X$1815="应付材料款",资金流水!$X$1815="应付分包款",资金流水!$X$1815="应付机械运输费",资金流水!$X$1815="应付其他款")),INT(资金流水!$B$1815)*10000+1810,"")</f>
      </c>
    </row>
    <row r="1812">
      <c r="BD1812" s="2">
        <f>IF(AND($C$130&lt;&gt;"",资金流水!$J$1816=$C$130,ISNUMBER(资金流水!$B$1816),ISNUMBER(资金流水!$S$1816),资金流水!$S$1816&gt;=_辅助!$J$4,资金流水!$S$1816&lt;=_辅助!$J$2,OR(资金流水!$X$1816="应付材料款",资金流水!$X$1816="应付分包款",资金流水!$X$1816="应付机械运输费",资金流水!$X$1816="应付其他款")),INT(资金流水!$B$1816)*10000+1811,"")</f>
      </c>
    </row>
    <row r="1813">
      <c r="BD1813" s="2">
        <f>IF(AND($C$130&lt;&gt;"",资金流水!$J$1817=$C$130,ISNUMBER(资金流水!$B$1817),ISNUMBER(资金流水!$S$1817),资金流水!$S$1817&gt;=_辅助!$J$4,资金流水!$S$1817&lt;=_辅助!$J$2,OR(资金流水!$X$1817="应付材料款",资金流水!$X$1817="应付分包款",资金流水!$X$1817="应付机械运输费",资金流水!$X$1817="应付其他款")),INT(资金流水!$B$1817)*10000+1812,"")</f>
      </c>
    </row>
    <row r="1814">
      <c r="BD1814" s="2">
        <f>IF(AND($C$130&lt;&gt;"",资金流水!$J$1818=$C$130,ISNUMBER(资金流水!$B$1818),ISNUMBER(资金流水!$S$1818),资金流水!$S$1818&gt;=_辅助!$J$4,资金流水!$S$1818&lt;=_辅助!$J$2,OR(资金流水!$X$1818="应付材料款",资金流水!$X$1818="应付分包款",资金流水!$X$1818="应付机械运输费",资金流水!$X$1818="应付其他款")),INT(资金流水!$B$1818)*10000+1813,"")</f>
      </c>
    </row>
    <row r="1815">
      <c r="BD1815" s="2">
        <f>IF(AND($C$130&lt;&gt;"",资金流水!$J$1819=$C$130,ISNUMBER(资金流水!$B$1819),ISNUMBER(资金流水!$S$1819),资金流水!$S$1819&gt;=_辅助!$J$4,资金流水!$S$1819&lt;=_辅助!$J$2,OR(资金流水!$X$1819="应付材料款",资金流水!$X$1819="应付分包款",资金流水!$X$1819="应付机械运输费",资金流水!$X$1819="应付其他款")),INT(资金流水!$B$1819)*10000+1814,"")</f>
      </c>
    </row>
    <row r="1816">
      <c r="BD1816" s="2">
        <f>IF(AND($C$130&lt;&gt;"",资金流水!$J$1820=$C$130,ISNUMBER(资金流水!$B$1820),ISNUMBER(资金流水!$S$1820),资金流水!$S$1820&gt;=_辅助!$J$4,资金流水!$S$1820&lt;=_辅助!$J$2,OR(资金流水!$X$1820="应付材料款",资金流水!$X$1820="应付分包款",资金流水!$X$1820="应付机械运输费",资金流水!$X$1820="应付其他款")),INT(资金流水!$B$1820)*10000+1815,"")</f>
      </c>
    </row>
    <row r="1817">
      <c r="BD1817" s="2">
        <f>IF(AND($C$130&lt;&gt;"",资金流水!$J$1821=$C$130,ISNUMBER(资金流水!$B$1821),ISNUMBER(资金流水!$S$1821),资金流水!$S$1821&gt;=_辅助!$J$4,资金流水!$S$1821&lt;=_辅助!$J$2,OR(资金流水!$X$1821="应付材料款",资金流水!$X$1821="应付分包款",资金流水!$X$1821="应付机械运输费",资金流水!$X$1821="应付其他款")),INT(资金流水!$B$1821)*10000+1816,"")</f>
      </c>
    </row>
    <row r="1818">
      <c r="BD1818" s="2">
        <f>IF(AND($C$130&lt;&gt;"",资金流水!$J$1822=$C$130,ISNUMBER(资金流水!$B$1822),ISNUMBER(资金流水!$S$1822),资金流水!$S$1822&gt;=_辅助!$J$4,资金流水!$S$1822&lt;=_辅助!$J$2,OR(资金流水!$X$1822="应付材料款",资金流水!$X$1822="应付分包款",资金流水!$X$1822="应付机械运输费",资金流水!$X$1822="应付其他款")),INT(资金流水!$B$1822)*10000+1817,"")</f>
      </c>
    </row>
    <row r="1819">
      <c r="BD1819" s="2">
        <f>IF(AND($C$130&lt;&gt;"",资金流水!$J$1823=$C$130,ISNUMBER(资金流水!$B$1823),ISNUMBER(资金流水!$S$1823),资金流水!$S$1823&gt;=_辅助!$J$4,资金流水!$S$1823&lt;=_辅助!$J$2,OR(资金流水!$X$1823="应付材料款",资金流水!$X$1823="应付分包款",资金流水!$X$1823="应付机械运输费",资金流水!$X$1823="应付其他款")),INT(资金流水!$B$1823)*10000+1818,"")</f>
      </c>
    </row>
    <row r="1820">
      <c r="BD1820" s="2">
        <f>IF(AND($C$130&lt;&gt;"",资金流水!$J$1824=$C$130,ISNUMBER(资金流水!$B$1824),ISNUMBER(资金流水!$S$1824),资金流水!$S$1824&gt;=_辅助!$J$4,资金流水!$S$1824&lt;=_辅助!$J$2,OR(资金流水!$X$1824="应付材料款",资金流水!$X$1824="应付分包款",资金流水!$X$1824="应付机械运输费",资金流水!$X$1824="应付其他款")),INT(资金流水!$B$1824)*10000+1819,"")</f>
      </c>
    </row>
    <row r="1821">
      <c r="BD1821" s="2">
        <f>IF(AND($C$130&lt;&gt;"",资金流水!$J$1825=$C$130,ISNUMBER(资金流水!$B$1825),ISNUMBER(资金流水!$S$1825),资金流水!$S$1825&gt;=_辅助!$J$4,资金流水!$S$1825&lt;=_辅助!$J$2,OR(资金流水!$X$1825="应付材料款",资金流水!$X$1825="应付分包款",资金流水!$X$1825="应付机械运输费",资金流水!$X$1825="应付其他款")),INT(资金流水!$B$1825)*10000+1820,"")</f>
      </c>
    </row>
    <row r="1822">
      <c r="BD1822" s="2">
        <f>IF(AND($C$130&lt;&gt;"",资金流水!$J$1826=$C$130,ISNUMBER(资金流水!$B$1826),ISNUMBER(资金流水!$S$1826),资金流水!$S$1826&gt;=_辅助!$J$4,资金流水!$S$1826&lt;=_辅助!$J$2,OR(资金流水!$X$1826="应付材料款",资金流水!$X$1826="应付分包款",资金流水!$X$1826="应付机械运输费",资金流水!$X$1826="应付其他款")),INT(资金流水!$B$1826)*10000+1821,"")</f>
      </c>
    </row>
    <row r="1823">
      <c r="BD1823" s="2">
        <f>IF(AND($C$130&lt;&gt;"",资金流水!$J$1827=$C$130,ISNUMBER(资金流水!$B$1827),ISNUMBER(资金流水!$S$1827),资金流水!$S$1827&gt;=_辅助!$J$4,资金流水!$S$1827&lt;=_辅助!$J$2,OR(资金流水!$X$1827="应付材料款",资金流水!$X$1827="应付分包款",资金流水!$X$1827="应付机械运输费",资金流水!$X$1827="应付其他款")),INT(资金流水!$B$1827)*10000+1822,"")</f>
      </c>
    </row>
    <row r="1824">
      <c r="BD1824" s="2">
        <f>IF(AND($C$130&lt;&gt;"",资金流水!$J$1828=$C$130,ISNUMBER(资金流水!$B$1828),ISNUMBER(资金流水!$S$1828),资金流水!$S$1828&gt;=_辅助!$J$4,资金流水!$S$1828&lt;=_辅助!$J$2,OR(资金流水!$X$1828="应付材料款",资金流水!$X$1828="应付分包款",资金流水!$X$1828="应付机械运输费",资金流水!$X$1828="应付其他款")),INT(资金流水!$B$1828)*10000+1823,"")</f>
      </c>
    </row>
    <row r="1825">
      <c r="BD1825" s="2">
        <f>IF(AND($C$130&lt;&gt;"",资金流水!$J$1829=$C$130,ISNUMBER(资金流水!$B$1829),ISNUMBER(资金流水!$S$1829),资金流水!$S$1829&gt;=_辅助!$J$4,资金流水!$S$1829&lt;=_辅助!$J$2,OR(资金流水!$X$1829="应付材料款",资金流水!$X$1829="应付分包款",资金流水!$X$1829="应付机械运输费",资金流水!$X$1829="应付其他款")),INT(资金流水!$B$1829)*10000+1824,"")</f>
      </c>
    </row>
    <row r="1826">
      <c r="BD1826" s="2">
        <f>IF(AND($C$130&lt;&gt;"",资金流水!$J$1830=$C$130,ISNUMBER(资金流水!$B$1830),ISNUMBER(资金流水!$S$1830),资金流水!$S$1830&gt;=_辅助!$J$4,资金流水!$S$1830&lt;=_辅助!$J$2,OR(资金流水!$X$1830="应付材料款",资金流水!$X$1830="应付分包款",资金流水!$X$1830="应付机械运输费",资金流水!$X$1830="应付其他款")),INT(资金流水!$B$1830)*10000+1825,"")</f>
      </c>
    </row>
    <row r="1827">
      <c r="BD1827" s="2">
        <f>IF(AND($C$130&lt;&gt;"",资金流水!$J$1831=$C$130,ISNUMBER(资金流水!$B$1831),ISNUMBER(资金流水!$S$1831),资金流水!$S$1831&gt;=_辅助!$J$4,资金流水!$S$1831&lt;=_辅助!$J$2,OR(资金流水!$X$1831="应付材料款",资金流水!$X$1831="应付分包款",资金流水!$X$1831="应付机械运输费",资金流水!$X$1831="应付其他款")),INT(资金流水!$B$1831)*10000+1826,"")</f>
      </c>
    </row>
    <row r="1828">
      <c r="BD1828" s="2">
        <f>IF(AND($C$130&lt;&gt;"",资金流水!$J$1832=$C$130,ISNUMBER(资金流水!$B$1832),ISNUMBER(资金流水!$S$1832),资金流水!$S$1832&gt;=_辅助!$J$4,资金流水!$S$1832&lt;=_辅助!$J$2,OR(资金流水!$X$1832="应付材料款",资金流水!$X$1832="应付分包款",资金流水!$X$1832="应付机械运输费",资金流水!$X$1832="应付其他款")),INT(资金流水!$B$1832)*10000+1827,"")</f>
      </c>
    </row>
    <row r="1829">
      <c r="BD1829" s="2">
        <f>IF(AND($C$130&lt;&gt;"",资金流水!$J$1833=$C$130,ISNUMBER(资金流水!$B$1833),ISNUMBER(资金流水!$S$1833),资金流水!$S$1833&gt;=_辅助!$J$4,资金流水!$S$1833&lt;=_辅助!$J$2,OR(资金流水!$X$1833="应付材料款",资金流水!$X$1833="应付分包款",资金流水!$X$1833="应付机械运输费",资金流水!$X$1833="应付其他款")),INT(资金流水!$B$1833)*10000+1828,"")</f>
      </c>
    </row>
    <row r="1830">
      <c r="BD1830" s="2">
        <f>IF(AND($C$130&lt;&gt;"",资金流水!$J$1834=$C$130,ISNUMBER(资金流水!$B$1834),ISNUMBER(资金流水!$S$1834),资金流水!$S$1834&gt;=_辅助!$J$4,资金流水!$S$1834&lt;=_辅助!$J$2,OR(资金流水!$X$1834="应付材料款",资金流水!$X$1834="应付分包款",资金流水!$X$1834="应付机械运输费",资金流水!$X$1834="应付其他款")),INT(资金流水!$B$1834)*10000+1829,"")</f>
      </c>
    </row>
    <row r="1831">
      <c r="BD1831" s="2">
        <f>IF(AND($C$130&lt;&gt;"",资金流水!$J$1835=$C$130,ISNUMBER(资金流水!$B$1835),ISNUMBER(资金流水!$S$1835),资金流水!$S$1835&gt;=_辅助!$J$4,资金流水!$S$1835&lt;=_辅助!$J$2,OR(资金流水!$X$1835="应付材料款",资金流水!$X$1835="应付分包款",资金流水!$X$1835="应付机械运输费",资金流水!$X$1835="应付其他款")),INT(资金流水!$B$1835)*10000+1830,"")</f>
      </c>
    </row>
    <row r="1832">
      <c r="BD1832" s="2">
        <f>IF(AND($C$130&lt;&gt;"",资金流水!$J$1836=$C$130,ISNUMBER(资金流水!$B$1836),ISNUMBER(资金流水!$S$1836),资金流水!$S$1836&gt;=_辅助!$J$4,资金流水!$S$1836&lt;=_辅助!$J$2,OR(资金流水!$X$1836="应付材料款",资金流水!$X$1836="应付分包款",资金流水!$X$1836="应付机械运输费",资金流水!$X$1836="应付其他款")),INT(资金流水!$B$1836)*10000+1831,"")</f>
      </c>
    </row>
    <row r="1833">
      <c r="BD1833" s="2">
        <f>IF(AND($C$130&lt;&gt;"",资金流水!$J$1837=$C$130,ISNUMBER(资金流水!$B$1837),ISNUMBER(资金流水!$S$1837),资金流水!$S$1837&gt;=_辅助!$J$4,资金流水!$S$1837&lt;=_辅助!$J$2,OR(资金流水!$X$1837="应付材料款",资金流水!$X$1837="应付分包款",资金流水!$X$1837="应付机械运输费",资金流水!$X$1837="应付其他款")),INT(资金流水!$B$1837)*10000+1832,"")</f>
      </c>
    </row>
    <row r="1834">
      <c r="BD1834" s="2">
        <f>IF(AND($C$130&lt;&gt;"",资金流水!$J$1838=$C$130,ISNUMBER(资金流水!$B$1838),ISNUMBER(资金流水!$S$1838),资金流水!$S$1838&gt;=_辅助!$J$4,资金流水!$S$1838&lt;=_辅助!$J$2,OR(资金流水!$X$1838="应付材料款",资金流水!$X$1838="应付分包款",资金流水!$X$1838="应付机械运输费",资金流水!$X$1838="应付其他款")),INT(资金流水!$B$1838)*10000+1833,"")</f>
      </c>
    </row>
    <row r="1835">
      <c r="BD1835" s="2">
        <f>IF(AND($C$130&lt;&gt;"",资金流水!$J$1839=$C$130,ISNUMBER(资金流水!$B$1839),ISNUMBER(资金流水!$S$1839),资金流水!$S$1839&gt;=_辅助!$J$4,资金流水!$S$1839&lt;=_辅助!$J$2,OR(资金流水!$X$1839="应付材料款",资金流水!$X$1839="应付分包款",资金流水!$X$1839="应付机械运输费",资金流水!$X$1839="应付其他款")),INT(资金流水!$B$1839)*10000+1834,"")</f>
      </c>
    </row>
    <row r="1836">
      <c r="BD1836" s="2">
        <f>IF(AND($C$130&lt;&gt;"",资金流水!$J$1840=$C$130,ISNUMBER(资金流水!$B$1840),ISNUMBER(资金流水!$S$1840),资金流水!$S$1840&gt;=_辅助!$J$4,资金流水!$S$1840&lt;=_辅助!$J$2,OR(资金流水!$X$1840="应付材料款",资金流水!$X$1840="应付分包款",资金流水!$X$1840="应付机械运输费",资金流水!$X$1840="应付其他款")),INT(资金流水!$B$1840)*10000+1835,"")</f>
      </c>
    </row>
    <row r="1837">
      <c r="BD1837" s="2">
        <f>IF(AND($C$130&lt;&gt;"",资金流水!$J$1841=$C$130,ISNUMBER(资金流水!$B$1841),ISNUMBER(资金流水!$S$1841),资金流水!$S$1841&gt;=_辅助!$J$4,资金流水!$S$1841&lt;=_辅助!$J$2,OR(资金流水!$X$1841="应付材料款",资金流水!$X$1841="应付分包款",资金流水!$X$1841="应付机械运输费",资金流水!$X$1841="应付其他款")),INT(资金流水!$B$1841)*10000+1836,"")</f>
      </c>
    </row>
    <row r="1838">
      <c r="BD1838" s="2">
        <f>IF(AND($C$130&lt;&gt;"",资金流水!$J$1842=$C$130,ISNUMBER(资金流水!$B$1842),ISNUMBER(资金流水!$S$1842),资金流水!$S$1842&gt;=_辅助!$J$4,资金流水!$S$1842&lt;=_辅助!$J$2,OR(资金流水!$X$1842="应付材料款",资金流水!$X$1842="应付分包款",资金流水!$X$1842="应付机械运输费",资金流水!$X$1842="应付其他款")),INT(资金流水!$B$1842)*10000+1837,"")</f>
      </c>
    </row>
    <row r="1839">
      <c r="BD1839" s="2">
        <f>IF(AND($C$130&lt;&gt;"",资金流水!$J$1843=$C$130,ISNUMBER(资金流水!$B$1843),ISNUMBER(资金流水!$S$1843),资金流水!$S$1843&gt;=_辅助!$J$4,资金流水!$S$1843&lt;=_辅助!$J$2,OR(资金流水!$X$1843="应付材料款",资金流水!$X$1843="应付分包款",资金流水!$X$1843="应付机械运输费",资金流水!$X$1843="应付其他款")),INT(资金流水!$B$1843)*10000+1838,"")</f>
      </c>
    </row>
    <row r="1840">
      <c r="BD1840" s="2">
        <f>IF(AND($C$130&lt;&gt;"",资金流水!$J$1844=$C$130,ISNUMBER(资金流水!$B$1844),ISNUMBER(资金流水!$S$1844),资金流水!$S$1844&gt;=_辅助!$J$4,资金流水!$S$1844&lt;=_辅助!$J$2,OR(资金流水!$X$1844="应付材料款",资金流水!$X$1844="应付分包款",资金流水!$X$1844="应付机械运输费",资金流水!$X$1844="应付其他款")),INT(资金流水!$B$1844)*10000+1839,"")</f>
      </c>
    </row>
    <row r="1841">
      <c r="BD1841" s="2">
        <f>IF(AND($C$130&lt;&gt;"",资金流水!$J$1845=$C$130,ISNUMBER(资金流水!$B$1845),ISNUMBER(资金流水!$S$1845),资金流水!$S$1845&gt;=_辅助!$J$4,资金流水!$S$1845&lt;=_辅助!$J$2,OR(资金流水!$X$1845="应付材料款",资金流水!$X$1845="应付分包款",资金流水!$X$1845="应付机械运输费",资金流水!$X$1845="应付其他款")),INT(资金流水!$B$1845)*10000+1840,"")</f>
      </c>
    </row>
    <row r="1842">
      <c r="BD1842" s="2">
        <f>IF(AND($C$130&lt;&gt;"",资金流水!$J$1846=$C$130,ISNUMBER(资金流水!$B$1846),ISNUMBER(资金流水!$S$1846),资金流水!$S$1846&gt;=_辅助!$J$4,资金流水!$S$1846&lt;=_辅助!$J$2,OR(资金流水!$X$1846="应付材料款",资金流水!$X$1846="应付分包款",资金流水!$X$1846="应付机械运输费",资金流水!$X$1846="应付其他款")),INT(资金流水!$B$1846)*10000+1841,"")</f>
      </c>
    </row>
    <row r="1843">
      <c r="BD1843" s="2">
        <f>IF(AND($C$130&lt;&gt;"",资金流水!$J$1847=$C$130,ISNUMBER(资金流水!$B$1847),ISNUMBER(资金流水!$S$1847),资金流水!$S$1847&gt;=_辅助!$J$4,资金流水!$S$1847&lt;=_辅助!$J$2,OR(资金流水!$X$1847="应付材料款",资金流水!$X$1847="应付分包款",资金流水!$X$1847="应付机械运输费",资金流水!$X$1847="应付其他款")),INT(资金流水!$B$1847)*10000+1842,"")</f>
      </c>
    </row>
    <row r="1844">
      <c r="BD1844" s="2">
        <f>IF(AND($C$130&lt;&gt;"",资金流水!$J$1848=$C$130,ISNUMBER(资金流水!$B$1848),ISNUMBER(资金流水!$S$1848),资金流水!$S$1848&gt;=_辅助!$J$4,资金流水!$S$1848&lt;=_辅助!$J$2,OR(资金流水!$X$1848="应付材料款",资金流水!$X$1848="应付分包款",资金流水!$X$1848="应付机械运输费",资金流水!$X$1848="应付其他款")),INT(资金流水!$B$1848)*10000+1843,"")</f>
      </c>
    </row>
    <row r="1845">
      <c r="BD1845" s="2">
        <f>IF(AND($C$130&lt;&gt;"",资金流水!$J$1849=$C$130,ISNUMBER(资金流水!$B$1849),ISNUMBER(资金流水!$S$1849),资金流水!$S$1849&gt;=_辅助!$J$4,资金流水!$S$1849&lt;=_辅助!$J$2,OR(资金流水!$X$1849="应付材料款",资金流水!$X$1849="应付分包款",资金流水!$X$1849="应付机械运输费",资金流水!$X$1849="应付其他款")),INT(资金流水!$B$1849)*10000+1844,"")</f>
      </c>
    </row>
    <row r="1846">
      <c r="BD1846" s="2">
        <f>IF(AND($C$130&lt;&gt;"",资金流水!$J$1850=$C$130,ISNUMBER(资金流水!$B$1850),ISNUMBER(资金流水!$S$1850),资金流水!$S$1850&gt;=_辅助!$J$4,资金流水!$S$1850&lt;=_辅助!$J$2,OR(资金流水!$X$1850="应付材料款",资金流水!$X$1850="应付分包款",资金流水!$X$1850="应付机械运输费",资金流水!$X$1850="应付其他款")),INT(资金流水!$B$1850)*10000+1845,"")</f>
      </c>
    </row>
    <row r="1847">
      <c r="BD1847" s="2">
        <f>IF(AND($C$130&lt;&gt;"",资金流水!$J$1851=$C$130,ISNUMBER(资金流水!$B$1851),ISNUMBER(资金流水!$S$1851),资金流水!$S$1851&gt;=_辅助!$J$4,资金流水!$S$1851&lt;=_辅助!$J$2,OR(资金流水!$X$1851="应付材料款",资金流水!$X$1851="应付分包款",资金流水!$X$1851="应付机械运输费",资金流水!$X$1851="应付其他款")),INT(资金流水!$B$1851)*10000+1846,"")</f>
      </c>
    </row>
    <row r="1848">
      <c r="BD1848" s="2">
        <f>IF(AND($C$130&lt;&gt;"",资金流水!$J$1852=$C$130,ISNUMBER(资金流水!$B$1852),ISNUMBER(资金流水!$S$1852),资金流水!$S$1852&gt;=_辅助!$J$4,资金流水!$S$1852&lt;=_辅助!$J$2,OR(资金流水!$X$1852="应付材料款",资金流水!$X$1852="应付分包款",资金流水!$X$1852="应付机械运输费",资金流水!$X$1852="应付其他款")),INT(资金流水!$B$1852)*10000+1847,"")</f>
      </c>
    </row>
    <row r="1849">
      <c r="BD1849" s="2">
        <f>IF(AND($C$130&lt;&gt;"",资金流水!$J$1853=$C$130,ISNUMBER(资金流水!$B$1853),ISNUMBER(资金流水!$S$1853),资金流水!$S$1853&gt;=_辅助!$J$4,资金流水!$S$1853&lt;=_辅助!$J$2,OR(资金流水!$X$1853="应付材料款",资金流水!$X$1853="应付分包款",资金流水!$X$1853="应付机械运输费",资金流水!$X$1853="应付其他款")),INT(资金流水!$B$1853)*10000+1848,"")</f>
      </c>
    </row>
    <row r="1850">
      <c r="BD1850" s="2">
        <f>IF(AND($C$130&lt;&gt;"",资金流水!$J$1854=$C$130,ISNUMBER(资金流水!$B$1854),ISNUMBER(资金流水!$S$1854),资金流水!$S$1854&gt;=_辅助!$J$4,资金流水!$S$1854&lt;=_辅助!$J$2,OR(资金流水!$X$1854="应付材料款",资金流水!$X$1854="应付分包款",资金流水!$X$1854="应付机械运输费",资金流水!$X$1854="应付其他款")),INT(资金流水!$B$1854)*10000+1849,"")</f>
      </c>
    </row>
    <row r="1851">
      <c r="BD1851" s="2">
        <f>IF(AND($C$130&lt;&gt;"",资金流水!$J$1855=$C$130,ISNUMBER(资金流水!$B$1855),ISNUMBER(资金流水!$S$1855),资金流水!$S$1855&gt;=_辅助!$J$4,资金流水!$S$1855&lt;=_辅助!$J$2,OR(资金流水!$X$1855="应付材料款",资金流水!$X$1855="应付分包款",资金流水!$X$1855="应付机械运输费",资金流水!$X$1855="应付其他款")),INT(资金流水!$B$1855)*10000+1850,"")</f>
      </c>
    </row>
    <row r="1852">
      <c r="BD1852" s="2">
        <f>IF(AND($C$130&lt;&gt;"",资金流水!$J$1856=$C$130,ISNUMBER(资金流水!$B$1856),ISNUMBER(资金流水!$S$1856),资金流水!$S$1856&gt;=_辅助!$J$4,资金流水!$S$1856&lt;=_辅助!$J$2,OR(资金流水!$X$1856="应付材料款",资金流水!$X$1856="应付分包款",资金流水!$X$1856="应付机械运输费",资金流水!$X$1856="应付其他款")),INT(资金流水!$B$1856)*10000+1851,"")</f>
      </c>
    </row>
    <row r="1853">
      <c r="BD1853" s="2">
        <f>IF(AND($C$130&lt;&gt;"",资金流水!$J$1857=$C$130,ISNUMBER(资金流水!$B$1857),ISNUMBER(资金流水!$S$1857),资金流水!$S$1857&gt;=_辅助!$J$4,资金流水!$S$1857&lt;=_辅助!$J$2,OR(资金流水!$X$1857="应付材料款",资金流水!$X$1857="应付分包款",资金流水!$X$1857="应付机械运输费",资金流水!$X$1857="应付其他款")),INT(资金流水!$B$1857)*10000+1852,"")</f>
      </c>
    </row>
    <row r="1854">
      <c r="BD1854" s="2">
        <f>IF(AND($C$130&lt;&gt;"",资金流水!$J$1858=$C$130,ISNUMBER(资金流水!$B$1858),ISNUMBER(资金流水!$S$1858),资金流水!$S$1858&gt;=_辅助!$J$4,资金流水!$S$1858&lt;=_辅助!$J$2,OR(资金流水!$X$1858="应付材料款",资金流水!$X$1858="应付分包款",资金流水!$X$1858="应付机械运输费",资金流水!$X$1858="应付其他款")),INT(资金流水!$B$1858)*10000+1853,"")</f>
      </c>
    </row>
    <row r="1855">
      <c r="BD1855" s="2">
        <f>IF(AND($C$130&lt;&gt;"",资金流水!$J$1859=$C$130,ISNUMBER(资金流水!$B$1859),ISNUMBER(资金流水!$S$1859),资金流水!$S$1859&gt;=_辅助!$J$4,资金流水!$S$1859&lt;=_辅助!$J$2,OR(资金流水!$X$1859="应付材料款",资金流水!$X$1859="应付分包款",资金流水!$X$1859="应付机械运输费",资金流水!$X$1859="应付其他款")),INT(资金流水!$B$1859)*10000+1854,"")</f>
      </c>
    </row>
    <row r="1856">
      <c r="BD1856" s="2">
        <f>IF(AND($C$130&lt;&gt;"",资金流水!$J$1860=$C$130,ISNUMBER(资金流水!$B$1860),ISNUMBER(资金流水!$S$1860),资金流水!$S$1860&gt;=_辅助!$J$4,资金流水!$S$1860&lt;=_辅助!$J$2,OR(资金流水!$X$1860="应付材料款",资金流水!$X$1860="应付分包款",资金流水!$X$1860="应付机械运输费",资金流水!$X$1860="应付其他款")),INT(资金流水!$B$1860)*10000+1855,"")</f>
      </c>
    </row>
    <row r="1857">
      <c r="BD1857" s="2">
        <f>IF(AND($C$130&lt;&gt;"",资金流水!$J$1861=$C$130,ISNUMBER(资金流水!$B$1861),ISNUMBER(资金流水!$S$1861),资金流水!$S$1861&gt;=_辅助!$J$4,资金流水!$S$1861&lt;=_辅助!$J$2,OR(资金流水!$X$1861="应付材料款",资金流水!$X$1861="应付分包款",资金流水!$X$1861="应付机械运输费",资金流水!$X$1861="应付其他款")),INT(资金流水!$B$1861)*10000+1856,"")</f>
      </c>
    </row>
    <row r="1858">
      <c r="BD1858" s="2">
        <f>IF(AND($C$130&lt;&gt;"",资金流水!$J$1862=$C$130,ISNUMBER(资金流水!$B$1862),ISNUMBER(资金流水!$S$1862),资金流水!$S$1862&gt;=_辅助!$J$4,资金流水!$S$1862&lt;=_辅助!$J$2,OR(资金流水!$X$1862="应付材料款",资金流水!$X$1862="应付分包款",资金流水!$X$1862="应付机械运输费",资金流水!$X$1862="应付其他款")),INT(资金流水!$B$1862)*10000+1857,"")</f>
      </c>
    </row>
    <row r="1859">
      <c r="BD1859" s="2">
        <f>IF(AND($C$130&lt;&gt;"",资金流水!$J$1863=$C$130,ISNUMBER(资金流水!$B$1863),ISNUMBER(资金流水!$S$1863),资金流水!$S$1863&gt;=_辅助!$J$4,资金流水!$S$1863&lt;=_辅助!$J$2,OR(资金流水!$X$1863="应付材料款",资金流水!$X$1863="应付分包款",资金流水!$X$1863="应付机械运输费",资金流水!$X$1863="应付其他款")),INT(资金流水!$B$1863)*10000+1858,"")</f>
      </c>
    </row>
    <row r="1860">
      <c r="BD1860" s="2">
        <f>IF(AND($C$130&lt;&gt;"",资金流水!$J$1864=$C$130,ISNUMBER(资金流水!$B$1864),ISNUMBER(资金流水!$S$1864),资金流水!$S$1864&gt;=_辅助!$J$4,资金流水!$S$1864&lt;=_辅助!$J$2,OR(资金流水!$X$1864="应付材料款",资金流水!$X$1864="应付分包款",资金流水!$X$1864="应付机械运输费",资金流水!$X$1864="应付其他款")),INT(资金流水!$B$1864)*10000+1859,"")</f>
      </c>
    </row>
    <row r="1861">
      <c r="BD1861" s="2">
        <f>IF(AND($C$130&lt;&gt;"",资金流水!$J$1865=$C$130,ISNUMBER(资金流水!$B$1865),ISNUMBER(资金流水!$S$1865),资金流水!$S$1865&gt;=_辅助!$J$4,资金流水!$S$1865&lt;=_辅助!$J$2,OR(资金流水!$X$1865="应付材料款",资金流水!$X$1865="应付分包款",资金流水!$X$1865="应付机械运输费",资金流水!$X$1865="应付其他款")),INT(资金流水!$B$1865)*10000+1860,"")</f>
      </c>
    </row>
    <row r="1862">
      <c r="BD1862" s="2">
        <f>IF(AND($C$130&lt;&gt;"",资金流水!$J$1866=$C$130,ISNUMBER(资金流水!$B$1866),ISNUMBER(资金流水!$S$1866),资金流水!$S$1866&gt;=_辅助!$J$4,资金流水!$S$1866&lt;=_辅助!$J$2,OR(资金流水!$X$1866="应付材料款",资金流水!$X$1866="应付分包款",资金流水!$X$1866="应付机械运输费",资金流水!$X$1866="应付其他款")),INT(资金流水!$B$1866)*10000+1861,"")</f>
      </c>
    </row>
    <row r="1863">
      <c r="BD1863" s="2">
        <f>IF(AND($C$130&lt;&gt;"",资金流水!$J$1867=$C$130,ISNUMBER(资金流水!$B$1867),ISNUMBER(资金流水!$S$1867),资金流水!$S$1867&gt;=_辅助!$J$4,资金流水!$S$1867&lt;=_辅助!$J$2,OR(资金流水!$X$1867="应付材料款",资金流水!$X$1867="应付分包款",资金流水!$X$1867="应付机械运输费",资金流水!$X$1867="应付其他款")),INT(资金流水!$B$1867)*10000+1862,"")</f>
      </c>
    </row>
    <row r="1864">
      <c r="BD1864" s="2">
        <f>IF(AND($C$130&lt;&gt;"",资金流水!$J$1868=$C$130,ISNUMBER(资金流水!$B$1868),ISNUMBER(资金流水!$S$1868),资金流水!$S$1868&gt;=_辅助!$J$4,资金流水!$S$1868&lt;=_辅助!$J$2,OR(资金流水!$X$1868="应付材料款",资金流水!$X$1868="应付分包款",资金流水!$X$1868="应付机械运输费",资金流水!$X$1868="应付其他款")),INT(资金流水!$B$1868)*10000+1863,"")</f>
      </c>
    </row>
    <row r="1865">
      <c r="BD1865" s="2">
        <f>IF(AND($C$130&lt;&gt;"",资金流水!$J$1869=$C$130,ISNUMBER(资金流水!$B$1869),ISNUMBER(资金流水!$S$1869),资金流水!$S$1869&gt;=_辅助!$J$4,资金流水!$S$1869&lt;=_辅助!$J$2,OR(资金流水!$X$1869="应付材料款",资金流水!$X$1869="应付分包款",资金流水!$X$1869="应付机械运输费",资金流水!$X$1869="应付其他款")),INT(资金流水!$B$1869)*10000+1864,"")</f>
      </c>
    </row>
    <row r="1866">
      <c r="BD1866" s="2">
        <f>IF(AND($C$130&lt;&gt;"",资金流水!$J$1870=$C$130,ISNUMBER(资金流水!$B$1870),ISNUMBER(资金流水!$S$1870),资金流水!$S$1870&gt;=_辅助!$J$4,资金流水!$S$1870&lt;=_辅助!$J$2,OR(资金流水!$X$1870="应付材料款",资金流水!$X$1870="应付分包款",资金流水!$X$1870="应付机械运输费",资金流水!$X$1870="应付其他款")),INT(资金流水!$B$1870)*10000+1865,"")</f>
      </c>
    </row>
    <row r="1867">
      <c r="BD1867" s="2">
        <f>IF(AND($C$130&lt;&gt;"",资金流水!$J$1871=$C$130,ISNUMBER(资金流水!$B$1871),ISNUMBER(资金流水!$S$1871),资金流水!$S$1871&gt;=_辅助!$J$4,资金流水!$S$1871&lt;=_辅助!$J$2,OR(资金流水!$X$1871="应付材料款",资金流水!$X$1871="应付分包款",资金流水!$X$1871="应付机械运输费",资金流水!$X$1871="应付其他款")),INT(资金流水!$B$1871)*10000+1866,"")</f>
      </c>
    </row>
    <row r="1868">
      <c r="BD1868" s="2">
        <f>IF(AND($C$130&lt;&gt;"",资金流水!$J$1872=$C$130,ISNUMBER(资金流水!$B$1872),ISNUMBER(资金流水!$S$1872),资金流水!$S$1872&gt;=_辅助!$J$4,资金流水!$S$1872&lt;=_辅助!$J$2,OR(资金流水!$X$1872="应付材料款",资金流水!$X$1872="应付分包款",资金流水!$X$1872="应付机械运输费",资金流水!$X$1872="应付其他款")),INT(资金流水!$B$1872)*10000+1867,"")</f>
      </c>
    </row>
    <row r="1869">
      <c r="BD1869" s="2">
        <f>IF(AND($C$130&lt;&gt;"",资金流水!$J$1873=$C$130,ISNUMBER(资金流水!$B$1873),ISNUMBER(资金流水!$S$1873),资金流水!$S$1873&gt;=_辅助!$J$4,资金流水!$S$1873&lt;=_辅助!$J$2,OR(资金流水!$X$1873="应付材料款",资金流水!$X$1873="应付分包款",资金流水!$X$1873="应付机械运输费",资金流水!$X$1873="应付其他款")),INT(资金流水!$B$1873)*10000+1868,"")</f>
      </c>
    </row>
    <row r="1870">
      <c r="BD1870" s="2">
        <f>IF(AND($C$130&lt;&gt;"",资金流水!$J$1874=$C$130,ISNUMBER(资金流水!$B$1874),ISNUMBER(资金流水!$S$1874),资金流水!$S$1874&gt;=_辅助!$J$4,资金流水!$S$1874&lt;=_辅助!$J$2,OR(资金流水!$X$1874="应付材料款",资金流水!$X$1874="应付分包款",资金流水!$X$1874="应付机械运输费",资金流水!$X$1874="应付其他款")),INT(资金流水!$B$1874)*10000+1869,"")</f>
      </c>
    </row>
    <row r="1871">
      <c r="BD1871" s="2">
        <f>IF(AND($C$130&lt;&gt;"",资金流水!$J$1875=$C$130,ISNUMBER(资金流水!$B$1875),ISNUMBER(资金流水!$S$1875),资金流水!$S$1875&gt;=_辅助!$J$4,资金流水!$S$1875&lt;=_辅助!$J$2,OR(资金流水!$X$1875="应付材料款",资金流水!$X$1875="应付分包款",资金流水!$X$1875="应付机械运输费",资金流水!$X$1875="应付其他款")),INT(资金流水!$B$1875)*10000+1870,"")</f>
      </c>
    </row>
    <row r="1872">
      <c r="BD1872" s="2">
        <f>IF(AND($C$130&lt;&gt;"",资金流水!$J$1876=$C$130,ISNUMBER(资金流水!$B$1876),ISNUMBER(资金流水!$S$1876),资金流水!$S$1876&gt;=_辅助!$J$4,资金流水!$S$1876&lt;=_辅助!$J$2,OR(资金流水!$X$1876="应付材料款",资金流水!$X$1876="应付分包款",资金流水!$X$1876="应付机械运输费",资金流水!$X$1876="应付其他款")),INT(资金流水!$B$1876)*10000+1871,"")</f>
      </c>
    </row>
    <row r="1873">
      <c r="BD1873" s="2">
        <f>IF(AND($C$130&lt;&gt;"",资金流水!$J$1877=$C$130,ISNUMBER(资金流水!$B$1877),ISNUMBER(资金流水!$S$1877),资金流水!$S$1877&gt;=_辅助!$J$4,资金流水!$S$1877&lt;=_辅助!$J$2,OR(资金流水!$X$1877="应付材料款",资金流水!$X$1877="应付分包款",资金流水!$X$1877="应付机械运输费",资金流水!$X$1877="应付其他款")),INT(资金流水!$B$1877)*10000+1872,"")</f>
      </c>
    </row>
    <row r="1874">
      <c r="BD1874" s="2">
        <f>IF(AND($C$130&lt;&gt;"",资金流水!$J$1878=$C$130,ISNUMBER(资金流水!$B$1878),ISNUMBER(资金流水!$S$1878),资金流水!$S$1878&gt;=_辅助!$J$4,资金流水!$S$1878&lt;=_辅助!$J$2,OR(资金流水!$X$1878="应付材料款",资金流水!$X$1878="应付分包款",资金流水!$X$1878="应付机械运输费",资金流水!$X$1878="应付其他款")),INT(资金流水!$B$1878)*10000+1873,"")</f>
      </c>
    </row>
    <row r="1875">
      <c r="BD1875" s="2">
        <f>IF(AND($C$130&lt;&gt;"",资金流水!$J$1879=$C$130,ISNUMBER(资金流水!$B$1879),ISNUMBER(资金流水!$S$1879),资金流水!$S$1879&gt;=_辅助!$J$4,资金流水!$S$1879&lt;=_辅助!$J$2,OR(资金流水!$X$1879="应付材料款",资金流水!$X$1879="应付分包款",资金流水!$X$1879="应付机械运输费",资金流水!$X$1879="应付其他款")),INT(资金流水!$B$1879)*10000+1874,"")</f>
      </c>
    </row>
    <row r="1876">
      <c r="BD1876" s="2">
        <f>IF(AND($C$130&lt;&gt;"",资金流水!$J$1880=$C$130,ISNUMBER(资金流水!$B$1880),ISNUMBER(资金流水!$S$1880),资金流水!$S$1880&gt;=_辅助!$J$4,资金流水!$S$1880&lt;=_辅助!$J$2,OR(资金流水!$X$1880="应付材料款",资金流水!$X$1880="应付分包款",资金流水!$X$1880="应付机械运输费",资金流水!$X$1880="应付其他款")),INT(资金流水!$B$1880)*10000+1875,"")</f>
      </c>
    </row>
    <row r="1877">
      <c r="BD1877" s="2">
        <f>IF(AND($C$130&lt;&gt;"",资金流水!$J$1881=$C$130,ISNUMBER(资金流水!$B$1881),ISNUMBER(资金流水!$S$1881),资金流水!$S$1881&gt;=_辅助!$J$4,资金流水!$S$1881&lt;=_辅助!$J$2,OR(资金流水!$X$1881="应付材料款",资金流水!$X$1881="应付分包款",资金流水!$X$1881="应付机械运输费",资金流水!$X$1881="应付其他款")),INT(资金流水!$B$1881)*10000+1876,"")</f>
      </c>
    </row>
    <row r="1878">
      <c r="BD1878" s="2">
        <f>IF(AND($C$130&lt;&gt;"",资金流水!$J$1882=$C$130,ISNUMBER(资金流水!$B$1882),ISNUMBER(资金流水!$S$1882),资金流水!$S$1882&gt;=_辅助!$J$4,资金流水!$S$1882&lt;=_辅助!$J$2,OR(资金流水!$X$1882="应付材料款",资金流水!$X$1882="应付分包款",资金流水!$X$1882="应付机械运输费",资金流水!$X$1882="应付其他款")),INT(资金流水!$B$1882)*10000+1877,"")</f>
      </c>
    </row>
    <row r="1879">
      <c r="BD1879" s="2">
        <f>IF(AND($C$130&lt;&gt;"",资金流水!$J$1883=$C$130,ISNUMBER(资金流水!$B$1883),ISNUMBER(资金流水!$S$1883),资金流水!$S$1883&gt;=_辅助!$J$4,资金流水!$S$1883&lt;=_辅助!$J$2,OR(资金流水!$X$1883="应付材料款",资金流水!$X$1883="应付分包款",资金流水!$X$1883="应付机械运输费",资金流水!$X$1883="应付其他款")),INT(资金流水!$B$1883)*10000+1878,"")</f>
      </c>
    </row>
    <row r="1880">
      <c r="BD1880" s="2">
        <f>IF(AND($C$130&lt;&gt;"",资金流水!$J$1884=$C$130,ISNUMBER(资金流水!$B$1884),ISNUMBER(资金流水!$S$1884),资金流水!$S$1884&gt;=_辅助!$J$4,资金流水!$S$1884&lt;=_辅助!$J$2,OR(资金流水!$X$1884="应付材料款",资金流水!$X$1884="应付分包款",资金流水!$X$1884="应付机械运输费",资金流水!$X$1884="应付其他款")),INT(资金流水!$B$1884)*10000+1879,"")</f>
      </c>
    </row>
    <row r="1881">
      <c r="BD1881" s="2">
        <f>IF(AND($C$130&lt;&gt;"",资金流水!$J$1885=$C$130,ISNUMBER(资金流水!$B$1885),ISNUMBER(资金流水!$S$1885),资金流水!$S$1885&gt;=_辅助!$J$4,资金流水!$S$1885&lt;=_辅助!$J$2,OR(资金流水!$X$1885="应付材料款",资金流水!$X$1885="应付分包款",资金流水!$X$1885="应付机械运输费",资金流水!$X$1885="应付其他款")),INT(资金流水!$B$1885)*10000+1880,"")</f>
      </c>
    </row>
    <row r="1882">
      <c r="BD1882" s="2">
        <f>IF(AND($C$130&lt;&gt;"",资金流水!$J$1886=$C$130,ISNUMBER(资金流水!$B$1886),ISNUMBER(资金流水!$S$1886),资金流水!$S$1886&gt;=_辅助!$J$4,资金流水!$S$1886&lt;=_辅助!$J$2,OR(资金流水!$X$1886="应付材料款",资金流水!$X$1886="应付分包款",资金流水!$X$1886="应付机械运输费",资金流水!$X$1886="应付其他款")),INT(资金流水!$B$1886)*10000+1881,"")</f>
      </c>
    </row>
    <row r="1883">
      <c r="BD1883" s="2">
        <f>IF(AND($C$130&lt;&gt;"",资金流水!$J$1887=$C$130,ISNUMBER(资金流水!$B$1887),ISNUMBER(资金流水!$S$1887),资金流水!$S$1887&gt;=_辅助!$J$4,资金流水!$S$1887&lt;=_辅助!$J$2,OR(资金流水!$X$1887="应付材料款",资金流水!$X$1887="应付分包款",资金流水!$X$1887="应付机械运输费",资金流水!$X$1887="应付其他款")),INT(资金流水!$B$1887)*10000+1882,"")</f>
      </c>
    </row>
    <row r="1884">
      <c r="BD1884" s="2">
        <f>IF(AND($C$130&lt;&gt;"",资金流水!$J$1888=$C$130,ISNUMBER(资金流水!$B$1888),ISNUMBER(资金流水!$S$1888),资金流水!$S$1888&gt;=_辅助!$J$4,资金流水!$S$1888&lt;=_辅助!$J$2,OR(资金流水!$X$1888="应付材料款",资金流水!$X$1888="应付分包款",资金流水!$X$1888="应付机械运输费",资金流水!$X$1888="应付其他款")),INT(资金流水!$B$1888)*10000+1883,"")</f>
      </c>
    </row>
    <row r="1885">
      <c r="BD1885" s="2">
        <f>IF(AND($C$130&lt;&gt;"",资金流水!$J$1889=$C$130,ISNUMBER(资金流水!$B$1889),ISNUMBER(资金流水!$S$1889),资金流水!$S$1889&gt;=_辅助!$J$4,资金流水!$S$1889&lt;=_辅助!$J$2,OR(资金流水!$X$1889="应付材料款",资金流水!$X$1889="应付分包款",资金流水!$X$1889="应付机械运输费",资金流水!$X$1889="应付其他款")),INT(资金流水!$B$1889)*10000+1884,"")</f>
      </c>
    </row>
    <row r="1886">
      <c r="BD1886" s="2">
        <f>IF(AND($C$130&lt;&gt;"",资金流水!$J$1890=$C$130,ISNUMBER(资金流水!$B$1890),ISNUMBER(资金流水!$S$1890),资金流水!$S$1890&gt;=_辅助!$J$4,资金流水!$S$1890&lt;=_辅助!$J$2,OR(资金流水!$X$1890="应付材料款",资金流水!$X$1890="应付分包款",资金流水!$X$1890="应付机械运输费",资金流水!$X$1890="应付其他款")),INT(资金流水!$B$1890)*10000+1885,"")</f>
      </c>
    </row>
    <row r="1887">
      <c r="BD1887" s="2">
        <f>IF(AND($C$130&lt;&gt;"",资金流水!$J$1891=$C$130,ISNUMBER(资金流水!$B$1891),ISNUMBER(资金流水!$S$1891),资金流水!$S$1891&gt;=_辅助!$J$4,资金流水!$S$1891&lt;=_辅助!$J$2,OR(资金流水!$X$1891="应付材料款",资金流水!$X$1891="应付分包款",资金流水!$X$1891="应付机械运输费",资金流水!$X$1891="应付其他款")),INT(资金流水!$B$1891)*10000+1886,"")</f>
      </c>
    </row>
    <row r="1888">
      <c r="BD1888" s="2">
        <f>IF(AND($C$130&lt;&gt;"",资金流水!$J$1892=$C$130,ISNUMBER(资金流水!$B$1892),ISNUMBER(资金流水!$S$1892),资金流水!$S$1892&gt;=_辅助!$J$4,资金流水!$S$1892&lt;=_辅助!$J$2,OR(资金流水!$X$1892="应付材料款",资金流水!$X$1892="应付分包款",资金流水!$X$1892="应付机械运输费",资金流水!$X$1892="应付其他款")),INT(资金流水!$B$1892)*10000+1887,"")</f>
      </c>
    </row>
    <row r="1889">
      <c r="BD1889" s="2">
        <f>IF(AND($C$130&lt;&gt;"",资金流水!$J$1893=$C$130,ISNUMBER(资金流水!$B$1893),ISNUMBER(资金流水!$S$1893),资金流水!$S$1893&gt;=_辅助!$J$4,资金流水!$S$1893&lt;=_辅助!$J$2,OR(资金流水!$X$1893="应付材料款",资金流水!$X$1893="应付分包款",资金流水!$X$1893="应付机械运输费",资金流水!$X$1893="应付其他款")),INT(资金流水!$B$1893)*10000+1888,"")</f>
      </c>
    </row>
    <row r="1890">
      <c r="BD1890" s="2">
        <f>IF(AND($C$130&lt;&gt;"",资金流水!$J$1894=$C$130,ISNUMBER(资金流水!$B$1894),ISNUMBER(资金流水!$S$1894),资金流水!$S$1894&gt;=_辅助!$J$4,资金流水!$S$1894&lt;=_辅助!$J$2,OR(资金流水!$X$1894="应付材料款",资金流水!$X$1894="应付分包款",资金流水!$X$1894="应付机械运输费",资金流水!$X$1894="应付其他款")),INT(资金流水!$B$1894)*10000+1889,"")</f>
      </c>
    </row>
    <row r="1891">
      <c r="BD1891" s="2">
        <f>IF(AND($C$130&lt;&gt;"",资金流水!$J$1895=$C$130,ISNUMBER(资金流水!$B$1895),ISNUMBER(资金流水!$S$1895),资金流水!$S$1895&gt;=_辅助!$J$4,资金流水!$S$1895&lt;=_辅助!$J$2,OR(资金流水!$X$1895="应付材料款",资金流水!$X$1895="应付分包款",资金流水!$X$1895="应付机械运输费",资金流水!$X$1895="应付其他款")),INT(资金流水!$B$1895)*10000+1890,"")</f>
      </c>
    </row>
    <row r="1892">
      <c r="BD1892" s="2">
        <f>IF(AND($C$130&lt;&gt;"",资金流水!$J$1896=$C$130,ISNUMBER(资金流水!$B$1896),ISNUMBER(资金流水!$S$1896),资金流水!$S$1896&gt;=_辅助!$J$4,资金流水!$S$1896&lt;=_辅助!$J$2,OR(资金流水!$X$1896="应付材料款",资金流水!$X$1896="应付分包款",资金流水!$X$1896="应付机械运输费",资金流水!$X$1896="应付其他款")),INT(资金流水!$B$1896)*10000+1891,"")</f>
      </c>
    </row>
    <row r="1893">
      <c r="BD1893" s="2">
        <f>IF(AND($C$130&lt;&gt;"",资金流水!$J$1897=$C$130,ISNUMBER(资金流水!$B$1897),ISNUMBER(资金流水!$S$1897),资金流水!$S$1897&gt;=_辅助!$J$4,资金流水!$S$1897&lt;=_辅助!$J$2,OR(资金流水!$X$1897="应付材料款",资金流水!$X$1897="应付分包款",资金流水!$X$1897="应付机械运输费",资金流水!$X$1897="应付其他款")),INT(资金流水!$B$1897)*10000+1892,"")</f>
      </c>
    </row>
    <row r="1894">
      <c r="BD1894" s="2">
        <f>IF(AND($C$130&lt;&gt;"",资金流水!$J$1898=$C$130,ISNUMBER(资金流水!$B$1898),ISNUMBER(资金流水!$S$1898),资金流水!$S$1898&gt;=_辅助!$J$4,资金流水!$S$1898&lt;=_辅助!$J$2,OR(资金流水!$X$1898="应付材料款",资金流水!$X$1898="应付分包款",资金流水!$X$1898="应付机械运输费",资金流水!$X$1898="应付其他款")),INT(资金流水!$B$1898)*10000+1893,"")</f>
      </c>
    </row>
    <row r="1895">
      <c r="BD1895" s="2">
        <f>IF(AND($C$130&lt;&gt;"",资金流水!$J$1899=$C$130,ISNUMBER(资金流水!$B$1899),ISNUMBER(资金流水!$S$1899),资金流水!$S$1899&gt;=_辅助!$J$4,资金流水!$S$1899&lt;=_辅助!$J$2,OR(资金流水!$X$1899="应付材料款",资金流水!$X$1899="应付分包款",资金流水!$X$1899="应付机械运输费",资金流水!$X$1899="应付其他款")),INT(资金流水!$B$1899)*10000+1894,"")</f>
      </c>
    </row>
    <row r="1896">
      <c r="BD1896" s="2">
        <f>IF(AND($C$130&lt;&gt;"",资金流水!$J$1900=$C$130,ISNUMBER(资金流水!$B$1900),ISNUMBER(资金流水!$S$1900),资金流水!$S$1900&gt;=_辅助!$J$4,资金流水!$S$1900&lt;=_辅助!$J$2,OR(资金流水!$X$1900="应付材料款",资金流水!$X$1900="应付分包款",资金流水!$X$1900="应付机械运输费",资金流水!$X$1900="应付其他款")),INT(资金流水!$B$1900)*10000+1895,"")</f>
      </c>
    </row>
    <row r="1897">
      <c r="BD1897" s="2">
        <f>IF(AND($C$130&lt;&gt;"",资金流水!$J$1901=$C$130,ISNUMBER(资金流水!$B$1901),ISNUMBER(资金流水!$S$1901),资金流水!$S$1901&gt;=_辅助!$J$4,资金流水!$S$1901&lt;=_辅助!$J$2,OR(资金流水!$X$1901="应付材料款",资金流水!$X$1901="应付分包款",资金流水!$X$1901="应付机械运输费",资金流水!$X$1901="应付其他款")),INT(资金流水!$B$1901)*10000+1896,"")</f>
      </c>
    </row>
    <row r="1898">
      <c r="BD1898" s="2">
        <f>IF(AND($C$130&lt;&gt;"",资金流水!$J$1902=$C$130,ISNUMBER(资金流水!$B$1902),ISNUMBER(资金流水!$S$1902),资金流水!$S$1902&gt;=_辅助!$J$4,资金流水!$S$1902&lt;=_辅助!$J$2,OR(资金流水!$X$1902="应付材料款",资金流水!$X$1902="应付分包款",资金流水!$X$1902="应付机械运输费",资金流水!$X$1902="应付其他款")),INT(资金流水!$B$1902)*10000+1897,"")</f>
      </c>
    </row>
    <row r="1899">
      <c r="BD1899" s="2">
        <f>IF(AND($C$130&lt;&gt;"",资金流水!$J$1903=$C$130,ISNUMBER(资金流水!$B$1903),ISNUMBER(资金流水!$S$1903),资金流水!$S$1903&gt;=_辅助!$J$4,资金流水!$S$1903&lt;=_辅助!$J$2,OR(资金流水!$X$1903="应付材料款",资金流水!$X$1903="应付分包款",资金流水!$X$1903="应付机械运输费",资金流水!$X$1903="应付其他款")),INT(资金流水!$B$1903)*10000+1898,"")</f>
      </c>
    </row>
    <row r="1900">
      <c r="BD1900" s="2">
        <f>IF(AND($C$130&lt;&gt;"",资金流水!$J$1904=$C$130,ISNUMBER(资金流水!$B$1904),ISNUMBER(资金流水!$S$1904),资金流水!$S$1904&gt;=_辅助!$J$4,资金流水!$S$1904&lt;=_辅助!$J$2,OR(资金流水!$X$1904="应付材料款",资金流水!$X$1904="应付分包款",资金流水!$X$1904="应付机械运输费",资金流水!$X$1904="应付其他款")),INT(资金流水!$B$1904)*10000+1899,"")</f>
      </c>
    </row>
    <row r="1901">
      <c r="BD1901" s="2">
        <f>IF(AND($C$130&lt;&gt;"",资金流水!$J$1905=$C$130,ISNUMBER(资金流水!$B$1905),ISNUMBER(资金流水!$S$1905),资金流水!$S$1905&gt;=_辅助!$J$4,资金流水!$S$1905&lt;=_辅助!$J$2,OR(资金流水!$X$1905="应付材料款",资金流水!$X$1905="应付分包款",资金流水!$X$1905="应付机械运输费",资金流水!$X$1905="应付其他款")),INT(资金流水!$B$1905)*10000+1900,"")</f>
      </c>
    </row>
    <row r="1902">
      <c r="BD1902" s="2">
        <f>IF(AND($C$130&lt;&gt;"",资金流水!$J$1906=$C$130,ISNUMBER(资金流水!$B$1906),ISNUMBER(资金流水!$S$1906),资金流水!$S$1906&gt;=_辅助!$J$4,资金流水!$S$1906&lt;=_辅助!$J$2,OR(资金流水!$X$1906="应付材料款",资金流水!$X$1906="应付分包款",资金流水!$X$1906="应付机械运输费",资金流水!$X$1906="应付其他款")),INT(资金流水!$B$1906)*10000+1901,"")</f>
      </c>
    </row>
    <row r="1903">
      <c r="BD1903" s="2">
        <f>IF(AND($C$130&lt;&gt;"",资金流水!$J$1907=$C$130,ISNUMBER(资金流水!$B$1907),ISNUMBER(资金流水!$S$1907),资金流水!$S$1907&gt;=_辅助!$J$4,资金流水!$S$1907&lt;=_辅助!$J$2,OR(资金流水!$X$1907="应付材料款",资金流水!$X$1907="应付分包款",资金流水!$X$1907="应付机械运输费",资金流水!$X$1907="应付其他款")),INT(资金流水!$B$1907)*10000+1902,"")</f>
      </c>
    </row>
    <row r="1904">
      <c r="BD1904" s="2">
        <f>IF(AND($C$130&lt;&gt;"",资金流水!$J$1908=$C$130,ISNUMBER(资金流水!$B$1908),ISNUMBER(资金流水!$S$1908),资金流水!$S$1908&gt;=_辅助!$J$4,资金流水!$S$1908&lt;=_辅助!$J$2,OR(资金流水!$X$1908="应付材料款",资金流水!$X$1908="应付分包款",资金流水!$X$1908="应付机械运输费",资金流水!$X$1908="应付其他款")),INT(资金流水!$B$1908)*10000+1903,"")</f>
      </c>
    </row>
    <row r="1905">
      <c r="BD1905" s="2">
        <f>IF(AND($C$130&lt;&gt;"",资金流水!$J$1909=$C$130,ISNUMBER(资金流水!$B$1909),ISNUMBER(资金流水!$S$1909),资金流水!$S$1909&gt;=_辅助!$J$4,资金流水!$S$1909&lt;=_辅助!$J$2,OR(资金流水!$X$1909="应付材料款",资金流水!$X$1909="应付分包款",资金流水!$X$1909="应付机械运输费",资金流水!$X$1909="应付其他款")),INT(资金流水!$B$1909)*10000+1904,"")</f>
      </c>
    </row>
    <row r="1906">
      <c r="BD1906" s="2">
        <f>IF(AND($C$130&lt;&gt;"",资金流水!$J$1910=$C$130,ISNUMBER(资金流水!$B$1910),ISNUMBER(资金流水!$S$1910),资金流水!$S$1910&gt;=_辅助!$J$4,资金流水!$S$1910&lt;=_辅助!$J$2,OR(资金流水!$X$1910="应付材料款",资金流水!$X$1910="应付分包款",资金流水!$X$1910="应付机械运输费",资金流水!$X$1910="应付其他款")),INT(资金流水!$B$1910)*10000+1905,"")</f>
      </c>
    </row>
    <row r="1907">
      <c r="BD1907" s="2">
        <f>IF(AND($C$130&lt;&gt;"",资金流水!$J$1911=$C$130,ISNUMBER(资金流水!$B$1911),ISNUMBER(资金流水!$S$1911),资金流水!$S$1911&gt;=_辅助!$J$4,资金流水!$S$1911&lt;=_辅助!$J$2,OR(资金流水!$X$1911="应付材料款",资金流水!$X$1911="应付分包款",资金流水!$X$1911="应付机械运输费",资金流水!$X$1911="应付其他款")),INT(资金流水!$B$1911)*10000+1906,"")</f>
      </c>
    </row>
    <row r="1908">
      <c r="BD1908" s="2">
        <f>IF(AND($C$130&lt;&gt;"",资金流水!$J$1912=$C$130,ISNUMBER(资金流水!$B$1912),ISNUMBER(资金流水!$S$1912),资金流水!$S$1912&gt;=_辅助!$J$4,资金流水!$S$1912&lt;=_辅助!$J$2,OR(资金流水!$X$1912="应付材料款",资金流水!$X$1912="应付分包款",资金流水!$X$1912="应付机械运输费",资金流水!$X$1912="应付其他款")),INT(资金流水!$B$1912)*10000+1907,"")</f>
      </c>
    </row>
    <row r="1909">
      <c r="BD1909" s="2">
        <f>IF(AND($C$130&lt;&gt;"",资金流水!$J$1913=$C$130,ISNUMBER(资金流水!$B$1913),ISNUMBER(资金流水!$S$1913),资金流水!$S$1913&gt;=_辅助!$J$4,资金流水!$S$1913&lt;=_辅助!$J$2,OR(资金流水!$X$1913="应付材料款",资金流水!$X$1913="应付分包款",资金流水!$X$1913="应付机械运输费",资金流水!$X$1913="应付其他款")),INT(资金流水!$B$1913)*10000+1908,"")</f>
      </c>
    </row>
    <row r="1910">
      <c r="BD1910" s="2">
        <f>IF(AND($C$130&lt;&gt;"",资金流水!$J$1914=$C$130,ISNUMBER(资金流水!$B$1914),ISNUMBER(资金流水!$S$1914),资金流水!$S$1914&gt;=_辅助!$J$4,资金流水!$S$1914&lt;=_辅助!$J$2,OR(资金流水!$X$1914="应付材料款",资金流水!$X$1914="应付分包款",资金流水!$X$1914="应付机械运输费",资金流水!$X$1914="应付其他款")),INT(资金流水!$B$1914)*10000+1909,"")</f>
      </c>
    </row>
    <row r="1911">
      <c r="BD1911" s="2">
        <f>IF(AND($C$130&lt;&gt;"",资金流水!$J$1915=$C$130,ISNUMBER(资金流水!$B$1915),ISNUMBER(资金流水!$S$1915),资金流水!$S$1915&gt;=_辅助!$J$4,资金流水!$S$1915&lt;=_辅助!$J$2,OR(资金流水!$X$1915="应付材料款",资金流水!$X$1915="应付分包款",资金流水!$X$1915="应付机械运输费",资金流水!$X$1915="应付其他款")),INT(资金流水!$B$1915)*10000+1910,"")</f>
      </c>
    </row>
    <row r="1912">
      <c r="BD1912" s="2">
        <f>IF(AND($C$130&lt;&gt;"",资金流水!$J$1916=$C$130,ISNUMBER(资金流水!$B$1916),ISNUMBER(资金流水!$S$1916),资金流水!$S$1916&gt;=_辅助!$J$4,资金流水!$S$1916&lt;=_辅助!$J$2,OR(资金流水!$X$1916="应付材料款",资金流水!$X$1916="应付分包款",资金流水!$X$1916="应付机械运输费",资金流水!$X$1916="应付其他款")),INT(资金流水!$B$1916)*10000+1911,"")</f>
      </c>
    </row>
    <row r="1913">
      <c r="BD1913" s="2">
        <f>IF(AND($C$130&lt;&gt;"",资金流水!$J$1917=$C$130,ISNUMBER(资金流水!$B$1917),ISNUMBER(资金流水!$S$1917),资金流水!$S$1917&gt;=_辅助!$J$4,资金流水!$S$1917&lt;=_辅助!$J$2,OR(资金流水!$X$1917="应付材料款",资金流水!$X$1917="应付分包款",资金流水!$X$1917="应付机械运输费",资金流水!$X$1917="应付其他款")),INT(资金流水!$B$1917)*10000+1912,"")</f>
      </c>
    </row>
    <row r="1914">
      <c r="BD1914" s="2">
        <f>IF(AND($C$130&lt;&gt;"",资金流水!$J$1918=$C$130,ISNUMBER(资金流水!$B$1918),ISNUMBER(资金流水!$S$1918),资金流水!$S$1918&gt;=_辅助!$J$4,资金流水!$S$1918&lt;=_辅助!$J$2,OR(资金流水!$X$1918="应付材料款",资金流水!$X$1918="应付分包款",资金流水!$X$1918="应付机械运输费",资金流水!$X$1918="应付其他款")),INT(资金流水!$B$1918)*10000+1913,"")</f>
      </c>
    </row>
    <row r="1915">
      <c r="BD1915" s="2">
        <f>IF(AND($C$130&lt;&gt;"",资金流水!$J$1919=$C$130,ISNUMBER(资金流水!$B$1919),ISNUMBER(资金流水!$S$1919),资金流水!$S$1919&gt;=_辅助!$J$4,资金流水!$S$1919&lt;=_辅助!$J$2,OR(资金流水!$X$1919="应付材料款",资金流水!$X$1919="应付分包款",资金流水!$X$1919="应付机械运输费",资金流水!$X$1919="应付其他款")),INT(资金流水!$B$1919)*10000+1914,"")</f>
      </c>
    </row>
    <row r="1916">
      <c r="BD1916" s="2">
        <f>IF(AND($C$130&lt;&gt;"",资金流水!$J$1920=$C$130,ISNUMBER(资金流水!$B$1920),ISNUMBER(资金流水!$S$1920),资金流水!$S$1920&gt;=_辅助!$J$4,资金流水!$S$1920&lt;=_辅助!$J$2,OR(资金流水!$X$1920="应付材料款",资金流水!$X$1920="应付分包款",资金流水!$X$1920="应付机械运输费",资金流水!$X$1920="应付其他款")),INT(资金流水!$B$1920)*10000+1915,"")</f>
      </c>
    </row>
    <row r="1917">
      <c r="BD1917" s="2">
        <f>IF(AND($C$130&lt;&gt;"",资金流水!$J$1921=$C$130,ISNUMBER(资金流水!$B$1921),ISNUMBER(资金流水!$S$1921),资金流水!$S$1921&gt;=_辅助!$J$4,资金流水!$S$1921&lt;=_辅助!$J$2,OR(资金流水!$X$1921="应付材料款",资金流水!$X$1921="应付分包款",资金流水!$X$1921="应付机械运输费",资金流水!$X$1921="应付其他款")),INT(资金流水!$B$1921)*10000+1916,"")</f>
      </c>
    </row>
    <row r="1918">
      <c r="BD1918" s="2">
        <f>IF(AND($C$130&lt;&gt;"",资金流水!$J$1922=$C$130,ISNUMBER(资金流水!$B$1922),ISNUMBER(资金流水!$S$1922),资金流水!$S$1922&gt;=_辅助!$J$4,资金流水!$S$1922&lt;=_辅助!$J$2,OR(资金流水!$X$1922="应付材料款",资金流水!$X$1922="应付分包款",资金流水!$X$1922="应付机械运输费",资金流水!$X$1922="应付其他款")),INT(资金流水!$B$1922)*10000+1917,"")</f>
      </c>
    </row>
    <row r="1919">
      <c r="BD1919" s="2">
        <f>IF(AND($C$130&lt;&gt;"",资金流水!$J$1923=$C$130,ISNUMBER(资金流水!$B$1923),ISNUMBER(资金流水!$S$1923),资金流水!$S$1923&gt;=_辅助!$J$4,资金流水!$S$1923&lt;=_辅助!$J$2,OR(资金流水!$X$1923="应付材料款",资金流水!$X$1923="应付分包款",资金流水!$X$1923="应付机械运输费",资金流水!$X$1923="应付其他款")),INT(资金流水!$B$1923)*10000+1918,"")</f>
      </c>
    </row>
    <row r="1920">
      <c r="BD1920" s="2">
        <f>IF(AND($C$130&lt;&gt;"",资金流水!$J$1924=$C$130,ISNUMBER(资金流水!$B$1924),ISNUMBER(资金流水!$S$1924),资金流水!$S$1924&gt;=_辅助!$J$4,资金流水!$S$1924&lt;=_辅助!$J$2,OR(资金流水!$X$1924="应付材料款",资金流水!$X$1924="应付分包款",资金流水!$X$1924="应付机械运输费",资金流水!$X$1924="应付其他款")),INT(资金流水!$B$1924)*10000+1919,"")</f>
      </c>
    </row>
    <row r="1921">
      <c r="BD1921" s="2">
        <f>IF(AND($C$130&lt;&gt;"",资金流水!$J$1925=$C$130,ISNUMBER(资金流水!$B$1925),ISNUMBER(资金流水!$S$1925),资金流水!$S$1925&gt;=_辅助!$J$4,资金流水!$S$1925&lt;=_辅助!$J$2,OR(资金流水!$X$1925="应付材料款",资金流水!$X$1925="应付分包款",资金流水!$X$1925="应付机械运输费",资金流水!$X$1925="应付其他款")),INT(资金流水!$B$1925)*10000+1920,"")</f>
      </c>
    </row>
    <row r="1922">
      <c r="BD1922" s="2">
        <f>IF(AND($C$130&lt;&gt;"",资金流水!$J$1926=$C$130,ISNUMBER(资金流水!$B$1926),ISNUMBER(资金流水!$S$1926),资金流水!$S$1926&gt;=_辅助!$J$4,资金流水!$S$1926&lt;=_辅助!$J$2,OR(资金流水!$X$1926="应付材料款",资金流水!$X$1926="应付分包款",资金流水!$X$1926="应付机械运输费",资金流水!$X$1926="应付其他款")),INT(资金流水!$B$1926)*10000+1921,"")</f>
      </c>
    </row>
    <row r="1923">
      <c r="BD1923" s="2">
        <f>IF(AND($C$130&lt;&gt;"",资金流水!$J$1927=$C$130,ISNUMBER(资金流水!$B$1927),ISNUMBER(资金流水!$S$1927),资金流水!$S$1927&gt;=_辅助!$J$4,资金流水!$S$1927&lt;=_辅助!$J$2,OR(资金流水!$X$1927="应付材料款",资金流水!$X$1927="应付分包款",资金流水!$X$1927="应付机械运输费",资金流水!$X$1927="应付其他款")),INT(资金流水!$B$1927)*10000+1922,"")</f>
      </c>
    </row>
    <row r="1924">
      <c r="BD1924" s="2">
        <f>IF(AND($C$130&lt;&gt;"",资金流水!$J$1928=$C$130,ISNUMBER(资金流水!$B$1928),ISNUMBER(资金流水!$S$1928),资金流水!$S$1928&gt;=_辅助!$J$4,资金流水!$S$1928&lt;=_辅助!$J$2,OR(资金流水!$X$1928="应付材料款",资金流水!$X$1928="应付分包款",资金流水!$X$1928="应付机械运输费",资金流水!$X$1928="应付其他款")),INT(资金流水!$B$1928)*10000+1923,"")</f>
      </c>
    </row>
    <row r="1925">
      <c r="BD1925" s="2">
        <f>IF(AND($C$130&lt;&gt;"",资金流水!$J$1929=$C$130,ISNUMBER(资金流水!$B$1929),ISNUMBER(资金流水!$S$1929),资金流水!$S$1929&gt;=_辅助!$J$4,资金流水!$S$1929&lt;=_辅助!$J$2,OR(资金流水!$X$1929="应付材料款",资金流水!$X$1929="应付分包款",资金流水!$X$1929="应付机械运输费",资金流水!$X$1929="应付其他款")),INT(资金流水!$B$1929)*10000+1924,"")</f>
      </c>
    </row>
    <row r="1926">
      <c r="BD1926" s="2">
        <f>IF(AND($C$130&lt;&gt;"",资金流水!$J$1930=$C$130,ISNUMBER(资金流水!$B$1930),ISNUMBER(资金流水!$S$1930),资金流水!$S$1930&gt;=_辅助!$J$4,资金流水!$S$1930&lt;=_辅助!$J$2,OR(资金流水!$X$1930="应付材料款",资金流水!$X$1930="应付分包款",资金流水!$X$1930="应付机械运输费",资金流水!$X$1930="应付其他款")),INT(资金流水!$B$1930)*10000+1925,"")</f>
      </c>
    </row>
    <row r="1927">
      <c r="BD1927" s="2">
        <f>IF(AND($C$130&lt;&gt;"",资金流水!$J$1931=$C$130,ISNUMBER(资金流水!$B$1931),ISNUMBER(资金流水!$S$1931),资金流水!$S$1931&gt;=_辅助!$J$4,资金流水!$S$1931&lt;=_辅助!$J$2,OR(资金流水!$X$1931="应付材料款",资金流水!$X$1931="应付分包款",资金流水!$X$1931="应付机械运输费",资金流水!$X$1931="应付其他款")),INT(资金流水!$B$1931)*10000+1926,"")</f>
      </c>
    </row>
    <row r="1928">
      <c r="BD1928" s="2">
        <f>IF(AND($C$130&lt;&gt;"",资金流水!$J$1932=$C$130,ISNUMBER(资金流水!$B$1932),ISNUMBER(资金流水!$S$1932),资金流水!$S$1932&gt;=_辅助!$J$4,资金流水!$S$1932&lt;=_辅助!$J$2,OR(资金流水!$X$1932="应付材料款",资金流水!$X$1932="应付分包款",资金流水!$X$1932="应付机械运输费",资金流水!$X$1932="应付其他款")),INT(资金流水!$B$1932)*10000+1927,"")</f>
      </c>
    </row>
    <row r="1929">
      <c r="BD1929" s="2">
        <f>IF(AND($C$130&lt;&gt;"",资金流水!$J$1933=$C$130,ISNUMBER(资金流水!$B$1933),ISNUMBER(资金流水!$S$1933),资金流水!$S$1933&gt;=_辅助!$J$4,资金流水!$S$1933&lt;=_辅助!$J$2,OR(资金流水!$X$1933="应付材料款",资金流水!$X$1933="应付分包款",资金流水!$X$1933="应付机械运输费",资金流水!$X$1933="应付其他款")),INT(资金流水!$B$1933)*10000+1928,"")</f>
      </c>
    </row>
    <row r="1930">
      <c r="BD1930" s="2">
        <f>IF(AND($C$130&lt;&gt;"",资金流水!$J$1934=$C$130,ISNUMBER(资金流水!$B$1934),ISNUMBER(资金流水!$S$1934),资金流水!$S$1934&gt;=_辅助!$J$4,资金流水!$S$1934&lt;=_辅助!$J$2,OR(资金流水!$X$1934="应付材料款",资金流水!$X$1934="应付分包款",资金流水!$X$1934="应付机械运输费",资金流水!$X$1934="应付其他款")),INT(资金流水!$B$1934)*10000+1929,"")</f>
      </c>
    </row>
    <row r="1931">
      <c r="BD1931" s="2">
        <f>IF(AND($C$130&lt;&gt;"",资金流水!$J$1935=$C$130,ISNUMBER(资金流水!$B$1935),ISNUMBER(资金流水!$S$1935),资金流水!$S$1935&gt;=_辅助!$J$4,资金流水!$S$1935&lt;=_辅助!$J$2,OR(资金流水!$X$1935="应付材料款",资金流水!$X$1935="应付分包款",资金流水!$X$1935="应付机械运输费",资金流水!$X$1935="应付其他款")),INT(资金流水!$B$1935)*10000+1930,"")</f>
      </c>
    </row>
    <row r="1932">
      <c r="BD1932" s="2">
        <f>IF(AND($C$130&lt;&gt;"",资金流水!$J$1936=$C$130,ISNUMBER(资金流水!$B$1936),ISNUMBER(资金流水!$S$1936),资金流水!$S$1936&gt;=_辅助!$J$4,资金流水!$S$1936&lt;=_辅助!$J$2,OR(资金流水!$X$1936="应付材料款",资金流水!$X$1936="应付分包款",资金流水!$X$1936="应付机械运输费",资金流水!$X$1936="应付其他款")),INT(资金流水!$B$1936)*10000+1931,"")</f>
      </c>
    </row>
    <row r="1933">
      <c r="BD1933" s="2">
        <f>IF(AND($C$130&lt;&gt;"",资金流水!$J$1937=$C$130,ISNUMBER(资金流水!$B$1937),ISNUMBER(资金流水!$S$1937),资金流水!$S$1937&gt;=_辅助!$J$4,资金流水!$S$1937&lt;=_辅助!$J$2,OR(资金流水!$X$1937="应付材料款",资金流水!$X$1937="应付分包款",资金流水!$X$1937="应付机械运输费",资金流水!$X$1937="应付其他款")),INT(资金流水!$B$1937)*10000+1932,"")</f>
      </c>
    </row>
    <row r="1934">
      <c r="BD1934" s="2">
        <f>IF(AND($C$130&lt;&gt;"",资金流水!$J$1938=$C$130,ISNUMBER(资金流水!$B$1938),ISNUMBER(资金流水!$S$1938),资金流水!$S$1938&gt;=_辅助!$J$4,资金流水!$S$1938&lt;=_辅助!$J$2,OR(资金流水!$X$1938="应付材料款",资金流水!$X$1938="应付分包款",资金流水!$X$1938="应付机械运输费",资金流水!$X$1938="应付其他款")),INT(资金流水!$B$1938)*10000+1933,"")</f>
      </c>
    </row>
    <row r="1935">
      <c r="BD1935" s="2">
        <f>IF(AND($C$130&lt;&gt;"",资金流水!$J$1939=$C$130,ISNUMBER(资金流水!$B$1939),ISNUMBER(资金流水!$S$1939),资金流水!$S$1939&gt;=_辅助!$J$4,资金流水!$S$1939&lt;=_辅助!$J$2,OR(资金流水!$X$1939="应付材料款",资金流水!$X$1939="应付分包款",资金流水!$X$1939="应付机械运输费",资金流水!$X$1939="应付其他款")),INT(资金流水!$B$1939)*10000+1934,"")</f>
      </c>
    </row>
    <row r="1936">
      <c r="BD1936" s="2">
        <f>IF(AND($C$130&lt;&gt;"",资金流水!$J$1940=$C$130,ISNUMBER(资金流水!$B$1940),ISNUMBER(资金流水!$S$1940),资金流水!$S$1940&gt;=_辅助!$J$4,资金流水!$S$1940&lt;=_辅助!$J$2,OR(资金流水!$X$1940="应付材料款",资金流水!$X$1940="应付分包款",资金流水!$X$1940="应付机械运输费",资金流水!$X$1940="应付其他款")),INT(资金流水!$B$1940)*10000+1935,"")</f>
      </c>
    </row>
    <row r="1937">
      <c r="BD1937" s="2">
        <f>IF(AND($C$130&lt;&gt;"",资金流水!$J$1941=$C$130,ISNUMBER(资金流水!$B$1941),ISNUMBER(资金流水!$S$1941),资金流水!$S$1941&gt;=_辅助!$J$4,资金流水!$S$1941&lt;=_辅助!$J$2,OR(资金流水!$X$1941="应付材料款",资金流水!$X$1941="应付分包款",资金流水!$X$1941="应付机械运输费",资金流水!$X$1941="应付其他款")),INT(资金流水!$B$1941)*10000+1936,"")</f>
      </c>
    </row>
    <row r="1938">
      <c r="BD1938" s="2">
        <f>IF(AND($C$130&lt;&gt;"",资金流水!$J$1942=$C$130,ISNUMBER(资金流水!$B$1942),ISNUMBER(资金流水!$S$1942),资金流水!$S$1942&gt;=_辅助!$J$4,资金流水!$S$1942&lt;=_辅助!$J$2,OR(资金流水!$X$1942="应付材料款",资金流水!$X$1942="应付分包款",资金流水!$X$1942="应付机械运输费",资金流水!$X$1942="应付其他款")),INT(资金流水!$B$1942)*10000+1937,"")</f>
      </c>
    </row>
    <row r="1939">
      <c r="BD1939" s="2">
        <f>IF(AND($C$130&lt;&gt;"",资金流水!$J$1943=$C$130,ISNUMBER(资金流水!$B$1943),ISNUMBER(资金流水!$S$1943),资金流水!$S$1943&gt;=_辅助!$J$4,资金流水!$S$1943&lt;=_辅助!$J$2,OR(资金流水!$X$1943="应付材料款",资金流水!$X$1943="应付分包款",资金流水!$X$1943="应付机械运输费",资金流水!$X$1943="应付其他款")),INT(资金流水!$B$1943)*10000+1938,"")</f>
      </c>
    </row>
    <row r="1940">
      <c r="BD1940" s="2">
        <f>IF(AND($C$130&lt;&gt;"",资金流水!$J$1944=$C$130,ISNUMBER(资金流水!$B$1944),ISNUMBER(资金流水!$S$1944),资金流水!$S$1944&gt;=_辅助!$J$4,资金流水!$S$1944&lt;=_辅助!$J$2,OR(资金流水!$X$1944="应付材料款",资金流水!$X$1944="应付分包款",资金流水!$X$1944="应付机械运输费",资金流水!$X$1944="应付其他款")),INT(资金流水!$B$1944)*10000+1939,"")</f>
      </c>
    </row>
    <row r="1941">
      <c r="BD1941" s="2">
        <f>IF(AND($C$130&lt;&gt;"",资金流水!$J$1945=$C$130,ISNUMBER(资金流水!$B$1945),ISNUMBER(资金流水!$S$1945),资金流水!$S$1945&gt;=_辅助!$J$4,资金流水!$S$1945&lt;=_辅助!$J$2,OR(资金流水!$X$1945="应付材料款",资金流水!$X$1945="应付分包款",资金流水!$X$1945="应付机械运输费",资金流水!$X$1945="应付其他款")),INT(资金流水!$B$1945)*10000+1940,"")</f>
      </c>
    </row>
    <row r="1942">
      <c r="BD1942" s="2">
        <f>IF(AND($C$130&lt;&gt;"",资金流水!$J$1946=$C$130,ISNUMBER(资金流水!$B$1946),ISNUMBER(资金流水!$S$1946),资金流水!$S$1946&gt;=_辅助!$J$4,资金流水!$S$1946&lt;=_辅助!$J$2,OR(资金流水!$X$1946="应付材料款",资金流水!$X$1946="应付分包款",资金流水!$X$1946="应付机械运输费",资金流水!$X$1946="应付其他款")),INT(资金流水!$B$1946)*10000+1941,"")</f>
      </c>
    </row>
    <row r="1943">
      <c r="BD1943" s="2">
        <f>IF(AND($C$130&lt;&gt;"",资金流水!$J$1947=$C$130,ISNUMBER(资金流水!$B$1947),ISNUMBER(资金流水!$S$1947),资金流水!$S$1947&gt;=_辅助!$J$4,资金流水!$S$1947&lt;=_辅助!$J$2,OR(资金流水!$X$1947="应付材料款",资金流水!$X$1947="应付分包款",资金流水!$X$1947="应付机械运输费",资金流水!$X$1947="应付其他款")),INT(资金流水!$B$1947)*10000+1942,"")</f>
      </c>
    </row>
    <row r="1944">
      <c r="BD1944" s="2">
        <f>IF(AND($C$130&lt;&gt;"",资金流水!$J$1948=$C$130,ISNUMBER(资金流水!$B$1948),ISNUMBER(资金流水!$S$1948),资金流水!$S$1948&gt;=_辅助!$J$4,资金流水!$S$1948&lt;=_辅助!$J$2,OR(资金流水!$X$1948="应付材料款",资金流水!$X$1948="应付分包款",资金流水!$X$1948="应付机械运输费",资金流水!$X$1948="应付其他款")),INT(资金流水!$B$1948)*10000+1943,"")</f>
      </c>
    </row>
    <row r="1945">
      <c r="BD1945" s="2">
        <f>IF(AND($C$130&lt;&gt;"",资金流水!$J$1949=$C$130,ISNUMBER(资金流水!$B$1949),ISNUMBER(资金流水!$S$1949),资金流水!$S$1949&gt;=_辅助!$J$4,资金流水!$S$1949&lt;=_辅助!$J$2,OR(资金流水!$X$1949="应付材料款",资金流水!$X$1949="应付分包款",资金流水!$X$1949="应付机械运输费",资金流水!$X$1949="应付其他款")),INT(资金流水!$B$1949)*10000+1944,"")</f>
      </c>
    </row>
    <row r="1946">
      <c r="BD1946" s="2">
        <f>IF(AND($C$130&lt;&gt;"",资金流水!$J$1950=$C$130,ISNUMBER(资金流水!$B$1950),ISNUMBER(资金流水!$S$1950),资金流水!$S$1950&gt;=_辅助!$J$4,资金流水!$S$1950&lt;=_辅助!$J$2,OR(资金流水!$X$1950="应付材料款",资金流水!$X$1950="应付分包款",资金流水!$X$1950="应付机械运输费",资金流水!$X$1950="应付其他款")),INT(资金流水!$B$1950)*10000+1945,"")</f>
      </c>
    </row>
    <row r="1947">
      <c r="BD1947" s="2">
        <f>IF(AND($C$130&lt;&gt;"",资金流水!$J$1951=$C$130,ISNUMBER(资金流水!$B$1951),ISNUMBER(资金流水!$S$1951),资金流水!$S$1951&gt;=_辅助!$J$4,资金流水!$S$1951&lt;=_辅助!$J$2,OR(资金流水!$X$1951="应付材料款",资金流水!$X$1951="应付分包款",资金流水!$X$1951="应付机械运输费",资金流水!$X$1951="应付其他款")),INT(资金流水!$B$1951)*10000+1946,"")</f>
      </c>
    </row>
    <row r="1948">
      <c r="BD1948" s="2">
        <f>IF(AND($C$130&lt;&gt;"",资金流水!$J$1952=$C$130,ISNUMBER(资金流水!$B$1952),ISNUMBER(资金流水!$S$1952),资金流水!$S$1952&gt;=_辅助!$J$4,资金流水!$S$1952&lt;=_辅助!$J$2,OR(资金流水!$X$1952="应付材料款",资金流水!$X$1952="应付分包款",资金流水!$X$1952="应付机械运输费",资金流水!$X$1952="应付其他款")),INT(资金流水!$B$1952)*10000+1947,"")</f>
      </c>
    </row>
    <row r="1949">
      <c r="BD1949" s="2">
        <f>IF(AND($C$130&lt;&gt;"",资金流水!$J$1953=$C$130,ISNUMBER(资金流水!$B$1953),ISNUMBER(资金流水!$S$1953),资金流水!$S$1953&gt;=_辅助!$J$4,资金流水!$S$1953&lt;=_辅助!$J$2,OR(资金流水!$X$1953="应付材料款",资金流水!$X$1953="应付分包款",资金流水!$X$1953="应付机械运输费",资金流水!$X$1953="应付其他款")),INT(资金流水!$B$1953)*10000+1948,"")</f>
      </c>
    </row>
    <row r="1950">
      <c r="BD1950" s="2">
        <f>IF(AND($C$130&lt;&gt;"",资金流水!$J$1954=$C$130,ISNUMBER(资金流水!$B$1954),ISNUMBER(资金流水!$S$1954),资金流水!$S$1954&gt;=_辅助!$J$4,资金流水!$S$1954&lt;=_辅助!$J$2,OR(资金流水!$X$1954="应付材料款",资金流水!$X$1954="应付分包款",资金流水!$X$1954="应付机械运输费",资金流水!$X$1954="应付其他款")),INT(资金流水!$B$1954)*10000+1949,"")</f>
      </c>
    </row>
    <row r="1951">
      <c r="BD1951" s="2">
        <f>IF(AND($C$130&lt;&gt;"",资金流水!$J$1955=$C$130,ISNUMBER(资金流水!$B$1955),ISNUMBER(资金流水!$S$1955),资金流水!$S$1955&gt;=_辅助!$J$4,资金流水!$S$1955&lt;=_辅助!$J$2,OR(资金流水!$X$1955="应付材料款",资金流水!$X$1955="应付分包款",资金流水!$X$1955="应付机械运输费",资金流水!$X$1955="应付其他款")),INT(资金流水!$B$1955)*10000+1950,"")</f>
      </c>
    </row>
    <row r="1952">
      <c r="BD1952" s="2">
        <f>IF(AND($C$130&lt;&gt;"",资金流水!$J$1956=$C$130,ISNUMBER(资金流水!$B$1956),ISNUMBER(资金流水!$S$1956),资金流水!$S$1956&gt;=_辅助!$J$4,资金流水!$S$1956&lt;=_辅助!$J$2,OR(资金流水!$X$1956="应付材料款",资金流水!$X$1956="应付分包款",资金流水!$X$1956="应付机械运输费",资金流水!$X$1956="应付其他款")),INT(资金流水!$B$1956)*10000+1951,"")</f>
      </c>
    </row>
    <row r="1953">
      <c r="BD1953" s="2">
        <f>IF(AND($C$130&lt;&gt;"",资金流水!$J$1957=$C$130,ISNUMBER(资金流水!$B$1957),ISNUMBER(资金流水!$S$1957),资金流水!$S$1957&gt;=_辅助!$J$4,资金流水!$S$1957&lt;=_辅助!$J$2,OR(资金流水!$X$1957="应付材料款",资金流水!$X$1957="应付分包款",资金流水!$X$1957="应付机械运输费",资金流水!$X$1957="应付其他款")),INT(资金流水!$B$1957)*10000+1952,"")</f>
      </c>
    </row>
    <row r="1954">
      <c r="BD1954" s="2">
        <f>IF(AND($C$130&lt;&gt;"",资金流水!$J$1958=$C$130,ISNUMBER(资金流水!$B$1958),ISNUMBER(资金流水!$S$1958),资金流水!$S$1958&gt;=_辅助!$J$4,资金流水!$S$1958&lt;=_辅助!$J$2,OR(资金流水!$X$1958="应付材料款",资金流水!$X$1958="应付分包款",资金流水!$X$1958="应付机械运输费",资金流水!$X$1958="应付其他款")),INT(资金流水!$B$1958)*10000+1953,"")</f>
      </c>
    </row>
    <row r="1955">
      <c r="BD1955" s="2">
        <f>IF(AND($C$130&lt;&gt;"",资金流水!$J$1959=$C$130,ISNUMBER(资金流水!$B$1959),ISNUMBER(资金流水!$S$1959),资金流水!$S$1959&gt;=_辅助!$J$4,资金流水!$S$1959&lt;=_辅助!$J$2,OR(资金流水!$X$1959="应付材料款",资金流水!$X$1959="应付分包款",资金流水!$X$1959="应付机械运输费",资金流水!$X$1959="应付其他款")),INT(资金流水!$B$1959)*10000+1954,"")</f>
      </c>
    </row>
    <row r="1956">
      <c r="BD1956" s="2">
        <f>IF(AND($C$130&lt;&gt;"",资金流水!$J$1960=$C$130,ISNUMBER(资金流水!$B$1960),ISNUMBER(资金流水!$S$1960),资金流水!$S$1960&gt;=_辅助!$J$4,资金流水!$S$1960&lt;=_辅助!$J$2,OR(资金流水!$X$1960="应付材料款",资金流水!$X$1960="应付分包款",资金流水!$X$1960="应付机械运输费",资金流水!$X$1960="应付其他款")),INT(资金流水!$B$1960)*10000+1955,"")</f>
      </c>
    </row>
    <row r="1957">
      <c r="BD1957" s="2">
        <f>IF(AND($C$130&lt;&gt;"",资金流水!$J$1961=$C$130,ISNUMBER(资金流水!$B$1961),ISNUMBER(资金流水!$S$1961),资金流水!$S$1961&gt;=_辅助!$J$4,资金流水!$S$1961&lt;=_辅助!$J$2,OR(资金流水!$X$1961="应付材料款",资金流水!$X$1961="应付分包款",资金流水!$X$1961="应付机械运输费",资金流水!$X$1961="应付其他款")),INT(资金流水!$B$1961)*10000+1956,"")</f>
      </c>
    </row>
    <row r="1958">
      <c r="BD1958" s="2">
        <f>IF(AND($C$130&lt;&gt;"",资金流水!$J$1962=$C$130,ISNUMBER(资金流水!$B$1962),ISNUMBER(资金流水!$S$1962),资金流水!$S$1962&gt;=_辅助!$J$4,资金流水!$S$1962&lt;=_辅助!$J$2,OR(资金流水!$X$1962="应付材料款",资金流水!$X$1962="应付分包款",资金流水!$X$1962="应付机械运输费",资金流水!$X$1962="应付其他款")),INT(资金流水!$B$1962)*10000+1957,"")</f>
      </c>
    </row>
    <row r="1959">
      <c r="BD1959" s="2">
        <f>IF(AND($C$130&lt;&gt;"",资金流水!$J$1963=$C$130,ISNUMBER(资金流水!$B$1963),ISNUMBER(资金流水!$S$1963),资金流水!$S$1963&gt;=_辅助!$J$4,资金流水!$S$1963&lt;=_辅助!$J$2,OR(资金流水!$X$1963="应付材料款",资金流水!$X$1963="应付分包款",资金流水!$X$1963="应付机械运输费",资金流水!$X$1963="应付其他款")),INT(资金流水!$B$1963)*10000+1958,"")</f>
      </c>
    </row>
    <row r="1960">
      <c r="BD1960" s="2">
        <f>IF(AND($C$130&lt;&gt;"",资金流水!$J$1964=$C$130,ISNUMBER(资金流水!$B$1964),ISNUMBER(资金流水!$S$1964),资金流水!$S$1964&gt;=_辅助!$J$4,资金流水!$S$1964&lt;=_辅助!$J$2,OR(资金流水!$X$1964="应付材料款",资金流水!$X$1964="应付分包款",资金流水!$X$1964="应付机械运输费",资金流水!$X$1964="应付其他款")),INT(资金流水!$B$1964)*10000+1959,"")</f>
      </c>
    </row>
    <row r="1961">
      <c r="BD1961" s="2">
        <f>IF(AND($C$130&lt;&gt;"",资金流水!$J$1965=$C$130,ISNUMBER(资金流水!$B$1965),ISNUMBER(资金流水!$S$1965),资金流水!$S$1965&gt;=_辅助!$J$4,资金流水!$S$1965&lt;=_辅助!$J$2,OR(资金流水!$X$1965="应付材料款",资金流水!$X$1965="应付分包款",资金流水!$X$1965="应付机械运输费",资金流水!$X$1965="应付其他款")),INT(资金流水!$B$1965)*10000+1960,"")</f>
      </c>
    </row>
    <row r="1962">
      <c r="BD1962" s="2">
        <f>IF(AND($C$130&lt;&gt;"",资金流水!$J$1966=$C$130,ISNUMBER(资金流水!$B$1966),ISNUMBER(资金流水!$S$1966),资金流水!$S$1966&gt;=_辅助!$J$4,资金流水!$S$1966&lt;=_辅助!$J$2,OR(资金流水!$X$1966="应付材料款",资金流水!$X$1966="应付分包款",资金流水!$X$1966="应付机械运输费",资金流水!$X$1966="应付其他款")),INT(资金流水!$B$1966)*10000+1961,"")</f>
      </c>
    </row>
    <row r="1963">
      <c r="BD1963" s="2">
        <f>IF(AND($C$130&lt;&gt;"",资金流水!$J$1967=$C$130,ISNUMBER(资金流水!$B$1967),ISNUMBER(资金流水!$S$1967),资金流水!$S$1967&gt;=_辅助!$J$4,资金流水!$S$1967&lt;=_辅助!$J$2,OR(资金流水!$X$1967="应付材料款",资金流水!$X$1967="应付分包款",资金流水!$X$1967="应付机械运输费",资金流水!$X$1967="应付其他款")),INT(资金流水!$B$1967)*10000+1962,"")</f>
      </c>
    </row>
    <row r="1964">
      <c r="BD1964" s="2">
        <f>IF(AND($C$130&lt;&gt;"",资金流水!$J$1968=$C$130,ISNUMBER(资金流水!$B$1968),ISNUMBER(资金流水!$S$1968),资金流水!$S$1968&gt;=_辅助!$J$4,资金流水!$S$1968&lt;=_辅助!$J$2,OR(资金流水!$X$1968="应付材料款",资金流水!$X$1968="应付分包款",资金流水!$X$1968="应付机械运输费",资金流水!$X$1968="应付其他款")),INT(资金流水!$B$1968)*10000+1963,"")</f>
      </c>
    </row>
    <row r="1965">
      <c r="BD1965" s="2">
        <f>IF(AND($C$130&lt;&gt;"",资金流水!$J$1969=$C$130,ISNUMBER(资金流水!$B$1969),ISNUMBER(资金流水!$S$1969),资金流水!$S$1969&gt;=_辅助!$J$4,资金流水!$S$1969&lt;=_辅助!$J$2,OR(资金流水!$X$1969="应付材料款",资金流水!$X$1969="应付分包款",资金流水!$X$1969="应付机械运输费",资金流水!$X$1969="应付其他款")),INT(资金流水!$B$1969)*10000+1964,"")</f>
      </c>
    </row>
    <row r="1966">
      <c r="BD1966" s="2">
        <f>IF(AND($C$130&lt;&gt;"",资金流水!$J$1970=$C$130,ISNUMBER(资金流水!$B$1970),ISNUMBER(资金流水!$S$1970),资金流水!$S$1970&gt;=_辅助!$J$4,资金流水!$S$1970&lt;=_辅助!$J$2,OR(资金流水!$X$1970="应付材料款",资金流水!$X$1970="应付分包款",资金流水!$X$1970="应付机械运输费",资金流水!$X$1970="应付其他款")),INT(资金流水!$B$1970)*10000+1965,"")</f>
      </c>
    </row>
    <row r="1967">
      <c r="BD1967" s="2">
        <f>IF(AND($C$130&lt;&gt;"",资金流水!$J$1971=$C$130,ISNUMBER(资金流水!$B$1971),ISNUMBER(资金流水!$S$1971),资金流水!$S$1971&gt;=_辅助!$J$4,资金流水!$S$1971&lt;=_辅助!$J$2,OR(资金流水!$X$1971="应付材料款",资金流水!$X$1971="应付分包款",资金流水!$X$1971="应付机械运输费",资金流水!$X$1971="应付其他款")),INT(资金流水!$B$1971)*10000+1966,"")</f>
      </c>
    </row>
    <row r="1968">
      <c r="BD1968" s="2">
        <f>IF(AND($C$130&lt;&gt;"",资金流水!$J$1972=$C$130,ISNUMBER(资金流水!$B$1972),ISNUMBER(资金流水!$S$1972),资金流水!$S$1972&gt;=_辅助!$J$4,资金流水!$S$1972&lt;=_辅助!$J$2,OR(资金流水!$X$1972="应付材料款",资金流水!$X$1972="应付分包款",资金流水!$X$1972="应付机械运输费",资金流水!$X$1972="应付其他款")),INT(资金流水!$B$1972)*10000+1967,"")</f>
      </c>
    </row>
    <row r="1969">
      <c r="BD1969" s="2">
        <f>IF(AND($C$130&lt;&gt;"",资金流水!$J$1973=$C$130,ISNUMBER(资金流水!$B$1973),ISNUMBER(资金流水!$S$1973),资金流水!$S$1973&gt;=_辅助!$J$4,资金流水!$S$1973&lt;=_辅助!$J$2,OR(资金流水!$X$1973="应付材料款",资金流水!$X$1973="应付分包款",资金流水!$X$1973="应付机械运输费",资金流水!$X$1973="应付其他款")),INT(资金流水!$B$1973)*10000+1968,"")</f>
      </c>
    </row>
    <row r="1970">
      <c r="BD1970" s="2">
        <f>IF(AND($C$130&lt;&gt;"",资金流水!$J$1974=$C$130,ISNUMBER(资金流水!$B$1974),ISNUMBER(资金流水!$S$1974),资金流水!$S$1974&gt;=_辅助!$J$4,资金流水!$S$1974&lt;=_辅助!$J$2,OR(资金流水!$X$1974="应付材料款",资金流水!$X$1974="应付分包款",资金流水!$X$1974="应付机械运输费",资金流水!$X$1974="应付其他款")),INT(资金流水!$B$1974)*10000+1969,"")</f>
      </c>
    </row>
    <row r="1971">
      <c r="BD1971" s="2">
        <f>IF(AND($C$130&lt;&gt;"",资金流水!$J$1975=$C$130,ISNUMBER(资金流水!$B$1975),ISNUMBER(资金流水!$S$1975),资金流水!$S$1975&gt;=_辅助!$J$4,资金流水!$S$1975&lt;=_辅助!$J$2,OR(资金流水!$X$1975="应付材料款",资金流水!$X$1975="应付分包款",资金流水!$X$1975="应付机械运输费",资金流水!$X$1975="应付其他款")),INT(资金流水!$B$1975)*10000+1970,"")</f>
      </c>
    </row>
    <row r="1972">
      <c r="BD1972" s="2">
        <f>IF(AND($C$130&lt;&gt;"",资金流水!$J$1976=$C$130,ISNUMBER(资金流水!$B$1976),ISNUMBER(资金流水!$S$1976),资金流水!$S$1976&gt;=_辅助!$J$4,资金流水!$S$1976&lt;=_辅助!$J$2,OR(资金流水!$X$1976="应付材料款",资金流水!$X$1976="应付分包款",资金流水!$X$1976="应付机械运输费",资金流水!$X$1976="应付其他款")),INT(资金流水!$B$1976)*10000+1971,"")</f>
      </c>
    </row>
    <row r="1973">
      <c r="BD1973" s="2">
        <f>IF(AND($C$130&lt;&gt;"",资金流水!$J$1977=$C$130,ISNUMBER(资金流水!$B$1977),ISNUMBER(资金流水!$S$1977),资金流水!$S$1977&gt;=_辅助!$J$4,资金流水!$S$1977&lt;=_辅助!$J$2,OR(资金流水!$X$1977="应付材料款",资金流水!$X$1977="应付分包款",资金流水!$X$1977="应付机械运输费",资金流水!$X$1977="应付其他款")),INT(资金流水!$B$1977)*10000+1972,"")</f>
      </c>
    </row>
    <row r="1974">
      <c r="BD1974" s="2">
        <f>IF(AND($C$130&lt;&gt;"",资金流水!$J$1978=$C$130,ISNUMBER(资金流水!$B$1978),ISNUMBER(资金流水!$S$1978),资金流水!$S$1978&gt;=_辅助!$J$4,资金流水!$S$1978&lt;=_辅助!$J$2,OR(资金流水!$X$1978="应付材料款",资金流水!$X$1978="应付分包款",资金流水!$X$1978="应付机械运输费",资金流水!$X$1978="应付其他款")),INT(资金流水!$B$1978)*10000+1973,"")</f>
      </c>
    </row>
    <row r="1975">
      <c r="BD1975" s="2">
        <f>IF(AND($C$130&lt;&gt;"",资金流水!$J$1979=$C$130,ISNUMBER(资金流水!$B$1979),ISNUMBER(资金流水!$S$1979),资金流水!$S$1979&gt;=_辅助!$J$4,资金流水!$S$1979&lt;=_辅助!$J$2,OR(资金流水!$X$1979="应付材料款",资金流水!$X$1979="应付分包款",资金流水!$X$1979="应付机械运输费",资金流水!$X$1979="应付其他款")),INT(资金流水!$B$1979)*10000+1974,"")</f>
      </c>
    </row>
    <row r="1976">
      <c r="BD1976" s="2">
        <f>IF(AND($C$130&lt;&gt;"",资金流水!$J$1980=$C$130,ISNUMBER(资金流水!$B$1980),ISNUMBER(资金流水!$S$1980),资金流水!$S$1980&gt;=_辅助!$J$4,资金流水!$S$1980&lt;=_辅助!$J$2,OR(资金流水!$X$1980="应付材料款",资金流水!$X$1980="应付分包款",资金流水!$X$1980="应付机械运输费",资金流水!$X$1980="应付其他款")),INT(资金流水!$B$1980)*10000+1975,"")</f>
      </c>
    </row>
    <row r="1977">
      <c r="BD1977" s="2">
        <f>IF(AND($C$130&lt;&gt;"",资金流水!$J$1981=$C$130,ISNUMBER(资金流水!$B$1981),ISNUMBER(资金流水!$S$1981),资金流水!$S$1981&gt;=_辅助!$J$4,资金流水!$S$1981&lt;=_辅助!$J$2,OR(资金流水!$X$1981="应付材料款",资金流水!$X$1981="应付分包款",资金流水!$X$1981="应付机械运输费",资金流水!$X$1981="应付其他款")),INT(资金流水!$B$1981)*10000+1976,"")</f>
      </c>
    </row>
    <row r="1978">
      <c r="BD1978" s="2">
        <f>IF(AND($C$130&lt;&gt;"",资金流水!$J$1982=$C$130,ISNUMBER(资金流水!$B$1982),ISNUMBER(资金流水!$S$1982),资金流水!$S$1982&gt;=_辅助!$J$4,资金流水!$S$1982&lt;=_辅助!$J$2,OR(资金流水!$X$1982="应付材料款",资金流水!$X$1982="应付分包款",资金流水!$X$1982="应付机械运输费",资金流水!$X$1982="应付其他款")),INT(资金流水!$B$1982)*10000+1977,"")</f>
      </c>
    </row>
    <row r="1979">
      <c r="BD1979" s="2">
        <f>IF(AND($C$130&lt;&gt;"",资金流水!$J$1983=$C$130,ISNUMBER(资金流水!$B$1983),ISNUMBER(资金流水!$S$1983),资金流水!$S$1983&gt;=_辅助!$J$4,资金流水!$S$1983&lt;=_辅助!$J$2,OR(资金流水!$X$1983="应付材料款",资金流水!$X$1983="应付分包款",资金流水!$X$1983="应付机械运输费",资金流水!$X$1983="应付其他款")),INT(资金流水!$B$1983)*10000+1978,"")</f>
      </c>
    </row>
    <row r="1980">
      <c r="BD1980" s="2">
        <f>IF(AND($C$130&lt;&gt;"",资金流水!$J$1984=$C$130,ISNUMBER(资金流水!$B$1984),ISNUMBER(资金流水!$S$1984),资金流水!$S$1984&gt;=_辅助!$J$4,资金流水!$S$1984&lt;=_辅助!$J$2,OR(资金流水!$X$1984="应付材料款",资金流水!$X$1984="应付分包款",资金流水!$X$1984="应付机械运输费",资金流水!$X$1984="应付其他款")),INT(资金流水!$B$1984)*10000+1979,"")</f>
      </c>
    </row>
    <row r="1981">
      <c r="BD1981" s="2">
        <f>IF(AND($C$130&lt;&gt;"",资金流水!$J$1985=$C$130,ISNUMBER(资金流水!$B$1985),ISNUMBER(资金流水!$S$1985),资金流水!$S$1985&gt;=_辅助!$J$4,资金流水!$S$1985&lt;=_辅助!$J$2,OR(资金流水!$X$1985="应付材料款",资金流水!$X$1985="应付分包款",资金流水!$X$1985="应付机械运输费",资金流水!$X$1985="应付其他款")),INT(资金流水!$B$1985)*10000+1980,"")</f>
      </c>
    </row>
    <row r="1982">
      <c r="BD1982" s="2">
        <f>IF(AND($C$130&lt;&gt;"",资金流水!$J$1986=$C$130,ISNUMBER(资金流水!$B$1986),ISNUMBER(资金流水!$S$1986),资金流水!$S$1986&gt;=_辅助!$J$4,资金流水!$S$1986&lt;=_辅助!$J$2,OR(资金流水!$X$1986="应付材料款",资金流水!$X$1986="应付分包款",资金流水!$X$1986="应付机械运输费",资金流水!$X$1986="应付其他款")),INT(资金流水!$B$1986)*10000+1981,"")</f>
      </c>
    </row>
    <row r="1983">
      <c r="BD1983" s="2">
        <f>IF(AND($C$130&lt;&gt;"",资金流水!$J$1987=$C$130,ISNUMBER(资金流水!$B$1987),ISNUMBER(资金流水!$S$1987),资金流水!$S$1987&gt;=_辅助!$J$4,资金流水!$S$1987&lt;=_辅助!$J$2,OR(资金流水!$X$1987="应付材料款",资金流水!$X$1987="应付分包款",资金流水!$X$1987="应付机械运输费",资金流水!$X$1987="应付其他款")),INT(资金流水!$B$1987)*10000+1982,"")</f>
      </c>
    </row>
    <row r="1984">
      <c r="BD1984" s="2">
        <f>IF(AND($C$130&lt;&gt;"",资金流水!$J$1988=$C$130,ISNUMBER(资金流水!$B$1988),ISNUMBER(资金流水!$S$1988),资金流水!$S$1988&gt;=_辅助!$J$4,资金流水!$S$1988&lt;=_辅助!$J$2,OR(资金流水!$X$1988="应付材料款",资金流水!$X$1988="应付分包款",资金流水!$X$1988="应付机械运输费",资金流水!$X$1988="应付其他款")),INT(资金流水!$B$1988)*10000+1983,"")</f>
      </c>
    </row>
    <row r="1985">
      <c r="BD1985" s="2">
        <f>IF(AND($C$130&lt;&gt;"",资金流水!$J$1989=$C$130,ISNUMBER(资金流水!$B$1989),ISNUMBER(资金流水!$S$1989),资金流水!$S$1989&gt;=_辅助!$J$4,资金流水!$S$1989&lt;=_辅助!$J$2,OR(资金流水!$X$1989="应付材料款",资金流水!$X$1989="应付分包款",资金流水!$X$1989="应付机械运输费",资金流水!$X$1989="应付其他款")),INT(资金流水!$B$1989)*10000+1984,"")</f>
      </c>
    </row>
    <row r="1986">
      <c r="BD1986" s="2">
        <f>IF(AND($C$130&lt;&gt;"",资金流水!$J$1990=$C$130,ISNUMBER(资金流水!$B$1990),ISNUMBER(资金流水!$S$1990),资金流水!$S$1990&gt;=_辅助!$J$4,资金流水!$S$1990&lt;=_辅助!$J$2,OR(资金流水!$X$1990="应付材料款",资金流水!$X$1990="应付分包款",资金流水!$X$1990="应付机械运输费",资金流水!$X$1990="应付其他款")),INT(资金流水!$B$1990)*10000+1985,"")</f>
      </c>
    </row>
    <row r="1987">
      <c r="BD1987" s="2">
        <f>IF(AND($C$130&lt;&gt;"",资金流水!$J$1991=$C$130,ISNUMBER(资金流水!$B$1991),ISNUMBER(资金流水!$S$1991),资金流水!$S$1991&gt;=_辅助!$J$4,资金流水!$S$1991&lt;=_辅助!$J$2,OR(资金流水!$X$1991="应付材料款",资金流水!$X$1991="应付分包款",资金流水!$X$1991="应付机械运输费",资金流水!$X$1991="应付其他款")),INT(资金流水!$B$1991)*10000+1986,"")</f>
      </c>
    </row>
    <row r="1988">
      <c r="BD1988" s="2">
        <f>IF(AND($C$130&lt;&gt;"",资金流水!$J$1992=$C$130,ISNUMBER(资金流水!$B$1992),ISNUMBER(资金流水!$S$1992),资金流水!$S$1992&gt;=_辅助!$J$4,资金流水!$S$1992&lt;=_辅助!$J$2,OR(资金流水!$X$1992="应付材料款",资金流水!$X$1992="应付分包款",资金流水!$X$1992="应付机械运输费",资金流水!$X$1992="应付其他款")),INT(资金流水!$B$1992)*10000+1987,"")</f>
      </c>
    </row>
    <row r="1989">
      <c r="BD1989" s="2">
        <f>IF(AND($C$130&lt;&gt;"",资金流水!$J$1993=$C$130,ISNUMBER(资金流水!$B$1993),ISNUMBER(资金流水!$S$1993),资金流水!$S$1993&gt;=_辅助!$J$4,资金流水!$S$1993&lt;=_辅助!$J$2,OR(资金流水!$X$1993="应付材料款",资金流水!$X$1993="应付分包款",资金流水!$X$1993="应付机械运输费",资金流水!$X$1993="应付其他款")),INT(资金流水!$B$1993)*10000+1988,"")</f>
      </c>
    </row>
    <row r="1990">
      <c r="BD1990" s="2">
        <f>IF(AND($C$130&lt;&gt;"",资金流水!$J$1994=$C$130,ISNUMBER(资金流水!$B$1994),ISNUMBER(资金流水!$S$1994),资金流水!$S$1994&gt;=_辅助!$J$4,资金流水!$S$1994&lt;=_辅助!$J$2,OR(资金流水!$X$1994="应付材料款",资金流水!$X$1994="应付分包款",资金流水!$X$1994="应付机械运输费",资金流水!$X$1994="应付其他款")),INT(资金流水!$B$1994)*10000+1989,"")</f>
      </c>
    </row>
    <row r="1991">
      <c r="BD1991" s="2">
        <f>IF(AND($C$130&lt;&gt;"",资金流水!$J$1995=$C$130,ISNUMBER(资金流水!$B$1995),ISNUMBER(资金流水!$S$1995),资金流水!$S$1995&gt;=_辅助!$J$4,资金流水!$S$1995&lt;=_辅助!$J$2,OR(资金流水!$X$1995="应付材料款",资金流水!$X$1995="应付分包款",资金流水!$X$1995="应付机械运输费",资金流水!$X$1995="应付其他款")),INT(资金流水!$B$1995)*10000+1990,"")</f>
      </c>
    </row>
    <row r="1992">
      <c r="BD1992" s="2">
        <f>IF(AND($C$130&lt;&gt;"",资金流水!$J$1996=$C$130,ISNUMBER(资金流水!$B$1996),ISNUMBER(资金流水!$S$1996),资金流水!$S$1996&gt;=_辅助!$J$4,资金流水!$S$1996&lt;=_辅助!$J$2,OR(资金流水!$X$1996="应付材料款",资金流水!$X$1996="应付分包款",资金流水!$X$1996="应付机械运输费",资金流水!$X$1996="应付其他款")),INT(资金流水!$B$1996)*10000+1991,"")</f>
      </c>
    </row>
    <row r="1993">
      <c r="BD1993" s="2">
        <f>IF(AND($C$130&lt;&gt;"",资金流水!$J$1997=$C$130,ISNUMBER(资金流水!$B$1997),ISNUMBER(资金流水!$S$1997),资金流水!$S$1997&gt;=_辅助!$J$4,资金流水!$S$1997&lt;=_辅助!$J$2,OR(资金流水!$X$1997="应付材料款",资金流水!$X$1997="应付分包款",资金流水!$X$1997="应付机械运输费",资金流水!$X$1997="应付其他款")),INT(资金流水!$B$1997)*10000+1992,"")</f>
      </c>
    </row>
    <row r="1994">
      <c r="BD1994" s="2">
        <f>IF(AND($C$130&lt;&gt;"",资金流水!$J$1998=$C$130,ISNUMBER(资金流水!$B$1998),ISNUMBER(资金流水!$S$1998),资金流水!$S$1998&gt;=_辅助!$J$4,资金流水!$S$1998&lt;=_辅助!$J$2,OR(资金流水!$X$1998="应付材料款",资金流水!$X$1998="应付分包款",资金流水!$X$1998="应付机械运输费",资金流水!$X$1998="应付其他款")),INT(资金流水!$B$1998)*10000+1993,"")</f>
      </c>
    </row>
    <row r="1995">
      <c r="BD1995" s="2">
        <f>IF(AND($C$130&lt;&gt;"",资金流水!$J$1999=$C$130,ISNUMBER(资金流水!$B$1999),ISNUMBER(资金流水!$S$1999),资金流水!$S$1999&gt;=_辅助!$J$4,资金流水!$S$1999&lt;=_辅助!$J$2,OR(资金流水!$X$1999="应付材料款",资金流水!$X$1999="应付分包款",资金流水!$X$1999="应付机械运输费",资金流水!$X$1999="应付其他款")),INT(资金流水!$B$1999)*10000+1994,"")</f>
      </c>
    </row>
    <row r="1996">
      <c r="BD1996" s="2">
        <f>IF(AND($C$130&lt;&gt;"",资金流水!$J$2000=$C$130,ISNUMBER(资金流水!$B$2000),ISNUMBER(资金流水!$S$2000),资金流水!$S$2000&gt;=_辅助!$J$4,资金流水!$S$2000&lt;=_辅助!$J$2,OR(资金流水!$X$2000="应付材料款",资金流水!$X$2000="应付分包款",资金流水!$X$2000="应付机械运输费",资金流水!$X$2000="应付其他款")),INT(资金流水!$B$2000)*10000+1995,"")</f>
      </c>
    </row>
    <row r="1997">
      <c r="BD1997" s="2">
        <f>IF(AND($C$130&lt;&gt;"",资金流水!$J$2001=$C$130,ISNUMBER(资金流水!$B$2001),ISNUMBER(资金流水!$S$2001),资金流水!$S$2001&gt;=_辅助!$J$4,资金流水!$S$2001&lt;=_辅助!$J$2,OR(资金流水!$X$2001="应付材料款",资金流水!$X$2001="应付分包款",资金流水!$X$2001="应付机械运输费",资金流水!$X$2001="应付其他款")),INT(资金流水!$B$2001)*10000+1996,"")</f>
      </c>
    </row>
    <row r="1998">
      <c r="BD1998" s="2">
        <f>IF(AND($C$130&lt;&gt;"",资金流水!$J$2002=$C$130,ISNUMBER(资金流水!$B$2002),ISNUMBER(资金流水!$S$2002),资金流水!$S$2002&gt;=_辅助!$J$4,资金流水!$S$2002&lt;=_辅助!$J$2,OR(资金流水!$X$2002="应付材料款",资金流水!$X$2002="应付分包款",资金流水!$X$2002="应付机械运输费",资金流水!$X$2002="应付其他款")),INT(资金流水!$B$2002)*10000+1997,"")</f>
      </c>
    </row>
    <row r="1999">
      <c r="BD1999" s="2">
        <f>IF(AND($C$130&lt;&gt;"",资金流水!$J$2003=$C$130,ISNUMBER(资金流水!$B$2003),ISNUMBER(资金流水!$S$2003),资金流水!$S$2003&gt;=_辅助!$J$4,资金流水!$S$2003&lt;=_辅助!$J$2,OR(资金流水!$X$2003="应付材料款",资金流水!$X$2003="应付分包款",资金流水!$X$2003="应付机械运输费",资金流水!$X$2003="应付其他款")),INT(资金流水!$B$2003)*10000+1998,"")</f>
      </c>
    </row>
    <row r="2000">
      <c r="BD2000" s="2">
        <f>IF(AND($C$130&lt;&gt;"",资金流水!$J$2004=$C$130,ISNUMBER(资金流水!$B$2004),ISNUMBER(资金流水!$S$2004),资金流水!$S$2004&gt;=_辅助!$J$4,资金流水!$S$2004&lt;=_辅助!$J$2,OR(资金流水!$X$2004="应付材料款",资金流水!$X$2004="应付分包款",资金流水!$X$2004="应付机械运输费",资金流水!$X$2004="应付其他款")),INT(资金流水!$B$2004)*10000+1999,"")</f>
      </c>
    </row>
    <row r="2001">
      <c r="BD2001" s="2">
        <f>IF(AND($C$130&lt;&gt;"",资金流水!$J$2005=$C$130,ISNUMBER(资金流水!$B$2005),ISNUMBER(资金流水!$S$2005),资金流水!$S$2005&gt;=_辅助!$J$4,资金流水!$S$2005&lt;=_辅助!$J$2,OR(资金流水!$X$2005="应付材料款",资金流水!$X$2005="应付分包款",资金流水!$X$2005="应付机械运输费",资金流水!$X$2005="应付其他款")),INT(资金流水!$B$2005)*10000+2000,"")</f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6">
    <mergeCell ref="A1:W1"/>
    <mergeCell ref="C130:D130"/>
    <mergeCell ref="G3:W3"/>
    <mergeCell ref="A2:W2"/>
    <mergeCell ref="D3:F3"/>
    <mergeCell ref="A129:W129"/>
  </mergeCells>
  <conditionalFormatting sqref="F7:F126">
    <cfRule type="expression" priority="1" dxfId="3">
      <formula>N($F7)&lt;0</formula>
    </cfRule>
    <cfRule type="expression" priority="2" dxfId="1">
      <formula>N($F7)&gt;0</formula>
    </cfRule>
  </conditionalFormatting>
  <dataValidations count="2">
    <dataValidation sqref="C3" showDropDown="0" showInputMessage="0" showErrorMessage="1" allowBlank="1" errorTitle="不在清单里" error="请从下拉里选；清单里没有的，先到【基础资料】/【往来单位】里登记" type="list" errorStyle="stop">
      <formula1>"全部,材料供应商,分包,机械运输,其他"</formula1>
    </dataValidation>
    <dataValidation sqref="C130" showDropDown="0" showInputMessage="1" showErrorMessage="0" allowBlank="1" errorTitle="不在清单里" error="请从下拉里选；清单里没有的，先到【基础资料】/【往来单位】里登记" promptTitle="提示" prompt="选一家单位" type="list" errorStyle="warning">
      <formula1>=往来单位!$B$4:$B$303</formula1>
    </dataValidation>
  </dataValidations>
  <hyperlinks>
    <hyperlink ref="X1" location="'首页'!A1" display="← 回首页"/>
  </hyperlinks>
  <pageMargins left="0.3" right="0.3" top="0.5" bottom="0.5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CB2005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.5" customWidth="1" min="2" max="2"/>
    <col width="3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9.05" customWidth="1" min="11" max="11"/>
    <col width="14" customWidth="1" min="12" max="12"/>
    <col width="14" customWidth="1" min="13" max="13"/>
    <col width="13" customWidth="1" min="14" max="14"/>
    <col width="5" customWidth="1" min="15" max="15"/>
    <col width="18" customWidth="1" min="16" max="16"/>
    <col width="13.5" customWidth="1" min="17" max="17"/>
    <col width="13.5" customWidth="1" min="18" max="18"/>
    <col width="15" customWidth="1" min="19" max="19"/>
    <col width="12.5" customWidth="1" min="20" max="20"/>
    <col hidden="1" width="2" customWidth="1" min="21" max="21"/>
    <col width="14" customWidth="1" min="22" max="22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79" max="79"/>
    <col hidden="1" width="13" customWidth="1" min="80" max="80"/>
  </cols>
  <sheetData>
    <row r="1" ht="33" customHeight="1">
      <c r="A1" s="32" t="inlineStr">
        <is>
          <t>个 人 往 来（老板、负责人替公司收付的钱 · 公司欠他多少）</t>
        </is>
      </c>
      <c r="N1" s="33" t="inlineStr">
        <is>
          <t>← 回首页</t>
        </is>
      </c>
      <c r="Z1" s="2">
        <f>SUM(CA1:CA1)</f>
        <v>0</v>
      </c>
      <c r="AB1" s="2">
        <f>SUM(CB1:CB1)</f>
        <v>0</v>
      </c>
      <c r="CA1" s="2">
        <f>IF(基础资料!$H$5="个人户",1,0)</f>
        <v>0</v>
      </c>
      <c r="CB1" s="2">
        <f>IF(COUNTIFS(资金流水!$J$6:$J$2005,往来单位!$B$4,资金流水!$X$6:$X$2005,"其他应收款",资金流水!$S$6:$S$2005,"&gt;="&amp;_辅助!$J$4,资金流水!$S$6:$S$2005,"&lt;="&amp;_辅助!$J$2)*(往来单位!$B$4&lt;&gt;"")&gt;0,1,0)</f>
        <v>0</v>
      </c>
    </row>
    <row r="2" ht="38" customHeight="1">
      <c r="A2" s="3" t="inlineStr">
        <is>
          <t>💡 上面：每个人的个人户一行——他替公司付了多少、替公司收了多少、公司转给他多少（还他钱、报销、备用金）、他转给公司多少（借给公司），余额是负数＝公司欠他，正数＝他手上还有公司的钱（备用金没花完）。另外公司欠他的工资单独算。下面：选一个人，列出跟他有关的每一笔（跟你原来的「王总个人收支明细」一个意思）。右上是保证金、押金台账。</t>
        </is>
      </c>
      <c r="Z2" s="2">
        <f>SUM(CA1:CA2)</f>
        <v>0</v>
      </c>
      <c r="AB2" s="2">
        <f>SUM(CB1:CB2)</f>
        <v>0</v>
      </c>
      <c r="CA2" s="2">
        <f>IF(基础资料!$H$6="个人户",1,0)</f>
        <v>0</v>
      </c>
      <c r="CB2" s="2">
        <f>IF(COUNTIFS(资金流水!$J$6:$J$2005,往来单位!$B$5,资金流水!$X$6:$X$2005,"其他应收款",资金流水!$S$6:$S$2005,"&gt;="&amp;_辅助!$J$4,资金流水!$S$6:$S$2005,"&lt;="&amp;_辅助!$J$2)*(往来单位!$B$5&lt;&gt;"")&gt;0,1,0)</f>
        <v>0</v>
      </c>
    </row>
    <row r="3">
      <c r="B3" s="98" t="str">
        <f>"截止 "&amp;TEXT(_辅助!$J$9,"yyyy年m月d日")</f>
        <v>截止 2026年8月31日</v>
      </c>
      <c r="O3" s="39" t="inlineStr">
        <is>
          <t>保证金、押金（付出去还没退回的）</t>
        </is>
      </c>
      <c r="P3" s="12" t="n"/>
      <c r="Q3" s="12" t="n"/>
      <c r="R3" s="12" t="n"/>
      <c r="S3" s="12" t="n"/>
      <c r="T3" s="12" t="n"/>
      <c r="U3" s="12" t="n"/>
      <c r="V3" s="12" t="n"/>
      <c r="Z3" s="2">
        <f>SUM(CA1:CA3)</f>
        <v>0</v>
      </c>
      <c r="AB3" s="2">
        <f>SUM(CB1:CB3)</f>
        <v>0</v>
      </c>
      <c r="CA3" s="2">
        <f>IF(基础资料!$H$7="个人户",1,0)</f>
        <v>0</v>
      </c>
      <c r="CB3" s="2">
        <f>IF(COUNTIFS(资金流水!$J$6:$J$2005,往来单位!$B$6,资金流水!$X$6:$X$2005,"其他应收款",资金流水!$S$6:$S$2005,"&gt;="&amp;_辅助!$J$4,资金流水!$S$6:$S$2005,"&lt;="&amp;_辅助!$J$2)*(往来单位!$B$6&lt;&gt;"")&gt;0,1,0)</f>
        <v>0</v>
      </c>
    </row>
    <row r="4" ht="34" customHeight="1">
      <c r="O4" s="42" t="inlineStr">
        <is>
          <t>序号</t>
        </is>
      </c>
      <c r="P4" s="42" t="inlineStr">
        <is>
          <t>交给谁</t>
        </is>
      </c>
      <c r="Q4" s="42" t="inlineStr">
        <is>
          <t>付出去</t>
        </is>
      </c>
      <c r="R4" s="42" t="inlineStr">
        <is>
          <t>退回来</t>
        </is>
      </c>
      <c r="S4" s="42" t="inlineStr">
        <is>
          <t>还没退</t>
        </is>
      </c>
      <c r="T4" s="42" t="inlineStr">
        <is>
          <t>最近一笔</t>
        </is>
      </c>
      <c r="V4" s="42" t="inlineStr">
        <is>
          <t>最近一笔的项目</t>
        </is>
      </c>
      <c r="Z4" s="2">
        <f>SUM(CA1:CA4)</f>
        <v>0</v>
      </c>
      <c r="AB4" s="2">
        <f>SUM(CB1:CB4)</f>
        <v>0</v>
      </c>
      <c r="CA4" s="2">
        <f>IF(基础资料!$H$8="个人户",1,0)</f>
        <v>0</v>
      </c>
      <c r="CB4" s="2">
        <f>IF(COUNTIFS(资金流水!$J$6:$J$2005,往来单位!$B$7,资金流水!$X$6:$X$2005,"其他应收款",资金流水!$S$6:$S$2005,"&gt;="&amp;_辅助!$J$4,资金流水!$S$6:$S$2005,"&lt;="&amp;_辅助!$J$2)*(往来单位!$B$7&lt;&gt;"")&gt;0,1,0)</f>
        <v>0</v>
      </c>
    </row>
    <row r="5" ht="44" customHeight="1">
      <c r="A5" s="80" t="inlineStr">
        <is>
          <t>序号</t>
        </is>
      </c>
      <c r="B5" s="80" t="inlineStr">
        <is>
          <t>个人户</t>
        </is>
      </c>
      <c r="C5" s="80" t="inlineStr">
        <is>
          <t>是谁的</t>
        </is>
      </c>
      <c r="D5" s="80" t="inlineStr">
        <is>
          <t>期初余额
（建账日）</t>
        </is>
      </c>
      <c r="E5" s="80" t="inlineStr">
        <is>
          <t>他替公司付</t>
        </is>
      </c>
      <c r="F5" s="80" t="inlineStr">
        <is>
          <t>他替公司收</t>
        </is>
      </c>
      <c r="G5" s="80" t="inlineStr">
        <is>
          <t>公司转给他
（还款/报销/备用金）</t>
        </is>
      </c>
      <c r="H5" s="80" t="inlineStr">
        <is>
          <t>他转给公司
（借给公司）</t>
        </is>
      </c>
      <c r="I5" s="80" t="inlineStr">
        <is>
          <t>个人户余额</t>
        </is>
      </c>
      <c r="J5" s="80" t="inlineStr">
        <is>
          <t>公司欠他工资</t>
        </is>
      </c>
      <c r="K5" s="80" t="inlineStr">
        <is>
          <t>合计：公司欠他</t>
        </is>
      </c>
      <c r="L5" s="80" t="inlineStr">
        <is>
          <t>说明</t>
        </is>
      </c>
      <c r="M5" s="10" t="n"/>
      <c r="O5" s="94">
        <f>IF($AC5=0,"",1)</f>
      </c>
      <c r="P5" s="96">
        <f t="shared" ref="P5:P16" si="2">IF($AC5=0,"",INDEX(往来单位!$B$4:$B$303,$AC5))</f>
      </c>
      <c r="Q5" s="21">
        <f t="shared" ref="Q5:Q16" si="3">IF($AC5=0,"",-SUMIFS(资金流水!$R$6:$R$2005,资金流水!$J$6:$J$2005,$P5,资金流水!$X$6:$X$2005,"其他应收款",资金流水!$R$6:$R$2005,"&lt;0",资金流水!$S$6:$S$2005,"&gt;="&amp;_辅助!$J$4,资金流水!$S$6:$S$2005,"&lt;="&amp;_辅助!$J$2))</f>
      </c>
      <c r="R5" s="21">
        <f t="shared" ref="R5:R16" si="4">IF($AC5=0,"",SUMIFS(资金流水!$R$6:$R$2005,资金流水!$J$6:$J$2005,$P5,资金流水!$X$6:$X$2005,"其他应收款",资金流水!$R$6:$R$2005,"&gt;0",资金流水!$S$6:$S$2005,"&gt;="&amp;_辅助!$J$4,资金流水!$S$6:$S$2005,"&lt;="&amp;_辅助!$J$2))</f>
      </c>
      <c r="S5" s="21">
        <f t="shared" ref="S5:S16" si="5">IF($AC5=0,"",Q5-R5)</f>
      </c>
      <c r="T5" s="95">
        <f t="shared" ref="T5:T16" si="6">IF(N(U5)=0,"",INDEX(资金流水!$AN$6:$AN$2005,U5))</f>
      </c>
      <c r="U5" s="2">
        <f t="shared" ref="U5:U16" si="7">IF($AC5=0,0,IF(COUNTIFS(资金流水!$J$6:$J$2005,$P5,资金流水!$X$6:$X$2005,"其他应收款",资金流水!$AN$6:$AN$2005,"&gt;0",资金流水!$AN$6:$AN$2005,"&lt;="&amp;_辅助!$J$9)=0,0,IFERROR(MATCH($P5&amp;"|"&amp;COUNTIFS(资金流水!$J$6:$J$2005,$P5,资金流水!$X$6:$X$2005,"其他应收款",资金流水!$AN$6:$AN$2005,"&gt;0",资金流水!$AN$6:$AN$2005,"&lt;="&amp;_辅助!$J$9),资金流水!$AQ$6:$AQ$2005,0),0)))</f>
        <v>0</v>
      </c>
      <c r="V5" s="96">
        <f t="shared" ref="V5:V16" si="8">IF(N(U5)=0,"",INDEX(资金流水!$H$6:$H$2005,U5)&amp;"")</f>
      </c>
      <c r="Z5" s="2">
        <f>SUM(CA1:CA5)</f>
        <v>1</v>
      </c>
      <c r="AA5" s="2">
        <f>COUNT(AA6:AA2005)</f>
        <v>20</v>
      </c>
      <c r="AB5" s="2">
        <f>SUM(CB1:CB5)</f>
        <v>0</v>
      </c>
      <c r="AC5" s="2">
        <f>IF(1&gt;$AB$300,0,IFERROR(MATCH(1,$AB$1:$AB$300,0),0))</f>
        <v>0</v>
      </c>
      <c r="CA5" s="2">
        <f>IF(基础资料!$H$9="个人户",1,0)</f>
        <v>1</v>
      </c>
      <c r="CB5" s="2">
        <f>IF(COUNTIFS(资金流水!$J$6:$J$2005,往来单位!$B$8,资金流水!$X$6:$X$2005,"其他应收款",资金流水!$S$6:$S$2005,"&gt;="&amp;_辅助!$J$4,资金流水!$S$6:$S$2005,"&lt;="&amp;_辅助!$J$2)*(往来单位!$B$8&lt;&gt;"")&gt;0,1,0)</f>
        <v>0</v>
      </c>
    </row>
    <row r="6">
      <c r="A6" s="94">
        <f>IF($Y6=0,"",1)</f>
        <v>1</v>
      </c>
      <c r="B6" s="94" t="str">
        <f t="shared" ref="B6:B13" si="0">IF($Y6=0,"",INDEX(基础资料!$G$5:$G$24,$Y6))</f>
        <v>聂辉个人户</v>
      </c>
      <c r="C6" s="94" t="str">
        <f t="shared" ref="C6:C13" si="9">IF($Y6=0,"",INDEX(基础资料!$I$5:$I$24,$Y6)&amp;"")</f>
        <v>聂辉</v>
      </c>
      <c r="D6" s="21">
        <f t="shared" ref="D6:D13" si="11">IF($Y6=0,"",N(INDEX(基础资料!$K$5:$K$24,$Y6)))</f>
        <v>-237668</v>
      </c>
      <c r="E6" s="21">
        <f t="shared" ref="E6:E13" si="13">IF($Y6=0,"",-SUMIFS(资金流水!$R$6:$R$2005,资金流水!$C$6:$C$2005,$B6,资金流水!$X$6:$X$2005,"&lt;&gt;账户互转",资金流水!$R$6:$R$2005,"&lt;0",资金流水!$S$6:$S$2005,"&gt;="&amp;_辅助!$J$4,资金流水!$S$6:$S$2005,"&lt;="&amp;_辅助!$J$2))</f>
        <v>1200</v>
      </c>
      <c r="F6" s="21">
        <f t="shared" ref="F6:F13" si="15">IF($Y6=0,"",SUMIFS(资金流水!$R$6:$R$2005,资金流水!$C$6:$C$2005,$B6,资金流水!$X$6:$X$2005,"&lt;&gt;账户互转",资金流水!$R$6:$R$2005,"&gt;0",资金流水!$S$6:$S$2005,"&gt;="&amp;_辅助!$J$4,资金流水!$S$6:$S$2005,"&lt;="&amp;_辅助!$J$2))</f>
        <v>0</v>
      </c>
      <c r="G6" s="21">
        <f t="shared" ref="G6:G13" si="17">IF($Y6=0,"",SUMIFS(资金流水!$R$6:$R$2005,资金流水!$C$6:$C$2005,$B6,资金流水!$X$6:$X$2005,"账户互转",资金流水!$R$6:$R$2005,"&gt;0",资金流水!$S$6:$S$2005,"&gt;="&amp;_辅助!$J$4,资金流水!$S$6:$S$2005,"&lt;="&amp;_辅助!$J$2)-SUMIFS(资金流水!$R$6:$R$2005,资金流水!$AD$6:$AD$2005,$B6,资金流水!$X$6:$X$2005,"账户互转",资金流水!$R$6:$R$2005,"&lt;0",资金流水!$S$6:$S$2005,"&gt;="&amp;_辅助!$J$4,资金流水!$S$6:$S$2005,"&lt;="&amp;_辅助!$J$2))</f>
        <v>350000</v>
      </c>
      <c r="H6" s="21">
        <f t="shared" ref="H6:H13" si="19">IF($Y6=0,"",-SUMIFS(资金流水!$R$6:$R$2005,资金流水!$C$6:$C$2005,$B6,资金流水!$X$6:$X$2005,"账户互转",资金流水!$R$6:$R$2005,"&lt;0",资金流水!$S$6:$S$2005,"&gt;="&amp;_辅助!$J$4,资金流水!$S$6:$S$2005,"&lt;="&amp;_辅助!$J$2)+SUMIFS(资金流水!$R$6:$R$2005,资金流水!$AD$6:$AD$2005,$B6,资金流水!$X$6:$X$2005,"账户互转",资金流水!$R$6:$R$2005,"&gt;0",资金流水!$S$6:$S$2005,"&gt;="&amp;_辅助!$J$4,资金流水!$S$6:$S$2005,"&lt;="&amp;_辅助!$J$2))</f>
        <v>223600</v>
      </c>
      <c r="I6" s="21">
        <f t="shared" ref="I6:I13" si="21">IF($Y6=0,"",ROUND(D6-E6+F6+G6-H6,2))</f>
        <v>-112468</v>
      </c>
      <c r="J6" s="21">
        <f t="shared" ref="J6:J13" si="23">IF($Y6=0,"",IFERROR(INDEX(_余额!$E$3:$E$302,MATCH(C6,往来单位!$B$4:$B$303,0)),0))</f>
        <v>10000</v>
      </c>
      <c r="K6" s="20">
        <f t="shared" ref="K6:K13" si="25">IF($Y6=0,"",-I6+J6)</f>
        <v>122468</v>
      </c>
      <c r="L6" s="96" t="str">
        <f t="shared" ref="L6:L13" si="27">IF($Y6=0,"",IF(K6&gt;0,"公司一共欠"&amp;C6&amp;" "&amp;TEXT(K6,"#,##0.00"),IF(K6&lt;0,C6&amp;"手上还有公司的 "&amp;TEXT(-K6,"#,##0.00"),"两清")))</f>
        <v>公司一共欠聂辉 122,468.00</v>
      </c>
      <c r="O6" s="94">
        <f>IF($AC6=0,"",2)</f>
      </c>
      <c r="P6" s="96">
        <f t="shared" si="2"/>
      </c>
      <c r="Q6" s="21">
        <f t="shared" si="3"/>
      </c>
      <c r="R6" s="21">
        <f t="shared" si="4"/>
      </c>
      <c r="S6" s="21">
        <f t="shared" si="5"/>
      </c>
      <c r="T6" s="95">
        <f t="shared" si="6"/>
      </c>
      <c r="U6" s="2">
        <f t="shared" si="7"/>
        <v>0</v>
      </c>
      <c r="V6" s="96">
        <f t="shared" si="8"/>
      </c>
      <c r="Y6" s="2">
        <f>IF(1&gt;$Z$20,0,IFERROR(MATCH(1,$Z$1:$Z$20,0),0))</f>
        <v>5</v>
      </c>
      <c r="Z6" s="2">
        <f>SUM(CA1:CA6)</f>
        <v>2</v>
      </c>
      <c r="AA6" s="2">
        <f>IF(AND(ISNUMBER(资金流水!$B$6),ISNUMBER(资金流水!$S$6),资金流水!$S$6&gt;=_辅助!$J$4,资金流水!$S$6&lt;=_辅助!$J$2,OR(资金流水!$C$6=$C$18,AND(资金流水!$AD$6=$C$18,资金流水!$X$6="账户互转"),AND($E$18&lt;&gt;"",资金流水!$J$6=$E$18,资金流水!$X$6="应付职工薪酬"))),INT(资金流水!$B$6)*10000+1,"")</f>
      </c>
      <c r="AB6" s="2">
        <f>SUM(CB1:CB6)</f>
        <v>0</v>
      </c>
      <c r="AC6" s="2">
        <f>IF(2&gt;$AB$300,0,IFERROR(MATCH(2,$AB$1:$AB$300,0),0))</f>
        <v>0</v>
      </c>
      <c r="CA6" s="2">
        <f>IF(基础资料!$H$10="个人户",1,0)</f>
        <v>1</v>
      </c>
      <c r="CB6" s="2">
        <f>IF(COUNTIFS(资金流水!$J$6:$J$2005,往来单位!$B$9,资金流水!$X$6:$X$2005,"其他应收款",资金流水!$S$6:$S$2005,"&gt;="&amp;_辅助!$J$4,资金流水!$S$6:$S$2005,"&lt;="&amp;_辅助!$J$2)*(往来单位!$B$9&lt;&gt;"")&gt;0,1,0)</f>
        <v>0</v>
      </c>
    </row>
    <row r="7">
      <c r="A7" s="94">
        <f>IF($Y7=0,"",2)</f>
        <v>2</v>
      </c>
      <c r="B7" s="94" t="str">
        <f t="shared" si="0"/>
        <v>王伟个人户</v>
      </c>
      <c r="C7" s="94" t="str">
        <f t="shared" si="9"/>
        <v>王伟</v>
      </c>
      <c r="D7" s="21">
        <f t="shared" si="11"/>
        <v>-190000</v>
      </c>
      <c r="E7" s="21">
        <f t="shared" si="13"/>
        <v>11859.6</v>
      </c>
      <c r="F7" s="21">
        <f t="shared" si="15"/>
        <v>0</v>
      </c>
      <c r="G7" s="21">
        <f t="shared" si="17"/>
        <v>30000</v>
      </c>
      <c r="H7" s="21">
        <f t="shared" si="19"/>
        <v>1500</v>
      </c>
      <c r="I7" s="21">
        <f t="shared" si="21"/>
        <v>-173359.6</v>
      </c>
      <c r="J7" s="21">
        <f t="shared" si="23"/>
        <v>5000</v>
      </c>
      <c r="K7" s="20">
        <f t="shared" si="25"/>
        <v>178359.6</v>
      </c>
      <c r="L7" s="96" t="str">
        <f t="shared" si="27"/>
        <v>公司一共欠王伟 178,359.60</v>
      </c>
      <c r="O7" s="94">
        <f>IF($AC7=0,"",3)</f>
      </c>
      <c r="P7" s="96">
        <f t="shared" si="2"/>
      </c>
      <c r="Q7" s="21">
        <f t="shared" si="3"/>
      </c>
      <c r="R7" s="21">
        <f t="shared" si="4"/>
      </c>
      <c r="S7" s="21">
        <f t="shared" si="5"/>
      </c>
      <c r="T7" s="95">
        <f t="shared" si="6"/>
      </c>
      <c r="U7" s="2">
        <f t="shared" si="7"/>
        <v>0</v>
      </c>
      <c r="V7" s="96">
        <f t="shared" si="8"/>
      </c>
      <c r="Y7" s="2">
        <f>IF(2&gt;$Z$20,0,IFERROR(MATCH(2,$Z$1:$Z$20,0),0))</f>
        <v>6</v>
      </c>
      <c r="Z7" s="2">
        <f>SUM(CA1:CA7)</f>
        <v>3</v>
      </c>
      <c r="AA7" s="2">
        <f>IF(AND(ISNUMBER(资金流水!$B$7),ISNUMBER(资金流水!$S$7),资金流水!$S$7&gt;=_辅助!$J$4,资金流水!$S$7&lt;=_辅助!$J$2,OR(资金流水!$C$7=$C$18,AND(资金流水!$AD$7=$C$18,资金流水!$X$7="账户互转"),AND($E$18&lt;&gt;"",资金流水!$J$7=$E$18,资金流水!$X$7="应付职工薪酬"))),INT(资金流水!$B$7)*10000+2,"")</f>
      </c>
      <c r="AB7" s="2">
        <f>SUM(CB1:CB7)</f>
        <v>0</v>
      </c>
      <c r="AC7" s="2">
        <f>IF(3&gt;$AB$300,0,IFERROR(MATCH(3,$AB$1:$AB$300,0),0))</f>
        <v>0</v>
      </c>
      <c r="CA7" s="2">
        <f>IF(基础资料!$H$11="个人户",1,0)</f>
        <v>1</v>
      </c>
      <c r="CB7" s="2">
        <f>IF(COUNTIFS(资金流水!$J$6:$J$2005,往来单位!$B$10,资金流水!$X$6:$X$2005,"其他应收款",资金流水!$S$6:$S$2005,"&gt;="&amp;_辅助!$J$4,资金流水!$S$6:$S$2005,"&lt;="&amp;_辅助!$J$2)*(往来单位!$B$10&lt;&gt;"")&gt;0,1,0)</f>
        <v>0</v>
      </c>
    </row>
    <row r="8">
      <c r="A8" s="94">
        <f>IF($Y8=0,"",3)</f>
        <v>3</v>
      </c>
      <c r="B8" s="94" t="str">
        <f t="shared" si="0"/>
        <v>张滨个人户</v>
      </c>
      <c r="C8" s="94" t="str">
        <f t="shared" si="9"/>
        <v>张滨</v>
      </c>
      <c r="D8" s="21">
        <f t="shared" si="11"/>
        <v>0</v>
      </c>
      <c r="E8" s="21">
        <f t="shared" si="13"/>
        <v>0</v>
      </c>
      <c r="F8" s="21">
        <f t="shared" si="15"/>
        <v>0</v>
      </c>
      <c r="G8" s="21">
        <f t="shared" si="17"/>
        <v>5000</v>
      </c>
      <c r="H8" s="21">
        <f t="shared" si="19"/>
        <v>2700</v>
      </c>
      <c r="I8" s="21">
        <f t="shared" si="21"/>
        <v>2300</v>
      </c>
      <c r="J8" s="21">
        <f t="shared" si="23"/>
        <v>-12000</v>
      </c>
      <c r="K8" s="20">
        <f t="shared" si="25"/>
        <v>-14300</v>
      </c>
      <c r="L8" s="96" t="str">
        <f t="shared" si="27"/>
        <v>张滨手上还有公司的 14,300.00</v>
      </c>
      <c r="O8" s="94">
        <f>IF($AC8=0,"",4)</f>
      </c>
      <c r="P8" s="96">
        <f t="shared" si="2"/>
      </c>
      <c r="Q8" s="21">
        <f t="shared" si="3"/>
      </c>
      <c r="R8" s="21">
        <f t="shared" si="4"/>
      </c>
      <c r="S8" s="21">
        <f t="shared" si="5"/>
      </c>
      <c r="T8" s="95">
        <f t="shared" si="6"/>
      </c>
      <c r="U8" s="2">
        <f t="shared" si="7"/>
        <v>0</v>
      </c>
      <c r="V8" s="96">
        <f t="shared" si="8"/>
      </c>
      <c r="Y8" s="2">
        <f>IF(3&gt;$Z$20,0,IFERROR(MATCH(3,$Z$1:$Z$20,0),0))</f>
        <v>7</v>
      </c>
      <c r="Z8" s="2">
        <f>SUM(CA1:CA8)</f>
        <v>3</v>
      </c>
      <c r="AA8" s="2">
        <f>IF(AND(ISNUMBER(资金流水!$B$8),ISNUMBER(资金流水!$S$8),资金流水!$S$8&gt;=_辅助!$J$4,资金流水!$S$8&lt;=_辅助!$J$2,OR(资金流水!$C$8=$C$18,AND(资金流水!$AD$8=$C$18,资金流水!$X$8="账户互转"),AND($E$18&lt;&gt;"",资金流水!$J$8=$E$18,资金流水!$X$8="应付职工薪酬"))),INT(资金流水!$B$8)*10000+3,"")</f>
      </c>
      <c r="AB8" s="2">
        <f>SUM(CB1:CB8)</f>
        <v>0</v>
      </c>
      <c r="AC8" s="2">
        <f>IF(4&gt;$AB$300,0,IFERROR(MATCH(4,$AB$1:$AB$300,0),0))</f>
        <v>0</v>
      </c>
      <c r="CA8" s="2">
        <f>IF(基础资料!$H$12="个人户",1,0)</f>
        <v>0</v>
      </c>
      <c r="CB8" s="2">
        <f>IF(COUNTIFS(资金流水!$J$6:$J$2005,往来单位!$B$11,资金流水!$X$6:$X$2005,"其他应收款",资金流水!$S$6:$S$2005,"&gt;="&amp;_辅助!$J$4,资金流水!$S$6:$S$2005,"&lt;="&amp;_辅助!$J$2)*(往来单位!$B$11&lt;&gt;"")&gt;0,1,0)</f>
        <v>0</v>
      </c>
    </row>
    <row r="9">
      <c r="A9" s="94">
        <f>IF($Y9=0,"",4)</f>
      </c>
      <c r="B9" s="94">
        <f t="shared" si="0"/>
      </c>
      <c r="C9" s="94">
        <f t="shared" si="9"/>
      </c>
      <c r="D9" s="21">
        <f t="shared" si="11"/>
      </c>
      <c r="E9" s="21">
        <f t="shared" si="13"/>
      </c>
      <c r="F9" s="21">
        <f t="shared" si="15"/>
      </c>
      <c r="G9" s="21">
        <f t="shared" si="17"/>
      </c>
      <c r="H9" s="21">
        <f t="shared" si="19"/>
      </c>
      <c r="I9" s="21">
        <f t="shared" si="21"/>
      </c>
      <c r="J9" s="21">
        <f t="shared" si="23"/>
      </c>
      <c r="K9" s="20">
        <f t="shared" si="25"/>
      </c>
      <c r="L9" s="96">
        <f t="shared" si="27"/>
      </c>
      <c r="O9" s="94">
        <f>IF($AC9=0,"",5)</f>
      </c>
      <c r="P9" s="96">
        <f t="shared" si="2"/>
      </c>
      <c r="Q9" s="21">
        <f t="shared" si="3"/>
      </c>
      <c r="R9" s="21">
        <f t="shared" si="4"/>
      </c>
      <c r="S9" s="21">
        <f t="shared" si="5"/>
      </c>
      <c r="T9" s="95">
        <f t="shared" si="6"/>
      </c>
      <c r="U9" s="2">
        <f t="shared" si="7"/>
        <v>0</v>
      </c>
      <c r="V9" s="96">
        <f t="shared" si="8"/>
      </c>
      <c r="Y9" s="2">
        <f>IF(4&gt;$Z$20,0,IFERROR(MATCH(4,$Z$1:$Z$20,0),0))</f>
        <v>0</v>
      </c>
      <c r="Z9" s="2">
        <f>SUM(CA1:CA9)</f>
        <v>3</v>
      </c>
      <c r="AA9" s="2">
        <f>IF(AND(ISNUMBER(资金流水!$B$9),ISNUMBER(资金流水!$S$9),资金流水!$S$9&gt;=_辅助!$J$4,资金流水!$S$9&lt;=_辅助!$J$2,OR(资金流水!$C$9=$C$18,AND(资金流水!$AD$9=$C$18,资金流水!$X$9="账户互转"),AND($E$18&lt;&gt;"",资金流水!$J$9=$E$18,资金流水!$X$9="应付职工薪酬"))),INT(资金流水!$B$9)*10000+4,"")</f>
      </c>
      <c r="AB9" s="2">
        <f>SUM(CB1:CB9)</f>
        <v>0</v>
      </c>
      <c r="AC9" s="2">
        <f>IF(5&gt;$AB$300,0,IFERROR(MATCH(5,$AB$1:$AB$300,0),0))</f>
        <v>0</v>
      </c>
      <c r="CA9" s="2">
        <f>IF(基础资料!$H$13="个人户",1,0)</f>
        <v>0</v>
      </c>
      <c r="CB9" s="2">
        <f>IF(COUNTIFS(资金流水!$J$6:$J$2005,往来单位!$B$12,资金流水!$X$6:$X$2005,"其他应收款",资金流水!$S$6:$S$2005,"&gt;="&amp;_辅助!$J$4,资金流水!$S$6:$S$2005,"&lt;="&amp;_辅助!$J$2)*(往来单位!$B$12&lt;&gt;"")&gt;0,1,0)</f>
        <v>0</v>
      </c>
    </row>
    <row r="10">
      <c r="A10" s="94">
        <f>IF($Y10=0,"",5)</f>
      </c>
      <c r="B10" s="94">
        <f t="shared" si="0"/>
      </c>
      <c r="C10" s="94">
        <f t="shared" si="9"/>
      </c>
      <c r="D10" s="21">
        <f t="shared" si="11"/>
      </c>
      <c r="E10" s="21">
        <f t="shared" si="13"/>
      </c>
      <c r="F10" s="21">
        <f t="shared" si="15"/>
      </c>
      <c r="G10" s="21">
        <f t="shared" si="17"/>
      </c>
      <c r="H10" s="21">
        <f t="shared" si="19"/>
      </c>
      <c r="I10" s="21">
        <f t="shared" si="21"/>
      </c>
      <c r="J10" s="21">
        <f t="shared" si="23"/>
      </c>
      <c r="K10" s="20">
        <f t="shared" si="25"/>
      </c>
      <c r="L10" s="96">
        <f t="shared" si="27"/>
      </c>
      <c r="O10" s="94">
        <f>IF($AC10=0,"",6)</f>
      </c>
      <c r="P10" s="96">
        <f t="shared" si="2"/>
      </c>
      <c r="Q10" s="21">
        <f t="shared" si="3"/>
      </c>
      <c r="R10" s="21">
        <f t="shared" si="4"/>
      </c>
      <c r="S10" s="21">
        <f t="shared" si="5"/>
      </c>
      <c r="T10" s="95">
        <f t="shared" si="6"/>
      </c>
      <c r="U10" s="2">
        <f t="shared" si="7"/>
        <v>0</v>
      </c>
      <c r="V10" s="96">
        <f t="shared" si="8"/>
      </c>
      <c r="Y10" s="2">
        <f>IF(5&gt;$Z$20,0,IFERROR(MATCH(5,$Z$1:$Z$20,0),0))</f>
        <v>0</v>
      </c>
      <c r="Z10" s="2">
        <f>SUM(CA1:CA10)</f>
        <v>3</v>
      </c>
      <c r="AA10" s="2">
        <f>IF(AND(ISNUMBER(资金流水!$B$10),ISNUMBER(资金流水!$S$10),资金流水!$S$10&gt;=_辅助!$J$4,资金流水!$S$10&lt;=_辅助!$J$2,OR(资金流水!$C$10=$C$18,AND(资金流水!$AD$10=$C$18,资金流水!$X$10="账户互转"),AND($E$18&lt;&gt;"",资金流水!$J$10=$E$18,资金流水!$X$10="应付职工薪酬"))),INT(资金流水!$B$10)*10000+5,"")</f>
      </c>
      <c r="AB10" s="2">
        <f>SUM(CB1:CB10)</f>
        <v>0</v>
      </c>
      <c r="AC10" s="2">
        <f>IF(6&gt;$AB$300,0,IFERROR(MATCH(6,$AB$1:$AB$300,0),0))</f>
        <v>0</v>
      </c>
      <c r="CA10" s="2">
        <f>IF(基础资料!$H$14="个人户",1,0)</f>
        <v>0</v>
      </c>
      <c r="CB10" s="2">
        <f>IF(COUNTIFS(资金流水!$J$6:$J$2005,往来单位!$B$13,资金流水!$X$6:$X$2005,"其他应收款",资金流水!$S$6:$S$2005,"&gt;="&amp;_辅助!$J$4,资金流水!$S$6:$S$2005,"&lt;="&amp;_辅助!$J$2)*(往来单位!$B$13&lt;&gt;"")&gt;0,1,0)</f>
        <v>0</v>
      </c>
    </row>
    <row r="11">
      <c r="A11" s="94">
        <f>IF($Y11=0,"",6)</f>
      </c>
      <c r="B11" s="94">
        <f t="shared" si="0"/>
      </c>
      <c r="C11" s="94">
        <f t="shared" si="9"/>
      </c>
      <c r="D11" s="21">
        <f t="shared" si="11"/>
      </c>
      <c r="E11" s="21">
        <f t="shared" si="13"/>
      </c>
      <c r="F11" s="21">
        <f t="shared" si="15"/>
      </c>
      <c r="G11" s="21">
        <f t="shared" si="17"/>
      </c>
      <c r="H11" s="21">
        <f t="shared" si="19"/>
      </c>
      <c r="I11" s="21">
        <f t="shared" si="21"/>
      </c>
      <c r="J11" s="21">
        <f t="shared" si="23"/>
      </c>
      <c r="K11" s="20">
        <f t="shared" si="25"/>
      </c>
      <c r="L11" s="96">
        <f t="shared" si="27"/>
      </c>
      <c r="O11" s="94">
        <f>IF($AC11=0,"",7)</f>
      </c>
      <c r="P11" s="96">
        <f t="shared" si="2"/>
      </c>
      <c r="Q11" s="21">
        <f t="shared" si="3"/>
      </c>
      <c r="R11" s="21">
        <f t="shared" si="4"/>
      </c>
      <c r="S11" s="21">
        <f t="shared" si="5"/>
      </c>
      <c r="T11" s="95">
        <f t="shared" si="6"/>
      </c>
      <c r="U11" s="2">
        <f t="shared" si="7"/>
        <v>0</v>
      </c>
      <c r="V11" s="96">
        <f t="shared" si="8"/>
      </c>
      <c r="Y11" s="2">
        <f>IF(6&gt;$Z$20,0,IFERROR(MATCH(6,$Z$1:$Z$20,0),0))</f>
        <v>0</v>
      </c>
      <c r="Z11" s="2">
        <f>SUM(CA1:CA11)</f>
        <v>3</v>
      </c>
      <c r="AA11" s="2">
        <f>IF(AND(ISNUMBER(资金流水!$B$11),ISNUMBER(资金流水!$S$11),资金流水!$S$11&gt;=_辅助!$J$4,资金流水!$S$11&lt;=_辅助!$J$2,OR(资金流水!$C$11=$C$18,AND(资金流水!$AD$11=$C$18,资金流水!$X$11="账户互转"),AND($E$18&lt;&gt;"",资金流水!$J$11=$E$18,资金流水!$X$11="应付职工薪酬"))),INT(资金流水!$B$11)*10000+6,"")</f>
      </c>
      <c r="AB11" s="2">
        <f>SUM(CB1:CB11)</f>
        <v>0</v>
      </c>
      <c r="AC11" s="2">
        <f>IF(7&gt;$AB$300,0,IFERROR(MATCH(7,$AB$1:$AB$300,0),0))</f>
        <v>0</v>
      </c>
      <c r="CA11" s="2">
        <f>IF(基础资料!$H$15="个人户",1,0)</f>
        <v>0</v>
      </c>
      <c r="CB11" s="2">
        <f>IF(COUNTIFS(资金流水!$J$6:$J$2005,往来单位!$B$14,资金流水!$X$6:$X$2005,"其他应收款",资金流水!$S$6:$S$2005,"&gt;="&amp;_辅助!$J$4,资金流水!$S$6:$S$2005,"&lt;="&amp;_辅助!$J$2)*(往来单位!$B$14&lt;&gt;"")&gt;0,1,0)</f>
        <v>0</v>
      </c>
    </row>
    <row r="12">
      <c r="A12" s="94">
        <f>IF($Y12=0,"",7)</f>
      </c>
      <c r="B12" s="94">
        <f t="shared" si="0"/>
      </c>
      <c r="C12" s="94">
        <f t="shared" si="9"/>
      </c>
      <c r="D12" s="21">
        <f t="shared" si="11"/>
      </c>
      <c r="E12" s="21">
        <f t="shared" si="13"/>
      </c>
      <c r="F12" s="21">
        <f t="shared" si="15"/>
      </c>
      <c r="G12" s="21">
        <f t="shared" si="17"/>
      </c>
      <c r="H12" s="21">
        <f t="shared" si="19"/>
      </c>
      <c r="I12" s="21">
        <f t="shared" si="21"/>
      </c>
      <c r="J12" s="21">
        <f t="shared" si="23"/>
      </c>
      <c r="K12" s="20">
        <f t="shared" si="25"/>
      </c>
      <c r="L12" s="96">
        <f t="shared" si="27"/>
      </c>
      <c r="O12" s="94">
        <f>IF($AC12=0,"",8)</f>
      </c>
      <c r="P12" s="96">
        <f t="shared" si="2"/>
      </c>
      <c r="Q12" s="21">
        <f t="shared" si="3"/>
      </c>
      <c r="R12" s="21">
        <f t="shared" si="4"/>
      </c>
      <c r="S12" s="21">
        <f t="shared" si="5"/>
      </c>
      <c r="T12" s="95">
        <f t="shared" si="6"/>
      </c>
      <c r="U12" s="2">
        <f t="shared" si="7"/>
        <v>0</v>
      </c>
      <c r="V12" s="96">
        <f t="shared" si="8"/>
      </c>
      <c r="Y12" s="2">
        <f>IF(7&gt;$Z$20,0,IFERROR(MATCH(7,$Z$1:$Z$20,0),0))</f>
        <v>0</v>
      </c>
      <c r="Z12" s="2">
        <f>SUM(CA1:CA12)</f>
        <v>3</v>
      </c>
      <c r="AA12" s="2">
        <f>IF(AND(ISNUMBER(资金流水!$B$12),ISNUMBER(资金流水!$S$12),资金流水!$S$12&gt;=_辅助!$J$4,资金流水!$S$12&lt;=_辅助!$J$2,OR(资金流水!$C$12=$C$18,AND(资金流水!$AD$12=$C$18,资金流水!$X$12="账户互转"),AND($E$18&lt;&gt;"",资金流水!$J$12=$E$18,资金流水!$X$12="应付职工薪酬"))),INT(资金流水!$B$12)*10000+7,"")</f>
        <v>461500007</v>
      </c>
      <c r="AB12" s="2">
        <f>SUM(CB1:CB12)</f>
        <v>0</v>
      </c>
      <c r="AC12" s="2">
        <f>IF(8&gt;$AB$300,0,IFERROR(MATCH(8,$AB$1:$AB$300,0),0))</f>
        <v>0</v>
      </c>
      <c r="CA12" s="2">
        <f>IF(基础资料!$H$16="个人户",1,0)</f>
        <v>0</v>
      </c>
      <c r="CB12" s="2">
        <f>IF(COUNTIFS(资金流水!$J$6:$J$2005,往来单位!$B$15,资金流水!$X$6:$X$2005,"其他应收款",资金流水!$S$6:$S$2005,"&gt;="&amp;_辅助!$J$4,资金流水!$S$6:$S$2005,"&lt;="&amp;_辅助!$J$2)*(往来单位!$B$15&lt;&gt;"")&gt;0,1,0)</f>
        <v>0</v>
      </c>
    </row>
    <row r="13">
      <c r="A13" s="94">
        <f>IF($Y13=0,"",8)</f>
      </c>
      <c r="B13" s="94">
        <f t="shared" si="0"/>
      </c>
      <c r="C13" s="94">
        <f t="shared" si="9"/>
      </c>
      <c r="D13" s="21">
        <f t="shared" si="11"/>
      </c>
      <c r="E13" s="21">
        <f t="shared" si="13"/>
      </c>
      <c r="F13" s="21">
        <f t="shared" si="15"/>
      </c>
      <c r="G13" s="21">
        <f t="shared" si="17"/>
      </c>
      <c r="H13" s="21">
        <f t="shared" si="19"/>
      </c>
      <c r="I13" s="21">
        <f t="shared" si="21"/>
      </c>
      <c r="J13" s="21">
        <f t="shared" si="23"/>
      </c>
      <c r="K13" s="20">
        <f t="shared" si="25"/>
      </c>
      <c r="L13" s="96">
        <f t="shared" si="27"/>
      </c>
      <c r="O13" s="94">
        <f>IF($AC13=0,"",9)</f>
      </c>
      <c r="P13" s="96">
        <f t="shared" si="2"/>
      </c>
      <c r="Q13" s="21">
        <f t="shared" si="3"/>
      </c>
      <c r="R13" s="21">
        <f t="shared" si="4"/>
      </c>
      <c r="S13" s="21">
        <f t="shared" si="5"/>
      </c>
      <c r="T13" s="95">
        <f t="shared" si="6"/>
      </c>
      <c r="U13" s="2">
        <f t="shared" si="7"/>
        <v>0</v>
      </c>
      <c r="V13" s="96">
        <f t="shared" si="8"/>
      </c>
      <c r="Y13" s="2">
        <f>IF(8&gt;$Z$20,0,IFERROR(MATCH(8,$Z$1:$Z$20,0),0))</f>
        <v>0</v>
      </c>
      <c r="Z13" s="2">
        <f>SUM(CA1:CA13)</f>
        <v>3</v>
      </c>
      <c r="AA13" s="2">
        <f>IF(AND(ISNUMBER(资金流水!$B$13),ISNUMBER(资金流水!$S$13),资金流水!$S$13&gt;=_辅助!$J$4,资金流水!$S$13&lt;=_辅助!$J$2,OR(资金流水!$C$13=$C$18,AND(资金流水!$AD$13=$C$18,资金流水!$X$13="账户互转"),AND($E$18&lt;&gt;"",资金流水!$J$13=$E$18,资金流水!$X$13="应付职工薪酬"))),INT(资金流水!$B$13)*10000+8,"")</f>
        <v>461500008</v>
      </c>
      <c r="AB13" s="2">
        <f>SUM(CB1:CB13)</f>
        <v>0</v>
      </c>
      <c r="AC13" s="2">
        <f>IF(9&gt;$AB$300,0,IFERROR(MATCH(9,$AB$1:$AB$300,0),0))</f>
        <v>0</v>
      </c>
      <c r="CA13" s="2">
        <f>IF(基础资料!$H$17="个人户",1,0)</f>
        <v>0</v>
      </c>
      <c r="CB13" s="2">
        <f>IF(COUNTIFS(资金流水!$J$6:$J$2005,往来单位!$B$16,资金流水!$X$6:$X$2005,"其他应收款",资金流水!$S$6:$S$2005,"&gt;="&amp;_辅助!$J$4,资金流水!$S$6:$S$2005,"&lt;="&amp;_辅助!$J$2)*(往来单位!$B$16&lt;&gt;"")&gt;0,1,0)</f>
        <v>0</v>
      </c>
    </row>
    <row r="14">
      <c r="A14" s="105" t="n"/>
      <c r="B14" s="76" t="inlineStr">
        <is>
          <t>合计</t>
        </is>
      </c>
      <c r="C14" s="105" t="n"/>
      <c r="D14" s="77">
        <f>SUM(D6:D13)</f>
        <v>-427668</v>
      </c>
      <c r="E14" s="77">
        <f>SUM(E6:E13)</f>
        <v>13059.6</v>
      </c>
      <c r="F14" s="77">
        <f>SUM(F6:F13)</f>
        <v>0</v>
      </c>
      <c r="G14" s="77">
        <f>SUM(G6:G13)</f>
        <v>385000</v>
      </c>
      <c r="H14" s="77">
        <f>SUM(H6:H13)</f>
        <v>227800</v>
      </c>
      <c r="I14" s="77">
        <f>SUM(I6:I13)</f>
        <v>-283527.6</v>
      </c>
      <c r="J14" s="77">
        <f>SUM(J6:J13)</f>
        <v>3000</v>
      </c>
      <c r="K14" s="77">
        <f>SUM(K6:K13)</f>
        <v>286527.6</v>
      </c>
      <c r="L14" s="105" t="n"/>
      <c r="M14" s="10" t="n"/>
      <c r="O14" s="94">
        <f>IF($AC14=0,"",10)</f>
      </c>
      <c r="P14" s="96">
        <f t="shared" si="2"/>
      </c>
      <c r="Q14" s="21">
        <f t="shared" si="3"/>
      </c>
      <c r="R14" s="21">
        <f t="shared" si="4"/>
      </c>
      <c r="S14" s="21">
        <f t="shared" si="5"/>
      </c>
      <c r="T14" s="95">
        <f t="shared" si="6"/>
      </c>
      <c r="U14" s="2">
        <f t="shared" si="7"/>
        <v>0</v>
      </c>
      <c r="V14" s="96">
        <f t="shared" si="8"/>
      </c>
      <c r="Z14" s="2">
        <f>SUM(CA1:CA14)</f>
        <v>3</v>
      </c>
      <c r="AA14" s="2">
        <f>IF(AND(ISNUMBER(资金流水!$B$14),ISNUMBER(资金流水!$S$14),资金流水!$S$14&gt;=_辅助!$J$4,资金流水!$S$14&lt;=_辅助!$J$2,OR(资金流水!$C$14=$C$18,AND(资金流水!$AD$14=$C$18,资金流水!$X$14="账户互转"),AND($E$18&lt;&gt;"",资金流水!$J$14=$E$18,资金流水!$X$14="应付职工薪酬"))),INT(资金流水!$B$14)*10000+9,"")</f>
      </c>
      <c r="AB14" s="2">
        <f>SUM(CB1:CB14)</f>
        <v>0</v>
      </c>
      <c r="AC14" s="2">
        <f>IF(10&gt;$AB$300,0,IFERROR(MATCH(10,$AB$1:$AB$300,0),0))</f>
        <v>0</v>
      </c>
      <c r="CA14" s="2">
        <f>IF(基础资料!$H$18="个人户",1,0)</f>
        <v>0</v>
      </c>
      <c r="CB14" s="2">
        <f>IF(COUNTIFS(资金流水!$J$6:$J$2005,往来单位!$B$17,资金流水!$X$6:$X$2005,"其他应收款",资金流水!$S$6:$S$2005,"&gt;="&amp;_辅助!$J$4,资金流水!$S$6:$S$2005,"&lt;="&amp;_辅助!$J$2)*(往来单位!$B$17&lt;&gt;"")&gt;0,1,0)</f>
        <v>0</v>
      </c>
    </row>
    <row r="15">
      <c r="O15" s="94">
        <f>IF($AC15=0,"",11)</f>
      </c>
      <c r="P15" s="96">
        <f t="shared" si="2"/>
      </c>
      <c r="Q15" s="21">
        <f t="shared" si="3"/>
      </c>
      <c r="R15" s="21">
        <f t="shared" si="4"/>
      </c>
      <c r="S15" s="21">
        <f t="shared" si="5"/>
      </c>
      <c r="T15" s="95">
        <f t="shared" si="6"/>
      </c>
      <c r="U15" s="2">
        <f t="shared" si="7"/>
        <v>0</v>
      </c>
      <c r="V15" s="96">
        <f t="shared" si="8"/>
      </c>
      <c r="Z15" s="2">
        <f>SUM(CA1:CA15)</f>
        <v>3</v>
      </c>
      <c r="AA15" s="2">
        <f>IF(AND(ISNUMBER(资金流水!$B$15),ISNUMBER(资金流水!$S$15),资金流水!$S$15&gt;=_辅助!$J$4,资金流水!$S$15&lt;=_辅助!$J$2,OR(资金流水!$C$15=$C$18,AND(资金流水!$AD$15=$C$18,资金流水!$X$15="账户互转"),AND($E$18&lt;&gt;"",资金流水!$J$15=$E$18,资金流水!$X$15="应付职工薪酬"))),INT(资金流水!$B$15)*10000+10,"")</f>
        <v>461550010</v>
      </c>
      <c r="AB15" s="2">
        <f>SUM(CB1:CB15)</f>
        <v>0</v>
      </c>
      <c r="AC15" s="2">
        <f>IF(11&gt;$AB$300,0,IFERROR(MATCH(11,$AB$1:$AB$300,0),0))</f>
        <v>0</v>
      </c>
      <c r="CA15" s="2">
        <f>IF(基础资料!$H$19="个人户",1,0)</f>
        <v>0</v>
      </c>
      <c r="CB15" s="2">
        <f>IF(COUNTIFS(资金流水!$J$6:$J$2005,往来单位!$B$18,资金流水!$X$6:$X$2005,"其他应收款",资金流水!$S$6:$S$2005,"&gt;="&amp;_辅助!$J$4,资金流水!$S$6:$S$2005,"&lt;="&amp;_辅助!$J$2)*(往来单位!$B$18&lt;&gt;"")&gt;0,1,0)</f>
        <v>0</v>
      </c>
    </row>
    <row r="16">
      <c r="O16" s="94">
        <f>IF($AC16=0,"",12)</f>
      </c>
      <c r="P16" s="96">
        <f t="shared" si="2"/>
      </c>
      <c r="Q16" s="21">
        <f t="shared" si="3"/>
      </c>
      <c r="R16" s="21">
        <f t="shared" si="4"/>
      </c>
      <c r="S16" s="21">
        <f t="shared" si="5"/>
      </c>
      <c r="T16" s="95">
        <f t="shared" si="6"/>
      </c>
      <c r="U16" s="2">
        <f t="shared" si="7"/>
        <v>0</v>
      </c>
      <c r="V16" s="96">
        <f t="shared" si="8"/>
      </c>
      <c r="Z16" s="2">
        <f>SUM(CA1:CA16)</f>
        <v>3</v>
      </c>
      <c r="AA16" s="2">
        <f>IF(AND(ISNUMBER(资金流水!$B$16),ISNUMBER(资金流水!$S$16),资金流水!$S$16&gt;=_辅助!$J$4,资金流水!$S$16&lt;=_辅助!$J$2,OR(资金流水!$C$16=$C$18,AND(资金流水!$AD$16=$C$18,资金流水!$X$16="账户互转"),AND($E$18&lt;&gt;"",资金流水!$J$16=$E$18,资金流水!$X$16="应付职工薪酬"))),INT(资金流水!$B$16)*10000+11,"")</f>
      </c>
      <c r="AB16" s="2">
        <f>SUM(CB1:CB16)</f>
        <v>0</v>
      </c>
      <c r="AC16" s="2">
        <f>IF(12&gt;$AB$300,0,IFERROR(MATCH(12,$AB$1:$AB$300,0),0))</f>
        <v>0</v>
      </c>
      <c r="CA16" s="2">
        <f>IF(基础资料!$H$20="个人户",1,0)</f>
        <v>0</v>
      </c>
      <c r="CB16" s="2">
        <f>IF(COUNTIFS(资金流水!$J$6:$J$2005,往来单位!$B$19,资金流水!$X$6:$X$2005,"其他应收款",资金流水!$S$6:$S$2005,"&gt;="&amp;_辅助!$J$4,资金流水!$S$6:$S$2005,"&lt;="&amp;_辅助!$J$2)*(往来单位!$B$19&lt;&gt;"")&gt;0,1,0)</f>
        <v>0</v>
      </c>
    </row>
    <row r="17">
      <c r="A17" s="26" t="inlineStr">
        <is>
          <t>选一个人看明细（跟他有关的每一笔：他个人户记的、别的账户跟他互转的、发给他的工资）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O17" s="12" t="n"/>
      <c r="P17" s="19" t="inlineStr">
        <is>
          <t>建账前没退的（期初）</t>
        </is>
      </c>
      <c r="Q17" s="12" t="n"/>
      <c r="R17" s="12" t="n"/>
      <c r="S17" s="21">
        <f>N(期初余额!$C$69)</f>
        <v>0</v>
      </c>
      <c r="T17" s="12" t="n"/>
      <c r="Z17" s="2">
        <f>SUM(CA1:CA17)</f>
        <v>3</v>
      </c>
      <c r="AA17" s="2">
        <f>IF(AND(ISNUMBER(资金流水!$B$17),ISNUMBER(资金流水!$S$17),资金流水!$S$17&gt;=_辅助!$J$4,资金流水!$S$17&lt;=_辅助!$J$2,OR(资金流水!$C$17=$C$18,AND(资金流水!$AD$17=$C$18,资金流水!$X$17="账户互转"),AND($E$18&lt;&gt;"",资金流水!$J$17=$E$18,资金流水!$X$17="应付职工薪酬"))),INT(资金流水!$B$17)*10000+12,"")</f>
      </c>
      <c r="AB17" s="2">
        <f>SUM(CB1:CB17)</f>
        <v>0</v>
      </c>
      <c r="CA17" s="2">
        <f>IF(基础资料!$H$21="个人户",1,0)</f>
        <v>0</v>
      </c>
      <c r="CB17" s="2">
        <f>IF(COUNTIFS(资金流水!$J$6:$J$2005,往来单位!$B$20,资金流水!$X$6:$X$2005,"其他应收款",资金流水!$S$6:$S$2005,"&gt;="&amp;_辅助!$J$4,资金流水!$S$6:$S$2005,"&lt;="&amp;_辅助!$J$2)*(往来单位!$B$20&lt;&gt;"")&gt;0,1,0)</f>
        <v>0</v>
      </c>
    </row>
    <row r="18">
      <c r="B18" s="4" t="inlineStr">
        <is>
          <t>个人户</t>
        </is>
      </c>
      <c r="C18" s="88" t="inlineStr">
        <is>
          <t>聂辉个人户</t>
        </is>
      </c>
      <c r="D18" s="4" t="inlineStr">
        <is>
          <t>是谁的</t>
        </is>
      </c>
      <c r="E18" s="112" t="str">
        <f>IFERROR(INDEX(基础资料!$I$5:$I$24,MATCH($C$18,基础资料!$G$5:$G$24,0))&amp;"","")</f>
        <v>聂辉</v>
      </c>
      <c r="G18" s="90">
        <f>IF($AA$5&gt;400,"⚠ 有"&amp;$AA$5&amp;"笔，只列前400笔","")</f>
      </c>
      <c r="H18" s="4" t="inlineStr">
        <is>
          <t>期初余额</t>
        </is>
      </c>
      <c r="I18" s="73">
        <f>IFERROR(INDEX(基础资料!$K$5:$K$24,MATCH($C$18,基础资料!$G$5:$G$24,0)),0)</f>
        <v>-237668</v>
      </c>
      <c r="J18" s="4" t="inlineStr">
        <is>
          <t>现在余额</t>
        </is>
      </c>
      <c r="K18" s="93">
        <f>IFERROR(INDEX(_余额!$S$3:$S$22,MATCH($C$18,基础资料!$G$5:$G$24,0)),0)</f>
        <v>-112468</v>
      </c>
      <c r="O18" s="12" t="n"/>
      <c r="P18" s="19" t="inlineStr">
        <is>
          <t>没选「交给谁」的</t>
        </is>
      </c>
      <c r="Q18" s="12" t="n"/>
      <c r="R18" s="12" t="n"/>
      <c r="S18" s="21">
        <f>ROUND(-SUMIFS(资金流水!$R$6:$R$2005,资金流水!$X$6:$X$2005,"其他应收款",资金流水!$S$6:$S$2005,"&gt;="&amp;_辅助!$J$4,资金流水!$S$6:$S$2005,"&lt;="&amp;_辅助!$J$2)-SUM(S5:S16),2)</f>
        <v>0</v>
      </c>
      <c r="T18" s="12" t="n"/>
      <c r="Z18" s="2">
        <f>SUM(CA1:CA18)</f>
        <v>3</v>
      </c>
      <c r="AA18" s="2">
        <f>IF(AND(ISNUMBER(资金流水!$B$18),ISNUMBER(资金流水!$S$18),资金流水!$S$18&gt;=_辅助!$J$4,资金流水!$S$18&lt;=_辅助!$J$2,OR(资金流水!$C$18=$C$18,AND(资金流水!$AD$18=$C$18,资金流水!$X$18="账户互转"),AND($E$18&lt;&gt;"",资金流水!$J$18=$E$18,资金流水!$X$18="应付职工薪酬"))),INT(资金流水!$B$18)*10000+13,"")</f>
      </c>
      <c r="AB18" s="2">
        <f>SUM(CB1:CB18)</f>
        <v>0</v>
      </c>
      <c r="CA18" s="2">
        <f>IF(基础资料!$H$22="个人户",1,0)</f>
        <v>0</v>
      </c>
      <c r="CB18" s="2">
        <f>IF(COUNTIFS(资金流水!$J$6:$J$2005,往来单位!$B$21,资金流水!$X$6:$X$2005,"其他应收款",资金流水!$S$6:$S$2005,"&gt;="&amp;_辅助!$J$4,资金流水!$S$6:$S$2005,"&lt;="&amp;_辅助!$J$2)*(往来单位!$B$21&lt;&gt;"")&gt;0,1,0)</f>
        <v>0</v>
      </c>
    </row>
    <row r="19">
      <c r="O19" s="105" t="n"/>
      <c r="P19" s="107" t="inlineStr">
        <is>
          <t>合计（＝资产负债表里的保证金押金）</t>
        </is>
      </c>
      <c r="Q19" s="105" t="n"/>
      <c r="R19" s="105" t="n"/>
      <c r="S19" s="77">
        <f>SUM(S5:S18)</f>
        <v>0</v>
      </c>
      <c r="T19" s="105" t="n"/>
      <c r="Z19" s="2">
        <f>SUM(CA1:CA19)</f>
        <v>3</v>
      </c>
      <c r="AA19" s="2">
        <f>IF(AND(ISNUMBER(资金流水!$B$19),ISNUMBER(资金流水!$S$19),资金流水!$S$19&gt;=_辅助!$J$4,资金流水!$S$19&lt;=_辅助!$J$2,OR(资金流水!$C$19=$C$18,AND(资金流水!$AD$19=$C$18,资金流水!$X$19="账户互转"),AND($E$18&lt;&gt;"",资金流水!$J$19=$E$18,资金流水!$X$19="应付职工薪酬"))),INT(资金流水!$B$19)*10000+14,"")</f>
        <v>461560014</v>
      </c>
      <c r="AB19" s="2">
        <f>SUM(CB1:CB19)</f>
        <v>0</v>
      </c>
      <c r="CA19" s="2">
        <f>IF(基础资料!$H$23="个人户",1,0)</f>
        <v>0</v>
      </c>
      <c r="CB19" s="2">
        <f>IF(COUNTIFS(资金流水!$J$6:$J$2005,往来单位!$B$22,资金流水!$X$6:$X$2005,"其他应收款",资金流水!$S$6:$S$2005,"&gt;="&amp;_辅助!$J$4,资金流水!$S$6:$S$2005,"&lt;="&amp;_辅助!$J$2)*(往来单位!$B$22&lt;&gt;"")&gt;0,1,0)</f>
        <v>0</v>
      </c>
    </row>
    <row r="20" ht="40" customHeight="1">
      <c r="A20" s="80" t="inlineStr">
        <is>
          <t>序号</t>
        </is>
      </c>
      <c r="B20" s="80" t="inlineStr">
        <is>
          <t>日期</t>
        </is>
      </c>
      <c r="C20" s="80" t="inlineStr">
        <is>
          <t>摘要</t>
        </is>
      </c>
      <c r="D20" s="80" t="inlineStr">
        <is>
          <t>公司转给他</t>
        </is>
      </c>
      <c r="E20" s="80" t="inlineStr">
        <is>
          <t>他转给公司</t>
        </is>
      </c>
      <c r="F20" s="80" t="inlineStr">
        <is>
          <t>他替公司付</t>
        </is>
      </c>
      <c r="G20" s="80" t="inlineStr">
        <is>
          <t>他替公司收</t>
        </is>
      </c>
      <c r="H20" s="80" t="inlineStr">
        <is>
          <t>发给他的工资</t>
        </is>
      </c>
      <c r="I20" s="80" t="inlineStr">
        <is>
          <t>个人户余额
（负＝公司欠他）</t>
        </is>
      </c>
      <c r="J20" s="80" t="inlineStr">
        <is>
          <t>收支类别</t>
        </is>
      </c>
      <c r="K20" s="80" t="inlineStr">
        <is>
          <t>项目</t>
        </is>
      </c>
      <c r="L20" s="80" t="inlineStr">
        <is>
          <t>记在哪个账户</t>
        </is>
      </c>
      <c r="M20" s="80" t="inlineStr">
        <is>
          <t>备注</t>
        </is>
      </c>
      <c r="P20" s="85" t="inlineStr">
        <is>
          <t>投标、履约保证金、押金：流水里类别选「保证金押金」、单位选交给谁；退回来也记这个类别。</t>
        </is>
      </c>
      <c r="Z20" s="2">
        <f>SUM(CA1:CA20)</f>
        <v>3</v>
      </c>
      <c r="AA20" s="2">
        <f>IF(AND(ISNUMBER(资金流水!$B$20),ISNUMBER(资金流水!$S$20),资金流水!$S$20&gt;=_辅助!$J$4,资金流水!$S$20&lt;=_辅助!$J$2,OR(资金流水!$C$20=$C$18,AND(资金流水!$AD$20=$C$18,资金流水!$X$20="账户互转"),AND($E$18&lt;&gt;"",资金流水!$J$20=$E$18,资金流水!$X$20="应付职工薪酬"))),INT(资金流水!$B$20)*10000+15,"")</f>
      </c>
      <c r="AB20" s="2">
        <f>SUM(CB1:CB20)</f>
        <v>0</v>
      </c>
      <c r="CA20" s="2">
        <f>IF(基础资料!$H$24="个人户",1,0)</f>
        <v>0</v>
      </c>
      <c r="CB20" s="2">
        <f>IF(COUNTIFS(资金流水!$J$6:$J$2005,往来单位!$B$23,资金流水!$X$6:$X$2005,"其他应收款",资金流水!$S$6:$S$2005,"&gt;="&amp;_辅助!$J$4,资金流水!$S$6:$S$2005,"&lt;="&amp;_辅助!$J$2)*(往来单位!$B$23&lt;&gt;"")&gt;0,1,0)</f>
        <v>0</v>
      </c>
    </row>
    <row r="21">
      <c r="A21" s="94">
        <f>IF($X21=0,"",1)</f>
        <v>1</v>
      </c>
      <c r="B21" s="95">
        <f t="shared" ref="B21:B420" si="1">IF($X21=0,"",INDEX(资金流水!$B$6:$B$2005,$X21))</f>
        <v>46146.0</v>
      </c>
      <c r="C21" s="96" t="str">
        <f t="shared" ref="C21:C420" si="10">IF($X21=0,"",INDEX(资金流水!$D$6:$D$2005,$X21)&amp;"")</f>
        <v>公司工作餐</v>
      </c>
      <c r="D21" s="21">
        <f t="shared" ref="D21:D420" si="12">IF($X21=0,"",IF(AND((INDEX(资金流水!$C$6:$C$2005,$X21)=$C$18),(INDEX(资金流水!$X$6:$X$2005,$X21)="账户互转")),MAX(INDEX(资金流水!$R$6:$R$2005,$X21),0),IF(AND(INDEX(资金流水!$AD$6:$AD$2005,$X21)=$C$18,(INDEX(资金流水!$X$6:$X$2005,$X21)="账户互转"),NOT((INDEX(资金流水!$C$6:$C$2005,$X21)=$C$18))),MAX(-INDEX(资金流水!$R$6:$R$2005,$X21),0),0)))</f>
        <v>0</v>
      </c>
      <c r="E21" s="21">
        <f t="shared" ref="E21:E420" si="14">IF($X21=0,"",IF(AND((INDEX(资金流水!$C$6:$C$2005,$X21)=$C$18),(INDEX(资金流水!$X$6:$X$2005,$X21)="账户互转")),MAX(-INDEX(资金流水!$R$6:$R$2005,$X21),0),IF(AND(INDEX(资金流水!$AD$6:$AD$2005,$X21)=$C$18,(INDEX(资金流水!$X$6:$X$2005,$X21)="账户互转"),NOT((INDEX(资金流水!$C$6:$C$2005,$X21)=$C$18))),MAX(INDEX(资金流水!$R$6:$R$2005,$X21),0),0)))</f>
        <v>0</v>
      </c>
      <c r="F21" s="21">
        <f t="shared" ref="F21:F420" si="16">IF($X21=0,"",IF(AND((INDEX(资金流水!$C$6:$C$2005,$X21)=$C$18),NOT((INDEX(资金流水!$X$6:$X$2005,$X21)="账户互转"))),MAX(-INDEX(资金流水!$R$6:$R$2005,$X21),0),0))</f>
        <v>590</v>
      </c>
      <c r="G21" s="21">
        <f t="shared" ref="G21:G420" si="18">IF($X21=0,"",IF(AND((INDEX(资金流水!$C$6:$C$2005,$X21)=$C$18),NOT((INDEX(资金流水!$X$6:$X$2005,$X21)="账户互转"))),MAX(INDEX(资金流水!$R$6:$R$2005,$X21),0),0))</f>
        <v>0</v>
      </c>
      <c r="H21" s="21">
        <f t="shared" ref="H21:H420" si="20">IF($X21=0,"",IF(AND(NOT((INDEX(资金流水!$C$6:$C$2005,$X21)=$C$18)),NOT(AND(INDEX(资金流水!$AD$6:$AD$2005,$X21)=$C$18,(INDEX(资金流水!$X$6:$X$2005,$X21)="账户互转"),NOT((INDEX(资金流水!$C$6:$C$2005,$X21)=$C$18)))),INDEX(资金流水!$X$6:$X$2005,$X21)="应付职工薪酬"),-INDEX(资金流水!$R$6:$R$2005,$X21),0))</f>
        <v>0</v>
      </c>
      <c r="I21" s="21">
        <f>IF($X21=0,"",ROUND(N(IFERROR(INDEX(基础资料!$K$5:$K$24,MATCH($C$18,基础资料!$G$5:$G$24,0)),0))+N(D21)-N(E21)-N(F21)+N(G21),2))</f>
        <v>-238258</v>
      </c>
      <c r="J21" s="94" t="str">
        <f t="shared" ref="J21:J420" si="24">IF($X21=0,"",INDEX(资金流水!$I$6:$I$2005,$X21)&amp;"")</f>
        <v>业务招待费</v>
      </c>
      <c r="K21" s="94">
        <f t="shared" ref="K21:K420" si="26">IF($X21=0,"",INDEX(资金流水!$H$6:$H$2005,$X21)&amp;"")</f>
      </c>
      <c r="L21" s="94" t="str">
        <f t="shared" ref="L21:L420" si="28">IF($X21=0,"",INDEX(资金流水!$C$6:$C$2005,$X21)&amp;"")</f>
        <v>聂辉个人户</v>
      </c>
      <c r="M21" s="96">
        <f t="shared" ref="M21:M420" si="29">IF($X21=0,"",INDEX(资金流水!$P$6:$P$2005,$X21)&amp;"")</f>
      </c>
      <c r="X21" s="2">
        <f>IF(1&gt;$AA$5,0,MOD(SMALL($AA$6:$AA$2005,1),10000))</f>
        <v>54</v>
      </c>
      <c r="AA21" s="2">
        <f>IF(AND(ISNUMBER(资金流水!$B$21),ISNUMBER(资金流水!$S$21),资金流水!$S$21&gt;=_辅助!$J$4,资金流水!$S$21&lt;=_辅助!$J$2,OR(资金流水!$C$21=$C$18,AND(资金流水!$AD$21=$C$18,资金流水!$X$21="账户互转"),AND($E$18&lt;&gt;"",资金流水!$J$21=$E$18,资金流水!$X$21="应付职工薪酬"))),INT(资金流水!$B$21)*10000+16,"")</f>
      </c>
      <c r="AB21" s="2">
        <f>SUM(CB1:CB21)</f>
        <v>0</v>
      </c>
      <c r="CB21" s="2">
        <f>IF(COUNTIFS(资金流水!$J$6:$J$2005,往来单位!$B$24,资金流水!$X$6:$X$2005,"其他应收款",资金流水!$S$6:$S$2005,"&gt;="&amp;_辅助!$J$4,资金流水!$S$6:$S$2005,"&lt;="&amp;_辅助!$J$2)*(往来单位!$B$24&lt;&gt;"")&gt;0,1,0)</f>
        <v>0</v>
      </c>
    </row>
    <row r="22">
      <c r="A22" s="94">
        <f>IF($X22=0,"",2)</f>
        <v>2</v>
      </c>
      <c r="B22" s="95">
        <f t="shared" si="1"/>
        <v>46148.0</v>
      </c>
      <c r="C22" s="96" t="str">
        <f t="shared" si="10"/>
        <v>公司工作餐</v>
      </c>
      <c r="D22" s="21">
        <f t="shared" si="12"/>
        <v>0</v>
      </c>
      <c r="E22" s="21">
        <f t="shared" si="14"/>
        <v>0</v>
      </c>
      <c r="F22" s="21">
        <f t="shared" si="16"/>
        <v>320</v>
      </c>
      <c r="G22" s="21">
        <f t="shared" si="18"/>
        <v>0</v>
      </c>
      <c r="H22" s="21">
        <f t="shared" si="20"/>
        <v>0</v>
      </c>
      <c r="I22" s="21">
        <f t="shared" ref="I22:I420" si="22">IF($X22=0,"",ROUND(N(I21)+N(D22)-N(E22)-N(F22)+N(G22),2))</f>
        <v>-238578</v>
      </c>
      <c r="J22" s="94" t="str">
        <f t="shared" si="24"/>
        <v>业务招待费</v>
      </c>
      <c r="K22" s="94">
        <f t="shared" si="26"/>
      </c>
      <c r="L22" s="94" t="str">
        <f t="shared" si="28"/>
        <v>聂辉个人户</v>
      </c>
      <c r="M22" s="96">
        <f t="shared" si="29"/>
      </c>
      <c r="X22" s="2">
        <f>IF(2&gt;$AA$5,0,MOD(SMALL($AA$6:$AA$2005,2),10000))</f>
        <v>55</v>
      </c>
      <c r="AA22" s="2">
        <f>IF(AND(ISNUMBER(资金流水!$B$22),ISNUMBER(资金流水!$S$22),资金流水!$S$22&gt;=_辅助!$J$4,资金流水!$S$22&lt;=_辅助!$J$2,OR(资金流水!$C$22=$C$18,AND(资金流水!$AD$22=$C$18,资金流水!$X$22="账户互转"),AND($E$18&lt;&gt;"",资金流水!$J$22=$E$18,资金流水!$X$22="应付职工薪酬"))),INT(资金流水!$B$22)*10000+17,"")</f>
      </c>
      <c r="AB22" s="2">
        <f>SUM(CB1:CB22)</f>
        <v>0</v>
      </c>
      <c r="CB22" s="2">
        <f>IF(COUNTIFS(资金流水!$J$6:$J$2005,往来单位!$B$25,资金流水!$X$6:$X$2005,"其他应收款",资金流水!$S$6:$S$2005,"&gt;="&amp;_辅助!$J$4,资金流水!$S$6:$S$2005,"&lt;="&amp;_辅助!$J$2)*(往来单位!$B$25&lt;&gt;"")&gt;0,1,0)</f>
        <v>0</v>
      </c>
    </row>
    <row r="23">
      <c r="A23" s="94">
        <f>IF($X23=0,"",3)</f>
        <v>3</v>
      </c>
      <c r="B23" s="95">
        <f t="shared" si="1"/>
        <v>46150.0</v>
      </c>
      <c r="C23" s="96" t="str">
        <f t="shared" si="10"/>
        <v>收到股东借款-聂辉</v>
      </c>
      <c r="D23" s="21">
        <f t="shared" si="12"/>
        <v>0</v>
      </c>
      <c r="E23" s="21">
        <f t="shared" si="14"/>
        <v>10000</v>
      </c>
      <c r="F23" s="21">
        <f t="shared" si="16"/>
        <v>0</v>
      </c>
      <c r="G23" s="21">
        <f t="shared" si="18"/>
        <v>0</v>
      </c>
      <c r="H23" s="21">
        <f t="shared" si="20"/>
        <v>0</v>
      </c>
      <c r="I23" s="21">
        <f t="shared" si="22"/>
        <v>-248578</v>
      </c>
      <c r="J23" s="94" t="str">
        <f t="shared" si="24"/>
        <v>账户互转</v>
      </c>
      <c r="K23" s="94">
        <f t="shared" si="26"/>
      </c>
      <c r="L23" s="94" t="str">
        <f t="shared" si="28"/>
        <v>九江银行</v>
      </c>
      <c r="M23" s="96">
        <f t="shared" si="29"/>
      </c>
      <c r="X23" s="2">
        <f>IF(3&gt;$AA$5,0,MOD(SMALL($AA$6:$AA$2005,3),10000))</f>
        <v>7</v>
      </c>
      <c r="AA23" s="2">
        <f>IF(AND(ISNUMBER(资金流水!$B$23),ISNUMBER(资金流水!$S$23),资金流水!$S$23&gt;=_辅助!$J$4,资金流水!$S$23&lt;=_辅助!$J$2,OR(资金流水!$C$23=$C$18,AND(资金流水!$AD$23=$C$18,资金流水!$X$23="账户互转"),AND($E$18&lt;&gt;"",资金流水!$J$23=$E$18,资金流水!$X$23="应付职工薪酬"))),INT(资金流水!$B$23)*10000+18,"")</f>
        <v>461610018</v>
      </c>
      <c r="AB23" s="2">
        <f>SUM(CB1:CB23)</f>
        <v>0</v>
      </c>
      <c r="CB23" s="2">
        <f>IF(COUNTIFS(资金流水!$J$6:$J$2005,往来单位!$B$26,资金流水!$X$6:$X$2005,"其他应收款",资金流水!$S$6:$S$2005,"&gt;="&amp;_辅助!$J$4,资金流水!$S$6:$S$2005,"&lt;="&amp;_辅助!$J$2)*(往来单位!$B$26&lt;&gt;"")&gt;0,1,0)</f>
        <v>0</v>
      </c>
    </row>
    <row r="24">
      <c r="A24" s="94">
        <f>IF($X24=0,"",4)</f>
        <v>4</v>
      </c>
      <c r="B24" s="95">
        <f t="shared" si="1"/>
        <v>46150.0</v>
      </c>
      <c r="C24" s="96" t="str">
        <f t="shared" si="10"/>
        <v>收到股东借款-聂辉</v>
      </c>
      <c r="D24" s="21">
        <f t="shared" si="12"/>
        <v>0</v>
      </c>
      <c r="E24" s="21">
        <f t="shared" si="14"/>
        <v>2000</v>
      </c>
      <c r="F24" s="21">
        <f t="shared" si="16"/>
        <v>0</v>
      </c>
      <c r="G24" s="21">
        <f t="shared" si="18"/>
        <v>0</v>
      </c>
      <c r="H24" s="21">
        <f t="shared" si="20"/>
        <v>0</v>
      </c>
      <c r="I24" s="21">
        <f t="shared" si="22"/>
        <v>-250578</v>
      </c>
      <c r="J24" s="94" t="str">
        <f t="shared" si="24"/>
        <v>账户互转</v>
      </c>
      <c r="K24" s="94">
        <f t="shared" si="26"/>
      </c>
      <c r="L24" s="94" t="str">
        <f t="shared" si="28"/>
        <v>九江银行</v>
      </c>
      <c r="M24" s="96">
        <f t="shared" si="29"/>
      </c>
      <c r="X24" s="2">
        <f>IF(4&gt;$AA$5,0,MOD(SMALL($AA$6:$AA$2005,4),10000))</f>
        <v>8</v>
      </c>
      <c r="AA24" s="2">
        <f>IF(AND(ISNUMBER(资金流水!$B$24),ISNUMBER(资金流水!$S$24),资金流水!$S$24&gt;=_辅助!$J$4,资金流水!$S$24&lt;=_辅助!$J$2,OR(资金流水!$C$24=$C$18,AND(资金流水!$AD$24=$C$18,资金流水!$X$24="账户互转"),AND($E$18&lt;&gt;"",资金流水!$J$24=$E$18,资金流水!$X$24="应付职工薪酬"))),INT(资金流水!$B$24)*10000+19,"")</f>
      </c>
      <c r="AB24" s="2">
        <f>SUM(CB1:CB24)</f>
        <v>0</v>
      </c>
      <c r="CB24" s="2">
        <f>IF(COUNTIFS(资金流水!$J$6:$J$2005,往来单位!$B$27,资金流水!$X$6:$X$2005,"其他应收款",资金流水!$S$6:$S$2005,"&gt;="&amp;_辅助!$J$4,资金流水!$S$6:$S$2005,"&lt;="&amp;_辅助!$J$2)*(往来单位!$B$27&lt;&gt;"")&gt;0,1,0)</f>
        <v>0</v>
      </c>
    </row>
    <row r="25">
      <c r="A25" s="94">
        <f>IF($X25=0,"",5)</f>
        <v>5</v>
      </c>
      <c r="B25" s="95">
        <f t="shared" si="1"/>
        <v>46151.0</v>
      </c>
      <c r="C25" s="96" t="str">
        <f t="shared" si="10"/>
        <v>公司工作餐</v>
      </c>
      <c r="D25" s="21">
        <f t="shared" si="12"/>
        <v>0</v>
      </c>
      <c r="E25" s="21">
        <f t="shared" si="14"/>
        <v>0</v>
      </c>
      <c r="F25" s="21">
        <f t="shared" si="16"/>
        <v>290</v>
      </c>
      <c r="G25" s="21">
        <f t="shared" si="18"/>
        <v>0</v>
      </c>
      <c r="H25" s="21">
        <f t="shared" si="20"/>
        <v>0</v>
      </c>
      <c r="I25" s="21">
        <f t="shared" si="22"/>
        <v>-250868</v>
      </c>
      <c r="J25" s="94" t="str">
        <f t="shared" si="24"/>
        <v>业务招待费</v>
      </c>
      <c r="K25" s="94">
        <f t="shared" si="26"/>
      </c>
      <c r="L25" s="94" t="str">
        <f t="shared" si="28"/>
        <v>聂辉个人户</v>
      </c>
      <c r="M25" s="96">
        <f t="shared" si="29"/>
      </c>
      <c r="X25" s="2">
        <f>IF(5&gt;$AA$5,0,MOD(SMALL($AA$6:$AA$2005,5),10000))</f>
        <v>56</v>
      </c>
      <c r="AA25" s="2">
        <f>IF(AND(ISNUMBER(资金流水!$B$25),ISNUMBER(资金流水!$S$25),资金流水!$S$25&gt;=_辅助!$J$4,资金流水!$S$25&lt;=_辅助!$J$2,OR(资金流水!$C$25=$C$18,AND(资金流水!$AD$25=$C$18,资金流水!$X$25="账户互转"),AND($E$18&lt;&gt;"",资金流水!$J$25=$E$18,资金流水!$X$25="应付职工薪酬"))),INT(资金流水!$B$25)*10000+20,"")</f>
      </c>
      <c r="AB25" s="2">
        <f>SUM(CB1:CB25)</f>
        <v>0</v>
      </c>
      <c r="CB25" s="2">
        <f>IF(COUNTIFS(资金流水!$J$6:$J$2005,往来单位!$B$28,资金流水!$X$6:$X$2005,"其他应收款",资金流水!$S$6:$S$2005,"&gt;="&amp;_辅助!$J$4,资金流水!$S$6:$S$2005,"&lt;="&amp;_辅助!$J$2)*(往来单位!$B$28&lt;&gt;"")&gt;0,1,0)</f>
        <v>0</v>
      </c>
    </row>
    <row r="26">
      <c r="A26" s="94">
        <f>IF($X26=0,"",6)</f>
        <v>6</v>
      </c>
      <c r="B26" s="95">
        <f t="shared" si="1"/>
        <v>46155.0</v>
      </c>
      <c r="C26" s="96" t="str">
        <f t="shared" si="10"/>
        <v>收到股东借款-聂辉</v>
      </c>
      <c r="D26" s="21">
        <f t="shared" si="12"/>
        <v>0</v>
      </c>
      <c r="E26" s="21">
        <f t="shared" si="14"/>
        <v>10000</v>
      </c>
      <c r="F26" s="21">
        <f t="shared" si="16"/>
        <v>0</v>
      </c>
      <c r="G26" s="21">
        <f t="shared" si="18"/>
        <v>0</v>
      </c>
      <c r="H26" s="21">
        <f t="shared" si="20"/>
        <v>0</v>
      </c>
      <c r="I26" s="21">
        <f t="shared" si="22"/>
        <v>-260868</v>
      </c>
      <c r="J26" s="94" t="str">
        <f t="shared" si="24"/>
        <v>账户互转</v>
      </c>
      <c r="K26" s="94">
        <f t="shared" si="26"/>
      </c>
      <c r="L26" s="94" t="str">
        <f t="shared" si="28"/>
        <v>九江银行</v>
      </c>
      <c r="M26" s="96">
        <f t="shared" si="29"/>
      </c>
      <c r="X26" s="2">
        <f>IF(6&gt;$AA$5,0,MOD(SMALL($AA$6:$AA$2005,6),10000))</f>
        <v>10</v>
      </c>
      <c r="AA26" s="2">
        <f>IF(AND(ISNUMBER(资金流水!$B$26),ISNUMBER(资金流水!$S$26),资金流水!$S$26&gt;=_辅助!$J$4,资金流水!$S$26&lt;=_辅助!$J$2,OR(资金流水!$C$26=$C$18,AND(资金流水!$AD$26=$C$18,资金流水!$X$26="账户互转"),AND($E$18&lt;&gt;"",资金流水!$J$26=$E$18,资金流水!$X$26="应付职工薪酬"))),INT(资金流水!$B$26)*10000+21,"")</f>
      </c>
      <c r="AB26" s="2">
        <f>SUM(CB1:CB26)</f>
        <v>0</v>
      </c>
      <c r="CB26" s="2">
        <f>IF(COUNTIFS(资金流水!$J$6:$J$2005,往来单位!$B$29,资金流水!$X$6:$X$2005,"其他应收款",资金流水!$S$6:$S$2005,"&gt;="&amp;_辅助!$J$4,资金流水!$S$6:$S$2005,"&lt;="&amp;_辅助!$J$2)*(往来单位!$B$29&lt;&gt;"")&gt;0,1,0)</f>
        <v>0</v>
      </c>
    </row>
    <row r="27">
      <c r="A27" s="94">
        <f>IF($X27=0,"",7)</f>
        <v>7</v>
      </c>
      <c r="B27" s="95">
        <f t="shared" si="1"/>
        <v>46156.0</v>
      </c>
      <c r="C27" s="96" t="str">
        <f t="shared" si="10"/>
        <v>收到股东借款-聂辉</v>
      </c>
      <c r="D27" s="21">
        <f t="shared" si="12"/>
        <v>0</v>
      </c>
      <c r="E27" s="21">
        <f t="shared" si="14"/>
        <v>40000</v>
      </c>
      <c r="F27" s="21">
        <f t="shared" si="16"/>
        <v>0</v>
      </c>
      <c r="G27" s="21">
        <f t="shared" si="18"/>
        <v>0</v>
      </c>
      <c r="H27" s="21">
        <f t="shared" si="20"/>
        <v>0</v>
      </c>
      <c r="I27" s="21">
        <f t="shared" si="22"/>
        <v>-300868</v>
      </c>
      <c r="J27" s="94" t="str">
        <f t="shared" si="24"/>
        <v>账户互转</v>
      </c>
      <c r="K27" s="94">
        <f t="shared" si="26"/>
      </c>
      <c r="L27" s="94" t="str">
        <f t="shared" si="28"/>
        <v>九江银行</v>
      </c>
      <c r="M27" s="96">
        <f t="shared" si="29"/>
      </c>
      <c r="X27" s="2">
        <f>IF(7&gt;$AA$5,0,MOD(SMALL($AA$6:$AA$2005,7),10000))</f>
        <v>14</v>
      </c>
      <c r="AA27" s="2">
        <f>IF(AND(ISNUMBER(资金流水!$B$27),ISNUMBER(资金流水!$S$27),资金流水!$S$27&gt;=_辅助!$J$4,资金流水!$S$27&lt;=_辅助!$J$2,OR(资金流水!$C$27=$C$18,AND(资金流水!$AD$27=$C$18,资金流水!$X$27="账户互转"),AND($E$18&lt;&gt;"",资金流水!$J$27=$E$18,资金流水!$X$27="应付职工薪酬"))),INT(资金流水!$B$27)*10000+22,"")</f>
        <v>461650022</v>
      </c>
      <c r="AB27" s="2">
        <f>SUM(CB1:CB27)</f>
        <v>0</v>
      </c>
      <c r="CB27" s="2">
        <f>IF(COUNTIFS(资金流水!$J$6:$J$2005,往来单位!$B$30,资金流水!$X$6:$X$2005,"其他应收款",资金流水!$S$6:$S$2005,"&gt;="&amp;_辅助!$J$4,资金流水!$S$6:$S$2005,"&lt;="&amp;_辅助!$J$2)*(往来单位!$B$30&lt;&gt;"")&gt;0,1,0)</f>
        <v>0</v>
      </c>
    </row>
    <row r="28">
      <c r="A28" s="94">
        <f>IF($X28=0,"",8)</f>
        <v>8</v>
      </c>
      <c r="B28" s="95">
        <f t="shared" si="1"/>
        <v>46161.0</v>
      </c>
      <c r="C28" s="96" t="str">
        <f t="shared" si="10"/>
        <v>收到股东借款-聂辉</v>
      </c>
      <c r="D28" s="21">
        <f t="shared" si="12"/>
        <v>0</v>
      </c>
      <c r="E28" s="21">
        <f t="shared" si="14"/>
        <v>90000</v>
      </c>
      <c r="F28" s="21">
        <f t="shared" si="16"/>
        <v>0</v>
      </c>
      <c r="G28" s="21">
        <f t="shared" si="18"/>
        <v>0</v>
      </c>
      <c r="H28" s="21">
        <f t="shared" si="20"/>
        <v>0</v>
      </c>
      <c r="I28" s="21">
        <f t="shared" si="22"/>
        <v>-390868</v>
      </c>
      <c r="J28" s="94" t="str">
        <f t="shared" si="24"/>
        <v>账户互转</v>
      </c>
      <c r="K28" s="94">
        <f t="shared" si="26"/>
      </c>
      <c r="L28" s="94" t="str">
        <f t="shared" si="28"/>
        <v>九江银行</v>
      </c>
      <c r="M28" s="96">
        <f t="shared" si="29"/>
      </c>
      <c r="X28" s="2">
        <f>IF(8&gt;$AA$5,0,MOD(SMALL($AA$6:$AA$2005,8),10000))</f>
        <v>18</v>
      </c>
      <c r="AA28" s="2">
        <f>IF(AND(ISNUMBER(资金流水!$B$28),ISNUMBER(资金流水!$S$28),资金流水!$S$28&gt;=_辅助!$J$4,资金流水!$S$28&lt;=_辅助!$J$2,OR(资金流水!$C$28=$C$18,AND(资金流水!$AD$28=$C$18,资金流水!$X$28="账户互转"),AND($E$18&lt;&gt;"",资金流水!$J$28=$E$18,资金流水!$X$28="应付职工薪酬"))),INT(资金流水!$B$28)*10000+23,"")</f>
        <v>461650023</v>
      </c>
      <c r="AB28" s="2">
        <f>SUM(CB1:CB28)</f>
        <v>0</v>
      </c>
      <c r="CB28" s="2">
        <f>IF(COUNTIFS(资金流水!$J$6:$J$2005,往来单位!$B$31,资金流水!$X$6:$X$2005,"其他应收款",资金流水!$S$6:$S$2005,"&gt;="&amp;_辅助!$J$4,资金流水!$S$6:$S$2005,"&lt;="&amp;_辅助!$J$2)*(往来单位!$B$31&lt;&gt;"")&gt;0,1,0)</f>
        <v>0</v>
      </c>
    </row>
    <row r="29">
      <c r="A29" s="94">
        <f>IF($X29=0,"",9)</f>
        <v>9</v>
      </c>
      <c r="B29" s="95">
        <f t="shared" si="1"/>
        <v>46165.0</v>
      </c>
      <c r="C29" s="96" t="str">
        <f t="shared" si="10"/>
        <v>归还股东个人借款-聂辉</v>
      </c>
      <c r="D29" s="21">
        <f t="shared" si="12"/>
        <v>10000</v>
      </c>
      <c r="E29" s="21">
        <f t="shared" si="14"/>
        <v>0</v>
      </c>
      <c r="F29" s="21">
        <f t="shared" si="16"/>
        <v>0</v>
      </c>
      <c r="G29" s="21">
        <f t="shared" si="18"/>
        <v>0</v>
      </c>
      <c r="H29" s="21">
        <f t="shared" si="20"/>
        <v>0</v>
      </c>
      <c r="I29" s="21">
        <f t="shared" si="22"/>
        <v>-380868</v>
      </c>
      <c r="J29" s="94" t="str">
        <f t="shared" si="24"/>
        <v>账户互转</v>
      </c>
      <c r="K29" s="94">
        <f t="shared" si="26"/>
      </c>
      <c r="L29" s="94" t="str">
        <f t="shared" si="28"/>
        <v>九江银行</v>
      </c>
      <c r="M29" s="96">
        <f t="shared" si="29"/>
      </c>
      <c r="X29" s="2">
        <f>IF(9&gt;$AA$5,0,MOD(SMALL($AA$6:$AA$2005,9),10000))</f>
        <v>22</v>
      </c>
      <c r="AA29" s="2">
        <f>IF(AND(ISNUMBER(资金流水!$B$29),ISNUMBER(资金流水!$S$29),资金流水!$S$29&gt;=_辅助!$J$4,资金流水!$S$29&lt;=_辅助!$J$2,OR(资金流水!$C$29=$C$18,AND(资金流水!$AD$29=$C$18,资金流水!$X$29="账户互转"),AND($E$18&lt;&gt;"",资金流水!$J$29=$E$18,资金流水!$X$29="应付职工薪酬"))),INT(资金流水!$B$29)*10000+24,"")</f>
      </c>
      <c r="AB29" s="2">
        <f>SUM(CB1:CB29)</f>
        <v>0</v>
      </c>
      <c r="CB29" s="2">
        <f>IF(COUNTIFS(资金流水!$J$6:$J$2005,往来单位!$B$32,资金流水!$X$6:$X$2005,"其他应收款",资金流水!$S$6:$S$2005,"&gt;="&amp;_辅助!$J$4,资金流水!$S$6:$S$2005,"&lt;="&amp;_辅助!$J$2)*(往来单位!$B$32&lt;&gt;"")&gt;0,1,0)</f>
        <v>0</v>
      </c>
    </row>
    <row r="30">
      <c r="A30" s="94">
        <f>IF($X30=0,"",10)</f>
        <v>10</v>
      </c>
      <c r="B30" s="95">
        <f t="shared" si="1"/>
        <v>46165.0</v>
      </c>
      <c r="C30" s="96" t="str">
        <f t="shared" si="10"/>
        <v>归还股东个人借款-聂辉</v>
      </c>
      <c r="D30" s="21">
        <f t="shared" si="12"/>
        <v>80000</v>
      </c>
      <c r="E30" s="21">
        <f t="shared" si="14"/>
        <v>0</v>
      </c>
      <c r="F30" s="21">
        <f t="shared" si="16"/>
        <v>0</v>
      </c>
      <c r="G30" s="21">
        <f t="shared" si="18"/>
        <v>0</v>
      </c>
      <c r="H30" s="21">
        <f t="shared" si="20"/>
        <v>0</v>
      </c>
      <c r="I30" s="21">
        <f t="shared" si="22"/>
        <v>-300868</v>
      </c>
      <c r="J30" s="94" t="str">
        <f t="shared" si="24"/>
        <v>账户互转</v>
      </c>
      <c r="K30" s="94">
        <f t="shared" si="26"/>
      </c>
      <c r="L30" s="94" t="str">
        <f t="shared" si="28"/>
        <v>九江银行</v>
      </c>
      <c r="M30" s="96">
        <f t="shared" si="29"/>
      </c>
      <c r="X30" s="2">
        <f>IF(10&gt;$AA$5,0,MOD(SMALL($AA$6:$AA$2005,10),10000))</f>
        <v>23</v>
      </c>
      <c r="AA30" s="2">
        <f>IF(AND(ISNUMBER(资金流水!$B$30),ISNUMBER(资金流水!$S$30),资金流水!$S$30&gt;=_辅助!$J$4,资金流水!$S$30&lt;=_辅助!$J$2,OR(资金流水!$C$30=$C$18,AND(资金流水!$AD$30=$C$18,资金流水!$X$30="账户互转"),AND($E$18&lt;&gt;"",资金流水!$J$30=$E$18,资金流水!$X$30="应付职工薪酬"))),INT(资金流水!$B$30)*10000+25,"")</f>
      </c>
      <c r="AB30" s="2">
        <f>SUM(CB1:CB30)</f>
        <v>0</v>
      </c>
      <c r="CB30" s="2">
        <f>IF(COUNTIFS(资金流水!$J$6:$J$2005,往来单位!$B$33,资金流水!$X$6:$X$2005,"其他应收款",资金流水!$S$6:$S$2005,"&gt;="&amp;_辅助!$J$4,资金流水!$S$6:$S$2005,"&lt;="&amp;_辅助!$J$2)*(往来单位!$B$33&lt;&gt;"")&gt;0,1,0)</f>
        <v>0</v>
      </c>
    </row>
    <row r="31">
      <c r="A31" s="94">
        <f>IF($X31=0,"",11)</f>
        <v>11</v>
      </c>
      <c r="B31" s="95">
        <f t="shared" si="1"/>
        <v>46184.0</v>
      </c>
      <c r="C31" s="96" t="str">
        <f t="shared" si="10"/>
        <v>聂辉个人借款</v>
      </c>
      <c r="D31" s="21">
        <f t="shared" si="12"/>
        <v>0</v>
      </c>
      <c r="E31" s="21">
        <f t="shared" si="14"/>
        <v>2000</v>
      </c>
      <c r="F31" s="21">
        <f t="shared" si="16"/>
        <v>0</v>
      </c>
      <c r="G31" s="21">
        <f t="shared" si="18"/>
        <v>0</v>
      </c>
      <c r="H31" s="21">
        <f t="shared" si="20"/>
        <v>0</v>
      </c>
      <c r="I31" s="21">
        <f t="shared" si="22"/>
        <v>-302868</v>
      </c>
      <c r="J31" s="94" t="str">
        <f t="shared" si="24"/>
        <v>账户互转</v>
      </c>
      <c r="K31" s="94">
        <f t="shared" si="26"/>
      </c>
      <c r="L31" s="94" t="str">
        <f t="shared" si="28"/>
        <v>九江银行</v>
      </c>
      <c r="M31" s="96">
        <f t="shared" si="29"/>
      </c>
      <c r="X31" s="2">
        <f>IF(11&gt;$AA$5,0,MOD(SMALL($AA$6:$AA$2005,11),10000))</f>
        <v>101</v>
      </c>
      <c r="AA31" s="2">
        <f>IF(AND(ISNUMBER(资金流水!$B$31),ISNUMBER(资金流水!$S$31),资金流水!$S$31&gt;=_辅助!$J$4,资金流水!$S$31&lt;=_辅助!$J$2,OR(资金流水!$C$31=$C$18,AND(资金流水!$AD$31=$C$18,资金流水!$X$31="账户互转"),AND($E$18&lt;&gt;"",资金流水!$J$31=$E$18,资金流水!$X$31="应付职工薪酬"))),INT(资金流水!$B$31)*10000+26,"")</f>
      </c>
      <c r="AB31" s="2">
        <f>SUM(CB1:CB31)</f>
        <v>0</v>
      </c>
      <c r="CB31" s="2">
        <f>IF(COUNTIFS(资金流水!$J$6:$J$2005,往来单位!$B$34,资金流水!$X$6:$X$2005,"其他应收款",资金流水!$S$6:$S$2005,"&gt;="&amp;_辅助!$J$4,资金流水!$S$6:$S$2005,"&lt;="&amp;_辅助!$J$2)*(往来单位!$B$34&lt;&gt;"")&gt;0,1,0)</f>
        <v>0</v>
      </c>
    </row>
    <row r="32">
      <c r="A32" s="94">
        <f>IF($X32=0,"",12)</f>
        <v>12</v>
      </c>
      <c r="B32" s="95">
        <f t="shared" si="1"/>
        <v>46188.0</v>
      </c>
      <c r="C32" s="96" t="str">
        <f t="shared" si="10"/>
        <v>聂辉个人借款</v>
      </c>
      <c r="D32" s="21">
        <f t="shared" si="12"/>
        <v>0</v>
      </c>
      <c r="E32" s="21">
        <f t="shared" si="14"/>
        <v>2000</v>
      </c>
      <c r="F32" s="21">
        <f t="shared" si="16"/>
        <v>0</v>
      </c>
      <c r="G32" s="21">
        <f t="shared" si="18"/>
        <v>0</v>
      </c>
      <c r="H32" s="21">
        <f t="shared" si="20"/>
        <v>0</v>
      </c>
      <c r="I32" s="21">
        <f t="shared" si="22"/>
        <v>-304868</v>
      </c>
      <c r="J32" s="94" t="str">
        <f t="shared" si="24"/>
        <v>账户互转</v>
      </c>
      <c r="K32" s="94">
        <f t="shared" si="26"/>
      </c>
      <c r="L32" s="94" t="str">
        <f t="shared" si="28"/>
        <v>九江银行</v>
      </c>
      <c r="M32" s="96">
        <f t="shared" si="29"/>
      </c>
      <c r="X32" s="2">
        <f>IF(12&gt;$AA$5,0,MOD(SMALL($AA$6:$AA$2005,12),10000))</f>
        <v>103</v>
      </c>
      <c r="AA32" s="2">
        <f>IF(AND(ISNUMBER(资金流水!$B$32),ISNUMBER(资金流水!$S$32),资金流水!$S$32&gt;=_辅助!$J$4,资金流水!$S$32&lt;=_辅助!$J$2,OR(资金流水!$C$32=$C$18,AND(资金流水!$AD$32=$C$18,资金流水!$X$32="账户互转"),AND($E$18&lt;&gt;"",资金流水!$J$32=$E$18,资金流水!$X$32="应付职工薪酬"))),INT(资金流水!$B$32)*10000+27,"")</f>
      </c>
      <c r="AB32" s="2">
        <f>SUM(CB1:CB32)</f>
        <v>0</v>
      </c>
      <c r="CB32" s="2">
        <f>IF(COUNTIFS(资金流水!$J$6:$J$2005,往来单位!$B$35,资金流水!$X$6:$X$2005,"其他应收款",资金流水!$S$6:$S$2005,"&gt;="&amp;_辅助!$J$4,资金流水!$S$6:$S$2005,"&lt;="&amp;_辅助!$J$2)*(往来单位!$B$35&lt;&gt;"")&gt;0,1,0)</f>
        <v>0</v>
      </c>
    </row>
    <row r="33">
      <c r="A33" s="94">
        <f>IF($X33=0,"",13)</f>
        <v>13</v>
      </c>
      <c r="B33" s="95">
        <f t="shared" si="1"/>
        <v>46191.0</v>
      </c>
      <c r="C33" s="96" t="str">
        <f t="shared" si="10"/>
        <v>聂辉个人借款</v>
      </c>
      <c r="D33" s="21">
        <f t="shared" si="12"/>
        <v>0</v>
      </c>
      <c r="E33" s="21">
        <f t="shared" si="14"/>
        <v>5000</v>
      </c>
      <c r="F33" s="21">
        <f t="shared" si="16"/>
        <v>0</v>
      </c>
      <c r="G33" s="21">
        <f t="shared" si="18"/>
        <v>0</v>
      </c>
      <c r="H33" s="21">
        <f t="shared" si="20"/>
        <v>0</v>
      </c>
      <c r="I33" s="21">
        <f t="shared" si="22"/>
        <v>-309868</v>
      </c>
      <c r="J33" s="94" t="str">
        <f t="shared" si="24"/>
        <v>账户互转</v>
      </c>
      <c r="K33" s="94">
        <f t="shared" si="26"/>
      </c>
      <c r="L33" s="94" t="str">
        <f t="shared" si="28"/>
        <v>九江银行</v>
      </c>
      <c r="M33" s="96">
        <f t="shared" si="29"/>
      </c>
      <c r="X33" s="2">
        <f>IF(13&gt;$AA$5,0,MOD(SMALL($AA$6:$AA$2005,13),10000))</f>
        <v>108</v>
      </c>
      <c r="AA33" s="2">
        <f>IF(AND(ISNUMBER(资金流水!$B$33),ISNUMBER(资金流水!$S$33),资金流水!$S$33&gt;=_辅助!$J$4,资金流水!$S$33&lt;=_辅助!$J$2,OR(资金流水!$C$33=$C$18,AND(资金流水!$AD$33=$C$18,资金流水!$X$33="账户互转"),AND($E$18&lt;&gt;"",资金流水!$J$33=$E$18,资金流水!$X$33="应付职工薪酬"))),INT(资金流水!$B$33)*10000+28,"")</f>
      </c>
      <c r="AB33" s="2">
        <f>SUM(CB1:CB33)</f>
        <v>0</v>
      </c>
      <c r="CB33" s="2">
        <f>IF(COUNTIFS(资金流水!$J$6:$J$2005,往来单位!$B$36,资金流水!$X$6:$X$2005,"其他应收款",资金流水!$S$6:$S$2005,"&gt;="&amp;_辅助!$J$4,资金流水!$S$6:$S$2005,"&lt;="&amp;_辅助!$J$2)*(往来单位!$B$36&lt;&gt;"")&gt;0,1,0)</f>
        <v>0</v>
      </c>
    </row>
    <row r="34">
      <c r="A34" s="94">
        <f>IF($X34=0,"",14)</f>
        <v>14</v>
      </c>
      <c r="B34" s="95">
        <f t="shared" si="1"/>
        <v>46200.0</v>
      </c>
      <c r="C34" s="96" t="str">
        <f t="shared" si="10"/>
        <v>还聂辉个人借款</v>
      </c>
      <c r="D34" s="21">
        <f t="shared" si="12"/>
        <v>50000</v>
      </c>
      <c r="E34" s="21">
        <f t="shared" si="14"/>
        <v>0</v>
      </c>
      <c r="F34" s="21">
        <f t="shared" si="16"/>
        <v>0</v>
      </c>
      <c r="G34" s="21">
        <f t="shared" si="18"/>
        <v>0</v>
      </c>
      <c r="H34" s="21">
        <f t="shared" si="20"/>
        <v>0</v>
      </c>
      <c r="I34" s="21">
        <f t="shared" si="22"/>
        <v>-259868</v>
      </c>
      <c r="J34" s="94" t="str">
        <f t="shared" si="24"/>
        <v>账户互转</v>
      </c>
      <c r="K34" s="94">
        <f t="shared" si="26"/>
      </c>
      <c r="L34" s="94" t="str">
        <f t="shared" si="28"/>
        <v>九江银行</v>
      </c>
      <c r="M34" s="96">
        <f t="shared" si="29"/>
      </c>
      <c r="X34" s="2">
        <f>IF(14&gt;$AA$5,0,MOD(SMALL($AA$6:$AA$2005,14),10000))</f>
        <v>147</v>
      </c>
      <c r="AA34" s="2">
        <f>IF(AND(ISNUMBER(资金流水!$B$34),ISNUMBER(资金流水!$S$34),资金流水!$S$34&gt;=_辅助!$J$4,资金流水!$S$34&lt;=_辅助!$J$2,OR(资金流水!$C$34=$C$18,AND(资金流水!$AD$34=$C$18,资金流水!$X$34="账户互转"),AND($E$18&lt;&gt;"",资金流水!$J$34=$E$18,资金流水!$X$34="应付职工薪酬"))),INT(资金流水!$B$34)*10000+29,"")</f>
      </c>
      <c r="AB34" s="2">
        <f>SUM(CB1:CB34)</f>
        <v>0</v>
      </c>
      <c r="CB34" s="2">
        <f>IF(COUNTIFS(资金流水!$J$6:$J$2005,往来单位!$B$37,资金流水!$X$6:$X$2005,"其他应收款",资金流水!$S$6:$S$2005,"&gt;="&amp;_辅助!$J$4,资金流水!$S$6:$S$2005,"&lt;="&amp;_辅助!$J$2)*(往来单位!$B$37&lt;&gt;"")&gt;0,1,0)</f>
        <v>0</v>
      </c>
    </row>
    <row r="35">
      <c r="A35" s="94">
        <f>IF($X35=0,"",15)</f>
        <v>15</v>
      </c>
      <c r="B35" s="95">
        <f t="shared" si="1"/>
        <v>46229.0</v>
      </c>
      <c r="C35" s="96" t="str">
        <f t="shared" si="10"/>
        <v>还聂辉2025年1月28日6万 还聂辉2025年11月2日1万</v>
      </c>
      <c r="D35" s="21">
        <f t="shared" si="12"/>
        <v>70000</v>
      </c>
      <c r="E35" s="21">
        <f t="shared" si="14"/>
        <v>0</v>
      </c>
      <c r="F35" s="21">
        <f t="shared" si="16"/>
        <v>0</v>
      </c>
      <c r="G35" s="21">
        <f t="shared" si="18"/>
        <v>0</v>
      </c>
      <c r="H35" s="21">
        <f t="shared" si="20"/>
        <v>0</v>
      </c>
      <c r="I35" s="21">
        <f t="shared" si="22"/>
        <v>-189868</v>
      </c>
      <c r="J35" s="94" t="str">
        <f t="shared" si="24"/>
        <v>账户互转</v>
      </c>
      <c r="K35" s="94">
        <f t="shared" si="26"/>
      </c>
      <c r="L35" s="94" t="str">
        <f t="shared" si="28"/>
        <v>九江银行</v>
      </c>
      <c r="M35" s="96">
        <f t="shared" si="29"/>
      </c>
      <c r="X35" s="2">
        <f>IF(15&gt;$AA$5,0,MOD(SMALL($AA$6:$AA$2005,15),10000))</f>
        <v>168</v>
      </c>
      <c r="AA35" s="2">
        <f>IF(AND(ISNUMBER(资金流水!$B$35),ISNUMBER(资金流水!$S$35),资金流水!$S$35&gt;=_辅助!$J$4,资金流水!$S$35&lt;=_辅助!$J$2,OR(资金流水!$C$35=$C$18,AND(资金流水!$AD$35=$C$18,资金流水!$X$35="账户互转"),AND($E$18&lt;&gt;"",资金流水!$J$35=$E$18,资金流水!$X$35="应付职工薪酬"))),INT(资金流水!$B$35)*10000+30,"")</f>
      </c>
      <c r="AB35" s="2">
        <f>SUM(CB1:CB35)</f>
        <v>0</v>
      </c>
      <c r="CB35" s="2">
        <f>IF(COUNTIFS(资金流水!$J$6:$J$2005,往来单位!$B$38,资金流水!$X$6:$X$2005,"其他应收款",资金流水!$S$6:$S$2005,"&gt;="&amp;_辅助!$J$4,资金流水!$S$6:$S$2005,"&lt;="&amp;_辅助!$J$2)*(往来单位!$B$38&lt;&gt;"")&gt;0,1,0)</f>
        <v>0</v>
      </c>
    </row>
    <row r="36">
      <c r="A36" s="94">
        <f>IF($X36=0,"",16)</f>
        <v>16</v>
      </c>
      <c r="B36" s="95">
        <f t="shared" si="1"/>
        <v>46231.0</v>
      </c>
      <c r="C36" s="96" t="str">
        <f t="shared" si="10"/>
        <v>聂辉个人借款</v>
      </c>
      <c r="D36" s="21">
        <f t="shared" si="12"/>
        <v>0</v>
      </c>
      <c r="E36" s="21">
        <f t="shared" si="14"/>
        <v>60000</v>
      </c>
      <c r="F36" s="21">
        <f t="shared" si="16"/>
        <v>0</v>
      </c>
      <c r="G36" s="21">
        <f t="shared" si="18"/>
        <v>0</v>
      </c>
      <c r="H36" s="21">
        <f t="shared" si="20"/>
        <v>0</v>
      </c>
      <c r="I36" s="21">
        <f t="shared" si="22"/>
        <v>-249868</v>
      </c>
      <c r="J36" s="94" t="str">
        <f t="shared" si="24"/>
        <v>账户互转</v>
      </c>
      <c r="K36" s="94">
        <f t="shared" si="26"/>
      </c>
      <c r="L36" s="94" t="str">
        <f t="shared" si="28"/>
        <v>九江银行</v>
      </c>
      <c r="M36" s="96">
        <f t="shared" si="29"/>
      </c>
      <c r="X36" s="2">
        <f>IF(16&gt;$AA$5,0,MOD(SMALL($AA$6:$AA$2005,16),10000))</f>
        <v>169</v>
      </c>
      <c r="AA36" s="2">
        <f>IF(AND(ISNUMBER(资金流水!$B$36),ISNUMBER(资金流水!$S$36),资金流水!$S$36&gt;=_辅助!$J$4,资金流水!$S$36&lt;=_辅助!$J$2,OR(资金流水!$C$36=$C$18,AND(资金流水!$AD$36=$C$18,资金流水!$X$36="账户互转"),AND($E$18&lt;&gt;"",资金流水!$J$36=$E$18,资金流水!$X$36="应付职工薪酬"))),INT(资金流水!$B$36)*10000+31,"")</f>
      </c>
      <c r="AB36" s="2">
        <f>SUM(CB1:CB36)</f>
        <v>0</v>
      </c>
      <c r="CB36" s="2">
        <f>IF(COUNTIFS(资金流水!$J$6:$J$2005,往来单位!$B$39,资金流水!$X$6:$X$2005,"其他应收款",资金流水!$S$6:$S$2005,"&gt;="&amp;_辅助!$J$4,资金流水!$S$6:$S$2005,"&lt;="&amp;_辅助!$J$2)*(往来单位!$B$39&lt;&gt;"")&gt;0,1,0)</f>
        <v>0</v>
      </c>
    </row>
    <row r="37">
      <c r="A37" s="94">
        <f>IF($X37=0,"",17)</f>
        <v>17</v>
      </c>
      <c r="B37" s="95">
        <f t="shared" si="1"/>
        <v>46234.0</v>
      </c>
      <c r="C37" s="96" t="str">
        <f t="shared" si="10"/>
        <v>还聂辉个人借款</v>
      </c>
      <c r="D37" s="21">
        <f t="shared" si="12"/>
        <v>40000</v>
      </c>
      <c r="E37" s="21">
        <f t="shared" si="14"/>
        <v>0</v>
      </c>
      <c r="F37" s="21">
        <f t="shared" si="16"/>
        <v>0</v>
      </c>
      <c r="G37" s="21">
        <f t="shared" si="18"/>
        <v>0</v>
      </c>
      <c r="H37" s="21">
        <f t="shared" si="20"/>
        <v>0</v>
      </c>
      <c r="I37" s="21">
        <f t="shared" si="22"/>
        <v>-209868</v>
      </c>
      <c r="J37" s="94" t="str">
        <f t="shared" si="24"/>
        <v>账户互转</v>
      </c>
      <c r="K37" s="94">
        <f t="shared" si="26"/>
      </c>
      <c r="L37" s="94" t="str">
        <f t="shared" si="28"/>
        <v>九江银行</v>
      </c>
      <c r="M37" s="96">
        <f t="shared" si="29"/>
      </c>
      <c r="X37" s="2">
        <f>IF(17&gt;$AA$5,0,MOD(SMALL($AA$6:$AA$2005,17),10000))</f>
        <v>180</v>
      </c>
      <c r="AA37" s="2">
        <f>IF(AND(ISNUMBER(资金流水!$B$37),ISNUMBER(资金流水!$S$37),资金流水!$S$37&gt;=_辅助!$J$4,资金流水!$S$37&lt;=_辅助!$J$2,OR(资金流水!$C$37=$C$18,AND(资金流水!$AD$37=$C$18,资金流水!$X$37="账户互转"),AND($E$18&lt;&gt;"",资金流水!$J$37=$E$18,资金流水!$X$37="应付职工薪酬"))),INT(资金流水!$B$37)*10000+32,"")</f>
      </c>
      <c r="AB37" s="2">
        <f>SUM(CB1:CB37)</f>
        <v>0</v>
      </c>
      <c r="CB37" s="2">
        <f>IF(COUNTIFS(资金流水!$J$6:$J$2005,往来单位!$B$40,资金流水!$X$6:$X$2005,"其他应收款",资金流水!$S$6:$S$2005,"&gt;="&amp;_辅助!$J$4,资金流水!$S$6:$S$2005,"&lt;="&amp;_辅助!$J$2)*(往来单位!$B$40&lt;&gt;"")&gt;0,1,0)</f>
        <v>0</v>
      </c>
    </row>
    <row r="38">
      <c r="A38" s="94">
        <f>IF($X38=0,"",18)</f>
        <v>18</v>
      </c>
      <c r="B38" s="95">
        <f t="shared" si="1"/>
        <v>46242.0</v>
      </c>
      <c r="C38" s="96" t="str">
        <f t="shared" si="10"/>
        <v>聂辉个人借款</v>
      </c>
      <c r="D38" s="21">
        <f t="shared" si="12"/>
        <v>0</v>
      </c>
      <c r="E38" s="21">
        <f t="shared" si="14"/>
        <v>600</v>
      </c>
      <c r="F38" s="21">
        <f t="shared" si="16"/>
        <v>0</v>
      </c>
      <c r="G38" s="21">
        <f t="shared" si="18"/>
        <v>0</v>
      </c>
      <c r="H38" s="21">
        <f t="shared" si="20"/>
        <v>0</v>
      </c>
      <c r="I38" s="21">
        <f t="shared" si="22"/>
        <v>-210468</v>
      </c>
      <c r="J38" s="94" t="str">
        <f t="shared" si="24"/>
        <v>账户互转</v>
      </c>
      <c r="K38" s="94">
        <f t="shared" si="26"/>
      </c>
      <c r="L38" s="94" t="str">
        <f t="shared" si="28"/>
        <v>九江银行</v>
      </c>
      <c r="M38" s="96">
        <f t="shared" si="29"/>
      </c>
      <c r="X38" s="2">
        <f>IF(18&gt;$AA$5,0,MOD(SMALL($AA$6:$AA$2005,18),10000))</f>
        <v>184</v>
      </c>
      <c r="AA38" s="2">
        <f>IF(AND(ISNUMBER(资金流水!$B$38),ISNUMBER(资金流水!$S$38),资金流水!$S$38&gt;=_辅助!$J$4,资金流水!$S$38&lt;=_辅助!$J$2,OR(资金流水!$C$38=$C$18,AND(资金流水!$AD$38=$C$18,资金流水!$X$38="账户互转"),AND($E$18&lt;&gt;"",资金流水!$J$38=$E$18,资金流水!$X$38="应付职工薪酬"))),INT(资金流水!$B$38)*10000+33,"")</f>
      </c>
      <c r="AB38" s="2">
        <f>SUM(CB1:CB38)</f>
        <v>0</v>
      </c>
      <c r="CB38" s="2">
        <f>IF(COUNTIFS(资金流水!$J$6:$J$2005,往来单位!$B$41,资金流水!$X$6:$X$2005,"其他应收款",资金流水!$S$6:$S$2005,"&gt;="&amp;_辅助!$J$4,资金流水!$S$6:$S$2005,"&lt;="&amp;_辅助!$J$2)*(往来单位!$B$41&lt;&gt;"")&gt;0,1,0)</f>
        <v>0</v>
      </c>
    </row>
    <row r="39">
      <c r="A39" s="94">
        <f>IF($X39=0,"",19)</f>
        <v>19</v>
      </c>
      <c r="B39" s="95">
        <f t="shared" si="1"/>
        <v>46259.0</v>
      </c>
      <c r="C39" s="96" t="str">
        <f t="shared" si="10"/>
        <v>聂辉个人借款</v>
      </c>
      <c r="D39" s="21">
        <f t="shared" si="12"/>
        <v>0</v>
      </c>
      <c r="E39" s="21">
        <f t="shared" si="14"/>
        <v>2000</v>
      </c>
      <c r="F39" s="21">
        <f t="shared" si="16"/>
        <v>0</v>
      </c>
      <c r="G39" s="21">
        <f t="shared" si="18"/>
        <v>0</v>
      </c>
      <c r="H39" s="21">
        <f t="shared" si="20"/>
        <v>0</v>
      </c>
      <c r="I39" s="21">
        <f t="shared" si="22"/>
        <v>-212468</v>
      </c>
      <c r="J39" s="94" t="str">
        <f t="shared" si="24"/>
        <v>账户互转</v>
      </c>
      <c r="K39" s="94">
        <f t="shared" si="26"/>
      </c>
      <c r="L39" s="94" t="str">
        <f t="shared" si="28"/>
        <v>九江银行</v>
      </c>
      <c r="M39" s="96">
        <f t="shared" si="29"/>
      </c>
      <c r="X39" s="2">
        <f>IF(19&gt;$AA$5,0,MOD(SMALL($AA$6:$AA$2005,19),10000))</f>
        <v>188</v>
      </c>
      <c r="AA39" s="2">
        <f>IF(AND(ISNUMBER(资金流水!$B$39),ISNUMBER(资金流水!$S$39),资金流水!$S$39&gt;=_辅助!$J$4,资金流水!$S$39&lt;=_辅助!$J$2,OR(资金流水!$C$39=$C$18,AND(资金流水!$AD$39=$C$18,资金流水!$X$39="账户互转"),AND($E$18&lt;&gt;"",资金流水!$J$39=$E$18,资金流水!$X$39="应付职工薪酬"))),INT(资金流水!$B$39)*10000+34,"")</f>
      </c>
      <c r="AB39" s="2">
        <f>SUM(CB1:CB39)</f>
        <v>0</v>
      </c>
      <c r="CB39" s="2">
        <f>IF(COUNTIFS(资金流水!$J$6:$J$2005,往来单位!$B$42,资金流水!$X$6:$X$2005,"其他应收款",资金流水!$S$6:$S$2005,"&gt;="&amp;_辅助!$J$4,资金流水!$S$6:$S$2005,"&lt;="&amp;_辅助!$J$2)*(往来单位!$B$42&lt;&gt;"")&gt;0,1,0)</f>
        <v>0</v>
      </c>
    </row>
    <row r="40">
      <c r="A40" s="94">
        <f>IF($X40=0,"",20)</f>
        <v>20</v>
      </c>
      <c r="B40" s="95">
        <f t="shared" si="1"/>
        <v>46262.0</v>
      </c>
      <c r="C40" s="96" t="str">
        <f t="shared" si="10"/>
        <v>还聂辉个人借款</v>
      </c>
      <c r="D40" s="21">
        <f t="shared" si="12"/>
        <v>100000</v>
      </c>
      <c r="E40" s="21">
        <f t="shared" si="14"/>
        <v>0</v>
      </c>
      <c r="F40" s="21">
        <f t="shared" si="16"/>
        <v>0</v>
      </c>
      <c r="G40" s="21">
        <f t="shared" si="18"/>
        <v>0</v>
      </c>
      <c r="H40" s="21">
        <f t="shared" si="20"/>
        <v>0</v>
      </c>
      <c r="I40" s="21">
        <f t="shared" si="22"/>
        <v>-112468</v>
      </c>
      <c r="J40" s="94" t="str">
        <f t="shared" si="24"/>
        <v>账户互转</v>
      </c>
      <c r="K40" s="94">
        <f t="shared" si="26"/>
      </c>
      <c r="L40" s="94" t="str">
        <f t="shared" si="28"/>
        <v>九江银行</v>
      </c>
      <c r="M40" s="96">
        <f t="shared" si="29"/>
      </c>
      <c r="X40" s="2">
        <f>IF(20&gt;$AA$5,0,MOD(SMALL($AA$6:$AA$2005,20),10000))</f>
        <v>210</v>
      </c>
      <c r="AA40" s="2">
        <f>IF(AND(ISNUMBER(资金流水!$B$40),ISNUMBER(资金流水!$S$40),资金流水!$S$40&gt;=_辅助!$J$4,资金流水!$S$40&lt;=_辅助!$J$2,OR(资金流水!$C$40=$C$18,AND(资金流水!$AD$40=$C$18,资金流水!$X$40="账户互转"),AND($E$18&lt;&gt;"",资金流水!$J$40=$E$18,资金流水!$X$40="应付职工薪酬"))),INT(资金流水!$B$40)*10000+35,"")</f>
      </c>
      <c r="AB40" s="2">
        <f>SUM(CB1:CB40)</f>
        <v>0</v>
      </c>
      <c r="CB40" s="2">
        <f>IF(COUNTIFS(资金流水!$J$6:$J$2005,往来单位!$B$43,资金流水!$X$6:$X$2005,"其他应收款",资金流水!$S$6:$S$2005,"&gt;="&amp;_辅助!$J$4,资金流水!$S$6:$S$2005,"&lt;="&amp;_辅助!$J$2)*(往来单位!$B$43&lt;&gt;"")&gt;0,1,0)</f>
        <v>0</v>
      </c>
    </row>
    <row r="41">
      <c r="A41" s="94">
        <f>IF($X41=0,"",21)</f>
      </c>
      <c r="B41" s="95">
        <f t="shared" si="1"/>
      </c>
      <c r="C41" s="96">
        <f t="shared" si="10"/>
      </c>
      <c r="D41" s="21">
        <f t="shared" si="12"/>
      </c>
      <c r="E41" s="21">
        <f t="shared" si="14"/>
      </c>
      <c r="F41" s="21">
        <f t="shared" si="16"/>
      </c>
      <c r="G41" s="21">
        <f t="shared" si="18"/>
      </c>
      <c r="H41" s="21">
        <f t="shared" si="20"/>
      </c>
      <c r="I41" s="21">
        <f t="shared" si="22"/>
      </c>
      <c r="J41" s="94">
        <f t="shared" si="24"/>
      </c>
      <c r="K41" s="94">
        <f t="shared" si="26"/>
      </c>
      <c r="L41" s="94">
        <f t="shared" si="28"/>
      </c>
      <c r="M41" s="96">
        <f t="shared" si="29"/>
      </c>
      <c r="X41" s="2">
        <f>IF(21&gt;$AA$5,0,MOD(SMALL($AA$6:$AA$2005,21),10000))</f>
        <v>0</v>
      </c>
      <c r="AA41" s="2">
        <f>IF(AND(ISNUMBER(资金流水!$B$41),ISNUMBER(资金流水!$S$41),资金流水!$S$41&gt;=_辅助!$J$4,资金流水!$S$41&lt;=_辅助!$J$2,OR(资金流水!$C$41=$C$18,AND(资金流水!$AD$41=$C$18,资金流水!$X$41="账户互转"),AND($E$18&lt;&gt;"",资金流水!$J$41=$E$18,资金流水!$X$41="应付职工薪酬"))),INT(资金流水!$B$41)*10000+36,"")</f>
      </c>
      <c r="AB41" s="2">
        <f>SUM(CB1:CB41)</f>
        <v>0</v>
      </c>
      <c r="CB41" s="2">
        <f>IF(COUNTIFS(资金流水!$J$6:$J$2005,往来单位!$B$44,资金流水!$X$6:$X$2005,"其他应收款",资金流水!$S$6:$S$2005,"&gt;="&amp;_辅助!$J$4,资金流水!$S$6:$S$2005,"&lt;="&amp;_辅助!$J$2)*(往来单位!$B$44&lt;&gt;"")&gt;0,1,0)</f>
        <v>0</v>
      </c>
    </row>
    <row r="42">
      <c r="A42" s="94">
        <f>IF($X42=0,"",22)</f>
      </c>
      <c r="B42" s="95">
        <f t="shared" si="1"/>
      </c>
      <c r="C42" s="96">
        <f t="shared" si="10"/>
      </c>
      <c r="D42" s="21">
        <f t="shared" si="12"/>
      </c>
      <c r="E42" s="21">
        <f t="shared" si="14"/>
      </c>
      <c r="F42" s="21">
        <f t="shared" si="16"/>
      </c>
      <c r="G42" s="21">
        <f t="shared" si="18"/>
      </c>
      <c r="H42" s="21">
        <f t="shared" si="20"/>
      </c>
      <c r="I42" s="21">
        <f t="shared" si="22"/>
      </c>
      <c r="J42" s="94">
        <f t="shared" si="24"/>
      </c>
      <c r="K42" s="94">
        <f t="shared" si="26"/>
      </c>
      <c r="L42" s="94">
        <f t="shared" si="28"/>
      </c>
      <c r="M42" s="96">
        <f t="shared" si="29"/>
      </c>
      <c r="X42" s="2">
        <f>IF(22&gt;$AA$5,0,MOD(SMALL($AA$6:$AA$2005,22),10000))</f>
        <v>0</v>
      </c>
      <c r="AA42" s="2">
        <f>IF(AND(ISNUMBER(资金流水!$B$42),ISNUMBER(资金流水!$S$42),资金流水!$S$42&gt;=_辅助!$J$4,资金流水!$S$42&lt;=_辅助!$J$2,OR(资金流水!$C$42=$C$18,AND(资金流水!$AD$42=$C$18,资金流水!$X$42="账户互转"),AND($E$18&lt;&gt;"",资金流水!$J$42=$E$18,资金流水!$X$42="应付职工薪酬"))),INT(资金流水!$B$42)*10000+37,"")</f>
      </c>
      <c r="AB42" s="2">
        <f>SUM(CB1:CB42)</f>
        <v>0</v>
      </c>
      <c r="CB42" s="2">
        <f>IF(COUNTIFS(资金流水!$J$6:$J$2005,往来单位!$B$45,资金流水!$X$6:$X$2005,"其他应收款",资金流水!$S$6:$S$2005,"&gt;="&amp;_辅助!$J$4,资金流水!$S$6:$S$2005,"&lt;="&amp;_辅助!$J$2)*(往来单位!$B$45&lt;&gt;"")&gt;0,1,0)</f>
        <v>0</v>
      </c>
    </row>
    <row r="43">
      <c r="A43" s="94">
        <f>IF($X43=0,"",23)</f>
      </c>
      <c r="B43" s="95">
        <f t="shared" si="1"/>
      </c>
      <c r="C43" s="96">
        <f t="shared" si="10"/>
      </c>
      <c r="D43" s="21">
        <f t="shared" si="12"/>
      </c>
      <c r="E43" s="21">
        <f t="shared" si="14"/>
      </c>
      <c r="F43" s="21">
        <f t="shared" si="16"/>
      </c>
      <c r="G43" s="21">
        <f t="shared" si="18"/>
      </c>
      <c r="H43" s="21">
        <f t="shared" si="20"/>
      </c>
      <c r="I43" s="21">
        <f t="shared" si="22"/>
      </c>
      <c r="J43" s="94">
        <f t="shared" si="24"/>
      </c>
      <c r="K43" s="94">
        <f t="shared" si="26"/>
      </c>
      <c r="L43" s="94">
        <f t="shared" si="28"/>
      </c>
      <c r="M43" s="96">
        <f t="shared" si="29"/>
      </c>
      <c r="X43" s="2">
        <f>IF(23&gt;$AA$5,0,MOD(SMALL($AA$6:$AA$2005,23),10000))</f>
        <v>0</v>
      </c>
      <c r="AA43" s="2">
        <f>IF(AND(ISNUMBER(资金流水!$B$43),ISNUMBER(资金流水!$S$43),资金流水!$S$43&gt;=_辅助!$J$4,资金流水!$S$43&lt;=_辅助!$J$2,OR(资金流水!$C$43=$C$18,AND(资金流水!$AD$43=$C$18,资金流水!$X$43="账户互转"),AND($E$18&lt;&gt;"",资金流水!$J$43=$E$18,资金流水!$X$43="应付职工薪酬"))),INT(资金流水!$B$43)*10000+38,"")</f>
      </c>
      <c r="AB43" s="2">
        <f>SUM(CB1:CB43)</f>
        <v>0</v>
      </c>
      <c r="CB43" s="2">
        <f>IF(COUNTIFS(资金流水!$J$6:$J$2005,往来单位!$B$46,资金流水!$X$6:$X$2005,"其他应收款",资金流水!$S$6:$S$2005,"&gt;="&amp;_辅助!$J$4,资金流水!$S$6:$S$2005,"&lt;="&amp;_辅助!$J$2)*(往来单位!$B$46&lt;&gt;"")&gt;0,1,0)</f>
        <v>0</v>
      </c>
    </row>
    <row r="44">
      <c r="A44" s="94">
        <f>IF($X44=0,"",24)</f>
      </c>
      <c r="B44" s="95">
        <f t="shared" si="1"/>
      </c>
      <c r="C44" s="96">
        <f t="shared" si="10"/>
      </c>
      <c r="D44" s="21">
        <f t="shared" si="12"/>
      </c>
      <c r="E44" s="21">
        <f t="shared" si="14"/>
      </c>
      <c r="F44" s="21">
        <f t="shared" si="16"/>
      </c>
      <c r="G44" s="21">
        <f t="shared" si="18"/>
      </c>
      <c r="H44" s="21">
        <f t="shared" si="20"/>
      </c>
      <c r="I44" s="21">
        <f t="shared" si="22"/>
      </c>
      <c r="J44" s="94">
        <f t="shared" si="24"/>
      </c>
      <c r="K44" s="94">
        <f t="shared" si="26"/>
      </c>
      <c r="L44" s="94">
        <f t="shared" si="28"/>
      </c>
      <c r="M44" s="96">
        <f t="shared" si="29"/>
      </c>
      <c r="X44" s="2">
        <f>IF(24&gt;$AA$5,0,MOD(SMALL($AA$6:$AA$2005,24),10000))</f>
        <v>0</v>
      </c>
      <c r="AA44" s="2">
        <f>IF(AND(ISNUMBER(资金流水!$B$44),ISNUMBER(资金流水!$S$44),资金流水!$S$44&gt;=_辅助!$J$4,资金流水!$S$44&lt;=_辅助!$J$2,OR(资金流水!$C$44=$C$18,AND(资金流水!$AD$44=$C$18,资金流水!$X$44="账户互转"),AND($E$18&lt;&gt;"",资金流水!$J$44=$E$18,资金流水!$X$44="应付职工薪酬"))),INT(资金流水!$B$44)*10000+39,"")</f>
      </c>
      <c r="AB44" s="2">
        <f>SUM(CB1:CB44)</f>
        <v>0</v>
      </c>
      <c r="CB44" s="2">
        <f>IF(COUNTIFS(资金流水!$J$6:$J$2005,往来单位!$B$47,资金流水!$X$6:$X$2005,"其他应收款",资金流水!$S$6:$S$2005,"&gt;="&amp;_辅助!$J$4,资金流水!$S$6:$S$2005,"&lt;="&amp;_辅助!$J$2)*(往来单位!$B$47&lt;&gt;"")&gt;0,1,0)</f>
        <v>0</v>
      </c>
    </row>
    <row r="45">
      <c r="A45" s="94">
        <f>IF($X45=0,"",25)</f>
      </c>
      <c r="B45" s="95">
        <f t="shared" si="1"/>
      </c>
      <c r="C45" s="96">
        <f t="shared" si="10"/>
      </c>
      <c r="D45" s="21">
        <f t="shared" si="12"/>
      </c>
      <c r="E45" s="21">
        <f t="shared" si="14"/>
      </c>
      <c r="F45" s="21">
        <f t="shared" si="16"/>
      </c>
      <c r="G45" s="21">
        <f t="shared" si="18"/>
      </c>
      <c r="H45" s="21">
        <f t="shared" si="20"/>
      </c>
      <c r="I45" s="21">
        <f t="shared" si="22"/>
      </c>
      <c r="J45" s="94">
        <f t="shared" si="24"/>
      </c>
      <c r="K45" s="94">
        <f t="shared" si="26"/>
      </c>
      <c r="L45" s="94">
        <f t="shared" si="28"/>
      </c>
      <c r="M45" s="96">
        <f t="shared" si="29"/>
      </c>
      <c r="X45" s="2">
        <f>IF(25&gt;$AA$5,0,MOD(SMALL($AA$6:$AA$2005,25),10000))</f>
        <v>0</v>
      </c>
      <c r="AA45" s="2">
        <f>IF(AND(ISNUMBER(资金流水!$B$45),ISNUMBER(资金流水!$S$45),资金流水!$S$45&gt;=_辅助!$J$4,资金流水!$S$45&lt;=_辅助!$J$2,OR(资金流水!$C$45=$C$18,AND(资金流水!$AD$45=$C$18,资金流水!$X$45="账户互转"),AND($E$18&lt;&gt;"",资金流水!$J$45=$E$18,资金流水!$X$45="应付职工薪酬"))),INT(资金流水!$B$45)*10000+40,"")</f>
      </c>
      <c r="AB45" s="2">
        <f>SUM(CB1:CB45)</f>
        <v>0</v>
      </c>
      <c r="CB45" s="2">
        <f>IF(COUNTIFS(资金流水!$J$6:$J$2005,往来单位!$B$48,资金流水!$X$6:$X$2005,"其他应收款",资金流水!$S$6:$S$2005,"&gt;="&amp;_辅助!$J$4,资金流水!$S$6:$S$2005,"&lt;="&amp;_辅助!$J$2)*(往来单位!$B$48&lt;&gt;"")&gt;0,1,0)</f>
        <v>0</v>
      </c>
    </row>
    <row r="46">
      <c r="A46" s="94">
        <f>IF($X46=0,"",26)</f>
      </c>
      <c r="B46" s="95">
        <f t="shared" si="1"/>
      </c>
      <c r="C46" s="96">
        <f t="shared" si="10"/>
      </c>
      <c r="D46" s="21">
        <f t="shared" si="12"/>
      </c>
      <c r="E46" s="21">
        <f t="shared" si="14"/>
      </c>
      <c r="F46" s="21">
        <f t="shared" si="16"/>
      </c>
      <c r="G46" s="21">
        <f t="shared" si="18"/>
      </c>
      <c r="H46" s="21">
        <f t="shared" si="20"/>
      </c>
      <c r="I46" s="21">
        <f t="shared" si="22"/>
      </c>
      <c r="J46" s="94">
        <f t="shared" si="24"/>
      </c>
      <c r="K46" s="94">
        <f t="shared" si="26"/>
      </c>
      <c r="L46" s="94">
        <f t="shared" si="28"/>
      </c>
      <c r="M46" s="96">
        <f t="shared" si="29"/>
      </c>
      <c r="X46" s="2">
        <f>IF(26&gt;$AA$5,0,MOD(SMALL($AA$6:$AA$2005,26),10000))</f>
        <v>0</v>
      </c>
      <c r="AA46" s="2">
        <f>IF(AND(ISNUMBER(资金流水!$B$46),ISNUMBER(资金流水!$S$46),资金流水!$S$46&gt;=_辅助!$J$4,资金流水!$S$46&lt;=_辅助!$J$2,OR(资金流水!$C$46=$C$18,AND(资金流水!$AD$46=$C$18,资金流水!$X$46="账户互转"),AND($E$18&lt;&gt;"",资金流水!$J$46=$E$18,资金流水!$X$46="应付职工薪酬"))),INT(资金流水!$B$46)*10000+41,"")</f>
      </c>
      <c r="AB46" s="2">
        <f>SUM(CB1:CB46)</f>
        <v>0</v>
      </c>
      <c r="CB46" s="2">
        <f>IF(COUNTIFS(资金流水!$J$6:$J$2005,往来单位!$B$49,资金流水!$X$6:$X$2005,"其他应收款",资金流水!$S$6:$S$2005,"&gt;="&amp;_辅助!$J$4,资金流水!$S$6:$S$2005,"&lt;="&amp;_辅助!$J$2)*(往来单位!$B$49&lt;&gt;"")&gt;0,1,0)</f>
        <v>0</v>
      </c>
    </row>
    <row r="47">
      <c r="A47" s="94">
        <f>IF($X47=0,"",27)</f>
      </c>
      <c r="B47" s="95">
        <f t="shared" si="1"/>
      </c>
      <c r="C47" s="96">
        <f t="shared" si="10"/>
      </c>
      <c r="D47" s="21">
        <f t="shared" si="12"/>
      </c>
      <c r="E47" s="21">
        <f t="shared" si="14"/>
      </c>
      <c r="F47" s="21">
        <f t="shared" si="16"/>
      </c>
      <c r="G47" s="21">
        <f t="shared" si="18"/>
      </c>
      <c r="H47" s="21">
        <f t="shared" si="20"/>
      </c>
      <c r="I47" s="21">
        <f t="shared" si="22"/>
      </c>
      <c r="J47" s="94">
        <f t="shared" si="24"/>
      </c>
      <c r="K47" s="94">
        <f t="shared" si="26"/>
      </c>
      <c r="L47" s="94">
        <f t="shared" si="28"/>
      </c>
      <c r="M47" s="96">
        <f t="shared" si="29"/>
      </c>
      <c r="X47" s="2">
        <f>IF(27&gt;$AA$5,0,MOD(SMALL($AA$6:$AA$2005,27),10000))</f>
        <v>0</v>
      </c>
      <c r="AA47" s="2">
        <f>IF(AND(ISNUMBER(资金流水!$B$47),ISNUMBER(资金流水!$S$47),资金流水!$S$47&gt;=_辅助!$J$4,资金流水!$S$47&lt;=_辅助!$J$2,OR(资金流水!$C$47=$C$18,AND(资金流水!$AD$47=$C$18,资金流水!$X$47="账户互转"),AND($E$18&lt;&gt;"",资金流水!$J$47=$E$18,资金流水!$X$47="应付职工薪酬"))),INT(资金流水!$B$47)*10000+42,"")</f>
      </c>
      <c r="AB47" s="2">
        <f>SUM(CB1:CB47)</f>
        <v>0</v>
      </c>
      <c r="CB47" s="2">
        <f>IF(COUNTIFS(资金流水!$J$6:$J$2005,往来单位!$B$50,资金流水!$X$6:$X$2005,"其他应收款",资金流水!$S$6:$S$2005,"&gt;="&amp;_辅助!$J$4,资金流水!$S$6:$S$2005,"&lt;="&amp;_辅助!$J$2)*(往来单位!$B$50&lt;&gt;"")&gt;0,1,0)</f>
        <v>0</v>
      </c>
    </row>
    <row r="48">
      <c r="A48" s="94">
        <f>IF($X48=0,"",28)</f>
      </c>
      <c r="B48" s="95">
        <f t="shared" si="1"/>
      </c>
      <c r="C48" s="96">
        <f t="shared" si="10"/>
      </c>
      <c r="D48" s="21">
        <f t="shared" si="12"/>
      </c>
      <c r="E48" s="21">
        <f t="shared" si="14"/>
      </c>
      <c r="F48" s="21">
        <f t="shared" si="16"/>
      </c>
      <c r="G48" s="21">
        <f t="shared" si="18"/>
      </c>
      <c r="H48" s="21">
        <f t="shared" si="20"/>
      </c>
      <c r="I48" s="21">
        <f t="shared" si="22"/>
      </c>
      <c r="J48" s="94">
        <f t="shared" si="24"/>
      </c>
      <c r="K48" s="94">
        <f t="shared" si="26"/>
      </c>
      <c r="L48" s="94">
        <f t="shared" si="28"/>
      </c>
      <c r="M48" s="96">
        <f t="shared" si="29"/>
      </c>
      <c r="X48" s="2">
        <f>IF(28&gt;$AA$5,0,MOD(SMALL($AA$6:$AA$2005,28),10000))</f>
        <v>0</v>
      </c>
      <c r="AA48" s="2">
        <f>IF(AND(ISNUMBER(资金流水!$B$48),ISNUMBER(资金流水!$S$48),资金流水!$S$48&gt;=_辅助!$J$4,资金流水!$S$48&lt;=_辅助!$J$2,OR(资金流水!$C$48=$C$18,AND(资金流水!$AD$48=$C$18,资金流水!$X$48="账户互转"),AND($E$18&lt;&gt;"",资金流水!$J$48=$E$18,资金流水!$X$48="应付职工薪酬"))),INT(资金流水!$B$48)*10000+43,"")</f>
      </c>
      <c r="AB48" s="2">
        <f>SUM(CB1:CB48)</f>
        <v>0</v>
      </c>
      <c r="CB48" s="2">
        <f>IF(COUNTIFS(资金流水!$J$6:$J$2005,往来单位!$B$51,资金流水!$X$6:$X$2005,"其他应收款",资金流水!$S$6:$S$2005,"&gt;="&amp;_辅助!$J$4,资金流水!$S$6:$S$2005,"&lt;="&amp;_辅助!$J$2)*(往来单位!$B$51&lt;&gt;"")&gt;0,1,0)</f>
        <v>0</v>
      </c>
    </row>
    <row r="49">
      <c r="A49" s="94">
        <f>IF($X49=0,"",29)</f>
      </c>
      <c r="B49" s="95">
        <f t="shared" si="1"/>
      </c>
      <c r="C49" s="96">
        <f t="shared" si="10"/>
      </c>
      <c r="D49" s="21">
        <f t="shared" si="12"/>
      </c>
      <c r="E49" s="21">
        <f t="shared" si="14"/>
      </c>
      <c r="F49" s="21">
        <f t="shared" si="16"/>
      </c>
      <c r="G49" s="21">
        <f t="shared" si="18"/>
      </c>
      <c r="H49" s="21">
        <f t="shared" si="20"/>
      </c>
      <c r="I49" s="21">
        <f t="shared" si="22"/>
      </c>
      <c r="J49" s="94">
        <f t="shared" si="24"/>
      </c>
      <c r="K49" s="94">
        <f t="shared" si="26"/>
      </c>
      <c r="L49" s="94">
        <f t="shared" si="28"/>
      </c>
      <c r="M49" s="96">
        <f t="shared" si="29"/>
      </c>
      <c r="X49" s="2">
        <f>IF(29&gt;$AA$5,0,MOD(SMALL($AA$6:$AA$2005,29),10000))</f>
        <v>0</v>
      </c>
      <c r="AA49" s="2">
        <f>IF(AND(ISNUMBER(资金流水!$B$49),ISNUMBER(资金流水!$S$49),资金流水!$S$49&gt;=_辅助!$J$4,资金流水!$S$49&lt;=_辅助!$J$2,OR(资金流水!$C$49=$C$18,AND(资金流水!$AD$49=$C$18,资金流水!$X$49="账户互转"),AND($E$18&lt;&gt;"",资金流水!$J$49=$E$18,资金流水!$X$49="应付职工薪酬"))),INT(资金流水!$B$49)*10000+44,"")</f>
      </c>
      <c r="AB49" s="2">
        <f>SUM(CB1:CB49)</f>
        <v>0</v>
      </c>
      <c r="CB49" s="2">
        <f>IF(COUNTIFS(资金流水!$J$6:$J$2005,往来单位!$B$52,资金流水!$X$6:$X$2005,"其他应收款",资金流水!$S$6:$S$2005,"&gt;="&amp;_辅助!$J$4,资金流水!$S$6:$S$2005,"&lt;="&amp;_辅助!$J$2)*(往来单位!$B$52&lt;&gt;"")&gt;0,1,0)</f>
        <v>0</v>
      </c>
    </row>
    <row r="50">
      <c r="A50" s="94">
        <f>IF($X50=0,"",30)</f>
      </c>
      <c r="B50" s="95">
        <f t="shared" si="1"/>
      </c>
      <c r="C50" s="96">
        <f t="shared" si="10"/>
      </c>
      <c r="D50" s="21">
        <f t="shared" si="12"/>
      </c>
      <c r="E50" s="21">
        <f t="shared" si="14"/>
      </c>
      <c r="F50" s="21">
        <f t="shared" si="16"/>
      </c>
      <c r="G50" s="21">
        <f t="shared" si="18"/>
      </c>
      <c r="H50" s="21">
        <f t="shared" si="20"/>
      </c>
      <c r="I50" s="21">
        <f t="shared" si="22"/>
      </c>
      <c r="J50" s="94">
        <f t="shared" si="24"/>
      </c>
      <c r="K50" s="94">
        <f t="shared" si="26"/>
      </c>
      <c r="L50" s="94">
        <f t="shared" si="28"/>
      </c>
      <c r="M50" s="96">
        <f t="shared" si="29"/>
      </c>
      <c r="X50" s="2">
        <f>IF(30&gt;$AA$5,0,MOD(SMALL($AA$6:$AA$2005,30),10000))</f>
        <v>0</v>
      </c>
      <c r="AA50" s="2">
        <f>IF(AND(ISNUMBER(资金流水!$B$50),ISNUMBER(资金流水!$S$50),资金流水!$S$50&gt;=_辅助!$J$4,资金流水!$S$50&lt;=_辅助!$J$2,OR(资金流水!$C$50=$C$18,AND(资金流水!$AD$50=$C$18,资金流水!$X$50="账户互转"),AND($E$18&lt;&gt;"",资金流水!$J$50=$E$18,资金流水!$X$50="应付职工薪酬"))),INT(资金流水!$B$50)*10000+45,"")</f>
      </c>
      <c r="AB50" s="2">
        <f>SUM(CB1:CB50)</f>
        <v>0</v>
      </c>
      <c r="CB50" s="2">
        <f>IF(COUNTIFS(资金流水!$J$6:$J$2005,往来单位!$B$53,资金流水!$X$6:$X$2005,"其他应收款",资金流水!$S$6:$S$2005,"&gt;="&amp;_辅助!$J$4,资金流水!$S$6:$S$2005,"&lt;="&amp;_辅助!$J$2)*(往来单位!$B$53&lt;&gt;"")&gt;0,1,0)</f>
        <v>0</v>
      </c>
    </row>
    <row r="51">
      <c r="A51" s="94">
        <f>IF($X51=0,"",31)</f>
      </c>
      <c r="B51" s="95">
        <f t="shared" si="1"/>
      </c>
      <c r="C51" s="96">
        <f t="shared" si="10"/>
      </c>
      <c r="D51" s="21">
        <f t="shared" si="12"/>
      </c>
      <c r="E51" s="21">
        <f t="shared" si="14"/>
      </c>
      <c r="F51" s="21">
        <f t="shared" si="16"/>
      </c>
      <c r="G51" s="21">
        <f t="shared" si="18"/>
      </c>
      <c r="H51" s="21">
        <f t="shared" si="20"/>
      </c>
      <c r="I51" s="21">
        <f t="shared" si="22"/>
      </c>
      <c r="J51" s="94">
        <f t="shared" si="24"/>
      </c>
      <c r="K51" s="94">
        <f t="shared" si="26"/>
      </c>
      <c r="L51" s="94">
        <f t="shared" si="28"/>
      </c>
      <c r="M51" s="96">
        <f t="shared" si="29"/>
      </c>
      <c r="X51" s="2">
        <f>IF(31&gt;$AA$5,0,MOD(SMALL($AA$6:$AA$2005,31),10000))</f>
        <v>0</v>
      </c>
      <c r="AA51" s="2">
        <f>IF(AND(ISNUMBER(资金流水!$B$51),ISNUMBER(资金流水!$S$51),资金流水!$S$51&gt;=_辅助!$J$4,资金流水!$S$51&lt;=_辅助!$J$2,OR(资金流水!$C$51=$C$18,AND(资金流水!$AD$51=$C$18,资金流水!$X$51="账户互转"),AND($E$18&lt;&gt;"",资金流水!$J$51=$E$18,资金流水!$X$51="应付职工薪酬"))),INT(资金流水!$B$51)*10000+46,"")</f>
      </c>
      <c r="AB51" s="2">
        <f>AB50+SUM(CB51:CB51)</f>
        <v>0</v>
      </c>
      <c r="CB51" s="2">
        <f>IF(COUNTIFS(资金流水!$J$6:$J$2005,往来单位!$B$54,资金流水!$X$6:$X$2005,"其他应收款",资金流水!$S$6:$S$2005,"&gt;="&amp;_辅助!$J$4,资金流水!$S$6:$S$2005,"&lt;="&amp;_辅助!$J$2)*(往来单位!$B$54&lt;&gt;"")&gt;0,1,0)</f>
        <v>0</v>
      </c>
    </row>
    <row r="52">
      <c r="A52" s="94">
        <f>IF($X52=0,"",32)</f>
      </c>
      <c r="B52" s="95">
        <f t="shared" si="1"/>
      </c>
      <c r="C52" s="96">
        <f t="shared" si="10"/>
      </c>
      <c r="D52" s="21">
        <f t="shared" si="12"/>
      </c>
      <c r="E52" s="21">
        <f t="shared" si="14"/>
      </c>
      <c r="F52" s="21">
        <f t="shared" si="16"/>
      </c>
      <c r="G52" s="21">
        <f t="shared" si="18"/>
      </c>
      <c r="H52" s="21">
        <f t="shared" si="20"/>
      </c>
      <c r="I52" s="21">
        <f t="shared" si="22"/>
      </c>
      <c r="J52" s="94">
        <f t="shared" si="24"/>
      </c>
      <c r="K52" s="94">
        <f t="shared" si="26"/>
      </c>
      <c r="L52" s="94">
        <f t="shared" si="28"/>
      </c>
      <c r="M52" s="96">
        <f t="shared" si="29"/>
      </c>
      <c r="X52" s="2">
        <f>IF(32&gt;$AA$5,0,MOD(SMALL($AA$6:$AA$2005,32),10000))</f>
        <v>0</v>
      </c>
      <c r="AA52" s="2">
        <f>IF(AND(ISNUMBER(资金流水!$B$52),ISNUMBER(资金流水!$S$52),资金流水!$S$52&gt;=_辅助!$J$4,资金流水!$S$52&lt;=_辅助!$J$2,OR(资金流水!$C$52=$C$18,AND(资金流水!$AD$52=$C$18,资金流水!$X$52="账户互转"),AND($E$18&lt;&gt;"",资金流水!$J$52=$E$18,资金流水!$X$52="应付职工薪酬"))),INT(资金流水!$B$52)*10000+47,"")</f>
      </c>
      <c r="AB52" s="2">
        <f>AB50+SUM(CB51:CB52)</f>
        <v>0</v>
      </c>
      <c r="CB52" s="2">
        <f>IF(COUNTIFS(资金流水!$J$6:$J$2005,往来单位!$B$55,资金流水!$X$6:$X$2005,"其他应收款",资金流水!$S$6:$S$2005,"&gt;="&amp;_辅助!$J$4,资金流水!$S$6:$S$2005,"&lt;="&amp;_辅助!$J$2)*(往来单位!$B$55&lt;&gt;"")&gt;0,1,0)</f>
        <v>0</v>
      </c>
    </row>
    <row r="53">
      <c r="A53" s="94">
        <f>IF($X53=0,"",33)</f>
      </c>
      <c r="B53" s="95">
        <f t="shared" si="1"/>
      </c>
      <c r="C53" s="96">
        <f t="shared" si="10"/>
      </c>
      <c r="D53" s="21">
        <f t="shared" si="12"/>
      </c>
      <c r="E53" s="21">
        <f t="shared" si="14"/>
      </c>
      <c r="F53" s="21">
        <f t="shared" si="16"/>
      </c>
      <c r="G53" s="21">
        <f t="shared" si="18"/>
      </c>
      <c r="H53" s="21">
        <f t="shared" si="20"/>
      </c>
      <c r="I53" s="21">
        <f t="shared" si="22"/>
      </c>
      <c r="J53" s="94">
        <f t="shared" si="24"/>
      </c>
      <c r="K53" s="94">
        <f t="shared" si="26"/>
      </c>
      <c r="L53" s="94">
        <f t="shared" si="28"/>
      </c>
      <c r="M53" s="96">
        <f t="shared" si="29"/>
      </c>
      <c r="X53" s="2">
        <f>IF(33&gt;$AA$5,0,MOD(SMALL($AA$6:$AA$2005,33),10000))</f>
        <v>0</v>
      </c>
      <c r="AA53" s="2">
        <f>IF(AND(ISNUMBER(资金流水!$B$53),ISNUMBER(资金流水!$S$53),资金流水!$S$53&gt;=_辅助!$J$4,资金流水!$S$53&lt;=_辅助!$J$2,OR(资金流水!$C$53=$C$18,AND(资金流水!$AD$53=$C$18,资金流水!$X$53="账户互转"),AND($E$18&lt;&gt;"",资金流水!$J$53=$E$18,资金流水!$X$53="应付职工薪酬"))),INT(资金流水!$B$53)*10000+48,"")</f>
      </c>
      <c r="AB53" s="2">
        <f>AB50+SUM(CB51:CB53)</f>
        <v>0</v>
      </c>
      <c r="CB53" s="2">
        <f>IF(COUNTIFS(资金流水!$J$6:$J$2005,往来单位!$B$56,资金流水!$X$6:$X$2005,"其他应收款",资金流水!$S$6:$S$2005,"&gt;="&amp;_辅助!$J$4,资金流水!$S$6:$S$2005,"&lt;="&amp;_辅助!$J$2)*(往来单位!$B$56&lt;&gt;"")&gt;0,1,0)</f>
        <v>0</v>
      </c>
    </row>
    <row r="54">
      <c r="A54" s="94">
        <f>IF($X54=0,"",34)</f>
      </c>
      <c r="B54" s="95">
        <f t="shared" si="1"/>
      </c>
      <c r="C54" s="96">
        <f t="shared" si="10"/>
      </c>
      <c r="D54" s="21">
        <f t="shared" si="12"/>
      </c>
      <c r="E54" s="21">
        <f t="shared" si="14"/>
      </c>
      <c r="F54" s="21">
        <f t="shared" si="16"/>
      </c>
      <c r="G54" s="21">
        <f t="shared" si="18"/>
      </c>
      <c r="H54" s="21">
        <f t="shared" si="20"/>
      </c>
      <c r="I54" s="21">
        <f t="shared" si="22"/>
      </c>
      <c r="J54" s="94">
        <f t="shared" si="24"/>
      </c>
      <c r="K54" s="94">
        <f t="shared" si="26"/>
      </c>
      <c r="L54" s="94">
        <f t="shared" si="28"/>
      </c>
      <c r="M54" s="96">
        <f t="shared" si="29"/>
      </c>
      <c r="X54" s="2">
        <f>IF(34&gt;$AA$5,0,MOD(SMALL($AA$6:$AA$2005,34),10000))</f>
        <v>0</v>
      </c>
      <c r="AA54" s="2">
        <f>IF(AND(ISNUMBER(资金流水!$B$54),ISNUMBER(资金流水!$S$54),资金流水!$S$54&gt;=_辅助!$J$4,资金流水!$S$54&lt;=_辅助!$J$2,OR(资金流水!$C$54=$C$18,AND(资金流水!$AD$54=$C$18,资金流水!$X$54="账户互转"),AND($E$18&lt;&gt;"",资金流水!$J$54=$E$18,资金流水!$X$54="应付职工薪酬"))),INT(资金流水!$B$54)*10000+49,"")</f>
      </c>
      <c r="AB54" s="2">
        <f>AB50+SUM(CB51:CB54)</f>
        <v>0</v>
      </c>
      <c r="CB54" s="2">
        <f>IF(COUNTIFS(资金流水!$J$6:$J$2005,往来单位!$B$57,资金流水!$X$6:$X$2005,"其他应收款",资金流水!$S$6:$S$2005,"&gt;="&amp;_辅助!$J$4,资金流水!$S$6:$S$2005,"&lt;="&amp;_辅助!$J$2)*(往来单位!$B$57&lt;&gt;"")&gt;0,1,0)</f>
        <v>0</v>
      </c>
    </row>
    <row r="55">
      <c r="A55" s="94">
        <f>IF($X55=0,"",35)</f>
      </c>
      <c r="B55" s="95">
        <f t="shared" si="1"/>
      </c>
      <c r="C55" s="96">
        <f t="shared" si="10"/>
      </c>
      <c r="D55" s="21">
        <f t="shared" si="12"/>
      </c>
      <c r="E55" s="21">
        <f t="shared" si="14"/>
      </c>
      <c r="F55" s="21">
        <f t="shared" si="16"/>
      </c>
      <c r="G55" s="21">
        <f t="shared" si="18"/>
      </c>
      <c r="H55" s="21">
        <f t="shared" si="20"/>
      </c>
      <c r="I55" s="21">
        <f t="shared" si="22"/>
      </c>
      <c r="J55" s="94">
        <f t="shared" si="24"/>
      </c>
      <c r="K55" s="94">
        <f t="shared" si="26"/>
      </c>
      <c r="L55" s="94">
        <f t="shared" si="28"/>
      </c>
      <c r="M55" s="96">
        <f t="shared" si="29"/>
      </c>
      <c r="X55" s="2">
        <f>IF(35&gt;$AA$5,0,MOD(SMALL($AA$6:$AA$2005,35),10000))</f>
        <v>0</v>
      </c>
      <c r="AA55" s="2">
        <f>IF(AND(ISNUMBER(资金流水!$B$55),ISNUMBER(资金流水!$S$55),资金流水!$S$55&gt;=_辅助!$J$4,资金流水!$S$55&lt;=_辅助!$J$2,OR(资金流水!$C$55=$C$18,AND(资金流水!$AD$55=$C$18,资金流水!$X$55="账户互转"),AND($E$18&lt;&gt;"",资金流水!$J$55=$E$18,资金流水!$X$55="应付职工薪酬"))),INT(资金流水!$B$55)*10000+50,"")</f>
      </c>
      <c r="AB55" s="2">
        <f>AB50+SUM(CB51:CB55)</f>
        <v>0</v>
      </c>
      <c r="CB55" s="2">
        <f>IF(COUNTIFS(资金流水!$J$6:$J$2005,往来单位!$B$58,资金流水!$X$6:$X$2005,"其他应收款",资金流水!$S$6:$S$2005,"&gt;="&amp;_辅助!$J$4,资金流水!$S$6:$S$2005,"&lt;="&amp;_辅助!$J$2)*(往来单位!$B$58&lt;&gt;"")&gt;0,1,0)</f>
        <v>0</v>
      </c>
    </row>
    <row r="56">
      <c r="A56" s="94">
        <f>IF($X56=0,"",36)</f>
      </c>
      <c r="B56" s="95">
        <f t="shared" si="1"/>
      </c>
      <c r="C56" s="96">
        <f t="shared" si="10"/>
      </c>
      <c r="D56" s="21">
        <f t="shared" si="12"/>
      </c>
      <c r="E56" s="21">
        <f t="shared" si="14"/>
      </c>
      <c r="F56" s="21">
        <f t="shared" si="16"/>
      </c>
      <c r="G56" s="21">
        <f t="shared" si="18"/>
      </c>
      <c r="H56" s="21">
        <f t="shared" si="20"/>
      </c>
      <c r="I56" s="21">
        <f t="shared" si="22"/>
      </c>
      <c r="J56" s="94">
        <f t="shared" si="24"/>
      </c>
      <c r="K56" s="94">
        <f t="shared" si="26"/>
      </c>
      <c r="L56" s="94">
        <f t="shared" si="28"/>
      </c>
      <c r="M56" s="96">
        <f t="shared" si="29"/>
      </c>
      <c r="X56" s="2">
        <f>IF(36&gt;$AA$5,0,MOD(SMALL($AA$6:$AA$2005,36),10000))</f>
        <v>0</v>
      </c>
      <c r="AA56" s="2">
        <f>IF(AND(ISNUMBER(资金流水!$B$56),ISNUMBER(资金流水!$S$56),资金流水!$S$56&gt;=_辅助!$J$4,资金流水!$S$56&lt;=_辅助!$J$2,OR(资金流水!$C$56=$C$18,AND(资金流水!$AD$56=$C$18,资金流水!$X$56="账户互转"),AND($E$18&lt;&gt;"",资金流水!$J$56=$E$18,资金流水!$X$56="应付职工薪酬"))),INT(资金流水!$B$56)*10000+51,"")</f>
      </c>
      <c r="AB56" s="2">
        <f>AB50+SUM(CB51:CB56)</f>
        <v>0</v>
      </c>
      <c r="CB56" s="2">
        <f>IF(COUNTIFS(资金流水!$J$6:$J$2005,往来单位!$B$59,资金流水!$X$6:$X$2005,"其他应收款",资金流水!$S$6:$S$2005,"&gt;="&amp;_辅助!$J$4,资金流水!$S$6:$S$2005,"&lt;="&amp;_辅助!$J$2)*(往来单位!$B$59&lt;&gt;"")&gt;0,1,0)</f>
        <v>0</v>
      </c>
    </row>
    <row r="57">
      <c r="A57" s="94">
        <f>IF($X57=0,"",37)</f>
      </c>
      <c r="B57" s="95">
        <f t="shared" si="1"/>
      </c>
      <c r="C57" s="96">
        <f t="shared" si="10"/>
      </c>
      <c r="D57" s="21">
        <f t="shared" si="12"/>
      </c>
      <c r="E57" s="21">
        <f t="shared" si="14"/>
      </c>
      <c r="F57" s="21">
        <f t="shared" si="16"/>
      </c>
      <c r="G57" s="21">
        <f t="shared" si="18"/>
      </c>
      <c r="H57" s="21">
        <f t="shared" si="20"/>
      </c>
      <c r="I57" s="21">
        <f t="shared" si="22"/>
      </c>
      <c r="J57" s="94">
        <f t="shared" si="24"/>
      </c>
      <c r="K57" s="94">
        <f t="shared" si="26"/>
      </c>
      <c r="L57" s="94">
        <f t="shared" si="28"/>
      </c>
      <c r="M57" s="96">
        <f t="shared" si="29"/>
      </c>
      <c r="X57" s="2">
        <f>IF(37&gt;$AA$5,0,MOD(SMALL($AA$6:$AA$2005,37),10000))</f>
        <v>0</v>
      </c>
      <c r="AA57" s="2">
        <f>IF(AND(ISNUMBER(资金流水!$B$57),ISNUMBER(资金流水!$S$57),资金流水!$S$57&gt;=_辅助!$J$4,资金流水!$S$57&lt;=_辅助!$J$2,OR(资金流水!$C$57=$C$18,AND(资金流水!$AD$57=$C$18,资金流水!$X$57="账户互转"),AND($E$18&lt;&gt;"",资金流水!$J$57=$E$18,资金流水!$X$57="应付职工薪酬"))),INT(资金流水!$B$57)*10000+52,"")</f>
      </c>
      <c r="AB57" s="2">
        <f>AB50+SUM(CB51:CB57)</f>
        <v>0</v>
      </c>
      <c r="CB57" s="2">
        <f>IF(COUNTIFS(资金流水!$J$6:$J$2005,往来单位!$B$60,资金流水!$X$6:$X$2005,"其他应收款",资金流水!$S$6:$S$2005,"&gt;="&amp;_辅助!$J$4,资金流水!$S$6:$S$2005,"&lt;="&amp;_辅助!$J$2)*(往来单位!$B$60&lt;&gt;"")&gt;0,1,0)</f>
        <v>0</v>
      </c>
    </row>
    <row r="58">
      <c r="A58" s="94">
        <f>IF($X58=0,"",38)</f>
      </c>
      <c r="B58" s="95">
        <f t="shared" si="1"/>
      </c>
      <c r="C58" s="96">
        <f t="shared" si="10"/>
      </c>
      <c r="D58" s="21">
        <f t="shared" si="12"/>
      </c>
      <c r="E58" s="21">
        <f t="shared" si="14"/>
      </c>
      <c r="F58" s="21">
        <f t="shared" si="16"/>
      </c>
      <c r="G58" s="21">
        <f t="shared" si="18"/>
      </c>
      <c r="H58" s="21">
        <f t="shared" si="20"/>
      </c>
      <c r="I58" s="21">
        <f t="shared" si="22"/>
      </c>
      <c r="J58" s="94">
        <f t="shared" si="24"/>
      </c>
      <c r="K58" s="94">
        <f t="shared" si="26"/>
      </c>
      <c r="L58" s="94">
        <f t="shared" si="28"/>
      </c>
      <c r="M58" s="96">
        <f t="shared" si="29"/>
      </c>
      <c r="X58" s="2">
        <f>IF(38&gt;$AA$5,0,MOD(SMALL($AA$6:$AA$2005,38),10000))</f>
        <v>0</v>
      </c>
      <c r="AA58" s="2">
        <f>IF(AND(ISNUMBER(资金流水!$B$58),ISNUMBER(资金流水!$S$58),资金流水!$S$58&gt;=_辅助!$J$4,资金流水!$S$58&lt;=_辅助!$J$2,OR(资金流水!$C$58=$C$18,AND(资金流水!$AD$58=$C$18,资金流水!$X$58="账户互转"),AND($E$18&lt;&gt;"",资金流水!$J$58=$E$18,资金流水!$X$58="应付职工薪酬"))),INT(资金流水!$B$58)*10000+53,"")</f>
      </c>
      <c r="AB58" s="2">
        <f>AB50+SUM(CB51:CB58)</f>
        <v>0</v>
      </c>
      <c r="CB58" s="2">
        <f>IF(COUNTIFS(资金流水!$J$6:$J$2005,往来单位!$B$61,资金流水!$X$6:$X$2005,"其他应收款",资金流水!$S$6:$S$2005,"&gt;="&amp;_辅助!$J$4,资金流水!$S$6:$S$2005,"&lt;="&amp;_辅助!$J$2)*(往来单位!$B$61&lt;&gt;"")&gt;0,1,0)</f>
        <v>0</v>
      </c>
    </row>
    <row r="59">
      <c r="A59" s="94">
        <f>IF($X59=0,"",39)</f>
      </c>
      <c r="B59" s="95">
        <f t="shared" si="1"/>
      </c>
      <c r="C59" s="96">
        <f t="shared" si="10"/>
      </c>
      <c r="D59" s="21">
        <f t="shared" si="12"/>
      </c>
      <c r="E59" s="21">
        <f t="shared" si="14"/>
      </c>
      <c r="F59" s="21">
        <f t="shared" si="16"/>
      </c>
      <c r="G59" s="21">
        <f t="shared" si="18"/>
      </c>
      <c r="H59" s="21">
        <f t="shared" si="20"/>
      </c>
      <c r="I59" s="21">
        <f t="shared" si="22"/>
      </c>
      <c r="J59" s="94">
        <f t="shared" si="24"/>
      </c>
      <c r="K59" s="94">
        <f t="shared" si="26"/>
      </c>
      <c r="L59" s="94">
        <f t="shared" si="28"/>
      </c>
      <c r="M59" s="96">
        <f t="shared" si="29"/>
      </c>
      <c r="X59" s="2">
        <f>IF(39&gt;$AA$5,0,MOD(SMALL($AA$6:$AA$2005,39),10000))</f>
        <v>0</v>
      </c>
      <c r="AA59" s="2">
        <f>IF(AND(ISNUMBER(资金流水!$B$59),ISNUMBER(资金流水!$S$59),资金流水!$S$59&gt;=_辅助!$J$4,资金流水!$S$59&lt;=_辅助!$J$2,OR(资金流水!$C$59=$C$18,AND(资金流水!$AD$59=$C$18,资金流水!$X$59="账户互转"),AND($E$18&lt;&gt;"",资金流水!$J$59=$E$18,资金流水!$X$59="应付职工薪酬"))),INT(资金流水!$B$59)*10000+54,"")</f>
        <v>461460054</v>
      </c>
      <c r="AB59" s="2">
        <f>AB50+SUM(CB51:CB59)</f>
        <v>0</v>
      </c>
      <c r="CB59" s="2">
        <f>IF(COUNTIFS(资金流水!$J$6:$J$2005,往来单位!$B$62,资金流水!$X$6:$X$2005,"其他应收款",资金流水!$S$6:$S$2005,"&gt;="&amp;_辅助!$J$4,资金流水!$S$6:$S$2005,"&lt;="&amp;_辅助!$J$2)*(往来单位!$B$62&lt;&gt;"")&gt;0,1,0)</f>
        <v>0</v>
      </c>
    </row>
    <row r="60">
      <c r="A60" s="94">
        <f>IF($X60=0,"",40)</f>
      </c>
      <c r="B60" s="95">
        <f t="shared" si="1"/>
      </c>
      <c r="C60" s="96">
        <f t="shared" si="10"/>
      </c>
      <c r="D60" s="21">
        <f t="shared" si="12"/>
      </c>
      <c r="E60" s="21">
        <f t="shared" si="14"/>
      </c>
      <c r="F60" s="21">
        <f t="shared" si="16"/>
      </c>
      <c r="G60" s="21">
        <f t="shared" si="18"/>
      </c>
      <c r="H60" s="21">
        <f t="shared" si="20"/>
      </c>
      <c r="I60" s="21">
        <f t="shared" si="22"/>
      </c>
      <c r="J60" s="94">
        <f t="shared" si="24"/>
      </c>
      <c r="K60" s="94">
        <f t="shared" si="26"/>
      </c>
      <c r="L60" s="94">
        <f t="shared" si="28"/>
      </c>
      <c r="M60" s="96">
        <f t="shared" si="29"/>
      </c>
      <c r="X60" s="2">
        <f>IF(40&gt;$AA$5,0,MOD(SMALL($AA$6:$AA$2005,40),10000))</f>
        <v>0</v>
      </c>
      <c r="AA60" s="2">
        <f>IF(AND(ISNUMBER(资金流水!$B$60),ISNUMBER(资金流水!$S$60),资金流水!$S$60&gt;=_辅助!$J$4,资金流水!$S$60&lt;=_辅助!$J$2,OR(资金流水!$C$60=$C$18,AND(资金流水!$AD$60=$C$18,资金流水!$X$60="账户互转"),AND($E$18&lt;&gt;"",资金流水!$J$60=$E$18,资金流水!$X$60="应付职工薪酬"))),INT(资金流水!$B$60)*10000+55,"")</f>
        <v>461480055</v>
      </c>
      <c r="AB60" s="2">
        <f>AB50+SUM(CB51:CB60)</f>
        <v>0</v>
      </c>
      <c r="CB60" s="2">
        <f>IF(COUNTIFS(资金流水!$J$6:$J$2005,往来单位!$B$63,资金流水!$X$6:$X$2005,"其他应收款",资金流水!$S$6:$S$2005,"&gt;="&amp;_辅助!$J$4,资金流水!$S$6:$S$2005,"&lt;="&amp;_辅助!$J$2)*(往来单位!$B$63&lt;&gt;"")&gt;0,1,0)</f>
        <v>0</v>
      </c>
    </row>
    <row r="61">
      <c r="A61" s="94">
        <f>IF($X61=0,"",41)</f>
      </c>
      <c r="B61" s="95">
        <f t="shared" si="1"/>
      </c>
      <c r="C61" s="96">
        <f t="shared" si="10"/>
      </c>
      <c r="D61" s="21">
        <f t="shared" si="12"/>
      </c>
      <c r="E61" s="21">
        <f t="shared" si="14"/>
      </c>
      <c r="F61" s="21">
        <f t="shared" si="16"/>
      </c>
      <c r="G61" s="21">
        <f t="shared" si="18"/>
      </c>
      <c r="H61" s="21">
        <f t="shared" si="20"/>
      </c>
      <c r="I61" s="21">
        <f t="shared" si="22"/>
      </c>
      <c r="J61" s="94">
        <f t="shared" si="24"/>
      </c>
      <c r="K61" s="94">
        <f t="shared" si="26"/>
      </c>
      <c r="L61" s="94">
        <f t="shared" si="28"/>
      </c>
      <c r="M61" s="96">
        <f t="shared" si="29"/>
      </c>
      <c r="X61" s="2">
        <f>IF(41&gt;$AA$5,0,MOD(SMALL($AA$6:$AA$2005,41),10000))</f>
        <v>0</v>
      </c>
      <c r="AA61" s="2">
        <f>IF(AND(ISNUMBER(资金流水!$B$61),ISNUMBER(资金流水!$S$61),资金流水!$S$61&gt;=_辅助!$J$4,资金流水!$S$61&lt;=_辅助!$J$2,OR(资金流水!$C$61=$C$18,AND(资金流水!$AD$61=$C$18,资金流水!$X$61="账户互转"),AND($E$18&lt;&gt;"",资金流水!$J$61=$E$18,资金流水!$X$61="应付职工薪酬"))),INT(资金流水!$B$61)*10000+56,"")</f>
        <v>461510056</v>
      </c>
      <c r="AB61" s="2">
        <f>AB50+SUM(CB51:CB61)</f>
        <v>0</v>
      </c>
      <c r="CB61" s="2">
        <f>IF(COUNTIFS(资金流水!$J$6:$J$2005,往来单位!$B$64,资金流水!$X$6:$X$2005,"其他应收款",资金流水!$S$6:$S$2005,"&gt;="&amp;_辅助!$J$4,资金流水!$S$6:$S$2005,"&lt;="&amp;_辅助!$J$2)*(往来单位!$B$64&lt;&gt;"")&gt;0,1,0)</f>
        <v>0</v>
      </c>
    </row>
    <row r="62">
      <c r="A62" s="94">
        <f>IF($X62=0,"",42)</f>
      </c>
      <c r="B62" s="95">
        <f t="shared" si="1"/>
      </c>
      <c r="C62" s="96">
        <f t="shared" si="10"/>
      </c>
      <c r="D62" s="21">
        <f t="shared" si="12"/>
      </c>
      <c r="E62" s="21">
        <f t="shared" si="14"/>
      </c>
      <c r="F62" s="21">
        <f t="shared" si="16"/>
      </c>
      <c r="G62" s="21">
        <f t="shared" si="18"/>
      </c>
      <c r="H62" s="21">
        <f t="shared" si="20"/>
      </c>
      <c r="I62" s="21">
        <f t="shared" si="22"/>
      </c>
      <c r="J62" s="94">
        <f t="shared" si="24"/>
      </c>
      <c r="K62" s="94">
        <f t="shared" si="26"/>
      </c>
      <c r="L62" s="94">
        <f t="shared" si="28"/>
      </c>
      <c r="M62" s="96">
        <f t="shared" si="29"/>
      </c>
      <c r="X62" s="2">
        <f>IF(42&gt;$AA$5,0,MOD(SMALL($AA$6:$AA$2005,42),10000))</f>
        <v>0</v>
      </c>
      <c r="AA62" s="2">
        <f>IF(AND(ISNUMBER(资金流水!$B$62),ISNUMBER(资金流水!$S$62),资金流水!$S$62&gt;=_辅助!$J$4,资金流水!$S$62&lt;=_辅助!$J$2,OR(资金流水!$C$62=$C$18,AND(资金流水!$AD$62=$C$18,资金流水!$X$62="账户互转"),AND($E$18&lt;&gt;"",资金流水!$J$62=$E$18,资金流水!$X$62="应付职工薪酬"))),INT(资金流水!$B$62)*10000+57,"")</f>
      </c>
      <c r="AB62" s="2">
        <f>AB50+SUM(CB51:CB62)</f>
        <v>0</v>
      </c>
      <c r="CB62" s="2">
        <f>IF(COUNTIFS(资金流水!$J$6:$J$2005,往来单位!$B$65,资金流水!$X$6:$X$2005,"其他应收款",资金流水!$S$6:$S$2005,"&gt;="&amp;_辅助!$J$4,资金流水!$S$6:$S$2005,"&lt;="&amp;_辅助!$J$2)*(往来单位!$B$65&lt;&gt;"")&gt;0,1,0)</f>
        <v>0</v>
      </c>
    </row>
    <row r="63">
      <c r="A63" s="94">
        <f>IF($X63=0,"",43)</f>
      </c>
      <c r="B63" s="95">
        <f t="shared" si="1"/>
      </c>
      <c r="C63" s="96">
        <f t="shared" si="10"/>
      </c>
      <c r="D63" s="21">
        <f t="shared" si="12"/>
      </c>
      <c r="E63" s="21">
        <f t="shared" si="14"/>
      </c>
      <c r="F63" s="21">
        <f t="shared" si="16"/>
      </c>
      <c r="G63" s="21">
        <f t="shared" si="18"/>
      </c>
      <c r="H63" s="21">
        <f t="shared" si="20"/>
      </c>
      <c r="I63" s="21">
        <f t="shared" si="22"/>
      </c>
      <c r="J63" s="94">
        <f t="shared" si="24"/>
      </c>
      <c r="K63" s="94">
        <f t="shared" si="26"/>
      </c>
      <c r="L63" s="94">
        <f t="shared" si="28"/>
      </c>
      <c r="M63" s="96">
        <f t="shared" si="29"/>
      </c>
      <c r="X63" s="2">
        <f>IF(43&gt;$AA$5,0,MOD(SMALL($AA$6:$AA$2005,43),10000))</f>
        <v>0</v>
      </c>
      <c r="AA63" s="2">
        <f>IF(AND(ISNUMBER(资金流水!$B$63),ISNUMBER(资金流水!$S$63),资金流水!$S$63&gt;=_辅助!$J$4,资金流水!$S$63&lt;=_辅助!$J$2,OR(资金流水!$C$63=$C$18,AND(资金流水!$AD$63=$C$18,资金流水!$X$63="账户互转"),AND($E$18&lt;&gt;"",资金流水!$J$63=$E$18,资金流水!$X$63="应付职工薪酬"))),INT(资金流水!$B$63)*10000+58,"")</f>
      </c>
      <c r="AB63" s="2">
        <f>AB50+SUM(CB51:CB63)</f>
        <v>0</v>
      </c>
      <c r="CB63" s="2">
        <f>IF(COUNTIFS(资金流水!$J$6:$J$2005,往来单位!$B$66,资金流水!$X$6:$X$2005,"其他应收款",资金流水!$S$6:$S$2005,"&gt;="&amp;_辅助!$J$4,资金流水!$S$6:$S$2005,"&lt;="&amp;_辅助!$J$2)*(往来单位!$B$66&lt;&gt;"")&gt;0,1,0)</f>
        <v>0</v>
      </c>
    </row>
    <row r="64">
      <c r="A64" s="94">
        <f>IF($X64=0,"",44)</f>
      </c>
      <c r="B64" s="95">
        <f t="shared" si="1"/>
      </c>
      <c r="C64" s="96">
        <f t="shared" si="10"/>
      </c>
      <c r="D64" s="21">
        <f t="shared" si="12"/>
      </c>
      <c r="E64" s="21">
        <f t="shared" si="14"/>
      </c>
      <c r="F64" s="21">
        <f t="shared" si="16"/>
      </c>
      <c r="G64" s="21">
        <f t="shared" si="18"/>
      </c>
      <c r="H64" s="21">
        <f t="shared" si="20"/>
      </c>
      <c r="I64" s="21">
        <f t="shared" si="22"/>
      </c>
      <c r="J64" s="94">
        <f t="shared" si="24"/>
      </c>
      <c r="K64" s="94">
        <f t="shared" si="26"/>
      </c>
      <c r="L64" s="94">
        <f t="shared" si="28"/>
      </c>
      <c r="M64" s="96">
        <f t="shared" si="29"/>
      </c>
      <c r="X64" s="2">
        <f>IF(44&gt;$AA$5,0,MOD(SMALL($AA$6:$AA$2005,44),10000))</f>
        <v>0</v>
      </c>
      <c r="AA64" s="2">
        <f>IF(AND(ISNUMBER(资金流水!$B$64),ISNUMBER(资金流水!$S$64),资金流水!$S$64&gt;=_辅助!$J$4,资金流水!$S$64&lt;=_辅助!$J$2,OR(资金流水!$C$64=$C$18,AND(资金流水!$AD$64=$C$18,资金流水!$X$64="账户互转"),AND($E$18&lt;&gt;"",资金流水!$J$64=$E$18,资金流水!$X$64="应付职工薪酬"))),INT(资金流水!$B$64)*10000+59,"")</f>
      </c>
      <c r="AB64" s="2">
        <f>AB50+SUM(CB51:CB64)</f>
        <v>0</v>
      </c>
      <c r="CB64" s="2">
        <f>IF(COUNTIFS(资金流水!$J$6:$J$2005,往来单位!$B$67,资金流水!$X$6:$X$2005,"其他应收款",资金流水!$S$6:$S$2005,"&gt;="&amp;_辅助!$J$4,资金流水!$S$6:$S$2005,"&lt;="&amp;_辅助!$J$2)*(往来单位!$B$67&lt;&gt;"")&gt;0,1,0)</f>
        <v>0</v>
      </c>
    </row>
    <row r="65">
      <c r="A65" s="94">
        <f>IF($X65=0,"",45)</f>
      </c>
      <c r="B65" s="95">
        <f t="shared" si="1"/>
      </c>
      <c r="C65" s="96">
        <f t="shared" si="10"/>
      </c>
      <c r="D65" s="21">
        <f t="shared" si="12"/>
      </c>
      <c r="E65" s="21">
        <f t="shared" si="14"/>
      </c>
      <c r="F65" s="21">
        <f t="shared" si="16"/>
      </c>
      <c r="G65" s="21">
        <f t="shared" si="18"/>
      </c>
      <c r="H65" s="21">
        <f t="shared" si="20"/>
      </c>
      <c r="I65" s="21">
        <f t="shared" si="22"/>
      </c>
      <c r="J65" s="94">
        <f t="shared" si="24"/>
      </c>
      <c r="K65" s="94">
        <f t="shared" si="26"/>
      </c>
      <c r="L65" s="94">
        <f t="shared" si="28"/>
      </c>
      <c r="M65" s="96">
        <f t="shared" si="29"/>
      </c>
      <c r="X65" s="2">
        <f>IF(45&gt;$AA$5,0,MOD(SMALL($AA$6:$AA$2005,45),10000))</f>
        <v>0</v>
      </c>
      <c r="AA65" s="2">
        <f>IF(AND(ISNUMBER(资金流水!$B$65),ISNUMBER(资金流水!$S$65),资金流水!$S$65&gt;=_辅助!$J$4,资金流水!$S$65&lt;=_辅助!$J$2,OR(资金流水!$C$65=$C$18,AND(资金流水!$AD$65=$C$18,资金流水!$X$65="账户互转"),AND($E$18&lt;&gt;"",资金流水!$J$65=$E$18,资金流水!$X$65="应付职工薪酬"))),INT(资金流水!$B$65)*10000+60,"")</f>
      </c>
      <c r="AB65" s="2">
        <f>AB50+SUM(CB51:CB65)</f>
        <v>0</v>
      </c>
      <c r="CB65" s="2">
        <f>IF(COUNTIFS(资金流水!$J$6:$J$2005,往来单位!$B$68,资金流水!$X$6:$X$2005,"其他应收款",资金流水!$S$6:$S$2005,"&gt;="&amp;_辅助!$J$4,资金流水!$S$6:$S$2005,"&lt;="&amp;_辅助!$J$2)*(往来单位!$B$68&lt;&gt;"")&gt;0,1,0)</f>
        <v>0</v>
      </c>
    </row>
    <row r="66">
      <c r="A66" s="94">
        <f>IF($X66=0,"",46)</f>
      </c>
      <c r="B66" s="95">
        <f t="shared" si="1"/>
      </c>
      <c r="C66" s="96">
        <f t="shared" si="10"/>
      </c>
      <c r="D66" s="21">
        <f t="shared" si="12"/>
      </c>
      <c r="E66" s="21">
        <f t="shared" si="14"/>
      </c>
      <c r="F66" s="21">
        <f t="shared" si="16"/>
      </c>
      <c r="G66" s="21">
        <f t="shared" si="18"/>
      </c>
      <c r="H66" s="21">
        <f t="shared" si="20"/>
      </c>
      <c r="I66" s="21">
        <f t="shared" si="22"/>
      </c>
      <c r="J66" s="94">
        <f t="shared" si="24"/>
      </c>
      <c r="K66" s="94">
        <f t="shared" si="26"/>
      </c>
      <c r="L66" s="94">
        <f t="shared" si="28"/>
      </c>
      <c r="M66" s="96">
        <f t="shared" si="29"/>
      </c>
      <c r="X66" s="2">
        <f>IF(46&gt;$AA$5,0,MOD(SMALL($AA$6:$AA$2005,46),10000))</f>
        <v>0</v>
      </c>
      <c r="AA66" s="2">
        <f>IF(AND(ISNUMBER(资金流水!$B$66),ISNUMBER(资金流水!$S$66),资金流水!$S$66&gt;=_辅助!$J$4,资金流水!$S$66&lt;=_辅助!$J$2,OR(资金流水!$C$66=$C$18,AND(资金流水!$AD$66=$C$18,资金流水!$X$66="账户互转"),AND($E$18&lt;&gt;"",资金流水!$J$66=$E$18,资金流水!$X$66="应付职工薪酬"))),INT(资金流水!$B$66)*10000+61,"")</f>
      </c>
      <c r="AB66" s="2">
        <f>AB50+SUM(CB51:CB66)</f>
        <v>0</v>
      </c>
      <c r="CB66" s="2">
        <f>IF(COUNTIFS(资金流水!$J$6:$J$2005,往来单位!$B$69,资金流水!$X$6:$X$2005,"其他应收款",资金流水!$S$6:$S$2005,"&gt;="&amp;_辅助!$J$4,资金流水!$S$6:$S$2005,"&lt;="&amp;_辅助!$J$2)*(往来单位!$B$69&lt;&gt;"")&gt;0,1,0)</f>
        <v>0</v>
      </c>
    </row>
    <row r="67">
      <c r="A67" s="94">
        <f>IF($X67=0,"",47)</f>
      </c>
      <c r="B67" s="95">
        <f t="shared" si="1"/>
      </c>
      <c r="C67" s="96">
        <f t="shared" si="10"/>
      </c>
      <c r="D67" s="21">
        <f t="shared" si="12"/>
      </c>
      <c r="E67" s="21">
        <f t="shared" si="14"/>
      </c>
      <c r="F67" s="21">
        <f t="shared" si="16"/>
      </c>
      <c r="G67" s="21">
        <f t="shared" si="18"/>
      </c>
      <c r="H67" s="21">
        <f t="shared" si="20"/>
      </c>
      <c r="I67" s="21">
        <f t="shared" si="22"/>
      </c>
      <c r="J67" s="94">
        <f t="shared" si="24"/>
      </c>
      <c r="K67" s="94">
        <f t="shared" si="26"/>
      </c>
      <c r="L67" s="94">
        <f t="shared" si="28"/>
      </c>
      <c r="M67" s="96">
        <f t="shared" si="29"/>
      </c>
      <c r="X67" s="2">
        <f>IF(47&gt;$AA$5,0,MOD(SMALL($AA$6:$AA$2005,47),10000))</f>
        <v>0</v>
      </c>
      <c r="AA67" s="2">
        <f>IF(AND(ISNUMBER(资金流水!$B$67),ISNUMBER(资金流水!$S$67),资金流水!$S$67&gt;=_辅助!$J$4,资金流水!$S$67&lt;=_辅助!$J$2,OR(资金流水!$C$67=$C$18,AND(资金流水!$AD$67=$C$18,资金流水!$X$67="账户互转"),AND($E$18&lt;&gt;"",资金流水!$J$67=$E$18,资金流水!$X$67="应付职工薪酬"))),INT(资金流水!$B$67)*10000+62,"")</f>
      </c>
      <c r="AB67" s="2">
        <f>AB50+SUM(CB51:CB67)</f>
        <v>0</v>
      </c>
      <c r="CB67" s="2">
        <f>IF(COUNTIFS(资金流水!$J$6:$J$2005,往来单位!$B$70,资金流水!$X$6:$X$2005,"其他应收款",资金流水!$S$6:$S$2005,"&gt;="&amp;_辅助!$J$4,资金流水!$S$6:$S$2005,"&lt;="&amp;_辅助!$J$2)*(往来单位!$B$70&lt;&gt;"")&gt;0,1,0)</f>
        <v>0</v>
      </c>
    </row>
    <row r="68">
      <c r="A68" s="94">
        <f>IF($X68=0,"",48)</f>
      </c>
      <c r="B68" s="95">
        <f t="shared" si="1"/>
      </c>
      <c r="C68" s="96">
        <f t="shared" si="10"/>
      </c>
      <c r="D68" s="21">
        <f t="shared" si="12"/>
      </c>
      <c r="E68" s="21">
        <f t="shared" si="14"/>
      </c>
      <c r="F68" s="21">
        <f t="shared" si="16"/>
      </c>
      <c r="G68" s="21">
        <f t="shared" si="18"/>
      </c>
      <c r="H68" s="21">
        <f t="shared" si="20"/>
      </c>
      <c r="I68" s="21">
        <f t="shared" si="22"/>
      </c>
      <c r="J68" s="94">
        <f t="shared" si="24"/>
      </c>
      <c r="K68" s="94">
        <f t="shared" si="26"/>
      </c>
      <c r="L68" s="94">
        <f t="shared" si="28"/>
      </c>
      <c r="M68" s="96">
        <f t="shared" si="29"/>
      </c>
      <c r="X68" s="2">
        <f>IF(48&gt;$AA$5,0,MOD(SMALL($AA$6:$AA$2005,48),10000))</f>
        <v>0</v>
      </c>
      <c r="AA68" s="2">
        <f>IF(AND(ISNUMBER(资金流水!$B$68),ISNUMBER(资金流水!$S$68),资金流水!$S$68&gt;=_辅助!$J$4,资金流水!$S$68&lt;=_辅助!$J$2,OR(资金流水!$C$68=$C$18,AND(资金流水!$AD$68=$C$18,资金流水!$X$68="账户互转"),AND($E$18&lt;&gt;"",资金流水!$J$68=$E$18,资金流水!$X$68="应付职工薪酬"))),INT(资金流水!$B$68)*10000+63,"")</f>
      </c>
      <c r="AB68" s="2">
        <f>AB50+SUM(CB51:CB68)</f>
        <v>0</v>
      </c>
      <c r="CB68" s="2">
        <f>IF(COUNTIFS(资金流水!$J$6:$J$2005,往来单位!$B$71,资金流水!$X$6:$X$2005,"其他应收款",资金流水!$S$6:$S$2005,"&gt;="&amp;_辅助!$J$4,资金流水!$S$6:$S$2005,"&lt;="&amp;_辅助!$J$2)*(往来单位!$B$71&lt;&gt;"")&gt;0,1,0)</f>
        <v>0</v>
      </c>
    </row>
    <row r="69">
      <c r="A69" s="94">
        <f>IF($X69=0,"",49)</f>
      </c>
      <c r="B69" s="95">
        <f t="shared" si="1"/>
      </c>
      <c r="C69" s="96">
        <f t="shared" si="10"/>
      </c>
      <c r="D69" s="21">
        <f t="shared" si="12"/>
      </c>
      <c r="E69" s="21">
        <f t="shared" si="14"/>
      </c>
      <c r="F69" s="21">
        <f t="shared" si="16"/>
      </c>
      <c r="G69" s="21">
        <f t="shared" si="18"/>
      </c>
      <c r="H69" s="21">
        <f t="shared" si="20"/>
      </c>
      <c r="I69" s="21">
        <f t="shared" si="22"/>
      </c>
      <c r="J69" s="94">
        <f t="shared" si="24"/>
      </c>
      <c r="K69" s="94">
        <f t="shared" si="26"/>
      </c>
      <c r="L69" s="94">
        <f t="shared" si="28"/>
      </c>
      <c r="M69" s="96">
        <f t="shared" si="29"/>
      </c>
      <c r="X69" s="2">
        <f>IF(49&gt;$AA$5,0,MOD(SMALL($AA$6:$AA$2005,49),10000))</f>
        <v>0</v>
      </c>
      <c r="AA69" s="2">
        <f>IF(AND(ISNUMBER(资金流水!$B$69),ISNUMBER(资金流水!$S$69),资金流水!$S$69&gt;=_辅助!$J$4,资金流水!$S$69&lt;=_辅助!$J$2,OR(资金流水!$C$69=$C$18,AND(资金流水!$AD$69=$C$18,资金流水!$X$69="账户互转"),AND($E$18&lt;&gt;"",资金流水!$J$69=$E$18,资金流水!$X$69="应付职工薪酬"))),INT(资金流水!$B$69)*10000+64,"")</f>
      </c>
      <c r="AB69" s="2">
        <f>AB50+SUM(CB51:CB69)</f>
        <v>0</v>
      </c>
      <c r="CB69" s="2">
        <f>IF(COUNTIFS(资金流水!$J$6:$J$2005,往来单位!$B$72,资金流水!$X$6:$X$2005,"其他应收款",资金流水!$S$6:$S$2005,"&gt;="&amp;_辅助!$J$4,资金流水!$S$6:$S$2005,"&lt;="&amp;_辅助!$J$2)*(往来单位!$B$72&lt;&gt;"")&gt;0,1,0)</f>
        <v>0</v>
      </c>
    </row>
    <row r="70">
      <c r="A70" s="94">
        <f>IF($X70=0,"",50)</f>
      </c>
      <c r="B70" s="95">
        <f t="shared" si="1"/>
      </c>
      <c r="C70" s="96">
        <f t="shared" si="10"/>
      </c>
      <c r="D70" s="21">
        <f t="shared" si="12"/>
      </c>
      <c r="E70" s="21">
        <f t="shared" si="14"/>
      </c>
      <c r="F70" s="21">
        <f t="shared" si="16"/>
      </c>
      <c r="G70" s="21">
        <f t="shared" si="18"/>
      </c>
      <c r="H70" s="21">
        <f t="shared" si="20"/>
      </c>
      <c r="I70" s="21">
        <f t="shared" si="22"/>
      </c>
      <c r="J70" s="94">
        <f t="shared" si="24"/>
      </c>
      <c r="K70" s="94">
        <f t="shared" si="26"/>
      </c>
      <c r="L70" s="94">
        <f t="shared" si="28"/>
      </c>
      <c r="M70" s="96">
        <f t="shared" si="29"/>
      </c>
      <c r="X70" s="2">
        <f>IF(50&gt;$AA$5,0,MOD(SMALL($AA$6:$AA$2005,50),10000))</f>
        <v>0</v>
      </c>
      <c r="AA70" s="2">
        <f>IF(AND(ISNUMBER(资金流水!$B$70),ISNUMBER(资金流水!$S$70),资金流水!$S$70&gt;=_辅助!$J$4,资金流水!$S$70&lt;=_辅助!$J$2,OR(资金流水!$C$70=$C$18,AND(资金流水!$AD$70=$C$18,资金流水!$X$70="账户互转"),AND($E$18&lt;&gt;"",资金流水!$J$70=$E$18,资金流水!$X$70="应付职工薪酬"))),INT(资金流水!$B$70)*10000+65,"")</f>
      </c>
      <c r="AB70" s="2">
        <f>AB50+SUM(CB51:CB70)</f>
        <v>0</v>
      </c>
      <c r="CB70" s="2">
        <f>IF(COUNTIFS(资金流水!$J$6:$J$2005,往来单位!$B$73,资金流水!$X$6:$X$2005,"其他应收款",资金流水!$S$6:$S$2005,"&gt;="&amp;_辅助!$J$4,资金流水!$S$6:$S$2005,"&lt;="&amp;_辅助!$J$2)*(往来单位!$B$73&lt;&gt;"")&gt;0,1,0)</f>
        <v>0</v>
      </c>
    </row>
    <row r="71">
      <c r="A71" s="94">
        <f>IF($X71=0,"",51)</f>
      </c>
      <c r="B71" s="95">
        <f t="shared" si="1"/>
      </c>
      <c r="C71" s="96">
        <f t="shared" si="10"/>
      </c>
      <c r="D71" s="21">
        <f t="shared" si="12"/>
      </c>
      <c r="E71" s="21">
        <f t="shared" si="14"/>
      </c>
      <c r="F71" s="21">
        <f t="shared" si="16"/>
      </c>
      <c r="G71" s="21">
        <f t="shared" si="18"/>
      </c>
      <c r="H71" s="21">
        <f t="shared" si="20"/>
      </c>
      <c r="I71" s="21">
        <f t="shared" si="22"/>
      </c>
      <c r="J71" s="94">
        <f t="shared" si="24"/>
      </c>
      <c r="K71" s="94">
        <f t="shared" si="26"/>
      </c>
      <c r="L71" s="94">
        <f t="shared" si="28"/>
      </c>
      <c r="M71" s="96">
        <f t="shared" si="29"/>
      </c>
      <c r="X71" s="2">
        <f>IF(51&gt;$AA$5,0,MOD(SMALL($AA$6:$AA$2005,51),10000))</f>
        <v>0</v>
      </c>
      <c r="AA71" s="2">
        <f>IF(AND(ISNUMBER(资金流水!$B$71),ISNUMBER(资金流水!$S$71),资金流水!$S$71&gt;=_辅助!$J$4,资金流水!$S$71&lt;=_辅助!$J$2,OR(资金流水!$C$71=$C$18,AND(资金流水!$AD$71=$C$18,资金流水!$X$71="账户互转"),AND($E$18&lt;&gt;"",资金流水!$J$71=$E$18,资金流水!$X$71="应付职工薪酬"))),INT(资金流水!$B$71)*10000+66,"")</f>
      </c>
      <c r="AB71" s="2">
        <f>AB50+SUM(CB51:CB71)</f>
        <v>0</v>
      </c>
      <c r="CB71" s="2">
        <f>IF(COUNTIFS(资金流水!$J$6:$J$2005,往来单位!$B$74,资金流水!$X$6:$X$2005,"其他应收款",资金流水!$S$6:$S$2005,"&gt;="&amp;_辅助!$J$4,资金流水!$S$6:$S$2005,"&lt;="&amp;_辅助!$J$2)*(往来单位!$B$74&lt;&gt;"")&gt;0,1,0)</f>
        <v>0</v>
      </c>
    </row>
    <row r="72">
      <c r="A72" s="94">
        <f>IF($X72=0,"",52)</f>
      </c>
      <c r="B72" s="95">
        <f t="shared" si="1"/>
      </c>
      <c r="C72" s="96">
        <f t="shared" si="10"/>
      </c>
      <c r="D72" s="21">
        <f t="shared" si="12"/>
      </c>
      <c r="E72" s="21">
        <f t="shared" si="14"/>
      </c>
      <c r="F72" s="21">
        <f t="shared" si="16"/>
      </c>
      <c r="G72" s="21">
        <f t="shared" si="18"/>
      </c>
      <c r="H72" s="21">
        <f t="shared" si="20"/>
      </c>
      <c r="I72" s="21">
        <f t="shared" si="22"/>
      </c>
      <c r="J72" s="94">
        <f t="shared" si="24"/>
      </c>
      <c r="K72" s="94">
        <f t="shared" si="26"/>
      </c>
      <c r="L72" s="94">
        <f t="shared" si="28"/>
      </c>
      <c r="M72" s="96">
        <f t="shared" si="29"/>
      </c>
      <c r="X72" s="2">
        <f>IF(52&gt;$AA$5,0,MOD(SMALL($AA$6:$AA$2005,52),10000))</f>
        <v>0</v>
      </c>
      <c r="AA72" s="2">
        <f>IF(AND(ISNUMBER(资金流水!$B$72),ISNUMBER(资金流水!$S$72),资金流水!$S$72&gt;=_辅助!$J$4,资金流水!$S$72&lt;=_辅助!$J$2,OR(资金流水!$C$72=$C$18,AND(资金流水!$AD$72=$C$18,资金流水!$X$72="账户互转"),AND($E$18&lt;&gt;"",资金流水!$J$72=$E$18,资金流水!$X$72="应付职工薪酬"))),INT(资金流水!$B$72)*10000+67,"")</f>
      </c>
      <c r="AB72" s="2">
        <f>AB50+SUM(CB51:CB72)</f>
        <v>0</v>
      </c>
      <c r="CB72" s="2">
        <f>IF(COUNTIFS(资金流水!$J$6:$J$2005,往来单位!$B$75,资金流水!$X$6:$X$2005,"其他应收款",资金流水!$S$6:$S$2005,"&gt;="&amp;_辅助!$J$4,资金流水!$S$6:$S$2005,"&lt;="&amp;_辅助!$J$2)*(往来单位!$B$75&lt;&gt;"")&gt;0,1,0)</f>
        <v>0</v>
      </c>
    </row>
    <row r="73">
      <c r="A73" s="94">
        <f>IF($X73=0,"",53)</f>
      </c>
      <c r="B73" s="95">
        <f t="shared" si="1"/>
      </c>
      <c r="C73" s="96">
        <f t="shared" si="10"/>
      </c>
      <c r="D73" s="21">
        <f t="shared" si="12"/>
      </c>
      <c r="E73" s="21">
        <f t="shared" si="14"/>
      </c>
      <c r="F73" s="21">
        <f t="shared" si="16"/>
      </c>
      <c r="G73" s="21">
        <f t="shared" si="18"/>
      </c>
      <c r="H73" s="21">
        <f t="shared" si="20"/>
      </c>
      <c r="I73" s="21">
        <f t="shared" si="22"/>
      </c>
      <c r="J73" s="94">
        <f t="shared" si="24"/>
      </c>
      <c r="K73" s="94">
        <f t="shared" si="26"/>
      </c>
      <c r="L73" s="94">
        <f t="shared" si="28"/>
      </c>
      <c r="M73" s="96">
        <f t="shared" si="29"/>
      </c>
      <c r="X73" s="2">
        <f>IF(53&gt;$AA$5,0,MOD(SMALL($AA$6:$AA$2005,53),10000))</f>
        <v>0</v>
      </c>
      <c r="AA73" s="2">
        <f>IF(AND(ISNUMBER(资金流水!$B$73),ISNUMBER(资金流水!$S$73),资金流水!$S$73&gt;=_辅助!$J$4,资金流水!$S$73&lt;=_辅助!$J$2,OR(资金流水!$C$73=$C$18,AND(资金流水!$AD$73=$C$18,资金流水!$X$73="账户互转"),AND($E$18&lt;&gt;"",资金流水!$J$73=$E$18,资金流水!$X$73="应付职工薪酬"))),INT(资金流水!$B$73)*10000+68,"")</f>
      </c>
      <c r="AB73" s="2">
        <f>AB50+SUM(CB51:CB73)</f>
        <v>0</v>
      </c>
      <c r="CB73" s="2">
        <f>IF(COUNTIFS(资金流水!$J$6:$J$2005,往来单位!$B$76,资金流水!$X$6:$X$2005,"其他应收款",资金流水!$S$6:$S$2005,"&gt;="&amp;_辅助!$J$4,资金流水!$S$6:$S$2005,"&lt;="&amp;_辅助!$J$2)*(往来单位!$B$76&lt;&gt;"")&gt;0,1,0)</f>
        <v>0</v>
      </c>
    </row>
    <row r="74">
      <c r="A74" s="94">
        <f>IF($X74=0,"",54)</f>
      </c>
      <c r="B74" s="95">
        <f t="shared" si="1"/>
      </c>
      <c r="C74" s="96">
        <f t="shared" si="10"/>
      </c>
      <c r="D74" s="21">
        <f t="shared" si="12"/>
      </c>
      <c r="E74" s="21">
        <f t="shared" si="14"/>
      </c>
      <c r="F74" s="21">
        <f t="shared" si="16"/>
      </c>
      <c r="G74" s="21">
        <f t="shared" si="18"/>
      </c>
      <c r="H74" s="21">
        <f t="shared" si="20"/>
      </c>
      <c r="I74" s="21">
        <f t="shared" si="22"/>
      </c>
      <c r="J74" s="94">
        <f t="shared" si="24"/>
      </c>
      <c r="K74" s="94">
        <f t="shared" si="26"/>
      </c>
      <c r="L74" s="94">
        <f t="shared" si="28"/>
      </c>
      <c r="M74" s="96">
        <f t="shared" si="29"/>
      </c>
      <c r="X74" s="2">
        <f>IF(54&gt;$AA$5,0,MOD(SMALL($AA$6:$AA$2005,54),10000))</f>
        <v>0</v>
      </c>
      <c r="AA74" s="2">
        <f>IF(AND(ISNUMBER(资金流水!$B$74),ISNUMBER(资金流水!$S$74),资金流水!$S$74&gt;=_辅助!$J$4,资金流水!$S$74&lt;=_辅助!$J$2,OR(资金流水!$C$74=$C$18,AND(资金流水!$AD$74=$C$18,资金流水!$X$74="账户互转"),AND($E$18&lt;&gt;"",资金流水!$J$74=$E$18,资金流水!$X$74="应付职工薪酬"))),INT(资金流水!$B$74)*10000+69,"")</f>
      </c>
      <c r="AB74" s="2">
        <f>AB50+SUM(CB51:CB74)</f>
        <v>0</v>
      </c>
      <c r="CB74" s="2">
        <f>IF(COUNTIFS(资金流水!$J$6:$J$2005,往来单位!$B$77,资金流水!$X$6:$X$2005,"其他应收款",资金流水!$S$6:$S$2005,"&gt;="&amp;_辅助!$J$4,资金流水!$S$6:$S$2005,"&lt;="&amp;_辅助!$J$2)*(往来单位!$B$77&lt;&gt;"")&gt;0,1,0)</f>
        <v>0</v>
      </c>
    </row>
    <row r="75">
      <c r="A75" s="94">
        <f>IF($X75=0,"",55)</f>
      </c>
      <c r="B75" s="95">
        <f t="shared" si="1"/>
      </c>
      <c r="C75" s="96">
        <f t="shared" si="10"/>
      </c>
      <c r="D75" s="21">
        <f t="shared" si="12"/>
      </c>
      <c r="E75" s="21">
        <f t="shared" si="14"/>
      </c>
      <c r="F75" s="21">
        <f t="shared" si="16"/>
      </c>
      <c r="G75" s="21">
        <f t="shared" si="18"/>
      </c>
      <c r="H75" s="21">
        <f t="shared" si="20"/>
      </c>
      <c r="I75" s="21">
        <f t="shared" si="22"/>
      </c>
      <c r="J75" s="94">
        <f t="shared" si="24"/>
      </c>
      <c r="K75" s="94">
        <f t="shared" si="26"/>
      </c>
      <c r="L75" s="94">
        <f t="shared" si="28"/>
      </c>
      <c r="M75" s="96">
        <f t="shared" si="29"/>
      </c>
      <c r="X75" s="2">
        <f>IF(55&gt;$AA$5,0,MOD(SMALL($AA$6:$AA$2005,55),10000))</f>
        <v>0</v>
      </c>
      <c r="AA75" s="2">
        <f>IF(AND(ISNUMBER(资金流水!$B$75),ISNUMBER(资金流水!$S$75),资金流水!$S$75&gt;=_辅助!$J$4,资金流水!$S$75&lt;=_辅助!$J$2,OR(资金流水!$C$75=$C$18,AND(资金流水!$AD$75=$C$18,资金流水!$X$75="账户互转"),AND($E$18&lt;&gt;"",资金流水!$J$75=$E$18,资金流水!$X$75="应付职工薪酬"))),INT(资金流水!$B$75)*10000+70,"")</f>
      </c>
      <c r="AB75" s="2">
        <f>AB50+SUM(CB51:CB75)</f>
        <v>0</v>
      </c>
      <c r="CB75" s="2">
        <f>IF(COUNTIFS(资金流水!$J$6:$J$2005,往来单位!$B$78,资金流水!$X$6:$X$2005,"其他应收款",资金流水!$S$6:$S$2005,"&gt;="&amp;_辅助!$J$4,资金流水!$S$6:$S$2005,"&lt;="&amp;_辅助!$J$2)*(往来单位!$B$78&lt;&gt;"")&gt;0,1,0)</f>
        <v>0</v>
      </c>
    </row>
    <row r="76">
      <c r="A76" s="94">
        <f>IF($X76=0,"",56)</f>
      </c>
      <c r="B76" s="95">
        <f t="shared" si="1"/>
      </c>
      <c r="C76" s="96">
        <f t="shared" si="10"/>
      </c>
      <c r="D76" s="21">
        <f t="shared" si="12"/>
      </c>
      <c r="E76" s="21">
        <f t="shared" si="14"/>
      </c>
      <c r="F76" s="21">
        <f t="shared" si="16"/>
      </c>
      <c r="G76" s="21">
        <f t="shared" si="18"/>
      </c>
      <c r="H76" s="21">
        <f t="shared" si="20"/>
      </c>
      <c r="I76" s="21">
        <f t="shared" si="22"/>
      </c>
      <c r="J76" s="94">
        <f t="shared" si="24"/>
      </c>
      <c r="K76" s="94">
        <f t="shared" si="26"/>
      </c>
      <c r="L76" s="94">
        <f t="shared" si="28"/>
      </c>
      <c r="M76" s="96">
        <f t="shared" si="29"/>
      </c>
      <c r="X76" s="2">
        <f>IF(56&gt;$AA$5,0,MOD(SMALL($AA$6:$AA$2005,56),10000))</f>
        <v>0</v>
      </c>
      <c r="AA76" s="2">
        <f>IF(AND(ISNUMBER(资金流水!$B$76),ISNUMBER(资金流水!$S$76),资金流水!$S$76&gt;=_辅助!$J$4,资金流水!$S$76&lt;=_辅助!$J$2,OR(资金流水!$C$76=$C$18,AND(资金流水!$AD$76=$C$18,资金流水!$X$76="账户互转"),AND($E$18&lt;&gt;"",资金流水!$J$76=$E$18,资金流水!$X$76="应付职工薪酬"))),INT(资金流水!$B$76)*10000+71,"")</f>
      </c>
      <c r="AB76" s="2">
        <f>AB50+SUM(CB51:CB76)</f>
        <v>0</v>
      </c>
      <c r="CB76" s="2">
        <f>IF(COUNTIFS(资金流水!$J$6:$J$2005,往来单位!$B$79,资金流水!$X$6:$X$2005,"其他应收款",资金流水!$S$6:$S$2005,"&gt;="&amp;_辅助!$J$4,资金流水!$S$6:$S$2005,"&lt;="&amp;_辅助!$J$2)*(往来单位!$B$79&lt;&gt;"")&gt;0,1,0)</f>
        <v>0</v>
      </c>
    </row>
    <row r="77">
      <c r="A77" s="94">
        <f>IF($X77=0,"",57)</f>
      </c>
      <c r="B77" s="95">
        <f t="shared" si="1"/>
      </c>
      <c r="C77" s="96">
        <f t="shared" si="10"/>
      </c>
      <c r="D77" s="21">
        <f t="shared" si="12"/>
      </c>
      <c r="E77" s="21">
        <f t="shared" si="14"/>
      </c>
      <c r="F77" s="21">
        <f t="shared" si="16"/>
      </c>
      <c r="G77" s="21">
        <f t="shared" si="18"/>
      </c>
      <c r="H77" s="21">
        <f t="shared" si="20"/>
      </c>
      <c r="I77" s="21">
        <f t="shared" si="22"/>
      </c>
      <c r="J77" s="94">
        <f t="shared" si="24"/>
      </c>
      <c r="K77" s="94">
        <f t="shared" si="26"/>
      </c>
      <c r="L77" s="94">
        <f t="shared" si="28"/>
      </c>
      <c r="M77" s="96">
        <f t="shared" si="29"/>
      </c>
      <c r="X77" s="2">
        <f>IF(57&gt;$AA$5,0,MOD(SMALL($AA$6:$AA$2005,57),10000))</f>
        <v>0</v>
      </c>
      <c r="AA77" s="2">
        <f>IF(AND(ISNUMBER(资金流水!$B$77),ISNUMBER(资金流水!$S$77),资金流水!$S$77&gt;=_辅助!$J$4,资金流水!$S$77&lt;=_辅助!$J$2,OR(资金流水!$C$77=$C$18,AND(资金流水!$AD$77=$C$18,资金流水!$X$77="账户互转"),AND($E$18&lt;&gt;"",资金流水!$J$77=$E$18,资金流水!$X$77="应付职工薪酬"))),INT(资金流水!$B$77)*10000+72,"")</f>
      </c>
      <c r="AB77" s="2">
        <f>AB50+SUM(CB51:CB77)</f>
        <v>0</v>
      </c>
      <c r="CB77" s="2">
        <f>IF(COUNTIFS(资金流水!$J$6:$J$2005,往来单位!$B$80,资金流水!$X$6:$X$2005,"其他应收款",资金流水!$S$6:$S$2005,"&gt;="&amp;_辅助!$J$4,资金流水!$S$6:$S$2005,"&lt;="&amp;_辅助!$J$2)*(往来单位!$B$80&lt;&gt;"")&gt;0,1,0)</f>
        <v>0</v>
      </c>
    </row>
    <row r="78">
      <c r="A78" s="94">
        <f>IF($X78=0,"",58)</f>
      </c>
      <c r="B78" s="95">
        <f t="shared" si="1"/>
      </c>
      <c r="C78" s="96">
        <f t="shared" si="10"/>
      </c>
      <c r="D78" s="21">
        <f t="shared" si="12"/>
      </c>
      <c r="E78" s="21">
        <f t="shared" si="14"/>
      </c>
      <c r="F78" s="21">
        <f t="shared" si="16"/>
      </c>
      <c r="G78" s="21">
        <f t="shared" si="18"/>
      </c>
      <c r="H78" s="21">
        <f t="shared" si="20"/>
      </c>
      <c r="I78" s="21">
        <f t="shared" si="22"/>
      </c>
      <c r="J78" s="94">
        <f t="shared" si="24"/>
      </c>
      <c r="K78" s="94">
        <f t="shared" si="26"/>
      </c>
      <c r="L78" s="94">
        <f t="shared" si="28"/>
      </c>
      <c r="M78" s="96">
        <f t="shared" si="29"/>
      </c>
      <c r="X78" s="2">
        <f>IF(58&gt;$AA$5,0,MOD(SMALL($AA$6:$AA$2005,58),10000))</f>
        <v>0</v>
      </c>
      <c r="AA78" s="2">
        <f>IF(AND(ISNUMBER(资金流水!$B$78),ISNUMBER(资金流水!$S$78),资金流水!$S$78&gt;=_辅助!$J$4,资金流水!$S$78&lt;=_辅助!$J$2,OR(资金流水!$C$78=$C$18,AND(资金流水!$AD$78=$C$18,资金流水!$X$78="账户互转"),AND($E$18&lt;&gt;"",资金流水!$J$78=$E$18,资金流水!$X$78="应付职工薪酬"))),INT(资金流水!$B$78)*10000+73,"")</f>
      </c>
      <c r="AB78" s="2">
        <f>AB50+SUM(CB51:CB78)</f>
        <v>0</v>
      </c>
      <c r="CB78" s="2">
        <f>IF(COUNTIFS(资金流水!$J$6:$J$2005,往来单位!$B$81,资金流水!$X$6:$X$2005,"其他应收款",资金流水!$S$6:$S$2005,"&gt;="&amp;_辅助!$J$4,资金流水!$S$6:$S$2005,"&lt;="&amp;_辅助!$J$2)*(往来单位!$B$81&lt;&gt;"")&gt;0,1,0)</f>
        <v>0</v>
      </c>
    </row>
    <row r="79">
      <c r="A79" s="94">
        <f>IF($X79=0,"",59)</f>
      </c>
      <c r="B79" s="95">
        <f t="shared" si="1"/>
      </c>
      <c r="C79" s="96">
        <f t="shared" si="10"/>
      </c>
      <c r="D79" s="21">
        <f t="shared" si="12"/>
      </c>
      <c r="E79" s="21">
        <f t="shared" si="14"/>
      </c>
      <c r="F79" s="21">
        <f t="shared" si="16"/>
      </c>
      <c r="G79" s="21">
        <f t="shared" si="18"/>
      </c>
      <c r="H79" s="21">
        <f t="shared" si="20"/>
      </c>
      <c r="I79" s="21">
        <f t="shared" si="22"/>
      </c>
      <c r="J79" s="94">
        <f t="shared" si="24"/>
      </c>
      <c r="K79" s="94">
        <f t="shared" si="26"/>
      </c>
      <c r="L79" s="94">
        <f t="shared" si="28"/>
      </c>
      <c r="M79" s="96">
        <f t="shared" si="29"/>
      </c>
      <c r="X79" s="2">
        <f>IF(59&gt;$AA$5,0,MOD(SMALL($AA$6:$AA$2005,59),10000))</f>
        <v>0</v>
      </c>
      <c r="AA79" s="2">
        <f>IF(AND(ISNUMBER(资金流水!$B$79),ISNUMBER(资金流水!$S$79),资金流水!$S$79&gt;=_辅助!$J$4,资金流水!$S$79&lt;=_辅助!$J$2,OR(资金流水!$C$79=$C$18,AND(资金流水!$AD$79=$C$18,资金流水!$X$79="账户互转"),AND($E$18&lt;&gt;"",资金流水!$J$79=$E$18,资金流水!$X$79="应付职工薪酬"))),INT(资金流水!$B$79)*10000+74,"")</f>
      </c>
      <c r="AB79" s="2">
        <f>AB50+SUM(CB51:CB79)</f>
        <v>0</v>
      </c>
      <c r="CB79" s="2">
        <f>IF(COUNTIFS(资金流水!$J$6:$J$2005,往来单位!$B$82,资金流水!$X$6:$X$2005,"其他应收款",资金流水!$S$6:$S$2005,"&gt;="&amp;_辅助!$J$4,资金流水!$S$6:$S$2005,"&lt;="&amp;_辅助!$J$2)*(往来单位!$B$82&lt;&gt;"")&gt;0,1,0)</f>
        <v>0</v>
      </c>
    </row>
    <row r="80">
      <c r="A80" s="94">
        <f>IF($X80=0,"",60)</f>
      </c>
      <c r="B80" s="95">
        <f t="shared" si="1"/>
      </c>
      <c r="C80" s="96">
        <f t="shared" si="10"/>
      </c>
      <c r="D80" s="21">
        <f t="shared" si="12"/>
      </c>
      <c r="E80" s="21">
        <f t="shared" si="14"/>
      </c>
      <c r="F80" s="21">
        <f t="shared" si="16"/>
      </c>
      <c r="G80" s="21">
        <f t="shared" si="18"/>
      </c>
      <c r="H80" s="21">
        <f t="shared" si="20"/>
      </c>
      <c r="I80" s="21">
        <f t="shared" si="22"/>
      </c>
      <c r="J80" s="94">
        <f t="shared" si="24"/>
      </c>
      <c r="K80" s="94">
        <f t="shared" si="26"/>
      </c>
      <c r="L80" s="94">
        <f t="shared" si="28"/>
      </c>
      <c r="M80" s="96">
        <f t="shared" si="29"/>
      </c>
      <c r="X80" s="2">
        <f>IF(60&gt;$AA$5,0,MOD(SMALL($AA$6:$AA$2005,60),10000))</f>
        <v>0</v>
      </c>
      <c r="AA80" s="2">
        <f>IF(AND(ISNUMBER(资金流水!$B$80),ISNUMBER(资金流水!$S$80),资金流水!$S$80&gt;=_辅助!$J$4,资金流水!$S$80&lt;=_辅助!$J$2,OR(资金流水!$C$80=$C$18,AND(资金流水!$AD$80=$C$18,资金流水!$X$80="账户互转"),AND($E$18&lt;&gt;"",资金流水!$J$80=$E$18,资金流水!$X$80="应付职工薪酬"))),INT(资金流水!$B$80)*10000+75,"")</f>
      </c>
      <c r="AB80" s="2">
        <f>AB50+SUM(CB51:CB80)</f>
        <v>0</v>
      </c>
      <c r="CB80" s="2">
        <f>IF(COUNTIFS(资金流水!$J$6:$J$2005,往来单位!$B$83,资金流水!$X$6:$X$2005,"其他应收款",资金流水!$S$6:$S$2005,"&gt;="&amp;_辅助!$J$4,资金流水!$S$6:$S$2005,"&lt;="&amp;_辅助!$J$2)*(往来单位!$B$83&lt;&gt;"")&gt;0,1,0)</f>
        <v>0</v>
      </c>
    </row>
    <row r="81">
      <c r="A81" s="94">
        <f>IF($X81=0,"",61)</f>
      </c>
      <c r="B81" s="95">
        <f t="shared" si="1"/>
      </c>
      <c r="C81" s="96">
        <f t="shared" si="10"/>
      </c>
      <c r="D81" s="21">
        <f t="shared" si="12"/>
      </c>
      <c r="E81" s="21">
        <f t="shared" si="14"/>
      </c>
      <c r="F81" s="21">
        <f t="shared" si="16"/>
      </c>
      <c r="G81" s="21">
        <f t="shared" si="18"/>
      </c>
      <c r="H81" s="21">
        <f t="shared" si="20"/>
      </c>
      <c r="I81" s="21">
        <f t="shared" si="22"/>
      </c>
      <c r="J81" s="94">
        <f t="shared" si="24"/>
      </c>
      <c r="K81" s="94">
        <f t="shared" si="26"/>
      </c>
      <c r="L81" s="94">
        <f t="shared" si="28"/>
      </c>
      <c r="M81" s="96">
        <f t="shared" si="29"/>
      </c>
      <c r="X81" s="2">
        <f>IF(61&gt;$AA$5,0,MOD(SMALL($AA$6:$AA$2005,61),10000))</f>
        <v>0</v>
      </c>
      <c r="AA81" s="2">
        <f>IF(AND(ISNUMBER(资金流水!$B$81),ISNUMBER(资金流水!$S$81),资金流水!$S$81&gt;=_辅助!$J$4,资金流水!$S$81&lt;=_辅助!$J$2,OR(资金流水!$C$81=$C$18,AND(资金流水!$AD$81=$C$18,资金流水!$X$81="账户互转"),AND($E$18&lt;&gt;"",资金流水!$J$81=$E$18,资金流水!$X$81="应付职工薪酬"))),INT(资金流水!$B$81)*10000+76,"")</f>
      </c>
      <c r="AB81" s="2">
        <f>AB50+SUM(CB51:CB81)</f>
        <v>0</v>
      </c>
      <c r="CB81" s="2">
        <f>IF(COUNTIFS(资金流水!$J$6:$J$2005,往来单位!$B$84,资金流水!$X$6:$X$2005,"其他应收款",资金流水!$S$6:$S$2005,"&gt;="&amp;_辅助!$J$4,资金流水!$S$6:$S$2005,"&lt;="&amp;_辅助!$J$2)*(往来单位!$B$84&lt;&gt;"")&gt;0,1,0)</f>
        <v>0</v>
      </c>
    </row>
    <row r="82">
      <c r="A82" s="94">
        <f>IF($X82=0,"",62)</f>
      </c>
      <c r="B82" s="95">
        <f t="shared" si="1"/>
      </c>
      <c r="C82" s="96">
        <f t="shared" si="10"/>
      </c>
      <c r="D82" s="21">
        <f t="shared" si="12"/>
      </c>
      <c r="E82" s="21">
        <f t="shared" si="14"/>
      </c>
      <c r="F82" s="21">
        <f t="shared" si="16"/>
      </c>
      <c r="G82" s="21">
        <f t="shared" si="18"/>
      </c>
      <c r="H82" s="21">
        <f t="shared" si="20"/>
      </c>
      <c r="I82" s="21">
        <f t="shared" si="22"/>
      </c>
      <c r="J82" s="94">
        <f t="shared" si="24"/>
      </c>
      <c r="K82" s="94">
        <f t="shared" si="26"/>
      </c>
      <c r="L82" s="94">
        <f t="shared" si="28"/>
      </c>
      <c r="M82" s="96">
        <f t="shared" si="29"/>
      </c>
      <c r="X82" s="2">
        <f>IF(62&gt;$AA$5,0,MOD(SMALL($AA$6:$AA$2005,62),10000))</f>
        <v>0</v>
      </c>
      <c r="AA82" s="2">
        <f>IF(AND(ISNUMBER(资金流水!$B$82),ISNUMBER(资金流水!$S$82),资金流水!$S$82&gt;=_辅助!$J$4,资金流水!$S$82&lt;=_辅助!$J$2,OR(资金流水!$C$82=$C$18,AND(资金流水!$AD$82=$C$18,资金流水!$X$82="账户互转"),AND($E$18&lt;&gt;"",资金流水!$J$82=$E$18,资金流水!$X$82="应付职工薪酬"))),INT(资金流水!$B$82)*10000+77,"")</f>
      </c>
      <c r="AB82" s="2">
        <f>AB50+SUM(CB51:CB82)</f>
        <v>0</v>
      </c>
      <c r="CB82" s="2">
        <f>IF(COUNTIFS(资金流水!$J$6:$J$2005,往来单位!$B$85,资金流水!$X$6:$X$2005,"其他应收款",资金流水!$S$6:$S$2005,"&gt;="&amp;_辅助!$J$4,资金流水!$S$6:$S$2005,"&lt;="&amp;_辅助!$J$2)*(往来单位!$B$85&lt;&gt;"")&gt;0,1,0)</f>
        <v>0</v>
      </c>
    </row>
    <row r="83">
      <c r="A83" s="94">
        <f>IF($X83=0,"",63)</f>
      </c>
      <c r="B83" s="95">
        <f t="shared" si="1"/>
      </c>
      <c r="C83" s="96">
        <f t="shared" si="10"/>
      </c>
      <c r="D83" s="21">
        <f t="shared" si="12"/>
      </c>
      <c r="E83" s="21">
        <f t="shared" si="14"/>
      </c>
      <c r="F83" s="21">
        <f t="shared" si="16"/>
      </c>
      <c r="G83" s="21">
        <f t="shared" si="18"/>
      </c>
      <c r="H83" s="21">
        <f t="shared" si="20"/>
      </c>
      <c r="I83" s="21">
        <f t="shared" si="22"/>
      </c>
      <c r="J83" s="94">
        <f t="shared" si="24"/>
      </c>
      <c r="K83" s="94">
        <f t="shared" si="26"/>
      </c>
      <c r="L83" s="94">
        <f t="shared" si="28"/>
      </c>
      <c r="M83" s="96">
        <f t="shared" si="29"/>
      </c>
      <c r="X83" s="2">
        <f>IF(63&gt;$AA$5,0,MOD(SMALL($AA$6:$AA$2005,63),10000))</f>
        <v>0</v>
      </c>
      <c r="AA83" s="2">
        <f>IF(AND(ISNUMBER(资金流水!$B$83),ISNUMBER(资金流水!$S$83),资金流水!$S$83&gt;=_辅助!$J$4,资金流水!$S$83&lt;=_辅助!$J$2,OR(资金流水!$C$83=$C$18,AND(资金流水!$AD$83=$C$18,资金流水!$X$83="账户互转"),AND($E$18&lt;&gt;"",资金流水!$J$83=$E$18,资金流水!$X$83="应付职工薪酬"))),INT(资金流水!$B$83)*10000+78,"")</f>
      </c>
      <c r="AB83" s="2">
        <f>AB50+SUM(CB51:CB83)</f>
        <v>0</v>
      </c>
      <c r="CB83" s="2">
        <f>IF(COUNTIFS(资金流水!$J$6:$J$2005,往来单位!$B$86,资金流水!$X$6:$X$2005,"其他应收款",资金流水!$S$6:$S$2005,"&gt;="&amp;_辅助!$J$4,资金流水!$S$6:$S$2005,"&lt;="&amp;_辅助!$J$2)*(往来单位!$B$86&lt;&gt;"")&gt;0,1,0)</f>
        <v>0</v>
      </c>
    </row>
    <row r="84">
      <c r="A84" s="94">
        <f>IF($X84=0,"",64)</f>
      </c>
      <c r="B84" s="95">
        <f t="shared" si="1"/>
      </c>
      <c r="C84" s="96">
        <f t="shared" si="10"/>
      </c>
      <c r="D84" s="21">
        <f t="shared" si="12"/>
      </c>
      <c r="E84" s="21">
        <f t="shared" si="14"/>
      </c>
      <c r="F84" s="21">
        <f t="shared" si="16"/>
      </c>
      <c r="G84" s="21">
        <f t="shared" si="18"/>
      </c>
      <c r="H84" s="21">
        <f t="shared" si="20"/>
      </c>
      <c r="I84" s="21">
        <f t="shared" si="22"/>
      </c>
      <c r="J84" s="94">
        <f t="shared" si="24"/>
      </c>
      <c r="K84" s="94">
        <f t="shared" si="26"/>
      </c>
      <c r="L84" s="94">
        <f t="shared" si="28"/>
      </c>
      <c r="M84" s="96">
        <f t="shared" si="29"/>
      </c>
      <c r="X84" s="2">
        <f>IF(64&gt;$AA$5,0,MOD(SMALL($AA$6:$AA$2005,64),10000))</f>
        <v>0</v>
      </c>
      <c r="AA84" s="2">
        <f>IF(AND(ISNUMBER(资金流水!$B$84),ISNUMBER(资金流水!$S$84),资金流水!$S$84&gt;=_辅助!$J$4,资金流水!$S$84&lt;=_辅助!$J$2,OR(资金流水!$C$84=$C$18,AND(资金流水!$AD$84=$C$18,资金流水!$X$84="账户互转"),AND($E$18&lt;&gt;"",资金流水!$J$84=$E$18,资金流水!$X$84="应付职工薪酬"))),INT(资金流水!$B$84)*10000+79,"")</f>
      </c>
      <c r="AB84" s="2">
        <f>AB50+SUM(CB51:CB84)</f>
        <v>0</v>
      </c>
      <c r="CB84" s="2">
        <f>IF(COUNTIFS(资金流水!$J$6:$J$2005,往来单位!$B$87,资金流水!$X$6:$X$2005,"其他应收款",资金流水!$S$6:$S$2005,"&gt;="&amp;_辅助!$J$4,资金流水!$S$6:$S$2005,"&lt;="&amp;_辅助!$J$2)*(往来单位!$B$87&lt;&gt;"")&gt;0,1,0)</f>
        <v>0</v>
      </c>
    </row>
    <row r="85">
      <c r="A85" s="94">
        <f>IF($X85=0,"",65)</f>
      </c>
      <c r="B85" s="95">
        <f t="shared" si="1"/>
      </c>
      <c r="C85" s="96">
        <f t="shared" si="10"/>
      </c>
      <c r="D85" s="21">
        <f t="shared" si="12"/>
      </c>
      <c r="E85" s="21">
        <f t="shared" si="14"/>
      </c>
      <c r="F85" s="21">
        <f t="shared" si="16"/>
      </c>
      <c r="G85" s="21">
        <f t="shared" si="18"/>
      </c>
      <c r="H85" s="21">
        <f t="shared" si="20"/>
      </c>
      <c r="I85" s="21">
        <f t="shared" si="22"/>
      </c>
      <c r="J85" s="94">
        <f t="shared" si="24"/>
      </c>
      <c r="K85" s="94">
        <f t="shared" si="26"/>
      </c>
      <c r="L85" s="94">
        <f t="shared" si="28"/>
      </c>
      <c r="M85" s="96">
        <f t="shared" si="29"/>
      </c>
      <c r="X85" s="2">
        <f>IF(65&gt;$AA$5,0,MOD(SMALL($AA$6:$AA$2005,65),10000))</f>
        <v>0</v>
      </c>
      <c r="AA85" s="2">
        <f>IF(AND(ISNUMBER(资金流水!$B$85),ISNUMBER(资金流水!$S$85),资金流水!$S$85&gt;=_辅助!$J$4,资金流水!$S$85&lt;=_辅助!$J$2,OR(资金流水!$C$85=$C$18,AND(资金流水!$AD$85=$C$18,资金流水!$X$85="账户互转"),AND($E$18&lt;&gt;"",资金流水!$J$85=$E$18,资金流水!$X$85="应付职工薪酬"))),INT(资金流水!$B$85)*10000+80,"")</f>
      </c>
      <c r="AB85" s="2">
        <f>AB50+SUM(CB51:CB85)</f>
        <v>0</v>
      </c>
      <c r="CB85" s="2">
        <f>IF(COUNTIFS(资金流水!$J$6:$J$2005,往来单位!$B$88,资金流水!$X$6:$X$2005,"其他应收款",资金流水!$S$6:$S$2005,"&gt;="&amp;_辅助!$J$4,资金流水!$S$6:$S$2005,"&lt;="&amp;_辅助!$J$2)*(往来单位!$B$88&lt;&gt;"")&gt;0,1,0)</f>
        <v>0</v>
      </c>
    </row>
    <row r="86">
      <c r="A86" s="94">
        <f>IF($X86=0,"",66)</f>
      </c>
      <c r="B86" s="95">
        <f t="shared" si="1"/>
      </c>
      <c r="C86" s="96">
        <f t="shared" si="10"/>
      </c>
      <c r="D86" s="21">
        <f t="shared" si="12"/>
      </c>
      <c r="E86" s="21">
        <f t="shared" si="14"/>
      </c>
      <c r="F86" s="21">
        <f t="shared" si="16"/>
      </c>
      <c r="G86" s="21">
        <f t="shared" si="18"/>
      </c>
      <c r="H86" s="21">
        <f t="shared" si="20"/>
      </c>
      <c r="I86" s="21">
        <f t="shared" si="22"/>
      </c>
      <c r="J86" s="94">
        <f t="shared" si="24"/>
      </c>
      <c r="K86" s="94">
        <f t="shared" si="26"/>
      </c>
      <c r="L86" s="94">
        <f t="shared" si="28"/>
      </c>
      <c r="M86" s="96">
        <f t="shared" si="29"/>
      </c>
      <c r="X86" s="2">
        <f>IF(66&gt;$AA$5,0,MOD(SMALL($AA$6:$AA$2005,66),10000))</f>
        <v>0</v>
      </c>
      <c r="AA86" s="2">
        <f>IF(AND(ISNUMBER(资金流水!$B$86),ISNUMBER(资金流水!$S$86),资金流水!$S$86&gt;=_辅助!$J$4,资金流水!$S$86&lt;=_辅助!$J$2,OR(资金流水!$C$86=$C$18,AND(资金流水!$AD$86=$C$18,资金流水!$X$86="账户互转"),AND($E$18&lt;&gt;"",资金流水!$J$86=$E$18,资金流水!$X$86="应付职工薪酬"))),INT(资金流水!$B$86)*10000+81,"")</f>
      </c>
      <c r="AB86" s="2">
        <f>AB50+SUM(CB51:CB86)</f>
        <v>0</v>
      </c>
      <c r="CB86" s="2">
        <f>IF(COUNTIFS(资金流水!$J$6:$J$2005,往来单位!$B$89,资金流水!$X$6:$X$2005,"其他应收款",资金流水!$S$6:$S$2005,"&gt;="&amp;_辅助!$J$4,资金流水!$S$6:$S$2005,"&lt;="&amp;_辅助!$J$2)*(往来单位!$B$89&lt;&gt;"")&gt;0,1,0)</f>
        <v>0</v>
      </c>
    </row>
    <row r="87">
      <c r="A87" s="94">
        <f>IF($X87=0,"",67)</f>
      </c>
      <c r="B87" s="95">
        <f t="shared" si="1"/>
      </c>
      <c r="C87" s="96">
        <f t="shared" si="10"/>
      </c>
      <c r="D87" s="21">
        <f t="shared" si="12"/>
      </c>
      <c r="E87" s="21">
        <f t="shared" si="14"/>
      </c>
      <c r="F87" s="21">
        <f t="shared" si="16"/>
      </c>
      <c r="G87" s="21">
        <f t="shared" si="18"/>
      </c>
      <c r="H87" s="21">
        <f t="shared" si="20"/>
      </c>
      <c r="I87" s="21">
        <f t="shared" si="22"/>
      </c>
      <c r="J87" s="94">
        <f t="shared" si="24"/>
      </c>
      <c r="K87" s="94">
        <f t="shared" si="26"/>
      </c>
      <c r="L87" s="94">
        <f t="shared" si="28"/>
      </c>
      <c r="M87" s="96">
        <f t="shared" si="29"/>
      </c>
      <c r="X87" s="2">
        <f>IF(67&gt;$AA$5,0,MOD(SMALL($AA$6:$AA$2005,67),10000))</f>
        <v>0</v>
      </c>
      <c r="AA87" s="2">
        <f>IF(AND(ISNUMBER(资金流水!$B$87),ISNUMBER(资金流水!$S$87),资金流水!$S$87&gt;=_辅助!$J$4,资金流水!$S$87&lt;=_辅助!$J$2,OR(资金流水!$C$87=$C$18,AND(资金流水!$AD$87=$C$18,资金流水!$X$87="账户互转"),AND($E$18&lt;&gt;"",资金流水!$J$87=$E$18,资金流水!$X$87="应付职工薪酬"))),INT(资金流水!$B$87)*10000+82,"")</f>
      </c>
      <c r="AB87" s="2">
        <f>AB50+SUM(CB51:CB87)</f>
        <v>0</v>
      </c>
      <c r="CB87" s="2">
        <f>IF(COUNTIFS(资金流水!$J$6:$J$2005,往来单位!$B$90,资金流水!$X$6:$X$2005,"其他应收款",资金流水!$S$6:$S$2005,"&gt;="&amp;_辅助!$J$4,资金流水!$S$6:$S$2005,"&lt;="&amp;_辅助!$J$2)*(往来单位!$B$90&lt;&gt;"")&gt;0,1,0)</f>
        <v>0</v>
      </c>
    </row>
    <row r="88">
      <c r="A88" s="94">
        <f>IF($X88=0,"",68)</f>
      </c>
      <c r="B88" s="95">
        <f t="shared" si="1"/>
      </c>
      <c r="C88" s="96">
        <f t="shared" si="10"/>
      </c>
      <c r="D88" s="21">
        <f t="shared" si="12"/>
      </c>
      <c r="E88" s="21">
        <f t="shared" si="14"/>
      </c>
      <c r="F88" s="21">
        <f t="shared" si="16"/>
      </c>
      <c r="G88" s="21">
        <f t="shared" si="18"/>
      </c>
      <c r="H88" s="21">
        <f t="shared" si="20"/>
      </c>
      <c r="I88" s="21">
        <f t="shared" si="22"/>
      </c>
      <c r="J88" s="94">
        <f t="shared" si="24"/>
      </c>
      <c r="K88" s="94">
        <f t="shared" si="26"/>
      </c>
      <c r="L88" s="94">
        <f t="shared" si="28"/>
      </c>
      <c r="M88" s="96">
        <f t="shared" si="29"/>
      </c>
      <c r="X88" s="2">
        <f>IF(68&gt;$AA$5,0,MOD(SMALL($AA$6:$AA$2005,68),10000))</f>
        <v>0</v>
      </c>
      <c r="AA88" s="2">
        <f>IF(AND(ISNUMBER(资金流水!$B$88),ISNUMBER(资金流水!$S$88),资金流水!$S$88&gt;=_辅助!$J$4,资金流水!$S$88&lt;=_辅助!$J$2,OR(资金流水!$C$88=$C$18,AND(资金流水!$AD$88=$C$18,资金流水!$X$88="账户互转"),AND($E$18&lt;&gt;"",资金流水!$J$88=$E$18,资金流水!$X$88="应付职工薪酬"))),INT(资金流水!$B$88)*10000+83,"")</f>
      </c>
      <c r="AB88" s="2">
        <f>AB50+SUM(CB51:CB88)</f>
        <v>0</v>
      </c>
      <c r="CB88" s="2">
        <f>IF(COUNTIFS(资金流水!$J$6:$J$2005,往来单位!$B$91,资金流水!$X$6:$X$2005,"其他应收款",资金流水!$S$6:$S$2005,"&gt;="&amp;_辅助!$J$4,资金流水!$S$6:$S$2005,"&lt;="&amp;_辅助!$J$2)*(往来单位!$B$91&lt;&gt;"")&gt;0,1,0)</f>
        <v>0</v>
      </c>
    </row>
    <row r="89">
      <c r="A89" s="94">
        <f>IF($X89=0,"",69)</f>
      </c>
      <c r="B89" s="95">
        <f t="shared" si="1"/>
      </c>
      <c r="C89" s="96">
        <f t="shared" si="10"/>
      </c>
      <c r="D89" s="21">
        <f t="shared" si="12"/>
      </c>
      <c r="E89" s="21">
        <f t="shared" si="14"/>
      </c>
      <c r="F89" s="21">
        <f t="shared" si="16"/>
      </c>
      <c r="G89" s="21">
        <f t="shared" si="18"/>
      </c>
      <c r="H89" s="21">
        <f t="shared" si="20"/>
      </c>
      <c r="I89" s="21">
        <f t="shared" si="22"/>
      </c>
      <c r="J89" s="94">
        <f t="shared" si="24"/>
      </c>
      <c r="K89" s="94">
        <f t="shared" si="26"/>
      </c>
      <c r="L89" s="94">
        <f t="shared" si="28"/>
      </c>
      <c r="M89" s="96">
        <f t="shared" si="29"/>
      </c>
      <c r="X89" s="2">
        <f>IF(69&gt;$AA$5,0,MOD(SMALL($AA$6:$AA$2005,69),10000))</f>
        <v>0</v>
      </c>
      <c r="AA89" s="2">
        <f>IF(AND(ISNUMBER(资金流水!$B$89),ISNUMBER(资金流水!$S$89),资金流水!$S$89&gt;=_辅助!$J$4,资金流水!$S$89&lt;=_辅助!$J$2,OR(资金流水!$C$89=$C$18,AND(资金流水!$AD$89=$C$18,资金流水!$X$89="账户互转"),AND($E$18&lt;&gt;"",资金流水!$J$89=$E$18,资金流水!$X$89="应付职工薪酬"))),INT(资金流水!$B$89)*10000+84,"")</f>
      </c>
      <c r="AB89" s="2">
        <f>AB50+SUM(CB51:CB89)</f>
        <v>0</v>
      </c>
      <c r="CB89" s="2">
        <f>IF(COUNTIFS(资金流水!$J$6:$J$2005,往来单位!$B$92,资金流水!$X$6:$X$2005,"其他应收款",资金流水!$S$6:$S$2005,"&gt;="&amp;_辅助!$J$4,资金流水!$S$6:$S$2005,"&lt;="&amp;_辅助!$J$2)*(往来单位!$B$92&lt;&gt;"")&gt;0,1,0)</f>
        <v>0</v>
      </c>
    </row>
    <row r="90">
      <c r="A90" s="94">
        <f>IF($X90=0,"",70)</f>
      </c>
      <c r="B90" s="95">
        <f t="shared" si="1"/>
      </c>
      <c r="C90" s="96">
        <f t="shared" si="10"/>
      </c>
      <c r="D90" s="21">
        <f t="shared" si="12"/>
      </c>
      <c r="E90" s="21">
        <f t="shared" si="14"/>
      </c>
      <c r="F90" s="21">
        <f t="shared" si="16"/>
      </c>
      <c r="G90" s="21">
        <f t="shared" si="18"/>
      </c>
      <c r="H90" s="21">
        <f t="shared" si="20"/>
      </c>
      <c r="I90" s="21">
        <f t="shared" si="22"/>
      </c>
      <c r="J90" s="94">
        <f t="shared" si="24"/>
      </c>
      <c r="K90" s="94">
        <f t="shared" si="26"/>
      </c>
      <c r="L90" s="94">
        <f t="shared" si="28"/>
      </c>
      <c r="M90" s="96">
        <f t="shared" si="29"/>
      </c>
      <c r="X90" s="2">
        <f>IF(70&gt;$AA$5,0,MOD(SMALL($AA$6:$AA$2005,70),10000))</f>
        <v>0</v>
      </c>
      <c r="AA90" s="2">
        <f>IF(AND(ISNUMBER(资金流水!$B$90),ISNUMBER(资金流水!$S$90),资金流水!$S$90&gt;=_辅助!$J$4,资金流水!$S$90&lt;=_辅助!$J$2,OR(资金流水!$C$90=$C$18,AND(资金流水!$AD$90=$C$18,资金流水!$X$90="账户互转"),AND($E$18&lt;&gt;"",资金流水!$J$90=$E$18,资金流水!$X$90="应付职工薪酬"))),INT(资金流水!$B$90)*10000+85,"")</f>
      </c>
      <c r="AB90" s="2">
        <f>AB50+SUM(CB51:CB90)</f>
        <v>0</v>
      </c>
      <c r="CB90" s="2">
        <f>IF(COUNTIFS(资金流水!$J$6:$J$2005,往来单位!$B$93,资金流水!$X$6:$X$2005,"其他应收款",资金流水!$S$6:$S$2005,"&gt;="&amp;_辅助!$J$4,资金流水!$S$6:$S$2005,"&lt;="&amp;_辅助!$J$2)*(往来单位!$B$93&lt;&gt;"")&gt;0,1,0)</f>
        <v>0</v>
      </c>
    </row>
    <row r="91">
      <c r="A91" s="94">
        <f>IF($X91=0,"",71)</f>
      </c>
      <c r="B91" s="95">
        <f t="shared" si="1"/>
      </c>
      <c r="C91" s="96">
        <f t="shared" si="10"/>
      </c>
      <c r="D91" s="21">
        <f t="shared" si="12"/>
      </c>
      <c r="E91" s="21">
        <f t="shared" si="14"/>
      </c>
      <c r="F91" s="21">
        <f t="shared" si="16"/>
      </c>
      <c r="G91" s="21">
        <f t="shared" si="18"/>
      </c>
      <c r="H91" s="21">
        <f t="shared" si="20"/>
      </c>
      <c r="I91" s="21">
        <f t="shared" si="22"/>
      </c>
      <c r="J91" s="94">
        <f t="shared" si="24"/>
      </c>
      <c r="K91" s="94">
        <f t="shared" si="26"/>
      </c>
      <c r="L91" s="94">
        <f t="shared" si="28"/>
      </c>
      <c r="M91" s="96">
        <f t="shared" si="29"/>
      </c>
      <c r="X91" s="2">
        <f>IF(71&gt;$AA$5,0,MOD(SMALL($AA$6:$AA$2005,71),10000))</f>
        <v>0</v>
      </c>
      <c r="AA91" s="2">
        <f>IF(AND(ISNUMBER(资金流水!$B$91),ISNUMBER(资金流水!$S$91),资金流水!$S$91&gt;=_辅助!$J$4,资金流水!$S$91&lt;=_辅助!$J$2,OR(资金流水!$C$91=$C$18,AND(资金流水!$AD$91=$C$18,资金流水!$X$91="账户互转"),AND($E$18&lt;&gt;"",资金流水!$J$91=$E$18,资金流水!$X$91="应付职工薪酬"))),INT(资金流水!$B$91)*10000+86,"")</f>
      </c>
      <c r="AB91" s="2">
        <f>AB50+SUM(CB51:CB91)</f>
        <v>0</v>
      </c>
      <c r="CB91" s="2">
        <f>IF(COUNTIFS(资金流水!$J$6:$J$2005,往来单位!$B$94,资金流水!$X$6:$X$2005,"其他应收款",资金流水!$S$6:$S$2005,"&gt;="&amp;_辅助!$J$4,资金流水!$S$6:$S$2005,"&lt;="&amp;_辅助!$J$2)*(往来单位!$B$94&lt;&gt;"")&gt;0,1,0)</f>
        <v>0</v>
      </c>
    </row>
    <row r="92">
      <c r="A92" s="94">
        <f>IF($X92=0,"",72)</f>
      </c>
      <c r="B92" s="95">
        <f t="shared" si="1"/>
      </c>
      <c r="C92" s="96">
        <f t="shared" si="10"/>
      </c>
      <c r="D92" s="21">
        <f t="shared" si="12"/>
      </c>
      <c r="E92" s="21">
        <f t="shared" si="14"/>
      </c>
      <c r="F92" s="21">
        <f t="shared" si="16"/>
      </c>
      <c r="G92" s="21">
        <f t="shared" si="18"/>
      </c>
      <c r="H92" s="21">
        <f t="shared" si="20"/>
      </c>
      <c r="I92" s="21">
        <f t="shared" si="22"/>
      </c>
      <c r="J92" s="94">
        <f t="shared" si="24"/>
      </c>
      <c r="K92" s="94">
        <f t="shared" si="26"/>
      </c>
      <c r="L92" s="94">
        <f t="shared" si="28"/>
      </c>
      <c r="M92" s="96">
        <f t="shared" si="29"/>
      </c>
      <c r="X92" s="2">
        <f>IF(72&gt;$AA$5,0,MOD(SMALL($AA$6:$AA$2005,72),10000))</f>
        <v>0</v>
      </c>
      <c r="AA92" s="2">
        <f>IF(AND(ISNUMBER(资金流水!$B$92),ISNUMBER(资金流水!$S$92),资金流水!$S$92&gt;=_辅助!$J$4,资金流水!$S$92&lt;=_辅助!$J$2,OR(资金流水!$C$92=$C$18,AND(资金流水!$AD$92=$C$18,资金流水!$X$92="账户互转"),AND($E$18&lt;&gt;"",资金流水!$J$92=$E$18,资金流水!$X$92="应付职工薪酬"))),INT(资金流水!$B$92)*10000+87,"")</f>
      </c>
      <c r="AB92" s="2">
        <f>AB50+SUM(CB51:CB92)</f>
        <v>0</v>
      </c>
      <c r="CB92" s="2">
        <f>IF(COUNTIFS(资金流水!$J$6:$J$2005,往来单位!$B$95,资金流水!$X$6:$X$2005,"其他应收款",资金流水!$S$6:$S$2005,"&gt;="&amp;_辅助!$J$4,资金流水!$S$6:$S$2005,"&lt;="&amp;_辅助!$J$2)*(往来单位!$B$95&lt;&gt;"")&gt;0,1,0)</f>
        <v>0</v>
      </c>
    </row>
    <row r="93">
      <c r="A93" s="94">
        <f>IF($X93=0,"",73)</f>
      </c>
      <c r="B93" s="95">
        <f t="shared" si="1"/>
      </c>
      <c r="C93" s="96">
        <f t="shared" si="10"/>
      </c>
      <c r="D93" s="21">
        <f t="shared" si="12"/>
      </c>
      <c r="E93" s="21">
        <f t="shared" si="14"/>
      </c>
      <c r="F93" s="21">
        <f t="shared" si="16"/>
      </c>
      <c r="G93" s="21">
        <f t="shared" si="18"/>
      </c>
      <c r="H93" s="21">
        <f t="shared" si="20"/>
      </c>
      <c r="I93" s="21">
        <f t="shared" si="22"/>
      </c>
      <c r="J93" s="94">
        <f t="shared" si="24"/>
      </c>
      <c r="K93" s="94">
        <f t="shared" si="26"/>
      </c>
      <c r="L93" s="94">
        <f t="shared" si="28"/>
      </c>
      <c r="M93" s="96">
        <f t="shared" si="29"/>
      </c>
      <c r="X93" s="2">
        <f>IF(73&gt;$AA$5,0,MOD(SMALL($AA$6:$AA$2005,73),10000))</f>
        <v>0</v>
      </c>
      <c r="AA93" s="2">
        <f>IF(AND(ISNUMBER(资金流水!$B$93),ISNUMBER(资金流水!$S$93),资金流水!$S$93&gt;=_辅助!$J$4,资金流水!$S$93&lt;=_辅助!$J$2,OR(资金流水!$C$93=$C$18,AND(资金流水!$AD$93=$C$18,资金流水!$X$93="账户互转"),AND($E$18&lt;&gt;"",资金流水!$J$93=$E$18,资金流水!$X$93="应付职工薪酬"))),INT(资金流水!$B$93)*10000+88,"")</f>
      </c>
      <c r="AB93" s="2">
        <f>AB50+SUM(CB51:CB93)</f>
        <v>0</v>
      </c>
      <c r="CB93" s="2">
        <f>IF(COUNTIFS(资金流水!$J$6:$J$2005,往来单位!$B$96,资金流水!$X$6:$X$2005,"其他应收款",资金流水!$S$6:$S$2005,"&gt;="&amp;_辅助!$J$4,资金流水!$S$6:$S$2005,"&lt;="&amp;_辅助!$J$2)*(往来单位!$B$96&lt;&gt;"")&gt;0,1,0)</f>
        <v>0</v>
      </c>
    </row>
    <row r="94">
      <c r="A94" s="94">
        <f>IF($X94=0,"",74)</f>
      </c>
      <c r="B94" s="95">
        <f t="shared" si="1"/>
      </c>
      <c r="C94" s="96">
        <f t="shared" si="10"/>
      </c>
      <c r="D94" s="21">
        <f t="shared" si="12"/>
      </c>
      <c r="E94" s="21">
        <f t="shared" si="14"/>
      </c>
      <c r="F94" s="21">
        <f t="shared" si="16"/>
      </c>
      <c r="G94" s="21">
        <f t="shared" si="18"/>
      </c>
      <c r="H94" s="21">
        <f t="shared" si="20"/>
      </c>
      <c r="I94" s="21">
        <f t="shared" si="22"/>
      </c>
      <c r="J94" s="94">
        <f t="shared" si="24"/>
      </c>
      <c r="K94" s="94">
        <f t="shared" si="26"/>
      </c>
      <c r="L94" s="94">
        <f t="shared" si="28"/>
      </c>
      <c r="M94" s="96">
        <f t="shared" si="29"/>
      </c>
      <c r="X94" s="2">
        <f>IF(74&gt;$AA$5,0,MOD(SMALL($AA$6:$AA$2005,74),10000))</f>
        <v>0</v>
      </c>
      <c r="AA94" s="2">
        <f>IF(AND(ISNUMBER(资金流水!$B$94),ISNUMBER(资金流水!$S$94),资金流水!$S$94&gt;=_辅助!$J$4,资金流水!$S$94&lt;=_辅助!$J$2,OR(资金流水!$C$94=$C$18,AND(资金流水!$AD$94=$C$18,资金流水!$X$94="账户互转"),AND($E$18&lt;&gt;"",资金流水!$J$94=$E$18,资金流水!$X$94="应付职工薪酬"))),INT(资金流水!$B$94)*10000+89,"")</f>
      </c>
      <c r="AB94" s="2">
        <f>AB50+SUM(CB51:CB94)</f>
        <v>0</v>
      </c>
      <c r="CB94" s="2">
        <f>IF(COUNTIFS(资金流水!$J$6:$J$2005,往来单位!$B$97,资金流水!$X$6:$X$2005,"其他应收款",资金流水!$S$6:$S$2005,"&gt;="&amp;_辅助!$J$4,资金流水!$S$6:$S$2005,"&lt;="&amp;_辅助!$J$2)*(往来单位!$B$97&lt;&gt;"")&gt;0,1,0)</f>
        <v>0</v>
      </c>
    </row>
    <row r="95">
      <c r="A95" s="94">
        <f>IF($X95=0,"",75)</f>
      </c>
      <c r="B95" s="95">
        <f t="shared" si="1"/>
      </c>
      <c r="C95" s="96">
        <f t="shared" si="10"/>
      </c>
      <c r="D95" s="21">
        <f t="shared" si="12"/>
      </c>
      <c r="E95" s="21">
        <f t="shared" si="14"/>
      </c>
      <c r="F95" s="21">
        <f t="shared" si="16"/>
      </c>
      <c r="G95" s="21">
        <f t="shared" si="18"/>
      </c>
      <c r="H95" s="21">
        <f t="shared" si="20"/>
      </c>
      <c r="I95" s="21">
        <f t="shared" si="22"/>
      </c>
      <c r="J95" s="94">
        <f t="shared" si="24"/>
      </c>
      <c r="K95" s="94">
        <f t="shared" si="26"/>
      </c>
      <c r="L95" s="94">
        <f t="shared" si="28"/>
      </c>
      <c r="M95" s="96">
        <f t="shared" si="29"/>
      </c>
      <c r="X95" s="2">
        <f>IF(75&gt;$AA$5,0,MOD(SMALL($AA$6:$AA$2005,75),10000))</f>
        <v>0</v>
      </c>
      <c r="AA95" s="2">
        <f>IF(AND(ISNUMBER(资金流水!$B$95),ISNUMBER(资金流水!$S$95),资金流水!$S$95&gt;=_辅助!$J$4,资金流水!$S$95&lt;=_辅助!$J$2,OR(资金流水!$C$95=$C$18,AND(资金流水!$AD$95=$C$18,资金流水!$X$95="账户互转"),AND($E$18&lt;&gt;"",资金流水!$J$95=$E$18,资金流水!$X$95="应付职工薪酬"))),INT(资金流水!$B$95)*10000+90,"")</f>
      </c>
      <c r="AB95" s="2">
        <f>AB50+SUM(CB51:CB95)</f>
        <v>0</v>
      </c>
      <c r="CB95" s="2">
        <f>IF(COUNTIFS(资金流水!$J$6:$J$2005,往来单位!$B$98,资金流水!$X$6:$X$2005,"其他应收款",资金流水!$S$6:$S$2005,"&gt;="&amp;_辅助!$J$4,资金流水!$S$6:$S$2005,"&lt;="&amp;_辅助!$J$2)*(往来单位!$B$98&lt;&gt;"")&gt;0,1,0)</f>
        <v>0</v>
      </c>
    </row>
    <row r="96">
      <c r="A96" s="94">
        <f>IF($X96=0,"",76)</f>
      </c>
      <c r="B96" s="95">
        <f t="shared" si="1"/>
      </c>
      <c r="C96" s="96">
        <f t="shared" si="10"/>
      </c>
      <c r="D96" s="21">
        <f t="shared" si="12"/>
      </c>
      <c r="E96" s="21">
        <f t="shared" si="14"/>
      </c>
      <c r="F96" s="21">
        <f t="shared" si="16"/>
      </c>
      <c r="G96" s="21">
        <f t="shared" si="18"/>
      </c>
      <c r="H96" s="21">
        <f t="shared" si="20"/>
      </c>
      <c r="I96" s="21">
        <f t="shared" si="22"/>
      </c>
      <c r="J96" s="94">
        <f t="shared" si="24"/>
      </c>
      <c r="K96" s="94">
        <f t="shared" si="26"/>
      </c>
      <c r="L96" s="94">
        <f t="shared" si="28"/>
      </c>
      <c r="M96" s="96">
        <f t="shared" si="29"/>
      </c>
      <c r="X96" s="2">
        <f>IF(76&gt;$AA$5,0,MOD(SMALL($AA$6:$AA$2005,76),10000))</f>
        <v>0</v>
      </c>
      <c r="AA96" s="2">
        <f>IF(AND(ISNUMBER(资金流水!$B$96),ISNUMBER(资金流水!$S$96),资金流水!$S$96&gt;=_辅助!$J$4,资金流水!$S$96&lt;=_辅助!$J$2,OR(资金流水!$C$96=$C$18,AND(资金流水!$AD$96=$C$18,资金流水!$X$96="账户互转"),AND($E$18&lt;&gt;"",资金流水!$J$96=$E$18,资金流水!$X$96="应付职工薪酬"))),INT(资金流水!$B$96)*10000+91,"")</f>
      </c>
      <c r="AB96" s="2">
        <f>AB50+SUM(CB51:CB96)</f>
        <v>0</v>
      </c>
      <c r="CB96" s="2">
        <f>IF(COUNTIFS(资金流水!$J$6:$J$2005,往来单位!$B$99,资金流水!$X$6:$X$2005,"其他应收款",资金流水!$S$6:$S$2005,"&gt;="&amp;_辅助!$J$4,资金流水!$S$6:$S$2005,"&lt;="&amp;_辅助!$J$2)*(往来单位!$B$99&lt;&gt;"")&gt;0,1,0)</f>
        <v>0</v>
      </c>
    </row>
    <row r="97">
      <c r="A97" s="94">
        <f>IF($X97=0,"",77)</f>
      </c>
      <c r="B97" s="95">
        <f t="shared" si="1"/>
      </c>
      <c r="C97" s="96">
        <f t="shared" si="10"/>
      </c>
      <c r="D97" s="21">
        <f t="shared" si="12"/>
      </c>
      <c r="E97" s="21">
        <f t="shared" si="14"/>
      </c>
      <c r="F97" s="21">
        <f t="shared" si="16"/>
      </c>
      <c r="G97" s="21">
        <f t="shared" si="18"/>
      </c>
      <c r="H97" s="21">
        <f t="shared" si="20"/>
      </c>
      <c r="I97" s="21">
        <f t="shared" si="22"/>
      </c>
      <c r="J97" s="94">
        <f t="shared" si="24"/>
      </c>
      <c r="K97" s="94">
        <f t="shared" si="26"/>
      </c>
      <c r="L97" s="94">
        <f t="shared" si="28"/>
      </c>
      <c r="M97" s="96">
        <f t="shared" si="29"/>
      </c>
      <c r="X97" s="2">
        <f>IF(77&gt;$AA$5,0,MOD(SMALL($AA$6:$AA$2005,77),10000))</f>
        <v>0</v>
      </c>
      <c r="AA97" s="2">
        <f>IF(AND(ISNUMBER(资金流水!$B$97),ISNUMBER(资金流水!$S$97),资金流水!$S$97&gt;=_辅助!$J$4,资金流水!$S$97&lt;=_辅助!$J$2,OR(资金流水!$C$97=$C$18,AND(资金流水!$AD$97=$C$18,资金流水!$X$97="账户互转"),AND($E$18&lt;&gt;"",资金流水!$J$97=$E$18,资金流水!$X$97="应付职工薪酬"))),INT(资金流水!$B$97)*10000+92,"")</f>
      </c>
      <c r="AB97" s="2">
        <f>AB50+SUM(CB51:CB97)</f>
        <v>0</v>
      </c>
      <c r="CB97" s="2">
        <f>IF(COUNTIFS(资金流水!$J$6:$J$2005,往来单位!$B$100,资金流水!$X$6:$X$2005,"其他应收款",资金流水!$S$6:$S$2005,"&gt;="&amp;_辅助!$J$4,资金流水!$S$6:$S$2005,"&lt;="&amp;_辅助!$J$2)*(往来单位!$B$100&lt;&gt;"")&gt;0,1,0)</f>
        <v>0</v>
      </c>
    </row>
    <row r="98">
      <c r="A98" s="94">
        <f>IF($X98=0,"",78)</f>
      </c>
      <c r="B98" s="95">
        <f t="shared" si="1"/>
      </c>
      <c r="C98" s="96">
        <f t="shared" si="10"/>
      </c>
      <c r="D98" s="21">
        <f t="shared" si="12"/>
      </c>
      <c r="E98" s="21">
        <f t="shared" si="14"/>
      </c>
      <c r="F98" s="21">
        <f t="shared" si="16"/>
      </c>
      <c r="G98" s="21">
        <f t="shared" si="18"/>
      </c>
      <c r="H98" s="21">
        <f t="shared" si="20"/>
      </c>
      <c r="I98" s="21">
        <f t="shared" si="22"/>
      </c>
      <c r="J98" s="94">
        <f t="shared" si="24"/>
      </c>
      <c r="K98" s="94">
        <f t="shared" si="26"/>
      </c>
      <c r="L98" s="94">
        <f t="shared" si="28"/>
      </c>
      <c r="M98" s="96">
        <f t="shared" si="29"/>
      </c>
      <c r="X98" s="2">
        <f>IF(78&gt;$AA$5,0,MOD(SMALL($AA$6:$AA$2005,78),10000))</f>
        <v>0</v>
      </c>
      <c r="AA98" s="2">
        <f>IF(AND(ISNUMBER(资金流水!$B$98),ISNUMBER(资金流水!$S$98),资金流水!$S$98&gt;=_辅助!$J$4,资金流水!$S$98&lt;=_辅助!$J$2,OR(资金流水!$C$98=$C$18,AND(资金流水!$AD$98=$C$18,资金流水!$X$98="账户互转"),AND($E$18&lt;&gt;"",资金流水!$J$98=$E$18,资金流水!$X$98="应付职工薪酬"))),INT(资金流水!$B$98)*10000+93,"")</f>
      </c>
      <c r="AB98" s="2">
        <f>AB50+SUM(CB51:CB98)</f>
        <v>0</v>
      </c>
      <c r="CB98" s="2">
        <f>IF(COUNTIFS(资金流水!$J$6:$J$2005,往来单位!$B$101,资金流水!$X$6:$X$2005,"其他应收款",资金流水!$S$6:$S$2005,"&gt;="&amp;_辅助!$J$4,资金流水!$S$6:$S$2005,"&lt;="&amp;_辅助!$J$2)*(往来单位!$B$101&lt;&gt;"")&gt;0,1,0)</f>
        <v>0</v>
      </c>
    </row>
    <row r="99">
      <c r="A99" s="94">
        <f>IF($X99=0,"",79)</f>
      </c>
      <c r="B99" s="95">
        <f t="shared" si="1"/>
      </c>
      <c r="C99" s="96">
        <f t="shared" si="10"/>
      </c>
      <c r="D99" s="21">
        <f t="shared" si="12"/>
      </c>
      <c r="E99" s="21">
        <f t="shared" si="14"/>
      </c>
      <c r="F99" s="21">
        <f t="shared" si="16"/>
      </c>
      <c r="G99" s="21">
        <f t="shared" si="18"/>
      </c>
      <c r="H99" s="21">
        <f t="shared" si="20"/>
      </c>
      <c r="I99" s="21">
        <f t="shared" si="22"/>
      </c>
      <c r="J99" s="94">
        <f t="shared" si="24"/>
      </c>
      <c r="K99" s="94">
        <f t="shared" si="26"/>
      </c>
      <c r="L99" s="94">
        <f t="shared" si="28"/>
      </c>
      <c r="M99" s="96">
        <f t="shared" si="29"/>
      </c>
      <c r="X99" s="2">
        <f>IF(79&gt;$AA$5,0,MOD(SMALL($AA$6:$AA$2005,79),10000))</f>
        <v>0</v>
      </c>
      <c r="AA99" s="2">
        <f>IF(AND(ISNUMBER(资金流水!$B$99),ISNUMBER(资金流水!$S$99),资金流水!$S$99&gt;=_辅助!$J$4,资金流水!$S$99&lt;=_辅助!$J$2,OR(资金流水!$C$99=$C$18,AND(资金流水!$AD$99=$C$18,资金流水!$X$99="账户互转"),AND($E$18&lt;&gt;"",资金流水!$J$99=$E$18,资金流水!$X$99="应付职工薪酬"))),INT(资金流水!$B$99)*10000+94,"")</f>
      </c>
      <c r="AB99" s="2">
        <f>AB50+SUM(CB51:CB99)</f>
        <v>0</v>
      </c>
      <c r="CB99" s="2">
        <f>IF(COUNTIFS(资金流水!$J$6:$J$2005,往来单位!$B$102,资金流水!$X$6:$X$2005,"其他应收款",资金流水!$S$6:$S$2005,"&gt;="&amp;_辅助!$J$4,资金流水!$S$6:$S$2005,"&lt;="&amp;_辅助!$J$2)*(往来单位!$B$102&lt;&gt;"")&gt;0,1,0)</f>
        <v>0</v>
      </c>
    </row>
    <row r="100">
      <c r="A100" s="94">
        <f>IF($X100=0,"",80)</f>
      </c>
      <c r="B100" s="95">
        <f t="shared" si="1"/>
      </c>
      <c r="C100" s="96">
        <f t="shared" si="10"/>
      </c>
      <c r="D100" s="21">
        <f t="shared" si="12"/>
      </c>
      <c r="E100" s="21">
        <f t="shared" si="14"/>
      </c>
      <c r="F100" s="21">
        <f t="shared" si="16"/>
      </c>
      <c r="G100" s="21">
        <f t="shared" si="18"/>
      </c>
      <c r="H100" s="21">
        <f t="shared" si="20"/>
      </c>
      <c r="I100" s="21">
        <f t="shared" si="22"/>
      </c>
      <c r="J100" s="94">
        <f t="shared" si="24"/>
      </c>
      <c r="K100" s="94">
        <f t="shared" si="26"/>
      </c>
      <c r="L100" s="94">
        <f t="shared" si="28"/>
      </c>
      <c r="M100" s="96">
        <f t="shared" si="29"/>
      </c>
      <c r="X100" s="2">
        <f>IF(80&gt;$AA$5,0,MOD(SMALL($AA$6:$AA$2005,80),10000))</f>
        <v>0</v>
      </c>
      <c r="AA100" s="2">
        <f>IF(AND(ISNUMBER(资金流水!$B$100),ISNUMBER(资金流水!$S$100),资金流水!$S$100&gt;=_辅助!$J$4,资金流水!$S$100&lt;=_辅助!$J$2,OR(资金流水!$C$100=$C$18,AND(资金流水!$AD$100=$C$18,资金流水!$X$100="账户互转"),AND($E$18&lt;&gt;"",资金流水!$J$100=$E$18,资金流水!$X$100="应付职工薪酬"))),INT(资金流水!$B$100)*10000+95,"")</f>
      </c>
      <c r="AB100" s="2">
        <f>AB50+SUM(CB51:CB100)</f>
        <v>0</v>
      </c>
      <c r="CB100" s="2">
        <f>IF(COUNTIFS(资金流水!$J$6:$J$2005,往来单位!$B$103,资金流水!$X$6:$X$2005,"其他应收款",资金流水!$S$6:$S$2005,"&gt;="&amp;_辅助!$J$4,资金流水!$S$6:$S$2005,"&lt;="&amp;_辅助!$J$2)*(往来单位!$B$103&lt;&gt;"")&gt;0,1,0)</f>
        <v>0</v>
      </c>
    </row>
    <row r="101">
      <c r="A101" s="94">
        <f>IF($X101=0,"",81)</f>
      </c>
      <c r="B101" s="95">
        <f t="shared" si="1"/>
      </c>
      <c r="C101" s="96">
        <f t="shared" si="10"/>
      </c>
      <c r="D101" s="21">
        <f t="shared" si="12"/>
      </c>
      <c r="E101" s="21">
        <f t="shared" si="14"/>
      </c>
      <c r="F101" s="21">
        <f t="shared" si="16"/>
      </c>
      <c r="G101" s="21">
        <f t="shared" si="18"/>
      </c>
      <c r="H101" s="21">
        <f t="shared" si="20"/>
      </c>
      <c r="I101" s="21">
        <f t="shared" si="22"/>
      </c>
      <c r="J101" s="94">
        <f t="shared" si="24"/>
      </c>
      <c r="K101" s="94">
        <f t="shared" si="26"/>
      </c>
      <c r="L101" s="94">
        <f t="shared" si="28"/>
      </c>
      <c r="M101" s="96">
        <f t="shared" si="29"/>
      </c>
      <c r="X101" s="2">
        <f>IF(81&gt;$AA$5,0,MOD(SMALL($AA$6:$AA$2005,81),10000))</f>
        <v>0</v>
      </c>
      <c r="AA101" s="2">
        <f>IF(AND(ISNUMBER(资金流水!$B$101),ISNUMBER(资金流水!$S$101),资金流水!$S$101&gt;=_辅助!$J$4,资金流水!$S$101&lt;=_辅助!$J$2,OR(资金流水!$C$101=$C$18,AND(资金流水!$AD$101=$C$18,资金流水!$X$101="账户互转"),AND($E$18&lt;&gt;"",资金流水!$J$101=$E$18,资金流水!$X$101="应付职工薪酬"))),INT(资金流水!$B$101)*10000+96,"")</f>
      </c>
      <c r="AB101" s="2">
        <f>AB100+SUM(CB101:CB101)</f>
        <v>0</v>
      </c>
      <c r="CB101" s="2">
        <f>IF(COUNTIFS(资金流水!$J$6:$J$2005,往来单位!$B$104,资金流水!$X$6:$X$2005,"其他应收款",资金流水!$S$6:$S$2005,"&gt;="&amp;_辅助!$J$4,资金流水!$S$6:$S$2005,"&lt;="&amp;_辅助!$J$2)*(往来单位!$B$104&lt;&gt;"")&gt;0,1,0)</f>
        <v>0</v>
      </c>
    </row>
    <row r="102">
      <c r="A102" s="94">
        <f>IF($X102=0,"",82)</f>
      </c>
      <c r="B102" s="95">
        <f t="shared" si="1"/>
      </c>
      <c r="C102" s="96">
        <f t="shared" si="10"/>
      </c>
      <c r="D102" s="21">
        <f t="shared" si="12"/>
      </c>
      <c r="E102" s="21">
        <f t="shared" si="14"/>
      </c>
      <c r="F102" s="21">
        <f t="shared" si="16"/>
      </c>
      <c r="G102" s="21">
        <f t="shared" si="18"/>
      </c>
      <c r="H102" s="21">
        <f t="shared" si="20"/>
      </c>
      <c r="I102" s="21">
        <f t="shared" si="22"/>
      </c>
      <c r="J102" s="94">
        <f t="shared" si="24"/>
      </c>
      <c r="K102" s="94">
        <f t="shared" si="26"/>
      </c>
      <c r="L102" s="94">
        <f t="shared" si="28"/>
      </c>
      <c r="M102" s="96">
        <f t="shared" si="29"/>
      </c>
      <c r="X102" s="2">
        <f>IF(82&gt;$AA$5,0,MOD(SMALL($AA$6:$AA$2005,82),10000))</f>
        <v>0</v>
      </c>
      <c r="AA102" s="2">
        <f>IF(AND(ISNUMBER(资金流水!$B$102),ISNUMBER(资金流水!$S$102),资金流水!$S$102&gt;=_辅助!$J$4,资金流水!$S$102&lt;=_辅助!$J$2,OR(资金流水!$C$102=$C$18,AND(资金流水!$AD$102=$C$18,资金流水!$X$102="账户互转"),AND($E$18&lt;&gt;"",资金流水!$J$102=$E$18,资金流水!$X$102="应付职工薪酬"))),INT(资金流水!$B$102)*10000+97,"")</f>
      </c>
      <c r="AB102" s="2">
        <f>AB100+SUM(CB101:CB102)</f>
        <v>0</v>
      </c>
      <c r="CB102" s="2">
        <f>IF(COUNTIFS(资金流水!$J$6:$J$2005,往来单位!$B$105,资金流水!$X$6:$X$2005,"其他应收款",资金流水!$S$6:$S$2005,"&gt;="&amp;_辅助!$J$4,资金流水!$S$6:$S$2005,"&lt;="&amp;_辅助!$J$2)*(往来单位!$B$105&lt;&gt;"")&gt;0,1,0)</f>
        <v>0</v>
      </c>
    </row>
    <row r="103">
      <c r="A103" s="94">
        <f>IF($X103=0,"",83)</f>
      </c>
      <c r="B103" s="95">
        <f t="shared" si="1"/>
      </c>
      <c r="C103" s="96">
        <f t="shared" si="10"/>
      </c>
      <c r="D103" s="21">
        <f t="shared" si="12"/>
      </c>
      <c r="E103" s="21">
        <f t="shared" si="14"/>
      </c>
      <c r="F103" s="21">
        <f t="shared" si="16"/>
      </c>
      <c r="G103" s="21">
        <f t="shared" si="18"/>
      </c>
      <c r="H103" s="21">
        <f t="shared" si="20"/>
      </c>
      <c r="I103" s="21">
        <f t="shared" si="22"/>
      </c>
      <c r="J103" s="94">
        <f t="shared" si="24"/>
      </c>
      <c r="K103" s="94">
        <f t="shared" si="26"/>
      </c>
      <c r="L103" s="94">
        <f t="shared" si="28"/>
      </c>
      <c r="M103" s="96">
        <f t="shared" si="29"/>
      </c>
      <c r="X103" s="2">
        <f>IF(83&gt;$AA$5,0,MOD(SMALL($AA$6:$AA$2005,83),10000))</f>
        <v>0</v>
      </c>
      <c r="AA103" s="2">
        <f>IF(AND(ISNUMBER(资金流水!$B$103),ISNUMBER(资金流水!$S$103),资金流水!$S$103&gt;=_辅助!$J$4,资金流水!$S$103&lt;=_辅助!$J$2,OR(资金流水!$C$103=$C$18,AND(资金流水!$AD$103=$C$18,资金流水!$X$103="账户互转"),AND($E$18&lt;&gt;"",资金流水!$J$103=$E$18,资金流水!$X$103="应付职工薪酬"))),INT(资金流水!$B$103)*10000+98,"")</f>
      </c>
      <c r="AB103" s="2">
        <f>AB100+SUM(CB101:CB103)</f>
        <v>0</v>
      </c>
      <c r="CB103" s="2">
        <f>IF(COUNTIFS(资金流水!$J$6:$J$2005,往来单位!$B$106,资金流水!$X$6:$X$2005,"其他应收款",资金流水!$S$6:$S$2005,"&gt;="&amp;_辅助!$J$4,资金流水!$S$6:$S$2005,"&lt;="&amp;_辅助!$J$2)*(往来单位!$B$106&lt;&gt;"")&gt;0,1,0)</f>
        <v>0</v>
      </c>
    </row>
    <row r="104">
      <c r="A104" s="94">
        <f>IF($X104=0,"",84)</f>
      </c>
      <c r="B104" s="95">
        <f t="shared" si="1"/>
      </c>
      <c r="C104" s="96">
        <f t="shared" si="10"/>
      </c>
      <c r="D104" s="21">
        <f t="shared" si="12"/>
      </c>
      <c r="E104" s="21">
        <f t="shared" si="14"/>
      </c>
      <c r="F104" s="21">
        <f t="shared" si="16"/>
      </c>
      <c r="G104" s="21">
        <f t="shared" si="18"/>
      </c>
      <c r="H104" s="21">
        <f t="shared" si="20"/>
      </c>
      <c r="I104" s="21">
        <f t="shared" si="22"/>
      </c>
      <c r="J104" s="94">
        <f t="shared" si="24"/>
      </c>
      <c r="K104" s="94">
        <f t="shared" si="26"/>
      </c>
      <c r="L104" s="94">
        <f t="shared" si="28"/>
      </c>
      <c r="M104" s="96">
        <f t="shared" si="29"/>
      </c>
      <c r="X104" s="2">
        <f>IF(84&gt;$AA$5,0,MOD(SMALL($AA$6:$AA$2005,84),10000))</f>
        <v>0</v>
      </c>
      <c r="AA104" s="2">
        <f>IF(AND(ISNUMBER(资金流水!$B$104),ISNUMBER(资金流水!$S$104),资金流水!$S$104&gt;=_辅助!$J$4,资金流水!$S$104&lt;=_辅助!$J$2,OR(资金流水!$C$104=$C$18,AND(资金流水!$AD$104=$C$18,资金流水!$X$104="账户互转"),AND($E$18&lt;&gt;"",资金流水!$J$104=$E$18,资金流水!$X$104="应付职工薪酬"))),INT(资金流水!$B$104)*10000+99,"")</f>
      </c>
      <c r="AB104" s="2">
        <f>AB100+SUM(CB101:CB104)</f>
        <v>0</v>
      </c>
      <c r="CB104" s="2">
        <f>IF(COUNTIFS(资金流水!$J$6:$J$2005,往来单位!$B$107,资金流水!$X$6:$X$2005,"其他应收款",资金流水!$S$6:$S$2005,"&gt;="&amp;_辅助!$J$4,资金流水!$S$6:$S$2005,"&lt;="&amp;_辅助!$J$2)*(往来单位!$B$107&lt;&gt;"")&gt;0,1,0)</f>
        <v>0</v>
      </c>
    </row>
    <row r="105">
      <c r="A105" s="94">
        <f>IF($X105=0,"",85)</f>
      </c>
      <c r="B105" s="95">
        <f t="shared" si="1"/>
      </c>
      <c r="C105" s="96">
        <f t="shared" si="10"/>
      </c>
      <c r="D105" s="21">
        <f t="shared" si="12"/>
      </c>
      <c r="E105" s="21">
        <f t="shared" si="14"/>
      </c>
      <c r="F105" s="21">
        <f t="shared" si="16"/>
      </c>
      <c r="G105" s="21">
        <f t="shared" si="18"/>
      </c>
      <c r="H105" s="21">
        <f t="shared" si="20"/>
      </c>
      <c r="I105" s="21">
        <f t="shared" si="22"/>
      </c>
      <c r="J105" s="94">
        <f t="shared" si="24"/>
      </c>
      <c r="K105" s="94">
        <f t="shared" si="26"/>
      </c>
      <c r="L105" s="94">
        <f t="shared" si="28"/>
      </c>
      <c r="M105" s="96">
        <f t="shared" si="29"/>
      </c>
      <c r="X105" s="2">
        <f>IF(85&gt;$AA$5,0,MOD(SMALL($AA$6:$AA$2005,85),10000))</f>
        <v>0</v>
      </c>
      <c r="AA105" s="2">
        <f>IF(AND(ISNUMBER(资金流水!$B$105),ISNUMBER(资金流水!$S$105),资金流水!$S$105&gt;=_辅助!$J$4,资金流水!$S$105&lt;=_辅助!$J$2,OR(资金流水!$C$105=$C$18,AND(资金流水!$AD$105=$C$18,资金流水!$X$105="账户互转"),AND($E$18&lt;&gt;"",资金流水!$J$105=$E$18,资金流水!$X$105="应付职工薪酬"))),INT(资金流水!$B$105)*10000+100,"")</f>
      </c>
      <c r="AB105" s="2">
        <f>AB100+SUM(CB101:CB105)</f>
        <v>0</v>
      </c>
      <c r="CB105" s="2">
        <f>IF(COUNTIFS(资金流水!$J$6:$J$2005,往来单位!$B$108,资金流水!$X$6:$X$2005,"其他应收款",资金流水!$S$6:$S$2005,"&gt;="&amp;_辅助!$J$4,资金流水!$S$6:$S$2005,"&lt;="&amp;_辅助!$J$2)*(往来单位!$B$108&lt;&gt;"")&gt;0,1,0)</f>
        <v>0</v>
      </c>
    </row>
    <row r="106">
      <c r="A106" s="94">
        <f>IF($X106=0,"",86)</f>
      </c>
      <c r="B106" s="95">
        <f t="shared" si="1"/>
      </c>
      <c r="C106" s="96">
        <f t="shared" si="10"/>
      </c>
      <c r="D106" s="21">
        <f t="shared" si="12"/>
      </c>
      <c r="E106" s="21">
        <f t="shared" si="14"/>
      </c>
      <c r="F106" s="21">
        <f t="shared" si="16"/>
      </c>
      <c r="G106" s="21">
        <f t="shared" si="18"/>
      </c>
      <c r="H106" s="21">
        <f t="shared" si="20"/>
      </c>
      <c r="I106" s="21">
        <f t="shared" si="22"/>
      </c>
      <c r="J106" s="94">
        <f t="shared" si="24"/>
      </c>
      <c r="K106" s="94">
        <f t="shared" si="26"/>
      </c>
      <c r="L106" s="94">
        <f t="shared" si="28"/>
      </c>
      <c r="M106" s="96">
        <f t="shared" si="29"/>
      </c>
      <c r="X106" s="2">
        <f>IF(86&gt;$AA$5,0,MOD(SMALL($AA$6:$AA$2005,86),10000))</f>
        <v>0</v>
      </c>
      <c r="AA106" s="2">
        <f>IF(AND(ISNUMBER(资金流水!$B$106),ISNUMBER(资金流水!$S$106),资金流水!$S$106&gt;=_辅助!$J$4,资金流水!$S$106&lt;=_辅助!$J$2,OR(资金流水!$C$106=$C$18,AND(资金流水!$AD$106=$C$18,资金流水!$X$106="账户互转"),AND($E$18&lt;&gt;"",资金流水!$J$106=$E$18,资金流水!$X$106="应付职工薪酬"))),INT(资金流水!$B$106)*10000+101,"")</f>
        <v>461840101</v>
      </c>
      <c r="AB106" s="2">
        <f>AB100+SUM(CB101:CB106)</f>
        <v>0</v>
      </c>
      <c r="CB106" s="2">
        <f>IF(COUNTIFS(资金流水!$J$6:$J$2005,往来单位!$B$109,资金流水!$X$6:$X$2005,"其他应收款",资金流水!$S$6:$S$2005,"&gt;="&amp;_辅助!$J$4,资金流水!$S$6:$S$2005,"&lt;="&amp;_辅助!$J$2)*(往来单位!$B$109&lt;&gt;"")&gt;0,1,0)</f>
        <v>0</v>
      </c>
    </row>
    <row r="107">
      <c r="A107" s="94">
        <f>IF($X107=0,"",87)</f>
      </c>
      <c r="B107" s="95">
        <f t="shared" si="1"/>
      </c>
      <c r="C107" s="96">
        <f t="shared" si="10"/>
      </c>
      <c r="D107" s="21">
        <f t="shared" si="12"/>
      </c>
      <c r="E107" s="21">
        <f t="shared" si="14"/>
      </c>
      <c r="F107" s="21">
        <f t="shared" si="16"/>
      </c>
      <c r="G107" s="21">
        <f t="shared" si="18"/>
      </c>
      <c r="H107" s="21">
        <f t="shared" si="20"/>
      </c>
      <c r="I107" s="21">
        <f t="shared" si="22"/>
      </c>
      <c r="J107" s="94">
        <f t="shared" si="24"/>
      </c>
      <c r="K107" s="94">
        <f t="shared" si="26"/>
      </c>
      <c r="L107" s="94">
        <f t="shared" si="28"/>
      </c>
      <c r="M107" s="96">
        <f t="shared" si="29"/>
      </c>
      <c r="X107" s="2">
        <f>IF(87&gt;$AA$5,0,MOD(SMALL($AA$6:$AA$2005,87),10000))</f>
        <v>0</v>
      </c>
      <c r="AA107" s="2">
        <f>IF(AND(ISNUMBER(资金流水!$B$107),ISNUMBER(资金流水!$S$107),资金流水!$S$107&gt;=_辅助!$J$4,资金流水!$S$107&lt;=_辅助!$J$2,OR(资金流水!$C$107=$C$18,AND(资金流水!$AD$107=$C$18,资金流水!$X$107="账户互转"),AND($E$18&lt;&gt;"",资金流水!$J$107=$E$18,资金流水!$X$107="应付职工薪酬"))),INT(资金流水!$B$107)*10000+102,"")</f>
      </c>
      <c r="AB107" s="2">
        <f>AB100+SUM(CB101:CB107)</f>
        <v>0</v>
      </c>
      <c r="CB107" s="2">
        <f>IF(COUNTIFS(资金流水!$J$6:$J$2005,往来单位!$B$110,资金流水!$X$6:$X$2005,"其他应收款",资金流水!$S$6:$S$2005,"&gt;="&amp;_辅助!$J$4,资金流水!$S$6:$S$2005,"&lt;="&amp;_辅助!$J$2)*(往来单位!$B$110&lt;&gt;"")&gt;0,1,0)</f>
        <v>0</v>
      </c>
    </row>
    <row r="108">
      <c r="A108" s="94">
        <f>IF($X108=0,"",88)</f>
      </c>
      <c r="B108" s="95">
        <f t="shared" si="1"/>
      </c>
      <c r="C108" s="96">
        <f t="shared" si="10"/>
      </c>
      <c r="D108" s="21">
        <f t="shared" si="12"/>
      </c>
      <c r="E108" s="21">
        <f t="shared" si="14"/>
      </c>
      <c r="F108" s="21">
        <f t="shared" si="16"/>
      </c>
      <c r="G108" s="21">
        <f t="shared" si="18"/>
      </c>
      <c r="H108" s="21">
        <f t="shared" si="20"/>
      </c>
      <c r="I108" s="21">
        <f t="shared" si="22"/>
      </c>
      <c r="J108" s="94">
        <f t="shared" si="24"/>
      </c>
      <c r="K108" s="94">
        <f t="shared" si="26"/>
      </c>
      <c r="L108" s="94">
        <f t="shared" si="28"/>
      </c>
      <c r="M108" s="96">
        <f t="shared" si="29"/>
      </c>
      <c r="X108" s="2">
        <f>IF(88&gt;$AA$5,0,MOD(SMALL($AA$6:$AA$2005,88),10000))</f>
        <v>0</v>
      </c>
      <c r="AA108" s="2">
        <f>IF(AND(ISNUMBER(资金流水!$B$108),ISNUMBER(资金流水!$S$108),资金流水!$S$108&gt;=_辅助!$J$4,资金流水!$S$108&lt;=_辅助!$J$2,OR(资金流水!$C$108=$C$18,AND(资金流水!$AD$108=$C$18,资金流水!$X$108="账户互转"),AND($E$18&lt;&gt;"",资金流水!$J$108=$E$18,资金流水!$X$108="应付职工薪酬"))),INT(资金流水!$B$108)*10000+103,"")</f>
        <v>461880103</v>
      </c>
      <c r="AB108" s="2">
        <f>AB100+SUM(CB101:CB108)</f>
        <v>0</v>
      </c>
      <c r="CB108" s="2">
        <f>IF(COUNTIFS(资金流水!$J$6:$J$2005,往来单位!$B$111,资金流水!$X$6:$X$2005,"其他应收款",资金流水!$S$6:$S$2005,"&gt;="&amp;_辅助!$J$4,资金流水!$S$6:$S$2005,"&lt;="&amp;_辅助!$J$2)*(往来单位!$B$111&lt;&gt;"")&gt;0,1,0)</f>
        <v>0</v>
      </c>
    </row>
    <row r="109">
      <c r="A109" s="94">
        <f>IF($X109=0,"",89)</f>
      </c>
      <c r="B109" s="95">
        <f t="shared" si="1"/>
      </c>
      <c r="C109" s="96">
        <f t="shared" si="10"/>
      </c>
      <c r="D109" s="21">
        <f t="shared" si="12"/>
      </c>
      <c r="E109" s="21">
        <f t="shared" si="14"/>
      </c>
      <c r="F109" s="21">
        <f t="shared" si="16"/>
      </c>
      <c r="G109" s="21">
        <f t="shared" si="18"/>
      </c>
      <c r="H109" s="21">
        <f t="shared" si="20"/>
      </c>
      <c r="I109" s="21">
        <f t="shared" si="22"/>
      </c>
      <c r="J109" s="94">
        <f t="shared" si="24"/>
      </c>
      <c r="K109" s="94">
        <f t="shared" si="26"/>
      </c>
      <c r="L109" s="94">
        <f t="shared" si="28"/>
      </c>
      <c r="M109" s="96">
        <f t="shared" si="29"/>
      </c>
      <c r="X109" s="2">
        <f>IF(89&gt;$AA$5,0,MOD(SMALL($AA$6:$AA$2005,89),10000))</f>
        <v>0</v>
      </c>
      <c r="AA109" s="2">
        <f>IF(AND(ISNUMBER(资金流水!$B$109),ISNUMBER(资金流水!$S$109),资金流水!$S$109&gt;=_辅助!$J$4,资金流水!$S$109&lt;=_辅助!$J$2,OR(资金流水!$C$109=$C$18,AND(资金流水!$AD$109=$C$18,资金流水!$X$109="账户互转"),AND($E$18&lt;&gt;"",资金流水!$J$109=$E$18,资金流水!$X$109="应付职工薪酬"))),INT(资金流水!$B$109)*10000+104,"")</f>
      </c>
      <c r="AB109" s="2">
        <f>AB100+SUM(CB101:CB109)</f>
        <v>0</v>
      </c>
      <c r="CB109" s="2">
        <f>IF(COUNTIFS(资金流水!$J$6:$J$2005,往来单位!$B$112,资金流水!$X$6:$X$2005,"其他应收款",资金流水!$S$6:$S$2005,"&gt;="&amp;_辅助!$J$4,资金流水!$S$6:$S$2005,"&lt;="&amp;_辅助!$J$2)*(往来单位!$B$112&lt;&gt;"")&gt;0,1,0)</f>
        <v>0</v>
      </c>
    </row>
    <row r="110">
      <c r="A110" s="94">
        <f>IF($X110=0,"",90)</f>
      </c>
      <c r="B110" s="95">
        <f t="shared" si="1"/>
      </c>
      <c r="C110" s="96">
        <f t="shared" si="10"/>
      </c>
      <c r="D110" s="21">
        <f t="shared" si="12"/>
      </c>
      <c r="E110" s="21">
        <f t="shared" si="14"/>
      </c>
      <c r="F110" s="21">
        <f t="shared" si="16"/>
      </c>
      <c r="G110" s="21">
        <f t="shared" si="18"/>
      </c>
      <c r="H110" s="21">
        <f t="shared" si="20"/>
      </c>
      <c r="I110" s="21">
        <f t="shared" si="22"/>
      </c>
      <c r="J110" s="94">
        <f t="shared" si="24"/>
      </c>
      <c r="K110" s="94">
        <f t="shared" si="26"/>
      </c>
      <c r="L110" s="94">
        <f t="shared" si="28"/>
      </c>
      <c r="M110" s="96">
        <f t="shared" si="29"/>
      </c>
      <c r="X110" s="2">
        <f>IF(90&gt;$AA$5,0,MOD(SMALL($AA$6:$AA$2005,90),10000))</f>
        <v>0</v>
      </c>
      <c r="AA110" s="2">
        <f>IF(AND(ISNUMBER(资金流水!$B$110),ISNUMBER(资金流水!$S$110),资金流水!$S$110&gt;=_辅助!$J$4,资金流水!$S$110&lt;=_辅助!$J$2,OR(资金流水!$C$110=$C$18,AND(资金流水!$AD$110=$C$18,资金流水!$X$110="账户互转"),AND($E$18&lt;&gt;"",资金流水!$J$110=$E$18,资金流水!$X$110="应付职工薪酬"))),INT(资金流水!$B$110)*10000+105,"")</f>
      </c>
      <c r="AB110" s="2">
        <f>AB100+SUM(CB101:CB110)</f>
        <v>0</v>
      </c>
      <c r="CB110" s="2">
        <f>IF(COUNTIFS(资金流水!$J$6:$J$2005,往来单位!$B$113,资金流水!$X$6:$X$2005,"其他应收款",资金流水!$S$6:$S$2005,"&gt;="&amp;_辅助!$J$4,资金流水!$S$6:$S$2005,"&lt;="&amp;_辅助!$J$2)*(往来单位!$B$113&lt;&gt;"")&gt;0,1,0)</f>
        <v>0</v>
      </c>
    </row>
    <row r="111">
      <c r="A111" s="94">
        <f>IF($X111=0,"",91)</f>
      </c>
      <c r="B111" s="95">
        <f t="shared" si="1"/>
      </c>
      <c r="C111" s="96">
        <f t="shared" si="10"/>
      </c>
      <c r="D111" s="21">
        <f t="shared" si="12"/>
      </c>
      <c r="E111" s="21">
        <f t="shared" si="14"/>
      </c>
      <c r="F111" s="21">
        <f t="shared" si="16"/>
      </c>
      <c r="G111" s="21">
        <f t="shared" si="18"/>
      </c>
      <c r="H111" s="21">
        <f t="shared" si="20"/>
      </c>
      <c r="I111" s="21">
        <f t="shared" si="22"/>
      </c>
      <c r="J111" s="94">
        <f t="shared" si="24"/>
      </c>
      <c r="K111" s="94">
        <f t="shared" si="26"/>
      </c>
      <c r="L111" s="94">
        <f t="shared" si="28"/>
      </c>
      <c r="M111" s="96">
        <f t="shared" si="29"/>
      </c>
      <c r="X111" s="2">
        <f>IF(91&gt;$AA$5,0,MOD(SMALL($AA$6:$AA$2005,91),10000))</f>
        <v>0</v>
      </c>
      <c r="AA111" s="2">
        <f>IF(AND(ISNUMBER(资金流水!$B$111),ISNUMBER(资金流水!$S$111),资金流水!$S$111&gt;=_辅助!$J$4,资金流水!$S$111&lt;=_辅助!$J$2,OR(资金流水!$C$111=$C$18,AND(资金流水!$AD$111=$C$18,资金流水!$X$111="账户互转"),AND($E$18&lt;&gt;"",资金流水!$J$111=$E$18,资金流水!$X$111="应付职工薪酬"))),INT(资金流水!$B$111)*10000+106,"")</f>
      </c>
      <c r="AB111" s="2">
        <f>AB100+SUM(CB101:CB111)</f>
        <v>0</v>
      </c>
      <c r="CB111" s="2">
        <f>IF(COUNTIFS(资金流水!$J$6:$J$2005,往来单位!$B$114,资金流水!$X$6:$X$2005,"其他应收款",资金流水!$S$6:$S$2005,"&gt;="&amp;_辅助!$J$4,资金流水!$S$6:$S$2005,"&lt;="&amp;_辅助!$J$2)*(往来单位!$B$114&lt;&gt;"")&gt;0,1,0)</f>
        <v>0</v>
      </c>
    </row>
    <row r="112">
      <c r="A112" s="94">
        <f>IF($X112=0,"",92)</f>
      </c>
      <c r="B112" s="95">
        <f t="shared" si="1"/>
      </c>
      <c r="C112" s="96">
        <f t="shared" si="10"/>
      </c>
      <c r="D112" s="21">
        <f t="shared" si="12"/>
      </c>
      <c r="E112" s="21">
        <f t="shared" si="14"/>
      </c>
      <c r="F112" s="21">
        <f t="shared" si="16"/>
      </c>
      <c r="G112" s="21">
        <f t="shared" si="18"/>
      </c>
      <c r="H112" s="21">
        <f t="shared" si="20"/>
      </c>
      <c r="I112" s="21">
        <f t="shared" si="22"/>
      </c>
      <c r="J112" s="94">
        <f t="shared" si="24"/>
      </c>
      <c r="K112" s="94">
        <f t="shared" si="26"/>
      </c>
      <c r="L112" s="94">
        <f t="shared" si="28"/>
      </c>
      <c r="M112" s="96">
        <f t="shared" si="29"/>
      </c>
      <c r="X112" s="2">
        <f>IF(92&gt;$AA$5,0,MOD(SMALL($AA$6:$AA$2005,92),10000))</f>
        <v>0</v>
      </c>
      <c r="AA112" s="2">
        <f>IF(AND(ISNUMBER(资金流水!$B$112),ISNUMBER(资金流水!$S$112),资金流水!$S$112&gt;=_辅助!$J$4,资金流水!$S$112&lt;=_辅助!$J$2,OR(资金流水!$C$112=$C$18,AND(资金流水!$AD$112=$C$18,资金流水!$X$112="账户互转"),AND($E$18&lt;&gt;"",资金流水!$J$112=$E$18,资金流水!$X$112="应付职工薪酬"))),INT(资金流水!$B$112)*10000+107,"")</f>
      </c>
      <c r="AB112" s="2">
        <f>AB100+SUM(CB101:CB112)</f>
        <v>0</v>
      </c>
      <c r="CB112" s="2">
        <f>IF(COUNTIFS(资金流水!$J$6:$J$2005,往来单位!$B$115,资金流水!$X$6:$X$2005,"其他应收款",资金流水!$S$6:$S$2005,"&gt;="&amp;_辅助!$J$4,资金流水!$S$6:$S$2005,"&lt;="&amp;_辅助!$J$2)*(往来单位!$B$115&lt;&gt;"")&gt;0,1,0)</f>
        <v>0</v>
      </c>
    </row>
    <row r="113">
      <c r="A113" s="94">
        <f>IF($X113=0,"",93)</f>
      </c>
      <c r="B113" s="95">
        <f t="shared" si="1"/>
      </c>
      <c r="C113" s="96">
        <f t="shared" si="10"/>
      </c>
      <c r="D113" s="21">
        <f t="shared" si="12"/>
      </c>
      <c r="E113" s="21">
        <f t="shared" si="14"/>
      </c>
      <c r="F113" s="21">
        <f t="shared" si="16"/>
      </c>
      <c r="G113" s="21">
        <f t="shared" si="18"/>
      </c>
      <c r="H113" s="21">
        <f t="shared" si="20"/>
      </c>
      <c r="I113" s="21">
        <f t="shared" si="22"/>
      </c>
      <c r="J113" s="94">
        <f t="shared" si="24"/>
      </c>
      <c r="K113" s="94">
        <f t="shared" si="26"/>
      </c>
      <c r="L113" s="94">
        <f t="shared" si="28"/>
      </c>
      <c r="M113" s="96">
        <f t="shared" si="29"/>
      </c>
      <c r="X113" s="2">
        <f>IF(93&gt;$AA$5,0,MOD(SMALL($AA$6:$AA$2005,93),10000))</f>
        <v>0</v>
      </c>
      <c r="AA113" s="2">
        <f>IF(AND(ISNUMBER(资金流水!$B$113),ISNUMBER(资金流水!$S$113),资金流水!$S$113&gt;=_辅助!$J$4,资金流水!$S$113&lt;=_辅助!$J$2,OR(资金流水!$C$113=$C$18,AND(资金流水!$AD$113=$C$18,资金流水!$X$113="账户互转"),AND($E$18&lt;&gt;"",资金流水!$J$113=$E$18,资金流水!$X$113="应付职工薪酬"))),INT(资金流水!$B$113)*10000+108,"")</f>
        <v>461910108</v>
      </c>
      <c r="AB113" s="2">
        <f>AB100+SUM(CB101:CB113)</f>
        <v>0</v>
      </c>
      <c r="CB113" s="2">
        <f>IF(COUNTIFS(资金流水!$J$6:$J$2005,往来单位!$B$116,资金流水!$X$6:$X$2005,"其他应收款",资金流水!$S$6:$S$2005,"&gt;="&amp;_辅助!$J$4,资金流水!$S$6:$S$2005,"&lt;="&amp;_辅助!$J$2)*(往来单位!$B$116&lt;&gt;"")&gt;0,1,0)</f>
        <v>0</v>
      </c>
    </row>
    <row r="114">
      <c r="A114" s="94">
        <f>IF($X114=0,"",94)</f>
      </c>
      <c r="B114" s="95">
        <f t="shared" si="1"/>
      </c>
      <c r="C114" s="96">
        <f t="shared" si="10"/>
      </c>
      <c r="D114" s="21">
        <f t="shared" si="12"/>
      </c>
      <c r="E114" s="21">
        <f t="shared" si="14"/>
      </c>
      <c r="F114" s="21">
        <f t="shared" si="16"/>
      </c>
      <c r="G114" s="21">
        <f t="shared" si="18"/>
      </c>
      <c r="H114" s="21">
        <f t="shared" si="20"/>
      </c>
      <c r="I114" s="21">
        <f t="shared" si="22"/>
      </c>
      <c r="J114" s="94">
        <f t="shared" si="24"/>
      </c>
      <c r="K114" s="94">
        <f t="shared" si="26"/>
      </c>
      <c r="L114" s="94">
        <f t="shared" si="28"/>
      </c>
      <c r="M114" s="96">
        <f t="shared" si="29"/>
      </c>
      <c r="X114" s="2">
        <f>IF(94&gt;$AA$5,0,MOD(SMALL($AA$6:$AA$2005,94),10000))</f>
        <v>0</v>
      </c>
      <c r="AA114" s="2">
        <f>IF(AND(ISNUMBER(资金流水!$B$114),ISNUMBER(资金流水!$S$114),资金流水!$S$114&gt;=_辅助!$J$4,资金流水!$S$114&lt;=_辅助!$J$2,OR(资金流水!$C$114=$C$18,AND(资金流水!$AD$114=$C$18,资金流水!$X$114="账户互转"),AND($E$18&lt;&gt;"",资金流水!$J$114=$E$18,资金流水!$X$114="应付职工薪酬"))),INT(资金流水!$B$114)*10000+109,"")</f>
      </c>
      <c r="AB114" s="2">
        <f>AB100+SUM(CB101:CB114)</f>
        <v>0</v>
      </c>
      <c r="CB114" s="2">
        <f>IF(COUNTIFS(资金流水!$J$6:$J$2005,往来单位!$B$117,资金流水!$X$6:$X$2005,"其他应收款",资金流水!$S$6:$S$2005,"&gt;="&amp;_辅助!$J$4,资金流水!$S$6:$S$2005,"&lt;="&amp;_辅助!$J$2)*(往来单位!$B$117&lt;&gt;"")&gt;0,1,0)</f>
        <v>0</v>
      </c>
    </row>
    <row r="115">
      <c r="A115" s="94">
        <f>IF($X115=0,"",95)</f>
      </c>
      <c r="B115" s="95">
        <f t="shared" si="1"/>
      </c>
      <c r="C115" s="96">
        <f t="shared" si="10"/>
      </c>
      <c r="D115" s="21">
        <f t="shared" si="12"/>
      </c>
      <c r="E115" s="21">
        <f t="shared" si="14"/>
      </c>
      <c r="F115" s="21">
        <f t="shared" si="16"/>
      </c>
      <c r="G115" s="21">
        <f t="shared" si="18"/>
      </c>
      <c r="H115" s="21">
        <f t="shared" si="20"/>
      </c>
      <c r="I115" s="21">
        <f t="shared" si="22"/>
      </c>
      <c r="J115" s="94">
        <f t="shared" si="24"/>
      </c>
      <c r="K115" s="94">
        <f t="shared" si="26"/>
      </c>
      <c r="L115" s="94">
        <f t="shared" si="28"/>
      </c>
      <c r="M115" s="96">
        <f t="shared" si="29"/>
      </c>
      <c r="X115" s="2">
        <f>IF(95&gt;$AA$5,0,MOD(SMALL($AA$6:$AA$2005,95),10000))</f>
        <v>0</v>
      </c>
      <c r="AA115" s="2">
        <f>IF(AND(ISNUMBER(资金流水!$B$115),ISNUMBER(资金流水!$S$115),资金流水!$S$115&gt;=_辅助!$J$4,资金流水!$S$115&lt;=_辅助!$J$2,OR(资金流水!$C$115=$C$18,AND(资金流水!$AD$115=$C$18,资金流水!$X$115="账户互转"),AND($E$18&lt;&gt;"",资金流水!$J$115=$E$18,资金流水!$X$115="应付职工薪酬"))),INT(资金流水!$B$115)*10000+110,"")</f>
      </c>
      <c r="AB115" s="2">
        <f>AB100+SUM(CB101:CB115)</f>
        <v>0</v>
      </c>
      <c r="CB115" s="2">
        <f>IF(COUNTIFS(资金流水!$J$6:$J$2005,往来单位!$B$118,资金流水!$X$6:$X$2005,"其他应收款",资金流水!$S$6:$S$2005,"&gt;="&amp;_辅助!$J$4,资金流水!$S$6:$S$2005,"&lt;="&amp;_辅助!$J$2)*(往来单位!$B$118&lt;&gt;"")&gt;0,1,0)</f>
        <v>0</v>
      </c>
    </row>
    <row r="116">
      <c r="A116" s="94">
        <f>IF($X116=0,"",96)</f>
      </c>
      <c r="B116" s="95">
        <f t="shared" si="1"/>
      </c>
      <c r="C116" s="96">
        <f t="shared" si="10"/>
      </c>
      <c r="D116" s="21">
        <f t="shared" si="12"/>
      </c>
      <c r="E116" s="21">
        <f t="shared" si="14"/>
      </c>
      <c r="F116" s="21">
        <f t="shared" si="16"/>
      </c>
      <c r="G116" s="21">
        <f t="shared" si="18"/>
      </c>
      <c r="H116" s="21">
        <f t="shared" si="20"/>
      </c>
      <c r="I116" s="21">
        <f t="shared" si="22"/>
      </c>
      <c r="J116" s="94">
        <f t="shared" si="24"/>
      </c>
      <c r="K116" s="94">
        <f t="shared" si="26"/>
      </c>
      <c r="L116" s="94">
        <f t="shared" si="28"/>
      </c>
      <c r="M116" s="96">
        <f t="shared" si="29"/>
      </c>
      <c r="X116" s="2">
        <f>IF(96&gt;$AA$5,0,MOD(SMALL($AA$6:$AA$2005,96),10000))</f>
        <v>0</v>
      </c>
      <c r="AA116" s="2">
        <f>IF(AND(ISNUMBER(资金流水!$B$116),ISNUMBER(资金流水!$S$116),资金流水!$S$116&gt;=_辅助!$J$4,资金流水!$S$116&lt;=_辅助!$J$2,OR(资金流水!$C$116=$C$18,AND(资金流水!$AD$116=$C$18,资金流水!$X$116="账户互转"),AND($E$18&lt;&gt;"",资金流水!$J$116=$E$18,资金流水!$X$116="应付职工薪酬"))),INT(资金流水!$B$116)*10000+111,"")</f>
      </c>
      <c r="AB116" s="2">
        <f>AB100+SUM(CB101:CB116)</f>
        <v>0</v>
      </c>
      <c r="CB116" s="2">
        <f>IF(COUNTIFS(资金流水!$J$6:$J$2005,往来单位!$B$119,资金流水!$X$6:$X$2005,"其他应收款",资金流水!$S$6:$S$2005,"&gt;="&amp;_辅助!$J$4,资金流水!$S$6:$S$2005,"&lt;="&amp;_辅助!$J$2)*(往来单位!$B$119&lt;&gt;"")&gt;0,1,0)</f>
        <v>0</v>
      </c>
    </row>
    <row r="117">
      <c r="A117" s="94">
        <f>IF($X117=0,"",97)</f>
      </c>
      <c r="B117" s="95">
        <f t="shared" si="1"/>
      </c>
      <c r="C117" s="96">
        <f t="shared" si="10"/>
      </c>
      <c r="D117" s="21">
        <f t="shared" si="12"/>
      </c>
      <c r="E117" s="21">
        <f t="shared" si="14"/>
      </c>
      <c r="F117" s="21">
        <f t="shared" si="16"/>
      </c>
      <c r="G117" s="21">
        <f t="shared" si="18"/>
      </c>
      <c r="H117" s="21">
        <f t="shared" si="20"/>
      </c>
      <c r="I117" s="21">
        <f t="shared" si="22"/>
      </c>
      <c r="J117" s="94">
        <f t="shared" si="24"/>
      </c>
      <c r="K117" s="94">
        <f t="shared" si="26"/>
      </c>
      <c r="L117" s="94">
        <f t="shared" si="28"/>
      </c>
      <c r="M117" s="96">
        <f t="shared" si="29"/>
      </c>
      <c r="X117" s="2">
        <f>IF(97&gt;$AA$5,0,MOD(SMALL($AA$6:$AA$2005,97),10000))</f>
        <v>0</v>
      </c>
      <c r="AA117" s="2">
        <f>IF(AND(ISNUMBER(资金流水!$B$117),ISNUMBER(资金流水!$S$117),资金流水!$S$117&gt;=_辅助!$J$4,资金流水!$S$117&lt;=_辅助!$J$2,OR(资金流水!$C$117=$C$18,AND(资金流水!$AD$117=$C$18,资金流水!$X$117="账户互转"),AND($E$18&lt;&gt;"",资金流水!$J$117=$E$18,资金流水!$X$117="应付职工薪酬"))),INT(资金流水!$B$117)*10000+112,"")</f>
      </c>
      <c r="AB117" s="2">
        <f>AB100+SUM(CB101:CB117)</f>
        <v>0</v>
      </c>
      <c r="CB117" s="2">
        <f>IF(COUNTIFS(资金流水!$J$6:$J$2005,往来单位!$B$120,资金流水!$X$6:$X$2005,"其他应收款",资金流水!$S$6:$S$2005,"&gt;="&amp;_辅助!$J$4,资金流水!$S$6:$S$2005,"&lt;="&amp;_辅助!$J$2)*(往来单位!$B$120&lt;&gt;"")&gt;0,1,0)</f>
        <v>0</v>
      </c>
    </row>
    <row r="118">
      <c r="A118" s="94">
        <f>IF($X118=0,"",98)</f>
      </c>
      <c r="B118" s="95">
        <f t="shared" si="1"/>
      </c>
      <c r="C118" s="96">
        <f t="shared" si="10"/>
      </c>
      <c r="D118" s="21">
        <f t="shared" si="12"/>
      </c>
      <c r="E118" s="21">
        <f t="shared" si="14"/>
      </c>
      <c r="F118" s="21">
        <f t="shared" si="16"/>
      </c>
      <c r="G118" s="21">
        <f t="shared" si="18"/>
      </c>
      <c r="H118" s="21">
        <f t="shared" si="20"/>
      </c>
      <c r="I118" s="21">
        <f t="shared" si="22"/>
      </c>
      <c r="J118" s="94">
        <f t="shared" si="24"/>
      </c>
      <c r="K118" s="94">
        <f t="shared" si="26"/>
      </c>
      <c r="L118" s="94">
        <f t="shared" si="28"/>
      </c>
      <c r="M118" s="96">
        <f t="shared" si="29"/>
      </c>
      <c r="X118" s="2">
        <f>IF(98&gt;$AA$5,0,MOD(SMALL($AA$6:$AA$2005,98),10000))</f>
        <v>0</v>
      </c>
      <c r="AA118" s="2">
        <f>IF(AND(ISNUMBER(资金流水!$B$118),ISNUMBER(资金流水!$S$118),资金流水!$S$118&gt;=_辅助!$J$4,资金流水!$S$118&lt;=_辅助!$J$2,OR(资金流水!$C$118=$C$18,AND(资金流水!$AD$118=$C$18,资金流水!$X$118="账户互转"),AND($E$18&lt;&gt;"",资金流水!$J$118=$E$18,资金流水!$X$118="应付职工薪酬"))),INT(资金流水!$B$118)*10000+113,"")</f>
      </c>
      <c r="AB118" s="2">
        <f>AB100+SUM(CB101:CB118)</f>
        <v>0</v>
      </c>
      <c r="CB118" s="2">
        <f>IF(COUNTIFS(资金流水!$J$6:$J$2005,往来单位!$B$121,资金流水!$X$6:$X$2005,"其他应收款",资金流水!$S$6:$S$2005,"&gt;="&amp;_辅助!$J$4,资金流水!$S$6:$S$2005,"&lt;="&amp;_辅助!$J$2)*(往来单位!$B$121&lt;&gt;"")&gt;0,1,0)</f>
        <v>0</v>
      </c>
    </row>
    <row r="119">
      <c r="A119" s="94">
        <f>IF($X119=0,"",99)</f>
      </c>
      <c r="B119" s="95">
        <f t="shared" si="1"/>
      </c>
      <c r="C119" s="96">
        <f t="shared" si="10"/>
      </c>
      <c r="D119" s="21">
        <f t="shared" si="12"/>
      </c>
      <c r="E119" s="21">
        <f t="shared" si="14"/>
      </c>
      <c r="F119" s="21">
        <f t="shared" si="16"/>
      </c>
      <c r="G119" s="21">
        <f t="shared" si="18"/>
      </c>
      <c r="H119" s="21">
        <f t="shared" si="20"/>
      </c>
      <c r="I119" s="21">
        <f t="shared" si="22"/>
      </c>
      <c r="J119" s="94">
        <f t="shared" si="24"/>
      </c>
      <c r="K119" s="94">
        <f t="shared" si="26"/>
      </c>
      <c r="L119" s="94">
        <f t="shared" si="28"/>
      </c>
      <c r="M119" s="96">
        <f t="shared" si="29"/>
      </c>
      <c r="X119" s="2">
        <f>IF(99&gt;$AA$5,0,MOD(SMALL($AA$6:$AA$2005,99),10000))</f>
        <v>0</v>
      </c>
      <c r="AA119" s="2">
        <f>IF(AND(ISNUMBER(资金流水!$B$119),ISNUMBER(资金流水!$S$119),资金流水!$S$119&gt;=_辅助!$J$4,资金流水!$S$119&lt;=_辅助!$J$2,OR(资金流水!$C$119=$C$18,AND(资金流水!$AD$119=$C$18,资金流水!$X$119="账户互转"),AND($E$18&lt;&gt;"",资金流水!$J$119=$E$18,资金流水!$X$119="应付职工薪酬"))),INT(资金流水!$B$119)*10000+114,"")</f>
      </c>
      <c r="AB119" s="2">
        <f>AB100+SUM(CB101:CB119)</f>
        <v>0</v>
      </c>
      <c r="CB119" s="2">
        <f>IF(COUNTIFS(资金流水!$J$6:$J$2005,往来单位!$B$122,资金流水!$X$6:$X$2005,"其他应收款",资金流水!$S$6:$S$2005,"&gt;="&amp;_辅助!$J$4,资金流水!$S$6:$S$2005,"&lt;="&amp;_辅助!$J$2)*(往来单位!$B$122&lt;&gt;"")&gt;0,1,0)</f>
        <v>0</v>
      </c>
    </row>
    <row r="120">
      <c r="A120" s="94">
        <f>IF($X120=0,"",100)</f>
      </c>
      <c r="B120" s="95">
        <f t="shared" si="1"/>
      </c>
      <c r="C120" s="96">
        <f t="shared" si="10"/>
      </c>
      <c r="D120" s="21">
        <f t="shared" si="12"/>
      </c>
      <c r="E120" s="21">
        <f t="shared" si="14"/>
      </c>
      <c r="F120" s="21">
        <f t="shared" si="16"/>
      </c>
      <c r="G120" s="21">
        <f t="shared" si="18"/>
      </c>
      <c r="H120" s="21">
        <f t="shared" si="20"/>
      </c>
      <c r="I120" s="21">
        <f t="shared" si="22"/>
      </c>
      <c r="J120" s="94">
        <f t="shared" si="24"/>
      </c>
      <c r="K120" s="94">
        <f t="shared" si="26"/>
      </c>
      <c r="L120" s="94">
        <f t="shared" si="28"/>
      </c>
      <c r="M120" s="96">
        <f t="shared" si="29"/>
      </c>
      <c r="X120" s="2">
        <f>IF(100&gt;$AA$5,0,MOD(SMALL($AA$6:$AA$2005,100),10000))</f>
        <v>0</v>
      </c>
      <c r="AA120" s="2">
        <f>IF(AND(ISNUMBER(资金流水!$B$120),ISNUMBER(资金流水!$S$120),资金流水!$S$120&gt;=_辅助!$J$4,资金流水!$S$120&lt;=_辅助!$J$2,OR(资金流水!$C$120=$C$18,AND(资金流水!$AD$120=$C$18,资金流水!$X$120="账户互转"),AND($E$18&lt;&gt;"",资金流水!$J$120=$E$18,资金流水!$X$120="应付职工薪酬"))),INT(资金流水!$B$120)*10000+115,"")</f>
      </c>
      <c r="AB120" s="2">
        <f>AB100+SUM(CB101:CB120)</f>
        <v>0</v>
      </c>
      <c r="CB120" s="2">
        <f>IF(COUNTIFS(资金流水!$J$6:$J$2005,往来单位!$B$123,资金流水!$X$6:$X$2005,"其他应收款",资金流水!$S$6:$S$2005,"&gt;="&amp;_辅助!$J$4,资金流水!$S$6:$S$2005,"&lt;="&amp;_辅助!$J$2)*(往来单位!$B$123&lt;&gt;"")&gt;0,1,0)</f>
        <v>0</v>
      </c>
    </row>
    <row r="121">
      <c r="A121" s="94">
        <f>IF($X121=0,"",101)</f>
      </c>
      <c r="B121" s="95">
        <f t="shared" si="1"/>
      </c>
      <c r="C121" s="96">
        <f t="shared" si="10"/>
      </c>
      <c r="D121" s="21">
        <f t="shared" si="12"/>
      </c>
      <c r="E121" s="21">
        <f t="shared" si="14"/>
      </c>
      <c r="F121" s="21">
        <f t="shared" si="16"/>
      </c>
      <c r="G121" s="21">
        <f t="shared" si="18"/>
      </c>
      <c r="H121" s="21">
        <f t="shared" si="20"/>
      </c>
      <c r="I121" s="21">
        <f t="shared" si="22"/>
      </c>
      <c r="J121" s="94">
        <f t="shared" si="24"/>
      </c>
      <c r="K121" s="94">
        <f t="shared" si="26"/>
      </c>
      <c r="L121" s="94">
        <f t="shared" si="28"/>
      </c>
      <c r="M121" s="96">
        <f t="shared" si="29"/>
      </c>
      <c r="X121" s="2">
        <f>IF(101&gt;$AA$5,0,MOD(SMALL($AA$6:$AA$2005,101),10000))</f>
        <v>0</v>
      </c>
      <c r="AA121" s="2">
        <f>IF(AND(ISNUMBER(资金流水!$B$121),ISNUMBER(资金流水!$S$121),资金流水!$S$121&gt;=_辅助!$J$4,资金流水!$S$121&lt;=_辅助!$J$2,OR(资金流水!$C$121=$C$18,AND(资金流水!$AD$121=$C$18,资金流水!$X$121="账户互转"),AND($E$18&lt;&gt;"",资金流水!$J$121=$E$18,资金流水!$X$121="应付职工薪酬"))),INT(资金流水!$B$121)*10000+116,"")</f>
      </c>
      <c r="AB121" s="2">
        <f>AB100+SUM(CB101:CB121)</f>
        <v>0</v>
      </c>
      <c r="CB121" s="2">
        <f>IF(COUNTIFS(资金流水!$J$6:$J$2005,往来单位!$B$124,资金流水!$X$6:$X$2005,"其他应收款",资金流水!$S$6:$S$2005,"&gt;="&amp;_辅助!$J$4,资金流水!$S$6:$S$2005,"&lt;="&amp;_辅助!$J$2)*(往来单位!$B$124&lt;&gt;"")&gt;0,1,0)</f>
        <v>0</v>
      </c>
    </row>
    <row r="122">
      <c r="A122" s="94">
        <f>IF($X122=0,"",102)</f>
      </c>
      <c r="B122" s="95">
        <f t="shared" si="1"/>
      </c>
      <c r="C122" s="96">
        <f t="shared" si="10"/>
      </c>
      <c r="D122" s="21">
        <f t="shared" si="12"/>
      </c>
      <c r="E122" s="21">
        <f t="shared" si="14"/>
      </c>
      <c r="F122" s="21">
        <f t="shared" si="16"/>
      </c>
      <c r="G122" s="21">
        <f t="shared" si="18"/>
      </c>
      <c r="H122" s="21">
        <f t="shared" si="20"/>
      </c>
      <c r="I122" s="21">
        <f t="shared" si="22"/>
      </c>
      <c r="J122" s="94">
        <f t="shared" si="24"/>
      </c>
      <c r="K122" s="94">
        <f t="shared" si="26"/>
      </c>
      <c r="L122" s="94">
        <f t="shared" si="28"/>
      </c>
      <c r="M122" s="96">
        <f t="shared" si="29"/>
      </c>
      <c r="X122" s="2">
        <f>IF(102&gt;$AA$5,0,MOD(SMALL($AA$6:$AA$2005,102),10000))</f>
        <v>0</v>
      </c>
      <c r="AA122" s="2">
        <f>IF(AND(ISNUMBER(资金流水!$B$122),ISNUMBER(资金流水!$S$122),资金流水!$S$122&gt;=_辅助!$J$4,资金流水!$S$122&lt;=_辅助!$J$2,OR(资金流水!$C$122=$C$18,AND(资金流水!$AD$122=$C$18,资金流水!$X$122="账户互转"),AND($E$18&lt;&gt;"",资金流水!$J$122=$E$18,资金流水!$X$122="应付职工薪酬"))),INT(资金流水!$B$122)*10000+117,"")</f>
      </c>
      <c r="AB122" s="2">
        <f>AB100+SUM(CB101:CB122)</f>
        <v>0</v>
      </c>
      <c r="CB122" s="2">
        <f>IF(COUNTIFS(资金流水!$J$6:$J$2005,往来单位!$B$125,资金流水!$X$6:$X$2005,"其他应收款",资金流水!$S$6:$S$2005,"&gt;="&amp;_辅助!$J$4,资金流水!$S$6:$S$2005,"&lt;="&amp;_辅助!$J$2)*(往来单位!$B$125&lt;&gt;"")&gt;0,1,0)</f>
        <v>0</v>
      </c>
    </row>
    <row r="123">
      <c r="A123" s="94">
        <f>IF($X123=0,"",103)</f>
      </c>
      <c r="B123" s="95">
        <f t="shared" si="1"/>
      </c>
      <c r="C123" s="96">
        <f t="shared" si="10"/>
      </c>
      <c r="D123" s="21">
        <f t="shared" si="12"/>
      </c>
      <c r="E123" s="21">
        <f t="shared" si="14"/>
      </c>
      <c r="F123" s="21">
        <f t="shared" si="16"/>
      </c>
      <c r="G123" s="21">
        <f t="shared" si="18"/>
      </c>
      <c r="H123" s="21">
        <f t="shared" si="20"/>
      </c>
      <c r="I123" s="21">
        <f t="shared" si="22"/>
      </c>
      <c r="J123" s="94">
        <f t="shared" si="24"/>
      </c>
      <c r="K123" s="94">
        <f t="shared" si="26"/>
      </c>
      <c r="L123" s="94">
        <f t="shared" si="28"/>
      </c>
      <c r="M123" s="96">
        <f t="shared" si="29"/>
      </c>
      <c r="X123" s="2">
        <f>IF(103&gt;$AA$5,0,MOD(SMALL($AA$6:$AA$2005,103),10000))</f>
        <v>0</v>
      </c>
      <c r="AA123" s="2">
        <f>IF(AND(ISNUMBER(资金流水!$B$123),ISNUMBER(资金流水!$S$123),资金流水!$S$123&gt;=_辅助!$J$4,资金流水!$S$123&lt;=_辅助!$J$2,OR(资金流水!$C$123=$C$18,AND(资金流水!$AD$123=$C$18,资金流水!$X$123="账户互转"),AND($E$18&lt;&gt;"",资金流水!$J$123=$E$18,资金流水!$X$123="应付职工薪酬"))),INT(资金流水!$B$123)*10000+118,"")</f>
      </c>
      <c r="AB123" s="2">
        <f>AB100+SUM(CB101:CB123)</f>
        <v>0</v>
      </c>
      <c r="CB123" s="2">
        <f>IF(COUNTIFS(资金流水!$J$6:$J$2005,往来单位!$B$126,资金流水!$X$6:$X$2005,"其他应收款",资金流水!$S$6:$S$2005,"&gt;="&amp;_辅助!$J$4,资金流水!$S$6:$S$2005,"&lt;="&amp;_辅助!$J$2)*(往来单位!$B$126&lt;&gt;"")&gt;0,1,0)</f>
        <v>0</v>
      </c>
    </row>
    <row r="124">
      <c r="A124" s="94">
        <f>IF($X124=0,"",104)</f>
      </c>
      <c r="B124" s="95">
        <f t="shared" si="1"/>
      </c>
      <c r="C124" s="96">
        <f t="shared" si="10"/>
      </c>
      <c r="D124" s="21">
        <f t="shared" si="12"/>
      </c>
      <c r="E124" s="21">
        <f t="shared" si="14"/>
      </c>
      <c r="F124" s="21">
        <f t="shared" si="16"/>
      </c>
      <c r="G124" s="21">
        <f t="shared" si="18"/>
      </c>
      <c r="H124" s="21">
        <f t="shared" si="20"/>
      </c>
      <c r="I124" s="21">
        <f t="shared" si="22"/>
      </c>
      <c r="J124" s="94">
        <f t="shared" si="24"/>
      </c>
      <c r="K124" s="94">
        <f t="shared" si="26"/>
      </c>
      <c r="L124" s="94">
        <f t="shared" si="28"/>
      </c>
      <c r="M124" s="96">
        <f t="shared" si="29"/>
      </c>
      <c r="X124" s="2">
        <f>IF(104&gt;$AA$5,0,MOD(SMALL($AA$6:$AA$2005,104),10000))</f>
        <v>0</v>
      </c>
      <c r="AA124" s="2">
        <f>IF(AND(ISNUMBER(资金流水!$B$124),ISNUMBER(资金流水!$S$124),资金流水!$S$124&gt;=_辅助!$J$4,资金流水!$S$124&lt;=_辅助!$J$2,OR(资金流水!$C$124=$C$18,AND(资金流水!$AD$124=$C$18,资金流水!$X$124="账户互转"),AND($E$18&lt;&gt;"",资金流水!$J$124=$E$18,资金流水!$X$124="应付职工薪酬"))),INT(资金流水!$B$124)*10000+119,"")</f>
      </c>
      <c r="AB124" s="2">
        <f>AB100+SUM(CB101:CB124)</f>
        <v>0</v>
      </c>
      <c r="CB124" s="2">
        <f>IF(COUNTIFS(资金流水!$J$6:$J$2005,往来单位!$B$127,资金流水!$X$6:$X$2005,"其他应收款",资金流水!$S$6:$S$2005,"&gt;="&amp;_辅助!$J$4,资金流水!$S$6:$S$2005,"&lt;="&amp;_辅助!$J$2)*(往来单位!$B$127&lt;&gt;"")&gt;0,1,0)</f>
        <v>0</v>
      </c>
    </row>
    <row r="125">
      <c r="A125" s="94">
        <f>IF($X125=0,"",105)</f>
      </c>
      <c r="B125" s="95">
        <f t="shared" si="1"/>
      </c>
      <c r="C125" s="96">
        <f t="shared" si="10"/>
      </c>
      <c r="D125" s="21">
        <f t="shared" si="12"/>
      </c>
      <c r="E125" s="21">
        <f t="shared" si="14"/>
      </c>
      <c r="F125" s="21">
        <f t="shared" si="16"/>
      </c>
      <c r="G125" s="21">
        <f t="shared" si="18"/>
      </c>
      <c r="H125" s="21">
        <f t="shared" si="20"/>
      </c>
      <c r="I125" s="21">
        <f t="shared" si="22"/>
      </c>
      <c r="J125" s="94">
        <f t="shared" si="24"/>
      </c>
      <c r="K125" s="94">
        <f t="shared" si="26"/>
      </c>
      <c r="L125" s="94">
        <f t="shared" si="28"/>
      </c>
      <c r="M125" s="96">
        <f t="shared" si="29"/>
      </c>
      <c r="X125" s="2">
        <f>IF(105&gt;$AA$5,0,MOD(SMALL($AA$6:$AA$2005,105),10000))</f>
        <v>0</v>
      </c>
      <c r="AA125" s="2">
        <f>IF(AND(ISNUMBER(资金流水!$B$125),ISNUMBER(资金流水!$S$125),资金流水!$S$125&gt;=_辅助!$J$4,资金流水!$S$125&lt;=_辅助!$J$2,OR(资金流水!$C$125=$C$18,AND(资金流水!$AD$125=$C$18,资金流水!$X$125="账户互转"),AND($E$18&lt;&gt;"",资金流水!$J$125=$E$18,资金流水!$X$125="应付职工薪酬"))),INT(资金流水!$B$125)*10000+120,"")</f>
      </c>
      <c r="AB125" s="2">
        <f>AB100+SUM(CB101:CB125)</f>
        <v>0</v>
      </c>
      <c r="CB125" s="2">
        <f>IF(COUNTIFS(资金流水!$J$6:$J$2005,往来单位!$B$128,资金流水!$X$6:$X$2005,"其他应收款",资金流水!$S$6:$S$2005,"&gt;="&amp;_辅助!$J$4,资金流水!$S$6:$S$2005,"&lt;="&amp;_辅助!$J$2)*(往来单位!$B$128&lt;&gt;"")&gt;0,1,0)</f>
        <v>0</v>
      </c>
    </row>
    <row r="126">
      <c r="A126" s="94">
        <f>IF($X126=0,"",106)</f>
      </c>
      <c r="B126" s="95">
        <f t="shared" si="1"/>
      </c>
      <c r="C126" s="96">
        <f t="shared" si="10"/>
      </c>
      <c r="D126" s="21">
        <f t="shared" si="12"/>
      </c>
      <c r="E126" s="21">
        <f t="shared" si="14"/>
      </c>
      <c r="F126" s="21">
        <f t="shared" si="16"/>
      </c>
      <c r="G126" s="21">
        <f t="shared" si="18"/>
      </c>
      <c r="H126" s="21">
        <f t="shared" si="20"/>
      </c>
      <c r="I126" s="21">
        <f t="shared" si="22"/>
      </c>
      <c r="J126" s="94">
        <f t="shared" si="24"/>
      </c>
      <c r="K126" s="94">
        <f t="shared" si="26"/>
      </c>
      <c r="L126" s="94">
        <f t="shared" si="28"/>
      </c>
      <c r="M126" s="96">
        <f t="shared" si="29"/>
      </c>
      <c r="X126" s="2">
        <f>IF(106&gt;$AA$5,0,MOD(SMALL($AA$6:$AA$2005,106),10000))</f>
        <v>0</v>
      </c>
      <c r="AA126" s="2">
        <f>IF(AND(ISNUMBER(资金流水!$B$126),ISNUMBER(资金流水!$S$126),资金流水!$S$126&gt;=_辅助!$J$4,资金流水!$S$126&lt;=_辅助!$J$2,OR(资金流水!$C$126=$C$18,AND(资金流水!$AD$126=$C$18,资金流水!$X$126="账户互转"),AND($E$18&lt;&gt;"",资金流水!$J$126=$E$18,资金流水!$X$126="应付职工薪酬"))),INT(资金流水!$B$126)*10000+121,"")</f>
      </c>
      <c r="AB126" s="2">
        <f>AB100+SUM(CB101:CB126)</f>
        <v>0</v>
      </c>
      <c r="CB126" s="2">
        <f>IF(COUNTIFS(资金流水!$J$6:$J$2005,往来单位!$B$129,资金流水!$X$6:$X$2005,"其他应收款",资金流水!$S$6:$S$2005,"&gt;="&amp;_辅助!$J$4,资金流水!$S$6:$S$2005,"&lt;="&amp;_辅助!$J$2)*(往来单位!$B$129&lt;&gt;"")&gt;0,1,0)</f>
        <v>0</v>
      </c>
    </row>
    <row r="127">
      <c r="A127" s="94">
        <f>IF($X127=0,"",107)</f>
      </c>
      <c r="B127" s="95">
        <f t="shared" si="1"/>
      </c>
      <c r="C127" s="96">
        <f t="shared" si="10"/>
      </c>
      <c r="D127" s="21">
        <f t="shared" si="12"/>
      </c>
      <c r="E127" s="21">
        <f t="shared" si="14"/>
      </c>
      <c r="F127" s="21">
        <f t="shared" si="16"/>
      </c>
      <c r="G127" s="21">
        <f t="shared" si="18"/>
      </c>
      <c r="H127" s="21">
        <f t="shared" si="20"/>
      </c>
      <c r="I127" s="21">
        <f t="shared" si="22"/>
      </c>
      <c r="J127" s="94">
        <f t="shared" si="24"/>
      </c>
      <c r="K127" s="94">
        <f t="shared" si="26"/>
      </c>
      <c r="L127" s="94">
        <f t="shared" si="28"/>
      </c>
      <c r="M127" s="96">
        <f t="shared" si="29"/>
      </c>
      <c r="X127" s="2">
        <f>IF(107&gt;$AA$5,0,MOD(SMALL($AA$6:$AA$2005,107),10000))</f>
        <v>0</v>
      </c>
      <c r="AA127" s="2">
        <f>IF(AND(ISNUMBER(资金流水!$B$127),ISNUMBER(资金流水!$S$127),资金流水!$S$127&gt;=_辅助!$J$4,资金流水!$S$127&lt;=_辅助!$J$2,OR(资金流水!$C$127=$C$18,AND(资金流水!$AD$127=$C$18,资金流水!$X$127="账户互转"),AND($E$18&lt;&gt;"",资金流水!$J$127=$E$18,资金流水!$X$127="应付职工薪酬"))),INT(资金流水!$B$127)*10000+122,"")</f>
      </c>
      <c r="AB127" s="2">
        <f>AB100+SUM(CB101:CB127)</f>
        <v>0</v>
      </c>
      <c r="CB127" s="2">
        <f>IF(COUNTIFS(资金流水!$J$6:$J$2005,往来单位!$B$130,资金流水!$X$6:$X$2005,"其他应收款",资金流水!$S$6:$S$2005,"&gt;="&amp;_辅助!$J$4,资金流水!$S$6:$S$2005,"&lt;="&amp;_辅助!$J$2)*(往来单位!$B$130&lt;&gt;"")&gt;0,1,0)</f>
        <v>0</v>
      </c>
    </row>
    <row r="128">
      <c r="A128" s="94">
        <f>IF($X128=0,"",108)</f>
      </c>
      <c r="B128" s="95">
        <f t="shared" si="1"/>
      </c>
      <c r="C128" s="96">
        <f t="shared" si="10"/>
      </c>
      <c r="D128" s="21">
        <f t="shared" si="12"/>
      </c>
      <c r="E128" s="21">
        <f t="shared" si="14"/>
      </c>
      <c r="F128" s="21">
        <f t="shared" si="16"/>
      </c>
      <c r="G128" s="21">
        <f t="shared" si="18"/>
      </c>
      <c r="H128" s="21">
        <f t="shared" si="20"/>
      </c>
      <c r="I128" s="21">
        <f t="shared" si="22"/>
      </c>
      <c r="J128" s="94">
        <f t="shared" si="24"/>
      </c>
      <c r="K128" s="94">
        <f t="shared" si="26"/>
      </c>
      <c r="L128" s="94">
        <f t="shared" si="28"/>
      </c>
      <c r="M128" s="96">
        <f t="shared" si="29"/>
      </c>
      <c r="X128" s="2">
        <f>IF(108&gt;$AA$5,0,MOD(SMALL($AA$6:$AA$2005,108),10000))</f>
        <v>0</v>
      </c>
      <c r="AA128" s="2">
        <f>IF(AND(ISNUMBER(资金流水!$B$128),ISNUMBER(资金流水!$S$128),资金流水!$S$128&gt;=_辅助!$J$4,资金流水!$S$128&lt;=_辅助!$J$2,OR(资金流水!$C$128=$C$18,AND(资金流水!$AD$128=$C$18,资金流水!$X$128="账户互转"),AND($E$18&lt;&gt;"",资金流水!$J$128=$E$18,资金流水!$X$128="应付职工薪酬"))),INT(资金流水!$B$128)*10000+123,"")</f>
      </c>
      <c r="AB128" s="2">
        <f>AB100+SUM(CB101:CB128)</f>
        <v>0</v>
      </c>
      <c r="CB128" s="2">
        <f>IF(COUNTIFS(资金流水!$J$6:$J$2005,往来单位!$B$131,资金流水!$X$6:$X$2005,"其他应收款",资金流水!$S$6:$S$2005,"&gt;="&amp;_辅助!$J$4,资金流水!$S$6:$S$2005,"&lt;="&amp;_辅助!$J$2)*(往来单位!$B$131&lt;&gt;"")&gt;0,1,0)</f>
        <v>0</v>
      </c>
    </row>
    <row r="129">
      <c r="A129" s="94">
        <f>IF($X129=0,"",109)</f>
      </c>
      <c r="B129" s="95">
        <f t="shared" si="1"/>
      </c>
      <c r="C129" s="96">
        <f t="shared" si="10"/>
      </c>
      <c r="D129" s="21">
        <f t="shared" si="12"/>
      </c>
      <c r="E129" s="21">
        <f t="shared" si="14"/>
      </c>
      <c r="F129" s="21">
        <f t="shared" si="16"/>
      </c>
      <c r="G129" s="21">
        <f t="shared" si="18"/>
      </c>
      <c r="H129" s="21">
        <f t="shared" si="20"/>
      </c>
      <c r="I129" s="21">
        <f t="shared" si="22"/>
      </c>
      <c r="J129" s="94">
        <f t="shared" si="24"/>
      </c>
      <c r="K129" s="94">
        <f t="shared" si="26"/>
      </c>
      <c r="L129" s="94">
        <f t="shared" si="28"/>
      </c>
      <c r="M129" s="96">
        <f t="shared" si="29"/>
      </c>
      <c r="X129" s="2">
        <f>IF(109&gt;$AA$5,0,MOD(SMALL($AA$6:$AA$2005,109),10000))</f>
        <v>0</v>
      </c>
      <c r="AA129" s="2">
        <f>IF(AND(ISNUMBER(资金流水!$B$129),ISNUMBER(资金流水!$S$129),资金流水!$S$129&gt;=_辅助!$J$4,资金流水!$S$129&lt;=_辅助!$J$2,OR(资金流水!$C$129=$C$18,AND(资金流水!$AD$129=$C$18,资金流水!$X$129="账户互转"),AND($E$18&lt;&gt;"",资金流水!$J$129=$E$18,资金流水!$X$129="应付职工薪酬"))),INT(资金流水!$B$129)*10000+124,"")</f>
      </c>
      <c r="AB129" s="2">
        <f>AB100+SUM(CB101:CB129)</f>
        <v>0</v>
      </c>
      <c r="CB129" s="2">
        <f>IF(COUNTIFS(资金流水!$J$6:$J$2005,往来单位!$B$132,资金流水!$X$6:$X$2005,"其他应收款",资金流水!$S$6:$S$2005,"&gt;="&amp;_辅助!$J$4,资金流水!$S$6:$S$2005,"&lt;="&amp;_辅助!$J$2)*(往来单位!$B$132&lt;&gt;"")&gt;0,1,0)</f>
        <v>0</v>
      </c>
    </row>
    <row r="130">
      <c r="A130" s="94">
        <f>IF($X130=0,"",110)</f>
      </c>
      <c r="B130" s="95">
        <f t="shared" si="1"/>
      </c>
      <c r="C130" s="96">
        <f t="shared" si="10"/>
      </c>
      <c r="D130" s="21">
        <f t="shared" si="12"/>
      </c>
      <c r="E130" s="21">
        <f t="shared" si="14"/>
      </c>
      <c r="F130" s="21">
        <f t="shared" si="16"/>
      </c>
      <c r="G130" s="21">
        <f t="shared" si="18"/>
      </c>
      <c r="H130" s="21">
        <f t="shared" si="20"/>
      </c>
      <c r="I130" s="21">
        <f t="shared" si="22"/>
      </c>
      <c r="J130" s="94">
        <f t="shared" si="24"/>
      </c>
      <c r="K130" s="94">
        <f t="shared" si="26"/>
      </c>
      <c r="L130" s="94">
        <f t="shared" si="28"/>
      </c>
      <c r="M130" s="96">
        <f t="shared" si="29"/>
      </c>
      <c r="X130" s="2">
        <f>IF(110&gt;$AA$5,0,MOD(SMALL($AA$6:$AA$2005,110),10000))</f>
        <v>0</v>
      </c>
      <c r="AA130" s="2">
        <f>IF(AND(ISNUMBER(资金流水!$B$130),ISNUMBER(资金流水!$S$130),资金流水!$S$130&gt;=_辅助!$J$4,资金流水!$S$130&lt;=_辅助!$J$2,OR(资金流水!$C$130=$C$18,AND(资金流水!$AD$130=$C$18,资金流水!$X$130="账户互转"),AND($E$18&lt;&gt;"",资金流水!$J$130=$E$18,资金流水!$X$130="应付职工薪酬"))),INT(资金流水!$B$130)*10000+125,"")</f>
      </c>
      <c r="AB130" s="2">
        <f>AB100+SUM(CB101:CB130)</f>
        <v>0</v>
      </c>
      <c r="CB130" s="2">
        <f>IF(COUNTIFS(资金流水!$J$6:$J$2005,往来单位!$B$133,资金流水!$X$6:$X$2005,"其他应收款",资金流水!$S$6:$S$2005,"&gt;="&amp;_辅助!$J$4,资金流水!$S$6:$S$2005,"&lt;="&amp;_辅助!$J$2)*(往来单位!$B$133&lt;&gt;"")&gt;0,1,0)</f>
        <v>0</v>
      </c>
    </row>
    <row r="131">
      <c r="A131" s="94">
        <f>IF($X131=0,"",111)</f>
      </c>
      <c r="B131" s="95">
        <f t="shared" si="1"/>
      </c>
      <c r="C131" s="96">
        <f t="shared" si="10"/>
      </c>
      <c r="D131" s="21">
        <f t="shared" si="12"/>
      </c>
      <c r="E131" s="21">
        <f t="shared" si="14"/>
      </c>
      <c r="F131" s="21">
        <f t="shared" si="16"/>
      </c>
      <c r="G131" s="21">
        <f t="shared" si="18"/>
      </c>
      <c r="H131" s="21">
        <f t="shared" si="20"/>
      </c>
      <c r="I131" s="21">
        <f t="shared" si="22"/>
      </c>
      <c r="J131" s="94">
        <f t="shared" si="24"/>
      </c>
      <c r="K131" s="94">
        <f t="shared" si="26"/>
      </c>
      <c r="L131" s="94">
        <f t="shared" si="28"/>
      </c>
      <c r="M131" s="96">
        <f t="shared" si="29"/>
      </c>
      <c r="X131" s="2">
        <f>IF(111&gt;$AA$5,0,MOD(SMALL($AA$6:$AA$2005,111),10000))</f>
        <v>0</v>
      </c>
      <c r="AA131" s="2">
        <f>IF(AND(ISNUMBER(资金流水!$B$131),ISNUMBER(资金流水!$S$131),资金流水!$S$131&gt;=_辅助!$J$4,资金流水!$S$131&lt;=_辅助!$J$2,OR(资金流水!$C$131=$C$18,AND(资金流水!$AD$131=$C$18,资金流水!$X$131="账户互转"),AND($E$18&lt;&gt;"",资金流水!$J$131=$E$18,资金流水!$X$131="应付职工薪酬"))),INT(资金流水!$B$131)*10000+126,"")</f>
      </c>
      <c r="AB131" s="2">
        <f>AB100+SUM(CB101:CB131)</f>
        <v>0</v>
      </c>
      <c r="CB131" s="2">
        <f>IF(COUNTIFS(资金流水!$J$6:$J$2005,往来单位!$B$134,资金流水!$X$6:$X$2005,"其他应收款",资金流水!$S$6:$S$2005,"&gt;="&amp;_辅助!$J$4,资金流水!$S$6:$S$2005,"&lt;="&amp;_辅助!$J$2)*(往来单位!$B$134&lt;&gt;"")&gt;0,1,0)</f>
        <v>0</v>
      </c>
    </row>
    <row r="132">
      <c r="A132" s="94">
        <f>IF($X132=0,"",112)</f>
      </c>
      <c r="B132" s="95">
        <f t="shared" si="1"/>
      </c>
      <c r="C132" s="96">
        <f t="shared" si="10"/>
      </c>
      <c r="D132" s="21">
        <f t="shared" si="12"/>
      </c>
      <c r="E132" s="21">
        <f t="shared" si="14"/>
      </c>
      <c r="F132" s="21">
        <f t="shared" si="16"/>
      </c>
      <c r="G132" s="21">
        <f t="shared" si="18"/>
      </c>
      <c r="H132" s="21">
        <f t="shared" si="20"/>
      </c>
      <c r="I132" s="21">
        <f t="shared" si="22"/>
      </c>
      <c r="J132" s="94">
        <f t="shared" si="24"/>
      </c>
      <c r="K132" s="94">
        <f t="shared" si="26"/>
      </c>
      <c r="L132" s="94">
        <f t="shared" si="28"/>
      </c>
      <c r="M132" s="96">
        <f t="shared" si="29"/>
      </c>
      <c r="X132" s="2">
        <f>IF(112&gt;$AA$5,0,MOD(SMALL($AA$6:$AA$2005,112),10000))</f>
        <v>0</v>
      </c>
      <c r="AA132" s="2">
        <f>IF(AND(ISNUMBER(资金流水!$B$132),ISNUMBER(资金流水!$S$132),资金流水!$S$132&gt;=_辅助!$J$4,资金流水!$S$132&lt;=_辅助!$J$2,OR(资金流水!$C$132=$C$18,AND(资金流水!$AD$132=$C$18,资金流水!$X$132="账户互转"),AND($E$18&lt;&gt;"",资金流水!$J$132=$E$18,资金流水!$X$132="应付职工薪酬"))),INT(资金流水!$B$132)*10000+127,"")</f>
      </c>
      <c r="AB132" s="2">
        <f>AB100+SUM(CB101:CB132)</f>
        <v>0</v>
      </c>
      <c r="CB132" s="2">
        <f>IF(COUNTIFS(资金流水!$J$6:$J$2005,往来单位!$B$135,资金流水!$X$6:$X$2005,"其他应收款",资金流水!$S$6:$S$2005,"&gt;="&amp;_辅助!$J$4,资金流水!$S$6:$S$2005,"&lt;="&amp;_辅助!$J$2)*(往来单位!$B$135&lt;&gt;"")&gt;0,1,0)</f>
        <v>0</v>
      </c>
    </row>
    <row r="133">
      <c r="A133" s="94">
        <f>IF($X133=0,"",113)</f>
      </c>
      <c r="B133" s="95">
        <f t="shared" si="1"/>
      </c>
      <c r="C133" s="96">
        <f t="shared" si="10"/>
      </c>
      <c r="D133" s="21">
        <f t="shared" si="12"/>
      </c>
      <c r="E133" s="21">
        <f t="shared" si="14"/>
      </c>
      <c r="F133" s="21">
        <f t="shared" si="16"/>
      </c>
      <c r="G133" s="21">
        <f t="shared" si="18"/>
      </c>
      <c r="H133" s="21">
        <f t="shared" si="20"/>
      </c>
      <c r="I133" s="21">
        <f t="shared" si="22"/>
      </c>
      <c r="J133" s="94">
        <f t="shared" si="24"/>
      </c>
      <c r="K133" s="94">
        <f t="shared" si="26"/>
      </c>
      <c r="L133" s="94">
        <f t="shared" si="28"/>
      </c>
      <c r="M133" s="96">
        <f t="shared" si="29"/>
      </c>
      <c r="X133" s="2">
        <f>IF(113&gt;$AA$5,0,MOD(SMALL($AA$6:$AA$2005,113),10000))</f>
        <v>0</v>
      </c>
      <c r="AA133" s="2">
        <f>IF(AND(ISNUMBER(资金流水!$B$133),ISNUMBER(资金流水!$S$133),资金流水!$S$133&gt;=_辅助!$J$4,资金流水!$S$133&lt;=_辅助!$J$2,OR(资金流水!$C$133=$C$18,AND(资金流水!$AD$133=$C$18,资金流水!$X$133="账户互转"),AND($E$18&lt;&gt;"",资金流水!$J$133=$E$18,资金流水!$X$133="应付职工薪酬"))),INT(资金流水!$B$133)*10000+128,"")</f>
      </c>
      <c r="AB133" s="2">
        <f>AB100+SUM(CB101:CB133)</f>
        <v>0</v>
      </c>
      <c r="CB133" s="2">
        <f>IF(COUNTIFS(资金流水!$J$6:$J$2005,往来单位!$B$136,资金流水!$X$6:$X$2005,"其他应收款",资金流水!$S$6:$S$2005,"&gt;="&amp;_辅助!$J$4,资金流水!$S$6:$S$2005,"&lt;="&amp;_辅助!$J$2)*(往来单位!$B$136&lt;&gt;"")&gt;0,1,0)</f>
        <v>0</v>
      </c>
    </row>
    <row r="134">
      <c r="A134" s="94">
        <f>IF($X134=0,"",114)</f>
      </c>
      <c r="B134" s="95">
        <f t="shared" si="1"/>
      </c>
      <c r="C134" s="96">
        <f t="shared" si="10"/>
      </c>
      <c r="D134" s="21">
        <f t="shared" si="12"/>
      </c>
      <c r="E134" s="21">
        <f t="shared" si="14"/>
      </c>
      <c r="F134" s="21">
        <f t="shared" si="16"/>
      </c>
      <c r="G134" s="21">
        <f t="shared" si="18"/>
      </c>
      <c r="H134" s="21">
        <f t="shared" si="20"/>
      </c>
      <c r="I134" s="21">
        <f t="shared" si="22"/>
      </c>
      <c r="J134" s="94">
        <f t="shared" si="24"/>
      </c>
      <c r="K134" s="94">
        <f t="shared" si="26"/>
      </c>
      <c r="L134" s="94">
        <f t="shared" si="28"/>
      </c>
      <c r="M134" s="96">
        <f t="shared" si="29"/>
      </c>
      <c r="X134" s="2">
        <f>IF(114&gt;$AA$5,0,MOD(SMALL($AA$6:$AA$2005,114),10000))</f>
        <v>0</v>
      </c>
      <c r="AA134" s="2">
        <f>IF(AND(ISNUMBER(资金流水!$B$134),ISNUMBER(资金流水!$S$134),资金流水!$S$134&gt;=_辅助!$J$4,资金流水!$S$134&lt;=_辅助!$J$2,OR(资金流水!$C$134=$C$18,AND(资金流水!$AD$134=$C$18,资金流水!$X$134="账户互转"),AND($E$18&lt;&gt;"",资金流水!$J$134=$E$18,资金流水!$X$134="应付职工薪酬"))),INT(资金流水!$B$134)*10000+129,"")</f>
      </c>
      <c r="AB134" s="2">
        <f>AB100+SUM(CB101:CB134)</f>
        <v>0</v>
      </c>
      <c r="CB134" s="2">
        <f>IF(COUNTIFS(资金流水!$J$6:$J$2005,往来单位!$B$137,资金流水!$X$6:$X$2005,"其他应收款",资金流水!$S$6:$S$2005,"&gt;="&amp;_辅助!$J$4,资金流水!$S$6:$S$2005,"&lt;="&amp;_辅助!$J$2)*(往来单位!$B$137&lt;&gt;"")&gt;0,1,0)</f>
        <v>0</v>
      </c>
    </row>
    <row r="135">
      <c r="A135" s="94">
        <f>IF($X135=0,"",115)</f>
      </c>
      <c r="B135" s="95">
        <f t="shared" si="1"/>
      </c>
      <c r="C135" s="96">
        <f t="shared" si="10"/>
      </c>
      <c r="D135" s="21">
        <f t="shared" si="12"/>
      </c>
      <c r="E135" s="21">
        <f t="shared" si="14"/>
      </c>
      <c r="F135" s="21">
        <f t="shared" si="16"/>
      </c>
      <c r="G135" s="21">
        <f t="shared" si="18"/>
      </c>
      <c r="H135" s="21">
        <f t="shared" si="20"/>
      </c>
      <c r="I135" s="21">
        <f t="shared" si="22"/>
      </c>
      <c r="J135" s="94">
        <f t="shared" si="24"/>
      </c>
      <c r="K135" s="94">
        <f t="shared" si="26"/>
      </c>
      <c r="L135" s="94">
        <f t="shared" si="28"/>
      </c>
      <c r="M135" s="96">
        <f t="shared" si="29"/>
      </c>
      <c r="X135" s="2">
        <f>IF(115&gt;$AA$5,0,MOD(SMALL($AA$6:$AA$2005,115),10000))</f>
        <v>0</v>
      </c>
      <c r="AA135" s="2">
        <f>IF(AND(ISNUMBER(资金流水!$B$135),ISNUMBER(资金流水!$S$135),资金流水!$S$135&gt;=_辅助!$J$4,资金流水!$S$135&lt;=_辅助!$J$2,OR(资金流水!$C$135=$C$18,AND(资金流水!$AD$135=$C$18,资金流水!$X$135="账户互转"),AND($E$18&lt;&gt;"",资金流水!$J$135=$E$18,资金流水!$X$135="应付职工薪酬"))),INT(资金流水!$B$135)*10000+130,"")</f>
      </c>
      <c r="AB135" s="2">
        <f>AB100+SUM(CB101:CB135)</f>
        <v>0</v>
      </c>
      <c r="CB135" s="2">
        <f>IF(COUNTIFS(资金流水!$J$6:$J$2005,往来单位!$B$138,资金流水!$X$6:$X$2005,"其他应收款",资金流水!$S$6:$S$2005,"&gt;="&amp;_辅助!$J$4,资金流水!$S$6:$S$2005,"&lt;="&amp;_辅助!$J$2)*(往来单位!$B$138&lt;&gt;"")&gt;0,1,0)</f>
        <v>0</v>
      </c>
    </row>
    <row r="136">
      <c r="A136" s="94">
        <f>IF($X136=0,"",116)</f>
      </c>
      <c r="B136" s="95">
        <f t="shared" si="1"/>
      </c>
      <c r="C136" s="96">
        <f t="shared" si="10"/>
      </c>
      <c r="D136" s="21">
        <f t="shared" si="12"/>
      </c>
      <c r="E136" s="21">
        <f t="shared" si="14"/>
      </c>
      <c r="F136" s="21">
        <f t="shared" si="16"/>
      </c>
      <c r="G136" s="21">
        <f t="shared" si="18"/>
      </c>
      <c r="H136" s="21">
        <f t="shared" si="20"/>
      </c>
      <c r="I136" s="21">
        <f t="shared" si="22"/>
      </c>
      <c r="J136" s="94">
        <f t="shared" si="24"/>
      </c>
      <c r="K136" s="94">
        <f t="shared" si="26"/>
      </c>
      <c r="L136" s="94">
        <f t="shared" si="28"/>
      </c>
      <c r="M136" s="96">
        <f t="shared" si="29"/>
      </c>
      <c r="X136" s="2">
        <f>IF(116&gt;$AA$5,0,MOD(SMALL($AA$6:$AA$2005,116),10000))</f>
        <v>0</v>
      </c>
      <c r="AA136" s="2">
        <f>IF(AND(ISNUMBER(资金流水!$B$136),ISNUMBER(资金流水!$S$136),资金流水!$S$136&gt;=_辅助!$J$4,资金流水!$S$136&lt;=_辅助!$J$2,OR(资金流水!$C$136=$C$18,AND(资金流水!$AD$136=$C$18,资金流水!$X$136="账户互转"),AND($E$18&lt;&gt;"",资金流水!$J$136=$E$18,资金流水!$X$136="应付职工薪酬"))),INT(资金流水!$B$136)*10000+131,"")</f>
      </c>
      <c r="AB136" s="2">
        <f>AB100+SUM(CB101:CB136)</f>
        <v>0</v>
      </c>
      <c r="CB136" s="2">
        <f>IF(COUNTIFS(资金流水!$J$6:$J$2005,往来单位!$B$139,资金流水!$X$6:$X$2005,"其他应收款",资金流水!$S$6:$S$2005,"&gt;="&amp;_辅助!$J$4,资金流水!$S$6:$S$2005,"&lt;="&amp;_辅助!$J$2)*(往来单位!$B$139&lt;&gt;"")&gt;0,1,0)</f>
        <v>0</v>
      </c>
    </row>
    <row r="137">
      <c r="A137" s="94">
        <f>IF($X137=0,"",117)</f>
      </c>
      <c r="B137" s="95">
        <f t="shared" si="1"/>
      </c>
      <c r="C137" s="96">
        <f t="shared" si="10"/>
      </c>
      <c r="D137" s="21">
        <f t="shared" si="12"/>
      </c>
      <c r="E137" s="21">
        <f t="shared" si="14"/>
      </c>
      <c r="F137" s="21">
        <f t="shared" si="16"/>
      </c>
      <c r="G137" s="21">
        <f t="shared" si="18"/>
      </c>
      <c r="H137" s="21">
        <f t="shared" si="20"/>
      </c>
      <c r="I137" s="21">
        <f t="shared" si="22"/>
      </c>
      <c r="J137" s="94">
        <f t="shared" si="24"/>
      </c>
      <c r="K137" s="94">
        <f t="shared" si="26"/>
      </c>
      <c r="L137" s="94">
        <f t="shared" si="28"/>
      </c>
      <c r="M137" s="96">
        <f t="shared" si="29"/>
      </c>
      <c r="X137" s="2">
        <f>IF(117&gt;$AA$5,0,MOD(SMALL($AA$6:$AA$2005,117),10000))</f>
        <v>0</v>
      </c>
      <c r="AA137" s="2">
        <f>IF(AND(ISNUMBER(资金流水!$B$137),ISNUMBER(资金流水!$S$137),资金流水!$S$137&gt;=_辅助!$J$4,资金流水!$S$137&lt;=_辅助!$J$2,OR(资金流水!$C$137=$C$18,AND(资金流水!$AD$137=$C$18,资金流水!$X$137="账户互转"),AND($E$18&lt;&gt;"",资金流水!$J$137=$E$18,资金流水!$X$137="应付职工薪酬"))),INT(资金流水!$B$137)*10000+132,"")</f>
      </c>
      <c r="AB137" s="2">
        <f>AB100+SUM(CB101:CB137)</f>
        <v>0</v>
      </c>
      <c r="CB137" s="2">
        <f>IF(COUNTIFS(资金流水!$J$6:$J$2005,往来单位!$B$140,资金流水!$X$6:$X$2005,"其他应收款",资金流水!$S$6:$S$2005,"&gt;="&amp;_辅助!$J$4,资金流水!$S$6:$S$2005,"&lt;="&amp;_辅助!$J$2)*(往来单位!$B$140&lt;&gt;"")&gt;0,1,0)</f>
        <v>0</v>
      </c>
    </row>
    <row r="138">
      <c r="A138" s="94">
        <f>IF($X138=0,"",118)</f>
      </c>
      <c r="B138" s="95">
        <f t="shared" si="1"/>
      </c>
      <c r="C138" s="96">
        <f t="shared" si="10"/>
      </c>
      <c r="D138" s="21">
        <f t="shared" si="12"/>
      </c>
      <c r="E138" s="21">
        <f t="shared" si="14"/>
      </c>
      <c r="F138" s="21">
        <f t="shared" si="16"/>
      </c>
      <c r="G138" s="21">
        <f t="shared" si="18"/>
      </c>
      <c r="H138" s="21">
        <f t="shared" si="20"/>
      </c>
      <c r="I138" s="21">
        <f t="shared" si="22"/>
      </c>
      <c r="J138" s="94">
        <f t="shared" si="24"/>
      </c>
      <c r="K138" s="94">
        <f t="shared" si="26"/>
      </c>
      <c r="L138" s="94">
        <f t="shared" si="28"/>
      </c>
      <c r="M138" s="96">
        <f t="shared" si="29"/>
      </c>
      <c r="X138" s="2">
        <f>IF(118&gt;$AA$5,0,MOD(SMALL($AA$6:$AA$2005,118),10000))</f>
        <v>0</v>
      </c>
      <c r="AA138" s="2">
        <f>IF(AND(ISNUMBER(资金流水!$B$138),ISNUMBER(资金流水!$S$138),资金流水!$S$138&gt;=_辅助!$J$4,资金流水!$S$138&lt;=_辅助!$J$2,OR(资金流水!$C$138=$C$18,AND(资金流水!$AD$138=$C$18,资金流水!$X$138="账户互转"),AND($E$18&lt;&gt;"",资金流水!$J$138=$E$18,资金流水!$X$138="应付职工薪酬"))),INT(资金流水!$B$138)*10000+133,"")</f>
      </c>
      <c r="AB138" s="2">
        <f>AB100+SUM(CB101:CB138)</f>
        <v>0</v>
      </c>
      <c r="CB138" s="2">
        <f>IF(COUNTIFS(资金流水!$J$6:$J$2005,往来单位!$B$141,资金流水!$X$6:$X$2005,"其他应收款",资金流水!$S$6:$S$2005,"&gt;="&amp;_辅助!$J$4,资金流水!$S$6:$S$2005,"&lt;="&amp;_辅助!$J$2)*(往来单位!$B$141&lt;&gt;"")&gt;0,1,0)</f>
        <v>0</v>
      </c>
    </row>
    <row r="139">
      <c r="A139" s="94">
        <f>IF($X139=0,"",119)</f>
      </c>
      <c r="B139" s="95">
        <f t="shared" si="1"/>
      </c>
      <c r="C139" s="96">
        <f t="shared" si="10"/>
      </c>
      <c r="D139" s="21">
        <f t="shared" si="12"/>
      </c>
      <c r="E139" s="21">
        <f t="shared" si="14"/>
      </c>
      <c r="F139" s="21">
        <f t="shared" si="16"/>
      </c>
      <c r="G139" s="21">
        <f t="shared" si="18"/>
      </c>
      <c r="H139" s="21">
        <f t="shared" si="20"/>
      </c>
      <c r="I139" s="21">
        <f t="shared" si="22"/>
      </c>
      <c r="J139" s="94">
        <f t="shared" si="24"/>
      </c>
      <c r="K139" s="94">
        <f t="shared" si="26"/>
      </c>
      <c r="L139" s="94">
        <f t="shared" si="28"/>
      </c>
      <c r="M139" s="96">
        <f t="shared" si="29"/>
      </c>
      <c r="X139" s="2">
        <f>IF(119&gt;$AA$5,0,MOD(SMALL($AA$6:$AA$2005,119),10000))</f>
        <v>0</v>
      </c>
      <c r="AA139" s="2">
        <f>IF(AND(ISNUMBER(资金流水!$B$139),ISNUMBER(资金流水!$S$139),资金流水!$S$139&gt;=_辅助!$J$4,资金流水!$S$139&lt;=_辅助!$J$2,OR(资金流水!$C$139=$C$18,AND(资金流水!$AD$139=$C$18,资金流水!$X$139="账户互转"),AND($E$18&lt;&gt;"",资金流水!$J$139=$E$18,资金流水!$X$139="应付职工薪酬"))),INT(资金流水!$B$139)*10000+134,"")</f>
      </c>
      <c r="AB139" s="2">
        <f>AB100+SUM(CB101:CB139)</f>
        <v>0</v>
      </c>
      <c r="CB139" s="2">
        <f>IF(COUNTIFS(资金流水!$J$6:$J$2005,往来单位!$B$142,资金流水!$X$6:$X$2005,"其他应收款",资金流水!$S$6:$S$2005,"&gt;="&amp;_辅助!$J$4,资金流水!$S$6:$S$2005,"&lt;="&amp;_辅助!$J$2)*(往来单位!$B$142&lt;&gt;"")&gt;0,1,0)</f>
        <v>0</v>
      </c>
    </row>
    <row r="140">
      <c r="A140" s="94">
        <f>IF($X140=0,"",120)</f>
      </c>
      <c r="B140" s="95">
        <f t="shared" si="1"/>
      </c>
      <c r="C140" s="96">
        <f t="shared" si="10"/>
      </c>
      <c r="D140" s="21">
        <f t="shared" si="12"/>
      </c>
      <c r="E140" s="21">
        <f t="shared" si="14"/>
      </c>
      <c r="F140" s="21">
        <f t="shared" si="16"/>
      </c>
      <c r="G140" s="21">
        <f t="shared" si="18"/>
      </c>
      <c r="H140" s="21">
        <f t="shared" si="20"/>
      </c>
      <c r="I140" s="21">
        <f t="shared" si="22"/>
      </c>
      <c r="J140" s="94">
        <f t="shared" si="24"/>
      </c>
      <c r="K140" s="94">
        <f t="shared" si="26"/>
      </c>
      <c r="L140" s="94">
        <f t="shared" si="28"/>
      </c>
      <c r="M140" s="96">
        <f t="shared" si="29"/>
      </c>
      <c r="X140" s="2">
        <f>IF(120&gt;$AA$5,0,MOD(SMALL($AA$6:$AA$2005,120),10000))</f>
        <v>0</v>
      </c>
      <c r="AA140" s="2">
        <f>IF(AND(ISNUMBER(资金流水!$B$140),ISNUMBER(资金流水!$S$140),资金流水!$S$140&gt;=_辅助!$J$4,资金流水!$S$140&lt;=_辅助!$J$2,OR(资金流水!$C$140=$C$18,AND(资金流水!$AD$140=$C$18,资金流水!$X$140="账户互转"),AND($E$18&lt;&gt;"",资金流水!$J$140=$E$18,资金流水!$X$140="应付职工薪酬"))),INT(资金流水!$B$140)*10000+135,"")</f>
      </c>
      <c r="AB140" s="2">
        <f>AB100+SUM(CB101:CB140)</f>
        <v>0</v>
      </c>
      <c r="CB140" s="2">
        <f>IF(COUNTIFS(资金流水!$J$6:$J$2005,往来单位!$B$143,资金流水!$X$6:$X$2005,"其他应收款",资金流水!$S$6:$S$2005,"&gt;="&amp;_辅助!$J$4,资金流水!$S$6:$S$2005,"&lt;="&amp;_辅助!$J$2)*(往来单位!$B$143&lt;&gt;"")&gt;0,1,0)</f>
        <v>0</v>
      </c>
    </row>
    <row r="141">
      <c r="A141" s="94">
        <f>IF($X141=0,"",121)</f>
      </c>
      <c r="B141" s="95">
        <f t="shared" si="1"/>
      </c>
      <c r="C141" s="96">
        <f t="shared" si="10"/>
      </c>
      <c r="D141" s="21">
        <f t="shared" si="12"/>
      </c>
      <c r="E141" s="21">
        <f t="shared" si="14"/>
      </c>
      <c r="F141" s="21">
        <f t="shared" si="16"/>
      </c>
      <c r="G141" s="21">
        <f t="shared" si="18"/>
      </c>
      <c r="H141" s="21">
        <f t="shared" si="20"/>
      </c>
      <c r="I141" s="21">
        <f t="shared" si="22"/>
      </c>
      <c r="J141" s="94">
        <f t="shared" si="24"/>
      </c>
      <c r="K141" s="94">
        <f t="shared" si="26"/>
      </c>
      <c r="L141" s="94">
        <f t="shared" si="28"/>
      </c>
      <c r="M141" s="96">
        <f t="shared" si="29"/>
      </c>
      <c r="X141" s="2">
        <f>IF(121&gt;$AA$5,0,MOD(SMALL($AA$6:$AA$2005,121),10000))</f>
        <v>0</v>
      </c>
      <c r="AA141" s="2">
        <f>IF(AND(ISNUMBER(资金流水!$B$141),ISNUMBER(资金流水!$S$141),资金流水!$S$141&gt;=_辅助!$J$4,资金流水!$S$141&lt;=_辅助!$J$2,OR(资金流水!$C$141=$C$18,AND(资金流水!$AD$141=$C$18,资金流水!$X$141="账户互转"),AND($E$18&lt;&gt;"",资金流水!$J$141=$E$18,资金流水!$X$141="应付职工薪酬"))),INT(资金流水!$B$141)*10000+136,"")</f>
      </c>
      <c r="AB141" s="2">
        <f>AB100+SUM(CB101:CB141)</f>
        <v>0</v>
      </c>
      <c r="CB141" s="2">
        <f>IF(COUNTIFS(资金流水!$J$6:$J$2005,往来单位!$B$144,资金流水!$X$6:$X$2005,"其他应收款",资金流水!$S$6:$S$2005,"&gt;="&amp;_辅助!$J$4,资金流水!$S$6:$S$2005,"&lt;="&amp;_辅助!$J$2)*(往来单位!$B$144&lt;&gt;"")&gt;0,1,0)</f>
        <v>0</v>
      </c>
    </row>
    <row r="142">
      <c r="A142" s="94">
        <f>IF($X142=0,"",122)</f>
      </c>
      <c r="B142" s="95">
        <f t="shared" si="1"/>
      </c>
      <c r="C142" s="96">
        <f t="shared" si="10"/>
      </c>
      <c r="D142" s="21">
        <f t="shared" si="12"/>
      </c>
      <c r="E142" s="21">
        <f t="shared" si="14"/>
      </c>
      <c r="F142" s="21">
        <f t="shared" si="16"/>
      </c>
      <c r="G142" s="21">
        <f t="shared" si="18"/>
      </c>
      <c r="H142" s="21">
        <f t="shared" si="20"/>
      </c>
      <c r="I142" s="21">
        <f t="shared" si="22"/>
      </c>
      <c r="J142" s="94">
        <f t="shared" si="24"/>
      </c>
      <c r="K142" s="94">
        <f t="shared" si="26"/>
      </c>
      <c r="L142" s="94">
        <f t="shared" si="28"/>
      </c>
      <c r="M142" s="96">
        <f t="shared" si="29"/>
      </c>
      <c r="X142" s="2">
        <f>IF(122&gt;$AA$5,0,MOD(SMALL($AA$6:$AA$2005,122),10000))</f>
        <v>0</v>
      </c>
      <c r="AA142" s="2">
        <f>IF(AND(ISNUMBER(资金流水!$B$142),ISNUMBER(资金流水!$S$142),资金流水!$S$142&gt;=_辅助!$J$4,资金流水!$S$142&lt;=_辅助!$J$2,OR(资金流水!$C$142=$C$18,AND(资金流水!$AD$142=$C$18,资金流水!$X$142="账户互转"),AND($E$18&lt;&gt;"",资金流水!$J$142=$E$18,资金流水!$X$142="应付职工薪酬"))),INT(资金流水!$B$142)*10000+137,"")</f>
      </c>
      <c r="AB142" s="2">
        <f>AB100+SUM(CB101:CB142)</f>
        <v>0</v>
      </c>
      <c r="CB142" s="2">
        <f>IF(COUNTIFS(资金流水!$J$6:$J$2005,往来单位!$B$145,资金流水!$X$6:$X$2005,"其他应收款",资金流水!$S$6:$S$2005,"&gt;="&amp;_辅助!$J$4,资金流水!$S$6:$S$2005,"&lt;="&amp;_辅助!$J$2)*(往来单位!$B$145&lt;&gt;"")&gt;0,1,0)</f>
        <v>0</v>
      </c>
    </row>
    <row r="143">
      <c r="A143" s="94">
        <f>IF($X143=0,"",123)</f>
      </c>
      <c r="B143" s="95">
        <f t="shared" si="1"/>
      </c>
      <c r="C143" s="96">
        <f t="shared" si="10"/>
      </c>
      <c r="D143" s="21">
        <f t="shared" si="12"/>
      </c>
      <c r="E143" s="21">
        <f t="shared" si="14"/>
      </c>
      <c r="F143" s="21">
        <f t="shared" si="16"/>
      </c>
      <c r="G143" s="21">
        <f t="shared" si="18"/>
      </c>
      <c r="H143" s="21">
        <f t="shared" si="20"/>
      </c>
      <c r="I143" s="21">
        <f t="shared" si="22"/>
      </c>
      <c r="J143" s="94">
        <f t="shared" si="24"/>
      </c>
      <c r="K143" s="94">
        <f t="shared" si="26"/>
      </c>
      <c r="L143" s="94">
        <f t="shared" si="28"/>
      </c>
      <c r="M143" s="96">
        <f t="shared" si="29"/>
      </c>
      <c r="X143" s="2">
        <f>IF(123&gt;$AA$5,0,MOD(SMALL($AA$6:$AA$2005,123),10000))</f>
        <v>0</v>
      </c>
      <c r="AA143" s="2">
        <f>IF(AND(ISNUMBER(资金流水!$B$143),ISNUMBER(资金流水!$S$143),资金流水!$S$143&gt;=_辅助!$J$4,资金流水!$S$143&lt;=_辅助!$J$2,OR(资金流水!$C$143=$C$18,AND(资金流水!$AD$143=$C$18,资金流水!$X$143="账户互转"),AND($E$18&lt;&gt;"",资金流水!$J$143=$E$18,资金流水!$X$143="应付职工薪酬"))),INT(资金流水!$B$143)*10000+138,"")</f>
      </c>
      <c r="AB143" s="2">
        <f>AB100+SUM(CB101:CB143)</f>
        <v>0</v>
      </c>
      <c r="CB143" s="2">
        <f>IF(COUNTIFS(资金流水!$J$6:$J$2005,往来单位!$B$146,资金流水!$X$6:$X$2005,"其他应收款",资金流水!$S$6:$S$2005,"&gt;="&amp;_辅助!$J$4,资金流水!$S$6:$S$2005,"&lt;="&amp;_辅助!$J$2)*(往来单位!$B$146&lt;&gt;"")&gt;0,1,0)</f>
        <v>0</v>
      </c>
    </row>
    <row r="144">
      <c r="A144" s="94">
        <f>IF($X144=0,"",124)</f>
      </c>
      <c r="B144" s="95">
        <f t="shared" si="1"/>
      </c>
      <c r="C144" s="96">
        <f t="shared" si="10"/>
      </c>
      <c r="D144" s="21">
        <f t="shared" si="12"/>
      </c>
      <c r="E144" s="21">
        <f t="shared" si="14"/>
      </c>
      <c r="F144" s="21">
        <f t="shared" si="16"/>
      </c>
      <c r="G144" s="21">
        <f t="shared" si="18"/>
      </c>
      <c r="H144" s="21">
        <f t="shared" si="20"/>
      </c>
      <c r="I144" s="21">
        <f t="shared" si="22"/>
      </c>
      <c r="J144" s="94">
        <f t="shared" si="24"/>
      </c>
      <c r="K144" s="94">
        <f t="shared" si="26"/>
      </c>
      <c r="L144" s="94">
        <f t="shared" si="28"/>
      </c>
      <c r="M144" s="96">
        <f t="shared" si="29"/>
      </c>
      <c r="X144" s="2">
        <f>IF(124&gt;$AA$5,0,MOD(SMALL($AA$6:$AA$2005,124),10000))</f>
        <v>0</v>
      </c>
      <c r="AA144" s="2">
        <f>IF(AND(ISNUMBER(资金流水!$B$144),ISNUMBER(资金流水!$S$144),资金流水!$S$144&gt;=_辅助!$J$4,资金流水!$S$144&lt;=_辅助!$J$2,OR(资金流水!$C$144=$C$18,AND(资金流水!$AD$144=$C$18,资金流水!$X$144="账户互转"),AND($E$18&lt;&gt;"",资金流水!$J$144=$E$18,资金流水!$X$144="应付职工薪酬"))),INT(资金流水!$B$144)*10000+139,"")</f>
      </c>
      <c r="AB144" s="2">
        <f>AB100+SUM(CB101:CB144)</f>
        <v>0</v>
      </c>
      <c r="CB144" s="2">
        <f>IF(COUNTIFS(资金流水!$J$6:$J$2005,往来单位!$B$147,资金流水!$X$6:$X$2005,"其他应收款",资金流水!$S$6:$S$2005,"&gt;="&amp;_辅助!$J$4,资金流水!$S$6:$S$2005,"&lt;="&amp;_辅助!$J$2)*(往来单位!$B$147&lt;&gt;"")&gt;0,1,0)</f>
        <v>0</v>
      </c>
    </row>
    <row r="145">
      <c r="A145" s="94">
        <f>IF($X145=0,"",125)</f>
      </c>
      <c r="B145" s="95">
        <f t="shared" si="1"/>
      </c>
      <c r="C145" s="96">
        <f t="shared" si="10"/>
      </c>
      <c r="D145" s="21">
        <f t="shared" si="12"/>
      </c>
      <c r="E145" s="21">
        <f t="shared" si="14"/>
      </c>
      <c r="F145" s="21">
        <f t="shared" si="16"/>
      </c>
      <c r="G145" s="21">
        <f t="shared" si="18"/>
      </c>
      <c r="H145" s="21">
        <f t="shared" si="20"/>
      </c>
      <c r="I145" s="21">
        <f t="shared" si="22"/>
      </c>
      <c r="J145" s="94">
        <f t="shared" si="24"/>
      </c>
      <c r="K145" s="94">
        <f t="shared" si="26"/>
      </c>
      <c r="L145" s="94">
        <f t="shared" si="28"/>
      </c>
      <c r="M145" s="96">
        <f t="shared" si="29"/>
      </c>
      <c r="X145" s="2">
        <f>IF(125&gt;$AA$5,0,MOD(SMALL($AA$6:$AA$2005,125),10000))</f>
        <v>0</v>
      </c>
      <c r="AA145" s="2">
        <f>IF(AND(ISNUMBER(资金流水!$B$145),ISNUMBER(资金流水!$S$145),资金流水!$S$145&gt;=_辅助!$J$4,资金流水!$S$145&lt;=_辅助!$J$2,OR(资金流水!$C$145=$C$18,AND(资金流水!$AD$145=$C$18,资金流水!$X$145="账户互转"),AND($E$18&lt;&gt;"",资金流水!$J$145=$E$18,资金流水!$X$145="应付职工薪酬"))),INT(资金流水!$B$145)*10000+140,"")</f>
      </c>
      <c r="AB145" s="2">
        <f>AB100+SUM(CB101:CB145)</f>
        <v>0</v>
      </c>
      <c r="CB145" s="2">
        <f>IF(COUNTIFS(资金流水!$J$6:$J$2005,往来单位!$B$148,资金流水!$X$6:$X$2005,"其他应收款",资金流水!$S$6:$S$2005,"&gt;="&amp;_辅助!$J$4,资金流水!$S$6:$S$2005,"&lt;="&amp;_辅助!$J$2)*(往来单位!$B$148&lt;&gt;"")&gt;0,1,0)</f>
        <v>0</v>
      </c>
    </row>
    <row r="146">
      <c r="A146" s="94">
        <f>IF($X146=0,"",126)</f>
      </c>
      <c r="B146" s="95">
        <f t="shared" si="1"/>
      </c>
      <c r="C146" s="96">
        <f t="shared" si="10"/>
      </c>
      <c r="D146" s="21">
        <f t="shared" si="12"/>
      </c>
      <c r="E146" s="21">
        <f t="shared" si="14"/>
      </c>
      <c r="F146" s="21">
        <f t="shared" si="16"/>
      </c>
      <c r="G146" s="21">
        <f t="shared" si="18"/>
      </c>
      <c r="H146" s="21">
        <f t="shared" si="20"/>
      </c>
      <c r="I146" s="21">
        <f t="shared" si="22"/>
      </c>
      <c r="J146" s="94">
        <f t="shared" si="24"/>
      </c>
      <c r="K146" s="94">
        <f t="shared" si="26"/>
      </c>
      <c r="L146" s="94">
        <f t="shared" si="28"/>
      </c>
      <c r="M146" s="96">
        <f t="shared" si="29"/>
      </c>
      <c r="X146" s="2">
        <f>IF(126&gt;$AA$5,0,MOD(SMALL($AA$6:$AA$2005,126),10000))</f>
        <v>0</v>
      </c>
      <c r="AA146" s="2">
        <f>IF(AND(ISNUMBER(资金流水!$B$146),ISNUMBER(资金流水!$S$146),资金流水!$S$146&gt;=_辅助!$J$4,资金流水!$S$146&lt;=_辅助!$J$2,OR(资金流水!$C$146=$C$18,AND(资金流水!$AD$146=$C$18,资金流水!$X$146="账户互转"),AND($E$18&lt;&gt;"",资金流水!$J$146=$E$18,资金流水!$X$146="应付职工薪酬"))),INT(资金流水!$B$146)*10000+141,"")</f>
      </c>
      <c r="AB146" s="2">
        <f>AB100+SUM(CB101:CB146)</f>
        <v>0</v>
      </c>
      <c r="CB146" s="2">
        <f>IF(COUNTIFS(资金流水!$J$6:$J$2005,往来单位!$B$149,资金流水!$X$6:$X$2005,"其他应收款",资金流水!$S$6:$S$2005,"&gt;="&amp;_辅助!$J$4,资金流水!$S$6:$S$2005,"&lt;="&amp;_辅助!$J$2)*(往来单位!$B$149&lt;&gt;"")&gt;0,1,0)</f>
        <v>0</v>
      </c>
    </row>
    <row r="147">
      <c r="A147" s="94">
        <f>IF($X147=0,"",127)</f>
      </c>
      <c r="B147" s="95">
        <f t="shared" si="1"/>
      </c>
      <c r="C147" s="96">
        <f t="shared" si="10"/>
      </c>
      <c r="D147" s="21">
        <f t="shared" si="12"/>
      </c>
      <c r="E147" s="21">
        <f t="shared" si="14"/>
      </c>
      <c r="F147" s="21">
        <f t="shared" si="16"/>
      </c>
      <c r="G147" s="21">
        <f t="shared" si="18"/>
      </c>
      <c r="H147" s="21">
        <f t="shared" si="20"/>
      </c>
      <c r="I147" s="21">
        <f t="shared" si="22"/>
      </c>
      <c r="J147" s="94">
        <f t="shared" si="24"/>
      </c>
      <c r="K147" s="94">
        <f t="shared" si="26"/>
      </c>
      <c r="L147" s="94">
        <f t="shared" si="28"/>
      </c>
      <c r="M147" s="96">
        <f t="shared" si="29"/>
      </c>
      <c r="X147" s="2">
        <f>IF(127&gt;$AA$5,0,MOD(SMALL($AA$6:$AA$2005,127),10000))</f>
        <v>0</v>
      </c>
      <c r="AA147" s="2">
        <f>IF(AND(ISNUMBER(资金流水!$B$147),ISNUMBER(资金流水!$S$147),资金流水!$S$147&gt;=_辅助!$J$4,资金流水!$S$147&lt;=_辅助!$J$2,OR(资金流水!$C$147=$C$18,AND(资金流水!$AD$147=$C$18,资金流水!$X$147="账户互转"),AND($E$18&lt;&gt;"",资金流水!$J$147=$E$18,资金流水!$X$147="应付职工薪酬"))),INT(资金流水!$B$147)*10000+142,"")</f>
      </c>
      <c r="AB147" s="2">
        <f>AB100+SUM(CB101:CB147)</f>
        <v>0</v>
      </c>
      <c r="CB147" s="2">
        <f>IF(COUNTIFS(资金流水!$J$6:$J$2005,往来单位!$B$150,资金流水!$X$6:$X$2005,"其他应收款",资金流水!$S$6:$S$2005,"&gt;="&amp;_辅助!$J$4,资金流水!$S$6:$S$2005,"&lt;="&amp;_辅助!$J$2)*(往来单位!$B$150&lt;&gt;"")&gt;0,1,0)</f>
        <v>0</v>
      </c>
    </row>
    <row r="148">
      <c r="A148" s="94">
        <f>IF($X148=0,"",128)</f>
      </c>
      <c r="B148" s="95">
        <f t="shared" si="1"/>
      </c>
      <c r="C148" s="96">
        <f t="shared" si="10"/>
      </c>
      <c r="D148" s="21">
        <f t="shared" si="12"/>
      </c>
      <c r="E148" s="21">
        <f t="shared" si="14"/>
      </c>
      <c r="F148" s="21">
        <f t="shared" si="16"/>
      </c>
      <c r="G148" s="21">
        <f t="shared" si="18"/>
      </c>
      <c r="H148" s="21">
        <f t="shared" si="20"/>
      </c>
      <c r="I148" s="21">
        <f t="shared" si="22"/>
      </c>
      <c r="J148" s="94">
        <f t="shared" si="24"/>
      </c>
      <c r="K148" s="94">
        <f t="shared" si="26"/>
      </c>
      <c r="L148" s="94">
        <f t="shared" si="28"/>
      </c>
      <c r="M148" s="96">
        <f t="shared" si="29"/>
      </c>
      <c r="X148" s="2">
        <f>IF(128&gt;$AA$5,0,MOD(SMALL($AA$6:$AA$2005,128),10000))</f>
        <v>0</v>
      </c>
      <c r="AA148" s="2">
        <f>IF(AND(ISNUMBER(资金流水!$B$148),ISNUMBER(资金流水!$S$148),资金流水!$S$148&gt;=_辅助!$J$4,资金流水!$S$148&lt;=_辅助!$J$2,OR(资金流水!$C$148=$C$18,AND(资金流水!$AD$148=$C$18,资金流水!$X$148="账户互转"),AND($E$18&lt;&gt;"",资金流水!$J$148=$E$18,资金流水!$X$148="应付职工薪酬"))),INT(资金流水!$B$148)*10000+143,"")</f>
      </c>
      <c r="AB148" s="2">
        <f>AB100+SUM(CB101:CB148)</f>
        <v>0</v>
      </c>
      <c r="CB148" s="2">
        <f>IF(COUNTIFS(资金流水!$J$6:$J$2005,往来单位!$B$151,资金流水!$X$6:$X$2005,"其他应收款",资金流水!$S$6:$S$2005,"&gt;="&amp;_辅助!$J$4,资金流水!$S$6:$S$2005,"&lt;="&amp;_辅助!$J$2)*(往来单位!$B$151&lt;&gt;"")&gt;0,1,0)</f>
        <v>0</v>
      </c>
    </row>
    <row r="149">
      <c r="A149" s="94">
        <f>IF($X149=0,"",129)</f>
      </c>
      <c r="B149" s="95">
        <f t="shared" si="1"/>
      </c>
      <c r="C149" s="96">
        <f t="shared" si="10"/>
      </c>
      <c r="D149" s="21">
        <f t="shared" si="12"/>
      </c>
      <c r="E149" s="21">
        <f t="shared" si="14"/>
      </c>
      <c r="F149" s="21">
        <f t="shared" si="16"/>
      </c>
      <c r="G149" s="21">
        <f t="shared" si="18"/>
      </c>
      <c r="H149" s="21">
        <f t="shared" si="20"/>
      </c>
      <c r="I149" s="21">
        <f t="shared" si="22"/>
      </c>
      <c r="J149" s="94">
        <f t="shared" si="24"/>
      </c>
      <c r="K149" s="94">
        <f t="shared" si="26"/>
      </c>
      <c r="L149" s="94">
        <f t="shared" si="28"/>
      </c>
      <c r="M149" s="96">
        <f t="shared" si="29"/>
      </c>
      <c r="X149" s="2">
        <f>IF(129&gt;$AA$5,0,MOD(SMALL($AA$6:$AA$2005,129),10000))</f>
        <v>0</v>
      </c>
      <c r="AA149" s="2">
        <f>IF(AND(ISNUMBER(资金流水!$B$149),ISNUMBER(资金流水!$S$149),资金流水!$S$149&gt;=_辅助!$J$4,资金流水!$S$149&lt;=_辅助!$J$2,OR(资金流水!$C$149=$C$18,AND(资金流水!$AD$149=$C$18,资金流水!$X$149="账户互转"),AND($E$18&lt;&gt;"",资金流水!$J$149=$E$18,资金流水!$X$149="应付职工薪酬"))),INT(资金流水!$B$149)*10000+144,"")</f>
      </c>
      <c r="AB149" s="2">
        <f>AB100+SUM(CB101:CB149)</f>
        <v>0</v>
      </c>
      <c r="CB149" s="2">
        <f>IF(COUNTIFS(资金流水!$J$6:$J$2005,往来单位!$B$152,资金流水!$X$6:$X$2005,"其他应收款",资金流水!$S$6:$S$2005,"&gt;="&amp;_辅助!$J$4,资金流水!$S$6:$S$2005,"&lt;="&amp;_辅助!$J$2)*(往来单位!$B$152&lt;&gt;"")&gt;0,1,0)</f>
        <v>0</v>
      </c>
    </row>
    <row r="150">
      <c r="A150" s="94">
        <f>IF($X150=0,"",130)</f>
      </c>
      <c r="B150" s="95">
        <f t="shared" si="1"/>
      </c>
      <c r="C150" s="96">
        <f t="shared" si="10"/>
      </c>
      <c r="D150" s="21">
        <f t="shared" si="12"/>
      </c>
      <c r="E150" s="21">
        <f t="shared" si="14"/>
      </c>
      <c r="F150" s="21">
        <f t="shared" si="16"/>
      </c>
      <c r="G150" s="21">
        <f t="shared" si="18"/>
      </c>
      <c r="H150" s="21">
        <f t="shared" si="20"/>
      </c>
      <c r="I150" s="21">
        <f t="shared" si="22"/>
      </c>
      <c r="J150" s="94">
        <f t="shared" si="24"/>
      </c>
      <c r="K150" s="94">
        <f t="shared" si="26"/>
      </c>
      <c r="L150" s="94">
        <f t="shared" si="28"/>
      </c>
      <c r="M150" s="96">
        <f t="shared" si="29"/>
      </c>
      <c r="X150" s="2">
        <f>IF(130&gt;$AA$5,0,MOD(SMALL($AA$6:$AA$2005,130),10000))</f>
        <v>0</v>
      </c>
      <c r="AA150" s="2">
        <f>IF(AND(ISNUMBER(资金流水!$B$150),ISNUMBER(资金流水!$S$150),资金流水!$S$150&gt;=_辅助!$J$4,资金流水!$S$150&lt;=_辅助!$J$2,OR(资金流水!$C$150=$C$18,AND(资金流水!$AD$150=$C$18,资金流水!$X$150="账户互转"),AND($E$18&lt;&gt;"",资金流水!$J$150=$E$18,资金流水!$X$150="应付职工薪酬"))),INT(资金流水!$B$150)*10000+145,"")</f>
      </c>
      <c r="AB150" s="2">
        <f>AB100+SUM(CB101:CB150)</f>
        <v>0</v>
      </c>
      <c r="CB150" s="2">
        <f>IF(COUNTIFS(资金流水!$J$6:$J$2005,往来单位!$B$153,资金流水!$X$6:$X$2005,"其他应收款",资金流水!$S$6:$S$2005,"&gt;="&amp;_辅助!$J$4,资金流水!$S$6:$S$2005,"&lt;="&amp;_辅助!$J$2)*(往来单位!$B$153&lt;&gt;"")&gt;0,1,0)</f>
        <v>0</v>
      </c>
    </row>
    <row r="151">
      <c r="A151" s="94">
        <f>IF($X151=0,"",131)</f>
      </c>
      <c r="B151" s="95">
        <f t="shared" si="1"/>
      </c>
      <c r="C151" s="96">
        <f t="shared" si="10"/>
      </c>
      <c r="D151" s="21">
        <f t="shared" si="12"/>
      </c>
      <c r="E151" s="21">
        <f t="shared" si="14"/>
      </c>
      <c r="F151" s="21">
        <f t="shared" si="16"/>
      </c>
      <c r="G151" s="21">
        <f t="shared" si="18"/>
      </c>
      <c r="H151" s="21">
        <f t="shared" si="20"/>
      </c>
      <c r="I151" s="21">
        <f t="shared" si="22"/>
      </c>
      <c r="J151" s="94">
        <f t="shared" si="24"/>
      </c>
      <c r="K151" s="94">
        <f t="shared" si="26"/>
      </c>
      <c r="L151" s="94">
        <f t="shared" si="28"/>
      </c>
      <c r="M151" s="96">
        <f t="shared" si="29"/>
      </c>
      <c r="X151" s="2">
        <f>IF(131&gt;$AA$5,0,MOD(SMALL($AA$6:$AA$2005,131),10000))</f>
        <v>0</v>
      </c>
      <c r="AA151" s="2">
        <f>IF(AND(ISNUMBER(资金流水!$B$151),ISNUMBER(资金流水!$S$151),资金流水!$S$151&gt;=_辅助!$J$4,资金流水!$S$151&lt;=_辅助!$J$2,OR(资金流水!$C$151=$C$18,AND(资金流水!$AD$151=$C$18,资金流水!$X$151="账户互转"),AND($E$18&lt;&gt;"",资金流水!$J$151=$E$18,资金流水!$X$151="应付职工薪酬"))),INT(资金流水!$B$151)*10000+146,"")</f>
      </c>
      <c r="AB151" s="2">
        <f>AB150+SUM(CB151:CB151)</f>
        <v>0</v>
      </c>
      <c r="CB151" s="2">
        <f>IF(COUNTIFS(资金流水!$J$6:$J$2005,往来单位!$B$154,资金流水!$X$6:$X$2005,"其他应收款",资金流水!$S$6:$S$2005,"&gt;="&amp;_辅助!$J$4,资金流水!$S$6:$S$2005,"&lt;="&amp;_辅助!$J$2)*(往来单位!$B$154&lt;&gt;"")&gt;0,1,0)</f>
        <v>0</v>
      </c>
    </row>
    <row r="152">
      <c r="A152" s="94">
        <f>IF($X152=0,"",132)</f>
      </c>
      <c r="B152" s="95">
        <f t="shared" si="1"/>
      </c>
      <c r="C152" s="96">
        <f t="shared" si="10"/>
      </c>
      <c r="D152" s="21">
        <f t="shared" si="12"/>
      </c>
      <c r="E152" s="21">
        <f t="shared" si="14"/>
      </c>
      <c r="F152" s="21">
        <f t="shared" si="16"/>
      </c>
      <c r="G152" s="21">
        <f t="shared" si="18"/>
      </c>
      <c r="H152" s="21">
        <f t="shared" si="20"/>
      </c>
      <c r="I152" s="21">
        <f t="shared" si="22"/>
      </c>
      <c r="J152" s="94">
        <f t="shared" si="24"/>
      </c>
      <c r="K152" s="94">
        <f t="shared" si="26"/>
      </c>
      <c r="L152" s="94">
        <f t="shared" si="28"/>
      </c>
      <c r="M152" s="96">
        <f t="shared" si="29"/>
      </c>
      <c r="X152" s="2">
        <f>IF(132&gt;$AA$5,0,MOD(SMALL($AA$6:$AA$2005,132),10000))</f>
        <v>0</v>
      </c>
      <c r="AA152" s="2">
        <f>IF(AND(ISNUMBER(资金流水!$B$152),ISNUMBER(资金流水!$S$152),资金流水!$S$152&gt;=_辅助!$J$4,资金流水!$S$152&lt;=_辅助!$J$2,OR(资金流水!$C$152=$C$18,AND(资金流水!$AD$152=$C$18,资金流水!$X$152="账户互转"),AND($E$18&lt;&gt;"",资金流水!$J$152=$E$18,资金流水!$X$152="应付职工薪酬"))),INT(资金流水!$B$152)*10000+147,"")</f>
        <v>462000147</v>
      </c>
      <c r="AB152" s="2">
        <f>AB150+SUM(CB151:CB152)</f>
        <v>0</v>
      </c>
      <c r="CB152" s="2">
        <f>IF(COUNTIFS(资金流水!$J$6:$J$2005,往来单位!$B$155,资金流水!$X$6:$X$2005,"其他应收款",资金流水!$S$6:$S$2005,"&gt;="&amp;_辅助!$J$4,资金流水!$S$6:$S$2005,"&lt;="&amp;_辅助!$J$2)*(往来单位!$B$155&lt;&gt;"")&gt;0,1,0)</f>
        <v>0</v>
      </c>
    </row>
    <row r="153">
      <c r="A153" s="94">
        <f>IF($X153=0,"",133)</f>
      </c>
      <c r="B153" s="95">
        <f t="shared" si="1"/>
      </c>
      <c r="C153" s="96">
        <f t="shared" si="10"/>
      </c>
      <c r="D153" s="21">
        <f t="shared" si="12"/>
      </c>
      <c r="E153" s="21">
        <f t="shared" si="14"/>
      </c>
      <c r="F153" s="21">
        <f t="shared" si="16"/>
      </c>
      <c r="G153" s="21">
        <f t="shared" si="18"/>
      </c>
      <c r="H153" s="21">
        <f t="shared" si="20"/>
      </c>
      <c r="I153" s="21">
        <f t="shared" si="22"/>
      </c>
      <c r="J153" s="94">
        <f t="shared" si="24"/>
      </c>
      <c r="K153" s="94">
        <f t="shared" si="26"/>
      </c>
      <c r="L153" s="94">
        <f t="shared" si="28"/>
      </c>
      <c r="M153" s="96">
        <f t="shared" si="29"/>
      </c>
      <c r="X153" s="2">
        <f>IF(133&gt;$AA$5,0,MOD(SMALL($AA$6:$AA$2005,133),10000))</f>
        <v>0</v>
      </c>
      <c r="AA153" s="2">
        <f>IF(AND(ISNUMBER(资金流水!$B$153),ISNUMBER(资金流水!$S$153),资金流水!$S$153&gt;=_辅助!$J$4,资金流水!$S$153&lt;=_辅助!$J$2,OR(资金流水!$C$153=$C$18,AND(资金流水!$AD$153=$C$18,资金流水!$X$153="账户互转"),AND($E$18&lt;&gt;"",资金流水!$J$153=$E$18,资金流水!$X$153="应付职工薪酬"))),INT(资金流水!$B$153)*10000+148,"")</f>
      </c>
      <c r="AB153" s="2">
        <f>AB150+SUM(CB151:CB153)</f>
        <v>0</v>
      </c>
      <c r="CB153" s="2">
        <f>IF(COUNTIFS(资金流水!$J$6:$J$2005,往来单位!$B$156,资金流水!$X$6:$X$2005,"其他应收款",资金流水!$S$6:$S$2005,"&gt;="&amp;_辅助!$J$4,资金流水!$S$6:$S$2005,"&lt;="&amp;_辅助!$J$2)*(往来单位!$B$156&lt;&gt;"")&gt;0,1,0)</f>
        <v>0</v>
      </c>
    </row>
    <row r="154">
      <c r="A154" s="94">
        <f>IF($X154=0,"",134)</f>
      </c>
      <c r="B154" s="95">
        <f t="shared" si="1"/>
      </c>
      <c r="C154" s="96">
        <f t="shared" si="10"/>
      </c>
      <c r="D154" s="21">
        <f t="shared" si="12"/>
      </c>
      <c r="E154" s="21">
        <f t="shared" si="14"/>
      </c>
      <c r="F154" s="21">
        <f t="shared" si="16"/>
      </c>
      <c r="G154" s="21">
        <f t="shared" si="18"/>
      </c>
      <c r="H154" s="21">
        <f t="shared" si="20"/>
      </c>
      <c r="I154" s="21">
        <f t="shared" si="22"/>
      </c>
      <c r="J154" s="94">
        <f t="shared" si="24"/>
      </c>
      <c r="K154" s="94">
        <f t="shared" si="26"/>
      </c>
      <c r="L154" s="94">
        <f t="shared" si="28"/>
      </c>
      <c r="M154" s="96">
        <f t="shared" si="29"/>
      </c>
      <c r="X154" s="2">
        <f>IF(134&gt;$AA$5,0,MOD(SMALL($AA$6:$AA$2005,134),10000))</f>
        <v>0</v>
      </c>
      <c r="AA154" s="2">
        <f>IF(AND(ISNUMBER(资金流水!$B$154),ISNUMBER(资金流水!$S$154),资金流水!$S$154&gt;=_辅助!$J$4,资金流水!$S$154&lt;=_辅助!$J$2,OR(资金流水!$C$154=$C$18,AND(资金流水!$AD$154=$C$18,资金流水!$X$154="账户互转"),AND($E$18&lt;&gt;"",资金流水!$J$154=$E$18,资金流水!$X$154="应付职工薪酬"))),INT(资金流水!$B$154)*10000+149,"")</f>
      </c>
      <c r="AB154" s="2">
        <f>AB150+SUM(CB151:CB154)</f>
        <v>0</v>
      </c>
      <c r="CB154" s="2">
        <f>IF(COUNTIFS(资金流水!$J$6:$J$2005,往来单位!$B$157,资金流水!$X$6:$X$2005,"其他应收款",资金流水!$S$6:$S$2005,"&gt;="&amp;_辅助!$J$4,资金流水!$S$6:$S$2005,"&lt;="&amp;_辅助!$J$2)*(往来单位!$B$157&lt;&gt;"")&gt;0,1,0)</f>
        <v>0</v>
      </c>
    </row>
    <row r="155">
      <c r="A155" s="94">
        <f>IF($X155=0,"",135)</f>
      </c>
      <c r="B155" s="95">
        <f t="shared" si="1"/>
      </c>
      <c r="C155" s="96">
        <f t="shared" si="10"/>
      </c>
      <c r="D155" s="21">
        <f t="shared" si="12"/>
      </c>
      <c r="E155" s="21">
        <f t="shared" si="14"/>
      </c>
      <c r="F155" s="21">
        <f t="shared" si="16"/>
      </c>
      <c r="G155" s="21">
        <f t="shared" si="18"/>
      </c>
      <c r="H155" s="21">
        <f t="shared" si="20"/>
      </c>
      <c r="I155" s="21">
        <f t="shared" si="22"/>
      </c>
      <c r="J155" s="94">
        <f t="shared" si="24"/>
      </c>
      <c r="K155" s="94">
        <f t="shared" si="26"/>
      </c>
      <c r="L155" s="94">
        <f t="shared" si="28"/>
      </c>
      <c r="M155" s="96">
        <f t="shared" si="29"/>
      </c>
      <c r="X155" s="2">
        <f>IF(135&gt;$AA$5,0,MOD(SMALL($AA$6:$AA$2005,135),10000))</f>
        <v>0</v>
      </c>
      <c r="AA155" s="2">
        <f>IF(AND(ISNUMBER(资金流水!$B$155),ISNUMBER(资金流水!$S$155),资金流水!$S$155&gt;=_辅助!$J$4,资金流水!$S$155&lt;=_辅助!$J$2,OR(资金流水!$C$155=$C$18,AND(资金流水!$AD$155=$C$18,资金流水!$X$155="账户互转"),AND($E$18&lt;&gt;"",资金流水!$J$155=$E$18,资金流水!$X$155="应付职工薪酬"))),INT(资金流水!$B$155)*10000+150,"")</f>
      </c>
      <c r="AB155" s="2">
        <f>AB150+SUM(CB151:CB155)</f>
        <v>0</v>
      </c>
      <c r="CB155" s="2">
        <f>IF(COUNTIFS(资金流水!$J$6:$J$2005,往来单位!$B$158,资金流水!$X$6:$X$2005,"其他应收款",资金流水!$S$6:$S$2005,"&gt;="&amp;_辅助!$J$4,资金流水!$S$6:$S$2005,"&lt;="&amp;_辅助!$J$2)*(往来单位!$B$158&lt;&gt;"")&gt;0,1,0)</f>
        <v>0</v>
      </c>
    </row>
    <row r="156">
      <c r="A156" s="94">
        <f>IF($X156=0,"",136)</f>
      </c>
      <c r="B156" s="95">
        <f t="shared" si="1"/>
      </c>
      <c r="C156" s="96">
        <f t="shared" si="10"/>
      </c>
      <c r="D156" s="21">
        <f t="shared" si="12"/>
      </c>
      <c r="E156" s="21">
        <f t="shared" si="14"/>
      </c>
      <c r="F156" s="21">
        <f t="shared" si="16"/>
      </c>
      <c r="G156" s="21">
        <f t="shared" si="18"/>
      </c>
      <c r="H156" s="21">
        <f t="shared" si="20"/>
      </c>
      <c r="I156" s="21">
        <f t="shared" si="22"/>
      </c>
      <c r="J156" s="94">
        <f t="shared" si="24"/>
      </c>
      <c r="K156" s="94">
        <f t="shared" si="26"/>
      </c>
      <c r="L156" s="94">
        <f t="shared" si="28"/>
      </c>
      <c r="M156" s="96">
        <f t="shared" si="29"/>
      </c>
      <c r="X156" s="2">
        <f>IF(136&gt;$AA$5,0,MOD(SMALL($AA$6:$AA$2005,136),10000))</f>
        <v>0</v>
      </c>
      <c r="AA156" s="2">
        <f>IF(AND(ISNUMBER(资金流水!$B$156),ISNUMBER(资金流水!$S$156),资金流水!$S$156&gt;=_辅助!$J$4,资金流水!$S$156&lt;=_辅助!$J$2,OR(资金流水!$C$156=$C$18,AND(资金流水!$AD$156=$C$18,资金流水!$X$156="账户互转"),AND($E$18&lt;&gt;"",资金流水!$J$156=$E$18,资金流水!$X$156="应付职工薪酬"))),INT(资金流水!$B$156)*10000+151,"")</f>
      </c>
      <c r="AB156" s="2">
        <f>AB150+SUM(CB151:CB156)</f>
        <v>0</v>
      </c>
      <c r="CB156" s="2">
        <f>IF(COUNTIFS(资金流水!$J$6:$J$2005,往来单位!$B$159,资金流水!$X$6:$X$2005,"其他应收款",资金流水!$S$6:$S$2005,"&gt;="&amp;_辅助!$J$4,资金流水!$S$6:$S$2005,"&lt;="&amp;_辅助!$J$2)*(往来单位!$B$159&lt;&gt;"")&gt;0,1,0)</f>
        <v>0</v>
      </c>
    </row>
    <row r="157">
      <c r="A157" s="94">
        <f>IF($X157=0,"",137)</f>
      </c>
      <c r="B157" s="95">
        <f t="shared" si="1"/>
      </c>
      <c r="C157" s="96">
        <f t="shared" si="10"/>
      </c>
      <c r="D157" s="21">
        <f t="shared" si="12"/>
      </c>
      <c r="E157" s="21">
        <f t="shared" si="14"/>
      </c>
      <c r="F157" s="21">
        <f t="shared" si="16"/>
      </c>
      <c r="G157" s="21">
        <f t="shared" si="18"/>
      </c>
      <c r="H157" s="21">
        <f t="shared" si="20"/>
      </c>
      <c r="I157" s="21">
        <f t="shared" si="22"/>
      </c>
      <c r="J157" s="94">
        <f t="shared" si="24"/>
      </c>
      <c r="K157" s="94">
        <f t="shared" si="26"/>
      </c>
      <c r="L157" s="94">
        <f t="shared" si="28"/>
      </c>
      <c r="M157" s="96">
        <f t="shared" si="29"/>
      </c>
      <c r="X157" s="2">
        <f>IF(137&gt;$AA$5,0,MOD(SMALL($AA$6:$AA$2005,137),10000))</f>
        <v>0</v>
      </c>
      <c r="AA157" s="2">
        <f>IF(AND(ISNUMBER(资金流水!$B$157),ISNUMBER(资金流水!$S$157),资金流水!$S$157&gt;=_辅助!$J$4,资金流水!$S$157&lt;=_辅助!$J$2,OR(资金流水!$C$157=$C$18,AND(资金流水!$AD$157=$C$18,资金流水!$X$157="账户互转"),AND($E$18&lt;&gt;"",资金流水!$J$157=$E$18,资金流水!$X$157="应付职工薪酬"))),INT(资金流水!$B$157)*10000+152,"")</f>
      </c>
      <c r="AB157" s="2">
        <f>AB150+SUM(CB151:CB157)</f>
        <v>0</v>
      </c>
      <c r="CB157" s="2">
        <f>IF(COUNTIFS(资金流水!$J$6:$J$2005,往来单位!$B$160,资金流水!$X$6:$X$2005,"其他应收款",资金流水!$S$6:$S$2005,"&gt;="&amp;_辅助!$J$4,资金流水!$S$6:$S$2005,"&lt;="&amp;_辅助!$J$2)*(往来单位!$B$160&lt;&gt;"")&gt;0,1,0)</f>
        <v>0</v>
      </c>
    </row>
    <row r="158">
      <c r="A158" s="94">
        <f>IF($X158=0,"",138)</f>
      </c>
      <c r="B158" s="95">
        <f t="shared" si="1"/>
      </c>
      <c r="C158" s="96">
        <f t="shared" si="10"/>
      </c>
      <c r="D158" s="21">
        <f t="shared" si="12"/>
      </c>
      <c r="E158" s="21">
        <f t="shared" si="14"/>
      </c>
      <c r="F158" s="21">
        <f t="shared" si="16"/>
      </c>
      <c r="G158" s="21">
        <f t="shared" si="18"/>
      </c>
      <c r="H158" s="21">
        <f t="shared" si="20"/>
      </c>
      <c r="I158" s="21">
        <f t="shared" si="22"/>
      </c>
      <c r="J158" s="94">
        <f t="shared" si="24"/>
      </c>
      <c r="K158" s="94">
        <f t="shared" si="26"/>
      </c>
      <c r="L158" s="94">
        <f t="shared" si="28"/>
      </c>
      <c r="M158" s="96">
        <f t="shared" si="29"/>
      </c>
      <c r="X158" s="2">
        <f>IF(138&gt;$AA$5,0,MOD(SMALL($AA$6:$AA$2005,138),10000))</f>
        <v>0</v>
      </c>
      <c r="AA158" s="2">
        <f>IF(AND(ISNUMBER(资金流水!$B$158),ISNUMBER(资金流水!$S$158),资金流水!$S$158&gt;=_辅助!$J$4,资金流水!$S$158&lt;=_辅助!$J$2,OR(资金流水!$C$158=$C$18,AND(资金流水!$AD$158=$C$18,资金流水!$X$158="账户互转"),AND($E$18&lt;&gt;"",资金流水!$J$158=$E$18,资金流水!$X$158="应付职工薪酬"))),INT(资金流水!$B$158)*10000+153,"")</f>
      </c>
      <c r="AB158" s="2">
        <f>AB150+SUM(CB151:CB158)</f>
        <v>0</v>
      </c>
      <c r="CB158" s="2">
        <f>IF(COUNTIFS(资金流水!$J$6:$J$2005,往来单位!$B$161,资金流水!$X$6:$X$2005,"其他应收款",资金流水!$S$6:$S$2005,"&gt;="&amp;_辅助!$J$4,资金流水!$S$6:$S$2005,"&lt;="&amp;_辅助!$J$2)*(往来单位!$B$161&lt;&gt;"")&gt;0,1,0)</f>
        <v>0</v>
      </c>
    </row>
    <row r="159">
      <c r="A159" s="94">
        <f>IF($X159=0,"",139)</f>
      </c>
      <c r="B159" s="95">
        <f t="shared" si="1"/>
      </c>
      <c r="C159" s="96">
        <f t="shared" si="10"/>
      </c>
      <c r="D159" s="21">
        <f t="shared" si="12"/>
      </c>
      <c r="E159" s="21">
        <f t="shared" si="14"/>
      </c>
      <c r="F159" s="21">
        <f t="shared" si="16"/>
      </c>
      <c r="G159" s="21">
        <f t="shared" si="18"/>
      </c>
      <c r="H159" s="21">
        <f t="shared" si="20"/>
      </c>
      <c r="I159" s="21">
        <f t="shared" si="22"/>
      </c>
      <c r="J159" s="94">
        <f t="shared" si="24"/>
      </c>
      <c r="K159" s="94">
        <f t="shared" si="26"/>
      </c>
      <c r="L159" s="94">
        <f t="shared" si="28"/>
      </c>
      <c r="M159" s="96">
        <f t="shared" si="29"/>
      </c>
      <c r="X159" s="2">
        <f>IF(139&gt;$AA$5,0,MOD(SMALL($AA$6:$AA$2005,139),10000))</f>
        <v>0</v>
      </c>
      <c r="AA159" s="2">
        <f>IF(AND(ISNUMBER(资金流水!$B$159),ISNUMBER(资金流水!$S$159),资金流水!$S$159&gt;=_辅助!$J$4,资金流水!$S$159&lt;=_辅助!$J$2,OR(资金流水!$C$159=$C$18,AND(资金流水!$AD$159=$C$18,资金流水!$X$159="账户互转"),AND($E$18&lt;&gt;"",资金流水!$J$159=$E$18,资金流水!$X$159="应付职工薪酬"))),INT(资金流水!$B$159)*10000+154,"")</f>
      </c>
      <c r="AB159" s="2">
        <f>AB150+SUM(CB151:CB159)</f>
        <v>0</v>
      </c>
      <c r="CB159" s="2">
        <f>IF(COUNTIFS(资金流水!$J$6:$J$2005,往来单位!$B$162,资金流水!$X$6:$X$2005,"其他应收款",资金流水!$S$6:$S$2005,"&gt;="&amp;_辅助!$J$4,资金流水!$S$6:$S$2005,"&lt;="&amp;_辅助!$J$2)*(往来单位!$B$162&lt;&gt;"")&gt;0,1,0)</f>
        <v>0</v>
      </c>
    </row>
    <row r="160">
      <c r="A160" s="94">
        <f>IF($X160=0,"",140)</f>
      </c>
      <c r="B160" s="95">
        <f t="shared" si="1"/>
      </c>
      <c r="C160" s="96">
        <f t="shared" si="10"/>
      </c>
      <c r="D160" s="21">
        <f t="shared" si="12"/>
      </c>
      <c r="E160" s="21">
        <f t="shared" si="14"/>
      </c>
      <c r="F160" s="21">
        <f t="shared" si="16"/>
      </c>
      <c r="G160" s="21">
        <f t="shared" si="18"/>
      </c>
      <c r="H160" s="21">
        <f t="shared" si="20"/>
      </c>
      <c r="I160" s="21">
        <f t="shared" si="22"/>
      </c>
      <c r="J160" s="94">
        <f t="shared" si="24"/>
      </c>
      <c r="K160" s="94">
        <f t="shared" si="26"/>
      </c>
      <c r="L160" s="94">
        <f t="shared" si="28"/>
      </c>
      <c r="M160" s="96">
        <f t="shared" si="29"/>
      </c>
      <c r="X160" s="2">
        <f>IF(140&gt;$AA$5,0,MOD(SMALL($AA$6:$AA$2005,140),10000))</f>
        <v>0</v>
      </c>
      <c r="AA160" s="2">
        <f>IF(AND(ISNUMBER(资金流水!$B$160),ISNUMBER(资金流水!$S$160),资金流水!$S$160&gt;=_辅助!$J$4,资金流水!$S$160&lt;=_辅助!$J$2,OR(资金流水!$C$160=$C$18,AND(资金流水!$AD$160=$C$18,资金流水!$X$160="账户互转"),AND($E$18&lt;&gt;"",资金流水!$J$160=$E$18,资金流水!$X$160="应付职工薪酬"))),INT(资金流水!$B$160)*10000+155,"")</f>
      </c>
      <c r="AB160" s="2">
        <f>AB150+SUM(CB151:CB160)</f>
        <v>0</v>
      </c>
      <c r="CB160" s="2">
        <f>IF(COUNTIFS(资金流水!$J$6:$J$2005,往来单位!$B$163,资金流水!$X$6:$X$2005,"其他应收款",资金流水!$S$6:$S$2005,"&gt;="&amp;_辅助!$J$4,资金流水!$S$6:$S$2005,"&lt;="&amp;_辅助!$J$2)*(往来单位!$B$163&lt;&gt;"")&gt;0,1,0)</f>
        <v>0</v>
      </c>
    </row>
    <row r="161">
      <c r="A161" s="94">
        <f>IF($X161=0,"",141)</f>
      </c>
      <c r="B161" s="95">
        <f t="shared" si="1"/>
      </c>
      <c r="C161" s="96">
        <f t="shared" si="10"/>
      </c>
      <c r="D161" s="21">
        <f t="shared" si="12"/>
      </c>
      <c r="E161" s="21">
        <f t="shared" si="14"/>
      </c>
      <c r="F161" s="21">
        <f t="shared" si="16"/>
      </c>
      <c r="G161" s="21">
        <f t="shared" si="18"/>
      </c>
      <c r="H161" s="21">
        <f t="shared" si="20"/>
      </c>
      <c r="I161" s="21">
        <f t="shared" si="22"/>
      </c>
      <c r="J161" s="94">
        <f t="shared" si="24"/>
      </c>
      <c r="K161" s="94">
        <f t="shared" si="26"/>
      </c>
      <c r="L161" s="94">
        <f t="shared" si="28"/>
      </c>
      <c r="M161" s="96">
        <f t="shared" si="29"/>
      </c>
      <c r="X161" s="2">
        <f>IF(141&gt;$AA$5,0,MOD(SMALL($AA$6:$AA$2005,141),10000))</f>
        <v>0</v>
      </c>
      <c r="AA161" s="2">
        <f>IF(AND(ISNUMBER(资金流水!$B$161),ISNUMBER(资金流水!$S$161),资金流水!$S$161&gt;=_辅助!$J$4,资金流水!$S$161&lt;=_辅助!$J$2,OR(资金流水!$C$161=$C$18,AND(资金流水!$AD$161=$C$18,资金流水!$X$161="账户互转"),AND($E$18&lt;&gt;"",资金流水!$J$161=$E$18,资金流水!$X$161="应付职工薪酬"))),INT(资金流水!$B$161)*10000+156,"")</f>
      </c>
      <c r="AB161" s="2">
        <f>AB150+SUM(CB151:CB161)</f>
        <v>0</v>
      </c>
      <c r="CB161" s="2">
        <f>IF(COUNTIFS(资金流水!$J$6:$J$2005,往来单位!$B$164,资金流水!$X$6:$X$2005,"其他应收款",资金流水!$S$6:$S$2005,"&gt;="&amp;_辅助!$J$4,资金流水!$S$6:$S$2005,"&lt;="&amp;_辅助!$J$2)*(往来单位!$B$164&lt;&gt;"")&gt;0,1,0)</f>
        <v>0</v>
      </c>
    </row>
    <row r="162">
      <c r="A162" s="94">
        <f>IF($X162=0,"",142)</f>
      </c>
      <c r="B162" s="95">
        <f t="shared" si="1"/>
      </c>
      <c r="C162" s="96">
        <f t="shared" si="10"/>
      </c>
      <c r="D162" s="21">
        <f t="shared" si="12"/>
      </c>
      <c r="E162" s="21">
        <f t="shared" si="14"/>
      </c>
      <c r="F162" s="21">
        <f t="shared" si="16"/>
      </c>
      <c r="G162" s="21">
        <f t="shared" si="18"/>
      </c>
      <c r="H162" s="21">
        <f t="shared" si="20"/>
      </c>
      <c r="I162" s="21">
        <f t="shared" si="22"/>
      </c>
      <c r="J162" s="94">
        <f t="shared" si="24"/>
      </c>
      <c r="K162" s="94">
        <f t="shared" si="26"/>
      </c>
      <c r="L162" s="94">
        <f t="shared" si="28"/>
      </c>
      <c r="M162" s="96">
        <f t="shared" si="29"/>
      </c>
      <c r="X162" s="2">
        <f>IF(142&gt;$AA$5,0,MOD(SMALL($AA$6:$AA$2005,142),10000))</f>
        <v>0</v>
      </c>
      <c r="AA162" s="2">
        <f>IF(AND(ISNUMBER(资金流水!$B$162),ISNUMBER(资金流水!$S$162),资金流水!$S$162&gt;=_辅助!$J$4,资金流水!$S$162&lt;=_辅助!$J$2,OR(资金流水!$C$162=$C$18,AND(资金流水!$AD$162=$C$18,资金流水!$X$162="账户互转"),AND($E$18&lt;&gt;"",资金流水!$J$162=$E$18,资金流水!$X$162="应付职工薪酬"))),INT(资金流水!$B$162)*10000+157,"")</f>
      </c>
      <c r="AB162" s="2">
        <f>AB150+SUM(CB151:CB162)</f>
        <v>0</v>
      </c>
      <c r="CB162" s="2">
        <f>IF(COUNTIFS(资金流水!$J$6:$J$2005,往来单位!$B$165,资金流水!$X$6:$X$2005,"其他应收款",资金流水!$S$6:$S$2005,"&gt;="&amp;_辅助!$J$4,资金流水!$S$6:$S$2005,"&lt;="&amp;_辅助!$J$2)*(往来单位!$B$165&lt;&gt;"")&gt;0,1,0)</f>
        <v>0</v>
      </c>
    </row>
    <row r="163">
      <c r="A163" s="94">
        <f>IF($X163=0,"",143)</f>
      </c>
      <c r="B163" s="95">
        <f t="shared" si="1"/>
      </c>
      <c r="C163" s="96">
        <f t="shared" si="10"/>
      </c>
      <c r="D163" s="21">
        <f t="shared" si="12"/>
      </c>
      <c r="E163" s="21">
        <f t="shared" si="14"/>
      </c>
      <c r="F163" s="21">
        <f t="shared" si="16"/>
      </c>
      <c r="G163" s="21">
        <f t="shared" si="18"/>
      </c>
      <c r="H163" s="21">
        <f t="shared" si="20"/>
      </c>
      <c r="I163" s="21">
        <f t="shared" si="22"/>
      </c>
      <c r="J163" s="94">
        <f t="shared" si="24"/>
      </c>
      <c r="K163" s="94">
        <f t="shared" si="26"/>
      </c>
      <c r="L163" s="94">
        <f t="shared" si="28"/>
      </c>
      <c r="M163" s="96">
        <f t="shared" si="29"/>
      </c>
      <c r="X163" s="2">
        <f>IF(143&gt;$AA$5,0,MOD(SMALL($AA$6:$AA$2005,143),10000))</f>
        <v>0</v>
      </c>
      <c r="AA163" s="2">
        <f>IF(AND(ISNUMBER(资金流水!$B$163),ISNUMBER(资金流水!$S$163),资金流水!$S$163&gt;=_辅助!$J$4,资金流水!$S$163&lt;=_辅助!$J$2,OR(资金流水!$C$163=$C$18,AND(资金流水!$AD$163=$C$18,资金流水!$X$163="账户互转"),AND($E$18&lt;&gt;"",资金流水!$J$163=$E$18,资金流水!$X$163="应付职工薪酬"))),INT(资金流水!$B$163)*10000+158,"")</f>
      </c>
      <c r="AB163" s="2">
        <f>AB150+SUM(CB151:CB163)</f>
        <v>0</v>
      </c>
      <c r="CB163" s="2">
        <f>IF(COUNTIFS(资金流水!$J$6:$J$2005,往来单位!$B$166,资金流水!$X$6:$X$2005,"其他应收款",资金流水!$S$6:$S$2005,"&gt;="&amp;_辅助!$J$4,资金流水!$S$6:$S$2005,"&lt;="&amp;_辅助!$J$2)*(往来单位!$B$166&lt;&gt;"")&gt;0,1,0)</f>
        <v>0</v>
      </c>
    </row>
    <row r="164">
      <c r="A164" s="94">
        <f>IF($X164=0,"",144)</f>
      </c>
      <c r="B164" s="95">
        <f t="shared" si="1"/>
      </c>
      <c r="C164" s="96">
        <f t="shared" si="10"/>
      </c>
      <c r="D164" s="21">
        <f t="shared" si="12"/>
      </c>
      <c r="E164" s="21">
        <f t="shared" si="14"/>
      </c>
      <c r="F164" s="21">
        <f t="shared" si="16"/>
      </c>
      <c r="G164" s="21">
        <f t="shared" si="18"/>
      </c>
      <c r="H164" s="21">
        <f t="shared" si="20"/>
      </c>
      <c r="I164" s="21">
        <f t="shared" si="22"/>
      </c>
      <c r="J164" s="94">
        <f t="shared" si="24"/>
      </c>
      <c r="K164" s="94">
        <f t="shared" si="26"/>
      </c>
      <c r="L164" s="94">
        <f t="shared" si="28"/>
      </c>
      <c r="M164" s="96">
        <f t="shared" si="29"/>
      </c>
      <c r="X164" s="2">
        <f>IF(144&gt;$AA$5,0,MOD(SMALL($AA$6:$AA$2005,144),10000))</f>
        <v>0</v>
      </c>
      <c r="AA164" s="2">
        <f>IF(AND(ISNUMBER(资金流水!$B$164),ISNUMBER(资金流水!$S$164),资金流水!$S$164&gt;=_辅助!$J$4,资金流水!$S$164&lt;=_辅助!$J$2,OR(资金流水!$C$164=$C$18,AND(资金流水!$AD$164=$C$18,资金流水!$X$164="账户互转"),AND($E$18&lt;&gt;"",资金流水!$J$164=$E$18,资金流水!$X$164="应付职工薪酬"))),INT(资金流水!$B$164)*10000+159,"")</f>
      </c>
      <c r="AB164" s="2">
        <f>AB150+SUM(CB151:CB164)</f>
        <v>0</v>
      </c>
      <c r="CB164" s="2">
        <f>IF(COUNTIFS(资金流水!$J$6:$J$2005,往来单位!$B$167,资金流水!$X$6:$X$2005,"其他应收款",资金流水!$S$6:$S$2005,"&gt;="&amp;_辅助!$J$4,资金流水!$S$6:$S$2005,"&lt;="&amp;_辅助!$J$2)*(往来单位!$B$167&lt;&gt;"")&gt;0,1,0)</f>
        <v>0</v>
      </c>
    </row>
    <row r="165">
      <c r="A165" s="94">
        <f>IF($X165=0,"",145)</f>
      </c>
      <c r="B165" s="95">
        <f t="shared" si="1"/>
      </c>
      <c r="C165" s="96">
        <f t="shared" si="10"/>
      </c>
      <c r="D165" s="21">
        <f t="shared" si="12"/>
      </c>
      <c r="E165" s="21">
        <f t="shared" si="14"/>
      </c>
      <c r="F165" s="21">
        <f t="shared" si="16"/>
      </c>
      <c r="G165" s="21">
        <f t="shared" si="18"/>
      </c>
      <c r="H165" s="21">
        <f t="shared" si="20"/>
      </c>
      <c r="I165" s="21">
        <f t="shared" si="22"/>
      </c>
      <c r="J165" s="94">
        <f t="shared" si="24"/>
      </c>
      <c r="K165" s="94">
        <f t="shared" si="26"/>
      </c>
      <c r="L165" s="94">
        <f t="shared" si="28"/>
      </c>
      <c r="M165" s="96">
        <f t="shared" si="29"/>
      </c>
      <c r="X165" s="2">
        <f>IF(145&gt;$AA$5,0,MOD(SMALL($AA$6:$AA$2005,145),10000))</f>
        <v>0</v>
      </c>
      <c r="AA165" s="2">
        <f>IF(AND(ISNUMBER(资金流水!$B$165),ISNUMBER(资金流水!$S$165),资金流水!$S$165&gt;=_辅助!$J$4,资金流水!$S$165&lt;=_辅助!$J$2,OR(资金流水!$C$165=$C$18,AND(资金流水!$AD$165=$C$18,资金流水!$X$165="账户互转"),AND($E$18&lt;&gt;"",资金流水!$J$165=$E$18,资金流水!$X$165="应付职工薪酬"))),INT(资金流水!$B$165)*10000+160,"")</f>
      </c>
      <c r="AB165" s="2">
        <f>AB150+SUM(CB151:CB165)</f>
        <v>0</v>
      </c>
      <c r="CB165" s="2">
        <f>IF(COUNTIFS(资金流水!$J$6:$J$2005,往来单位!$B$168,资金流水!$X$6:$X$2005,"其他应收款",资金流水!$S$6:$S$2005,"&gt;="&amp;_辅助!$J$4,资金流水!$S$6:$S$2005,"&lt;="&amp;_辅助!$J$2)*(往来单位!$B$168&lt;&gt;"")&gt;0,1,0)</f>
        <v>0</v>
      </c>
    </row>
    <row r="166">
      <c r="A166" s="94">
        <f>IF($X166=0,"",146)</f>
      </c>
      <c r="B166" s="95">
        <f t="shared" si="1"/>
      </c>
      <c r="C166" s="96">
        <f t="shared" si="10"/>
      </c>
      <c r="D166" s="21">
        <f t="shared" si="12"/>
      </c>
      <c r="E166" s="21">
        <f t="shared" si="14"/>
      </c>
      <c r="F166" s="21">
        <f t="shared" si="16"/>
      </c>
      <c r="G166" s="21">
        <f t="shared" si="18"/>
      </c>
      <c r="H166" s="21">
        <f t="shared" si="20"/>
      </c>
      <c r="I166" s="21">
        <f t="shared" si="22"/>
      </c>
      <c r="J166" s="94">
        <f t="shared" si="24"/>
      </c>
      <c r="K166" s="94">
        <f t="shared" si="26"/>
      </c>
      <c r="L166" s="94">
        <f t="shared" si="28"/>
      </c>
      <c r="M166" s="96">
        <f t="shared" si="29"/>
      </c>
      <c r="X166" s="2">
        <f>IF(146&gt;$AA$5,0,MOD(SMALL($AA$6:$AA$2005,146),10000))</f>
        <v>0</v>
      </c>
      <c r="AA166" s="2">
        <f>IF(AND(ISNUMBER(资金流水!$B$166),ISNUMBER(资金流水!$S$166),资金流水!$S$166&gt;=_辅助!$J$4,资金流水!$S$166&lt;=_辅助!$J$2,OR(资金流水!$C$166=$C$18,AND(资金流水!$AD$166=$C$18,资金流水!$X$166="账户互转"),AND($E$18&lt;&gt;"",资金流水!$J$166=$E$18,资金流水!$X$166="应付职工薪酬"))),INT(资金流水!$B$166)*10000+161,"")</f>
      </c>
      <c r="AB166" s="2">
        <f>AB150+SUM(CB151:CB166)</f>
        <v>0</v>
      </c>
      <c r="CB166" s="2">
        <f>IF(COUNTIFS(资金流水!$J$6:$J$2005,往来单位!$B$169,资金流水!$X$6:$X$2005,"其他应收款",资金流水!$S$6:$S$2005,"&gt;="&amp;_辅助!$J$4,资金流水!$S$6:$S$2005,"&lt;="&amp;_辅助!$J$2)*(往来单位!$B$169&lt;&gt;"")&gt;0,1,0)</f>
        <v>0</v>
      </c>
    </row>
    <row r="167">
      <c r="A167" s="94">
        <f>IF($X167=0,"",147)</f>
      </c>
      <c r="B167" s="95">
        <f t="shared" si="1"/>
      </c>
      <c r="C167" s="96">
        <f t="shared" si="10"/>
      </c>
      <c r="D167" s="21">
        <f t="shared" si="12"/>
      </c>
      <c r="E167" s="21">
        <f t="shared" si="14"/>
      </c>
      <c r="F167" s="21">
        <f t="shared" si="16"/>
      </c>
      <c r="G167" s="21">
        <f t="shared" si="18"/>
      </c>
      <c r="H167" s="21">
        <f t="shared" si="20"/>
      </c>
      <c r="I167" s="21">
        <f t="shared" si="22"/>
      </c>
      <c r="J167" s="94">
        <f t="shared" si="24"/>
      </c>
      <c r="K167" s="94">
        <f t="shared" si="26"/>
      </c>
      <c r="L167" s="94">
        <f t="shared" si="28"/>
      </c>
      <c r="M167" s="96">
        <f t="shared" si="29"/>
      </c>
      <c r="X167" s="2">
        <f>IF(147&gt;$AA$5,0,MOD(SMALL($AA$6:$AA$2005,147),10000))</f>
        <v>0</v>
      </c>
      <c r="AA167" s="2">
        <f>IF(AND(ISNUMBER(资金流水!$B$167),ISNUMBER(资金流水!$S$167),资金流水!$S$167&gt;=_辅助!$J$4,资金流水!$S$167&lt;=_辅助!$J$2,OR(资金流水!$C$167=$C$18,AND(资金流水!$AD$167=$C$18,资金流水!$X$167="账户互转"),AND($E$18&lt;&gt;"",资金流水!$J$167=$E$18,资金流水!$X$167="应付职工薪酬"))),INT(资金流水!$B$167)*10000+162,"")</f>
      </c>
      <c r="AB167" s="2">
        <f>AB150+SUM(CB151:CB167)</f>
        <v>0</v>
      </c>
      <c r="CB167" s="2">
        <f>IF(COUNTIFS(资金流水!$J$6:$J$2005,往来单位!$B$170,资金流水!$X$6:$X$2005,"其他应收款",资金流水!$S$6:$S$2005,"&gt;="&amp;_辅助!$J$4,资金流水!$S$6:$S$2005,"&lt;="&amp;_辅助!$J$2)*(往来单位!$B$170&lt;&gt;"")&gt;0,1,0)</f>
        <v>0</v>
      </c>
    </row>
    <row r="168">
      <c r="A168" s="94">
        <f>IF($X168=0,"",148)</f>
      </c>
      <c r="B168" s="95">
        <f t="shared" si="1"/>
      </c>
      <c r="C168" s="96">
        <f t="shared" si="10"/>
      </c>
      <c r="D168" s="21">
        <f t="shared" si="12"/>
      </c>
      <c r="E168" s="21">
        <f t="shared" si="14"/>
      </c>
      <c r="F168" s="21">
        <f t="shared" si="16"/>
      </c>
      <c r="G168" s="21">
        <f t="shared" si="18"/>
      </c>
      <c r="H168" s="21">
        <f t="shared" si="20"/>
      </c>
      <c r="I168" s="21">
        <f t="shared" si="22"/>
      </c>
      <c r="J168" s="94">
        <f t="shared" si="24"/>
      </c>
      <c r="K168" s="94">
        <f t="shared" si="26"/>
      </c>
      <c r="L168" s="94">
        <f t="shared" si="28"/>
      </c>
      <c r="M168" s="96">
        <f t="shared" si="29"/>
      </c>
      <c r="X168" s="2">
        <f>IF(148&gt;$AA$5,0,MOD(SMALL($AA$6:$AA$2005,148),10000))</f>
        <v>0</v>
      </c>
      <c r="AA168" s="2">
        <f>IF(AND(ISNUMBER(资金流水!$B$168),ISNUMBER(资金流水!$S$168),资金流水!$S$168&gt;=_辅助!$J$4,资金流水!$S$168&lt;=_辅助!$J$2,OR(资金流水!$C$168=$C$18,AND(资金流水!$AD$168=$C$18,资金流水!$X$168="账户互转"),AND($E$18&lt;&gt;"",资金流水!$J$168=$E$18,资金流水!$X$168="应付职工薪酬"))),INT(资金流水!$B$168)*10000+163,"")</f>
      </c>
      <c r="AB168" s="2">
        <f>AB150+SUM(CB151:CB168)</f>
        <v>0</v>
      </c>
      <c r="CB168" s="2">
        <f>IF(COUNTIFS(资金流水!$J$6:$J$2005,往来单位!$B$171,资金流水!$X$6:$X$2005,"其他应收款",资金流水!$S$6:$S$2005,"&gt;="&amp;_辅助!$J$4,资金流水!$S$6:$S$2005,"&lt;="&amp;_辅助!$J$2)*(往来单位!$B$171&lt;&gt;"")&gt;0,1,0)</f>
        <v>0</v>
      </c>
    </row>
    <row r="169">
      <c r="A169" s="94">
        <f>IF($X169=0,"",149)</f>
      </c>
      <c r="B169" s="95">
        <f t="shared" si="1"/>
      </c>
      <c r="C169" s="96">
        <f t="shared" si="10"/>
      </c>
      <c r="D169" s="21">
        <f t="shared" si="12"/>
      </c>
      <c r="E169" s="21">
        <f t="shared" si="14"/>
      </c>
      <c r="F169" s="21">
        <f t="shared" si="16"/>
      </c>
      <c r="G169" s="21">
        <f t="shared" si="18"/>
      </c>
      <c r="H169" s="21">
        <f t="shared" si="20"/>
      </c>
      <c r="I169" s="21">
        <f t="shared" si="22"/>
      </c>
      <c r="J169" s="94">
        <f t="shared" si="24"/>
      </c>
      <c r="K169" s="94">
        <f t="shared" si="26"/>
      </c>
      <c r="L169" s="94">
        <f t="shared" si="28"/>
      </c>
      <c r="M169" s="96">
        <f t="shared" si="29"/>
      </c>
      <c r="X169" s="2">
        <f>IF(149&gt;$AA$5,0,MOD(SMALL($AA$6:$AA$2005,149),10000))</f>
        <v>0</v>
      </c>
      <c r="AA169" s="2">
        <f>IF(AND(ISNUMBER(资金流水!$B$169),ISNUMBER(资金流水!$S$169),资金流水!$S$169&gt;=_辅助!$J$4,资金流水!$S$169&lt;=_辅助!$J$2,OR(资金流水!$C$169=$C$18,AND(资金流水!$AD$169=$C$18,资金流水!$X$169="账户互转"),AND($E$18&lt;&gt;"",资金流水!$J$169=$E$18,资金流水!$X$169="应付职工薪酬"))),INT(资金流水!$B$169)*10000+164,"")</f>
      </c>
      <c r="AB169" s="2">
        <f>AB150+SUM(CB151:CB169)</f>
        <v>0</v>
      </c>
      <c r="CB169" s="2">
        <f>IF(COUNTIFS(资金流水!$J$6:$J$2005,往来单位!$B$172,资金流水!$X$6:$X$2005,"其他应收款",资金流水!$S$6:$S$2005,"&gt;="&amp;_辅助!$J$4,资金流水!$S$6:$S$2005,"&lt;="&amp;_辅助!$J$2)*(往来单位!$B$172&lt;&gt;"")&gt;0,1,0)</f>
        <v>0</v>
      </c>
    </row>
    <row r="170">
      <c r="A170" s="94">
        <f>IF($X170=0,"",150)</f>
      </c>
      <c r="B170" s="95">
        <f t="shared" si="1"/>
      </c>
      <c r="C170" s="96">
        <f t="shared" si="10"/>
      </c>
      <c r="D170" s="21">
        <f t="shared" si="12"/>
      </c>
      <c r="E170" s="21">
        <f t="shared" si="14"/>
      </c>
      <c r="F170" s="21">
        <f t="shared" si="16"/>
      </c>
      <c r="G170" s="21">
        <f t="shared" si="18"/>
      </c>
      <c r="H170" s="21">
        <f t="shared" si="20"/>
      </c>
      <c r="I170" s="21">
        <f t="shared" si="22"/>
      </c>
      <c r="J170" s="94">
        <f t="shared" si="24"/>
      </c>
      <c r="K170" s="94">
        <f t="shared" si="26"/>
      </c>
      <c r="L170" s="94">
        <f t="shared" si="28"/>
      </c>
      <c r="M170" s="96">
        <f t="shared" si="29"/>
      </c>
      <c r="X170" s="2">
        <f>IF(150&gt;$AA$5,0,MOD(SMALL($AA$6:$AA$2005,150),10000))</f>
        <v>0</v>
      </c>
      <c r="AA170" s="2">
        <f>IF(AND(ISNUMBER(资金流水!$B$170),ISNUMBER(资金流水!$S$170),资金流水!$S$170&gt;=_辅助!$J$4,资金流水!$S$170&lt;=_辅助!$J$2,OR(资金流水!$C$170=$C$18,AND(资金流水!$AD$170=$C$18,资金流水!$X$170="账户互转"),AND($E$18&lt;&gt;"",资金流水!$J$170=$E$18,资金流水!$X$170="应付职工薪酬"))),INT(资金流水!$B$170)*10000+165,"")</f>
      </c>
      <c r="AB170" s="2">
        <f>AB150+SUM(CB151:CB170)</f>
        <v>0</v>
      </c>
      <c r="CB170" s="2">
        <f>IF(COUNTIFS(资金流水!$J$6:$J$2005,往来单位!$B$173,资金流水!$X$6:$X$2005,"其他应收款",资金流水!$S$6:$S$2005,"&gt;="&amp;_辅助!$J$4,资金流水!$S$6:$S$2005,"&lt;="&amp;_辅助!$J$2)*(往来单位!$B$173&lt;&gt;"")&gt;0,1,0)</f>
        <v>0</v>
      </c>
    </row>
    <row r="171">
      <c r="A171" s="94">
        <f>IF($X171=0,"",151)</f>
      </c>
      <c r="B171" s="95">
        <f t="shared" si="1"/>
      </c>
      <c r="C171" s="96">
        <f t="shared" si="10"/>
      </c>
      <c r="D171" s="21">
        <f t="shared" si="12"/>
      </c>
      <c r="E171" s="21">
        <f t="shared" si="14"/>
      </c>
      <c r="F171" s="21">
        <f t="shared" si="16"/>
      </c>
      <c r="G171" s="21">
        <f t="shared" si="18"/>
      </c>
      <c r="H171" s="21">
        <f t="shared" si="20"/>
      </c>
      <c r="I171" s="21">
        <f t="shared" si="22"/>
      </c>
      <c r="J171" s="94">
        <f t="shared" si="24"/>
      </c>
      <c r="K171" s="94">
        <f t="shared" si="26"/>
      </c>
      <c r="L171" s="94">
        <f t="shared" si="28"/>
      </c>
      <c r="M171" s="96">
        <f t="shared" si="29"/>
      </c>
      <c r="X171" s="2">
        <f>IF(151&gt;$AA$5,0,MOD(SMALL($AA$6:$AA$2005,151),10000))</f>
        <v>0</v>
      </c>
      <c r="AA171" s="2">
        <f>IF(AND(ISNUMBER(资金流水!$B$171),ISNUMBER(资金流水!$S$171),资金流水!$S$171&gt;=_辅助!$J$4,资金流水!$S$171&lt;=_辅助!$J$2,OR(资金流水!$C$171=$C$18,AND(资金流水!$AD$171=$C$18,资金流水!$X$171="账户互转"),AND($E$18&lt;&gt;"",资金流水!$J$171=$E$18,资金流水!$X$171="应付职工薪酬"))),INT(资金流水!$B$171)*10000+166,"")</f>
      </c>
      <c r="AB171" s="2">
        <f>AB150+SUM(CB151:CB171)</f>
        <v>0</v>
      </c>
      <c r="CB171" s="2">
        <f>IF(COUNTIFS(资金流水!$J$6:$J$2005,往来单位!$B$174,资金流水!$X$6:$X$2005,"其他应收款",资金流水!$S$6:$S$2005,"&gt;="&amp;_辅助!$J$4,资金流水!$S$6:$S$2005,"&lt;="&amp;_辅助!$J$2)*(往来单位!$B$174&lt;&gt;"")&gt;0,1,0)</f>
        <v>0</v>
      </c>
    </row>
    <row r="172">
      <c r="A172" s="94">
        <f>IF($X172=0,"",152)</f>
      </c>
      <c r="B172" s="95">
        <f t="shared" si="1"/>
      </c>
      <c r="C172" s="96">
        <f t="shared" si="10"/>
      </c>
      <c r="D172" s="21">
        <f t="shared" si="12"/>
      </c>
      <c r="E172" s="21">
        <f t="shared" si="14"/>
      </c>
      <c r="F172" s="21">
        <f t="shared" si="16"/>
      </c>
      <c r="G172" s="21">
        <f t="shared" si="18"/>
      </c>
      <c r="H172" s="21">
        <f t="shared" si="20"/>
      </c>
      <c r="I172" s="21">
        <f t="shared" si="22"/>
      </c>
      <c r="J172" s="94">
        <f t="shared" si="24"/>
      </c>
      <c r="K172" s="94">
        <f t="shared" si="26"/>
      </c>
      <c r="L172" s="94">
        <f t="shared" si="28"/>
      </c>
      <c r="M172" s="96">
        <f t="shared" si="29"/>
      </c>
      <c r="X172" s="2">
        <f>IF(152&gt;$AA$5,0,MOD(SMALL($AA$6:$AA$2005,152),10000))</f>
        <v>0</v>
      </c>
      <c r="AA172" s="2">
        <f>IF(AND(ISNUMBER(资金流水!$B$172),ISNUMBER(资金流水!$S$172),资金流水!$S$172&gt;=_辅助!$J$4,资金流水!$S$172&lt;=_辅助!$J$2,OR(资金流水!$C$172=$C$18,AND(资金流水!$AD$172=$C$18,资金流水!$X$172="账户互转"),AND($E$18&lt;&gt;"",资金流水!$J$172=$E$18,资金流水!$X$172="应付职工薪酬"))),INT(资金流水!$B$172)*10000+167,"")</f>
      </c>
      <c r="AB172" s="2">
        <f>AB150+SUM(CB151:CB172)</f>
        <v>0</v>
      </c>
      <c r="CB172" s="2">
        <f>IF(COUNTIFS(资金流水!$J$6:$J$2005,往来单位!$B$175,资金流水!$X$6:$X$2005,"其他应收款",资金流水!$S$6:$S$2005,"&gt;="&amp;_辅助!$J$4,资金流水!$S$6:$S$2005,"&lt;="&amp;_辅助!$J$2)*(往来单位!$B$175&lt;&gt;"")&gt;0,1,0)</f>
        <v>0</v>
      </c>
    </row>
    <row r="173">
      <c r="A173" s="94">
        <f>IF($X173=0,"",153)</f>
      </c>
      <c r="B173" s="95">
        <f t="shared" si="1"/>
      </c>
      <c r="C173" s="96">
        <f t="shared" si="10"/>
      </c>
      <c r="D173" s="21">
        <f t="shared" si="12"/>
      </c>
      <c r="E173" s="21">
        <f t="shared" si="14"/>
      </c>
      <c r="F173" s="21">
        <f t="shared" si="16"/>
      </c>
      <c r="G173" s="21">
        <f t="shared" si="18"/>
      </c>
      <c r="H173" s="21">
        <f t="shared" si="20"/>
      </c>
      <c r="I173" s="21">
        <f t="shared" si="22"/>
      </c>
      <c r="J173" s="94">
        <f t="shared" si="24"/>
      </c>
      <c r="K173" s="94">
        <f t="shared" si="26"/>
      </c>
      <c r="L173" s="94">
        <f t="shared" si="28"/>
      </c>
      <c r="M173" s="96">
        <f t="shared" si="29"/>
      </c>
      <c r="X173" s="2">
        <f>IF(153&gt;$AA$5,0,MOD(SMALL($AA$6:$AA$2005,153),10000))</f>
        <v>0</v>
      </c>
      <c r="AA173" s="2">
        <f>IF(AND(ISNUMBER(资金流水!$B$173),ISNUMBER(资金流水!$S$173),资金流水!$S$173&gt;=_辅助!$J$4,资金流水!$S$173&lt;=_辅助!$J$2,OR(资金流水!$C$173=$C$18,AND(资金流水!$AD$173=$C$18,资金流水!$X$173="账户互转"),AND($E$18&lt;&gt;"",资金流水!$J$173=$E$18,资金流水!$X$173="应付职工薪酬"))),INT(资金流水!$B$173)*10000+168,"")</f>
        <v>462290168</v>
      </c>
      <c r="AB173" s="2">
        <f>AB150+SUM(CB151:CB173)</f>
        <v>0</v>
      </c>
      <c r="CB173" s="2">
        <f>IF(COUNTIFS(资金流水!$J$6:$J$2005,往来单位!$B$176,资金流水!$X$6:$X$2005,"其他应收款",资金流水!$S$6:$S$2005,"&gt;="&amp;_辅助!$J$4,资金流水!$S$6:$S$2005,"&lt;="&amp;_辅助!$J$2)*(往来单位!$B$176&lt;&gt;"")&gt;0,1,0)</f>
        <v>0</v>
      </c>
    </row>
    <row r="174">
      <c r="A174" s="94">
        <f>IF($X174=0,"",154)</f>
      </c>
      <c r="B174" s="95">
        <f t="shared" si="1"/>
      </c>
      <c r="C174" s="96">
        <f t="shared" si="10"/>
      </c>
      <c r="D174" s="21">
        <f t="shared" si="12"/>
      </c>
      <c r="E174" s="21">
        <f t="shared" si="14"/>
      </c>
      <c r="F174" s="21">
        <f t="shared" si="16"/>
      </c>
      <c r="G174" s="21">
        <f t="shared" si="18"/>
      </c>
      <c r="H174" s="21">
        <f t="shared" si="20"/>
      </c>
      <c r="I174" s="21">
        <f t="shared" si="22"/>
      </c>
      <c r="J174" s="94">
        <f t="shared" si="24"/>
      </c>
      <c r="K174" s="94">
        <f t="shared" si="26"/>
      </c>
      <c r="L174" s="94">
        <f t="shared" si="28"/>
      </c>
      <c r="M174" s="96">
        <f t="shared" si="29"/>
      </c>
      <c r="X174" s="2">
        <f>IF(154&gt;$AA$5,0,MOD(SMALL($AA$6:$AA$2005,154),10000))</f>
        <v>0</v>
      </c>
      <c r="AA174" s="2">
        <f>IF(AND(ISNUMBER(资金流水!$B$174),ISNUMBER(资金流水!$S$174),资金流水!$S$174&gt;=_辅助!$J$4,资金流水!$S$174&lt;=_辅助!$J$2,OR(资金流水!$C$174=$C$18,AND(资金流水!$AD$174=$C$18,资金流水!$X$174="账户互转"),AND($E$18&lt;&gt;"",资金流水!$J$174=$E$18,资金流水!$X$174="应付职工薪酬"))),INT(资金流水!$B$174)*10000+169,"")</f>
        <v>462310169</v>
      </c>
      <c r="AB174" s="2">
        <f>AB150+SUM(CB151:CB174)</f>
        <v>0</v>
      </c>
      <c r="CB174" s="2">
        <f>IF(COUNTIFS(资金流水!$J$6:$J$2005,往来单位!$B$177,资金流水!$X$6:$X$2005,"其他应收款",资金流水!$S$6:$S$2005,"&gt;="&amp;_辅助!$J$4,资金流水!$S$6:$S$2005,"&lt;="&amp;_辅助!$J$2)*(往来单位!$B$177&lt;&gt;"")&gt;0,1,0)</f>
        <v>0</v>
      </c>
    </row>
    <row r="175">
      <c r="A175" s="94">
        <f>IF($X175=0,"",155)</f>
      </c>
      <c r="B175" s="95">
        <f t="shared" si="1"/>
      </c>
      <c r="C175" s="96">
        <f t="shared" si="10"/>
      </c>
      <c r="D175" s="21">
        <f t="shared" si="12"/>
      </c>
      <c r="E175" s="21">
        <f t="shared" si="14"/>
      </c>
      <c r="F175" s="21">
        <f t="shared" si="16"/>
      </c>
      <c r="G175" s="21">
        <f t="shared" si="18"/>
      </c>
      <c r="H175" s="21">
        <f t="shared" si="20"/>
      </c>
      <c r="I175" s="21">
        <f t="shared" si="22"/>
      </c>
      <c r="J175" s="94">
        <f t="shared" si="24"/>
      </c>
      <c r="K175" s="94">
        <f t="shared" si="26"/>
      </c>
      <c r="L175" s="94">
        <f t="shared" si="28"/>
      </c>
      <c r="M175" s="96">
        <f t="shared" si="29"/>
      </c>
      <c r="X175" s="2">
        <f>IF(155&gt;$AA$5,0,MOD(SMALL($AA$6:$AA$2005,155),10000))</f>
        <v>0</v>
      </c>
      <c r="AA175" s="2">
        <f>IF(AND(ISNUMBER(资金流水!$B$175),ISNUMBER(资金流水!$S$175),资金流水!$S$175&gt;=_辅助!$J$4,资金流水!$S$175&lt;=_辅助!$J$2,OR(资金流水!$C$175=$C$18,AND(资金流水!$AD$175=$C$18,资金流水!$X$175="账户互转"),AND($E$18&lt;&gt;"",资金流水!$J$175=$E$18,资金流水!$X$175="应付职工薪酬"))),INT(资金流水!$B$175)*10000+170,"")</f>
      </c>
      <c r="AB175" s="2">
        <f>AB150+SUM(CB151:CB175)</f>
        <v>0</v>
      </c>
      <c r="CB175" s="2">
        <f>IF(COUNTIFS(资金流水!$J$6:$J$2005,往来单位!$B$178,资金流水!$X$6:$X$2005,"其他应收款",资金流水!$S$6:$S$2005,"&gt;="&amp;_辅助!$J$4,资金流水!$S$6:$S$2005,"&lt;="&amp;_辅助!$J$2)*(往来单位!$B$178&lt;&gt;"")&gt;0,1,0)</f>
        <v>0</v>
      </c>
    </row>
    <row r="176">
      <c r="A176" s="94">
        <f>IF($X176=0,"",156)</f>
      </c>
      <c r="B176" s="95">
        <f t="shared" si="1"/>
      </c>
      <c r="C176" s="96">
        <f t="shared" si="10"/>
      </c>
      <c r="D176" s="21">
        <f t="shared" si="12"/>
      </c>
      <c r="E176" s="21">
        <f t="shared" si="14"/>
      </c>
      <c r="F176" s="21">
        <f t="shared" si="16"/>
      </c>
      <c r="G176" s="21">
        <f t="shared" si="18"/>
      </c>
      <c r="H176" s="21">
        <f t="shared" si="20"/>
      </c>
      <c r="I176" s="21">
        <f t="shared" si="22"/>
      </c>
      <c r="J176" s="94">
        <f t="shared" si="24"/>
      </c>
      <c r="K176" s="94">
        <f t="shared" si="26"/>
      </c>
      <c r="L176" s="94">
        <f t="shared" si="28"/>
      </c>
      <c r="M176" s="96">
        <f t="shared" si="29"/>
      </c>
      <c r="X176" s="2">
        <f>IF(156&gt;$AA$5,0,MOD(SMALL($AA$6:$AA$2005,156),10000))</f>
        <v>0</v>
      </c>
      <c r="AA176" s="2">
        <f>IF(AND(ISNUMBER(资金流水!$B$176),ISNUMBER(资金流水!$S$176),资金流水!$S$176&gt;=_辅助!$J$4,资金流水!$S$176&lt;=_辅助!$J$2,OR(资金流水!$C$176=$C$18,AND(资金流水!$AD$176=$C$18,资金流水!$X$176="账户互转"),AND($E$18&lt;&gt;"",资金流水!$J$176=$E$18,资金流水!$X$176="应付职工薪酬"))),INT(资金流水!$B$176)*10000+171,"")</f>
      </c>
      <c r="AB176" s="2">
        <f>AB150+SUM(CB151:CB176)</f>
        <v>0</v>
      </c>
      <c r="CB176" s="2">
        <f>IF(COUNTIFS(资金流水!$J$6:$J$2005,往来单位!$B$179,资金流水!$X$6:$X$2005,"其他应收款",资金流水!$S$6:$S$2005,"&gt;="&amp;_辅助!$J$4,资金流水!$S$6:$S$2005,"&lt;="&amp;_辅助!$J$2)*(往来单位!$B$179&lt;&gt;"")&gt;0,1,0)</f>
        <v>0</v>
      </c>
    </row>
    <row r="177">
      <c r="A177" s="94">
        <f>IF($X177=0,"",157)</f>
      </c>
      <c r="B177" s="95">
        <f t="shared" si="1"/>
      </c>
      <c r="C177" s="96">
        <f t="shared" si="10"/>
      </c>
      <c r="D177" s="21">
        <f t="shared" si="12"/>
      </c>
      <c r="E177" s="21">
        <f t="shared" si="14"/>
      </c>
      <c r="F177" s="21">
        <f t="shared" si="16"/>
      </c>
      <c r="G177" s="21">
        <f t="shared" si="18"/>
      </c>
      <c r="H177" s="21">
        <f t="shared" si="20"/>
      </c>
      <c r="I177" s="21">
        <f t="shared" si="22"/>
      </c>
      <c r="J177" s="94">
        <f t="shared" si="24"/>
      </c>
      <c r="K177" s="94">
        <f t="shared" si="26"/>
      </c>
      <c r="L177" s="94">
        <f t="shared" si="28"/>
      </c>
      <c r="M177" s="96">
        <f t="shared" si="29"/>
      </c>
      <c r="X177" s="2">
        <f>IF(157&gt;$AA$5,0,MOD(SMALL($AA$6:$AA$2005,157),10000))</f>
        <v>0</v>
      </c>
      <c r="AA177" s="2">
        <f>IF(AND(ISNUMBER(资金流水!$B$177),ISNUMBER(资金流水!$S$177),资金流水!$S$177&gt;=_辅助!$J$4,资金流水!$S$177&lt;=_辅助!$J$2,OR(资金流水!$C$177=$C$18,AND(资金流水!$AD$177=$C$18,资金流水!$X$177="账户互转"),AND($E$18&lt;&gt;"",资金流水!$J$177=$E$18,资金流水!$X$177="应付职工薪酬"))),INT(资金流水!$B$177)*10000+172,"")</f>
      </c>
      <c r="AB177" s="2">
        <f>AB150+SUM(CB151:CB177)</f>
        <v>0</v>
      </c>
      <c r="CB177" s="2">
        <f>IF(COUNTIFS(资金流水!$J$6:$J$2005,往来单位!$B$180,资金流水!$X$6:$X$2005,"其他应收款",资金流水!$S$6:$S$2005,"&gt;="&amp;_辅助!$J$4,资金流水!$S$6:$S$2005,"&lt;="&amp;_辅助!$J$2)*(往来单位!$B$180&lt;&gt;"")&gt;0,1,0)</f>
        <v>0</v>
      </c>
    </row>
    <row r="178">
      <c r="A178" s="94">
        <f>IF($X178=0,"",158)</f>
      </c>
      <c r="B178" s="95">
        <f t="shared" si="1"/>
      </c>
      <c r="C178" s="96">
        <f t="shared" si="10"/>
      </c>
      <c r="D178" s="21">
        <f t="shared" si="12"/>
      </c>
      <c r="E178" s="21">
        <f t="shared" si="14"/>
      </c>
      <c r="F178" s="21">
        <f t="shared" si="16"/>
      </c>
      <c r="G178" s="21">
        <f t="shared" si="18"/>
      </c>
      <c r="H178" s="21">
        <f t="shared" si="20"/>
      </c>
      <c r="I178" s="21">
        <f t="shared" si="22"/>
      </c>
      <c r="J178" s="94">
        <f t="shared" si="24"/>
      </c>
      <c r="K178" s="94">
        <f t="shared" si="26"/>
      </c>
      <c r="L178" s="94">
        <f t="shared" si="28"/>
      </c>
      <c r="M178" s="96">
        <f t="shared" si="29"/>
      </c>
      <c r="X178" s="2">
        <f>IF(158&gt;$AA$5,0,MOD(SMALL($AA$6:$AA$2005,158),10000))</f>
        <v>0</v>
      </c>
      <c r="AA178" s="2">
        <f>IF(AND(ISNUMBER(资金流水!$B$178),ISNUMBER(资金流水!$S$178),资金流水!$S$178&gt;=_辅助!$J$4,资金流水!$S$178&lt;=_辅助!$J$2,OR(资金流水!$C$178=$C$18,AND(资金流水!$AD$178=$C$18,资金流水!$X$178="账户互转"),AND($E$18&lt;&gt;"",资金流水!$J$178=$E$18,资金流水!$X$178="应付职工薪酬"))),INT(资金流水!$B$178)*10000+173,"")</f>
      </c>
      <c r="AB178" s="2">
        <f>AB150+SUM(CB151:CB178)</f>
        <v>0</v>
      </c>
      <c r="CB178" s="2">
        <f>IF(COUNTIFS(资金流水!$J$6:$J$2005,往来单位!$B$181,资金流水!$X$6:$X$2005,"其他应收款",资金流水!$S$6:$S$2005,"&gt;="&amp;_辅助!$J$4,资金流水!$S$6:$S$2005,"&lt;="&amp;_辅助!$J$2)*(往来单位!$B$181&lt;&gt;"")&gt;0,1,0)</f>
        <v>0</v>
      </c>
    </row>
    <row r="179">
      <c r="A179" s="94">
        <f>IF($X179=0,"",159)</f>
      </c>
      <c r="B179" s="95">
        <f t="shared" si="1"/>
      </c>
      <c r="C179" s="96">
        <f t="shared" si="10"/>
      </c>
      <c r="D179" s="21">
        <f t="shared" si="12"/>
      </c>
      <c r="E179" s="21">
        <f t="shared" si="14"/>
      </c>
      <c r="F179" s="21">
        <f t="shared" si="16"/>
      </c>
      <c r="G179" s="21">
        <f t="shared" si="18"/>
      </c>
      <c r="H179" s="21">
        <f t="shared" si="20"/>
      </c>
      <c r="I179" s="21">
        <f t="shared" si="22"/>
      </c>
      <c r="J179" s="94">
        <f t="shared" si="24"/>
      </c>
      <c r="K179" s="94">
        <f t="shared" si="26"/>
      </c>
      <c r="L179" s="94">
        <f t="shared" si="28"/>
      </c>
      <c r="M179" s="96">
        <f t="shared" si="29"/>
      </c>
      <c r="X179" s="2">
        <f>IF(159&gt;$AA$5,0,MOD(SMALL($AA$6:$AA$2005,159),10000))</f>
        <v>0</v>
      </c>
      <c r="AA179" s="2">
        <f>IF(AND(ISNUMBER(资金流水!$B$179),ISNUMBER(资金流水!$S$179),资金流水!$S$179&gt;=_辅助!$J$4,资金流水!$S$179&lt;=_辅助!$J$2,OR(资金流水!$C$179=$C$18,AND(资金流水!$AD$179=$C$18,资金流水!$X$179="账户互转"),AND($E$18&lt;&gt;"",资金流水!$J$179=$E$18,资金流水!$X$179="应付职工薪酬"))),INT(资金流水!$B$179)*10000+174,"")</f>
      </c>
      <c r="AB179" s="2">
        <f>AB150+SUM(CB151:CB179)</f>
        <v>0</v>
      </c>
      <c r="CB179" s="2">
        <f>IF(COUNTIFS(资金流水!$J$6:$J$2005,往来单位!$B$182,资金流水!$X$6:$X$2005,"其他应收款",资金流水!$S$6:$S$2005,"&gt;="&amp;_辅助!$J$4,资金流水!$S$6:$S$2005,"&lt;="&amp;_辅助!$J$2)*(往来单位!$B$182&lt;&gt;"")&gt;0,1,0)</f>
        <v>0</v>
      </c>
    </row>
    <row r="180">
      <c r="A180" s="94">
        <f>IF($X180=0,"",160)</f>
      </c>
      <c r="B180" s="95">
        <f t="shared" si="1"/>
      </c>
      <c r="C180" s="96">
        <f t="shared" si="10"/>
      </c>
      <c r="D180" s="21">
        <f t="shared" si="12"/>
      </c>
      <c r="E180" s="21">
        <f t="shared" si="14"/>
      </c>
      <c r="F180" s="21">
        <f t="shared" si="16"/>
      </c>
      <c r="G180" s="21">
        <f t="shared" si="18"/>
      </c>
      <c r="H180" s="21">
        <f t="shared" si="20"/>
      </c>
      <c r="I180" s="21">
        <f t="shared" si="22"/>
      </c>
      <c r="J180" s="94">
        <f t="shared" si="24"/>
      </c>
      <c r="K180" s="94">
        <f t="shared" si="26"/>
      </c>
      <c r="L180" s="94">
        <f t="shared" si="28"/>
      </c>
      <c r="M180" s="96">
        <f t="shared" si="29"/>
      </c>
      <c r="X180" s="2">
        <f>IF(160&gt;$AA$5,0,MOD(SMALL($AA$6:$AA$2005,160),10000))</f>
        <v>0</v>
      </c>
      <c r="AA180" s="2">
        <f>IF(AND(ISNUMBER(资金流水!$B$180),ISNUMBER(资金流水!$S$180),资金流水!$S$180&gt;=_辅助!$J$4,资金流水!$S$180&lt;=_辅助!$J$2,OR(资金流水!$C$180=$C$18,AND(资金流水!$AD$180=$C$18,资金流水!$X$180="账户互转"),AND($E$18&lt;&gt;"",资金流水!$J$180=$E$18,资金流水!$X$180="应付职工薪酬"))),INT(资金流水!$B$180)*10000+175,"")</f>
      </c>
      <c r="AB180" s="2">
        <f>AB150+SUM(CB151:CB180)</f>
        <v>0</v>
      </c>
      <c r="CB180" s="2">
        <f>IF(COUNTIFS(资金流水!$J$6:$J$2005,往来单位!$B$183,资金流水!$X$6:$X$2005,"其他应收款",资金流水!$S$6:$S$2005,"&gt;="&amp;_辅助!$J$4,资金流水!$S$6:$S$2005,"&lt;="&amp;_辅助!$J$2)*(往来单位!$B$183&lt;&gt;"")&gt;0,1,0)</f>
        <v>0</v>
      </c>
    </row>
    <row r="181">
      <c r="A181" s="94">
        <f>IF($X181=0,"",161)</f>
      </c>
      <c r="B181" s="95">
        <f t="shared" si="1"/>
      </c>
      <c r="C181" s="96">
        <f t="shared" si="10"/>
      </c>
      <c r="D181" s="21">
        <f t="shared" si="12"/>
      </c>
      <c r="E181" s="21">
        <f t="shared" si="14"/>
      </c>
      <c r="F181" s="21">
        <f t="shared" si="16"/>
      </c>
      <c r="G181" s="21">
        <f t="shared" si="18"/>
      </c>
      <c r="H181" s="21">
        <f t="shared" si="20"/>
      </c>
      <c r="I181" s="21">
        <f t="shared" si="22"/>
      </c>
      <c r="J181" s="94">
        <f t="shared" si="24"/>
      </c>
      <c r="K181" s="94">
        <f t="shared" si="26"/>
      </c>
      <c r="L181" s="94">
        <f t="shared" si="28"/>
      </c>
      <c r="M181" s="96">
        <f t="shared" si="29"/>
      </c>
      <c r="X181" s="2">
        <f>IF(161&gt;$AA$5,0,MOD(SMALL($AA$6:$AA$2005,161),10000))</f>
        <v>0</v>
      </c>
      <c r="AA181" s="2">
        <f>IF(AND(ISNUMBER(资金流水!$B$181),ISNUMBER(资金流水!$S$181),资金流水!$S$181&gt;=_辅助!$J$4,资金流水!$S$181&lt;=_辅助!$J$2,OR(资金流水!$C$181=$C$18,AND(资金流水!$AD$181=$C$18,资金流水!$X$181="账户互转"),AND($E$18&lt;&gt;"",资金流水!$J$181=$E$18,资金流水!$X$181="应付职工薪酬"))),INT(资金流水!$B$181)*10000+176,"")</f>
      </c>
      <c r="AB181" s="2">
        <f>AB150+SUM(CB151:CB181)</f>
        <v>0</v>
      </c>
      <c r="CB181" s="2">
        <f>IF(COUNTIFS(资金流水!$J$6:$J$2005,往来单位!$B$184,资金流水!$X$6:$X$2005,"其他应收款",资金流水!$S$6:$S$2005,"&gt;="&amp;_辅助!$J$4,资金流水!$S$6:$S$2005,"&lt;="&amp;_辅助!$J$2)*(往来单位!$B$184&lt;&gt;"")&gt;0,1,0)</f>
        <v>0</v>
      </c>
    </row>
    <row r="182">
      <c r="A182" s="94">
        <f>IF($X182=0,"",162)</f>
      </c>
      <c r="B182" s="95">
        <f t="shared" si="1"/>
      </c>
      <c r="C182" s="96">
        <f t="shared" si="10"/>
      </c>
      <c r="D182" s="21">
        <f t="shared" si="12"/>
      </c>
      <c r="E182" s="21">
        <f t="shared" si="14"/>
      </c>
      <c r="F182" s="21">
        <f t="shared" si="16"/>
      </c>
      <c r="G182" s="21">
        <f t="shared" si="18"/>
      </c>
      <c r="H182" s="21">
        <f t="shared" si="20"/>
      </c>
      <c r="I182" s="21">
        <f t="shared" si="22"/>
      </c>
      <c r="J182" s="94">
        <f t="shared" si="24"/>
      </c>
      <c r="K182" s="94">
        <f t="shared" si="26"/>
      </c>
      <c r="L182" s="94">
        <f t="shared" si="28"/>
      </c>
      <c r="M182" s="96">
        <f t="shared" si="29"/>
      </c>
      <c r="X182" s="2">
        <f>IF(162&gt;$AA$5,0,MOD(SMALL($AA$6:$AA$2005,162),10000))</f>
        <v>0</v>
      </c>
      <c r="AA182" s="2">
        <f>IF(AND(ISNUMBER(资金流水!$B$182),ISNUMBER(资金流水!$S$182),资金流水!$S$182&gt;=_辅助!$J$4,资金流水!$S$182&lt;=_辅助!$J$2,OR(资金流水!$C$182=$C$18,AND(资金流水!$AD$182=$C$18,资金流水!$X$182="账户互转"),AND($E$18&lt;&gt;"",资金流水!$J$182=$E$18,资金流水!$X$182="应付职工薪酬"))),INT(资金流水!$B$182)*10000+177,"")</f>
      </c>
      <c r="AB182" s="2">
        <f>AB150+SUM(CB151:CB182)</f>
        <v>0</v>
      </c>
      <c r="CB182" s="2">
        <f>IF(COUNTIFS(资金流水!$J$6:$J$2005,往来单位!$B$185,资金流水!$X$6:$X$2005,"其他应收款",资金流水!$S$6:$S$2005,"&gt;="&amp;_辅助!$J$4,资金流水!$S$6:$S$2005,"&lt;="&amp;_辅助!$J$2)*(往来单位!$B$185&lt;&gt;"")&gt;0,1,0)</f>
        <v>0</v>
      </c>
    </row>
    <row r="183">
      <c r="A183" s="94">
        <f>IF($X183=0,"",163)</f>
      </c>
      <c r="B183" s="95">
        <f t="shared" si="1"/>
      </c>
      <c r="C183" s="96">
        <f t="shared" si="10"/>
      </c>
      <c r="D183" s="21">
        <f t="shared" si="12"/>
      </c>
      <c r="E183" s="21">
        <f t="shared" si="14"/>
      </c>
      <c r="F183" s="21">
        <f t="shared" si="16"/>
      </c>
      <c r="G183" s="21">
        <f t="shared" si="18"/>
      </c>
      <c r="H183" s="21">
        <f t="shared" si="20"/>
      </c>
      <c r="I183" s="21">
        <f t="shared" si="22"/>
      </c>
      <c r="J183" s="94">
        <f t="shared" si="24"/>
      </c>
      <c r="K183" s="94">
        <f t="shared" si="26"/>
      </c>
      <c r="L183" s="94">
        <f t="shared" si="28"/>
      </c>
      <c r="M183" s="96">
        <f t="shared" si="29"/>
      </c>
      <c r="X183" s="2">
        <f>IF(163&gt;$AA$5,0,MOD(SMALL($AA$6:$AA$2005,163),10000))</f>
        <v>0</v>
      </c>
      <c r="AA183" s="2">
        <f>IF(AND(ISNUMBER(资金流水!$B$183),ISNUMBER(资金流水!$S$183),资金流水!$S$183&gt;=_辅助!$J$4,资金流水!$S$183&lt;=_辅助!$J$2,OR(资金流水!$C$183=$C$18,AND(资金流水!$AD$183=$C$18,资金流水!$X$183="账户互转"),AND($E$18&lt;&gt;"",资金流水!$J$183=$E$18,资金流水!$X$183="应付职工薪酬"))),INT(资金流水!$B$183)*10000+178,"")</f>
      </c>
      <c r="AB183" s="2">
        <f>AB150+SUM(CB151:CB183)</f>
        <v>0</v>
      </c>
      <c r="CB183" s="2">
        <f>IF(COUNTIFS(资金流水!$J$6:$J$2005,往来单位!$B$186,资金流水!$X$6:$X$2005,"其他应收款",资金流水!$S$6:$S$2005,"&gt;="&amp;_辅助!$J$4,资金流水!$S$6:$S$2005,"&lt;="&amp;_辅助!$J$2)*(往来单位!$B$186&lt;&gt;"")&gt;0,1,0)</f>
        <v>0</v>
      </c>
    </row>
    <row r="184">
      <c r="A184" s="94">
        <f>IF($X184=0,"",164)</f>
      </c>
      <c r="B184" s="95">
        <f t="shared" si="1"/>
      </c>
      <c r="C184" s="96">
        <f t="shared" si="10"/>
      </c>
      <c r="D184" s="21">
        <f t="shared" si="12"/>
      </c>
      <c r="E184" s="21">
        <f t="shared" si="14"/>
      </c>
      <c r="F184" s="21">
        <f t="shared" si="16"/>
      </c>
      <c r="G184" s="21">
        <f t="shared" si="18"/>
      </c>
      <c r="H184" s="21">
        <f t="shared" si="20"/>
      </c>
      <c r="I184" s="21">
        <f t="shared" si="22"/>
      </c>
      <c r="J184" s="94">
        <f t="shared" si="24"/>
      </c>
      <c r="K184" s="94">
        <f t="shared" si="26"/>
      </c>
      <c r="L184" s="94">
        <f t="shared" si="28"/>
      </c>
      <c r="M184" s="96">
        <f t="shared" si="29"/>
      </c>
      <c r="X184" s="2">
        <f>IF(164&gt;$AA$5,0,MOD(SMALL($AA$6:$AA$2005,164),10000))</f>
        <v>0</v>
      </c>
      <c r="AA184" s="2">
        <f>IF(AND(ISNUMBER(资金流水!$B$184),ISNUMBER(资金流水!$S$184),资金流水!$S$184&gt;=_辅助!$J$4,资金流水!$S$184&lt;=_辅助!$J$2,OR(资金流水!$C$184=$C$18,AND(资金流水!$AD$184=$C$18,资金流水!$X$184="账户互转"),AND($E$18&lt;&gt;"",资金流水!$J$184=$E$18,资金流水!$X$184="应付职工薪酬"))),INT(资金流水!$B$184)*10000+179,"")</f>
      </c>
      <c r="AB184" s="2">
        <f>AB150+SUM(CB151:CB184)</f>
        <v>0</v>
      </c>
      <c r="CB184" s="2">
        <f>IF(COUNTIFS(资金流水!$J$6:$J$2005,往来单位!$B$187,资金流水!$X$6:$X$2005,"其他应收款",资金流水!$S$6:$S$2005,"&gt;="&amp;_辅助!$J$4,资金流水!$S$6:$S$2005,"&lt;="&amp;_辅助!$J$2)*(往来单位!$B$187&lt;&gt;"")&gt;0,1,0)</f>
        <v>0</v>
      </c>
    </row>
    <row r="185">
      <c r="A185" s="94">
        <f>IF($X185=0,"",165)</f>
      </c>
      <c r="B185" s="95">
        <f t="shared" si="1"/>
      </c>
      <c r="C185" s="96">
        <f t="shared" si="10"/>
      </c>
      <c r="D185" s="21">
        <f t="shared" si="12"/>
      </c>
      <c r="E185" s="21">
        <f t="shared" si="14"/>
      </c>
      <c r="F185" s="21">
        <f t="shared" si="16"/>
      </c>
      <c r="G185" s="21">
        <f t="shared" si="18"/>
      </c>
      <c r="H185" s="21">
        <f t="shared" si="20"/>
      </c>
      <c r="I185" s="21">
        <f t="shared" si="22"/>
      </c>
      <c r="J185" s="94">
        <f t="shared" si="24"/>
      </c>
      <c r="K185" s="94">
        <f t="shared" si="26"/>
      </c>
      <c r="L185" s="94">
        <f t="shared" si="28"/>
      </c>
      <c r="M185" s="96">
        <f t="shared" si="29"/>
      </c>
      <c r="X185" s="2">
        <f>IF(165&gt;$AA$5,0,MOD(SMALL($AA$6:$AA$2005,165),10000))</f>
        <v>0</v>
      </c>
      <c r="AA185" s="2">
        <f>IF(AND(ISNUMBER(资金流水!$B$185),ISNUMBER(资金流水!$S$185),资金流水!$S$185&gt;=_辅助!$J$4,资金流水!$S$185&lt;=_辅助!$J$2,OR(资金流水!$C$185=$C$18,AND(资金流水!$AD$185=$C$18,资金流水!$X$185="账户互转"),AND($E$18&lt;&gt;"",资金流水!$J$185=$E$18,资金流水!$X$185="应付职工薪酬"))),INT(资金流水!$B$185)*10000+180,"")</f>
        <v>462340180</v>
      </c>
      <c r="AB185" s="2">
        <f>AB150+SUM(CB151:CB185)</f>
        <v>0</v>
      </c>
      <c r="CB185" s="2">
        <f>IF(COUNTIFS(资金流水!$J$6:$J$2005,往来单位!$B$188,资金流水!$X$6:$X$2005,"其他应收款",资金流水!$S$6:$S$2005,"&gt;="&amp;_辅助!$J$4,资金流水!$S$6:$S$2005,"&lt;="&amp;_辅助!$J$2)*(往来单位!$B$188&lt;&gt;"")&gt;0,1,0)</f>
        <v>0</v>
      </c>
    </row>
    <row r="186">
      <c r="A186" s="94">
        <f>IF($X186=0,"",166)</f>
      </c>
      <c r="B186" s="95">
        <f t="shared" si="1"/>
      </c>
      <c r="C186" s="96">
        <f t="shared" si="10"/>
      </c>
      <c r="D186" s="21">
        <f t="shared" si="12"/>
      </c>
      <c r="E186" s="21">
        <f t="shared" si="14"/>
      </c>
      <c r="F186" s="21">
        <f t="shared" si="16"/>
      </c>
      <c r="G186" s="21">
        <f t="shared" si="18"/>
      </c>
      <c r="H186" s="21">
        <f t="shared" si="20"/>
      </c>
      <c r="I186" s="21">
        <f t="shared" si="22"/>
      </c>
      <c r="J186" s="94">
        <f t="shared" si="24"/>
      </c>
      <c r="K186" s="94">
        <f t="shared" si="26"/>
      </c>
      <c r="L186" s="94">
        <f t="shared" si="28"/>
      </c>
      <c r="M186" s="96">
        <f t="shared" si="29"/>
      </c>
      <c r="X186" s="2">
        <f>IF(166&gt;$AA$5,0,MOD(SMALL($AA$6:$AA$2005,166),10000))</f>
        <v>0</v>
      </c>
      <c r="AA186" s="2">
        <f>IF(AND(ISNUMBER(资金流水!$B$186),ISNUMBER(资金流水!$S$186),资金流水!$S$186&gt;=_辅助!$J$4,资金流水!$S$186&lt;=_辅助!$J$2,OR(资金流水!$C$186=$C$18,AND(资金流水!$AD$186=$C$18,资金流水!$X$186="账户互转"),AND($E$18&lt;&gt;"",资金流水!$J$186=$E$18,资金流水!$X$186="应付职工薪酬"))),INT(资金流水!$B$186)*10000+181,"")</f>
      </c>
      <c r="AB186" s="2">
        <f>AB150+SUM(CB151:CB186)</f>
        <v>0</v>
      </c>
      <c r="CB186" s="2">
        <f>IF(COUNTIFS(资金流水!$J$6:$J$2005,往来单位!$B$189,资金流水!$X$6:$X$2005,"其他应收款",资金流水!$S$6:$S$2005,"&gt;="&amp;_辅助!$J$4,资金流水!$S$6:$S$2005,"&lt;="&amp;_辅助!$J$2)*(往来单位!$B$189&lt;&gt;"")&gt;0,1,0)</f>
        <v>0</v>
      </c>
    </row>
    <row r="187">
      <c r="A187" s="94">
        <f>IF($X187=0,"",167)</f>
      </c>
      <c r="B187" s="95">
        <f t="shared" si="1"/>
      </c>
      <c r="C187" s="96">
        <f t="shared" si="10"/>
      </c>
      <c r="D187" s="21">
        <f t="shared" si="12"/>
      </c>
      <c r="E187" s="21">
        <f t="shared" si="14"/>
      </c>
      <c r="F187" s="21">
        <f t="shared" si="16"/>
      </c>
      <c r="G187" s="21">
        <f t="shared" si="18"/>
      </c>
      <c r="H187" s="21">
        <f t="shared" si="20"/>
      </c>
      <c r="I187" s="21">
        <f t="shared" si="22"/>
      </c>
      <c r="J187" s="94">
        <f t="shared" si="24"/>
      </c>
      <c r="K187" s="94">
        <f t="shared" si="26"/>
      </c>
      <c r="L187" s="94">
        <f t="shared" si="28"/>
      </c>
      <c r="M187" s="96">
        <f t="shared" si="29"/>
      </c>
      <c r="X187" s="2">
        <f>IF(167&gt;$AA$5,0,MOD(SMALL($AA$6:$AA$2005,167),10000))</f>
        <v>0</v>
      </c>
      <c r="AA187" s="2">
        <f>IF(AND(ISNUMBER(资金流水!$B$187),ISNUMBER(资金流水!$S$187),资金流水!$S$187&gt;=_辅助!$J$4,资金流水!$S$187&lt;=_辅助!$J$2,OR(资金流水!$C$187=$C$18,AND(资金流水!$AD$187=$C$18,资金流水!$X$187="账户互转"),AND($E$18&lt;&gt;"",资金流水!$J$187=$E$18,资金流水!$X$187="应付职工薪酬"))),INT(资金流水!$B$187)*10000+182,"")</f>
      </c>
      <c r="AB187" s="2">
        <f>AB150+SUM(CB151:CB187)</f>
        <v>0</v>
      </c>
      <c r="CB187" s="2">
        <f>IF(COUNTIFS(资金流水!$J$6:$J$2005,往来单位!$B$190,资金流水!$X$6:$X$2005,"其他应收款",资金流水!$S$6:$S$2005,"&gt;="&amp;_辅助!$J$4,资金流水!$S$6:$S$2005,"&lt;="&amp;_辅助!$J$2)*(往来单位!$B$190&lt;&gt;"")&gt;0,1,0)</f>
        <v>0</v>
      </c>
    </row>
    <row r="188">
      <c r="A188" s="94">
        <f>IF($X188=0,"",168)</f>
      </c>
      <c r="B188" s="95">
        <f t="shared" si="1"/>
      </c>
      <c r="C188" s="96">
        <f t="shared" si="10"/>
      </c>
      <c r="D188" s="21">
        <f t="shared" si="12"/>
      </c>
      <c r="E188" s="21">
        <f t="shared" si="14"/>
      </c>
      <c r="F188" s="21">
        <f t="shared" si="16"/>
      </c>
      <c r="G188" s="21">
        <f t="shared" si="18"/>
      </c>
      <c r="H188" s="21">
        <f t="shared" si="20"/>
      </c>
      <c r="I188" s="21">
        <f t="shared" si="22"/>
      </c>
      <c r="J188" s="94">
        <f t="shared" si="24"/>
      </c>
      <c r="K188" s="94">
        <f t="shared" si="26"/>
      </c>
      <c r="L188" s="94">
        <f t="shared" si="28"/>
      </c>
      <c r="M188" s="96">
        <f t="shared" si="29"/>
      </c>
      <c r="X188" s="2">
        <f>IF(168&gt;$AA$5,0,MOD(SMALL($AA$6:$AA$2005,168),10000))</f>
        <v>0</v>
      </c>
      <c r="AA188" s="2">
        <f>IF(AND(ISNUMBER(资金流水!$B$188),ISNUMBER(资金流水!$S$188),资金流水!$S$188&gt;=_辅助!$J$4,资金流水!$S$188&lt;=_辅助!$J$2,OR(资金流水!$C$188=$C$18,AND(资金流水!$AD$188=$C$18,资金流水!$X$188="账户互转"),AND($E$18&lt;&gt;"",资金流水!$J$188=$E$18,资金流水!$X$188="应付职工薪酬"))),INT(资金流水!$B$188)*10000+183,"")</f>
      </c>
      <c r="AB188" s="2">
        <f>AB150+SUM(CB151:CB188)</f>
        <v>0</v>
      </c>
      <c r="CB188" s="2">
        <f>IF(COUNTIFS(资金流水!$J$6:$J$2005,往来单位!$B$191,资金流水!$X$6:$X$2005,"其他应收款",资金流水!$S$6:$S$2005,"&gt;="&amp;_辅助!$J$4,资金流水!$S$6:$S$2005,"&lt;="&amp;_辅助!$J$2)*(往来单位!$B$191&lt;&gt;"")&gt;0,1,0)</f>
        <v>0</v>
      </c>
    </row>
    <row r="189">
      <c r="A189" s="94">
        <f>IF($X189=0,"",169)</f>
      </c>
      <c r="B189" s="95">
        <f t="shared" si="1"/>
      </c>
      <c r="C189" s="96">
        <f t="shared" si="10"/>
      </c>
      <c r="D189" s="21">
        <f t="shared" si="12"/>
      </c>
      <c r="E189" s="21">
        <f t="shared" si="14"/>
      </c>
      <c r="F189" s="21">
        <f t="shared" si="16"/>
      </c>
      <c r="G189" s="21">
        <f t="shared" si="18"/>
      </c>
      <c r="H189" s="21">
        <f t="shared" si="20"/>
      </c>
      <c r="I189" s="21">
        <f t="shared" si="22"/>
      </c>
      <c r="J189" s="94">
        <f t="shared" si="24"/>
      </c>
      <c r="K189" s="94">
        <f t="shared" si="26"/>
      </c>
      <c r="L189" s="94">
        <f t="shared" si="28"/>
      </c>
      <c r="M189" s="96">
        <f t="shared" si="29"/>
      </c>
      <c r="X189" s="2">
        <f>IF(169&gt;$AA$5,0,MOD(SMALL($AA$6:$AA$2005,169),10000))</f>
        <v>0</v>
      </c>
      <c r="AA189" s="2">
        <f>IF(AND(ISNUMBER(资金流水!$B$189),ISNUMBER(资金流水!$S$189),资金流水!$S$189&gt;=_辅助!$J$4,资金流水!$S$189&lt;=_辅助!$J$2,OR(资金流水!$C$189=$C$18,AND(资金流水!$AD$189=$C$18,资金流水!$X$189="账户互转"),AND($E$18&lt;&gt;"",资金流水!$J$189=$E$18,资金流水!$X$189="应付职工薪酬"))),INT(资金流水!$B$189)*10000+184,"")</f>
        <v>462420184</v>
      </c>
      <c r="AB189" s="2">
        <f>AB150+SUM(CB151:CB189)</f>
        <v>0</v>
      </c>
      <c r="CB189" s="2">
        <f>IF(COUNTIFS(资金流水!$J$6:$J$2005,往来单位!$B$192,资金流水!$X$6:$X$2005,"其他应收款",资金流水!$S$6:$S$2005,"&gt;="&amp;_辅助!$J$4,资金流水!$S$6:$S$2005,"&lt;="&amp;_辅助!$J$2)*(往来单位!$B$192&lt;&gt;"")&gt;0,1,0)</f>
        <v>0</v>
      </c>
    </row>
    <row r="190">
      <c r="A190" s="94">
        <f>IF($X190=0,"",170)</f>
      </c>
      <c r="B190" s="95">
        <f t="shared" si="1"/>
      </c>
      <c r="C190" s="96">
        <f t="shared" si="10"/>
      </c>
      <c r="D190" s="21">
        <f t="shared" si="12"/>
      </c>
      <c r="E190" s="21">
        <f t="shared" si="14"/>
      </c>
      <c r="F190" s="21">
        <f t="shared" si="16"/>
      </c>
      <c r="G190" s="21">
        <f t="shared" si="18"/>
      </c>
      <c r="H190" s="21">
        <f t="shared" si="20"/>
      </c>
      <c r="I190" s="21">
        <f t="shared" si="22"/>
      </c>
      <c r="J190" s="94">
        <f t="shared" si="24"/>
      </c>
      <c r="K190" s="94">
        <f t="shared" si="26"/>
      </c>
      <c r="L190" s="94">
        <f t="shared" si="28"/>
      </c>
      <c r="M190" s="96">
        <f t="shared" si="29"/>
      </c>
      <c r="X190" s="2">
        <f>IF(170&gt;$AA$5,0,MOD(SMALL($AA$6:$AA$2005,170),10000))</f>
        <v>0</v>
      </c>
      <c r="AA190" s="2">
        <f>IF(AND(ISNUMBER(资金流水!$B$190),ISNUMBER(资金流水!$S$190),资金流水!$S$190&gt;=_辅助!$J$4,资金流水!$S$190&lt;=_辅助!$J$2,OR(资金流水!$C$190=$C$18,AND(资金流水!$AD$190=$C$18,资金流水!$X$190="账户互转"),AND($E$18&lt;&gt;"",资金流水!$J$190=$E$18,资金流水!$X$190="应付职工薪酬"))),INT(资金流水!$B$190)*10000+185,"")</f>
      </c>
      <c r="AB190" s="2">
        <f>AB150+SUM(CB151:CB190)</f>
        <v>0</v>
      </c>
      <c r="CB190" s="2">
        <f>IF(COUNTIFS(资金流水!$J$6:$J$2005,往来单位!$B$193,资金流水!$X$6:$X$2005,"其他应收款",资金流水!$S$6:$S$2005,"&gt;="&amp;_辅助!$J$4,资金流水!$S$6:$S$2005,"&lt;="&amp;_辅助!$J$2)*(往来单位!$B$193&lt;&gt;"")&gt;0,1,0)</f>
        <v>0</v>
      </c>
    </row>
    <row r="191">
      <c r="A191" s="94">
        <f>IF($X191=0,"",171)</f>
      </c>
      <c r="B191" s="95">
        <f t="shared" si="1"/>
      </c>
      <c r="C191" s="96">
        <f t="shared" si="10"/>
      </c>
      <c r="D191" s="21">
        <f t="shared" si="12"/>
      </c>
      <c r="E191" s="21">
        <f t="shared" si="14"/>
      </c>
      <c r="F191" s="21">
        <f t="shared" si="16"/>
      </c>
      <c r="G191" s="21">
        <f t="shared" si="18"/>
      </c>
      <c r="H191" s="21">
        <f t="shared" si="20"/>
      </c>
      <c r="I191" s="21">
        <f t="shared" si="22"/>
      </c>
      <c r="J191" s="94">
        <f t="shared" si="24"/>
      </c>
      <c r="K191" s="94">
        <f t="shared" si="26"/>
      </c>
      <c r="L191" s="94">
        <f t="shared" si="28"/>
      </c>
      <c r="M191" s="96">
        <f t="shared" si="29"/>
      </c>
      <c r="X191" s="2">
        <f>IF(171&gt;$AA$5,0,MOD(SMALL($AA$6:$AA$2005,171),10000))</f>
        <v>0</v>
      </c>
      <c r="AA191" s="2">
        <f>IF(AND(ISNUMBER(资金流水!$B$191),ISNUMBER(资金流水!$S$191),资金流水!$S$191&gt;=_辅助!$J$4,资金流水!$S$191&lt;=_辅助!$J$2,OR(资金流水!$C$191=$C$18,AND(资金流水!$AD$191=$C$18,资金流水!$X$191="账户互转"),AND($E$18&lt;&gt;"",资金流水!$J$191=$E$18,资金流水!$X$191="应付职工薪酬"))),INT(资金流水!$B$191)*10000+186,"")</f>
      </c>
      <c r="AB191" s="2">
        <f>AB150+SUM(CB151:CB191)</f>
        <v>0</v>
      </c>
      <c r="CB191" s="2">
        <f>IF(COUNTIFS(资金流水!$J$6:$J$2005,往来单位!$B$194,资金流水!$X$6:$X$2005,"其他应收款",资金流水!$S$6:$S$2005,"&gt;="&amp;_辅助!$J$4,资金流水!$S$6:$S$2005,"&lt;="&amp;_辅助!$J$2)*(往来单位!$B$194&lt;&gt;"")&gt;0,1,0)</f>
        <v>0</v>
      </c>
    </row>
    <row r="192">
      <c r="A192" s="94">
        <f>IF($X192=0,"",172)</f>
      </c>
      <c r="B192" s="95">
        <f t="shared" si="1"/>
      </c>
      <c r="C192" s="96">
        <f t="shared" si="10"/>
      </c>
      <c r="D192" s="21">
        <f t="shared" si="12"/>
      </c>
      <c r="E192" s="21">
        <f t="shared" si="14"/>
      </c>
      <c r="F192" s="21">
        <f t="shared" si="16"/>
      </c>
      <c r="G192" s="21">
        <f t="shared" si="18"/>
      </c>
      <c r="H192" s="21">
        <f t="shared" si="20"/>
      </c>
      <c r="I192" s="21">
        <f t="shared" si="22"/>
      </c>
      <c r="J192" s="94">
        <f t="shared" si="24"/>
      </c>
      <c r="K192" s="94">
        <f t="shared" si="26"/>
      </c>
      <c r="L192" s="94">
        <f t="shared" si="28"/>
      </c>
      <c r="M192" s="96">
        <f t="shared" si="29"/>
      </c>
      <c r="X192" s="2">
        <f>IF(172&gt;$AA$5,0,MOD(SMALL($AA$6:$AA$2005,172),10000))</f>
        <v>0</v>
      </c>
      <c r="AA192" s="2">
        <f>IF(AND(ISNUMBER(资金流水!$B$192),ISNUMBER(资金流水!$S$192),资金流水!$S$192&gt;=_辅助!$J$4,资金流水!$S$192&lt;=_辅助!$J$2,OR(资金流水!$C$192=$C$18,AND(资金流水!$AD$192=$C$18,资金流水!$X$192="账户互转"),AND($E$18&lt;&gt;"",资金流水!$J$192=$E$18,资金流水!$X$192="应付职工薪酬"))),INT(资金流水!$B$192)*10000+187,"")</f>
      </c>
      <c r="AB192" s="2">
        <f>AB150+SUM(CB151:CB192)</f>
        <v>0</v>
      </c>
      <c r="CB192" s="2">
        <f>IF(COUNTIFS(资金流水!$J$6:$J$2005,往来单位!$B$195,资金流水!$X$6:$X$2005,"其他应收款",资金流水!$S$6:$S$2005,"&gt;="&amp;_辅助!$J$4,资金流水!$S$6:$S$2005,"&lt;="&amp;_辅助!$J$2)*(往来单位!$B$195&lt;&gt;"")&gt;0,1,0)</f>
        <v>0</v>
      </c>
    </row>
    <row r="193">
      <c r="A193" s="94">
        <f>IF($X193=0,"",173)</f>
      </c>
      <c r="B193" s="95">
        <f t="shared" si="1"/>
      </c>
      <c r="C193" s="96">
        <f t="shared" si="10"/>
      </c>
      <c r="D193" s="21">
        <f t="shared" si="12"/>
      </c>
      <c r="E193" s="21">
        <f t="shared" si="14"/>
      </c>
      <c r="F193" s="21">
        <f t="shared" si="16"/>
      </c>
      <c r="G193" s="21">
        <f t="shared" si="18"/>
      </c>
      <c r="H193" s="21">
        <f t="shared" si="20"/>
      </c>
      <c r="I193" s="21">
        <f t="shared" si="22"/>
      </c>
      <c r="J193" s="94">
        <f t="shared" si="24"/>
      </c>
      <c r="K193" s="94">
        <f t="shared" si="26"/>
      </c>
      <c r="L193" s="94">
        <f t="shared" si="28"/>
      </c>
      <c r="M193" s="96">
        <f t="shared" si="29"/>
      </c>
      <c r="X193" s="2">
        <f>IF(173&gt;$AA$5,0,MOD(SMALL($AA$6:$AA$2005,173),10000))</f>
        <v>0</v>
      </c>
      <c r="AA193" s="2">
        <f>IF(AND(ISNUMBER(资金流水!$B$193),ISNUMBER(资金流水!$S$193),资金流水!$S$193&gt;=_辅助!$J$4,资金流水!$S$193&lt;=_辅助!$J$2,OR(资金流水!$C$193=$C$18,AND(资金流水!$AD$193=$C$18,资金流水!$X$193="账户互转"),AND($E$18&lt;&gt;"",资金流水!$J$193=$E$18,资金流水!$X$193="应付职工薪酬"))),INT(资金流水!$B$193)*10000+188,"")</f>
        <v>462590188</v>
      </c>
      <c r="AB193" s="2">
        <f>AB150+SUM(CB151:CB193)</f>
        <v>0</v>
      </c>
      <c r="CB193" s="2">
        <f>IF(COUNTIFS(资金流水!$J$6:$J$2005,往来单位!$B$196,资金流水!$X$6:$X$2005,"其他应收款",资金流水!$S$6:$S$2005,"&gt;="&amp;_辅助!$J$4,资金流水!$S$6:$S$2005,"&lt;="&amp;_辅助!$J$2)*(往来单位!$B$196&lt;&gt;"")&gt;0,1,0)</f>
        <v>0</v>
      </c>
    </row>
    <row r="194">
      <c r="A194" s="94">
        <f>IF($X194=0,"",174)</f>
      </c>
      <c r="B194" s="95">
        <f t="shared" si="1"/>
      </c>
      <c r="C194" s="96">
        <f t="shared" si="10"/>
      </c>
      <c r="D194" s="21">
        <f t="shared" si="12"/>
      </c>
      <c r="E194" s="21">
        <f t="shared" si="14"/>
      </c>
      <c r="F194" s="21">
        <f t="shared" si="16"/>
      </c>
      <c r="G194" s="21">
        <f t="shared" si="18"/>
      </c>
      <c r="H194" s="21">
        <f t="shared" si="20"/>
      </c>
      <c r="I194" s="21">
        <f t="shared" si="22"/>
      </c>
      <c r="J194" s="94">
        <f t="shared" si="24"/>
      </c>
      <c r="K194" s="94">
        <f t="shared" si="26"/>
      </c>
      <c r="L194" s="94">
        <f t="shared" si="28"/>
      </c>
      <c r="M194" s="96">
        <f t="shared" si="29"/>
      </c>
      <c r="X194" s="2">
        <f>IF(174&gt;$AA$5,0,MOD(SMALL($AA$6:$AA$2005,174),10000))</f>
        <v>0</v>
      </c>
      <c r="AA194" s="2">
        <f>IF(AND(ISNUMBER(资金流水!$B$194),ISNUMBER(资金流水!$S$194),资金流水!$S$194&gt;=_辅助!$J$4,资金流水!$S$194&lt;=_辅助!$J$2,OR(资金流水!$C$194=$C$18,AND(资金流水!$AD$194=$C$18,资金流水!$X$194="账户互转"),AND($E$18&lt;&gt;"",资金流水!$J$194=$E$18,资金流水!$X$194="应付职工薪酬"))),INT(资金流水!$B$194)*10000+189,"")</f>
      </c>
      <c r="AB194" s="2">
        <f>AB150+SUM(CB151:CB194)</f>
        <v>0</v>
      </c>
      <c r="CB194" s="2">
        <f>IF(COUNTIFS(资金流水!$J$6:$J$2005,往来单位!$B$197,资金流水!$X$6:$X$2005,"其他应收款",资金流水!$S$6:$S$2005,"&gt;="&amp;_辅助!$J$4,资金流水!$S$6:$S$2005,"&lt;="&amp;_辅助!$J$2)*(往来单位!$B$197&lt;&gt;"")&gt;0,1,0)</f>
        <v>0</v>
      </c>
    </row>
    <row r="195">
      <c r="A195" s="94">
        <f>IF($X195=0,"",175)</f>
      </c>
      <c r="B195" s="95">
        <f t="shared" si="1"/>
      </c>
      <c r="C195" s="96">
        <f t="shared" si="10"/>
      </c>
      <c r="D195" s="21">
        <f t="shared" si="12"/>
      </c>
      <c r="E195" s="21">
        <f t="shared" si="14"/>
      </c>
      <c r="F195" s="21">
        <f t="shared" si="16"/>
      </c>
      <c r="G195" s="21">
        <f t="shared" si="18"/>
      </c>
      <c r="H195" s="21">
        <f t="shared" si="20"/>
      </c>
      <c r="I195" s="21">
        <f t="shared" si="22"/>
      </c>
      <c r="J195" s="94">
        <f t="shared" si="24"/>
      </c>
      <c r="K195" s="94">
        <f t="shared" si="26"/>
      </c>
      <c r="L195" s="94">
        <f t="shared" si="28"/>
      </c>
      <c r="M195" s="96">
        <f t="shared" si="29"/>
      </c>
      <c r="X195" s="2">
        <f>IF(175&gt;$AA$5,0,MOD(SMALL($AA$6:$AA$2005,175),10000))</f>
        <v>0</v>
      </c>
      <c r="AA195" s="2">
        <f>IF(AND(ISNUMBER(资金流水!$B$195),ISNUMBER(资金流水!$S$195),资金流水!$S$195&gt;=_辅助!$J$4,资金流水!$S$195&lt;=_辅助!$J$2,OR(资金流水!$C$195=$C$18,AND(资金流水!$AD$195=$C$18,资金流水!$X$195="账户互转"),AND($E$18&lt;&gt;"",资金流水!$J$195=$E$18,资金流水!$X$195="应付职工薪酬"))),INT(资金流水!$B$195)*10000+190,"")</f>
      </c>
      <c r="AB195" s="2">
        <f>AB150+SUM(CB151:CB195)</f>
        <v>0</v>
      </c>
      <c r="CB195" s="2">
        <f>IF(COUNTIFS(资金流水!$J$6:$J$2005,往来单位!$B$198,资金流水!$X$6:$X$2005,"其他应收款",资金流水!$S$6:$S$2005,"&gt;="&amp;_辅助!$J$4,资金流水!$S$6:$S$2005,"&lt;="&amp;_辅助!$J$2)*(往来单位!$B$198&lt;&gt;"")&gt;0,1,0)</f>
        <v>0</v>
      </c>
    </row>
    <row r="196">
      <c r="A196" s="94">
        <f>IF($X196=0,"",176)</f>
      </c>
      <c r="B196" s="95">
        <f t="shared" si="1"/>
      </c>
      <c r="C196" s="96">
        <f t="shared" si="10"/>
      </c>
      <c r="D196" s="21">
        <f t="shared" si="12"/>
      </c>
      <c r="E196" s="21">
        <f t="shared" si="14"/>
      </c>
      <c r="F196" s="21">
        <f t="shared" si="16"/>
      </c>
      <c r="G196" s="21">
        <f t="shared" si="18"/>
      </c>
      <c r="H196" s="21">
        <f t="shared" si="20"/>
      </c>
      <c r="I196" s="21">
        <f t="shared" si="22"/>
      </c>
      <c r="J196" s="94">
        <f t="shared" si="24"/>
      </c>
      <c r="K196" s="94">
        <f t="shared" si="26"/>
      </c>
      <c r="L196" s="94">
        <f t="shared" si="28"/>
      </c>
      <c r="M196" s="96">
        <f t="shared" si="29"/>
      </c>
      <c r="X196" s="2">
        <f>IF(176&gt;$AA$5,0,MOD(SMALL($AA$6:$AA$2005,176),10000))</f>
        <v>0</v>
      </c>
      <c r="AA196" s="2">
        <f>IF(AND(ISNUMBER(资金流水!$B$196),ISNUMBER(资金流水!$S$196),资金流水!$S$196&gt;=_辅助!$J$4,资金流水!$S$196&lt;=_辅助!$J$2,OR(资金流水!$C$196=$C$18,AND(资金流水!$AD$196=$C$18,资金流水!$X$196="账户互转"),AND($E$18&lt;&gt;"",资金流水!$J$196=$E$18,资金流水!$X$196="应付职工薪酬"))),INT(资金流水!$B$196)*10000+191,"")</f>
      </c>
      <c r="AB196" s="2">
        <f>AB150+SUM(CB151:CB196)</f>
        <v>0</v>
      </c>
      <c r="CB196" s="2">
        <f>IF(COUNTIFS(资金流水!$J$6:$J$2005,往来单位!$B$199,资金流水!$X$6:$X$2005,"其他应收款",资金流水!$S$6:$S$2005,"&gt;="&amp;_辅助!$J$4,资金流水!$S$6:$S$2005,"&lt;="&amp;_辅助!$J$2)*(往来单位!$B$199&lt;&gt;"")&gt;0,1,0)</f>
        <v>0</v>
      </c>
    </row>
    <row r="197">
      <c r="A197" s="94">
        <f>IF($X197=0,"",177)</f>
      </c>
      <c r="B197" s="95">
        <f t="shared" si="1"/>
      </c>
      <c r="C197" s="96">
        <f t="shared" si="10"/>
      </c>
      <c r="D197" s="21">
        <f t="shared" si="12"/>
      </c>
      <c r="E197" s="21">
        <f t="shared" si="14"/>
      </c>
      <c r="F197" s="21">
        <f t="shared" si="16"/>
      </c>
      <c r="G197" s="21">
        <f t="shared" si="18"/>
      </c>
      <c r="H197" s="21">
        <f t="shared" si="20"/>
      </c>
      <c r="I197" s="21">
        <f t="shared" si="22"/>
      </c>
      <c r="J197" s="94">
        <f t="shared" si="24"/>
      </c>
      <c r="K197" s="94">
        <f t="shared" si="26"/>
      </c>
      <c r="L197" s="94">
        <f t="shared" si="28"/>
      </c>
      <c r="M197" s="96">
        <f t="shared" si="29"/>
      </c>
      <c r="X197" s="2">
        <f>IF(177&gt;$AA$5,0,MOD(SMALL($AA$6:$AA$2005,177),10000))</f>
        <v>0</v>
      </c>
      <c r="AA197" s="2">
        <f>IF(AND(ISNUMBER(资金流水!$B$197),ISNUMBER(资金流水!$S$197),资金流水!$S$197&gt;=_辅助!$J$4,资金流水!$S$197&lt;=_辅助!$J$2,OR(资金流水!$C$197=$C$18,AND(资金流水!$AD$197=$C$18,资金流水!$X$197="账户互转"),AND($E$18&lt;&gt;"",资金流水!$J$197=$E$18,资金流水!$X$197="应付职工薪酬"))),INT(资金流水!$B$197)*10000+192,"")</f>
      </c>
      <c r="AB197" s="2">
        <f>AB150+SUM(CB151:CB197)</f>
        <v>0</v>
      </c>
      <c r="CB197" s="2">
        <f>IF(COUNTIFS(资金流水!$J$6:$J$2005,往来单位!$B$200,资金流水!$X$6:$X$2005,"其他应收款",资金流水!$S$6:$S$2005,"&gt;="&amp;_辅助!$J$4,资金流水!$S$6:$S$2005,"&lt;="&amp;_辅助!$J$2)*(往来单位!$B$200&lt;&gt;"")&gt;0,1,0)</f>
        <v>0</v>
      </c>
    </row>
    <row r="198">
      <c r="A198" s="94">
        <f>IF($X198=0,"",178)</f>
      </c>
      <c r="B198" s="95">
        <f t="shared" si="1"/>
      </c>
      <c r="C198" s="96">
        <f t="shared" si="10"/>
      </c>
      <c r="D198" s="21">
        <f t="shared" si="12"/>
      </c>
      <c r="E198" s="21">
        <f t="shared" si="14"/>
      </c>
      <c r="F198" s="21">
        <f t="shared" si="16"/>
      </c>
      <c r="G198" s="21">
        <f t="shared" si="18"/>
      </c>
      <c r="H198" s="21">
        <f t="shared" si="20"/>
      </c>
      <c r="I198" s="21">
        <f t="shared" si="22"/>
      </c>
      <c r="J198" s="94">
        <f t="shared" si="24"/>
      </c>
      <c r="K198" s="94">
        <f t="shared" si="26"/>
      </c>
      <c r="L198" s="94">
        <f t="shared" si="28"/>
      </c>
      <c r="M198" s="96">
        <f t="shared" si="29"/>
      </c>
      <c r="X198" s="2">
        <f>IF(178&gt;$AA$5,0,MOD(SMALL($AA$6:$AA$2005,178),10000))</f>
        <v>0</v>
      </c>
      <c r="AA198" s="2">
        <f>IF(AND(ISNUMBER(资金流水!$B$198),ISNUMBER(资金流水!$S$198),资金流水!$S$198&gt;=_辅助!$J$4,资金流水!$S$198&lt;=_辅助!$J$2,OR(资金流水!$C$198=$C$18,AND(资金流水!$AD$198=$C$18,资金流水!$X$198="账户互转"),AND($E$18&lt;&gt;"",资金流水!$J$198=$E$18,资金流水!$X$198="应付职工薪酬"))),INT(资金流水!$B$198)*10000+193,"")</f>
      </c>
      <c r="AB198" s="2">
        <f>AB150+SUM(CB151:CB198)</f>
        <v>0</v>
      </c>
      <c r="CB198" s="2">
        <f>IF(COUNTIFS(资金流水!$J$6:$J$2005,往来单位!$B$201,资金流水!$X$6:$X$2005,"其他应收款",资金流水!$S$6:$S$2005,"&gt;="&amp;_辅助!$J$4,资金流水!$S$6:$S$2005,"&lt;="&amp;_辅助!$J$2)*(往来单位!$B$201&lt;&gt;"")&gt;0,1,0)</f>
        <v>0</v>
      </c>
    </row>
    <row r="199">
      <c r="A199" s="94">
        <f>IF($X199=0,"",179)</f>
      </c>
      <c r="B199" s="95">
        <f t="shared" si="1"/>
      </c>
      <c r="C199" s="96">
        <f t="shared" si="10"/>
      </c>
      <c r="D199" s="21">
        <f t="shared" si="12"/>
      </c>
      <c r="E199" s="21">
        <f t="shared" si="14"/>
      </c>
      <c r="F199" s="21">
        <f t="shared" si="16"/>
      </c>
      <c r="G199" s="21">
        <f t="shared" si="18"/>
      </c>
      <c r="H199" s="21">
        <f t="shared" si="20"/>
      </c>
      <c r="I199" s="21">
        <f t="shared" si="22"/>
      </c>
      <c r="J199" s="94">
        <f t="shared" si="24"/>
      </c>
      <c r="K199" s="94">
        <f t="shared" si="26"/>
      </c>
      <c r="L199" s="94">
        <f t="shared" si="28"/>
      </c>
      <c r="M199" s="96">
        <f t="shared" si="29"/>
      </c>
      <c r="X199" s="2">
        <f>IF(179&gt;$AA$5,0,MOD(SMALL($AA$6:$AA$2005,179),10000))</f>
        <v>0</v>
      </c>
      <c r="AA199" s="2">
        <f>IF(AND(ISNUMBER(资金流水!$B$199),ISNUMBER(资金流水!$S$199),资金流水!$S$199&gt;=_辅助!$J$4,资金流水!$S$199&lt;=_辅助!$J$2,OR(资金流水!$C$199=$C$18,AND(资金流水!$AD$199=$C$18,资金流水!$X$199="账户互转"),AND($E$18&lt;&gt;"",资金流水!$J$199=$E$18,资金流水!$X$199="应付职工薪酬"))),INT(资金流水!$B$199)*10000+194,"")</f>
      </c>
      <c r="AB199" s="2">
        <f>AB150+SUM(CB151:CB199)</f>
        <v>0</v>
      </c>
      <c r="CB199" s="2">
        <f>IF(COUNTIFS(资金流水!$J$6:$J$2005,往来单位!$B$202,资金流水!$X$6:$X$2005,"其他应收款",资金流水!$S$6:$S$2005,"&gt;="&amp;_辅助!$J$4,资金流水!$S$6:$S$2005,"&lt;="&amp;_辅助!$J$2)*(往来单位!$B$202&lt;&gt;"")&gt;0,1,0)</f>
        <v>0</v>
      </c>
    </row>
    <row r="200">
      <c r="A200" s="94">
        <f>IF($X200=0,"",180)</f>
      </c>
      <c r="B200" s="95">
        <f t="shared" si="1"/>
      </c>
      <c r="C200" s="96">
        <f t="shared" si="10"/>
      </c>
      <c r="D200" s="21">
        <f t="shared" si="12"/>
      </c>
      <c r="E200" s="21">
        <f t="shared" si="14"/>
      </c>
      <c r="F200" s="21">
        <f t="shared" si="16"/>
      </c>
      <c r="G200" s="21">
        <f t="shared" si="18"/>
      </c>
      <c r="H200" s="21">
        <f t="shared" si="20"/>
      </c>
      <c r="I200" s="21">
        <f t="shared" si="22"/>
      </c>
      <c r="J200" s="94">
        <f t="shared" si="24"/>
      </c>
      <c r="K200" s="94">
        <f t="shared" si="26"/>
      </c>
      <c r="L200" s="94">
        <f t="shared" si="28"/>
      </c>
      <c r="M200" s="96">
        <f t="shared" si="29"/>
      </c>
      <c r="X200" s="2">
        <f>IF(180&gt;$AA$5,0,MOD(SMALL($AA$6:$AA$2005,180),10000))</f>
        <v>0</v>
      </c>
      <c r="AA200" s="2">
        <f>IF(AND(ISNUMBER(资金流水!$B$200),ISNUMBER(资金流水!$S$200),资金流水!$S$200&gt;=_辅助!$J$4,资金流水!$S$200&lt;=_辅助!$J$2,OR(资金流水!$C$200=$C$18,AND(资金流水!$AD$200=$C$18,资金流水!$X$200="账户互转"),AND($E$18&lt;&gt;"",资金流水!$J$200=$E$18,资金流水!$X$200="应付职工薪酬"))),INT(资金流水!$B$200)*10000+195,"")</f>
      </c>
      <c r="AB200" s="2">
        <f>AB150+SUM(CB151:CB200)</f>
        <v>0</v>
      </c>
      <c r="CB200" s="2">
        <f>IF(COUNTIFS(资金流水!$J$6:$J$2005,往来单位!$B$203,资金流水!$X$6:$X$2005,"其他应收款",资金流水!$S$6:$S$2005,"&gt;="&amp;_辅助!$J$4,资金流水!$S$6:$S$2005,"&lt;="&amp;_辅助!$J$2)*(往来单位!$B$203&lt;&gt;"")&gt;0,1,0)</f>
        <v>0</v>
      </c>
    </row>
    <row r="201">
      <c r="A201" s="94">
        <f>IF($X201=0,"",181)</f>
      </c>
      <c r="B201" s="95">
        <f t="shared" si="1"/>
      </c>
      <c r="C201" s="96">
        <f t="shared" si="10"/>
      </c>
      <c r="D201" s="21">
        <f t="shared" si="12"/>
      </c>
      <c r="E201" s="21">
        <f t="shared" si="14"/>
      </c>
      <c r="F201" s="21">
        <f t="shared" si="16"/>
      </c>
      <c r="G201" s="21">
        <f t="shared" si="18"/>
      </c>
      <c r="H201" s="21">
        <f t="shared" si="20"/>
      </c>
      <c r="I201" s="21">
        <f t="shared" si="22"/>
      </c>
      <c r="J201" s="94">
        <f t="shared" si="24"/>
      </c>
      <c r="K201" s="94">
        <f t="shared" si="26"/>
      </c>
      <c r="L201" s="94">
        <f t="shared" si="28"/>
      </c>
      <c r="M201" s="96">
        <f t="shared" si="29"/>
      </c>
      <c r="X201" s="2">
        <f>IF(181&gt;$AA$5,0,MOD(SMALL($AA$6:$AA$2005,181),10000))</f>
        <v>0</v>
      </c>
      <c r="AA201" s="2">
        <f>IF(AND(ISNUMBER(资金流水!$B$201),ISNUMBER(资金流水!$S$201),资金流水!$S$201&gt;=_辅助!$J$4,资金流水!$S$201&lt;=_辅助!$J$2,OR(资金流水!$C$201=$C$18,AND(资金流水!$AD$201=$C$18,资金流水!$X$201="账户互转"),AND($E$18&lt;&gt;"",资金流水!$J$201=$E$18,资金流水!$X$201="应付职工薪酬"))),INT(资金流水!$B$201)*10000+196,"")</f>
      </c>
      <c r="AB201" s="2">
        <f>AB200+SUM(CB201:CB201)</f>
        <v>0</v>
      </c>
      <c r="CB201" s="2">
        <f>IF(COUNTIFS(资金流水!$J$6:$J$2005,往来单位!$B$204,资金流水!$X$6:$X$2005,"其他应收款",资金流水!$S$6:$S$2005,"&gt;="&amp;_辅助!$J$4,资金流水!$S$6:$S$2005,"&lt;="&amp;_辅助!$J$2)*(往来单位!$B$204&lt;&gt;"")&gt;0,1,0)</f>
        <v>0</v>
      </c>
    </row>
    <row r="202">
      <c r="A202" s="94">
        <f>IF($X202=0,"",182)</f>
      </c>
      <c r="B202" s="95">
        <f t="shared" si="1"/>
      </c>
      <c r="C202" s="96">
        <f t="shared" si="10"/>
      </c>
      <c r="D202" s="21">
        <f t="shared" si="12"/>
      </c>
      <c r="E202" s="21">
        <f t="shared" si="14"/>
      </c>
      <c r="F202" s="21">
        <f t="shared" si="16"/>
      </c>
      <c r="G202" s="21">
        <f t="shared" si="18"/>
      </c>
      <c r="H202" s="21">
        <f t="shared" si="20"/>
      </c>
      <c r="I202" s="21">
        <f t="shared" si="22"/>
      </c>
      <c r="J202" s="94">
        <f t="shared" si="24"/>
      </c>
      <c r="K202" s="94">
        <f t="shared" si="26"/>
      </c>
      <c r="L202" s="94">
        <f t="shared" si="28"/>
      </c>
      <c r="M202" s="96">
        <f t="shared" si="29"/>
      </c>
      <c r="X202" s="2">
        <f>IF(182&gt;$AA$5,0,MOD(SMALL($AA$6:$AA$2005,182),10000))</f>
        <v>0</v>
      </c>
      <c r="AA202" s="2">
        <f>IF(AND(ISNUMBER(资金流水!$B$202),ISNUMBER(资金流水!$S$202),资金流水!$S$202&gt;=_辅助!$J$4,资金流水!$S$202&lt;=_辅助!$J$2,OR(资金流水!$C$202=$C$18,AND(资金流水!$AD$202=$C$18,资金流水!$X$202="账户互转"),AND($E$18&lt;&gt;"",资金流水!$J$202=$E$18,资金流水!$X$202="应付职工薪酬"))),INT(资金流水!$B$202)*10000+197,"")</f>
      </c>
      <c r="AB202" s="2">
        <f>AB200+SUM(CB201:CB202)</f>
        <v>0</v>
      </c>
      <c r="CB202" s="2">
        <f>IF(COUNTIFS(资金流水!$J$6:$J$2005,往来单位!$B$205,资金流水!$X$6:$X$2005,"其他应收款",资金流水!$S$6:$S$2005,"&gt;="&amp;_辅助!$J$4,资金流水!$S$6:$S$2005,"&lt;="&amp;_辅助!$J$2)*(往来单位!$B$205&lt;&gt;"")&gt;0,1,0)</f>
        <v>0</v>
      </c>
    </row>
    <row r="203">
      <c r="A203" s="94">
        <f>IF($X203=0,"",183)</f>
      </c>
      <c r="B203" s="95">
        <f t="shared" si="1"/>
      </c>
      <c r="C203" s="96">
        <f t="shared" si="10"/>
      </c>
      <c r="D203" s="21">
        <f t="shared" si="12"/>
      </c>
      <c r="E203" s="21">
        <f t="shared" si="14"/>
      </c>
      <c r="F203" s="21">
        <f t="shared" si="16"/>
      </c>
      <c r="G203" s="21">
        <f t="shared" si="18"/>
      </c>
      <c r="H203" s="21">
        <f t="shared" si="20"/>
      </c>
      <c r="I203" s="21">
        <f t="shared" si="22"/>
      </c>
      <c r="J203" s="94">
        <f t="shared" si="24"/>
      </c>
      <c r="K203" s="94">
        <f t="shared" si="26"/>
      </c>
      <c r="L203" s="94">
        <f t="shared" si="28"/>
      </c>
      <c r="M203" s="96">
        <f t="shared" si="29"/>
      </c>
      <c r="X203" s="2">
        <f>IF(183&gt;$AA$5,0,MOD(SMALL($AA$6:$AA$2005,183),10000))</f>
        <v>0</v>
      </c>
      <c r="AA203" s="2">
        <f>IF(AND(ISNUMBER(资金流水!$B$203),ISNUMBER(资金流水!$S$203),资金流水!$S$203&gt;=_辅助!$J$4,资金流水!$S$203&lt;=_辅助!$J$2,OR(资金流水!$C$203=$C$18,AND(资金流水!$AD$203=$C$18,资金流水!$X$203="账户互转"),AND($E$18&lt;&gt;"",资金流水!$J$203=$E$18,资金流水!$X$203="应付职工薪酬"))),INT(资金流水!$B$203)*10000+198,"")</f>
      </c>
      <c r="AB203" s="2">
        <f>AB200+SUM(CB201:CB203)</f>
        <v>0</v>
      </c>
      <c r="CB203" s="2">
        <f>IF(COUNTIFS(资金流水!$J$6:$J$2005,往来单位!$B$206,资金流水!$X$6:$X$2005,"其他应收款",资金流水!$S$6:$S$2005,"&gt;="&amp;_辅助!$J$4,资金流水!$S$6:$S$2005,"&lt;="&amp;_辅助!$J$2)*(往来单位!$B$206&lt;&gt;"")&gt;0,1,0)</f>
        <v>0</v>
      </c>
    </row>
    <row r="204">
      <c r="A204" s="94">
        <f>IF($X204=0,"",184)</f>
      </c>
      <c r="B204" s="95">
        <f t="shared" si="1"/>
      </c>
      <c r="C204" s="96">
        <f t="shared" si="10"/>
      </c>
      <c r="D204" s="21">
        <f t="shared" si="12"/>
      </c>
      <c r="E204" s="21">
        <f t="shared" si="14"/>
      </c>
      <c r="F204" s="21">
        <f t="shared" si="16"/>
      </c>
      <c r="G204" s="21">
        <f t="shared" si="18"/>
      </c>
      <c r="H204" s="21">
        <f t="shared" si="20"/>
      </c>
      <c r="I204" s="21">
        <f t="shared" si="22"/>
      </c>
      <c r="J204" s="94">
        <f t="shared" si="24"/>
      </c>
      <c r="K204" s="94">
        <f t="shared" si="26"/>
      </c>
      <c r="L204" s="94">
        <f t="shared" si="28"/>
      </c>
      <c r="M204" s="96">
        <f t="shared" si="29"/>
      </c>
      <c r="X204" s="2">
        <f>IF(184&gt;$AA$5,0,MOD(SMALL($AA$6:$AA$2005,184),10000))</f>
        <v>0</v>
      </c>
      <c r="AA204" s="2">
        <f>IF(AND(ISNUMBER(资金流水!$B$204),ISNUMBER(资金流水!$S$204),资金流水!$S$204&gt;=_辅助!$J$4,资金流水!$S$204&lt;=_辅助!$J$2,OR(资金流水!$C$204=$C$18,AND(资金流水!$AD$204=$C$18,资金流水!$X$204="账户互转"),AND($E$18&lt;&gt;"",资金流水!$J$204=$E$18,资金流水!$X$204="应付职工薪酬"))),INT(资金流水!$B$204)*10000+199,"")</f>
      </c>
      <c r="AB204" s="2">
        <f>AB200+SUM(CB201:CB204)</f>
        <v>0</v>
      </c>
      <c r="CB204" s="2">
        <f>IF(COUNTIFS(资金流水!$J$6:$J$2005,往来单位!$B$207,资金流水!$X$6:$X$2005,"其他应收款",资金流水!$S$6:$S$2005,"&gt;="&amp;_辅助!$J$4,资金流水!$S$6:$S$2005,"&lt;="&amp;_辅助!$J$2)*(往来单位!$B$207&lt;&gt;"")&gt;0,1,0)</f>
        <v>0</v>
      </c>
    </row>
    <row r="205">
      <c r="A205" s="94">
        <f>IF($X205=0,"",185)</f>
      </c>
      <c r="B205" s="95">
        <f t="shared" si="1"/>
      </c>
      <c r="C205" s="96">
        <f t="shared" si="10"/>
      </c>
      <c r="D205" s="21">
        <f t="shared" si="12"/>
      </c>
      <c r="E205" s="21">
        <f t="shared" si="14"/>
      </c>
      <c r="F205" s="21">
        <f t="shared" si="16"/>
      </c>
      <c r="G205" s="21">
        <f t="shared" si="18"/>
      </c>
      <c r="H205" s="21">
        <f t="shared" si="20"/>
      </c>
      <c r="I205" s="21">
        <f t="shared" si="22"/>
      </c>
      <c r="J205" s="94">
        <f t="shared" si="24"/>
      </c>
      <c r="K205" s="94">
        <f t="shared" si="26"/>
      </c>
      <c r="L205" s="94">
        <f t="shared" si="28"/>
      </c>
      <c r="M205" s="96">
        <f t="shared" si="29"/>
      </c>
      <c r="X205" s="2">
        <f>IF(185&gt;$AA$5,0,MOD(SMALL($AA$6:$AA$2005,185),10000))</f>
        <v>0</v>
      </c>
      <c r="AA205" s="2">
        <f>IF(AND(ISNUMBER(资金流水!$B$205),ISNUMBER(资金流水!$S$205),资金流水!$S$205&gt;=_辅助!$J$4,资金流水!$S$205&lt;=_辅助!$J$2,OR(资金流水!$C$205=$C$18,AND(资金流水!$AD$205=$C$18,资金流水!$X$205="账户互转"),AND($E$18&lt;&gt;"",资金流水!$J$205=$E$18,资金流水!$X$205="应付职工薪酬"))),INT(资金流水!$B$205)*10000+200,"")</f>
      </c>
      <c r="AB205" s="2">
        <f>AB200+SUM(CB201:CB205)</f>
        <v>0</v>
      </c>
      <c r="CB205" s="2">
        <f>IF(COUNTIFS(资金流水!$J$6:$J$2005,往来单位!$B$208,资金流水!$X$6:$X$2005,"其他应收款",资金流水!$S$6:$S$2005,"&gt;="&amp;_辅助!$J$4,资金流水!$S$6:$S$2005,"&lt;="&amp;_辅助!$J$2)*(往来单位!$B$208&lt;&gt;"")&gt;0,1,0)</f>
        <v>0</v>
      </c>
    </row>
    <row r="206">
      <c r="A206" s="94">
        <f>IF($X206=0,"",186)</f>
      </c>
      <c r="B206" s="95">
        <f t="shared" si="1"/>
      </c>
      <c r="C206" s="96">
        <f t="shared" si="10"/>
      </c>
      <c r="D206" s="21">
        <f t="shared" si="12"/>
      </c>
      <c r="E206" s="21">
        <f t="shared" si="14"/>
      </c>
      <c r="F206" s="21">
        <f t="shared" si="16"/>
      </c>
      <c r="G206" s="21">
        <f t="shared" si="18"/>
      </c>
      <c r="H206" s="21">
        <f t="shared" si="20"/>
      </c>
      <c r="I206" s="21">
        <f t="shared" si="22"/>
      </c>
      <c r="J206" s="94">
        <f t="shared" si="24"/>
      </c>
      <c r="K206" s="94">
        <f t="shared" si="26"/>
      </c>
      <c r="L206" s="94">
        <f t="shared" si="28"/>
      </c>
      <c r="M206" s="96">
        <f t="shared" si="29"/>
      </c>
      <c r="X206" s="2">
        <f>IF(186&gt;$AA$5,0,MOD(SMALL($AA$6:$AA$2005,186),10000))</f>
        <v>0</v>
      </c>
      <c r="AA206" s="2">
        <f>IF(AND(ISNUMBER(资金流水!$B$206),ISNUMBER(资金流水!$S$206),资金流水!$S$206&gt;=_辅助!$J$4,资金流水!$S$206&lt;=_辅助!$J$2,OR(资金流水!$C$206=$C$18,AND(资金流水!$AD$206=$C$18,资金流水!$X$206="账户互转"),AND($E$18&lt;&gt;"",资金流水!$J$206=$E$18,资金流水!$X$206="应付职工薪酬"))),INT(资金流水!$B$206)*10000+201,"")</f>
      </c>
      <c r="AB206" s="2">
        <f>AB200+SUM(CB201:CB206)</f>
        <v>0</v>
      </c>
      <c r="CB206" s="2">
        <f>IF(COUNTIFS(资金流水!$J$6:$J$2005,往来单位!$B$209,资金流水!$X$6:$X$2005,"其他应收款",资金流水!$S$6:$S$2005,"&gt;="&amp;_辅助!$J$4,资金流水!$S$6:$S$2005,"&lt;="&amp;_辅助!$J$2)*(往来单位!$B$209&lt;&gt;"")&gt;0,1,0)</f>
        <v>0</v>
      </c>
    </row>
    <row r="207">
      <c r="A207" s="94">
        <f>IF($X207=0,"",187)</f>
      </c>
      <c r="B207" s="95">
        <f t="shared" si="1"/>
      </c>
      <c r="C207" s="96">
        <f t="shared" si="10"/>
      </c>
      <c r="D207" s="21">
        <f t="shared" si="12"/>
      </c>
      <c r="E207" s="21">
        <f t="shared" si="14"/>
      </c>
      <c r="F207" s="21">
        <f t="shared" si="16"/>
      </c>
      <c r="G207" s="21">
        <f t="shared" si="18"/>
      </c>
      <c r="H207" s="21">
        <f t="shared" si="20"/>
      </c>
      <c r="I207" s="21">
        <f t="shared" si="22"/>
      </c>
      <c r="J207" s="94">
        <f t="shared" si="24"/>
      </c>
      <c r="K207" s="94">
        <f t="shared" si="26"/>
      </c>
      <c r="L207" s="94">
        <f t="shared" si="28"/>
      </c>
      <c r="M207" s="96">
        <f t="shared" si="29"/>
      </c>
      <c r="X207" s="2">
        <f>IF(187&gt;$AA$5,0,MOD(SMALL($AA$6:$AA$2005,187),10000))</f>
        <v>0</v>
      </c>
      <c r="AA207" s="2">
        <f>IF(AND(ISNUMBER(资金流水!$B$207),ISNUMBER(资金流水!$S$207),资金流水!$S$207&gt;=_辅助!$J$4,资金流水!$S$207&lt;=_辅助!$J$2,OR(资金流水!$C$207=$C$18,AND(资金流水!$AD$207=$C$18,资金流水!$X$207="账户互转"),AND($E$18&lt;&gt;"",资金流水!$J$207=$E$18,资金流水!$X$207="应付职工薪酬"))),INT(资金流水!$B$207)*10000+202,"")</f>
      </c>
      <c r="AB207" s="2">
        <f>AB200+SUM(CB201:CB207)</f>
        <v>0</v>
      </c>
      <c r="CB207" s="2">
        <f>IF(COUNTIFS(资金流水!$J$6:$J$2005,往来单位!$B$210,资金流水!$X$6:$X$2005,"其他应收款",资金流水!$S$6:$S$2005,"&gt;="&amp;_辅助!$J$4,资金流水!$S$6:$S$2005,"&lt;="&amp;_辅助!$J$2)*(往来单位!$B$210&lt;&gt;"")&gt;0,1,0)</f>
        <v>0</v>
      </c>
    </row>
    <row r="208">
      <c r="A208" s="94">
        <f>IF($X208=0,"",188)</f>
      </c>
      <c r="B208" s="95">
        <f t="shared" si="1"/>
      </c>
      <c r="C208" s="96">
        <f t="shared" si="10"/>
      </c>
      <c r="D208" s="21">
        <f t="shared" si="12"/>
      </c>
      <c r="E208" s="21">
        <f t="shared" si="14"/>
      </c>
      <c r="F208" s="21">
        <f t="shared" si="16"/>
      </c>
      <c r="G208" s="21">
        <f t="shared" si="18"/>
      </c>
      <c r="H208" s="21">
        <f t="shared" si="20"/>
      </c>
      <c r="I208" s="21">
        <f t="shared" si="22"/>
      </c>
      <c r="J208" s="94">
        <f t="shared" si="24"/>
      </c>
      <c r="K208" s="94">
        <f t="shared" si="26"/>
      </c>
      <c r="L208" s="94">
        <f t="shared" si="28"/>
      </c>
      <c r="M208" s="96">
        <f t="shared" si="29"/>
      </c>
      <c r="X208" s="2">
        <f>IF(188&gt;$AA$5,0,MOD(SMALL($AA$6:$AA$2005,188),10000))</f>
        <v>0</v>
      </c>
      <c r="AA208" s="2">
        <f>IF(AND(ISNUMBER(资金流水!$B$208),ISNUMBER(资金流水!$S$208),资金流水!$S$208&gt;=_辅助!$J$4,资金流水!$S$208&lt;=_辅助!$J$2,OR(资金流水!$C$208=$C$18,AND(资金流水!$AD$208=$C$18,资金流水!$X$208="账户互转"),AND($E$18&lt;&gt;"",资金流水!$J$208=$E$18,资金流水!$X$208="应付职工薪酬"))),INT(资金流水!$B$208)*10000+203,"")</f>
      </c>
      <c r="AB208" s="2">
        <f>AB200+SUM(CB201:CB208)</f>
        <v>0</v>
      </c>
      <c r="CB208" s="2">
        <f>IF(COUNTIFS(资金流水!$J$6:$J$2005,往来单位!$B$211,资金流水!$X$6:$X$2005,"其他应收款",资金流水!$S$6:$S$2005,"&gt;="&amp;_辅助!$J$4,资金流水!$S$6:$S$2005,"&lt;="&amp;_辅助!$J$2)*(往来单位!$B$211&lt;&gt;"")&gt;0,1,0)</f>
        <v>0</v>
      </c>
    </row>
    <row r="209">
      <c r="A209" s="94">
        <f>IF($X209=0,"",189)</f>
      </c>
      <c r="B209" s="95">
        <f t="shared" si="1"/>
      </c>
      <c r="C209" s="96">
        <f t="shared" si="10"/>
      </c>
      <c r="D209" s="21">
        <f t="shared" si="12"/>
      </c>
      <c r="E209" s="21">
        <f t="shared" si="14"/>
      </c>
      <c r="F209" s="21">
        <f t="shared" si="16"/>
      </c>
      <c r="G209" s="21">
        <f t="shared" si="18"/>
      </c>
      <c r="H209" s="21">
        <f t="shared" si="20"/>
      </c>
      <c r="I209" s="21">
        <f t="shared" si="22"/>
      </c>
      <c r="J209" s="94">
        <f t="shared" si="24"/>
      </c>
      <c r="K209" s="94">
        <f t="shared" si="26"/>
      </c>
      <c r="L209" s="94">
        <f t="shared" si="28"/>
      </c>
      <c r="M209" s="96">
        <f t="shared" si="29"/>
      </c>
      <c r="X209" s="2">
        <f>IF(189&gt;$AA$5,0,MOD(SMALL($AA$6:$AA$2005,189),10000))</f>
        <v>0</v>
      </c>
      <c r="AA209" s="2">
        <f>IF(AND(ISNUMBER(资金流水!$B$209),ISNUMBER(资金流水!$S$209),资金流水!$S$209&gt;=_辅助!$J$4,资金流水!$S$209&lt;=_辅助!$J$2,OR(资金流水!$C$209=$C$18,AND(资金流水!$AD$209=$C$18,资金流水!$X$209="账户互转"),AND($E$18&lt;&gt;"",资金流水!$J$209=$E$18,资金流水!$X$209="应付职工薪酬"))),INT(资金流水!$B$209)*10000+204,"")</f>
      </c>
      <c r="AB209" s="2">
        <f>AB200+SUM(CB201:CB209)</f>
        <v>0</v>
      </c>
      <c r="CB209" s="2">
        <f>IF(COUNTIFS(资金流水!$J$6:$J$2005,往来单位!$B$212,资金流水!$X$6:$X$2005,"其他应收款",资金流水!$S$6:$S$2005,"&gt;="&amp;_辅助!$J$4,资金流水!$S$6:$S$2005,"&lt;="&amp;_辅助!$J$2)*(往来单位!$B$212&lt;&gt;"")&gt;0,1,0)</f>
        <v>0</v>
      </c>
    </row>
    <row r="210">
      <c r="A210" s="94">
        <f>IF($X210=0,"",190)</f>
      </c>
      <c r="B210" s="95">
        <f t="shared" si="1"/>
      </c>
      <c r="C210" s="96">
        <f t="shared" si="10"/>
      </c>
      <c r="D210" s="21">
        <f t="shared" si="12"/>
      </c>
      <c r="E210" s="21">
        <f t="shared" si="14"/>
      </c>
      <c r="F210" s="21">
        <f t="shared" si="16"/>
      </c>
      <c r="G210" s="21">
        <f t="shared" si="18"/>
      </c>
      <c r="H210" s="21">
        <f t="shared" si="20"/>
      </c>
      <c r="I210" s="21">
        <f t="shared" si="22"/>
      </c>
      <c r="J210" s="94">
        <f t="shared" si="24"/>
      </c>
      <c r="K210" s="94">
        <f t="shared" si="26"/>
      </c>
      <c r="L210" s="94">
        <f t="shared" si="28"/>
      </c>
      <c r="M210" s="96">
        <f t="shared" si="29"/>
      </c>
      <c r="X210" s="2">
        <f>IF(190&gt;$AA$5,0,MOD(SMALL($AA$6:$AA$2005,190),10000))</f>
        <v>0</v>
      </c>
      <c r="AA210" s="2">
        <f>IF(AND(ISNUMBER(资金流水!$B$210),ISNUMBER(资金流水!$S$210),资金流水!$S$210&gt;=_辅助!$J$4,资金流水!$S$210&lt;=_辅助!$J$2,OR(资金流水!$C$210=$C$18,AND(资金流水!$AD$210=$C$18,资金流水!$X$210="账户互转"),AND($E$18&lt;&gt;"",资金流水!$J$210=$E$18,资金流水!$X$210="应付职工薪酬"))),INT(资金流水!$B$210)*10000+205,"")</f>
      </c>
      <c r="AB210" s="2">
        <f>AB200+SUM(CB201:CB210)</f>
        <v>0</v>
      </c>
      <c r="CB210" s="2">
        <f>IF(COUNTIFS(资金流水!$J$6:$J$2005,往来单位!$B$213,资金流水!$X$6:$X$2005,"其他应收款",资金流水!$S$6:$S$2005,"&gt;="&amp;_辅助!$J$4,资金流水!$S$6:$S$2005,"&lt;="&amp;_辅助!$J$2)*(往来单位!$B$213&lt;&gt;"")&gt;0,1,0)</f>
        <v>0</v>
      </c>
    </row>
    <row r="211">
      <c r="A211" s="94">
        <f>IF($X211=0,"",191)</f>
      </c>
      <c r="B211" s="95">
        <f t="shared" si="1"/>
      </c>
      <c r="C211" s="96">
        <f t="shared" si="10"/>
      </c>
      <c r="D211" s="21">
        <f t="shared" si="12"/>
      </c>
      <c r="E211" s="21">
        <f t="shared" si="14"/>
      </c>
      <c r="F211" s="21">
        <f t="shared" si="16"/>
      </c>
      <c r="G211" s="21">
        <f t="shared" si="18"/>
      </c>
      <c r="H211" s="21">
        <f t="shared" si="20"/>
      </c>
      <c r="I211" s="21">
        <f t="shared" si="22"/>
      </c>
      <c r="J211" s="94">
        <f t="shared" si="24"/>
      </c>
      <c r="K211" s="94">
        <f t="shared" si="26"/>
      </c>
      <c r="L211" s="94">
        <f t="shared" si="28"/>
      </c>
      <c r="M211" s="96">
        <f t="shared" si="29"/>
      </c>
      <c r="X211" s="2">
        <f>IF(191&gt;$AA$5,0,MOD(SMALL($AA$6:$AA$2005,191),10000))</f>
        <v>0</v>
      </c>
      <c r="AA211" s="2">
        <f>IF(AND(ISNUMBER(资金流水!$B$211),ISNUMBER(资金流水!$S$211),资金流水!$S$211&gt;=_辅助!$J$4,资金流水!$S$211&lt;=_辅助!$J$2,OR(资金流水!$C$211=$C$18,AND(资金流水!$AD$211=$C$18,资金流水!$X$211="账户互转"),AND($E$18&lt;&gt;"",资金流水!$J$211=$E$18,资金流水!$X$211="应付职工薪酬"))),INT(资金流水!$B$211)*10000+206,"")</f>
      </c>
      <c r="AB211" s="2">
        <f>AB200+SUM(CB201:CB211)</f>
        <v>0</v>
      </c>
      <c r="CB211" s="2">
        <f>IF(COUNTIFS(资金流水!$J$6:$J$2005,往来单位!$B$214,资金流水!$X$6:$X$2005,"其他应收款",资金流水!$S$6:$S$2005,"&gt;="&amp;_辅助!$J$4,资金流水!$S$6:$S$2005,"&lt;="&amp;_辅助!$J$2)*(往来单位!$B$214&lt;&gt;"")&gt;0,1,0)</f>
        <v>0</v>
      </c>
    </row>
    <row r="212">
      <c r="A212" s="94">
        <f>IF($X212=0,"",192)</f>
      </c>
      <c r="B212" s="95">
        <f t="shared" si="1"/>
      </c>
      <c r="C212" s="96">
        <f t="shared" si="10"/>
      </c>
      <c r="D212" s="21">
        <f t="shared" si="12"/>
      </c>
      <c r="E212" s="21">
        <f t="shared" si="14"/>
      </c>
      <c r="F212" s="21">
        <f t="shared" si="16"/>
      </c>
      <c r="G212" s="21">
        <f t="shared" si="18"/>
      </c>
      <c r="H212" s="21">
        <f t="shared" si="20"/>
      </c>
      <c r="I212" s="21">
        <f t="shared" si="22"/>
      </c>
      <c r="J212" s="94">
        <f t="shared" si="24"/>
      </c>
      <c r="K212" s="94">
        <f t="shared" si="26"/>
      </c>
      <c r="L212" s="94">
        <f t="shared" si="28"/>
      </c>
      <c r="M212" s="96">
        <f t="shared" si="29"/>
      </c>
      <c r="X212" s="2">
        <f>IF(192&gt;$AA$5,0,MOD(SMALL($AA$6:$AA$2005,192),10000))</f>
        <v>0</v>
      </c>
      <c r="AA212" s="2">
        <f>IF(AND(ISNUMBER(资金流水!$B$212),ISNUMBER(资金流水!$S$212),资金流水!$S$212&gt;=_辅助!$J$4,资金流水!$S$212&lt;=_辅助!$J$2,OR(资金流水!$C$212=$C$18,AND(资金流水!$AD$212=$C$18,资金流水!$X$212="账户互转"),AND($E$18&lt;&gt;"",资金流水!$J$212=$E$18,资金流水!$X$212="应付职工薪酬"))),INT(资金流水!$B$212)*10000+207,"")</f>
      </c>
      <c r="AB212" s="2">
        <f>AB200+SUM(CB201:CB212)</f>
        <v>0</v>
      </c>
      <c r="CB212" s="2">
        <f>IF(COUNTIFS(资金流水!$J$6:$J$2005,往来单位!$B$215,资金流水!$X$6:$X$2005,"其他应收款",资金流水!$S$6:$S$2005,"&gt;="&amp;_辅助!$J$4,资金流水!$S$6:$S$2005,"&lt;="&amp;_辅助!$J$2)*(往来单位!$B$215&lt;&gt;"")&gt;0,1,0)</f>
        <v>0</v>
      </c>
    </row>
    <row r="213">
      <c r="A213" s="94">
        <f>IF($X213=0,"",193)</f>
      </c>
      <c r="B213" s="95">
        <f t="shared" si="1"/>
      </c>
      <c r="C213" s="96">
        <f t="shared" si="10"/>
      </c>
      <c r="D213" s="21">
        <f t="shared" si="12"/>
      </c>
      <c r="E213" s="21">
        <f t="shared" si="14"/>
      </c>
      <c r="F213" s="21">
        <f t="shared" si="16"/>
      </c>
      <c r="G213" s="21">
        <f t="shared" si="18"/>
      </c>
      <c r="H213" s="21">
        <f t="shared" si="20"/>
      </c>
      <c r="I213" s="21">
        <f t="shared" si="22"/>
      </c>
      <c r="J213" s="94">
        <f t="shared" si="24"/>
      </c>
      <c r="K213" s="94">
        <f t="shared" si="26"/>
      </c>
      <c r="L213" s="94">
        <f t="shared" si="28"/>
      </c>
      <c r="M213" s="96">
        <f t="shared" si="29"/>
      </c>
      <c r="X213" s="2">
        <f>IF(193&gt;$AA$5,0,MOD(SMALL($AA$6:$AA$2005,193),10000))</f>
        <v>0</v>
      </c>
      <c r="AA213" s="2">
        <f>IF(AND(ISNUMBER(资金流水!$B$213),ISNUMBER(资金流水!$S$213),资金流水!$S$213&gt;=_辅助!$J$4,资金流水!$S$213&lt;=_辅助!$J$2,OR(资金流水!$C$213=$C$18,AND(资金流水!$AD$213=$C$18,资金流水!$X$213="账户互转"),AND($E$18&lt;&gt;"",资金流水!$J$213=$E$18,资金流水!$X$213="应付职工薪酬"))),INT(资金流水!$B$213)*10000+208,"")</f>
      </c>
      <c r="AB213" s="2">
        <f>AB200+SUM(CB201:CB213)</f>
        <v>0</v>
      </c>
      <c r="CB213" s="2">
        <f>IF(COUNTIFS(资金流水!$J$6:$J$2005,往来单位!$B$216,资金流水!$X$6:$X$2005,"其他应收款",资金流水!$S$6:$S$2005,"&gt;="&amp;_辅助!$J$4,资金流水!$S$6:$S$2005,"&lt;="&amp;_辅助!$J$2)*(往来单位!$B$216&lt;&gt;"")&gt;0,1,0)</f>
        <v>0</v>
      </c>
    </row>
    <row r="214">
      <c r="A214" s="94">
        <f>IF($X214=0,"",194)</f>
      </c>
      <c r="B214" s="95">
        <f t="shared" si="1"/>
      </c>
      <c r="C214" s="96">
        <f t="shared" si="10"/>
      </c>
      <c r="D214" s="21">
        <f t="shared" si="12"/>
      </c>
      <c r="E214" s="21">
        <f t="shared" si="14"/>
      </c>
      <c r="F214" s="21">
        <f t="shared" si="16"/>
      </c>
      <c r="G214" s="21">
        <f t="shared" si="18"/>
      </c>
      <c r="H214" s="21">
        <f t="shared" si="20"/>
      </c>
      <c r="I214" s="21">
        <f t="shared" si="22"/>
      </c>
      <c r="J214" s="94">
        <f t="shared" si="24"/>
      </c>
      <c r="K214" s="94">
        <f t="shared" si="26"/>
      </c>
      <c r="L214" s="94">
        <f t="shared" si="28"/>
      </c>
      <c r="M214" s="96">
        <f t="shared" si="29"/>
      </c>
      <c r="X214" s="2">
        <f>IF(194&gt;$AA$5,0,MOD(SMALL($AA$6:$AA$2005,194),10000))</f>
        <v>0</v>
      </c>
      <c r="AA214" s="2">
        <f>IF(AND(ISNUMBER(资金流水!$B$214),ISNUMBER(资金流水!$S$214),资金流水!$S$214&gt;=_辅助!$J$4,资金流水!$S$214&lt;=_辅助!$J$2,OR(资金流水!$C$214=$C$18,AND(资金流水!$AD$214=$C$18,资金流水!$X$214="账户互转"),AND($E$18&lt;&gt;"",资金流水!$J$214=$E$18,资金流水!$X$214="应付职工薪酬"))),INT(资金流水!$B$214)*10000+209,"")</f>
      </c>
      <c r="AB214" s="2">
        <f>AB200+SUM(CB201:CB214)</f>
        <v>0</v>
      </c>
      <c r="CB214" s="2">
        <f>IF(COUNTIFS(资金流水!$J$6:$J$2005,往来单位!$B$217,资金流水!$X$6:$X$2005,"其他应收款",资金流水!$S$6:$S$2005,"&gt;="&amp;_辅助!$J$4,资金流水!$S$6:$S$2005,"&lt;="&amp;_辅助!$J$2)*(往来单位!$B$217&lt;&gt;"")&gt;0,1,0)</f>
        <v>0</v>
      </c>
    </row>
    <row r="215">
      <c r="A215" s="94">
        <f>IF($X215=0,"",195)</f>
      </c>
      <c r="B215" s="95">
        <f t="shared" si="1"/>
      </c>
      <c r="C215" s="96">
        <f t="shared" si="10"/>
      </c>
      <c r="D215" s="21">
        <f t="shared" si="12"/>
      </c>
      <c r="E215" s="21">
        <f t="shared" si="14"/>
      </c>
      <c r="F215" s="21">
        <f t="shared" si="16"/>
      </c>
      <c r="G215" s="21">
        <f t="shared" si="18"/>
      </c>
      <c r="H215" s="21">
        <f t="shared" si="20"/>
      </c>
      <c r="I215" s="21">
        <f t="shared" si="22"/>
      </c>
      <c r="J215" s="94">
        <f t="shared" si="24"/>
      </c>
      <c r="K215" s="94">
        <f t="shared" si="26"/>
      </c>
      <c r="L215" s="94">
        <f t="shared" si="28"/>
      </c>
      <c r="M215" s="96">
        <f t="shared" si="29"/>
      </c>
      <c r="X215" s="2">
        <f>IF(195&gt;$AA$5,0,MOD(SMALL($AA$6:$AA$2005,195),10000))</f>
        <v>0</v>
      </c>
      <c r="AA215" s="2">
        <f>IF(AND(ISNUMBER(资金流水!$B$215),ISNUMBER(资金流水!$S$215),资金流水!$S$215&gt;=_辅助!$J$4,资金流水!$S$215&lt;=_辅助!$J$2,OR(资金流水!$C$215=$C$18,AND(资金流水!$AD$215=$C$18,资金流水!$X$215="账户互转"),AND($E$18&lt;&gt;"",资金流水!$J$215=$E$18,资金流水!$X$215="应付职工薪酬"))),INT(资金流水!$B$215)*10000+210,"")</f>
        <v>462620210</v>
      </c>
      <c r="AB215" s="2">
        <f>AB200+SUM(CB201:CB215)</f>
        <v>0</v>
      </c>
      <c r="CB215" s="2">
        <f>IF(COUNTIFS(资金流水!$J$6:$J$2005,往来单位!$B$218,资金流水!$X$6:$X$2005,"其他应收款",资金流水!$S$6:$S$2005,"&gt;="&amp;_辅助!$J$4,资金流水!$S$6:$S$2005,"&lt;="&amp;_辅助!$J$2)*(往来单位!$B$218&lt;&gt;"")&gt;0,1,0)</f>
        <v>0</v>
      </c>
    </row>
    <row r="216">
      <c r="A216" s="94">
        <f>IF($X216=0,"",196)</f>
      </c>
      <c r="B216" s="95">
        <f t="shared" si="1"/>
      </c>
      <c r="C216" s="96">
        <f t="shared" si="10"/>
      </c>
      <c r="D216" s="21">
        <f t="shared" si="12"/>
      </c>
      <c r="E216" s="21">
        <f t="shared" si="14"/>
      </c>
      <c r="F216" s="21">
        <f t="shared" si="16"/>
      </c>
      <c r="G216" s="21">
        <f t="shared" si="18"/>
      </c>
      <c r="H216" s="21">
        <f t="shared" si="20"/>
      </c>
      <c r="I216" s="21">
        <f t="shared" si="22"/>
      </c>
      <c r="J216" s="94">
        <f t="shared" si="24"/>
      </c>
      <c r="K216" s="94">
        <f t="shared" si="26"/>
      </c>
      <c r="L216" s="94">
        <f t="shared" si="28"/>
      </c>
      <c r="M216" s="96">
        <f t="shared" si="29"/>
      </c>
      <c r="X216" s="2">
        <f>IF(196&gt;$AA$5,0,MOD(SMALL($AA$6:$AA$2005,196),10000))</f>
        <v>0</v>
      </c>
      <c r="AA216" s="2">
        <f>IF(AND(ISNUMBER(资金流水!$B$216),ISNUMBER(资金流水!$S$216),资金流水!$S$216&gt;=_辅助!$J$4,资金流水!$S$216&lt;=_辅助!$J$2,OR(资金流水!$C$216=$C$18,AND(资金流水!$AD$216=$C$18,资金流水!$X$216="账户互转"),AND($E$18&lt;&gt;"",资金流水!$J$216=$E$18,资金流水!$X$216="应付职工薪酬"))),INT(资金流水!$B$216)*10000+211,"")</f>
      </c>
      <c r="AB216" s="2">
        <f>AB200+SUM(CB201:CB216)</f>
        <v>0</v>
      </c>
      <c r="CB216" s="2">
        <f>IF(COUNTIFS(资金流水!$J$6:$J$2005,往来单位!$B$219,资金流水!$X$6:$X$2005,"其他应收款",资金流水!$S$6:$S$2005,"&gt;="&amp;_辅助!$J$4,资金流水!$S$6:$S$2005,"&lt;="&amp;_辅助!$J$2)*(往来单位!$B$219&lt;&gt;"")&gt;0,1,0)</f>
        <v>0</v>
      </c>
    </row>
    <row r="217">
      <c r="A217" s="94">
        <f>IF($X217=0,"",197)</f>
      </c>
      <c r="B217" s="95">
        <f t="shared" si="1"/>
      </c>
      <c r="C217" s="96">
        <f t="shared" si="10"/>
      </c>
      <c r="D217" s="21">
        <f t="shared" si="12"/>
      </c>
      <c r="E217" s="21">
        <f t="shared" si="14"/>
      </c>
      <c r="F217" s="21">
        <f t="shared" si="16"/>
      </c>
      <c r="G217" s="21">
        <f t="shared" si="18"/>
      </c>
      <c r="H217" s="21">
        <f t="shared" si="20"/>
      </c>
      <c r="I217" s="21">
        <f t="shared" si="22"/>
      </c>
      <c r="J217" s="94">
        <f t="shared" si="24"/>
      </c>
      <c r="K217" s="94">
        <f t="shared" si="26"/>
      </c>
      <c r="L217" s="94">
        <f t="shared" si="28"/>
      </c>
      <c r="M217" s="96">
        <f t="shared" si="29"/>
      </c>
      <c r="X217" s="2">
        <f>IF(197&gt;$AA$5,0,MOD(SMALL($AA$6:$AA$2005,197),10000))</f>
        <v>0</v>
      </c>
      <c r="AA217" s="2">
        <f>IF(AND(ISNUMBER(资金流水!$B$217),ISNUMBER(资金流水!$S$217),资金流水!$S$217&gt;=_辅助!$J$4,资金流水!$S$217&lt;=_辅助!$J$2,OR(资金流水!$C$217=$C$18,AND(资金流水!$AD$217=$C$18,资金流水!$X$217="账户互转"),AND($E$18&lt;&gt;"",资金流水!$J$217=$E$18,资金流水!$X$217="应付职工薪酬"))),INT(资金流水!$B$217)*10000+212,"")</f>
      </c>
      <c r="AB217" s="2">
        <f>AB200+SUM(CB201:CB217)</f>
        <v>0</v>
      </c>
      <c r="CB217" s="2">
        <f>IF(COUNTIFS(资金流水!$J$6:$J$2005,往来单位!$B$220,资金流水!$X$6:$X$2005,"其他应收款",资金流水!$S$6:$S$2005,"&gt;="&amp;_辅助!$J$4,资金流水!$S$6:$S$2005,"&lt;="&amp;_辅助!$J$2)*(往来单位!$B$220&lt;&gt;"")&gt;0,1,0)</f>
        <v>0</v>
      </c>
    </row>
    <row r="218">
      <c r="A218" s="94">
        <f>IF($X218=0,"",198)</f>
      </c>
      <c r="B218" s="95">
        <f t="shared" si="1"/>
      </c>
      <c r="C218" s="96">
        <f t="shared" si="10"/>
      </c>
      <c r="D218" s="21">
        <f t="shared" si="12"/>
      </c>
      <c r="E218" s="21">
        <f t="shared" si="14"/>
      </c>
      <c r="F218" s="21">
        <f t="shared" si="16"/>
      </c>
      <c r="G218" s="21">
        <f t="shared" si="18"/>
      </c>
      <c r="H218" s="21">
        <f t="shared" si="20"/>
      </c>
      <c r="I218" s="21">
        <f t="shared" si="22"/>
      </c>
      <c r="J218" s="94">
        <f t="shared" si="24"/>
      </c>
      <c r="K218" s="94">
        <f t="shared" si="26"/>
      </c>
      <c r="L218" s="94">
        <f t="shared" si="28"/>
      </c>
      <c r="M218" s="96">
        <f t="shared" si="29"/>
      </c>
      <c r="X218" s="2">
        <f>IF(198&gt;$AA$5,0,MOD(SMALL($AA$6:$AA$2005,198),10000))</f>
        <v>0</v>
      </c>
      <c r="AA218" s="2">
        <f>IF(AND(ISNUMBER(资金流水!$B$218),ISNUMBER(资金流水!$S$218),资金流水!$S$218&gt;=_辅助!$J$4,资金流水!$S$218&lt;=_辅助!$J$2,OR(资金流水!$C$218=$C$18,AND(资金流水!$AD$218=$C$18,资金流水!$X$218="账户互转"),AND($E$18&lt;&gt;"",资金流水!$J$218=$E$18,资金流水!$X$218="应付职工薪酬"))),INT(资金流水!$B$218)*10000+213,"")</f>
      </c>
      <c r="AB218" s="2">
        <f>AB200+SUM(CB201:CB218)</f>
        <v>0</v>
      </c>
      <c r="CB218" s="2">
        <f>IF(COUNTIFS(资金流水!$J$6:$J$2005,往来单位!$B$221,资金流水!$X$6:$X$2005,"其他应收款",资金流水!$S$6:$S$2005,"&gt;="&amp;_辅助!$J$4,资金流水!$S$6:$S$2005,"&lt;="&amp;_辅助!$J$2)*(往来单位!$B$221&lt;&gt;"")&gt;0,1,0)</f>
        <v>0</v>
      </c>
    </row>
    <row r="219">
      <c r="A219" s="94">
        <f>IF($X219=0,"",199)</f>
      </c>
      <c r="B219" s="95">
        <f t="shared" si="1"/>
      </c>
      <c r="C219" s="96">
        <f t="shared" si="10"/>
      </c>
      <c r="D219" s="21">
        <f t="shared" si="12"/>
      </c>
      <c r="E219" s="21">
        <f t="shared" si="14"/>
      </c>
      <c r="F219" s="21">
        <f t="shared" si="16"/>
      </c>
      <c r="G219" s="21">
        <f t="shared" si="18"/>
      </c>
      <c r="H219" s="21">
        <f t="shared" si="20"/>
      </c>
      <c r="I219" s="21">
        <f t="shared" si="22"/>
      </c>
      <c r="J219" s="94">
        <f t="shared" si="24"/>
      </c>
      <c r="K219" s="94">
        <f t="shared" si="26"/>
      </c>
      <c r="L219" s="94">
        <f t="shared" si="28"/>
      </c>
      <c r="M219" s="96">
        <f t="shared" si="29"/>
      </c>
      <c r="X219" s="2">
        <f>IF(199&gt;$AA$5,0,MOD(SMALL($AA$6:$AA$2005,199),10000))</f>
        <v>0</v>
      </c>
      <c r="AA219" s="2">
        <f>IF(AND(ISNUMBER(资金流水!$B$219),ISNUMBER(资金流水!$S$219),资金流水!$S$219&gt;=_辅助!$J$4,资金流水!$S$219&lt;=_辅助!$J$2,OR(资金流水!$C$219=$C$18,AND(资金流水!$AD$219=$C$18,资金流水!$X$219="账户互转"),AND($E$18&lt;&gt;"",资金流水!$J$219=$E$18,资金流水!$X$219="应付职工薪酬"))),INT(资金流水!$B$219)*10000+214,"")</f>
      </c>
      <c r="AB219" s="2">
        <f>AB200+SUM(CB201:CB219)</f>
        <v>0</v>
      </c>
      <c r="CB219" s="2">
        <f>IF(COUNTIFS(资金流水!$J$6:$J$2005,往来单位!$B$222,资金流水!$X$6:$X$2005,"其他应收款",资金流水!$S$6:$S$2005,"&gt;="&amp;_辅助!$J$4,资金流水!$S$6:$S$2005,"&lt;="&amp;_辅助!$J$2)*(往来单位!$B$222&lt;&gt;"")&gt;0,1,0)</f>
        <v>0</v>
      </c>
    </row>
    <row r="220">
      <c r="A220" s="94">
        <f>IF($X220=0,"",200)</f>
      </c>
      <c r="B220" s="95">
        <f t="shared" si="1"/>
      </c>
      <c r="C220" s="96">
        <f t="shared" si="10"/>
      </c>
      <c r="D220" s="21">
        <f t="shared" si="12"/>
      </c>
      <c r="E220" s="21">
        <f t="shared" si="14"/>
      </c>
      <c r="F220" s="21">
        <f t="shared" si="16"/>
      </c>
      <c r="G220" s="21">
        <f t="shared" si="18"/>
      </c>
      <c r="H220" s="21">
        <f t="shared" si="20"/>
      </c>
      <c r="I220" s="21">
        <f t="shared" si="22"/>
      </c>
      <c r="J220" s="94">
        <f t="shared" si="24"/>
      </c>
      <c r="K220" s="94">
        <f t="shared" si="26"/>
      </c>
      <c r="L220" s="94">
        <f t="shared" si="28"/>
      </c>
      <c r="M220" s="96">
        <f t="shared" si="29"/>
      </c>
      <c r="X220" s="2">
        <f>IF(200&gt;$AA$5,0,MOD(SMALL($AA$6:$AA$2005,200),10000))</f>
        <v>0</v>
      </c>
      <c r="AA220" s="2">
        <f>IF(AND(ISNUMBER(资金流水!$B$220),ISNUMBER(资金流水!$S$220),资金流水!$S$220&gt;=_辅助!$J$4,资金流水!$S$220&lt;=_辅助!$J$2,OR(资金流水!$C$220=$C$18,AND(资金流水!$AD$220=$C$18,资金流水!$X$220="账户互转"),AND($E$18&lt;&gt;"",资金流水!$J$220=$E$18,资金流水!$X$220="应付职工薪酬"))),INT(资金流水!$B$220)*10000+215,"")</f>
      </c>
      <c r="AB220" s="2">
        <f>AB200+SUM(CB201:CB220)</f>
        <v>0</v>
      </c>
      <c r="CB220" s="2">
        <f>IF(COUNTIFS(资金流水!$J$6:$J$2005,往来单位!$B$223,资金流水!$X$6:$X$2005,"其他应收款",资金流水!$S$6:$S$2005,"&gt;="&amp;_辅助!$J$4,资金流水!$S$6:$S$2005,"&lt;="&amp;_辅助!$J$2)*(往来单位!$B$223&lt;&gt;"")&gt;0,1,0)</f>
        <v>0</v>
      </c>
    </row>
    <row r="221">
      <c r="A221" s="94">
        <f>IF($X221=0,"",201)</f>
      </c>
      <c r="B221" s="95">
        <f t="shared" si="1"/>
      </c>
      <c r="C221" s="96">
        <f t="shared" si="10"/>
      </c>
      <c r="D221" s="21">
        <f t="shared" si="12"/>
      </c>
      <c r="E221" s="21">
        <f t="shared" si="14"/>
      </c>
      <c r="F221" s="21">
        <f t="shared" si="16"/>
      </c>
      <c r="G221" s="21">
        <f t="shared" si="18"/>
      </c>
      <c r="H221" s="21">
        <f t="shared" si="20"/>
      </c>
      <c r="I221" s="21">
        <f t="shared" si="22"/>
      </c>
      <c r="J221" s="94">
        <f t="shared" si="24"/>
      </c>
      <c r="K221" s="94">
        <f t="shared" si="26"/>
      </c>
      <c r="L221" s="94">
        <f t="shared" si="28"/>
      </c>
      <c r="M221" s="96">
        <f t="shared" si="29"/>
      </c>
      <c r="X221" s="2">
        <f>IF(201&gt;$AA$5,0,MOD(SMALL($AA$6:$AA$2005,201),10000))</f>
        <v>0</v>
      </c>
      <c r="AA221" s="2">
        <f>IF(AND(ISNUMBER(资金流水!$B$221),ISNUMBER(资金流水!$S$221),资金流水!$S$221&gt;=_辅助!$J$4,资金流水!$S$221&lt;=_辅助!$J$2,OR(资金流水!$C$221=$C$18,AND(资金流水!$AD$221=$C$18,资金流水!$X$221="账户互转"),AND($E$18&lt;&gt;"",资金流水!$J$221=$E$18,资金流水!$X$221="应付职工薪酬"))),INT(资金流水!$B$221)*10000+216,"")</f>
      </c>
      <c r="AB221" s="2">
        <f>AB200+SUM(CB201:CB221)</f>
        <v>0</v>
      </c>
      <c r="CB221" s="2">
        <f>IF(COUNTIFS(资金流水!$J$6:$J$2005,往来单位!$B$224,资金流水!$X$6:$X$2005,"其他应收款",资金流水!$S$6:$S$2005,"&gt;="&amp;_辅助!$J$4,资金流水!$S$6:$S$2005,"&lt;="&amp;_辅助!$J$2)*(往来单位!$B$224&lt;&gt;"")&gt;0,1,0)</f>
        <v>0</v>
      </c>
    </row>
    <row r="222">
      <c r="A222" s="94">
        <f>IF($X222=0,"",202)</f>
      </c>
      <c r="B222" s="95">
        <f t="shared" si="1"/>
      </c>
      <c r="C222" s="96">
        <f t="shared" si="10"/>
      </c>
      <c r="D222" s="21">
        <f t="shared" si="12"/>
      </c>
      <c r="E222" s="21">
        <f t="shared" si="14"/>
      </c>
      <c r="F222" s="21">
        <f t="shared" si="16"/>
      </c>
      <c r="G222" s="21">
        <f t="shared" si="18"/>
      </c>
      <c r="H222" s="21">
        <f t="shared" si="20"/>
      </c>
      <c r="I222" s="21">
        <f t="shared" si="22"/>
      </c>
      <c r="J222" s="94">
        <f t="shared" si="24"/>
      </c>
      <c r="K222" s="94">
        <f t="shared" si="26"/>
      </c>
      <c r="L222" s="94">
        <f t="shared" si="28"/>
      </c>
      <c r="M222" s="96">
        <f t="shared" si="29"/>
      </c>
      <c r="X222" s="2">
        <f>IF(202&gt;$AA$5,0,MOD(SMALL($AA$6:$AA$2005,202),10000))</f>
        <v>0</v>
      </c>
      <c r="AA222" s="2">
        <f>IF(AND(ISNUMBER(资金流水!$B$222),ISNUMBER(资金流水!$S$222),资金流水!$S$222&gt;=_辅助!$J$4,资金流水!$S$222&lt;=_辅助!$J$2,OR(资金流水!$C$222=$C$18,AND(资金流水!$AD$222=$C$18,资金流水!$X$222="账户互转"),AND($E$18&lt;&gt;"",资金流水!$J$222=$E$18,资金流水!$X$222="应付职工薪酬"))),INT(资金流水!$B$222)*10000+217,"")</f>
      </c>
      <c r="AB222" s="2">
        <f>AB200+SUM(CB201:CB222)</f>
        <v>0</v>
      </c>
      <c r="CB222" s="2">
        <f>IF(COUNTIFS(资金流水!$J$6:$J$2005,往来单位!$B$225,资金流水!$X$6:$X$2005,"其他应收款",资金流水!$S$6:$S$2005,"&gt;="&amp;_辅助!$J$4,资金流水!$S$6:$S$2005,"&lt;="&amp;_辅助!$J$2)*(往来单位!$B$225&lt;&gt;"")&gt;0,1,0)</f>
        <v>0</v>
      </c>
    </row>
    <row r="223">
      <c r="A223" s="94">
        <f>IF($X223=0,"",203)</f>
      </c>
      <c r="B223" s="95">
        <f t="shared" si="1"/>
      </c>
      <c r="C223" s="96">
        <f t="shared" si="10"/>
      </c>
      <c r="D223" s="21">
        <f t="shared" si="12"/>
      </c>
      <c r="E223" s="21">
        <f t="shared" si="14"/>
      </c>
      <c r="F223" s="21">
        <f t="shared" si="16"/>
      </c>
      <c r="G223" s="21">
        <f t="shared" si="18"/>
      </c>
      <c r="H223" s="21">
        <f t="shared" si="20"/>
      </c>
      <c r="I223" s="21">
        <f t="shared" si="22"/>
      </c>
      <c r="J223" s="94">
        <f t="shared" si="24"/>
      </c>
      <c r="K223" s="94">
        <f t="shared" si="26"/>
      </c>
      <c r="L223" s="94">
        <f t="shared" si="28"/>
      </c>
      <c r="M223" s="96">
        <f t="shared" si="29"/>
      </c>
      <c r="X223" s="2">
        <f>IF(203&gt;$AA$5,0,MOD(SMALL($AA$6:$AA$2005,203),10000))</f>
        <v>0</v>
      </c>
      <c r="AA223" s="2">
        <f>IF(AND(ISNUMBER(资金流水!$B$223),ISNUMBER(资金流水!$S$223),资金流水!$S$223&gt;=_辅助!$J$4,资金流水!$S$223&lt;=_辅助!$J$2,OR(资金流水!$C$223=$C$18,AND(资金流水!$AD$223=$C$18,资金流水!$X$223="账户互转"),AND($E$18&lt;&gt;"",资金流水!$J$223=$E$18,资金流水!$X$223="应付职工薪酬"))),INT(资金流水!$B$223)*10000+218,"")</f>
      </c>
      <c r="AB223" s="2">
        <f>AB200+SUM(CB201:CB223)</f>
        <v>0</v>
      </c>
      <c r="CB223" s="2">
        <f>IF(COUNTIFS(资金流水!$J$6:$J$2005,往来单位!$B$226,资金流水!$X$6:$X$2005,"其他应收款",资金流水!$S$6:$S$2005,"&gt;="&amp;_辅助!$J$4,资金流水!$S$6:$S$2005,"&lt;="&amp;_辅助!$J$2)*(往来单位!$B$226&lt;&gt;"")&gt;0,1,0)</f>
        <v>0</v>
      </c>
    </row>
    <row r="224">
      <c r="A224" s="94">
        <f>IF($X224=0,"",204)</f>
      </c>
      <c r="B224" s="95">
        <f t="shared" si="1"/>
      </c>
      <c r="C224" s="96">
        <f t="shared" si="10"/>
      </c>
      <c r="D224" s="21">
        <f t="shared" si="12"/>
      </c>
      <c r="E224" s="21">
        <f t="shared" si="14"/>
      </c>
      <c r="F224" s="21">
        <f t="shared" si="16"/>
      </c>
      <c r="G224" s="21">
        <f t="shared" si="18"/>
      </c>
      <c r="H224" s="21">
        <f t="shared" si="20"/>
      </c>
      <c r="I224" s="21">
        <f t="shared" si="22"/>
      </c>
      <c r="J224" s="94">
        <f t="shared" si="24"/>
      </c>
      <c r="K224" s="94">
        <f t="shared" si="26"/>
      </c>
      <c r="L224" s="94">
        <f t="shared" si="28"/>
      </c>
      <c r="M224" s="96">
        <f t="shared" si="29"/>
      </c>
      <c r="X224" s="2">
        <f>IF(204&gt;$AA$5,0,MOD(SMALL($AA$6:$AA$2005,204),10000))</f>
        <v>0</v>
      </c>
      <c r="AA224" s="2">
        <f>IF(AND(ISNUMBER(资金流水!$B$224),ISNUMBER(资金流水!$S$224),资金流水!$S$224&gt;=_辅助!$J$4,资金流水!$S$224&lt;=_辅助!$J$2,OR(资金流水!$C$224=$C$18,AND(资金流水!$AD$224=$C$18,资金流水!$X$224="账户互转"),AND($E$18&lt;&gt;"",资金流水!$J$224=$E$18,资金流水!$X$224="应付职工薪酬"))),INT(资金流水!$B$224)*10000+219,"")</f>
      </c>
      <c r="AB224" s="2">
        <f>AB200+SUM(CB201:CB224)</f>
        <v>0</v>
      </c>
      <c r="CB224" s="2">
        <f>IF(COUNTIFS(资金流水!$J$6:$J$2005,往来单位!$B$227,资金流水!$X$6:$X$2005,"其他应收款",资金流水!$S$6:$S$2005,"&gt;="&amp;_辅助!$J$4,资金流水!$S$6:$S$2005,"&lt;="&amp;_辅助!$J$2)*(往来单位!$B$227&lt;&gt;"")&gt;0,1,0)</f>
        <v>0</v>
      </c>
    </row>
    <row r="225">
      <c r="A225" s="94">
        <f>IF($X225=0,"",205)</f>
      </c>
      <c r="B225" s="95">
        <f t="shared" si="1"/>
      </c>
      <c r="C225" s="96">
        <f t="shared" si="10"/>
      </c>
      <c r="D225" s="21">
        <f t="shared" si="12"/>
      </c>
      <c r="E225" s="21">
        <f t="shared" si="14"/>
      </c>
      <c r="F225" s="21">
        <f t="shared" si="16"/>
      </c>
      <c r="G225" s="21">
        <f t="shared" si="18"/>
      </c>
      <c r="H225" s="21">
        <f t="shared" si="20"/>
      </c>
      <c r="I225" s="21">
        <f t="shared" si="22"/>
      </c>
      <c r="J225" s="94">
        <f t="shared" si="24"/>
      </c>
      <c r="K225" s="94">
        <f t="shared" si="26"/>
      </c>
      <c r="L225" s="94">
        <f t="shared" si="28"/>
      </c>
      <c r="M225" s="96">
        <f t="shared" si="29"/>
      </c>
      <c r="X225" s="2">
        <f>IF(205&gt;$AA$5,0,MOD(SMALL($AA$6:$AA$2005,205),10000))</f>
        <v>0</v>
      </c>
      <c r="AA225" s="2">
        <f>IF(AND(ISNUMBER(资金流水!$B$225),ISNUMBER(资金流水!$S$225),资金流水!$S$225&gt;=_辅助!$J$4,资金流水!$S$225&lt;=_辅助!$J$2,OR(资金流水!$C$225=$C$18,AND(资金流水!$AD$225=$C$18,资金流水!$X$225="账户互转"),AND($E$18&lt;&gt;"",资金流水!$J$225=$E$18,资金流水!$X$225="应付职工薪酬"))),INT(资金流水!$B$225)*10000+220,"")</f>
      </c>
      <c r="AB225" s="2">
        <f>AB200+SUM(CB201:CB225)</f>
        <v>0</v>
      </c>
      <c r="CB225" s="2">
        <f>IF(COUNTIFS(资金流水!$J$6:$J$2005,往来单位!$B$228,资金流水!$X$6:$X$2005,"其他应收款",资金流水!$S$6:$S$2005,"&gt;="&amp;_辅助!$J$4,资金流水!$S$6:$S$2005,"&lt;="&amp;_辅助!$J$2)*(往来单位!$B$228&lt;&gt;"")&gt;0,1,0)</f>
        <v>0</v>
      </c>
    </row>
    <row r="226">
      <c r="A226" s="94">
        <f>IF($X226=0,"",206)</f>
      </c>
      <c r="B226" s="95">
        <f t="shared" si="1"/>
      </c>
      <c r="C226" s="96">
        <f t="shared" si="10"/>
      </c>
      <c r="D226" s="21">
        <f t="shared" si="12"/>
      </c>
      <c r="E226" s="21">
        <f t="shared" si="14"/>
      </c>
      <c r="F226" s="21">
        <f t="shared" si="16"/>
      </c>
      <c r="G226" s="21">
        <f t="shared" si="18"/>
      </c>
      <c r="H226" s="21">
        <f t="shared" si="20"/>
      </c>
      <c r="I226" s="21">
        <f t="shared" si="22"/>
      </c>
      <c r="J226" s="94">
        <f t="shared" si="24"/>
      </c>
      <c r="K226" s="94">
        <f t="shared" si="26"/>
      </c>
      <c r="L226" s="94">
        <f t="shared" si="28"/>
      </c>
      <c r="M226" s="96">
        <f t="shared" si="29"/>
      </c>
      <c r="X226" s="2">
        <f>IF(206&gt;$AA$5,0,MOD(SMALL($AA$6:$AA$2005,206),10000))</f>
        <v>0</v>
      </c>
      <c r="AA226" s="2">
        <f>IF(AND(ISNUMBER(资金流水!$B$226),ISNUMBER(资金流水!$S$226),资金流水!$S$226&gt;=_辅助!$J$4,资金流水!$S$226&lt;=_辅助!$J$2,OR(资金流水!$C$226=$C$18,AND(资金流水!$AD$226=$C$18,资金流水!$X$226="账户互转"),AND($E$18&lt;&gt;"",资金流水!$J$226=$E$18,资金流水!$X$226="应付职工薪酬"))),INT(资金流水!$B$226)*10000+221,"")</f>
      </c>
      <c r="AB226" s="2">
        <f>AB200+SUM(CB201:CB226)</f>
        <v>0</v>
      </c>
      <c r="CB226" s="2">
        <f>IF(COUNTIFS(资金流水!$J$6:$J$2005,往来单位!$B$229,资金流水!$X$6:$X$2005,"其他应收款",资金流水!$S$6:$S$2005,"&gt;="&amp;_辅助!$J$4,资金流水!$S$6:$S$2005,"&lt;="&amp;_辅助!$J$2)*(往来单位!$B$229&lt;&gt;"")&gt;0,1,0)</f>
        <v>0</v>
      </c>
    </row>
    <row r="227">
      <c r="A227" s="94">
        <f>IF($X227=0,"",207)</f>
      </c>
      <c r="B227" s="95">
        <f t="shared" si="1"/>
      </c>
      <c r="C227" s="96">
        <f t="shared" si="10"/>
      </c>
      <c r="D227" s="21">
        <f t="shared" si="12"/>
      </c>
      <c r="E227" s="21">
        <f t="shared" si="14"/>
      </c>
      <c r="F227" s="21">
        <f t="shared" si="16"/>
      </c>
      <c r="G227" s="21">
        <f t="shared" si="18"/>
      </c>
      <c r="H227" s="21">
        <f t="shared" si="20"/>
      </c>
      <c r="I227" s="21">
        <f t="shared" si="22"/>
      </c>
      <c r="J227" s="94">
        <f t="shared" si="24"/>
      </c>
      <c r="K227" s="94">
        <f t="shared" si="26"/>
      </c>
      <c r="L227" s="94">
        <f t="shared" si="28"/>
      </c>
      <c r="M227" s="96">
        <f t="shared" si="29"/>
      </c>
      <c r="X227" s="2">
        <f>IF(207&gt;$AA$5,0,MOD(SMALL($AA$6:$AA$2005,207),10000))</f>
        <v>0</v>
      </c>
      <c r="AA227" s="2">
        <f>IF(AND(ISNUMBER(资金流水!$B$227),ISNUMBER(资金流水!$S$227),资金流水!$S$227&gt;=_辅助!$J$4,资金流水!$S$227&lt;=_辅助!$J$2,OR(资金流水!$C$227=$C$18,AND(资金流水!$AD$227=$C$18,资金流水!$X$227="账户互转"),AND($E$18&lt;&gt;"",资金流水!$J$227=$E$18,资金流水!$X$227="应付职工薪酬"))),INT(资金流水!$B$227)*10000+222,"")</f>
      </c>
      <c r="AB227" s="2">
        <f>AB200+SUM(CB201:CB227)</f>
        <v>0</v>
      </c>
      <c r="CB227" s="2">
        <f>IF(COUNTIFS(资金流水!$J$6:$J$2005,往来单位!$B$230,资金流水!$X$6:$X$2005,"其他应收款",资金流水!$S$6:$S$2005,"&gt;="&amp;_辅助!$J$4,资金流水!$S$6:$S$2005,"&lt;="&amp;_辅助!$J$2)*(往来单位!$B$230&lt;&gt;"")&gt;0,1,0)</f>
        <v>0</v>
      </c>
    </row>
    <row r="228">
      <c r="A228" s="94">
        <f>IF($X228=0,"",208)</f>
      </c>
      <c r="B228" s="95">
        <f t="shared" si="1"/>
      </c>
      <c r="C228" s="96">
        <f t="shared" si="10"/>
      </c>
      <c r="D228" s="21">
        <f t="shared" si="12"/>
      </c>
      <c r="E228" s="21">
        <f t="shared" si="14"/>
      </c>
      <c r="F228" s="21">
        <f t="shared" si="16"/>
      </c>
      <c r="G228" s="21">
        <f t="shared" si="18"/>
      </c>
      <c r="H228" s="21">
        <f t="shared" si="20"/>
      </c>
      <c r="I228" s="21">
        <f t="shared" si="22"/>
      </c>
      <c r="J228" s="94">
        <f t="shared" si="24"/>
      </c>
      <c r="K228" s="94">
        <f t="shared" si="26"/>
      </c>
      <c r="L228" s="94">
        <f t="shared" si="28"/>
      </c>
      <c r="M228" s="96">
        <f t="shared" si="29"/>
      </c>
      <c r="X228" s="2">
        <f>IF(208&gt;$AA$5,0,MOD(SMALL($AA$6:$AA$2005,208),10000))</f>
        <v>0</v>
      </c>
      <c r="AA228" s="2">
        <f>IF(AND(ISNUMBER(资金流水!$B$228),ISNUMBER(资金流水!$S$228),资金流水!$S$228&gt;=_辅助!$J$4,资金流水!$S$228&lt;=_辅助!$J$2,OR(资金流水!$C$228=$C$18,AND(资金流水!$AD$228=$C$18,资金流水!$X$228="账户互转"),AND($E$18&lt;&gt;"",资金流水!$J$228=$E$18,资金流水!$X$228="应付职工薪酬"))),INT(资金流水!$B$228)*10000+223,"")</f>
      </c>
      <c r="AB228" s="2">
        <f>AB200+SUM(CB201:CB228)</f>
        <v>0</v>
      </c>
      <c r="CB228" s="2">
        <f>IF(COUNTIFS(资金流水!$J$6:$J$2005,往来单位!$B$231,资金流水!$X$6:$X$2005,"其他应收款",资金流水!$S$6:$S$2005,"&gt;="&amp;_辅助!$J$4,资金流水!$S$6:$S$2005,"&lt;="&amp;_辅助!$J$2)*(往来单位!$B$231&lt;&gt;"")&gt;0,1,0)</f>
        <v>0</v>
      </c>
    </row>
    <row r="229">
      <c r="A229" s="94">
        <f>IF($X229=0,"",209)</f>
      </c>
      <c r="B229" s="95">
        <f t="shared" si="1"/>
      </c>
      <c r="C229" s="96">
        <f t="shared" si="10"/>
      </c>
      <c r="D229" s="21">
        <f t="shared" si="12"/>
      </c>
      <c r="E229" s="21">
        <f t="shared" si="14"/>
      </c>
      <c r="F229" s="21">
        <f t="shared" si="16"/>
      </c>
      <c r="G229" s="21">
        <f t="shared" si="18"/>
      </c>
      <c r="H229" s="21">
        <f t="shared" si="20"/>
      </c>
      <c r="I229" s="21">
        <f t="shared" si="22"/>
      </c>
      <c r="J229" s="94">
        <f t="shared" si="24"/>
      </c>
      <c r="K229" s="94">
        <f t="shared" si="26"/>
      </c>
      <c r="L229" s="94">
        <f t="shared" si="28"/>
      </c>
      <c r="M229" s="96">
        <f t="shared" si="29"/>
      </c>
      <c r="X229" s="2">
        <f>IF(209&gt;$AA$5,0,MOD(SMALL($AA$6:$AA$2005,209),10000))</f>
        <v>0</v>
      </c>
      <c r="AA229" s="2">
        <f>IF(AND(ISNUMBER(资金流水!$B$229),ISNUMBER(资金流水!$S$229),资金流水!$S$229&gt;=_辅助!$J$4,资金流水!$S$229&lt;=_辅助!$J$2,OR(资金流水!$C$229=$C$18,AND(资金流水!$AD$229=$C$18,资金流水!$X$229="账户互转"),AND($E$18&lt;&gt;"",资金流水!$J$229=$E$18,资金流水!$X$229="应付职工薪酬"))),INT(资金流水!$B$229)*10000+224,"")</f>
      </c>
      <c r="AB229" s="2">
        <f>AB200+SUM(CB201:CB229)</f>
        <v>0</v>
      </c>
      <c r="CB229" s="2">
        <f>IF(COUNTIFS(资金流水!$J$6:$J$2005,往来单位!$B$232,资金流水!$X$6:$X$2005,"其他应收款",资金流水!$S$6:$S$2005,"&gt;="&amp;_辅助!$J$4,资金流水!$S$6:$S$2005,"&lt;="&amp;_辅助!$J$2)*(往来单位!$B$232&lt;&gt;"")&gt;0,1,0)</f>
        <v>0</v>
      </c>
    </row>
    <row r="230">
      <c r="A230" s="94">
        <f>IF($X230=0,"",210)</f>
      </c>
      <c r="B230" s="95">
        <f t="shared" si="1"/>
      </c>
      <c r="C230" s="96">
        <f t="shared" si="10"/>
      </c>
      <c r="D230" s="21">
        <f t="shared" si="12"/>
      </c>
      <c r="E230" s="21">
        <f t="shared" si="14"/>
      </c>
      <c r="F230" s="21">
        <f t="shared" si="16"/>
      </c>
      <c r="G230" s="21">
        <f t="shared" si="18"/>
      </c>
      <c r="H230" s="21">
        <f t="shared" si="20"/>
      </c>
      <c r="I230" s="21">
        <f t="shared" si="22"/>
      </c>
      <c r="J230" s="94">
        <f t="shared" si="24"/>
      </c>
      <c r="K230" s="94">
        <f t="shared" si="26"/>
      </c>
      <c r="L230" s="94">
        <f t="shared" si="28"/>
      </c>
      <c r="M230" s="96">
        <f t="shared" si="29"/>
      </c>
      <c r="X230" s="2">
        <f>IF(210&gt;$AA$5,0,MOD(SMALL($AA$6:$AA$2005,210),10000))</f>
        <v>0</v>
      </c>
      <c r="AA230" s="2">
        <f>IF(AND(ISNUMBER(资金流水!$B$230),ISNUMBER(资金流水!$S$230),资金流水!$S$230&gt;=_辅助!$J$4,资金流水!$S$230&lt;=_辅助!$J$2,OR(资金流水!$C$230=$C$18,AND(资金流水!$AD$230=$C$18,资金流水!$X$230="账户互转"),AND($E$18&lt;&gt;"",资金流水!$J$230=$E$18,资金流水!$X$230="应付职工薪酬"))),INT(资金流水!$B$230)*10000+225,"")</f>
      </c>
      <c r="AB230" s="2">
        <f>AB200+SUM(CB201:CB230)</f>
        <v>0</v>
      </c>
      <c r="CB230" s="2">
        <f>IF(COUNTIFS(资金流水!$J$6:$J$2005,往来单位!$B$233,资金流水!$X$6:$X$2005,"其他应收款",资金流水!$S$6:$S$2005,"&gt;="&amp;_辅助!$J$4,资金流水!$S$6:$S$2005,"&lt;="&amp;_辅助!$J$2)*(往来单位!$B$233&lt;&gt;"")&gt;0,1,0)</f>
        <v>0</v>
      </c>
    </row>
    <row r="231">
      <c r="A231" s="94">
        <f>IF($X231=0,"",211)</f>
      </c>
      <c r="B231" s="95">
        <f t="shared" si="1"/>
      </c>
      <c r="C231" s="96">
        <f t="shared" si="10"/>
      </c>
      <c r="D231" s="21">
        <f t="shared" si="12"/>
      </c>
      <c r="E231" s="21">
        <f t="shared" si="14"/>
      </c>
      <c r="F231" s="21">
        <f t="shared" si="16"/>
      </c>
      <c r="G231" s="21">
        <f t="shared" si="18"/>
      </c>
      <c r="H231" s="21">
        <f t="shared" si="20"/>
      </c>
      <c r="I231" s="21">
        <f t="shared" si="22"/>
      </c>
      <c r="J231" s="94">
        <f t="shared" si="24"/>
      </c>
      <c r="K231" s="94">
        <f t="shared" si="26"/>
      </c>
      <c r="L231" s="94">
        <f t="shared" si="28"/>
      </c>
      <c r="M231" s="96">
        <f t="shared" si="29"/>
      </c>
      <c r="X231" s="2">
        <f>IF(211&gt;$AA$5,0,MOD(SMALL($AA$6:$AA$2005,211),10000))</f>
        <v>0</v>
      </c>
      <c r="AA231" s="2">
        <f>IF(AND(ISNUMBER(资金流水!$B$231),ISNUMBER(资金流水!$S$231),资金流水!$S$231&gt;=_辅助!$J$4,资金流水!$S$231&lt;=_辅助!$J$2,OR(资金流水!$C$231=$C$18,AND(资金流水!$AD$231=$C$18,资金流水!$X$231="账户互转"),AND($E$18&lt;&gt;"",资金流水!$J$231=$E$18,资金流水!$X$231="应付职工薪酬"))),INT(资金流水!$B$231)*10000+226,"")</f>
      </c>
      <c r="AB231" s="2">
        <f>AB200+SUM(CB201:CB231)</f>
        <v>0</v>
      </c>
      <c r="CB231" s="2">
        <f>IF(COUNTIFS(资金流水!$J$6:$J$2005,往来单位!$B$234,资金流水!$X$6:$X$2005,"其他应收款",资金流水!$S$6:$S$2005,"&gt;="&amp;_辅助!$J$4,资金流水!$S$6:$S$2005,"&lt;="&amp;_辅助!$J$2)*(往来单位!$B$234&lt;&gt;"")&gt;0,1,0)</f>
        <v>0</v>
      </c>
    </row>
    <row r="232">
      <c r="A232" s="94">
        <f>IF($X232=0,"",212)</f>
      </c>
      <c r="B232" s="95">
        <f t="shared" si="1"/>
      </c>
      <c r="C232" s="96">
        <f t="shared" si="10"/>
      </c>
      <c r="D232" s="21">
        <f t="shared" si="12"/>
      </c>
      <c r="E232" s="21">
        <f t="shared" si="14"/>
      </c>
      <c r="F232" s="21">
        <f t="shared" si="16"/>
      </c>
      <c r="G232" s="21">
        <f t="shared" si="18"/>
      </c>
      <c r="H232" s="21">
        <f t="shared" si="20"/>
      </c>
      <c r="I232" s="21">
        <f t="shared" si="22"/>
      </c>
      <c r="J232" s="94">
        <f t="shared" si="24"/>
      </c>
      <c r="K232" s="94">
        <f t="shared" si="26"/>
      </c>
      <c r="L232" s="94">
        <f t="shared" si="28"/>
      </c>
      <c r="M232" s="96">
        <f t="shared" si="29"/>
      </c>
      <c r="X232" s="2">
        <f>IF(212&gt;$AA$5,0,MOD(SMALL($AA$6:$AA$2005,212),10000))</f>
        <v>0</v>
      </c>
      <c r="AA232" s="2">
        <f>IF(AND(ISNUMBER(资金流水!$B$232),ISNUMBER(资金流水!$S$232),资金流水!$S$232&gt;=_辅助!$J$4,资金流水!$S$232&lt;=_辅助!$J$2,OR(资金流水!$C$232=$C$18,AND(资金流水!$AD$232=$C$18,资金流水!$X$232="账户互转"),AND($E$18&lt;&gt;"",资金流水!$J$232=$E$18,资金流水!$X$232="应付职工薪酬"))),INT(资金流水!$B$232)*10000+227,"")</f>
      </c>
      <c r="AB232" s="2">
        <f>AB200+SUM(CB201:CB232)</f>
        <v>0</v>
      </c>
      <c r="CB232" s="2">
        <f>IF(COUNTIFS(资金流水!$J$6:$J$2005,往来单位!$B$235,资金流水!$X$6:$X$2005,"其他应收款",资金流水!$S$6:$S$2005,"&gt;="&amp;_辅助!$J$4,资金流水!$S$6:$S$2005,"&lt;="&amp;_辅助!$J$2)*(往来单位!$B$235&lt;&gt;"")&gt;0,1,0)</f>
        <v>0</v>
      </c>
    </row>
    <row r="233">
      <c r="A233" s="94">
        <f>IF($X233=0,"",213)</f>
      </c>
      <c r="B233" s="95">
        <f t="shared" si="1"/>
      </c>
      <c r="C233" s="96">
        <f t="shared" si="10"/>
      </c>
      <c r="D233" s="21">
        <f t="shared" si="12"/>
      </c>
      <c r="E233" s="21">
        <f t="shared" si="14"/>
      </c>
      <c r="F233" s="21">
        <f t="shared" si="16"/>
      </c>
      <c r="G233" s="21">
        <f t="shared" si="18"/>
      </c>
      <c r="H233" s="21">
        <f t="shared" si="20"/>
      </c>
      <c r="I233" s="21">
        <f t="shared" si="22"/>
      </c>
      <c r="J233" s="94">
        <f t="shared" si="24"/>
      </c>
      <c r="K233" s="94">
        <f t="shared" si="26"/>
      </c>
      <c r="L233" s="94">
        <f t="shared" si="28"/>
      </c>
      <c r="M233" s="96">
        <f t="shared" si="29"/>
      </c>
      <c r="X233" s="2">
        <f>IF(213&gt;$AA$5,0,MOD(SMALL($AA$6:$AA$2005,213),10000))</f>
        <v>0</v>
      </c>
      <c r="AA233" s="2">
        <f>IF(AND(ISNUMBER(资金流水!$B$233),ISNUMBER(资金流水!$S$233),资金流水!$S$233&gt;=_辅助!$J$4,资金流水!$S$233&lt;=_辅助!$J$2,OR(资金流水!$C$233=$C$18,AND(资金流水!$AD$233=$C$18,资金流水!$X$233="账户互转"),AND($E$18&lt;&gt;"",资金流水!$J$233=$E$18,资金流水!$X$233="应付职工薪酬"))),INT(资金流水!$B$233)*10000+228,"")</f>
      </c>
      <c r="AB233" s="2">
        <f>AB200+SUM(CB201:CB233)</f>
        <v>0</v>
      </c>
      <c r="CB233" s="2">
        <f>IF(COUNTIFS(资金流水!$J$6:$J$2005,往来单位!$B$236,资金流水!$X$6:$X$2005,"其他应收款",资金流水!$S$6:$S$2005,"&gt;="&amp;_辅助!$J$4,资金流水!$S$6:$S$2005,"&lt;="&amp;_辅助!$J$2)*(往来单位!$B$236&lt;&gt;"")&gt;0,1,0)</f>
        <v>0</v>
      </c>
    </row>
    <row r="234">
      <c r="A234" s="94">
        <f>IF($X234=0,"",214)</f>
      </c>
      <c r="B234" s="95">
        <f t="shared" si="1"/>
      </c>
      <c r="C234" s="96">
        <f t="shared" si="10"/>
      </c>
      <c r="D234" s="21">
        <f t="shared" si="12"/>
      </c>
      <c r="E234" s="21">
        <f t="shared" si="14"/>
      </c>
      <c r="F234" s="21">
        <f t="shared" si="16"/>
      </c>
      <c r="G234" s="21">
        <f t="shared" si="18"/>
      </c>
      <c r="H234" s="21">
        <f t="shared" si="20"/>
      </c>
      <c r="I234" s="21">
        <f t="shared" si="22"/>
      </c>
      <c r="J234" s="94">
        <f t="shared" si="24"/>
      </c>
      <c r="K234" s="94">
        <f t="shared" si="26"/>
      </c>
      <c r="L234" s="94">
        <f t="shared" si="28"/>
      </c>
      <c r="M234" s="96">
        <f t="shared" si="29"/>
      </c>
      <c r="X234" s="2">
        <f>IF(214&gt;$AA$5,0,MOD(SMALL($AA$6:$AA$2005,214),10000))</f>
        <v>0</v>
      </c>
      <c r="AA234" s="2">
        <f>IF(AND(ISNUMBER(资金流水!$B$234),ISNUMBER(资金流水!$S$234),资金流水!$S$234&gt;=_辅助!$J$4,资金流水!$S$234&lt;=_辅助!$J$2,OR(资金流水!$C$234=$C$18,AND(资金流水!$AD$234=$C$18,资金流水!$X$234="账户互转"),AND($E$18&lt;&gt;"",资金流水!$J$234=$E$18,资金流水!$X$234="应付职工薪酬"))),INT(资金流水!$B$234)*10000+229,"")</f>
      </c>
      <c r="AB234" s="2">
        <f>AB200+SUM(CB201:CB234)</f>
        <v>0</v>
      </c>
      <c r="CB234" s="2">
        <f>IF(COUNTIFS(资金流水!$J$6:$J$2005,往来单位!$B$237,资金流水!$X$6:$X$2005,"其他应收款",资金流水!$S$6:$S$2005,"&gt;="&amp;_辅助!$J$4,资金流水!$S$6:$S$2005,"&lt;="&amp;_辅助!$J$2)*(往来单位!$B$237&lt;&gt;"")&gt;0,1,0)</f>
        <v>0</v>
      </c>
    </row>
    <row r="235">
      <c r="A235" s="94">
        <f>IF($X235=0,"",215)</f>
      </c>
      <c r="B235" s="95">
        <f t="shared" si="1"/>
      </c>
      <c r="C235" s="96">
        <f t="shared" si="10"/>
      </c>
      <c r="D235" s="21">
        <f t="shared" si="12"/>
      </c>
      <c r="E235" s="21">
        <f t="shared" si="14"/>
      </c>
      <c r="F235" s="21">
        <f t="shared" si="16"/>
      </c>
      <c r="G235" s="21">
        <f t="shared" si="18"/>
      </c>
      <c r="H235" s="21">
        <f t="shared" si="20"/>
      </c>
      <c r="I235" s="21">
        <f t="shared" si="22"/>
      </c>
      <c r="J235" s="94">
        <f t="shared" si="24"/>
      </c>
      <c r="K235" s="94">
        <f t="shared" si="26"/>
      </c>
      <c r="L235" s="94">
        <f t="shared" si="28"/>
      </c>
      <c r="M235" s="96">
        <f t="shared" si="29"/>
      </c>
      <c r="X235" s="2">
        <f>IF(215&gt;$AA$5,0,MOD(SMALL($AA$6:$AA$2005,215),10000))</f>
        <v>0</v>
      </c>
      <c r="AA235" s="2">
        <f>IF(AND(ISNUMBER(资金流水!$B$235),ISNUMBER(资金流水!$S$235),资金流水!$S$235&gt;=_辅助!$J$4,资金流水!$S$235&lt;=_辅助!$J$2,OR(资金流水!$C$235=$C$18,AND(资金流水!$AD$235=$C$18,资金流水!$X$235="账户互转"),AND($E$18&lt;&gt;"",资金流水!$J$235=$E$18,资金流水!$X$235="应付职工薪酬"))),INT(资金流水!$B$235)*10000+230,"")</f>
      </c>
      <c r="AB235" s="2">
        <f>AB200+SUM(CB201:CB235)</f>
        <v>0</v>
      </c>
      <c r="CB235" s="2">
        <f>IF(COUNTIFS(资金流水!$J$6:$J$2005,往来单位!$B$238,资金流水!$X$6:$X$2005,"其他应收款",资金流水!$S$6:$S$2005,"&gt;="&amp;_辅助!$J$4,资金流水!$S$6:$S$2005,"&lt;="&amp;_辅助!$J$2)*(往来单位!$B$238&lt;&gt;"")&gt;0,1,0)</f>
        <v>0</v>
      </c>
    </row>
    <row r="236">
      <c r="A236" s="94">
        <f>IF($X236=0,"",216)</f>
      </c>
      <c r="B236" s="95">
        <f t="shared" si="1"/>
      </c>
      <c r="C236" s="96">
        <f t="shared" si="10"/>
      </c>
      <c r="D236" s="21">
        <f t="shared" si="12"/>
      </c>
      <c r="E236" s="21">
        <f t="shared" si="14"/>
      </c>
      <c r="F236" s="21">
        <f t="shared" si="16"/>
      </c>
      <c r="G236" s="21">
        <f t="shared" si="18"/>
      </c>
      <c r="H236" s="21">
        <f t="shared" si="20"/>
      </c>
      <c r="I236" s="21">
        <f t="shared" si="22"/>
      </c>
      <c r="J236" s="94">
        <f t="shared" si="24"/>
      </c>
      <c r="K236" s="94">
        <f t="shared" si="26"/>
      </c>
      <c r="L236" s="94">
        <f t="shared" si="28"/>
      </c>
      <c r="M236" s="96">
        <f t="shared" si="29"/>
      </c>
      <c r="X236" s="2">
        <f>IF(216&gt;$AA$5,0,MOD(SMALL($AA$6:$AA$2005,216),10000))</f>
        <v>0</v>
      </c>
      <c r="AA236" s="2">
        <f>IF(AND(ISNUMBER(资金流水!$B$236),ISNUMBER(资金流水!$S$236),资金流水!$S$236&gt;=_辅助!$J$4,资金流水!$S$236&lt;=_辅助!$J$2,OR(资金流水!$C$236=$C$18,AND(资金流水!$AD$236=$C$18,资金流水!$X$236="账户互转"),AND($E$18&lt;&gt;"",资金流水!$J$236=$E$18,资金流水!$X$236="应付职工薪酬"))),INT(资金流水!$B$236)*10000+231,"")</f>
      </c>
      <c r="AB236" s="2">
        <f>AB200+SUM(CB201:CB236)</f>
        <v>0</v>
      </c>
      <c r="CB236" s="2">
        <f>IF(COUNTIFS(资金流水!$J$6:$J$2005,往来单位!$B$239,资金流水!$X$6:$X$2005,"其他应收款",资金流水!$S$6:$S$2005,"&gt;="&amp;_辅助!$J$4,资金流水!$S$6:$S$2005,"&lt;="&amp;_辅助!$J$2)*(往来单位!$B$239&lt;&gt;"")&gt;0,1,0)</f>
        <v>0</v>
      </c>
    </row>
    <row r="237">
      <c r="A237" s="94">
        <f>IF($X237=0,"",217)</f>
      </c>
      <c r="B237" s="95">
        <f t="shared" si="1"/>
      </c>
      <c r="C237" s="96">
        <f t="shared" si="10"/>
      </c>
      <c r="D237" s="21">
        <f t="shared" si="12"/>
      </c>
      <c r="E237" s="21">
        <f t="shared" si="14"/>
      </c>
      <c r="F237" s="21">
        <f t="shared" si="16"/>
      </c>
      <c r="G237" s="21">
        <f t="shared" si="18"/>
      </c>
      <c r="H237" s="21">
        <f t="shared" si="20"/>
      </c>
      <c r="I237" s="21">
        <f t="shared" si="22"/>
      </c>
      <c r="J237" s="94">
        <f t="shared" si="24"/>
      </c>
      <c r="K237" s="94">
        <f t="shared" si="26"/>
      </c>
      <c r="L237" s="94">
        <f t="shared" si="28"/>
      </c>
      <c r="M237" s="96">
        <f t="shared" si="29"/>
      </c>
      <c r="X237" s="2">
        <f>IF(217&gt;$AA$5,0,MOD(SMALL($AA$6:$AA$2005,217),10000))</f>
        <v>0</v>
      </c>
      <c r="AA237" s="2">
        <f>IF(AND(ISNUMBER(资金流水!$B$237),ISNUMBER(资金流水!$S$237),资金流水!$S$237&gt;=_辅助!$J$4,资金流水!$S$237&lt;=_辅助!$J$2,OR(资金流水!$C$237=$C$18,AND(资金流水!$AD$237=$C$18,资金流水!$X$237="账户互转"),AND($E$18&lt;&gt;"",资金流水!$J$237=$E$18,资金流水!$X$237="应付职工薪酬"))),INT(资金流水!$B$237)*10000+232,"")</f>
      </c>
      <c r="AB237" s="2">
        <f>AB200+SUM(CB201:CB237)</f>
        <v>0</v>
      </c>
      <c r="CB237" s="2">
        <f>IF(COUNTIFS(资金流水!$J$6:$J$2005,往来单位!$B$240,资金流水!$X$6:$X$2005,"其他应收款",资金流水!$S$6:$S$2005,"&gt;="&amp;_辅助!$J$4,资金流水!$S$6:$S$2005,"&lt;="&amp;_辅助!$J$2)*(往来单位!$B$240&lt;&gt;"")&gt;0,1,0)</f>
        <v>0</v>
      </c>
    </row>
    <row r="238">
      <c r="A238" s="94">
        <f>IF($X238=0,"",218)</f>
      </c>
      <c r="B238" s="95">
        <f t="shared" si="1"/>
      </c>
      <c r="C238" s="96">
        <f t="shared" si="10"/>
      </c>
      <c r="D238" s="21">
        <f t="shared" si="12"/>
      </c>
      <c r="E238" s="21">
        <f t="shared" si="14"/>
      </c>
      <c r="F238" s="21">
        <f t="shared" si="16"/>
      </c>
      <c r="G238" s="21">
        <f t="shared" si="18"/>
      </c>
      <c r="H238" s="21">
        <f t="shared" si="20"/>
      </c>
      <c r="I238" s="21">
        <f t="shared" si="22"/>
      </c>
      <c r="J238" s="94">
        <f t="shared" si="24"/>
      </c>
      <c r="K238" s="94">
        <f t="shared" si="26"/>
      </c>
      <c r="L238" s="94">
        <f t="shared" si="28"/>
      </c>
      <c r="M238" s="96">
        <f t="shared" si="29"/>
      </c>
      <c r="X238" s="2">
        <f>IF(218&gt;$AA$5,0,MOD(SMALL($AA$6:$AA$2005,218),10000))</f>
        <v>0</v>
      </c>
      <c r="AA238" s="2">
        <f>IF(AND(ISNUMBER(资金流水!$B$238),ISNUMBER(资金流水!$S$238),资金流水!$S$238&gt;=_辅助!$J$4,资金流水!$S$238&lt;=_辅助!$J$2,OR(资金流水!$C$238=$C$18,AND(资金流水!$AD$238=$C$18,资金流水!$X$238="账户互转"),AND($E$18&lt;&gt;"",资金流水!$J$238=$E$18,资金流水!$X$238="应付职工薪酬"))),INT(资金流水!$B$238)*10000+233,"")</f>
      </c>
      <c r="AB238" s="2">
        <f>AB200+SUM(CB201:CB238)</f>
        <v>0</v>
      </c>
      <c r="CB238" s="2">
        <f>IF(COUNTIFS(资金流水!$J$6:$J$2005,往来单位!$B$241,资金流水!$X$6:$X$2005,"其他应收款",资金流水!$S$6:$S$2005,"&gt;="&amp;_辅助!$J$4,资金流水!$S$6:$S$2005,"&lt;="&amp;_辅助!$J$2)*(往来单位!$B$241&lt;&gt;"")&gt;0,1,0)</f>
        <v>0</v>
      </c>
    </row>
    <row r="239">
      <c r="A239" s="94">
        <f>IF($X239=0,"",219)</f>
      </c>
      <c r="B239" s="95">
        <f t="shared" si="1"/>
      </c>
      <c r="C239" s="96">
        <f t="shared" si="10"/>
      </c>
      <c r="D239" s="21">
        <f t="shared" si="12"/>
      </c>
      <c r="E239" s="21">
        <f t="shared" si="14"/>
      </c>
      <c r="F239" s="21">
        <f t="shared" si="16"/>
      </c>
      <c r="G239" s="21">
        <f t="shared" si="18"/>
      </c>
      <c r="H239" s="21">
        <f t="shared" si="20"/>
      </c>
      <c r="I239" s="21">
        <f t="shared" si="22"/>
      </c>
      <c r="J239" s="94">
        <f t="shared" si="24"/>
      </c>
      <c r="K239" s="94">
        <f t="shared" si="26"/>
      </c>
      <c r="L239" s="94">
        <f t="shared" si="28"/>
      </c>
      <c r="M239" s="96">
        <f t="shared" si="29"/>
      </c>
      <c r="X239" s="2">
        <f>IF(219&gt;$AA$5,0,MOD(SMALL($AA$6:$AA$2005,219),10000))</f>
        <v>0</v>
      </c>
      <c r="AA239" s="2">
        <f>IF(AND(ISNUMBER(资金流水!$B$239),ISNUMBER(资金流水!$S$239),资金流水!$S$239&gt;=_辅助!$J$4,资金流水!$S$239&lt;=_辅助!$J$2,OR(资金流水!$C$239=$C$18,AND(资金流水!$AD$239=$C$18,资金流水!$X$239="账户互转"),AND($E$18&lt;&gt;"",资金流水!$J$239=$E$18,资金流水!$X$239="应付职工薪酬"))),INT(资金流水!$B$239)*10000+234,"")</f>
      </c>
      <c r="AB239" s="2">
        <f>AB200+SUM(CB201:CB239)</f>
        <v>0</v>
      </c>
      <c r="CB239" s="2">
        <f>IF(COUNTIFS(资金流水!$J$6:$J$2005,往来单位!$B$242,资金流水!$X$6:$X$2005,"其他应收款",资金流水!$S$6:$S$2005,"&gt;="&amp;_辅助!$J$4,资金流水!$S$6:$S$2005,"&lt;="&amp;_辅助!$J$2)*(往来单位!$B$242&lt;&gt;"")&gt;0,1,0)</f>
        <v>0</v>
      </c>
    </row>
    <row r="240">
      <c r="A240" s="94">
        <f>IF($X240=0,"",220)</f>
      </c>
      <c r="B240" s="95">
        <f t="shared" si="1"/>
      </c>
      <c r="C240" s="96">
        <f t="shared" si="10"/>
      </c>
      <c r="D240" s="21">
        <f t="shared" si="12"/>
      </c>
      <c r="E240" s="21">
        <f t="shared" si="14"/>
      </c>
      <c r="F240" s="21">
        <f t="shared" si="16"/>
      </c>
      <c r="G240" s="21">
        <f t="shared" si="18"/>
      </c>
      <c r="H240" s="21">
        <f t="shared" si="20"/>
      </c>
      <c r="I240" s="21">
        <f t="shared" si="22"/>
      </c>
      <c r="J240" s="94">
        <f t="shared" si="24"/>
      </c>
      <c r="K240" s="94">
        <f t="shared" si="26"/>
      </c>
      <c r="L240" s="94">
        <f t="shared" si="28"/>
      </c>
      <c r="M240" s="96">
        <f t="shared" si="29"/>
      </c>
      <c r="X240" s="2">
        <f>IF(220&gt;$AA$5,0,MOD(SMALL($AA$6:$AA$2005,220),10000))</f>
        <v>0</v>
      </c>
      <c r="AA240" s="2">
        <f>IF(AND(ISNUMBER(资金流水!$B$240),ISNUMBER(资金流水!$S$240),资金流水!$S$240&gt;=_辅助!$J$4,资金流水!$S$240&lt;=_辅助!$J$2,OR(资金流水!$C$240=$C$18,AND(资金流水!$AD$240=$C$18,资金流水!$X$240="账户互转"),AND($E$18&lt;&gt;"",资金流水!$J$240=$E$18,资金流水!$X$240="应付职工薪酬"))),INT(资金流水!$B$240)*10000+235,"")</f>
      </c>
      <c r="AB240" s="2">
        <f>AB200+SUM(CB201:CB240)</f>
        <v>0</v>
      </c>
      <c r="CB240" s="2">
        <f>IF(COUNTIFS(资金流水!$J$6:$J$2005,往来单位!$B$243,资金流水!$X$6:$X$2005,"其他应收款",资金流水!$S$6:$S$2005,"&gt;="&amp;_辅助!$J$4,资金流水!$S$6:$S$2005,"&lt;="&amp;_辅助!$J$2)*(往来单位!$B$243&lt;&gt;"")&gt;0,1,0)</f>
        <v>0</v>
      </c>
    </row>
    <row r="241">
      <c r="A241" s="94">
        <f>IF($X241=0,"",221)</f>
      </c>
      <c r="B241" s="95">
        <f t="shared" si="1"/>
      </c>
      <c r="C241" s="96">
        <f t="shared" si="10"/>
      </c>
      <c r="D241" s="21">
        <f t="shared" si="12"/>
      </c>
      <c r="E241" s="21">
        <f t="shared" si="14"/>
      </c>
      <c r="F241" s="21">
        <f t="shared" si="16"/>
      </c>
      <c r="G241" s="21">
        <f t="shared" si="18"/>
      </c>
      <c r="H241" s="21">
        <f t="shared" si="20"/>
      </c>
      <c r="I241" s="21">
        <f t="shared" si="22"/>
      </c>
      <c r="J241" s="94">
        <f t="shared" si="24"/>
      </c>
      <c r="K241" s="94">
        <f t="shared" si="26"/>
      </c>
      <c r="L241" s="94">
        <f t="shared" si="28"/>
      </c>
      <c r="M241" s="96">
        <f t="shared" si="29"/>
      </c>
      <c r="X241" s="2">
        <f>IF(221&gt;$AA$5,0,MOD(SMALL($AA$6:$AA$2005,221),10000))</f>
        <v>0</v>
      </c>
      <c r="AA241" s="2">
        <f>IF(AND(ISNUMBER(资金流水!$B$241),ISNUMBER(资金流水!$S$241),资金流水!$S$241&gt;=_辅助!$J$4,资金流水!$S$241&lt;=_辅助!$J$2,OR(资金流水!$C$241=$C$18,AND(资金流水!$AD$241=$C$18,资金流水!$X$241="账户互转"),AND($E$18&lt;&gt;"",资金流水!$J$241=$E$18,资金流水!$X$241="应付职工薪酬"))),INT(资金流水!$B$241)*10000+236,"")</f>
      </c>
      <c r="AB241" s="2">
        <f>AB200+SUM(CB201:CB241)</f>
        <v>0</v>
      </c>
      <c r="CB241" s="2">
        <f>IF(COUNTIFS(资金流水!$J$6:$J$2005,往来单位!$B$244,资金流水!$X$6:$X$2005,"其他应收款",资金流水!$S$6:$S$2005,"&gt;="&amp;_辅助!$J$4,资金流水!$S$6:$S$2005,"&lt;="&amp;_辅助!$J$2)*(往来单位!$B$244&lt;&gt;"")&gt;0,1,0)</f>
        <v>0</v>
      </c>
    </row>
    <row r="242">
      <c r="A242" s="94">
        <f>IF($X242=0,"",222)</f>
      </c>
      <c r="B242" s="95">
        <f t="shared" si="1"/>
      </c>
      <c r="C242" s="96">
        <f t="shared" si="10"/>
      </c>
      <c r="D242" s="21">
        <f t="shared" si="12"/>
      </c>
      <c r="E242" s="21">
        <f t="shared" si="14"/>
      </c>
      <c r="F242" s="21">
        <f t="shared" si="16"/>
      </c>
      <c r="G242" s="21">
        <f t="shared" si="18"/>
      </c>
      <c r="H242" s="21">
        <f t="shared" si="20"/>
      </c>
      <c r="I242" s="21">
        <f t="shared" si="22"/>
      </c>
      <c r="J242" s="94">
        <f t="shared" si="24"/>
      </c>
      <c r="K242" s="94">
        <f t="shared" si="26"/>
      </c>
      <c r="L242" s="94">
        <f t="shared" si="28"/>
      </c>
      <c r="M242" s="96">
        <f t="shared" si="29"/>
      </c>
      <c r="X242" s="2">
        <f>IF(222&gt;$AA$5,0,MOD(SMALL($AA$6:$AA$2005,222),10000))</f>
        <v>0</v>
      </c>
      <c r="AA242" s="2">
        <f>IF(AND(ISNUMBER(资金流水!$B$242),ISNUMBER(资金流水!$S$242),资金流水!$S$242&gt;=_辅助!$J$4,资金流水!$S$242&lt;=_辅助!$J$2,OR(资金流水!$C$242=$C$18,AND(资金流水!$AD$242=$C$18,资金流水!$X$242="账户互转"),AND($E$18&lt;&gt;"",资金流水!$J$242=$E$18,资金流水!$X$242="应付职工薪酬"))),INT(资金流水!$B$242)*10000+237,"")</f>
      </c>
      <c r="AB242" s="2">
        <f>AB200+SUM(CB201:CB242)</f>
        <v>0</v>
      </c>
      <c r="CB242" s="2">
        <f>IF(COUNTIFS(资金流水!$J$6:$J$2005,往来单位!$B$245,资金流水!$X$6:$X$2005,"其他应收款",资金流水!$S$6:$S$2005,"&gt;="&amp;_辅助!$J$4,资金流水!$S$6:$S$2005,"&lt;="&amp;_辅助!$J$2)*(往来单位!$B$245&lt;&gt;"")&gt;0,1,0)</f>
        <v>0</v>
      </c>
    </row>
    <row r="243">
      <c r="A243" s="94">
        <f>IF($X243=0,"",223)</f>
      </c>
      <c r="B243" s="95">
        <f t="shared" si="1"/>
      </c>
      <c r="C243" s="96">
        <f t="shared" si="10"/>
      </c>
      <c r="D243" s="21">
        <f t="shared" si="12"/>
      </c>
      <c r="E243" s="21">
        <f t="shared" si="14"/>
      </c>
      <c r="F243" s="21">
        <f t="shared" si="16"/>
      </c>
      <c r="G243" s="21">
        <f t="shared" si="18"/>
      </c>
      <c r="H243" s="21">
        <f t="shared" si="20"/>
      </c>
      <c r="I243" s="21">
        <f t="shared" si="22"/>
      </c>
      <c r="J243" s="94">
        <f t="shared" si="24"/>
      </c>
      <c r="K243" s="94">
        <f t="shared" si="26"/>
      </c>
      <c r="L243" s="94">
        <f t="shared" si="28"/>
      </c>
      <c r="M243" s="96">
        <f t="shared" si="29"/>
      </c>
      <c r="X243" s="2">
        <f>IF(223&gt;$AA$5,0,MOD(SMALL($AA$6:$AA$2005,223),10000))</f>
        <v>0</v>
      </c>
      <c r="AA243" s="2">
        <f>IF(AND(ISNUMBER(资金流水!$B$243),ISNUMBER(资金流水!$S$243),资金流水!$S$243&gt;=_辅助!$J$4,资金流水!$S$243&lt;=_辅助!$J$2,OR(资金流水!$C$243=$C$18,AND(资金流水!$AD$243=$C$18,资金流水!$X$243="账户互转"),AND($E$18&lt;&gt;"",资金流水!$J$243=$E$18,资金流水!$X$243="应付职工薪酬"))),INT(资金流水!$B$243)*10000+238,"")</f>
      </c>
      <c r="AB243" s="2">
        <f>AB200+SUM(CB201:CB243)</f>
        <v>0</v>
      </c>
      <c r="CB243" s="2">
        <f>IF(COUNTIFS(资金流水!$J$6:$J$2005,往来单位!$B$246,资金流水!$X$6:$X$2005,"其他应收款",资金流水!$S$6:$S$2005,"&gt;="&amp;_辅助!$J$4,资金流水!$S$6:$S$2005,"&lt;="&amp;_辅助!$J$2)*(往来单位!$B$246&lt;&gt;"")&gt;0,1,0)</f>
        <v>0</v>
      </c>
    </row>
    <row r="244">
      <c r="A244" s="94">
        <f>IF($X244=0,"",224)</f>
      </c>
      <c r="B244" s="95">
        <f t="shared" si="1"/>
      </c>
      <c r="C244" s="96">
        <f t="shared" si="10"/>
      </c>
      <c r="D244" s="21">
        <f t="shared" si="12"/>
      </c>
      <c r="E244" s="21">
        <f t="shared" si="14"/>
      </c>
      <c r="F244" s="21">
        <f t="shared" si="16"/>
      </c>
      <c r="G244" s="21">
        <f t="shared" si="18"/>
      </c>
      <c r="H244" s="21">
        <f t="shared" si="20"/>
      </c>
      <c r="I244" s="21">
        <f t="shared" si="22"/>
      </c>
      <c r="J244" s="94">
        <f t="shared" si="24"/>
      </c>
      <c r="K244" s="94">
        <f t="shared" si="26"/>
      </c>
      <c r="L244" s="94">
        <f t="shared" si="28"/>
      </c>
      <c r="M244" s="96">
        <f t="shared" si="29"/>
      </c>
      <c r="X244" s="2">
        <f>IF(224&gt;$AA$5,0,MOD(SMALL($AA$6:$AA$2005,224),10000))</f>
        <v>0</v>
      </c>
      <c r="AA244" s="2">
        <f>IF(AND(ISNUMBER(资金流水!$B$244),ISNUMBER(资金流水!$S$244),资金流水!$S$244&gt;=_辅助!$J$4,资金流水!$S$244&lt;=_辅助!$J$2,OR(资金流水!$C$244=$C$18,AND(资金流水!$AD$244=$C$18,资金流水!$X$244="账户互转"),AND($E$18&lt;&gt;"",资金流水!$J$244=$E$18,资金流水!$X$244="应付职工薪酬"))),INT(资金流水!$B$244)*10000+239,"")</f>
      </c>
      <c r="AB244" s="2">
        <f>AB200+SUM(CB201:CB244)</f>
        <v>0</v>
      </c>
      <c r="CB244" s="2">
        <f>IF(COUNTIFS(资金流水!$J$6:$J$2005,往来单位!$B$247,资金流水!$X$6:$X$2005,"其他应收款",资金流水!$S$6:$S$2005,"&gt;="&amp;_辅助!$J$4,资金流水!$S$6:$S$2005,"&lt;="&amp;_辅助!$J$2)*(往来单位!$B$247&lt;&gt;"")&gt;0,1,0)</f>
        <v>0</v>
      </c>
    </row>
    <row r="245">
      <c r="A245" s="94">
        <f>IF($X245=0,"",225)</f>
      </c>
      <c r="B245" s="95">
        <f t="shared" si="1"/>
      </c>
      <c r="C245" s="96">
        <f t="shared" si="10"/>
      </c>
      <c r="D245" s="21">
        <f t="shared" si="12"/>
      </c>
      <c r="E245" s="21">
        <f t="shared" si="14"/>
      </c>
      <c r="F245" s="21">
        <f t="shared" si="16"/>
      </c>
      <c r="G245" s="21">
        <f t="shared" si="18"/>
      </c>
      <c r="H245" s="21">
        <f t="shared" si="20"/>
      </c>
      <c r="I245" s="21">
        <f t="shared" si="22"/>
      </c>
      <c r="J245" s="94">
        <f t="shared" si="24"/>
      </c>
      <c r="K245" s="94">
        <f t="shared" si="26"/>
      </c>
      <c r="L245" s="94">
        <f t="shared" si="28"/>
      </c>
      <c r="M245" s="96">
        <f t="shared" si="29"/>
      </c>
      <c r="X245" s="2">
        <f>IF(225&gt;$AA$5,0,MOD(SMALL($AA$6:$AA$2005,225),10000))</f>
        <v>0</v>
      </c>
      <c r="AA245" s="2">
        <f>IF(AND(ISNUMBER(资金流水!$B$245),ISNUMBER(资金流水!$S$245),资金流水!$S$245&gt;=_辅助!$J$4,资金流水!$S$245&lt;=_辅助!$J$2,OR(资金流水!$C$245=$C$18,AND(资金流水!$AD$245=$C$18,资金流水!$X$245="账户互转"),AND($E$18&lt;&gt;"",资金流水!$J$245=$E$18,资金流水!$X$245="应付职工薪酬"))),INT(资金流水!$B$245)*10000+240,"")</f>
      </c>
      <c r="AB245" s="2">
        <f>AB200+SUM(CB201:CB245)</f>
        <v>0</v>
      </c>
      <c r="CB245" s="2">
        <f>IF(COUNTIFS(资金流水!$J$6:$J$2005,往来单位!$B$248,资金流水!$X$6:$X$2005,"其他应收款",资金流水!$S$6:$S$2005,"&gt;="&amp;_辅助!$J$4,资金流水!$S$6:$S$2005,"&lt;="&amp;_辅助!$J$2)*(往来单位!$B$248&lt;&gt;"")&gt;0,1,0)</f>
        <v>0</v>
      </c>
    </row>
    <row r="246">
      <c r="A246" s="94">
        <f>IF($X246=0,"",226)</f>
      </c>
      <c r="B246" s="95">
        <f t="shared" si="1"/>
      </c>
      <c r="C246" s="96">
        <f t="shared" si="10"/>
      </c>
      <c r="D246" s="21">
        <f t="shared" si="12"/>
      </c>
      <c r="E246" s="21">
        <f t="shared" si="14"/>
      </c>
      <c r="F246" s="21">
        <f t="shared" si="16"/>
      </c>
      <c r="G246" s="21">
        <f t="shared" si="18"/>
      </c>
      <c r="H246" s="21">
        <f t="shared" si="20"/>
      </c>
      <c r="I246" s="21">
        <f t="shared" si="22"/>
      </c>
      <c r="J246" s="94">
        <f t="shared" si="24"/>
      </c>
      <c r="K246" s="94">
        <f t="shared" si="26"/>
      </c>
      <c r="L246" s="94">
        <f t="shared" si="28"/>
      </c>
      <c r="M246" s="96">
        <f t="shared" si="29"/>
      </c>
      <c r="X246" s="2">
        <f>IF(226&gt;$AA$5,0,MOD(SMALL($AA$6:$AA$2005,226),10000))</f>
        <v>0</v>
      </c>
      <c r="AA246" s="2">
        <f>IF(AND(ISNUMBER(资金流水!$B$246),ISNUMBER(资金流水!$S$246),资金流水!$S$246&gt;=_辅助!$J$4,资金流水!$S$246&lt;=_辅助!$J$2,OR(资金流水!$C$246=$C$18,AND(资金流水!$AD$246=$C$18,资金流水!$X$246="账户互转"),AND($E$18&lt;&gt;"",资金流水!$J$246=$E$18,资金流水!$X$246="应付职工薪酬"))),INT(资金流水!$B$246)*10000+241,"")</f>
      </c>
      <c r="AB246" s="2">
        <f>AB200+SUM(CB201:CB246)</f>
        <v>0</v>
      </c>
      <c r="CB246" s="2">
        <f>IF(COUNTIFS(资金流水!$J$6:$J$2005,往来单位!$B$249,资金流水!$X$6:$X$2005,"其他应收款",资金流水!$S$6:$S$2005,"&gt;="&amp;_辅助!$J$4,资金流水!$S$6:$S$2005,"&lt;="&amp;_辅助!$J$2)*(往来单位!$B$249&lt;&gt;"")&gt;0,1,0)</f>
        <v>0</v>
      </c>
    </row>
    <row r="247">
      <c r="A247" s="94">
        <f>IF($X247=0,"",227)</f>
      </c>
      <c r="B247" s="95">
        <f t="shared" si="1"/>
      </c>
      <c r="C247" s="96">
        <f t="shared" si="10"/>
      </c>
      <c r="D247" s="21">
        <f t="shared" si="12"/>
      </c>
      <c r="E247" s="21">
        <f t="shared" si="14"/>
      </c>
      <c r="F247" s="21">
        <f t="shared" si="16"/>
      </c>
      <c r="G247" s="21">
        <f t="shared" si="18"/>
      </c>
      <c r="H247" s="21">
        <f t="shared" si="20"/>
      </c>
      <c r="I247" s="21">
        <f t="shared" si="22"/>
      </c>
      <c r="J247" s="94">
        <f t="shared" si="24"/>
      </c>
      <c r="K247" s="94">
        <f t="shared" si="26"/>
      </c>
      <c r="L247" s="94">
        <f t="shared" si="28"/>
      </c>
      <c r="M247" s="96">
        <f t="shared" si="29"/>
      </c>
      <c r="X247" s="2">
        <f>IF(227&gt;$AA$5,0,MOD(SMALL($AA$6:$AA$2005,227),10000))</f>
        <v>0</v>
      </c>
      <c r="AA247" s="2">
        <f>IF(AND(ISNUMBER(资金流水!$B$247),ISNUMBER(资金流水!$S$247),资金流水!$S$247&gt;=_辅助!$J$4,资金流水!$S$247&lt;=_辅助!$J$2,OR(资金流水!$C$247=$C$18,AND(资金流水!$AD$247=$C$18,资金流水!$X$247="账户互转"),AND($E$18&lt;&gt;"",资金流水!$J$247=$E$18,资金流水!$X$247="应付职工薪酬"))),INT(资金流水!$B$247)*10000+242,"")</f>
      </c>
      <c r="AB247" s="2">
        <f>AB200+SUM(CB201:CB247)</f>
        <v>0</v>
      </c>
      <c r="CB247" s="2">
        <f>IF(COUNTIFS(资金流水!$J$6:$J$2005,往来单位!$B$250,资金流水!$X$6:$X$2005,"其他应收款",资金流水!$S$6:$S$2005,"&gt;="&amp;_辅助!$J$4,资金流水!$S$6:$S$2005,"&lt;="&amp;_辅助!$J$2)*(往来单位!$B$250&lt;&gt;"")&gt;0,1,0)</f>
        <v>0</v>
      </c>
    </row>
    <row r="248">
      <c r="A248" s="94">
        <f>IF($X248=0,"",228)</f>
      </c>
      <c r="B248" s="95">
        <f t="shared" si="1"/>
      </c>
      <c r="C248" s="96">
        <f t="shared" si="10"/>
      </c>
      <c r="D248" s="21">
        <f t="shared" si="12"/>
      </c>
      <c r="E248" s="21">
        <f t="shared" si="14"/>
      </c>
      <c r="F248" s="21">
        <f t="shared" si="16"/>
      </c>
      <c r="G248" s="21">
        <f t="shared" si="18"/>
      </c>
      <c r="H248" s="21">
        <f t="shared" si="20"/>
      </c>
      <c r="I248" s="21">
        <f t="shared" si="22"/>
      </c>
      <c r="J248" s="94">
        <f t="shared" si="24"/>
      </c>
      <c r="K248" s="94">
        <f t="shared" si="26"/>
      </c>
      <c r="L248" s="94">
        <f t="shared" si="28"/>
      </c>
      <c r="M248" s="96">
        <f t="shared" si="29"/>
      </c>
      <c r="X248" s="2">
        <f>IF(228&gt;$AA$5,0,MOD(SMALL($AA$6:$AA$2005,228),10000))</f>
        <v>0</v>
      </c>
      <c r="AA248" s="2">
        <f>IF(AND(ISNUMBER(资金流水!$B$248),ISNUMBER(资金流水!$S$248),资金流水!$S$248&gt;=_辅助!$J$4,资金流水!$S$248&lt;=_辅助!$J$2,OR(资金流水!$C$248=$C$18,AND(资金流水!$AD$248=$C$18,资金流水!$X$248="账户互转"),AND($E$18&lt;&gt;"",资金流水!$J$248=$E$18,资金流水!$X$248="应付职工薪酬"))),INT(资金流水!$B$248)*10000+243,"")</f>
      </c>
      <c r="AB248" s="2">
        <f>AB200+SUM(CB201:CB248)</f>
        <v>0</v>
      </c>
      <c r="CB248" s="2">
        <f>IF(COUNTIFS(资金流水!$J$6:$J$2005,往来单位!$B$251,资金流水!$X$6:$X$2005,"其他应收款",资金流水!$S$6:$S$2005,"&gt;="&amp;_辅助!$J$4,资金流水!$S$6:$S$2005,"&lt;="&amp;_辅助!$J$2)*(往来单位!$B$251&lt;&gt;"")&gt;0,1,0)</f>
        <v>0</v>
      </c>
    </row>
    <row r="249">
      <c r="A249" s="94">
        <f>IF($X249=0,"",229)</f>
      </c>
      <c r="B249" s="95">
        <f t="shared" si="1"/>
      </c>
      <c r="C249" s="96">
        <f t="shared" si="10"/>
      </c>
      <c r="D249" s="21">
        <f t="shared" si="12"/>
      </c>
      <c r="E249" s="21">
        <f t="shared" si="14"/>
      </c>
      <c r="F249" s="21">
        <f t="shared" si="16"/>
      </c>
      <c r="G249" s="21">
        <f t="shared" si="18"/>
      </c>
      <c r="H249" s="21">
        <f t="shared" si="20"/>
      </c>
      <c r="I249" s="21">
        <f t="shared" si="22"/>
      </c>
      <c r="J249" s="94">
        <f t="shared" si="24"/>
      </c>
      <c r="K249" s="94">
        <f t="shared" si="26"/>
      </c>
      <c r="L249" s="94">
        <f t="shared" si="28"/>
      </c>
      <c r="M249" s="96">
        <f t="shared" si="29"/>
      </c>
      <c r="X249" s="2">
        <f>IF(229&gt;$AA$5,0,MOD(SMALL($AA$6:$AA$2005,229),10000))</f>
        <v>0</v>
      </c>
      <c r="AA249" s="2">
        <f>IF(AND(ISNUMBER(资金流水!$B$249),ISNUMBER(资金流水!$S$249),资金流水!$S$249&gt;=_辅助!$J$4,资金流水!$S$249&lt;=_辅助!$J$2,OR(资金流水!$C$249=$C$18,AND(资金流水!$AD$249=$C$18,资金流水!$X$249="账户互转"),AND($E$18&lt;&gt;"",资金流水!$J$249=$E$18,资金流水!$X$249="应付职工薪酬"))),INT(资金流水!$B$249)*10000+244,"")</f>
      </c>
      <c r="AB249" s="2">
        <f>AB200+SUM(CB201:CB249)</f>
        <v>0</v>
      </c>
      <c r="CB249" s="2">
        <f>IF(COUNTIFS(资金流水!$J$6:$J$2005,往来单位!$B$252,资金流水!$X$6:$X$2005,"其他应收款",资金流水!$S$6:$S$2005,"&gt;="&amp;_辅助!$J$4,资金流水!$S$6:$S$2005,"&lt;="&amp;_辅助!$J$2)*(往来单位!$B$252&lt;&gt;"")&gt;0,1,0)</f>
        <v>0</v>
      </c>
    </row>
    <row r="250">
      <c r="A250" s="94">
        <f>IF($X250=0,"",230)</f>
      </c>
      <c r="B250" s="95">
        <f t="shared" si="1"/>
      </c>
      <c r="C250" s="96">
        <f t="shared" si="10"/>
      </c>
      <c r="D250" s="21">
        <f t="shared" si="12"/>
      </c>
      <c r="E250" s="21">
        <f t="shared" si="14"/>
      </c>
      <c r="F250" s="21">
        <f t="shared" si="16"/>
      </c>
      <c r="G250" s="21">
        <f t="shared" si="18"/>
      </c>
      <c r="H250" s="21">
        <f t="shared" si="20"/>
      </c>
      <c r="I250" s="21">
        <f t="shared" si="22"/>
      </c>
      <c r="J250" s="94">
        <f t="shared" si="24"/>
      </c>
      <c r="K250" s="94">
        <f t="shared" si="26"/>
      </c>
      <c r="L250" s="94">
        <f t="shared" si="28"/>
      </c>
      <c r="M250" s="96">
        <f t="shared" si="29"/>
      </c>
      <c r="X250" s="2">
        <f>IF(230&gt;$AA$5,0,MOD(SMALL($AA$6:$AA$2005,230),10000))</f>
        <v>0</v>
      </c>
      <c r="AA250" s="2">
        <f>IF(AND(ISNUMBER(资金流水!$B$250),ISNUMBER(资金流水!$S$250),资金流水!$S$250&gt;=_辅助!$J$4,资金流水!$S$250&lt;=_辅助!$J$2,OR(资金流水!$C$250=$C$18,AND(资金流水!$AD$250=$C$18,资金流水!$X$250="账户互转"),AND($E$18&lt;&gt;"",资金流水!$J$250=$E$18,资金流水!$X$250="应付职工薪酬"))),INT(资金流水!$B$250)*10000+245,"")</f>
      </c>
      <c r="AB250" s="2">
        <f>AB200+SUM(CB201:CB250)</f>
        <v>0</v>
      </c>
      <c r="CB250" s="2">
        <f>IF(COUNTIFS(资金流水!$J$6:$J$2005,往来单位!$B$253,资金流水!$X$6:$X$2005,"其他应收款",资金流水!$S$6:$S$2005,"&gt;="&amp;_辅助!$J$4,资金流水!$S$6:$S$2005,"&lt;="&amp;_辅助!$J$2)*(往来单位!$B$253&lt;&gt;"")&gt;0,1,0)</f>
        <v>0</v>
      </c>
    </row>
    <row r="251">
      <c r="A251" s="94">
        <f>IF($X251=0,"",231)</f>
      </c>
      <c r="B251" s="95">
        <f t="shared" si="1"/>
      </c>
      <c r="C251" s="96">
        <f t="shared" si="10"/>
      </c>
      <c r="D251" s="21">
        <f t="shared" si="12"/>
      </c>
      <c r="E251" s="21">
        <f t="shared" si="14"/>
      </c>
      <c r="F251" s="21">
        <f t="shared" si="16"/>
      </c>
      <c r="G251" s="21">
        <f t="shared" si="18"/>
      </c>
      <c r="H251" s="21">
        <f t="shared" si="20"/>
      </c>
      <c r="I251" s="21">
        <f t="shared" si="22"/>
      </c>
      <c r="J251" s="94">
        <f t="shared" si="24"/>
      </c>
      <c r="K251" s="94">
        <f t="shared" si="26"/>
      </c>
      <c r="L251" s="94">
        <f t="shared" si="28"/>
      </c>
      <c r="M251" s="96">
        <f t="shared" si="29"/>
      </c>
      <c r="X251" s="2">
        <f>IF(231&gt;$AA$5,0,MOD(SMALL($AA$6:$AA$2005,231),10000))</f>
        <v>0</v>
      </c>
      <c r="AA251" s="2">
        <f>IF(AND(ISNUMBER(资金流水!$B$251),ISNUMBER(资金流水!$S$251),资金流水!$S$251&gt;=_辅助!$J$4,资金流水!$S$251&lt;=_辅助!$J$2,OR(资金流水!$C$251=$C$18,AND(资金流水!$AD$251=$C$18,资金流水!$X$251="账户互转"),AND($E$18&lt;&gt;"",资金流水!$J$251=$E$18,资金流水!$X$251="应付职工薪酬"))),INT(资金流水!$B$251)*10000+246,"")</f>
      </c>
      <c r="AB251" s="2">
        <f>AB250+SUM(CB251:CB251)</f>
        <v>0</v>
      </c>
      <c r="CB251" s="2">
        <f>IF(COUNTIFS(资金流水!$J$6:$J$2005,往来单位!$B$254,资金流水!$X$6:$X$2005,"其他应收款",资金流水!$S$6:$S$2005,"&gt;="&amp;_辅助!$J$4,资金流水!$S$6:$S$2005,"&lt;="&amp;_辅助!$J$2)*(往来单位!$B$254&lt;&gt;"")&gt;0,1,0)</f>
        <v>0</v>
      </c>
    </row>
    <row r="252">
      <c r="A252" s="94">
        <f>IF($X252=0,"",232)</f>
      </c>
      <c r="B252" s="95">
        <f t="shared" si="1"/>
      </c>
      <c r="C252" s="96">
        <f t="shared" si="10"/>
      </c>
      <c r="D252" s="21">
        <f t="shared" si="12"/>
      </c>
      <c r="E252" s="21">
        <f t="shared" si="14"/>
      </c>
      <c r="F252" s="21">
        <f t="shared" si="16"/>
      </c>
      <c r="G252" s="21">
        <f t="shared" si="18"/>
      </c>
      <c r="H252" s="21">
        <f t="shared" si="20"/>
      </c>
      <c r="I252" s="21">
        <f t="shared" si="22"/>
      </c>
      <c r="J252" s="94">
        <f t="shared" si="24"/>
      </c>
      <c r="K252" s="94">
        <f t="shared" si="26"/>
      </c>
      <c r="L252" s="94">
        <f t="shared" si="28"/>
      </c>
      <c r="M252" s="96">
        <f t="shared" si="29"/>
      </c>
      <c r="X252" s="2">
        <f>IF(232&gt;$AA$5,0,MOD(SMALL($AA$6:$AA$2005,232),10000))</f>
        <v>0</v>
      </c>
      <c r="AA252" s="2">
        <f>IF(AND(ISNUMBER(资金流水!$B$252),ISNUMBER(资金流水!$S$252),资金流水!$S$252&gt;=_辅助!$J$4,资金流水!$S$252&lt;=_辅助!$J$2,OR(资金流水!$C$252=$C$18,AND(资金流水!$AD$252=$C$18,资金流水!$X$252="账户互转"),AND($E$18&lt;&gt;"",资金流水!$J$252=$E$18,资金流水!$X$252="应付职工薪酬"))),INT(资金流水!$B$252)*10000+247,"")</f>
      </c>
      <c r="AB252" s="2">
        <f>AB250+SUM(CB251:CB252)</f>
        <v>0</v>
      </c>
      <c r="CB252" s="2">
        <f>IF(COUNTIFS(资金流水!$J$6:$J$2005,往来单位!$B$255,资金流水!$X$6:$X$2005,"其他应收款",资金流水!$S$6:$S$2005,"&gt;="&amp;_辅助!$J$4,资金流水!$S$6:$S$2005,"&lt;="&amp;_辅助!$J$2)*(往来单位!$B$255&lt;&gt;"")&gt;0,1,0)</f>
        <v>0</v>
      </c>
    </row>
    <row r="253">
      <c r="A253" s="94">
        <f>IF($X253=0,"",233)</f>
      </c>
      <c r="B253" s="95">
        <f t="shared" si="1"/>
      </c>
      <c r="C253" s="96">
        <f t="shared" si="10"/>
      </c>
      <c r="D253" s="21">
        <f t="shared" si="12"/>
      </c>
      <c r="E253" s="21">
        <f t="shared" si="14"/>
      </c>
      <c r="F253" s="21">
        <f t="shared" si="16"/>
      </c>
      <c r="G253" s="21">
        <f t="shared" si="18"/>
      </c>
      <c r="H253" s="21">
        <f t="shared" si="20"/>
      </c>
      <c r="I253" s="21">
        <f t="shared" si="22"/>
      </c>
      <c r="J253" s="94">
        <f t="shared" si="24"/>
      </c>
      <c r="K253" s="94">
        <f t="shared" si="26"/>
      </c>
      <c r="L253" s="94">
        <f t="shared" si="28"/>
      </c>
      <c r="M253" s="96">
        <f t="shared" si="29"/>
      </c>
      <c r="X253" s="2">
        <f>IF(233&gt;$AA$5,0,MOD(SMALL($AA$6:$AA$2005,233),10000))</f>
        <v>0</v>
      </c>
      <c r="AA253" s="2">
        <f>IF(AND(ISNUMBER(资金流水!$B$253),ISNUMBER(资金流水!$S$253),资金流水!$S$253&gt;=_辅助!$J$4,资金流水!$S$253&lt;=_辅助!$J$2,OR(资金流水!$C$253=$C$18,AND(资金流水!$AD$253=$C$18,资金流水!$X$253="账户互转"),AND($E$18&lt;&gt;"",资金流水!$J$253=$E$18,资金流水!$X$253="应付职工薪酬"))),INT(资金流水!$B$253)*10000+248,"")</f>
      </c>
      <c r="AB253" s="2">
        <f>AB250+SUM(CB251:CB253)</f>
        <v>0</v>
      </c>
      <c r="CB253" s="2">
        <f>IF(COUNTIFS(资金流水!$J$6:$J$2005,往来单位!$B$256,资金流水!$X$6:$X$2005,"其他应收款",资金流水!$S$6:$S$2005,"&gt;="&amp;_辅助!$J$4,资金流水!$S$6:$S$2005,"&lt;="&amp;_辅助!$J$2)*(往来单位!$B$256&lt;&gt;"")&gt;0,1,0)</f>
        <v>0</v>
      </c>
    </row>
    <row r="254">
      <c r="A254" s="94">
        <f>IF($X254=0,"",234)</f>
      </c>
      <c r="B254" s="95">
        <f t="shared" si="1"/>
      </c>
      <c r="C254" s="96">
        <f t="shared" si="10"/>
      </c>
      <c r="D254" s="21">
        <f t="shared" si="12"/>
      </c>
      <c r="E254" s="21">
        <f t="shared" si="14"/>
      </c>
      <c r="F254" s="21">
        <f t="shared" si="16"/>
      </c>
      <c r="G254" s="21">
        <f t="shared" si="18"/>
      </c>
      <c r="H254" s="21">
        <f t="shared" si="20"/>
      </c>
      <c r="I254" s="21">
        <f t="shared" si="22"/>
      </c>
      <c r="J254" s="94">
        <f t="shared" si="24"/>
      </c>
      <c r="K254" s="94">
        <f t="shared" si="26"/>
      </c>
      <c r="L254" s="94">
        <f t="shared" si="28"/>
      </c>
      <c r="M254" s="96">
        <f t="shared" si="29"/>
      </c>
      <c r="X254" s="2">
        <f>IF(234&gt;$AA$5,0,MOD(SMALL($AA$6:$AA$2005,234),10000))</f>
        <v>0</v>
      </c>
      <c r="AA254" s="2">
        <f>IF(AND(ISNUMBER(资金流水!$B$254),ISNUMBER(资金流水!$S$254),资金流水!$S$254&gt;=_辅助!$J$4,资金流水!$S$254&lt;=_辅助!$J$2,OR(资金流水!$C$254=$C$18,AND(资金流水!$AD$254=$C$18,资金流水!$X$254="账户互转"),AND($E$18&lt;&gt;"",资金流水!$J$254=$E$18,资金流水!$X$254="应付职工薪酬"))),INT(资金流水!$B$254)*10000+249,"")</f>
      </c>
      <c r="AB254" s="2">
        <f>AB250+SUM(CB251:CB254)</f>
        <v>0</v>
      </c>
      <c r="CB254" s="2">
        <f>IF(COUNTIFS(资金流水!$J$6:$J$2005,往来单位!$B$257,资金流水!$X$6:$X$2005,"其他应收款",资金流水!$S$6:$S$2005,"&gt;="&amp;_辅助!$J$4,资金流水!$S$6:$S$2005,"&lt;="&amp;_辅助!$J$2)*(往来单位!$B$257&lt;&gt;"")&gt;0,1,0)</f>
        <v>0</v>
      </c>
    </row>
    <row r="255">
      <c r="A255" s="94">
        <f>IF($X255=0,"",235)</f>
      </c>
      <c r="B255" s="95">
        <f t="shared" si="1"/>
      </c>
      <c r="C255" s="96">
        <f t="shared" si="10"/>
      </c>
      <c r="D255" s="21">
        <f t="shared" si="12"/>
      </c>
      <c r="E255" s="21">
        <f t="shared" si="14"/>
      </c>
      <c r="F255" s="21">
        <f t="shared" si="16"/>
      </c>
      <c r="G255" s="21">
        <f t="shared" si="18"/>
      </c>
      <c r="H255" s="21">
        <f t="shared" si="20"/>
      </c>
      <c r="I255" s="21">
        <f t="shared" si="22"/>
      </c>
      <c r="J255" s="94">
        <f t="shared" si="24"/>
      </c>
      <c r="K255" s="94">
        <f t="shared" si="26"/>
      </c>
      <c r="L255" s="94">
        <f t="shared" si="28"/>
      </c>
      <c r="M255" s="96">
        <f t="shared" si="29"/>
      </c>
      <c r="X255" s="2">
        <f>IF(235&gt;$AA$5,0,MOD(SMALL($AA$6:$AA$2005,235),10000))</f>
        <v>0</v>
      </c>
      <c r="AA255" s="2">
        <f>IF(AND(ISNUMBER(资金流水!$B$255),ISNUMBER(资金流水!$S$255),资金流水!$S$255&gt;=_辅助!$J$4,资金流水!$S$255&lt;=_辅助!$J$2,OR(资金流水!$C$255=$C$18,AND(资金流水!$AD$255=$C$18,资金流水!$X$255="账户互转"),AND($E$18&lt;&gt;"",资金流水!$J$255=$E$18,资金流水!$X$255="应付职工薪酬"))),INT(资金流水!$B$255)*10000+250,"")</f>
      </c>
      <c r="AB255" s="2">
        <f>AB250+SUM(CB251:CB255)</f>
        <v>0</v>
      </c>
      <c r="CB255" s="2">
        <f>IF(COUNTIFS(资金流水!$J$6:$J$2005,往来单位!$B$258,资金流水!$X$6:$X$2005,"其他应收款",资金流水!$S$6:$S$2005,"&gt;="&amp;_辅助!$J$4,资金流水!$S$6:$S$2005,"&lt;="&amp;_辅助!$J$2)*(往来单位!$B$258&lt;&gt;"")&gt;0,1,0)</f>
        <v>0</v>
      </c>
    </row>
    <row r="256">
      <c r="A256" s="94">
        <f>IF($X256=0,"",236)</f>
      </c>
      <c r="B256" s="95">
        <f t="shared" si="1"/>
      </c>
      <c r="C256" s="96">
        <f t="shared" si="10"/>
      </c>
      <c r="D256" s="21">
        <f t="shared" si="12"/>
      </c>
      <c r="E256" s="21">
        <f t="shared" si="14"/>
      </c>
      <c r="F256" s="21">
        <f t="shared" si="16"/>
      </c>
      <c r="G256" s="21">
        <f t="shared" si="18"/>
      </c>
      <c r="H256" s="21">
        <f t="shared" si="20"/>
      </c>
      <c r="I256" s="21">
        <f t="shared" si="22"/>
      </c>
      <c r="J256" s="94">
        <f t="shared" si="24"/>
      </c>
      <c r="K256" s="94">
        <f t="shared" si="26"/>
      </c>
      <c r="L256" s="94">
        <f t="shared" si="28"/>
      </c>
      <c r="M256" s="96">
        <f t="shared" si="29"/>
      </c>
      <c r="X256" s="2">
        <f>IF(236&gt;$AA$5,0,MOD(SMALL($AA$6:$AA$2005,236),10000))</f>
        <v>0</v>
      </c>
      <c r="AA256" s="2">
        <f>IF(AND(ISNUMBER(资金流水!$B$256),ISNUMBER(资金流水!$S$256),资金流水!$S$256&gt;=_辅助!$J$4,资金流水!$S$256&lt;=_辅助!$J$2,OR(资金流水!$C$256=$C$18,AND(资金流水!$AD$256=$C$18,资金流水!$X$256="账户互转"),AND($E$18&lt;&gt;"",资金流水!$J$256=$E$18,资金流水!$X$256="应付职工薪酬"))),INT(资金流水!$B$256)*10000+251,"")</f>
      </c>
      <c r="AB256" s="2">
        <f>AB250+SUM(CB251:CB256)</f>
        <v>0</v>
      </c>
      <c r="CB256" s="2">
        <f>IF(COUNTIFS(资金流水!$J$6:$J$2005,往来单位!$B$259,资金流水!$X$6:$X$2005,"其他应收款",资金流水!$S$6:$S$2005,"&gt;="&amp;_辅助!$J$4,资金流水!$S$6:$S$2005,"&lt;="&amp;_辅助!$J$2)*(往来单位!$B$259&lt;&gt;"")&gt;0,1,0)</f>
        <v>0</v>
      </c>
    </row>
    <row r="257">
      <c r="A257" s="94">
        <f>IF($X257=0,"",237)</f>
      </c>
      <c r="B257" s="95">
        <f t="shared" si="1"/>
      </c>
      <c r="C257" s="96">
        <f t="shared" si="10"/>
      </c>
      <c r="D257" s="21">
        <f t="shared" si="12"/>
      </c>
      <c r="E257" s="21">
        <f t="shared" si="14"/>
      </c>
      <c r="F257" s="21">
        <f t="shared" si="16"/>
      </c>
      <c r="G257" s="21">
        <f t="shared" si="18"/>
      </c>
      <c r="H257" s="21">
        <f t="shared" si="20"/>
      </c>
      <c r="I257" s="21">
        <f t="shared" si="22"/>
      </c>
      <c r="J257" s="94">
        <f t="shared" si="24"/>
      </c>
      <c r="K257" s="94">
        <f t="shared" si="26"/>
      </c>
      <c r="L257" s="94">
        <f t="shared" si="28"/>
      </c>
      <c r="M257" s="96">
        <f t="shared" si="29"/>
      </c>
      <c r="X257" s="2">
        <f>IF(237&gt;$AA$5,0,MOD(SMALL($AA$6:$AA$2005,237),10000))</f>
        <v>0</v>
      </c>
      <c r="AA257" s="2">
        <f>IF(AND(ISNUMBER(资金流水!$B$257),ISNUMBER(资金流水!$S$257),资金流水!$S$257&gt;=_辅助!$J$4,资金流水!$S$257&lt;=_辅助!$J$2,OR(资金流水!$C$257=$C$18,AND(资金流水!$AD$257=$C$18,资金流水!$X$257="账户互转"),AND($E$18&lt;&gt;"",资金流水!$J$257=$E$18,资金流水!$X$257="应付职工薪酬"))),INT(资金流水!$B$257)*10000+252,"")</f>
      </c>
      <c r="AB257" s="2">
        <f>AB250+SUM(CB251:CB257)</f>
        <v>0</v>
      </c>
      <c r="CB257" s="2">
        <f>IF(COUNTIFS(资金流水!$J$6:$J$2005,往来单位!$B$260,资金流水!$X$6:$X$2005,"其他应收款",资金流水!$S$6:$S$2005,"&gt;="&amp;_辅助!$J$4,资金流水!$S$6:$S$2005,"&lt;="&amp;_辅助!$J$2)*(往来单位!$B$260&lt;&gt;"")&gt;0,1,0)</f>
        <v>0</v>
      </c>
    </row>
    <row r="258">
      <c r="A258" s="94">
        <f>IF($X258=0,"",238)</f>
      </c>
      <c r="B258" s="95">
        <f t="shared" si="1"/>
      </c>
      <c r="C258" s="96">
        <f t="shared" si="10"/>
      </c>
      <c r="D258" s="21">
        <f t="shared" si="12"/>
      </c>
      <c r="E258" s="21">
        <f t="shared" si="14"/>
      </c>
      <c r="F258" s="21">
        <f t="shared" si="16"/>
      </c>
      <c r="G258" s="21">
        <f t="shared" si="18"/>
      </c>
      <c r="H258" s="21">
        <f t="shared" si="20"/>
      </c>
      <c r="I258" s="21">
        <f t="shared" si="22"/>
      </c>
      <c r="J258" s="94">
        <f t="shared" si="24"/>
      </c>
      <c r="K258" s="94">
        <f t="shared" si="26"/>
      </c>
      <c r="L258" s="94">
        <f t="shared" si="28"/>
      </c>
      <c r="M258" s="96">
        <f t="shared" si="29"/>
      </c>
      <c r="X258" s="2">
        <f>IF(238&gt;$AA$5,0,MOD(SMALL($AA$6:$AA$2005,238),10000))</f>
        <v>0</v>
      </c>
      <c r="AA258" s="2">
        <f>IF(AND(ISNUMBER(资金流水!$B$258),ISNUMBER(资金流水!$S$258),资金流水!$S$258&gt;=_辅助!$J$4,资金流水!$S$258&lt;=_辅助!$J$2,OR(资金流水!$C$258=$C$18,AND(资金流水!$AD$258=$C$18,资金流水!$X$258="账户互转"),AND($E$18&lt;&gt;"",资金流水!$J$258=$E$18,资金流水!$X$258="应付职工薪酬"))),INT(资金流水!$B$258)*10000+253,"")</f>
      </c>
      <c r="AB258" s="2">
        <f>AB250+SUM(CB251:CB258)</f>
        <v>0</v>
      </c>
      <c r="CB258" s="2">
        <f>IF(COUNTIFS(资金流水!$J$6:$J$2005,往来单位!$B$261,资金流水!$X$6:$X$2005,"其他应收款",资金流水!$S$6:$S$2005,"&gt;="&amp;_辅助!$J$4,资金流水!$S$6:$S$2005,"&lt;="&amp;_辅助!$J$2)*(往来单位!$B$261&lt;&gt;"")&gt;0,1,0)</f>
        <v>0</v>
      </c>
    </row>
    <row r="259">
      <c r="A259" s="94">
        <f>IF($X259=0,"",239)</f>
      </c>
      <c r="B259" s="95">
        <f t="shared" si="1"/>
      </c>
      <c r="C259" s="96">
        <f t="shared" si="10"/>
      </c>
      <c r="D259" s="21">
        <f t="shared" si="12"/>
      </c>
      <c r="E259" s="21">
        <f t="shared" si="14"/>
      </c>
      <c r="F259" s="21">
        <f t="shared" si="16"/>
      </c>
      <c r="G259" s="21">
        <f t="shared" si="18"/>
      </c>
      <c r="H259" s="21">
        <f t="shared" si="20"/>
      </c>
      <c r="I259" s="21">
        <f t="shared" si="22"/>
      </c>
      <c r="J259" s="94">
        <f t="shared" si="24"/>
      </c>
      <c r="K259" s="94">
        <f t="shared" si="26"/>
      </c>
      <c r="L259" s="94">
        <f t="shared" si="28"/>
      </c>
      <c r="M259" s="96">
        <f t="shared" si="29"/>
      </c>
      <c r="X259" s="2">
        <f>IF(239&gt;$AA$5,0,MOD(SMALL($AA$6:$AA$2005,239),10000))</f>
        <v>0</v>
      </c>
      <c r="AA259" s="2">
        <f>IF(AND(ISNUMBER(资金流水!$B$259),ISNUMBER(资金流水!$S$259),资金流水!$S$259&gt;=_辅助!$J$4,资金流水!$S$259&lt;=_辅助!$J$2,OR(资金流水!$C$259=$C$18,AND(资金流水!$AD$259=$C$18,资金流水!$X$259="账户互转"),AND($E$18&lt;&gt;"",资金流水!$J$259=$E$18,资金流水!$X$259="应付职工薪酬"))),INT(资金流水!$B$259)*10000+254,"")</f>
      </c>
      <c r="AB259" s="2">
        <f>AB250+SUM(CB251:CB259)</f>
        <v>0</v>
      </c>
      <c r="CB259" s="2">
        <f>IF(COUNTIFS(资金流水!$J$6:$J$2005,往来单位!$B$262,资金流水!$X$6:$X$2005,"其他应收款",资金流水!$S$6:$S$2005,"&gt;="&amp;_辅助!$J$4,资金流水!$S$6:$S$2005,"&lt;="&amp;_辅助!$J$2)*(往来单位!$B$262&lt;&gt;"")&gt;0,1,0)</f>
        <v>0</v>
      </c>
    </row>
    <row r="260">
      <c r="A260" s="94">
        <f>IF($X260=0,"",240)</f>
      </c>
      <c r="B260" s="95">
        <f t="shared" si="1"/>
      </c>
      <c r="C260" s="96">
        <f t="shared" si="10"/>
      </c>
      <c r="D260" s="21">
        <f t="shared" si="12"/>
      </c>
      <c r="E260" s="21">
        <f t="shared" si="14"/>
      </c>
      <c r="F260" s="21">
        <f t="shared" si="16"/>
      </c>
      <c r="G260" s="21">
        <f t="shared" si="18"/>
      </c>
      <c r="H260" s="21">
        <f t="shared" si="20"/>
      </c>
      <c r="I260" s="21">
        <f t="shared" si="22"/>
      </c>
      <c r="J260" s="94">
        <f t="shared" si="24"/>
      </c>
      <c r="K260" s="94">
        <f t="shared" si="26"/>
      </c>
      <c r="L260" s="94">
        <f t="shared" si="28"/>
      </c>
      <c r="M260" s="96">
        <f t="shared" si="29"/>
      </c>
      <c r="X260" s="2">
        <f>IF(240&gt;$AA$5,0,MOD(SMALL($AA$6:$AA$2005,240),10000))</f>
        <v>0</v>
      </c>
      <c r="AA260" s="2">
        <f>IF(AND(ISNUMBER(资金流水!$B$260),ISNUMBER(资金流水!$S$260),资金流水!$S$260&gt;=_辅助!$J$4,资金流水!$S$260&lt;=_辅助!$J$2,OR(资金流水!$C$260=$C$18,AND(资金流水!$AD$260=$C$18,资金流水!$X$260="账户互转"),AND($E$18&lt;&gt;"",资金流水!$J$260=$E$18,资金流水!$X$260="应付职工薪酬"))),INT(资金流水!$B$260)*10000+255,"")</f>
      </c>
      <c r="AB260" s="2">
        <f>AB250+SUM(CB251:CB260)</f>
        <v>0</v>
      </c>
      <c r="CB260" s="2">
        <f>IF(COUNTIFS(资金流水!$J$6:$J$2005,往来单位!$B$263,资金流水!$X$6:$X$2005,"其他应收款",资金流水!$S$6:$S$2005,"&gt;="&amp;_辅助!$J$4,资金流水!$S$6:$S$2005,"&lt;="&amp;_辅助!$J$2)*(往来单位!$B$263&lt;&gt;"")&gt;0,1,0)</f>
        <v>0</v>
      </c>
    </row>
    <row r="261">
      <c r="A261" s="94">
        <f>IF($X261=0,"",241)</f>
      </c>
      <c r="B261" s="95">
        <f t="shared" si="1"/>
      </c>
      <c r="C261" s="96">
        <f t="shared" si="10"/>
      </c>
      <c r="D261" s="21">
        <f t="shared" si="12"/>
      </c>
      <c r="E261" s="21">
        <f t="shared" si="14"/>
      </c>
      <c r="F261" s="21">
        <f t="shared" si="16"/>
      </c>
      <c r="G261" s="21">
        <f t="shared" si="18"/>
      </c>
      <c r="H261" s="21">
        <f t="shared" si="20"/>
      </c>
      <c r="I261" s="21">
        <f t="shared" si="22"/>
      </c>
      <c r="J261" s="94">
        <f t="shared" si="24"/>
      </c>
      <c r="K261" s="94">
        <f t="shared" si="26"/>
      </c>
      <c r="L261" s="94">
        <f t="shared" si="28"/>
      </c>
      <c r="M261" s="96">
        <f t="shared" si="29"/>
      </c>
      <c r="X261" s="2">
        <f>IF(241&gt;$AA$5,0,MOD(SMALL($AA$6:$AA$2005,241),10000))</f>
        <v>0</v>
      </c>
      <c r="AA261" s="2">
        <f>IF(AND(ISNUMBER(资金流水!$B$261),ISNUMBER(资金流水!$S$261),资金流水!$S$261&gt;=_辅助!$J$4,资金流水!$S$261&lt;=_辅助!$J$2,OR(资金流水!$C$261=$C$18,AND(资金流水!$AD$261=$C$18,资金流水!$X$261="账户互转"),AND($E$18&lt;&gt;"",资金流水!$J$261=$E$18,资金流水!$X$261="应付职工薪酬"))),INT(资金流水!$B$261)*10000+256,"")</f>
      </c>
      <c r="AB261" s="2">
        <f>AB250+SUM(CB251:CB261)</f>
        <v>0</v>
      </c>
      <c r="CB261" s="2">
        <f>IF(COUNTIFS(资金流水!$J$6:$J$2005,往来单位!$B$264,资金流水!$X$6:$X$2005,"其他应收款",资金流水!$S$6:$S$2005,"&gt;="&amp;_辅助!$J$4,资金流水!$S$6:$S$2005,"&lt;="&amp;_辅助!$J$2)*(往来单位!$B$264&lt;&gt;"")&gt;0,1,0)</f>
        <v>0</v>
      </c>
    </row>
    <row r="262">
      <c r="A262" s="94">
        <f>IF($X262=0,"",242)</f>
      </c>
      <c r="B262" s="95">
        <f t="shared" si="1"/>
      </c>
      <c r="C262" s="96">
        <f t="shared" si="10"/>
      </c>
      <c r="D262" s="21">
        <f t="shared" si="12"/>
      </c>
      <c r="E262" s="21">
        <f t="shared" si="14"/>
      </c>
      <c r="F262" s="21">
        <f t="shared" si="16"/>
      </c>
      <c r="G262" s="21">
        <f t="shared" si="18"/>
      </c>
      <c r="H262" s="21">
        <f t="shared" si="20"/>
      </c>
      <c r="I262" s="21">
        <f t="shared" si="22"/>
      </c>
      <c r="J262" s="94">
        <f t="shared" si="24"/>
      </c>
      <c r="K262" s="94">
        <f t="shared" si="26"/>
      </c>
      <c r="L262" s="94">
        <f t="shared" si="28"/>
      </c>
      <c r="M262" s="96">
        <f t="shared" si="29"/>
      </c>
      <c r="X262" s="2">
        <f>IF(242&gt;$AA$5,0,MOD(SMALL($AA$6:$AA$2005,242),10000))</f>
        <v>0</v>
      </c>
      <c r="AA262" s="2">
        <f>IF(AND(ISNUMBER(资金流水!$B$262),ISNUMBER(资金流水!$S$262),资金流水!$S$262&gt;=_辅助!$J$4,资金流水!$S$262&lt;=_辅助!$J$2,OR(资金流水!$C$262=$C$18,AND(资金流水!$AD$262=$C$18,资金流水!$X$262="账户互转"),AND($E$18&lt;&gt;"",资金流水!$J$262=$E$18,资金流水!$X$262="应付职工薪酬"))),INT(资金流水!$B$262)*10000+257,"")</f>
      </c>
      <c r="AB262" s="2">
        <f>AB250+SUM(CB251:CB262)</f>
        <v>0</v>
      </c>
      <c r="CB262" s="2">
        <f>IF(COUNTIFS(资金流水!$J$6:$J$2005,往来单位!$B$265,资金流水!$X$6:$X$2005,"其他应收款",资金流水!$S$6:$S$2005,"&gt;="&amp;_辅助!$J$4,资金流水!$S$6:$S$2005,"&lt;="&amp;_辅助!$J$2)*(往来单位!$B$265&lt;&gt;"")&gt;0,1,0)</f>
        <v>0</v>
      </c>
    </row>
    <row r="263">
      <c r="A263" s="94">
        <f>IF($X263=0,"",243)</f>
      </c>
      <c r="B263" s="95">
        <f t="shared" si="1"/>
      </c>
      <c r="C263" s="96">
        <f t="shared" si="10"/>
      </c>
      <c r="D263" s="21">
        <f t="shared" si="12"/>
      </c>
      <c r="E263" s="21">
        <f t="shared" si="14"/>
      </c>
      <c r="F263" s="21">
        <f t="shared" si="16"/>
      </c>
      <c r="G263" s="21">
        <f t="shared" si="18"/>
      </c>
      <c r="H263" s="21">
        <f t="shared" si="20"/>
      </c>
      <c r="I263" s="21">
        <f t="shared" si="22"/>
      </c>
      <c r="J263" s="94">
        <f t="shared" si="24"/>
      </c>
      <c r="K263" s="94">
        <f t="shared" si="26"/>
      </c>
      <c r="L263" s="94">
        <f t="shared" si="28"/>
      </c>
      <c r="M263" s="96">
        <f t="shared" si="29"/>
      </c>
      <c r="X263" s="2">
        <f>IF(243&gt;$AA$5,0,MOD(SMALL($AA$6:$AA$2005,243),10000))</f>
        <v>0</v>
      </c>
      <c r="AA263" s="2">
        <f>IF(AND(ISNUMBER(资金流水!$B$263),ISNUMBER(资金流水!$S$263),资金流水!$S$263&gt;=_辅助!$J$4,资金流水!$S$263&lt;=_辅助!$J$2,OR(资金流水!$C$263=$C$18,AND(资金流水!$AD$263=$C$18,资金流水!$X$263="账户互转"),AND($E$18&lt;&gt;"",资金流水!$J$263=$E$18,资金流水!$X$263="应付职工薪酬"))),INT(资金流水!$B$263)*10000+258,"")</f>
      </c>
      <c r="AB263" s="2">
        <f>AB250+SUM(CB251:CB263)</f>
        <v>0</v>
      </c>
      <c r="CB263" s="2">
        <f>IF(COUNTIFS(资金流水!$J$6:$J$2005,往来单位!$B$266,资金流水!$X$6:$X$2005,"其他应收款",资金流水!$S$6:$S$2005,"&gt;="&amp;_辅助!$J$4,资金流水!$S$6:$S$2005,"&lt;="&amp;_辅助!$J$2)*(往来单位!$B$266&lt;&gt;"")&gt;0,1,0)</f>
        <v>0</v>
      </c>
    </row>
    <row r="264">
      <c r="A264" s="94">
        <f>IF($X264=0,"",244)</f>
      </c>
      <c r="B264" s="95">
        <f t="shared" si="1"/>
      </c>
      <c r="C264" s="96">
        <f t="shared" si="10"/>
      </c>
      <c r="D264" s="21">
        <f t="shared" si="12"/>
      </c>
      <c r="E264" s="21">
        <f t="shared" si="14"/>
      </c>
      <c r="F264" s="21">
        <f t="shared" si="16"/>
      </c>
      <c r="G264" s="21">
        <f t="shared" si="18"/>
      </c>
      <c r="H264" s="21">
        <f t="shared" si="20"/>
      </c>
      <c r="I264" s="21">
        <f t="shared" si="22"/>
      </c>
      <c r="J264" s="94">
        <f t="shared" si="24"/>
      </c>
      <c r="K264" s="94">
        <f t="shared" si="26"/>
      </c>
      <c r="L264" s="94">
        <f t="shared" si="28"/>
      </c>
      <c r="M264" s="96">
        <f t="shared" si="29"/>
      </c>
      <c r="X264" s="2">
        <f>IF(244&gt;$AA$5,0,MOD(SMALL($AA$6:$AA$2005,244),10000))</f>
        <v>0</v>
      </c>
      <c r="AA264" s="2">
        <f>IF(AND(ISNUMBER(资金流水!$B$264),ISNUMBER(资金流水!$S$264),资金流水!$S$264&gt;=_辅助!$J$4,资金流水!$S$264&lt;=_辅助!$J$2,OR(资金流水!$C$264=$C$18,AND(资金流水!$AD$264=$C$18,资金流水!$X$264="账户互转"),AND($E$18&lt;&gt;"",资金流水!$J$264=$E$18,资金流水!$X$264="应付职工薪酬"))),INT(资金流水!$B$264)*10000+259,"")</f>
      </c>
      <c r="AB264" s="2">
        <f>AB250+SUM(CB251:CB264)</f>
        <v>0</v>
      </c>
      <c r="CB264" s="2">
        <f>IF(COUNTIFS(资金流水!$J$6:$J$2005,往来单位!$B$267,资金流水!$X$6:$X$2005,"其他应收款",资金流水!$S$6:$S$2005,"&gt;="&amp;_辅助!$J$4,资金流水!$S$6:$S$2005,"&lt;="&amp;_辅助!$J$2)*(往来单位!$B$267&lt;&gt;"")&gt;0,1,0)</f>
        <v>0</v>
      </c>
    </row>
    <row r="265">
      <c r="A265" s="94">
        <f>IF($X265=0,"",245)</f>
      </c>
      <c r="B265" s="95">
        <f t="shared" si="1"/>
      </c>
      <c r="C265" s="96">
        <f t="shared" si="10"/>
      </c>
      <c r="D265" s="21">
        <f t="shared" si="12"/>
      </c>
      <c r="E265" s="21">
        <f t="shared" si="14"/>
      </c>
      <c r="F265" s="21">
        <f t="shared" si="16"/>
      </c>
      <c r="G265" s="21">
        <f t="shared" si="18"/>
      </c>
      <c r="H265" s="21">
        <f t="shared" si="20"/>
      </c>
      <c r="I265" s="21">
        <f t="shared" si="22"/>
      </c>
      <c r="J265" s="94">
        <f t="shared" si="24"/>
      </c>
      <c r="K265" s="94">
        <f t="shared" si="26"/>
      </c>
      <c r="L265" s="94">
        <f t="shared" si="28"/>
      </c>
      <c r="M265" s="96">
        <f t="shared" si="29"/>
      </c>
      <c r="X265" s="2">
        <f>IF(245&gt;$AA$5,0,MOD(SMALL($AA$6:$AA$2005,245),10000))</f>
        <v>0</v>
      </c>
      <c r="AA265" s="2">
        <f>IF(AND(ISNUMBER(资金流水!$B$265),ISNUMBER(资金流水!$S$265),资金流水!$S$265&gt;=_辅助!$J$4,资金流水!$S$265&lt;=_辅助!$J$2,OR(资金流水!$C$265=$C$18,AND(资金流水!$AD$265=$C$18,资金流水!$X$265="账户互转"),AND($E$18&lt;&gt;"",资金流水!$J$265=$E$18,资金流水!$X$265="应付职工薪酬"))),INT(资金流水!$B$265)*10000+260,"")</f>
      </c>
      <c r="AB265" s="2">
        <f>AB250+SUM(CB251:CB265)</f>
        <v>0</v>
      </c>
      <c r="CB265" s="2">
        <f>IF(COUNTIFS(资金流水!$J$6:$J$2005,往来单位!$B$268,资金流水!$X$6:$X$2005,"其他应收款",资金流水!$S$6:$S$2005,"&gt;="&amp;_辅助!$J$4,资金流水!$S$6:$S$2005,"&lt;="&amp;_辅助!$J$2)*(往来单位!$B$268&lt;&gt;"")&gt;0,1,0)</f>
        <v>0</v>
      </c>
    </row>
    <row r="266">
      <c r="A266" s="94">
        <f>IF($X266=0,"",246)</f>
      </c>
      <c r="B266" s="95">
        <f t="shared" si="1"/>
      </c>
      <c r="C266" s="96">
        <f t="shared" si="10"/>
      </c>
      <c r="D266" s="21">
        <f t="shared" si="12"/>
      </c>
      <c r="E266" s="21">
        <f t="shared" si="14"/>
      </c>
      <c r="F266" s="21">
        <f t="shared" si="16"/>
      </c>
      <c r="G266" s="21">
        <f t="shared" si="18"/>
      </c>
      <c r="H266" s="21">
        <f t="shared" si="20"/>
      </c>
      <c r="I266" s="21">
        <f t="shared" si="22"/>
      </c>
      <c r="J266" s="94">
        <f t="shared" si="24"/>
      </c>
      <c r="K266" s="94">
        <f t="shared" si="26"/>
      </c>
      <c r="L266" s="94">
        <f t="shared" si="28"/>
      </c>
      <c r="M266" s="96">
        <f t="shared" si="29"/>
      </c>
      <c r="X266" s="2">
        <f>IF(246&gt;$AA$5,0,MOD(SMALL($AA$6:$AA$2005,246),10000))</f>
        <v>0</v>
      </c>
      <c r="AA266" s="2">
        <f>IF(AND(ISNUMBER(资金流水!$B$266),ISNUMBER(资金流水!$S$266),资金流水!$S$266&gt;=_辅助!$J$4,资金流水!$S$266&lt;=_辅助!$J$2,OR(资金流水!$C$266=$C$18,AND(资金流水!$AD$266=$C$18,资金流水!$X$266="账户互转"),AND($E$18&lt;&gt;"",资金流水!$J$266=$E$18,资金流水!$X$266="应付职工薪酬"))),INT(资金流水!$B$266)*10000+261,"")</f>
      </c>
      <c r="AB266" s="2">
        <f>AB250+SUM(CB251:CB266)</f>
        <v>0</v>
      </c>
      <c r="CB266" s="2">
        <f>IF(COUNTIFS(资金流水!$J$6:$J$2005,往来单位!$B$269,资金流水!$X$6:$X$2005,"其他应收款",资金流水!$S$6:$S$2005,"&gt;="&amp;_辅助!$J$4,资金流水!$S$6:$S$2005,"&lt;="&amp;_辅助!$J$2)*(往来单位!$B$269&lt;&gt;"")&gt;0,1,0)</f>
        <v>0</v>
      </c>
    </row>
    <row r="267">
      <c r="A267" s="94">
        <f>IF($X267=0,"",247)</f>
      </c>
      <c r="B267" s="95">
        <f t="shared" si="1"/>
      </c>
      <c r="C267" s="96">
        <f t="shared" si="10"/>
      </c>
      <c r="D267" s="21">
        <f t="shared" si="12"/>
      </c>
      <c r="E267" s="21">
        <f t="shared" si="14"/>
      </c>
      <c r="F267" s="21">
        <f t="shared" si="16"/>
      </c>
      <c r="G267" s="21">
        <f t="shared" si="18"/>
      </c>
      <c r="H267" s="21">
        <f t="shared" si="20"/>
      </c>
      <c r="I267" s="21">
        <f t="shared" si="22"/>
      </c>
      <c r="J267" s="94">
        <f t="shared" si="24"/>
      </c>
      <c r="K267" s="94">
        <f t="shared" si="26"/>
      </c>
      <c r="L267" s="94">
        <f t="shared" si="28"/>
      </c>
      <c r="M267" s="96">
        <f t="shared" si="29"/>
      </c>
      <c r="X267" s="2">
        <f>IF(247&gt;$AA$5,0,MOD(SMALL($AA$6:$AA$2005,247),10000))</f>
        <v>0</v>
      </c>
      <c r="AA267" s="2">
        <f>IF(AND(ISNUMBER(资金流水!$B$267),ISNUMBER(资金流水!$S$267),资金流水!$S$267&gt;=_辅助!$J$4,资金流水!$S$267&lt;=_辅助!$J$2,OR(资金流水!$C$267=$C$18,AND(资金流水!$AD$267=$C$18,资金流水!$X$267="账户互转"),AND($E$18&lt;&gt;"",资金流水!$J$267=$E$18,资金流水!$X$267="应付职工薪酬"))),INT(资金流水!$B$267)*10000+262,"")</f>
      </c>
      <c r="AB267" s="2">
        <f>AB250+SUM(CB251:CB267)</f>
        <v>0</v>
      </c>
      <c r="CB267" s="2">
        <f>IF(COUNTIFS(资金流水!$J$6:$J$2005,往来单位!$B$270,资金流水!$X$6:$X$2005,"其他应收款",资金流水!$S$6:$S$2005,"&gt;="&amp;_辅助!$J$4,资金流水!$S$6:$S$2005,"&lt;="&amp;_辅助!$J$2)*(往来单位!$B$270&lt;&gt;"")&gt;0,1,0)</f>
        <v>0</v>
      </c>
    </row>
    <row r="268">
      <c r="A268" s="94">
        <f>IF($X268=0,"",248)</f>
      </c>
      <c r="B268" s="95">
        <f t="shared" si="1"/>
      </c>
      <c r="C268" s="96">
        <f t="shared" si="10"/>
      </c>
      <c r="D268" s="21">
        <f t="shared" si="12"/>
      </c>
      <c r="E268" s="21">
        <f t="shared" si="14"/>
      </c>
      <c r="F268" s="21">
        <f t="shared" si="16"/>
      </c>
      <c r="G268" s="21">
        <f t="shared" si="18"/>
      </c>
      <c r="H268" s="21">
        <f t="shared" si="20"/>
      </c>
      <c r="I268" s="21">
        <f t="shared" si="22"/>
      </c>
      <c r="J268" s="94">
        <f t="shared" si="24"/>
      </c>
      <c r="K268" s="94">
        <f t="shared" si="26"/>
      </c>
      <c r="L268" s="94">
        <f t="shared" si="28"/>
      </c>
      <c r="M268" s="96">
        <f t="shared" si="29"/>
      </c>
      <c r="X268" s="2">
        <f>IF(248&gt;$AA$5,0,MOD(SMALL($AA$6:$AA$2005,248),10000))</f>
        <v>0</v>
      </c>
      <c r="AA268" s="2">
        <f>IF(AND(ISNUMBER(资金流水!$B$268),ISNUMBER(资金流水!$S$268),资金流水!$S$268&gt;=_辅助!$J$4,资金流水!$S$268&lt;=_辅助!$J$2,OR(资金流水!$C$268=$C$18,AND(资金流水!$AD$268=$C$18,资金流水!$X$268="账户互转"),AND($E$18&lt;&gt;"",资金流水!$J$268=$E$18,资金流水!$X$268="应付职工薪酬"))),INT(资金流水!$B$268)*10000+263,"")</f>
      </c>
      <c r="AB268" s="2">
        <f>AB250+SUM(CB251:CB268)</f>
        <v>0</v>
      </c>
      <c r="CB268" s="2">
        <f>IF(COUNTIFS(资金流水!$J$6:$J$2005,往来单位!$B$271,资金流水!$X$6:$X$2005,"其他应收款",资金流水!$S$6:$S$2005,"&gt;="&amp;_辅助!$J$4,资金流水!$S$6:$S$2005,"&lt;="&amp;_辅助!$J$2)*(往来单位!$B$271&lt;&gt;"")&gt;0,1,0)</f>
        <v>0</v>
      </c>
    </row>
    <row r="269">
      <c r="A269" s="94">
        <f>IF($X269=0,"",249)</f>
      </c>
      <c r="B269" s="95">
        <f t="shared" si="1"/>
      </c>
      <c r="C269" s="96">
        <f t="shared" si="10"/>
      </c>
      <c r="D269" s="21">
        <f t="shared" si="12"/>
      </c>
      <c r="E269" s="21">
        <f t="shared" si="14"/>
      </c>
      <c r="F269" s="21">
        <f t="shared" si="16"/>
      </c>
      <c r="G269" s="21">
        <f t="shared" si="18"/>
      </c>
      <c r="H269" s="21">
        <f t="shared" si="20"/>
      </c>
      <c r="I269" s="21">
        <f t="shared" si="22"/>
      </c>
      <c r="J269" s="94">
        <f t="shared" si="24"/>
      </c>
      <c r="K269" s="94">
        <f t="shared" si="26"/>
      </c>
      <c r="L269" s="94">
        <f t="shared" si="28"/>
      </c>
      <c r="M269" s="96">
        <f t="shared" si="29"/>
      </c>
      <c r="X269" s="2">
        <f>IF(249&gt;$AA$5,0,MOD(SMALL($AA$6:$AA$2005,249),10000))</f>
        <v>0</v>
      </c>
      <c r="AA269" s="2">
        <f>IF(AND(ISNUMBER(资金流水!$B$269),ISNUMBER(资金流水!$S$269),资金流水!$S$269&gt;=_辅助!$J$4,资金流水!$S$269&lt;=_辅助!$J$2,OR(资金流水!$C$269=$C$18,AND(资金流水!$AD$269=$C$18,资金流水!$X$269="账户互转"),AND($E$18&lt;&gt;"",资金流水!$J$269=$E$18,资金流水!$X$269="应付职工薪酬"))),INT(资金流水!$B$269)*10000+264,"")</f>
      </c>
      <c r="AB269" s="2">
        <f>AB250+SUM(CB251:CB269)</f>
        <v>0</v>
      </c>
      <c r="CB269" s="2">
        <f>IF(COUNTIFS(资金流水!$J$6:$J$2005,往来单位!$B$272,资金流水!$X$6:$X$2005,"其他应收款",资金流水!$S$6:$S$2005,"&gt;="&amp;_辅助!$J$4,资金流水!$S$6:$S$2005,"&lt;="&amp;_辅助!$J$2)*(往来单位!$B$272&lt;&gt;"")&gt;0,1,0)</f>
        <v>0</v>
      </c>
    </row>
    <row r="270">
      <c r="A270" s="94">
        <f>IF($X270=0,"",250)</f>
      </c>
      <c r="B270" s="95">
        <f t="shared" si="1"/>
      </c>
      <c r="C270" s="96">
        <f t="shared" si="10"/>
      </c>
      <c r="D270" s="21">
        <f t="shared" si="12"/>
      </c>
      <c r="E270" s="21">
        <f t="shared" si="14"/>
      </c>
      <c r="F270" s="21">
        <f t="shared" si="16"/>
      </c>
      <c r="G270" s="21">
        <f t="shared" si="18"/>
      </c>
      <c r="H270" s="21">
        <f t="shared" si="20"/>
      </c>
      <c r="I270" s="21">
        <f t="shared" si="22"/>
      </c>
      <c r="J270" s="94">
        <f t="shared" si="24"/>
      </c>
      <c r="K270" s="94">
        <f t="shared" si="26"/>
      </c>
      <c r="L270" s="94">
        <f t="shared" si="28"/>
      </c>
      <c r="M270" s="96">
        <f t="shared" si="29"/>
      </c>
      <c r="X270" s="2">
        <f>IF(250&gt;$AA$5,0,MOD(SMALL($AA$6:$AA$2005,250),10000))</f>
        <v>0</v>
      </c>
      <c r="AA270" s="2">
        <f>IF(AND(ISNUMBER(资金流水!$B$270),ISNUMBER(资金流水!$S$270),资金流水!$S$270&gt;=_辅助!$J$4,资金流水!$S$270&lt;=_辅助!$J$2,OR(资金流水!$C$270=$C$18,AND(资金流水!$AD$270=$C$18,资金流水!$X$270="账户互转"),AND($E$18&lt;&gt;"",资金流水!$J$270=$E$18,资金流水!$X$270="应付职工薪酬"))),INT(资金流水!$B$270)*10000+265,"")</f>
      </c>
      <c r="AB270" s="2">
        <f>AB250+SUM(CB251:CB270)</f>
        <v>0</v>
      </c>
      <c r="CB270" s="2">
        <f>IF(COUNTIFS(资金流水!$J$6:$J$2005,往来单位!$B$273,资金流水!$X$6:$X$2005,"其他应收款",资金流水!$S$6:$S$2005,"&gt;="&amp;_辅助!$J$4,资金流水!$S$6:$S$2005,"&lt;="&amp;_辅助!$J$2)*(往来单位!$B$273&lt;&gt;"")&gt;0,1,0)</f>
        <v>0</v>
      </c>
    </row>
    <row r="271">
      <c r="A271" s="94">
        <f>IF($X271=0,"",251)</f>
      </c>
      <c r="B271" s="95">
        <f t="shared" si="1"/>
      </c>
      <c r="C271" s="96">
        <f t="shared" si="10"/>
      </c>
      <c r="D271" s="21">
        <f t="shared" si="12"/>
      </c>
      <c r="E271" s="21">
        <f t="shared" si="14"/>
      </c>
      <c r="F271" s="21">
        <f t="shared" si="16"/>
      </c>
      <c r="G271" s="21">
        <f t="shared" si="18"/>
      </c>
      <c r="H271" s="21">
        <f t="shared" si="20"/>
      </c>
      <c r="I271" s="21">
        <f t="shared" si="22"/>
      </c>
      <c r="J271" s="94">
        <f t="shared" si="24"/>
      </c>
      <c r="K271" s="94">
        <f t="shared" si="26"/>
      </c>
      <c r="L271" s="94">
        <f t="shared" si="28"/>
      </c>
      <c r="M271" s="96">
        <f t="shared" si="29"/>
      </c>
      <c r="X271" s="2">
        <f>IF(251&gt;$AA$5,0,MOD(SMALL($AA$6:$AA$2005,251),10000))</f>
        <v>0</v>
      </c>
      <c r="AA271" s="2">
        <f>IF(AND(ISNUMBER(资金流水!$B$271),ISNUMBER(资金流水!$S$271),资金流水!$S$271&gt;=_辅助!$J$4,资金流水!$S$271&lt;=_辅助!$J$2,OR(资金流水!$C$271=$C$18,AND(资金流水!$AD$271=$C$18,资金流水!$X$271="账户互转"),AND($E$18&lt;&gt;"",资金流水!$J$271=$E$18,资金流水!$X$271="应付职工薪酬"))),INT(资金流水!$B$271)*10000+266,"")</f>
      </c>
      <c r="AB271" s="2">
        <f>AB250+SUM(CB251:CB271)</f>
        <v>0</v>
      </c>
      <c r="CB271" s="2">
        <f>IF(COUNTIFS(资金流水!$J$6:$J$2005,往来单位!$B$274,资金流水!$X$6:$X$2005,"其他应收款",资金流水!$S$6:$S$2005,"&gt;="&amp;_辅助!$J$4,资金流水!$S$6:$S$2005,"&lt;="&amp;_辅助!$J$2)*(往来单位!$B$274&lt;&gt;"")&gt;0,1,0)</f>
        <v>0</v>
      </c>
    </row>
    <row r="272">
      <c r="A272" s="94">
        <f>IF($X272=0,"",252)</f>
      </c>
      <c r="B272" s="95">
        <f t="shared" si="1"/>
      </c>
      <c r="C272" s="96">
        <f t="shared" si="10"/>
      </c>
      <c r="D272" s="21">
        <f t="shared" si="12"/>
      </c>
      <c r="E272" s="21">
        <f t="shared" si="14"/>
      </c>
      <c r="F272" s="21">
        <f t="shared" si="16"/>
      </c>
      <c r="G272" s="21">
        <f t="shared" si="18"/>
      </c>
      <c r="H272" s="21">
        <f t="shared" si="20"/>
      </c>
      <c r="I272" s="21">
        <f t="shared" si="22"/>
      </c>
      <c r="J272" s="94">
        <f t="shared" si="24"/>
      </c>
      <c r="K272" s="94">
        <f t="shared" si="26"/>
      </c>
      <c r="L272" s="94">
        <f t="shared" si="28"/>
      </c>
      <c r="M272" s="96">
        <f t="shared" si="29"/>
      </c>
      <c r="X272" s="2">
        <f>IF(252&gt;$AA$5,0,MOD(SMALL($AA$6:$AA$2005,252),10000))</f>
        <v>0</v>
      </c>
      <c r="AA272" s="2">
        <f>IF(AND(ISNUMBER(资金流水!$B$272),ISNUMBER(资金流水!$S$272),资金流水!$S$272&gt;=_辅助!$J$4,资金流水!$S$272&lt;=_辅助!$J$2,OR(资金流水!$C$272=$C$18,AND(资金流水!$AD$272=$C$18,资金流水!$X$272="账户互转"),AND($E$18&lt;&gt;"",资金流水!$J$272=$E$18,资金流水!$X$272="应付职工薪酬"))),INT(资金流水!$B$272)*10000+267,"")</f>
      </c>
      <c r="AB272" s="2">
        <f>AB250+SUM(CB251:CB272)</f>
        <v>0</v>
      </c>
      <c r="CB272" s="2">
        <f>IF(COUNTIFS(资金流水!$J$6:$J$2005,往来单位!$B$275,资金流水!$X$6:$X$2005,"其他应收款",资金流水!$S$6:$S$2005,"&gt;="&amp;_辅助!$J$4,资金流水!$S$6:$S$2005,"&lt;="&amp;_辅助!$J$2)*(往来单位!$B$275&lt;&gt;"")&gt;0,1,0)</f>
        <v>0</v>
      </c>
    </row>
    <row r="273">
      <c r="A273" s="94">
        <f>IF($X273=0,"",253)</f>
      </c>
      <c r="B273" s="95">
        <f t="shared" si="1"/>
      </c>
      <c r="C273" s="96">
        <f t="shared" si="10"/>
      </c>
      <c r="D273" s="21">
        <f t="shared" si="12"/>
      </c>
      <c r="E273" s="21">
        <f t="shared" si="14"/>
      </c>
      <c r="F273" s="21">
        <f t="shared" si="16"/>
      </c>
      <c r="G273" s="21">
        <f t="shared" si="18"/>
      </c>
      <c r="H273" s="21">
        <f t="shared" si="20"/>
      </c>
      <c r="I273" s="21">
        <f t="shared" si="22"/>
      </c>
      <c r="J273" s="94">
        <f t="shared" si="24"/>
      </c>
      <c r="K273" s="94">
        <f t="shared" si="26"/>
      </c>
      <c r="L273" s="94">
        <f t="shared" si="28"/>
      </c>
      <c r="M273" s="96">
        <f t="shared" si="29"/>
      </c>
      <c r="X273" s="2">
        <f>IF(253&gt;$AA$5,0,MOD(SMALL($AA$6:$AA$2005,253),10000))</f>
        <v>0</v>
      </c>
      <c r="AA273" s="2">
        <f>IF(AND(ISNUMBER(资金流水!$B$273),ISNUMBER(资金流水!$S$273),资金流水!$S$273&gt;=_辅助!$J$4,资金流水!$S$273&lt;=_辅助!$J$2,OR(资金流水!$C$273=$C$18,AND(资金流水!$AD$273=$C$18,资金流水!$X$273="账户互转"),AND($E$18&lt;&gt;"",资金流水!$J$273=$E$18,资金流水!$X$273="应付职工薪酬"))),INT(资金流水!$B$273)*10000+268,"")</f>
      </c>
      <c r="AB273" s="2">
        <f>AB250+SUM(CB251:CB273)</f>
        <v>0</v>
      </c>
      <c r="CB273" s="2">
        <f>IF(COUNTIFS(资金流水!$J$6:$J$2005,往来单位!$B$276,资金流水!$X$6:$X$2005,"其他应收款",资金流水!$S$6:$S$2005,"&gt;="&amp;_辅助!$J$4,资金流水!$S$6:$S$2005,"&lt;="&amp;_辅助!$J$2)*(往来单位!$B$276&lt;&gt;"")&gt;0,1,0)</f>
        <v>0</v>
      </c>
    </row>
    <row r="274">
      <c r="A274" s="94">
        <f>IF($X274=0,"",254)</f>
      </c>
      <c r="B274" s="95">
        <f t="shared" si="1"/>
      </c>
      <c r="C274" s="96">
        <f t="shared" si="10"/>
      </c>
      <c r="D274" s="21">
        <f t="shared" si="12"/>
      </c>
      <c r="E274" s="21">
        <f t="shared" si="14"/>
      </c>
      <c r="F274" s="21">
        <f t="shared" si="16"/>
      </c>
      <c r="G274" s="21">
        <f t="shared" si="18"/>
      </c>
      <c r="H274" s="21">
        <f t="shared" si="20"/>
      </c>
      <c r="I274" s="21">
        <f t="shared" si="22"/>
      </c>
      <c r="J274" s="94">
        <f t="shared" si="24"/>
      </c>
      <c r="K274" s="94">
        <f t="shared" si="26"/>
      </c>
      <c r="L274" s="94">
        <f t="shared" si="28"/>
      </c>
      <c r="M274" s="96">
        <f t="shared" si="29"/>
      </c>
      <c r="X274" s="2">
        <f>IF(254&gt;$AA$5,0,MOD(SMALL($AA$6:$AA$2005,254),10000))</f>
        <v>0</v>
      </c>
      <c r="AA274" s="2">
        <f>IF(AND(ISNUMBER(资金流水!$B$274),ISNUMBER(资金流水!$S$274),资金流水!$S$274&gt;=_辅助!$J$4,资金流水!$S$274&lt;=_辅助!$J$2,OR(资金流水!$C$274=$C$18,AND(资金流水!$AD$274=$C$18,资金流水!$X$274="账户互转"),AND($E$18&lt;&gt;"",资金流水!$J$274=$E$18,资金流水!$X$274="应付职工薪酬"))),INT(资金流水!$B$274)*10000+269,"")</f>
      </c>
      <c r="AB274" s="2">
        <f>AB250+SUM(CB251:CB274)</f>
        <v>0</v>
      </c>
      <c r="CB274" s="2">
        <f>IF(COUNTIFS(资金流水!$J$6:$J$2005,往来单位!$B$277,资金流水!$X$6:$X$2005,"其他应收款",资金流水!$S$6:$S$2005,"&gt;="&amp;_辅助!$J$4,资金流水!$S$6:$S$2005,"&lt;="&amp;_辅助!$J$2)*(往来单位!$B$277&lt;&gt;"")&gt;0,1,0)</f>
        <v>0</v>
      </c>
    </row>
    <row r="275">
      <c r="A275" s="94">
        <f>IF($X275=0,"",255)</f>
      </c>
      <c r="B275" s="95">
        <f t="shared" si="1"/>
      </c>
      <c r="C275" s="96">
        <f t="shared" si="10"/>
      </c>
      <c r="D275" s="21">
        <f t="shared" si="12"/>
      </c>
      <c r="E275" s="21">
        <f t="shared" si="14"/>
      </c>
      <c r="F275" s="21">
        <f t="shared" si="16"/>
      </c>
      <c r="G275" s="21">
        <f t="shared" si="18"/>
      </c>
      <c r="H275" s="21">
        <f t="shared" si="20"/>
      </c>
      <c r="I275" s="21">
        <f t="shared" si="22"/>
      </c>
      <c r="J275" s="94">
        <f t="shared" si="24"/>
      </c>
      <c r="K275" s="94">
        <f t="shared" si="26"/>
      </c>
      <c r="L275" s="94">
        <f t="shared" si="28"/>
      </c>
      <c r="M275" s="96">
        <f t="shared" si="29"/>
      </c>
      <c r="X275" s="2">
        <f>IF(255&gt;$AA$5,0,MOD(SMALL($AA$6:$AA$2005,255),10000))</f>
        <v>0</v>
      </c>
      <c r="AA275" s="2">
        <f>IF(AND(ISNUMBER(资金流水!$B$275),ISNUMBER(资金流水!$S$275),资金流水!$S$275&gt;=_辅助!$J$4,资金流水!$S$275&lt;=_辅助!$J$2,OR(资金流水!$C$275=$C$18,AND(资金流水!$AD$275=$C$18,资金流水!$X$275="账户互转"),AND($E$18&lt;&gt;"",资金流水!$J$275=$E$18,资金流水!$X$275="应付职工薪酬"))),INT(资金流水!$B$275)*10000+270,"")</f>
      </c>
      <c r="AB275" s="2">
        <f>AB250+SUM(CB251:CB275)</f>
        <v>0</v>
      </c>
      <c r="CB275" s="2">
        <f>IF(COUNTIFS(资金流水!$J$6:$J$2005,往来单位!$B$278,资金流水!$X$6:$X$2005,"其他应收款",资金流水!$S$6:$S$2005,"&gt;="&amp;_辅助!$J$4,资金流水!$S$6:$S$2005,"&lt;="&amp;_辅助!$J$2)*(往来单位!$B$278&lt;&gt;"")&gt;0,1,0)</f>
        <v>0</v>
      </c>
    </row>
    <row r="276">
      <c r="A276" s="94">
        <f>IF($X276=0,"",256)</f>
      </c>
      <c r="B276" s="95">
        <f t="shared" si="1"/>
      </c>
      <c r="C276" s="96">
        <f t="shared" si="10"/>
      </c>
      <c r="D276" s="21">
        <f t="shared" si="12"/>
      </c>
      <c r="E276" s="21">
        <f t="shared" si="14"/>
      </c>
      <c r="F276" s="21">
        <f t="shared" si="16"/>
      </c>
      <c r="G276" s="21">
        <f t="shared" si="18"/>
      </c>
      <c r="H276" s="21">
        <f t="shared" si="20"/>
      </c>
      <c r="I276" s="21">
        <f t="shared" si="22"/>
      </c>
      <c r="J276" s="94">
        <f t="shared" si="24"/>
      </c>
      <c r="K276" s="94">
        <f t="shared" si="26"/>
      </c>
      <c r="L276" s="94">
        <f t="shared" si="28"/>
      </c>
      <c r="M276" s="96">
        <f t="shared" si="29"/>
      </c>
      <c r="X276" s="2">
        <f>IF(256&gt;$AA$5,0,MOD(SMALL($AA$6:$AA$2005,256),10000))</f>
        <v>0</v>
      </c>
      <c r="AA276" s="2">
        <f>IF(AND(ISNUMBER(资金流水!$B$276),ISNUMBER(资金流水!$S$276),资金流水!$S$276&gt;=_辅助!$J$4,资金流水!$S$276&lt;=_辅助!$J$2,OR(资金流水!$C$276=$C$18,AND(资金流水!$AD$276=$C$18,资金流水!$X$276="账户互转"),AND($E$18&lt;&gt;"",资金流水!$J$276=$E$18,资金流水!$X$276="应付职工薪酬"))),INT(资金流水!$B$276)*10000+271,"")</f>
      </c>
      <c r="AB276" s="2">
        <f>AB250+SUM(CB251:CB276)</f>
        <v>0</v>
      </c>
      <c r="CB276" s="2">
        <f>IF(COUNTIFS(资金流水!$J$6:$J$2005,往来单位!$B$279,资金流水!$X$6:$X$2005,"其他应收款",资金流水!$S$6:$S$2005,"&gt;="&amp;_辅助!$J$4,资金流水!$S$6:$S$2005,"&lt;="&amp;_辅助!$J$2)*(往来单位!$B$279&lt;&gt;"")&gt;0,1,0)</f>
        <v>0</v>
      </c>
    </row>
    <row r="277">
      <c r="A277" s="94">
        <f>IF($X277=0,"",257)</f>
      </c>
      <c r="B277" s="95">
        <f t="shared" si="1"/>
      </c>
      <c r="C277" s="96">
        <f t="shared" si="10"/>
      </c>
      <c r="D277" s="21">
        <f t="shared" si="12"/>
      </c>
      <c r="E277" s="21">
        <f t="shared" si="14"/>
      </c>
      <c r="F277" s="21">
        <f t="shared" si="16"/>
      </c>
      <c r="G277" s="21">
        <f t="shared" si="18"/>
      </c>
      <c r="H277" s="21">
        <f t="shared" si="20"/>
      </c>
      <c r="I277" s="21">
        <f t="shared" si="22"/>
      </c>
      <c r="J277" s="94">
        <f t="shared" si="24"/>
      </c>
      <c r="K277" s="94">
        <f t="shared" si="26"/>
      </c>
      <c r="L277" s="94">
        <f t="shared" si="28"/>
      </c>
      <c r="M277" s="96">
        <f t="shared" si="29"/>
      </c>
      <c r="X277" s="2">
        <f>IF(257&gt;$AA$5,0,MOD(SMALL($AA$6:$AA$2005,257),10000))</f>
        <v>0</v>
      </c>
      <c r="AA277" s="2">
        <f>IF(AND(ISNUMBER(资金流水!$B$277),ISNUMBER(资金流水!$S$277),资金流水!$S$277&gt;=_辅助!$J$4,资金流水!$S$277&lt;=_辅助!$J$2,OR(资金流水!$C$277=$C$18,AND(资金流水!$AD$277=$C$18,资金流水!$X$277="账户互转"),AND($E$18&lt;&gt;"",资金流水!$J$277=$E$18,资金流水!$X$277="应付职工薪酬"))),INT(资金流水!$B$277)*10000+272,"")</f>
      </c>
      <c r="AB277" s="2">
        <f>AB250+SUM(CB251:CB277)</f>
        <v>0</v>
      </c>
      <c r="CB277" s="2">
        <f>IF(COUNTIFS(资金流水!$J$6:$J$2005,往来单位!$B$280,资金流水!$X$6:$X$2005,"其他应收款",资金流水!$S$6:$S$2005,"&gt;="&amp;_辅助!$J$4,资金流水!$S$6:$S$2005,"&lt;="&amp;_辅助!$J$2)*(往来单位!$B$280&lt;&gt;"")&gt;0,1,0)</f>
        <v>0</v>
      </c>
    </row>
    <row r="278">
      <c r="A278" s="94">
        <f>IF($X278=0,"",258)</f>
      </c>
      <c r="B278" s="95">
        <f t="shared" si="1"/>
      </c>
      <c r="C278" s="96">
        <f t="shared" si="10"/>
      </c>
      <c r="D278" s="21">
        <f t="shared" si="12"/>
      </c>
      <c r="E278" s="21">
        <f t="shared" si="14"/>
      </c>
      <c r="F278" s="21">
        <f t="shared" si="16"/>
      </c>
      <c r="G278" s="21">
        <f t="shared" si="18"/>
      </c>
      <c r="H278" s="21">
        <f t="shared" si="20"/>
      </c>
      <c r="I278" s="21">
        <f t="shared" si="22"/>
      </c>
      <c r="J278" s="94">
        <f t="shared" si="24"/>
      </c>
      <c r="K278" s="94">
        <f t="shared" si="26"/>
      </c>
      <c r="L278" s="94">
        <f t="shared" si="28"/>
      </c>
      <c r="M278" s="96">
        <f t="shared" si="29"/>
      </c>
      <c r="X278" s="2">
        <f>IF(258&gt;$AA$5,0,MOD(SMALL($AA$6:$AA$2005,258),10000))</f>
        <v>0</v>
      </c>
      <c r="AA278" s="2">
        <f>IF(AND(ISNUMBER(资金流水!$B$278),ISNUMBER(资金流水!$S$278),资金流水!$S$278&gt;=_辅助!$J$4,资金流水!$S$278&lt;=_辅助!$J$2,OR(资金流水!$C$278=$C$18,AND(资金流水!$AD$278=$C$18,资金流水!$X$278="账户互转"),AND($E$18&lt;&gt;"",资金流水!$J$278=$E$18,资金流水!$X$278="应付职工薪酬"))),INT(资金流水!$B$278)*10000+273,"")</f>
      </c>
      <c r="AB278" s="2">
        <f>AB250+SUM(CB251:CB278)</f>
        <v>0</v>
      </c>
      <c r="CB278" s="2">
        <f>IF(COUNTIFS(资金流水!$J$6:$J$2005,往来单位!$B$281,资金流水!$X$6:$X$2005,"其他应收款",资金流水!$S$6:$S$2005,"&gt;="&amp;_辅助!$J$4,资金流水!$S$6:$S$2005,"&lt;="&amp;_辅助!$J$2)*(往来单位!$B$281&lt;&gt;"")&gt;0,1,0)</f>
        <v>0</v>
      </c>
    </row>
    <row r="279">
      <c r="A279" s="94">
        <f>IF($X279=0,"",259)</f>
      </c>
      <c r="B279" s="95">
        <f t="shared" si="1"/>
      </c>
      <c r="C279" s="96">
        <f t="shared" si="10"/>
      </c>
      <c r="D279" s="21">
        <f t="shared" si="12"/>
      </c>
      <c r="E279" s="21">
        <f t="shared" si="14"/>
      </c>
      <c r="F279" s="21">
        <f t="shared" si="16"/>
      </c>
      <c r="G279" s="21">
        <f t="shared" si="18"/>
      </c>
      <c r="H279" s="21">
        <f t="shared" si="20"/>
      </c>
      <c r="I279" s="21">
        <f t="shared" si="22"/>
      </c>
      <c r="J279" s="94">
        <f t="shared" si="24"/>
      </c>
      <c r="K279" s="94">
        <f t="shared" si="26"/>
      </c>
      <c r="L279" s="94">
        <f t="shared" si="28"/>
      </c>
      <c r="M279" s="96">
        <f t="shared" si="29"/>
      </c>
      <c r="X279" s="2">
        <f>IF(259&gt;$AA$5,0,MOD(SMALL($AA$6:$AA$2005,259),10000))</f>
        <v>0</v>
      </c>
      <c r="AA279" s="2">
        <f>IF(AND(ISNUMBER(资金流水!$B$279),ISNUMBER(资金流水!$S$279),资金流水!$S$279&gt;=_辅助!$J$4,资金流水!$S$279&lt;=_辅助!$J$2,OR(资金流水!$C$279=$C$18,AND(资金流水!$AD$279=$C$18,资金流水!$X$279="账户互转"),AND($E$18&lt;&gt;"",资金流水!$J$279=$E$18,资金流水!$X$279="应付职工薪酬"))),INT(资金流水!$B$279)*10000+274,"")</f>
      </c>
      <c r="AB279" s="2">
        <f>AB250+SUM(CB251:CB279)</f>
        <v>0</v>
      </c>
      <c r="CB279" s="2">
        <f>IF(COUNTIFS(资金流水!$J$6:$J$2005,往来单位!$B$282,资金流水!$X$6:$X$2005,"其他应收款",资金流水!$S$6:$S$2005,"&gt;="&amp;_辅助!$J$4,资金流水!$S$6:$S$2005,"&lt;="&amp;_辅助!$J$2)*(往来单位!$B$282&lt;&gt;"")&gt;0,1,0)</f>
        <v>0</v>
      </c>
    </row>
    <row r="280">
      <c r="A280" s="94">
        <f>IF($X280=0,"",260)</f>
      </c>
      <c r="B280" s="95">
        <f t="shared" si="1"/>
      </c>
      <c r="C280" s="96">
        <f t="shared" si="10"/>
      </c>
      <c r="D280" s="21">
        <f t="shared" si="12"/>
      </c>
      <c r="E280" s="21">
        <f t="shared" si="14"/>
      </c>
      <c r="F280" s="21">
        <f t="shared" si="16"/>
      </c>
      <c r="G280" s="21">
        <f t="shared" si="18"/>
      </c>
      <c r="H280" s="21">
        <f t="shared" si="20"/>
      </c>
      <c r="I280" s="21">
        <f t="shared" si="22"/>
      </c>
      <c r="J280" s="94">
        <f t="shared" si="24"/>
      </c>
      <c r="K280" s="94">
        <f t="shared" si="26"/>
      </c>
      <c r="L280" s="94">
        <f t="shared" si="28"/>
      </c>
      <c r="M280" s="96">
        <f t="shared" si="29"/>
      </c>
      <c r="X280" s="2">
        <f>IF(260&gt;$AA$5,0,MOD(SMALL($AA$6:$AA$2005,260),10000))</f>
        <v>0</v>
      </c>
      <c r="AA280" s="2">
        <f>IF(AND(ISNUMBER(资金流水!$B$280),ISNUMBER(资金流水!$S$280),资金流水!$S$280&gt;=_辅助!$J$4,资金流水!$S$280&lt;=_辅助!$J$2,OR(资金流水!$C$280=$C$18,AND(资金流水!$AD$280=$C$18,资金流水!$X$280="账户互转"),AND($E$18&lt;&gt;"",资金流水!$J$280=$E$18,资金流水!$X$280="应付职工薪酬"))),INT(资金流水!$B$280)*10000+275,"")</f>
      </c>
      <c r="AB280" s="2">
        <f>AB250+SUM(CB251:CB280)</f>
        <v>0</v>
      </c>
      <c r="CB280" s="2">
        <f>IF(COUNTIFS(资金流水!$J$6:$J$2005,往来单位!$B$283,资金流水!$X$6:$X$2005,"其他应收款",资金流水!$S$6:$S$2005,"&gt;="&amp;_辅助!$J$4,资金流水!$S$6:$S$2005,"&lt;="&amp;_辅助!$J$2)*(往来单位!$B$283&lt;&gt;"")&gt;0,1,0)</f>
        <v>0</v>
      </c>
    </row>
    <row r="281">
      <c r="A281" s="94">
        <f>IF($X281=0,"",261)</f>
      </c>
      <c r="B281" s="95">
        <f t="shared" si="1"/>
      </c>
      <c r="C281" s="96">
        <f t="shared" si="10"/>
      </c>
      <c r="D281" s="21">
        <f t="shared" si="12"/>
      </c>
      <c r="E281" s="21">
        <f t="shared" si="14"/>
      </c>
      <c r="F281" s="21">
        <f t="shared" si="16"/>
      </c>
      <c r="G281" s="21">
        <f t="shared" si="18"/>
      </c>
      <c r="H281" s="21">
        <f t="shared" si="20"/>
      </c>
      <c r="I281" s="21">
        <f t="shared" si="22"/>
      </c>
      <c r="J281" s="94">
        <f t="shared" si="24"/>
      </c>
      <c r="K281" s="94">
        <f t="shared" si="26"/>
      </c>
      <c r="L281" s="94">
        <f t="shared" si="28"/>
      </c>
      <c r="M281" s="96">
        <f t="shared" si="29"/>
      </c>
      <c r="X281" s="2">
        <f>IF(261&gt;$AA$5,0,MOD(SMALL($AA$6:$AA$2005,261),10000))</f>
        <v>0</v>
      </c>
      <c r="AA281" s="2">
        <f>IF(AND(ISNUMBER(资金流水!$B$281),ISNUMBER(资金流水!$S$281),资金流水!$S$281&gt;=_辅助!$J$4,资金流水!$S$281&lt;=_辅助!$J$2,OR(资金流水!$C$281=$C$18,AND(资金流水!$AD$281=$C$18,资金流水!$X$281="账户互转"),AND($E$18&lt;&gt;"",资金流水!$J$281=$E$18,资金流水!$X$281="应付职工薪酬"))),INT(资金流水!$B$281)*10000+276,"")</f>
      </c>
      <c r="AB281" s="2">
        <f>AB250+SUM(CB251:CB281)</f>
        <v>0</v>
      </c>
      <c r="CB281" s="2">
        <f>IF(COUNTIFS(资金流水!$J$6:$J$2005,往来单位!$B$284,资金流水!$X$6:$X$2005,"其他应收款",资金流水!$S$6:$S$2005,"&gt;="&amp;_辅助!$J$4,资金流水!$S$6:$S$2005,"&lt;="&amp;_辅助!$J$2)*(往来单位!$B$284&lt;&gt;"")&gt;0,1,0)</f>
        <v>0</v>
      </c>
    </row>
    <row r="282">
      <c r="A282" s="94">
        <f>IF($X282=0,"",262)</f>
      </c>
      <c r="B282" s="95">
        <f t="shared" si="1"/>
      </c>
      <c r="C282" s="96">
        <f t="shared" si="10"/>
      </c>
      <c r="D282" s="21">
        <f t="shared" si="12"/>
      </c>
      <c r="E282" s="21">
        <f t="shared" si="14"/>
      </c>
      <c r="F282" s="21">
        <f t="shared" si="16"/>
      </c>
      <c r="G282" s="21">
        <f t="shared" si="18"/>
      </c>
      <c r="H282" s="21">
        <f t="shared" si="20"/>
      </c>
      <c r="I282" s="21">
        <f t="shared" si="22"/>
      </c>
      <c r="J282" s="94">
        <f t="shared" si="24"/>
      </c>
      <c r="K282" s="94">
        <f t="shared" si="26"/>
      </c>
      <c r="L282" s="94">
        <f t="shared" si="28"/>
      </c>
      <c r="M282" s="96">
        <f t="shared" si="29"/>
      </c>
      <c r="X282" s="2">
        <f>IF(262&gt;$AA$5,0,MOD(SMALL($AA$6:$AA$2005,262),10000))</f>
        <v>0</v>
      </c>
      <c r="AA282" s="2">
        <f>IF(AND(ISNUMBER(资金流水!$B$282),ISNUMBER(资金流水!$S$282),资金流水!$S$282&gt;=_辅助!$J$4,资金流水!$S$282&lt;=_辅助!$J$2,OR(资金流水!$C$282=$C$18,AND(资金流水!$AD$282=$C$18,资金流水!$X$282="账户互转"),AND($E$18&lt;&gt;"",资金流水!$J$282=$E$18,资金流水!$X$282="应付职工薪酬"))),INT(资金流水!$B$282)*10000+277,"")</f>
      </c>
      <c r="AB282" s="2">
        <f>AB250+SUM(CB251:CB282)</f>
        <v>0</v>
      </c>
      <c r="CB282" s="2">
        <f>IF(COUNTIFS(资金流水!$J$6:$J$2005,往来单位!$B$285,资金流水!$X$6:$X$2005,"其他应收款",资金流水!$S$6:$S$2005,"&gt;="&amp;_辅助!$J$4,资金流水!$S$6:$S$2005,"&lt;="&amp;_辅助!$J$2)*(往来单位!$B$285&lt;&gt;"")&gt;0,1,0)</f>
        <v>0</v>
      </c>
    </row>
    <row r="283">
      <c r="A283" s="94">
        <f>IF($X283=0,"",263)</f>
      </c>
      <c r="B283" s="95">
        <f t="shared" si="1"/>
      </c>
      <c r="C283" s="96">
        <f t="shared" si="10"/>
      </c>
      <c r="D283" s="21">
        <f t="shared" si="12"/>
      </c>
      <c r="E283" s="21">
        <f t="shared" si="14"/>
      </c>
      <c r="F283" s="21">
        <f t="shared" si="16"/>
      </c>
      <c r="G283" s="21">
        <f t="shared" si="18"/>
      </c>
      <c r="H283" s="21">
        <f t="shared" si="20"/>
      </c>
      <c r="I283" s="21">
        <f t="shared" si="22"/>
      </c>
      <c r="J283" s="94">
        <f t="shared" si="24"/>
      </c>
      <c r="K283" s="94">
        <f t="shared" si="26"/>
      </c>
      <c r="L283" s="94">
        <f t="shared" si="28"/>
      </c>
      <c r="M283" s="96">
        <f t="shared" si="29"/>
      </c>
      <c r="X283" s="2">
        <f>IF(263&gt;$AA$5,0,MOD(SMALL($AA$6:$AA$2005,263),10000))</f>
        <v>0</v>
      </c>
      <c r="AA283" s="2">
        <f>IF(AND(ISNUMBER(资金流水!$B$283),ISNUMBER(资金流水!$S$283),资金流水!$S$283&gt;=_辅助!$J$4,资金流水!$S$283&lt;=_辅助!$J$2,OR(资金流水!$C$283=$C$18,AND(资金流水!$AD$283=$C$18,资金流水!$X$283="账户互转"),AND($E$18&lt;&gt;"",资金流水!$J$283=$E$18,资金流水!$X$283="应付职工薪酬"))),INT(资金流水!$B$283)*10000+278,"")</f>
      </c>
      <c r="AB283" s="2">
        <f>AB250+SUM(CB251:CB283)</f>
        <v>0</v>
      </c>
      <c r="CB283" s="2">
        <f>IF(COUNTIFS(资金流水!$J$6:$J$2005,往来单位!$B$286,资金流水!$X$6:$X$2005,"其他应收款",资金流水!$S$6:$S$2005,"&gt;="&amp;_辅助!$J$4,资金流水!$S$6:$S$2005,"&lt;="&amp;_辅助!$J$2)*(往来单位!$B$286&lt;&gt;"")&gt;0,1,0)</f>
        <v>0</v>
      </c>
    </row>
    <row r="284">
      <c r="A284" s="94">
        <f>IF($X284=0,"",264)</f>
      </c>
      <c r="B284" s="95">
        <f t="shared" si="1"/>
      </c>
      <c r="C284" s="96">
        <f t="shared" si="10"/>
      </c>
      <c r="D284" s="21">
        <f t="shared" si="12"/>
      </c>
      <c r="E284" s="21">
        <f t="shared" si="14"/>
      </c>
      <c r="F284" s="21">
        <f t="shared" si="16"/>
      </c>
      <c r="G284" s="21">
        <f t="shared" si="18"/>
      </c>
      <c r="H284" s="21">
        <f t="shared" si="20"/>
      </c>
      <c r="I284" s="21">
        <f t="shared" si="22"/>
      </c>
      <c r="J284" s="94">
        <f t="shared" si="24"/>
      </c>
      <c r="K284" s="94">
        <f t="shared" si="26"/>
      </c>
      <c r="L284" s="94">
        <f t="shared" si="28"/>
      </c>
      <c r="M284" s="96">
        <f t="shared" si="29"/>
      </c>
      <c r="X284" s="2">
        <f>IF(264&gt;$AA$5,0,MOD(SMALL($AA$6:$AA$2005,264),10000))</f>
        <v>0</v>
      </c>
      <c r="AA284" s="2">
        <f>IF(AND(ISNUMBER(资金流水!$B$284),ISNUMBER(资金流水!$S$284),资金流水!$S$284&gt;=_辅助!$J$4,资金流水!$S$284&lt;=_辅助!$J$2,OR(资金流水!$C$284=$C$18,AND(资金流水!$AD$284=$C$18,资金流水!$X$284="账户互转"),AND($E$18&lt;&gt;"",资金流水!$J$284=$E$18,资金流水!$X$284="应付职工薪酬"))),INT(资金流水!$B$284)*10000+279,"")</f>
      </c>
      <c r="AB284" s="2">
        <f>AB250+SUM(CB251:CB284)</f>
        <v>0</v>
      </c>
      <c r="CB284" s="2">
        <f>IF(COUNTIFS(资金流水!$J$6:$J$2005,往来单位!$B$287,资金流水!$X$6:$X$2005,"其他应收款",资金流水!$S$6:$S$2005,"&gt;="&amp;_辅助!$J$4,资金流水!$S$6:$S$2005,"&lt;="&amp;_辅助!$J$2)*(往来单位!$B$287&lt;&gt;"")&gt;0,1,0)</f>
        <v>0</v>
      </c>
    </row>
    <row r="285">
      <c r="A285" s="94">
        <f>IF($X285=0,"",265)</f>
      </c>
      <c r="B285" s="95">
        <f t="shared" si="1"/>
      </c>
      <c r="C285" s="96">
        <f t="shared" si="10"/>
      </c>
      <c r="D285" s="21">
        <f t="shared" si="12"/>
      </c>
      <c r="E285" s="21">
        <f t="shared" si="14"/>
      </c>
      <c r="F285" s="21">
        <f t="shared" si="16"/>
      </c>
      <c r="G285" s="21">
        <f t="shared" si="18"/>
      </c>
      <c r="H285" s="21">
        <f t="shared" si="20"/>
      </c>
      <c r="I285" s="21">
        <f t="shared" si="22"/>
      </c>
      <c r="J285" s="94">
        <f t="shared" si="24"/>
      </c>
      <c r="K285" s="94">
        <f t="shared" si="26"/>
      </c>
      <c r="L285" s="94">
        <f t="shared" si="28"/>
      </c>
      <c r="M285" s="96">
        <f t="shared" si="29"/>
      </c>
      <c r="X285" s="2">
        <f>IF(265&gt;$AA$5,0,MOD(SMALL($AA$6:$AA$2005,265),10000))</f>
        <v>0</v>
      </c>
      <c r="AA285" s="2">
        <f>IF(AND(ISNUMBER(资金流水!$B$285),ISNUMBER(资金流水!$S$285),资金流水!$S$285&gt;=_辅助!$J$4,资金流水!$S$285&lt;=_辅助!$J$2,OR(资金流水!$C$285=$C$18,AND(资金流水!$AD$285=$C$18,资金流水!$X$285="账户互转"),AND($E$18&lt;&gt;"",资金流水!$J$285=$E$18,资金流水!$X$285="应付职工薪酬"))),INT(资金流水!$B$285)*10000+280,"")</f>
      </c>
      <c r="AB285" s="2">
        <f>AB250+SUM(CB251:CB285)</f>
        <v>0</v>
      </c>
      <c r="CB285" s="2">
        <f>IF(COUNTIFS(资金流水!$J$6:$J$2005,往来单位!$B$288,资金流水!$X$6:$X$2005,"其他应收款",资金流水!$S$6:$S$2005,"&gt;="&amp;_辅助!$J$4,资金流水!$S$6:$S$2005,"&lt;="&amp;_辅助!$J$2)*(往来单位!$B$288&lt;&gt;"")&gt;0,1,0)</f>
        <v>0</v>
      </c>
    </row>
    <row r="286">
      <c r="A286" s="94">
        <f>IF($X286=0,"",266)</f>
      </c>
      <c r="B286" s="95">
        <f t="shared" si="1"/>
      </c>
      <c r="C286" s="96">
        <f t="shared" si="10"/>
      </c>
      <c r="D286" s="21">
        <f t="shared" si="12"/>
      </c>
      <c r="E286" s="21">
        <f t="shared" si="14"/>
      </c>
      <c r="F286" s="21">
        <f t="shared" si="16"/>
      </c>
      <c r="G286" s="21">
        <f t="shared" si="18"/>
      </c>
      <c r="H286" s="21">
        <f t="shared" si="20"/>
      </c>
      <c r="I286" s="21">
        <f t="shared" si="22"/>
      </c>
      <c r="J286" s="94">
        <f t="shared" si="24"/>
      </c>
      <c r="K286" s="94">
        <f t="shared" si="26"/>
      </c>
      <c r="L286" s="94">
        <f t="shared" si="28"/>
      </c>
      <c r="M286" s="96">
        <f t="shared" si="29"/>
      </c>
      <c r="X286" s="2">
        <f>IF(266&gt;$AA$5,0,MOD(SMALL($AA$6:$AA$2005,266),10000))</f>
        <v>0</v>
      </c>
      <c r="AA286" s="2">
        <f>IF(AND(ISNUMBER(资金流水!$B$286),ISNUMBER(资金流水!$S$286),资金流水!$S$286&gt;=_辅助!$J$4,资金流水!$S$286&lt;=_辅助!$J$2,OR(资金流水!$C$286=$C$18,AND(资金流水!$AD$286=$C$18,资金流水!$X$286="账户互转"),AND($E$18&lt;&gt;"",资金流水!$J$286=$E$18,资金流水!$X$286="应付职工薪酬"))),INT(资金流水!$B$286)*10000+281,"")</f>
      </c>
      <c r="AB286" s="2">
        <f>AB250+SUM(CB251:CB286)</f>
        <v>0</v>
      </c>
      <c r="CB286" s="2">
        <f>IF(COUNTIFS(资金流水!$J$6:$J$2005,往来单位!$B$289,资金流水!$X$6:$X$2005,"其他应收款",资金流水!$S$6:$S$2005,"&gt;="&amp;_辅助!$J$4,资金流水!$S$6:$S$2005,"&lt;="&amp;_辅助!$J$2)*(往来单位!$B$289&lt;&gt;"")&gt;0,1,0)</f>
        <v>0</v>
      </c>
    </row>
    <row r="287">
      <c r="A287" s="94">
        <f>IF($X287=0,"",267)</f>
      </c>
      <c r="B287" s="95">
        <f t="shared" si="1"/>
      </c>
      <c r="C287" s="96">
        <f t="shared" si="10"/>
      </c>
      <c r="D287" s="21">
        <f t="shared" si="12"/>
      </c>
      <c r="E287" s="21">
        <f t="shared" si="14"/>
      </c>
      <c r="F287" s="21">
        <f t="shared" si="16"/>
      </c>
      <c r="G287" s="21">
        <f t="shared" si="18"/>
      </c>
      <c r="H287" s="21">
        <f t="shared" si="20"/>
      </c>
      <c r="I287" s="21">
        <f t="shared" si="22"/>
      </c>
      <c r="J287" s="94">
        <f t="shared" si="24"/>
      </c>
      <c r="K287" s="94">
        <f t="shared" si="26"/>
      </c>
      <c r="L287" s="94">
        <f t="shared" si="28"/>
      </c>
      <c r="M287" s="96">
        <f t="shared" si="29"/>
      </c>
      <c r="X287" s="2">
        <f>IF(267&gt;$AA$5,0,MOD(SMALL($AA$6:$AA$2005,267),10000))</f>
        <v>0</v>
      </c>
      <c r="AA287" s="2">
        <f>IF(AND(ISNUMBER(资金流水!$B$287),ISNUMBER(资金流水!$S$287),资金流水!$S$287&gt;=_辅助!$J$4,资金流水!$S$287&lt;=_辅助!$J$2,OR(资金流水!$C$287=$C$18,AND(资金流水!$AD$287=$C$18,资金流水!$X$287="账户互转"),AND($E$18&lt;&gt;"",资金流水!$J$287=$E$18,资金流水!$X$287="应付职工薪酬"))),INT(资金流水!$B$287)*10000+282,"")</f>
      </c>
      <c r="AB287" s="2">
        <f>AB250+SUM(CB251:CB287)</f>
        <v>0</v>
      </c>
      <c r="CB287" s="2">
        <f>IF(COUNTIFS(资金流水!$J$6:$J$2005,往来单位!$B$290,资金流水!$X$6:$X$2005,"其他应收款",资金流水!$S$6:$S$2005,"&gt;="&amp;_辅助!$J$4,资金流水!$S$6:$S$2005,"&lt;="&amp;_辅助!$J$2)*(往来单位!$B$290&lt;&gt;"")&gt;0,1,0)</f>
        <v>0</v>
      </c>
    </row>
    <row r="288">
      <c r="A288" s="94">
        <f>IF($X288=0,"",268)</f>
      </c>
      <c r="B288" s="95">
        <f t="shared" si="1"/>
      </c>
      <c r="C288" s="96">
        <f t="shared" si="10"/>
      </c>
      <c r="D288" s="21">
        <f t="shared" si="12"/>
      </c>
      <c r="E288" s="21">
        <f t="shared" si="14"/>
      </c>
      <c r="F288" s="21">
        <f t="shared" si="16"/>
      </c>
      <c r="G288" s="21">
        <f t="shared" si="18"/>
      </c>
      <c r="H288" s="21">
        <f t="shared" si="20"/>
      </c>
      <c r="I288" s="21">
        <f t="shared" si="22"/>
      </c>
      <c r="J288" s="94">
        <f t="shared" si="24"/>
      </c>
      <c r="K288" s="94">
        <f t="shared" si="26"/>
      </c>
      <c r="L288" s="94">
        <f t="shared" si="28"/>
      </c>
      <c r="M288" s="96">
        <f t="shared" si="29"/>
      </c>
      <c r="X288" s="2">
        <f>IF(268&gt;$AA$5,0,MOD(SMALL($AA$6:$AA$2005,268),10000))</f>
        <v>0</v>
      </c>
      <c r="AA288" s="2">
        <f>IF(AND(ISNUMBER(资金流水!$B$288),ISNUMBER(资金流水!$S$288),资金流水!$S$288&gt;=_辅助!$J$4,资金流水!$S$288&lt;=_辅助!$J$2,OR(资金流水!$C$288=$C$18,AND(资金流水!$AD$288=$C$18,资金流水!$X$288="账户互转"),AND($E$18&lt;&gt;"",资金流水!$J$288=$E$18,资金流水!$X$288="应付职工薪酬"))),INT(资金流水!$B$288)*10000+283,"")</f>
      </c>
      <c r="AB288" s="2">
        <f>AB250+SUM(CB251:CB288)</f>
        <v>0</v>
      </c>
      <c r="CB288" s="2">
        <f>IF(COUNTIFS(资金流水!$J$6:$J$2005,往来单位!$B$291,资金流水!$X$6:$X$2005,"其他应收款",资金流水!$S$6:$S$2005,"&gt;="&amp;_辅助!$J$4,资金流水!$S$6:$S$2005,"&lt;="&amp;_辅助!$J$2)*(往来单位!$B$291&lt;&gt;"")&gt;0,1,0)</f>
        <v>0</v>
      </c>
    </row>
    <row r="289">
      <c r="A289" s="94">
        <f>IF($X289=0,"",269)</f>
      </c>
      <c r="B289" s="95">
        <f t="shared" si="1"/>
      </c>
      <c r="C289" s="96">
        <f t="shared" si="10"/>
      </c>
      <c r="D289" s="21">
        <f t="shared" si="12"/>
      </c>
      <c r="E289" s="21">
        <f t="shared" si="14"/>
      </c>
      <c r="F289" s="21">
        <f t="shared" si="16"/>
      </c>
      <c r="G289" s="21">
        <f t="shared" si="18"/>
      </c>
      <c r="H289" s="21">
        <f t="shared" si="20"/>
      </c>
      <c r="I289" s="21">
        <f t="shared" si="22"/>
      </c>
      <c r="J289" s="94">
        <f t="shared" si="24"/>
      </c>
      <c r="K289" s="94">
        <f t="shared" si="26"/>
      </c>
      <c r="L289" s="94">
        <f t="shared" si="28"/>
      </c>
      <c r="M289" s="96">
        <f t="shared" si="29"/>
      </c>
      <c r="X289" s="2">
        <f>IF(269&gt;$AA$5,0,MOD(SMALL($AA$6:$AA$2005,269),10000))</f>
        <v>0</v>
      </c>
      <c r="AA289" s="2">
        <f>IF(AND(ISNUMBER(资金流水!$B$289),ISNUMBER(资金流水!$S$289),资金流水!$S$289&gt;=_辅助!$J$4,资金流水!$S$289&lt;=_辅助!$J$2,OR(资金流水!$C$289=$C$18,AND(资金流水!$AD$289=$C$18,资金流水!$X$289="账户互转"),AND($E$18&lt;&gt;"",资金流水!$J$289=$E$18,资金流水!$X$289="应付职工薪酬"))),INT(资金流水!$B$289)*10000+284,"")</f>
      </c>
      <c r="AB289" s="2">
        <f>AB250+SUM(CB251:CB289)</f>
        <v>0</v>
      </c>
      <c r="CB289" s="2">
        <f>IF(COUNTIFS(资金流水!$J$6:$J$2005,往来单位!$B$292,资金流水!$X$6:$X$2005,"其他应收款",资金流水!$S$6:$S$2005,"&gt;="&amp;_辅助!$J$4,资金流水!$S$6:$S$2005,"&lt;="&amp;_辅助!$J$2)*(往来单位!$B$292&lt;&gt;"")&gt;0,1,0)</f>
        <v>0</v>
      </c>
    </row>
    <row r="290">
      <c r="A290" s="94">
        <f>IF($X290=0,"",270)</f>
      </c>
      <c r="B290" s="95">
        <f t="shared" si="1"/>
      </c>
      <c r="C290" s="96">
        <f t="shared" si="10"/>
      </c>
      <c r="D290" s="21">
        <f t="shared" si="12"/>
      </c>
      <c r="E290" s="21">
        <f t="shared" si="14"/>
      </c>
      <c r="F290" s="21">
        <f t="shared" si="16"/>
      </c>
      <c r="G290" s="21">
        <f t="shared" si="18"/>
      </c>
      <c r="H290" s="21">
        <f t="shared" si="20"/>
      </c>
      <c r="I290" s="21">
        <f t="shared" si="22"/>
      </c>
      <c r="J290" s="94">
        <f t="shared" si="24"/>
      </c>
      <c r="K290" s="94">
        <f t="shared" si="26"/>
      </c>
      <c r="L290" s="94">
        <f t="shared" si="28"/>
      </c>
      <c r="M290" s="96">
        <f t="shared" si="29"/>
      </c>
      <c r="X290" s="2">
        <f>IF(270&gt;$AA$5,0,MOD(SMALL($AA$6:$AA$2005,270),10000))</f>
        <v>0</v>
      </c>
      <c r="AA290" s="2">
        <f>IF(AND(ISNUMBER(资金流水!$B$290),ISNUMBER(资金流水!$S$290),资金流水!$S$290&gt;=_辅助!$J$4,资金流水!$S$290&lt;=_辅助!$J$2,OR(资金流水!$C$290=$C$18,AND(资金流水!$AD$290=$C$18,资金流水!$X$290="账户互转"),AND($E$18&lt;&gt;"",资金流水!$J$290=$E$18,资金流水!$X$290="应付职工薪酬"))),INT(资金流水!$B$290)*10000+285,"")</f>
      </c>
      <c r="AB290" s="2">
        <f>AB250+SUM(CB251:CB290)</f>
        <v>0</v>
      </c>
      <c r="CB290" s="2">
        <f>IF(COUNTIFS(资金流水!$J$6:$J$2005,往来单位!$B$293,资金流水!$X$6:$X$2005,"其他应收款",资金流水!$S$6:$S$2005,"&gt;="&amp;_辅助!$J$4,资金流水!$S$6:$S$2005,"&lt;="&amp;_辅助!$J$2)*(往来单位!$B$293&lt;&gt;"")&gt;0,1,0)</f>
        <v>0</v>
      </c>
    </row>
    <row r="291">
      <c r="A291" s="94">
        <f>IF($X291=0,"",271)</f>
      </c>
      <c r="B291" s="95">
        <f t="shared" si="1"/>
      </c>
      <c r="C291" s="96">
        <f t="shared" si="10"/>
      </c>
      <c r="D291" s="21">
        <f t="shared" si="12"/>
      </c>
      <c r="E291" s="21">
        <f t="shared" si="14"/>
      </c>
      <c r="F291" s="21">
        <f t="shared" si="16"/>
      </c>
      <c r="G291" s="21">
        <f t="shared" si="18"/>
      </c>
      <c r="H291" s="21">
        <f t="shared" si="20"/>
      </c>
      <c r="I291" s="21">
        <f t="shared" si="22"/>
      </c>
      <c r="J291" s="94">
        <f t="shared" si="24"/>
      </c>
      <c r="K291" s="94">
        <f t="shared" si="26"/>
      </c>
      <c r="L291" s="94">
        <f t="shared" si="28"/>
      </c>
      <c r="M291" s="96">
        <f t="shared" si="29"/>
      </c>
      <c r="X291" s="2">
        <f>IF(271&gt;$AA$5,0,MOD(SMALL($AA$6:$AA$2005,271),10000))</f>
        <v>0</v>
      </c>
      <c r="AA291" s="2">
        <f>IF(AND(ISNUMBER(资金流水!$B$291),ISNUMBER(资金流水!$S$291),资金流水!$S$291&gt;=_辅助!$J$4,资金流水!$S$291&lt;=_辅助!$J$2,OR(资金流水!$C$291=$C$18,AND(资金流水!$AD$291=$C$18,资金流水!$X$291="账户互转"),AND($E$18&lt;&gt;"",资金流水!$J$291=$E$18,资金流水!$X$291="应付职工薪酬"))),INT(资金流水!$B$291)*10000+286,"")</f>
      </c>
      <c r="AB291" s="2">
        <f>AB250+SUM(CB251:CB291)</f>
        <v>0</v>
      </c>
      <c r="CB291" s="2">
        <f>IF(COUNTIFS(资金流水!$J$6:$J$2005,往来单位!$B$294,资金流水!$X$6:$X$2005,"其他应收款",资金流水!$S$6:$S$2005,"&gt;="&amp;_辅助!$J$4,资金流水!$S$6:$S$2005,"&lt;="&amp;_辅助!$J$2)*(往来单位!$B$294&lt;&gt;"")&gt;0,1,0)</f>
        <v>0</v>
      </c>
    </row>
    <row r="292">
      <c r="A292" s="94">
        <f>IF($X292=0,"",272)</f>
      </c>
      <c r="B292" s="95">
        <f t="shared" si="1"/>
      </c>
      <c r="C292" s="96">
        <f t="shared" si="10"/>
      </c>
      <c r="D292" s="21">
        <f t="shared" si="12"/>
      </c>
      <c r="E292" s="21">
        <f t="shared" si="14"/>
      </c>
      <c r="F292" s="21">
        <f t="shared" si="16"/>
      </c>
      <c r="G292" s="21">
        <f t="shared" si="18"/>
      </c>
      <c r="H292" s="21">
        <f t="shared" si="20"/>
      </c>
      <c r="I292" s="21">
        <f t="shared" si="22"/>
      </c>
      <c r="J292" s="94">
        <f t="shared" si="24"/>
      </c>
      <c r="K292" s="94">
        <f t="shared" si="26"/>
      </c>
      <c r="L292" s="94">
        <f t="shared" si="28"/>
      </c>
      <c r="M292" s="96">
        <f t="shared" si="29"/>
      </c>
      <c r="X292" s="2">
        <f>IF(272&gt;$AA$5,0,MOD(SMALL($AA$6:$AA$2005,272),10000))</f>
        <v>0</v>
      </c>
      <c r="AA292" s="2">
        <f>IF(AND(ISNUMBER(资金流水!$B$292),ISNUMBER(资金流水!$S$292),资金流水!$S$292&gt;=_辅助!$J$4,资金流水!$S$292&lt;=_辅助!$J$2,OR(资金流水!$C$292=$C$18,AND(资金流水!$AD$292=$C$18,资金流水!$X$292="账户互转"),AND($E$18&lt;&gt;"",资金流水!$J$292=$E$18,资金流水!$X$292="应付职工薪酬"))),INT(资金流水!$B$292)*10000+287,"")</f>
      </c>
      <c r="AB292" s="2">
        <f>AB250+SUM(CB251:CB292)</f>
        <v>0</v>
      </c>
      <c r="CB292" s="2">
        <f>IF(COUNTIFS(资金流水!$J$6:$J$2005,往来单位!$B$295,资金流水!$X$6:$X$2005,"其他应收款",资金流水!$S$6:$S$2005,"&gt;="&amp;_辅助!$J$4,资金流水!$S$6:$S$2005,"&lt;="&amp;_辅助!$J$2)*(往来单位!$B$295&lt;&gt;"")&gt;0,1,0)</f>
        <v>0</v>
      </c>
    </row>
    <row r="293">
      <c r="A293" s="94">
        <f>IF($X293=0,"",273)</f>
      </c>
      <c r="B293" s="95">
        <f t="shared" si="1"/>
      </c>
      <c r="C293" s="96">
        <f t="shared" si="10"/>
      </c>
      <c r="D293" s="21">
        <f t="shared" si="12"/>
      </c>
      <c r="E293" s="21">
        <f t="shared" si="14"/>
      </c>
      <c r="F293" s="21">
        <f t="shared" si="16"/>
      </c>
      <c r="G293" s="21">
        <f t="shared" si="18"/>
      </c>
      <c r="H293" s="21">
        <f t="shared" si="20"/>
      </c>
      <c r="I293" s="21">
        <f t="shared" si="22"/>
      </c>
      <c r="J293" s="94">
        <f t="shared" si="24"/>
      </c>
      <c r="K293" s="94">
        <f t="shared" si="26"/>
      </c>
      <c r="L293" s="94">
        <f t="shared" si="28"/>
      </c>
      <c r="M293" s="96">
        <f t="shared" si="29"/>
      </c>
      <c r="X293" s="2">
        <f>IF(273&gt;$AA$5,0,MOD(SMALL($AA$6:$AA$2005,273),10000))</f>
        <v>0</v>
      </c>
      <c r="AA293" s="2">
        <f>IF(AND(ISNUMBER(资金流水!$B$293),ISNUMBER(资金流水!$S$293),资金流水!$S$293&gt;=_辅助!$J$4,资金流水!$S$293&lt;=_辅助!$J$2,OR(资金流水!$C$293=$C$18,AND(资金流水!$AD$293=$C$18,资金流水!$X$293="账户互转"),AND($E$18&lt;&gt;"",资金流水!$J$293=$E$18,资金流水!$X$293="应付职工薪酬"))),INT(资金流水!$B$293)*10000+288,"")</f>
      </c>
      <c r="AB293" s="2">
        <f>AB250+SUM(CB251:CB293)</f>
        <v>0</v>
      </c>
      <c r="CB293" s="2">
        <f>IF(COUNTIFS(资金流水!$J$6:$J$2005,往来单位!$B$296,资金流水!$X$6:$X$2005,"其他应收款",资金流水!$S$6:$S$2005,"&gt;="&amp;_辅助!$J$4,资金流水!$S$6:$S$2005,"&lt;="&amp;_辅助!$J$2)*(往来单位!$B$296&lt;&gt;"")&gt;0,1,0)</f>
        <v>0</v>
      </c>
    </row>
    <row r="294">
      <c r="A294" s="94">
        <f>IF($X294=0,"",274)</f>
      </c>
      <c r="B294" s="95">
        <f t="shared" si="1"/>
      </c>
      <c r="C294" s="96">
        <f t="shared" si="10"/>
      </c>
      <c r="D294" s="21">
        <f t="shared" si="12"/>
      </c>
      <c r="E294" s="21">
        <f t="shared" si="14"/>
      </c>
      <c r="F294" s="21">
        <f t="shared" si="16"/>
      </c>
      <c r="G294" s="21">
        <f t="shared" si="18"/>
      </c>
      <c r="H294" s="21">
        <f t="shared" si="20"/>
      </c>
      <c r="I294" s="21">
        <f t="shared" si="22"/>
      </c>
      <c r="J294" s="94">
        <f t="shared" si="24"/>
      </c>
      <c r="K294" s="94">
        <f t="shared" si="26"/>
      </c>
      <c r="L294" s="94">
        <f t="shared" si="28"/>
      </c>
      <c r="M294" s="96">
        <f t="shared" si="29"/>
      </c>
      <c r="X294" s="2">
        <f>IF(274&gt;$AA$5,0,MOD(SMALL($AA$6:$AA$2005,274),10000))</f>
        <v>0</v>
      </c>
      <c r="AA294" s="2">
        <f>IF(AND(ISNUMBER(资金流水!$B$294),ISNUMBER(资金流水!$S$294),资金流水!$S$294&gt;=_辅助!$J$4,资金流水!$S$294&lt;=_辅助!$J$2,OR(资金流水!$C$294=$C$18,AND(资金流水!$AD$294=$C$18,资金流水!$X$294="账户互转"),AND($E$18&lt;&gt;"",资金流水!$J$294=$E$18,资金流水!$X$294="应付职工薪酬"))),INT(资金流水!$B$294)*10000+289,"")</f>
      </c>
      <c r="AB294" s="2">
        <f>AB250+SUM(CB251:CB294)</f>
        <v>0</v>
      </c>
      <c r="CB294" s="2">
        <f>IF(COUNTIFS(资金流水!$J$6:$J$2005,往来单位!$B$297,资金流水!$X$6:$X$2005,"其他应收款",资金流水!$S$6:$S$2005,"&gt;="&amp;_辅助!$J$4,资金流水!$S$6:$S$2005,"&lt;="&amp;_辅助!$J$2)*(往来单位!$B$297&lt;&gt;"")&gt;0,1,0)</f>
        <v>0</v>
      </c>
    </row>
    <row r="295">
      <c r="A295" s="94">
        <f>IF($X295=0,"",275)</f>
      </c>
      <c r="B295" s="95">
        <f t="shared" si="1"/>
      </c>
      <c r="C295" s="96">
        <f t="shared" si="10"/>
      </c>
      <c r="D295" s="21">
        <f t="shared" si="12"/>
      </c>
      <c r="E295" s="21">
        <f t="shared" si="14"/>
      </c>
      <c r="F295" s="21">
        <f t="shared" si="16"/>
      </c>
      <c r="G295" s="21">
        <f t="shared" si="18"/>
      </c>
      <c r="H295" s="21">
        <f t="shared" si="20"/>
      </c>
      <c r="I295" s="21">
        <f t="shared" si="22"/>
      </c>
      <c r="J295" s="94">
        <f t="shared" si="24"/>
      </c>
      <c r="K295" s="94">
        <f t="shared" si="26"/>
      </c>
      <c r="L295" s="94">
        <f t="shared" si="28"/>
      </c>
      <c r="M295" s="96">
        <f t="shared" si="29"/>
      </c>
      <c r="X295" s="2">
        <f>IF(275&gt;$AA$5,0,MOD(SMALL($AA$6:$AA$2005,275),10000))</f>
        <v>0</v>
      </c>
      <c r="AA295" s="2">
        <f>IF(AND(ISNUMBER(资金流水!$B$295),ISNUMBER(资金流水!$S$295),资金流水!$S$295&gt;=_辅助!$J$4,资金流水!$S$295&lt;=_辅助!$J$2,OR(资金流水!$C$295=$C$18,AND(资金流水!$AD$295=$C$18,资金流水!$X$295="账户互转"),AND($E$18&lt;&gt;"",资金流水!$J$295=$E$18,资金流水!$X$295="应付职工薪酬"))),INT(资金流水!$B$295)*10000+290,"")</f>
      </c>
      <c r="AB295" s="2">
        <f>AB250+SUM(CB251:CB295)</f>
        <v>0</v>
      </c>
      <c r="CB295" s="2">
        <f>IF(COUNTIFS(资金流水!$J$6:$J$2005,往来单位!$B$298,资金流水!$X$6:$X$2005,"其他应收款",资金流水!$S$6:$S$2005,"&gt;="&amp;_辅助!$J$4,资金流水!$S$6:$S$2005,"&lt;="&amp;_辅助!$J$2)*(往来单位!$B$298&lt;&gt;"")&gt;0,1,0)</f>
        <v>0</v>
      </c>
    </row>
    <row r="296">
      <c r="A296" s="94">
        <f>IF($X296=0,"",276)</f>
      </c>
      <c r="B296" s="95">
        <f t="shared" si="1"/>
      </c>
      <c r="C296" s="96">
        <f t="shared" si="10"/>
      </c>
      <c r="D296" s="21">
        <f t="shared" si="12"/>
      </c>
      <c r="E296" s="21">
        <f t="shared" si="14"/>
      </c>
      <c r="F296" s="21">
        <f t="shared" si="16"/>
      </c>
      <c r="G296" s="21">
        <f t="shared" si="18"/>
      </c>
      <c r="H296" s="21">
        <f t="shared" si="20"/>
      </c>
      <c r="I296" s="21">
        <f t="shared" si="22"/>
      </c>
      <c r="J296" s="94">
        <f t="shared" si="24"/>
      </c>
      <c r="K296" s="94">
        <f t="shared" si="26"/>
      </c>
      <c r="L296" s="94">
        <f t="shared" si="28"/>
      </c>
      <c r="M296" s="96">
        <f t="shared" si="29"/>
      </c>
      <c r="X296" s="2">
        <f>IF(276&gt;$AA$5,0,MOD(SMALL($AA$6:$AA$2005,276),10000))</f>
        <v>0</v>
      </c>
      <c r="AA296" s="2">
        <f>IF(AND(ISNUMBER(资金流水!$B$296),ISNUMBER(资金流水!$S$296),资金流水!$S$296&gt;=_辅助!$J$4,资金流水!$S$296&lt;=_辅助!$J$2,OR(资金流水!$C$296=$C$18,AND(资金流水!$AD$296=$C$18,资金流水!$X$296="账户互转"),AND($E$18&lt;&gt;"",资金流水!$J$296=$E$18,资金流水!$X$296="应付职工薪酬"))),INT(资金流水!$B$296)*10000+291,"")</f>
      </c>
      <c r="AB296" s="2">
        <f>AB250+SUM(CB251:CB296)</f>
        <v>0</v>
      </c>
      <c r="CB296" s="2">
        <f>IF(COUNTIFS(资金流水!$J$6:$J$2005,往来单位!$B$299,资金流水!$X$6:$X$2005,"其他应收款",资金流水!$S$6:$S$2005,"&gt;="&amp;_辅助!$J$4,资金流水!$S$6:$S$2005,"&lt;="&amp;_辅助!$J$2)*(往来单位!$B$299&lt;&gt;"")&gt;0,1,0)</f>
        <v>0</v>
      </c>
    </row>
    <row r="297">
      <c r="A297" s="94">
        <f>IF($X297=0,"",277)</f>
      </c>
      <c r="B297" s="95">
        <f t="shared" si="1"/>
      </c>
      <c r="C297" s="96">
        <f t="shared" si="10"/>
      </c>
      <c r="D297" s="21">
        <f t="shared" si="12"/>
      </c>
      <c r="E297" s="21">
        <f t="shared" si="14"/>
      </c>
      <c r="F297" s="21">
        <f t="shared" si="16"/>
      </c>
      <c r="G297" s="21">
        <f t="shared" si="18"/>
      </c>
      <c r="H297" s="21">
        <f t="shared" si="20"/>
      </c>
      <c r="I297" s="21">
        <f t="shared" si="22"/>
      </c>
      <c r="J297" s="94">
        <f t="shared" si="24"/>
      </c>
      <c r="K297" s="94">
        <f t="shared" si="26"/>
      </c>
      <c r="L297" s="94">
        <f t="shared" si="28"/>
      </c>
      <c r="M297" s="96">
        <f t="shared" si="29"/>
      </c>
      <c r="X297" s="2">
        <f>IF(277&gt;$AA$5,0,MOD(SMALL($AA$6:$AA$2005,277),10000))</f>
        <v>0</v>
      </c>
      <c r="AA297" s="2">
        <f>IF(AND(ISNUMBER(资金流水!$B$297),ISNUMBER(资金流水!$S$297),资金流水!$S$297&gt;=_辅助!$J$4,资金流水!$S$297&lt;=_辅助!$J$2,OR(资金流水!$C$297=$C$18,AND(资金流水!$AD$297=$C$18,资金流水!$X$297="账户互转"),AND($E$18&lt;&gt;"",资金流水!$J$297=$E$18,资金流水!$X$297="应付职工薪酬"))),INT(资金流水!$B$297)*10000+292,"")</f>
      </c>
      <c r="AB297" s="2">
        <f>AB250+SUM(CB251:CB297)</f>
        <v>0</v>
      </c>
      <c r="CB297" s="2">
        <f>IF(COUNTIFS(资金流水!$J$6:$J$2005,往来单位!$B$300,资金流水!$X$6:$X$2005,"其他应收款",资金流水!$S$6:$S$2005,"&gt;="&amp;_辅助!$J$4,资金流水!$S$6:$S$2005,"&lt;="&amp;_辅助!$J$2)*(往来单位!$B$300&lt;&gt;"")&gt;0,1,0)</f>
        <v>0</v>
      </c>
    </row>
    <row r="298">
      <c r="A298" s="94">
        <f>IF($X298=0,"",278)</f>
      </c>
      <c r="B298" s="95">
        <f t="shared" si="1"/>
      </c>
      <c r="C298" s="96">
        <f t="shared" si="10"/>
      </c>
      <c r="D298" s="21">
        <f t="shared" si="12"/>
      </c>
      <c r="E298" s="21">
        <f t="shared" si="14"/>
      </c>
      <c r="F298" s="21">
        <f t="shared" si="16"/>
      </c>
      <c r="G298" s="21">
        <f t="shared" si="18"/>
      </c>
      <c r="H298" s="21">
        <f t="shared" si="20"/>
      </c>
      <c r="I298" s="21">
        <f t="shared" si="22"/>
      </c>
      <c r="J298" s="94">
        <f t="shared" si="24"/>
      </c>
      <c r="K298" s="94">
        <f t="shared" si="26"/>
      </c>
      <c r="L298" s="94">
        <f t="shared" si="28"/>
      </c>
      <c r="M298" s="96">
        <f t="shared" si="29"/>
      </c>
      <c r="X298" s="2">
        <f>IF(278&gt;$AA$5,0,MOD(SMALL($AA$6:$AA$2005,278),10000))</f>
        <v>0</v>
      </c>
      <c r="AA298" s="2">
        <f>IF(AND(ISNUMBER(资金流水!$B$298),ISNUMBER(资金流水!$S$298),资金流水!$S$298&gt;=_辅助!$J$4,资金流水!$S$298&lt;=_辅助!$J$2,OR(资金流水!$C$298=$C$18,AND(资金流水!$AD$298=$C$18,资金流水!$X$298="账户互转"),AND($E$18&lt;&gt;"",资金流水!$J$298=$E$18,资金流水!$X$298="应付职工薪酬"))),INT(资金流水!$B$298)*10000+293,"")</f>
      </c>
      <c r="AB298" s="2">
        <f>AB250+SUM(CB251:CB298)</f>
        <v>0</v>
      </c>
      <c r="CB298" s="2">
        <f>IF(COUNTIFS(资金流水!$J$6:$J$2005,往来单位!$B$301,资金流水!$X$6:$X$2005,"其他应收款",资金流水!$S$6:$S$2005,"&gt;="&amp;_辅助!$J$4,资金流水!$S$6:$S$2005,"&lt;="&amp;_辅助!$J$2)*(往来单位!$B$301&lt;&gt;"")&gt;0,1,0)</f>
        <v>0</v>
      </c>
    </row>
    <row r="299">
      <c r="A299" s="94">
        <f>IF($X299=0,"",279)</f>
      </c>
      <c r="B299" s="95">
        <f t="shared" si="1"/>
      </c>
      <c r="C299" s="96">
        <f t="shared" si="10"/>
      </c>
      <c r="D299" s="21">
        <f t="shared" si="12"/>
      </c>
      <c r="E299" s="21">
        <f t="shared" si="14"/>
      </c>
      <c r="F299" s="21">
        <f t="shared" si="16"/>
      </c>
      <c r="G299" s="21">
        <f t="shared" si="18"/>
      </c>
      <c r="H299" s="21">
        <f t="shared" si="20"/>
      </c>
      <c r="I299" s="21">
        <f t="shared" si="22"/>
      </c>
      <c r="J299" s="94">
        <f t="shared" si="24"/>
      </c>
      <c r="K299" s="94">
        <f t="shared" si="26"/>
      </c>
      <c r="L299" s="94">
        <f t="shared" si="28"/>
      </c>
      <c r="M299" s="96">
        <f t="shared" si="29"/>
      </c>
      <c r="X299" s="2">
        <f>IF(279&gt;$AA$5,0,MOD(SMALL($AA$6:$AA$2005,279),10000))</f>
        <v>0</v>
      </c>
      <c r="AA299" s="2">
        <f>IF(AND(ISNUMBER(资金流水!$B$299),ISNUMBER(资金流水!$S$299),资金流水!$S$299&gt;=_辅助!$J$4,资金流水!$S$299&lt;=_辅助!$J$2,OR(资金流水!$C$299=$C$18,AND(资金流水!$AD$299=$C$18,资金流水!$X$299="账户互转"),AND($E$18&lt;&gt;"",资金流水!$J$299=$E$18,资金流水!$X$299="应付职工薪酬"))),INT(资金流水!$B$299)*10000+294,"")</f>
      </c>
      <c r="AB299" s="2">
        <f>AB250+SUM(CB251:CB299)</f>
        <v>0</v>
      </c>
      <c r="CB299" s="2">
        <f>IF(COUNTIFS(资金流水!$J$6:$J$2005,往来单位!$B$302,资金流水!$X$6:$X$2005,"其他应收款",资金流水!$S$6:$S$2005,"&gt;="&amp;_辅助!$J$4,资金流水!$S$6:$S$2005,"&lt;="&amp;_辅助!$J$2)*(往来单位!$B$302&lt;&gt;"")&gt;0,1,0)</f>
        <v>0</v>
      </c>
    </row>
    <row r="300">
      <c r="A300" s="94">
        <f>IF($X300=0,"",280)</f>
      </c>
      <c r="B300" s="95">
        <f t="shared" si="1"/>
      </c>
      <c r="C300" s="96">
        <f t="shared" si="10"/>
      </c>
      <c r="D300" s="21">
        <f t="shared" si="12"/>
      </c>
      <c r="E300" s="21">
        <f t="shared" si="14"/>
      </c>
      <c r="F300" s="21">
        <f t="shared" si="16"/>
      </c>
      <c r="G300" s="21">
        <f t="shared" si="18"/>
      </c>
      <c r="H300" s="21">
        <f t="shared" si="20"/>
      </c>
      <c r="I300" s="21">
        <f t="shared" si="22"/>
      </c>
      <c r="J300" s="94">
        <f t="shared" si="24"/>
      </c>
      <c r="K300" s="94">
        <f t="shared" si="26"/>
      </c>
      <c r="L300" s="94">
        <f t="shared" si="28"/>
      </c>
      <c r="M300" s="96">
        <f t="shared" si="29"/>
      </c>
      <c r="X300" s="2">
        <f>IF(280&gt;$AA$5,0,MOD(SMALL($AA$6:$AA$2005,280),10000))</f>
        <v>0</v>
      </c>
      <c r="AA300" s="2">
        <f>IF(AND(ISNUMBER(资金流水!$B$300),ISNUMBER(资金流水!$S$300),资金流水!$S$300&gt;=_辅助!$J$4,资金流水!$S$300&lt;=_辅助!$J$2,OR(资金流水!$C$300=$C$18,AND(资金流水!$AD$300=$C$18,资金流水!$X$300="账户互转"),AND($E$18&lt;&gt;"",资金流水!$J$300=$E$18,资金流水!$X$300="应付职工薪酬"))),INT(资金流水!$B$300)*10000+295,"")</f>
      </c>
      <c r="AB300" s="2">
        <f>AB250+SUM(CB251:CB300)</f>
        <v>0</v>
      </c>
      <c r="CB300" s="2">
        <f>IF(COUNTIFS(资金流水!$J$6:$J$2005,往来单位!$B$303,资金流水!$X$6:$X$2005,"其他应收款",资金流水!$S$6:$S$2005,"&gt;="&amp;_辅助!$J$4,资金流水!$S$6:$S$2005,"&lt;="&amp;_辅助!$J$2)*(往来单位!$B$303&lt;&gt;"")&gt;0,1,0)</f>
        <v>0</v>
      </c>
    </row>
    <row r="301">
      <c r="A301" s="94">
        <f>IF($X301=0,"",281)</f>
      </c>
      <c r="B301" s="95">
        <f t="shared" si="1"/>
      </c>
      <c r="C301" s="96">
        <f t="shared" si="10"/>
      </c>
      <c r="D301" s="21">
        <f t="shared" si="12"/>
      </c>
      <c r="E301" s="21">
        <f t="shared" si="14"/>
      </c>
      <c r="F301" s="21">
        <f t="shared" si="16"/>
      </c>
      <c r="G301" s="21">
        <f t="shared" si="18"/>
      </c>
      <c r="H301" s="21">
        <f t="shared" si="20"/>
      </c>
      <c r="I301" s="21">
        <f t="shared" si="22"/>
      </c>
      <c r="J301" s="94">
        <f t="shared" si="24"/>
      </c>
      <c r="K301" s="94">
        <f t="shared" si="26"/>
      </c>
      <c r="L301" s="94">
        <f t="shared" si="28"/>
      </c>
      <c r="M301" s="96">
        <f t="shared" si="29"/>
      </c>
      <c r="X301" s="2">
        <f>IF(281&gt;$AA$5,0,MOD(SMALL($AA$6:$AA$2005,281),10000))</f>
        <v>0</v>
      </c>
      <c r="AA301" s="2">
        <f>IF(AND(ISNUMBER(资金流水!$B$301),ISNUMBER(资金流水!$S$301),资金流水!$S$301&gt;=_辅助!$J$4,资金流水!$S$301&lt;=_辅助!$J$2,OR(资金流水!$C$301=$C$18,AND(资金流水!$AD$301=$C$18,资金流水!$X$301="账户互转"),AND($E$18&lt;&gt;"",资金流水!$J$301=$E$18,资金流水!$X$301="应付职工薪酬"))),INT(资金流水!$B$301)*10000+296,"")</f>
      </c>
    </row>
    <row r="302">
      <c r="A302" s="94">
        <f>IF($X302=0,"",282)</f>
      </c>
      <c r="B302" s="95">
        <f t="shared" si="1"/>
      </c>
      <c r="C302" s="96">
        <f t="shared" si="10"/>
      </c>
      <c r="D302" s="21">
        <f t="shared" si="12"/>
      </c>
      <c r="E302" s="21">
        <f t="shared" si="14"/>
      </c>
      <c r="F302" s="21">
        <f t="shared" si="16"/>
      </c>
      <c r="G302" s="21">
        <f t="shared" si="18"/>
      </c>
      <c r="H302" s="21">
        <f t="shared" si="20"/>
      </c>
      <c r="I302" s="21">
        <f t="shared" si="22"/>
      </c>
      <c r="J302" s="94">
        <f t="shared" si="24"/>
      </c>
      <c r="K302" s="94">
        <f t="shared" si="26"/>
      </c>
      <c r="L302" s="94">
        <f t="shared" si="28"/>
      </c>
      <c r="M302" s="96">
        <f t="shared" si="29"/>
      </c>
      <c r="X302" s="2">
        <f>IF(282&gt;$AA$5,0,MOD(SMALL($AA$6:$AA$2005,282),10000))</f>
        <v>0</v>
      </c>
      <c r="AA302" s="2">
        <f>IF(AND(ISNUMBER(资金流水!$B$302),ISNUMBER(资金流水!$S$302),资金流水!$S$302&gt;=_辅助!$J$4,资金流水!$S$302&lt;=_辅助!$J$2,OR(资金流水!$C$302=$C$18,AND(资金流水!$AD$302=$C$18,资金流水!$X$302="账户互转"),AND($E$18&lt;&gt;"",资金流水!$J$302=$E$18,资金流水!$X$302="应付职工薪酬"))),INT(资金流水!$B$302)*10000+297,"")</f>
      </c>
    </row>
    <row r="303">
      <c r="A303" s="94">
        <f>IF($X303=0,"",283)</f>
      </c>
      <c r="B303" s="95">
        <f t="shared" si="1"/>
      </c>
      <c r="C303" s="96">
        <f t="shared" si="10"/>
      </c>
      <c r="D303" s="21">
        <f t="shared" si="12"/>
      </c>
      <c r="E303" s="21">
        <f t="shared" si="14"/>
      </c>
      <c r="F303" s="21">
        <f t="shared" si="16"/>
      </c>
      <c r="G303" s="21">
        <f t="shared" si="18"/>
      </c>
      <c r="H303" s="21">
        <f t="shared" si="20"/>
      </c>
      <c r="I303" s="21">
        <f t="shared" si="22"/>
      </c>
      <c r="J303" s="94">
        <f t="shared" si="24"/>
      </c>
      <c r="K303" s="94">
        <f t="shared" si="26"/>
      </c>
      <c r="L303" s="94">
        <f t="shared" si="28"/>
      </c>
      <c r="M303" s="96">
        <f t="shared" si="29"/>
      </c>
      <c r="X303" s="2">
        <f>IF(283&gt;$AA$5,0,MOD(SMALL($AA$6:$AA$2005,283),10000))</f>
        <v>0</v>
      </c>
      <c r="AA303" s="2">
        <f>IF(AND(ISNUMBER(资金流水!$B$303),ISNUMBER(资金流水!$S$303),资金流水!$S$303&gt;=_辅助!$J$4,资金流水!$S$303&lt;=_辅助!$J$2,OR(资金流水!$C$303=$C$18,AND(资金流水!$AD$303=$C$18,资金流水!$X$303="账户互转"),AND($E$18&lt;&gt;"",资金流水!$J$303=$E$18,资金流水!$X$303="应付职工薪酬"))),INT(资金流水!$B$303)*10000+298,"")</f>
      </c>
    </row>
    <row r="304">
      <c r="A304" s="94">
        <f>IF($X304=0,"",284)</f>
      </c>
      <c r="B304" s="95">
        <f t="shared" si="1"/>
      </c>
      <c r="C304" s="96">
        <f t="shared" si="10"/>
      </c>
      <c r="D304" s="21">
        <f t="shared" si="12"/>
      </c>
      <c r="E304" s="21">
        <f t="shared" si="14"/>
      </c>
      <c r="F304" s="21">
        <f t="shared" si="16"/>
      </c>
      <c r="G304" s="21">
        <f t="shared" si="18"/>
      </c>
      <c r="H304" s="21">
        <f t="shared" si="20"/>
      </c>
      <c r="I304" s="21">
        <f t="shared" si="22"/>
      </c>
      <c r="J304" s="94">
        <f t="shared" si="24"/>
      </c>
      <c r="K304" s="94">
        <f t="shared" si="26"/>
      </c>
      <c r="L304" s="94">
        <f t="shared" si="28"/>
      </c>
      <c r="M304" s="96">
        <f t="shared" si="29"/>
      </c>
      <c r="X304" s="2">
        <f>IF(284&gt;$AA$5,0,MOD(SMALL($AA$6:$AA$2005,284),10000))</f>
        <v>0</v>
      </c>
      <c r="AA304" s="2">
        <f>IF(AND(ISNUMBER(资金流水!$B$304),ISNUMBER(资金流水!$S$304),资金流水!$S$304&gt;=_辅助!$J$4,资金流水!$S$304&lt;=_辅助!$J$2,OR(资金流水!$C$304=$C$18,AND(资金流水!$AD$304=$C$18,资金流水!$X$304="账户互转"),AND($E$18&lt;&gt;"",资金流水!$J$304=$E$18,资金流水!$X$304="应付职工薪酬"))),INT(资金流水!$B$304)*10000+299,"")</f>
      </c>
    </row>
    <row r="305">
      <c r="A305" s="94">
        <f>IF($X305=0,"",285)</f>
      </c>
      <c r="B305" s="95">
        <f t="shared" si="1"/>
      </c>
      <c r="C305" s="96">
        <f t="shared" si="10"/>
      </c>
      <c r="D305" s="21">
        <f t="shared" si="12"/>
      </c>
      <c r="E305" s="21">
        <f t="shared" si="14"/>
      </c>
      <c r="F305" s="21">
        <f t="shared" si="16"/>
      </c>
      <c r="G305" s="21">
        <f t="shared" si="18"/>
      </c>
      <c r="H305" s="21">
        <f t="shared" si="20"/>
      </c>
      <c r="I305" s="21">
        <f t="shared" si="22"/>
      </c>
      <c r="J305" s="94">
        <f t="shared" si="24"/>
      </c>
      <c r="K305" s="94">
        <f t="shared" si="26"/>
      </c>
      <c r="L305" s="94">
        <f t="shared" si="28"/>
      </c>
      <c r="M305" s="96">
        <f t="shared" si="29"/>
      </c>
      <c r="X305" s="2">
        <f>IF(285&gt;$AA$5,0,MOD(SMALL($AA$6:$AA$2005,285),10000))</f>
        <v>0</v>
      </c>
      <c r="AA305" s="2">
        <f>IF(AND(ISNUMBER(资金流水!$B$305),ISNUMBER(资金流水!$S$305),资金流水!$S$305&gt;=_辅助!$J$4,资金流水!$S$305&lt;=_辅助!$J$2,OR(资金流水!$C$305=$C$18,AND(资金流水!$AD$305=$C$18,资金流水!$X$305="账户互转"),AND($E$18&lt;&gt;"",资金流水!$J$305=$E$18,资金流水!$X$305="应付职工薪酬"))),INT(资金流水!$B$305)*10000+300,"")</f>
      </c>
    </row>
    <row r="306">
      <c r="A306" s="94">
        <f>IF($X306=0,"",286)</f>
      </c>
      <c r="B306" s="95">
        <f t="shared" si="1"/>
      </c>
      <c r="C306" s="96">
        <f t="shared" si="10"/>
      </c>
      <c r="D306" s="21">
        <f t="shared" si="12"/>
      </c>
      <c r="E306" s="21">
        <f t="shared" si="14"/>
      </c>
      <c r="F306" s="21">
        <f t="shared" si="16"/>
      </c>
      <c r="G306" s="21">
        <f t="shared" si="18"/>
      </c>
      <c r="H306" s="21">
        <f t="shared" si="20"/>
      </c>
      <c r="I306" s="21">
        <f t="shared" si="22"/>
      </c>
      <c r="J306" s="94">
        <f t="shared" si="24"/>
      </c>
      <c r="K306" s="94">
        <f t="shared" si="26"/>
      </c>
      <c r="L306" s="94">
        <f t="shared" si="28"/>
      </c>
      <c r="M306" s="96">
        <f t="shared" si="29"/>
      </c>
      <c r="X306" s="2">
        <f>IF(286&gt;$AA$5,0,MOD(SMALL($AA$6:$AA$2005,286),10000))</f>
        <v>0</v>
      </c>
      <c r="AA306" s="2">
        <f>IF(AND(ISNUMBER(资金流水!$B$306),ISNUMBER(资金流水!$S$306),资金流水!$S$306&gt;=_辅助!$J$4,资金流水!$S$306&lt;=_辅助!$J$2,OR(资金流水!$C$306=$C$18,AND(资金流水!$AD$306=$C$18,资金流水!$X$306="账户互转"),AND($E$18&lt;&gt;"",资金流水!$J$306=$E$18,资金流水!$X$306="应付职工薪酬"))),INT(资金流水!$B$306)*10000+301,"")</f>
      </c>
    </row>
    <row r="307">
      <c r="A307" s="94">
        <f>IF($X307=0,"",287)</f>
      </c>
      <c r="B307" s="95">
        <f t="shared" si="1"/>
      </c>
      <c r="C307" s="96">
        <f t="shared" si="10"/>
      </c>
      <c r="D307" s="21">
        <f t="shared" si="12"/>
      </c>
      <c r="E307" s="21">
        <f t="shared" si="14"/>
      </c>
      <c r="F307" s="21">
        <f t="shared" si="16"/>
      </c>
      <c r="G307" s="21">
        <f t="shared" si="18"/>
      </c>
      <c r="H307" s="21">
        <f t="shared" si="20"/>
      </c>
      <c r="I307" s="21">
        <f t="shared" si="22"/>
      </c>
      <c r="J307" s="94">
        <f t="shared" si="24"/>
      </c>
      <c r="K307" s="94">
        <f t="shared" si="26"/>
      </c>
      <c r="L307" s="94">
        <f t="shared" si="28"/>
      </c>
      <c r="M307" s="96">
        <f t="shared" si="29"/>
      </c>
      <c r="X307" s="2">
        <f>IF(287&gt;$AA$5,0,MOD(SMALL($AA$6:$AA$2005,287),10000))</f>
        <v>0</v>
      </c>
      <c r="AA307" s="2">
        <f>IF(AND(ISNUMBER(资金流水!$B$307),ISNUMBER(资金流水!$S$307),资金流水!$S$307&gt;=_辅助!$J$4,资金流水!$S$307&lt;=_辅助!$J$2,OR(资金流水!$C$307=$C$18,AND(资金流水!$AD$307=$C$18,资金流水!$X$307="账户互转"),AND($E$18&lt;&gt;"",资金流水!$J$307=$E$18,资金流水!$X$307="应付职工薪酬"))),INT(资金流水!$B$307)*10000+302,"")</f>
      </c>
    </row>
    <row r="308">
      <c r="A308" s="94">
        <f>IF($X308=0,"",288)</f>
      </c>
      <c r="B308" s="95">
        <f t="shared" si="1"/>
      </c>
      <c r="C308" s="96">
        <f t="shared" si="10"/>
      </c>
      <c r="D308" s="21">
        <f t="shared" si="12"/>
      </c>
      <c r="E308" s="21">
        <f t="shared" si="14"/>
      </c>
      <c r="F308" s="21">
        <f t="shared" si="16"/>
      </c>
      <c r="G308" s="21">
        <f t="shared" si="18"/>
      </c>
      <c r="H308" s="21">
        <f t="shared" si="20"/>
      </c>
      <c r="I308" s="21">
        <f t="shared" si="22"/>
      </c>
      <c r="J308" s="94">
        <f t="shared" si="24"/>
      </c>
      <c r="K308" s="94">
        <f t="shared" si="26"/>
      </c>
      <c r="L308" s="94">
        <f t="shared" si="28"/>
      </c>
      <c r="M308" s="96">
        <f t="shared" si="29"/>
      </c>
      <c r="X308" s="2">
        <f>IF(288&gt;$AA$5,0,MOD(SMALL($AA$6:$AA$2005,288),10000))</f>
        <v>0</v>
      </c>
      <c r="AA308" s="2">
        <f>IF(AND(ISNUMBER(资金流水!$B$308),ISNUMBER(资金流水!$S$308),资金流水!$S$308&gt;=_辅助!$J$4,资金流水!$S$308&lt;=_辅助!$J$2,OR(资金流水!$C$308=$C$18,AND(资金流水!$AD$308=$C$18,资金流水!$X$308="账户互转"),AND($E$18&lt;&gt;"",资金流水!$J$308=$E$18,资金流水!$X$308="应付职工薪酬"))),INT(资金流水!$B$308)*10000+303,"")</f>
      </c>
    </row>
    <row r="309">
      <c r="A309" s="94">
        <f>IF($X309=0,"",289)</f>
      </c>
      <c r="B309" s="95">
        <f t="shared" si="1"/>
      </c>
      <c r="C309" s="96">
        <f t="shared" si="10"/>
      </c>
      <c r="D309" s="21">
        <f t="shared" si="12"/>
      </c>
      <c r="E309" s="21">
        <f t="shared" si="14"/>
      </c>
      <c r="F309" s="21">
        <f t="shared" si="16"/>
      </c>
      <c r="G309" s="21">
        <f t="shared" si="18"/>
      </c>
      <c r="H309" s="21">
        <f t="shared" si="20"/>
      </c>
      <c r="I309" s="21">
        <f t="shared" si="22"/>
      </c>
      <c r="J309" s="94">
        <f t="shared" si="24"/>
      </c>
      <c r="K309" s="94">
        <f t="shared" si="26"/>
      </c>
      <c r="L309" s="94">
        <f t="shared" si="28"/>
      </c>
      <c r="M309" s="96">
        <f t="shared" si="29"/>
      </c>
      <c r="X309" s="2">
        <f>IF(289&gt;$AA$5,0,MOD(SMALL($AA$6:$AA$2005,289),10000))</f>
        <v>0</v>
      </c>
      <c r="AA309" s="2">
        <f>IF(AND(ISNUMBER(资金流水!$B$309),ISNUMBER(资金流水!$S$309),资金流水!$S$309&gt;=_辅助!$J$4,资金流水!$S$309&lt;=_辅助!$J$2,OR(资金流水!$C$309=$C$18,AND(资金流水!$AD$309=$C$18,资金流水!$X$309="账户互转"),AND($E$18&lt;&gt;"",资金流水!$J$309=$E$18,资金流水!$X$309="应付职工薪酬"))),INT(资金流水!$B$309)*10000+304,"")</f>
      </c>
    </row>
    <row r="310">
      <c r="A310" s="94">
        <f>IF($X310=0,"",290)</f>
      </c>
      <c r="B310" s="95">
        <f t="shared" si="1"/>
      </c>
      <c r="C310" s="96">
        <f t="shared" si="10"/>
      </c>
      <c r="D310" s="21">
        <f t="shared" si="12"/>
      </c>
      <c r="E310" s="21">
        <f t="shared" si="14"/>
      </c>
      <c r="F310" s="21">
        <f t="shared" si="16"/>
      </c>
      <c r="G310" s="21">
        <f t="shared" si="18"/>
      </c>
      <c r="H310" s="21">
        <f t="shared" si="20"/>
      </c>
      <c r="I310" s="21">
        <f t="shared" si="22"/>
      </c>
      <c r="J310" s="94">
        <f t="shared" si="24"/>
      </c>
      <c r="K310" s="94">
        <f t="shared" si="26"/>
      </c>
      <c r="L310" s="94">
        <f t="shared" si="28"/>
      </c>
      <c r="M310" s="96">
        <f t="shared" si="29"/>
      </c>
      <c r="X310" s="2">
        <f>IF(290&gt;$AA$5,0,MOD(SMALL($AA$6:$AA$2005,290),10000))</f>
        <v>0</v>
      </c>
      <c r="AA310" s="2">
        <f>IF(AND(ISNUMBER(资金流水!$B$310),ISNUMBER(资金流水!$S$310),资金流水!$S$310&gt;=_辅助!$J$4,资金流水!$S$310&lt;=_辅助!$J$2,OR(资金流水!$C$310=$C$18,AND(资金流水!$AD$310=$C$18,资金流水!$X$310="账户互转"),AND($E$18&lt;&gt;"",资金流水!$J$310=$E$18,资金流水!$X$310="应付职工薪酬"))),INT(资金流水!$B$310)*10000+305,"")</f>
      </c>
    </row>
    <row r="311">
      <c r="A311" s="94">
        <f>IF($X311=0,"",291)</f>
      </c>
      <c r="B311" s="95">
        <f t="shared" si="1"/>
      </c>
      <c r="C311" s="96">
        <f t="shared" si="10"/>
      </c>
      <c r="D311" s="21">
        <f t="shared" si="12"/>
      </c>
      <c r="E311" s="21">
        <f t="shared" si="14"/>
      </c>
      <c r="F311" s="21">
        <f t="shared" si="16"/>
      </c>
      <c r="G311" s="21">
        <f t="shared" si="18"/>
      </c>
      <c r="H311" s="21">
        <f t="shared" si="20"/>
      </c>
      <c r="I311" s="21">
        <f t="shared" si="22"/>
      </c>
      <c r="J311" s="94">
        <f t="shared" si="24"/>
      </c>
      <c r="K311" s="94">
        <f t="shared" si="26"/>
      </c>
      <c r="L311" s="94">
        <f t="shared" si="28"/>
      </c>
      <c r="M311" s="96">
        <f t="shared" si="29"/>
      </c>
      <c r="X311" s="2">
        <f>IF(291&gt;$AA$5,0,MOD(SMALL($AA$6:$AA$2005,291),10000))</f>
        <v>0</v>
      </c>
      <c r="AA311" s="2">
        <f>IF(AND(ISNUMBER(资金流水!$B$311),ISNUMBER(资金流水!$S$311),资金流水!$S$311&gt;=_辅助!$J$4,资金流水!$S$311&lt;=_辅助!$J$2,OR(资金流水!$C$311=$C$18,AND(资金流水!$AD$311=$C$18,资金流水!$X$311="账户互转"),AND($E$18&lt;&gt;"",资金流水!$J$311=$E$18,资金流水!$X$311="应付职工薪酬"))),INT(资金流水!$B$311)*10000+306,"")</f>
      </c>
    </row>
    <row r="312">
      <c r="A312" s="94">
        <f>IF($X312=0,"",292)</f>
      </c>
      <c r="B312" s="95">
        <f t="shared" si="1"/>
      </c>
      <c r="C312" s="96">
        <f t="shared" si="10"/>
      </c>
      <c r="D312" s="21">
        <f t="shared" si="12"/>
      </c>
      <c r="E312" s="21">
        <f t="shared" si="14"/>
      </c>
      <c r="F312" s="21">
        <f t="shared" si="16"/>
      </c>
      <c r="G312" s="21">
        <f t="shared" si="18"/>
      </c>
      <c r="H312" s="21">
        <f t="shared" si="20"/>
      </c>
      <c r="I312" s="21">
        <f t="shared" si="22"/>
      </c>
      <c r="J312" s="94">
        <f t="shared" si="24"/>
      </c>
      <c r="K312" s="94">
        <f t="shared" si="26"/>
      </c>
      <c r="L312" s="94">
        <f t="shared" si="28"/>
      </c>
      <c r="M312" s="96">
        <f t="shared" si="29"/>
      </c>
      <c r="X312" s="2">
        <f>IF(292&gt;$AA$5,0,MOD(SMALL($AA$6:$AA$2005,292),10000))</f>
        <v>0</v>
      </c>
      <c r="AA312" s="2">
        <f>IF(AND(ISNUMBER(资金流水!$B$312),ISNUMBER(资金流水!$S$312),资金流水!$S$312&gt;=_辅助!$J$4,资金流水!$S$312&lt;=_辅助!$J$2,OR(资金流水!$C$312=$C$18,AND(资金流水!$AD$312=$C$18,资金流水!$X$312="账户互转"),AND($E$18&lt;&gt;"",资金流水!$J$312=$E$18,资金流水!$X$312="应付职工薪酬"))),INT(资金流水!$B$312)*10000+307,"")</f>
      </c>
    </row>
    <row r="313">
      <c r="A313" s="94">
        <f>IF($X313=0,"",293)</f>
      </c>
      <c r="B313" s="95">
        <f t="shared" si="1"/>
      </c>
      <c r="C313" s="96">
        <f t="shared" si="10"/>
      </c>
      <c r="D313" s="21">
        <f t="shared" si="12"/>
      </c>
      <c r="E313" s="21">
        <f t="shared" si="14"/>
      </c>
      <c r="F313" s="21">
        <f t="shared" si="16"/>
      </c>
      <c r="G313" s="21">
        <f t="shared" si="18"/>
      </c>
      <c r="H313" s="21">
        <f t="shared" si="20"/>
      </c>
      <c r="I313" s="21">
        <f t="shared" si="22"/>
      </c>
      <c r="J313" s="94">
        <f t="shared" si="24"/>
      </c>
      <c r="K313" s="94">
        <f t="shared" si="26"/>
      </c>
      <c r="L313" s="94">
        <f t="shared" si="28"/>
      </c>
      <c r="M313" s="96">
        <f t="shared" si="29"/>
      </c>
      <c r="X313" s="2">
        <f>IF(293&gt;$AA$5,0,MOD(SMALL($AA$6:$AA$2005,293),10000))</f>
        <v>0</v>
      </c>
      <c r="AA313" s="2">
        <f>IF(AND(ISNUMBER(资金流水!$B$313),ISNUMBER(资金流水!$S$313),资金流水!$S$313&gt;=_辅助!$J$4,资金流水!$S$313&lt;=_辅助!$J$2,OR(资金流水!$C$313=$C$18,AND(资金流水!$AD$313=$C$18,资金流水!$X$313="账户互转"),AND($E$18&lt;&gt;"",资金流水!$J$313=$E$18,资金流水!$X$313="应付职工薪酬"))),INT(资金流水!$B$313)*10000+308,"")</f>
      </c>
    </row>
    <row r="314">
      <c r="A314" s="94">
        <f>IF($X314=0,"",294)</f>
      </c>
      <c r="B314" s="95">
        <f t="shared" si="1"/>
      </c>
      <c r="C314" s="96">
        <f t="shared" si="10"/>
      </c>
      <c r="D314" s="21">
        <f t="shared" si="12"/>
      </c>
      <c r="E314" s="21">
        <f t="shared" si="14"/>
      </c>
      <c r="F314" s="21">
        <f t="shared" si="16"/>
      </c>
      <c r="G314" s="21">
        <f t="shared" si="18"/>
      </c>
      <c r="H314" s="21">
        <f t="shared" si="20"/>
      </c>
      <c r="I314" s="21">
        <f t="shared" si="22"/>
      </c>
      <c r="J314" s="94">
        <f t="shared" si="24"/>
      </c>
      <c r="K314" s="94">
        <f t="shared" si="26"/>
      </c>
      <c r="L314" s="94">
        <f t="shared" si="28"/>
      </c>
      <c r="M314" s="96">
        <f t="shared" si="29"/>
      </c>
      <c r="X314" s="2">
        <f>IF(294&gt;$AA$5,0,MOD(SMALL($AA$6:$AA$2005,294),10000))</f>
        <v>0</v>
      </c>
      <c r="AA314" s="2">
        <f>IF(AND(ISNUMBER(资金流水!$B$314),ISNUMBER(资金流水!$S$314),资金流水!$S$314&gt;=_辅助!$J$4,资金流水!$S$314&lt;=_辅助!$J$2,OR(资金流水!$C$314=$C$18,AND(资金流水!$AD$314=$C$18,资金流水!$X$314="账户互转"),AND($E$18&lt;&gt;"",资金流水!$J$314=$E$18,资金流水!$X$314="应付职工薪酬"))),INT(资金流水!$B$314)*10000+309,"")</f>
      </c>
    </row>
    <row r="315">
      <c r="A315" s="94">
        <f>IF($X315=0,"",295)</f>
      </c>
      <c r="B315" s="95">
        <f t="shared" si="1"/>
      </c>
      <c r="C315" s="96">
        <f t="shared" si="10"/>
      </c>
      <c r="D315" s="21">
        <f t="shared" si="12"/>
      </c>
      <c r="E315" s="21">
        <f t="shared" si="14"/>
      </c>
      <c r="F315" s="21">
        <f t="shared" si="16"/>
      </c>
      <c r="G315" s="21">
        <f t="shared" si="18"/>
      </c>
      <c r="H315" s="21">
        <f t="shared" si="20"/>
      </c>
      <c r="I315" s="21">
        <f t="shared" si="22"/>
      </c>
      <c r="J315" s="94">
        <f t="shared" si="24"/>
      </c>
      <c r="K315" s="94">
        <f t="shared" si="26"/>
      </c>
      <c r="L315" s="94">
        <f t="shared" si="28"/>
      </c>
      <c r="M315" s="96">
        <f t="shared" si="29"/>
      </c>
      <c r="X315" s="2">
        <f>IF(295&gt;$AA$5,0,MOD(SMALL($AA$6:$AA$2005,295),10000))</f>
        <v>0</v>
      </c>
      <c r="AA315" s="2">
        <f>IF(AND(ISNUMBER(资金流水!$B$315),ISNUMBER(资金流水!$S$315),资金流水!$S$315&gt;=_辅助!$J$4,资金流水!$S$315&lt;=_辅助!$J$2,OR(资金流水!$C$315=$C$18,AND(资金流水!$AD$315=$C$18,资金流水!$X$315="账户互转"),AND($E$18&lt;&gt;"",资金流水!$J$315=$E$18,资金流水!$X$315="应付职工薪酬"))),INT(资金流水!$B$315)*10000+310,"")</f>
      </c>
    </row>
    <row r="316">
      <c r="A316" s="94">
        <f>IF($X316=0,"",296)</f>
      </c>
      <c r="B316" s="95">
        <f t="shared" si="1"/>
      </c>
      <c r="C316" s="96">
        <f t="shared" si="10"/>
      </c>
      <c r="D316" s="21">
        <f t="shared" si="12"/>
      </c>
      <c r="E316" s="21">
        <f t="shared" si="14"/>
      </c>
      <c r="F316" s="21">
        <f t="shared" si="16"/>
      </c>
      <c r="G316" s="21">
        <f t="shared" si="18"/>
      </c>
      <c r="H316" s="21">
        <f t="shared" si="20"/>
      </c>
      <c r="I316" s="21">
        <f t="shared" si="22"/>
      </c>
      <c r="J316" s="94">
        <f t="shared" si="24"/>
      </c>
      <c r="K316" s="94">
        <f t="shared" si="26"/>
      </c>
      <c r="L316" s="94">
        <f t="shared" si="28"/>
      </c>
      <c r="M316" s="96">
        <f t="shared" si="29"/>
      </c>
      <c r="X316" s="2">
        <f>IF(296&gt;$AA$5,0,MOD(SMALL($AA$6:$AA$2005,296),10000))</f>
        <v>0</v>
      </c>
      <c r="AA316" s="2">
        <f>IF(AND(ISNUMBER(资金流水!$B$316),ISNUMBER(资金流水!$S$316),资金流水!$S$316&gt;=_辅助!$J$4,资金流水!$S$316&lt;=_辅助!$J$2,OR(资金流水!$C$316=$C$18,AND(资金流水!$AD$316=$C$18,资金流水!$X$316="账户互转"),AND($E$18&lt;&gt;"",资金流水!$J$316=$E$18,资金流水!$X$316="应付职工薪酬"))),INT(资金流水!$B$316)*10000+311,"")</f>
      </c>
    </row>
    <row r="317">
      <c r="A317" s="94">
        <f>IF($X317=0,"",297)</f>
      </c>
      <c r="B317" s="95">
        <f t="shared" si="1"/>
      </c>
      <c r="C317" s="96">
        <f t="shared" si="10"/>
      </c>
      <c r="D317" s="21">
        <f t="shared" si="12"/>
      </c>
      <c r="E317" s="21">
        <f t="shared" si="14"/>
      </c>
      <c r="F317" s="21">
        <f t="shared" si="16"/>
      </c>
      <c r="G317" s="21">
        <f t="shared" si="18"/>
      </c>
      <c r="H317" s="21">
        <f t="shared" si="20"/>
      </c>
      <c r="I317" s="21">
        <f t="shared" si="22"/>
      </c>
      <c r="J317" s="94">
        <f t="shared" si="24"/>
      </c>
      <c r="K317" s="94">
        <f t="shared" si="26"/>
      </c>
      <c r="L317" s="94">
        <f t="shared" si="28"/>
      </c>
      <c r="M317" s="96">
        <f t="shared" si="29"/>
      </c>
      <c r="X317" s="2">
        <f>IF(297&gt;$AA$5,0,MOD(SMALL($AA$6:$AA$2005,297),10000))</f>
        <v>0</v>
      </c>
      <c r="AA317" s="2">
        <f>IF(AND(ISNUMBER(资金流水!$B$317),ISNUMBER(资金流水!$S$317),资金流水!$S$317&gt;=_辅助!$J$4,资金流水!$S$317&lt;=_辅助!$J$2,OR(资金流水!$C$317=$C$18,AND(资金流水!$AD$317=$C$18,资金流水!$X$317="账户互转"),AND($E$18&lt;&gt;"",资金流水!$J$317=$E$18,资金流水!$X$317="应付职工薪酬"))),INT(资金流水!$B$317)*10000+312,"")</f>
      </c>
    </row>
    <row r="318">
      <c r="A318" s="94">
        <f>IF($X318=0,"",298)</f>
      </c>
      <c r="B318" s="95">
        <f t="shared" si="1"/>
      </c>
      <c r="C318" s="96">
        <f t="shared" si="10"/>
      </c>
      <c r="D318" s="21">
        <f t="shared" si="12"/>
      </c>
      <c r="E318" s="21">
        <f t="shared" si="14"/>
      </c>
      <c r="F318" s="21">
        <f t="shared" si="16"/>
      </c>
      <c r="G318" s="21">
        <f t="shared" si="18"/>
      </c>
      <c r="H318" s="21">
        <f t="shared" si="20"/>
      </c>
      <c r="I318" s="21">
        <f t="shared" si="22"/>
      </c>
      <c r="J318" s="94">
        <f t="shared" si="24"/>
      </c>
      <c r="K318" s="94">
        <f t="shared" si="26"/>
      </c>
      <c r="L318" s="94">
        <f t="shared" si="28"/>
      </c>
      <c r="M318" s="96">
        <f t="shared" si="29"/>
      </c>
      <c r="X318" s="2">
        <f>IF(298&gt;$AA$5,0,MOD(SMALL($AA$6:$AA$2005,298),10000))</f>
        <v>0</v>
      </c>
      <c r="AA318" s="2">
        <f>IF(AND(ISNUMBER(资金流水!$B$318),ISNUMBER(资金流水!$S$318),资金流水!$S$318&gt;=_辅助!$J$4,资金流水!$S$318&lt;=_辅助!$J$2,OR(资金流水!$C$318=$C$18,AND(资金流水!$AD$318=$C$18,资金流水!$X$318="账户互转"),AND($E$18&lt;&gt;"",资金流水!$J$318=$E$18,资金流水!$X$318="应付职工薪酬"))),INT(资金流水!$B$318)*10000+313,"")</f>
      </c>
    </row>
    <row r="319">
      <c r="A319" s="94">
        <f>IF($X319=0,"",299)</f>
      </c>
      <c r="B319" s="95">
        <f t="shared" si="1"/>
      </c>
      <c r="C319" s="96">
        <f t="shared" si="10"/>
      </c>
      <c r="D319" s="21">
        <f t="shared" si="12"/>
      </c>
      <c r="E319" s="21">
        <f t="shared" si="14"/>
      </c>
      <c r="F319" s="21">
        <f t="shared" si="16"/>
      </c>
      <c r="G319" s="21">
        <f t="shared" si="18"/>
      </c>
      <c r="H319" s="21">
        <f t="shared" si="20"/>
      </c>
      <c r="I319" s="21">
        <f t="shared" si="22"/>
      </c>
      <c r="J319" s="94">
        <f t="shared" si="24"/>
      </c>
      <c r="K319" s="94">
        <f t="shared" si="26"/>
      </c>
      <c r="L319" s="94">
        <f t="shared" si="28"/>
      </c>
      <c r="M319" s="96">
        <f t="shared" si="29"/>
      </c>
      <c r="X319" s="2">
        <f>IF(299&gt;$AA$5,0,MOD(SMALL($AA$6:$AA$2005,299),10000))</f>
        <v>0</v>
      </c>
      <c r="AA319" s="2">
        <f>IF(AND(ISNUMBER(资金流水!$B$319),ISNUMBER(资金流水!$S$319),资金流水!$S$319&gt;=_辅助!$J$4,资金流水!$S$319&lt;=_辅助!$J$2,OR(资金流水!$C$319=$C$18,AND(资金流水!$AD$319=$C$18,资金流水!$X$319="账户互转"),AND($E$18&lt;&gt;"",资金流水!$J$319=$E$18,资金流水!$X$319="应付职工薪酬"))),INT(资金流水!$B$319)*10000+314,"")</f>
      </c>
    </row>
    <row r="320">
      <c r="A320" s="94">
        <f>IF($X320=0,"",300)</f>
      </c>
      <c r="B320" s="95">
        <f t="shared" si="1"/>
      </c>
      <c r="C320" s="96">
        <f t="shared" si="10"/>
      </c>
      <c r="D320" s="21">
        <f t="shared" si="12"/>
      </c>
      <c r="E320" s="21">
        <f t="shared" si="14"/>
      </c>
      <c r="F320" s="21">
        <f t="shared" si="16"/>
      </c>
      <c r="G320" s="21">
        <f t="shared" si="18"/>
      </c>
      <c r="H320" s="21">
        <f t="shared" si="20"/>
      </c>
      <c r="I320" s="21">
        <f t="shared" si="22"/>
      </c>
      <c r="J320" s="94">
        <f t="shared" si="24"/>
      </c>
      <c r="K320" s="94">
        <f t="shared" si="26"/>
      </c>
      <c r="L320" s="94">
        <f t="shared" si="28"/>
      </c>
      <c r="M320" s="96">
        <f t="shared" si="29"/>
      </c>
      <c r="X320" s="2">
        <f>IF(300&gt;$AA$5,0,MOD(SMALL($AA$6:$AA$2005,300),10000))</f>
        <v>0</v>
      </c>
      <c r="AA320" s="2">
        <f>IF(AND(ISNUMBER(资金流水!$B$320),ISNUMBER(资金流水!$S$320),资金流水!$S$320&gt;=_辅助!$J$4,资金流水!$S$320&lt;=_辅助!$J$2,OR(资金流水!$C$320=$C$18,AND(资金流水!$AD$320=$C$18,资金流水!$X$320="账户互转"),AND($E$18&lt;&gt;"",资金流水!$J$320=$E$18,资金流水!$X$320="应付职工薪酬"))),INT(资金流水!$B$320)*10000+315,"")</f>
      </c>
    </row>
    <row r="321">
      <c r="A321" s="94">
        <f>IF($X321=0,"",301)</f>
      </c>
      <c r="B321" s="95">
        <f t="shared" si="1"/>
      </c>
      <c r="C321" s="96">
        <f t="shared" si="10"/>
      </c>
      <c r="D321" s="21">
        <f t="shared" si="12"/>
      </c>
      <c r="E321" s="21">
        <f t="shared" si="14"/>
      </c>
      <c r="F321" s="21">
        <f t="shared" si="16"/>
      </c>
      <c r="G321" s="21">
        <f t="shared" si="18"/>
      </c>
      <c r="H321" s="21">
        <f t="shared" si="20"/>
      </c>
      <c r="I321" s="21">
        <f t="shared" si="22"/>
      </c>
      <c r="J321" s="94">
        <f t="shared" si="24"/>
      </c>
      <c r="K321" s="94">
        <f t="shared" si="26"/>
      </c>
      <c r="L321" s="94">
        <f t="shared" si="28"/>
      </c>
      <c r="M321" s="96">
        <f t="shared" si="29"/>
      </c>
      <c r="X321" s="2">
        <f>IF(301&gt;$AA$5,0,MOD(SMALL($AA$6:$AA$2005,301),10000))</f>
        <v>0</v>
      </c>
      <c r="AA321" s="2">
        <f>IF(AND(ISNUMBER(资金流水!$B$321),ISNUMBER(资金流水!$S$321),资金流水!$S$321&gt;=_辅助!$J$4,资金流水!$S$321&lt;=_辅助!$J$2,OR(资金流水!$C$321=$C$18,AND(资金流水!$AD$321=$C$18,资金流水!$X$321="账户互转"),AND($E$18&lt;&gt;"",资金流水!$J$321=$E$18,资金流水!$X$321="应付职工薪酬"))),INT(资金流水!$B$321)*10000+316,"")</f>
      </c>
    </row>
    <row r="322">
      <c r="A322" s="94">
        <f>IF($X322=0,"",302)</f>
      </c>
      <c r="B322" s="95">
        <f t="shared" si="1"/>
      </c>
      <c r="C322" s="96">
        <f t="shared" si="10"/>
      </c>
      <c r="D322" s="21">
        <f t="shared" si="12"/>
      </c>
      <c r="E322" s="21">
        <f t="shared" si="14"/>
      </c>
      <c r="F322" s="21">
        <f t="shared" si="16"/>
      </c>
      <c r="G322" s="21">
        <f t="shared" si="18"/>
      </c>
      <c r="H322" s="21">
        <f t="shared" si="20"/>
      </c>
      <c r="I322" s="21">
        <f t="shared" si="22"/>
      </c>
      <c r="J322" s="94">
        <f t="shared" si="24"/>
      </c>
      <c r="K322" s="94">
        <f t="shared" si="26"/>
      </c>
      <c r="L322" s="94">
        <f t="shared" si="28"/>
      </c>
      <c r="M322" s="96">
        <f t="shared" si="29"/>
      </c>
      <c r="X322" s="2">
        <f>IF(302&gt;$AA$5,0,MOD(SMALL($AA$6:$AA$2005,302),10000))</f>
        <v>0</v>
      </c>
      <c r="AA322" s="2">
        <f>IF(AND(ISNUMBER(资金流水!$B$322),ISNUMBER(资金流水!$S$322),资金流水!$S$322&gt;=_辅助!$J$4,资金流水!$S$322&lt;=_辅助!$J$2,OR(资金流水!$C$322=$C$18,AND(资金流水!$AD$322=$C$18,资金流水!$X$322="账户互转"),AND($E$18&lt;&gt;"",资金流水!$J$322=$E$18,资金流水!$X$322="应付职工薪酬"))),INT(资金流水!$B$322)*10000+317,"")</f>
      </c>
    </row>
    <row r="323">
      <c r="A323" s="94">
        <f>IF($X323=0,"",303)</f>
      </c>
      <c r="B323" s="95">
        <f t="shared" si="1"/>
      </c>
      <c r="C323" s="96">
        <f t="shared" si="10"/>
      </c>
      <c r="D323" s="21">
        <f t="shared" si="12"/>
      </c>
      <c r="E323" s="21">
        <f t="shared" si="14"/>
      </c>
      <c r="F323" s="21">
        <f t="shared" si="16"/>
      </c>
      <c r="G323" s="21">
        <f t="shared" si="18"/>
      </c>
      <c r="H323" s="21">
        <f t="shared" si="20"/>
      </c>
      <c r="I323" s="21">
        <f t="shared" si="22"/>
      </c>
      <c r="J323" s="94">
        <f t="shared" si="24"/>
      </c>
      <c r="K323" s="94">
        <f t="shared" si="26"/>
      </c>
      <c r="L323" s="94">
        <f t="shared" si="28"/>
      </c>
      <c r="M323" s="96">
        <f t="shared" si="29"/>
      </c>
      <c r="X323" s="2">
        <f>IF(303&gt;$AA$5,0,MOD(SMALL($AA$6:$AA$2005,303),10000))</f>
        <v>0</v>
      </c>
      <c r="AA323" s="2">
        <f>IF(AND(ISNUMBER(资金流水!$B$323),ISNUMBER(资金流水!$S$323),资金流水!$S$323&gt;=_辅助!$J$4,资金流水!$S$323&lt;=_辅助!$J$2,OR(资金流水!$C$323=$C$18,AND(资金流水!$AD$323=$C$18,资金流水!$X$323="账户互转"),AND($E$18&lt;&gt;"",资金流水!$J$323=$E$18,资金流水!$X$323="应付职工薪酬"))),INT(资金流水!$B$323)*10000+318,"")</f>
      </c>
    </row>
    <row r="324">
      <c r="A324" s="94">
        <f>IF($X324=0,"",304)</f>
      </c>
      <c r="B324" s="95">
        <f t="shared" si="1"/>
      </c>
      <c r="C324" s="96">
        <f t="shared" si="10"/>
      </c>
      <c r="D324" s="21">
        <f t="shared" si="12"/>
      </c>
      <c r="E324" s="21">
        <f t="shared" si="14"/>
      </c>
      <c r="F324" s="21">
        <f t="shared" si="16"/>
      </c>
      <c r="G324" s="21">
        <f t="shared" si="18"/>
      </c>
      <c r="H324" s="21">
        <f t="shared" si="20"/>
      </c>
      <c r="I324" s="21">
        <f t="shared" si="22"/>
      </c>
      <c r="J324" s="94">
        <f t="shared" si="24"/>
      </c>
      <c r="K324" s="94">
        <f t="shared" si="26"/>
      </c>
      <c r="L324" s="94">
        <f t="shared" si="28"/>
      </c>
      <c r="M324" s="96">
        <f t="shared" si="29"/>
      </c>
      <c r="X324" s="2">
        <f>IF(304&gt;$AA$5,0,MOD(SMALL($AA$6:$AA$2005,304),10000))</f>
        <v>0</v>
      </c>
      <c r="AA324" s="2">
        <f>IF(AND(ISNUMBER(资金流水!$B$324),ISNUMBER(资金流水!$S$324),资金流水!$S$324&gt;=_辅助!$J$4,资金流水!$S$324&lt;=_辅助!$J$2,OR(资金流水!$C$324=$C$18,AND(资金流水!$AD$324=$C$18,资金流水!$X$324="账户互转"),AND($E$18&lt;&gt;"",资金流水!$J$324=$E$18,资金流水!$X$324="应付职工薪酬"))),INT(资金流水!$B$324)*10000+319,"")</f>
      </c>
    </row>
    <row r="325">
      <c r="A325" s="94">
        <f>IF($X325=0,"",305)</f>
      </c>
      <c r="B325" s="95">
        <f t="shared" si="1"/>
      </c>
      <c r="C325" s="96">
        <f t="shared" si="10"/>
      </c>
      <c r="D325" s="21">
        <f t="shared" si="12"/>
      </c>
      <c r="E325" s="21">
        <f t="shared" si="14"/>
      </c>
      <c r="F325" s="21">
        <f t="shared" si="16"/>
      </c>
      <c r="G325" s="21">
        <f t="shared" si="18"/>
      </c>
      <c r="H325" s="21">
        <f t="shared" si="20"/>
      </c>
      <c r="I325" s="21">
        <f t="shared" si="22"/>
      </c>
      <c r="J325" s="94">
        <f t="shared" si="24"/>
      </c>
      <c r="K325" s="94">
        <f t="shared" si="26"/>
      </c>
      <c r="L325" s="94">
        <f t="shared" si="28"/>
      </c>
      <c r="M325" s="96">
        <f t="shared" si="29"/>
      </c>
      <c r="X325" s="2">
        <f>IF(305&gt;$AA$5,0,MOD(SMALL($AA$6:$AA$2005,305),10000))</f>
        <v>0</v>
      </c>
      <c r="AA325" s="2">
        <f>IF(AND(ISNUMBER(资金流水!$B$325),ISNUMBER(资金流水!$S$325),资金流水!$S$325&gt;=_辅助!$J$4,资金流水!$S$325&lt;=_辅助!$J$2,OR(资金流水!$C$325=$C$18,AND(资金流水!$AD$325=$C$18,资金流水!$X$325="账户互转"),AND($E$18&lt;&gt;"",资金流水!$J$325=$E$18,资金流水!$X$325="应付职工薪酬"))),INT(资金流水!$B$325)*10000+320,"")</f>
      </c>
    </row>
    <row r="326">
      <c r="A326" s="94">
        <f>IF($X326=0,"",306)</f>
      </c>
      <c r="B326" s="95">
        <f t="shared" si="1"/>
      </c>
      <c r="C326" s="96">
        <f t="shared" si="10"/>
      </c>
      <c r="D326" s="21">
        <f t="shared" si="12"/>
      </c>
      <c r="E326" s="21">
        <f t="shared" si="14"/>
      </c>
      <c r="F326" s="21">
        <f t="shared" si="16"/>
      </c>
      <c r="G326" s="21">
        <f t="shared" si="18"/>
      </c>
      <c r="H326" s="21">
        <f t="shared" si="20"/>
      </c>
      <c r="I326" s="21">
        <f t="shared" si="22"/>
      </c>
      <c r="J326" s="94">
        <f t="shared" si="24"/>
      </c>
      <c r="K326" s="94">
        <f t="shared" si="26"/>
      </c>
      <c r="L326" s="94">
        <f t="shared" si="28"/>
      </c>
      <c r="M326" s="96">
        <f t="shared" si="29"/>
      </c>
      <c r="X326" s="2">
        <f>IF(306&gt;$AA$5,0,MOD(SMALL($AA$6:$AA$2005,306),10000))</f>
        <v>0</v>
      </c>
      <c r="AA326" s="2">
        <f>IF(AND(ISNUMBER(资金流水!$B$326),ISNUMBER(资金流水!$S$326),资金流水!$S$326&gt;=_辅助!$J$4,资金流水!$S$326&lt;=_辅助!$J$2,OR(资金流水!$C$326=$C$18,AND(资金流水!$AD$326=$C$18,资金流水!$X$326="账户互转"),AND($E$18&lt;&gt;"",资金流水!$J$326=$E$18,资金流水!$X$326="应付职工薪酬"))),INT(资金流水!$B$326)*10000+321,"")</f>
      </c>
    </row>
    <row r="327">
      <c r="A327" s="94">
        <f>IF($X327=0,"",307)</f>
      </c>
      <c r="B327" s="95">
        <f t="shared" si="1"/>
      </c>
      <c r="C327" s="96">
        <f t="shared" si="10"/>
      </c>
      <c r="D327" s="21">
        <f t="shared" si="12"/>
      </c>
      <c r="E327" s="21">
        <f t="shared" si="14"/>
      </c>
      <c r="F327" s="21">
        <f t="shared" si="16"/>
      </c>
      <c r="G327" s="21">
        <f t="shared" si="18"/>
      </c>
      <c r="H327" s="21">
        <f t="shared" si="20"/>
      </c>
      <c r="I327" s="21">
        <f t="shared" si="22"/>
      </c>
      <c r="J327" s="94">
        <f t="shared" si="24"/>
      </c>
      <c r="K327" s="94">
        <f t="shared" si="26"/>
      </c>
      <c r="L327" s="94">
        <f t="shared" si="28"/>
      </c>
      <c r="M327" s="96">
        <f t="shared" si="29"/>
      </c>
      <c r="X327" s="2">
        <f>IF(307&gt;$AA$5,0,MOD(SMALL($AA$6:$AA$2005,307),10000))</f>
        <v>0</v>
      </c>
      <c r="AA327" s="2">
        <f>IF(AND(ISNUMBER(资金流水!$B$327),ISNUMBER(资金流水!$S$327),资金流水!$S$327&gt;=_辅助!$J$4,资金流水!$S$327&lt;=_辅助!$J$2,OR(资金流水!$C$327=$C$18,AND(资金流水!$AD$327=$C$18,资金流水!$X$327="账户互转"),AND($E$18&lt;&gt;"",资金流水!$J$327=$E$18,资金流水!$X$327="应付职工薪酬"))),INT(资金流水!$B$327)*10000+322,"")</f>
      </c>
    </row>
    <row r="328">
      <c r="A328" s="94">
        <f>IF($X328=0,"",308)</f>
      </c>
      <c r="B328" s="95">
        <f t="shared" si="1"/>
      </c>
      <c r="C328" s="96">
        <f t="shared" si="10"/>
      </c>
      <c r="D328" s="21">
        <f t="shared" si="12"/>
      </c>
      <c r="E328" s="21">
        <f t="shared" si="14"/>
      </c>
      <c r="F328" s="21">
        <f t="shared" si="16"/>
      </c>
      <c r="G328" s="21">
        <f t="shared" si="18"/>
      </c>
      <c r="H328" s="21">
        <f t="shared" si="20"/>
      </c>
      <c r="I328" s="21">
        <f t="shared" si="22"/>
      </c>
      <c r="J328" s="94">
        <f t="shared" si="24"/>
      </c>
      <c r="K328" s="94">
        <f t="shared" si="26"/>
      </c>
      <c r="L328" s="94">
        <f t="shared" si="28"/>
      </c>
      <c r="M328" s="96">
        <f t="shared" si="29"/>
      </c>
      <c r="X328" s="2">
        <f>IF(308&gt;$AA$5,0,MOD(SMALL($AA$6:$AA$2005,308),10000))</f>
        <v>0</v>
      </c>
      <c r="AA328" s="2">
        <f>IF(AND(ISNUMBER(资金流水!$B$328),ISNUMBER(资金流水!$S$328),资金流水!$S$328&gt;=_辅助!$J$4,资金流水!$S$328&lt;=_辅助!$J$2,OR(资金流水!$C$328=$C$18,AND(资金流水!$AD$328=$C$18,资金流水!$X$328="账户互转"),AND($E$18&lt;&gt;"",资金流水!$J$328=$E$18,资金流水!$X$328="应付职工薪酬"))),INT(资金流水!$B$328)*10000+323,"")</f>
      </c>
    </row>
    <row r="329">
      <c r="A329" s="94">
        <f>IF($X329=0,"",309)</f>
      </c>
      <c r="B329" s="95">
        <f t="shared" si="1"/>
      </c>
      <c r="C329" s="96">
        <f t="shared" si="10"/>
      </c>
      <c r="D329" s="21">
        <f t="shared" si="12"/>
      </c>
      <c r="E329" s="21">
        <f t="shared" si="14"/>
      </c>
      <c r="F329" s="21">
        <f t="shared" si="16"/>
      </c>
      <c r="G329" s="21">
        <f t="shared" si="18"/>
      </c>
      <c r="H329" s="21">
        <f t="shared" si="20"/>
      </c>
      <c r="I329" s="21">
        <f t="shared" si="22"/>
      </c>
      <c r="J329" s="94">
        <f t="shared" si="24"/>
      </c>
      <c r="K329" s="94">
        <f t="shared" si="26"/>
      </c>
      <c r="L329" s="94">
        <f t="shared" si="28"/>
      </c>
      <c r="M329" s="96">
        <f t="shared" si="29"/>
      </c>
      <c r="X329" s="2">
        <f>IF(309&gt;$AA$5,0,MOD(SMALL($AA$6:$AA$2005,309),10000))</f>
        <v>0</v>
      </c>
      <c r="AA329" s="2">
        <f>IF(AND(ISNUMBER(资金流水!$B$329),ISNUMBER(资金流水!$S$329),资金流水!$S$329&gt;=_辅助!$J$4,资金流水!$S$329&lt;=_辅助!$J$2,OR(资金流水!$C$329=$C$18,AND(资金流水!$AD$329=$C$18,资金流水!$X$329="账户互转"),AND($E$18&lt;&gt;"",资金流水!$J$329=$E$18,资金流水!$X$329="应付职工薪酬"))),INT(资金流水!$B$329)*10000+324,"")</f>
      </c>
    </row>
    <row r="330">
      <c r="A330" s="94">
        <f>IF($X330=0,"",310)</f>
      </c>
      <c r="B330" s="95">
        <f t="shared" si="1"/>
      </c>
      <c r="C330" s="96">
        <f t="shared" si="10"/>
      </c>
      <c r="D330" s="21">
        <f t="shared" si="12"/>
      </c>
      <c r="E330" s="21">
        <f t="shared" si="14"/>
      </c>
      <c r="F330" s="21">
        <f t="shared" si="16"/>
      </c>
      <c r="G330" s="21">
        <f t="shared" si="18"/>
      </c>
      <c r="H330" s="21">
        <f t="shared" si="20"/>
      </c>
      <c r="I330" s="21">
        <f t="shared" si="22"/>
      </c>
      <c r="J330" s="94">
        <f t="shared" si="24"/>
      </c>
      <c r="K330" s="94">
        <f t="shared" si="26"/>
      </c>
      <c r="L330" s="94">
        <f t="shared" si="28"/>
      </c>
      <c r="M330" s="96">
        <f t="shared" si="29"/>
      </c>
      <c r="X330" s="2">
        <f>IF(310&gt;$AA$5,0,MOD(SMALL($AA$6:$AA$2005,310),10000))</f>
        <v>0</v>
      </c>
      <c r="AA330" s="2">
        <f>IF(AND(ISNUMBER(资金流水!$B$330),ISNUMBER(资金流水!$S$330),资金流水!$S$330&gt;=_辅助!$J$4,资金流水!$S$330&lt;=_辅助!$J$2,OR(资金流水!$C$330=$C$18,AND(资金流水!$AD$330=$C$18,资金流水!$X$330="账户互转"),AND($E$18&lt;&gt;"",资金流水!$J$330=$E$18,资金流水!$X$330="应付职工薪酬"))),INT(资金流水!$B$330)*10000+325,"")</f>
      </c>
    </row>
    <row r="331">
      <c r="A331" s="94">
        <f>IF($X331=0,"",311)</f>
      </c>
      <c r="B331" s="95">
        <f t="shared" si="1"/>
      </c>
      <c r="C331" s="96">
        <f t="shared" si="10"/>
      </c>
      <c r="D331" s="21">
        <f t="shared" si="12"/>
      </c>
      <c r="E331" s="21">
        <f t="shared" si="14"/>
      </c>
      <c r="F331" s="21">
        <f t="shared" si="16"/>
      </c>
      <c r="G331" s="21">
        <f t="shared" si="18"/>
      </c>
      <c r="H331" s="21">
        <f t="shared" si="20"/>
      </c>
      <c r="I331" s="21">
        <f t="shared" si="22"/>
      </c>
      <c r="J331" s="94">
        <f t="shared" si="24"/>
      </c>
      <c r="K331" s="94">
        <f t="shared" si="26"/>
      </c>
      <c r="L331" s="94">
        <f t="shared" si="28"/>
      </c>
      <c r="M331" s="96">
        <f t="shared" si="29"/>
      </c>
      <c r="X331" s="2">
        <f>IF(311&gt;$AA$5,0,MOD(SMALL($AA$6:$AA$2005,311),10000))</f>
        <v>0</v>
      </c>
      <c r="AA331" s="2">
        <f>IF(AND(ISNUMBER(资金流水!$B$331),ISNUMBER(资金流水!$S$331),资金流水!$S$331&gt;=_辅助!$J$4,资金流水!$S$331&lt;=_辅助!$J$2,OR(资金流水!$C$331=$C$18,AND(资金流水!$AD$331=$C$18,资金流水!$X$331="账户互转"),AND($E$18&lt;&gt;"",资金流水!$J$331=$E$18,资金流水!$X$331="应付职工薪酬"))),INT(资金流水!$B$331)*10000+326,"")</f>
      </c>
    </row>
    <row r="332">
      <c r="A332" s="94">
        <f>IF($X332=0,"",312)</f>
      </c>
      <c r="B332" s="95">
        <f t="shared" si="1"/>
      </c>
      <c r="C332" s="96">
        <f t="shared" si="10"/>
      </c>
      <c r="D332" s="21">
        <f t="shared" si="12"/>
      </c>
      <c r="E332" s="21">
        <f t="shared" si="14"/>
      </c>
      <c r="F332" s="21">
        <f t="shared" si="16"/>
      </c>
      <c r="G332" s="21">
        <f t="shared" si="18"/>
      </c>
      <c r="H332" s="21">
        <f t="shared" si="20"/>
      </c>
      <c r="I332" s="21">
        <f t="shared" si="22"/>
      </c>
      <c r="J332" s="94">
        <f t="shared" si="24"/>
      </c>
      <c r="K332" s="94">
        <f t="shared" si="26"/>
      </c>
      <c r="L332" s="94">
        <f t="shared" si="28"/>
      </c>
      <c r="M332" s="96">
        <f t="shared" si="29"/>
      </c>
      <c r="X332" s="2">
        <f>IF(312&gt;$AA$5,0,MOD(SMALL($AA$6:$AA$2005,312),10000))</f>
        <v>0</v>
      </c>
      <c r="AA332" s="2">
        <f>IF(AND(ISNUMBER(资金流水!$B$332),ISNUMBER(资金流水!$S$332),资金流水!$S$332&gt;=_辅助!$J$4,资金流水!$S$332&lt;=_辅助!$J$2,OR(资金流水!$C$332=$C$18,AND(资金流水!$AD$332=$C$18,资金流水!$X$332="账户互转"),AND($E$18&lt;&gt;"",资金流水!$J$332=$E$18,资金流水!$X$332="应付职工薪酬"))),INT(资金流水!$B$332)*10000+327,"")</f>
      </c>
    </row>
    <row r="333">
      <c r="A333" s="94">
        <f>IF($X333=0,"",313)</f>
      </c>
      <c r="B333" s="95">
        <f t="shared" si="1"/>
      </c>
      <c r="C333" s="96">
        <f t="shared" si="10"/>
      </c>
      <c r="D333" s="21">
        <f t="shared" si="12"/>
      </c>
      <c r="E333" s="21">
        <f t="shared" si="14"/>
      </c>
      <c r="F333" s="21">
        <f t="shared" si="16"/>
      </c>
      <c r="G333" s="21">
        <f t="shared" si="18"/>
      </c>
      <c r="H333" s="21">
        <f t="shared" si="20"/>
      </c>
      <c r="I333" s="21">
        <f t="shared" si="22"/>
      </c>
      <c r="J333" s="94">
        <f t="shared" si="24"/>
      </c>
      <c r="K333" s="94">
        <f t="shared" si="26"/>
      </c>
      <c r="L333" s="94">
        <f t="shared" si="28"/>
      </c>
      <c r="M333" s="96">
        <f t="shared" si="29"/>
      </c>
      <c r="X333" s="2">
        <f>IF(313&gt;$AA$5,0,MOD(SMALL($AA$6:$AA$2005,313),10000))</f>
        <v>0</v>
      </c>
      <c r="AA333" s="2">
        <f>IF(AND(ISNUMBER(资金流水!$B$333),ISNUMBER(资金流水!$S$333),资金流水!$S$333&gt;=_辅助!$J$4,资金流水!$S$333&lt;=_辅助!$J$2,OR(资金流水!$C$333=$C$18,AND(资金流水!$AD$333=$C$18,资金流水!$X$333="账户互转"),AND($E$18&lt;&gt;"",资金流水!$J$333=$E$18,资金流水!$X$333="应付职工薪酬"))),INT(资金流水!$B$333)*10000+328,"")</f>
      </c>
    </row>
    <row r="334">
      <c r="A334" s="94">
        <f>IF($X334=0,"",314)</f>
      </c>
      <c r="B334" s="95">
        <f t="shared" si="1"/>
      </c>
      <c r="C334" s="96">
        <f t="shared" si="10"/>
      </c>
      <c r="D334" s="21">
        <f t="shared" si="12"/>
      </c>
      <c r="E334" s="21">
        <f t="shared" si="14"/>
      </c>
      <c r="F334" s="21">
        <f t="shared" si="16"/>
      </c>
      <c r="G334" s="21">
        <f t="shared" si="18"/>
      </c>
      <c r="H334" s="21">
        <f t="shared" si="20"/>
      </c>
      <c r="I334" s="21">
        <f t="shared" si="22"/>
      </c>
      <c r="J334" s="94">
        <f t="shared" si="24"/>
      </c>
      <c r="K334" s="94">
        <f t="shared" si="26"/>
      </c>
      <c r="L334" s="94">
        <f t="shared" si="28"/>
      </c>
      <c r="M334" s="96">
        <f t="shared" si="29"/>
      </c>
      <c r="X334" s="2">
        <f>IF(314&gt;$AA$5,0,MOD(SMALL($AA$6:$AA$2005,314),10000))</f>
        <v>0</v>
      </c>
      <c r="AA334" s="2">
        <f>IF(AND(ISNUMBER(资金流水!$B$334),ISNUMBER(资金流水!$S$334),资金流水!$S$334&gt;=_辅助!$J$4,资金流水!$S$334&lt;=_辅助!$J$2,OR(资金流水!$C$334=$C$18,AND(资金流水!$AD$334=$C$18,资金流水!$X$334="账户互转"),AND($E$18&lt;&gt;"",资金流水!$J$334=$E$18,资金流水!$X$334="应付职工薪酬"))),INT(资金流水!$B$334)*10000+329,"")</f>
      </c>
    </row>
    <row r="335">
      <c r="A335" s="94">
        <f>IF($X335=0,"",315)</f>
      </c>
      <c r="B335" s="95">
        <f t="shared" si="1"/>
      </c>
      <c r="C335" s="96">
        <f t="shared" si="10"/>
      </c>
      <c r="D335" s="21">
        <f t="shared" si="12"/>
      </c>
      <c r="E335" s="21">
        <f t="shared" si="14"/>
      </c>
      <c r="F335" s="21">
        <f t="shared" si="16"/>
      </c>
      <c r="G335" s="21">
        <f t="shared" si="18"/>
      </c>
      <c r="H335" s="21">
        <f t="shared" si="20"/>
      </c>
      <c r="I335" s="21">
        <f t="shared" si="22"/>
      </c>
      <c r="J335" s="94">
        <f t="shared" si="24"/>
      </c>
      <c r="K335" s="94">
        <f t="shared" si="26"/>
      </c>
      <c r="L335" s="94">
        <f t="shared" si="28"/>
      </c>
      <c r="M335" s="96">
        <f t="shared" si="29"/>
      </c>
      <c r="X335" s="2">
        <f>IF(315&gt;$AA$5,0,MOD(SMALL($AA$6:$AA$2005,315),10000))</f>
        <v>0</v>
      </c>
      <c r="AA335" s="2">
        <f>IF(AND(ISNUMBER(资金流水!$B$335),ISNUMBER(资金流水!$S$335),资金流水!$S$335&gt;=_辅助!$J$4,资金流水!$S$335&lt;=_辅助!$J$2,OR(资金流水!$C$335=$C$18,AND(资金流水!$AD$335=$C$18,资金流水!$X$335="账户互转"),AND($E$18&lt;&gt;"",资金流水!$J$335=$E$18,资金流水!$X$335="应付职工薪酬"))),INT(资金流水!$B$335)*10000+330,"")</f>
      </c>
    </row>
    <row r="336">
      <c r="A336" s="94">
        <f>IF($X336=0,"",316)</f>
      </c>
      <c r="B336" s="95">
        <f t="shared" si="1"/>
      </c>
      <c r="C336" s="96">
        <f t="shared" si="10"/>
      </c>
      <c r="D336" s="21">
        <f t="shared" si="12"/>
      </c>
      <c r="E336" s="21">
        <f t="shared" si="14"/>
      </c>
      <c r="F336" s="21">
        <f t="shared" si="16"/>
      </c>
      <c r="G336" s="21">
        <f t="shared" si="18"/>
      </c>
      <c r="H336" s="21">
        <f t="shared" si="20"/>
      </c>
      <c r="I336" s="21">
        <f t="shared" si="22"/>
      </c>
      <c r="J336" s="94">
        <f t="shared" si="24"/>
      </c>
      <c r="K336" s="94">
        <f t="shared" si="26"/>
      </c>
      <c r="L336" s="94">
        <f t="shared" si="28"/>
      </c>
      <c r="M336" s="96">
        <f t="shared" si="29"/>
      </c>
      <c r="X336" s="2">
        <f>IF(316&gt;$AA$5,0,MOD(SMALL($AA$6:$AA$2005,316),10000))</f>
        <v>0</v>
      </c>
      <c r="AA336" s="2">
        <f>IF(AND(ISNUMBER(资金流水!$B$336),ISNUMBER(资金流水!$S$336),资金流水!$S$336&gt;=_辅助!$J$4,资金流水!$S$336&lt;=_辅助!$J$2,OR(资金流水!$C$336=$C$18,AND(资金流水!$AD$336=$C$18,资金流水!$X$336="账户互转"),AND($E$18&lt;&gt;"",资金流水!$J$336=$E$18,资金流水!$X$336="应付职工薪酬"))),INT(资金流水!$B$336)*10000+331,"")</f>
      </c>
    </row>
    <row r="337">
      <c r="A337" s="94">
        <f>IF($X337=0,"",317)</f>
      </c>
      <c r="B337" s="95">
        <f t="shared" si="1"/>
      </c>
      <c r="C337" s="96">
        <f t="shared" si="10"/>
      </c>
      <c r="D337" s="21">
        <f t="shared" si="12"/>
      </c>
      <c r="E337" s="21">
        <f t="shared" si="14"/>
      </c>
      <c r="F337" s="21">
        <f t="shared" si="16"/>
      </c>
      <c r="G337" s="21">
        <f t="shared" si="18"/>
      </c>
      <c r="H337" s="21">
        <f t="shared" si="20"/>
      </c>
      <c r="I337" s="21">
        <f t="shared" si="22"/>
      </c>
      <c r="J337" s="94">
        <f t="shared" si="24"/>
      </c>
      <c r="K337" s="94">
        <f t="shared" si="26"/>
      </c>
      <c r="L337" s="94">
        <f t="shared" si="28"/>
      </c>
      <c r="M337" s="96">
        <f t="shared" si="29"/>
      </c>
      <c r="X337" s="2">
        <f>IF(317&gt;$AA$5,0,MOD(SMALL($AA$6:$AA$2005,317),10000))</f>
        <v>0</v>
      </c>
      <c r="AA337" s="2">
        <f>IF(AND(ISNUMBER(资金流水!$B$337),ISNUMBER(资金流水!$S$337),资金流水!$S$337&gt;=_辅助!$J$4,资金流水!$S$337&lt;=_辅助!$J$2,OR(资金流水!$C$337=$C$18,AND(资金流水!$AD$337=$C$18,资金流水!$X$337="账户互转"),AND($E$18&lt;&gt;"",资金流水!$J$337=$E$18,资金流水!$X$337="应付职工薪酬"))),INT(资金流水!$B$337)*10000+332,"")</f>
      </c>
    </row>
    <row r="338">
      <c r="A338" s="94">
        <f>IF($X338=0,"",318)</f>
      </c>
      <c r="B338" s="95">
        <f t="shared" si="1"/>
      </c>
      <c r="C338" s="96">
        <f t="shared" si="10"/>
      </c>
      <c r="D338" s="21">
        <f t="shared" si="12"/>
      </c>
      <c r="E338" s="21">
        <f t="shared" si="14"/>
      </c>
      <c r="F338" s="21">
        <f t="shared" si="16"/>
      </c>
      <c r="G338" s="21">
        <f t="shared" si="18"/>
      </c>
      <c r="H338" s="21">
        <f t="shared" si="20"/>
      </c>
      <c r="I338" s="21">
        <f t="shared" si="22"/>
      </c>
      <c r="J338" s="94">
        <f t="shared" si="24"/>
      </c>
      <c r="K338" s="94">
        <f t="shared" si="26"/>
      </c>
      <c r="L338" s="94">
        <f t="shared" si="28"/>
      </c>
      <c r="M338" s="96">
        <f t="shared" si="29"/>
      </c>
      <c r="X338" s="2">
        <f>IF(318&gt;$AA$5,0,MOD(SMALL($AA$6:$AA$2005,318),10000))</f>
        <v>0</v>
      </c>
      <c r="AA338" s="2">
        <f>IF(AND(ISNUMBER(资金流水!$B$338),ISNUMBER(资金流水!$S$338),资金流水!$S$338&gt;=_辅助!$J$4,资金流水!$S$338&lt;=_辅助!$J$2,OR(资金流水!$C$338=$C$18,AND(资金流水!$AD$338=$C$18,资金流水!$X$338="账户互转"),AND($E$18&lt;&gt;"",资金流水!$J$338=$E$18,资金流水!$X$338="应付职工薪酬"))),INT(资金流水!$B$338)*10000+333,"")</f>
      </c>
    </row>
    <row r="339">
      <c r="A339" s="94">
        <f>IF($X339=0,"",319)</f>
      </c>
      <c r="B339" s="95">
        <f t="shared" si="1"/>
      </c>
      <c r="C339" s="96">
        <f t="shared" si="10"/>
      </c>
      <c r="D339" s="21">
        <f t="shared" si="12"/>
      </c>
      <c r="E339" s="21">
        <f t="shared" si="14"/>
      </c>
      <c r="F339" s="21">
        <f t="shared" si="16"/>
      </c>
      <c r="G339" s="21">
        <f t="shared" si="18"/>
      </c>
      <c r="H339" s="21">
        <f t="shared" si="20"/>
      </c>
      <c r="I339" s="21">
        <f t="shared" si="22"/>
      </c>
      <c r="J339" s="94">
        <f t="shared" si="24"/>
      </c>
      <c r="K339" s="94">
        <f t="shared" si="26"/>
      </c>
      <c r="L339" s="94">
        <f t="shared" si="28"/>
      </c>
      <c r="M339" s="96">
        <f t="shared" si="29"/>
      </c>
      <c r="X339" s="2">
        <f>IF(319&gt;$AA$5,0,MOD(SMALL($AA$6:$AA$2005,319),10000))</f>
        <v>0</v>
      </c>
      <c r="AA339" s="2">
        <f>IF(AND(ISNUMBER(资金流水!$B$339),ISNUMBER(资金流水!$S$339),资金流水!$S$339&gt;=_辅助!$J$4,资金流水!$S$339&lt;=_辅助!$J$2,OR(资金流水!$C$339=$C$18,AND(资金流水!$AD$339=$C$18,资金流水!$X$339="账户互转"),AND($E$18&lt;&gt;"",资金流水!$J$339=$E$18,资金流水!$X$339="应付职工薪酬"))),INT(资金流水!$B$339)*10000+334,"")</f>
      </c>
    </row>
    <row r="340">
      <c r="A340" s="94">
        <f>IF($X340=0,"",320)</f>
      </c>
      <c r="B340" s="95">
        <f t="shared" si="1"/>
      </c>
      <c r="C340" s="96">
        <f t="shared" si="10"/>
      </c>
      <c r="D340" s="21">
        <f t="shared" si="12"/>
      </c>
      <c r="E340" s="21">
        <f t="shared" si="14"/>
      </c>
      <c r="F340" s="21">
        <f t="shared" si="16"/>
      </c>
      <c r="G340" s="21">
        <f t="shared" si="18"/>
      </c>
      <c r="H340" s="21">
        <f t="shared" si="20"/>
      </c>
      <c r="I340" s="21">
        <f t="shared" si="22"/>
      </c>
      <c r="J340" s="94">
        <f t="shared" si="24"/>
      </c>
      <c r="K340" s="94">
        <f t="shared" si="26"/>
      </c>
      <c r="L340" s="94">
        <f t="shared" si="28"/>
      </c>
      <c r="M340" s="96">
        <f t="shared" si="29"/>
      </c>
      <c r="X340" s="2">
        <f>IF(320&gt;$AA$5,0,MOD(SMALL($AA$6:$AA$2005,320),10000))</f>
        <v>0</v>
      </c>
      <c r="AA340" s="2">
        <f>IF(AND(ISNUMBER(资金流水!$B$340),ISNUMBER(资金流水!$S$340),资金流水!$S$340&gt;=_辅助!$J$4,资金流水!$S$340&lt;=_辅助!$J$2,OR(资金流水!$C$340=$C$18,AND(资金流水!$AD$340=$C$18,资金流水!$X$340="账户互转"),AND($E$18&lt;&gt;"",资金流水!$J$340=$E$18,资金流水!$X$340="应付职工薪酬"))),INT(资金流水!$B$340)*10000+335,"")</f>
      </c>
    </row>
    <row r="341">
      <c r="A341" s="94">
        <f>IF($X341=0,"",321)</f>
      </c>
      <c r="B341" s="95">
        <f t="shared" si="1"/>
      </c>
      <c r="C341" s="96">
        <f t="shared" si="10"/>
      </c>
      <c r="D341" s="21">
        <f t="shared" si="12"/>
      </c>
      <c r="E341" s="21">
        <f t="shared" si="14"/>
      </c>
      <c r="F341" s="21">
        <f t="shared" si="16"/>
      </c>
      <c r="G341" s="21">
        <f t="shared" si="18"/>
      </c>
      <c r="H341" s="21">
        <f t="shared" si="20"/>
      </c>
      <c r="I341" s="21">
        <f t="shared" si="22"/>
      </c>
      <c r="J341" s="94">
        <f t="shared" si="24"/>
      </c>
      <c r="K341" s="94">
        <f t="shared" si="26"/>
      </c>
      <c r="L341" s="94">
        <f t="shared" si="28"/>
      </c>
      <c r="M341" s="96">
        <f t="shared" si="29"/>
      </c>
      <c r="X341" s="2">
        <f>IF(321&gt;$AA$5,0,MOD(SMALL($AA$6:$AA$2005,321),10000))</f>
        <v>0</v>
      </c>
      <c r="AA341" s="2">
        <f>IF(AND(ISNUMBER(资金流水!$B$341),ISNUMBER(资金流水!$S$341),资金流水!$S$341&gt;=_辅助!$J$4,资金流水!$S$341&lt;=_辅助!$J$2,OR(资金流水!$C$341=$C$18,AND(资金流水!$AD$341=$C$18,资金流水!$X$341="账户互转"),AND($E$18&lt;&gt;"",资金流水!$J$341=$E$18,资金流水!$X$341="应付职工薪酬"))),INT(资金流水!$B$341)*10000+336,"")</f>
      </c>
    </row>
    <row r="342">
      <c r="A342" s="94">
        <f>IF($X342=0,"",322)</f>
      </c>
      <c r="B342" s="95">
        <f t="shared" si="1"/>
      </c>
      <c r="C342" s="96">
        <f t="shared" si="10"/>
      </c>
      <c r="D342" s="21">
        <f t="shared" si="12"/>
      </c>
      <c r="E342" s="21">
        <f t="shared" si="14"/>
      </c>
      <c r="F342" s="21">
        <f t="shared" si="16"/>
      </c>
      <c r="G342" s="21">
        <f t="shared" si="18"/>
      </c>
      <c r="H342" s="21">
        <f t="shared" si="20"/>
      </c>
      <c r="I342" s="21">
        <f t="shared" si="22"/>
      </c>
      <c r="J342" s="94">
        <f t="shared" si="24"/>
      </c>
      <c r="K342" s="94">
        <f t="shared" si="26"/>
      </c>
      <c r="L342" s="94">
        <f t="shared" si="28"/>
      </c>
      <c r="M342" s="96">
        <f t="shared" si="29"/>
      </c>
      <c r="X342" s="2">
        <f>IF(322&gt;$AA$5,0,MOD(SMALL($AA$6:$AA$2005,322),10000))</f>
        <v>0</v>
      </c>
      <c r="AA342" s="2">
        <f>IF(AND(ISNUMBER(资金流水!$B$342),ISNUMBER(资金流水!$S$342),资金流水!$S$342&gt;=_辅助!$J$4,资金流水!$S$342&lt;=_辅助!$J$2,OR(资金流水!$C$342=$C$18,AND(资金流水!$AD$342=$C$18,资金流水!$X$342="账户互转"),AND($E$18&lt;&gt;"",资金流水!$J$342=$E$18,资金流水!$X$342="应付职工薪酬"))),INT(资金流水!$B$342)*10000+337,"")</f>
      </c>
    </row>
    <row r="343">
      <c r="A343" s="94">
        <f>IF($X343=0,"",323)</f>
      </c>
      <c r="B343" s="95">
        <f t="shared" si="1"/>
      </c>
      <c r="C343" s="96">
        <f t="shared" si="10"/>
      </c>
      <c r="D343" s="21">
        <f t="shared" si="12"/>
      </c>
      <c r="E343" s="21">
        <f t="shared" si="14"/>
      </c>
      <c r="F343" s="21">
        <f t="shared" si="16"/>
      </c>
      <c r="G343" s="21">
        <f t="shared" si="18"/>
      </c>
      <c r="H343" s="21">
        <f t="shared" si="20"/>
      </c>
      <c r="I343" s="21">
        <f t="shared" si="22"/>
      </c>
      <c r="J343" s="94">
        <f t="shared" si="24"/>
      </c>
      <c r="K343" s="94">
        <f t="shared" si="26"/>
      </c>
      <c r="L343" s="94">
        <f t="shared" si="28"/>
      </c>
      <c r="M343" s="96">
        <f t="shared" si="29"/>
      </c>
      <c r="X343" s="2">
        <f>IF(323&gt;$AA$5,0,MOD(SMALL($AA$6:$AA$2005,323),10000))</f>
        <v>0</v>
      </c>
      <c r="AA343" s="2">
        <f>IF(AND(ISNUMBER(资金流水!$B$343),ISNUMBER(资金流水!$S$343),资金流水!$S$343&gt;=_辅助!$J$4,资金流水!$S$343&lt;=_辅助!$J$2,OR(资金流水!$C$343=$C$18,AND(资金流水!$AD$343=$C$18,资金流水!$X$343="账户互转"),AND($E$18&lt;&gt;"",资金流水!$J$343=$E$18,资金流水!$X$343="应付职工薪酬"))),INT(资金流水!$B$343)*10000+338,"")</f>
      </c>
    </row>
    <row r="344">
      <c r="A344" s="94">
        <f>IF($X344=0,"",324)</f>
      </c>
      <c r="B344" s="95">
        <f t="shared" si="1"/>
      </c>
      <c r="C344" s="96">
        <f t="shared" si="10"/>
      </c>
      <c r="D344" s="21">
        <f t="shared" si="12"/>
      </c>
      <c r="E344" s="21">
        <f t="shared" si="14"/>
      </c>
      <c r="F344" s="21">
        <f t="shared" si="16"/>
      </c>
      <c r="G344" s="21">
        <f t="shared" si="18"/>
      </c>
      <c r="H344" s="21">
        <f t="shared" si="20"/>
      </c>
      <c r="I344" s="21">
        <f t="shared" si="22"/>
      </c>
      <c r="J344" s="94">
        <f t="shared" si="24"/>
      </c>
      <c r="K344" s="94">
        <f t="shared" si="26"/>
      </c>
      <c r="L344" s="94">
        <f t="shared" si="28"/>
      </c>
      <c r="M344" s="96">
        <f t="shared" si="29"/>
      </c>
      <c r="X344" s="2">
        <f>IF(324&gt;$AA$5,0,MOD(SMALL($AA$6:$AA$2005,324),10000))</f>
        <v>0</v>
      </c>
      <c r="AA344" s="2">
        <f>IF(AND(ISNUMBER(资金流水!$B$344),ISNUMBER(资金流水!$S$344),资金流水!$S$344&gt;=_辅助!$J$4,资金流水!$S$344&lt;=_辅助!$J$2,OR(资金流水!$C$344=$C$18,AND(资金流水!$AD$344=$C$18,资金流水!$X$344="账户互转"),AND($E$18&lt;&gt;"",资金流水!$J$344=$E$18,资金流水!$X$344="应付职工薪酬"))),INT(资金流水!$B$344)*10000+339,"")</f>
      </c>
    </row>
    <row r="345">
      <c r="A345" s="94">
        <f>IF($X345=0,"",325)</f>
      </c>
      <c r="B345" s="95">
        <f t="shared" si="1"/>
      </c>
      <c r="C345" s="96">
        <f t="shared" si="10"/>
      </c>
      <c r="D345" s="21">
        <f t="shared" si="12"/>
      </c>
      <c r="E345" s="21">
        <f t="shared" si="14"/>
      </c>
      <c r="F345" s="21">
        <f t="shared" si="16"/>
      </c>
      <c r="G345" s="21">
        <f t="shared" si="18"/>
      </c>
      <c r="H345" s="21">
        <f t="shared" si="20"/>
      </c>
      <c r="I345" s="21">
        <f t="shared" si="22"/>
      </c>
      <c r="J345" s="94">
        <f t="shared" si="24"/>
      </c>
      <c r="K345" s="94">
        <f t="shared" si="26"/>
      </c>
      <c r="L345" s="94">
        <f t="shared" si="28"/>
      </c>
      <c r="M345" s="96">
        <f t="shared" si="29"/>
      </c>
      <c r="X345" s="2">
        <f>IF(325&gt;$AA$5,0,MOD(SMALL($AA$6:$AA$2005,325),10000))</f>
        <v>0</v>
      </c>
      <c r="AA345" s="2">
        <f>IF(AND(ISNUMBER(资金流水!$B$345),ISNUMBER(资金流水!$S$345),资金流水!$S$345&gt;=_辅助!$J$4,资金流水!$S$345&lt;=_辅助!$J$2,OR(资金流水!$C$345=$C$18,AND(资金流水!$AD$345=$C$18,资金流水!$X$345="账户互转"),AND($E$18&lt;&gt;"",资金流水!$J$345=$E$18,资金流水!$X$345="应付职工薪酬"))),INT(资金流水!$B$345)*10000+340,"")</f>
      </c>
    </row>
    <row r="346">
      <c r="A346" s="94">
        <f>IF($X346=0,"",326)</f>
      </c>
      <c r="B346" s="95">
        <f t="shared" si="1"/>
      </c>
      <c r="C346" s="96">
        <f t="shared" si="10"/>
      </c>
      <c r="D346" s="21">
        <f t="shared" si="12"/>
      </c>
      <c r="E346" s="21">
        <f t="shared" si="14"/>
      </c>
      <c r="F346" s="21">
        <f t="shared" si="16"/>
      </c>
      <c r="G346" s="21">
        <f t="shared" si="18"/>
      </c>
      <c r="H346" s="21">
        <f t="shared" si="20"/>
      </c>
      <c r="I346" s="21">
        <f t="shared" si="22"/>
      </c>
      <c r="J346" s="94">
        <f t="shared" si="24"/>
      </c>
      <c r="K346" s="94">
        <f t="shared" si="26"/>
      </c>
      <c r="L346" s="94">
        <f t="shared" si="28"/>
      </c>
      <c r="M346" s="96">
        <f t="shared" si="29"/>
      </c>
      <c r="X346" s="2">
        <f>IF(326&gt;$AA$5,0,MOD(SMALL($AA$6:$AA$2005,326),10000))</f>
        <v>0</v>
      </c>
      <c r="AA346" s="2">
        <f>IF(AND(ISNUMBER(资金流水!$B$346),ISNUMBER(资金流水!$S$346),资金流水!$S$346&gt;=_辅助!$J$4,资金流水!$S$346&lt;=_辅助!$J$2,OR(资金流水!$C$346=$C$18,AND(资金流水!$AD$346=$C$18,资金流水!$X$346="账户互转"),AND($E$18&lt;&gt;"",资金流水!$J$346=$E$18,资金流水!$X$346="应付职工薪酬"))),INT(资金流水!$B$346)*10000+341,"")</f>
      </c>
    </row>
    <row r="347">
      <c r="A347" s="94">
        <f>IF($X347=0,"",327)</f>
      </c>
      <c r="B347" s="95">
        <f t="shared" si="1"/>
      </c>
      <c r="C347" s="96">
        <f t="shared" si="10"/>
      </c>
      <c r="D347" s="21">
        <f t="shared" si="12"/>
      </c>
      <c r="E347" s="21">
        <f t="shared" si="14"/>
      </c>
      <c r="F347" s="21">
        <f t="shared" si="16"/>
      </c>
      <c r="G347" s="21">
        <f t="shared" si="18"/>
      </c>
      <c r="H347" s="21">
        <f t="shared" si="20"/>
      </c>
      <c r="I347" s="21">
        <f t="shared" si="22"/>
      </c>
      <c r="J347" s="94">
        <f t="shared" si="24"/>
      </c>
      <c r="K347" s="94">
        <f t="shared" si="26"/>
      </c>
      <c r="L347" s="94">
        <f t="shared" si="28"/>
      </c>
      <c r="M347" s="96">
        <f t="shared" si="29"/>
      </c>
      <c r="X347" s="2">
        <f>IF(327&gt;$AA$5,0,MOD(SMALL($AA$6:$AA$2005,327),10000))</f>
        <v>0</v>
      </c>
      <c r="AA347" s="2">
        <f>IF(AND(ISNUMBER(资金流水!$B$347),ISNUMBER(资金流水!$S$347),资金流水!$S$347&gt;=_辅助!$J$4,资金流水!$S$347&lt;=_辅助!$J$2,OR(资金流水!$C$347=$C$18,AND(资金流水!$AD$347=$C$18,资金流水!$X$347="账户互转"),AND($E$18&lt;&gt;"",资金流水!$J$347=$E$18,资金流水!$X$347="应付职工薪酬"))),INT(资金流水!$B$347)*10000+342,"")</f>
      </c>
    </row>
    <row r="348">
      <c r="A348" s="94">
        <f>IF($X348=0,"",328)</f>
      </c>
      <c r="B348" s="95">
        <f t="shared" si="1"/>
      </c>
      <c r="C348" s="96">
        <f t="shared" si="10"/>
      </c>
      <c r="D348" s="21">
        <f t="shared" si="12"/>
      </c>
      <c r="E348" s="21">
        <f t="shared" si="14"/>
      </c>
      <c r="F348" s="21">
        <f t="shared" si="16"/>
      </c>
      <c r="G348" s="21">
        <f t="shared" si="18"/>
      </c>
      <c r="H348" s="21">
        <f t="shared" si="20"/>
      </c>
      <c r="I348" s="21">
        <f t="shared" si="22"/>
      </c>
      <c r="J348" s="94">
        <f t="shared" si="24"/>
      </c>
      <c r="K348" s="94">
        <f t="shared" si="26"/>
      </c>
      <c r="L348" s="94">
        <f t="shared" si="28"/>
      </c>
      <c r="M348" s="96">
        <f t="shared" si="29"/>
      </c>
      <c r="X348" s="2">
        <f>IF(328&gt;$AA$5,0,MOD(SMALL($AA$6:$AA$2005,328),10000))</f>
        <v>0</v>
      </c>
      <c r="AA348" s="2">
        <f>IF(AND(ISNUMBER(资金流水!$B$348),ISNUMBER(资金流水!$S$348),资金流水!$S$348&gt;=_辅助!$J$4,资金流水!$S$348&lt;=_辅助!$J$2,OR(资金流水!$C$348=$C$18,AND(资金流水!$AD$348=$C$18,资金流水!$X$348="账户互转"),AND($E$18&lt;&gt;"",资金流水!$J$348=$E$18,资金流水!$X$348="应付职工薪酬"))),INT(资金流水!$B$348)*10000+343,"")</f>
      </c>
    </row>
    <row r="349">
      <c r="A349" s="94">
        <f>IF($X349=0,"",329)</f>
      </c>
      <c r="B349" s="95">
        <f t="shared" si="1"/>
      </c>
      <c r="C349" s="96">
        <f t="shared" si="10"/>
      </c>
      <c r="D349" s="21">
        <f t="shared" si="12"/>
      </c>
      <c r="E349" s="21">
        <f t="shared" si="14"/>
      </c>
      <c r="F349" s="21">
        <f t="shared" si="16"/>
      </c>
      <c r="G349" s="21">
        <f t="shared" si="18"/>
      </c>
      <c r="H349" s="21">
        <f t="shared" si="20"/>
      </c>
      <c r="I349" s="21">
        <f t="shared" si="22"/>
      </c>
      <c r="J349" s="94">
        <f t="shared" si="24"/>
      </c>
      <c r="K349" s="94">
        <f t="shared" si="26"/>
      </c>
      <c r="L349" s="94">
        <f t="shared" si="28"/>
      </c>
      <c r="M349" s="96">
        <f t="shared" si="29"/>
      </c>
      <c r="X349" s="2">
        <f>IF(329&gt;$AA$5,0,MOD(SMALL($AA$6:$AA$2005,329),10000))</f>
        <v>0</v>
      </c>
      <c r="AA349" s="2">
        <f>IF(AND(ISNUMBER(资金流水!$B$349),ISNUMBER(资金流水!$S$349),资金流水!$S$349&gt;=_辅助!$J$4,资金流水!$S$349&lt;=_辅助!$J$2,OR(资金流水!$C$349=$C$18,AND(资金流水!$AD$349=$C$18,资金流水!$X$349="账户互转"),AND($E$18&lt;&gt;"",资金流水!$J$349=$E$18,资金流水!$X$349="应付职工薪酬"))),INT(资金流水!$B$349)*10000+344,"")</f>
      </c>
    </row>
    <row r="350">
      <c r="A350" s="94">
        <f>IF($X350=0,"",330)</f>
      </c>
      <c r="B350" s="95">
        <f t="shared" si="1"/>
      </c>
      <c r="C350" s="96">
        <f t="shared" si="10"/>
      </c>
      <c r="D350" s="21">
        <f t="shared" si="12"/>
      </c>
      <c r="E350" s="21">
        <f t="shared" si="14"/>
      </c>
      <c r="F350" s="21">
        <f t="shared" si="16"/>
      </c>
      <c r="G350" s="21">
        <f t="shared" si="18"/>
      </c>
      <c r="H350" s="21">
        <f t="shared" si="20"/>
      </c>
      <c r="I350" s="21">
        <f t="shared" si="22"/>
      </c>
      <c r="J350" s="94">
        <f t="shared" si="24"/>
      </c>
      <c r="K350" s="94">
        <f t="shared" si="26"/>
      </c>
      <c r="L350" s="94">
        <f t="shared" si="28"/>
      </c>
      <c r="M350" s="96">
        <f t="shared" si="29"/>
      </c>
      <c r="X350" s="2">
        <f>IF(330&gt;$AA$5,0,MOD(SMALL($AA$6:$AA$2005,330),10000))</f>
        <v>0</v>
      </c>
      <c r="AA350" s="2">
        <f>IF(AND(ISNUMBER(资金流水!$B$350),ISNUMBER(资金流水!$S$350),资金流水!$S$350&gt;=_辅助!$J$4,资金流水!$S$350&lt;=_辅助!$J$2,OR(资金流水!$C$350=$C$18,AND(资金流水!$AD$350=$C$18,资金流水!$X$350="账户互转"),AND($E$18&lt;&gt;"",资金流水!$J$350=$E$18,资金流水!$X$350="应付职工薪酬"))),INT(资金流水!$B$350)*10000+345,"")</f>
      </c>
    </row>
    <row r="351">
      <c r="A351" s="94">
        <f>IF($X351=0,"",331)</f>
      </c>
      <c r="B351" s="95">
        <f t="shared" si="1"/>
      </c>
      <c r="C351" s="96">
        <f t="shared" si="10"/>
      </c>
      <c r="D351" s="21">
        <f t="shared" si="12"/>
      </c>
      <c r="E351" s="21">
        <f t="shared" si="14"/>
      </c>
      <c r="F351" s="21">
        <f t="shared" si="16"/>
      </c>
      <c r="G351" s="21">
        <f t="shared" si="18"/>
      </c>
      <c r="H351" s="21">
        <f t="shared" si="20"/>
      </c>
      <c r="I351" s="21">
        <f t="shared" si="22"/>
      </c>
      <c r="J351" s="94">
        <f t="shared" si="24"/>
      </c>
      <c r="K351" s="94">
        <f t="shared" si="26"/>
      </c>
      <c r="L351" s="94">
        <f t="shared" si="28"/>
      </c>
      <c r="M351" s="96">
        <f t="shared" si="29"/>
      </c>
      <c r="X351" s="2">
        <f>IF(331&gt;$AA$5,0,MOD(SMALL($AA$6:$AA$2005,331),10000))</f>
        <v>0</v>
      </c>
      <c r="AA351" s="2">
        <f>IF(AND(ISNUMBER(资金流水!$B$351),ISNUMBER(资金流水!$S$351),资金流水!$S$351&gt;=_辅助!$J$4,资金流水!$S$351&lt;=_辅助!$J$2,OR(资金流水!$C$351=$C$18,AND(资金流水!$AD$351=$C$18,资金流水!$X$351="账户互转"),AND($E$18&lt;&gt;"",资金流水!$J$351=$E$18,资金流水!$X$351="应付职工薪酬"))),INT(资金流水!$B$351)*10000+346,"")</f>
      </c>
    </row>
    <row r="352">
      <c r="A352" s="94">
        <f>IF($X352=0,"",332)</f>
      </c>
      <c r="B352" s="95">
        <f t="shared" si="1"/>
      </c>
      <c r="C352" s="96">
        <f t="shared" si="10"/>
      </c>
      <c r="D352" s="21">
        <f t="shared" si="12"/>
      </c>
      <c r="E352" s="21">
        <f t="shared" si="14"/>
      </c>
      <c r="F352" s="21">
        <f t="shared" si="16"/>
      </c>
      <c r="G352" s="21">
        <f t="shared" si="18"/>
      </c>
      <c r="H352" s="21">
        <f t="shared" si="20"/>
      </c>
      <c r="I352" s="21">
        <f t="shared" si="22"/>
      </c>
      <c r="J352" s="94">
        <f t="shared" si="24"/>
      </c>
      <c r="K352" s="94">
        <f t="shared" si="26"/>
      </c>
      <c r="L352" s="94">
        <f t="shared" si="28"/>
      </c>
      <c r="M352" s="96">
        <f t="shared" si="29"/>
      </c>
      <c r="X352" s="2">
        <f>IF(332&gt;$AA$5,0,MOD(SMALL($AA$6:$AA$2005,332),10000))</f>
        <v>0</v>
      </c>
      <c r="AA352" s="2">
        <f>IF(AND(ISNUMBER(资金流水!$B$352),ISNUMBER(资金流水!$S$352),资金流水!$S$352&gt;=_辅助!$J$4,资金流水!$S$352&lt;=_辅助!$J$2,OR(资金流水!$C$352=$C$18,AND(资金流水!$AD$352=$C$18,资金流水!$X$352="账户互转"),AND($E$18&lt;&gt;"",资金流水!$J$352=$E$18,资金流水!$X$352="应付职工薪酬"))),INT(资金流水!$B$352)*10000+347,"")</f>
      </c>
    </row>
    <row r="353">
      <c r="A353" s="94">
        <f>IF($X353=0,"",333)</f>
      </c>
      <c r="B353" s="95">
        <f t="shared" si="1"/>
      </c>
      <c r="C353" s="96">
        <f t="shared" si="10"/>
      </c>
      <c r="D353" s="21">
        <f t="shared" si="12"/>
      </c>
      <c r="E353" s="21">
        <f t="shared" si="14"/>
      </c>
      <c r="F353" s="21">
        <f t="shared" si="16"/>
      </c>
      <c r="G353" s="21">
        <f t="shared" si="18"/>
      </c>
      <c r="H353" s="21">
        <f t="shared" si="20"/>
      </c>
      <c r="I353" s="21">
        <f t="shared" si="22"/>
      </c>
      <c r="J353" s="94">
        <f t="shared" si="24"/>
      </c>
      <c r="K353" s="94">
        <f t="shared" si="26"/>
      </c>
      <c r="L353" s="94">
        <f t="shared" si="28"/>
      </c>
      <c r="M353" s="96">
        <f t="shared" si="29"/>
      </c>
      <c r="X353" s="2">
        <f>IF(333&gt;$AA$5,0,MOD(SMALL($AA$6:$AA$2005,333),10000))</f>
        <v>0</v>
      </c>
      <c r="AA353" s="2">
        <f>IF(AND(ISNUMBER(资金流水!$B$353),ISNUMBER(资金流水!$S$353),资金流水!$S$353&gt;=_辅助!$J$4,资金流水!$S$353&lt;=_辅助!$J$2,OR(资金流水!$C$353=$C$18,AND(资金流水!$AD$353=$C$18,资金流水!$X$353="账户互转"),AND($E$18&lt;&gt;"",资金流水!$J$353=$E$18,资金流水!$X$353="应付职工薪酬"))),INT(资金流水!$B$353)*10000+348,"")</f>
      </c>
    </row>
    <row r="354">
      <c r="A354" s="94">
        <f>IF($X354=0,"",334)</f>
      </c>
      <c r="B354" s="95">
        <f t="shared" si="1"/>
      </c>
      <c r="C354" s="96">
        <f t="shared" si="10"/>
      </c>
      <c r="D354" s="21">
        <f t="shared" si="12"/>
      </c>
      <c r="E354" s="21">
        <f t="shared" si="14"/>
      </c>
      <c r="F354" s="21">
        <f t="shared" si="16"/>
      </c>
      <c r="G354" s="21">
        <f t="shared" si="18"/>
      </c>
      <c r="H354" s="21">
        <f t="shared" si="20"/>
      </c>
      <c r="I354" s="21">
        <f t="shared" si="22"/>
      </c>
      <c r="J354" s="94">
        <f t="shared" si="24"/>
      </c>
      <c r="K354" s="94">
        <f t="shared" si="26"/>
      </c>
      <c r="L354" s="94">
        <f t="shared" si="28"/>
      </c>
      <c r="M354" s="96">
        <f t="shared" si="29"/>
      </c>
      <c r="X354" s="2">
        <f>IF(334&gt;$AA$5,0,MOD(SMALL($AA$6:$AA$2005,334),10000))</f>
        <v>0</v>
      </c>
      <c r="AA354" s="2">
        <f>IF(AND(ISNUMBER(资金流水!$B$354),ISNUMBER(资金流水!$S$354),资金流水!$S$354&gt;=_辅助!$J$4,资金流水!$S$354&lt;=_辅助!$J$2,OR(资金流水!$C$354=$C$18,AND(资金流水!$AD$354=$C$18,资金流水!$X$354="账户互转"),AND($E$18&lt;&gt;"",资金流水!$J$354=$E$18,资金流水!$X$354="应付职工薪酬"))),INT(资金流水!$B$354)*10000+349,"")</f>
      </c>
    </row>
    <row r="355">
      <c r="A355" s="94">
        <f>IF($X355=0,"",335)</f>
      </c>
      <c r="B355" s="95">
        <f t="shared" si="1"/>
      </c>
      <c r="C355" s="96">
        <f t="shared" si="10"/>
      </c>
      <c r="D355" s="21">
        <f t="shared" si="12"/>
      </c>
      <c r="E355" s="21">
        <f t="shared" si="14"/>
      </c>
      <c r="F355" s="21">
        <f t="shared" si="16"/>
      </c>
      <c r="G355" s="21">
        <f t="shared" si="18"/>
      </c>
      <c r="H355" s="21">
        <f t="shared" si="20"/>
      </c>
      <c r="I355" s="21">
        <f t="shared" si="22"/>
      </c>
      <c r="J355" s="94">
        <f t="shared" si="24"/>
      </c>
      <c r="K355" s="94">
        <f t="shared" si="26"/>
      </c>
      <c r="L355" s="94">
        <f t="shared" si="28"/>
      </c>
      <c r="M355" s="96">
        <f t="shared" si="29"/>
      </c>
      <c r="X355" s="2">
        <f>IF(335&gt;$AA$5,0,MOD(SMALL($AA$6:$AA$2005,335),10000))</f>
        <v>0</v>
      </c>
      <c r="AA355" s="2">
        <f>IF(AND(ISNUMBER(资金流水!$B$355),ISNUMBER(资金流水!$S$355),资金流水!$S$355&gt;=_辅助!$J$4,资金流水!$S$355&lt;=_辅助!$J$2,OR(资金流水!$C$355=$C$18,AND(资金流水!$AD$355=$C$18,资金流水!$X$355="账户互转"),AND($E$18&lt;&gt;"",资金流水!$J$355=$E$18,资金流水!$X$355="应付职工薪酬"))),INT(资金流水!$B$355)*10000+350,"")</f>
      </c>
    </row>
    <row r="356">
      <c r="A356" s="94">
        <f>IF($X356=0,"",336)</f>
      </c>
      <c r="B356" s="95">
        <f t="shared" si="1"/>
      </c>
      <c r="C356" s="96">
        <f t="shared" si="10"/>
      </c>
      <c r="D356" s="21">
        <f t="shared" si="12"/>
      </c>
      <c r="E356" s="21">
        <f t="shared" si="14"/>
      </c>
      <c r="F356" s="21">
        <f t="shared" si="16"/>
      </c>
      <c r="G356" s="21">
        <f t="shared" si="18"/>
      </c>
      <c r="H356" s="21">
        <f t="shared" si="20"/>
      </c>
      <c r="I356" s="21">
        <f t="shared" si="22"/>
      </c>
      <c r="J356" s="94">
        <f t="shared" si="24"/>
      </c>
      <c r="K356" s="94">
        <f t="shared" si="26"/>
      </c>
      <c r="L356" s="94">
        <f t="shared" si="28"/>
      </c>
      <c r="M356" s="96">
        <f t="shared" si="29"/>
      </c>
      <c r="X356" s="2">
        <f>IF(336&gt;$AA$5,0,MOD(SMALL($AA$6:$AA$2005,336),10000))</f>
        <v>0</v>
      </c>
      <c r="AA356" s="2">
        <f>IF(AND(ISNUMBER(资金流水!$B$356),ISNUMBER(资金流水!$S$356),资金流水!$S$356&gt;=_辅助!$J$4,资金流水!$S$356&lt;=_辅助!$J$2,OR(资金流水!$C$356=$C$18,AND(资金流水!$AD$356=$C$18,资金流水!$X$356="账户互转"),AND($E$18&lt;&gt;"",资金流水!$J$356=$E$18,资金流水!$X$356="应付职工薪酬"))),INT(资金流水!$B$356)*10000+351,"")</f>
      </c>
    </row>
    <row r="357">
      <c r="A357" s="94">
        <f>IF($X357=0,"",337)</f>
      </c>
      <c r="B357" s="95">
        <f t="shared" si="1"/>
      </c>
      <c r="C357" s="96">
        <f t="shared" si="10"/>
      </c>
      <c r="D357" s="21">
        <f t="shared" si="12"/>
      </c>
      <c r="E357" s="21">
        <f t="shared" si="14"/>
      </c>
      <c r="F357" s="21">
        <f t="shared" si="16"/>
      </c>
      <c r="G357" s="21">
        <f t="shared" si="18"/>
      </c>
      <c r="H357" s="21">
        <f t="shared" si="20"/>
      </c>
      <c r="I357" s="21">
        <f t="shared" si="22"/>
      </c>
      <c r="J357" s="94">
        <f t="shared" si="24"/>
      </c>
      <c r="K357" s="94">
        <f t="shared" si="26"/>
      </c>
      <c r="L357" s="94">
        <f t="shared" si="28"/>
      </c>
      <c r="M357" s="96">
        <f t="shared" si="29"/>
      </c>
      <c r="X357" s="2">
        <f>IF(337&gt;$AA$5,0,MOD(SMALL($AA$6:$AA$2005,337),10000))</f>
        <v>0</v>
      </c>
      <c r="AA357" s="2">
        <f>IF(AND(ISNUMBER(资金流水!$B$357),ISNUMBER(资金流水!$S$357),资金流水!$S$357&gt;=_辅助!$J$4,资金流水!$S$357&lt;=_辅助!$J$2,OR(资金流水!$C$357=$C$18,AND(资金流水!$AD$357=$C$18,资金流水!$X$357="账户互转"),AND($E$18&lt;&gt;"",资金流水!$J$357=$E$18,资金流水!$X$357="应付职工薪酬"))),INT(资金流水!$B$357)*10000+352,"")</f>
      </c>
    </row>
    <row r="358">
      <c r="A358" s="94">
        <f>IF($X358=0,"",338)</f>
      </c>
      <c r="B358" s="95">
        <f t="shared" si="1"/>
      </c>
      <c r="C358" s="96">
        <f t="shared" si="10"/>
      </c>
      <c r="D358" s="21">
        <f t="shared" si="12"/>
      </c>
      <c r="E358" s="21">
        <f t="shared" si="14"/>
      </c>
      <c r="F358" s="21">
        <f t="shared" si="16"/>
      </c>
      <c r="G358" s="21">
        <f t="shared" si="18"/>
      </c>
      <c r="H358" s="21">
        <f t="shared" si="20"/>
      </c>
      <c r="I358" s="21">
        <f t="shared" si="22"/>
      </c>
      <c r="J358" s="94">
        <f t="shared" si="24"/>
      </c>
      <c r="K358" s="94">
        <f t="shared" si="26"/>
      </c>
      <c r="L358" s="94">
        <f t="shared" si="28"/>
      </c>
      <c r="M358" s="96">
        <f t="shared" si="29"/>
      </c>
      <c r="X358" s="2">
        <f>IF(338&gt;$AA$5,0,MOD(SMALL($AA$6:$AA$2005,338),10000))</f>
        <v>0</v>
      </c>
      <c r="AA358" s="2">
        <f>IF(AND(ISNUMBER(资金流水!$B$358),ISNUMBER(资金流水!$S$358),资金流水!$S$358&gt;=_辅助!$J$4,资金流水!$S$358&lt;=_辅助!$J$2,OR(资金流水!$C$358=$C$18,AND(资金流水!$AD$358=$C$18,资金流水!$X$358="账户互转"),AND($E$18&lt;&gt;"",资金流水!$J$358=$E$18,资金流水!$X$358="应付职工薪酬"))),INT(资金流水!$B$358)*10000+353,"")</f>
      </c>
    </row>
    <row r="359">
      <c r="A359" s="94">
        <f>IF($X359=0,"",339)</f>
      </c>
      <c r="B359" s="95">
        <f t="shared" si="1"/>
      </c>
      <c r="C359" s="96">
        <f t="shared" si="10"/>
      </c>
      <c r="D359" s="21">
        <f t="shared" si="12"/>
      </c>
      <c r="E359" s="21">
        <f t="shared" si="14"/>
      </c>
      <c r="F359" s="21">
        <f t="shared" si="16"/>
      </c>
      <c r="G359" s="21">
        <f t="shared" si="18"/>
      </c>
      <c r="H359" s="21">
        <f t="shared" si="20"/>
      </c>
      <c r="I359" s="21">
        <f t="shared" si="22"/>
      </c>
      <c r="J359" s="94">
        <f t="shared" si="24"/>
      </c>
      <c r="K359" s="94">
        <f t="shared" si="26"/>
      </c>
      <c r="L359" s="94">
        <f t="shared" si="28"/>
      </c>
      <c r="M359" s="96">
        <f t="shared" si="29"/>
      </c>
      <c r="X359" s="2">
        <f>IF(339&gt;$AA$5,0,MOD(SMALL($AA$6:$AA$2005,339),10000))</f>
        <v>0</v>
      </c>
      <c r="AA359" s="2">
        <f>IF(AND(ISNUMBER(资金流水!$B$359),ISNUMBER(资金流水!$S$359),资金流水!$S$359&gt;=_辅助!$J$4,资金流水!$S$359&lt;=_辅助!$J$2,OR(资金流水!$C$359=$C$18,AND(资金流水!$AD$359=$C$18,资金流水!$X$359="账户互转"),AND($E$18&lt;&gt;"",资金流水!$J$359=$E$18,资金流水!$X$359="应付职工薪酬"))),INT(资金流水!$B$359)*10000+354,"")</f>
      </c>
    </row>
    <row r="360">
      <c r="A360" s="94">
        <f>IF($X360=0,"",340)</f>
      </c>
      <c r="B360" s="95">
        <f t="shared" si="1"/>
      </c>
      <c r="C360" s="96">
        <f t="shared" si="10"/>
      </c>
      <c r="D360" s="21">
        <f t="shared" si="12"/>
      </c>
      <c r="E360" s="21">
        <f t="shared" si="14"/>
      </c>
      <c r="F360" s="21">
        <f t="shared" si="16"/>
      </c>
      <c r="G360" s="21">
        <f t="shared" si="18"/>
      </c>
      <c r="H360" s="21">
        <f t="shared" si="20"/>
      </c>
      <c r="I360" s="21">
        <f t="shared" si="22"/>
      </c>
      <c r="J360" s="94">
        <f t="shared" si="24"/>
      </c>
      <c r="K360" s="94">
        <f t="shared" si="26"/>
      </c>
      <c r="L360" s="94">
        <f t="shared" si="28"/>
      </c>
      <c r="M360" s="96">
        <f t="shared" si="29"/>
      </c>
      <c r="X360" s="2">
        <f>IF(340&gt;$AA$5,0,MOD(SMALL($AA$6:$AA$2005,340),10000))</f>
        <v>0</v>
      </c>
      <c r="AA360" s="2">
        <f>IF(AND(ISNUMBER(资金流水!$B$360),ISNUMBER(资金流水!$S$360),资金流水!$S$360&gt;=_辅助!$J$4,资金流水!$S$360&lt;=_辅助!$J$2,OR(资金流水!$C$360=$C$18,AND(资金流水!$AD$360=$C$18,资金流水!$X$360="账户互转"),AND($E$18&lt;&gt;"",资金流水!$J$360=$E$18,资金流水!$X$360="应付职工薪酬"))),INT(资金流水!$B$360)*10000+355,"")</f>
      </c>
    </row>
    <row r="361">
      <c r="A361" s="94">
        <f>IF($X361=0,"",341)</f>
      </c>
      <c r="B361" s="95">
        <f t="shared" si="1"/>
      </c>
      <c r="C361" s="96">
        <f t="shared" si="10"/>
      </c>
      <c r="D361" s="21">
        <f t="shared" si="12"/>
      </c>
      <c r="E361" s="21">
        <f t="shared" si="14"/>
      </c>
      <c r="F361" s="21">
        <f t="shared" si="16"/>
      </c>
      <c r="G361" s="21">
        <f t="shared" si="18"/>
      </c>
      <c r="H361" s="21">
        <f t="shared" si="20"/>
      </c>
      <c r="I361" s="21">
        <f t="shared" si="22"/>
      </c>
      <c r="J361" s="94">
        <f t="shared" si="24"/>
      </c>
      <c r="K361" s="94">
        <f t="shared" si="26"/>
      </c>
      <c r="L361" s="94">
        <f t="shared" si="28"/>
      </c>
      <c r="M361" s="96">
        <f t="shared" si="29"/>
      </c>
      <c r="X361" s="2">
        <f>IF(341&gt;$AA$5,0,MOD(SMALL($AA$6:$AA$2005,341),10000))</f>
        <v>0</v>
      </c>
      <c r="AA361" s="2">
        <f>IF(AND(ISNUMBER(资金流水!$B$361),ISNUMBER(资金流水!$S$361),资金流水!$S$361&gt;=_辅助!$J$4,资金流水!$S$361&lt;=_辅助!$J$2,OR(资金流水!$C$361=$C$18,AND(资金流水!$AD$361=$C$18,资金流水!$X$361="账户互转"),AND($E$18&lt;&gt;"",资金流水!$J$361=$E$18,资金流水!$X$361="应付职工薪酬"))),INT(资金流水!$B$361)*10000+356,"")</f>
      </c>
    </row>
    <row r="362">
      <c r="A362" s="94">
        <f>IF($X362=0,"",342)</f>
      </c>
      <c r="B362" s="95">
        <f t="shared" si="1"/>
      </c>
      <c r="C362" s="96">
        <f t="shared" si="10"/>
      </c>
      <c r="D362" s="21">
        <f t="shared" si="12"/>
      </c>
      <c r="E362" s="21">
        <f t="shared" si="14"/>
      </c>
      <c r="F362" s="21">
        <f t="shared" si="16"/>
      </c>
      <c r="G362" s="21">
        <f t="shared" si="18"/>
      </c>
      <c r="H362" s="21">
        <f t="shared" si="20"/>
      </c>
      <c r="I362" s="21">
        <f t="shared" si="22"/>
      </c>
      <c r="J362" s="94">
        <f t="shared" si="24"/>
      </c>
      <c r="K362" s="94">
        <f t="shared" si="26"/>
      </c>
      <c r="L362" s="94">
        <f t="shared" si="28"/>
      </c>
      <c r="M362" s="96">
        <f t="shared" si="29"/>
      </c>
      <c r="X362" s="2">
        <f>IF(342&gt;$AA$5,0,MOD(SMALL($AA$6:$AA$2005,342),10000))</f>
        <v>0</v>
      </c>
      <c r="AA362" s="2">
        <f>IF(AND(ISNUMBER(资金流水!$B$362),ISNUMBER(资金流水!$S$362),资金流水!$S$362&gt;=_辅助!$J$4,资金流水!$S$362&lt;=_辅助!$J$2,OR(资金流水!$C$362=$C$18,AND(资金流水!$AD$362=$C$18,资金流水!$X$362="账户互转"),AND($E$18&lt;&gt;"",资金流水!$J$362=$E$18,资金流水!$X$362="应付职工薪酬"))),INT(资金流水!$B$362)*10000+357,"")</f>
      </c>
    </row>
    <row r="363">
      <c r="A363" s="94">
        <f>IF($X363=0,"",343)</f>
      </c>
      <c r="B363" s="95">
        <f t="shared" si="1"/>
      </c>
      <c r="C363" s="96">
        <f t="shared" si="10"/>
      </c>
      <c r="D363" s="21">
        <f t="shared" si="12"/>
      </c>
      <c r="E363" s="21">
        <f t="shared" si="14"/>
      </c>
      <c r="F363" s="21">
        <f t="shared" si="16"/>
      </c>
      <c r="G363" s="21">
        <f t="shared" si="18"/>
      </c>
      <c r="H363" s="21">
        <f t="shared" si="20"/>
      </c>
      <c r="I363" s="21">
        <f t="shared" si="22"/>
      </c>
      <c r="J363" s="94">
        <f t="shared" si="24"/>
      </c>
      <c r="K363" s="94">
        <f t="shared" si="26"/>
      </c>
      <c r="L363" s="94">
        <f t="shared" si="28"/>
      </c>
      <c r="M363" s="96">
        <f t="shared" si="29"/>
      </c>
      <c r="X363" s="2">
        <f>IF(343&gt;$AA$5,0,MOD(SMALL($AA$6:$AA$2005,343),10000))</f>
        <v>0</v>
      </c>
      <c r="AA363" s="2">
        <f>IF(AND(ISNUMBER(资金流水!$B$363),ISNUMBER(资金流水!$S$363),资金流水!$S$363&gt;=_辅助!$J$4,资金流水!$S$363&lt;=_辅助!$J$2,OR(资金流水!$C$363=$C$18,AND(资金流水!$AD$363=$C$18,资金流水!$X$363="账户互转"),AND($E$18&lt;&gt;"",资金流水!$J$363=$E$18,资金流水!$X$363="应付职工薪酬"))),INT(资金流水!$B$363)*10000+358,"")</f>
      </c>
    </row>
    <row r="364">
      <c r="A364" s="94">
        <f>IF($X364=0,"",344)</f>
      </c>
      <c r="B364" s="95">
        <f t="shared" si="1"/>
      </c>
      <c r="C364" s="96">
        <f t="shared" si="10"/>
      </c>
      <c r="D364" s="21">
        <f t="shared" si="12"/>
      </c>
      <c r="E364" s="21">
        <f t="shared" si="14"/>
      </c>
      <c r="F364" s="21">
        <f t="shared" si="16"/>
      </c>
      <c r="G364" s="21">
        <f t="shared" si="18"/>
      </c>
      <c r="H364" s="21">
        <f t="shared" si="20"/>
      </c>
      <c r="I364" s="21">
        <f t="shared" si="22"/>
      </c>
      <c r="J364" s="94">
        <f t="shared" si="24"/>
      </c>
      <c r="K364" s="94">
        <f t="shared" si="26"/>
      </c>
      <c r="L364" s="94">
        <f t="shared" si="28"/>
      </c>
      <c r="M364" s="96">
        <f t="shared" si="29"/>
      </c>
      <c r="X364" s="2">
        <f>IF(344&gt;$AA$5,0,MOD(SMALL($AA$6:$AA$2005,344),10000))</f>
        <v>0</v>
      </c>
      <c r="AA364" s="2">
        <f>IF(AND(ISNUMBER(资金流水!$B$364),ISNUMBER(资金流水!$S$364),资金流水!$S$364&gt;=_辅助!$J$4,资金流水!$S$364&lt;=_辅助!$J$2,OR(资金流水!$C$364=$C$18,AND(资金流水!$AD$364=$C$18,资金流水!$X$364="账户互转"),AND($E$18&lt;&gt;"",资金流水!$J$364=$E$18,资金流水!$X$364="应付职工薪酬"))),INT(资金流水!$B$364)*10000+359,"")</f>
      </c>
    </row>
    <row r="365">
      <c r="A365" s="94">
        <f>IF($X365=0,"",345)</f>
      </c>
      <c r="B365" s="95">
        <f t="shared" si="1"/>
      </c>
      <c r="C365" s="96">
        <f t="shared" si="10"/>
      </c>
      <c r="D365" s="21">
        <f t="shared" si="12"/>
      </c>
      <c r="E365" s="21">
        <f t="shared" si="14"/>
      </c>
      <c r="F365" s="21">
        <f t="shared" si="16"/>
      </c>
      <c r="G365" s="21">
        <f t="shared" si="18"/>
      </c>
      <c r="H365" s="21">
        <f t="shared" si="20"/>
      </c>
      <c r="I365" s="21">
        <f t="shared" si="22"/>
      </c>
      <c r="J365" s="94">
        <f t="shared" si="24"/>
      </c>
      <c r="K365" s="94">
        <f t="shared" si="26"/>
      </c>
      <c r="L365" s="94">
        <f t="shared" si="28"/>
      </c>
      <c r="M365" s="96">
        <f t="shared" si="29"/>
      </c>
      <c r="X365" s="2">
        <f>IF(345&gt;$AA$5,0,MOD(SMALL($AA$6:$AA$2005,345),10000))</f>
        <v>0</v>
      </c>
      <c r="AA365" s="2">
        <f>IF(AND(ISNUMBER(资金流水!$B$365),ISNUMBER(资金流水!$S$365),资金流水!$S$365&gt;=_辅助!$J$4,资金流水!$S$365&lt;=_辅助!$J$2,OR(资金流水!$C$365=$C$18,AND(资金流水!$AD$365=$C$18,资金流水!$X$365="账户互转"),AND($E$18&lt;&gt;"",资金流水!$J$365=$E$18,资金流水!$X$365="应付职工薪酬"))),INT(资金流水!$B$365)*10000+360,"")</f>
      </c>
    </row>
    <row r="366">
      <c r="A366" s="94">
        <f>IF($X366=0,"",346)</f>
      </c>
      <c r="B366" s="95">
        <f t="shared" si="1"/>
      </c>
      <c r="C366" s="96">
        <f t="shared" si="10"/>
      </c>
      <c r="D366" s="21">
        <f t="shared" si="12"/>
      </c>
      <c r="E366" s="21">
        <f t="shared" si="14"/>
      </c>
      <c r="F366" s="21">
        <f t="shared" si="16"/>
      </c>
      <c r="G366" s="21">
        <f t="shared" si="18"/>
      </c>
      <c r="H366" s="21">
        <f t="shared" si="20"/>
      </c>
      <c r="I366" s="21">
        <f t="shared" si="22"/>
      </c>
      <c r="J366" s="94">
        <f t="shared" si="24"/>
      </c>
      <c r="K366" s="94">
        <f t="shared" si="26"/>
      </c>
      <c r="L366" s="94">
        <f t="shared" si="28"/>
      </c>
      <c r="M366" s="96">
        <f t="shared" si="29"/>
      </c>
      <c r="X366" s="2">
        <f>IF(346&gt;$AA$5,0,MOD(SMALL($AA$6:$AA$2005,346),10000))</f>
        <v>0</v>
      </c>
      <c r="AA366" s="2">
        <f>IF(AND(ISNUMBER(资金流水!$B$366),ISNUMBER(资金流水!$S$366),资金流水!$S$366&gt;=_辅助!$J$4,资金流水!$S$366&lt;=_辅助!$J$2,OR(资金流水!$C$366=$C$18,AND(资金流水!$AD$366=$C$18,资金流水!$X$366="账户互转"),AND($E$18&lt;&gt;"",资金流水!$J$366=$E$18,资金流水!$X$366="应付职工薪酬"))),INT(资金流水!$B$366)*10000+361,"")</f>
      </c>
    </row>
    <row r="367">
      <c r="A367" s="94">
        <f>IF($X367=0,"",347)</f>
      </c>
      <c r="B367" s="95">
        <f t="shared" si="1"/>
      </c>
      <c r="C367" s="96">
        <f t="shared" si="10"/>
      </c>
      <c r="D367" s="21">
        <f t="shared" si="12"/>
      </c>
      <c r="E367" s="21">
        <f t="shared" si="14"/>
      </c>
      <c r="F367" s="21">
        <f t="shared" si="16"/>
      </c>
      <c r="G367" s="21">
        <f t="shared" si="18"/>
      </c>
      <c r="H367" s="21">
        <f t="shared" si="20"/>
      </c>
      <c r="I367" s="21">
        <f t="shared" si="22"/>
      </c>
      <c r="J367" s="94">
        <f t="shared" si="24"/>
      </c>
      <c r="K367" s="94">
        <f t="shared" si="26"/>
      </c>
      <c r="L367" s="94">
        <f t="shared" si="28"/>
      </c>
      <c r="M367" s="96">
        <f t="shared" si="29"/>
      </c>
      <c r="X367" s="2">
        <f>IF(347&gt;$AA$5,0,MOD(SMALL($AA$6:$AA$2005,347),10000))</f>
        <v>0</v>
      </c>
      <c r="AA367" s="2">
        <f>IF(AND(ISNUMBER(资金流水!$B$367),ISNUMBER(资金流水!$S$367),资金流水!$S$367&gt;=_辅助!$J$4,资金流水!$S$367&lt;=_辅助!$J$2,OR(资金流水!$C$367=$C$18,AND(资金流水!$AD$367=$C$18,资金流水!$X$367="账户互转"),AND($E$18&lt;&gt;"",资金流水!$J$367=$E$18,资金流水!$X$367="应付职工薪酬"))),INT(资金流水!$B$367)*10000+362,"")</f>
      </c>
    </row>
    <row r="368">
      <c r="A368" s="94">
        <f>IF($X368=0,"",348)</f>
      </c>
      <c r="B368" s="95">
        <f t="shared" si="1"/>
      </c>
      <c r="C368" s="96">
        <f t="shared" si="10"/>
      </c>
      <c r="D368" s="21">
        <f t="shared" si="12"/>
      </c>
      <c r="E368" s="21">
        <f t="shared" si="14"/>
      </c>
      <c r="F368" s="21">
        <f t="shared" si="16"/>
      </c>
      <c r="G368" s="21">
        <f t="shared" si="18"/>
      </c>
      <c r="H368" s="21">
        <f t="shared" si="20"/>
      </c>
      <c r="I368" s="21">
        <f t="shared" si="22"/>
      </c>
      <c r="J368" s="94">
        <f t="shared" si="24"/>
      </c>
      <c r="K368" s="94">
        <f t="shared" si="26"/>
      </c>
      <c r="L368" s="94">
        <f t="shared" si="28"/>
      </c>
      <c r="M368" s="96">
        <f t="shared" si="29"/>
      </c>
      <c r="X368" s="2">
        <f>IF(348&gt;$AA$5,0,MOD(SMALL($AA$6:$AA$2005,348),10000))</f>
        <v>0</v>
      </c>
      <c r="AA368" s="2">
        <f>IF(AND(ISNUMBER(资金流水!$B$368),ISNUMBER(资金流水!$S$368),资金流水!$S$368&gt;=_辅助!$J$4,资金流水!$S$368&lt;=_辅助!$J$2,OR(资金流水!$C$368=$C$18,AND(资金流水!$AD$368=$C$18,资金流水!$X$368="账户互转"),AND($E$18&lt;&gt;"",资金流水!$J$368=$E$18,资金流水!$X$368="应付职工薪酬"))),INT(资金流水!$B$368)*10000+363,"")</f>
      </c>
    </row>
    <row r="369">
      <c r="A369" s="94">
        <f>IF($X369=0,"",349)</f>
      </c>
      <c r="B369" s="95">
        <f t="shared" si="1"/>
      </c>
      <c r="C369" s="96">
        <f t="shared" si="10"/>
      </c>
      <c r="D369" s="21">
        <f t="shared" si="12"/>
      </c>
      <c r="E369" s="21">
        <f t="shared" si="14"/>
      </c>
      <c r="F369" s="21">
        <f t="shared" si="16"/>
      </c>
      <c r="G369" s="21">
        <f t="shared" si="18"/>
      </c>
      <c r="H369" s="21">
        <f t="shared" si="20"/>
      </c>
      <c r="I369" s="21">
        <f t="shared" si="22"/>
      </c>
      <c r="J369" s="94">
        <f t="shared" si="24"/>
      </c>
      <c r="K369" s="94">
        <f t="shared" si="26"/>
      </c>
      <c r="L369" s="94">
        <f t="shared" si="28"/>
      </c>
      <c r="M369" s="96">
        <f t="shared" si="29"/>
      </c>
      <c r="X369" s="2">
        <f>IF(349&gt;$AA$5,0,MOD(SMALL($AA$6:$AA$2005,349),10000))</f>
        <v>0</v>
      </c>
      <c r="AA369" s="2">
        <f>IF(AND(ISNUMBER(资金流水!$B$369),ISNUMBER(资金流水!$S$369),资金流水!$S$369&gt;=_辅助!$J$4,资金流水!$S$369&lt;=_辅助!$J$2,OR(资金流水!$C$369=$C$18,AND(资金流水!$AD$369=$C$18,资金流水!$X$369="账户互转"),AND($E$18&lt;&gt;"",资金流水!$J$369=$E$18,资金流水!$X$369="应付职工薪酬"))),INT(资金流水!$B$369)*10000+364,"")</f>
      </c>
    </row>
    <row r="370">
      <c r="A370" s="94">
        <f>IF($X370=0,"",350)</f>
      </c>
      <c r="B370" s="95">
        <f t="shared" si="1"/>
      </c>
      <c r="C370" s="96">
        <f t="shared" si="10"/>
      </c>
      <c r="D370" s="21">
        <f t="shared" si="12"/>
      </c>
      <c r="E370" s="21">
        <f t="shared" si="14"/>
      </c>
      <c r="F370" s="21">
        <f t="shared" si="16"/>
      </c>
      <c r="G370" s="21">
        <f t="shared" si="18"/>
      </c>
      <c r="H370" s="21">
        <f t="shared" si="20"/>
      </c>
      <c r="I370" s="21">
        <f t="shared" si="22"/>
      </c>
      <c r="J370" s="94">
        <f t="shared" si="24"/>
      </c>
      <c r="K370" s="94">
        <f t="shared" si="26"/>
      </c>
      <c r="L370" s="94">
        <f t="shared" si="28"/>
      </c>
      <c r="M370" s="96">
        <f t="shared" si="29"/>
      </c>
      <c r="X370" s="2">
        <f>IF(350&gt;$AA$5,0,MOD(SMALL($AA$6:$AA$2005,350),10000))</f>
        <v>0</v>
      </c>
      <c r="AA370" s="2">
        <f>IF(AND(ISNUMBER(资金流水!$B$370),ISNUMBER(资金流水!$S$370),资金流水!$S$370&gt;=_辅助!$J$4,资金流水!$S$370&lt;=_辅助!$J$2,OR(资金流水!$C$370=$C$18,AND(资金流水!$AD$370=$C$18,资金流水!$X$370="账户互转"),AND($E$18&lt;&gt;"",资金流水!$J$370=$E$18,资金流水!$X$370="应付职工薪酬"))),INT(资金流水!$B$370)*10000+365,"")</f>
      </c>
    </row>
    <row r="371">
      <c r="A371" s="94">
        <f>IF($X371=0,"",351)</f>
      </c>
      <c r="B371" s="95">
        <f t="shared" si="1"/>
      </c>
      <c r="C371" s="96">
        <f t="shared" si="10"/>
      </c>
      <c r="D371" s="21">
        <f t="shared" si="12"/>
      </c>
      <c r="E371" s="21">
        <f t="shared" si="14"/>
      </c>
      <c r="F371" s="21">
        <f t="shared" si="16"/>
      </c>
      <c r="G371" s="21">
        <f t="shared" si="18"/>
      </c>
      <c r="H371" s="21">
        <f t="shared" si="20"/>
      </c>
      <c r="I371" s="21">
        <f t="shared" si="22"/>
      </c>
      <c r="J371" s="94">
        <f t="shared" si="24"/>
      </c>
      <c r="K371" s="94">
        <f t="shared" si="26"/>
      </c>
      <c r="L371" s="94">
        <f t="shared" si="28"/>
      </c>
      <c r="M371" s="96">
        <f t="shared" si="29"/>
      </c>
      <c r="X371" s="2">
        <f>IF(351&gt;$AA$5,0,MOD(SMALL($AA$6:$AA$2005,351),10000))</f>
        <v>0</v>
      </c>
      <c r="AA371" s="2">
        <f>IF(AND(ISNUMBER(资金流水!$B$371),ISNUMBER(资金流水!$S$371),资金流水!$S$371&gt;=_辅助!$J$4,资金流水!$S$371&lt;=_辅助!$J$2,OR(资金流水!$C$371=$C$18,AND(资金流水!$AD$371=$C$18,资金流水!$X$371="账户互转"),AND($E$18&lt;&gt;"",资金流水!$J$371=$E$18,资金流水!$X$371="应付职工薪酬"))),INT(资金流水!$B$371)*10000+366,"")</f>
      </c>
    </row>
    <row r="372">
      <c r="A372" s="94">
        <f>IF($X372=0,"",352)</f>
      </c>
      <c r="B372" s="95">
        <f t="shared" si="1"/>
      </c>
      <c r="C372" s="96">
        <f t="shared" si="10"/>
      </c>
      <c r="D372" s="21">
        <f t="shared" si="12"/>
      </c>
      <c r="E372" s="21">
        <f t="shared" si="14"/>
      </c>
      <c r="F372" s="21">
        <f t="shared" si="16"/>
      </c>
      <c r="G372" s="21">
        <f t="shared" si="18"/>
      </c>
      <c r="H372" s="21">
        <f t="shared" si="20"/>
      </c>
      <c r="I372" s="21">
        <f t="shared" si="22"/>
      </c>
      <c r="J372" s="94">
        <f t="shared" si="24"/>
      </c>
      <c r="K372" s="94">
        <f t="shared" si="26"/>
      </c>
      <c r="L372" s="94">
        <f t="shared" si="28"/>
      </c>
      <c r="M372" s="96">
        <f t="shared" si="29"/>
      </c>
      <c r="X372" s="2">
        <f>IF(352&gt;$AA$5,0,MOD(SMALL($AA$6:$AA$2005,352),10000))</f>
        <v>0</v>
      </c>
      <c r="AA372" s="2">
        <f>IF(AND(ISNUMBER(资金流水!$B$372),ISNUMBER(资金流水!$S$372),资金流水!$S$372&gt;=_辅助!$J$4,资金流水!$S$372&lt;=_辅助!$J$2,OR(资金流水!$C$372=$C$18,AND(资金流水!$AD$372=$C$18,资金流水!$X$372="账户互转"),AND($E$18&lt;&gt;"",资金流水!$J$372=$E$18,资金流水!$X$372="应付职工薪酬"))),INT(资金流水!$B$372)*10000+367,"")</f>
      </c>
    </row>
    <row r="373">
      <c r="A373" s="94">
        <f>IF($X373=0,"",353)</f>
      </c>
      <c r="B373" s="95">
        <f t="shared" si="1"/>
      </c>
      <c r="C373" s="96">
        <f t="shared" si="10"/>
      </c>
      <c r="D373" s="21">
        <f t="shared" si="12"/>
      </c>
      <c r="E373" s="21">
        <f t="shared" si="14"/>
      </c>
      <c r="F373" s="21">
        <f t="shared" si="16"/>
      </c>
      <c r="G373" s="21">
        <f t="shared" si="18"/>
      </c>
      <c r="H373" s="21">
        <f t="shared" si="20"/>
      </c>
      <c r="I373" s="21">
        <f t="shared" si="22"/>
      </c>
      <c r="J373" s="94">
        <f t="shared" si="24"/>
      </c>
      <c r="K373" s="94">
        <f t="shared" si="26"/>
      </c>
      <c r="L373" s="94">
        <f t="shared" si="28"/>
      </c>
      <c r="M373" s="96">
        <f t="shared" si="29"/>
      </c>
      <c r="X373" s="2">
        <f>IF(353&gt;$AA$5,0,MOD(SMALL($AA$6:$AA$2005,353),10000))</f>
        <v>0</v>
      </c>
      <c r="AA373" s="2">
        <f>IF(AND(ISNUMBER(资金流水!$B$373),ISNUMBER(资金流水!$S$373),资金流水!$S$373&gt;=_辅助!$J$4,资金流水!$S$373&lt;=_辅助!$J$2,OR(资金流水!$C$373=$C$18,AND(资金流水!$AD$373=$C$18,资金流水!$X$373="账户互转"),AND($E$18&lt;&gt;"",资金流水!$J$373=$E$18,资金流水!$X$373="应付职工薪酬"))),INT(资金流水!$B$373)*10000+368,"")</f>
      </c>
    </row>
    <row r="374">
      <c r="A374" s="94">
        <f>IF($X374=0,"",354)</f>
      </c>
      <c r="B374" s="95">
        <f t="shared" si="1"/>
      </c>
      <c r="C374" s="96">
        <f t="shared" si="10"/>
      </c>
      <c r="D374" s="21">
        <f t="shared" si="12"/>
      </c>
      <c r="E374" s="21">
        <f t="shared" si="14"/>
      </c>
      <c r="F374" s="21">
        <f t="shared" si="16"/>
      </c>
      <c r="G374" s="21">
        <f t="shared" si="18"/>
      </c>
      <c r="H374" s="21">
        <f t="shared" si="20"/>
      </c>
      <c r="I374" s="21">
        <f t="shared" si="22"/>
      </c>
      <c r="J374" s="94">
        <f t="shared" si="24"/>
      </c>
      <c r="K374" s="94">
        <f t="shared" si="26"/>
      </c>
      <c r="L374" s="94">
        <f t="shared" si="28"/>
      </c>
      <c r="M374" s="96">
        <f t="shared" si="29"/>
      </c>
      <c r="X374" s="2">
        <f>IF(354&gt;$AA$5,0,MOD(SMALL($AA$6:$AA$2005,354),10000))</f>
        <v>0</v>
      </c>
      <c r="AA374" s="2">
        <f>IF(AND(ISNUMBER(资金流水!$B$374),ISNUMBER(资金流水!$S$374),资金流水!$S$374&gt;=_辅助!$J$4,资金流水!$S$374&lt;=_辅助!$J$2,OR(资金流水!$C$374=$C$18,AND(资金流水!$AD$374=$C$18,资金流水!$X$374="账户互转"),AND($E$18&lt;&gt;"",资金流水!$J$374=$E$18,资金流水!$X$374="应付职工薪酬"))),INT(资金流水!$B$374)*10000+369,"")</f>
      </c>
    </row>
    <row r="375">
      <c r="A375" s="94">
        <f>IF($X375=0,"",355)</f>
      </c>
      <c r="B375" s="95">
        <f t="shared" si="1"/>
      </c>
      <c r="C375" s="96">
        <f t="shared" si="10"/>
      </c>
      <c r="D375" s="21">
        <f t="shared" si="12"/>
      </c>
      <c r="E375" s="21">
        <f t="shared" si="14"/>
      </c>
      <c r="F375" s="21">
        <f t="shared" si="16"/>
      </c>
      <c r="G375" s="21">
        <f t="shared" si="18"/>
      </c>
      <c r="H375" s="21">
        <f t="shared" si="20"/>
      </c>
      <c r="I375" s="21">
        <f t="shared" si="22"/>
      </c>
      <c r="J375" s="94">
        <f t="shared" si="24"/>
      </c>
      <c r="K375" s="94">
        <f t="shared" si="26"/>
      </c>
      <c r="L375" s="94">
        <f t="shared" si="28"/>
      </c>
      <c r="M375" s="96">
        <f t="shared" si="29"/>
      </c>
      <c r="X375" s="2">
        <f>IF(355&gt;$AA$5,0,MOD(SMALL($AA$6:$AA$2005,355),10000))</f>
        <v>0</v>
      </c>
      <c r="AA375" s="2">
        <f>IF(AND(ISNUMBER(资金流水!$B$375),ISNUMBER(资金流水!$S$375),资金流水!$S$375&gt;=_辅助!$J$4,资金流水!$S$375&lt;=_辅助!$J$2,OR(资金流水!$C$375=$C$18,AND(资金流水!$AD$375=$C$18,资金流水!$X$375="账户互转"),AND($E$18&lt;&gt;"",资金流水!$J$375=$E$18,资金流水!$X$375="应付职工薪酬"))),INT(资金流水!$B$375)*10000+370,"")</f>
      </c>
    </row>
    <row r="376">
      <c r="A376" s="94">
        <f>IF($X376=0,"",356)</f>
      </c>
      <c r="B376" s="95">
        <f t="shared" si="1"/>
      </c>
      <c r="C376" s="96">
        <f t="shared" si="10"/>
      </c>
      <c r="D376" s="21">
        <f t="shared" si="12"/>
      </c>
      <c r="E376" s="21">
        <f t="shared" si="14"/>
      </c>
      <c r="F376" s="21">
        <f t="shared" si="16"/>
      </c>
      <c r="G376" s="21">
        <f t="shared" si="18"/>
      </c>
      <c r="H376" s="21">
        <f t="shared" si="20"/>
      </c>
      <c r="I376" s="21">
        <f t="shared" si="22"/>
      </c>
      <c r="J376" s="94">
        <f t="shared" si="24"/>
      </c>
      <c r="K376" s="94">
        <f t="shared" si="26"/>
      </c>
      <c r="L376" s="94">
        <f t="shared" si="28"/>
      </c>
      <c r="M376" s="96">
        <f t="shared" si="29"/>
      </c>
      <c r="X376" s="2">
        <f>IF(356&gt;$AA$5,0,MOD(SMALL($AA$6:$AA$2005,356),10000))</f>
        <v>0</v>
      </c>
      <c r="AA376" s="2">
        <f>IF(AND(ISNUMBER(资金流水!$B$376),ISNUMBER(资金流水!$S$376),资金流水!$S$376&gt;=_辅助!$J$4,资金流水!$S$376&lt;=_辅助!$J$2,OR(资金流水!$C$376=$C$18,AND(资金流水!$AD$376=$C$18,资金流水!$X$376="账户互转"),AND($E$18&lt;&gt;"",资金流水!$J$376=$E$18,资金流水!$X$376="应付职工薪酬"))),INT(资金流水!$B$376)*10000+371,"")</f>
      </c>
    </row>
    <row r="377">
      <c r="A377" s="94">
        <f>IF($X377=0,"",357)</f>
      </c>
      <c r="B377" s="95">
        <f t="shared" si="1"/>
      </c>
      <c r="C377" s="96">
        <f t="shared" si="10"/>
      </c>
      <c r="D377" s="21">
        <f t="shared" si="12"/>
      </c>
      <c r="E377" s="21">
        <f t="shared" si="14"/>
      </c>
      <c r="F377" s="21">
        <f t="shared" si="16"/>
      </c>
      <c r="G377" s="21">
        <f t="shared" si="18"/>
      </c>
      <c r="H377" s="21">
        <f t="shared" si="20"/>
      </c>
      <c r="I377" s="21">
        <f t="shared" si="22"/>
      </c>
      <c r="J377" s="94">
        <f t="shared" si="24"/>
      </c>
      <c r="K377" s="94">
        <f t="shared" si="26"/>
      </c>
      <c r="L377" s="94">
        <f t="shared" si="28"/>
      </c>
      <c r="M377" s="96">
        <f t="shared" si="29"/>
      </c>
      <c r="X377" s="2">
        <f>IF(357&gt;$AA$5,0,MOD(SMALL($AA$6:$AA$2005,357),10000))</f>
        <v>0</v>
      </c>
      <c r="AA377" s="2">
        <f>IF(AND(ISNUMBER(资金流水!$B$377),ISNUMBER(资金流水!$S$377),资金流水!$S$377&gt;=_辅助!$J$4,资金流水!$S$377&lt;=_辅助!$J$2,OR(资金流水!$C$377=$C$18,AND(资金流水!$AD$377=$C$18,资金流水!$X$377="账户互转"),AND($E$18&lt;&gt;"",资金流水!$J$377=$E$18,资金流水!$X$377="应付职工薪酬"))),INT(资金流水!$B$377)*10000+372,"")</f>
      </c>
    </row>
    <row r="378">
      <c r="A378" s="94">
        <f>IF($X378=0,"",358)</f>
      </c>
      <c r="B378" s="95">
        <f t="shared" si="1"/>
      </c>
      <c r="C378" s="96">
        <f t="shared" si="10"/>
      </c>
      <c r="D378" s="21">
        <f t="shared" si="12"/>
      </c>
      <c r="E378" s="21">
        <f t="shared" si="14"/>
      </c>
      <c r="F378" s="21">
        <f t="shared" si="16"/>
      </c>
      <c r="G378" s="21">
        <f t="shared" si="18"/>
      </c>
      <c r="H378" s="21">
        <f t="shared" si="20"/>
      </c>
      <c r="I378" s="21">
        <f t="shared" si="22"/>
      </c>
      <c r="J378" s="94">
        <f t="shared" si="24"/>
      </c>
      <c r="K378" s="94">
        <f t="shared" si="26"/>
      </c>
      <c r="L378" s="94">
        <f t="shared" si="28"/>
      </c>
      <c r="M378" s="96">
        <f t="shared" si="29"/>
      </c>
      <c r="X378" s="2">
        <f>IF(358&gt;$AA$5,0,MOD(SMALL($AA$6:$AA$2005,358),10000))</f>
        <v>0</v>
      </c>
      <c r="AA378" s="2">
        <f>IF(AND(ISNUMBER(资金流水!$B$378),ISNUMBER(资金流水!$S$378),资金流水!$S$378&gt;=_辅助!$J$4,资金流水!$S$378&lt;=_辅助!$J$2,OR(资金流水!$C$378=$C$18,AND(资金流水!$AD$378=$C$18,资金流水!$X$378="账户互转"),AND($E$18&lt;&gt;"",资金流水!$J$378=$E$18,资金流水!$X$378="应付职工薪酬"))),INT(资金流水!$B$378)*10000+373,"")</f>
      </c>
    </row>
    <row r="379">
      <c r="A379" s="94">
        <f>IF($X379=0,"",359)</f>
      </c>
      <c r="B379" s="95">
        <f t="shared" si="1"/>
      </c>
      <c r="C379" s="96">
        <f t="shared" si="10"/>
      </c>
      <c r="D379" s="21">
        <f t="shared" si="12"/>
      </c>
      <c r="E379" s="21">
        <f t="shared" si="14"/>
      </c>
      <c r="F379" s="21">
        <f t="shared" si="16"/>
      </c>
      <c r="G379" s="21">
        <f t="shared" si="18"/>
      </c>
      <c r="H379" s="21">
        <f t="shared" si="20"/>
      </c>
      <c r="I379" s="21">
        <f t="shared" si="22"/>
      </c>
      <c r="J379" s="94">
        <f t="shared" si="24"/>
      </c>
      <c r="K379" s="94">
        <f t="shared" si="26"/>
      </c>
      <c r="L379" s="94">
        <f t="shared" si="28"/>
      </c>
      <c r="M379" s="96">
        <f t="shared" si="29"/>
      </c>
      <c r="X379" s="2">
        <f>IF(359&gt;$AA$5,0,MOD(SMALL($AA$6:$AA$2005,359),10000))</f>
        <v>0</v>
      </c>
      <c r="AA379" s="2">
        <f>IF(AND(ISNUMBER(资金流水!$B$379),ISNUMBER(资金流水!$S$379),资金流水!$S$379&gt;=_辅助!$J$4,资金流水!$S$379&lt;=_辅助!$J$2,OR(资金流水!$C$379=$C$18,AND(资金流水!$AD$379=$C$18,资金流水!$X$379="账户互转"),AND($E$18&lt;&gt;"",资金流水!$J$379=$E$18,资金流水!$X$379="应付职工薪酬"))),INT(资金流水!$B$379)*10000+374,"")</f>
      </c>
    </row>
    <row r="380">
      <c r="A380" s="94">
        <f>IF($X380=0,"",360)</f>
      </c>
      <c r="B380" s="95">
        <f t="shared" si="1"/>
      </c>
      <c r="C380" s="96">
        <f t="shared" si="10"/>
      </c>
      <c r="D380" s="21">
        <f t="shared" si="12"/>
      </c>
      <c r="E380" s="21">
        <f t="shared" si="14"/>
      </c>
      <c r="F380" s="21">
        <f t="shared" si="16"/>
      </c>
      <c r="G380" s="21">
        <f t="shared" si="18"/>
      </c>
      <c r="H380" s="21">
        <f t="shared" si="20"/>
      </c>
      <c r="I380" s="21">
        <f t="shared" si="22"/>
      </c>
      <c r="J380" s="94">
        <f t="shared" si="24"/>
      </c>
      <c r="K380" s="94">
        <f t="shared" si="26"/>
      </c>
      <c r="L380" s="94">
        <f t="shared" si="28"/>
      </c>
      <c r="M380" s="96">
        <f t="shared" si="29"/>
      </c>
      <c r="X380" s="2">
        <f>IF(360&gt;$AA$5,0,MOD(SMALL($AA$6:$AA$2005,360),10000))</f>
        <v>0</v>
      </c>
      <c r="AA380" s="2">
        <f>IF(AND(ISNUMBER(资金流水!$B$380),ISNUMBER(资金流水!$S$380),资金流水!$S$380&gt;=_辅助!$J$4,资金流水!$S$380&lt;=_辅助!$J$2,OR(资金流水!$C$380=$C$18,AND(资金流水!$AD$380=$C$18,资金流水!$X$380="账户互转"),AND($E$18&lt;&gt;"",资金流水!$J$380=$E$18,资金流水!$X$380="应付职工薪酬"))),INT(资金流水!$B$380)*10000+375,"")</f>
      </c>
    </row>
    <row r="381">
      <c r="A381" s="94">
        <f>IF($X381=0,"",361)</f>
      </c>
      <c r="B381" s="95">
        <f t="shared" si="1"/>
      </c>
      <c r="C381" s="96">
        <f t="shared" si="10"/>
      </c>
      <c r="D381" s="21">
        <f t="shared" si="12"/>
      </c>
      <c r="E381" s="21">
        <f t="shared" si="14"/>
      </c>
      <c r="F381" s="21">
        <f t="shared" si="16"/>
      </c>
      <c r="G381" s="21">
        <f t="shared" si="18"/>
      </c>
      <c r="H381" s="21">
        <f t="shared" si="20"/>
      </c>
      <c r="I381" s="21">
        <f t="shared" si="22"/>
      </c>
      <c r="J381" s="94">
        <f t="shared" si="24"/>
      </c>
      <c r="K381" s="94">
        <f t="shared" si="26"/>
      </c>
      <c r="L381" s="94">
        <f t="shared" si="28"/>
      </c>
      <c r="M381" s="96">
        <f t="shared" si="29"/>
      </c>
      <c r="X381" s="2">
        <f>IF(361&gt;$AA$5,0,MOD(SMALL($AA$6:$AA$2005,361),10000))</f>
        <v>0</v>
      </c>
      <c r="AA381" s="2">
        <f>IF(AND(ISNUMBER(资金流水!$B$381),ISNUMBER(资金流水!$S$381),资金流水!$S$381&gt;=_辅助!$J$4,资金流水!$S$381&lt;=_辅助!$J$2,OR(资金流水!$C$381=$C$18,AND(资金流水!$AD$381=$C$18,资金流水!$X$381="账户互转"),AND($E$18&lt;&gt;"",资金流水!$J$381=$E$18,资金流水!$X$381="应付职工薪酬"))),INT(资金流水!$B$381)*10000+376,"")</f>
      </c>
    </row>
    <row r="382">
      <c r="A382" s="94">
        <f>IF($X382=0,"",362)</f>
      </c>
      <c r="B382" s="95">
        <f t="shared" si="1"/>
      </c>
      <c r="C382" s="96">
        <f t="shared" si="10"/>
      </c>
      <c r="D382" s="21">
        <f t="shared" si="12"/>
      </c>
      <c r="E382" s="21">
        <f t="shared" si="14"/>
      </c>
      <c r="F382" s="21">
        <f t="shared" si="16"/>
      </c>
      <c r="G382" s="21">
        <f t="shared" si="18"/>
      </c>
      <c r="H382" s="21">
        <f t="shared" si="20"/>
      </c>
      <c r="I382" s="21">
        <f t="shared" si="22"/>
      </c>
      <c r="J382" s="94">
        <f t="shared" si="24"/>
      </c>
      <c r="K382" s="94">
        <f t="shared" si="26"/>
      </c>
      <c r="L382" s="94">
        <f t="shared" si="28"/>
      </c>
      <c r="M382" s="96">
        <f t="shared" si="29"/>
      </c>
      <c r="X382" s="2">
        <f>IF(362&gt;$AA$5,0,MOD(SMALL($AA$6:$AA$2005,362),10000))</f>
        <v>0</v>
      </c>
      <c r="AA382" s="2">
        <f>IF(AND(ISNUMBER(资金流水!$B$382),ISNUMBER(资金流水!$S$382),资金流水!$S$382&gt;=_辅助!$J$4,资金流水!$S$382&lt;=_辅助!$J$2,OR(资金流水!$C$382=$C$18,AND(资金流水!$AD$382=$C$18,资金流水!$X$382="账户互转"),AND($E$18&lt;&gt;"",资金流水!$J$382=$E$18,资金流水!$X$382="应付职工薪酬"))),INT(资金流水!$B$382)*10000+377,"")</f>
      </c>
    </row>
    <row r="383">
      <c r="A383" s="94">
        <f>IF($X383=0,"",363)</f>
      </c>
      <c r="B383" s="95">
        <f t="shared" si="1"/>
      </c>
      <c r="C383" s="96">
        <f t="shared" si="10"/>
      </c>
      <c r="D383" s="21">
        <f t="shared" si="12"/>
      </c>
      <c r="E383" s="21">
        <f t="shared" si="14"/>
      </c>
      <c r="F383" s="21">
        <f t="shared" si="16"/>
      </c>
      <c r="G383" s="21">
        <f t="shared" si="18"/>
      </c>
      <c r="H383" s="21">
        <f t="shared" si="20"/>
      </c>
      <c r="I383" s="21">
        <f t="shared" si="22"/>
      </c>
      <c r="J383" s="94">
        <f t="shared" si="24"/>
      </c>
      <c r="K383" s="94">
        <f t="shared" si="26"/>
      </c>
      <c r="L383" s="94">
        <f t="shared" si="28"/>
      </c>
      <c r="M383" s="96">
        <f t="shared" si="29"/>
      </c>
      <c r="X383" s="2">
        <f>IF(363&gt;$AA$5,0,MOD(SMALL($AA$6:$AA$2005,363),10000))</f>
        <v>0</v>
      </c>
      <c r="AA383" s="2">
        <f>IF(AND(ISNUMBER(资金流水!$B$383),ISNUMBER(资金流水!$S$383),资金流水!$S$383&gt;=_辅助!$J$4,资金流水!$S$383&lt;=_辅助!$J$2,OR(资金流水!$C$383=$C$18,AND(资金流水!$AD$383=$C$18,资金流水!$X$383="账户互转"),AND($E$18&lt;&gt;"",资金流水!$J$383=$E$18,资金流水!$X$383="应付职工薪酬"))),INT(资金流水!$B$383)*10000+378,"")</f>
      </c>
    </row>
    <row r="384">
      <c r="A384" s="94">
        <f>IF($X384=0,"",364)</f>
      </c>
      <c r="B384" s="95">
        <f t="shared" si="1"/>
      </c>
      <c r="C384" s="96">
        <f t="shared" si="10"/>
      </c>
      <c r="D384" s="21">
        <f t="shared" si="12"/>
      </c>
      <c r="E384" s="21">
        <f t="shared" si="14"/>
      </c>
      <c r="F384" s="21">
        <f t="shared" si="16"/>
      </c>
      <c r="G384" s="21">
        <f t="shared" si="18"/>
      </c>
      <c r="H384" s="21">
        <f t="shared" si="20"/>
      </c>
      <c r="I384" s="21">
        <f t="shared" si="22"/>
      </c>
      <c r="J384" s="94">
        <f t="shared" si="24"/>
      </c>
      <c r="K384" s="94">
        <f t="shared" si="26"/>
      </c>
      <c r="L384" s="94">
        <f t="shared" si="28"/>
      </c>
      <c r="M384" s="96">
        <f t="shared" si="29"/>
      </c>
      <c r="X384" s="2">
        <f>IF(364&gt;$AA$5,0,MOD(SMALL($AA$6:$AA$2005,364),10000))</f>
        <v>0</v>
      </c>
      <c r="AA384" s="2">
        <f>IF(AND(ISNUMBER(资金流水!$B$384),ISNUMBER(资金流水!$S$384),资金流水!$S$384&gt;=_辅助!$J$4,资金流水!$S$384&lt;=_辅助!$J$2,OR(资金流水!$C$384=$C$18,AND(资金流水!$AD$384=$C$18,资金流水!$X$384="账户互转"),AND($E$18&lt;&gt;"",资金流水!$J$384=$E$18,资金流水!$X$384="应付职工薪酬"))),INT(资金流水!$B$384)*10000+379,"")</f>
      </c>
    </row>
    <row r="385">
      <c r="A385" s="94">
        <f>IF($X385=0,"",365)</f>
      </c>
      <c r="B385" s="95">
        <f t="shared" si="1"/>
      </c>
      <c r="C385" s="96">
        <f t="shared" si="10"/>
      </c>
      <c r="D385" s="21">
        <f t="shared" si="12"/>
      </c>
      <c r="E385" s="21">
        <f t="shared" si="14"/>
      </c>
      <c r="F385" s="21">
        <f t="shared" si="16"/>
      </c>
      <c r="G385" s="21">
        <f t="shared" si="18"/>
      </c>
      <c r="H385" s="21">
        <f t="shared" si="20"/>
      </c>
      <c r="I385" s="21">
        <f t="shared" si="22"/>
      </c>
      <c r="J385" s="94">
        <f t="shared" si="24"/>
      </c>
      <c r="K385" s="94">
        <f t="shared" si="26"/>
      </c>
      <c r="L385" s="94">
        <f t="shared" si="28"/>
      </c>
      <c r="M385" s="96">
        <f t="shared" si="29"/>
      </c>
      <c r="X385" s="2">
        <f>IF(365&gt;$AA$5,0,MOD(SMALL($AA$6:$AA$2005,365),10000))</f>
        <v>0</v>
      </c>
      <c r="AA385" s="2">
        <f>IF(AND(ISNUMBER(资金流水!$B$385),ISNUMBER(资金流水!$S$385),资金流水!$S$385&gt;=_辅助!$J$4,资金流水!$S$385&lt;=_辅助!$J$2,OR(资金流水!$C$385=$C$18,AND(资金流水!$AD$385=$C$18,资金流水!$X$385="账户互转"),AND($E$18&lt;&gt;"",资金流水!$J$385=$E$18,资金流水!$X$385="应付职工薪酬"))),INT(资金流水!$B$385)*10000+380,"")</f>
      </c>
    </row>
    <row r="386">
      <c r="A386" s="94">
        <f>IF($X386=0,"",366)</f>
      </c>
      <c r="B386" s="95">
        <f t="shared" si="1"/>
      </c>
      <c r="C386" s="96">
        <f t="shared" si="10"/>
      </c>
      <c r="D386" s="21">
        <f t="shared" si="12"/>
      </c>
      <c r="E386" s="21">
        <f t="shared" si="14"/>
      </c>
      <c r="F386" s="21">
        <f t="shared" si="16"/>
      </c>
      <c r="G386" s="21">
        <f t="shared" si="18"/>
      </c>
      <c r="H386" s="21">
        <f t="shared" si="20"/>
      </c>
      <c r="I386" s="21">
        <f t="shared" si="22"/>
      </c>
      <c r="J386" s="94">
        <f t="shared" si="24"/>
      </c>
      <c r="K386" s="94">
        <f t="shared" si="26"/>
      </c>
      <c r="L386" s="94">
        <f t="shared" si="28"/>
      </c>
      <c r="M386" s="96">
        <f t="shared" si="29"/>
      </c>
      <c r="X386" s="2">
        <f>IF(366&gt;$AA$5,0,MOD(SMALL($AA$6:$AA$2005,366),10000))</f>
        <v>0</v>
      </c>
      <c r="AA386" s="2">
        <f>IF(AND(ISNUMBER(资金流水!$B$386),ISNUMBER(资金流水!$S$386),资金流水!$S$386&gt;=_辅助!$J$4,资金流水!$S$386&lt;=_辅助!$J$2,OR(资金流水!$C$386=$C$18,AND(资金流水!$AD$386=$C$18,资金流水!$X$386="账户互转"),AND($E$18&lt;&gt;"",资金流水!$J$386=$E$18,资金流水!$X$386="应付职工薪酬"))),INT(资金流水!$B$386)*10000+381,"")</f>
      </c>
    </row>
    <row r="387">
      <c r="A387" s="94">
        <f>IF($X387=0,"",367)</f>
      </c>
      <c r="B387" s="95">
        <f t="shared" si="1"/>
      </c>
      <c r="C387" s="96">
        <f t="shared" si="10"/>
      </c>
      <c r="D387" s="21">
        <f t="shared" si="12"/>
      </c>
      <c r="E387" s="21">
        <f t="shared" si="14"/>
      </c>
      <c r="F387" s="21">
        <f t="shared" si="16"/>
      </c>
      <c r="G387" s="21">
        <f t="shared" si="18"/>
      </c>
      <c r="H387" s="21">
        <f t="shared" si="20"/>
      </c>
      <c r="I387" s="21">
        <f t="shared" si="22"/>
      </c>
      <c r="J387" s="94">
        <f t="shared" si="24"/>
      </c>
      <c r="K387" s="94">
        <f t="shared" si="26"/>
      </c>
      <c r="L387" s="94">
        <f t="shared" si="28"/>
      </c>
      <c r="M387" s="96">
        <f t="shared" si="29"/>
      </c>
      <c r="X387" s="2">
        <f>IF(367&gt;$AA$5,0,MOD(SMALL($AA$6:$AA$2005,367),10000))</f>
        <v>0</v>
      </c>
      <c r="AA387" s="2">
        <f>IF(AND(ISNUMBER(资金流水!$B$387),ISNUMBER(资金流水!$S$387),资金流水!$S$387&gt;=_辅助!$J$4,资金流水!$S$387&lt;=_辅助!$J$2,OR(资金流水!$C$387=$C$18,AND(资金流水!$AD$387=$C$18,资金流水!$X$387="账户互转"),AND($E$18&lt;&gt;"",资金流水!$J$387=$E$18,资金流水!$X$387="应付职工薪酬"))),INT(资金流水!$B$387)*10000+382,"")</f>
      </c>
    </row>
    <row r="388">
      <c r="A388" s="94">
        <f>IF($X388=0,"",368)</f>
      </c>
      <c r="B388" s="95">
        <f t="shared" si="1"/>
      </c>
      <c r="C388" s="96">
        <f t="shared" si="10"/>
      </c>
      <c r="D388" s="21">
        <f t="shared" si="12"/>
      </c>
      <c r="E388" s="21">
        <f t="shared" si="14"/>
      </c>
      <c r="F388" s="21">
        <f t="shared" si="16"/>
      </c>
      <c r="G388" s="21">
        <f t="shared" si="18"/>
      </c>
      <c r="H388" s="21">
        <f t="shared" si="20"/>
      </c>
      <c r="I388" s="21">
        <f t="shared" si="22"/>
      </c>
      <c r="J388" s="94">
        <f t="shared" si="24"/>
      </c>
      <c r="K388" s="94">
        <f t="shared" si="26"/>
      </c>
      <c r="L388" s="94">
        <f t="shared" si="28"/>
      </c>
      <c r="M388" s="96">
        <f t="shared" si="29"/>
      </c>
      <c r="X388" s="2">
        <f>IF(368&gt;$AA$5,0,MOD(SMALL($AA$6:$AA$2005,368),10000))</f>
        <v>0</v>
      </c>
      <c r="AA388" s="2">
        <f>IF(AND(ISNUMBER(资金流水!$B$388),ISNUMBER(资金流水!$S$388),资金流水!$S$388&gt;=_辅助!$J$4,资金流水!$S$388&lt;=_辅助!$J$2,OR(资金流水!$C$388=$C$18,AND(资金流水!$AD$388=$C$18,资金流水!$X$388="账户互转"),AND($E$18&lt;&gt;"",资金流水!$J$388=$E$18,资金流水!$X$388="应付职工薪酬"))),INT(资金流水!$B$388)*10000+383,"")</f>
      </c>
    </row>
    <row r="389">
      <c r="A389" s="94">
        <f>IF($X389=0,"",369)</f>
      </c>
      <c r="B389" s="95">
        <f t="shared" si="1"/>
      </c>
      <c r="C389" s="96">
        <f t="shared" si="10"/>
      </c>
      <c r="D389" s="21">
        <f t="shared" si="12"/>
      </c>
      <c r="E389" s="21">
        <f t="shared" si="14"/>
      </c>
      <c r="F389" s="21">
        <f t="shared" si="16"/>
      </c>
      <c r="G389" s="21">
        <f t="shared" si="18"/>
      </c>
      <c r="H389" s="21">
        <f t="shared" si="20"/>
      </c>
      <c r="I389" s="21">
        <f t="shared" si="22"/>
      </c>
      <c r="J389" s="94">
        <f t="shared" si="24"/>
      </c>
      <c r="K389" s="94">
        <f t="shared" si="26"/>
      </c>
      <c r="L389" s="94">
        <f t="shared" si="28"/>
      </c>
      <c r="M389" s="96">
        <f t="shared" si="29"/>
      </c>
      <c r="X389" s="2">
        <f>IF(369&gt;$AA$5,0,MOD(SMALL($AA$6:$AA$2005,369),10000))</f>
        <v>0</v>
      </c>
      <c r="AA389" s="2">
        <f>IF(AND(ISNUMBER(资金流水!$B$389),ISNUMBER(资金流水!$S$389),资金流水!$S$389&gt;=_辅助!$J$4,资金流水!$S$389&lt;=_辅助!$J$2,OR(资金流水!$C$389=$C$18,AND(资金流水!$AD$389=$C$18,资金流水!$X$389="账户互转"),AND($E$18&lt;&gt;"",资金流水!$J$389=$E$18,资金流水!$X$389="应付职工薪酬"))),INT(资金流水!$B$389)*10000+384,"")</f>
      </c>
    </row>
    <row r="390">
      <c r="A390" s="94">
        <f>IF($X390=0,"",370)</f>
      </c>
      <c r="B390" s="95">
        <f t="shared" si="1"/>
      </c>
      <c r="C390" s="96">
        <f t="shared" si="10"/>
      </c>
      <c r="D390" s="21">
        <f t="shared" si="12"/>
      </c>
      <c r="E390" s="21">
        <f t="shared" si="14"/>
      </c>
      <c r="F390" s="21">
        <f t="shared" si="16"/>
      </c>
      <c r="G390" s="21">
        <f t="shared" si="18"/>
      </c>
      <c r="H390" s="21">
        <f t="shared" si="20"/>
      </c>
      <c r="I390" s="21">
        <f t="shared" si="22"/>
      </c>
      <c r="J390" s="94">
        <f t="shared" si="24"/>
      </c>
      <c r="K390" s="94">
        <f t="shared" si="26"/>
      </c>
      <c r="L390" s="94">
        <f t="shared" si="28"/>
      </c>
      <c r="M390" s="96">
        <f t="shared" si="29"/>
      </c>
      <c r="X390" s="2">
        <f>IF(370&gt;$AA$5,0,MOD(SMALL($AA$6:$AA$2005,370),10000))</f>
        <v>0</v>
      </c>
      <c r="AA390" s="2">
        <f>IF(AND(ISNUMBER(资金流水!$B$390),ISNUMBER(资金流水!$S$390),资金流水!$S$390&gt;=_辅助!$J$4,资金流水!$S$390&lt;=_辅助!$J$2,OR(资金流水!$C$390=$C$18,AND(资金流水!$AD$390=$C$18,资金流水!$X$390="账户互转"),AND($E$18&lt;&gt;"",资金流水!$J$390=$E$18,资金流水!$X$390="应付职工薪酬"))),INT(资金流水!$B$390)*10000+385,"")</f>
      </c>
    </row>
    <row r="391">
      <c r="A391" s="94">
        <f>IF($X391=0,"",371)</f>
      </c>
      <c r="B391" s="95">
        <f t="shared" si="1"/>
      </c>
      <c r="C391" s="96">
        <f t="shared" si="10"/>
      </c>
      <c r="D391" s="21">
        <f t="shared" si="12"/>
      </c>
      <c r="E391" s="21">
        <f t="shared" si="14"/>
      </c>
      <c r="F391" s="21">
        <f t="shared" si="16"/>
      </c>
      <c r="G391" s="21">
        <f t="shared" si="18"/>
      </c>
      <c r="H391" s="21">
        <f t="shared" si="20"/>
      </c>
      <c r="I391" s="21">
        <f t="shared" si="22"/>
      </c>
      <c r="J391" s="94">
        <f t="shared" si="24"/>
      </c>
      <c r="K391" s="94">
        <f t="shared" si="26"/>
      </c>
      <c r="L391" s="94">
        <f t="shared" si="28"/>
      </c>
      <c r="M391" s="96">
        <f t="shared" si="29"/>
      </c>
      <c r="X391" s="2">
        <f>IF(371&gt;$AA$5,0,MOD(SMALL($AA$6:$AA$2005,371),10000))</f>
        <v>0</v>
      </c>
      <c r="AA391" s="2">
        <f>IF(AND(ISNUMBER(资金流水!$B$391),ISNUMBER(资金流水!$S$391),资金流水!$S$391&gt;=_辅助!$J$4,资金流水!$S$391&lt;=_辅助!$J$2,OR(资金流水!$C$391=$C$18,AND(资金流水!$AD$391=$C$18,资金流水!$X$391="账户互转"),AND($E$18&lt;&gt;"",资金流水!$J$391=$E$18,资金流水!$X$391="应付职工薪酬"))),INT(资金流水!$B$391)*10000+386,"")</f>
      </c>
    </row>
    <row r="392">
      <c r="A392" s="94">
        <f>IF($X392=0,"",372)</f>
      </c>
      <c r="B392" s="95">
        <f t="shared" si="1"/>
      </c>
      <c r="C392" s="96">
        <f t="shared" si="10"/>
      </c>
      <c r="D392" s="21">
        <f t="shared" si="12"/>
      </c>
      <c r="E392" s="21">
        <f t="shared" si="14"/>
      </c>
      <c r="F392" s="21">
        <f t="shared" si="16"/>
      </c>
      <c r="G392" s="21">
        <f t="shared" si="18"/>
      </c>
      <c r="H392" s="21">
        <f t="shared" si="20"/>
      </c>
      <c r="I392" s="21">
        <f t="shared" si="22"/>
      </c>
      <c r="J392" s="94">
        <f t="shared" si="24"/>
      </c>
      <c r="K392" s="94">
        <f t="shared" si="26"/>
      </c>
      <c r="L392" s="94">
        <f t="shared" si="28"/>
      </c>
      <c r="M392" s="96">
        <f t="shared" si="29"/>
      </c>
      <c r="X392" s="2">
        <f>IF(372&gt;$AA$5,0,MOD(SMALL($AA$6:$AA$2005,372),10000))</f>
        <v>0</v>
      </c>
      <c r="AA392" s="2">
        <f>IF(AND(ISNUMBER(资金流水!$B$392),ISNUMBER(资金流水!$S$392),资金流水!$S$392&gt;=_辅助!$J$4,资金流水!$S$392&lt;=_辅助!$J$2,OR(资金流水!$C$392=$C$18,AND(资金流水!$AD$392=$C$18,资金流水!$X$392="账户互转"),AND($E$18&lt;&gt;"",资金流水!$J$392=$E$18,资金流水!$X$392="应付职工薪酬"))),INT(资金流水!$B$392)*10000+387,"")</f>
      </c>
    </row>
    <row r="393">
      <c r="A393" s="94">
        <f>IF($X393=0,"",373)</f>
      </c>
      <c r="B393" s="95">
        <f t="shared" si="1"/>
      </c>
      <c r="C393" s="96">
        <f t="shared" si="10"/>
      </c>
      <c r="D393" s="21">
        <f t="shared" si="12"/>
      </c>
      <c r="E393" s="21">
        <f t="shared" si="14"/>
      </c>
      <c r="F393" s="21">
        <f t="shared" si="16"/>
      </c>
      <c r="G393" s="21">
        <f t="shared" si="18"/>
      </c>
      <c r="H393" s="21">
        <f t="shared" si="20"/>
      </c>
      <c r="I393" s="21">
        <f t="shared" si="22"/>
      </c>
      <c r="J393" s="94">
        <f t="shared" si="24"/>
      </c>
      <c r="K393" s="94">
        <f t="shared" si="26"/>
      </c>
      <c r="L393" s="94">
        <f t="shared" si="28"/>
      </c>
      <c r="M393" s="96">
        <f t="shared" si="29"/>
      </c>
      <c r="X393" s="2">
        <f>IF(373&gt;$AA$5,0,MOD(SMALL($AA$6:$AA$2005,373),10000))</f>
        <v>0</v>
      </c>
      <c r="AA393" s="2">
        <f>IF(AND(ISNUMBER(资金流水!$B$393),ISNUMBER(资金流水!$S$393),资金流水!$S$393&gt;=_辅助!$J$4,资金流水!$S$393&lt;=_辅助!$J$2,OR(资金流水!$C$393=$C$18,AND(资金流水!$AD$393=$C$18,资金流水!$X$393="账户互转"),AND($E$18&lt;&gt;"",资金流水!$J$393=$E$18,资金流水!$X$393="应付职工薪酬"))),INT(资金流水!$B$393)*10000+388,"")</f>
      </c>
    </row>
    <row r="394">
      <c r="A394" s="94">
        <f>IF($X394=0,"",374)</f>
      </c>
      <c r="B394" s="95">
        <f t="shared" si="1"/>
      </c>
      <c r="C394" s="96">
        <f t="shared" si="10"/>
      </c>
      <c r="D394" s="21">
        <f t="shared" si="12"/>
      </c>
      <c r="E394" s="21">
        <f t="shared" si="14"/>
      </c>
      <c r="F394" s="21">
        <f t="shared" si="16"/>
      </c>
      <c r="G394" s="21">
        <f t="shared" si="18"/>
      </c>
      <c r="H394" s="21">
        <f t="shared" si="20"/>
      </c>
      <c r="I394" s="21">
        <f t="shared" si="22"/>
      </c>
      <c r="J394" s="94">
        <f t="shared" si="24"/>
      </c>
      <c r="K394" s="94">
        <f t="shared" si="26"/>
      </c>
      <c r="L394" s="94">
        <f t="shared" si="28"/>
      </c>
      <c r="M394" s="96">
        <f t="shared" si="29"/>
      </c>
      <c r="X394" s="2">
        <f>IF(374&gt;$AA$5,0,MOD(SMALL($AA$6:$AA$2005,374),10000))</f>
        <v>0</v>
      </c>
      <c r="AA394" s="2">
        <f>IF(AND(ISNUMBER(资金流水!$B$394),ISNUMBER(资金流水!$S$394),资金流水!$S$394&gt;=_辅助!$J$4,资金流水!$S$394&lt;=_辅助!$J$2,OR(资金流水!$C$394=$C$18,AND(资金流水!$AD$394=$C$18,资金流水!$X$394="账户互转"),AND($E$18&lt;&gt;"",资金流水!$J$394=$E$18,资金流水!$X$394="应付职工薪酬"))),INT(资金流水!$B$394)*10000+389,"")</f>
      </c>
    </row>
    <row r="395">
      <c r="A395" s="94">
        <f>IF($X395=0,"",375)</f>
      </c>
      <c r="B395" s="95">
        <f t="shared" si="1"/>
      </c>
      <c r="C395" s="96">
        <f t="shared" si="10"/>
      </c>
      <c r="D395" s="21">
        <f t="shared" si="12"/>
      </c>
      <c r="E395" s="21">
        <f t="shared" si="14"/>
      </c>
      <c r="F395" s="21">
        <f t="shared" si="16"/>
      </c>
      <c r="G395" s="21">
        <f t="shared" si="18"/>
      </c>
      <c r="H395" s="21">
        <f t="shared" si="20"/>
      </c>
      <c r="I395" s="21">
        <f t="shared" si="22"/>
      </c>
      <c r="J395" s="94">
        <f t="shared" si="24"/>
      </c>
      <c r="K395" s="94">
        <f t="shared" si="26"/>
      </c>
      <c r="L395" s="94">
        <f t="shared" si="28"/>
      </c>
      <c r="M395" s="96">
        <f t="shared" si="29"/>
      </c>
      <c r="X395" s="2">
        <f>IF(375&gt;$AA$5,0,MOD(SMALL($AA$6:$AA$2005,375),10000))</f>
        <v>0</v>
      </c>
      <c r="AA395" s="2">
        <f>IF(AND(ISNUMBER(资金流水!$B$395),ISNUMBER(资金流水!$S$395),资金流水!$S$395&gt;=_辅助!$J$4,资金流水!$S$395&lt;=_辅助!$J$2,OR(资金流水!$C$395=$C$18,AND(资金流水!$AD$395=$C$18,资金流水!$X$395="账户互转"),AND($E$18&lt;&gt;"",资金流水!$J$395=$E$18,资金流水!$X$395="应付职工薪酬"))),INT(资金流水!$B$395)*10000+390,"")</f>
      </c>
    </row>
    <row r="396">
      <c r="A396" s="94">
        <f>IF($X396=0,"",376)</f>
      </c>
      <c r="B396" s="95">
        <f t="shared" si="1"/>
      </c>
      <c r="C396" s="96">
        <f t="shared" si="10"/>
      </c>
      <c r="D396" s="21">
        <f t="shared" si="12"/>
      </c>
      <c r="E396" s="21">
        <f t="shared" si="14"/>
      </c>
      <c r="F396" s="21">
        <f t="shared" si="16"/>
      </c>
      <c r="G396" s="21">
        <f t="shared" si="18"/>
      </c>
      <c r="H396" s="21">
        <f t="shared" si="20"/>
      </c>
      <c r="I396" s="21">
        <f t="shared" si="22"/>
      </c>
      <c r="J396" s="94">
        <f t="shared" si="24"/>
      </c>
      <c r="K396" s="94">
        <f t="shared" si="26"/>
      </c>
      <c r="L396" s="94">
        <f t="shared" si="28"/>
      </c>
      <c r="M396" s="96">
        <f t="shared" si="29"/>
      </c>
      <c r="X396" s="2">
        <f>IF(376&gt;$AA$5,0,MOD(SMALL($AA$6:$AA$2005,376),10000))</f>
        <v>0</v>
      </c>
      <c r="AA396" s="2">
        <f>IF(AND(ISNUMBER(资金流水!$B$396),ISNUMBER(资金流水!$S$396),资金流水!$S$396&gt;=_辅助!$J$4,资金流水!$S$396&lt;=_辅助!$J$2,OR(资金流水!$C$396=$C$18,AND(资金流水!$AD$396=$C$18,资金流水!$X$396="账户互转"),AND($E$18&lt;&gt;"",资金流水!$J$396=$E$18,资金流水!$X$396="应付职工薪酬"))),INT(资金流水!$B$396)*10000+391,"")</f>
      </c>
    </row>
    <row r="397">
      <c r="A397" s="94">
        <f>IF($X397=0,"",377)</f>
      </c>
      <c r="B397" s="95">
        <f t="shared" si="1"/>
      </c>
      <c r="C397" s="96">
        <f t="shared" si="10"/>
      </c>
      <c r="D397" s="21">
        <f t="shared" si="12"/>
      </c>
      <c r="E397" s="21">
        <f t="shared" si="14"/>
      </c>
      <c r="F397" s="21">
        <f t="shared" si="16"/>
      </c>
      <c r="G397" s="21">
        <f t="shared" si="18"/>
      </c>
      <c r="H397" s="21">
        <f t="shared" si="20"/>
      </c>
      <c r="I397" s="21">
        <f t="shared" si="22"/>
      </c>
      <c r="J397" s="94">
        <f t="shared" si="24"/>
      </c>
      <c r="K397" s="94">
        <f t="shared" si="26"/>
      </c>
      <c r="L397" s="94">
        <f t="shared" si="28"/>
      </c>
      <c r="M397" s="96">
        <f t="shared" si="29"/>
      </c>
      <c r="X397" s="2">
        <f>IF(377&gt;$AA$5,0,MOD(SMALL($AA$6:$AA$2005,377),10000))</f>
        <v>0</v>
      </c>
      <c r="AA397" s="2">
        <f>IF(AND(ISNUMBER(资金流水!$B$397),ISNUMBER(资金流水!$S$397),资金流水!$S$397&gt;=_辅助!$J$4,资金流水!$S$397&lt;=_辅助!$J$2,OR(资金流水!$C$397=$C$18,AND(资金流水!$AD$397=$C$18,资金流水!$X$397="账户互转"),AND($E$18&lt;&gt;"",资金流水!$J$397=$E$18,资金流水!$X$397="应付职工薪酬"))),INT(资金流水!$B$397)*10000+392,"")</f>
      </c>
    </row>
    <row r="398">
      <c r="A398" s="94">
        <f>IF($X398=0,"",378)</f>
      </c>
      <c r="B398" s="95">
        <f t="shared" si="1"/>
      </c>
      <c r="C398" s="96">
        <f t="shared" si="10"/>
      </c>
      <c r="D398" s="21">
        <f t="shared" si="12"/>
      </c>
      <c r="E398" s="21">
        <f t="shared" si="14"/>
      </c>
      <c r="F398" s="21">
        <f t="shared" si="16"/>
      </c>
      <c r="G398" s="21">
        <f t="shared" si="18"/>
      </c>
      <c r="H398" s="21">
        <f t="shared" si="20"/>
      </c>
      <c r="I398" s="21">
        <f t="shared" si="22"/>
      </c>
      <c r="J398" s="94">
        <f t="shared" si="24"/>
      </c>
      <c r="K398" s="94">
        <f t="shared" si="26"/>
      </c>
      <c r="L398" s="94">
        <f t="shared" si="28"/>
      </c>
      <c r="M398" s="96">
        <f t="shared" si="29"/>
      </c>
      <c r="X398" s="2">
        <f>IF(378&gt;$AA$5,0,MOD(SMALL($AA$6:$AA$2005,378),10000))</f>
        <v>0</v>
      </c>
      <c r="AA398" s="2">
        <f>IF(AND(ISNUMBER(资金流水!$B$398),ISNUMBER(资金流水!$S$398),资金流水!$S$398&gt;=_辅助!$J$4,资金流水!$S$398&lt;=_辅助!$J$2,OR(资金流水!$C$398=$C$18,AND(资金流水!$AD$398=$C$18,资金流水!$X$398="账户互转"),AND($E$18&lt;&gt;"",资金流水!$J$398=$E$18,资金流水!$X$398="应付职工薪酬"))),INT(资金流水!$B$398)*10000+393,"")</f>
      </c>
    </row>
    <row r="399">
      <c r="A399" s="94">
        <f>IF($X399=0,"",379)</f>
      </c>
      <c r="B399" s="95">
        <f t="shared" si="1"/>
      </c>
      <c r="C399" s="96">
        <f t="shared" si="10"/>
      </c>
      <c r="D399" s="21">
        <f t="shared" si="12"/>
      </c>
      <c r="E399" s="21">
        <f t="shared" si="14"/>
      </c>
      <c r="F399" s="21">
        <f t="shared" si="16"/>
      </c>
      <c r="G399" s="21">
        <f t="shared" si="18"/>
      </c>
      <c r="H399" s="21">
        <f t="shared" si="20"/>
      </c>
      <c r="I399" s="21">
        <f t="shared" si="22"/>
      </c>
      <c r="J399" s="94">
        <f t="shared" si="24"/>
      </c>
      <c r="K399" s="94">
        <f t="shared" si="26"/>
      </c>
      <c r="L399" s="94">
        <f t="shared" si="28"/>
      </c>
      <c r="M399" s="96">
        <f t="shared" si="29"/>
      </c>
      <c r="X399" s="2">
        <f>IF(379&gt;$AA$5,0,MOD(SMALL($AA$6:$AA$2005,379),10000))</f>
        <v>0</v>
      </c>
      <c r="AA399" s="2">
        <f>IF(AND(ISNUMBER(资金流水!$B$399),ISNUMBER(资金流水!$S$399),资金流水!$S$399&gt;=_辅助!$J$4,资金流水!$S$399&lt;=_辅助!$J$2,OR(资金流水!$C$399=$C$18,AND(资金流水!$AD$399=$C$18,资金流水!$X$399="账户互转"),AND($E$18&lt;&gt;"",资金流水!$J$399=$E$18,资金流水!$X$399="应付职工薪酬"))),INT(资金流水!$B$399)*10000+394,"")</f>
      </c>
    </row>
    <row r="400">
      <c r="A400" s="94">
        <f>IF($X400=0,"",380)</f>
      </c>
      <c r="B400" s="95">
        <f t="shared" si="1"/>
      </c>
      <c r="C400" s="96">
        <f t="shared" si="10"/>
      </c>
      <c r="D400" s="21">
        <f t="shared" si="12"/>
      </c>
      <c r="E400" s="21">
        <f t="shared" si="14"/>
      </c>
      <c r="F400" s="21">
        <f t="shared" si="16"/>
      </c>
      <c r="G400" s="21">
        <f t="shared" si="18"/>
      </c>
      <c r="H400" s="21">
        <f t="shared" si="20"/>
      </c>
      <c r="I400" s="21">
        <f t="shared" si="22"/>
      </c>
      <c r="J400" s="94">
        <f t="shared" si="24"/>
      </c>
      <c r="K400" s="94">
        <f t="shared" si="26"/>
      </c>
      <c r="L400" s="94">
        <f t="shared" si="28"/>
      </c>
      <c r="M400" s="96">
        <f t="shared" si="29"/>
      </c>
      <c r="X400" s="2">
        <f>IF(380&gt;$AA$5,0,MOD(SMALL($AA$6:$AA$2005,380),10000))</f>
        <v>0</v>
      </c>
      <c r="AA400" s="2">
        <f>IF(AND(ISNUMBER(资金流水!$B$400),ISNUMBER(资金流水!$S$400),资金流水!$S$400&gt;=_辅助!$J$4,资金流水!$S$400&lt;=_辅助!$J$2,OR(资金流水!$C$400=$C$18,AND(资金流水!$AD$400=$C$18,资金流水!$X$400="账户互转"),AND($E$18&lt;&gt;"",资金流水!$J$400=$E$18,资金流水!$X$400="应付职工薪酬"))),INT(资金流水!$B$400)*10000+395,"")</f>
      </c>
    </row>
    <row r="401">
      <c r="A401" s="94">
        <f>IF($X401=0,"",381)</f>
      </c>
      <c r="B401" s="95">
        <f t="shared" si="1"/>
      </c>
      <c r="C401" s="96">
        <f t="shared" si="10"/>
      </c>
      <c r="D401" s="21">
        <f t="shared" si="12"/>
      </c>
      <c r="E401" s="21">
        <f t="shared" si="14"/>
      </c>
      <c r="F401" s="21">
        <f t="shared" si="16"/>
      </c>
      <c r="G401" s="21">
        <f t="shared" si="18"/>
      </c>
      <c r="H401" s="21">
        <f t="shared" si="20"/>
      </c>
      <c r="I401" s="21">
        <f t="shared" si="22"/>
      </c>
      <c r="J401" s="94">
        <f t="shared" si="24"/>
      </c>
      <c r="K401" s="94">
        <f t="shared" si="26"/>
      </c>
      <c r="L401" s="94">
        <f t="shared" si="28"/>
      </c>
      <c r="M401" s="96">
        <f t="shared" si="29"/>
      </c>
      <c r="X401" s="2">
        <f>IF(381&gt;$AA$5,0,MOD(SMALL($AA$6:$AA$2005,381),10000))</f>
        <v>0</v>
      </c>
      <c r="AA401" s="2">
        <f>IF(AND(ISNUMBER(资金流水!$B$401),ISNUMBER(资金流水!$S$401),资金流水!$S$401&gt;=_辅助!$J$4,资金流水!$S$401&lt;=_辅助!$J$2,OR(资金流水!$C$401=$C$18,AND(资金流水!$AD$401=$C$18,资金流水!$X$401="账户互转"),AND($E$18&lt;&gt;"",资金流水!$J$401=$E$18,资金流水!$X$401="应付职工薪酬"))),INT(资金流水!$B$401)*10000+396,"")</f>
      </c>
    </row>
    <row r="402">
      <c r="A402" s="94">
        <f>IF($X402=0,"",382)</f>
      </c>
      <c r="B402" s="95">
        <f t="shared" si="1"/>
      </c>
      <c r="C402" s="96">
        <f t="shared" si="10"/>
      </c>
      <c r="D402" s="21">
        <f t="shared" si="12"/>
      </c>
      <c r="E402" s="21">
        <f t="shared" si="14"/>
      </c>
      <c r="F402" s="21">
        <f t="shared" si="16"/>
      </c>
      <c r="G402" s="21">
        <f t="shared" si="18"/>
      </c>
      <c r="H402" s="21">
        <f t="shared" si="20"/>
      </c>
      <c r="I402" s="21">
        <f t="shared" si="22"/>
      </c>
      <c r="J402" s="94">
        <f t="shared" si="24"/>
      </c>
      <c r="K402" s="94">
        <f t="shared" si="26"/>
      </c>
      <c r="L402" s="94">
        <f t="shared" si="28"/>
      </c>
      <c r="M402" s="96">
        <f t="shared" si="29"/>
      </c>
      <c r="X402" s="2">
        <f>IF(382&gt;$AA$5,0,MOD(SMALL($AA$6:$AA$2005,382),10000))</f>
        <v>0</v>
      </c>
      <c r="AA402" s="2">
        <f>IF(AND(ISNUMBER(资金流水!$B$402),ISNUMBER(资金流水!$S$402),资金流水!$S$402&gt;=_辅助!$J$4,资金流水!$S$402&lt;=_辅助!$J$2,OR(资金流水!$C$402=$C$18,AND(资金流水!$AD$402=$C$18,资金流水!$X$402="账户互转"),AND($E$18&lt;&gt;"",资金流水!$J$402=$E$18,资金流水!$X$402="应付职工薪酬"))),INT(资金流水!$B$402)*10000+397,"")</f>
      </c>
    </row>
    <row r="403">
      <c r="A403" s="94">
        <f>IF($X403=0,"",383)</f>
      </c>
      <c r="B403" s="95">
        <f t="shared" si="1"/>
      </c>
      <c r="C403" s="96">
        <f t="shared" si="10"/>
      </c>
      <c r="D403" s="21">
        <f t="shared" si="12"/>
      </c>
      <c r="E403" s="21">
        <f t="shared" si="14"/>
      </c>
      <c r="F403" s="21">
        <f t="shared" si="16"/>
      </c>
      <c r="G403" s="21">
        <f t="shared" si="18"/>
      </c>
      <c r="H403" s="21">
        <f t="shared" si="20"/>
      </c>
      <c r="I403" s="21">
        <f t="shared" si="22"/>
      </c>
      <c r="J403" s="94">
        <f t="shared" si="24"/>
      </c>
      <c r="K403" s="94">
        <f t="shared" si="26"/>
      </c>
      <c r="L403" s="94">
        <f t="shared" si="28"/>
      </c>
      <c r="M403" s="96">
        <f t="shared" si="29"/>
      </c>
      <c r="X403" s="2">
        <f>IF(383&gt;$AA$5,0,MOD(SMALL($AA$6:$AA$2005,383),10000))</f>
        <v>0</v>
      </c>
      <c r="AA403" s="2">
        <f>IF(AND(ISNUMBER(资金流水!$B$403),ISNUMBER(资金流水!$S$403),资金流水!$S$403&gt;=_辅助!$J$4,资金流水!$S$403&lt;=_辅助!$J$2,OR(资金流水!$C$403=$C$18,AND(资金流水!$AD$403=$C$18,资金流水!$X$403="账户互转"),AND($E$18&lt;&gt;"",资金流水!$J$403=$E$18,资金流水!$X$403="应付职工薪酬"))),INT(资金流水!$B$403)*10000+398,"")</f>
      </c>
    </row>
    <row r="404">
      <c r="A404" s="94">
        <f>IF($X404=0,"",384)</f>
      </c>
      <c r="B404" s="95">
        <f t="shared" si="1"/>
      </c>
      <c r="C404" s="96">
        <f t="shared" si="10"/>
      </c>
      <c r="D404" s="21">
        <f t="shared" si="12"/>
      </c>
      <c r="E404" s="21">
        <f t="shared" si="14"/>
      </c>
      <c r="F404" s="21">
        <f t="shared" si="16"/>
      </c>
      <c r="G404" s="21">
        <f t="shared" si="18"/>
      </c>
      <c r="H404" s="21">
        <f t="shared" si="20"/>
      </c>
      <c r="I404" s="21">
        <f t="shared" si="22"/>
      </c>
      <c r="J404" s="94">
        <f t="shared" si="24"/>
      </c>
      <c r="K404" s="94">
        <f t="shared" si="26"/>
      </c>
      <c r="L404" s="94">
        <f t="shared" si="28"/>
      </c>
      <c r="M404" s="96">
        <f t="shared" si="29"/>
      </c>
      <c r="X404" s="2">
        <f>IF(384&gt;$AA$5,0,MOD(SMALL($AA$6:$AA$2005,384),10000))</f>
        <v>0</v>
      </c>
      <c r="AA404" s="2">
        <f>IF(AND(ISNUMBER(资金流水!$B$404),ISNUMBER(资金流水!$S$404),资金流水!$S$404&gt;=_辅助!$J$4,资金流水!$S$404&lt;=_辅助!$J$2,OR(资金流水!$C$404=$C$18,AND(资金流水!$AD$404=$C$18,资金流水!$X$404="账户互转"),AND($E$18&lt;&gt;"",资金流水!$J$404=$E$18,资金流水!$X$404="应付职工薪酬"))),INT(资金流水!$B$404)*10000+399,"")</f>
      </c>
    </row>
    <row r="405">
      <c r="A405" s="94">
        <f>IF($X405=0,"",385)</f>
      </c>
      <c r="B405" s="95">
        <f t="shared" si="1"/>
      </c>
      <c r="C405" s="96">
        <f t="shared" si="10"/>
      </c>
      <c r="D405" s="21">
        <f t="shared" si="12"/>
      </c>
      <c r="E405" s="21">
        <f t="shared" si="14"/>
      </c>
      <c r="F405" s="21">
        <f t="shared" si="16"/>
      </c>
      <c r="G405" s="21">
        <f t="shared" si="18"/>
      </c>
      <c r="H405" s="21">
        <f t="shared" si="20"/>
      </c>
      <c r="I405" s="21">
        <f t="shared" si="22"/>
      </c>
      <c r="J405" s="94">
        <f t="shared" si="24"/>
      </c>
      <c r="K405" s="94">
        <f t="shared" si="26"/>
      </c>
      <c r="L405" s="94">
        <f t="shared" si="28"/>
      </c>
      <c r="M405" s="96">
        <f t="shared" si="29"/>
      </c>
      <c r="X405" s="2">
        <f>IF(385&gt;$AA$5,0,MOD(SMALL($AA$6:$AA$2005,385),10000))</f>
        <v>0</v>
      </c>
      <c r="AA405" s="2">
        <f>IF(AND(ISNUMBER(资金流水!$B$405),ISNUMBER(资金流水!$S$405),资金流水!$S$405&gt;=_辅助!$J$4,资金流水!$S$405&lt;=_辅助!$J$2,OR(资金流水!$C$405=$C$18,AND(资金流水!$AD$405=$C$18,资金流水!$X$405="账户互转"),AND($E$18&lt;&gt;"",资金流水!$J$405=$E$18,资金流水!$X$405="应付职工薪酬"))),INT(资金流水!$B$405)*10000+400,"")</f>
      </c>
    </row>
    <row r="406">
      <c r="A406" s="94">
        <f>IF($X406=0,"",386)</f>
      </c>
      <c r="B406" s="95">
        <f t="shared" si="1"/>
      </c>
      <c r="C406" s="96">
        <f t="shared" si="10"/>
      </c>
      <c r="D406" s="21">
        <f t="shared" si="12"/>
      </c>
      <c r="E406" s="21">
        <f t="shared" si="14"/>
      </c>
      <c r="F406" s="21">
        <f t="shared" si="16"/>
      </c>
      <c r="G406" s="21">
        <f t="shared" si="18"/>
      </c>
      <c r="H406" s="21">
        <f t="shared" si="20"/>
      </c>
      <c r="I406" s="21">
        <f t="shared" si="22"/>
      </c>
      <c r="J406" s="94">
        <f t="shared" si="24"/>
      </c>
      <c r="K406" s="94">
        <f t="shared" si="26"/>
      </c>
      <c r="L406" s="94">
        <f t="shared" si="28"/>
      </c>
      <c r="M406" s="96">
        <f t="shared" si="29"/>
      </c>
      <c r="X406" s="2">
        <f>IF(386&gt;$AA$5,0,MOD(SMALL($AA$6:$AA$2005,386),10000))</f>
        <v>0</v>
      </c>
      <c r="AA406" s="2">
        <f>IF(AND(ISNUMBER(资金流水!$B$406),ISNUMBER(资金流水!$S$406),资金流水!$S$406&gt;=_辅助!$J$4,资金流水!$S$406&lt;=_辅助!$J$2,OR(资金流水!$C$406=$C$18,AND(资金流水!$AD$406=$C$18,资金流水!$X$406="账户互转"),AND($E$18&lt;&gt;"",资金流水!$J$406=$E$18,资金流水!$X$406="应付职工薪酬"))),INT(资金流水!$B$406)*10000+401,"")</f>
      </c>
    </row>
    <row r="407">
      <c r="A407" s="94">
        <f>IF($X407=0,"",387)</f>
      </c>
      <c r="B407" s="95">
        <f t="shared" si="1"/>
      </c>
      <c r="C407" s="96">
        <f t="shared" si="10"/>
      </c>
      <c r="D407" s="21">
        <f t="shared" si="12"/>
      </c>
      <c r="E407" s="21">
        <f t="shared" si="14"/>
      </c>
      <c r="F407" s="21">
        <f t="shared" si="16"/>
      </c>
      <c r="G407" s="21">
        <f t="shared" si="18"/>
      </c>
      <c r="H407" s="21">
        <f t="shared" si="20"/>
      </c>
      <c r="I407" s="21">
        <f t="shared" si="22"/>
      </c>
      <c r="J407" s="94">
        <f t="shared" si="24"/>
      </c>
      <c r="K407" s="94">
        <f t="shared" si="26"/>
      </c>
      <c r="L407" s="94">
        <f t="shared" si="28"/>
      </c>
      <c r="M407" s="96">
        <f t="shared" si="29"/>
      </c>
      <c r="X407" s="2">
        <f>IF(387&gt;$AA$5,0,MOD(SMALL($AA$6:$AA$2005,387),10000))</f>
        <v>0</v>
      </c>
      <c r="AA407" s="2">
        <f>IF(AND(ISNUMBER(资金流水!$B$407),ISNUMBER(资金流水!$S$407),资金流水!$S$407&gt;=_辅助!$J$4,资金流水!$S$407&lt;=_辅助!$J$2,OR(资金流水!$C$407=$C$18,AND(资金流水!$AD$407=$C$18,资金流水!$X$407="账户互转"),AND($E$18&lt;&gt;"",资金流水!$J$407=$E$18,资金流水!$X$407="应付职工薪酬"))),INT(资金流水!$B$407)*10000+402,"")</f>
      </c>
    </row>
    <row r="408">
      <c r="A408" s="94">
        <f>IF($X408=0,"",388)</f>
      </c>
      <c r="B408" s="95">
        <f t="shared" si="1"/>
      </c>
      <c r="C408" s="96">
        <f t="shared" si="10"/>
      </c>
      <c r="D408" s="21">
        <f t="shared" si="12"/>
      </c>
      <c r="E408" s="21">
        <f t="shared" si="14"/>
      </c>
      <c r="F408" s="21">
        <f t="shared" si="16"/>
      </c>
      <c r="G408" s="21">
        <f t="shared" si="18"/>
      </c>
      <c r="H408" s="21">
        <f t="shared" si="20"/>
      </c>
      <c r="I408" s="21">
        <f t="shared" si="22"/>
      </c>
      <c r="J408" s="94">
        <f t="shared" si="24"/>
      </c>
      <c r="K408" s="94">
        <f t="shared" si="26"/>
      </c>
      <c r="L408" s="94">
        <f t="shared" si="28"/>
      </c>
      <c r="M408" s="96">
        <f t="shared" si="29"/>
      </c>
      <c r="X408" s="2">
        <f>IF(388&gt;$AA$5,0,MOD(SMALL($AA$6:$AA$2005,388),10000))</f>
        <v>0</v>
      </c>
      <c r="AA408" s="2">
        <f>IF(AND(ISNUMBER(资金流水!$B$408),ISNUMBER(资金流水!$S$408),资金流水!$S$408&gt;=_辅助!$J$4,资金流水!$S$408&lt;=_辅助!$J$2,OR(资金流水!$C$408=$C$18,AND(资金流水!$AD$408=$C$18,资金流水!$X$408="账户互转"),AND($E$18&lt;&gt;"",资金流水!$J$408=$E$18,资金流水!$X$408="应付职工薪酬"))),INT(资金流水!$B$408)*10000+403,"")</f>
      </c>
    </row>
    <row r="409">
      <c r="A409" s="94">
        <f>IF($X409=0,"",389)</f>
      </c>
      <c r="B409" s="95">
        <f t="shared" si="1"/>
      </c>
      <c r="C409" s="96">
        <f t="shared" si="10"/>
      </c>
      <c r="D409" s="21">
        <f t="shared" si="12"/>
      </c>
      <c r="E409" s="21">
        <f t="shared" si="14"/>
      </c>
      <c r="F409" s="21">
        <f t="shared" si="16"/>
      </c>
      <c r="G409" s="21">
        <f t="shared" si="18"/>
      </c>
      <c r="H409" s="21">
        <f t="shared" si="20"/>
      </c>
      <c r="I409" s="21">
        <f t="shared" si="22"/>
      </c>
      <c r="J409" s="94">
        <f t="shared" si="24"/>
      </c>
      <c r="K409" s="94">
        <f t="shared" si="26"/>
      </c>
      <c r="L409" s="94">
        <f t="shared" si="28"/>
      </c>
      <c r="M409" s="96">
        <f t="shared" si="29"/>
      </c>
      <c r="X409" s="2">
        <f>IF(389&gt;$AA$5,0,MOD(SMALL($AA$6:$AA$2005,389),10000))</f>
        <v>0</v>
      </c>
      <c r="AA409" s="2">
        <f>IF(AND(ISNUMBER(资金流水!$B$409),ISNUMBER(资金流水!$S$409),资金流水!$S$409&gt;=_辅助!$J$4,资金流水!$S$409&lt;=_辅助!$J$2,OR(资金流水!$C$409=$C$18,AND(资金流水!$AD$409=$C$18,资金流水!$X$409="账户互转"),AND($E$18&lt;&gt;"",资金流水!$J$409=$E$18,资金流水!$X$409="应付职工薪酬"))),INT(资金流水!$B$409)*10000+404,"")</f>
      </c>
    </row>
    <row r="410">
      <c r="A410" s="94">
        <f>IF($X410=0,"",390)</f>
      </c>
      <c r="B410" s="95">
        <f t="shared" si="1"/>
      </c>
      <c r="C410" s="96">
        <f t="shared" si="10"/>
      </c>
      <c r="D410" s="21">
        <f t="shared" si="12"/>
      </c>
      <c r="E410" s="21">
        <f t="shared" si="14"/>
      </c>
      <c r="F410" s="21">
        <f t="shared" si="16"/>
      </c>
      <c r="G410" s="21">
        <f t="shared" si="18"/>
      </c>
      <c r="H410" s="21">
        <f t="shared" si="20"/>
      </c>
      <c r="I410" s="21">
        <f t="shared" si="22"/>
      </c>
      <c r="J410" s="94">
        <f t="shared" si="24"/>
      </c>
      <c r="K410" s="94">
        <f t="shared" si="26"/>
      </c>
      <c r="L410" s="94">
        <f t="shared" si="28"/>
      </c>
      <c r="M410" s="96">
        <f t="shared" si="29"/>
      </c>
      <c r="X410" s="2">
        <f>IF(390&gt;$AA$5,0,MOD(SMALL($AA$6:$AA$2005,390),10000))</f>
        <v>0</v>
      </c>
      <c r="AA410" s="2">
        <f>IF(AND(ISNUMBER(资金流水!$B$410),ISNUMBER(资金流水!$S$410),资金流水!$S$410&gt;=_辅助!$J$4,资金流水!$S$410&lt;=_辅助!$J$2,OR(资金流水!$C$410=$C$18,AND(资金流水!$AD$410=$C$18,资金流水!$X$410="账户互转"),AND($E$18&lt;&gt;"",资金流水!$J$410=$E$18,资金流水!$X$410="应付职工薪酬"))),INT(资金流水!$B$410)*10000+405,"")</f>
      </c>
    </row>
    <row r="411">
      <c r="A411" s="94">
        <f>IF($X411=0,"",391)</f>
      </c>
      <c r="B411" s="95">
        <f t="shared" si="1"/>
      </c>
      <c r="C411" s="96">
        <f t="shared" si="10"/>
      </c>
      <c r="D411" s="21">
        <f t="shared" si="12"/>
      </c>
      <c r="E411" s="21">
        <f t="shared" si="14"/>
      </c>
      <c r="F411" s="21">
        <f t="shared" si="16"/>
      </c>
      <c r="G411" s="21">
        <f t="shared" si="18"/>
      </c>
      <c r="H411" s="21">
        <f t="shared" si="20"/>
      </c>
      <c r="I411" s="21">
        <f t="shared" si="22"/>
      </c>
      <c r="J411" s="94">
        <f t="shared" si="24"/>
      </c>
      <c r="K411" s="94">
        <f t="shared" si="26"/>
      </c>
      <c r="L411" s="94">
        <f t="shared" si="28"/>
      </c>
      <c r="M411" s="96">
        <f t="shared" si="29"/>
      </c>
      <c r="X411" s="2">
        <f>IF(391&gt;$AA$5,0,MOD(SMALL($AA$6:$AA$2005,391),10000))</f>
        <v>0</v>
      </c>
      <c r="AA411" s="2">
        <f>IF(AND(ISNUMBER(资金流水!$B$411),ISNUMBER(资金流水!$S$411),资金流水!$S$411&gt;=_辅助!$J$4,资金流水!$S$411&lt;=_辅助!$J$2,OR(资金流水!$C$411=$C$18,AND(资金流水!$AD$411=$C$18,资金流水!$X$411="账户互转"),AND($E$18&lt;&gt;"",资金流水!$J$411=$E$18,资金流水!$X$411="应付职工薪酬"))),INT(资金流水!$B$411)*10000+406,"")</f>
      </c>
    </row>
    <row r="412">
      <c r="A412" s="94">
        <f>IF($X412=0,"",392)</f>
      </c>
      <c r="B412" s="95">
        <f t="shared" si="1"/>
      </c>
      <c r="C412" s="96">
        <f t="shared" si="10"/>
      </c>
      <c r="D412" s="21">
        <f t="shared" si="12"/>
      </c>
      <c r="E412" s="21">
        <f t="shared" si="14"/>
      </c>
      <c r="F412" s="21">
        <f t="shared" si="16"/>
      </c>
      <c r="G412" s="21">
        <f t="shared" si="18"/>
      </c>
      <c r="H412" s="21">
        <f t="shared" si="20"/>
      </c>
      <c r="I412" s="21">
        <f t="shared" si="22"/>
      </c>
      <c r="J412" s="94">
        <f t="shared" si="24"/>
      </c>
      <c r="K412" s="94">
        <f t="shared" si="26"/>
      </c>
      <c r="L412" s="94">
        <f t="shared" si="28"/>
      </c>
      <c r="M412" s="96">
        <f t="shared" si="29"/>
      </c>
      <c r="X412" s="2">
        <f>IF(392&gt;$AA$5,0,MOD(SMALL($AA$6:$AA$2005,392),10000))</f>
        <v>0</v>
      </c>
      <c r="AA412" s="2">
        <f>IF(AND(ISNUMBER(资金流水!$B$412),ISNUMBER(资金流水!$S$412),资金流水!$S$412&gt;=_辅助!$J$4,资金流水!$S$412&lt;=_辅助!$J$2,OR(资金流水!$C$412=$C$18,AND(资金流水!$AD$412=$C$18,资金流水!$X$412="账户互转"),AND($E$18&lt;&gt;"",资金流水!$J$412=$E$18,资金流水!$X$412="应付职工薪酬"))),INT(资金流水!$B$412)*10000+407,"")</f>
      </c>
    </row>
    <row r="413">
      <c r="A413" s="94">
        <f>IF($X413=0,"",393)</f>
      </c>
      <c r="B413" s="95">
        <f t="shared" si="1"/>
      </c>
      <c r="C413" s="96">
        <f t="shared" si="10"/>
      </c>
      <c r="D413" s="21">
        <f t="shared" si="12"/>
      </c>
      <c r="E413" s="21">
        <f t="shared" si="14"/>
      </c>
      <c r="F413" s="21">
        <f t="shared" si="16"/>
      </c>
      <c r="G413" s="21">
        <f t="shared" si="18"/>
      </c>
      <c r="H413" s="21">
        <f t="shared" si="20"/>
      </c>
      <c r="I413" s="21">
        <f t="shared" si="22"/>
      </c>
      <c r="J413" s="94">
        <f t="shared" si="24"/>
      </c>
      <c r="K413" s="94">
        <f t="shared" si="26"/>
      </c>
      <c r="L413" s="94">
        <f t="shared" si="28"/>
      </c>
      <c r="M413" s="96">
        <f t="shared" si="29"/>
      </c>
      <c r="X413" s="2">
        <f>IF(393&gt;$AA$5,0,MOD(SMALL($AA$6:$AA$2005,393),10000))</f>
        <v>0</v>
      </c>
      <c r="AA413" s="2">
        <f>IF(AND(ISNUMBER(资金流水!$B$413),ISNUMBER(资金流水!$S$413),资金流水!$S$413&gt;=_辅助!$J$4,资金流水!$S$413&lt;=_辅助!$J$2,OR(资金流水!$C$413=$C$18,AND(资金流水!$AD$413=$C$18,资金流水!$X$413="账户互转"),AND($E$18&lt;&gt;"",资金流水!$J$413=$E$18,资金流水!$X$413="应付职工薪酬"))),INT(资金流水!$B$413)*10000+408,"")</f>
      </c>
    </row>
    <row r="414">
      <c r="A414" s="94">
        <f>IF($X414=0,"",394)</f>
      </c>
      <c r="B414" s="95">
        <f t="shared" si="1"/>
      </c>
      <c r="C414" s="96">
        <f t="shared" si="10"/>
      </c>
      <c r="D414" s="21">
        <f t="shared" si="12"/>
      </c>
      <c r="E414" s="21">
        <f t="shared" si="14"/>
      </c>
      <c r="F414" s="21">
        <f t="shared" si="16"/>
      </c>
      <c r="G414" s="21">
        <f t="shared" si="18"/>
      </c>
      <c r="H414" s="21">
        <f t="shared" si="20"/>
      </c>
      <c r="I414" s="21">
        <f t="shared" si="22"/>
      </c>
      <c r="J414" s="94">
        <f t="shared" si="24"/>
      </c>
      <c r="K414" s="94">
        <f t="shared" si="26"/>
      </c>
      <c r="L414" s="94">
        <f t="shared" si="28"/>
      </c>
      <c r="M414" s="96">
        <f t="shared" si="29"/>
      </c>
      <c r="X414" s="2">
        <f>IF(394&gt;$AA$5,0,MOD(SMALL($AA$6:$AA$2005,394),10000))</f>
        <v>0</v>
      </c>
      <c r="AA414" s="2">
        <f>IF(AND(ISNUMBER(资金流水!$B$414),ISNUMBER(资金流水!$S$414),资金流水!$S$414&gt;=_辅助!$J$4,资金流水!$S$414&lt;=_辅助!$J$2,OR(资金流水!$C$414=$C$18,AND(资金流水!$AD$414=$C$18,资金流水!$X$414="账户互转"),AND($E$18&lt;&gt;"",资金流水!$J$414=$E$18,资金流水!$X$414="应付职工薪酬"))),INT(资金流水!$B$414)*10000+409,"")</f>
      </c>
    </row>
    <row r="415">
      <c r="A415" s="94">
        <f>IF($X415=0,"",395)</f>
      </c>
      <c r="B415" s="95">
        <f t="shared" si="1"/>
      </c>
      <c r="C415" s="96">
        <f t="shared" si="10"/>
      </c>
      <c r="D415" s="21">
        <f t="shared" si="12"/>
      </c>
      <c r="E415" s="21">
        <f t="shared" si="14"/>
      </c>
      <c r="F415" s="21">
        <f t="shared" si="16"/>
      </c>
      <c r="G415" s="21">
        <f t="shared" si="18"/>
      </c>
      <c r="H415" s="21">
        <f t="shared" si="20"/>
      </c>
      <c r="I415" s="21">
        <f t="shared" si="22"/>
      </c>
      <c r="J415" s="94">
        <f t="shared" si="24"/>
      </c>
      <c r="K415" s="94">
        <f t="shared" si="26"/>
      </c>
      <c r="L415" s="94">
        <f t="shared" si="28"/>
      </c>
      <c r="M415" s="96">
        <f t="shared" si="29"/>
      </c>
      <c r="X415" s="2">
        <f>IF(395&gt;$AA$5,0,MOD(SMALL($AA$6:$AA$2005,395),10000))</f>
        <v>0</v>
      </c>
      <c r="AA415" s="2">
        <f>IF(AND(ISNUMBER(资金流水!$B$415),ISNUMBER(资金流水!$S$415),资金流水!$S$415&gt;=_辅助!$J$4,资金流水!$S$415&lt;=_辅助!$J$2,OR(资金流水!$C$415=$C$18,AND(资金流水!$AD$415=$C$18,资金流水!$X$415="账户互转"),AND($E$18&lt;&gt;"",资金流水!$J$415=$E$18,资金流水!$X$415="应付职工薪酬"))),INT(资金流水!$B$415)*10000+410,"")</f>
      </c>
    </row>
    <row r="416">
      <c r="A416" s="94">
        <f>IF($X416=0,"",396)</f>
      </c>
      <c r="B416" s="95">
        <f t="shared" si="1"/>
      </c>
      <c r="C416" s="96">
        <f t="shared" si="10"/>
      </c>
      <c r="D416" s="21">
        <f t="shared" si="12"/>
      </c>
      <c r="E416" s="21">
        <f t="shared" si="14"/>
      </c>
      <c r="F416" s="21">
        <f t="shared" si="16"/>
      </c>
      <c r="G416" s="21">
        <f t="shared" si="18"/>
      </c>
      <c r="H416" s="21">
        <f t="shared" si="20"/>
      </c>
      <c r="I416" s="21">
        <f t="shared" si="22"/>
      </c>
      <c r="J416" s="94">
        <f t="shared" si="24"/>
      </c>
      <c r="K416" s="94">
        <f t="shared" si="26"/>
      </c>
      <c r="L416" s="94">
        <f t="shared" si="28"/>
      </c>
      <c r="M416" s="96">
        <f t="shared" si="29"/>
      </c>
      <c r="X416" s="2">
        <f>IF(396&gt;$AA$5,0,MOD(SMALL($AA$6:$AA$2005,396),10000))</f>
        <v>0</v>
      </c>
      <c r="AA416" s="2">
        <f>IF(AND(ISNUMBER(资金流水!$B$416),ISNUMBER(资金流水!$S$416),资金流水!$S$416&gt;=_辅助!$J$4,资金流水!$S$416&lt;=_辅助!$J$2,OR(资金流水!$C$416=$C$18,AND(资金流水!$AD$416=$C$18,资金流水!$X$416="账户互转"),AND($E$18&lt;&gt;"",资金流水!$J$416=$E$18,资金流水!$X$416="应付职工薪酬"))),INT(资金流水!$B$416)*10000+411,"")</f>
      </c>
    </row>
    <row r="417">
      <c r="A417" s="94">
        <f>IF($X417=0,"",397)</f>
      </c>
      <c r="B417" s="95">
        <f t="shared" si="1"/>
      </c>
      <c r="C417" s="96">
        <f t="shared" si="10"/>
      </c>
      <c r="D417" s="21">
        <f t="shared" si="12"/>
      </c>
      <c r="E417" s="21">
        <f t="shared" si="14"/>
      </c>
      <c r="F417" s="21">
        <f t="shared" si="16"/>
      </c>
      <c r="G417" s="21">
        <f t="shared" si="18"/>
      </c>
      <c r="H417" s="21">
        <f t="shared" si="20"/>
      </c>
      <c r="I417" s="21">
        <f t="shared" si="22"/>
      </c>
      <c r="J417" s="94">
        <f t="shared" si="24"/>
      </c>
      <c r="K417" s="94">
        <f t="shared" si="26"/>
      </c>
      <c r="L417" s="94">
        <f t="shared" si="28"/>
      </c>
      <c r="M417" s="96">
        <f t="shared" si="29"/>
      </c>
      <c r="X417" s="2">
        <f>IF(397&gt;$AA$5,0,MOD(SMALL($AA$6:$AA$2005,397),10000))</f>
        <v>0</v>
      </c>
      <c r="AA417" s="2">
        <f>IF(AND(ISNUMBER(资金流水!$B$417),ISNUMBER(资金流水!$S$417),资金流水!$S$417&gt;=_辅助!$J$4,资金流水!$S$417&lt;=_辅助!$J$2,OR(资金流水!$C$417=$C$18,AND(资金流水!$AD$417=$C$18,资金流水!$X$417="账户互转"),AND($E$18&lt;&gt;"",资金流水!$J$417=$E$18,资金流水!$X$417="应付职工薪酬"))),INT(资金流水!$B$417)*10000+412,"")</f>
      </c>
    </row>
    <row r="418">
      <c r="A418" s="94">
        <f>IF($X418=0,"",398)</f>
      </c>
      <c r="B418" s="95">
        <f t="shared" si="1"/>
      </c>
      <c r="C418" s="96">
        <f t="shared" si="10"/>
      </c>
      <c r="D418" s="21">
        <f t="shared" si="12"/>
      </c>
      <c r="E418" s="21">
        <f t="shared" si="14"/>
      </c>
      <c r="F418" s="21">
        <f t="shared" si="16"/>
      </c>
      <c r="G418" s="21">
        <f t="shared" si="18"/>
      </c>
      <c r="H418" s="21">
        <f t="shared" si="20"/>
      </c>
      <c r="I418" s="21">
        <f t="shared" si="22"/>
      </c>
      <c r="J418" s="94">
        <f t="shared" si="24"/>
      </c>
      <c r="K418" s="94">
        <f t="shared" si="26"/>
      </c>
      <c r="L418" s="94">
        <f t="shared" si="28"/>
      </c>
      <c r="M418" s="96">
        <f t="shared" si="29"/>
      </c>
      <c r="X418" s="2">
        <f>IF(398&gt;$AA$5,0,MOD(SMALL($AA$6:$AA$2005,398),10000))</f>
        <v>0</v>
      </c>
      <c r="AA418" s="2">
        <f>IF(AND(ISNUMBER(资金流水!$B$418),ISNUMBER(资金流水!$S$418),资金流水!$S$418&gt;=_辅助!$J$4,资金流水!$S$418&lt;=_辅助!$J$2,OR(资金流水!$C$418=$C$18,AND(资金流水!$AD$418=$C$18,资金流水!$X$418="账户互转"),AND($E$18&lt;&gt;"",资金流水!$J$418=$E$18,资金流水!$X$418="应付职工薪酬"))),INT(资金流水!$B$418)*10000+413,"")</f>
      </c>
    </row>
    <row r="419">
      <c r="A419" s="94">
        <f>IF($X419=0,"",399)</f>
      </c>
      <c r="B419" s="95">
        <f t="shared" si="1"/>
      </c>
      <c r="C419" s="96">
        <f t="shared" si="10"/>
      </c>
      <c r="D419" s="21">
        <f t="shared" si="12"/>
      </c>
      <c r="E419" s="21">
        <f t="shared" si="14"/>
      </c>
      <c r="F419" s="21">
        <f t="shared" si="16"/>
      </c>
      <c r="G419" s="21">
        <f t="shared" si="18"/>
      </c>
      <c r="H419" s="21">
        <f t="shared" si="20"/>
      </c>
      <c r="I419" s="21">
        <f t="shared" si="22"/>
      </c>
      <c r="J419" s="94">
        <f t="shared" si="24"/>
      </c>
      <c r="K419" s="94">
        <f t="shared" si="26"/>
      </c>
      <c r="L419" s="94">
        <f t="shared" si="28"/>
      </c>
      <c r="M419" s="96">
        <f t="shared" si="29"/>
      </c>
      <c r="X419" s="2">
        <f>IF(399&gt;$AA$5,0,MOD(SMALL($AA$6:$AA$2005,399),10000))</f>
        <v>0</v>
      </c>
      <c r="AA419" s="2">
        <f>IF(AND(ISNUMBER(资金流水!$B$419),ISNUMBER(资金流水!$S$419),资金流水!$S$419&gt;=_辅助!$J$4,资金流水!$S$419&lt;=_辅助!$J$2,OR(资金流水!$C$419=$C$18,AND(资金流水!$AD$419=$C$18,资金流水!$X$419="账户互转"),AND($E$18&lt;&gt;"",资金流水!$J$419=$E$18,资金流水!$X$419="应付职工薪酬"))),INT(资金流水!$B$419)*10000+414,"")</f>
      </c>
    </row>
    <row r="420">
      <c r="A420" s="94">
        <f>IF($X420=0,"",400)</f>
      </c>
      <c r="B420" s="95">
        <f t="shared" si="1"/>
      </c>
      <c r="C420" s="96">
        <f t="shared" si="10"/>
      </c>
      <c r="D420" s="21">
        <f t="shared" si="12"/>
      </c>
      <c r="E420" s="21">
        <f t="shared" si="14"/>
      </c>
      <c r="F420" s="21">
        <f t="shared" si="16"/>
      </c>
      <c r="G420" s="21">
        <f t="shared" si="18"/>
      </c>
      <c r="H420" s="21">
        <f t="shared" si="20"/>
      </c>
      <c r="I420" s="21">
        <f t="shared" si="22"/>
      </c>
      <c r="J420" s="94">
        <f t="shared" si="24"/>
      </c>
      <c r="K420" s="94">
        <f t="shared" si="26"/>
      </c>
      <c r="L420" s="94">
        <f t="shared" si="28"/>
      </c>
      <c r="M420" s="96">
        <f t="shared" si="29"/>
      </c>
      <c r="X420" s="2">
        <f>IF(400&gt;$AA$5,0,MOD(SMALL($AA$6:$AA$2005,400),10000))</f>
        <v>0</v>
      </c>
      <c r="AA420" s="2">
        <f>IF(AND(ISNUMBER(资金流水!$B$420),ISNUMBER(资金流水!$S$420),资金流水!$S$420&gt;=_辅助!$J$4,资金流水!$S$420&lt;=_辅助!$J$2,OR(资金流水!$C$420=$C$18,AND(资金流水!$AD$420=$C$18,资金流水!$X$420="账户互转"),AND($E$18&lt;&gt;"",资金流水!$J$420=$E$18,资金流水!$X$420="应付职工薪酬"))),INT(资金流水!$B$420)*10000+415,"")</f>
      </c>
    </row>
    <row r="421">
      <c r="AA421" s="2">
        <f>IF(AND(ISNUMBER(资金流水!$B$421),ISNUMBER(资金流水!$S$421),资金流水!$S$421&gt;=_辅助!$J$4,资金流水!$S$421&lt;=_辅助!$J$2,OR(资金流水!$C$421=$C$18,AND(资金流水!$AD$421=$C$18,资金流水!$X$421="账户互转"),AND($E$18&lt;&gt;"",资金流水!$J$421=$E$18,资金流水!$X$421="应付职工薪酬"))),INT(资金流水!$B$421)*10000+416,"")</f>
      </c>
    </row>
    <row r="422">
      <c r="AA422" s="2">
        <f>IF(AND(ISNUMBER(资金流水!$B$422),ISNUMBER(资金流水!$S$422),资金流水!$S$422&gt;=_辅助!$J$4,资金流水!$S$422&lt;=_辅助!$J$2,OR(资金流水!$C$422=$C$18,AND(资金流水!$AD$422=$C$18,资金流水!$X$422="账户互转"),AND($E$18&lt;&gt;"",资金流水!$J$422=$E$18,资金流水!$X$422="应付职工薪酬"))),INT(资金流水!$B$422)*10000+417,"")</f>
      </c>
    </row>
    <row r="423">
      <c r="AA423" s="2">
        <f>IF(AND(ISNUMBER(资金流水!$B$423),ISNUMBER(资金流水!$S$423),资金流水!$S$423&gt;=_辅助!$J$4,资金流水!$S$423&lt;=_辅助!$J$2,OR(资金流水!$C$423=$C$18,AND(资金流水!$AD$423=$C$18,资金流水!$X$423="账户互转"),AND($E$18&lt;&gt;"",资金流水!$J$423=$E$18,资金流水!$X$423="应付职工薪酬"))),INT(资金流水!$B$423)*10000+418,"")</f>
      </c>
    </row>
    <row r="424">
      <c r="AA424" s="2">
        <f>IF(AND(ISNUMBER(资金流水!$B$424),ISNUMBER(资金流水!$S$424),资金流水!$S$424&gt;=_辅助!$J$4,资金流水!$S$424&lt;=_辅助!$J$2,OR(资金流水!$C$424=$C$18,AND(资金流水!$AD$424=$C$18,资金流水!$X$424="账户互转"),AND($E$18&lt;&gt;"",资金流水!$J$424=$E$18,资金流水!$X$424="应付职工薪酬"))),INT(资金流水!$B$424)*10000+419,"")</f>
      </c>
    </row>
    <row r="425">
      <c r="AA425" s="2">
        <f>IF(AND(ISNUMBER(资金流水!$B$425),ISNUMBER(资金流水!$S$425),资金流水!$S$425&gt;=_辅助!$J$4,资金流水!$S$425&lt;=_辅助!$J$2,OR(资金流水!$C$425=$C$18,AND(资金流水!$AD$425=$C$18,资金流水!$X$425="账户互转"),AND($E$18&lt;&gt;"",资金流水!$J$425=$E$18,资金流水!$X$425="应付职工薪酬"))),INT(资金流水!$B$425)*10000+420,"")</f>
      </c>
    </row>
    <row r="426">
      <c r="AA426" s="2">
        <f>IF(AND(ISNUMBER(资金流水!$B$426),ISNUMBER(资金流水!$S$426),资金流水!$S$426&gt;=_辅助!$J$4,资金流水!$S$426&lt;=_辅助!$J$2,OR(资金流水!$C$426=$C$18,AND(资金流水!$AD$426=$C$18,资金流水!$X$426="账户互转"),AND($E$18&lt;&gt;"",资金流水!$J$426=$E$18,资金流水!$X$426="应付职工薪酬"))),INT(资金流水!$B$426)*10000+421,"")</f>
      </c>
    </row>
    <row r="427">
      <c r="AA427" s="2">
        <f>IF(AND(ISNUMBER(资金流水!$B$427),ISNUMBER(资金流水!$S$427),资金流水!$S$427&gt;=_辅助!$J$4,资金流水!$S$427&lt;=_辅助!$J$2,OR(资金流水!$C$427=$C$18,AND(资金流水!$AD$427=$C$18,资金流水!$X$427="账户互转"),AND($E$18&lt;&gt;"",资金流水!$J$427=$E$18,资金流水!$X$427="应付职工薪酬"))),INT(资金流水!$B$427)*10000+422,"")</f>
      </c>
    </row>
    <row r="428">
      <c r="AA428" s="2">
        <f>IF(AND(ISNUMBER(资金流水!$B$428),ISNUMBER(资金流水!$S$428),资金流水!$S$428&gt;=_辅助!$J$4,资金流水!$S$428&lt;=_辅助!$J$2,OR(资金流水!$C$428=$C$18,AND(资金流水!$AD$428=$C$18,资金流水!$X$428="账户互转"),AND($E$18&lt;&gt;"",资金流水!$J$428=$E$18,资金流水!$X$428="应付职工薪酬"))),INT(资金流水!$B$428)*10000+423,"")</f>
      </c>
    </row>
    <row r="429">
      <c r="AA429" s="2">
        <f>IF(AND(ISNUMBER(资金流水!$B$429),ISNUMBER(资金流水!$S$429),资金流水!$S$429&gt;=_辅助!$J$4,资金流水!$S$429&lt;=_辅助!$J$2,OR(资金流水!$C$429=$C$18,AND(资金流水!$AD$429=$C$18,资金流水!$X$429="账户互转"),AND($E$18&lt;&gt;"",资金流水!$J$429=$E$18,资金流水!$X$429="应付职工薪酬"))),INT(资金流水!$B$429)*10000+424,"")</f>
      </c>
    </row>
    <row r="430">
      <c r="AA430" s="2">
        <f>IF(AND(ISNUMBER(资金流水!$B$430),ISNUMBER(资金流水!$S$430),资金流水!$S$430&gt;=_辅助!$J$4,资金流水!$S$430&lt;=_辅助!$J$2,OR(资金流水!$C$430=$C$18,AND(资金流水!$AD$430=$C$18,资金流水!$X$430="账户互转"),AND($E$18&lt;&gt;"",资金流水!$J$430=$E$18,资金流水!$X$430="应付职工薪酬"))),INT(资金流水!$B$430)*10000+425,"")</f>
      </c>
    </row>
    <row r="431">
      <c r="AA431" s="2">
        <f>IF(AND(ISNUMBER(资金流水!$B$431),ISNUMBER(资金流水!$S$431),资金流水!$S$431&gt;=_辅助!$J$4,资金流水!$S$431&lt;=_辅助!$J$2,OR(资金流水!$C$431=$C$18,AND(资金流水!$AD$431=$C$18,资金流水!$X$431="账户互转"),AND($E$18&lt;&gt;"",资金流水!$J$431=$E$18,资金流水!$X$431="应付职工薪酬"))),INT(资金流水!$B$431)*10000+426,"")</f>
      </c>
    </row>
    <row r="432">
      <c r="AA432" s="2">
        <f>IF(AND(ISNUMBER(资金流水!$B$432),ISNUMBER(资金流水!$S$432),资金流水!$S$432&gt;=_辅助!$J$4,资金流水!$S$432&lt;=_辅助!$J$2,OR(资金流水!$C$432=$C$18,AND(资金流水!$AD$432=$C$18,资金流水!$X$432="账户互转"),AND($E$18&lt;&gt;"",资金流水!$J$432=$E$18,资金流水!$X$432="应付职工薪酬"))),INT(资金流水!$B$432)*10000+427,"")</f>
      </c>
    </row>
    <row r="433">
      <c r="AA433" s="2">
        <f>IF(AND(ISNUMBER(资金流水!$B$433),ISNUMBER(资金流水!$S$433),资金流水!$S$433&gt;=_辅助!$J$4,资金流水!$S$433&lt;=_辅助!$J$2,OR(资金流水!$C$433=$C$18,AND(资金流水!$AD$433=$C$18,资金流水!$X$433="账户互转"),AND($E$18&lt;&gt;"",资金流水!$J$433=$E$18,资金流水!$X$433="应付职工薪酬"))),INT(资金流水!$B$433)*10000+428,"")</f>
      </c>
    </row>
    <row r="434">
      <c r="AA434" s="2">
        <f>IF(AND(ISNUMBER(资金流水!$B$434),ISNUMBER(资金流水!$S$434),资金流水!$S$434&gt;=_辅助!$J$4,资金流水!$S$434&lt;=_辅助!$J$2,OR(资金流水!$C$434=$C$18,AND(资金流水!$AD$434=$C$18,资金流水!$X$434="账户互转"),AND($E$18&lt;&gt;"",资金流水!$J$434=$E$18,资金流水!$X$434="应付职工薪酬"))),INT(资金流水!$B$434)*10000+429,"")</f>
      </c>
    </row>
    <row r="435">
      <c r="AA435" s="2">
        <f>IF(AND(ISNUMBER(资金流水!$B$435),ISNUMBER(资金流水!$S$435),资金流水!$S$435&gt;=_辅助!$J$4,资金流水!$S$435&lt;=_辅助!$J$2,OR(资金流水!$C$435=$C$18,AND(资金流水!$AD$435=$C$18,资金流水!$X$435="账户互转"),AND($E$18&lt;&gt;"",资金流水!$J$435=$E$18,资金流水!$X$435="应付职工薪酬"))),INT(资金流水!$B$435)*10000+430,"")</f>
      </c>
    </row>
    <row r="436">
      <c r="AA436" s="2">
        <f>IF(AND(ISNUMBER(资金流水!$B$436),ISNUMBER(资金流水!$S$436),资金流水!$S$436&gt;=_辅助!$J$4,资金流水!$S$436&lt;=_辅助!$J$2,OR(资金流水!$C$436=$C$18,AND(资金流水!$AD$436=$C$18,资金流水!$X$436="账户互转"),AND($E$18&lt;&gt;"",资金流水!$J$436=$E$18,资金流水!$X$436="应付职工薪酬"))),INT(资金流水!$B$436)*10000+431,"")</f>
      </c>
    </row>
    <row r="437">
      <c r="AA437" s="2">
        <f>IF(AND(ISNUMBER(资金流水!$B$437),ISNUMBER(资金流水!$S$437),资金流水!$S$437&gt;=_辅助!$J$4,资金流水!$S$437&lt;=_辅助!$J$2,OR(资金流水!$C$437=$C$18,AND(资金流水!$AD$437=$C$18,资金流水!$X$437="账户互转"),AND($E$18&lt;&gt;"",资金流水!$J$437=$E$18,资金流水!$X$437="应付职工薪酬"))),INT(资金流水!$B$437)*10000+432,"")</f>
      </c>
    </row>
    <row r="438">
      <c r="AA438" s="2">
        <f>IF(AND(ISNUMBER(资金流水!$B$438),ISNUMBER(资金流水!$S$438),资金流水!$S$438&gt;=_辅助!$J$4,资金流水!$S$438&lt;=_辅助!$J$2,OR(资金流水!$C$438=$C$18,AND(资金流水!$AD$438=$C$18,资金流水!$X$438="账户互转"),AND($E$18&lt;&gt;"",资金流水!$J$438=$E$18,资金流水!$X$438="应付职工薪酬"))),INT(资金流水!$B$438)*10000+433,"")</f>
      </c>
    </row>
    <row r="439">
      <c r="AA439" s="2">
        <f>IF(AND(ISNUMBER(资金流水!$B$439),ISNUMBER(资金流水!$S$439),资金流水!$S$439&gt;=_辅助!$J$4,资金流水!$S$439&lt;=_辅助!$J$2,OR(资金流水!$C$439=$C$18,AND(资金流水!$AD$439=$C$18,资金流水!$X$439="账户互转"),AND($E$18&lt;&gt;"",资金流水!$J$439=$E$18,资金流水!$X$439="应付职工薪酬"))),INT(资金流水!$B$439)*10000+434,"")</f>
      </c>
    </row>
    <row r="440">
      <c r="AA440" s="2">
        <f>IF(AND(ISNUMBER(资金流水!$B$440),ISNUMBER(资金流水!$S$440),资金流水!$S$440&gt;=_辅助!$J$4,资金流水!$S$440&lt;=_辅助!$J$2,OR(资金流水!$C$440=$C$18,AND(资金流水!$AD$440=$C$18,资金流水!$X$440="账户互转"),AND($E$18&lt;&gt;"",资金流水!$J$440=$E$18,资金流水!$X$440="应付职工薪酬"))),INT(资金流水!$B$440)*10000+435,"")</f>
      </c>
    </row>
    <row r="441">
      <c r="AA441" s="2">
        <f>IF(AND(ISNUMBER(资金流水!$B$441),ISNUMBER(资金流水!$S$441),资金流水!$S$441&gt;=_辅助!$J$4,资金流水!$S$441&lt;=_辅助!$J$2,OR(资金流水!$C$441=$C$18,AND(资金流水!$AD$441=$C$18,资金流水!$X$441="账户互转"),AND($E$18&lt;&gt;"",资金流水!$J$441=$E$18,资金流水!$X$441="应付职工薪酬"))),INT(资金流水!$B$441)*10000+436,"")</f>
      </c>
    </row>
    <row r="442">
      <c r="AA442" s="2">
        <f>IF(AND(ISNUMBER(资金流水!$B$442),ISNUMBER(资金流水!$S$442),资金流水!$S$442&gt;=_辅助!$J$4,资金流水!$S$442&lt;=_辅助!$J$2,OR(资金流水!$C$442=$C$18,AND(资金流水!$AD$442=$C$18,资金流水!$X$442="账户互转"),AND($E$18&lt;&gt;"",资金流水!$J$442=$E$18,资金流水!$X$442="应付职工薪酬"))),INT(资金流水!$B$442)*10000+437,"")</f>
      </c>
    </row>
    <row r="443">
      <c r="AA443" s="2">
        <f>IF(AND(ISNUMBER(资金流水!$B$443),ISNUMBER(资金流水!$S$443),资金流水!$S$443&gt;=_辅助!$J$4,资金流水!$S$443&lt;=_辅助!$J$2,OR(资金流水!$C$443=$C$18,AND(资金流水!$AD$443=$C$18,资金流水!$X$443="账户互转"),AND($E$18&lt;&gt;"",资金流水!$J$443=$E$18,资金流水!$X$443="应付职工薪酬"))),INT(资金流水!$B$443)*10000+438,"")</f>
      </c>
    </row>
    <row r="444">
      <c r="AA444" s="2">
        <f>IF(AND(ISNUMBER(资金流水!$B$444),ISNUMBER(资金流水!$S$444),资金流水!$S$444&gt;=_辅助!$J$4,资金流水!$S$444&lt;=_辅助!$J$2,OR(资金流水!$C$444=$C$18,AND(资金流水!$AD$444=$C$18,资金流水!$X$444="账户互转"),AND($E$18&lt;&gt;"",资金流水!$J$444=$E$18,资金流水!$X$444="应付职工薪酬"))),INT(资金流水!$B$444)*10000+439,"")</f>
      </c>
    </row>
    <row r="445">
      <c r="AA445" s="2">
        <f>IF(AND(ISNUMBER(资金流水!$B$445),ISNUMBER(资金流水!$S$445),资金流水!$S$445&gt;=_辅助!$J$4,资金流水!$S$445&lt;=_辅助!$J$2,OR(资金流水!$C$445=$C$18,AND(资金流水!$AD$445=$C$18,资金流水!$X$445="账户互转"),AND($E$18&lt;&gt;"",资金流水!$J$445=$E$18,资金流水!$X$445="应付职工薪酬"))),INT(资金流水!$B$445)*10000+440,"")</f>
      </c>
    </row>
    <row r="446">
      <c r="AA446" s="2">
        <f>IF(AND(ISNUMBER(资金流水!$B$446),ISNUMBER(资金流水!$S$446),资金流水!$S$446&gt;=_辅助!$J$4,资金流水!$S$446&lt;=_辅助!$J$2,OR(资金流水!$C$446=$C$18,AND(资金流水!$AD$446=$C$18,资金流水!$X$446="账户互转"),AND($E$18&lt;&gt;"",资金流水!$J$446=$E$18,资金流水!$X$446="应付职工薪酬"))),INT(资金流水!$B$446)*10000+441,"")</f>
      </c>
    </row>
    <row r="447">
      <c r="AA447" s="2">
        <f>IF(AND(ISNUMBER(资金流水!$B$447),ISNUMBER(资金流水!$S$447),资金流水!$S$447&gt;=_辅助!$J$4,资金流水!$S$447&lt;=_辅助!$J$2,OR(资金流水!$C$447=$C$18,AND(资金流水!$AD$447=$C$18,资金流水!$X$447="账户互转"),AND($E$18&lt;&gt;"",资金流水!$J$447=$E$18,资金流水!$X$447="应付职工薪酬"))),INT(资金流水!$B$447)*10000+442,"")</f>
      </c>
    </row>
    <row r="448">
      <c r="AA448" s="2">
        <f>IF(AND(ISNUMBER(资金流水!$B$448),ISNUMBER(资金流水!$S$448),资金流水!$S$448&gt;=_辅助!$J$4,资金流水!$S$448&lt;=_辅助!$J$2,OR(资金流水!$C$448=$C$18,AND(资金流水!$AD$448=$C$18,资金流水!$X$448="账户互转"),AND($E$18&lt;&gt;"",资金流水!$J$448=$E$18,资金流水!$X$448="应付职工薪酬"))),INT(资金流水!$B$448)*10000+443,"")</f>
      </c>
    </row>
    <row r="449">
      <c r="AA449" s="2">
        <f>IF(AND(ISNUMBER(资金流水!$B$449),ISNUMBER(资金流水!$S$449),资金流水!$S$449&gt;=_辅助!$J$4,资金流水!$S$449&lt;=_辅助!$J$2,OR(资金流水!$C$449=$C$18,AND(资金流水!$AD$449=$C$18,资金流水!$X$449="账户互转"),AND($E$18&lt;&gt;"",资金流水!$J$449=$E$18,资金流水!$X$449="应付职工薪酬"))),INT(资金流水!$B$449)*10000+444,"")</f>
      </c>
    </row>
    <row r="450">
      <c r="AA450" s="2">
        <f>IF(AND(ISNUMBER(资金流水!$B$450),ISNUMBER(资金流水!$S$450),资金流水!$S$450&gt;=_辅助!$J$4,资金流水!$S$450&lt;=_辅助!$J$2,OR(资金流水!$C$450=$C$18,AND(资金流水!$AD$450=$C$18,资金流水!$X$450="账户互转"),AND($E$18&lt;&gt;"",资金流水!$J$450=$E$18,资金流水!$X$450="应付职工薪酬"))),INT(资金流水!$B$450)*10000+445,"")</f>
      </c>
    </row>
    <row r="451">
      <c r="AA451" s="2">
        <f>IF(AND(ISNUMBER(资金流水!$B$451),ISNUMBER(资金流水!$S$451),资金流水!$S$451&gt;=_辅助!$J$4,资金流水!$S$451&lt;=_辅助!$J$2,OR(资金流水!$C$451=$C$18,AND(资金流水!$AD$451=$C$18,资金流水!$X$451="账户互转"),AND($E$18&lt;&gt;"",资金流水!$J$451=$E$18,资金流水!$X$451="应付职工薪酬"))),INT(资金流水!$B$451)*10000+446,"")</f>
      </c>
    </row>
    <row r="452">
      <c r="AA452" s="2">
        <f>IF(AND(ISNUMBER(资金流水!$B$452),ISNUMBER(资金流水!$S$452),资金流水!$S$452&gt;=_辅助!$J$4,资金流水!$S$452&lt;=_辅助!$J$2,OR(资金流水!$C$452=$C$18,AND(资金流水!$AD$452=$C$18,资金流水!$X$452="账户互转"),AND($E$18&lt;&gt;"",资金流水!$J$452=$E$18,资金流水!$X$452="应付职工薪酬"))),INT(资金流水!$B$452)*10000+447,"")</f>
      </c>
    </row>
    <row r="453">
      <c r="AA453" s="2">
        <f>IF(AND(ISNUMBER(资金流水!$B$453),ISNUMBER(资金流水!$S$453),资金流水!$S$453&gt;=_辅助!$J$4,资金流水!$S$453&lt;=_辅助!$J$2,OR(资金流水!$C$453=$C$18,AND(资金流水!$AD$453=$C$18,资金流水!$X$453="账户互转"),AND($E$18&lt;&gt;"",资金流水!$J$453=$E$18,资金流水!$X$453="应付职工薪酬"))),INT(资金流水!$B$453)*10000+448,"")</f>
      </c>
    </row>
    <row r="454">
      <c r="AA454" s="2">
        <f>IF(AND(ISNUMBER(资金流水!$B$454),ISNUMBER(资金流水!$S$454),资金流水!$S$454&gt;=_辅助!$J$4,资金流水!$S$454&lt;=_辅助!$J$2,OR(资金流水!$C$454=$C$18,AND(资金流水!$AD$454=$C$18,资金流水!$X$454="账户互转"),AND($E$18&lt;&gt;"",资金流水!$J$454=$E$18,资金流水!$X$454="应付职工薪酬"))),INT(资金流水!$B$454)*10000+449,"")</f>
      </c>
    </row>
    <row r="455">
      <c r="AA455" s="2">
        <f>IF(AND(ISNUMBER(资金流水!$B$455),ISNUMBER(资金流水!$S$455),资金流水!$S$455&gt;=_辅助!$J$4,资金流水!$S$455&lt;=_辅助!$J$2,OR(资金流水!$C$455=$C$18,AND(资金流水!$AD$455=$C$18,资金流水!$X$455="账户互转"),AND($E$18&lt;&gt;"",资金流水!$J$455=$E$18,资金流水!$X$455="应付职工薪酬"))),INT(资金流水!$B$455)*10000+450,"")</f>
      </c>
    </row>
    <row r="456">
      <c r="AA456" s="2">
        <f>IF(AND(ISNUMBER(资金流水!$B$456),ISNUMBER(资金流水!$S$456),资金流水!$S$456&gt;=_辅助!$J$4,资金流水!$S$456&lt;=_辅助!$J$2,OR(资金流水!$C$456=$C$18,AND(资金流水!$AD$456=$C$18,资金流水!$X$456="账户互转"),AND($E$18&lt;&gt;"",资金流水!$J$456=$E$18,资金流水!$X$456="应付职工薪酬"))),INT(资金流水!$B$456)*10000+451,"")</f>
      </c>
    </row>
    <row r="457">
      <c r="AA457" s="2">
        <f>IF(AND(ISNUMBER(资金流水!$B$457),ISNUMBER(资金流水!$S$457),资金流水!$S$457&gt;=_辅助!$J$4,资金流水!$S$457&lt;=_辅助!$J$2,OR(资金流水!$C$457=$C$18,AND(资金流水!$AD$457=$C$18,资金流水!$X$457="账户互转"),AND($E$18&lt;&gt;"",资金流水!$J$457=$E$18,资金流水!$X$457="应付职工薪酬"))),INT(资金流水!$B$457)*10000+452,"")</f>
      </c>
    </row>
    <row r="458">
      <c r="AA458" s="2">
        <f>IF(AND(ISNUMBER(资金流水!$B$458),ISNUMBER(资金流水!$S$458),资金流水!$S$458&gt;=_辅助!$J$4,资金流水!$S$458&lt;=_辅助!$J$2,OR(资金流水!$C$458=$C$18,AND(资金流水!$AD$458=$C$18,资金流水!$X$458="账户互转"),AND($E$18&lt;&gt;"",资金流水!$J$458=$E$18,资金流水!$X$458="应付职工薪酬"))),INT(资金流水!$B$458)*10000+453,"")</f>
      </c>
    </row>
    <row r="459">
      <c r="AA459" s="2">
        <f>IF(AND(ISNUMBER(资金流水!$B$459),ISNUMBER(资金流水!$S$459),资金流水!$S$459&gt;=_辅助!$J$4,资金流水!$S$459&lt;=_辅助!$J$2,OR(资金流水!$C$459=$C$18,AND(资金流水!$AD$459=$C$18,资金流水!$X$459="账户互转"),AND($E$18&lt;&gt;"",资金流水!$J$459=$E$18,资金流水!$X$459="应付职工薪酬"))),INT(资金流水!$B$459)*10000+454,"")</f>
      </c>
    </row>
    <row r="460">
      <c r="AA460" s="2">
        <f>IF(AND(ISNUMBER(资金流水!$B$460),ISNUMBER(资金流水!$S$460),资金流水!$S$460&gt;=_辅助!$J$4,资金流水!$S$460&lt;=_辅助!$J$2,OR(资金流水!$C$460=$C$18,AND(资金流水!$AD$460=$C$18,资金流水!$X$460="账户互转"),AND($E$18&lt;&gt;"",资金流水!$J$460=$E$18,资金流水!$X$460="应付职工薪酬"))),INT(资金流水!$B$460)*10000+455,"")</f>
      </c>
    </row>
    <row r="461">
      <c r="AA461" s="2">
        <f>IF(AND(ISNUMBER(资金流水!$B$461),ISNUMBER(资金流水!$S$461),资金流水!$S$461&gt;=_辅助!$J$4,资金流水!$S$461&lt;=_辅助!$J$2,OR(资金流水!$C$461=$C$18,AND(资金流水!$AD$461=$C$18,资金流水!$X$461="账户互转"),AND($E$18&lt;&gt;"",资金流水!$J$461=$E$18,资金流水!$X$461="应付职工薪酬"))),INT(资金流水!$B$461)*10000+456,"")</f>
      </c>
    </row>
    <row r="462">
      <c r="AA462" s="2">
        <f>IF(AND(ISNUMBER(资金流水!$B$462),ISNUMBER(资金流水!$S$462),资金流水!$S$462&gt;=_辅助!$J$4,资金流水!$S$462&lt;=_辅助!$J$2,OR(资金流水!$C$462=$C$18,AND(资金流水!$AD$462=$C$18,资金流水!$X$462="账户互转"),AND($E$18&lt;&gt;"",资金流水!$J$462=$E$18,资金流水!$X$462="应付职工薪酬"))),INT(资金流水!$B$462)*10000+457,"")</f>
      </c>
    </row>
    <row r="463">
      <c r="AA463" s="2">
        <f>IF(AND(ISNUMBER(资金流水!$B$463),ISNUMBER(资金流水!$S$463),资金流水!$S$463&gt;=_辅助!$J$4,资金流水!$S$463&lt;=_辅助!$J$2,OR(资金流水!$C$463=$C$18,AND(资金流水!$AD$463=$C$18,资金流水!$X$463="账户互转"),AND($E$18&lt;&gt;"",资金流水!$J$463=$E$18,资金流水!$X$463="应付职工薪酬"))),INT(资金流水!$B$463)*10000+458,"")</f>
      </c>
    </row>
    <row r="464">
      <c r="AA464" s="2">
        <f>IF(AND(ISNUMBER(资金流水!$B$464),ISNUMBER(资金流水!$S$464),资金流水!$S$464&gt;=_辅助!$J$4,资金流水!$S$464&lt;=_辅助!$J$2,OR(资金流水!$C$464=$C$18,AND(资金流水!$AD$464=$C$18,资金流水!$X$464="账户互转"),AND($E$18&lt;&gt;"",资金流水!$J$464=$E$18,资金流水!$X$464="应付职工薪酬"))),INT(资金流水!$B$464)*10000+459,"")</f>
      </c>
    </row>
    <row r="465">
      <c r="AA465" s="2">
        <f>IF(AND(ISNUMBER(资金流水!$B$465),ISNUMBER(资金流水!$S$465),资金流水!$S$465&gt;=_辅助!$J$4,资金流水!$S$465&lt;=_辅助!$J$2,OR(资金流水!$C$465=$C$18,AND(资金流水!$AD$465=$C$18,资金流水!$X$465="账户互转"),AND($E$18&lt;&gt;"",资金流水!$J$465=$E$18,资金流水!$X$465="应付职工薪酬"))),INT(资金流水!$B$465)*10000+460,"")</f>
      </c>
    </row>
    <row r="466">
      <c r="AA466" s="2">
        <f>IF(AND(ISNUMBER(资金流水!$B$466),ISNUMBER(资金流水!$S$466),资金流水!$S$466&gt;=_辅助!$J$4,资金流水!$S$466&lt;=_辅助!$J$2,OR(资金流水!$C$466=$C$18,AND(资金流水!$AD$466=$C$18,资金流水!$X$466="账户互转"),AND($E$18&lt;&gt;"",资金流水!$J$466=$E$18,资金流水!$X$466="应付职工薪酬"))),INT(资金流水!$B$466)*10000+461,"")</f>
      </c>
    </row>
    <row r="467">
      <c r="AA467" s="2">
        <f>IF(AND(ISNUMBER(资金流水!$B$467),ISNUMBER(资金流水!$S$467),资金流水!$S$467&gt;=_辅助!$J$4,资金流水!$S$467&lt;=_辅助!$J$2,OR(资金流水!$C$467=$C$18,AND(资金流水!$AD$467=$C$18,资金流水!$X$467="账户互转"),AND($E$18&lt;&gt;"",资金流水!$J$467=$E$18,资金流水!$X$467="应付职工薪酬"))),INT(资金流水!$B$467)*10000+462,"")</f>
      </c>
    </row>
    <row r="468">
      <c r="AA468" s="2">
        <f>IF(AND(ISNUMBER(资金流水!$B$468),ISNUMBER(资金流水!$S$468),资金流水!$S$468&gt;=_辅助!$J$4,资金流水!$S$468&lt;=_辅助!$J$2,OR(资金流水!$C$468=$C$18,AND(资金流水!$AD$468=$C$18,资金流水!$X$468="账户互转"),AND($E$18&lt;&gt;"",资金流水!$J$468=$E$18,资金流水!$X$468="应付职工薪酬"))),INT(资金流水!$B$468)*10000+463,"")</f>
      </c>
    </row>
    <row r="469">
      <c r="AA469" s="2">
        <f>IF(AND(ISNUMBER(资金流水!$B$469),ISNUMBER(资金流水!$S$469),资金流水!$S$469&gt;=_辅助!$J$4,资金流水!$S$469&lt;=_辅助!$J$2,OR(资金流水!$C$469=$C$18,AND(资金流水!$AD$469=$C$18,资金流水!$X$469="账户互转"),AND($E$18&lt;&gt;"",资金流水!$J$469=$E$18,资金流水!$X$469="应付职工薪酬"))),INT(资金流水!$B$469)*10000+464,"")</f>
      </c>
    </row>
    <row r="470">
      <c r="AA470" s="2">
        <f>IF(AND(ISNUMBER(资金流水!$B$470),ISNUMBER(资金流水!$S$470),资金流水!$S$470&gt;=_辅助!$J$4,资金流水!$S$470&lt;=_辅助!$J$2,OR(资金流水!$C$470=$C$18,AND(资金流水!$AD$470=$C$18,资金流水!$X$470="账户互转"),AND($E$18&lt;&gt;"",资金流水!$J$470=$E$18,资金流水!$X$470="应付职工薪酬"))),INT(资金流水!$B$470)*10000+465,"")</f>
      </c>
    </row>
    <row r="471">
      <c r="AA471" s="2">
        <f>IF(AND(ISNUMBER(资金流水!$B$471),ISNUMBER(资金流水!$S$471),资金流水!$S$471&gt;=_辅助!$J$4,资金流水!$S$471&lt;=_辅助!$J$2,OR(资金流水!$C$471=$C$18,AND(资金流水!$AD$471=$C$18,资金流水!$X$471="账户互转"),AND($E$18&lt;&gt;"",资金流水!$J$471=$E$18,资金流水!$X$471="应付职工薪酬"))),INT(资金流水!$B$471)*10000+466,"")</f>
      </c>
    </row>
    <row r="472">
      <c r="AA472" s="2">
        <f>IF(AND(ISNUMBER(资金流水!$B$472),ISNUMBER(资金流水!$S$472),资金流水!$S$472&gt;=_辅助!$J$4,资金流水!$S$472&lt;=_辅助!$J$2,OR(资金流水!$C$472=$C$18,AND(资金流水!$AD$472=$C$18,资金流水!$X$472="账户互转"),AND($E$18&lt;&gt;"",资金流水!$J$472=$E$18,资金流水!$X$472="应付职工薪酬"))),INT(资金流水!$B$472)*10000+467,"")</f>
      </c>
    </row>
    <row r="473">
      <c r="AA473" s="2">
        <f>IF(AND(ISNUMBER(资金流水!$B$473),ISNUMBER(资金流水!$S$473),资金流水!$S$473&gt;=_辅助!$J$4,资金流水!$S$473&lt;=_辅助!$J$2,OR(资金流水!$C$473=$C$18,AND(资金流水!$AD$473=$C$18,资金流水!$X$473="账户互转"),AND($E$18&lt;&gt;"",资金流水!$J$473=$E$18,资金流水!$X$473="应付职工薪酬"))),INT(资金流水!$B$473)*10000+468,"")</f>
      </c>
    </row>
    <row r="474">
      <c r="AA474" s="2">
        <f>IF(AND(ISNUMBER(资金流水!$B$474),ISNUMBER(资金流水!$S$474),资金流水!$S$474&gt;=_辅助!$J$4,资金流水!$S$474&lt;=_辅助!$J$2,OR(资金流水!$C$474=$C$18,AND(资金流水!$AD$474=$C$18,资金流水!$X$474="账户互转"),AND($E$18&lt;&gt;"",资金流水!$J$474=$E$18,资金流水!$X$474="应付职工薪酬"))),INT(资金流水!$B$474)*10000+469,"")</f>
      </c>
    </row>
    <row r="475">
      <c r="AA475" s="2">
        <f>IF(AND(ISNUMBER(资金流水!$B$475),ISNUMBER(资金流水!$S$475),资金流水!$S$475&gt;=_辅助!$J$4,资金流水!$S$475&lt;=_辅助!$J$2,OR(资金流水!$C$475=$C$18,AND(资金流水!$AD$475=$C$18,资金流水!$X$475="账户互转"),AND($E$18&lt;&gt;"",资金流水!$J$475=$E$18,资金流水!$X$475="应付职工薪酬"))),INT(资金流水!$B$475)*10000+470,"")</f>
      </c>
    </row>
    <row r="476">
      <c r="AA476" s="2">
        <f>IF(AND(ISNUMBER(资金流水!$B$476),ISNUMBER(资金流水!$S$476),资金流水!$S$476&gt;=_辅助!$J$4,资金流水!$S$476&lt;=_辅助!$J$2,OR(资金流水!$C$476=$C$18,AND(资金流水!$AD$476=$C$18,资金流水!$X$476="账户互转"),AND($E$18&lt;&gt;"",资金流水!$J$476=$E$18,资金流水!$X$476="应付职工薪酬"))),INT(资金流水!$B$476)*10000+471,"")</f>
      </c>
    </row>
    <row r="477">
      <c r="AA477" s="2">
        <f>IF(AND(ISNUMBER(资金流水!$B$477),ISNUMBER(资金流水!$S$477),资金流水!$S$477&gt;=_辅助!$J$4,资金流水!$S$477&lt;=_辅助!$J$2,OR(资金流水!$C$477=$C$18,AND(资金流水!$AD$477=$C$18,资金流水!$X$477="账户互转"),AND($E$18&lt;&gt;"",资金流水!$J$477=$E$18,资金流水!$X$477="应付职工薪酬"))),INT(资金流水!$B$477)*10000+472,"")</f>
      </c>
    </row>
    <row r="478">
      <c r="AA478" s="2">
        <f>IF(AND(ISNUMBER(资金流水!$B$478),ISNUMBER(资金流水!$S$478),资金流水!$S$478&gt;=_辅助!$J$4,资金流水!$S$478&lt;=_辅助!$J$2,OR(资金流水!$C$478=$C$18,AND(资金流水!$AD$478=$C$18,资金流水!$X$478="账户互转"),AND($E$18&lt;&gt;"",资金流水!$J$478=$E$18,资金流水!$X$478="应付职工薪酬"))),INT(资金流水!$B$478)*10000+473,"")</f>
      </c>
    </row>
    <row r="479">
      <c r="AA479" s="2">
        <f>IF(AND(ISNUMBER(资金流水!$B$479),ISNUMBER(资金流水!$S$479),资金流水!$S$479&gt;=_辅助!$J$4,资金流水!$S$479&lt;=_辅助!$J$2,OR(资金流水!$C$479=$C$18,AND(资金流水!$AD$479=$C$18,资金流水!$X$479="账户互转"),AND($E$18&lt;&gt;"",资金流水!$J$479=$E$18,资金流水!$X$479="应付职工薪酬"))),INT(资金流水!$B$479)*10000+474,"")</f>
      </c>
    </row>
    <row r="480">
      <c r="AA480" s="2">
        <f>IF(AND(ISNUMBER(资金流水!$B$480),ISNUMBER(资金流水!$S$480),资金流水!$S$480&gt;=_辅助!$J$4,资金流水!$S$480&lt;=_辅助!$J$2,OR(资金流水!$C$480=$C$18,AND(资金流水!$AD$480=$C$18,资金流水!$X$480="账户互转"),AND($E$18&lt;&gt;"",资金流水!$J$480=$E$18,资金流水!$X$480="应付职工薪酬"))),INT(资金流水!$B$480)*10000+475,"")</f>
      </c>
    </row>
    <row r="481">
      <c r="AA481" s="2">
        <f>IF(AND(ISNUMBER(资金流水!$B$481),ISNUMBER(资金流水!$S$481),资金流水!$S$481&gt;=_辅助!$J$4,资金流水!$S$481&lt;=_辅助!$J$2,OR(资金流水!$C$481=$C$18,AND(资金流水!$AD$481=$C$18,资金流水!$X$481="账户互转"),AND($E$18&lt;&gt;"",资金流水!$J$481=$E$18,资金流水!$X$481="应付职工薪酬"))),INT(资金流水!$B$481)*10000+476,"")</f>
      </c>
    </row>
    <row r="482">
      <c r="AA482" s="2">
        <f>IF(AND(ISNUMBER(资金流水!$B$482),ISNUMBER(资金流水!$S$482),资金流水!$S$482&gt;=_辅助!$J$4,资金流水!$S$482&lt;=_辅助!$J$2,OR(资金流水!$C$482=$C$18,AND(资金流水!$AD$482=$C$18,资金流水!$X$482="账户互转"),AND($E$18&lt;&gt;"",资金流水!$J$482=$E$18,资金流水!$X$482="应付职工薪酬"))),INT(资金流水!$B$482)*10000+477,"")</f>
      </c>
    </row>
    <row r="483">
      <c r="AA483" s="2">
        <f>IF(AND(ISNUMBER(资金流水!$B$483),ISNUMBER(资金流水!$S$483),资金流水!$S$483&gt;=_辅助!$J$4,资金流水!$S$483&lt;=_辅助!$J$2,OR(资金流水!$C$483=$C$18,AND(资金流水!$AD$483=$C$18,资金流水!$X$483="账户互转"),AND($E$18&lt;&gt;"",资金流水!$J$483=$E$18,资金流水!$X$483="应付职工薪酬"))),INT(资金流水!$B$483)*10000+478,"")</f>
      </c>
    </row>
    <row r="484">
      <c r="AA484" s="2">
        <f>IF(AND(ISNUMBER(资金流水!$B$484),ISNUMBER(资金流水!$S$484),资金流水!$S$484&gt;=_辅助!$J$4,资金流水!$S$484&lt;=_辅助!$J$2,OR(资金流水!$C$484=$C$18,AND(资金流水!$AD$484=$C$18,资金流水!$X$484="账户互转"),AND($E$18&lt;&gt;"",资金流水!$J$484=$E$18,资金流水!$X$484="应付职工薪酬"))),INT(资金流水!$B$484)*10000+479,"")</f>
      </c>
    </row>
    <row r="485">
      <c r="AA485" s="2">
        <f>IF(AND(ISNUMBER(资金流水!$B$485),ISNUMBER(资金流水!$S$485),资金流水!$S$485&gt;=_辅助!$J$4,资金流水!$S$485&lt;=_辅助!$J$2,OR(资金流水!$C$485=$C$18,AND(资金流水!$AD$485=$C$18,资金流水!$X$485="账户互转"),AND($E$18&lt;&gt;"",资金流水!$J$485=$E$18,资金流水!$X$485="应付职工薪酬"))),INT(资金流水!$B$485)*10000+480,"")</f>
      </c>
    </row>
    <row r="486">
      <c r="AA486" s="2">
        <f>IF(AND(ISNUMBER(资金流水!$B$486),ISNUMBER(资金流水!$S$486),资金流水!$S$486&gt;=_辅助!$J$4,资金流水!$S$486&lt;=_辅助!$J$2,OR(资金流水!$C$486=$C$18,AND(资金流水!$AD$486=$C$18,资金流水!$X$486="账户互转"),AND($E$18&lt;&gt;"",资金流水!$J$486=$E$18,资金流水!$X$486="应付职工薪酬"))),INT(资金流水!$B$486)*10000+481,"")</f>
      </c>
    </row>
    <row r="487">
      <c r="AA487" s="2">
        <f>IF(AND(ISNUMBER(资金流水!$B$487),ISNUMBER(资金流水!$S$487),资金流水!$S$487&gt;=_辅助!$J$4,资金流水!$S$487&lt;=_辅助!$J$2,OR(资金流水!$C$487=$C$18,AND(资金流水!$AD$487=$C$18,资金流水!$X$487="账户互转"),AND($E$18&lt;&gt;"",资金流水!$J$487=$E$18,资金流水!$X$487="应付职工薪酬"))),INT(资金流水!$B$487)*10000+482,"")</f>
      </c>
    </row>
    <row r="488">
      <c r="AA488" s="2">
        <f>IF(AND(ISNUMBER(资金流水!$B$488),ISNUMBER(资金流水!$S$488),资金流水!$S$488&gt;=_辅助!$J$4,资金流水!$S$488&lt;=_辅助!$J$2,OR(资金流水!$C$488=$C$18,AND(资金流水!$AD$488=$C$18,资金流水!$X$488="账户互转"),AND($E$18&lt;&gt;"",资金流水!$J$488=$E$18,资金流水!$X$488="应付职工薪酬"))),INT(资金流水!$B$488)*10000+483,"")</f>
      </c>
    </row>
    <row r="489">
      <c r="AA489" s="2">
        <f>IF(AND(ISNUMBER(资金流水!$B$489),ISNUMBER(资金流水!$S$489),资金流水!$S$489&gt;=_辅助!$J$4,资金流水!$S$489&lt;=_辅助!$J$2,OR(资金流水!$C$489=$C$18,AND(资金流水!$AD$489=$C$18,资金流水!$X$489="账户互转"),AND($E$18&lt;&gt;"",资金流水!$J$489=$E$18,资金流水!$X$489="应付职工薪酬"))),INT(资金流水!$B$489)*10000+484,"")</f>
      </c>
    </row>
    <row r="490">
      <c r="AA490" s="2">
        <f>IF(AND(ISNUMBER(资金流水!$B$490),ISNUMBER(资金流水!$S$490),资金流水!$S$490&gt;=_辅助!$J$4,资金流水!$S$490&lt;=_辅助!$J$2,OR(资金流水!$C$490=$C$18,AND(资金流水!$AD$490=$C$18,资金流水!$X$490="账户互转"),AND($E$18&lt;&gt;"",资金流水!$J$490=$E$18,资金流水!$X$490="应付职工薪酬"))),INT(资金流水!$B$490)*10000+485,"")</f>
      </c>
    </row>
    <row r="491">
      <c r="AA491" s="2">
        <f>IF(AND(ISNUMBER(资金流水!$B$491),ISNUMBER(资金流水!$S$491),资金流水!$S$491&gt;=_辅助!$J$4,资金流水!$S$491&lt;=_辅助!$J$2,OR(资金流水!$C$491=$C$18,AND(资金流水!$AD$491=$C$18,资金流水!$X$491="账户互转"),AND($E$18&lt;&gt;"",资金流水!$J$491=$E$18,资金流水!$X$491="应付职工薪酬"))),INT(资金流水!$B$491)*10000+486,"")</f>
      </c>
    </row>
    <row r="492">
      <c r="AA492" s="2">
        <f>IF(AND(ISNUMBER(资金流水!$B$492),ISNUMBER(资金流水!$S$492),资金流水!$S$492&gt;=_辅助!$J$4,资金流水!$S$492&lt;=_辅助!$J$2,OR(资金流水!$C$492=$C$18,AND(资金流水!$AD$492=$C$18,资金流水!$X$492="账户互转"),AND($E$18&lt;&gt;"",资金流水!$J$492=$E$18,资金流水!$X$492="应付职工薪酬"))),INT(资金流水!$B$492)*10000+487,"")</f>
      </c>
    </row>
    <row r="493">
      <c r="AA493" s="2">
        <f>IF(AND(ISNUMBER(资金流水!$B$493),ISNUMBER(资金流水!$S$493),资金流水!$S$493&gt;=_辅助!$J$4,资金流水!$S$493&lt;=_辅助!$J$2,OR(资金流水!$C$493=$C$18,AND(资金流水!$AD$493=$C$18,资金流水!$X$493="账户互转"),AND($E$18&lt;&gt;"",资金流水!$J$493=$E$18,资金流水!$X$493="应付职工薪酬"))),INT(资金流水!$B$493)*10000+488,"")</f>
      </c>
    </row>
    <row r="494">
      <c r="AA494" s="2">
        <f>IF(AND(ISNUMBER(资金流水!$B$494),ISNUMBER(资金流水!$S$494),资金流水!$S$494&gt;=_辅助!$J$4,资金流水!$S$494&lt;=_辅助!$J$2,OR(资金流水!$C$494=$C$18,AND(资金流水!$AD$494=$C$18,资金流水!$X$494="账户互转"),AND($E$18&lt;&gt;"",资金流水!$J$494=$E$18,资金流水!$X$494="应付职工薪酬"))),INT(资金流水!$B$494)*10000+489,"")</f>
      </c>
    </row>
    <row r="495">
      <c r="AA495" s="2">
        <f>IF(AND(ISNUMBER(资金流水!$B$495),ISNUMBER(资金流水!$S$495),资金流水!$S$495&gt;=_辅助!$J$4,资金流水!$S$495&lt;=_辅助!$J$2,OR(资金流水!$C$495=$C$18,AND(资金流水!$AD$495=$C$18,资金流水!$X$495="账户互转"),AND($E$18&lt;&gt;"",资金流水!$J$495=$E$18,资金流水!$X$495="应付职工薪酬"))),INT(资金流水!$B$495)*10000+490,"")</f>
      </c>
    </row>
    <row r="496">
      <c r="AA496" s="2">
        <f>IF(AND(ISNUMBER(资金流水!$B$496),ISNUMBER(资金流水!$S$496),资金流水!$S$496&gt;=_辅助!$J$4,资金流水!$S$496&lt;=_辅助!$J$2,OR(资金流水!$C$496=$C$18,AND(资金流水!$AD$496=$C$18,资金流水!$X$496="账户互转"),AND($E$18&lt;&gt;"",资金流水!$J$496=$E$18,资金流水!$X$496="应付职工薪酬"))),INT(资金流水!$B$496)*10000+491,"")</f>
      </c>
    </row>
    <row r="497">
      <c r="AA497" s="2">
        <f>IF(AND(ISNUMBER(资金流水!$B$497),ISNUMBER(资金流水!$S$497),资金流水!$S$497&gt;=_辅助!$J$4,资金流水!$S$497&lt;=_辅助!$J$2,OR(资金流水!$C$497=$C$18,AND(资金流水!$AD$497=$C$18,资金流水!$X$497="账户互转"),AND($E$18&lt;&gt;"",资金流水!$J$497=$E$18,资金流水!$X$497="应付职工薪酬"))),INT(资金流水!$B$497)*10000+492,"")</f>
      </c>
    </row>
    <row r="498">
      <c r="AA498" s="2">
        <f>IF(AND(ISNUMBER(资金流水!$B$498),ISNUMBER(资金流水!$S$498),资金流水!$S$498&gt;=_辅助!$J$4,资金流水!$S$498&lt;=_辅助!$J$2,OR(资金流水!$C$498=$C$18,AND(资金流水!$AD$498=$C$18,资金流水!$X$498="账户互转"),AND($E$18&lt;&gt;"",资金流水!$J$498=$E$18,资金流水!$X$498="应付职工薪酬"))),INT(资金流水!$B$498)*10000+493,"")</f>
      </c>
    </row>
    <row r="499">
      <c r="AA499" s="2">
        <f>IF(AND(ISNUMBER(资金流水!$B$499),ISNUMBER(资金流水!$S$499),资金流水!$S$499&gt;=_辅助!$J$4,资金流水!$S$499&lt;=_辅助!$J$2,OR(资金流水!$C$499=$C$18,AND(资金流水!$AD$499=$C$18,资金流水!$X$499="账户互转"),AND($E$18&lt;&gt;"",资金流水!$J$499=$E$18,资金流水!$X$499="应付职工薪酬"))),INT(资金流水!$B$499)*10000+494,"")</f>
      </c>
    </row>
    <row r="500">
      <c r="AA500" s="2">
        <f>IF(AND(ISNUMBER(资金流水!$B$500),ISNUMBER(资金流水!$S$500),资金流水!$S$500&gt;=_辅助!$J$4,资金流水!$S$500&lt;=_辅助!$J$2,OR(资金流水!$C$500=$C$18,AND(资金流水!$AD$500=$C$18,资金流水!$X$500="账户互转"),AND($E$18&lt;&gt;"",资金流水!$J$500=$E$18,资金流水!$X$500="应付职工薪酬"))),INT(资金流水!$B$500)*10000+495,"")</f>
      </c>
    </row>
    <row r="501">
      <c r="AA501" s="2">
        <f>IF(AND(ISNUMBER(资金流水!$B$501),ISNUMBER(资金流水!$S$501),资金流水!$S$501&gt;=_辅助!$J$4,资金流水!$S$501&lt;=_辅助!$J$2,OR(资金流水!$C$501=$C$18,AND(资金流水!$AD$501=$C$18,资金流水!$X$501="账户互转"),AND($E$18&lt;&gt;"",资金流水!$J$501=$E$18,资金流水!$X$501="应付职工薪酬"))),INT(资金流水!$B$501)*10000+496,"")</f>
      </c>
    </row>
    <row r="502">
      <c r="AA502" s="2">
        <f>IF(AND(ISNUMBER(资金流水!$B$502),ISNUMBER(资金流水!$S$502),资金流水!$S$502&gt;=_辅助!$J$4,资金流水!$S$502&lt;=_辅助!$J$2,OR(资金流水!$C$502=$C$18,AND(资金流水!$AD$502=$C$18,资金流水!$X$502="账户互转"),AND($E$18&lt;&gt;"",资金流水!$J$502=$E$18,资金流水!$X$502="应付职工薪酬"))),INT(资金流水!$B$502)*10000+497,"")</f>
      </c>
    </row>
    <row r="503">
      <c r="AA503" s="2">
        <f>IF(AND(ISNUMBER(资金流水!$B$503),ISNUMBER(资金流水!$S$503),资金流水!$S$503&gt;=_辅助!$J$4,资金流水!$S$503&lt;=_辅助!$J$2,OR(资金流水!$C$503=$C$18,AND(资金流水!$AD$503=$C$18,资金流水!$X$503="账户互转"),AND($E$18&lt;&gt;"",资金流水!$J$503=$E$18,资金流水!$X$503="应付职工薪酬"))),INT(资金流水!$B$503)*10000+498,"")</f>
      </c>
    </row>
    <row r="504">
      <c r="AA504" s="2">
        <f>IF(AND(ISNUMBER(资金流水!$B$504),ISNUMBER(资金流水!$S$504),资金流水!$S$504&gt;=_辅助!$J$4,资金流水!$S$504&lt;=_辅助!$J$2,OR(资金流水!$C$504=$C$18,AND(资金流水!$AD$504=$C$18,资金流水!$X$504="账户互转"),AND($E$18&lt;&gt;"",资金流水!$J$504=$E$18,资金流水!$X$504="应付职工薪酬"))),INT(资金流水!$B$504)*10000+499,"")</f>
      </c>
    </row>
    <row r="505">
      <c r="AA505" s="2">
        <f>IF(AND(ISNUMBER(资金流水!$B$505),ISNUMBER(资金流水!$S$505),资金流水!$S$505&gt;=_辅助!$J$4,资金流水!$S$505&lt;=_辅助!$J$2,OR(资金流水!$C$505=$C$18,AND(资金流水!$AD$505=$C$18,资金流水!$X$505="账户互转"),AND($E$18&lt;&gt;"",资金流水!$J$505=$E$18,资金流水!$X$505="应付职工薪酬"))),INT(资金流水!$B$505)*10000+500,"")</f>
      </c>
    </row>
    <row r="506">
      <c r="AA506" s="2">
        <f>IF(AND(ISNUMBER(资金流水!$B$506),ISNUMBER(资金流水!$S$506),资金流水!$S$506&gt;=_辅助!$J$4,资金流水!$S$506&lt;=_辅助!$J$2,OR(资金流水!$C$506=$C$18,AND(资金流水!$AD$506=$C$18,资金流水!$X$506="账户互转"),AND($E$18&lt;&gt;"",资金流水!$J$506=$E$18,资金流水!$X$506="应付职工薪酬"))),INT(资金流水!$B$506)*10000+501,"")</f>
      </c>
    </row>
    <row r="507">
      <c r="AA507" s="2">
        <f>IF(AND(ISNUMBER(资金流水!$B$507),ISNUMBER(资金流水!$S$507),资金流水!$S$507&gt;=_辅助!$J$4,资金流水!$S$507&lt;=_辅助!$J$2,OR(资金流水!$C$507=$C$18,AND(资金流水!$AD$507=$C$18,资金流水!$X$507="账户互转"),AND($E$18&lt;&gt;"",资金流水!$J$507=$E$18,资金流水!$X$507="应付职工薪酬"))),INT(资金流水!$B$507)*10000+502,"")</f>
      </c>
    </row>
    <row r="508">
      <c r="AA508" s="2">
        <f>IF(AND(ISNUMBER(资金流水!$B$508),ISNUMBER(资金流水!$S$508),资金流水!$S$508&gt;=_辅助!$J$4,资金流水!$S$508&lt;=_辅助!$J$2,OR(资金流水!$C$508=$C$18,AND(资金流水!$AD$508=$C$18,资金流水!$X$508="账户互转"),AND($E$18&lt;&gt;"",资金流水!$J$508=$E$18,资金流水!$X$508="应付职工薪酬"))),INT(资金流水!$B$508)*10000+503,"")</f>
      </c>
    </row>
    <row r="509">
      <c r="AA509" s="2">
        <f>IF(AND(ISNUMBER(资金流水!$B$509),ISNUMBER(资金流水!$S$509),资金流水!$S$509&gt;=_辅助!$J$4,资金流水!$S$509&lt;=_辅助!$J$2,OR(资金流水!$C$509=$C$18,AND(资金流水!$AD$509=$C$18,资金流水!$X$509="账户互转"),AND($E$18&lt;&gt;"",资金流水!$J$509=$E$18,资金流水!$X$509="应付职工薪酬"))),INT(资金流水!$B$509)*10000+504,"")</f>
      </c>
    </row>
    <row r="510">
      <c r="AA510" s="2">
        <f>IF(AND(ISNUMBER(资金流水!$B$510),ISNUMBER(资金流水!$S$510),资金流水!$S$510&gt;=_辅助!$J$4,资金流水!$S$510&lt;=_辅助!$J$2,OR(资金流水!$C$510=$C$18,AND(资金流水!$AD$510=$C$18,资金流水!$X$510="账户互转"),AND($E$18&lt;&gt;"",资金流水!$J$510=$E$18,资金流水!$X$510="应付职工薪酬"))),INT(资金流水!$B$510)*10000+505,"")</f>
      </c>
    </row>
    <row r="511">
      <c r="AA511" s="2">
        <f>IF(AND(ISNUMBER(资金流水!$B$511),ISNUMBER(资金流水!$S$511),资金流水!$S$511&gt;=_辅助!$J$4,资金流水!$S$511&lt;=_辅助!$J$2,OR(资金流水!$C$511=$C$18,AND(资金流水!$AD$511=$C$18,资金流水!$X$511="账户互转"),AND($E$18&lt;&gt;"",资金流水!$J$511=$E$18,资金流水!$X$511="应付职工薪酬"))),INT(资金流水!$B$511)*10000+506,"")</f>
      </c>
    </row>
    <row r="512">
      <c r="AA512" s="2">
        <f>IF(AND(ISNUMBER(资金流水!$B$512),ISNUMBER(资金流水!$S$512),资金流水!$S$512&gt;=_辅助!$J$4,资金流水!$S$512&lt;=_辅助!$J$2,OR(资金流水!$C$512=$C$18,AND(资金流水!$AD$512=$C$18,资金流水!$X$512="账户互转"),AND($E$18&lt;&gt;"",资金流水!$J$512=$E$18,资金流水!$X$512="应付职工薪酬"))),INT(资金流水!$B$512)*10000+507,"")</f>
      </c>
    </row>
    <row r="513">
      <c r="AA513" s="2">
        <f>IF(AND(ISNUMBER(资金流水!$B$513),ISNUMBER(资金流水!$S$513),资金流水!$S$513&gt;=_辅助!$J$4,资金流水!$S$513&lt;=_辅助!$J$2,OR(资金流水!$C$513=$C$18,AND(资金流水!$AD$513=$C$18,资金流水!$X$513="账户互转"),AND($E$18&lt;&gt;"",资金流水!$J$513=$E$18,资金流水!$X$513="应付职工薪酬"))),INT(资金流水!$B$513)*10000+508,"")</f>
      </c>
    </row>
    <row r="514">
      <c r="AA514" s="2">
        <f>IF(AND(ISNUMBER(资金流水!$B$514),ISNUMBER(资金流水!$S$514),资金流水!$S$514&gt;=_辅助!$J$4,资金流水!$S$514&lt;=_辅助!$J$2,OR(资金流水!$C$514=$C$18,AND(资金流水!$AD$514=$C$18,资金流水!$X$514="账户互转"),AND($E$18&lt;&gt;"",资金流水!$J$514=$E$18,资金流水!$X$514="应付职工薪酬"))),INT(资金流水!$B$514)*10000+509,"")</f>
      </c>
    </row>
    <row r="515">
      <c r="AA515" s="2">
        <f>IF(AND(ISNUMBER(资金流水!$B$515),ISNUMBER(资金流水!$S$515),资金流水!$S$515&gt;=_辅助!$J$4,资金流水!$S$515&lt;=_辅助!$J$2,OR(资金流水!$C$515=$C$18,AND(资金流水!$AD$515=$C$18,资金流水!$X$515="账户互转"),AND($E$18&lt;&gt;"",资金流水!$J$515=$E$18,资金流水!$X$515="应付职工薪酬"))),INT(资金流水!$B$515)*10000+510,"")</f>
      </c>
    </row>
    <row r="516">
      <c r="AA516" s="2">
        <f>IF(AND(ISNUMBER(资金流水!$B$516),ISNUMBER(资金流水!$S$516),资金流水!$S$516&gt;=_辅助!$J$4,资金流水!$S$516&lt;=_辅助!$J$2,OR(资金流水!$C$516=$C$18,AND(资金流水!$AD$516=$C$18,资金流水!$X$516="账户互转"),AND($E$18&lt;&gt;"",资金流水!$J$516=$E$18,资金流水!$X$516="应付职工薪酬"))),INT(资金流水!$B$516)*10000+511,"")</f>
      </c>
    </row>
    <row r="517">
      <c r="AA517" s="2">
        <f>IF(AND(ISNUMBER(资金流水!$B$517),ISNUMBER(资金流水!$S$517),资金流水!$S$517&gt;=_辅助!$J$4,资金流水!$S$517&lt;=_辅助!$J$2,OR(资金流水!$C$517=$C$18,AND(资金流水!$AD$517=$C$18,资金流水!$X$517="账户互转"),AND($E$18&lt;&gt;"",资金流水!$J$517=$E$18,资金流水!$X$517="应付职工薪酬"))),INT(资金流水!$B$517)*10000+512,"")</f>
      </c>
    </row>
    <row r="518">
      <c r="AA518" s="2">
        <f>IF(AND(ISNUMBER(资金流水!$B$518),ISNUMBER(资金流水!$S$518),资金流水!$S$518&gt;=_辅助!$J$4,资金流水!$S$518&lt;=_辅助!$J$2,OR(资金流水!$C$518=$C$18,AND(资金流水!$AD$518=$C$18,资金流水!$X$518="账户互转"),AND($E$18&lt;&gt;"",资金流水!$J$518=$E$18,资金流水!$X$518="应付职工薪酬"))),INT(资金流水!$B$518)*10000+513,"")</f>
      </c>
    </row>
    <row r="519">
      <c r="AA519" s="2">
        <f>IF(AND(ISNUMBER(资金流水!$B$519),ISNUMBER(资金流水!$S$519),资金流水!$S$519&gt;=_辅助!$J$4,资金流水!$S$519&lt;=_辅助!$J$2,OR(资金流水!$C$519=$C$18,AND(资金流水!$AD$519=$C$18,资金流水!$X$519="账户互转"),AND($E$18&lt;&gt;"",资金流水!$J$519=$E$18,资金流水!$X$519="应付职工薪酬"))),INT(资金流水!$B$519)*10000+514,"")</f>
      </c>
    </row>
    <row r="520">
      <c r="AA520" s="2">
        <f>IF(AND(ISNUMBER(资金流水!$B$520),ISNUMBER(资金流水!$S$520),资金流水!$S$520&gt;=_辅助!$J$4,资金流水!$S$520&lt;=_辅助!$J$2,OR(资金流水!$C$520=$C$18,AND(资金流水!$AD$520=$C$18,资金流水!$X$520="账户互转"),AND($E$18&lt;&gt;"",资金流水!$J$520=$E$18,资金流水!$X$520="应付职工薪酬"))),INT(资金流水!$B$520)*10000+515,"")</f>
      </c>
    </row>
    <row r="521">
      <c r="AA521" s="2">
        <f>IF(AND(ISNUMBER(资金流水!$B$521),ISNUMBER(资金流水!$S$521),资金流水!$S$521&gt;=_辅助!$J$4,资金流水!$S$521&lt;=_辅助!$J$2,OR(资金流水!$C$521=$C$18,AND(资金流水!$AD$521=$C$18,资金流水!$X$521="账户互转"),AND($E$18&lt;&gt;"",资金流水!$J$521=$E$18,资金流水!$X$521="应付职工薪酬"))),INT(资金流水!$B$521)*10000+516,"")</f>
      </c>
    </row>
    <row r="522">
      <c r="AA522" s="2">
        <f>IF(AND(ISNUMBER(资金流水!$B$522),ISNUMBER(资金流水!$S$522),资金流水!$S$522&gt;=_辅助!$J$4,资金流水!$S$522&lt;=_辅助!$J$2,OR(资金流水!$C$522=$C$18,AND(资金流水!$AD$522=$C$18,资金流水!$X$522="账户互转"),AND($E$18&lt;&gt;"",资金流水!$J$522=$E$18,资金流水!$X$522="应付职工薪酬"))),INT(资金流水!$B$522)*10000+517,"")</f>
      </c>
    </row>
    <row r="523">
      <c r="AA523" s="2">
        <f>IF(AND(ISNUMBER(资金流水!$B$523),ISNUMBER(资金流水!$S$523),资金流水!$S$523&gt;=_辅助!$J$4,资金流水!$S$523&lt;=_辅助!$J$2,OR(资金流水!$C$523=$C$18,AND(资金流水!$AD$523=$C$18,资金流水!$X$523="账户互转"),AND($E$18&lt;&gt;"",资金流水!$J$523=$E$18,资金流水!$X$523="应付职工薪酬"))),INT(资金流水!$B$523)*10000+518,"")</f>
      </c>
    </row>
    <row r="524">
      <c r="AA524" s="2">
        <f>IF(AND(ISNUMBER(资金流水!$B$524),ISNUMBER(资金流水!$S$524),资金流水!$S$524&gt;=_辅助!$J$4,资金流水!$S$524&lt;=_辅助!$J$2,OR(资金流水!$C$524=$C$18,AND(资金流水!$AD$524=$C$18,资金流水!$X$524="账户互转"),AND($E$18&lt;&gt;"",资金流水!$J$524=$E$18,资金流水!$X$524="应付职工薪酬"))),INT(资金流水!$B$524)*10000+519,"")</f>
      </c>
    </row>
    <row r="525">
      <c r="AA525" s="2">
        <f>IF(AND(ISNUMBER(资金流水!$B$525),ISNUMBER(资金流水!$S$525),资金流水!$S$525&gt;=_辅助!$J$4,资金流水!$S$525&lt;=_辅助!$J$2,OR(资金流水!$C$525=$C$18,AND(资金流水!$AD$525=$C$18,资金流水!$X$525="账户互转"),AND($E$18&lt;&gt;"",资金流水!$J$525=$E$18,资金流水!$X$525="应付职工薪酬"))),INT(资金流水!$B$525)*10000+520,"")</f>
      </c>
    </row>
    <row r="526">
      <c r="AA526" s="2">
        <f>IF(AND(ISNUMBER(资金流水!$B$526),ISNUMBER(资金流水!$S$526),资金流水!$S$526&gt;=_辅助!$J$4,资金流水!$S$526&lt;=_辅助!$J$2,OR(资金流水!$C$526=$C$18,AND(资金流水!$AD$526=$C$18,资金流水!$X$526="账户互转"),AND($E$18&lt;&gt;"",资金流水!$J$526=$E$18,资金流水!$X$526="应付职工薪酬"))),INT(资金流水!$B$526)*10000+521,"")</f>
      </c>
    </row>
    <row r="527">
      <c r="AA527" s="2">
        <f>IF(AND(ISNUMBER(资金流水!$B$527),ISNUMBER(资金流水!$S$527),资金流水!$S$527&gt;=_辅助!$J$4,资金流水!$S$527&lt;=_辅助!$J$2,OR(资金流水!$C$527=$C$18,AND(资金流水!$AD$527=$C$18,资金流水!$X$527="账户互转"),AND($E$18&lt;&gt;"",资金流水!$J$527=$E$18,资金流水!$X$527="应付职工薪酬"))),INT(资金流水!$B$527)*10000+522,"")</f>
      </c>
    </row>
    <row r="528">
      <c r="AA528" s="2">
        <f>IF(AND(ISNUMBER(资金流水!$B$528),ISNUMBER(资金流水!$S$528),资金流水!$S$528&gt;=_辅助!$J$4,资金流水!$S$528&lt;=_辅助!$J$2,OR(资金流水!$C$528=$C$18,AND(资金流水!$AD$528=$C$18,资金流水!$X$528="账户互转"),AND($E$18&lt;&gt;"",资金流水!$J$528=$E$18,资金流水!$X$528="应付职工薪酬"))),INT(资金流水!$B$528)*10000+523,"")</f>
      </c>
    </row>
    <row r="529">
      <c r="AA529" s="2">
        <f>IF(AND(ISNUMBER(资金流水!$B$529),ISNUMBER(资金流水!$S$529),资金流水!$S$529&gt;=_辅助!$J$4,资金流水!$S$529&lt;=_辅助!$J$2,OR(资金流水!$C$529=$C$18,AND(资金流水!$AD$529=$C$18,资金流水!$X$529="账户互转"),AND($E$18&lt;&gt;"",资金流水!$J$529=$E$18,资金流水!$X$529="应付职工薪酬"))),INT(资金流水!$B$529)*10000+524,"")</f>
      </c>
    </row>
    <row r="530">
      <c r="AA530" s="2">
        <f>IF(AND(ISNUMBER(资金流水!$B$530),ISNUMBER(资金流水!$S$530),资金流水!$S$530&gt;=_辅助!$J$4,资金流水!$S$530&lt;=_辅助!$J$2,OR(资金流水!$C$530=$C$18,AND(资金流水!$AD$530=$C$18,资金流水!$X$530="账户互转"),AND($E$18&lt;&gt;"",资金流水!$J$530=$E$18,资金流水!$X$530="应付职工薪酬"))),INT(资金流水!$B$530)*10000+525,"")</f>
      </c>
    </row>
    <row r="531">
      <c r="AA531" s="2">
        <f>IF(AND(ISNUMBER(资金流水!$B$531),ISNUMBER(资金流水!$S$531),资金流水!$S$531&gt;=_辅助!$J$4,资金流水!$S$531&lt;=_辅助!$J$2,OR(资金流水!$C$531=$C$18,AND(资金流水!$AD$531=$C$18,资金流水!$X$531="账户互转"),AND($E$18&lt;&gt;"",资金流水!$J$531=$E$18,资金流水!$X$531="应付职工薪酬"))),INT(资金流水!$B$531)*10000+526,"")</f>
      </c>
    </row>
    <row r="532">
      <c r="AA532" s="2">
        <f>IF(AND(ISNUMBER(资金流水!$B$532),ISNUMBER(资金流水!$S$532),资金流水!$S$532&gt;=_辅助!$J$4,资金流水!$S$532&lt;=_辅助!$J$2,OR(资金流水!$C$532=$C$18,AND(资金流水!$AD$532=$C$18,资金流水!$X$532="账户互转"),AND($E$18&lt;&gt;"",资金流水!$J$532=$E$18,资金流水!$X$532="应付职工薪酬"))),INT(资金流水!$B$532)*10000+527,"")</f>
      </c>
    </row>
    <row r="533">
      <c r="AA533" s="2">
        <f>IF(AND(ISNUMBER(资金流水!$B$533),ISNUMBER(资金流水!$S$533),资金流水!$S$533&gt;=_辅助!$J$4,资金流水!$S$533&lt;=_辅助!$J$2,OR(资金流水!$C$533=$C$18,AND(资金流水!$AD$533=$C$18,资金流水!$X$533="账户互转"),AND($E$18&lt;&gt;"",资金流水!$J$533=$E$18,资金流水!$X$533="应付职工薪酬"))),INT(资金流水!$B$533)*10000+528,"")</f>
      </c>
    </row>
    <row r="534">
      <c r="AA534" s="2">
        <f>IF(AND(ISNUMBER(资金流水!$B$534),ISNUMBER(资金流水!$S$534),资金流水!$S$534&gt;=_辅助!$J$4,资金流水!$S$534&lt;=_辅助!$J$2,OR(资金流水!$C$534=$C$18,AND(资金流水!$AD$534=$C$18,资金流水!$X$534="账户互转"),AND($E$18&lt;&gt;"",资金流水!$J$534=$E$18,资金流水!$X$534="应付职工薪酬"))),INT(资金流水!$B$534)*10000+529,"")</f>
      </c>
    </row>
    <row r="535">
      <c r="AA535" s="2">
        <f>IF(AND(ISNUMBER(资金流水!$B$535),ISNUMBER(资金流水!$S$535),资金流水!$S$535&gt;=_辅助!$J$4,资金流水!$S$535&lt;=_辅助!$J$2,OR(资金流水!$C$535=$C$18,AND(资金流水!$AD$535=$C$18,资金流水!$X$535="账户互转"),AND($E$18&lt;&gt;"",资金流水!$J$535=$E$18,资金流水!$X$535="应付职工薪酬"))),INT(资金流水!$B$535)*10000+530,"")</f>
      </c>
    </row>
    <row r="536">
      <c r="AA536" s="2">
        <f>IF(AND(ISNUMBER(资金流水!$B$536),ISNUMBER(资金流水!$S$536),资金流水!$S$536&gt;=_辅助!$J$4,资金流水!$S$536&lt;=_辅助!$J$2,OR(资金流水!$C$536=$C$18,AND(资金流水!$AD$536=$C$18,资金流水!$X$536="账户互转"),AND($E$18&lt;&gt;"",资金流水!$J$536=$E$18,资金流水!$X$536="应付职工薪酬"))),INT(资金流水!$B$536)*10000+531,"")</f>
      </c>
    </row>
    <row r="537">
      <c r="AA537" s="2">
        <f>IF(AND(ISNUMBER(资金流水!$B$537),ISNUMBER(资金流水!$S$537),资金流水!$S$537&gt;=_辅助!$J$4,资金流水!$S$537&lt;=_辅助!$J$2,OR(资金流水!$C$537=$C$18,AND(资金流水!$AD$537=$C$18,资金流水!$X$537="账户互转"),AND($E$18&lt;&gt;"",资金流水!$J$537=$E$18,资金流水!$X$537="应付职工薪酬"))),INT(资金流水!$B$537)*10000+532,"")</f>
      </c>
    </row>
    <row r="538">
      <c r="AA538" s="2">
        <f>IF(AND(ISNUMBER(资金流水!$B$538),ISNUMBER(资金流水!$S$538),资金流水!$S$538&gt;=_辅助!$J$4,资金流水!$S$538&lt;=_辅助!$J$2,OR(资金流水!$C$538=$C$18,AND(资金流水!$AD$538=$C$18,资金流水!$X$538="账户互转"),AND($E$18&lt;&gt;"",资金流水!$J$538=$E$18,资金流水!$X$538="应付职工薪酬"))),INT(资金流水!$B$538)*10000+533,"")</f>
      </c>
    </row>
    <row r="539">
      <c r="AA539" s="2">
        <f>IF(AND(ISNUMBER(资金流水!$B$539),ISNUMBER(资金流水!$S$539),资金流水!$S$539&gt;=_辅助!$J$4,资金流水!$S$539&lt;=_辅助!$J$2,OR(资金流水!$C$539=$C$18,AND(资金流水!$AD$539=$C$18,资金流水!$X$539="账户互转"),AND($E$18&lt;&gt;"",资金流水!$J$539=$E$18,资金流水!$X$539="应付职工薪酬"))),INT(资金流水!$B$539)*10000+534,"")</f>
      </c>
    </row>
    <row r="540">
      <c r="AA540" s="2">
        <f>IF(AND(ISNUMBER(资金流水!$B$540),ISNUMBER(资金流水!$S$540),资金流水!$S$540&gt;=_辅助!$J$4,资金流水!$S$540&lt;=_辅助!$J$2,OR(资金流水!$C$540=$C$18,AND(资金流水!$AD$540=$C$18,资金流水!$X$540="账户互转"),AND($E$18&lt;&gt;"",资金流水!$J$540=$E$18,资金流水!$X$540="应付职工薪酬"))),INT(资金流水!$B$540)*10000+535,"")</f>
      </c>
    </row>
    <row r="541">
      <c r="AA541" s="2">
        <f>IF(AND(ISNUMBER(资金流水!$B$541),ISNUMBER(资金流水!$S$541),资金流水!$S$541&gt;=_辅助!$J$4,资金流水!$S$541&lt;=_辅助!$J$2,OR(资金流水!$C$541=$C$18,AND(资金流水!$AD$541=$C$18,资金流水!$X$541="账户互转"),AND($E$18&lt;&gt;"",资金流水!$J$541=$E$18,资金流水!$X$541="应付职工薪酬"))),INT(资金流水!$B$541)*10000+536,"")</f>
      </c>
    </row>
    <row r="542">
      <c r="AA542" s="2">
        <f>IF(AND(ISNUMBER(资金流水!$B$542),ISNUMBER(资金流水!$S$542),资金流水!$S$542&gt;=_辅助!$J$4,资金流水!$S$542&lt;=_辅助!$J$2,OR(资金流水!$C$542=$C$18,AND(资金流水!$AD$542=$C$18,资金流水!$X$542="账户互转"),AND($E$18&lt;&gt;"",资金流水!$J$542=$E$18,资金流水!$X$542="应付职工薪酬"))),INT(资金流水!$B$542)*10000+537,"")</f>
      </c>
    </row>
    <row r="543">
      <c r="AA543" s="2">
        <f>IF(AND(ISNUMBER(资金流水!$B$543),ISNUMBER(资金流水!$S$543),资金流水!$S$543&gt;=_辅助!$J$4,资金流水!$S$543&lt;=_辅助!$J$2,OR(资金流水!$C$543=$C$18,AND(资金流水!$AD$543=$C$18,资金流水!$X$543="账户互转"),AND($E$18&lt;&gt;"",资金流水!$J$543=$E$18,资金流水!$X$543="应付职工薪酬"))),INT(资金流水!$B$543)*10000+538,"")</f>
      </c>
    </row>
    <row r="544">
      <c r="AA544" s="2">
        <f>IF(AND(ISNUMBER(资金流水!$B$544),ISNUMBER(资金流水!$S$544),资金流水!$S$544&gt;=_辅助!$J$4,资金流水!$S$544&lt;=_辅助!$J$2,OR(资金流水!$C$544=$C$18,AND(资金流水!$AD$544=$C$18,资金流水!$X$544="账户互转"),AND($E$18&lt;&gt;"",资金流水!$J$544=$E$18,资金流水!$X$544="应付职工薪酬"))),INT(资金流水!$B$544)*10000+539,"")</f>
      </c>
    </row>
    <row r="545">
      <c r="AA545" s="2">
        <f>IF(AND(ISNUMBER(资金流水!$B$545),ISNUMBER(资金流水!$S$545),资金流水!$S$545&gt;=_辅助!$J$4,资金流水!$S$545&lt;=_辅助!$J$2,OR(资金流水!$C$545=$C$18,AND(资金流水!$AD$545=$C$18,资金流水!$X$545="账户互转"),AND($E$18&lt;&gt;"",资金流水!$J$545=$E$18,资金流水!$X$545="应付职工薪酬"))),INT(资金流水!$B$545)*10000+540,"")</f>
      </c>
    </row>
    <row r="546">
      <c r="AA546" s="2">
        <f>IF(AND(ISNUMBER(资金流水!$B$546),ISNUMBER(资金流水!$S$546),资金流水!$S$546&gt;=_辅助!$J$4,资金流水!$S$546&lt;=_辅助!$J$2,OR(资金流水!$C$546=$C$18,AND(资金流水!$AD$546=$C$18,资金流水!$X$546="账户互转"),AND($E$18&lt;&gt;"",资金流水!$J$546=$E$18,资金流水!$X$546="应付职工薪酬"))),INT(资金流水!$B$546)*10000+541,"")</f>
      </c>
    </row>
    <row r="547">
      <c r="AA547" s="2">
        <f>IF(AND(ISNUMBER(资金流水!$B$547),ISNUMBER(资金流水!$S$547),资金流水!$S$547&gt;=_辅助!$J$4,资金流水!$S$547&lt;=_辅助!$J$2,OR(资金流水!$C$547=$C$18,AND(资金流水!$AD$547=$C$18,资金流水!$X$547="账户互转"),AND($E$18&lt;&gt;"",资金流水!$J$547=$E$18,资金流水!$X$547="应付职工薪酬"))),INT(资金流水!$B$547)*10000+542,"")</f>
      </c>
    </row>
    <row r="548">
      <c r="AA548" s="2">
        <f>IF(AND(ISNUMBER(资金流水!$B$548),ISNUMBER(资金流水!$S$548),资金流水!$S$548&gt;=_辅助!$J$4,资金流水!$S$548&lt;=_辅助!$J$2,OR(资金流水!$C$548=$C$18,AND(资金流水!$AD$548=$C$18,资金流水!$X$548="账户互转"),AND($E$18&lt;&gt;"",资金流水!$J$548=$E$18,资金流水!$X$548="应付职工薪酬"))),INT(资金流水!$B$548)*10000+543,"")</f>
      </c>
    </row>
    <row r="549">
      <c r="AA549" s="2">
        <f>IF(AND(ISNUMBER(资金流水!$B$549),ISNUMBER(资金流水!$S$549),资金流水!$S$549&gt;=_辅助!$J$4,资金流水!$S$549&lt;=_辅助!$J$2,OR(资金流水!$C$549=$C$18,AND(资金流水!$AD$549=$C$18,资金流水!$X$549="账户互转"),AND($E$18&lt;&gt;"",资金流水!$J$549=$E$18,资金流水!$X$549="应付职工薪酬"))),INT(资金流水!$B$549)*10000+544,"")</f>
      </c>
    </row>
    <row r="550">
      <c r="AA550" s="2">
        <f>IF(AND(ISNUMBER(资金流水!$B$550),ISNUMBER(资金流水!$S$550),资金流水!$S$550&gt;=_辅助!$J$4,资金流水!$S$550&lt;=_辅助!$J$2,OR(资金流水!$C$550=$C$18,AND(资金流水!$AD$550=$C$18,资金流水!$X$550="账户互转"),AND($E$18&lt;&gt;"",资金流水!$J$550=$E$18,资金流水!$X$550="应付职工薪酬"))),INT(资金流水!$B$550)*10000+545,"")</f>
      </c>
    </row>
    <row r="551">
      <c r="AA551" s="2">
        <f>IF(AND(ISNUMBER(资金流水!$B$551),ISNUMBER(资金流水!$S$551),资金流水!$S$551&gt;=_辅助!$J$4,资金流水!$S$551&lt;=_辅助!$J$2,OR(资金流水!$C$551=$C$18,AND(资金流水!$AD$551=$C$18,资金流水!$X$551="账户互转"),AND($E$18&lt;&gt;"",资金流水!$J$551=$E$18,资金流水!$X$551="应付职工薪酬"))),INT(资金流水!$B$551)*10000+546,"")</f>
      </c>
    </row>
    <row r="552">
      <c r="AA552" s="2">
        <f>IF(AND(ISNUMBER(资金流水!$B$552),ISNUMBER(资金流水!$S$552),资金流水!$S$552&gt;=_辅助!$J$4,资金流水!$S$552&lt;=_辅助!$J$2,OR(资金流水!$C$552=$C$18,AND(资金流水!$AD$552=$C$18,资金流水!$X$552="账户互转"),AND($E$18&lt;&gt;"",资金流水!$J$552=$E$18,资金流水!$X$552="应付职工薪酬"))),INT(资金流水!$B$552)*10000+547,"")</f>
      </c>
    </row>
    <row r="553">
      <c r="AA553" s="2">
        <f>IF(AND(ISNUMBER(资金流水!$B$553),ISNUMBER(资金流水!$S$553),资金流水!$S$553&gt;=_辅助!$J$4,资金流水!$S$553&lt;=_辅助!$J$2,OR(资金流水!$C$553=$C$18,AND(资金流水!$AD$553=$C$18,资金流水!$X$553="账户互转"),AND($E$18&lt;&gt;"",资金流水!$J$553=$E$18,资金流水!$X$553="应付职工薪酬"))),INT(资金流水!$B$553)*10000+548,"")</f>
      </c>
    </row>
    <row r="554">
      <c r="AA554" s="2">
        <f>IF(AND(ISNUMBER(资金流水!$B$554),ISNUMBER(资金流水!$S$554),资金流水!$S$554&gt;=_辅助!$J$4,资金流水!$S$554&lt;=_辅助!$J$2,OR(资金流水!$C$554=$C$18,AND(资金流水!$AD$554=$C$18,资金流水!$X$554="账户互转"),AND($E$18&lt;&gt;"",资金流水!$J$554=$E$18,资金流水!$X$554="应付职工薪酬"))),INT(资金流水!$B$554)*10000+549,"")</f>
      </c>
    </row>
    <row r="555">
      <c r="AA555" s="2">
        <f>IF(AND(ISNUMBER(资金流水!$B$555),ISNUMBER(资金流水!$S$555),资金流水!$S$555&gt;=_辅助!$J$4,资金流水!$S$555&lt;=_辅助!$J$2,OR(资金流水!$C$555=$C$18,AND(资金流水!$AD$555=$C$18,资金流水!$X$555="账户互转"),AND($E$18&lt;&gt;"",资金流水!$J$555=$E$18,资金流水!$X$555="应付职工薪酬"))),INT(资金流水!$B$555)*10000+550,"")</f>
      </c>
    </row>
    <row r="556">
      <c r="AA556" s="2">
        <f>IF(AND(ISNUMBER(资金流水!$B$556),ISNUMBER(资金流水!$S$556),资金流水!$S$556&gt;=_辅助!$J$4,资金流水!$S$556&lt;=_辅助!$J$2,OR(资金流水!$C$556=$C$18,AND(资金流水!$AD$556=$C$18,资金流水!$X$556="账户互转"),AND($E$18&lt;&gt;"",资金流水!$J$556=$E$18,资金流水!$X$556="应付职工薪酬"))),INT(资金流水!$B$556)*10000+551,"")</f>
      </c>
    </row>
    <row r="557">
      <c r="AA557" s="2">
        <f>IF(AND(ISNUMBER(资金流水!$B$557),ISNUMBER(资金流水!$S$557),资金流水!$S$557&gt;=_辅助!$J$4,资金流水!$S$557&lt;=_辅助!$J$2,OR(资金流水!$C$557=$C$18,AND(资金流水!$AD$557=$C$18,资金流水!$X$557="账户互转"),AND($E$18&lt;&gt;"",资金流水!$J$557=$E$18,资金流水!$X$557="应付职工薪酬"))),INT(资金流水!$B$557)*10000+552,"")</f>
      </c>
    </row>
    <row r="558">
      <c r="AA558" s="2">
        <f>IF(AND(ISNUMBER(资金流水!$B$558),ISNUMBER(资金流水!$S$558),资金流水!$S$558&gt;=_辅助!$J$4,资金流水!$S$558&lt;=_辅助!$J$2,OR(资金流水!$C$558=$C$18,AND(资金流水!$AD$558=$C$18,资金流水!$X$558="账户互转"),AND($E$18&lt;&gt;"",资金流水!$J$558=$E$18,资金流水!$X$558="应付职工薪酬"))),INT(资金流水!$B$558)*10000+553,"")</f>
      </c>
    </row>
    <row r="559">
      <c r="AA559" s="2">
        <f>IF(AND(ISNUMBER(资金流水!$B$559),ISNUMBER(资金流水!$S$559),资金流水!$S$559&gt;=_辅助!$J$4,资金流水!$S$559&lt;=_辅助!$J$2,OR(资金流水!$C$559=$C$18,AND(资金流水!$AD$559=$C$18,资金流水!$X$559="账户互转"),AND($E$18&lt;&gt;"",资金流水!$J$559=$E$18,资金流水!$X$559="应付职工薪酬"))),INT(资金流水!$B$559)*10000+554,"")</f>
      </c>
    </row>
    <row r="560">
      <c r="AA560" s="2">
        <f>IF(AND(ISNUMBER(资金流水!$B$560),ISNUMBER(资金流水!$S$560),资金流水!$S$560&gt;=_辅助!$J$4,资金流水!$S$560&lt;=_辅助!$J$2,OR(资金流水!$C$560=$C$18,AND(资金流水!$AD$560=$C$18,资金流水!$X$560="账户互转"),AND($E$18&lt;&gt;"",资金流水!$J$560=$E$18,资金流水!$X$560="应付职工薪酬"))),INT(资金流水!$B$560)*10000+555,"")</f>
      </c>
    </row>
    <row r="561">
      <c r="AA561" s="2">
        <f>IF(AND(ISNUMBER(资金流水!$B$561),ISNUMBER(资金流水!$S$561),资金流水!$S$561&gt;=_辅助!$J$4,资金流水!$S$561&lt;=_辅助!$J$2,OR(资金流水!$C$561=$C$18,AND(资金流水!$AD$561=$C$18,资金流水!$X$561="账户互转"),AND($E$18&lt;&gt;"",资金流水!$J$561=$E$18,资金流水!$X$561="应付职工薪酬"))),INT(资金流水!$B$561)*10000+556,"")</f>
      </c>
    </row>
    <row r="562">
      <c r="AA562" s="2">
        <f>IF(AND(ISNUMBER(资金流水!$B$562),ISNUMBER(资金流水!$S$562),资金流水!$S$562&gt;=_辅助!$J$4,资金流水!$S$562&lt;=_辅助!$J$2,OR(资金流水!$C$562=$C$18,AND(资金流水!$AD$562=$C$18,资金流水!$X$562="账户互转"),AND($E$18&lt;&gt;"",资金流水!$J$562=$E$18,资金流水!$X$562="应付职工薪酬"))),INT(资金流水!$B$562)*10000+557,"")</f>
      </c>
    </row>
    <row r="563">
      <c r="AA563" s="2">
        <f>IF(AND(ISNUMBER(资金流水!$B$563),ISNUMBER(资金流水!$S$563),资金流水!$S$563&gt;=_辅助!$J$4,资金流水!$S$563&lt;=_辅助!$J$2,OR(资金流水!$C$563=$C$18,AND(资金流水!$AD$563=$C$18,资金流水!$X$563="账户互转"),AND($E$18&lt;&gt;"",资金流水!$J$563=$E$18,资金流水!$X$563="应付职工薪酬"))),INT(资金流水!$B$563)*10000+558,"")</f>
      </c>
    </row>
    <row r="564">
      <c r="AA564" s="2">
        <f>IF(AND(ISNUMBER(资金流水!$B$564),ISNUMBER(资金流水!$S$564),资金流水!$S$564&gt;=_辅助!$J$4,资金流水!$S$564&lt;=_辅助!$J$2,OR(资金流水!$C$564=$C$18,AND(资金流水!$AD$564=$C$18,资金流水!$X$564="账户互转"),AND($E$18&lt;&gt;"",资金流水!$J$564=$E$18,资金流水!$X$564="应付职工薪酬"))),INT(资金流水!$B$564)*10000+559,"")</f>
      </c>
    </row>
    <row r="565">
      <c r="AA565" s="2">
        <f>IF(AND(ISNUMBER(资金流水!$B$565),ISNUMBER(资金流水!$S$565),资金流水!$S$565&gt;=_辅助!$J$4,资金流水!$S$565&lt;=_辅助!$J$2,OR(资金流水!$C$565=$C$18,AND(资金流水!$AD$565=$C$18,资金流水!$X$565="账户互转"),AND($E$18&lt;&gt;"",资金流水!$J$565=$E$18,资金流水!$X$565="应付职工薪酬"))),INT(资金流水!$B$565)*10000+560,"")</f>
      </c>
    </row>
    <row r="566">
      <c r="AA566" s="2">
        <f>IF(AND(ISNUMBER(资金流水!$B$566),ISNUMBER(资金流水!$S$566),资金流水!$S$566&gt;=_辅助!$J$4,资金流水!$S$566&lt;=_辅助!$J$2,OR(资金流水!$C$566=$C$18,AND(资金流水!$AD$566=$C$18,资金流水!$X$566="账户互转"),AND($E$18&lt;&gt;"",资金流水!$J$566=$E$18,资金流水!$X$566="应付职工薪酬"))),INT(资金流水!$B$566)*10000+561,"")</f>
      </c>
    </row>
    <row r="567">
      <c r="AA567" s="2">
        <f>IF(AND(ISNUMBER(资金流水!$B$567),ISNUMBER(资金流水!$S$567),资金流水!$S$567&gt;=_辅助!$J$4,资金流水!$S$567&lt;=_辅助!$J$2,OR(资金流水!$C$567=$C$18,AND(资金流水!$AD$567=$C$18,资金流水!$X$567="账户互转"),AND($E$18&lt;&gt;"",资金流水!$J$567=$E$18,资金流水!$X$567="应付职工薪酬"))),INT(资金流水!$B$567)*10000+562,"")</f>
      </c>
    </row>
    <row r="568">
      <c r="AA568" s="2">
        <f>IF(AND(ISNUMBER(资金流水!$B$568),ISNUMBER(资金流水!$S$568),资金流水!$S$568&gt;=_辅助!$J$4,资金流水!$S$568&lt;=_辅助!$J$2,OR(资金流水!$C$568=$C$18,AND(资金流水!$AD$568=$C$18,资金流水!$X$568="账户互转"),AND($E$18&lt;&gt;"",资金流水!$J$568=$E$18,资金流水!$X$568="应付职工薪酬"))),INT(资金流水!$B$568)*10000+563,"")</f>
      </c>
    </row>
    <row r="569">
      <c r="AA569" s="2">
        <f>IF(AND(ISNUMBER(资金流水!$B$569),ISNUMBER(资金流水!$S$569),资金流水!$S$569&gt;=_辅助!$J$4,资金流水!$S$569&lt;=_辅助!$J$2,OR(资金流水!$C$569=$C$18,AND(资金流水!$AD$569=$C$18,资金流水!$X$569="账户互转"),AND($E$18&lt;&gt;"",资金流水!$J$569=$E$18,资金流水!$X$569="应付职工薪酬"))),INT(资金流水!$B$569)*10000+564,"")</f>
      </c>
    </row>
    <row r="570">
      <c r="AA570" s="2">
        <f>IF(AND(ISNUMBER(资金流水!$B$570),ISNUMBER(资金流水!$S$570),资金流水!$S$570&gt;=_辅助!$J$4,资金流水!$S$570&lt;=_辅助!$J$2,OR(资金流水!$C$570=$C$18,AND(资金流水!$AD$570=$C$18,资金流水!$X$570="账户互转"),AND($E$18&lt;&gt;"",资金流水!$J$570=$E$18,资金流水!$X$570="应付职工薪酬"))),INT(资金流水!$B$570)*10000+565,"")</f>
      </c>
    </row>
    <row r="571">
      <c r="AA571" s="2">
        <f>IF(AND(ISNUMBER(资金流水!$B$571),ISNUMBER(资金流水!$S$571),资金流水!$S$571&gt;=_辅助!$J$4,资金流水!$S$571&lt;=_辅助!$J$2,OR(资金流水!$C$571=$C$18,AND(资金流水!$AD$571=$C$18,资金流水!$X$571="账户互转"),AND($E$18&lt;&gt;"",资金流水!$J$571=$E$18,资金流水!$X$571="应付职工薪酬"))),INT(资金流水!$B$571)*10000+566,"")</f>
      </c>
    </row>
    <row r="572">
      <c r="AA572" s="2">
        <f>IF(AND(ISNUMBER(资金流水!$B$572),ISNUMBER(资金流水!$S$572),资金流水!$S$572&gt;=_辅助!$J$4,资金流水!$S$572&lt;=_辅助!$J$2,OR(资金流水!$C$572=$C$18,AND(资金流水!$AD$572=$C$18,资金流水!$X$572="账户互转"),AND($E$18&lt;&gt;"",资金流水!$J$572=$E$18,资金流水!$X$572="应付职工薪酬"))),INT(资金流水!$B$572)*10000+567,"")</f>
      </c>
    </row>
    <row r="573">
      <c r="AA573" s="2">
        <f>IF(AND(ISNUMBER(资金流水!$B$573),ISNUMBER(资金流水!$S$573),资金流水!$S$573&gt;=_辅助!$J$4,资金流水!$S$573&lt;=_辅助!$J$2,OR(资金流水!$C$573=$C$18,AND(资金流水!$AD$573=$C$18,资金流水!$X$573="账户互转"),AND($E$18&lt;&gt;"",资金流水!$J$573=$E$18,资金流水!$X$573="应付职工薪酬"))),INT(资金流水!$B$573)*10000+568,"")</f>
      </c>
    </row>
    <row r="574">
      <c r="AA574" s="2">
        <f>IF(AND(ISNUMBER(资金流水!$B$574),ISNUMBER(资金流水!$S$574),资金流水!$S$574&gt;=_辅助!$J$4,资金流水!$S$574&lt;=_辅助!$J$2,OR(资金流水!$C$574=$C$18,AND(资金流水!$AD$574=$C$18,资金流水!$X$574="账户互转"),AND($E$18&lt;&gt;"",资金流水!$J$574=$E$18,资金流水!$X$574="应付职工薪酬"))),INT(资金流水!$B$574)*10000+569,"")</f>
      </c>
    </row>
    <row r="575">
      <c r="AA575" s="2">
        <f>IF(AND(ISNUMBER(资金流水!$B$575),ISNUMBER(资金流水!$S$575),资金流水!$S$575&gt;=_辅助!$J$4,资金流水!$S$575&lt;=_辅助!$J$2,OR(资金流水!$C$575=$C$18,AND(资金流水!$AD$575=$C$18,资金流水!$X$575="账户互转"),AND($E$18&lt;&gt;"",资金流水!$J$575=$E$18,资金流水!$X$575="应付职工薪酬"))),INT(资金流水!$B$575)*10000+570,"")</f>
      </c>
    </row>
    <row r="576">
      <c r="AA576" s="2">
        <f>IF(AND(ISNUMBER(资金流水!$B$576),ISNUMBER(资金流水!$S$576),资金流水!$S$576&gt;=_辅助!$J$4,资金流水!$S$576&lt;=_辅助!$J$2,OR(资金流水!$C$576=$C$18,AND(资金流水!$AD$576=$C$18,资金流水!$X$576="账户互转"),AND($E$18&lt;&gt;"",资金流水!$J$576=$E$18,资金流水!$X$576="应付职工薪酬"))),INT(资金流水!$B$576)*10000+571,"")</f>
      </c>
    </row>
    <row r="577">
      <c r="AA577" s="2">
        <f>IF(AND(ISNUMBER(资金流水!$B$577),ISNUMBER(资金流水!$S$577),资金流水!$S$577&gt;=_辅助!$J$4,资金流水!$S$577&lt;=_辅助!$J$2,OR(资金流水!$C$577=$C$18,AND(资金流水!$AD$577=$C$18,资金流水!$X$577="账户互转"),AND($E$18&lt;&gt;"",资金流水!$J$577=$E$18,资金流水!$X$577="应付职工薪酬"))),INT(资金流水!$B$577)*10000+572,"")</f>
      </c>
    </row>
    <row r="578">
      <c r="AA578" s="2">
        <f>IF(AND(ISNUMBER(资金流水!$B$578),ISNUMBER(资金流水!$S$578),资金流水!$S$578&gt;=_辅助!$J$4,资金流水!$S$578&lt;=_辅助!$J$2,OR(资金流水!$C$578=$C$18,AND(资金流水!$AD$578=$C$18,资金流水!$X$578="账户互转"),AND($E$18&lt;&gt;"",资金流水!$J$578=$E$18,资金流水!$X$578="应付职工薪酬"))),INT(资金流水!$B$578)*10000+573,"")</f>
      </c>
    </row>
    <row r="579">
      <c r="AA579" s="2">
        <f>IF(AND(ISNUMBER(资金流水!$B$579),ISNUMBER(资金流水!$S$579),资金流水!$S$579&gt;=_辅助!$J$4,资金流水!$S$579&lt;=_辅助!$J$2,OR(资金流水!$C$579=$C$18,AND(资金流水!$AD$579=$C$18,资金流水!$X$579="账户互转"),AND($E$18&lt;&gt;"",资金流水!$J$579=$E$18,资金流水!$X$579="应付职工薪酬"))),INT(资金流水!$B$579)*10000+574,"")</f>
      </c>
    </row>
    <row r="580">
      <c r="AA580" s="2">
        <f>IF(AND(ISNUMBER(资金流水!$B$580),ISNUMBER(资金流水!$S$580),资金流水!$S$580&gt;=_辅助!$J$4,资金流水!$S$580&lt;=_辅助!$J$2,OR(资金流水!$C$580=$C$18,AND(资金流水!$AD$580=$C$18,资金流水!$X$580="账户互转"),AND($E$18&lt;&gt;"",资金流水!$J$580=$E$18,资金流水!$X$580="应付职工薪酬"))),INT(资金流水!$B$580)*10000+575,"")</f>
      </c>
    </row>
    <row r="581">
      <c r="AA581" s="2">
        <f>IF(AND(ISNUMBER(资金流水!$B$581),ISNUMBER(资金流水!$S$581),资金流水!$S$581&gt;=_辅助!$J$4,资金流水!$S$581&lt;=_辅助!$J$2,OR(资金流水!$C$581=$C$18,AND(资金流水!$AD$581=$C$18,资金流水!$X$581="账户互转"),AND($E$18&lt;&gt;"",资金流水!$J$581=$E$18,资金流水!$X$581="应付职工薪酬"))),INT(资金流水!$B$581)*10000+576,"")</f>
      </c>
    </row>
    <row r="582">
      <c r="AA582" s="2">
        <f>IF(AND(ISNUMBER(资金流水!$B$582),ISNUMBER(资金流水!$S$582),资金流水!$S$582&gt;=_辅助!$J$4,资金流水!$S$582&lt;=_辅助!$J$2,OR(资金流水!$C$582=$C$18,AND(资金流水!$AD$582=$C$18,资金流水!$X$582="账户互转"),AND($E$18&lt;&gt;"",资金流水!$J$582=$E$18,资金流水!$X$582="应付职工薪酬"))),INT(资金流水!$B$582)*10000+577,"")</f>
      </c>
    </row>
    <row r="583">
      <c r="AA583" s="2">
        <f>IF(AND(ISNUMBER(资金流水!$B$583),ISNUMBER(资金流水!$S$583),资金流水!$S$583&gt;=_辅助!$J$4,资金流水!$S$583&lt;=_辅助!$J$2,OR(资金流水!$C$583=$C$18,AND(资金流水!$AD$583=$C$18,资金流水!$X$583="账户互转"),AND($E$18&lt;&gt;"",资金流水!$J$583=$E$18,资金流水!$X$583="应付职工薪酬"))),INT(资金流水!$B$583)*10000+578,"")</f>
      </c>
    </row>
    <row r="584">
      <c r="AA584" s="2">
        <f>IF(AND(ISNUMBER(资金流水!$B$584),ISNUMBER(资金流水!$S$584),资金流水!$S$584&gt;=_辅助!$J$4,资金流水!$S$584&lt;=_辅助!$J$2,OR(资金流水!$C$584=$C$18,AND(资金流水!$AD$584=$C$18,资金流水!$X$584="账户互转"),AND($E$18&lt;&gt;"",资金流水!$J$584=$E$18,资金流水!$X$584="应付职工薪酬"))),INT(资金流水!$B$584)*10000+579,"")</f>
      </c>
    </row>
    <row r="585">
      <c r="AA585" s="2">
        <f>IF(AND(ISNUMBER(资金流水!$B$585),ISNUMBER(资金流水!$S$585),资金流水!$S$585&gt;=_辅助!$J$4,资金流水!$S$585&lt;=_辅助!$J$2,OR(资金流水!$C$585=$C$18,AND(资金流水!$AD$585=$C$18,资金流水!$X$585="账户互转"),AND($E$18&lt;&gt;"",资金流水!$J$585=$E$18,资金流水!$X$585="应付职工薪酬"))),INT(资金流水!$B$585)*10000+580,"")</f>
      </c>
    </row>
    <row r="586">
      <c r="AA586" s="2">
        <f>IF(AND(ISNUMBER(资金流水!$B$586),ISNUMBER(资金流水!$S$586),资金流水!$S$586&gt;=_辅助!$J$4,资金流水!$S$586&lt;=_辅助!$J$2,OR(资金流水!$C$586=$C$18,AND(资金流水!$AD$586=$C$18,资金流水!$X$586="账户互转"),AND($E$18&lt;&gt;"",资金流水!$J$586=$E$18,资金流水!$X$586="应付职工薪酬"))),INT(资金流水!$B$586)*10000+581,"")</f>
      </c>
    </row>
    <row r="587">
      <c r="AA587" s="2">
        <f>IF(AND(ISNUMBER(资金流水!$B$587),ISNUMBER(资金流水!$S$587),资金流水!$S$587&gt;=_辅助!$J$4,资金流水!$S$587&lt;=_辅助!$J$2,OR(资金流水!$C$587=$C$18,AND(资金流水!$AD$587=$C$18,资金流水!$X$587="账户互转"),AND($E$18&lt;&gt;"",资金流水!$J$587=$E$18,资金流水!$X$587="应付职工薪酬"))),INT(资金流水!$B$587)*10000+582,"")</f>
      </c>
    </row>
    <row r="588">
      <c r="AA588" s="2">
        <f>IF(AND(ISNUMBER(资金流水!$B$588),ISNUMBER(资金流水!$S$588),资金流水!$S$588&gt;=_辅助!$J$4,资金流水!$S$588&lt;=_辅助!$J$2,OR(资金流水!$C$588=$C$18,AND(资金流水!$AD$588=$C$18,资金流水!$X$588="账户互转"),AND($E$18&lt;&gt;"",资金流水!$J$588=$E$18,资金流水!$X$588="应付职工薪酬"))),INT(资金流水!$B$588)*10000+583,"")</f>
      </c>
    </row>
    <row r="589">
      <c r="AA589" s="2">
        <f>IF(AND(ISNUMBER(资金流水!$B$589),ISNUMBER(资金流水!$S$589),资金流水!$S$589&gt;=_辅助!$J$4,资金流水!$S$589&lt;=_辅助!$J$2,OR(资金流水!$C$589=$C$18,AND(资金流水!$AD$589=$C$18,资金流水!$X$589="账户互转"),AND($E$18&lt;&gt;"",资金流水!$J$589=$E$18,资金流水!$X$589="应付职工薪酬"))),INT(资金流水!$B$589)*10000+584,"")</f>
      </c>
    </row>
    <row r="590">
      <c r="AA590" s="2">
        <f>IF(AND(ISNUMBER(资金流水!$B$590),ISNUMBER(资金流水!$S$590),资金流水!$S$590&gt;=_辅助!$J$4,资金流水!$S$590&lt;=_辅助!$J$2,OR(资金流水!$C$590=$C$18,AND(资金流水!$AD$590=$C$18,资金流水!$X$590="账户互转"),AND($E$18&lt;&gt;"",资金流水!$J$590=$E$18,资金流水!$X$590="应付职工薪酬"))),INT(资金流水!$B$590)*10000+585,"")</f>
      </c>
    </row>
    <row r="591">
      <c r="AA591" s="2">
        <f>IF(AND(ISNUMBER(资金流水!$B$591),ISNUMBER(资金流水!$S$591),资金流水!$S$591&gt;=_辅助!$J$4,资金流水!$S$591&lt;=_辅助!$J$2,OR(资金流水!$C$591=$C$18,AND(资金流水!$AD$591=$C$18,资金流水!$X$591="账户互转"),AND($E$18&lt;&gt;"",资金流水!$J$591=$E$18,资金流水!$X$591="应付职工薪酬"))),INT(资金流水!$B$591)*10000+586,"")</f>
      </c>
    </row>
    <row r="592">
      <c r="AA592" s="2">
        <f>IF(AND(ISNUMBER(资金流水!$B$592),ISNUMBER(资金流水!$S$592),资金流水!$S$592&gt;=_辅助!$J$4,资金流水!$S$592&lt;=_辅助!$J$2,OR(资金流水!$C$592=$C$18,AND(资金流水!$AD$592=$C$18,资金流水!$X$592="账户互转"),AND($E$18&lt;&gt;"",资金流水!$J$592=$E$18,资金流水!$X$592="应付职工薪酬"))),INT(资金流水!$B$592)*10000+587,"")</f>
      </c>
    </row>
    <row r="593">
      <c r="AA593" s="2">
        <f>IF(AND(ISNUMBER(资金流水!$B$593),ISNUMBER(资金流水!$S$593),资金流水!$S$593&gt;=_辅助!$J$4,资金流水!$S$593&lt;=_辅助!$J$2,OR(资金流水!$C$593=$C$18,AND(资金流水!$AD$593=$C$18,资金流水!$X$593="账户互转"),AND($E$18&lt;&gt;"",资金流水!$J$593=$E$18,资金流水!$X$593="应付职工薪酬"))),INT(资金流水!$B$593)*10000+588,"")</f>
      </c>
    </row>
    <row r="594">
      <c r="AA594" s="2">
        <f>IF(AND(ISNUMBER(资金流水!$B$594),ISNUMBER(资金流水!$S$594),资金流水!$S$594&gt;=_辅助!$J$4,资金流水!$S$594&lt;=_辅助!$J$2,OR(资金流水!$C$594=$C$18,AND(资金流水!$AD$594=$C$18,资金流水!$X$594="账户互转"),AND($E$18&lt;&gt;"",资金流水!$J$594=$E$18,资金流水!$X$594="应付职工薪酬"))),INT(资金流水!$B$594)*10000+589,"")</f>
      </c>
    </row>
    <row r="595">
      <c r="AA595" s="2">
        <f>IF(AND(ISNUMBER(资金流水!$B$595),ISNUMBER(资金流水!$S$595),资金流水!$S$595&gt;=_辅助!$J$4,资金流水!$S$595&lt;=_辅助!$J$2,OR(资金流水!$C$595=$C$18,AND(资金流水!$AD$595=$C$18,资金流水!$X$595="账户互转"),AND($E$18&lt;&gt;"",资金流水!$J$595=$E$18,资金流水!$X$595="应付职工薪酬"))),INT(资金流水!$B$595)*10000+590,"")</f>
      </c>
    </row>
    <row r="596">
      <c r="AA596" s="2">
        <f>IF(AND(ISNUMBER(资金流水!$B$596),ISNUMBER(资金流水!$S$596),资金流水!$S$596&gt;=_辅助!$J$4,资金流水!$S$596&lt;=_辅助!$J$2,OR(资金流水!$C$596=$C$18,AND(资金流水!$AD$596=$C$18,资金流水!$X$596="账户互转"),AND($E$18&lt;&gt;"",资金流水!$J$596=$E$18,资金流水!$X$596="应付职工薪酬"))),INT(资金流水!$B$596)*10000+591,"")</f>
      </c>
    </row>
    <row r="597">
      <c r="AA597" s="2">
        <f>IF(AND(ISNUMBER(资金流水!$B$597),ISNUMBER(资金流水!$S$597),资金流水!$S$597&gt;=_辅助!$J$4,资金流水!$S$597&lt;=_辅助!$J$2,OR(资金流水!$C$597=$C$18,AND(资金流水!$AD$597=$C$18,资金流水!$X$597="账户互转"),AND($E$18&lt;&gt;"",资金流水!$J$597=$E$18,资金流水!$X$597="应付职工薪酬"))),INT(资金流水!$B$597)*10000+592,"")</f>
      </c>
    </row>
    <row r="598">
      <c r="AA598" s="2">
        <f>IF(AND(ISNUMBER(资金流水!$B$598),ISNUMBER(资金流水!$S$598),资金流水!$S$598&gt;=_辅助!$J$4,资金流水!$S$598&lt;=_辅助!$J$2,OR(资金流水!$C$598=$C$18,AND(资金流水!$AD$598=$C$18,资金流水!$X$598="账户互转"),AND($E$18&lt;&gt;"",资金流水!$J$598=$E$18,资金流水!$X$598="应付职工薪酬"))),INT(资金流水!$B$598)*10000+593,"")</f>
      </c>
    </row>
    <row r="599">
      <c r="AA599" s="2">
        <f>IF(AND(ISNUMBER(资金流水!$B$599),ISNUMBER(资金流水!$S$599),资金流水!$S$599&gt;=_辅助!$J$4,资金流水!$S$599&lt;=_辅助!$J$2,OR(资金流水!$C$599=$C$18,AND(资金流水!$AD$599=$C$18,资金流水!$X$599="账户互转"),AND($E$18&lt;&gt;"",资金流水!$J$599=$E$18,资金流水!$X$599="应付职工薪酬"))),INT(资金流水!$B$599)*10000+594,"")</f>
      </c>
    </row>
    <row r="600">
      <c r="AA600" s="2">
        <f>IF(AND(ISNUMBER(资金流水!$B$600),ISNUMBER(资金流水!$S$600),资金流水!$S$600&gt;=_辅助!$J$4,资金流水!$S$600&lt;=_辅助!$J$2,OR(资金流水!$C$600=$C$18,AND(资金流水!$AD$600=$C$18,资金流水!$X$600="账户互转"),AND($E$18&lt;&gt;"",资金流水!$J$600=$E$18,资金流水!$X$600="应付职工薪酬"))),INT(资金流水!$B$600)*10000+595,"")</f>
      </c>
    </row>
    <row r="601">
      <c r="AA601" s="2">
        <f>IF(AND(ISNUMBER(资金流水!$B$601),ISNUMBER(资金流水!$S$601),资金流水!$S$601&gt;=_辅助!$J$4,资金流水!$S$601&lt;=_辅助!$J$2,OR(资金流水!$C$601=$C$18,AND(资金流水!$AD$601=$C$18,资金流水!$X$601="账户互转"),AND($E$18&lt;&gt;"",资金流水!$J$601=$E$18,资金流水!$X$601="应付职工薪酬"))),INT(资金流水!$B$601)*10000+596,"")</f>
      </c>
    </row>
    <row r="602">
      <c r="AA602" s="2">
        <f>IF(AND(ISNUMBER(资金流水!$B$602),ISNUMBER(资金流水!$S$602),资金流水!$S$602&gt;=_辅助!$J$4,资金流水!$S$602&lt;=_辅助!$J$2,OR(资金流水!$C$602=$C$18,AND(资金流水!$AD$602=$C$18,资金流水!$X$602="账户互转"),AND($E$18&lt;&gt;"",资金流水!$J$602=$E$18,资金流水!$X$602="应付职工薪酬"))),INT(资金流水!$B$602)*10000+597,"")</f>
      </c>
    </row>
    <row r="603">
      <c r="AA603" s="2">
        <f>IF(AND(ISNUMBER(资金流水!$B$603),ISNUMBER(资金流水!$S$603),资金流水!$S$603&gt;=_辅助!$J$4,资金流水!$S$603&lt;=_辅助!$J$2,OR(资金流水!$C$603=$C$18,AND(资金流水!$AD$603=$C$18,资金流水!$X$603="账户互转"),AND($E$18&lt;&gt;"",资金流水!$J$603=$E$18,资金流水!$X$603="应付职工薪酬"))),INT(资金流水!$B$603)*10000+598,"")</f>
      </c>
    </row>
    <row r="604">
      <c r="AA604" s="2">
        <f>IF(AND(ISNUMBER(资金流水!$B$604),ISNUMBER(资金流水!$S$604),资金流水!$S$604&gt;=_辅助!$J$4,资金流水!$S$604&lt;=_辅助!$J$2,OR(资金流水!$C$604=$C$18,AND(资金流水!$AD$604=$C$18,资金流水!$X$604="账户互转"),AND($E$18&lt;&gt;"",资金流水!$J$604=$E$18,资金流水!$X$604="应付职工薪酬"))),INT(资金流水!$B$604)*10000+599,"")</f>
      </c>
    </row>
    <row r="605">
      <c r="AA605" s="2">
        <f>IF(AND(ISNUMBER(资金流水!$B$605),ISNUMBER(资金流水!$S$605),资金流水!$S$605&gt;=_辅助!$J$4,资金流水!$S$605&lt;=_辅助!$J$2,OR(资金流水!$C$605=$C$18,AND(资金流水!$AD$605=$C$18,资金流水!$X$605="账户互转"),AND($E$18&lt;&gt;"",资金流水!$J$605=$E$18,资金流水!$X$605="应付职工薪酬"))),INT(资金流水!$B$605)*10000+600,"")</f>
      </c>
    </row>
    <row r="606">
      <c r="AA606" s="2">
        <f>IF(AND(ISNUMBER(资金流水!$B$606),ISNUMBER(资金流水!$S$606),资金流水!$S$606&gt;=_辅助!$J$4,资金流水!$S$606&lt;=_辅助!$J$2,OR(资金流水!$C$606=$C$18,AND(资金流水!$AD$606=$C$18,资金流水!$X$606="账户互转"),AND($E$18&lt;&gt;"",资金流水!$J$606=$E$18,资金流水!$X$606="应付职工薪酬"))),INT(资金流水!$B$606)*10000+601,"")</f>
      </c>
    </row>
    <row r="607">
      <c r="AA607" s="2">
        <f>IF(AND(ISNUMBER(资金流水!$B$607),ISNUMBER(资金流水!$S$607),资金流水!$S$607&gt;=_辅助!$J$4,资金流水!$S$607&lt;=_辅助!$J$2,OR(资金流水!$C$607=$C$18,AND(资金流水!$AD$607=$C$18,资金流水!$X$607="账户互转"),AND($E$18&lt;&gt;"",资金流水!$J$607=$E$18,资金流水!$X$607="应付职工薪酬"))),INT(资金流水!$B$607)*10000+602,"")</f>
      </c>
    </row>
    <row r="608">
      <c r="AA608" s="2">
        <f>IF(AND(ISNUMBER(资金流水!$B$608),ISNUMBER(资金流水!$S$608),资金流水!$S$608&gt;=_辅助!$J$4,资金流水!$S$608&lt;=_辅助!$J$2,OR(资金流水!$C$608=$C$18,AND(资金流水!$AD$608=$C$18,资金流水!$X$608="账户互转"),AND($E$18&lt;&gt;"",资金流水!$J$608=$E$18,资金流水!$X$608="应付职工薪酬"))),INT(资金流水!$B$608)*10000+603,"")</f>
      </c>
    </row>
    <row r="609">
      <c r="AA609" s="2">
        <f>IF(AND(ISNUMBER(资金流水!$B$609),ISNUMBER(资金流水!$S$609),资金流水!$S$609&gt;=_辅助!$J$4,资金流水!$S$609&lt;=_辅助!$J$2,OR(资金流水!$C$609=$C$18,AND(资金流水!$AD$609=$C$18,资金流水!$X$609="账户互转"),AND($E$18&lt;&gt;"",资金流水!$J$609=$E$18,资金流水!$X$609="应付职工薪酬"))),INT(资金流水!$B$609)*10000+604,"")</f>
      </c>
    </row>
    <row r="610">
      <c r="AA610" s="2">
        <f>IF(AND(ISNUMBER(资金流水!$B$610),ISNUMBER(资金流水!$S$610),资金流水!$S$610&gt;=_辅助!$J$4,资金流水!$S$610&lt;=_辅助!$J$2,OR(资金流水!$C$610=$C$18,AND(资金流水!$AD$610=$C$18,资金流水!$X$610="账户互转"),AND($E$18&lt;&gt;"",资金流水!$J$610=$E$18,资金流水!$X$610="应付职工薪酬"))),INT(资金流水!$B$610)*10000+605,"")</f>
      </c>
    </row>
    <row r="611">
      <c r="AA611" s="2">
        <f>IF(AND(ISNUMBER(资金流水!$B$611),ISNUMBER(资金流水!$S$611),资金流水!$S$611&gt;=_辅助!$J$4,资金流水!$S$611&lt;=_辅助!$J$2,OR(资金流水!$C$611=$C$18,AND(资金流水!$AD$611=$C$18,资金流水!$X$611="账户互转"),AND($E$18&lt;&gt;"",资金流水!$J$611=$E$18,资金流水!$X$611="应付职工薪酬"))),INT(资金流水!$B$611)*10000+606,"")</f>
      </c>
    </row>
    <row r="612">
      <c r="AA612" s="2">
        <f>IF(AND(ISNUMBER(资金流水!$B$612),ISNUMBER(资金流水!$S$612),资金流水!$S$612&gt;=_辅助!$J$4,资金流水!$S$612&lt;=_辅助!$J$2,OR(资金流水!$C$612=$C$18,AND(资金流水!$AD$612=$C$18,资金流水!$X$612="账户互转"),AND($E$18&lt;&gt;"",资金流水!$J$612=$E$18,资金流水!$X$612="应付职工薪酬"))),INT(资金流水!$B$612)*10000+607,"")</f>
      </c>
    </row>
    <row r="613">
      <c r="AA613" s="2">
        <f>IF(AND(ISNUMBER(资金流水!$B$613),ISNUMBER(资金流水!$S$613),资金流水!$S$613&gt;=_辅助!$J$4,资金流水!$S$613&lt;=_辅助!$J$2,OR(资金流水!$C$613=$C$18,AND(资金流水!$AD$613=$C$18,资金流水!$X$613="账户互转"),AND($E$18&lt;&gt;"",资金流水!$J$613=$E$18,资金流水!$X$613="应付职工薪酬"))),INT(资金流水!$B$613)*10000+608,"")</f>
      </c>
    </row>
    <row r="614">
      <c r="AA614" s="2">
        <f>IF(AND(ISNUMBER(资金流水!$B$614),ISNUMBER(资金流水!$S$614),资金流水!$S$614&gt;=_辅助!$J$4,资金流水!$S$614&lt;=_辅助!$J$2,OR(资金流水!$C$614=$C$18,AND(资金流水!$AD$614=$C$18,资金流水!$X$614="账户互转"),AND($E$18&lt;&gt;"",资金流水!$J$614=$E$18,资金流水!$X$614="应付职工薪酬"))),INT(资金流水!$B$614)*10000+609,"")</f>
      </c>
    </row>
    <row r="615">
      <c r="AA615" s="2">
        <f>IF(AND(ISNUMBER(资金流水!$B$615),ISNUMBER(资金流水!$S$615),资金流水!$S$615&gt;=_辅助!$J$4,资金流水!$S$615&lt;=_辅助!$J$2,OR(资金流水!$C$615=$C$18,AND(资金流水!$AD$615=$C$18,资金流水!$X$615="账户互转"),AND($E$18&lt;&gt;"",资金流水!$J$615=$E$18,资金流水!$X$615="应付职工薪酬"))),INT(资金流水!$B$615)*10000+610,"")</f>
      </c>
    </row>
    <row r="616">
      <c r="AA616" s="2">
        <f>IF(AND(ISNUMBER(资金流水!$B$616),ISNUMBER(资金流水!$S$616),资金流水!$S$616&gt;=_辅助!$J$4,资金流水!$S$616&lt;=_辅助!$J$2,OR(资金流水!$C$616=$C$18,AND(资金流水!$AD$616=$C$18,资金流水!$X$616="账户互转"),AND($E$18&lt;&gt;"",资金流水!$J$616=$E$18,资金流水!$X$616="应付职工薪酬"))),INT(资金流水!$B$616)*10000+611,"")</f>
      </c>
    </row>
    <row r="617">
      <c r="AA617" s="2">
        <f>IF(AND(ISNUMBER(资金流水!$B$617),ISNUMBER(资金流水!$S$617),资金流水!$S$617&gt;=_辅助!$J$4,资金流水!$S$617&lt;=_辅助!$J$2,OR(资金流水!$C$617=$C$18,AND(资金流水!$AD$617=$C$18,资金流水!$X$617="账户互转"),AND($E$18&lt;&gt;"",资金流水!$J$617=$E$18,资金流水!$X$617="应付职工薪酬"))),INT(资金流水!$B$617)*10000+612,"")</f>
      </c>
    </row>
    <row r="618">
      <c r="AA618" s="2">
        <f>IF(AND(ISNUMBER(资金流水!$B$618),ISNUMBER(资金流水!$S$618),资金流水!$S$618&gt;=_辅助!$J$4,资金流水!$S$618&lt;=_辅助!$J$2,OR(资金流水!$C$618=$C$18,AND(资金流水!$AD$618=$C$18,资金流水!$X$618="账户互转"),AND($E$18&lt;&gt;"",资金流水!$J$618=$E$18,资金流水!$X$618="应付职工薪酬"))),INT(资金流水!$B$618)*10000+613,"")</f>
      </c>
    </row>
    <row r="619">
      <c r="AA619" s="2">
        <f>IF(AND(ISNUMBER(资金流水!$B$619),ISNUMBER(资金流水!$S$619),资金流水!$S$619&gt;=_辅助!$J$4,资金流水!$S$619&lt;=_辅助!$J$2,OR(资金流水!$C$619=$C$18,AND(资金流水!$AD$619=$C$18,资金流水!$X$619="账户互转"),AND($E$18&lt;&gt;"",资金流水!$J$619=$E$18,资金流水!$X$619="应付职工薪酬"))),INT(资金流水!$B$619)*10000+614,"")</f>
      </c>
    </row>
    <row r="620">
      <c r="AA620" s="2">
        <f>IF(AND(ISNUMBER(资金流水!$B$620),ISNUMBER(资金流水!$S$620),资金流水!$S$620&gt;=_辅助!$J$4,资金流水!$S$620&lt;=_辅助!$J$2,OR(资金流水!$C$620=$C$18,AND(资金流水!$AD$620=$C$18,资金流水!$X$620="账户互转"),AND($E$18&lt;&gt;"",资金流水!$J$620=$E$18,资金流水!$X$620="应付职工薪酬"))),INT(资金流水!$B$620)*10000+615,"")</f>
      </c>
    </row>
    <row r="621">
      <c r="AA621" s="2">
        <f>IF(AND(ISNUMBER(资金流水!$B$621),ISNUMBER(资金流水!$S$621),资金流水!$S$621&gt;=_辅助!$J$4,资金流水!$S$621&lt;=_辅助!$J$2,OR(资金流水!$C$621=$C$18,AND(资金流水!$AD$621=$C$18,资金流水!$X$621="账户互转"),AND($E$18&lt;&gt;"",资金流水!$J$621=$E$18,资金流水!$X$621="应付职工薪酬"))),INT(资金流水!$B$621)*10000+616,"")</f>
      </c>
    </row>
    <row r="622">
      <c r="AA622" s="2">
        <f>IF(AND(ISNUMBER(资金流水!$B$622),ISNUMBER(资金流水!$S$622),资金流水!$S$622&gt;=_辅助!$J$4,资金流水!$S$622&lt;=_辅助!$J$2,OR(资金流水!$C$622=$C$18,AND(资金流水!$AD$622=$C$18,资金流水!$X$622="账户互转"),AND($E$18&lt;&gt;"",资金流水!$J$622=$E$18,资金流水!$X$622="应付职工薪酬"))),INT(资金流水!$B$622)*10000+617,"")</f>
      </c>
    </row>
    <row r="623">
      <c r="AA623" s="2">
        <f>IF(AND(ISNUMBER(资金流水!$B$623),ISNUMBER(资金流水!$S$623),资金流水!$S$623&gt;=_辅助!$J$4,资金流水!$S$623&lt;=_辅助!$J$2,OR(资金流水!$C$623=$C$18,AND(资金流水!$AD$623=$C$18,资金流水!$X$623="账户互转"),AND($E$18&lt;&gt;"",资金流水!$J$623=$E$18,资金流水!$X$623="应付职工薪酬"))),INT(资金流水!$B$623)*10000+618,"")</f>
      </c>
    </row>
    <row r="624">
      <c r="AA624" s="2">
        <f>IF(AND(ISNUMBER(资金流水!$B$624),ISNUMBER(资金流水!$S$624),资金流水!$S$624&gt;=_辅助!$J$4,资金流水!$S$624&lt;=_辅助!$J$2,OR(资金流水!$C$624=$C$18,AND(资金流水!$AD$624=$C$18,资金流水!$X$624="账户互转"),AND($E$18&lt;&gt;"",资金流水!$J$624=$E$18,资金流水!$X$624="应付职工薪酬"))),INT(资金流水!$B$624)*10000+619,"")</f>
      </c>
    </row>
    <row r="625">
      <c r="AA625" s="2">
        <f>IF(AND(ISNUMBER(资金流水!$B$625),ISNUMBER(资金流水!$S$625),资金流水!$S$625&gt;=_辅助!$J$4,资金流水!$S$625&lt;=_辅助!$J$2,OR(资金流水!$C$625=$C$18,AND(资金流水!$AD$625=$C$18,资金流水!$X$625="账户互转"),AND($E$18&lt;&gt;"",资金流水!$J$625=$E$18,资金流水!$X$625="应付职工薪酬"))),INT(资金流水!$B$625)*10000+620,"")</f>
      </c>
    </row>
    <row r="626">
      <c r="AA626" s="2">
        <f>IF(AND(ISNUMBER(资金流水!$B$626),ISNUMBER(资金流水!$S$626),资金流水!$S$626&gt;=_辅助!$J$4,资金流水!$S$626&lt;=_辅助!$J$2,OR(资金流水!$C$626=$C$18,AND(资金流水!$AD$626=$C$18,资金流水!$X$626="账户互转"),AND($E$18&lt;&gt;"",资金流水!$J$626=$E$18,资金流水!$X$626="应付职工薪酬"))),INT(资金流水!$B$626)*10000+621,"")</f>
      </c>
    </row>
    <row r="627">
      <c r="AA627" s="2">
        <f>IF(AND(ISNUMBER(资金流水!$B$627),ISNUMBER(资金流水!$S$627),资金流水!$S$627&gt;=_辅助!$J$4,资金流水!$S$627&lt;=_辅助!$J$2,OR(资金流水!$C$627=$C$18,AND(资金流水!$AD$627=$C$18,资金流水!$X$627="账户互转"),AND($E$18&lt;&gt;"",资金流水!$J$627=$E$18,资金流水!$X$627="应付职工薪酬"))),INT(资金流水!$B$627)*10000+622,"")</f>
      </c>
    </row>
    <row r="628">
      <c r="AA628" s="2">
        <f>IF(AND(ISNUMBER(资金流水!$B$628),ISNUMBER(资金流水!$S$628),资金流水!$S$628&gt;=_辅助!$J$4,资金流水!$S$628&lt;=_辅助!$J$2,OR(资金流水!$C$628=$C$18,AND(资金流水!$AD$628=$C$18,资金流水!$X$628="账户互转"),AND($E$18&lt;&gt;"",资金流水!$J$628=$E$18,资金流水!$X$628="应付职工薪酬"))),INT(资金流水!$B$628)*10000+623,"")</f>
      </c>
    </row>
    <row r="629">
      <c r="AA629" s="2">
        <f>IF(AND(ISNUMBER(资金流水!$B$629),ISNUMBER(资金流水!$S$629),资金流水!$S$629&gt;=_辅助!$J$4,资金流水!$S$629&lt;=_辅助!$J$2,OR(资金流水!$C$629=$C$18,AND(资金流水!$AD$629=$C$18,资金流水!$X$629="账户互转"),AND($E$18&lt;&gt;"",资金流水!$J$629=$E$18,资金流水!$X$629="应付职工薪酬"))),INT(资金流水!$B$629)*10000+624,"")</f>
      </c>
    </row>
    <row r="630">
      <c r="AA630" s="2">
        <f>IF(AND(ISNUMBER(资金流水!$B$630),ISNUMBER(资金流水!$S$630),资金流水!$S$630&gt;=_辅助!$J$4,资金流水!$S$630&lt;=_辅助!$J$2,OR(资金流水!$C$630=$C$18,AND(资金流水!$AD$630=$C$18,资金流水!$X$630="账户互转"),AND($E$18&lt;&gt;"",资金流水!$J$630=$E$18,资金流水!$X$630="应付职工薪酬"))),INT(资金流水!$B$630)*10000+625,"")</f>
      </c>
    </row>
    <row r="631">
      <c r="AA631" s="2">
        <f>IF(AND(ISNUMBER(资金流水!$B$631),ISNUMBER(资金流水!$S$631),资金流水!$S$631&gt;=_辅助!$J$4,资金流水!$S$631&lt;=_辅助!$J$2,OR(资金流水!$C$631=$C$18,AND(资金流水!$AD$631=$C$18,资金流水!$X$631="账户互转"),AND($E$18&lt;&gt;"",资金流水!$J$631=$E$18,资金流水!$X$631="应付职工薪酬"))),INT(资金流水!$B$631)*10000+626,"")</f>
      </c>
    </row>
    <row r="632">
      <c r="AA632" s="2">
        <f>IF(AND(ISNUMBER(资金流水!$B$632),ISNUMBER(资金流水!$S$632),资金流水!$S$632&gt;=_辅助!$J$4,资金流水!$S$632&lt;=_辅助!$J$2,OR(资金流水!$C$632=$C$18,AND(资金流水!$AD$632=$C$18,资金流水!$X$632="账户互转"),AND($E$18&lt;&gt;"",资金流水!$J$632=$E$18,资金流水!$X$632="应付职工薪酬"))),INT(资金流水!$B$632)*10000+627,"")</f>
      </c>
    </row>
    <row r="633">
      <c r="AA633" s="2">
        <f>IF(AND(ISNUMBER(资金流水!$B$633),ISNUMBER(资金流水!$S$633),资金流水!$S$633&gt;=_辅助!$J$4,资金流水!$S$633&lt;=_辅助!$J$2,OR(资金流水!$C$633=$C$18,AND(资金流水!$AD$633=$C$18,资金流水!$X$633="账户互转"),AND($E$18&lt;&gt;"",资金流水!$J$633=$E$18,资金流水!$X$633="应付职工薪酬"))),INT(资金流水!$B$633)*10000+628,"")</f>
      </c>
    </row>
    <row r="634">
      <c r="AA634" s="2">
        <f>IF(AND(ISNUMBER(资金流水!$B$634),ISNUMBER(资金流水!$S$634),资金流水!$S$634&gt;=_辅助!$J$4,资金流水!$S$634&lt;=_辅助!$J$2,OR(资金流水!$C$634=$C$18,AND(资金流水!$AD$634=$C$18,资金流水!$X$634="账户互转"),AND($E$18&lt;&gt;"",资金流水!$J$634=$E$18,资金流水!$X$634="应付职工薪酬"))),INT(资金流水!$B$634)*10000+629,"")</f>
      </c>
    </row>
    <row r="635">
      <c r="AA635" s="2">
        <f>IF(AND(ISNUMBER(资金流水!$B$635),ISNUMBER(资金流水!$S$635),资金流水!$S$635&gt;=_辅助!$J$4,资金流水!$S$635&lt;=_辅助!$J$2,OR(资金流水!$C$635=$C$18,AND(资金流水!$AD$635=$C$18,资金流水!$X$635="账户互转"),AND($E$18&lt;&gt;"",资金流水!$J$635=$E$18,资金流水!$X$635="应付职工薪酬"))),INT(资金流水!$B$635)*10000+630,"")</f>
      </c>
    </row>
    <row r="636">
      <c r="AA636" s="2">
        <f>IF(AND(ISNUMBER(资金流水!$B$636),ISNUMBER(资金流水!$S$636),资金流水!$S$636&gt;=_辅助!$J$4,资金流水!$S$636&lt;=_辅助!$J$2,OR(资金流水!$C$636=$C$18,AND(资金流水!$AD$636=$C$18,资金流水!$X$636="账户互转"),AND($E$18&lt;&gt;"",资金流水!$J$636=$E$18,资金流水!$X$636="应付职工薪酬"))),INT(资金流水!$B$636)*10000+631,"")</f>
      </c>
    </row>
    <row r="637">
      <c r="AA637" s="2">
        <f>IF(AND(ISNUMBER(资金流水!$B$637),ISNUMBER(资金流水!$S$637),资金流水!$S$637&gt;=_辅助!$J$4,资金流水!$S$637&lt;=_辅助!$J$2,OR(资金流水!$C$637=$C$18,AND(资金流水!$AD$637=$C$18,资金流水!$X$637="账户互转"),AND($E$18&lt;&gt;"",资金流水!$J$637=$E$18,资金流水!$X$637="应付职工薪酬"))),INT(资金流水!$B$637)*10000+632,"")</f>
      </c>
    </row>
    <row r="638">
      <c r="AA638" s="2">
        <f>IF(AND(ISNUMBER(资金流水!$B$638),ISNUMBER(资金流水!$S$638),资金流水!$S$638&gt;=_辅助!$J$4,资金流水!$S$638&lt;=_辅助!$J$2,OR(资金流水!$C$638=$C$18,AND(资金流水!$AD$638=$C$18,资金流水!$X$638="账户互转"),AND($E$18&lt;&gt;"",资金流水!$J$638=$E$18,资金流水!$X$638="应付职工薪酬"))),INT(资金流水!$B$638)*10000+633,"")</f>
      </c>
    </row>
    <row r="639">
      <c r="AA639" s="2">
        <f>IF(AND(ISNUMBER(资金流水!$B$639),ISNUMBER(资金流水!$S$639),资金流水!$S$639&gt;=_辅助!$J$4,资金流水!$S$639&lt;=_辅助!$J$2,OR(资金流水!$C$639=$C$18,AND(资金流水!$AD$639=$C$18,资金流水!$X$639="账户互转"),AND($E$18&lt;&gt;"",资金流水!$J$639=$E$18,资金流水!$X$639="应付职工薪酬"))),INT(资金流水!$B$639)*10000+634,"")</f>
      </c>
    </row>
    <row r="640">
      <c r="AA640" s="2">
        <f>IF(AND(ISNUMBER(资金流水!$B$640),ISNUMBER(资金流水!$S$640),资金流水!$S$640&gt;=_辅助!$J$4,资金流水!$S$640&lt;=_辅助!$J$2,OR(资金流水!$C$640=$C$18,AND(资金流水!$AD$640=$C$18,资金流水!$X$640="账户互转"),AND($E$18&lt;&gt;"",资金流水!$J$640=$E$18,资金流水!$X$640="应付职工薪酬"))),INT(资金流水!$B$640)*10000+635,"")</f>
      </c>
    </row>
    <row r="641">
      <c r="AA641" s="2">
        <f>IF(AND(ISNUMBER(资金流水!$B$641),ISNUMBER(资金流水!$S$641),资金流水!$S$641&gt;=_辅助!$J$4,资金流水!$S$641&lt;=_辅助!$J$2,OR(资金流水!$C$641=$C$18,AND(资金流水!$AD$641=$C$18,资金流水!$X$641="账户互转"),AND($E$18&lt;&gt;"",资金流水!$J$641=$E$18,资金流水!$X$641="应付职工薪酬"))),INT(资金流水!$B$641)*10000+636,"")</f>
      </c>
    </row>
    <row r="642">
      <c r="AA642" s="2">
        <f>IF(AND(ISNUMBER(资金流水!$B$642),ISNUMBER(资金流水!$S$642),资金流水!$S$642&gt;=_辅助!$J$4,资金流水!$S$642&lt;=_辅助!$J$2,OR(资金流水!$C$642=$C$18,AND(资金流水!$AD$642=$C$18,资金流水!$X$642="账户互转"),AND($E$18&lt;&gt;"",资金流水!$J$642=$E$18,资金流水!$X$642="应付职工薪酬"))),INT(资金流水!$B$642)*10000+637,"")</f>
      </c>
    </row>
    <row r="643">
      <c r="AA643" s="2">
        <f>IF(AND(ISNUMBER(资金流水!$B$643),ISNUMBER(资金流水!$S$643),资金流水!$S$643&gt;=_辅助!$J$4,资金流水!$S$643&lt;=_辅助!$J$2,OR(资金流水!$C$643=$C$18,AND(资金流水!$AD$643=$C$18,资金流水!$X$643="账户互转"),AND($E$18&lt;&gt;"",资金流水!$J$643=$E$18,资金流水!$X$643="应付职工薪酬"))),INT(资金流水!$B$643)*10000+638,"")</f>
      </c>
    </row>
    <row r="644">
      <c r="AA644" s="2">
        <f>IF(AND(ISNUMBER(资金流水!$B$644),ISNUMBER(资金流水!$S$644),资金流水!$S$644&gt;=_辅助!$J$4,资金流水!$S$644&lt;=_辅助!$J$2,OR(资金流水!$C$644=$C$18,AND(资金流水!$AD$644=$C$18,资金流水!$X$644="账户互转"),AND($E$18&lt;&gt;"",资金流水!$J$644=$E$18,资金流水!$X$644="应付职工薪酬"))),INT(资金流水!$B$644)*10000+639,"")</f>
      </c>
    </row>
    <row r="645">
      <c r="AA645" s="2">
        <f>IF(AND(ISNUMBER(资金流水!$B$645),ISNUMBER(资金流水!$S$645),资金流水!$S$645&gt;=_辅助!$J$4,资金流水!$S$645&lt;=_辅助!$J$2,OR(资金流水!$C$645=$C$18,AND(资金流水!$AD$645=$C$18,资金流水!$X$645="账户互转"),AND($E$18&lt;&gt;"",资金流水!$J$645=$E$18,资金流水!$X$645="应付职工薪酬"))),INT(资金流水!$B$645)*10000+640,"")</f>
      </c>
    </row>
    <row r="646">
      <c r="AA646" s="2">
        <f>IF(AND(ISNUMBER(资金流水!$B$646),ISNUMBER(资金流水!$S$646),资金流水!$S$646&gt;=_辅助!$J$4,资金流水!$S$646&lt;=_辅助!$J$2,OR(资金流水!$C$646=$C$18,AND(资金流水!$AD$646=$C$18,资金流水!$X$646="账户互转"),AND($E$18&lt;&gt;"",资金流水!$J$646=$E$18,资金流水!$X$646="应付职工薪酬"))),INT(资金流水!$B$646)*10000+641,"")</f>
      </c>
    </row>
    <row r="647">
      <c r="AA647" s="2">
        <f>IF(AND(ISNUMBER(资金流水!$B$647),ISNUMBER(资金流水!$S$647),资金流水!$S$647&gt;=_辅助!$J$4,资金流水!$S$647&lt;=_辅助!$J$2,OR(资金流水!$C$647=$C$18,AND(资金流水!$AD$647=$C$18,资金流水!$X$647="账户互转"),AND($E$18&lt;&gt;"",资金流水!$J$647=$E$18,资金流水!$X$647="应付职工薪酬"))),INT(资金流水!$B$647)*10000+642,"")</f>
      </c>
    </row>
    <row r="648">
      <c r="AA648" s="2">
        <f>IF(AND(ISNUMBER(资金流水!$B$648),ISNUMBER(资金流水!$S$648),资金流水!$S$648&gt;=_辅助!$J$4,资金流水!$S$648&lt;=_辅助!$J$2,OR(资金流水!$C$648=$C$18,AND(资金流水!$AD$648=$C$18,资金流水!$X$648="账户互转"),AND($E$18&lt;&gt;"",资金流水!$J$648=$E$18,资金流水!$X$648="应付职工薪酬"))),INT(资金流水!$B$648)*10000+643,"")</f>
      </c>
    </row>
    <row r="649">
      <c r="AA649" s="2">
        <f>IF(AND(ISNUMBER(资金流水!$B$649),ISNUMBER(资金流水!$S$649),资金流水!$S$649&gt;=_辅助!$J$4,资金流水!$S$649&lt;=_辅助!$J$2,OR(资金流水!$C$649=$C$18,AND(资金流水!$AD$649=$C$18,资金流水!$X$649="账户互转"),AND($E$18&lt;&gt;"",资金流水!$J$649=$E$18,资金流水!$X$649="应付职工薪酬"))),INT(资金流水!$B$649)*10000+644,"")</f>
      </c>
    </row>
    <row r="650">
      <c r="AA650" s="2">
        <f>IF(AND(ISNUMBER(资金流水!$B$650),ISNUMBER(资金流水!$S$650),资金流水!$S$650&gt;=_辅助!$J$4,资金流水!$S$650&lt;=_辅助!$J$2,OR(资金流水!$C$650=$C$18,AND(资金流水!$AD$650=$C$18,资金流水!$X$650="账户互转"),AND($E$18&lt;&gt;"",资金流水!$J$650=$E$18,资金流水!$X$650="应付职工薪酬"))),INT(资金流水!$B$650)*10000+645,"")</f>
      </c>
    </row>
    <row r="651">
      <c r="AA651" s="2">
        <f>IF(AND(ISNUMBER(资金流水!$B$651),ISNUMBER(资金流水!$S$651),资金流水!$S$651&gt;=_辅助!$J$4,资金流水!$S$651&lt;=_辅助!$J$2,OR(资金流水!$C$651=$C$18,AND(资金流水!$AD$651=$C$18,资金流水!$X$651="账户互转"),AND($E$18&lt;&gt;"",资金流水!$J$651=$E$18,资金流水!$X$651="应付职工薪酬"))),INT(资金流水!$B$651)*10000+646,"")</f>
      </c>
    </row>
    <row r="652">
      <c r="AA652" s="2">
        <f>IF(AND(ISNUMBER(资金流水!$B$652),ISNUMBER(资金流水!$S$652),资金流水!$S$652&gt;=_辅助!$J$4,资金流水!$S$652&lt;=_辅助!$J$2,OR(资金流水!$C$652=$C$18,AND(资金流水!$AD$652=$C$18,资金流水!$X$652="账户互转"),AND($E$18&lt;&gt;"",资金流水!$J$652=$E$18,资金流水!$X$652="应付职工薪酬"))),INT(资金流水!$B$652)*10000+647,"")</f>
      </c>
    </row>
    <row r="653">
      <c r="AA653" s="2">
        <f>IF(AND(ISNUMBER(资金流水!$B$653),ISNUMBER(资金流水!$S$653),资金流水!$S$653&gt;=_辅助!$J$4,资金流水!$S$653&lt;=_辅助!$J$2,OR(资金流水!$C$653=$C$18,AND(资金流水!$AD$653=$C$18,资金流水!$X$653="账户互转"),AND($E$18&lt;&gt;"",资金流水!$J$653=$E$18,资金流水!$X$653="应付职工薪酬"))),INT(资金流水!$B$653)*10000+648,"")</f>
      </c>
    </row>
    <row r="654">
      <c r="AA654" s="2">
        <f>IF(AND(ISNUMBER(资金流水!$B$654),ISNUMBER(资金流水!$S$654),资金流水!$S$654&gt;=_辅助!$J$4,资金流水!$S$654&lt;=_辅助!$J$2,OR(资金流水!$C$654=$C$18,AND(资金流水!$AD$654=$C$18,资金流水!$X$654="账户互转"),AND($E$18&lt;&gt;"",资金流水!$J$654=$E$18,资金流水!$X$654="应付职工薪酬"))),INT(资金流水!$B$654)*10000+649,"")</f>
      </c>
    </row>
    <row r="655">
      <c r="AA655" s="2">
        <f>IF(AND(ISNUMBER(资金流水!$B$655),ISNUMBER(资金流水!$S$655),资金流水!$S$655&gt;=_辅助!$J$4,资金流水!$S$655&lt;=_辅助!$J$2,OR(资金流水!$C$655=$C$18,AND(资金流水!$AD$655=$C$18,资金流水!$X$655="账户互转"),AND($E$18&lt;&gt;"",资金流水!$J$655=$E$18,资金流水!$X$655="应付职工薪酬"))),INT(资金流水!$B$655)*10000+650,"")</f>
      </c>
    </row>
    <row r="656">
      <c r="AA656" s="2">
        <f>IF(AND(ISNUMBER(资金流水!$B$656),ISNUMBER(资金流水!$S$656),资金流水!$S$656&gt;=_辅助!$J$4,资金流水!$S$656&lt;=_辅助!$J$2,OR(资金流水!$C$656=$C$18,AND(资金流水!$AD$656=$C$18,资金流水!$X$656="账户互转"),AND($E$18&lt;&gt;"",资金流水!$J$656=$E$18,资金流水!$X$656="应付职工薪酬"))),INT(资金流水!$B$656)*10000+651,"")</f>
      </c>
    </row>
    <row r="657">
      <c r="AA657" s="2">
        <f>IF(AND(ISNUMBER(资金流水!$B$657),ISNUMBER(资金流水!$S$657),资金流水!$S$657&gt;=_辅助!$J$4,资金流水!$S$657&lt;=_辅助!$J$2,OR(资金流水!$C$657=$C$18,AND(资金流水!$AD$657=$C$18,资金流水!$X$657="账户互转"),AND($E$18&lt;&gt;"",资金流水!$J$657=$E$18,资金流水!$X$657="应付职工薪酬"))),INT(资金流水!$B$657)*10000+652,"")</f>
      </c>
    </row>
    <row r="658">
      <c r="AA658" s="2">
        <f>IF(AND(ISNUMBER(资金流水!$B$658),ISNUMBER(资金流水!$S$658),资金流水!$S$658&gt;=_辅助!$J$4,资金流水!$S$658&lt;=_辅助!$J$2,OR(资金流水!$C$658=$C$18,AND(资金流水!$AD$658=$C$18,资金流水!$X$658="账户互转"),AND($E$18&lt;&gt;"",资金流水!$J$658=$E$18,资金流水!$X$658="应付职工薪酬"))),INT(资金流水!$B$658)*10000+653,"")</f>
      </c>
    </row>
    <row r="659">
      <c r="AA659" s="2">
        <f>IF(AND(ISNUMBER(资金流水!$B$659),ISNUMBER(资金流水!$S$659),资金流水!$S$659&gt;=_辅助!$J$4,资金流水!$S$659&lt;=_辅助!$J$2,OR(资金流水!$C$659=$C$18,AND(资金流水!$AD$659=$C$18,资金流水!$X$659="账户互转"),AND($E$18&lt;&gt;"",资金流水!$J$659=$E$18,资金流水!$X$659="应付职工薪酬"))),INT(资金流水!$B$659)*10000+654,"")</f>
      </c>
    </row>
    <row r="660">
      <c r="AA660" s="2">
        <f>IF(AND(ISNUMBER(资金流水!$B$660),ISNUMBER(资金流水!$S$660),资金流水!$S$660&gt;=_辅助!$J$4,资金流水!$S$660&lt;=_辅助!$J$2,OR(资金流水!$C$660=$C$18,AND(资金流水!$AD$660=$C$18,资金流水!$X$660="账户互转"),AND($E$18&lt;&gt;"",资金流水!$J$660=$E$18,资金流水!$X$660="应付职工薪酬"))),INT(资金流水!$B$660)*10000+655,"")</f>
      </c>
    </row>
    <row r="661">
      <c r="AA661" s="2">
        <f>IF(AND(ISNUMBER(资金流水!$B$661),ISNUMBER(资金流水!$S$661),资金流水!$S$661&gt;=_辅助!$J$4,资金流水!$S$661&lt;=_辅助!$J$2,OR(资金流水!$C$661=$C$18,AND(资金流水!$AD$661=$C$18,资金流水!$X$661="账户互转"),AND($E$18&lt;&gt;"",资金流水!$J$661=$E$18,资金流水!$X$661="应付职工薪酬"))),INT(资金流水!$B$661)*10000+656,"")</f>
      </c>
    </row>
    <row r="662">
      <c r="AA662" s="2">
        <f>IF(AND(ISNUMBER(资金流水!$B$662),ISNUMBER(资金流水!$S$662),资金流水!$S$662&gt;=_辅助!$J$4,资金流水!$S$662&lt;=_辅助!$J$2,OR(资金流水!$C$662=$C$18,AND(资金流水!$AD$662=$C$18,资金流水!$X$662="账户互转"),AND($E$18&lt;&gt;"",资金流水!$J$662=$E$18,资金流水!$X$662="应付职工薪酬"))),INT(资金流水!$B$662)*10000+657,"")</f>
      </c>
    </row>
    <row r="663">
      <c r="AA663" s="2">
        <f>IF(AND(ISNUMBER(资金流水!$B$663),ISNUMBER(资金流水!$S$663),资金流水!$S$663&gt;=_辅助!$J$4,资金流水!$S$663&lt;=_辅助!$J$2,OR(资金流水!$C$663=$C$18,AND(资金流水!$AD$663=$C$18,资金流水!$X$663="账户互转"),AND($E$18&lt;&gt;"",资金流水!$J$663=$E$18,资金流水!$X$663="应付职工薪酬"))),INT(资金流水!$B$663)*10000+658,"")</f>
      </c>
    </row>
    <row r="664">
      <c r="AA664" s="2">
        <f>IF(AND(ISNUMBER(资金流水!$B$664),ISNUMBER(资金流水!$S$664),资金流水!$S$664&gt;=_辅助!$J$4,资金流水!$S$664&lt;=_辅助!$J$2,OR(资金流水!$C$664=$C$18,AND(资金流水!$AD$664=$C$18,资金流水!$X$664="账户互转"),AND($E$18&lt;&gt;"",资金流水!$J$664=$E$18,资金流水!$X$664="应付职工薪酬"))),INT(资金流水!$B$664)*10000+659,"")</f>
      </c>
    </row>
    <row r="665">
      <c r="AA665" s="2">
        <f>IF(AND(ISNUMBER(资金流水!$B$665),ISNUMBER(资金流水!$S$665),资金流水!$S$665&gt;=_辅助!$J$4,资金流水!$S$665&lt;=_辅助!$J$2,OR(资金流水!$C$665=$C$18,AND(资金流水!$AD$665=$C$18,资金流水!$X$665="账户互转"),AND($E$18&lt;&gt;"",资金流水!$J$665=$E$18,资金流水!$X$665="应付职工薪酬"))),INT(资金流水!$B$665)*10000+660,"")</f>
      </c>
    </row>
    <row r="666">
      <c r="AA666" s="2">
        <f>IF(AND(ISNUMBER(资金流水!$B$666),ISNUMBER(资金流水!$S$666),资金流水!$S$666&gt;=_辅助!$J$4,资金流水!$S$666&lt;=_辅助!$J$2,OR(资金流水!$C$666=$C$18,AND(资金流水!$AD$666=$C$18,资金流水!$X$666="账户互转"),AND($E$18&lt;&gt;"",资金流水!$J$666=$E$18,资金流水!$X$666="应付职工薪酬"))),INT(资金流水!$B$666)*10000+661,"")</f>
      </c>
    </row>
    <row r="667">
      <c r="AA667" s="2">
        <f>IF(AND(ISNUMBER(资金流水!$B$667),ISNUMBER(资金流水!$S$667),资金流水!$S$667&gt;=_辅助!$J$4,资金流水!$S$667&lt;=_辅助!$J$2,OR(资金流水!$C$667=$C$18,AND(资金流水!$AD$667=$C$18,资金流水!$X$667="账户互转"),AND($E$18&lt;&gt;"",资金流水!$J$667=$E$18,资金流水!$X$667="应付职工薪酬"))),INT(资金流水!$B$667)*10000+662,"")</f>
      </c>
    </row>
    <row r="668">
      <c r="AA668" s="2">
        <f>IF(AND(ISNUMBER(资金流水!$B$668),ISNUMBER(资金流水!$S$668),资金流水!$S$668&gt;=_辅助!$J$4,资金流水!$S$668&lt;=_辅助!$J$2,OR(资金流水!$C$668=$C$18,AND(资金流水!$AD$668=$C$18,资金流水!$X$668="账户互转"),AND($E$18&lt;&gt;"",资金流水!$J$668=$E$18,资金流水!$X$668="应付职工薪酬"))),INT(资金流水!$B$668)*10000+663,"")</f>
      </c>
    </row>
    <row r="669">
      <c r="AA669" s="2">
        <f>IF(AND(ISNUMBER(资金流水!$B$669),ISNUMBER(资金流水!$S$669),资金流水!$S$669&gt;=_辅助!$J$4,资金流水!$S$669&lt;=_辅助!$J$2,OR(资金流水!$C$669=$C$18,AND(资金流水!$AD$669=$C$18,资金流水!$X$669="账户互转"),AND($E$18&lt;&gt;"",资金流水!$J$669=$E$18,资金流水!$X$669="应付职工薪酬"))),INT(资金流水!$B$669)*10000+664,"")</f>
      </c>
    </row>
    <row r="670">
      <c r="AA670" s="2">
        <f>IF(AND(ISNUMBER(资金流水!$B$670),ISNUMBER(资金流水!$S$670),资金流水!$S$670&gt;=_辅助!$J$4,资金流水!$S$670&lt;=_辅助!$J$2,OR(资金流水!$C$670=$C$18,AND(资金流水!$AD$670=$C$18,资金流水!$X$670="账户互转"),AND($E$18&lt;&gt;"",资金流水!$J$670=$E$18,资金流水!$X$670="应付职工薪酬"))),INT(资金流水!$B$670)*10000+665,"")</f>
      </c>
    </row>
    <row r="671">
      <c r="AA671" s="2">
        <f>IF(AND(ISNUMBER(资金流水!$B$671),ISNUMBER(资金流水!$S$671),资金流水!$S$671&gt;=_辅助!$J$4,资金流水!$S$671&lt;=_辅助!$J$2,OR(资金流水!$C$671=$C$18,AND(资金流水!$AD$671=$C$18,资金流水!$X$671="账户互转"),AND($E$18&lt;&gt;"",资金流水!$J$671=$E$18,资金流水!$X$671="应付职工薪酬"))),INT(资金流水!$B$671)*10000+666,"")</f>
      </c>
    </row>
    <row r="672">
      <c r="AA672" s="2">
        <f>IF(AND(ISNUMBER(资金流水!$B$672),ISNUMBER(资金流水!$S$672),资金流水!$S$672&gt;=_辅助!$J$4,资金流水!$S$672&lt;=_辅助!$J$2,OR(资金流水!$C$672=$C$18,AND(资金流水!$AD$672=$C$18,资金流水!$X$672="账户互转"),AND($E$18&lt;&gt;"",资金流水!$J$672=$E$18,资金流水!$X$672="应付职工薪酬"))),INT(资金流水!$B$672)*10000+667,"")</f>
      </c>
    </row>
    <row r="673">
      <c r="AA673" s="2">
        <f>IF(AND(ISNUMBER(资金流水!$B$673),ISNUMBER(资金流水!$S$673),资金流水!$S$673&gt;=_辅助!$J$4,资金流水!$S$673&lt;=_辅助!$J$2,OR(资金流水!$C$673=$C$18,AND(资金流水!$AD$673=$C$18,资金流水!$X$673="账户互转"),AND($E$18&lt;&gt;"",资金流水!$J$673=$E$18,资金流水!$X$673="应付职工薪酬"))),INT(资金流水!$B$673)*10000+668,"")</f>
      </c>
    </row>
    <row r="674">
      <c r="AA674" s="2">
        <f>IF(AND(ISNUMBER(资金流水!$B$674),ISNUMBER(资金流水!$S$674),资金流水!$S$674&gt;=_辅助!$J$4,资金流水!$S$674&lt;=_辅助!$J$2,OR(资金流水!$C$674=$C$18,AND(资金流水!$AD$674=$C$18,资金流水!$X$674="账户互转"),AND($E$18&lt;&gt;"",资金流水!$J$674=$E$18,资金流水!$X$674="应付职工薪酬"))),INT(资金流水!$B$674)*10000+669,"")</f>
      </c>
    </row>
    <row r="675">
      <c r="AA675" s="2">
        <f>IF(AND(ISNUMBER(资金流水!$B$675),ISNUMBER(资金流水!$S$675),资金流水!$S$675&gt;=_辅助!$J$4,资金流水!$S$675&lt;=_辅助!$J$2,OR(资金流水!$C$675=$C$18,AND(资金流水!$AD$675=$C$18,资金流水!$X$675="账户互转"),AND($E$18&lt;&gt;"",资金流水!$J$675=$E$18,资金流水!$X$675="应付职工薪酬"))),INT(资金流水!$B$675)*10000+670,"")</f>
      </c>
    </row>
    <row r="676">
      <c r="AA676" s="2">
        <f>IF(AND(ISNUMBER(资金流水!$B$676),ISNUMBER(资金流水!$S$676),资金流水!$S$676&gt;=_辅助!$J$4,资金流水!$S$676&lt;=_辅助!$J$2,OR(资金流水!$C$676=$C$18,AND(资金流水!$AD$676=$C$18,资金流水!$X$676="账户互转"),AND($E$18&lt;&gt;"",资金流水!$J$676=$E$18,资金流水!$X$676="应付职工薪酬"))),INT(资金流水!$B$676)*10000+671,"")</f>
      </c>
    </row>
    <row r="677">
      <c r="AA677" s="2">
        <f>IF(AND(ISNUMBER(资金流水!$B$677),ISNUMBER(资金流水!$S$677),资金流水!$S$677&gt;=_辅助!$J$4,资金流水!$S$677&lt;=_辅助!$J$2,OR(资金流水!$C$677=$C$18,AND(资金流水!$AD$677=$C$18,资金流水!$X$677="账户互转"),AND($E$18&lt;&gt;"",资金流水!$J$677=$E$18,资金流水!$X$677="应付职工薪酬"))),INT(资金流水!$B$677)*10000+672,"")</f>
      </c>
    </row>
    <row r="678">
      <c r="AA678" s="2">
        <f>IF(AND(ISNUMBER(资金流水!$B$678),ISNUMBER(资金流水!$S$678),资金流水!$S$678&gt;=_辅助!$J$4,资金流水!$S$678&lt;=_辅助!$J$2,OR(资金流水!$C$678=$C$18,AND(资金流水!$AD$678=$C$18,资金流水!$X$678="账户互转"),AND($E$18&lt;&gt;"",资金流水!$J$678=$E$18,资金流水!$X$678="应付职工薪酬"))),INT(资金流水!$B$678)*10000+673,"")</f>
      </c>
    </row>
    <row r="679">
      <c r="AA679" s="2">
        <f>IF(AND(ISNUMBER(资金流水!$B$679),ISNUMBER(资金流水!$S$679),资金流水!$S$679&gt;=_辅助!$J$4,资金流水!$S$679&lt;=_辅助!$J$2,OR(资金流水!$C$679=$C$18,AND(资金流水!$AD$679=$C$18,资金流水!$X$679="账户互转"),AND($E$18&lt;&gt;"",资金流水!$J$679=$E$18,资金流水!$X$679="应付职工薪酬"))),INT(资金流水!$B$679)*10000+674,"")</f>
      </c>
    </row>
    <row r="680">
      <c r="AA680" s="2">
        <f>IF(AND(ISNUMBER(资金流水!$B$680),ISNUMBER(资金流水!$S$680),资金流水!$S$680&gt;=_辅助!$J$4,资金流水!$S$680&lt;=_辅助!$J$2,OR(资金流水!$C$680=$C$18,AND(资金流水!$AD$680=$C$18,资金流水!$X$680="账户互转"),AND($E$18&lt;&gt;"",资金流水!$J$680=$E$18,资金流水!$X$680="应付职工薪酬"))),INT(资金流水!$B$680)*10000+675,"")</f>
      </c>
    </row>
    <row r="681">
      <c r="AA681" s="2">
        <f>IF(AND(ISNUMBER(资金流水!$B$681),ISNUMBER(资金流水!$S$681),资金流水!$S$681&gt;=_辅助!$J$4,资金流水!$S$681&lt;=_辅助!$J$2,OR(资金流水!$C$681=$C$18,AND(资金流水!$AD$681=$C$18,资金流水!$X$681="账户互转"),AND($E$18&lt;&gt;"",资金流水!$J$681=$E$18,资金流水!$X$681="应付职工薪酬"))),INT(资金流水!$B$681)*10000+676,"")</f>
      </c>
    </row>
    <row r="682">
      <c r="AA682" s="2">
        <f>IF(AND(ISNUMBER(资金流水!$B$682),ISNUMBER(资金流水!$S$682),资金流水!$S$682&gt;=_辅助!$J$4,资金流水!$S$682&lt;=_辅助!$J$2,OR(资金流水!$C$682=$C$18,AND(资金流水!$AD$682=$C$18,资金流水!$X$682="账户互转"),AND($E$18&lt;&gt;"",资金流水!$J$682=$E$18,资金流水!$X$682="应付职工薪酬"))),INT(资金流水!$B$682)*10000+677,"")</f>
      </c>
    </row>
    <row r="683">
      <c r="AA683" s="2">
        <f>IF(AND(ISNUMBER(资金流水!$B$683),ISNUMBER(资金流水!$S$683),资金流水!$S$683&gt;=_辅助!$J$4,资金流水!$S$683&lt;=_辅助!$J$2,OR(资金流水!$C$683=$C$18,AND(资金流水!$AD$683=$C$18,资金流水!$X$683="账户互转"),AND($E$18&lt;&gt;"",资金流水!$J$683=$E$18,资金流水!$X$683="应付职工薪酬"))),INT(资金流水!$B$683)*10000+678,"")</f>
      </c>
    </row>
    <row r="684">
      <c r="AA684" s="2">
        <f>IF(AND(ISNUMBER(资金流水!$B$684),ISNUMBER(资金流水!$S$684),资金流水!$S$684&gt;=_辅助!$J$4,资金流水!$S$684&lt;=_辅助!$J$2,OR(资金流水!$C$684=$C$18,AND(资金流水!$AD$684=$C$18,资金流水!$X$684="账户互转"),AND($E$18&lt;&gt;"",资金流水!$J$684=$E$18,资金流水!$X$684="应付职工薪酬"))),INT(资金流水!$B$684)*10000+679,"")</f>
      </c>
    </row>
    <row r="685">
      <c r="AA685" s="2">
        <f>IF(AND(ISNUMBER(资金流水!$B$685),ISNUMBER(资金流水!$S$685),资金流水!$S$685&gt;=_辅助!$J$4,资金流水!$S$685&lt;=_辅助!$J$2,OR(资金流水!$C$685=$C$18,AND(资金流水!$AD$685=$C$18,资金流水!$X$685="账户互转"),AND($E$18&lt;&gt;"",资金流水!$J$685=$E$18,资金流水!$X$685="应付职工薪酬"))),INT(资金流水!$B$685)*10000+680,"")</f>
      </c>
    </row>
    <row r="686">
      <c r="AA686" s="2">
        <f>IF(AND(ISNUMBER(资金流水!$B$686),ISNUMBER(资金流水!$S$686),资金流水!$S$686&gt;=_辅助!$J$4,资金流水!$S$686&lt;=_辅助!$J$2,OR(资金流水!$C$686=$C$18,AND(资金流水!$AD$686=$C$18,资金流水!$X$686="账户互转"),AND($E$18&lt;&gt;"",资金流水!$J$686=$E$18,资金流水!$X$686="应付职工薪酬"))),INT(资金流水!$B$686)*10000+681,"")</f>
      </c>
    </row>
    <row r="687">
      <c r="AA687" s="2">
        <f>IF(AND(ISNUMBER(资金流水!$B$687),ISNUMBER(资金流水!$S$687),资金流水!$S$687&gt;=_辅助!$J$4,资金流水!$S$687&lt;=_辅助!$J$2,OR(资金流水!$C$687=$C$18,AND(资金流水!$AD$687=$C$18,资金流水!$X$687="账户互转"),AND($E$18&lt;&gt;"",资金流水!$J$687=$E$18,资金流水!$X$687="应付职工薪酬"))),INT(资金流水!$B$687)*10000+682,"")</f>
      </c>
    </row>
    <row r="688">
      <c r="AA688" s="2">
        <f>IF(AND(ISNUMBER(资金流水!$B$688),ISNUMBER(资金流水!$S$688),资金流水!$S$688&gt;=_辅助!$J$4,资金流水!$S$688&lt;=_辅助!$J$2,OR(资金流水!$C$688=$C$18,AND(资金流水!$AD$688=$C$18,资金流水!$X$688="账户互转"),AND($E$18&lt;&gt;"",资金流水!$J$688=$E$18,资金流水!$X$688="应付职工薪酬"))),INT(资金流水!$B$688)*10000+683,"")</f>
      </c>
    </row>
    <row r="689">
      <c r="AA689" s="2">
        <f>IF(AND(ISNUMBER(资金流水!$B$689),ISNUMBER(资金流水!$S$689),资金流水!$S$689&gt;=_辅助!$J$4,资金流水!$S$689&lt;=_辅助!$J$2,OR(资金流水!$C$689=$C$18,AND(资金流水!$AD$689=$C$18,资金流水!$X$689="账户互转"),AND($E$18&lt;&gt;"",资金流水!$J$689=$E$18,资金流水!$X$689="应付职工薪酬"))),INT(资金流水!$B$689)*10000+684,"")</f>
      </c>
    </row>
    <row r="690">
      <c r="AA690" s="2">
        <f>IF(AND(ISNUMBER(资金流水!$B$690),ISNUMBER(资金流水!$S$690),资金流水!$S$690&gt;=_辅助!$J$4,资金流水!$S$690&lt;=_辅助!$J$2,OR(资金流水!$C$690=$C$18,AND(资金流水!$AD$690=$C$18,资金流水!$X$690="账户互转"),AND($E$18&lt;&gt;"",资金流水!$J$690=$E$18,资金流水!$X$690="应付职工薪酬"))),INT(资金流水!$B$690)*10000+685,"")</f>
      </c>
    </row>
    <row r="691">
      <c r="AA691" s="2">
        <f>IF(AND(ISNUMBER(资金流水!$B$691),ISNUMBER(资金流水!$S$691),资金流水!$S$691&gt;=_辅助!$J$4,资金流水!$S$691&lt;=_辅助!$J$2,OR(资金流水!$C$691=$C$18,AND(资金流水!$AD$691=$C$18,资金流水!$X$691="账户互转"),AND($E$18&lt;&gt;"",资金流水!$J$691=$E$18,资金流水!$X$691="应付职工薪酬"))),INT(资金流水!$B$691)*10000+686,"")</f>
      </c>
    </row>
    <row r="692">
      <c r="AA692" s="2">
        <f>IF(AND(ISNUMBER(资金流水!$B$692),ISNUMBER(资金流水!$S$692),资金流水!$S$692&gt;=_辅助!$J$4,资金流水!$S$692&lt;=_辅助!$J$2,OR(资金流水!$C$692=$C$18,AND(资金流水!$AD$692=$C$18,资金流水!$X$692="账户互转"),AND($E$18&lt;&gt;"",资金流水!$J$692=$E$18,资金流水!$X$692="应付职工薪酬"))),INT(资金流水!$B$692)*10000+687,"")</f>
      </c>
    </row>
    <row r="693">
      <c r="AA693" s="2">
        <f>IF(AND(ISNUMBER(资金流水!$B$693),ISNUMBER(资金流水!$S$693),资金流水!$S$693&gt;=_辅助!$J$4,资金流水!$S$693&lt;=_辅助!$J$2,OR(资金流水!$C$693=$C$18,AND(资金流水!$AD$693=$C$18,资金流水!$X$693="账户互转"),AND($E$18&lt;&gt;"",资金流水!$J$693=$E$18,资金流水!$X$693="应付职工薪酬"))),INT(资金流水!$B$693)*10000+688,"")</f>
      </c>
    </row>
    <row r="694">
      <c r="AA694" s="2">
        <f>IF(AND(ISNUMBER(资金流水!$B$694),ISNUMBER(资金流水!$S$694),资金流水!$S$694&gt;=_辅助!$J$4,资金流水!$S$694&lt;=_辅助!$J$2,OR(资金流水!$C$694=$C$18,AND(资金流水!$AD$694=$C$18,资金流水!$X$694="账户互转"),AND($E$18&lt;&gt;"",资金流水!$J$694=$E$18,资金流水!$X$694="应付职工薪酬"))),INT(资金流水!$B$694)*10000+689,"")</f>
      </c>
    </row>
    <row r="695">
      <c r="AA695" s="2">
        <f>IF(AND(ISNUMBER(资金流水!$B$695),ISNUMBER(资金流水!$S$695),资金流水!$S$695&gt;=_辅助!$J$4,资金流水!$S$695&lt;=_辅助!$J$2,OR(资金流水!$C$695=$C$18,AND(资金流水!$AD$695=$C$18,资金流水!$X$695="账户互转"),AND($E$18&lt;&gt;"",资金流水!$J$695=$E$18,资金流水!$X$695="应付职工薪酬"))),INT(资金流水!$B$695)*10000+690,"")</f>
      </c>
    </row>
    <row r="696">
      <c r="AA696" s="2">
        <f>IF(AND(ISNUMBER(资金流水!$B$696),ISNUMBER(资金流水!$S$696),资金流水!$S$696&gt;=_辅助!$J$4,资金流水!$S$696&lt;=_辅助!$J$2,OR(资金流水!$C$696=$C$18,AND(资金流水!$AD$696=$C$18,资金流水!$X$696="账户互转"),AND($E$18&lt;&gt;"",资金流水!$J$696=$E$18,资金流水!$X$696="应付职工薪酬"))),INT(资金流水!$B$696)*10000+691,"")</f>
      </c>
    </row>
    <row r="697">
      <c r="AA697" s="2">
        <f>IF(AND(ISNUMBER(资金流水!$B$697),ISNUMBER(资金流水!$S$697),资金流水!$S$697&gt;=_辅助!$J$4,资金流水!$S$697&lt;=_辅助!$J$2,OR(资金流水!$C$697=$C$18,AND(资金流水!$AD$697=$C$18,资金流水!$X$697="账户互转"),AND($E$18&lt;&gt;"",资金流水!$J$697=$E$18,资金流水!$X$697="应付职工薪酬"))),INT(资金流水!$B$697)*10000+692,"")</f>
      </c>
    </row>
    <row r="698">
      <c r="AA698" s="2">
        <f>IF(AND(ISNUMBER(资金流水!$B$698),ISNUMBER(资金流水!$S$698),资金流水!$S$698&gt;=_辅助!$J$4,资金流水!$S$698&lt;=_辅助!$J$2,OR(资金流水!$C$698=$C$18,AND(资金流水!$AD$698=$C$18,资金流水!$X$698="账户互转"),AND($E$18&lt;&gt;"",资金流水!$J$698=$E$18,资金流水!$X$698="应付职工薪酬"))),INT(资金流水!$B$698)*10000+693,"")</f>
      </c>
    </row>
    <row r="699">
      <c r="AA699" s="2">
        <f>IF(AND(ISNUMBER(资金流水!$B$699),ISNUMBER(资金流水!$S$699),资金流水!$S$699&gt;=_辅助!$J$4,资金流水!$S$699&lt;=_辅助!$J$2,OR(资金流水!$C$699=$C$18,AND(资金流水!$AD$699=$C$18,资金流水!$X$699="账户互转"),AND($E$18&lt;&gt;"",资金流水!$J$699=$E$18,资金流水!$X$699="应付职工薪酬"))),INT(资金流水!$B$699)*10000+694,"")</f>
      </c>
    </row>
    <row r="700">
      <c r="AA700" s="2">
        <f>IF(AND(ISNUMBER(资金流水!$B$700),ISNUMBER(资金流水!$S$700),资金流水!$S$700&gt;=_辅助!$J$4,资金流水!$S$700&lt;=_辅助!$J$2,OR(资金流水!$C$700=$C$18,AND(资金流水!$AD$700=$C$18,资金流水!$X$700="账户互转"),AND($E$18&lt;&gt;"",资金流水!$J$700=$E$18,资金流水!$X$700="应付职工薪酬"))),INT(资金流水!$B$700)*10000+695,"")</f>
      </c>
    </row>
    <row r="701">
      <c r="AA701" s="2">
        <f>IF(AND(ISNUMBER(资金流水!$B$701),ISNUMBER(资金流水!$S$701),资金流水!$S$701&gt;=_辅助!$J$4,资金流水!$S$701&lt;=_辅助!$J$2,OR(资金流水!$C$701=$C$18,AND(资金流水!$AD$701=$C$18,资金流水!$X$701="账户互转"),AND($E$18&lt;&gt;"",资金流水!$J$701=$E$18,资金流水!$X$701="应付职工薪酬"))),INT(资金流水!$B$701)*10000+696,"")</f>
      </c>
    </row>
    <row r="702">
      <c r="AA702" s="2">
        <f>IF(AND(ISNUMBER(资金流水!$B$702),ISNUMBER(资金流水!$S$702),资金流水!$S$702&gt;=_辅助!$J$4,资金流水!$S$702&lt;=_辅助!$J$2,OR(资金流水!$C$702=$C$18,AND(资金流水!$AD$702=$C$18,资金流水!$X$702="账户互转"),AND($E$18&lt;&gt;"",资金流水!$J$702=$E$18,资金流水!$X$702="应付职工薪酬"))),INT(资金流水!$B$702)*10000+697,"")</f>
      </c>
    </row>
    <row r="703">
      <c r="AA703" s="2">
        <f>IF(AND(ISNUMBER(资金流水!$B$703),ISNUMBER(资金流水!$S$703),资金流水!$S$703&gt;=_辅助!$J$4,资金流水!$S$703&lt;=_辅助!$J$2,OR(资金流水!$C$703=$C$18,AND(资金流水!$AD$703=$C$18,资金流水!$X$703="账户互转"),AND($E$18&lt;&gt;"",资金流水!$J$703=$E$18,资金流水!$X$703="应付职工薪酬"))),INT(资金流水!$B$703)*10000+698,"")</f>
      </c>
    </row>
    <row r="704">
      <c r="AA704" s="2">
        <f>IF(AND(ISNUMBER(资金流水!$B$704),ISNUMBER(资金流水!$S$704),资金流水!$S$704&gt;=_辅助!$J$4,资金流水!$S$704&lt;=_辅助!$J$2,OR(资金流水!$C$704=$C$18,AND(资金流水!$AD$704=$C$18,资金流水!$X$704="账户互转"),AND($E$18&lt;&gt;"",资金流水!$J$704=$E$18,资金流水!$X$704="应付职工薪酬"))),INT(资金流水!$B$704)*10000+699,"")</f>
      </c>
    </row>
    <row r="705">
      <c r="AA705" s="2">
        <f>IF(AND(ISNUMBER(资金流水!$B$705),ISNUMBER(资金流水!$S$705),资金流水!$S$705&gt;=_辅助!$J$4,资金流水!$S$705&lt;=_辅助!$J$2,OR(资金流水!$C$705=$C$18,AND(资金流水!$AD$705=$C$18,资金流水!$X$705="账户互转"),AND($E$18&lt;&gt;"",资金流水!$J$705=$E$18,资金流水!$X$705="应付职工薪酬"))),INT(资金流水!$B$705)*10000+700,"")</f>
      </c>
    </row>
    <row r="706">
      <c r="AA706" s="2">
        <f>IF(AND(ISNUMBER(资金流水!$B$706),ISNUMBER(资金流水!$S$706),资金流水!$S$706&gt;=_辅助!$J$4,资金流水!$S$706&lt;=_辅助!$J$2,OR(资金流水!$C$706=$C$18,AND(资金流水!$AD$706=$C$18,资金流水!$X$706="账户互转"),AND($E$18&lt;&gt;"",资金流水!$J$706=$E$18,资金流水!$X$706="应付职工薪酬"))),INT(资金流水!$B$706)*10000+701,"")</f>
      </c>
    </row>
    <row r="707">
      <c r="AA707" s="2">
        <f>IF(AND(ISNUMBER(资金流水!$B$707),ISNUMBER(资金流水!$S$707),资金流水!$S$707&gt;=_辅助!$J$4,资金流水!$S$707&lt;=_辅助!$J$2,OR(资金流水!$C$707=$C$18,AND(资金流水!$AD$707=$C$18,资金流水!$X$707="账户互转"),AND($E$18&lt;&gt;"",资金流水!$J$707=$E$18,资金流水!$X$707="应付职工薪酬"))),INT(资金流水!$B$707)*10000+702,"")</f>
      </c>
    </row>
    <row r="708">
      <c r="AA708" s="2">
        <f>IF(AND(ISNUMBER(资金流水!$B$708),ISNUMBER(资金流水!$S$708),资金流水!$S$708&gt;=_辅助!$J$4,资金流水!$S$708&lt;=_辅助!$J$2,OR(资金流水!$C$708=$C$18,AND(资金流水!$AD$708=$C$18,资金流水!$X$708="账户互转"),AND($E$18&lt;&gt;"",资金流水!$J$708=$E$18,资金流水!$X$708="应付职工薪酬"))),INT(资金流水!$B$708)*10000+703,"")</f>
      </c>
    </row>
    <row r="709">
      <c r="AA709" s="2">
        <f>IF(AND(ISNUMBER(资金流水!$B$709),ISNUMBER(资金流水!$S$709),资金流水!$S$709&gt;=_辅助!$J$4,资金流水!$S$709&lt;=_辅助!$J$2,OR(资金流水!$C$709=$C$18,AND(资金流水!$AD$709=$C$18,资金流水!$X$709="账户互转"),AND($E$18&lt;&gt;"",资金流水!$J$709=$E$18,资金流水!$X$709="应付职工薪酬"))),INT(资金流水!$B$709)*10000+704,"")</f>
      </c>
    </row>
    <row r="710">
      <c r="AA710" s="2">
        <f>IF(AND(ISNUMBER(资金流水!$B$710),ISNUMBER(资金流水!$S$710),资金流水!$S$710&gt;=_辅助!$J$4,资金流水!$S$710&lt;=_辅助!$J$2,OR(资金流水!$C$710=$C$18,AND(资金流水!$AD$710=$C$18,资金流水!$X$710="账户互转"),AND($E$18&lt;&gt;"",资金流水!$J$710=$E$18,资金流水!$X$710="应付职工薪酬"))),INT(资金流水!$B$710)*10000+705,"")</f>
      </c>
    </row>
    <row r="711">
      <c r="AA711" s="2">
        <f>IF(AND(ISNUMBER(资金流水!$B$711),ISNUMBER(资金流水!$S$711),资金流水!$S$711&gt;=_辅助!$J$4,资金流水!$S$711&lt;=_辅助!$J$2,OR(资金流水!$C$711=$C$18,AND(资金流水!$AD$711=$C$18,资金流水!$X$711="账户互转"),AND($E$18&lt;&gt;"",资金流水!$J$711=$E$18,资金流水!$X$711="应付职工薪酬"))),INT(资金流水!$B$711)*10000+706,"")</f>
      </c>
    </row>
    <row r="712">
      <c r="AA712" s="2">
        <f>IF(AND(ISNUMBER(资金流水!$B$712),ISNUMBER(资金流水!$S$712),资金流水!$S$712&gt;=_辅助!$J$4,资金流水!$S$712&lt;=_辅助!$J$2,OR(资金流水!$C$712=$C$18,AND(资金流水!$AD$712=$C$18,资金流水!$X$712="账户互转"),AND($E$18&lt;&gt;"",资金流水!$J$712=$E$18,资金流水!$X$712="应付职工薪酬"))),INT(资金流水!$B$712)*10000+707,"")</f>
      </c>
    </row>
    <row r="713">
      <c r="AA713" s="2">
        <f>IF(AND(ISNUMBER(资金流水!$B$713),ISNUMBER(资金流水!$S$713),资金流水!$S$713&gt;=_辅助!$J$4,资金流水!$S$713&lt;=_辅助!$J$2,OR(资金流水!$C$713=$C$18,AND(资金流水!$AD$713=$C$18,资金流水!$X$713="账户互转"),AND($E$18&lt;&gt;"",资金流水!$J$713=$E$18,资金流水!$X$713="应付职工薪酬"))),INT(资金流水!$B$713)*10000+708,"")</f>
      </c>
    </row>
    <row r="714">
      <c r="AA714" s="2">
        <f>IF(AND(ISNUMBER(资金流水!$B$714),ISNUMBER(资金流水!$S$714),资金流水!$S$714&gt;=_辅助!$J$4,资金流水!$S$714&lt;=_辅助!$J$2,OR(资金流水!$C$714=$C$18,AND(资金流水!$AD$714=$C$18,资金流水!$X$714="账户互转"),AND($E$18&lt;&gt;"",资金流水!$J$714=$E$18,资金流水!$X$714="应付职工薪酬"))),INT(资金流水!$B$714)*10000+709,"")</f>
      </c>
    </row>
    <row r="715">
      <c r="AA715" s="2">
        <f>IF(AND(ISNUMBER(资金流水!$B$715),ISNUMBER(资金流水!$S$715),资金流水!$S$715&gt;=_辅助!$J$4,资金流水!$S$715&lt;=_辅助!$J$2,OR(资金流水!$C$715=$C$18,AND(资金流水!$AD$715=$C$18,资金流水!$X$715="账户互转"),AND($E$18&lt;&gt;"",资金流水!$J$715=$E$18,资金流水!$X$715="应付职工薪酬"))),INT(资金流水!$B$715)*10000+710,"")</f>
      </c>
    </row>
    <row r="716">
      <c r="AA716" s="2">
        <f>IF(AND(ISNUMBER(资金流水!$B$716),ISNUMBER(资金流水!$S$716),资金流水!$S$716&gt;=_辅助!$J$4,资金流水!$S$716&lt;=_辅助!$J$2,OR(资金流水!$C$716=$C$18,AND(资金流水!$AD$716=$C$18,资金流水!$X$716="账户互转"),AND($E$18&lt;&gt;"",资金流水!$J$716=$E$18,资金流水!$X$716="应付职工薪酬"))),INT(资金流水!$B$716)*10000+711,"")</f>
      </c>
    </row>
    <row r="717">
      <c r="AA717" s="2">
        <f>IF(AND(ISNUMBER(资金流水!$B$717),ISNUMBER(资金流水!$S$717),资金流水!$S$717&gt;=_辅助!$J$4,资金流水!$S$717&lt;=_辅助!$J$2,OR(资金流水!$C$717=$C$18,AND(资金流水!$AD$717=$C$18,资金流水!$X$717="账户互转"),AND($E$18&lt;&gt;"",资金流水!$J$717=$E$18,资金流水!$X$717="应付职工薪酬"))),INT(资金流水!$B$717)*10000+712,"")</f>
      </c>
    </row>
    <row r="718">
      <c r="AA718" s="2">
        <f>IF(AND(ISNUMBER(资金流水!$B$718),ISNUMBER(资金流水!$S$718),资金流水!$S$718&gt;=_辅助!$J$4,资金流水!$S$718&lt;=_辅助!$J$2,OR(资金流水!$C$718=$C$18,AND(资金流水!$AD$718=$C$18,资金流水!$X$718="账户互转"),AND($E$18&lt;&gt;"",资金流水!$J$718=$E$18,资金流水!$X$718="应付职工薪酬"))),INT(资金流水!$B$718)*10000+713,"")</f>
      </c>
    </row>
    <row r="719">
      <c r="AA719" s="2">
        <f>IF(AND(ISNUMBER(资金流水!$B$719),ISNUMBER(资金流水!$S$719),资金流水!$S$719&gt;=_辅助!$J$4,资金流水!$S$719&lt;=_辅助!$J$2,OR(资金流水!$C$719=$C$18,AND(资金流水!$AD$719=$C$18,资金流水!$X$719="账户互转"),AND($E$18&lt;&gt;"",资金流水!$J$719=$E$18,资金流水!$X$719="应付职工薪酬"))),INT(资金流水!$B$719)*10000+714,"")</f>
      </c>
    </row>
    <row r="720">
      <c r="AA720" s="2">
        <f>IF(AND(ISNUMBER(资金流水!$B$720),ISNUMBER(资金流水!$S$720),资金流水!$S$720&gt;=_辅助!$J$4,资金流水!$S$720&lt;=_辅助!$J$2,OR(资金流水!$C$720=$C$18,AND(资金流水!$AD$720=$C$18,资金流水!$X$720="账户互转"),AND($E$18&lt;&gt;"",资金流水!$J$720=$E$18,资金流水!$X$720="应付职工薪酬"))),INT(资金流水!$B$720)*10000+715,"")</f>
      </c>
    </row>
    <row r="721">
      <c r="AA721" s="2">
        <f>IF(AND(ISNUMBER(资金流水!$B$721),ISNUMBER(资金流水!$S$721),资金流水!$S$721&gt;=_辅助!$J$4,资金流水!$S$721&lt;=_辅助!$J$2,OR(资金流水!$C$721=$C$18,AND(资金流水!$AD$721=$C$18,资金流水!$X$721="账户互转"),AND($E$18&lt;&gt;"",资金流水!$J$721=$E$18,资金流水!$X$721="应付职工薪酬"))),INT(资金流水!$B$721)*10000+716,"")</f>
      </c>
    </row>
    <row r="722">
      <c r="AA722" s="2">
        <f>IF(AND(ISNUMBER(资金流水!$B$722),ISNUMBER(资金流水!$S$722),资金流水!$S$722&gt;=_辅助!$J$4,资金流水!$S$722&lt;=_辅助!$J$2,OR(资金流水!$C$722=$C$18,AND(资金流水!$AD$722=$C$18,资金流水!$X$722="账户互转"),AND($E$18&lt;&gt;"",资金流水!$J$722=$E$18,资金流水!$X$722="应付职工薪酬"))),INT(资金流水!$B$722)*10000+717,"")</f>
      </c>
    </row>
    <row r="723">
      <c r="AA723" s="2">
        <f>IF(AND(ISNUMBER(资金流水!$B$723),ISNUMBER(资金流水!$S$723),资金流水!$S$723&gt;=_辅助!$J$4,资金流水!$S$723&lt;=_辅助!$J$2,OR(资金流水!$C$723=$C$18,AND(资金流水!$AD$723=$C$18,资金流水!$X$723="账户互转"),AND($E$18&lt;&gt;"",资金流水!$J$723=$E$18,资金流水!$X$723="应付职工薪酬"))),INT(资金流水!$B$723)*10000+718,"")</f>
      </c>
    </row>
    <row r="724">
      <c r="AA724" s="2">
        <f>IF(AND(ISNUMBER(资金流水!$B$724),ISNUMBER(资金流水!$S$724),资金流水!$S$724&gt;=_辅助!$J$4,资金流水!$S$724&lt;=_辅助!$J$2,OR(资金流水!$C$724=$C$18,AND(资金流水!$AD$724=$C$18,资金流水!$X$724="账户互转"),AND($E$18&lt;&gt;"",资金流水!$J$724=$E$18,资金流水!$X$724="应付职工薪酬"))),INT(资金流水!$B$724)*10000+719,"")</f>
      </c>
    </row>
    <row r="725">
      <c r="AA725" s="2">
        <f>IF(AND(ISNUMBER(资金流水!$B$725),ISNUMBER(资金流水!$S$725),资金流水!$S$725&gt;=_辅助!$J$4,资金流水!$S$725&lt;=_辅助!$J$2,OR(资金流水!$C$725=$C$18,AND(资金流水!$AD$725=$C$18,资金流水!$X$725="账户互转"),AND($E$18&lt;&gt;"",资金流水!$J$725=$E$18,资金流水!$X$725="应付职工薪酬"))),INT(资金流水!$B$725)*10000+720,"")</f>
      </c>
    </row>
    <row r="726">
      <c r="AA726" s="2">
        <f>IF(AND(ISNUMBER(资金流水!$B$726),ISNUMBER(资金流水!$S$726),资金流水!$S$726&gt;=_辅助!$J$4,资金流水!$S$726&lt;=_辅助!$J$2,OR(资金流水!$C$726=$C$18,AND(资金流水!$AD$726=$C$18,资金流水!$X$726="账户互转"),AND($E$18&lt;&gt;"",资金流水!$J$726=$E$18,资金流水!$X$726="应付职工薪酬"))),INT(资金流水!$B$726)*10000+721,"")</f>
      </c>
    </row>
    <row r="727">
      <c r="AA727" s="2">
        <f>IF(AND(ISNUMBER(资金流水!$B$727),ISNUMBER(资金流水!$S$727),资金流水!$S$727&gt;=_辅助!$J$4,资金流水!$S$727&lt;=_辅助!$J$2,OR(资金流水!$C$727=$C$18,AND(资金流水!$AD$727=$C$18,资金流水!$X$727="账户互转"),AND($E$18&lt;&gt;"",资金流水!$J$727=$E$18,资金流水!$X$727="应付职工薪酬"))),INT(资金流水!$B$727)*10000+722,"")</f>
      </c>
    </row>
    <row r="728">
      <c r="AA728" s="2">
        <f>IF(AND(ISNUMBER(资金流水!$B$728),ISNUMBER(资金流水!$S$728),资金流水!$S$728&gt;=_辅助!$J$4,资金流水!$S$728&lt;=_辅助!$J$2,OR(资金流水!$C$728=$C$18,AND(资金流水!$AD$728=$C$18,资金流水!$X$728="账户互转"),AND($E$18&lt;&gt;"",资金流水!$J$728=$E$18,资金流水!$X$728="应付职工薪酬"))),INT(资金流水!$B$728)*10000+723,"")</f>
      </c>
    </row>
    <row r="729">
      <c r="AA729" s="2">
        <f>IF(AND(ISNUMBER(资金流水!$B$729),ISNUMBER(资金流水!$S$729),资金流水!$S$729&gt;=_辅助!$J$4,资金流水!$S$729&lt;=_辅助!$J$2,OR(资金流水!$C$729=$C$18,AND(资金流水!$AD$729=$C$18,资金流水!$X$729="账户互转"),AND($E$18&lt;&gt;"",资金流水!$J$729=$E$18,资金流水!$X$729="应付职工薪酬"))),INT(资金流水!$B$729)*10000+724,"")</f>
      </c>
    </row>
    <row r="730">
      <c r="AA730" s="2">
        <f>IF(AND(ISNUMBER(资金流水!$B$730),ISNUMBER(资金流水!$S$730),资金流水!$S$730&gt;=_辅助!$J$4,资金流水!$S$730&lt;=_辅助!$J$2,OR(资金流水!$C$730=$C$18,AND(资金流水!$AD$730=$C$18,资金流水!$X$730="账户互转"),AND($E$18&lt;&gt;"",资金流水!$J$730=$E$18,资金流水!$X$730="应付职工薪酬"))),INT(资金流水!$B$730)*10000+725,"")</f>
      </c>
    </row>
    <row r="731">
      <c r="AA731" s="2">
        <f>IF(AND(ISNUMBER(资金流水!$B$731),ISNUMBER(资金流水!$S$731),资金流水!$S$731&gt;=_辅助!$J$4,资金流水!$S$731&lt;=_辅助!$J$2,OR(资金流水!$C$731=$C$18,AND(资金流水!$AD$731=$C$18,资金流水!$X$731="账户互转"),AND($E$18&lt;&gt;"",资金流水!$J$731=$E$18,资金流水!$X$731="应付职工薪酬"))),INT(资金流水!$B$731)*10000+726,"")</f>
      </c>
    </row>
    <row r="732">
      <c r="AA732" s="2">
        <f>IF(AND(ISNUMBER(资金流水!$B$732),ISNUMBER(资金流水!$S$732),资金流水!$S$732&gt;=_辅助!$J$4,资金流水!$S$732&lt;=_辅助!$J$2,OR(资金流水!$C$732=$C$18,AND(资金流水!$AD$732=$C$18,资金流水!$X$732="账户互转"),AND($E$18&lt;&gt;"",资金流水!$J$732=$E$18,资金流水!$X$732="应付职工薪酬"))),INT(资金流水!$B$732)*10000+727,"")</f>
      </c>
    </row>
    <row r="733">
      <c r="AA733" s="2">
        <f>IF(AND(ISNUMBER(资金流水!$B$733),ISNUMBER(资金流水!$S$733),资金流水!$S$733&gt;=_辅助!$J$4,资金流水!$S$733&lt;=_辅助!$J$2,OR(资金流水!$C$733=$C$18,AND(资金流水!$AD$733=$C$18,资金流水!$X$733="账户互转"),AND($E$18&lt;&gt;"",资金流水!$J$733=$E$18,资金流水!$X$733="应付职工薪酬"))),INT(资金流水!$B$733)*10000+728,"")</f>
      </c>
    </row>
    <row r="734">
      <c r="AA734" s="2">
        <f>IF(AND(ISNUMBER(资金流水!$B$734),ISNUMBER(资金流水!$S$734),资金流水!$S$734&gt;=_辅助!$J$4,资金流水!$S$734&lt;=_辅助!$J$2,OR(资金流水!$C$734=$C$18,AND(资金流水!$AD$734=$C$18,资金流水!$X$734="账户互转"),AND($E$18&lt;&gt;"",资金流水!$J$734=$E$18,资金流水!$X$734="应付职工薪酬"))),INT(资金流水!$B$734)*10000+729,"")</f>
      </c>
    </row>
    <row r="735">
      <c r="AA735" s="2">
        <f>IF(AND(ISNUMBER(资金流水!$B$735),ISNUMBER(资金流水!$S$735),资金流水!$S$735&gt;=_辅助!$J$4,资金流水!$S$735&lt;=_辅助!$J$2,OR(资金流水!$C$735=$C$18,AND(资金流水!$AD$735=$C$18,资金流水!$X$735="账户互转"),AND($E$18&lt;&gt;"",资金流水!$J$735=$E$18,资金流水!$X$735="应付职工薪酬"))),INT(资金流水!$B$735)*10000+730,"")</f>
      </c>
    </row>
    <row r="736">
      <c r="AA736" s="2">
        <f>IF(AND(ISNUMBER(资金流水!$B$736),ISNUMBER(资金流水!$S$736),资金流水!$S$736&gt;=_辅助!$J$4,资金流水!$S$736&lt;=_辅助!$J$2,OR(资金流水!$C$736=$C$18,AND(资金流水!$AD$736=$C$18,资金流水!$X$736="账户互转"),AND($E$18&lt;&gt;"",资金流水!$J$736=$E$18,资金流水!$X$736="应付职工薪酬"))),INT(资金流水!$B$736)*10000+731,"")</f>
      </c>
    </row>
    <row r="737">
      <c r="AA737" s="2">
        <f>IF(AND(ISNUMBER(资金流水!$B$737),ISNUMBER(资金流水!$S$737),资金流水!$S$737&gt;=_辅助!$J$4,资金流水!$S$737&lt;=_辅助!$J$2,OR(资金流水!$C$737=$C$18,AND(资金流水!$AD$737=$C$18,资金流水!$X$737="账户互转"),AND($E$18&lt;&gt;"",资金流水!$J$737=$E$18,资金流水!$X$737="应付职工薪酬"))),INT(资金流水!$B$737)*10000+732,"")</f>
      </c>
    </row>
    <row r="738">
      <c r="AA738" s="2">
        <f>IF(AND(ISNUMBER(资金流水!$B$738),ISNUMBER(资金流水!$S$738),资金流水!$S$738&gt;=_辅助!$J$4,资金流水!$S$738&lt;=_辅助!$J$2,OR(资金流水!$C$738=$C$18,AND(资金流水!$AD$738=$C$18,资金流水!$X$738="账户互转"),AND($E$18&lt;&gt;"",资金流水!$J$738=$E$18,资金流水!$X$738="应付职工薪酬"))),INT(资金流水!$B$738)*10000+733,"")</f>
      </c>
    </row>
    <row r="739">
      <c r="AA739" s="2">
        <f>IF(AND(ISNUMBER(资金流水!$B$739),ISNUMBER(资金流水!$S$739),资金流水!$S$739&gt;=_辅助!$J$4,资金流水!$S$739&lt;=_辅助!$J$2,OR(资金流水!$C$739=$C$18,AND(资金流水!$AD$739=$C$18,资金流水!$X$739="账户互转"),AND($E$18&lt;&gt;"",资金流水!$J$739=$E$18,资金流水!$X$739="应付职工薪酬"))),INT(资金流水!$B$739)*10000+734,"")</f>
      </c>
    </row>
    <row r="740">
      <c r="AA740" s="2">
        <f>IF(AND(ISNUMBER(资金流水!$B$740),ISNUMBER(资金流水!$S$740),资金流水!$S$740&gt;=_辅助!$J$4,资金流水!$S$740&lt;=_辅助!$J$2,OR(资金流水!$C$740=$C$18,AND(资金流水!$AD$740=$C$18,资金流水!$X$740="账户互转"),AND($E$18&lt;&gt;"",资金流水!$J$740=$E$18,资金流水!$X$740="应付职工薪酬"))),INT(资金流水!$B$740)*10000+735,"")</f>
      </c>
    </row>
    <row r="741">
      <c r="AA741" s="2">
        <f>IF(AND(ISNUMBER(资金流水!$B$741),ISNUMBER(资金流水!$S$741),资金流水!$S$741&gt;=_辅助!$J$4,资金流水!$S$741&lt;=_辅助!$J$2,OR(资金流水!$C$741=$C$18,AND(资金流水!$AD$741=$C$18,资金流水!$X$741="账户互转"),AND($E$18&lt;&gt;"",资金流水!$J$741=$E$18,资金流水!$X$741="应付职工薪酬"))),INT(资金流水!$B$741)*10000+736,"")</f>
      </c>
    </row>
    <row r="742">
      <c r="AA742" s="2">
        <f>IF(AND(ISNUMBER(资金流水!$B$742),ISNUMBER(资金流水!$S$742),资金流水!$S$742&gt;=_辅助!$J$4,资金流水!$S$742&lt;=_辅助!$J$2,OR(资金流水!$C$742=$C$18,AND(资金流水!$AD$742=$C$18,资金流水!$X$742="账户互转"),AND($E$18&lt;&gt;"",资金流水!$J$742=$E$18,资金流水!$X$742="应付职工薪酬"))),INT(资金流水!$B$742)*10000+737,"")</f>
      </c>
    </row>
    <row r="743">
      <c r="AA743" s="2">
        <f>IF(AND(ISNUMBER(资金流水!$B$743),ISNUMBER(资金流水!$S$743),资金流水!$S$743&gt;=_辅助!$J$4,资金流水!$S$743&lt;=_辅助!$J$2,OR(资金流水!$C$743=$C$18,AND(资金流水!$AD$743=$C$18,资金流水!$X$743="账户互转"),AND($E$18&lt;&gt;"",资金流水!$J$743=$E$18,资金流水!$X$743="应付职工薪酬"))),INT(资金流水!$B$743)*10000+738,"")</f>
      </c>
    </row>
    <row r="744">
      <c r="AA744" s="2">
        <f>IF(AND(ISNUMBER(资金流水!$B$744),ISNUMBER(资金流水!$S$744),资金流水!$S$744&gt;=_辅助!$J$4,资金流水!$S$744&lt;=_辅助!$J$2,OR(资金流水!$C$744=$C$18,AND(资金流水!$AD$744=$C$18,资金流水!$X$744="账户互转"),AND($E$18&lt;&gt;"",资金流水!$J$744=$E$18,资金流水!$X$744="应付职工薪酬"))),INT(资金流水!$B$744)*10000+739,"")</f>
      </c>
    </row>
    <row r="745">
      <c r="AA745" s="2">
        <f>IF(AND(ISNUMBER(资金流水!$B$745),ISNUMBER(资金流水!$S$745),资金流水!$S$745&gt;=_辅助!$J$4,资金流水!$S$745&lt;=_辅助!$J$2,OR(资金流水!$C$745=$C$18,AND(资金流水!$AD$745=$C$18,资金流水!$X$745="账户互转"),AND($E$18&lt;&gt;"",资金流水!$J$745=$E$18,资金流水!$X$745="应付职工薪酬"))),INT(资金流水!$B$745)*10000+740,"")</f>
      </c>
    </row>
    <row r="746">
      <c r="AA746" s="2">
        <f>IF(AND(ISNUMBER(资金流水!$B$746),ISNUMBER(资金流水!$S$746),资金流水!$S$746&gt;=_辅助!$J$4,资金流水!$S$746&lt;=_辅助!$J$2,OR(资金流水!$C$746=$C$18,AND(资金流水!$AD$746=$C$18,资金流水!$X$746="账户互转"),AND($E$18&lt;&gt;"",资金流水!$J$746=$E$18,资金流水!$X$746="应付职工薪酬"))),INT(资金流水!$B$746)*10000+741,"")</f>
      </c>
    </row>
    <row r="747">
      <c r="AA747" s="2">
        <f>IF(AND(ISNUMBER(资金流水!$B$747),ISNUMBER(资金流水!$S$747),资金流水!$S$747&gt;=_辅助!$J$4,资金流水!$S$747&lt;=_辅助!$J$2,OR(资金流水!$C$747=$C$18,AND(资金流水!$AD$747=$C$18,资金流水!$X$747="账户互转"),AND($E$18&lt;&gt;"",资金流水!$J$747=$E$18,资金流水!$X$747="应付职工薪酬"))),INT(资金流水!$B$747)*10000+742,"")</f>
      </c>
    </row>
    <row r="748">
      <c r="AA748" s="2">
        <f>IF(AND(ISNUMBER(资金流水!$B$748),ISNUMBER(资金流水!$S$748),资金流水!$S$748&gt;=_辅助!$J$4,资金流水!$S$748&lt;=_辅助!$J$2,OR(资金流水!$C$748=$C$18,AND(资金流水!$AD$748=$C$18,资金流水!$X$748="账户互转"),AND($E$18&lt;&gt;"",资金流水!$J$748=$E$18,资金流水!$X$748="应付职工薪酬"))),INT(资金流水!$B$748)*10000+743,"")</f>
      </c>
    </row>
    <row r="749">
      <c r="AA749" s="2">
        <f>IF(AND(ISNUMBER(资金流水!$B$749),ISNUMBER(资金流水!$S$749),资金流水!$S$749&gt;=_辅助!$J$4,资金流水!$S$749&lt;=_辅助!$J$2,OR(资金流水!$C$749=$C$18,AND(资金流水!$AD$749=$C$18,资金流水!$X$749="账户互转"),AND($E$18&lt;&gt;"",资金流水!$J$749=$E$18,资金流水!$X$749="应付职工薪酬"))),INT(资金流水!$B$749)*10000+744,"")</f>
      </c>
    </row>
    <row r="750">
      <c r="AA750" s="2">
        <f>IF(AND(ISNUMBER(资金流水!$B$750),ISNUMBER(资金流水!$S$750),资金流水!$S$750&gt;=_辅助!$J$4,资金流水!$S$750&lt;=_辅助!$J$2,OR(资金流水!$C$750=$C$18,AND(资金流水!$AD$750=$C$18,资金流水!$X$750="账户互转"),AND($E$18&lt;&gt;"",资金流水!$J$750=$E$18,资金流水!$X$750="应付职工薪酬"))),INT(资金流水!$B$750)*10000+745,"")</f>
      </c>
    </row>
    <row r="751">
      <c r="AA751" s="2">
        <f>IF(AND(ISNUMBER(资金流水!$B$751),ISNUMBER(资金流水!$S$751),资金流水!$S$751&gt;=_辅助!$J$4,资金流水!$S$751&lt;=_辅助!$J$2,OR(资金流水!$C$751=$C$18,AND(资金流水!$AD$751=$C$18,资金流水!$X$751="账户互转"),AND($E$18&lt;&gt;"",资金流水!$J$751=$E$18,资金流水!$X$751="应付职工薪酬"))),INT(资金流水!$B$751)*10000+746,"")</f>
      </c>
    </row>
    <row r="752">
      <c r="AA752" s="2">
        <f>IF(AND(ISNUMBER(资金流水!$B$752),ISNUMBER(资金流水!$S$752),资金流水!$S$752&gt;=_辅助!$J$4,资金流水!$S$752&lt;=_辅助!$J$2,OR(资金流水!$C$752=$C$18,AND(资金流水!$AD$752=$C$18,资金流水!$X$752="账户互转"),AND($E$18&lt;&gt;"",资金流水!$J$752=$E$18,资金流水!$X$752="应付职工薪酬"))),INT(资金流水!$B$752)*10000+747,"")</f>
      </c>
    </row>
    <row r="753">
      <c r="AA753" s="2">
        <f>IF(AND(ISNUMBER(资金流水!$B$753),ISNUMBER(资金流水!$S$753),资金流水!$S$753&gt;=_辅助!$J$4,资金流水!$S$753&lt;=_辅助!$J$2,OR(资金流水!$C$753=$C$18,AND(资金流水!$AD$753=$C$18,资金流水!$X$753="账户互转"),AND($E$18&lt;&gt;"",资金流水!$J$753=$E$18,资金流水!$X$753="应付职工薪酬"))),INT(资金流水!$B$753)*10000+748,"")</f>
      </c>
    </row>
    <row r="754">
      <c r="AA754" s="2">
        <f>IF(AND(ISNUMBER(资金流水!$B$754),ISNUMBER(资金流水!$S$754),资金流水!$S$754&gt;=_辅助!$J$4,资金流水!$S$754&lt;=_辅助!$J$2,OR(资金流水!$C$754=$C$18,AND(资金流水!$AD$754=$C$18,资金流水!$X$754="账户互转"),AND($E$18&lt;&gt;"",资金流水!$J$754=$E$18,资金流水!$X$754="应付职工薪酬"))),INT(资金流水!$B$754)*10000+749,"")</f>
      </c>
    </row>
    <row r="755">
      <c r="AA755" s="2">
        <f>IF(AND(ISNUMBER(资金流水!$B$755),ISNUMBER(资金流水!$S$755),资金流水!$S$755&gt;=_辅助!$J$4,资金流水!$S$755&lt;=_辅助!$J$2,OR(资金流水!$C$755=$C$18,AND(资金流水!$AD$755=$C$18,资金流水!$X$755="账户互转"),AND($E$18&lt;&gt;"",资金流水!$J$755=$E$18,资金流水!$X$755="应付职工薪酬"))),INT(资金流水!$B$755)*10000+750,"")</f>
      </c>
    </row>
    <row r="756">
      <c r="AA756" s="2">
        <f>IF(AND(ISNUMBER(资金流水!$B$756),ISNUMBER(资金流水!$S$756),资金流水!$S$756&gt;=_辅助!$J$4,资金流水!$S$756&lt;=_辅助!$J$2,OR(资金流水!$C$756=$C$18,AND(资金流水!$AD$756=$C$18,资金流水!$X$756="账户互转"),AND($E$18&lt;&gt;"",资金流水!$J$756=$E$18,资金流水!$X$756="应付职工薪酬"))),INT(资金流水!$B$756)*10000+751,"")</f>
      </c>
    </row>
    <row r="757">
      <c r="AA757" s="2">
        <f>IF(AND(ISNUMBER(资金流水!$B$757),ISNUMBER(资金流水!$S$757),资金流水!$S$757&gt;=_辅助!$J$4,资金流水!$S$757&lt;=_辅助!$J$2,OR(资金流水!$C$757=$C$18,AND(资金流水!$AD$757=$C$18,资金流水!$X$757="账户互转"),AND($E$18&lt;&gt;"",资金流水!$J$757=$E$18,资金流水!$X$757="应付职工薪酬"))),INT(资金流水!$B$757)*10000+752,"")</f>
      </c>
    </row>
    <row r="758">
      <c r="AA758" s="2">
        <f>IF(AND(ISNUMBER(资金流水!$B$758),ISNUMBER(资金流水!$S$758),资金流水!$S$758&gt;=_辅助!$J$4,资金流水!$S$758&lt;=_辅助!$J$2,OR(资金流水!$C$758=$C$18,AND(资金流水!$AD$758=$C$18,资金流水!$X$758="账户互转"),AND($E$18&lt;&gt;"",资金流水!$J$758=$E$18,资金流水!$X$758="应付职工薪酬"))),INT(资金流水!$B$758)*10000+753,"")</f>
      </c>
    </row>
    <row r="759">
      <c r="AA759" s="2">
        <f>IF(AND(ISNUMBER(资金流水!$B$759),ISNUMBER(资金流水!$S$759),资金流水!$S$759&gt;=_辅助!$J$4,资金流水!$S$759&lt;=_辅助!$J$2,OR(资金流水!$C$759=$C$18,AND(资金流水!$AD$759=$C$18,资金流水!$X$759="账户互转"),AND($E$18&lt;&gt;"",资金流水!$J$759=$E$18,资金流水!$X$759="应付职工薪酬"))),INT(资金流水!$B$759)*10000+754,"")</f>
      </c>
    </row>
    <row r="760">
      <c r="AA760" s="2">
        <f>IF(AND(ISNUMBER(资金流水!$B$760),ISNUMBER(资金流水!$S$760),资金流水!$S$760&gt;=_辅助!$J$4,资金流水!$S$760&lt;=_辅助!$J$2,OR(资金流水!$C$760=$C$18,AND(资金流水!$AD$760=$C$18,资金流水!$X$760="账户互转"),AND($E$18&lt;&gt;"",资金流水!$J$760=$E$18,资金流水!$X$760="应付职工薪酬"))),INT(资金流水!$B$760)*10000+755,"")</f>
      </c>
    </row>
    <row r="761">
      <c r="AA761" s="2">
        <f>IF(AND(ISNUMBER(资金流水!$B$761),ISNUMBER(资金流水!$S$761),资金流水!$S$761&gt;=_辅助!$J$4,资金流水!$S$761&lt;=_辅助!$J$2,OR(资金流水!$C$761=$C$18,AND(资金流水!$AD$761=$C$18,资金流水!$X$761="账户互转"),AND($E$18&lt;&gt;"",资金流水!$J$761=$E$18,资金流水!$X$761="应付职工薪酬"))),INT(资金流水!$B$761)*10000+756,"")</f>
      </c>
    </row>
    <row r="762">
      <c r="AA762" s="2">
        <f>IF(AND(ISNUMBER(资金流水!$B$762),ISNUMBER(资金流水!$S$762),资金流水!$S$762&gt;=_辅助!$J$4,资金流水!$S$762&lt;=_辅助!$J$2,OR(资金流水!$C$762=$C$18,AND(资金流水!$AD$762=$C$18,资金流水!$X$762="账户互转"),AND($E$18&lt;&gt;"",资金流水!$J$762=$E$18,资金流水!$X$762="应付职工薪酬"))),INT(资金流水!$B$762)*10000+757,"")</f>
      </c>
    </row>
    <row r="763">
      <c r="AA763" s="2">
        <f>IF(AND(ISNUMBER(资金流水!$B$763),ISNUMBER(资金流水!$S$763),资金流水!$S$763&gt;=_辅助!$J$4,资金流水!$S$763&lt;=_辅助!$J$2,OR(资金流水!$C$763=$C$18,AND(资金流水!$AD$763=$C$18,资金流水!$X$763="账户互转"),AND($E$18&lt;&gt;"",资金流水!$J$763=$E$18,资金流水!$X$763="应付职工薪酬"))),INT(资金流水!$B$763)*10000+758,"")</f>
      </c>
    </row>
    <row r="764">
      <c r="AA764" s="2">
        <f>IF(AND(ISNUMBER(资金流水!$B$764),ISNUMBER(资金流水!$S$764),资金流水!$S$764&gt;=_辅助!$J$4,资金流水!$S$764&lt;=_辅助!$J$2,OR(资金流水!$C$764=$C$18,AND(资金流水!$AD$764=$C$18,资金流水!$X$764="账户互转"),AND($E$18&lt;&gt;"",资金流水!$J$764=$E$18,资金流水!$X$764="应付职工薪酬"))),INT(资金流水!$B$764)*10000+759,"")</f>
      </c>
    </row>
    <row r="765">
      <c r="AA765" s="2">
        <f>IF(AND(ISNUMBER(资金流水!$B$765),ISNUMBER(资金流水!$S$765),资金流水!$S$765&gt;=_辅助!$J$4,资金流水!$S$765&lt;=_辅助!$J$2,OR(资金流水!$C$765=$C$18,AND(资金流水!$AD$765=$C$18,资金流水!$X$765="账户互转"),AND($E$18&lt;&gt;"",资金流水!$J$765=$E$18,资金流水!$X$765="应付职工薪酬"))),INT(资金流水!$B$765)*10000+760,"")</f>
      </c>
    </row>
    <row r="766">
      <c r="AA766" s="2">
        <f>IF(AND(ISNUMBER(资金流水!$B$766),ISNUMBER(资金流水!$S$766),资金流水!$S$766&gt;=_辅助!$J$4,资金流水!$S$766&lt;=_辅助!$J$2,OR(资金流水!$C$766=$C$18,AND(资金流水!$AD$766=$C$18,资金流水!$X$766="账户互转"),AND($E$18&lt;&gt;"",资金流水!$J$766=$E$18,资金流水!$X$766="应付职工薪酬"))),INT(资金流水!$B$766)*10000+761,"")</f>
      </c>
    </row>
    <row r="767">
      <c r="AA767" s="2">
        <f>IF(AND(ISNUMBER(资金流水!$B$767),ISNUMBER(资金流水!$S$767),资金流水!$S$767&gt;=_辅助!$J$4,资金流水!$S$767&lt;=_辅助!$J$2,OR(资金流水!$C$767=$C$18,AND(资金流水!$AD$767=$C$18,资金流水!$X$767="账户互转"),AND($E$18&lt;&gt;"",资金流水!$J$767=$E$18,资金流水!$X$767="应付职工薪酬"))),INT(资金流水!$B$767)*10000+762,"")</f>
      </c>
    </row>
    <row r="768">
      <c r="AA768" s="2">
        <f>IF(AND(ISNUMBER(资金流水!$B$768),ISNUMBER(资金流水!$S$768),资金流水!$S$768&gt;=_辅助!$J$4,资金流水!$S$768&lt;=_辅助!$J$2,OR(资金流水!$C$768=$C$18,AND(资金流水!$AD$768=$C$18,资金流水!$X$768="账户互转"),AND($E$18&lt;&gt;"",资金流水!$J$768=$E$18,资金流水!$X$768="应付职工薪酬"))),INT(资金流水!$B$768)*10000+763,"")</f>
      </c>
    </row>
    <row r="769">
      <c r="AA769" s="2">
        <f>IF(AND(ISNUMBER(资金流水!$B$769),ISNUMBER(资金流水!$S$769),资金流水!$S$769&gt;=_辅助!$J$4,资金流水!$S$769&lt;=_辅助!$J$2,OR(资金流水!$C$769=$C$18,AND(资金流水!$AD$769=$C$18,资金流水!$X$769="账户互转"),AND($E$18&lt;&gt;"",资金流水!$J$769=$E$18,资金流水!$X$769="应付职工薪酬"))),INT(资金流水!$B$769)*10000+764,"")</f>
      </c>
    </row>
    <row r="770">
      <c r="AA770" s="2">
        <f>IF(AND(ISNUMBER(资金流水!$B$770),ISNUMBER(资金流水!$S$770),资金流水!$S$770&gt;=_辅助!$J$4,资金流水!$S$770&lt;=_辅助!$J$2,OR(资金流水!$C$770=$C$18,AND(资金流水!$AD$770=$C$18,资金流水!$X$770="账户互转"),AND($E$18&lt;&gt;"",资金流水!$J$770=$E$18,资金流水!$X$770="应付职工薪酬"))),INT(资金流水!$B$770)*10000+765,"")</f>
      </c>
    </row>
    <row r="771">
      <c r="AA771" s="2">
        <f>IF(AND(ISNUMBER(资金流水!$B$771),ISNUMBER(资金流水!$S$771),资金流水!$S$771&gt;=_辅助!$J$4,资金流水!$S$771&lt;=_辅助!$J$2,OR(资金流水!$C$771=$C$18,AND(资金流水!$AD$771=$C$18,资金流水!$X$771="账户互转"),AND($E$18&lt;&gt;"",资金流水!$J$771=$E$18,资金流水!$X$771="应付职工薪酬"))),INT(资金流水!$B$771)*10000+766,"")</f>
      </c>
    </row>
    <row r="772">
      <c r="AA772" s="2">
        <f>IF(AND(ISNUMBER(资金流水!$B$772),ISNUMBER(资金流水!$S$772),资金流水!$S$772&gt;=_辅助!$J$4,资金流水!$S$772&lt;=_辅助!$J$2,OR(资金流水!$C$772=$C$18,AND(资金流水!$AD$772=$C$18,资金流水!$X$772="账户互转"),AND($E$18&lt;&gt;"",资金流水!$J$772=$E$18,资金流水!$X$772="应付职工薪酬"))),INT(资金流水!$B$772)*10000+767,"")</f>
      </c>
    </row>
    <row r="773">
      <c r="AA773" s="2">
        <f>IF(AND(ISNUMBER(资金流水!$B$773),ISNUMBER(资金流水!$S$773),资金流水!$S$773&gt;=_辅助!$J$4,资金流水!$S$773&lt;=_辅助!$J$2,OR(资金流水!$C$773=$C$18,AND(资金流水!$AD$773=$C$18,资金流水!$X$773="账户互转"),AND($E$18&lt;&gt;"",资金流水!$J$773=$E$18,资金流水!$X$773="应付职工薪酬"))),INT(资金流水!$B$773)*10000+768,"")</f>
      </c>
    </row>
    <row r="774">
      <c r="AA774" s="2">
        <f>IF(AND(ISNUMBER(资金流水!$B$774),ISNUMBER(资金流水!$S$774),资金流水!$S$774&gt;=_辅助!$J$4,资金流水!$S$774&lt;=_辅助!$J$2,OR(资金流水!$C$774=$C$18,AND(资金流水!$AD$774=$C$18,资金流水!$X$774="账户互转"),AND($E$18&lt;&gt;"",资金流水!$J$774=$E$18,资金流水!$X$774="应付职工薪酬"))),INT(资金流水!$B$774)*10000+769,"")</f>
      </c>
    </row>
    <row r="775">
      <c r="AA775" s="2">
        <f>IF(AND(ISNUMBER(资金流水!$B$775),ISNUMBER(资金流水!$S$775),资金流水!$S$775&gt;=_辅助!$J$4,资金流水!$S$775&lt;=_辅助!$J$2,OR(资金流水!$C$775=$C$18,AND(资金流水!$AD$775=$C$18,资金流水!$X$775="账户互转"),AND($E$18&lt;&gt;"",资金流水!$J$775=$E$18,资金流水!$X$775="应付职工薪酬"))),INT(资金流水!$B$775)*10000+770,"")</f>
      </c>
    </row>
    <row r="776">
      <c r="AA776" s="2">
        <f>IF(AND(ISNUMBER(资金流水!$B$776),ISNUMBER(资金流水!$S$776),资金流水!$S$776&gt;=_辅助!$J$4,资金流水!$S$776&lt;=_辅助!$J$2,OR(资金流水!$C$776=$C$18,AND(资金流水!$AD$776=$C$18,资金流水!$X$776="账户互转"),AND($E$18&lt;&gt;"",资金流水!$J$776=$E$18,资金流水!$X$776="应付职工薪酬"))),INT(资金流水!$B$776)*10000+771,"")</f>
      </c>
    </row>
    <row r="777">
      <c r="AA777" s="2">
        <f>IF(AND(ISNUMBER(资金流水!$B$777),ISNUMBER(资金流水!$S$777),资金流水!$S$777&gt;=_辅助!$J$4,资金流水!$S$777&lt;=_辅助!$J$2,OR(资金流水!$C$777=$C$18,AND(资金流水!$AD$777=$C$18,资金流水!$X$777="账户互转"),AND($E$18&lt;&gt;"",资金流水!$J$777=$E$18,资金流水!$X$777="应付职工薪酬"))),INT(资金流水!$B$777)*10000+772,"")</f>
      </c>
    </row>
    <row r="778">
      <c r="AA778" s="2">
        <f>IF(AND(ISNUMBER(资金流水!$B$778),ISNUMBER(资金流水!$S$778),资金流水!$S$778&gt;=_辅助!$J$4,资金流水!$S$778&lt;=_辅助!$J$2,OR(资金流水!$C$778=$C$18,AND(资金流水!$AD$778=$C$18,资金流水!$X$778="账户互转"),AND($E$18&lt;&gt;"",资金流水!$J$778=$E$18,资金流水!$X$778="应付职工薪酬"))),INT(资金流水!$B$778)*10000+773,"")</f>
      </c>
    </row>
    <row r="779">
      <c r="AA779" s="2">
        <f>IF(AND(ISNUMBER(资金流水!$B$779),ISNUMBER(资金流水!$S$779),资金流水!$S$779&gt;=_辅助!$J$4,资金流水!$S$779&lt;=_辅助!$J$2,OR(资金流水!$C$779=$C$18,AND(资金流水!$AD$779=$C$18,资金流水!$X$779="账户互转"),AND($E$18&lt;&gt;"",资金流水!$J$779=$E$18,资金流水!$X$779="应付职工薪酬"))),INT(资金流水!$B$779)*10000+774,"")</f>
      </c>
    </row>
    <row r="780">
      <c r="AA780" s="2">
        <f>IF(AND(ISNUMBER(资金流水!$B$780),ISNUMBER(资金流水!$S$780),资金流水!$S$780&gt;=_辅助!$J$4,资金流水!$S$780&lt;=_辅助!$J$2,OR(资金流水!$C$780=$C$18,AND(资金流水!$AD$780=$C$18,资金流水!$X$780="账户互转"),AND($E$18&lt;&gt;"",资金流水!$J$780=$E$18,资金流水!$X$780="应付职工薪酬"))),INT(资金流水!$B$780)*10000+775,"")</f>
      </c>
    </row>
    <row r="781">
      <c r="AA781" s="2">
        <f>IF(AND(ISNUMBER(资金流水!$B$781),ISNUMBER(资金流水!$S$781),资金流水!$S$781&gt;=_辅助!$J$4,资金流水!$S$781&lt;=_辅助!$J$2,OR(资金流水!$C$781=$C$18,AND(资金流水!$AD$781=$C$18,资金流水!$X$781="账户互转"),AND($E$18&lt;&gt;"",资金流水!$J$781=$E$18,资金流水!$X$781="应付职工薪酬"))),INT(资金流水!$B$781)*10000+776,"")</f>
      </c>
    </row>
    <row r="782">
      <c r="AA782" s="2">
        <f>IF(AND(ISNUMBER(资金流水!$B$782),ISNUMBER(资金流水!$S$782),资金流水!$S$782&gt;=_辅助!$J$4,资金流水!$S$782&lt;=_辅助!$J$2,OR(资金流水!$C$782=$C$18,AND(资金流水!$AD$782=$C$18,资金流水!$X$782="账户互转"),AND($E$18&lt;&gt;"",资金流水!$J$782=$E$18,资金流水!$X$782="应付职工薪酬"))),INT(资金流水!$B$782)*10000+777,"")</f>
      </c>
    </row>
    <row r="783">
      <c r="AA783" s="2">
        <f>IF(AND(ISNUMBER(资金流水!$B$783),ISNUMBER(资金流水!$S$783),资金流水!$S$783&gt;=_辅助!$J$4,资金流水!$S$783&lt;=_辅助!$J$2,OR(资金流水!$C$783=$C$18,AND(资金流水!$AD$783=$C$18,资金流水!$X$783="账户互转"),AND($E$18&lt;&gt;"",资金流水!$J$783=$E$18,资金流水!$X$783="应付职工薪酬"))),INT(资金流水!$B$783)*10000+778,"")</f>
      </c>
    </row>
    <row r="784">
      <c r="AA784" s="2">
        <f>IF(AND(ISNUMBER(资金流水!$B$784),ISNUMBER(资金流水!$S$784),资金流水!$S$784&gt;=_辅助!$J$4,资金流水!$S$784&lt;=_辅助!$J$2,OR(资金流水!$C$784=$C$18,AND(资金流水!$AD$784=$C$18,资金流水!$X$784="账户互转"),AND($E$18&lt;&gt;"",资金流水!$J$784=$E$18,资金流水!$X$784="应付职工薪酬"))),INT(资金流水!$B$784)*10000+779,"")</f>
      </c>
    </row>
    <row r="785">
      <c r="AA785" s="2">
        <f>IF(AND(ISNUMBER(资金流水!$B$785),ISNUMBER(资金流水!$S$785),资金流水!$S$785&gt;=_辅助!$J$4,资金流水!$S$785&lt;=_辅助!$J$2,OR(资金流水!$C$785=$C$18,AND(资金流水!$AD$785=$C$18,资金流水!$X$785="账户互转"),AND($E$18&lt;&gt;"",资金流水!$J$785=$E$18,资金流水!$X$785="应付职工薪酬"))),INT(资金流水!$B$785)*10000+780,"")</f>
      </c>
    </row>
    <row r="786">
      <c r="AA786" s="2">
        <f>IF(AND(ISNUMBER(资金流水!$B$786),ISNUMBER(资金流水!$S$786),资金流水!$S$786&gt;=_辅助!$J$4,资金流水!$S$786&lt;=_辅助!$J$2,OR(资金流水!$C$786=$C$18,AND(资金流水!$AD$786=$C$18,资金流水!$X$786="账户互转"),AND($E$18&lt;&gt;"",资金流水!$J$786=$E$18,资金流水!$X$786="应付职工薪酬"))),INT(资金流水!$B$786)*10000+781,"")</f>
      </c>
    </row>
    <row r="787">
      <c r="AA787" s="2">
        <f>IF(AND(ISNUMBER(资金流水!$B$787),ISNUMBER(资金流水!$S$787),资金流水!$S$787&gt;=_辅助!$J$4,资金流水!$S$787&lt;=_辅助!$J$2,OR(资金流水!$C$787=$C$18,AND(资金流水!$AD$787=$C$18,资金流水!$X$787="账户互转"),AND($E$18&lt;&gt;"",资金流水!$J$787=$E$18,资金流水!$X$787="应付职工薪酬"))),INT(资金流水!$B$787)*10000+782,"")</f>
      </c>
    </row>
    <row r="788">
      <c r="AA788" s="2">
        <f>IF(AND(ISNUMBER(资金流水!$B$788),ISNUMBER(资金流水!$S$788),资金流水!$S$788&gt;=_辅助!$J$4,资金流水!$S$788&lt;=_辅助!$J$2,OR(资金流水!$C$788=$C$18,AND(资金流水!$AD$788=$C$18,资金流水!$X$788="账户互转"),AND($E$18&lt;&gt;"",资金流水!$J$788=$E$18,资金流水!$X$788="应付职工薪酬"))),INT(资金流水!$B$788)*10000+783,"")</f>
      </c>
    </row>
    <row r="789">
      <c r="AA789" s="2">
        <f>IF(AND(ISNUMBER(资金流水!$B$789),ISNUMBER(资金流水!$S$789),资金流水!$S$789&gt;=_辅助!$J$4,资金流水!$S$789&lt;=_辅助!$J$2,OR(资金流水!$C$789=$C$18,AND(资金流水!$AD$789=$C$18,资金流水!$X$789="账户互转"),AND($E$18&lt;&gt;"",资金流水!$J$789=$E$18,资金流水!$X$789="应付职工薪酬"))),INT(资金流水!$B$789)*10000+784,"")</f>
      </c>
    </row>
    <row r="790">
      <c r="AA790" s="2">
        <f>IF(AND(ISNUMBER(资金流水!$B$790),ISNUMBER(资金流水!$S$790),资金流水!$S$790&gt;=_辅助!$J$4,资金流水!$S$790&lt;=_辅助!$J$2,OR(资金流水!$C$790=$C$18,AND(资金流水!$AD$790=$C$18,资金流水!$X$790="账户互转"),AND($E$18&lt;&gt;"",资金流水!$J$790=$E$18,资金流水!$X$790="应付职工薪酬"))),INT(资金流水!$B$790)*10000+785,"")</f>
      </c>
    </row>
    <row r="791">
      <c r="AA791" s="2">
        <f>IF(AND(ISNUMBER(资金流水!$B$791),ISNUMBER(资金流水!$S$791),资金流水!$S$791&gt;=_辅助!$J$4,资金流水!$S$791&lt;=_辅助!$J$2,OR(资金流水!$C$791=$C$18,AND(资金流水!$AD$791=$C$18,资金流水!$X$791="账户互转"),AND($E$18&lt;&gt;"",资金流水!$J$791=$E$18,资金流水!$X$791="应付职工薪酬"))),INT(资金流水!$B$791)*10000+786,"")</f>
      </c>
    </row>
    <row r="792">
      <c r="AA792" s="2">
        <f>IF(AND(ISNUMBER(资金流水!$B$792),ISNUMBER(资金流水!$S$792),资金流水!$S$792&gt;=_辅助!$J$4,资金流水!$S$792&lt;=_辅助!$J$2,OR(资金流水!$C$792=$C$18,AND(资金流水!$AD$792=$C$18,资金流水!$X$792="账户互转"),AND($E$18&lt;&gt;"",资金流水!$J$792=$E$18,资金流水!$X$792="应付职工薪酬"))),INT(资金流水!$B$792)*10000+787,"")</f>
      </c>
    </row>
    <row r="793">
      <c r="AA793" s="2">
        <f>IF(AND(ISNUMBER(资金流水!$B$793),ISNUMBER(资金流水!$S$793),资金流水!$S$793&gt;=_辅助!$J$4,资金流水!$S$793&lt;=_辅助!$J$2,OR(资金流水!$C$793=$C$18,AND(资金流水!$AD$793=$C$18,资金流水!$X$793="账户互转"),AND($E$18&lt;&gt;"",资金流水!$J$793=$E$18,资金流水!$X$793="应付职工薪酬"))),INT(资金流水!$B$793)*10000+788,"")</f>
      </c>
    </row>
    <row r="794">
      <c r="AA794" s="2">
        <f>IF(AND(ISNUMBER(资金流水!$B$794),ISNUMBER(资金流水!$S$794),资金流水!$S$794&gt;=_辅助!$J$4,资金流水!$S$794&lt;=_辅助!$J$2,OR(资金流水!$C$794=$C$18,AND(资金流水!$AD$794=$C$18,资金流水!$X$794="账户互转"),AND($E$18&lt;&gt;"",资金流水!$J$794=$E$18,资金流水!$X$794="应付职工薪酬"))),INT(资金流水!$B$794)*10000+789,"")</f>
      </c>
    </row>
    <row r="795">
      <c r="AA795" s="2">
        <f>IF(AND(ISNUMBER(资金流水!$B$795),ISNUMBER(资金流水!$S$795),资金流水!$S$795&gt;=_辅助!$J$4,资金流水!$S$795&lt;=_辅助!$J$2,OR(资金流水!$C$795=$C$18,AND(资金流水!$AD$795=$C$18,资金流水!$X$795="账户互转"),AND($E$18&lt;&gt;"",资金流水!$J$795=$E$18,资金流水!$X$795="应付职工薪酬"))),INT(资金流水!$B$795)*10000+790,"")</f>
      </c>
    </row>
    <row r="796">
      <c r="AA796" s="2">
        <f>IF(AND(ISNUMBER(资金流水!$B$796),ISNUMBER(资金流水!$S$796),资金流水!$S$796&gt;=_辅助!$J$4,资金流水!$S$796&lt;=_辅助!$J$2,OR(资金流水!$C$796=$C$18,AND(资金流水!$AD$796=$C$18,资金流水!$X$796="账户互转"),AND($E$18&lt;&gt;"",资金流水!$J$796=$E$18,资金流水!$X$796="应付职工薪酬"))),INT(资金流水!$B$796)*10000+791,"")</f>
      </c>
    </row>
    <row r="797">
      <c r="AA797" s="2">
        <f>IF(AND(ISNUMBER(资金流水!$B$797),ISNUMBER(资金流水!$S$797),资金流水!$S$797&gt;=_辅助!$J$4,资金流水!$S$797&lt;=_辅助!$J$2,OR(资金流水!$C$797=$C$18,AND(资金流水!$AD$797=$C$18,资金流水!$X$797="账户互转"),AND($E$18&lt;&gt;"",资金流水!$J$797=$E$18,资金流水!$X$797="应付职工薪酬"))),INT(资金流水!$B$797)*10000+792,"")</f>
      </c>
    </row>
    <row r="798">
      <c r="AA798" s="2">
        <f>IF(AND(ISNUMBER(资金流水!$B$798),ISNUMBER(资金流水!$S$798),资金流水!$S$798&gt;=_辅助!$J$4,资金流水!$S$798&lt;=_辅助!$J$2,OR(资金流水!$C$798=$C$18,AND(资金流水!$AD$798=$C$18,资金流水!$X$798="账户互转"),AND($E$18&lt;&gt;"",资金流水!$J$798=$E$18,资金流水!$X$798="应付职工薪酬"))),INT(资金流水!$B$798)*10000+793,"")</f>
      </c>
    </row>
    <row r="799">
      <c r="AA799" s="2">
        <f>IF(AND(ISNUMBER(资金流水!$B$799),ISNUMBER(资金流水!$S$799),资金流水!$S$799&gt;=_辅助!$J$4,资金流水!$S$799&lt;=_辅助!$J$2,OR(资金流水!$C$799=$C$18,AND(资金流水!$AD$799=$C$18,资金流水!$X$799="账户互转"),AND($E$18&lt;&gt;"",资金流水!$J$799=$E$18,资金流水!$X$799="应付职工薪酬"))),INT(资金流水!$B$799)*10000+794,"")</f>
      </c>
    </row>
    <row r="800">
      <c r="AA800" s="2">
        <f>IF(AND(ISNUMBER(资金流水!$B$800),ISNUMBER(资金流水!$S$800),资金流水!$S$800&gt;=_辅助!$J$4,资金流水!$S$800&lt;=_辅助!$J$2,OR(资金流水!$C$800=$C$18,AND(资金流水!$AD$800=$C$18,资金流水!$X$800="账户互转"),AND($E$18&lt;&gt;"",资金流水!$J$800=$E$18,资金流水!$X$800="应付职工薪酬"))),INT(资金流水!$B$800)*10000+795,"")</f>
      </c>
    </row>
    <row r="801">
      <c r="AA801" s="2">
        <f>IF(AND(ISNUMBER(资金流水!$B$801),ISNUMBER(资金流水!$S$801),资金流水!$S$801&gt;=_辅助!$J$4,资金流水!$S$801&lt;=_辅助!$J$2,OR(资金流水!$C$801=$C$18,AND(资金流水!$AD$801=$C$18,资金流水!$X$801="账户互转"),AND($E$18&lt;&gt;"",资金流水!$J$801=$E$18,资金流水!$X$801="应付职工薪酬"))),INT(资金流水!$B$801)*10000+796,"")</f>
      </c>
    </row>
    <row r="802">
      <c r="AA802" s="2">
        <f>IF(AND(ISNUMBER(资金流水!$B$802),ISNUMBER(资金流水!$S$802),资金流水!$S$802&gt;=_辅助!$J$4,资金流水!$S$802&lt;=_辅助!$J$2,OR(资金流水!$C$802=$C$18,AND(资金流水!$AD$802=$C$18,资金流水!$X$802="账户互转"),AND($E$18&lt;&gt;"",资金流水!$J$802=$E$18,资金流水!$X$802="应付职工薪酬"))),INT(资金流水!$B$802)*10000+797,"")</f>
      </c>
    </row>
    <row r="803">
      <c r="AA803" s="2">
        <f>IF(AND(ISNUMBER(资金流水!$B$803),ISNUMBER(资金流水!$S$803),资金流水!$S$803&gt;=_辅助!$J$4,资金流水!$S$803&lt;=_辅助!$J$2,OR(资金流水!$C$803=$C$18,AND(资金流水!$AD$803=$C$18,资金流水!$X$803="账户互转"),AND($E$18&lt;&gt;"",资金流水!$J$803=$E$18,资金流水!$X$803="应付职工薪酬"))),INT(资金流水!$B$803)*10000+798,"")</f>
      </c>
    </row>
    <row r="804">
      <c r="AA804" s="2">
        <f>IF(AND(ISNUMBER(资金流水!$B$804),ISNUMBER(资金流水!$S$804),资金流水!$S$804&gt;=_辅助!$J$4,资金流水!$S$804&lt;=_辅助!$J$2,OR(资金流水!$C$804=$C$18,AND(资金流水!$AD$804=$C$18,资金流水!$X$804="账户互转"),AND($E$18&lt;&gt;"",资金流水!$J$804=$E$18,资金流水!$X$804="应付职工薪酬"))),INT(资金流水!$B$804)*10000+799,"")</f>
      </c>
    </row>
    <row r="805">
      <c r="AA805" s="2">
        <f>IF(AND(ISNUMBER(资金流水!$B$805),ISNUMBER(资金流水!$S$805),资金流水!$S$805&gt;=_辅助!$J$4,资金流水!$S$805&lt;=_辅助!$J$2,OR(资金流水!$C$805=$C$18,AND(资金流水!$AD$805=$C$18,资金流水!$X$805="账户互转"),AND($E$18&lt;&gt;"",资金流水!$J$805=$E$18,资金流水!$X$805="应付职工薪酬"))),INT(资金流水!$B$805)*10000+800,"")</f>
      </c>
    </row>
    <row r="806">
      <c r="AA806" s="2">
        <f>IF(AND(ISNUMBER(资金流水!$B$806),ISNUMBER(资金流水!$S$806),资金流水!$S$806&gt;=_辅助!$J$4,资金流水!$S$806&lt;=_辅助!$J$2,OR(资金流水!$C$806=$C$18,AND(资金流水!$AD$806=$C$18,资金流水!$X$806="账户互转"),AND($E$18&lt;&gt;"",资金流水!$J$806=$E$18,资金流水!$X$806="应付职工薪酬"))),INT(资金流水!$B$806)*10000+801,"")</f>
      </c>
    </row>
    <row r="807">
      <c r="AA807" s="2">
        <f>IF(AND(ISNUMBER(资金流水!$B$807),ISNUMBER(资金流水!$S$807),资金流水!$S$807&gt;=_辅助!$J$4,资金流水!$S$807&lt;=_辅助!$J$2,OR(资金流水!$C$807=$C$18,AND(资金流水!$AD$807=$C$18,资金流水!$X$807="账户互转"),AND($E$18&lt;&gt;"",资金流水!$J$807=$E$18,资金流水!$X$807="应付职工薪酬"))),INT(资金流水!$B$807)*10000+802,"")</f>
      </c>
    </row>
    <row r="808">
      <c r="AA808" s="2">
        <f>IF(AND(ISNUMBER(资金流水!$B$808),ISNUMBER(资金流水!$S$808),资金流水!$S$808&gt;=_辅助!$J$4,资金流水!$S$808&lt;=_辅助!$J$2,OR(资金流水!$C$808=$C$18,AND(资金流水!$AD$808=$C$18,资金流水!$X$808="账户互转"),AND($E$18&lt;&gt;"",资金流水!$J$808=$E$18,资金流水!$X$808="应付职工薪酬"))),INT(资金流水!$B$808)*10000+803,"")</f>
      </c>
    </row>
    <row r="809">
      <c r="AA809" s="2">
        <f>IF(AND(ISNUMBER(资金流水!$B$809),ISNUMBER(资金流水!$S$809),资金流水!$S$809&gt;=_辅助!$J$4,资金流水!$S$809&lt;=_辅助!$J$2,OR(资金流水!$C$809=$C$18,AND(资金流水!$AD$809=$C$18,资金流水!$X$809="账户互转"),AND($E$18&lt;&gt;"",资金流水!$J$809=$E$18,资金流水!$X$809="应付职工薪酬"))),INT(资金流水!$B$809)*10000+804,"")</f>
      </c>
    </row>
    <row r="810">
      <c r="AA810" s="2">
        <f>IF(AND(ISNUMBER(资金流水!$B$810),ISNUMBER(资金流水!$S$810),资金流水!$S$810&gt;=_辅助!$J$4,资金流水!$S$810&lt;=_辅助!$J$2,OR(资金流水!$C$810=$C$18,AND(资金流水!$AD$810=$C$18,资金流水!$X$810="账户互转"),AND($E$18&lt;&gt;"",资金流水!$J$810=$E$18,资金流水!$X$810="应付职工薪酬"))),INT(资金流水!$B$810)*10000+805,"")</f>
      </c>
    </row>
    <row r="811">
      <c r="AA811" s="2">
        <f>IF(AND(ISNUMBER(资金流水!$B$811),ISNUMBER(资金流水!$S$811),资金流水!$S$811&gt;=_辅助!$J$4,资金流水!$S$811&lt;=_辅助!$J$2,OR(资金流水!$C$811=$C$18,AND(资金流水!$AD$811=$C$18,资金流水!$X$811="账户互转"),AND($E$18&lt;&gt;"",资金流水!$J$811=$E$18,资金流水!$X$811="应付职工薪酬"))),INT(资金流水!$B$811)*10000+806,"")</f>
      </c>
    </row>
    <row r="812">
      <c r="AA812" s="2">
        <f>IF(AND(ISNUMBER(资金流水!$B$812),ISNUMBER(资金流水!$S$812),资金流水!$S$812&gt;=_辅助!$J$4,资金流水!$S$812&lt;=_辅助!$J$2,OR(资金流水!$C$812=$C$18,AND(资金流水!$AD$812=$C$18,资金流水!$X$812="账户互转"),AND($E$18&lt;&gt;"",资金流水!$J$812=$E$18,资金流水!$X$812="应付职工薪酬"))),INT(资金流水!$B$812)*10000+807,"")</f>
      </c>
    </row>
    <row r="813">
      <c r="AA813" s="2">
        <f>IF(AND(ISNUMBER(资金流水!$B$813),ISNUMBER(资金流水!$S$813),资金流水!$S$813&gt;=_辅助!$J$4,资金流水!$S$813&lt;=_辅助!$J$2,OR(资金流水!$C$813=$C$18,AND(资金流水!$AD$813=$C$18,资金流水!$X$813="账户互转"),AND($E$18&lt;&gt;"",资金流水!$J$813=$E$18,资金流水!$X$813="应付职工薪酬"))),INT(资金流水!$B$813)*10000+808,"")</f>
      </c>
    </row>
    <row r="814">
      <c r="AA814" s="2">
        <f>IF(AND(ISNUMBER(资金流水!$B$814),ISNUMBER(资金流水!$S$814),资金流水!$S$814&gt;=_辅助!$J$4,资金流水!$S$814&lt;=_辅助!$J$2,OR(资金流水!$C$814=$C$18,AND(资金流水!$AD$814=$C$18,资金流水!$X$814="账户互转"),AND($E$18&lt;&gt;"",资金流水!$J$814=$E$18,资金流水!$X$814="应付职工薪酬"))),INT(资金流水!$B$814)*10000+809,"")</f>
      </c>
    </row>
    <row r="815">
      <c r="AA815" s="2">
        <f>IF(AND(ISNUMBER(资金流水!$B$815),ISNUMBER(资金流水!$S$815),资金流水!$S$815&gt;=_辅助!$J$4,资金流水!$S$815&lt;=_辅助!$J$2,OR(资金流水!$C$815=$C$18,AND(资金流水!$AD$815=$C$18,资金流水!$X$815="账户互转"),AND($E$18&lt;&gt;"",资金流水!$J$815=$E$18,资金流水!$X$815="应付职工薪酬"))),INT(资金流水!$B$815)*10000+810,"")</f>
      </c>
    </row>
    <row r="816">
      <c r="AA816" s="2">
        <f>IF(AND(ISNUMBER(资金流水!$B$816),ISNUMBER(资金流水!$S$816),资金流水!$S$816&gt;=_辅助!$J$4,资金流水!$S$816&lt;=_辅助!$J$2,OR(资金流水!$C$816=$C$18,AND(资金流水!$AD$816=$C$18,资金流水!$X$816="账户互转"),AND($E$18&lt;&gt;"",资金流水!$J$816=$E$18,资金流水!$X$816="应付职工薪酬"))),INT(资金流水!$B$816)*10000+811,"")</f>
      </c>
    </row>
    <row r="817">
      <c r="AA817" s="2">
        <f>IF(AND(ISNUMBER(资金流水!$B$817),ISNUMBER(资金流水!$S$817),资金流水!$S$817&gt;=_辅助!$J$4,资金流水!$S$817&lt;=_辅助!$J$2,OR(资金流水!$C$817=$C$18,AND(资金流水!$AD$817=$C$18,资金流水!$X$817="账户互转"),AND($E$18&lt;&gt;"",资金流水!$J$817=$E$18,资金流水!$X$817="应付职工薪酬"))),INT(资金流水!$B$817)*10000+812,"")</f>
      </c>
    </row>
    <row r="818">
      <c r="AA818" s="2">
        <f>IF(AND(ISNUMBER(资金流水!$B$818),ISNUMBER(资金流水!$S$818),资金流水!$S$818&gt;=_辅助!$J$4,资金流水!$S$818&lt;=_辅助!$J$2,OR(资金流水!$C$818=$C$18,AND(资金流水!$AD$818=$C$18,资金流水!$X$818="账户互转"),AND($E$18&lt;&gt;"",资金流水!$J$818=$E$18,资金流水!$X$818="应付职工薪酬"))),INT(资金流水!$B$818)*10000+813,"")</f>
      </c>
    </row>
    <row r="819">
      <c r="AA819" s="2">
        <f>IF(AND(ISNUMBER(资金流水!$B$819),ISNUMBER(资金流水!$S$819),资金流水!$S$819&gt;=_辅助!$J$4,资金流水!$S$819&lt;=_辅助!$J$2,OR(资金流水!$C$819=$C$18,AND(资金流水!$AD$819=$C$18,资金流水!$X$819="账户互转"),AND($E$18&lt;&gt;"",资金流水!$J$819=$E$18,资金流水!$X$819="应付职工薪酬"))),INT(资金流水!$B$819)*10000+814,"")</f>
      </c>
    </row>
    <row r="820">
      <c r="AA820" s="2">
        <f>IF(AND(ISNUMBER(资金流水!$B$820),ISNUMBER(资金流水!$S$820),资金流水!$S$820&gt;=_辅助!$J$4,资金流水!$S$820&lt;=_辅助!$J$2,OR(资金流水!$C$820=$C$18,AND(资金流水!$AD$820=$C$18,资金流水!$X$820="账户互转"),AND($E$18&lt;&gt;"",资金流水!$J$820=$E$18,资金流水!$X$820="应付职工薪酬"))),INT(资金流水!$B$820)*10000+815,"")</f>
      </c>
    </row>
    <row r="821">
      <c r="AA821" s="2">
        <f>IF(AND(ISNUMBER(资金流水!$B$821),ISNUMBER(资金流水!$S$821),资金流水!$S$821&gt;=_辅助!$J$4,资金流水!$S$821&lt;=_辅助!$J$2,OR(资金流水!$C$821=$C$18,AND(资金流水!$AD$821=$C$18,资金流水!$X$821="账户互转"),AND($E$18&lt;&gt;"",资金流水!$J$821=$E$18,资金流水!$X$821="应付职工薪酬"))),INT(资金流水!$B$821)*10000+816,"")</f>
      </c>
    </row>
    <row r="822">
      <c r="AA822" s="2">
        <f>IF(AND(ISNUMBER(资金流水!$B$822),ISNUMBER(资金流水!$S$822),资金流水!$S$822&gt;=_辅助!$J$4,资金流水!$S$822&lt;=_辅助!$J$2,OR(资金流水!$C$822=$C$18,AND(资金流水!$AD$822=$C$18,资金流水!$X$822="账户互转"),AND($E$18&lt;&gt;"",资金流水!$J$822=$E$18,资金流水!$X$822="应付职工薪酬"))),INT(资金流水!$B$822)*10000+817,"")</f>
      </c>
    </row>
    <row r="823">
      <c r="AA823" s="2">
        <f>IF(AND(ISNUMBER(资金流水!$B$823),ISNUMBER(资金流水!$S$823),资金流水!$S$823&gt;=_辅助!$J$4,资金流水!$S$823&lt;=_辅助!$J$2,OR(资金流水!$C$823=$C$18,AND(资金流水!$AD$823=$C$18,资金流水!$X$823="账户互转"),AND($E$18&lt;&gt;"",资金流水!$J$823=$E$18,资金流水!$X$823="应付职工薪酬"))),INT(资金流水!$B$823)*10000+818,"")</f>
      </c>
    </row>
    <row r="824">
      <c r="AA824" s="2">
        <f>IF(AND(ISNUMBER(资金流水!$B$824),ISNUMBER(资金流水!$S$824),资金流水!$S$824&gt;=_辅助!$J$4,资金流水!$S$824&lt;=_辅助!$J$2,OR(资金流水!$C$824=$C$18,AND(资金流水!$AD$824=$C$18,资金流水!$X$824="账户互转"),AND($E$18&lt;&gt;"",资金流水!$J$824=$E$18,资金流水!$X$824="应付职工薪酬"))),INT(资金流水!$B$824)*10000+819,"")</f>
      </c>
    </row>
    <row r="825">
      <c r="AA825" s="2">
        <f>IF(AND(ISNUMBER(资金流水!$B$825),ISNUMBER(资金流水!$S$825),资金流水!$S$825&gt;=_辅助!$J$4,资金流水!$S$825&lt;=_辅助!$J$2,OR(资金流水!$C$825=$C$18,AND(资金流水!$AD$825=$C$18,资金流水!$X$825="账户互转"),AND($E$18&lt;&gt;"",资金流水!$J$825=$E$18,资金流水!$X$825="应付职工薪酬"))),INT(资金流水!$B$825)*10000+820,"")</f>
      </c>
    </row>
    <row r="826">
      <c r="AA826" s="2">
        <f>IF(AND(ISNUMBER(资金流水!$B$826),ISNUMBER(资金流水!$S$826),资金流水!$S$826&gt;=_辅助!$J$4,资金流水!$S$826&lt;=_辅助!$J$2,OR(资金流水!$C$826=$C$18,AND(资金流水!$AD$826=$C$18,资金流水!$X$826="账户互转"),AND($E$18&lt;&gt;"",资金流水!$J$826=$E$18,资金流水!$X$826="应付职工薪酬"))),INT(资金流水!$B$826)*10000+821,"")</f>
      </c>
    </row>
    <row r="827">
      <c r="AA827" s="2">
        <f>IF(AND(ISNUMBER(资金流水!$B$827),ISNUMBER(资金流水!$S$827),资金流水!$S$827&gt;=_辅助!$J$4,资金流水!$S$827&lt;=_辅助!$J$2,OR(资金流水!$C$827=$C$18,AND(资金流水!$AD$827=$C$18,资金流水!$X$827="账户互转"),AND($E$18&lt;&gt;"",资金流水!$J$827=$E$18,资金流水!$X$827="应付职工薪酬"))),INT(资金流水!$B$827)*10000+822,"")</f>
      </c>
    </row>
    <row r="828">
      <c r="AA828" s="2">
        <f>IF(AND(ISNUMBER(资金流水!$B$828),ISNUMBER(资金流水!$S$828),资金流水!$S$828&gt;=_辅助!$J$4,资金流水!$S$828&lt;=_辅助!$J$2,OR(资金流水!$C$828=$C$18,AND(资金流水!$AD$828=$C$18,资金流水!$X$828="账户互转"),AND($E$18&lt;&gt;"",资金流水!$J$828=$E$18,资金流水!$X$828="应付职工薪酬"))),INT(资金流水!$B$828)*10000+823,"")</f>
      </c>
    </row>
    <row r="829">
      <c r="AA829" s="2">
        <f>IF(AND(ISNUMBER(资金流水!$B$829),ISNUMBER(资金流水!$S$829),资金流水!$S$829&gt;=_辅助!$J$4,资金流水!$S$829&lt;=_辅助!$J$2,OR(资金流水!$C$829=$C$18,AND(资金流水!$AD$829=$C$18,资金流水!$X$829="账户互转"),AND($E$18&lt;&gt;"",资金流水!$J$829=$E$18,资金流水!$X$829="应付职工薪酬"))),INT(资金流水!$B$829)*10000+824,"")</f>
      </c>
    </row>
    <row r="830">
      <c r="AA830" s="2">
        <f>IF(AND(ISNUMBER(资金流水!$B$830),ISNUMBER(资金流水!$S$830),资金流水!$S$830&gt;=_辅助!$J$4,资金流水!$S$830&lt;=_辅助!$J$2,OR(资金流水!$C$830=$C$18,AND(资金流水!$AD$830=$C$18,资金流水!$X$830="账户互转"),AND($E$18&lt;&gt;"",资金流水!$J$830=$E$18,资金流水!$X$830="应付职工薪酬"))),INT(资金流水!$B$830)*10000+825,"")</f>
      </c>
    </row>
    <row r="831">
      <c r="AA831" s="2">
        <f>IF(AND(ISNUMBER(资金流水!$B$831),ISNUMBER(资金流水!$S$831),资金流水!$S$831&gt;=_辅助!$J$4,资金流水!$S$831&lt;=_辅助!$J$2,OR(资金流水!$C$831=$C$18,AND(资金流水!$AD$831=$C$18,资金流水!$X$831="账户互转"),AND($E$18&lt;&gt;"",资金流水!$J$831=$E$18,资金流水!$X$831="应付职工薪酬"))),INT(资金流水!$B$831)*10000+826,"")</f>
      </c>
    </row>
    <row r="832">
      <c r="AA832" s="2">
        <f>IF(AND(ISNUMBER(资金流水!$B$832),ISNUMBER(资金流水!$S$832),资金流水!$S$832&gt;=_辅助!$J$4,资金流水!$S$832&lt;=_辅助!$J$2,OR(资金流水!$C$832=$C$18,AND(资金流水!$AD$832=$C$18,资金流水!$X$832="账户互转"),AND($E$18&lt;&gt;"",资金流水!$J$832=$E$18,资金流水!$X$832="应付职工薪酬"))),INT(资金流水!$B$832)*10000+827,"")</f>
      </c>
    </row>
    <row r="833">
      <c r="AA833" s="2">
        <f>IF(AND(ISNUMBER(资金流水!$B$833),ISNUMBER(资金流水!$S$833),资金流水!$S$833&gt;=_辅助!$J$4,资金流水!$S$833&lt;=_辅助!$J$2,OR(资金流水!$C$833=$C$18,AND(资金流水!$AD$833=$C$18,资金流水!$X$833="账户互转"),AND($E$18&lt;&gt;"",资金流水!$J$833=$E$18,资金流水!$X$833="应付职工薪酬"))),INT(资金流水!$B$833)*10000+828,"")</f>
      </c>
    </row>
    <row r="834">
      <c r="AA834" s="2">
        <f>IF(AND(ISNUMBER(资金流水!$B$834),ISNUMBER(资金流水!$S$834),资金流水!$S$834&gt;=_辅助!$J$4,资金流水!$S$834&lt;=_辅助!$J$2,OR(资金流水!$C$834=$C$18,AND(资金流水!$AD$834=$C$18,资金流水!$X$834="账户互转"),AND($E$18&lt;&gt;"",资金流水!$J$834=$E$18,资金流水!$X$834="应付职工薪酬"))),INT(资金流水!$B$834)*10000+829,"")</f>
      </c>
    </row>
    <row r="835">
      <c r="AA835" s="2">
        <f>IF(AND(ISNUMBER(资金流水!$B$835),ISNUMBER(资金流水!$S$835),资金流水!$S$835&gt;=_辅助!$J$4,资金流水!$S$835&lt;=_辅助!$J$2,OR(资金流水!$C$835=$C$18,AND(资金流水!$AD$835=$C$18,资金流水!$X$835="账户互转"),AND($E$18&lt;&gt;"",资金流水!$J$835=$E$18,资金流水!$X$835="应付职工薪酬"))),INT(资金流水!$B$835)*10000+830,"")</f>
      </c>
    </row>
    <row r="836">
      <c r="AA836" s="2">
        <f>IF(AND(ISNUMBER(资金流水!$B$836),ISNUMBER(资金流水!$S$836),资金流水!$S$836&gt;=_辅助!$J$4,资金流水!$S$836&lt;=_辅助!$J$2,OR(资金流水!$C$836=$C$18,AND(资金流水!$AD$836=$C$18,资金流水!$X$836="账户互转"),AND($E$18&lt;&gt;"",资金流水!$J$836=$E$18,资金流水!$X$836="应付职工薪酬"))),INT(资金流水!$B$836)*10000+831,"")</f>
      </c>
    </row>
    <row r="837">
      <c r="AA837" s="2">
        <f>IF(AND(ISNUMBER(资金流水!$B$837),ISNUMBER(资金流水!$S$837),资金流水!$S$837&gt;=_辅助!$J$4,资金流水!$S$837&lt;=_辅助!$J$2,OR(资金流水!$C$837=$C$18,AND(资金流水!$AD$837=$C$18,资金流水!$X$837="账户互转"),AND($E$18&lt;&gt;"",资金流水!$J$837=$E$18,资金流水!$X$837="应付职工薪酬"))),INT(资金流水!$B$837)*10000+832,"")</f>
      </c>
    </row>
    <row r="838">
      <c r="AA838" s="2">
        <f>IF(AND(ISNUMBER(资金流水!$B$838),ISNUMBER(资金流水!$S$838),资金流水!$S$838&gt;=_辅助!$J$4,资金流水!$S$838&lt;=_辅助!$J$2,OR(资金流水!$C$838=$C$18,AND(资金流水!$AD$838=$C$18,资金流水!$X$838="账户互转"),AND($E$18&lt;&gt;"",资金流水!$J$838=$E$18,资金流水!$X$838="应付职工薪酬"))),INT(资金流水!$B$838)*10000+833,"")</f>
      </c>
    </row>
    <row r="839">
      <c r="AA839" s="2">
        <f>IF(AND(ISNUMBER(资金流水!$B$839),ISNUMBER(资金流水!$S$839),资金流水!$S$839&gt;=_辅助!$J$4,资金流水!$S$839&lt;=_辅助!$J$2,OR(资金流水!$C$839=$C$18,AND(资金流水!$AD$839=$C$18,资金流水!$X$839="账户互转"),AND($E$18&lt;&gt;"",资金流水!$J$839=$E$18,资金流水!$X$839="应付职工薪酬"))),INT(资金流水!$B$839)*10000+834,"")</f>
      </c>
    </row>
    <row r="840">
      <c r="AA840" s="2">
        <f>IF(AND(ISNUMBER(资金流水!$B$840),ISNUMBER(资金流水!$S$840),资金流水!$S$840&gt;=_辅助!$J$4,资金流水!$S$840&lt;=_辅助!$J$2,OR(资金流水!$C$840=$C$18,AND(资金流水!$AD$840=$C$18,资金流水!$X$840="账户互转"),AND($E$18&lt;&gt;"",资金流水!$J$840=$E$18,资金流水!$X$840="应付职工薪酬"))),INT(资金流水!$B$840)*10000+835,"")</f>
      </c>
    </row>
    <row r="841">
      <c r="AA841" s="2">
        <f>IF(AND(ISNUMBER(资金流水!$B$841),ISNUMBER(资金流水!$S$841),资金流水!$S$841&gt;=_辅助!$J$4,资金流水!$S$841&lt;=_辅助!$J$2,OR(资金流水!$C$841=$C$18,AND(资金流水!$AD$841=$C$18,资金流水!$X$841="账户互转"),AND($E$18&lt;&gt;"",资金流水!$J$841=$E$18,资金流水!$X$841="应付职工薪酬"))),INT(资金流水!$B$841)*10000+836,"")</f>
      </c>
    </row>
    <row r="842">
      <c r="AA842" s="2">
        <f>IF(AND(ISNUMBER(资金流水!$B$842),ISNUMBER(资金流水!$S$842),资金流水!$S$842&gt;=_辅助!$J$4,资金流水!$S$842&lt;=_辅助!$J$2,OR(资金流水!$C$842=$C$18,AND(资金流水!$AD$842=$C$18,资金流水!$X$842="账户互转"),AND($E$18&lt;&gt;"",资金流水!$J$842=$E$18,资金流水!$X$842="应付职工薪酬"))),INT(资金流水!$B$842)*10000+837,"")</f>
      </c>
    </row>
    <row r="843">
      <c r="AA843" s="2">
        <f>IF(AND(ISNUMBER(资金流水!$B$843),ISNUMBER(资金流水!$S$843),资金流水!$S$843&gt;=_辅助!$J$4,资金流水!$S$843&lt;=_辅助!$J$2,OR(资金流水!$C$843=$C$18,AND(资金流水!$AD$843=$C$18,资金流水!$X$843="账户互转"),AND($E$18&lt;&gt;"",资金流水!$J$843=$E$18,资金流水!$X$843="应付职工薪酬"))),INT(资金流水!$B$843)*10000+838,"")</f>
      </c>
    </row>
    <row r="844">
      <c r="AA844" s="2">
        <f>IF(AND(ISNUMBER(资金流水!$B$844),ISNUMBER(资金流水!$S$844),资金流水!$S$844&gt;=_辅助!$J$4,资金流水!$S$844&lt;=_辅助!$J$2,OR(资金流水!$C$844=$C$18,AND(资金流水!$AD$844=$C$18,资金流水!$X$844="账户互转"),AND($E$18&lt;&gt;"",资金流水!$J$844=$E$18,资金流水!$X$844="应付职工薪酬"))),INT(资金流水!$B$844)*10000+839,"")</f>
      </c>
    </row>
    <row r="845">
      <c r="AA845" s="2">
        <f>IF(AND(ISNUMBER(资金流水!$B$845),ISNUMBER(资金流水!$S$845),资金流水!$S$845&gt;=_辅助!$J$4,资金流水!$S$845&lt;=_辅助!$J$2,OR(资金流水!$C$845=$C$18,AND(资金流水!$AD$845=$C$18,资金流水!$X$845="账户互转"),AND($E$18&lt;&gt;"",资金流水!$J$845=$E$18,资金流水!$X$845="应付职工薪酬"))),INT(资金流水!$B$845)*10000+840,"")</f>
      </c>
    </row>
    <row r="846">
      <c r="AA846" s="2">
        <f>IF(AND(ISNUMBER(资金流水!$B$846),ISNUMBER(资金流水!$S$846),资金流水!$S$846&gt;=_辅助!$J$4,资金流水!$S$846&lt;=_辅助!$J$2,OR(资金流水!$C$846=$C$18,AND(资金流水!$AD$846=$C$18,资金流水!$X$846="账户互转"),AND($E$18&lt;&gt;"",资金流水!$J$846=$E$18,资金流水!$X$846="应付职工薪酬"))),INT(资金流水!$B$846)*10000+841,"")</f>
      </c>
    </row>
    <row r="847">
      <c r="AA847" s="2">
        <f>IF(AND(ISNUMBER(资金流水!$B$847),ISNUMBER(资金流水!$S$847),资金流水!$S$847&gt;=_辅助!$J$4,资金流水!$S$847&lt;=_辅助!$J$2,OR(资金流水!$C$847=$C$18,AND(资金流水!$AD$847=$C$18,资金流水!$X$847="账户互转"),AND($E$18&lt;&gt;"",资金流水!$J$847=$E$18,资金流水!$X$847="应付职工薪酬"))),INT(资金流水!$B$847)*10000+842,"")</f>
      </c>
    </row>
    <row r="848">
      <c r="AA848" s="2">
        <f>IF(AND(ISNUMBER(资金流水!$B$848),ISNUMBER(资金流水!$S$848),资金流水!$S$848&gt;=_辅助!$J$4,资金流水!$S$848&lt;=_辅助!$J$2,OR(资金流水!$C$848=$C$18,AND(资金流水!$AD$848=$C$18,资金流水!$X$848="账户互转"),AND($E$18&lt;&gt;"",资金流水!$J$848=$E$18,资金流水!$X$848="应付职工薪酬"))),INT(资金流水!$B$848)*10000+843,"")</f>
      </c>
    </row>
    <row r="849">
      <c r="AA849" s="2">
        <f>IF(AND(ISNUMBER(资金流水!$B$849),ISNUMBER(资金流水!$S$849),资金流水!$S$849&gt;=_辅助!$J$4,资金流水!$S$849&lt;=_辅助!$J$2,OR(资金流水!$C$849=$C$18,AND(资金流水!$AD$849=$C$18,资金流水!$X$849="账户互转"),AND($E$18&lt;&gt;"",资金流水!$J$849=$E$18,资金流水!$X$849="应付职工薪酬"))),INT(资金流水!$B$849)*10000+844,"")</f>
      </c>
    </row>
    <row r="850">
      <c r="AA850" s="2">
        <f>IF(AND(ISNUMBER(资金流水!$B$850),ISNUMBER(资金流水!$S$850),资金流水!$S$850&gt;=_辅助!$J$4,资金流水!$S$850&lt;=_辅助!$J$2,OR(资金流水!$C$850=$C$18,AND(资金流水!$AD$850=$C$18,资金流水!$X$850="账户互转"),AND($E$18&lt;&gt;"",资金流水!$J$850=$E$18,资金流水!$X$850="应付职工薪酬"))),INT(资金流水!$B$850)*10000+845,"")</f>
      </c>
    </row>
    <row r="851">
      <c r="AA851" s="2">
        <f>IF(AND(ISNUMBER(资金流水!$B$851),ISNUMBER(资金流水!$S$851),资金流水!$S$851&gt;=_辅助!$J$4,资金流水!$S$851&lt;=_辅助!$J$2,OR(资金流水!$C$851=$C$18,AND(资金流水!$AD$851=$C$18,资金流水!$X$851="账户互转"),AND($E$18&lt;&gt;"",资金流水!$J$851=$E$18,资金流水!$X$851="应付职工薪酬"))),INT(资金流水!$B$851)*10000+846,"")</f>
      </c>
    </row>
    <row r="852">
      <c r="AA852" s="2">
        <f>IF(AND(ISNUMBER(资金流水!$B$852),ISNUMBER(资金流水!$S$852),资金流水!$S$852&gt;=_辅助!$J$4,资金流水!$S$852&lt;=_辅助!$J$2,OR(资金流水!$C$852=$C$18,AND(资金流水!$AD$852=$C$18,资金流水!$X$852="账户互转"),AND($E$18&lt;&gt;"",资金流水!$J$852=$E$18,资金流水!$X$852="应付职工薪酬"))),INT(资金流水!$B$852)*10000+847,"")</f>
      </c>
    </row>
    <row r="853">
      <c r="AA853" s="2">
        <f>IF(AND(ISNUMBER(资金流水!$B$853),ISNUMBER(资金流水!$S$853),资金流水!$S$853&gt;=_辅助!$J$4,资金流水!$S$853&lt;=_辅助!$J$2,OR(资金流水!$C$853=$C$18,AND(资金流水!$AD$853=$C$18,资金流水!$X$853="账户互转"),AND($E$18&lt;&gt;"",资金流水!$J$853=$E$18,资金流水!$X$853="应付职工薪酬"))),INT(资金流水!$B$853)*10000+848,"")</f>
      </c>
    </row>
    <row r="854">
      <c r="AA854" s="2">
        <f>IF(AND(ISNUMBER(资金流水!$B$854),ISNUMBER(资金流水!$S$854),资金流水!$S$854&gt;=_辅助!$J$4,资金流水!$S$854&lt;=_辅助!$J$2,OR(资金流水!$C$854=$C$18,AND(资金流水!$AD$854=$C$18,资金流水!$X$854="账户互转"),AND($E$18&lt;&gt;"",资金流水!$J$854=$E$18,资金流水!$X$854="应付职工薪酬"))),INT(资金流水!$B$854)*10000+849,"")</f>
      </c>
    </row>
    <row r="855">
      <c r="AA855" s="2">
        <f>IF(AND(ISNUMBER(资金流水!$B$855),ISNUMBER(资金流水!$S$855),资金流水!$S$855&gt;=_辅助!$J$4,资金流水!$S$855&lt;=_辅助!$J$2,OR(资金流水!$C$855=$C$18,AND(资金流水!$AD$855=$C$18,资金流水!$X$855="账户互转"),AND($E$18&lt;&gt;"",资金流水!$J$855=$E$18,资金流水!$X$855="应付职工薪酬"))),INT(资金流水!$B$855)*10000+850,"")</f>
      </c>
    </row>
    <row r="856">
      <c r="AA856" s="2">
        <f>IF(AND(ISNUMBER(资金流水!$B$856),ISNUMBER(资金流水!$S$856),资金流水!$S$856&gt;=_辅助!$J$4,资金流水!$S$856&lt;=_辅助!$J$2,OR(资金流水!$C$856=$C$18,AND(资金流水!$AD$856=$C$18,资金流水!$X$856="账户互转"),AND($E$18&lt;&gt;"",资金流水!$J$856=$E$18,资金流水!$X$856="应付职工薪酬"))),INT(资金流水!$B$856)*10000+851,"")</f>
      </c>
    </row>
    <row r="857">
      <c r="AA857" s="2">
        <f>IF(AND(ISNUMBER(资金流水!$B$857),ISNUMBER(资金流水!$S$857),资金流水!$S$857&gt;=_辅助!$J$4,资金流水!$S$857&lt;=_辅助!$J$2,OR(资金流水!$C$857=$C$18,AND(资金流水!$AD$857=$C$18,资金流水!$X$857="账户互转"),AND($E$18&lt;&gt;"",资金流水!$J$857=$E$18,资金流水!$X$857="应付职工薪酬"))),INT(资金流水!$B$857)*10000+852,"")</f>
      </c>
    </row>
    <row r="858">
      <c r="AA858" s="2">
        <f>IF(AND(ISNUMBER(资金流水!$B$858),ISNUMBER(资金流水!$S$858),资金流水!$S$858&gt;=_辅助!$J$4,资金流水!$S$858&lt;=_辅助!$J$2,OR(资金流水!$C$858=$C$18,AND(资金流水!$AD$858=$C$18,资金流水!$X$858="账户互转"),AND($E$18&lt;&gt;"",资金流水!$J$858=$E$18,资金流水!$X$858="应付职工薪酬"))),INT(资金流水!$B$858)*10000+853,"")</f>
      </c>
    </row>
    <row r="859">
      <c r="AA859" s="2">
        <f>IF(AND(ISNUMBER(资金流水!$B$859),ISNUMBER(资金流水!$S$859),资金流水!$S$859&gt;=_辅助!$J$4,资金流水!$S$859&lt;=_辅助!$J$2,OR(资金流水!$C$859=$C$18,AND(资金流水!$AD$859=$C$18,资金流水!$X$859="账户互转"),AND($E$18&lt;&gt;"",资金流水!$J$859=$E$18,资金流水!$X$859="应付职工薪酬"))),INT(资金流水!$B$859)*10000+854,"")</f>
      </c>
    </row>
    <row r="860">
      <c r="AA860" s="2">
        <f>IF(AND(ISNUMBER(资金流水!$B$860),ISNUMBER(资金流水!$S$860),资金流水!$S$860&gt;=_辅助!$J$4,资金流水!$S$860&lt;=_辅助!$J$2,OR(资金流水!$C$860=$C$18,AND(资金流水!$AD$860=$C$18,资金流水!$X$860="账户互转"),AND($E$18&lt;&gt;"",资金流水!$J$860=$E$18,资金流水!$X$860="应付职工薪酬"))),INT(资金流水!$B$860)*10000+855,"")</f>
      </c>
    </row>
    <row r="861">
      <c r="AA861" s="2">
        <f>IF(AND(ISNUMBER(资金流水!$B$861),ISNUMBER(资金流水!$S$861),资金流水!$S$861&gt;=_辅助!$J$4,资金流水!$S$861&lt;=_辅助!$J$2,OR(资金流水!$C$861=$C$18,AND(资金流水!$AD$861=$C$18,资金流水!$X$861="账户互转"),AND($E$18&lt;&gt;"",资金流水!$J$861=$E$18,资金流水!$X$861="应付职工薪酬"))),INT(资金流水!$B$861)*10000+856,"")</f>
      </c>
    </row>
    <row r="862">
      <c r="AA862" s="2">
        <f>IF(AND(ISNUMBER(资金流水!$B$862),ISNUMBER(资金流水!$S$862),资金流水!$S$862&gt;=_辅助!$J$4,资金流水!$S$862&lt;=_辅助!$J$2,OR(资金流水!$C$862=$C$18,AND(资金流水!$AD$862=$C$18,资金流水!$X$862="账户互转"),AND($E$18&lt;&gt;"",资金流水!$J$862=$E$18,资金流水!$X$862="应付职工薪酬"))),INT(资金流水!$B$862)*10000+857,"")</f>
      </c>
    </row>
    <row r="863">
      <c r="AA863" s="2">
        <f>IF(AND(ISNUMBER(资金流水!$B$863),ISNUMBER(资金流水!$S$863),资金流水!$S$863&gt;=_辅助!$J$4,资金流水!$S$863&lt;=_辅助!$J$2,OR(资金流水!$C$863=$C$18,AND(资金流水!$AD$863=$C$18,资金流水!$X$863="账户互转"),AND($E$18&lt;&gt;"",资金流水!$J$863=$E$18,资金流水!$X$863="应付职工薪酬"))),INT(资金流水!$B$863)*10000+858,"")</f>
      </c>
    </row>
    <row r="864">
      <c r="AA864" s="2">
        <f>IF(AND(ISNUMBER(资金流水!$B$864),ISNUMBER(资金流水!$S$864),资金流水!$S$864&gt;=_辅助!$J$4,资金流水!$S$864&lt;=_辅助!$J$2,OR(资金流水!$C$864=$C$18,AND(资金流水!$AD$864=$C$18,资金流水!$X$864="账户互转"),AND($E$18&lt;&gt;"",资金流水!$J$864=$E$18,资金流水!$X$864="应付职工薪酬"))),INT(资金流水!$B$864)*10000+859,"")</f>
      </c>
    </row>
    <row r="865">
      <c r="AA865" s="2">
        <f>IF(AND(ISNUMBER(资金流水!$B$865),ISNUMBER(资金流水!$S$865),资金流水!$S$865&gt;=_辅助!$J$4,资金流水!$S$865&lt;=_辅助!$J$2,OR(资金流水!$C$865=$C$18,AND(资金流水!$AD$865=$C$18,资金流水!$X$865="账户互转"),AND($E$18&lt;&gt;"",资金流水!$J$865=$E$18,资金流水!$X$865="应付职工薪酬"))),INT(资金流水!$B$865)*10000+860,"")</f>
      </c>
    </row>
    <row r="866">
      <c r="AA866" s="2">
        <f>IF(AND(ISNUMBER(资金流水!$B$866),ISNUMBER(资金流水!$S$866),资金流水!$S$866&gt;=_辅助!$J$4,资金流水!$S$866&lt;=_辅助!$J$2,OR(资金流水!$C$866=$C$18,AND(资金流水!$AD$866=$C$18,资金流水!$X$866="账户互转"),AND($E$18&lt;&gt;"",资金流水!$J$866=$E$18,资金流水!$X$866="应付职工薪酬"))),INT(资金流水!$B$866)*10000+861,"")</f>
      </c>
    </row>
    <row r="867">
      <c r="AA867" s="2">
        <f>IF(AND(ISNUMBER(资金流水!$B$867),ISNUMBER(资金流水!$S$867),资金流水!$S$867&gt;=_辅助!$J$4,资金流水!$S$867&lt;=_辅助!$J$2,OR(资金流水!$C$867=$C$18,AND(资金流水!$AD$867=$C$18,资金流水!$X$867="账户互转"),AND($E$18&lt;&gt;"",资金流水!$J$867=$E$18,资金流水!$X$867="应付职工薪酬"))),INT(资金流水!$B$867)*10000+862,"")</f>
      </c>
    </row>
    <row r="868">
      <c r="AA868" s="2">
        <f>IF(AND(ISNUMBER(资金流水!$B$868),ISNUMBER(资金流水!$S$868),资金流水!$S$868&gt;=_辅助!$J$4,资金流水!$S$868&lt;=_辅助!$J$2,OR(资金流水!$C$868=$C$18,AND(资金流水!$AD$868=$C$18,资金流水!$X$868="账户互转"),AND($E$18&lt;&gt;"",资金流水!$J$868=$E$18,资金流水!$X$868="应付职工薪酬"))),INT(资金流水!$B$868)*10000+863,"")</f>
      </c>
    </row>
    <row r="869">
      <c r="AA869" s="2">
        <f>IF(AND(ISNUMBER(资金流水!$B$869),ISNUMBER(资金流水!$S$869),资金流水!$S$869&gt;=_辅助!$J$4,资金流水!$S$869&lt;=_辅助!$J$2,OR(资金流水!$C$869=$C$18,AND(资金流水!$AD$869=$C$18,资金流水!$X$869="账户互转"),AND($E$18&lt;&gt;"",资金流水!$J$869=$E$18,资金流水!$X$869="应付职工薪酬"))),INT(资金流水!$B$869)*10000+864,"")</f>
      </c>
    </row>
    <row r="870">
      <c r="AA870" s="2">
        <f>IF(AND(ISNUMBER(资金流水!$B$870),ISNUMBER(资金流水!$S$870),资金流水!$S$870&gt;=_辅助!$J$4,资金流水!$S$870&lt;=_辅助!$J$2,OR(资金流水!$C$870=$C$18,AND(资金流水!$AD$870=$C$18,资金流水!$X$870="账户互转"),AND($E$18&lt;&gt;"",资金流水!$J$870=$E$18,资金流水!$X$870="应付职工薪酬"))),INT(资金流水!$B$870)*10000+865,"")</f>
      </c>
    </row>
    <row r="871">
      <c r="AA871" s="2">
        <f>IF(AND(ISNUMBER(资金流水!$B$871),ISNUMBER(资金流水!$S$871),资金流水!$S$871&gt;=_辅助!$J$4,资金流水!$S$871&lt;=_辅助!$J$2,OR(资金流水!$C$871=$C$18,AND(资金流水!$AD$871=$C$18,资金流水!$X$871="账户互转"),AND($E$18&lt;&gt;"",资金流水!$J$871=$E$18,资金流水!$X$871="应付职工薪酬"))),INT(资金流水!$B$871)*10000+866,"")</f>
      </c>
    </row>
    <row r="872">
      <c r="AA872" s="2">
        <f>IF(AND(ISNUMBER(资金流水!$B$872),ISNUMBER(资金流水!$S$872),资金流水!$S$872&gt;=_辅助!$J$4,资金流水!$S$872&lt;=_辅助!$J$2,OR(资金流水!$C$872=$C$18,AND(资金流水!$AD$872=$C$18,资金流水!$X$872="账户互转"),AND($E$18&lt;&gt;"",资金流水!$J$872=$E$18,资金流水!$X$872="应付职工薪酬"))),INT(资金流水!$B$872)*10000+867,"")</f>
      </c>
    </row>
    <row r="873">
      <c r="AA873" s="2">
        <f>IF(AND(ISNUMBER(资金流水!$B$873),ISNUMBER(资金流水!$S$873),资金流水!$S$873&gt;=_辅助!$J$4,资金流水!$S$873&lt;=_辅助!$J$2,OR(资金流水!$C$873=$C$18,AND(资金流水!$AD$873=$C$18,资金流水!$X$873="账户互转"),AND($E$18&lt;&gt;"",资金流水!$J$873=$E$18,资金流水!$X$873="应付职工薪酬"))),INT(资金流水!$B$873)*10000+868,"")</f>
      </c>
    </row>
    <row r="874">
      <c r="AA874" s="2">
        <f>IF(AND(ISNUMBER(资金流水!$B$874),ISNUMBER(资金流水!$S$874),资金流水!$S$874&gt;=_辅助!$J$4,资金流水!$S$874&lt;=_辅助!$J$2,OR(资金流水!$C$874=$C$18,AND(资金流水!$AD$874=$C$18,资金流水!$X$874="账户互转"),AND($E$18&lt;&gt;"",资金流水!$J$874=$E$18,资金流水!$X$874="应付职工薪酬"))),INT(资金流水!$B$874)*10000+869,"")</f>
      </c>
    </row>
    <row r="875">
      <c r="AA875" s="2">
        <f>IF(AND(ISNUMBER(资金流水!$B$875),ISNUMBER(资金流水!$S$875),资金流水!$S$875&gt;=_辅助!$J$4,资金流水!$S$875&lt;=_辅助!$J$2,OR(资金流水!$C$875=$C$18,AND(资金流水!$AD$875=$C$18,资金流水!$X$875="账户互转"),AND($E$18&lt;&gt;"",资金流水!$J$875=$E$18,资金流水!$X$875="应付职工薪酬"))),INT(资金流水!$B$875)*10000+870,"")</f>
      </c>
    </row>
    <row r="876">
      <c r="AA876" s="2">
        <f>IF(AND(ISNUMBER(资金流水!$B$876),ISNUMBER(资金流水!$S$876),资金流水!$S$876&gt;=_辅助!$J$4,资金流水!$S$876&lt;=_辅助!$J$2,OR(资金流水!$C$876=$C$18,AND(资金流水!$AD$876=$C$18,资金流水!$X$876="账户互转"),AND($E$18&lt;&gt;"",资金流水!$J$876=$E$18,资金流水!$X$876="应付职工薪酬"))),INT(资金流水!$B$876)*10000+871,"")</f>
      </c>
    </row>
    <row r="877">
      <c r="AA877" s="2">
        <f>IF(AND(ISNUMBER(资金流水!$B$877),ISNUMBER(资金流水!$S$877),资金流水!$S$877&gt;=_辅助!$J$4,资金流水!$S$877&lt;=_辅助!$J$2,OR(资金流水!$C$877=$C$18,AND(资金流水!$AD$877=$C$18,资金流水!$X$877="账户互转"),AND($E$18&lt;&gt;"",资金流水!$J$877=$E$18,资金流水!$X$877="应付职工薪酬"))),INT(资金流水!$B$877)*10000+872,"")</f>
      </c>
    </row>
    <row r="878">
      <c r="AA878" s="2">
        <f>IF(AND(ISNUMBER(资金流水!$B$878),ISNUMBER(资金流水!$S$878),资金流水!$S$878&gt;=_辅助!$J$4,资金流水!$S$878&lt;=_辅助!$J$2,OR(资金流水!$C$878=$C$18,AND(资金流水!$AD$878=$C$18,资金流水!$X$878="账户互转"),AND($E$18&lt;&gt;"",资金流水!$J$878=$E$18,资金流水!$X$878="应付职工薪酬"))),INT(资金流水!$B$878)*10000+873,"")</f>
      </c>
    </row>
    <row r="879">
      <c r="AA879" s="2">
        <f>IF(AND(ISNUMBER(资金流水!$B$879),ISNUMBER(资金流水!$S$879),资金流水!$S$879&gt;=_辅助!$J$4,资金流水!$S$879&lt;=_辅助!$J$2,OR(资金流水!$C$879=$C$18,AND(资金流水!$AD$879=$C$18,资金流水!$X$879="账户互转"),AND($E$18&lt;&gt;"",资金流水!$J$879=$E$18,资金流水!$X$879="应付职工薪酬"))),INT(资金流水!$B$879)*10000+874,"")</f>
      </c>
    </row>
    <row r="880">
      <c r="AA880" s="2">
        <f>IF(AND(ISNUMBER(资金流水!$B$880),ISNUMBER(资金流水!$S$880),资金流水!$S$880&gt;=_辅助!$J$4,资金流水!$S$880&lt;=_辅助!$J$2,OR(资金流水!$C$880=$C$18,AND(资金流水!$AD$880=$C$18,资金流水!$X$880="账户互转"),AND($E$18&lt;&gt;"",资金流水!$J$880=$E$18,资金流水!$X$880="应付职工薪酬"))),INT(资金流水!$B$880)*10000+875,"")</f>
      </c>
    </row>
    <row r="881">
      <c r="AA881" s="2">
        <f>IF(AND(ISNUMBER(资金流水!$B$881),ISNUMBER(资金流水!$S$881),资金流水!$S$881&gt;=_辅助!$J$4,资金流水!$S$881&lt;=_辅助!$J$2,OR(资金流水!$C$881=$C$18,AND(资金流水!$AD$881=$C$18,资金流水!$X$881="账户互转"),AND($E$18&lt;&gt;"",资金流水!$J$881=$E$18,资金流水!$X$881="应付职工薪酬"))),INT(资金流水!$B$881)*10000+876,"")</f>
      </c>
    </row>
    <row r="882">
      <c r="AA882" s="2">
        <f>IF(AND(ISNUMBER(资金流水!$B$882),ISNUMBER(资金流水!$S$882),资金流水!$S$882&gt;=_辅助!$J$4,资金流水!$S$882&lt;=_辅助!$J$2,OR(资金流水!$C$882=$C$18,AND(资金流水!$AD$882=$C$18,资金流水!$X$882="账户互转"),AND($E$18&lt;&gt;"",资金流水!$J$882=$E$18,资金流水!$X$882="应付职工薪酬"))),INT(资金流水!$B$882)*10000+877,"")</f>
      </c>
    </row>
    <row r="883">
      <c r="AA883" s="2">
        <f>IF(AND(ISNUMBER(资金流水!$B$883),ISNUMBER(资金流水!$S$883),资金流水!$S$883&gt;=_辅助!$J$4,资金流水!$S$883&lt;=_辅助!$J$2,OR(资金流水!$C$883=$C$18,AND(资金流水!$AD$883=$C$18,资金流水!$X$883="账户互转"),AND($E$18&lt;&gt;"",资金流水!$J$883=$E$18,资金流水!$X$883="应付职工薪酬"))),INT(资金流水!$B$883)*10000+878,"")</f>
      </c>
    </row>
    <row r="884">
      <c r="AA884" s="2">
        <f>IF(AND(ISNUMBER(资金流水!$B$884),ISNUMBER(资金流水!$S$884),资金流水!$S$884&gt;=_辅助!$J$4,资金流水!$S$884&lt;=_辅助!$J$2,OR(资金流水!$C$884=$C$18,AND(资金流水!$AD$884=$C$18,资金流水!$X$884="账户互转"),AND($E$18&lt;&gt;"",资金流水!$J$884=$E$18,资金流水!$X$884="应付职工薪酬"))),INT(资金流水!$B$884)*10000+879,"")</f>
      </c>
    </row>
    <row r="885">
      <c r="AA885" s="2">
        <f>IF(AND(ISNUMBER(资金流水!$B$885),ISNUMBER(资金流水!$S$885),资金流水!$S$885&gt;=_辅助!$J$4,资金流水!$S$885&lt;=_辅助!$J$2,OR(资金流水!$C$885=$C$18,AND(资金流水!$AD$885=$C$18,资金流水!$X$885="账户互转"),AND($E$18&lt;&gt;"",资金流水!$J$885=$E$18,资金流水!$X$885="应付职工薪酬"))),INT(资金流水!$B$885)*10000+880,"")</f>
      </c>
    </row>
    <row r="886">
      <c r="AA886" s="2">
        <f>IF(AND(ISNUMBER(资金流水!$B$886),ISNUMBER(资金流水!$S$886),资金流水!$S$886&gt;=_辅助!$J$4,资金流水!$S$886&lt;=_辅助!$J$2,OR(资金流水!$C$886=$C$18,AND(资金流水!$AD$886=$C$18,资金流水!$X$886="账户互转"),AND($E$18&lt;&gt;"",资金流水!$J$886=$E$18,资金流水!$X$886="应付职工薪酬"))),INT(资金流水!$B$886)*10000+881,"")</f>
      </c>
    </row>
    <row r="887">
      <c r="AA887" s="2">
        <f>IF(AND(ISNUMBER(资金流水!$B$887),ISNUMBER(资金流水!$S$887),资金流水!$S$887&gt;=_辅助!$J$4,资金流水!$S$887&lt;=_辅助!$J$2,OR(资金流水!$C$887=$C$18,AND(资金流水!$AD$887=$C$18,资金流水!$X$887="账户互转"),AND($E$18&lt;&gt;"",资金流水!$J$887=$E$18,资金流水!$X$887="应付职工薪酬"))),INT(资金流水!$B$887)*10000+882,"")</f>
      </c>
    </row>
    <row r="888">
      <c r="AA888" s="2">
        <f>IF(AND(ISNUMBER(资金流水!$B$888),ISNUMBER(资金流水!$S$888),资金流水!$S$888&gt;=_辅助!$J$4,资金流水!$S$888&lt;=_辅助!$J$2,OR(资金流水!$C$888=$C$18,AND(资金流水!$AD$888=$C$18,资金流水!$X$888="账户互转"),AND($E$18&lt;&gt;"",资金流水!$J$888=$E$18,资金流水!$X$888="应付职工薪酬"))),INT(资金流水!$B$888)*10000+883,"")</f>
      </c>
    </row>
    <row r="889">
      <c r="AA889" s="2">
        <f>IF(AND(ISNUMBER(资金流水!$B$889),ISNUMBER(资金流水!$S$889),资金流水!$S$889&gt;=_辅助!$J$4,资金流水!$S$889&lt;=_辅助!$J$2,OR(资金流水!$C$889=$C$18,AND(资金流水!$AD$889=$C$18,资金流水!$X$889="账户互转"),AND($E$18&lt;&gt;"",资金流水!$J$889=$E$18,资金流水!$X$889="应付职工薪酬"))),INT(资金流水!$B$889)*10000+884,"")</f>
      </c>
    </row>
    <row r="890">
      <c r="AA890" s="2">
        <f>IF(AND(ISNUMBER(资金流水!$B$890),ISNUMBER(资金流水!$S$890),资金流水!$S$890&gt;=_辅助!$J$4,资金流水!$S$890&lt;=_辅助!$J$2,OR(资金流水!$C$890=$C$18,AND(资金流水!$AD$890=$C$18,资金流水!$X$890="账户互转"),AND($E$18&lt;&gt;"",资金流水!$J$890=$E$18,资金流水!$X$890="应付职工薪酬"))),INT(资金流水!$B$890)*10000+885,"")</f>
      </c>
    </row>
    <row r="891">
      <c r="AA891" s="2">
        <f>IF(AND(ISNUMBER(资金流水!$B$891),ISNUMBER(资金流水!$S$891),资金流水!$S$891&gt;=_辅助!$J$4,资金流水!$S$891&lt;=_辅助!$J$2,OR(资金流水!$C$891=$C$18,AND(资金流水!$AD$891=$C$18,资金流水!$X$891="账户互转"),AND($E$18&lt;&gt;"",资金流水!$J$891=$E$18,资金流水!$X$891="应付职工薪酬"))),INT(资金流水!$B$891)*10000+886,"")</f>
      </c>
    </row>
    <row r="892">
      <c r="AA892" s="2">
        <f>IF(AND(ISNUMBER(资金流水!$B$892),ISNUMBER(资金流水!$S$892),资金流水!$S$892&gt;=_辅助!$J$4,资金流水!$S$892&lt;=_辅助!$J$2,OR(资金流水!$C$892=$C$18,AND(资金流水!$AD$892=$C$18,资金流水!$X$892="账户互转"),AND($E$18&lt;&gt;"",资金流水!$J$892=$E$18,资金流水!$X$892="应付职工薪酬"))),INT(资金流水!$B$892)*10000+887,"")</f>
      </c>
    </row>
    <row r="893">
      <c r="AA893" s="2">
        <f>IF(AND(ISNUMBER(资金流水!$B$893),ISNUMBER(资金流水!$S$893),资金流水!$S$893&gt;=_辅助!$J$4,资金流水!$S$893&lt;=_辅助!$J$2,OR(资金流水!$C$893=$C$18,AND(资金流水!$AD$893=$C$18,资金流水!$X$893="账户互转"),AND($E$18&lt;&gt;"",资金流水!$J$893=$E$18,资金流水!$X$893="应付职工薪酬"))),INT(资金流水!$B$893)*10000+888,"")</f>
      </c>
    </row>
    <row r="894">
      <c r="AA894" s="2">
        <f>IF(AND(ISNUMBER(资金流水!$B$894),ISNUMBER(资金流水!$S$894),资金流水!$S$894&gt;=_辅助!$J$4,资金流水!$S$894&lt;=_辅助!$J$2,OR(资金流水!$C$894=$C$18,AND(资金流水!$AD$894=$C$18,资金流水!$X$894="账户互转"),AND($E$18&lt;&gt;"",资金流水!$J$894=$E$18,资金流水!$X$894="应付职工薪酬"))),INT(资金流水!$B$894)*10000+889,"")</f>
      </c>
    </row>
    <row r="895">
      <c r="AA895" s="2">
        <f>IF(AND(ISNUMBER(资金流水!$B$895),ISNUMBER(资金流水!$S$895),资金流水!$S$895&gt;=_辅助!$J$4,资金流水!$S$895&lt;=_辅助!$J$2,OR(资金流水!$C$895=$C$18,AND(资金流水!$AD$895=$C$18,资金流水!$X$895="账户互转"),AND($E$18&lt;&gt;"",资金流水!$J$895=$E$18,资金流水!$X$895="应付职工薪酬"))),INT(资金流水!$B$895)*10000+890,"")</f>
      </c>
    </row>
    <row r="896">
      <c r="AA896" s="2">
        <f>IF(AND(ISNUMBER(资金流水!$B$896),ISNUMBER(资金流水!$S$896),资金流水!$S$896&gt;=_辅助!$J$4,资金流水!$S$896&lt;=_辅助!$J$2,OR(资金流水!$C$896=$C$18,AND(资金流水!$AD$896=$C$18,资金流水!$X$896="账户互转"),AND($E$18&lt;&gt;"",资金流水!$J$896=$E$18,资金流水!$X$896="应付职工薪酬"))),INT(资金流水!$B$896)*10000+891,"")</f>
      </c>
    </row>
    <row r="897">
      <c r="AA897" s="2">
        <f>IF(AND(ISNUMBER(资金流水!$B$897),ISNUMBER(资金流水!$S$897),资金流水!$S$897&gt;=_辅助!$J$4,资金流水!$S$897&lt;=_辅助!$J$2,OR(资金流水!$C$897=$C$18,AND(资金流水!$AD$897=$C$18,资金流水!$X$897="账户互转"),AND($E$18&lt;&gt;"",资金流水!$J$897=$E$18,资金流水!$X$897="应付职工薪酬"))),INT(资金流水!$B$897)*10000+892,"")</f>
      </c>
    </row>
    <row r="898">
      <c r="AA898" s="2">
        <f>IF(AND(ISNUMBER(资金流水!$B$898),ISNUMBER(资金流水!$S$898),资金流水!$S$898&gt;=_辅助!$J$4,资金流水!$S$898&lt;=_辅助!$J$2,OR(资金流水!$C$898=$C$18,AND(资金流水!$AD$898=$C$18,资金流水!$X$898="账户互转"),AND($E$18&lt;&gt;"",资金流水!$J$898=$E$18,资金流水!$X$898="应付职工薪酬"))),INT(资金流水!$B$898)*10000+893,"")</f>
      </c>
    </row>
    <row r="899">
      <c r="AA899" s="2">
        <f>IF(AND(ISNUMBER(资金流水!$B$899),ISNUMBER(资金流水!$S$899),资金流水!$S$899&gt;=_辅助!$J$4,资金流水!$S$899&lt;=_辅助!$J$2,OR(资金流水!$C$899=$C$18,AND(资金流水!$AD$899=$C$18,资金流水!$X$899="账户互转"),AND($E$18&lt;&gt;"",资金流水!$J$899=$E$18,资金流水!$X$899="应付职工薪酬"))),INT(资金流水!$B$899)*10000+894,"")</f>
      </c>
    </row>
    <row r="900">
      <c r="AA900" s="2">
        <f>IF(AND(ISNUMBER(资金流水!$B$900),ISNUMBER(资金流水!$S$900),资金流水!$S$900&gt;=_辅助!$J$4,资金流水!$S$900&lt;=_辅助!$J$2,OR(资金流水!$C$900=$C$18,AND(资金流水!$AD$900=$C$18,资金流水!$X$900="账户互转"),AND($E$18&lt;&gt;"",资金流水!$J$900=$E$18,资金流水!$X$900="应付职工薪酬"))),INT(资金流水!$B$900)*10000+895,"")</f>
      </c>
    </row>
    <row r="901">
      <c r="AA901" s="2">
        <f>IF(AND(ISNUMBER(资金流水!$B$901),ISNUMBER(资金流水!$S$901),资金流水!$S$901&gt;=_辅助!$J$4,资金流水!$S$901&lt;=_辅助!$J$2,OR(资金流水!$C$901=$C$18,AND(资金流水!$AD$901=$C$18,资金流水!$X$901="账户互转"),AND($E$18&lt;&gt;"",资金流水!$J$901=$E$18,资金流水!$X$901="应付职工薪酬"))),INT(资金流水!$B$901)*10000+896,"")</f>
      </c>
    </row>
    <row r="902">
      <c r="AA902" s="2">
        <f>IF(AND(ISNUMBER(资金流水!$B$902),ISNUMBER(资金流水!$S$902),资金流水!$S$902&gt;=_辅助!$J$4,资金流水!$S$902&lt;=_辅助!$J$2,OR(资金流水!$C$902=$C$18,AND(资金流水!$AD$902=$C$18,资金流水!$X$902="账户互转"),AND($E$18&lt;&gt;"",资金流水!$J$902=$E$18,资金流水!$X$902="应付职工薪酬"))),INT(资金流水!$B$902)*10000+897,"")</f>
      </c>
    </row>
    <row r="903">
      <c r="AA903" s="2">
        <f>IF(AND(ISNUMBER(资金流水!$B$903),ISNUMBER(资金流水!$S$903),资金流水!$S$903&gt;=_辅助!$J$4,资金流水!$S$903&lt;=_辅助!$J$2,OR(资金流水!$C$903=$C$18,AND(资金流水!$AD$903=$C$18,资金流水!$X$903="账户互转"),AND($E$18&lt;&gt;"",资金流水!$J$903=$E$18,资金流水!$X$903="应付职工薪酬"))),INT(资金流水!$B$903)*10000+898,"")</f>
      </c>
    </row>
    <row r="904">
      <c r="AA904" s="2">
        <f>IF(AND(ISNUMBER(资金流水!$B$904),ISNUMBER(资金流水!$S$904),资金流水!$S$904&gt;=_辅助!$J$4,资金流水!$S$904&lt;=_辅助!$J$2,OR(资金流水!$C$904=$C$18,AND(资金流水!$AD$904=$C$18,资金流水!$X$904="账户互转"),AND($E$18&lt;&gt;"",资金流水!$J$904=$E$18,资金流水!$X$904="应付职工薪酬"))),INT(资金流水!$B$904)*10000+899,"")</f>
      </c>
    </row>
    <row r="905">
      <c r="AA905" s="2">
        <f>IF(AND(ISNUMBER(资金流水!$B$905),ISNUMBER(资金流水!$S$905),资金流水!$S$905&gt;=_辅助!$J$4,资金流水!$S$905&lt;=_辅助!$J$2,OR(资金流水!$C$905=$C$18,AND(资金流水!$AD$905=$C$18,资金流水!$X$905="账户互转"),AND($E$18&lt;&gt;"",资金流水!$J$905=$E$18,资金流水!$X$905="应付职工薪酬"))),INT(资金流水!$B$905)*10000+900,"")</f>
      </c>
    </row>
    <row r="906">
      <c r="AA906" s="2">
        <f>IF(AND(ISNUMBER(资金流水!$B$906),ISNUMBER(资金流水!$S$906),资金流水!$S$906&gt;=_辅助!$J$4,资金流水!$S$906&lt;=_辅助!$J$2,OR(资金流水!$C$906=$C$18,AND(资金流水!$AD$906=$C$18,资金流水!$X$906="账户互转"),AND($E$18&lt;&gt;"",资金流水!$J$906=$E$18,资金流水!$X$906="应付职工薪酬"))),INT(资金流水!$B$906)*10000+901,"")</f>
      </c>
    </row>
    <row r="907">
      <c r="AA907" s="2">
        <f>IF(AND(ISNUMBER(资金流水!$B$907),ISNUMBER(资金流水!$S$907),资金流水!$S$907&gt;=_辅助!$J$4,资金流水!$S$907&lt;=_辅助!$J$2,OR(资金流水!$C$907=$C$18,AND(资金流水!$AD$907=$C$18,资金流水!$X$907="账户互转"),AND($E$18&lt;&gt;"",资金流水!$J$907=$E$18,资金流水!$X$907="应付职工薪酬"))),INT(资金流水!$B$907)*10000+902,"")</f>
      </c>
    </row>
    <row r="908">
      <c r="AA908" s="2">
        <f>IF(AND(ISNUMBER(资金流水!$B$908),ISNUMBER(资金流水!$S$908),资金流水!$S$908&gt;=_辅助!$J$4,资金流水!$S$908&lt;=_辅助!$J$2,OR(资金流水!$C$908=$C$18,AND(资金流水!$AD$908=$C$18,资金流水!$X$908="账户互转"),AND($E$18&lt;&gt;"",资金流水!$J$908=$E$18,资金流水!$X$908="应付职工薪酬"))),INT(资金流水!$B$908)*10000+903,"")</f>
      </c>
    </row>
    <row r="909">
      <c r="AA909" s="2">
        <f>IF(AND(ISNUMBER(资金流水!$B$909),ISNUMBER(资金流水!$S$909),资金流水!$S$909&gt;=_辅助!$J$4,资金流水!$S$909&lt;=_辅助!$J$2,OR(资金流水!$C$909=$C$18,AND(资金流水!$AD$909=$C$18,资金流水!$X$909="账户互转"),AND($E$18&lt;&gt;"",资金流水!$J$909=$E$18,资金流水!$X$909="应付职工薪酬"))),INT(资金流水!$B$909)*10000+904,"")</f>
      </c>
    </row>
    <row r="910">
      <c r="AA910" s="2">
        <f>IF(AND(ISNUMBER(资金流水!$B$910),ISNUMBER(资金流水!$S$910),资金流水!$S$910&gt;=_辅助!$J$4,资金流水!$S$910&lt;=_辅助!$J$2,OR(资金流水!$C$910=$C$18,AND(资金流水!$AD$910=$C$18,资金流水!$X$910="账户互转"),AND($E$18&lt;&gt;"",资金流水!$J$910=$E$18,资金流水!$X$910="应付职工薪酬"))),INT(资金流水!$B$910)*10000+905,"")</f>
      </c>
    </row>
    <row r="911">
      <c r="AA911" s="2">
        <f>IF(AND(ISNUMBER(资金流水!$B$911),ISNUMBER(资金流水!$S$911),资金流水!$S$911&gt;=_辅助!$J$4,资金流水!$S$911&lt;=_辅助!$J$2,OR(资金流水!$C$911=$C$18,AND(资金流水!$AD$911=$C$18,资金流水!$X$911="账户互转"),AND($E$18&lt;&gt;"",资金流水!$J$911=$E$18,资金流水!$X$911="应付职工薪酬"))),INT(资金流水!$B$911)*10000+906,"")</f>
      </c>
    </row>
    <row r="912">
      <c r="AA912" s="2">
        <f>IF(AND(ISNUMBER(资金流水!$B$912),ISNUMBER(资金流水!$S$912),资金流水!$S$912&gt;=_辅助!$J$4,资金流水!$S$912&lt;=_辅助!$J$2,OR(资金流水!$C$912=$C$18,AND(资金流水!$AD$912=$C$18,资金流水!$X$912="账户互转"),AND($E$18&lt;&gt;"",资金流水!$J$912=$E$18,资金流水!$X$912="应付职工薪酬"))),INT(资金流水!$B$912)*10000+907,"")</f>
      </c>
    </row>
    <row r="913">
      <c r="AA913" s="2">
        <f>IF(AND(ISNUMBER(资金流水!$B$913),ISNUMBER(资金流水!$S$913),资金流水!$S$913&gt;=_辅助!$J$4,资金流水!$S$913&lt;=_辅助!$J$2,OR(资金流水!$C$913=$C$18,AND(资金流水!$AD$913=$C$18,资金流水!$X$913="账户互转"),AND($E$18&lt;&gt;"",资金流水!$J$913=$E$18,资金流水!$X$913="应付职工薪酬"))),INT(资金流水!$B$913)*10000+908,"")</f>
      </c>
    </row>
    <row r="914">
      <c r="AA914" s="2">
        <f>IF(AND(ISNUMBER(资金流水!$B$914),ISNUMBER(资金流水!$S$914),资金流水!$S$914&gt;=_辅助!$J$4,资金流水!$S$914&lt;=_辅助!$J$2,OR(资金流水!$C$914=$C$18,AND(资金流水!$AD$914=$C$18,资金流水!$X$914="账户互转"),AND($E$18&lt;&gt;"",资金流水!$J$914=$E$18,资金流水!$X$914="应付职工薪酬"))),INT(资金流水!$B$914)*10000+909,"")</f>
      </c>
    </row>
    <row r="915">
      <c r="AA915" s="2">
        <f>IF(AND(ISNUMBER(资金流水!$B$915),ISNUMBER(资金流水!$S$915),资金流水!$S$915&gt;=_辅助!$J$4,资金流水!$S$915&lt;=_辅助!$J$2,OR(资金流水!$C$915=$C$18,AND(资金流水!$AD$915=$C$18,资金流水!$X$915="账户互转"),AND($E$18&lt;&gt;"",资金流水!$J$915=$E$18,资金流水!$X$915="应付职工薪酬"))),INT(资金流水!$B$915)*10000+910,"")</f>
      </c>
    </row>
    <row r="916">
      <c r="AA916" s="2">
        <f>IF(AND(ISNUMBER(资金流水!$B$916),ISNUMBER(资金流水!$S$916),资金流水!$S$916&gt;=_辅助!$J$4,资金流水!$S$916&lt;=_辅助!$J$2,OR(资金流水!$C$916=$C$18,AND(资金流水!$AD$916=$C$18,资金流水!$X$916="账户互转"),AND($E$18&lt;&gt;"",资金流水!$J$916=$E$18,资金流水!$X$916="应付职工薪酬"))),INT(资金流水!$B$916)*10000+911,"")</f>
      </c>
    </row>
    <row r="917">
      <c r="AA917" s="2">
        <f>IF(AND(ISNUMBER(资金流水!$B$917),ISNUMBER(资金流水!$S$917),资金流水!$S$917&gt;=_辅助!$J$4,资金流水!$S$917&lt;=_辅助!$J$2,OR(资金流水!$C$917=$C$18,AND(资金流水!$AD$917=$C$18,资金流水!$X$917="账户互转"),AND($E$18&lt;&gt;"",资金流水!$J$917=$E$18,资金流水!$X$917="应付职工薪酬"))),INT(资金流水!$B$917)*10000+912,"")</f>
      </c>
    </row>
    <row r="918">
      <c r="AA918" s="2">
        <f>IF(AND(ISNUMBER(资金流水!$B$918),ISNUMBER(资金流水!$S$918),资金流水!$S$918&gt;=_辅助!$J$4,资金流水!$S$918&lt;=_辅助!$J$2,OR(资金流水!$C$918=$C$18,AND(资金流水!$AD$918=$C$18,资金流水!$X$918="账户互转"),AND($E$18&lt;&gt;"",资金流水!$J$918=$E$18,资金流水!$X$918="应付职工薪酬"))),INT(资金流水!$B$918)*10000+913,"")</f>
      </c>
    </row>
    <row r="919">
      <c r="AA919" s="2">
        <f>IF(AND(ISNUMBER(资金流水!$B$919),ISNUMBER(资金流水!$S$919),资金流水!$S$919&gt;=_辅助!$J$4,资金流水!$S$919&lt;=_辅助!$J$2,OR(资金流水!$C$919=$C$18,AND(资金流水!$AD$919=$C$18,资金流水!$X$919="账户互转"),AND($E$18&lt;&gt;"",资金流水!$J$919=$E$18,资金流水!$X$919="应付职工薪酬"))),INT(资金流水!$B$919)*10000+914,"")</f>
      </c>
    </row>
    <row r="920">
      <c r="AA920" s="2">
        <f>IF(AND(ISNUMBER(资金流水!$B$920),ISNUMBER(资金流水!$S$920),资金流水!$S$920&gt;=_辅助!$J$4,资金流水!$S$920&lt;=_辅助!$J$2,OR(资金流水!$C$920=$C$18,AND(资金流水!$AD$920=$C$18,资金流水!$X$920="账户互转"),AND($E$18&lt;&gt;"",资金流水!$J$920=$E$18,资金流水!$X$920="应付职工薪酬"))),INT(资金流水!$B$920)*10000+915,"")</f>
      </c>
    </row>
    <row r="921">
      <c r="AA921" s="2">
        <f>IF(AND(ISNUMBER(资金流水!$B$921),ISNUMBER(资金流水!$S$921),资金流水!$S$921&gt;=_辅助!$J$4,资金流水!$S$921&lt;=_辅助!$J$2,OR(资金流水!$C$921=$C$18,AND(资金流水!$AD$921=$C$18,资金流水!$X$921="账户互转"),AND($E$18&lt;&gt;"",资金流水!$J$921=$E$18,资金流水!$X$921="应付职工薪酬"))),INT(资金流水!$B$921)*10000+916,"")</f>
      </c>
    </row>
    <row r="922">
      <c r="AA922" s="2">
        <f>IF(AND(ISNUMBER(资金流水!$B$922),ISNUMBER(资金流水!$S$922),资金流水!$S$922&gt;=_辅助!$J$4,资金流水!$S$922&lt;=_辅助!$J$2,OR(资金流水!$C$922=$C$18,AND(资金流水!$AD$922=$C$18,资金流水!$X$922="账户互转"),AND($E$18&lt;&gt;"",资金流水!$J$922=$E$18,资金流水!$X$922="应付职工薪酬"))),INT(资金流水!$B$922)*10000+917,"")</f>
      </c>
    </row>
    <row r="923">
      <c r="AA923" s="2">
        <f>IF(AND(ISNUMBER(资金流水!$B$923),ISNUMBER(资金流水!$S$923),资金流水!$S$923&gt;=_辅助!$J$4,资金流水!$S$923&lt;=_辅助!$J$2,OR(资金流水!$C$923=$C$18,AND(资金流水!$AD$923=$C$18,资金流水!$X$923="账户互转"),AND($E$18&lt;&gt;"",资金流水!$J$923=$E$18,资金流水!$X$923="应付职工薪酬"))),INT(资金流水!$B$923)*10000+918,"")</f>
      </c>
    </row>
    <row r="924">
      <c r="AA924" s="2">
        <f>IF(AND(ISNUMBER(资金流水!$B$924),ISNUMBER(资金流水!$S$924),资金流水!$S$924&gt;=_辅助!$J$4,资金流水!$S$924&lt;=_辅助!$J$2,OR(资金流水!$C$924=$C$18,AND(资金流水!$AD$924=$C$18,资金流水!$X$924="账户互转"),AND($E$18&lt;&gt;"",资金流水!$J$924=$E$18,资金流水!$X$924="应付职工薪酬"))),INT(资金流水!$B$924)*10000+919,"")</f>
      </c>
    </row>
    <row r="925">
      <c r="AA925" s="2">
        <f>IF(AND(ISNUMBER(资金流水!$B$925),ISNUMBER(资金流水!$S$925),资金流水!$S$925&gt;=_辅助!$J$4,资金流水!$S$925&lt;=_辅助!$J$2,OR(资金流水!$C$925=$C$18,AND(资金流水!$AD$925=$C$18,资金流水!$X$925="账户互转"),AND($E$18&lt;&gt;"",资金流水!$J$925=$E$18,资金流水!$X$925="应付职工薪酬"))),INT(资金流水!$B$925)*10000+920,"")</f>
      </c>
    </row>
    <row r="926">
      <c r="AA926" s="2">
        <f>IF(AND(ISNUMBER(资金流水!$B$926),ISNUMBER(资金流水!$S$926),资金流水!$S$926&gt;=_辅助!$J$4,资金流水!$S$926&lt;=_辅助!$J$2,OR(资金流水!$C$926=$C$18,AND(资金流水!$AD$926=$C$18,资金流水!$X$926="账户互转"),AND($E$18&lt;&gt;"",资金流水!$J$926=$E$18,资金流水!$X$926="应付职工薪酬"))),INT(资金流水!$B$926)*10000+921,"")</f>
      </c>
    </row>
    <row r="927">
      <c r="AA927" s="2">
        <f>IF(AND(ISNUMBER(资金流水!$B$927),ISNUMBER(资金流水!$S$927),资金流水!$S$927&gt;=_辅助!$J$4,资金流水!$S$927&lt;=_辅助!$J$2,OR(资金流水!$C$927=$C$18,AND(资金流水!$AD$927=$C$18,资金流水!$X$927="账户互转"),AND($E$18&lt;&gt;"",资金流水!$J$927=$E$18,资金流水!$X$927="应付职工薪酬"))),INT(资金流水!$B$927)*10000+922,"")</f>
      </c>
    </row>
    <row r="928">
      <c r="AA928" s="2">
        <f>IF(AND(ISNUMBER(资金流水!$B$928),ISNUMBER(资金流水!$S$928),资金流水!$S$928&gt;=_辅助!$J$4,资金流水!$S$928&lt;=_辅助!$J$2,OR(资金流水!$C$928=$C$18,AND(资金流水!$AD$928=$C$18,资金流水!$X$928="账户互转"),AND($E$18&lt;&gt;"",资金流水!$J$928=$E$18,资金流水!$X$928="应付职工薪酬"))),INT(资金流水!$B$928)*10000+923,"")</f>
      </c>
    </row>
    <row r="929">
      <c r="AA929" s="2">
        <f>IF(AND(ISNUMBER(资金流水!$B$929),ISNUMBER(资金流水!$S$929),资金流水!$S$929&gt;=_辅助!$J$4,资金流水!$S$929&lt;=_辅助!$J$2,OR(资金流水!$C$929=$C$18,AND(资金流水!$AD$929=$C$18,资金流水!$X$929="账户互转"),AND($E$18&lt;&gt;"",资金流水!$J$929=$E$18,资金流水!$X$929="应付职工薪酬"))),INT(资金流水!$B$929)*10000+924,"")</f>
      </c>
    </row>
    <row r="930">
      <c r="AA930" s="2">
        <f>IF(AND(ISNUMBER(资金流水!$B$930),ISNUMBER(资金流水!$S$930),资金流水!$S$930&gt;=_辅助!$J$4,资金流水!$S$930&lt;=_辅助!$J$2,OR(资金流水!$C$930=$C$18,AND(资金流水!$AD$930=$C$18,资金流水!$X$930="账户互转"),AND($E$18&lt;&gt;"",资金流水!$J$930=$E$18,资金流水!$X$930="应付职工薪酬"))),INT(资金流水!$B$930)*10000+925,"")</f>
      </c>
    </row>
    <row r="931">
      <c r="AA931" s="2">
        <f>IF(AND(ISNUMBER(资金流水!$B$931),ISNUMBER(资金流水!$S$931),资金流水!$S$931&gt;=_辅助!$J$4,资金流水!$S$931&lt;=_辅助!$J$2,OR(资金流水!$C$931=$C$18,AND(资金流水!$AD$931=$C$18,资金流水!$X$931="账户互转"),AND($E$18&lt;&gt;"",资金流水!$J$931=$E$18,资金流水!$X$931="应付职工薪酬"))),INT(资金流水!$B$931)*10000+926,"")</f>
      </c>
    </row>
    <row r="932">
      <c r="AA932" s="2">
        <f>IF(AND(ISNUMBER(资金流水!$B$932),ISNUMBER(资金流水!$S$932),资金流水!$S$932&gt;=_辅助!$J$4,资金流水!$S$932&lt;=_辅助!$J$2,OR(资金流水!$C$932=$C$18,AND(资金流水!$AD$932=$C$18,资金流水!$X$932="账户互转"),AND($E$18&lt;&gt;"",资金流水!$J$932=$E$18,资金流水!$X$932="应付职工薪酬"))),INT(资金流水!$B$932)*10000+927,"")</f>
      </c>
    </row>
    <row r="933">
      <c r="AA933" s="2">
        <f>IF(AND(ISNUMBER(资金流水!$B$933),ISNUMBER(资金流水!$S$933),资金流水!$S$933&gt;=_辅助!$J$4,资金流水!$S$933&lt;=_辅助!$J$2,OR(资金流水!$C$933=$C$18,AND(资金流水!$AD$933=$C$18,资金流水!$X$933="账户互转"),AND($E$18&lt;&gt;"",资金流水!$J$933=$E$18,资金流水!$X$933="应付职工薪酬"))),INT(资金流水!$B$933)*10000+928,"")</f>
      </c>
    </row>
    <row r="934">
      <c r="AA934" s="2">
        <f>IF(AND(ISNUMBER(资金流水!$B$934),ISNUMBER(资金流水!$S$934),资金流水!$S$934&gt;=_辅助!$J$4,资金流水!$S$934&lt;=_辅助!$J$2,OR(资金流水!$C$934=$C$18,AND(资金流水!$AD$934=$C$18,资金流水!$X$934="账户互转"),AND($E$18&lt;&gt;"",资金流水!$J$934=$E$18,资金流水!$X$934="应付职工薪酬"))),INT(资金流水!$B$934)*10000+929,"")</f>
      </c>
    </row>
    <row r="935">
      <c r="AA935" s="2">
        <f>IF(AND(ISNUMBER(资金流水!$B$935),ISNUMBER(资金流水!$S$935),资金流水!$S$935&gt;=_辅助!$J$4,资金流水!$S$935&lt;=_辅助!$J$2,OR(资金流水!$C$935=$C$18,AND(资金流水!$AD$935=$C$18,资金流水!$X$935="账户互转"),AND($E$18&lt;&gt;"",资金流水!$J$935=$E$18,资金流水!$X$935="应付职工薪酬"))),INT(资金流水!$B$935)*10000+930,"")</f>
      </c>
    </row>
    <row r="936">
      <c r="AA936" s="2">
        <f>IF(AND(ISNUMBER(资金流水!$B$936),ISNUMBER(资金流水!$S$936),资金流水!$S$936&gt;=_辅助!$J$4,资金流水!$S$936&lt;=_辅助!$J$2,OR(资金流水!$C$936=$C$18,AND(资金流水!$AD$936=$C$18,资金流水!$X$936="账户互转"),AND($E$18&lt;&gt;"",资金流水!$J$936=$E$18,资金流水!$X$936="应付职工薪酬"))),INT(资金流水!$B$936)*10000+931,"")</f>
      </c>
    </row>
    <row r="937">
      <c r="AA937" s="2">
        <f>IF(AND(ISNUMBER(资金流水!$B$937),ISNUMBER(资金流水!$S$937),资金流水!$S$937&gt;=_辅助!$J$4,资金流水!$S$937&lt;=_辅助!$J$2,OR(资金流水!$C$937=$C$18,AND(资金流水!$AD$937=$C$18,资金流水!$X$937="账户互转"),AND($E$18&lt;&gt;"",资金流水!$J$937=$E$18,资金流水!$X$937="应付职工薪酬"))),INT(资金流水!$B$937)*10000+932,"")</f>
      </c>
    </row>
    <row r="938">
      <c r="AA938" s="2">
        <f>IF(AND(ISNUMBER(资金流水!$B$938),ISNUMBER(资金流水!$S$938),资金流水!$S$938&gt;=_辅助!$J$4,资金流水!$S$938&lt;=_辅助!$J$2,OR(资金流水!$C$938=$C$18,AND(资金流水!$AD$938=$C$18,资金流水!$X$938="账户互转"),AND($E$18&lt;&gt;"",资金流水!$J$938=$E$18,资金流水!$X$938="应付职工薪酬"))),INT(资金流水!$B$938)*10000+933,"")</f>
      </c>
    </row>
    <row r="939">
      <c r="AA939" s="2">
        <f>IF(AND(ISNUMBER(资金流水!$B$939),ISNUMBER(资金流水!$S$939),资金流水!$S$939&gt;=_辅助!$J$4,资金流水!$S$939&lt;=_辅助!$J$2,OR(资金流水!$C$939=$C$18,AND(资金流水!$AD$939=$C$18,资金流水!$X$939="账户互转"),AND($E$18&lt;&gt;"",资金流水!$J$939=$E$18,资金流水!$X$939="应付职工薪酬"))),INT(资金流水!$B$939)*10000+934,"")</f>
      </c>
    </row>
    <row r="940">
      <c r="AA940" s="2">
        <f>IF(AND(ISNUMBER(资金流水!$B$940),ISNUMBER(资金流水!$S$940),资金流水!$S$940&gt;=_辅助!$J$4,资金流水!$S$940&lt;=_辅助!$J$2,OR(资金流水!$C$940=$C$18,AND(资金流水!$AD$940=$C$18,资金流水!$X$940="账户互转"),AND($E$18&lt;&gt;"",资金流水!$J$940=$E$18,资金流水!$X$940="应付职工薪酬"))),INT(资金流水!$B$940)*10000+935,"")</f>
      </c>
    </row>
    <row r="941">
      <c r="AA941" s="2">
        <f>IF(AND(ISNUMBER(资金流水!$B$941),ISNUMBER(资金流水!$S$941),资金流水!$S$941&gt;=_辅助!$J$4,资金流水!$S$941&lt;=_辅助!$J$2,OR(资金流水!$C$941=$C$18,AND(资金流水!$AD$941=$C$18,资金流水!$X$941="账户互转"),AND($E$18&lt;&gt;"",资金流水!$J$941=$E$18,资金流水!$X$941="应付职工薪酬"))),INT(资金流水!$B$941)*10000+936,"")</f>
      </c>
    </row>
    <row r="942">
      <c r="AA942" s="2">
        <f>IF(AND(ISNUMBER(资金流水!$B$942),ISNUMBER(资金流水!$S$942),资金流水!$S$942&gt;=_辅助!$J$4,资金流水!$S$942&lt;=_辅助!$J$2,OR(资金流水!$C$942=$C$18,AND(资金流水!$AD$942=$C$18,资金流水!$X$942="账户互转"),AND($E$18&lt;&gt;"",资金流水!$J$942=$E$18,资金流水!$X$942="应付职工薪酬"))),INT(资金流水!$B$942)*10000+937,"")</f>
      </c>
    </row>
    <row r="943">
      <c r="AA943" s="2">
        <f>IF(AND(ISNUMBER(资金流水!$B$943),ISNUMBER(资金流水!$S$943),资金流水!$S$943&gt;=_辅助!$J$4,资金流水!$S$943&lt;=_辅助!$J$2,OR(资金流水!$C$943=$C$18,AND(资金流水!$AD$943=$C$18,资金流水!$X$943="账户互转"),AND($E$18&lt;&gt;"",资金流水!$J$943=$E$18,资金流水!$X$943="应付职工薪酬"))),INT(资金流水!$B$943)*10000+938,"")</f>
      </c>
    </row>
    <row r="944">
      <c r="AA944" s="2">
        <f>IF(AND(ISNUMBER(资金流水!$B$944),ISNUMBER(资金流水!$S$944),资金流水!$S$944&gt;=_辅助!$J$4,资金流水!$S$944&lt;=_辅助!$J$2,OR(资金流水!$C$944=$C$18,AND(资金流水!$AD$944=$C$18,资金流水!$X$944="账户互转"),AND($E$18&lt;&gt;"",资金流水!$J$944=$E$18,资金流水!$X$944="应付职工薪酬"))),INT(资金流水!$B$944)*10000+939,"")</f>
      </c>
    </row>
    <row r="945">
      <c r="AA945" s="2">
        <f>IF(AND(ISNUMBER(资金流水!$B$945),ISNUMBER(资金流水!$S$945),资金流水!$S$945&gt;=_辅助!$J$4,资金流水!$S$945&lt;=_辅助!$J$2,OR(资金流水!$C$945=$C$18,AND(资金流水!$AD$945=$C$18,资金流水!$X$945="账户互转"),AND($E$18&lt;&gt;"",资金流水!$J$945=$E$18,资金流水!$X$945="应付职工薪酬"))),INT(资金流水!$B$945)*10000+940,"")</f>
      </c>
    </row>
    <row r="946">
      <c r="AA946" s="2">
        <f>IF(AND(ISNUMBER(资金流水!$B$946),ISNUMBER(资金流水!$S$946),资金流水!$S$946&gt;=_辅助!$J$4,资金流水!$S$946&lt;=_辅助!$J$2,OR(资金流水!$C$946=$C$18,AND(资金流水!$AD$946=$C$18,资金流水!$X$946="账户互转"),AND($E$18&lt;&gt;"",资金流水!$J$946=$E$18,资金流水!$X$946="应付职工薪酬"))),INT(资金流水!$B$946)*10000+941,"")</f>
      </c>
    </row>
    <row r="947">
      <c r="AA947" s="2">
        <f>IF(AND(ISNUMBER(资金流水!$B$947),ISNUMBER(资金流水!$S$947),资金流水!$S$947&gt;=_辅助!$J$4,资金流水!$S$947&lt;=_辅助!$J$2,OR(资金流水!$C$947=$C$18,AND(资金流水!$AD$947=$C$18,资金流水!$X$947="账户互转"),AND($E$18&lt;&gt;"",资金流水!$J$947=$E$18,资金流水!$X$947="应付职工薪酬"))),INT(资金流水!$B$947)*10000+942,"")</f>
      </c>
    </row>
    <row r="948">
      <c r="AA948" s="2">
        <f>IF(AND(ISNUMBER(资金流水!$B$948),ISNUMBER(资金流水!$S$948),资金流水!$S$948&gt;=_辅助!$J$4,资金流水!$S$948&lt;=_辅助!$J$2,OR(资金流水!$C$948=$C$18,AND(资金流水!$AD$948=$C$18,资金流水!$X$948="账户互转"),AND($E$18&lt;&gt;"",资金流水!$J$948=$E$18,资金流水!$X$948="应付职工薪酬"))),INT(资金流水!$B$948)*10000+943,"")</f>
      </c>
    </row>
    <row r="949">
      <c r="AA949" s="2">
        <f>IF(AND(ISNUMBER(资金流水!$B$949),ISNUMBER(资金流水!$S$949),资金流水!$S$949&gt;=_辅助!$J$4,资金流水!$S$949&lt;=_辅助!$J$2,OR(资金流水!$C$949=$C$18,AND(资金流水!$AD$949=$C$18,资金流水!$X$949="账户互转"),AND($E$18&lt;&gt;"",资金流水!$J$949=$E$18,资金流水!$X$949="应付职工薪酬"))),INT(资金流水!$B$949)*10000+944,"")</f>
      </c>
    </row>
    <row r="950">
      <c r="AA950" s="2">
        <f>IF(AND(ISNUMBER(资金流水!$B$950),ISNUMBER(资金流水!$S$950),资金流水!$S$950&gt;=_辅助!$J$4,资金流水!$S$950&lt;=_辅助!$J$2,OR(资金流水!$C$950=$C$18,AND(资金流水!$AD$950=$C$18,资金流水!$X$950="账户互转"),AND($E$18&lt;&gt;"",资金流水!$J$950=$E$18,资金流水!$X$950="应付职工薪酬"))),INT(资金流水!$B$950)*10000+945,"")</f>
      </c>
    </row>
    <row r="951">
      <c r="AA951" s="2">
        <f>IF(AND(ISNUMBER(资金流水!$B$951),ISNUMBER(资金流水!$S$951),资金流水!$S$951&gt;=_辅助!$J$4,资金流水!$S$951&lt;=_辅助!$J$2,OR(资金流水!$C$951=$C$18,AND(资金流水!$AD$951=$C$18,资金流水!$X$951="账户互转"),AND($E$18&lt;&gt;"",资金流水!$J$951=$E$18,资金流水!$X$951="应付职工薪酬"))),INT(资金流水!$B$951)*10000+946,"")</f>
      </c>
    </row>
    <row r="952">
      <c r="AA952" s="2">
        <f>IF(AND(ISNUMBER(资金流水!$B$952),ISNUMBER(资金流水!$S$952),资金流水!$S$952&gt;=_辅助!$J$4,资金流水!$S$952&lt;=_辅助!$J$2,OR(资金流水!$C$952=$C$18,AND(资金流水!$AD$952=$C$18,资金流水!$X$952="账户互转"),AND($E$18&lt;&gt;"",资金流水!$J$952=$E$18,资金流水!$X$952="应付职工薪酬"))),INT(资金流水!$B$952)*10000+947,"")</f>
      </c>
    </row>
    <row r="953">
      <c r="AA953" s="2">
        <f>IF(AND(ISNUMBER(资金流水!$B$953),ISNUMBER(资金流水!$S$953),资金流水!$S$953&gt;=_辅助!$J$4,资金流水!$S$953&lt;=_辅助!$J$2,OR(资金流水!$C$953=$C$18,AND(资金流水!$AD$953=$C$18,资金流水!$X$953="账户互转"),AND($E$18&lt;&gt;"",资金流水!$J$953=$E$18,资金流水!$X$953="应付职工薪酬"))),INT(资金流水!$B$953)*10000+948,"")</f>
      </c>
    </row>
    <row r="954">
      <c r="AA954" s="2">
        <f>IF(AND(ISNUMBER(资金流水!$B$954),ISNUMBER(资金流水!$S$954),资金流水!$S$954&gt;=_辅助!$J$4,资金流水!$S$954&lt;=_辅助!$J$2,OR(资金流水!$C$954=$C$18,AND(资金流水!$AD$954=$C$18,资金流水!$X$954="账户互转"),AND($E$18&lt;&gt;"",资金流水!$J$954=$E$18,资金流水!$X$954="应付职工薪酬"))),INT(资金流水!$B$954)*10000+949,"")</f>
      </c>
    </row>
    <row r="955">
      <c r="AA955" s="2">
        <f>IF(AND(ISNUMBER(资金流水!$B$955),ISNUMBER(资金流水!$S$955),资金流水!$S$955&gt;=_辅助!$J$4,资金流水!$S$955&lt;=_辅助!$J$2,OR(资金流水!$C$955=$C$18,AND(资金流水!$AD$955=$C$18,资金流水!$X$955="账户互转"),AND($E$18&lt;&gt;"",资金流水!$J$955=$E$18,资金流水!$X$955="应付职工薪酬"))),INT(资金流水!$B$955)*10000+950,"")</f>
      </c>
    </row>
    <row r="956">
      <c r="AA956" s="2">
        <f>IF(AND(ISNUMBER(资金流水!$B$956),ISNUMBER(资金流水!$S$956),资金流水!$S$956&gt;=_辅助!$J$4,资金流水!$S$956&lt;=_辅助!$J$2,OR(资金流水!$C$956=$C$18,AND(资金流水!$AD$956=$C$18,资金流水!$X$956="账户互转"),AND($E$18&lt;&gt;"",资金流水!$J$956=$E$18,资金流水!$X$956="应付职工薪酬"))),INT(资金流水!$B$956)*10000+951,"")</f>
      </c>
    </row>
    <row r="957">
      <c r="AA957" s="2">
        <f>IF(AND(ISNUMBER(资金流水!$B$957),ISNUMBER(资金流水!$S$957),资金流水!$S$957&gt;=_辅助!$J$4,资金流水!$S$957&lt;=_辅助!$J$2,OR(资金流水!$C$957=$C$18,AND(资金流水!$AD$957=$C$18,资金流水!$X$957="账户互转"),AND($E$18&lt;&gt;"",资金流水!$J$957=$E$18,资金流水!$X$957="应付职工薪酬"))),INT(资金流水!$B$957)*10000+952,"")</f>
      </c>
    </row>
    <row r="958">
      <c r="AA958" s="2">
        <f>IF(AND(ISNUMBER(资金流水!$B$958),ISNUMBER(资金流水!$S$958),资金流水!$S$958&gt;=_辅助!$J$4,资金流水!$S$958&lt;=_辅助!$J$2,OR(资金流水!$C$958=$C$18,AND(资金流水!$AD$958=$C$18,资金流水!$X$958="账户互转"),AND($E$18&lt;&gt;"",资金流水!$J$958=$E$18,资金流水!$X$958="应付职工薪酬"))),INT(资金流水!$B$958)*10000+953,"")</f>
      </c>
    </row>
    <row r="959">
      <c r="AA959" s="2">
        <f>IF(AND(ISNUMBER(资金流水!$B$959),ISNUMBER(资金流水!$S$959),资金流水!$S$959&gt;=_辅助!$J$4,资金流水!$S$959&lt;=_辅助!$J$2,OR(资金流水!$C$959=$C$18,AND(资金流水!$AD$959=$C$18,资金流水!$X$959="账户互转"),AND($E$18&lt;&gt;"",资金流水!$J$959=$E$18,资金流水!$X$959="应付职工薪酬"))),INT(资金流水!$B$959)*10000+954,"")</f>
      </c>
    </row>
    <row r="960">
      <c r="AA960" s="2">
        <f>IF(AND(ISNUMBER(资金流水!$B$960),ISNUMBER(资金流水!$S$960),资金流水!$S$960&gt;=_辅助!$J$4,资金流水!$S$960&lt;=_辅助!$J$2,OR(资金流水!$C$960=$C$18,AND(资金流水!$AD$960=$C$18,资金流水!$X$960="账户互转"),AND($E$18&lt;&gt;"",资金流水!$J$960=$E$18,资金流水!$X$960="应付职工薪酬"))),INT(资金流水!$B$960)*10000+955,"")</f>
      </c>
    </row>
    <row r="961">
      <c r="AA961" s="2">
        <f>IF(AND(ISNUMBER(资金流水!$B$961),ISNUMBER(资金流水!$S$961),资金流水!$S$961&gt;=_辅助!$J$4,资金流水!$S$961&lt;=_辅助!$J$2,OR(资金流水!$C$961=$C$18,AND(资金流水!$AD$961=$C$18,资金流水!$X$961="账户互转"),AND($E$18&lt;&gt;"",资金流水!$J$961=$E$18,资金流水!$X$961="应付职工薪酬"))),INT(资金流水!$B$961)*10000+956,"")</f>
      </c>
    </row>
    <row r="962">
      <c r="AA962" s="2">
        <f>IF(AND(ISNUMBER(资金流水!$B$962),ISNUMBER(资金流水!$S$962),资金流水!$S$962&gt;=_辅助!$J$4,资金流水!$S$962&lt;=_辅助!$J$2,OR(资金流水!$C$962=$C$18,AND(资金流水!$AD$962=$C$18,资金流水!$X$962="账户互转"),AND($E$18&lt;&gt;"",资金流水!$J$962=$E$18,资金流水!$X$962="应付职工薪酬"))),INT(资金流水!$B$962)*10000+957,"")</f>
      </c>
    </row>
    <row r="963">
      <c r="AA963" s="2">
        <f>IF(AND(ISNUMBER(资金流水!$B$963),ISNUMBER(资金流水!$S$963),资金流水!$S$963&gt;=_辅助!$J$4,资金流水!$S$963&lt;=_辅助!$J$2,OR(资金流水!$C$963=$C$18,AND(资金流水!$AD$963=$C$18,资金流水!$X$963="账户互转"),AND($E$18&lt;&gt;"",资金流水!$J$963=$E$18,资金流水!$X$963="应付职工薪酬"))),INT(资金流水!$B$963)*10000+958,"")</f>
      </c>
    </row>
    <row r="964">
      <c r="AA964" s="2">
        <f>IF(AND(ISNUMBER(资金流水!$B$964),ISNUMBER(资金流水!$S$964),资金流水!$S$964&gt;=_辅助!$J$4,资金流水!$S$964&lt;=_辅助!$J$2,OR(资金流水!$C$964=$C$18,AND(资金流水!$AD$964=$C$18,资金流水!$X$964="账户互转"),AND($E$18&lt;&gt;"",资金流水!$J$964=$E$18,资金流水!$X$964="应付职工薪酬"))),INT(资金流水!$B$964)*10000+959,"")</f>
      </c>
    </row>
    <row r="965">
      <c r="AA965" s="2">
        <f>IF(AND(ISNUMBER(资金流水!$B$965),ISNUMBER(资金流水!$S$965),资金流水!$S$965&gt;=_辅助!$J$4,资金流水!$S$965&lt;=_辅助!$J$2,OR(资金流水!$C$965=$C$18,AND(资金流水!$AD$965=$C$18,资金流水!$X$965="账户互转"),AND($E$18&lt;&gt;"",资金流水!$J$965=$E$18,资金流水!$X$965="应付职工薪酬"))),INT(资金流水!$B$965)*10000+960,"")</f>
      </c>
    </row>
    <row r="966">
      <c r="AA966" s="2">
        <f>IF(AND(ISNUMBER(资金流水!$B$966),ISNUMBER(资金流水!$S$966),资金流水!$S$966&gt;=_辅助!$J$4,资金流水!$S$966&lt;=_辅助!$J$2,OR(资金流水!$C$966=$C$18,AND(资金流水!$AD$966=$C$18,资金流水!$X$966="账户互转"),AND($E$18&lt;&gt;"",资金流水!$J$966=$E$18,资金流水!$X$966="应付职工薪酬"))),INT(资金流水!$B$966)*10000+961,"")</f>
      </c>
    </row>
    <row r="967">
      <c r="AA967" s="2">
        <f>IF(AND(ISNUMBER(资金流水!$B$967),ISNUMBER(资金流水!$S$967),资金流水!$S$967&gt;=_辅助!$J$4,资金流水!$S$967&lt;=_辅助!$J$2,OR(资金流水!$C$967=$C$18,AND(资金流水!$AD$967=$C$18,资金流水!$X$967="账户互转"),AND($E$18&lt;&gt;"",资金流水!$J$967=$E$18,资金流水!$X$967="应付职工薪酬"))),INT(资金流水!$B$967)*10000+962,"")</f>
      </c>
    </row>
    <row r="968">
      <c r="AA968" s="2">
        <f>IF(AND(ISNUMBER(资金流水!$B$968),ISNUMBER(资金流水!$S$968),资金流水!$S$968&gt;=_辅助!$J$4,资金流水!$S$968&lt;=_辅助!$J$2,OR(资金流水!$C$968=$C$18,AND(资金流水!$AD$968=$C$18,资金流水!$X$968="账户互转"),AND($E$18&lt;&gt;"",资金流水!$J$968=$E$18,资金流水!$X$968="应付职工薪酬"))),INT(资金流水!$B$968)*10000+963,"")</f>
      </c>
    </row>
    <row r="969">
      <c r="AA969" s="2">
        <f>IF(AND(ISNUMBER(资金流水!$B$969),ISNUMBER(资金流水!$S$969),资金流水!$S$969&gt;=_辅助!$J$4,资金流水!$S$969&lt;=_辅助!$J$2,OR(资金流水!$C$969=$C$18,AND(资金流水!$AD$969=$C$18,资金流水!$X$969="账户互转"),AND($E$18&lt;&gt;"",资金流水!$J$969=$E$18,资金流水!$X$969="应付职工薪酬"))),INT(资金流水!$B$969)*10000+964,"")</f>
      </c>
    </row>
    <row r="970">
      <c r="AA970" s="2">
        <f>IF(AND(ISNUMBER(资金流水!$B$970),ISNUMBER(资金流水!$S$970),资金流水!$S$970&gt;=_辅助!$J$4,资金流水!$S$970&lt;=_辅助!$J$2,OR(资金流水!$C$970=$C$18,AND(资金流水!$AD$970=$C$18,资金流水!$X$970="账户互转"),AND($E$18&lt;&gt;"",资金流水!$J$970=$E$18,资金流水!$X$970="应付职工薪酬"))),INT(资金流水!$B$970)*10000+965,"")</f>
      </c>
    </row>
    <row r="971">
      <c r="AA971" s="2">
        <f>IF(AND(ISNUMBER(资金流水!$B$971),ISNUMBER(资金流水!$S$971),资金流水!$S$971&gt;=_辅助!$J$4,资金流水!$S$971&lt;=_辅助!$J$2,OR(资金流水!$C$971=$C$18,AND(资金流水!$AD$971=$C$18,资金流水!$X$971="账户互转"),AND($E$18&lt;&gt;"",资金流水!$J$971=$E$18,资金流水!$X$971="应付职工薪酬"))),INT(资金流水!$B$971)*10000+966,"")</f>
      </c>
    </row>
    <row r="972">
      <c r="AA972" s="2">
        <f>IF(AND(ISNUMBER(资金流水!$B$972),ISNUMBER(资金流水!$S$972),资金流水!$S$972&gt;=_辅助!$J$4,资金流水!$S$972&lt;=_辅助!$J$2,OR(资金流水!$C$972=$C$18,AND(资金流水!$AD$972=$C$18,资金流水!$X$972="账户互转"),AND($E$18&lt;&gt;"",资金流水!$J$972=$E$18,资金流水!$X$972="应付职工薪酬"))),INT(资金流水!$B$972)*10000+967,"")</f>
      </c>
    </row>
    <row r="973">
      <c r="AA973" s="2">
        <f>IF(AND(ISNUMBER(资金流水!$B$973),ISNUMBER(资金流水!$S$973),资金流水!$S$973&gt;=_辅助!$J$4,资金流水!$S$973&lt;=_辅助!$J$2,OR(资金流水!$C$973=$C$18,AND(资金流水!$AD$973=$C$18,资金流水!$X$973="账户互转"),AND($E$18&lt;&gt;"",资金流水!$J$973=$E$18,资金流水!$X$973="应付职工薪酬"))),INT(资金流水!$B$973)*10000+968,"")</f>
      </c>
    </row>
    <row r="974">
      <c r="AA974" s="2">
        <f>IF(AND(ISNUMBER(资金流水!$B$974),ISNUMBER(资金流水!$S$974),资金流水!$S$974&gt;=_辅助!$J$4,资金流水!$S$974&lt;=_辅助!$J$2,OR(资金流水!$C$974=$C$18,AND(资金流水!$AD$974=$C$18,资金流水!$X$974="账户互转"),AND($E$18&lt;&gt;"",资金流水!$J$974=$E$18,资金流水!$X$974="应付职工薪酬"))),INT(资金流水!$B$974)*10000+969,"")</f>
      </c>
    </row>
    <row r="975">
      <c r="AA975" s="2">
        <f>IF(AND(ISNUMBER(资金流水!$B$975),ISNUMBER(资金流水!$S$975),资金流水!$S$975&gt;=_辅助!$J$4,资金流水!$S$975&lt;=_辅助!$J$2,OR(资金流水!$C$975=$C$18,AND(资金流水!$AD$975=$C$18,资金流水!$X$975="账户互转"),AND($E$18&lt;&gt;"",资金流水!$J$975=$E$18,资金流水!$X$975="应付职工薪酬"))),INT(资金流水!$B$975)*10000+970,"")</f>
      </c>
    </row>
    <row r="976">
      <c r="AA976" s="2">
        <f>IF(AND(ISNUMBER(资金流水!$B$976),ISNUMBER(资金流水!$S$976),资金流水!$S$976&gt;=_辅助!$J$4,资金流水!$S$976&lt;=_辅助!$J$2,OR(资金流水!$C$976=$C$18,AND(资金流水!$AD$976=$C$18,资金流水!$X$976="账户互转"),AND($E$18&lt;&gt;"",资金流水!$J$976=$E$18,资金流水!$X$976="应付职工薪酬"))),INT(资金流水!$B$976)*10000+971,"")</f>
      </c>
    </row>
    <row r="977">
      <c r="AA977" s="2">
        <f>IF(AND(ISNUMBER(资金流水!$B$977),ISNUMBER(资金流水!$S$977),资金流水!$S$977&gt;=_辅助!$J$4,资金流水!$S$977&lt;=_辅助!$J$2,OR(资金流水!$C$977=$C$18,AND(资金流水!$AD$977=$C$18,资金流水!$X$977="账户互转"),AND($E$18&lt;&gt;"",资金流水!$J$977=$E$18,资金流水!$X$977="应付职工薪酬"))),INT(资金流水!$B$977)*10000+972,"")</f>
      </c>
    </row>
    <row r="978">
      <c r="AA978" s="2">
        <f>IF(AND(ISNUMBER(资金流水!$B$978),ISNUMBER(资金流水!$S$978),资金流水!$S$978&gt;=_辅助!$J$4,资金流水!$S$978&lt;=_辅助!$J$2,OR(资金流水!$C$978=$C$18,AND(资金流水!$AD$978=$C$18,资金流水!$X$978="账户互转"),AND($E$18&lt;&gt;"",资金流水!$J$978=$E$18,资金流水!$X$978="应付职工薪酬"))),INT(资金流水!$B$978)*10000+973,"")</f>
      </c>
    </row>
    <row r="979">
      <c r="AA979" s="2">
        <f>IF(AND(ISNUMBER(资金流水!$B$979),ISNUMBER(资金流水!$S$979),资金流水!$S$979&gt;=_辅助!$J$4,资金流水!$S$979&lt;=_辅助!$J$2,OR(资金流水!$C$979=$C$18,AND(资金流水!$AD$979=$C$18,资金流水!$X$979="账户互转"),AND($E$18&lt;&gt;"",资金流水!$J$979=$E$18,资金流水!$X$979="应付职工薪酬"))),INT(资金流水!$B$979)*10000+974,"")</f>
      </c>
    </row>
    <row r="980">
      <c r="AA980" s="2">
        <f>IF(AND(ISNUMBER(资金流水!$B$980),ISNUMBER(资金流水!$S$980),资金流水!$S$980&gt;=_辅助!$J$4,资金流水!$S$980&lt;=_辅助!$J$2,OR(资金流水!$C$980=$C$18,AND(资金流水!$AD$980=$C$18,资金流水!$X$980="账户互转"),AND($E$18&lt;&gt;"",资金流水!$J$980=$E$18,资金流水!$X$980="应付职工薪酬"))),INT(资金流水!$B$980)*10000+975,"")</f>
      </c>
    </row>
    <row r="981">
      <c r="AA981" s="2">
        <f>IF(AND(ISNUMBER(资金流水!$B$981),ISNUMBER(资金流水!$S$981),资金流水!$S$981&gt;=_辅助!$J$4,资金流水!$S$981&lt;=_辅助!$J$2,OR(资金流水!$C$981=$C$18,AND(资金流水!$AD$981=$C$18,资金流水!$X$981="账户互转"),AND($E$18&lt;&gt;"",资金流水!$J$981=$E$18,资金流水!$X$981="应付职工薪酬"))),INT(资金流水!$B$981)*10000+976,"")</f>
      </c>
    </row>
    <row r="982">
      <c r="AA982" s="2">
        <f>IF(AND(ISNUMBER(资金流水!$B$982),ISNUMBER(资金流水!$S$982),资金流水!$S$982&gt;=_辅助!$J$4,资金流水!$S$982&lt;=_辅助!$J$2,OR(资金流水!$C$982=$C$18,AND(资金流水!$AD$982=$C$18,资金流水!$X$982="账户互转"),AND($E$18&lt;&gt;"",资金流水!$J$982=$E$18,资金流水!$X$982="应付职工薪酬"))),INT(资金流水!$B$982)*10000+977,"")</f>
      </c>
    </row>
    <row r="983">
      <c r="AA983" s="2">
        <f>IF(AND(ISNUMBER(资金流水!$B$983),ISNUMBER(资金流水!$S$983),资金流水!$S$983&gt;=_辅助!$J$4,资金流水!$S$983&lt;=_辅助!$J$2,OR(资金流水!$C$983=$C$18,AND(资金流水!$AD$983=$C$18,资金流水!$X$983="账户互转"),AND($E$18&lt;&gt;"",资金流水!$J$983=$E$18,资金流水!$X$983="应付职工薪酬"))),INT(资金流水!$B$983)*10000+978,"")</f>
      </c>
    </row>
    <row r="984">
      <c r="AA984" s="2">
        <f>IF(AND(ISNUMBER(资金流水!$B$984),ISNUMBER(资金流水!$S$984),资金流水!$S$984&gt;=_辅助!$J$4,资金流水!$S$984&lt;=_辅助!$J$2,OR(资金流水!$C$984=$C$18,AND(资金流水!$AD$984=$C$18,资金流水!$X$984="账户互转"),AND($E$18&lt;&gt;"",资金流水!$J$984=$E$18,资金流水!$X$984="应付职工薪酬"))),INT(资金流水!$B$984)*10000+979,"")</f>
      </c>
    </row>
    <row r="985">
      <c r="AA985" s="2">
        <f>IF(AND(ISNUMBER(资金流水!$B$985),ISNUMBER(资金流水!$S$985),资金流水!$S$985&gt;=_辅助!$J$4,资金流水!$S$985&lt;=_辅助!$J$2,OR(资金流水!$C$985=$C$18,AND(资金流水!$AD$985=$C$18,资金流水!$X$985="账户互转"),AND($E$18&lt;&gt;"",资金流水!$J$985=$E$18,资金流水!$X$985="应付职工薪酬"))),INT(资金流水!$B$985)*10000+980,"")</f>
      </c>
    </row>
    <row r="986">
      <c r="AA986" s="2">
        <f>IF(AND(ISNUMBER(资金流水!$B$986),ISNUMBER(资金流水!$S$986),资金流水!$S$986&gt;=_辅助!$J$4,资金流水!$S$986&lt;=_辅助!$J$2,OR(资金流水!$C$986=$C$18,AND(资金流水!$AD$986=$C$18,资金流水!$X$986="账户互转"),AND($E$18&lt;&gt;"",资金流水!$J$986=$E$18,资金流水!$X$986="应付职工薪酬"))),INT(资金流水!$B$986)*10000+981,"")</f>
      </c>
    </row>
    <row r="987">
      <c r="AA987" s="2">
        <f>IF(AND(ISNUMBER(资金流水!$B$987),ISNUMBER(资金流水!$S$987),资金流水!$S$987&gt;=_辅助!$J$4,资金流水!$S$987&lt;=_辅助!$J$2,OR(资金流水!$C$987=$C$18,AND(资金流水!$AD$987=$C$18,资金流水!$X$987="账户互转"),AND($E$18&lt;&gt;"",资金流水!$J$987=$E$18,资金流水!$X$987="应付职工薪酬"))),INT(资金流水!$B$987)*10000+982,"")</f>
      </c>
    </row>
    <row r="988">
      <c r="AA988" s="2">
        <f>IF(AND(ISNUMBER(资金流水!$B$988),ISNUMBER(资金流水!$S$988),资金流水!$S$988&gt;=_辅助!$J$4,资金流水!$S$988&lt;=_辅助!$J$2,OR(资金流水!$C$988=$C$18,AND(资金流水!$AD$988=$C$18,资金流水!$X$988="账户互转"),AND($E$18&lt;&gt;"",资金流水!$J$988=$E$18,资金流水!$X$988="应付职工薪酬"))),INT(资金流水!$B$988)*10000+983,"")</f>
      </c>
    </row>
    <row r="989">
      <c r="AA989" s="2">
        <f>IF(AND(ISNUMBER(资金流水!$B$989),ISNUMBER(资金流水!$S$989),资金流水!$S$989&gt;=_辅助!$J$4,资金流水!$S$989&lt;=_辅助!$J$2,OR(资金流水!$C$989=$C$18,AND(资金流水!$AD$989=$C$18,资金流水!$X$989="账户互转"),AND($E$18&lt;&gt;"",资金流水!$J$989=$E$18,资金流水!$X$989="应付职工薪酬"))),INT(资金流水!$B$989)*10000+984,"")</f>
      </c>
    </row>
    <row r="990">
      <c r="AA990" s="2">
        <f>IF(AND(ISNUMBER(资金流水!$B$990),ISNUMBER(资金流水!$S$990),资金流水!$S$990&gt;=_辅助!$J$4,资金流水!$S$990&lt;=_辅助!$J$2,OR(资金流水!$C$990=$C$18,AND(资金流水!$AD$990=$C$18,资金流水!$X$990="账户互转"),AND($E$18&lt;&gt;"",资金流水!$J$990=$E$18,资金流水!$X$990="应付职工薪酬"))),INT(资金流水!$B$990)*10000+985,"")</f>
      </c>
    </row>
    <row r="991">
      <c r="AA991" s="2">
        <f>IF(AND(ISNUMBER(资金流水!$B$991),ISNUMBER(资金流水!$S$991),资金流水!$S$991&gt;=_辅助!$J$4,资金流水!$S$991&lt;=_辅助!$J$2,OR(资金流水!$C$991=$C$18,AND(资金流水!$AD$991=$C$18,资金流水!$X$991="账户互转"),AND($E$18&lt;&gt;"",资金流水!$J$991=$E$18,资金流水!$X$991="应付职工薪酬"))),INT(资金流水!$B$991)*10000+986,"")</f>
      </c>
    </row>
    <row r="992">
      <c r="AA992" s="2">
        <f>IF(AND(ISNUMBER(资金流水!$B$992),ISNUMBER(资金流水!$S$992),资金流水!$S$992&gt;=_辅助!$J$4,资金流水!$S$992&lt;=_辅助!$J$2,OR(资金流水!$C$992=$C$18,AND(资金流水!$AD$992=$C$18,资金流水!$X$992="账户互转"),AND($E$18&lt;&gt;"",资金流水!$J$992=$E$18,资金流水!$X$992="应付职工薪酬"))),INT(资金流水!$B$992)*10000+987,"")</f>
      </c>
    </row>
    <row r="993">
      <c r="AA993" s="2">
        <f>IF(AND(ISNUMBER(资金流水!$B$993),ISNUMBER(资金流水!$S$993),资金流水!$S$993&gt;=_辅助!$J$4,资金流水!$S$993&lt;=_辅助!$J$2,OR(资金流水!$C$993=$C$18,AND(资金流水!$AD$993=$C$18,资金流水!$X$993="账户互转"),AND($E$18&lt;&gt;"",资金流水!$J$993=$E$18,资金流水!$X$993="应付职工薪酬"))),INT(资金流水!$B$993)*10000+988,"")</f>
      </c>
    </row>
    <row r="994">
      <c r="AA994" s="2">
        <f>IF(AND(ISNUMBER(资金流水!$B$994),ISNUMBER(资金流水!$S$994),资金流水!$S$994&gt;=_辅助!$J$4,资金流水!$S$994&lt;=_辅助!$J$2,OR(资金流水!$C$994=$C$18,AND(资金流水!$AD$994=$C$18,资金流水!$X$994="账户互转"),AND($E$18&lt;&gt;"",资金流水!$J$994=$E$18,资金流水!$X$994="应付职工薪酬"))),INT(资金流水!$B$994)*10000+989,"")</f>
      </c>
    </row>
    <row r="995">
      <c r="AA995" s="2">
        <f>IF(AND(ISNUMBER(资金流水!$B$995),ISNUMBER(资金流水!$S$995),资金流水!$S$995&gt;=_辅助!$J$4,资金流水!$S$995&lt;=_辅助!$J$2,OR(资金流水!$C$995=$C$18,AND(资金流水!$AD$995=$C$18,资金流水!$X$995="账户互转"),AND($E$18&lt;&gt;"",资金流水!$J$995=$E$18,资金流水!$X$995="应付职工薪酬"))),INT(资金流水!$B$995)*10000+990,"")</f>
      </c>
    </row>
    <row r="996">
      <c r="AA996" s="2">
        <f>IF(AND(ISNUMBER(资金流水!$B$996),ISNUMBER(资金流水!$S$996),资金流水!$S$996&gt;=_辅助!$J$4,资金流水!$S$996&lt;=_辅助!$J$2,OR(资金流水!$C$996=$C$18,AND(资金流水!$AD$996=$C$18,资金流水!$X$996="账户互转"),AND($E$18&lt;&gt;"",资金流水!$J$996=$E$18,资金流水!$X$996="应付职工薪酬"))),INT(资金流水!$B$996)*10000+991,"")</f>
      </c>
    </row>
    <row r="997">
      <c r="AA997" s="2">
        <f>IF(AND(ISNUMBER(资金流水!$B$997),ISNUMBER(资金流水!$S$997),资金流水!$S$997&gt;=_辅助!$J$4,资金流水!$S$997&lt;=_辅助!$J$2,OR(资金流水!$C$997=$C$18,AND(资金流水!$AD$997=$C$18,资金流水!$X$997="账户互转"),AND($E$18&lt;&gt;"",资金流水!$J$997=$E$18,资金流水!$X$997="应付职工薪酬"))),INT(资金流水!$B$997)*10000+992,"")</f>
      </c>
    </row>
    <row r="998">
      <c r="AA998" s="2">
        <f>IF(AND(ISNUMBER(资金流水!$B$998),ISNUMBER(资金流水!$S$998),资金流水!$S$998&gt;=_辅助!$J$4,资金流水!$S$998&lt;=_辅助!$J$2,OR(资金流水!$C$998=$C$18,AND(资金流水!$AD$998=$C$18,资金流水!$X$998="账户互转"),AND($E$18&lt;&gt;"",资金流水!$J$998=$E$18,资金流水!$X$998="应付职工薪酬"))),INT(资金流水!$B$998)*10000+993,"")</f>
      </c>
    </row>
    <row r="999">
      <c r="AA999" s="2">
        <f>IF(AND(ISNUMBER(资金流水!$B$999),ISNUMBER(资金流水!$S$999),资金流水!$S$999&gt;=_辅助!$J$4,资金流水!$S$999&lt;=_辅助!$J$2,OR(资金流水!$C$999=$C$18,AND(资金流水!$AD$999=$C$18,资金流水!$X$999="账户互转"),AND($E$18&lt;&gt;"",资金流水!$J$999=$E$18,资金流水!$X$999="应付职工薪酬"))),INT(资金流水!$B$999)*10000+994,"")</f>
      </c>
    </row>
    <row r="1000">
      <c r="AA1000" s="2">
        <f>IF(AND(ISNUMBER(资金流水!$B$1000),ISNUMBER(资金流水!$S$1000),资金流水!$S$1000&gt;=_辅助!$J$4,资金流水!$S$1000&lt;=_辅助!$J$2,OR(资金流水!$C$1000=$C$18,AND(资金流水!$AD$1000=$C$18,资金流水!$X$1000="账户互转"),AND($E$18&lt;&gt;"",资金流水!$J$1000=$E$18,资金流水!$X$1000="应付职工薪酬"))),INT(资金流水!$B$1000)*10000+995,"")</f>
      </c>
    </row>
    <row r="1001">
      <c r="AA1001" s="2">
        <f>IF(AND(ISNUMBER(资金流水!$B$1001),ISNUMBER(资金流水!$S$1001),资金流水!$S$1001&gt;=_辅助!$J$4,资金流水!$S$1001&lt;=_辅助!$J$2,OR(资金流水!$C$1001=$C$18,AND(资金流水!$AD$1001=$C$18,资金流水!$X$1001="账户互转"),AND($E$18&lt;&gt;"",资金流水!$J$1001=$E$18,资金流水!$X$1001="应付职工薪酬"))),INT(资金流水!$B$1001)*10000+996,"")</f>
      </c>
    </row>
    <row r="1002">
      <c r="AA1002" s="2">
        <f>IF(AND(ISNUMBER(资金流水!$B$1002),ISNUMBER(资金流水!$S$1002),资金流水!$S$1002&gt;=_辅助!$J$4,资金流水!$S$1002&lt;=_辅助!$J$2,OR(资金流水!$C$1002=$C$18,AND(资金流水!$AD$1002=$C$18,资金流水!$X$1002="账户互转"),AND($E$18&lt;&gt;"",资金流水!$J$1002=$E$18,资金流水!$X$1002="应付职工薪酬"))),INT(资金流水!$B$1002)*10000+997,"")</f>
      </c>
    </row>
    <row r="1003">
      <c r="AA1003" s="2">
        <f>IF(AND(ISNUMBER(资金流水!$B$1003),ISNUMBER(资金流水!$S$1003),资金流水!$S$1003&gt;=_辅助!$J$4,资金流水!$S$1003&lt;=_辅助!$J$2,OR(资金流水!$C$1003=$C$18,AND(资金流水!$AD$1003=$C$18,资金流水!$X$1003="账户互转"),AND($E$18&lt;&gt;"",资金流水!$J$1003=$E$18,资金流水!$X$1003="应付职工薪酬"))),INT(资金流水!$B$1003)*10000+998,"")</f>
      </c>
    </row>
    <row r="1004">
      <c r="AA1004" s="2">
        <f>IF(AND(ISNUMBER(资金流水!$B$1004),ISNUMBER(资金流水!$S$1004),资金流水!$S$1004&gt;=_辅助!$J$4,资金流水!$S$1004&lt;=_辅助!$J$2,OR(资金流水!$C$1004=$C$18,AND(资金流水!$AD$1004=$C$18,资金流水!$X$1004="账户互转"),AND($E$18&lt;&gt;"",资金流水!$J$1004=$E$18,资金流水!$X$1004="应付职工薪酬"))),INT(资金流水!$B$1004)*10000+999,"")</f>
      </c>
    </row>
    <row r="1005">
      <c r="AA1005" s="2">
        <f>IF(AND(ISNUMBER(资金流水!$B$1005),ISNUMBER(资金流水!$S$1005),资金流水!$S$1005&gt;=_辅助!$J$4,资金流水!$S$1005&lt;=_辅助!$J$2,OR(资金流水!$C$1005=$C$18,AND(资金流水!$AD$1005=$C$18,资金流水!$X$1005="账户互转"),AND($E$18&lt;&gt;"",资金流水!$J$1005=$E$18,资金流水!$X$1005="应付职工薪酬"))),INT(资金流水!$B$1005)*10000+1000,"")</f>
      </c>
    </row>
    <row r="1006">
      <c r="AA1006" s="2">
        <f>IF(AND(ISNUMBER(资金流水!$B$1006),ISNUMBER(资金流水!$S$1006),资金流水!$S$1006&gt;=_辅助!$J$4,资金流水!$S$1006&lt;=_辅助!$J$2,OR(资金流水!$C$1006=$C$18,AND(资金流水!$AD$1006=$C$18,资金流水!$X$1006="账户互转"),AND($E$18&lt;&gt;"",资金流水!$J$1006=$E$18,资金流水!$X$1006="应付职工薪酬"))),INT(资金流水!$B$1006)*10000+1001,"")</f>
      </c>
    </row>
    <row r="1007">
      <c r="AA1007" s="2">
        <f>IF(AND(ISNUMBER(资金流水!$B$1007),ISNUMBER(资金流水!$S$1007),资金流水!$S$1007&gt;=_辅助!$J$4,资金流水!$S$1007&lt;=_辅助!$J$2,OR(资金流水!$C$1007=$C$18,AND(资金流水!$AD$1007=$C$18,资金流水!$X$1007="账户互转"),AND($E$18&lt;&gt;"",资金流水!$J$1007=$E$18,资金流水!$X$1007="应付职工薪酬"))),INT(资金流水!$B$1007)*10000+1002,"")</f>
      </c>
    </row>
    <row r="1008">
      <c r="AA1008" s="2">
        <f>IF(AND(ISNUMBER(资金流水!$B$1008),ISNUMBER(资金流水!$S$1008),资金流水!$S$1008&gt;=_辅助!$J$4,资金流水!$S$1008&lt;=_辅助!$J$2,OR(资金流水!$C$1008=$C$18,AND(资金流水!$AD$1008=$C$18,资金流水!$X$1008="账户互转"),AND($E$18&lt;&gt;"",资金流水!$J$1008=$E$18,资金流水!$X$1008="应付职工薪酬"))),INT(资金流水!$B$1008)*10000+1003,"")</f>
      </c>
    </row>
    <row r="1009">
      <c r="AA1009" s="2">
        <f>IF(AND(ISNUMBER(资金流水!$B$1009),ISNUMBER(资金流水!$S$1009),资金流水!$S$1009&gt;=_辅助!$J$4,资金流水!$S$1009&lt;=_辅助!$J$2,OR(资金流水!$C$1009=$C$18,AND(资金流水!$AD$1009=$C$18,资金流水!$X$1009="账户互转"),AND($E$18&lt;&gt;"",资金流水!$J$1009=$E$18,资金流水!$X$1009="应付职工薪酬"))),INT(资金流水!$B$1009)*10000+1004,"")</f>
      </c>
    </row>
    <row r="1010">
      <c r="AA1010" s="2">
        <f>IF(AND(ISNUMBER(资金流水!$B$1010),ISNUMBER(资金流水!$S$1010),资金流水!$S$1010&gt;=_辅助!$J$4,资金流水!$S$1010&lt;=_辅助!$J$2,OR(资金流水!$C$1010=$C$18,AND(资金流水!$AD$1010=$C$18,资金流水!$X$1010="账户互转"),AND($E$18&lt;&gt;"",资金流水!$J$1010=$E$18,资金流水!$X$1010="应付职工薪酬"))),INT(资金流水!$B$1010)*10000+1005,"")</f>
      </c>
    </row>
    <row r="1011">
      <c r="AA1011" s="2">
        <f>IF(AND(ISNUMBER(资金流水!$B$1011),ISNUMBER(资金流水!$S$1011),资金流水!$S$1011&gt;=_辅助!$J$4,资金流水!$S$1011&lt;=_辅助!$J$2,OR(资金流水!$C$1011=$C$18,AND(资金流水!$AD$1011=$C$18,资金流水!$X$1011="账户互转"),AND($E$18&lt;&gt;"",资金流水!$J$1011=$E$18,资金流水!$X$1011="应付职工薪酬"))),INT(资金流水!$B$1011)*10000+1006,"")</f>
      </c>
    </row>
    <row r="1012">
      <c r="AA1012" s="2">
        <f>IF(AND(ISNUMBER(资金流水!$B$1012),ISNUMBER(资金流水!$S$1012),资金流水!$S$1012&gt;=_辅助!$J$4,资金流水!$S$1012&lt;=_辅助!$J$2,OR(资金流水!$C$1012=$C$18,AND(资金流水!$AD$1012=$C$18,资金流水!$X$1012="账户互转"),AND($E$18&lt;&gt;"",资金流水!$J$1012=$E$18,资金流水!$X$1012="应付职工薪酬"))),INT(资金流水!$B$1012)*10000+1007,"")</f>
      </c>
    </row>
    <row r="1013">
      <c r="AA1013" s="2">
        <f>IF(AND(ISNUMBER(资金流水!$B$1013),ISNUMBER(资金流水!$S$1013),资金流水!$S$1013&gt;=_辅助!$J$4,资金流水!$S$1013&lt;=_辅助!$J$2,OR(资金流水!$C$1013=$C$18,AND(资金流水!$AD$1013=$C$18,资金流水!$X$1013="账户互转"),AND($E$18&lt;&gt;"",资金流水!$J$1013=$E$18,资金流水!$X$1013="应付职工薪酬"))),INT(资金流水!$B$1013)*10000+1008,"")</f>
      </c>
    </row>
    <row r="1014">
      <c r="AA1014" s="2">
        <f>IF(AND(ISNUMBER(资金流水!$B$1014),ISNUMBER(资金流水!$S$1014),资金流水!$S$1014&gt;=_辅助!$J$4,资金流水!$S$1014&lt;=_辅助!$J$2,OR(资金流水!$C$1014=$C$18,AND(资金流水!$AD$1014=$C$18,资金流水!$X$1014="账户互转"),AND($E$18&lt;&gt;"",资金流水!$J$1014=$E$18,资金流水!$X$1014="应付职工薪酬"))),INT(资金流水!$B$1014)*10000+1009,"")</f>
      </c>
    </row>
    <row r="1015">
      <c r="AA1015" s="2">
        <f>IF(AND(ISNUMBER(资金流水!$B$1015),ISNUMBER(资金流水!$S$1015),资金流水!$S$1015&gt;=_辅助!$J$4,资金流水!$S$1015&lt;=_辅助!$J$2,OR(资金流水!$C$1015=$C$18,AND(资金流水!$AD$1015=$C$18,资金流水!$X$1015="账户互转"),AND($E$18&lt;&gt;"",资金流水!$J$1015=$E$18,资金流水!$X$1015="应付职工薪酬"))),INT(资金流水!$B$1015)*10000+1010,"")</f>
      </c>
    </row>
    <row r="1016">
      <c r="AA1016" s="2">
        <f>IF(AND(ISNUMBER(资金流水!$B$1016),ISNUMBER(资金流水!$S$1016),资金流水!$S$1016&gt;=_辅助!$J$4,资金流水!$S$1016&lt;=_辅助!$J$2,OR(资金流水!$C$1016=$C$18,AND(资金流水!$AD$1016=$C$18,资金流水!$X$1016="账户互转"),AND($E$18&lt;&gt;"",资金流水!$J$1016=$E$18,资金流水!$X$1016="应付职工薪酬"))),INT(资金流水!$B$1016)*10000+1011,"")</f>
      </c>
    </row>
    <row r="1017">
      <c r="AA1017" s="2">
        <f>IF(AND(ISNUMBER(资金流水!$B$1017),ISNUMBER(资金流水!$S$1017),资金流水!$S$1017&gt;=_辅助!$J$4,资金流水!$S$1017&lt;=_辅助!$J$2,OR(资金流水!$C$1017=$C$18,AND(资金流水!$AD$1017=$C$18,资金流水!$X$1017="账户互转"),AND($E$18&lt;&gt;"",资金流水!$J$1017=$E$18,资金流水!$X$1017="应付职工薪酬"))),INT(资金流水!$B$1017)*10000+1012,"")</f>
      </c>
    </row>
    <row r="1018">
      <c r="AA1018" s="2">
        <f>IF(AND(ISNUMBER(资金流水!$B$1018),ISNUMBER(资金流水!$S$1018),资金流水!$S$1018&gt;=_辅助!$J$4,资金流水!$S$1018&lt;=_辅助!$J$2,OR(资金流水!$C$1018=$C$18,AND(资金流水!$AD$1018=$C$18,资金流水!$X$1018="账户互转"),AND($E$18&lt;&gt;"",资金流水!$J$1018=$E$18,资金流水!$X$1018="应付职工薪酬"))),INT(资金流水!$B$1018)*10000+1013,"")</f>
      </c>
    </row>
    <row r="1019">
      <c r="AA1019" s="2">
        <f>IF(AND(ISNUMBER(资金流水!$B$1019),ISNUMBER(资金流水!$S$1019),资金流水!$S$1019&gt;=_辅助!$J$4,资金流水!$S$1019&lt;=_辅助!$J$2,OR(资金流水!$C$1019=$C$18,AND(资金流水!$AD$1019=$C$18,资金流水!$X$1019="账户互转"),AND($E$18&lt;&gt;"",资金流水!$J$1019=$E$18,资金流水!$X$1019="应付职工薪酬"))),INT(资金流水!$B$1019)*10000+1014,"")</f>
      </c>
    </row>
    <row r="1020">
      <c r="AA1020" s="2">
        <f>IF(AND(ISNUMBER(资金流水!$B$1020),ISNUMBER(资金流水!$S$1020),资金流水!$S$1020&gt;=_辅助!$J$4,资金流水!$S$1020&lt;=_辅助!$J$2,OR(资金流水!$C$1020=$C$18,AND(资金流水!$AD$1020=$C$18,资金流水!$X$1020="账户互转"),AND($E$18&lt;&gt;"",资金流水!$J$1020=$E$18,资金流水!$X$1020="应付职工薪酬"))),INT(资金流水!$B$1020)*10000+1015,"")</f>
      </c>
    </row>
    <row r="1021">
      <c r="AA1021" s="2">
        <f>IF(AND(ISNUMBER(资金流水!$B$1021),ISNUMBER(资金流水!$S$1021),资金流水!$S$1021&gt;=_辅助!$J$4,资金流水!$S$1021&lt;=_辅助!$J$2,OR(资金流水!$C$1021=$C$18,AND(资金流水!$AD$1021=$C$18,资金流水!$X$1021="账户互转"),AND($E$18&lt;&gt;"",资金流水!$J$1021=$E$18,资金流水!$X$1021="应付职工薪酬"))),INT(资金流水!$B$1021)*10000+1016,"")</f>
      </c>
    </row>
    <row r="1022">
      <c r="AA1022" s="2">
        <f>IF(AND(ISNUMBER(资金流水!$B$1022),ISNUMBER(资金流水!$S$1022),资金流水!$S$1022&gt;=_辅助!$J$4,资金流水!$S$1022&lt;=_辅助!$J$2,OR(资金流水!$C$1022=$C$18,AND(资金流水!$AD$1022=$C$18,资金流水!$X$1022="账户互转"),AND($E$18&lt;&gt;"",资金流水!$J$1022=$E$18,资金流水!$X$1022="应付职工薪酬"))),INT(资金流水!$B$1022)*10000+1017,"")</f>
      </c>
    </row>
    <row r="1023">
      <c r="AA1023" s="2">
        <f>IF(AND(ISNUMBER(资金流水!$B$1023),ISNUMBER(资金流水!$S$1023),资金流水!$S$1023&gt;=_辅助!$J$4,资金流水!$S$1023&lt;=_辅助!$J$2,OR(资金流水!$C$1023=$C$18,AND(资金流水!$AD$1023=$C$18,资金流水!$X$1023="账户互转"),AND($E$18&lt;&gt;"",资金流水!$J$1023=$E$18,资金流水!$X$1023="应付职工薪酬"))),INT(资金流水!$B$1023)*10000+1018,"")</f>
      </c>
    </row>
    <row r="1024">
      <c r="AA1024" s="2">
        <f>IF(AND(ISNUMBER(资金流水!$B$1024),ISNUMBER(资金流水!$S$1024),资金流水!$S$1024&gt;=_辅助!$J$4,资金流水!$S$1024&lt;=_辅助!$J$2,OR(资金流水!$C$1024=$C$18,AND(资金流水!$AD$1024=$C$18,资金流水!$X$1024="账户互转"),AND($E$18&lt;&gt;"",资金流水!$J$1024=$E$18,资金流水!$X$1024="应付职工薪酬"))),INT(资金流水!$B$1024)*10000+1019,"")</f>
      </c>
    </row>
    <row r="1025">
      <c r="AA1025" s="2">
        <f>IF(AND(ISNUMBER(资金流水!$B$1025),ISNUMBER(资金流水!$S$1025),资金流水!$S$1025&gt;=_辅助!$J$4,资金流水!$S$1025&lt;=_辅助!$J$2,OR(资金流水!$C$1025=$C$18,AND(资金流水!$AD$1025=$C$18,资金流水!$X$1025="账户互转"),AND($E$18&lt;&gt;"",资金流水!$J$1025=$E$18,资金流水!$X$1025="应付职工薪酬"))),INT(资金流水!$B$1025)*10000+1020,"")</f>
      </c>
    </row>
    <row r="1026">
      <c r="AA1026" s="2">
        <f>IF(AND(ISNUMBER(资金流水!$B$1026),ISNUMBER(资金流水!$S$1026),资金流水!$S$1026&gt;=_辅助!$J$4,资金流水!$S$1026&lt;=_辅助!$J$2,OR(资金流水!$C$1026=$C$18,AND(资金流水!$AD$1026=$C$18,资金流水!$X$1026="账户互转"),AND($E$18&lt;&gt;"",资金流水!$J$1026=$E$18,资金流水!$X$1026="应付职工薪酬"))),INT(资金流水!$B$1026)*10000+1021,"")</f>
      </c>
    </row>
    <row r="1027">
      <c r="AA1027" s="2">
        <f>IF(AND(ISNUMBER(资金流水!$B$1027),ISNUMBER(资金流水!$S$1027),资金流水!$S$1027&gt;=_辅助!$J$4,资金流水!$S$1027&lt;=_辅助!$J$2,OR(资金流水!$C$1027=$C$18,AND(资金流水!$AD$1027=$C$18,资金流水!$X$1027="账户互转"),AND($E$18&lt;&gt;"",资金流水!$J$1027=$E$18,资金流水!$X$1027="应付职工薪酬"))),INT(资金流水!$B$1027)*10000+1022,"")</f>
      </c>
    </row>
    <row r="1028">
      <c r="AA1028" s="2">
        <f>IF(AND(ISNUMBER(资金流水!$B$1028),ISNUMBER(资金流水!$S$1028),资金流水!$S$1028&gt;=_辅助!$J$4,资金流水!$S$1028&lt;=_辅助!$J$2,OR(资金流水!$C$1028=$C$18,AND(资金流水!$AD$1028=$C$18,资金流水!$X$1028="账户互转"),AND($E$18&lt;&gt;"",资金流水!$J$1028=$E$18,资金流水!$X$1028="应付职工薪酬"))),INT(资金流水!$B$1028)*10000+1023,"")</f>
      </c>
    </row>
    <row r="1029">
      <c r="AA1029" s="2">
        <f>IF(AND(ISNUMBER(资金流水!$B$1029),ISNUMBER(资金流水!$S$1029),资金流水!$S$1029&gt;=_辅助!$J$4,资金流水!$S$1029&lt;=_辅助!$J$2,OR(资金流水!$C$1029=$C$18,AND(资金流水!$AD$1029=$C$18,资金流水!$X$1029="账户互转"),AND($E$18&lt;&gt;"",资金流水!$J$1029=$E$18,资金流水!$X$1029="应付职工薪酬"))),INT(资金流水!$B$1029)*10000+1024,"")</f>
      </c>
    </row>
    <row r="1030">
      <c r="AA1030" s="2">
        <f>IF(AND(ISNUMBER(资金流水!$B$1030),ISNUMBER(资金流水!$S$1030),资金流水!$S$1030&gt;=_辅助!$J$4,资金流水!$S$1030&lt;=_辅助!$J$2,OR(资金流水!$C$1030=$C$18,AND(资金流水!$AD$1030=$C$18,资金流水!$X$1030="账户互转"),AND($E$18&lt;&gt;"",资金流水!$J$1030=$E$18,资金流水!$X$1030="应付职工薪酬"))),INT(资金流水!$B$1030)*10000+1025,"")</f>
      </c>
    </row>
    <row r="1031">
      <c r="AA1031" s="2">
        <f>IF(AND(ISNUMBER(资金流水!$B$1031),ISNUMBER(资金流水!$S$1031),资金流水!$S$1031&gt;=_辅助!$J$4,资金流水!$S$1031&lt;=_辅助!$J$2,OR(资金流水!$C$1031=$C$18,AND(资金流水!$AD$1031=$C$18,资金流水!$X$1031="账户互转"),AND($E$18&lt;&gt;"",资金流水!$J$1031=$E$18,资金流水!$X$1031="应付职工薪酬"))),INT(资金流水!$B$1031)*10000+1026,"")</f>
      </c>
    </row>
    <row r="1032">
      <c r="AA1032" s="2">
        <f>IF(AND(ISNUMBER(资金流水!$B$1032),ISNUMBER(资金流水!$S$1032),资金流水!$S$1032&gt;=_辅助!$J$4,资金流水!$S$1032&lt;=_辅助!$J$2,OR(资金流水!$C$1032=$C$18,AND(资金流水!$AD$1032=$C$18,资金流水!$X$1032="账户互转"),AND($E$18&lt;&gt;"",资金流水!$J$1032=$E$18,资金流水!$X$1032="应付职工薪酬"))),INT(资金流水!$B$1032)*10000+1027,"")</f>
      </c>
    </row>
    <row r="1033">
      <c r="AA1033" s="2">
        <f>IF(AND(ISNUMBER(资金流水!$B$1033),ISNUMBER(资金流水!$S$1033),资金流水!$S$1033&gt;=_辅助!$J$4,资金流水!$S$1033&lt;=_辅助!$J$2,OR(资金流水!$C$1033=$C$18,AND(资金流水!$AD$1033=$C$18,资金流水!$X$1033="账户互转"),AND($E$18&lt;&gt;"",资金流水!$J$1033=$E$18,资金流水!$X$1033="应付职工薪酬"))),INT(资金流水!$B$1033)*10000+1028,"")</f>
      </c>
    </row>
    <row r="1034">
      <c r="AA1034" s="2">
        <f>IF(AND(ISNUMBER(资金流水!$B$1034),ISNUMBER(资金流水!$S$1034),资金流水!$S$1034&gt;=_辅助!$J$4,资金流水!$S$1034&lt;=_辅助!$J$2,OR(资金流水!$C$1034=$C$18,AND(资金流水!$AD$1034=$C$18,资金流水!$X$1034="账户互转"),AND($E$18&lt;&gt;"",资金流水!$J$1034=$E$18,资金流水!$X$1034="应付职工薪酬"))),INT(资金流水!$B$1034)*10000+1029,"")</f>
      </c>
    </row>
    <row r="1035">
      <c r="AA1035" s="2">
        <f>IF(AND(ISNUMBER(资金流水!$B$1035),ISNUMBER(资金流水!$S$1035),资金流水!$S$1035&gt;=_辅助!$J$4,资金流水!$S$1035&lt;=_辅助!$J$2,OR(资金流水!$C$1035=$C$18,AND(资金流水!$AD$1035=$C$18,资金流水!$X$1035="账户互转"),AND($E$18&lt;&gt;"",资金流水!$J$1035=$E$18,资金流水!$X$1035="应付职工薪酬"))),INT(资金流水!$B$1035)*10000+1030,"")</f>
      </c>
    </row>
    <row r="1036">
      <c r="AA1036" s="2">
        <f>IF(AND(ISNUMBER(资金流水!$B$1036),ISNUMBER(资金流水!$S$1036),资金流水!$S$1036&gt;=_辅助!$J$4,资金流水!$S$1036&lt;=_辅助!$J$2,OR(资金流水!$C$1036=$C$18,AND(资金流水!$AD$1036=$C$18,资金流水!$X$1036="账户互转"),AND($E$18&lt;&gt;"",资金流水!$J$1036=$E$18,资金流水!$X$1036="应付职工薪酬"))),INT(资金流水!$B$1036)*10000+1031,"")</f>
      </c>
    </row>
    <row r="1037">
      <c r="AA1037" s="2">
        <f>IF(AND(ISNUMBER(资金流水!$B$1037),ISNUMBER(资金流水!$S$1037),资金流水!$S$1037&gt;=_辅助!$J$4,资金流水!$S$1037&lt;=_辅助!$J$2,OR(资金流水!$C$1037=$C$18,AND(资金流水!$AD$1037=$C$18,资金流水!$X$1037="账户互转"),AND($E$18&lt;&gt;"",资金流水!$J$1037=$E$18,资金流水!$X$1037="应付职工薪酬"))),INT(资金流水!$B$1037)*10000+1032,"")</f>
      </c>
    </row>
    <row r="1038">
      <c r="AA1038" s="2">
        <f>IF(AND(ISNUMBER(资金流水!$B$1038),ISNUMBER(资金流水!$S$1038),资金流水!$S$1038&gt;=_辅助!$J$4,资金流水!$S$1038&lt;=_辅助!$J$2,OR(资金流水!$C$1038=$C$18,AND(资金流水!$AD$1038=$C$18,资金流水!$X$1038="账户互转"),AND($E$18&lt;&gt;"",资金流水!$J$1038=$E$18,资金流水!$X$1038="应付职工薪酬"))),INT(资金流水!$B$1038)*10000+1033,"")</f>
      </c>
    </row>
    <row r="1039">
      <c r="AA1039" s="2">
        <f>IF(AND(ISNUMBER(资金流水!$B$1039),ISNUMBER(资金流水!$S$1039),资金流水!$S$1039&gt;=_辅助!$J$4,资金流水!$S$1039&lt;=_辅助!$J$2,OR(资金流水!$C$1039=$C$18,AND(资金流水!$AD$1039=$C$18,资金流水!$X$1039="账户互转"),AND($E$18&lt;&gt;"",资金流水!$J$1039=$E$18,资金流水!$X$1039="应付职工薪酬"))),INT(资金流水!$B$1039)*10000+1034,"")</f>
      </c>
    </row>
    <row r="1040">
      <c r="AA1040" s="2">
        <f>IF(AND(ISNUMBER(资金流水!$B$1040),ISNUMBER(资金流水!$S$1040),资金流水!$S$1040&gt;=_辅助!$J$4,资金流水!$S$1040&lt;=_辅助!$J$2,OR(资金流水!$C$1040=$C$18,AND(资金流水!$AD$1040=$C$18,资金流水!$X$1040="账户互转"),AND($E$18&lt;&gt;"",资金流水!$J$1040=$E$18,资金流水!$X$1040="应付职工薪酬"))),INT(资金流水!$B$1040)*10000+1035,"")</f>
      </c>
    </row>
    <row r="1041">
      <c r="AA1041" s="2">
        <f>IF(AND(ISNUMBER(资金流水!$B$1041),ISNUMBER(资金流水!$S$1041),资金流水!$S$1041&gt;=_辅助!$J$4,资金流水!$S$1041&lt;=_辅助!$J$2,OR(资金流水!$C$1041=$C$18,AND(资金流水!$AD$1041=$C$18,资金流水!$X$1041="账户互转"),AND($E$18&lt;&gt;"",资金流水!$J$1041=$E$18,资金流水!$X$1041="应付职工薪酬"))),INT(资金流水!$B$1041)*10000+1036,"")</f>
      </c>
    </row>
    <row r="1042">
      <c r="AA1042" s="2">
        <f>IF(AND(ISNUMBER(资金流水!$B$1042),ISNUMBER(资金流水!$S$1042),资金流水!$S$1042&gt;=_辅助!$J$4,资金流水!$S$1042&lt;=_辅助!$J$2,OR(资金流水!$C$1042=$C$18,AND(资金流水!$AD$1042=$C$18,资金流水!$X$1042="账户互转"),AND($E$18&lt;&gt;"",资金流水!$J$1042=$E$18,资金流水!$X$1042="应付职工薪酬"))),INT(资金流水!$B$1042)*10000+1037,"")</f>
      </c>
    </row>
    <row r="1043">
      <c r="AA1043" s="2">
        <f>IF(AND(ISNUMBER(资金流水!$B$1043),ISNUMBER(资金流水!$S$1043),资金流水!$S$1043&gt;=_辅助!$J$4,资金流水!$S$1043&lt;=_辅助!$J$2,OR(资金流水!$C$1043=$C$18,AND(资金流水!$AD$1043=$C$18,资金流水!$X$1043="账户互转"),AND($E$18&lt;&gt;"",资金流水!$J$1043=$E$18,资金流水!$X$1043="应付职工薪酬"))),INT(资金流水!$B$1043)*10000+1038,"")</f>
      </c>
    </row>
    <row r="1044">
      <c r="AA1044" s="2">
        <f>IF(AND(ISNUMBER(资金流水!$B$1044),ISNUMBER(资金流水!$S$1044),资金流水!$S$1044&gt;=_辅助!$J$4,资金流水!$S$1044&lt;=_辅助!$J$2,OR(资金流水!$C$1044=$C$18,AND(资金流水!$AD$1044=$C$18,资金流水!$X$1044="账户互转"),AND($E$18&lt;&gt;"",资金流水!$J$1044=$E$18,资金流水!$X$1044="应付职工薪酬"))),INT(资金流水!$B$1044)*10000+1039,"")</f>
      </c>
    </row>
    <row r="1045">
      <c r="AA1045" s="2">
        <f>IF(AND(ISNUMBER(资金流水!$B$1045),ISNUMBER(资金流水!$S$1045),资金流水!$S$1045&gt;=_辅助!$J$4,资金流水!$S$1045&lt;=_辅助!$J$2,OR(资金流水!$C$1045=$C$18,AND(资金流水!$AD$1045=$C$18,资金流水!$X$1045="账户互转"),AND($E$18&lt;&gt;"",资金流水!$J$1045=$E$18,资金流水!$X$1045="应付职工薪酬"))),INT(资金流水!$B$1045)*10000+1040,"")</f>
      </c>
    </row>
    <row r="1046">
      <c r="AA1046" s="2">
        <f>IF(AND(ISNUMBER(资金流水!$B$1046),ISNUMBER(资金流水!$S$1046),资金流水!$S$1046&gt;=_辅助!$J$4,资金流水!$S$1046&lt;=_辅助!$J$2,OR(资金流水!$C$1046=$C$18,AND(资金流水!$AD$1046=$C$18,资金流水!$X$1046="账户互转"),AND($E$18&lt;&gt;"",资金流水!$J$1046=$E$18,资金流水!$X$1046="应付职工薪酬"))),INT(资金流水!$B$1046)*10000+1041,"")</f>
      </c>
    </row>
    <row r="1047">
      <c r="AA1047" s="2">
        <f>IF(AND(ISNUMBER(资金流水!$B$1047),ISNUMBER(资金流水!$S$1047),资金流水!$S$1047&gt;=_辅助!$J$4,资金流水!$S$1047&lt;=_辅助!$J$2,OR(资金流水!$C$1047=$C$18,AND(资金流水!$AD$1047=$C$18,资金流水!$X$1047="账户互转"),AND($E$18&lt;&gt;"",资金流水!$J$1047=$E$18,资金流水!$X$1047="应付职工薪酬"))),INT(资金流水!$B$1047)*10000+1042,"")</f>
      </c>
    </row>
    <row r="1048">
      <c r="AA1048" s="2">
        <f>IF(AND(ISNUMBER(资金流水!$B$1048),ISNUMBER(资金流水!$S$1048),资金流水!$S$1048&gt;=_辅助!$J$4,资金流水!$S$1048&lt;=_辅助!$J$2,OR(资金流水!$C$1048=$C$18,AND(资金流水!$AD$1048=$C$18,资金流水!$X$1048="账户互转"),AND($E$18&lt;&gt;"",资金流水!$J$1048=$E$18,资金流水!$X$1048="应付职工薪酬"))),INT(资金流水!$B$1048)*10000+1043,"")</f>
      </c>
    </row>
    <row r="1049">
      <c r="AA1049" s="2">
        <f>IF(AND(ISNUMBER(资金流水!$B$1049),ISNUMBER(资金流水!$S$1049),资金流水!$S$1049&gt;=_辅助!$J$4,资金流水!$S$1049&lt;=_辅助!$J$2,OR(资金流水!$C$1049=$C$18,AND(资金流水!$AD$1049=$C$18,资金流水!$X$1049="账户互转"),AND($E$18&lt;&gt;"",资金流水!$J$1049=$E$18,资金流水!$X$1049="应付职工薪酬"))),INT(资金流水!$B$1049)*10000+1044,"")</f>
      </c>
    </row>
    <row r="1050">
      <c r="AA1050" s="2">
        <f>IF(AND(ISNUMBER(资金流水!$B$1050),ISNUMBER(资金流水!$S$1050),资金流水!$S$1050&gt;=_辅助!$J$4,资金流水!$S$1050&lt;=_辅助!$J$2,OR(资金流水!$C$1050=$C$18,AND(资金流水!$AD$1050=$C$18,资金流水!$X$1050="账户互转"),AND($E$18&lt;&gt;"",资金流水!$J$1050=$E$18,资金流水!$X$1050="应付职工薪酬"))),INT(资金流水!$B$1050)*10000+1045,"")</f>
      </c>
    </row>
    <row r="1051">
      <c r="AA1051" s="2">
        <f>IF(AND(ISNUMBER(资金流水!$B$1051),ISNUMBER(资金流水!$S$1051),资金流水!$S$1051&gt;=_辅助!$J$4,资金流水!$S$1051&lt;=_辅助!$J$2,OR(资金流水!$C$1051=$C$18,AND(资金流水!$AD$1051=$C$18,资金流水!$X$1051="账户互转"),AND($E$18&lt;&gt;"",资金流水!$J$1051=$E$18,资金流水!$X$1051="应付职工薪酬"))),INT(资金流水!$B$1051)*10000+1046,"")</f>
      </c>
    </row>
    <row r="1052">
      <c r="AA1052" s="2">
        <f>IF(AND(ISNUMBER(资金流水!$B$1052),ISNUMBER(资金流水!$S$1052),资金流水!$S$1052&gt;=_辅助!$J$4,资金流水!$S$1052&lt;=_辅助!$J$2,OR(资金流水!$C$1052=$C$18,AND(资金流水!$AD$1052=$C$18,资金流水!$X$1052="账户互转"),AND($E$18&lt;&gt;"",资金流水!$J$1052=$E$18,资金流水!$X$1052="应付职工薪酬"))),INT(资金流水!$B$1052)*10000+1047,"")</f>
      </c>
    </row>
    <row r="1053">
      <c r="AA1053" s="2">
        <f>IF(AND(ISNUMBER(资金流水!$B$1053),ISNUMBER(资金流水!$S$1053),资金流水!$S$1053&gt;=_辅助!$J$4,资金流水!$S$1053&lt;=_辅助!$J$2,OR(资金流水!$C$1053=$C$18,AND(资金流水!$AD$1053=$C$18,资金流水!$X$1053="账户互转"),AND($E$18&lt;&gt;"",资金流水!$J$1053=$E$18,资金流水!$X$1053="应付职工薪酬"))),INT(资金流水!$B$1053)*10000+1048,"")</f>
      </c>
    </row>
    <row r="1054">
      <c r="AA1054" s="2">
        <f>IF(AND(ISNUMBER(资金流水!$B$1054),ISNUMBER(资金流水!$S$1054),资金流水!$S$1054&gt;=_辅助!$J$4,资金流水!$S$1054&lt;=_辅助!$J$2,OR(资金流水!$C$1054=$C$18,AND(资金流水!$AD$1054=$C$18,资金流水!$X$1054="账户互转"),AND($E$18&lt;&gt;"",资金流水!$J$1054=$E$18,资金流水!$X$1054="应付职工薪酬"))),INT(资金流水!$B$1054)*10000+1049,"")</f>
      </c>
    </row>
    <row r="1055">
      <c r="AA1055" s="2">
        <f>IF(AND(ISNUMBER(资金流水!$B$1055),ISNUMBER(资金流水!$S$1055),资金流水!$S$1055&gt;=_辅助!$J$4,资金流水!$S$1055&lt;=_辅助!$J$2,OR(资金流水!$C$1055=$C$18,AND(资金流水!$AD$1055=$C$18,资金流水!$X$1055="账户互转"),AND($E$18&lt;&gt;"",资金流水!$J$1055=$E$18,资金流水!$X$1055="应付职工薪酬"))),INT(资金流水!$B$1055)*10000+1050,"")</f>
      </c>
    </row>
    <row r="1056">
      <c r="AA1056" s="2">
        <f>IF(AND(ISNUMBER(资金流水!$B$1056),ISNUMBER(资金流水!$S$1056),资金流水!$S$1056&gt;=_辅助!$J$4,资金流水!$S$1056&lt;=_辅助!$J$2,OR(资金流水!$C$1056=$C$18,AND(资金流水!$AD$1056=$C$18,资金流水!$X$1056="账户互转"),AND($E$18&lt;&gt;"",资金流水!$J$1056=$E$18,资金流水!$X$1056="应付职工薪酬"))),INT(资金流水!$B$1056)*10000+1051,"")</f>
      </c>
    </row>
    <row r="1057">
      <c r="AA1057" s="2">
        <f>IF(AND(ISNUMBER(资金流水!$B$1057),ISNUMBER(资金流水!$S$1057),资金流水!$S$1057&gt;=_辅助!$J$4,资金流水!$S$1057&lt;=_辅助!$J$2,OR(资金流水!$C$1057=$C$18,AND(资金流水!$AD$1057=$C$18,资金流水!$X$1057="账户互转"),AND($E$18&lt;&gt;"",资金流水!$J$1057=$E$18,资金流水!$X$1057="应付职工薪酬"))),INT(资金流水!$B$1057)*10000+1052,"")</f>
      </c>
    </row>
    <row r="1058">
      <c r="AA1058" s="2">
        <f>IF(AND(ISNUMBER(资金流水!$B$1058),ISNUMBER(资金流水!$S$1058),资金流水!$S$1058&gt;=_辅助!$J$4,资金流水!$S$1058&lt;=_辅助!$J$2,OR(资金流水!$C$1058=$C$18,AND(资金流水!$AD$1058=$C$18,资金流水!$X$1058="账户互转"),AND($E$18&lt;&gt;"",资金流水!$J$1058=$E$18,资金流水!$X$1058="应付职工薪酬"))),INT(资金流水!$B$1058)*10000+1053,"")</f>
      </c>
    </row>
    <row r="1059">
      <c r="AA1059" s="2">
        <f>IF(AND(ISNUMBER(资金流水!$B$1059),ISNUMBER(资金流水!$S$1059),资金流水!$S$1059&gt;=_辅助!$J$4,资金流水!$S$1059&lt;=_辅助!$J$2,OR(资金流水!$C$1059=$C$18,AND(资金流水!$AD$1059=$C$18,资金流水!$X$1059="账户互转"),AND($E$18&lt;&gt;"",资金流水!$J$1059=$E$18,资金流水!$X$1059="应付职工薪酬"))),INT(资金流水!$B$1059)*10000+1054,"")</f>
      </c>
    </row>
    <row r="1060">
      <c r="AA1060" s="2">
        <f>IF(AND(ISNUMBER(资金流水!$B$1060),ISNUMBER(资金流水!$S$1060),资金流水!$S$1060&gt;=_辅助!$J$4,资金流水!$S$1060&lt;=_辅助!$J$2,OR(资金流水!$C$1060=$C$18,AND(资金流水!$AD$1060=$C$18,资金流水!$X$1060="账户互转"),AND($E$18&lt;&gt;"",资金流水!$J$1060=$E$18,资金流水!$X$1060="应付职工薪酬"))),INT(资金流水!$B$1060)*10000+1055,"")</f>
      </c>
    </row>
    <row r="1061">
      <c r="AA1061" s="2">
        <f>IF(AND(ISNUMBER(资金流水!$B$1061),ISNUMBER(资金流水!$S$1061),资金流水!$S$1061&gt;=_辅助!$J$4,资金流水!$S$1061&lt;=_辅助!$J$2,OR(资金流水!$C$1061=$C$18,AND(资金流水!$AD$1061=$C$18,资金流水!$X$1061="账户互转"),AND($E$18&lt;&gt;"",资金流水!$J$1061=$E$18,资金流水!$X$1061="应付职工薪酬"))),INT(资金流水!$B$1061)*10000+1056,"")</f>
      </c>
    </row>
    <row r="1062">
      <c r="AA1062" s="2">
        <f>IF(AND(ISNUMBER(资金流水!$B$1062),ISNUMBER(资金流水!$S$1062),资金流水!$S$1062&gt;=_辅助!$J$4,资金流水!$S$1062&lt;=_辅助!$J$2,OR(资金流水!$C$1062=$C$18,AND(资金流水!$AD$1062=$C$18,资金流水!$X$1062="账户互转"),AND($E$18&lt;&gt;"",资金流水!$J$1062=$E$18,资金流水!$X$1062="应付职工薪酬"))),INT(资金流水!$B$1062)*10000+1057,"")</f>
      </c>
    </row>
    <row r="1063">
      <c r="AA1063" s="2">
        <f>IF(AND(ISNUMBER(资金流水!$B$1063),ISNUMBER(资金流水!$S$1063),资金流水!$S$1063&gt;=_辅助!$J$4,资金流水!$S$1063&lt;=_辅助!$J$2,OR(资金流水!$C$1063=$C$18,AND(资金流水!$AD$1063=$C$18,资金流水!$X$1063="账户互转"),AND($E$18&lt;&gt;"",资金流水!$J$1063=$E$18,资金流水!$X$1063="应付职工薪酬"))),INT(资金流水!$B$1063)*10000+1058,"")</f>
      </c>
    </row>
    <row r="1064">
      <c r="AA1064" s="2">
        <f>IF(AND(ISNUMBER(资金流水!$B$1064),ISNUMBER(资金流水!$S$1064),资金流水!$S$1064&gt;=_辅助!$J$4,资金流水!$S$1064&lt;=_辅助!$J$2,OR(资金流水!$C$1064=$C$18,AND(资金流水!$AD$1064=$C$18,资金流水!$X$1064="账户互转"),AND($E$18&lt;&gt;"",资金流水!$J$1064=$E$18,资金流水!$X$1064="应付职工薪酬"))),INT(资金流水!$B$1064)*10000+1059,"")</f>
      </c>
    </row>
    <row r="1065">
      <c r="AA1065" s="2">
        <f>IF(AND(ISNUMBER(资金流水!$B$1065),ISNUMBER(资金流水!$S$1065),资金流水!$S$1065&gt;=_辅助!$J$4,资金流水!$S$1065&lt;=_辅助!$J$2,OR(资金流水!$C$1065=$C$18,AND(资金流水!$AD$1065=$C$18,资金流水!$X$1065="账户互转"),AND($E$18&lt;&gt;"",资金流水!$J$1065=$E$18,资金流水!$X$1065="应付职工薪酬"))),INT(资金流水!$B$1065)*10000+1060,"")</f>
      </c>
    </row>
    <row r="1066">
      <c r="AA1066" s="2">
        <f>IF(AND(ISNUMBER(资金流水!$B$1066),ISNUMBER(资金流水!$S$1066),资金流水!$S$1066&gt;=_辅助!$J$4,资金流水!$S$1066&lt;=_辅助!$J$2,OR(资金流水!$C$1066=$C$18,AND(资金流水!$AD$1066=$C$18,资金流水!$X$1066="账户互转"),AND($E$18&lt;&gt;"",资金流水!$J$1066=$E$18,资金流水!$X$1066="应付职工薪酬"))),INT(资金流水!$B$1066)*10000+1061,"")</f>
      </c>
    </row>
    <row r="1067">
      <c r="AA1067" s="2">
        <f>IF(AND(ISNUMBER(资金流水!$B$1067),ISNUMBER(资金流水!$S$1067),资金流水!$S$1067&gt;=_辅助!$J$4,资金流水!$S$1067&lt;=_辅助!$J$2,OR(资金流水!$C$1067=$C$18,AND(资金流水!$AD$1067=$C$18,资金流水!$X$1067="账户互转"),AND($E$18&lt;&gt;"",资金流水!$J$1067=$E$18,资金流水!$X$1067="应付职工薪酬"))),INT(资金流水!$B$1067)*10000+1062,"")</f>
      </c>
    </row>
    <row r="1068">
      <c r="AA1068" s="2">
        <f>IF(AND(ISNUMBER(资金流水!$B$1068),ISNUMBER(资金流水!$S$1068),资金流水!$S$1068&gt;=_辅助!$J$4,资金流水!$S$1068&lt;=_辅助!$J$2,OR(资金流水!$C$1068=$C$18,AND(资金流水!$AD$1068=$C$18,资金流水!$X$1068="账户互转"),AND($E$18&lt;&gt;"",资金流水!$J$1068=$E$18,资金流水!$X$1068="应付职工薪酬"))),INT(资金流水!$B$1068)*10000+1063,"")</f>
      </c>
    </row>
    <row r="1069">
      <c r="AA1069" s="2">
        <f>IF(AND(ISNUMBER(资金流水!$B$1069),ISNUMBER(资金流水!$S$1069),资金流水!$S$1069&gt;=_辅助!$J$4,资金流水!$S$1069&lt;=_辅助!$J$2,OR(资金流水!$C$1069=$C$18,AND(资金流水!$AD$1069=$C$18,资金流水!$X$1069="账户互转"),AND($E$18&lt;&gt;"",资金流水!$J$1069=$E$18,资金流水!$X$1069="应付职工薪酬"))),INT(资金流水!$B$1069)*10000+1064,"")</f>
      </c>
    </row>
    <row r="1070">
      <c r="AA1070" s="2">
        <f>IF(AND(ISNUMBER(资金流水!$B$1070),ISNUMBER(资金流水!$S$1070),资金流水!$S$1070&gt;=_辅助!$J$4,资金流水!$S$1070&lt;=_辅助!$J$2,OR(资金流水!$C$1070=$C$18,AND(资金流水!$AD$1070=$C$18,资金流水!$X$1070="账户互转"),AND($E$18&lt;&gt;"",资金流水!$J$1070=$E$18,资金流水!$X$1070="应付职工薪酬"))),INT(资金流水!$B$1070)*10000+1065,"")</f>
      </c>
    </row>
    <row r="1071">
      <c r="AA1071" s="2">
        <f>IF(AND(ISNUMBER(资金流水!$B$1071),ISNUMBER(资金流水!$S$1071),资金流水!$S$1071&gt;=_辅助!$J$4,资金流水!$S$1071&lt;=_辅助!$J$2,OR(资金流水!$C$1071=$C$18,AND(资金流水!$AD$1071=$C$18,资金流水!$X$1071="账户互转"),AND($E$18&lt;&gt;"",资金流水!$J$1071=$E$18,资金流水!$X$1071="应付职工薪酬"))),INT(资金流水!$B$1071)*10000+1066,"")</f>
      </c>
    </row>
    <row r="1072">
      <c r="AA1072" s="2">
        <f>IF(AND(ISNUMBER(资金流水!$B$1072),ISNUMBER(资金流水!$S$1072),资金流水!$S$1072&gt;=_辅助!$J$4,资金流水!$S$1072&lt;=_辅助!$J$2,OR(资金流水!$C$1072=$C$18,AND(资金流水!$AD$1072=$C$18,资金流水!$X$1072="账户互转"),AND($E$18&lt;&gt;"",资金流水!$J$1072=$E$18,资金流水!$X$1072="应付职工薪酬"))),INT(资金流水!$B$1072)*10000+1067,"")</f>
      </c>
    </row>
    <row r="1073">
      <c r="AA1073" s="2">
        <f>IF(AND(ISNUMBER(资金流水!$B$1073),ISNUMBER(资金流水!$S$1073),资金流水!$S$1073&gt;=_辅助!$J$4,资金流水!$S$1073&lt;=_辅助!$J$2,OR(资金流水!$C$1073=$C$18,AND(资金流水!$AD$1073=$C$18,资金流水!$X$1073="账户互转"),AND($E$18&lt;&gt;"",资金流水!$J$1073=$E$18,资金流水!$X$1073="应付职工薪酬"))),INT(资金流水!$B$1073)*10000+1068,"")</f>
      </c>
    </row>
    <row r="1074">
      <c r="AA1074" s="2">
        <f>IF(AND(ISNUMBER(资金流水!$B$1074),ISNUMBER(资金流水!$S$1074),资金流水!$S$1074&gt;=_辅助!$J$4,资金流水!$S$1074&lt;=_辅助!$J$2,OR(资金流水!$C$1074=$C$18,AND(资金流水!$AD$1074=$C$18,资金流水!$X$1074="账户互转"),AND($E$18&lt;&gt;"",资金流水!$J$1074=$E$18,资金流水!$X$1074="应付职工薪酬"))),INT(资金流水!$B$1074)*10000+1069,"")</f>
      </c>
    </row>
    <row r="1075">
      <c r="AA1075" s="2">
        <f>IF(AND(ISNUMBER(资金流水!$B$1075),ISNUMBER(资金流水!$S$1075),资金流水!$S$1075&gt;=_辅助!$J$4,资金流水!$S$1075&lt;=_辅助!$J$2,OR(资金流水!$C$1075=$C$18,AND(资金流水!$AD$1075=$C$18,资金流水!$X$1075="账户互转"),AND($E$18&lt;&gt;"",资金流水!$J$1075=$E$18,资金流水!$X$1075="应付职工薪酬"))),INT(资金流水!$B$1075)*10000+1070,"")</f>
      </c>
    </row>
    <row r="1076">
      <c r="AA1076" s="2">
        <f>IF(AND(ISNUMBER(资金流水!$B$1076),ISNUMBER(资金流水!$S$1076),资金流水!$S$1076&gt;=_辅助!$J$4,资金流水!$S$1076&lt;=_辅助!$J$2,OR(资金流水!$C$1076=$C$18,AND(资金流水!$AD$1076=$C$18,资金流水!$X$1076="账户互转"),AND($E$18&lt;&gt;"",资金流水!$J$1076=$E$18,资金流水!$X$1076="应付职工薪酬"))),INT(资金流水!$B$1076)*10000+1071,"")</f>
      </c>
    </row>
    <row r="1077">
      <c r="AA1077" s="2">
        <f>IF(AND(ISNUMBER(资金流水!$B$1077),ISNUMBER(资金流水!$S$1077),资金流水!$S$1077&gt;=_辅助!$J$4,资金流水!$S$1077&lt;=_辅助!$J$2,OR(资金流水!$C$1077=$C$18,AND(资金流水!$AD$1077=$C$18,资金流水!$X$1077="账户互转"),AND($E$18&lt;&gt;"",资金流水!$J$1077=$E$18,资金流水!$X$1077="应付职工薪酬"))),INT(资金流水!$B$1077)*10000+1072,"")</f>
      </c>
    </row>
    <row r="1078">
      <c r="AA1078" s="2">
        <f>IF(AND(ISNUMBER(资金流水!$B$1078),ISNUMBER(资金流水!$S$1078),资金流水!$S$1078&gt;=_辅助!$J$4,资金流水!$S$1078&lt;=_辅助!$J$2,OR(资金流水!$C$1078=$C$18,AND(资金流水!$AD$1078=$C$18,资金流水!$X$1078="账户互转"),AND($E$18&lt;&gt;"",资金流水!$J$1078=$E$18,资金流水!$X$1078="应付职工薪酬"))),INT(资金流水!$B$1078)*10000+1073,"")</f>
      </c>
    </row>
    <row r="1079">
      <c r="AA1079" s="2">
        <f>IF(AND(ISNUMBER(资金流水!$B$1079),ISNUMBER(资金流水!$S$1079),资金流水!$S$1079&gt;=_辅助!$J$4,资金流水!$S$1079&lt;=_辅助!$J$2,OR(资金流水!$C$1079=$C$18,AND(资金流水!$AD$1079=$C$18,资金流水!$X$1079="账户互转"),AND($E$18&lt;&gt;"",资金流水!$J$1079=$E$18,资金流水!$X$1079="应付职工薪酬"))),INT(资金流水!$B$1079)*10000+1074,"")</f>
      </c>
    </row>
    <row r="1080">
      <c r="AA1080" s="2">
        <f>IF(AND(ISNUMBER(资金流水!$B$1080),ISNUMBER(资金流水!$S$1080),资金流水!$S$1080&gt;=_辅助!$J$4,资金流水!$S$1080&lt;=_辅助!$J$2,OR(资金流水!$C$1080=$C$18,AND(资金流水!$AD$1080=$C$18,资金流水!$X$1080="账户互转"),AND($E$18&lt;&gt;"",资金流水!$J$1080=$E$18,资金流水!$X$1080="应付职工薪酬"))),INT(资金流水!$B$1080)*10000+1075,"")</f>
      </c>
    </row>
    <row r="1081">
      <c r="AA1081" s="2">
        <f>IF(AND(ISNUMBER(资金流水!$B$1081),ISNUMBER(资金流水!$S$1081),资金流水!$S$1081&gt;=_辅助!$J$4,资金流水!$S$1081&lt;=_辅助!$J$2,OR(资金流水!$C$1081=$C$18,AND(资金流水!$AD$1081=$C$18,资金流水!$X$1081="账户互转"),AND($E$18&lt;&gt;"",资金流水!$J$1081=$E$18,资金流水!$X$1081="应付职工薪酬"))),INT(资金流水!$B$1081)*10000+1076,"")</f>
      </c>
    </row>
    <row r="1082">
      <c r="AA1082" s="2">
        <f>IF(AND(ISNUMBER(资金流水!$B$1082),ISNUMBER(资金流水!$S$1082),资金流水!$S$1082&gt;=_辅助!$J$4,资金流水!$S$1082&lt;=_辅助!$J$2,OR(资金流水!$C$1082=$C$18,AND(资金流水!$AD$1082=$C$18,资金流水!$X$1082="账户互转"),AND($E$18&lt;&gt;"",资金流水!$J$1082=$E$18,资金流水!$X$1082="应付职工薪酬"))),INT(资金流水!$B$1082)*10000+1077,"")</f>
      </c>
    </row>
    <row r="1083">
      <c r="AA1083" s="2">
        <f>IF(AND(ISNUMBER(资金流水!$B$1083),ISNUMBER(资金流水!$S$1083),资金流水!$S$1083&gt;=_辅助!$J$4,资金流水!$S$1083&lt;=_辅助!$J$2,OR(资金流水!$C$1083=$C$18,AND(资金流水!$AD$1083=$C$18,资金流水!$X$1083="账户互转"),AND($E$18&lt;&gt;"",资金流水!$J$1083=$E$18,资金流水!$X$1083="应付职工薪酬"))),INT(资金流水!$B$1083)*10000+1078,"")</f>
      </c>
    </row>
    <row r="1084">
      <c r="AA1084" s="2">
        <f>IF(AND(ISNUMBER(资金流水!$B$1084),ISNUMBER(资金流水!$S$1084),资金流水!$S$1084&gt;=_辅助!$J$4,资金流水!$S$1084&lt;=_辅助!$J$2,OR(资金流水!$C$1084=$C$18,AND(资金流水!$AD$1084=$C$18,资金流水!$X$1084="账户互转"),AND($E$18&lt;&gt;"",资金流水!$J$1084=$E$18,资金流水!$X$1084="应付职工薪酬"))),INT(资金流水!$B$1084)*10000+1079,"")</f>
      </c>
    </row>
    <row r="1085">
      <c r="AA1085" s="2">
        <f>IF(AND(ISNUMBER(资金流水!$B$1085),ISNUMBER(资金流水!$S$1085),资金流水!$S$1085&gt;=_辅助!$J$4,资金流水!$S$1085&lt;=_辅助!$J$2,OR(资金流水!$C$1085=$C$18,AND(资金流水!$AD$1085=$C$18,资金流水!$X$1085="账户互转"),AND($E$18&lt;&gt;"",资金流水!$J$1085=$E$18,资金流水!$X$1085="应付职工薪酬"))),INT(资金流水!$B$1085)*10000+1080,"")</f>
      </c>
    </row>
    <row r="1086">
      <c r="AA1086" s="2">
        <f>IF(AND(ISNUMBER(资金流水!$B$1086),ISNUMBER(资金流水!$S$1086),资金流水!$S$1086&gt;=_辅助!$J$4,资金流水!$S$1086&lt;=_辅助!$J$2,OR(资金流水!$C$1086=$C$18,AND(资金流水!$AD$1086=$C$18,资金流水!$X$1086="账户互转"),AND($E$18&lt;&gt;"",资金流水!$J$1086=$E$18,资金流水!$X$1086="应付职工薪酬"))),INT(资金流水!$B$1086)*10000+1081,"")</f>
      </c>
    </row>
    <row r="1087">
      <c r="AA1087" s="2">
        <f>IF(AND(ISNUMBER(资金流水!$B$1087),ISNUMBER(资金流水!$S$1087),资金流水!$S$1087&gt;=_辅助!$J$4,资金流水!$S$1087&lt;=_辅助!$J$2,OR(资金流水!$C$1087=$C$18,AND(资金流水!$AD$1087=$C$18,资金流水!$X$1087="账户互转"),AND($E$18&lt;&gt;"",资金流水!$J$1087=$E$18,资金流水!$X$1087="应付职工薪酬"))),INT(资金流水!$B$1087)*10000+1082,"")</f>
      </c>
    </row>
    <row r="1088">
      <c r="AA1088" s="2">
        <f>IF(AND(ISNUMBER(资金流水!$B$1088),ISNUMBER(资金流水!$S$1088),资金流水!$S$1088&gt;=_辅助!$J$4,资金流水!$S$1088&lt;=_辅助!$J$2,OR(资金流水!$C$1088=$C$18,AND(资金流水!$AD$1088=$C$18,资金流水!$X$1088="账户互转"),AND($E$18&lt;&gt;"",资金流水!$J$1088=$E$18,资金流水!$X$1088="应付职工薪酬"))),INT(资金流水!$B$1088)*10000+1083,"")</f>
      </c>
    </row>
    <row r="1089">
      <c r="AA1089" s="2">
        <f>IF(AND(ISNUMBER(资金流水!$B$1089),ISNUMBER(资金流水!$S$1089),资金流水!$S$1089&gt;=_辅助!$J$4,资金流水!$S$1089&lt;=_辅助!$J$2,OR(资金流水!$C$1089=$C$18,AND(资金流水!$AD$1089=$C$18,资金流水!$X$1089="账户互转"),AND($E$18&lt;&gt;"",资金流水!$J$1089=$E$18,资金流水!$X$1089="应付职工薪酬"))),INT(资金流水!$B$1089)*10000+1084,"")</f>
      </c>
    </row>
    <row r="1090">
      <c r="AA1090" s="2">
        <f>IF(AND(ISNUMBER(资金流水!$B$1090),ISNUMBER(资金流水!$S$1090),资金流水!$S$1090&gt;=_辅助!$J$4,资金流水!$S$1090&lt;=_辅助!$J$2,OR(资金流水!$C$1090=$C$18,AND(资金流水!$AD$1090=$C$18,资金流水!$X$1090="账户互转"),AND($E$18&lt;&gt;"",资金流水!$J$1090=$E$18,资金流水!$X$1090="应付职工薪酬"))),INT(资金流水!$B$1090)*10000+1085,"")</f>
      </c>
    </row>
    <row r="1091">
      <c r="AA1091" s="2">
        <f>IF(AND(ISNUMBER(资金流水!$B$1091),ISNUMBER(资金流水!$S$1091),资金流水!$S$1091&gt;=_辅助!$J$4,资金流水!$S$1091&lt;=_辅助!$J$2,OR(资金流水!$C$1091=$C$18,AND(资金流水!$AD$1091=$C$18,资金流水!$X$1091="账户互转"),AND($E$18&lt;&gt;"",资金流水!$J$1091=$E$18,资金流水!$X$1091="应付职工薪酬"))),INT(资金流水!$B$1091)*10000+1086,"")</f>
      </c>
    </row>
    <row r="1092">
      <c r="AA1092" s="2">
        <f>IF(AND(ISNUMBER(资金流水!$B$1092),ISNUMBER(资金流水!$S$1092),资金流水!$S$1092&gt;=_辅助!$J$4,资金流水!$S$1092&lt;=_辅助!$J$2,OR(资金流水!$C$1092=$C$18,AND(资金流水!$AD$1092=$C$18,资金流水!$X$1092="账户互转"),AND($E$18&lt;&gt;"",资金流水!$J$1092=$E$18,资金流水!$X$1092="应付职工薪酬"))),INT(资金流水!$B$1092)*10000+1087,"")</f>
      </c>
    </row>
    <row r="1093">
      <c r="AA1093" s="2">
        <f>IF(AND(ISNUMBER(资金流水!$B$1093),ISNUMBER(资金流水!$S$1093),资金流水!$S$1093&gt;=_辅助!$J$4,资金流水!$S$1093&lt;=_辅助!$J$2,OR(资金流水!$C$1093=$C$18,AND(资金流水!$AD$1093=$C$18,资金流水!$X$1093="账户互转"),AND($E$18&lt;&gt;"",资金流水!$J$1093=$E$18,资金流水!$X$1093="应付职工薪酬"))),INT(资金流水!$B$1093)*10000+1088,"")</f>
      </c>
    </row>
    <row r="1094">
      <c r="AA1094" s="2">
        <f>IF(AND(ISNUMBER(资金流水!$B$1094),ISNUMBER(资金流水!$S$1094),资金流水!$S$1094&gt;=_辅助!$J$4,资金流水!$S$1094&lt;=_辅助!$J$2,OR(资金流水!$C$1094=$C$18,AND(资金流水!$AD$1094=$C$18,资金流水!$X$1094="账户互转"),AND($E$18&lt;&gt;"",资金流水!$J$1094=$E$18,资金流水!$X$1094="应付职工薪酬"))),INT(资金流水!$B$1094)*10000+1089,"")</f>
      </c>
    </row>
    <row r="1095">
      <c r="AA1095" s="2">
        <f>IF(AND(ISNUMBER(资金流水!$B$1095),ISNUMBER(资金流水!$S$1095),资金流水!$S$1095&gt;=_辅助!$J$4,资金流水!$S$1095&lt;=_辅助!$J$2,OR(资金流水!$C$1095=$C$18,AND(资金流水!$AD$1095=$C$18,资金流水!$X$1095="账户互转"),AND($E$18&lt;&gt;"",资金流水!$J$1095=$E$18,资金流水!$X$1095="应付职工薪酬"))),INT(资金流水!$B$1095)*10000+1090,"")</f>
      </c>
    </row>
    <row r="1096">
      <c r="AA1096" s="2">
        <f>IF(AND(ISNUMBER(资金流水!$B$1096),ISNUMBER(资金流水!$S$1096),资金流水!$S$1096&gt;=_辅助!$J$4,资金流水!$S$1096&lt;=_辅助!$J$2,OR(资金流水!$C$1096=$C$18,AND(资金流水!$AD$1096=$C$18,资金流水!$X$1096="账户互转"),AND($E$18&lt;&gt;"",资金流水!$J$1096=$E$18,资金流水!$X$1096="应付职工薪酬"))),INT(资金流水!$B$1096)*10000+1091,"")</f>
      </c>
    </row>
    <row r="1097">
      <c r="AA1097" s="2">
        <f>IF(AND(ISNUMBER(资金流水!$B$1097),ISNUMBER(资金流水!$S$1097),资金流水!$S$1097&gt;=_辅助!$J$4,资金流水!$S$1097&lt;=_辅助!$J$2,OR(资金流水!$C$1097=$C$18,AND(资金流水!$AD$1097=$C$18,资金流水!$X$1097="账户互转"),AND($E$18&lt;&gt;"",资金流水!$J$1097=$E$18,资金流水!$X$1097="应付职工薪酬"))),INT(资金流水!$B$1097)*10000+1092,"")</f>
      </c>
    </row>
    <row r="1098">
      <c r="AA1098" s="2">
        <f>IF(AND(ISNUMBER(资金流水!$B$1098),ISNUMBER(资金流水!$S$1098),资金流水!$S$1098&gt;=_辅助!$J$4,资金流水!$S$1098&lt;=_辅助!$J$2,OR(资金流水!$C$1098=$C$18,AND(资金流水!$AD$1098=$C$18,资金流水!$X$1098="账户互转"),AND($E$18&lt;&gt;"",资金流水!$J$1098=$E$18,资金流水!$X$1098="应付职工薪酬"))),INT(资金流水!$B$1098)*10000+1093,"")</f>
      </c>
    </row>
    <row r="1099">
      <c r="AA1099" s="2">
        <f>IF(AND(ISNUMBER(资金流水!$B$1099),ISNUMBER(资金流水!$S$1099),资金流水!$S$1099&gt;=_辅助!$J$4,资金流水!$S$1099&lt;=_辅助!$J$2,OR(资金流水!$C$1099=$C$18,AND(资金流水!$AD$1099=$C$18,资金流水!$X$1099="账户互转"),AND($E$18&lt;&gt;"",资金流水!$J$1099=$E$18,资金流水!$X$1099="应付职工薪酬"))),INT(资金流水!$B$1099)*10000+1094,"")</f>
      </c>
    </row>
    <row r="1100">
      <c r="AA1100" s="2">
        <f>IF(AND(ISNUMBER(资金流水!$B$1100),ISNUMBER(资金流水!$S$1100),资金流水!$S$1100&gt;=_辅助!$J$4,资金流水!$S$1100&lt;=_辅助!$J$2,OR(资金流水!$C$1100=$C$18,AND(资金流水!$AD$1100=$C$18,资金流水!$X$1100="账户互转"),AND($E$18&lt;&gt;"",资金流水!$J$1100=$E$18,资金流水!$X$1100="应付职工薪酬"))),INT(资金流水!$B$1100)*10000+1095,"")</f>
      </c>
    </row>
    <row r="1101">
      <c r="AA1101" s="2">
        <f>IF(AND(ISNUMBER(资金流水!$B$1101),ISNUMBER(资金流水!$S$1101),资金流水!$S$1101&gt;=_辅助!$J$4,资金流水!$S$1101&lt;=_辅助!$J$2,OR(资金流水!$C$1101=$C$18,AND(资金流水!$AD$1101=$C$18,资金流水!$X$1101="账户互转"),AND($E$18&lt;&gt;"",资金流水!$J$1101=$E$18,资金流水!$X$1101="应付职工薪酬"))),INT(资金流水!$B$1101)*10000+1096,"")</f>
      </c>
    </row>
    <row r="1102">
      <c r="AA1102" s="2">
        <f>IF(AND(ISNUMBER(资金流水!$B$1102),ISNUMBER(资金流水!$S$1102),资金流水!$S$1102&gt;=_辅助!$J$4,资金流水!$S$1102&lt;=_辅助!$J$2,OR(资金流水!$C$1102=$C$18,AND(资金流水!$AD$1102=$C$18,资金流水!$X$1102="账户互转"),AND($E$18&lt;&gt;"",资金流水!$J$1102=$E$18,资金流水!$X$1102="应付职工薪酬"))),INT(资金流水!$B$1102)*10000+1097,"")</f>
      </c>
    </row>
    <row r="1103">
      <c r="AA1103" s="2">
        <f>IF(AND(ISNUMBER(资金流水!$B$1103),ISNUMBER(资金流水!$S$1103),资金流水!$S$1103&gt;=_辅助!$J$4,资金流水!$S$1103&lt;=_辅助!$J$2,OR(资金流水!$C$1103=$C$18,AND(资金流水!$AD$1103=$C$18,资金流水!$X$1103="账户互转"),AND($E$18&lt;&gt;"",资金流水!$J$1103=$E$18,资金流水!$X$1103="应付职工薪酬"))),INT(资金流水!$B$1103)*10000+1098,"")</f>
      </c>
    </row>
    <row r="1104">
      <c r="AA1104" s="2">
        <f>IF(AND(ISNUMBER(资金流水!$B$1104),ISNUMBER(资金流水!$S$1104),资金流水!$S$1104&gt;=_辅助!$J$4,资金流水!$S$1104&lt;=_辅助!$J$2,OR(资金流水!$C$1104=$C$18,AND(资金流水!$AD$1104=$C$18,资金流水!$X$1104="账户互转"),AND($E$18&lt;&gt;"",资金流水!$J$1104=$E$18,资金流水!$X$1104="应付职工薪酬"))),INT(资金流水!$B$1104)*10000+1099,"")</f>
      </c>
    </row>
    <row r="1105">
      <c r="AA1105" s="2">
        <f>IF(AND(ISNUMBER(资金流水!$B$1105),ISNUMBER(资金流水!$S$1105),资金流水!$S$1105&gt;=_辅助!$J$4,资金流水!$S$1105&lt;=_辅助!$J$2,OR(资金流水!$C$1105=$C$18,AND(资金流水!$AD$1105=$C$18,资金流水!$X$1105="账户互转"),AND($E$18&lt;&gt;"",资金流水!$J$1105=$E$18,资金流水!$X$1105="应付职工薪酬"))),INT(资金流水!$B$1105)*10000+1100,"")</f>
      </c>
    </row>
    <row r="1106">
      <c r="AA1106" s="2">
        <f>IF(AND(ISNUMBER(资金流水!$B$1106),ISNUMBER(资金流水!$S$1106),资金流水!$S$1106&gt;=_辅助!$J$4,资金流水!$S$1106&lt;=_辅助!$J$2,OR(资金流水!$C$1106=$C$18,AND(资金流水!$AD$1106=$C$18,资金流水!$X$1106="账户互转"),AND($E$18&lt;&gt;"",资金流水!$J$1106=$E$18,资金流水!$X$1106="应付职工薪酬"))),INT(资金流水!$B$1106)*10000+1101,"")</f>
      </c>
    </row>
    <row r="1107">
      <c r="AA1107" s="2">
        <f>IF(AND(ISNUMBER(资金流水!$B$1107),ISNUMBER(资金流水!$S$1107),资金流水!$S$1107&gt;=_辅助!$J$4,资金流水!$S$1107&lt;=_辅助!$J$2,OR(资金流水!$C$1107=$C$18,AND(资金流水!$AD$1107=$C$18,资金流水!$X$1107="账户互转"),AND($E$18&lt;&gt;"",资金流水!$J$1107=$E$18,资金流水!$X$1107="应付职工薪酬"))),INT(资金流水!$B$1107)*10000+1102,"")</f>
      </c>
    </row>
    <row r="1108">
      <c r="AA1108" s="2">
        <f>IF(AND(ISNUMBER(资金流水!$B$1108),ISNUMBER(资金流水!$S$1108),资金流水!$S$1108&gt;=_辅助!$J$4,资金流水!$S$1108&lt;=_辅助!$J$2,OR(资金流水!$C$1108=$C$18,AND(资金流水!$AD$1108=$C$18,资金流水!$X$1108="账户互转"),AND($E$18&lt;&gt;"",资金流水!$J$1108=$E$18,资金流水!$X$1108="应付职工薪酬"))),INT(资金流水!$B$1108)*10000+1103,"")</f>
      </c>
    </row>
    <row r="1109">
      <c r="AA1109" s="2">
        <f>IF(AND(ISNUMBER(资金流水!$B$1109),ISNUMBER(资金流水!$S$1109),资金流水!$S$1109&gt;=_辅助!$J$4,资金流水!$S$1109&lt;=_辅助!$J$2,OR(资金流水!$C$1109=$C$18,AND(资金流水!$AD$1109=$C$18,资金流水!$X$1109="账户互转"),AND($E$18&lt;&gt;"",资金流水!$J$1109=$E$18,资金流水!$X$1109="应付职工薪酬"))),INT(资金流水!$B$1109)*10000+1104,"")</f>
      </c>
    </row>
    <row r="1110">
      <c r="AA1110" s="2">
        <f>IF(AND(ISNUMBER(资金流水!$B$1110),ISNUMBER(资金流水!$S$1110),资金流水!$S$1110&gt;=_辅助!$J$4,资金流水!$S$1110&lt;=_辅助!$J$2,OR(资金流水!$C$1110=$C$18,AND(资金流水!$AD$1110=$C$18,资金流水!$X$1110="账户互转"),AND($E$18&lt;&gt;"",资金流水!$J$1110=$E$18,资金流水!$X$1110="应付职工薪酬"))),INT(资金流水!$B$1110)*10000+1105,"")</f>
      </c>
    </row>
    <row r="1111">
      <c r="AA1111" s="2">
        <f>IF(AND(ISNUMBER(资金流水!$B$1111),ISNUMBER(资金流水!$S$1111),资金流水!$S$1111&gt;=_辅助!$J$4,资金流水!$S$1111&lt;=_辅助!$J$2,OR(资金流水!$C$1111=$C$18,AND(资金流水!$AD$1111=$C$18,资金流水!$X$1111="账户互转"),AND($E$18&lt;&gt;"",资金流水!$J$1111=$E$18,资金流水!$X$1111="应付职工薪酬"))),INT(资金流水!$B$1111)*10000+1106,"")</f>
      </c>
    </row>
    <row r="1112">
      <c r="AA1112" s="2">
        <f>IF(AND(ISNUMBER(资金流水!$B$1112),ISNUMBER(资金流水!$S$1112),资金流水!$S$1112&gt;=_辅助!$J$4,资金流水!$S$1112&lt;=_辅助!$J$2,OR(资金流水!$C$1112=$C$18,AND(资金流水!$AD$1112=$C$18,资金流水!$X$1112="账户互转"),AND($E$18&lt;&gt;"",资金流水!$J$1112=$E$18,资金流水!$X$1112="应付职工薪酬"))),INT(资金流水!$B$1112)*10000+1107,"")</f>
      </c>
    </row>
    <row r="1113">
      <c r="AA1113" s="2">
        <f>IF(AND(ISNUMBER(资金流水!$B$1113),ISNUMBER(资金流水!$S$1113),资金流水!$S$1113&gt;=_辅助!$J$4,资金流水!$S$1113&lt;=_辅助!$J$2,OR(资金流水!$C$1113=$C$18,AND(资金流水!$AD$1113=$C$18,资金流水!$X$1113="账户互转"),AND($E$18&lt;&gt;"",资金流水!$J$1113=$E$18,资金流水!$X$1113="应付职工薪酬"))),INT(资金流水!$B$1113)*10000+1108,"")</f>
      </c>
    </row>
    <row r="1114">
      <c r="AA1114" s="2">
        <f>IF(AND(ISNUMBER(资金流水!$B$1114),ISNUMBER(资金流水!$S$1114),资金流水!$S$1114&gt;=_辅助!$J$4,资金流水!$S$1114&lt;=_辅助!$J$2,OR(资金流水!$C$1114=$C$18,AND(资金流水!$AD$1114=$C$18,资金流水!$X$1114="账户互转"),AND($E$18&lt;&gt;"",资金流水!$J$1114=$E$18,资金流水!$X$1114="应付职工薪酬"))),INT(资金流水!$B$1114)*10000+1109,"")</f>
      </c>
    </row>
    <row r="1115">
      <c r="AA1115" s="2">
        <f>IF(AND(ISNUMBER(资金流水!$B$1115),ISNUMBER(资金流水!$S$1115),资金流水!$S$1115&gt;=_辅助!$J$4,资金流水!$S$1115&lt;=_辅助!$J$2,OR(资金流水!$C$1115=$C$18,AND(资金流水!$AD$1115=$C$18,资金流水!$X$1115="账户互转"),AND($E$18&lt;&gt;"",资金流水!$J$1115=$E$18,资金流水!$X$1115="应付职工薪酬"))),INT(资金流水!$B$1115)*10000+1110,"")</f>
      </c>
    </row>
    <row r="1116">
      <c r="AA1116" s="2">
        <f>IF(AND(ISNUMBER(资金流水!$B$1116),ISNUMBER(资金流水!$S$1116),资金流水!$S$1116&gt;=_辅助!$J$4,资金流水!$S$1116&lt;=_辅助!$J$2,OR(资金流水!$C$1116=$C$18,AND(资金流水!$AD$1116=$C$18,资金流水!$X$1116="账户互转"),AND($E$18&lt;&gt;"",资金流水!$J$1116=$E$18,资金流水!$X$1116="应付职工薪酬"))),INT(资金流水!$B$1116)*10000+1111,"")</f>
      </c>
    </row>
    <row r="1117">
      <c r="AA1117" s="2">
        <f>IF(AND(ISNUMBER(资金流水!$B$1117),ISNUMBER(资金流水!$S$1117),资金流水!$S$1117&gt;=_辅助!$J$4,资金流水!$S$1117&lt;=_辅助!$J$2,OR(资金流水!$C$1117=$C$18,AND(资金流水!$AD$1117=$C$18,资金流水!$X$1117="账户互转"),AND($E$18&lt;&gt;"",资金流水!$J$1117=$E$18,资金流水!$X$1117="应付职工薪酬"))),INT(资金流水!$B$1117)*10000+1112,"")</f>
      </c>
    </row>
    <row r="1118">
      <c r="AA1118" s="2">
        <f>IF(AND(ISNUMBER(资金流水!$B$1118),ISNUMBER(资金流水!$S$1118),资金流水!$S$1118&gt;=_辅助!$J$4,资金流水!$S$1118&lt;=_辅助!$J$2,OR(资金流水!$C$1118=$C$18,AND(资金流水!$AD$1118=$C$18,资金流水!$X$1118="账户互转"),AND($E$18&lt;&gt;"",资金流水!$J$1118=$E$18,资金流水!$X$1118="应付职工薪酬"))),INT(资金流水!$B$1118)*10000+1113,"")</f>
      </c>
    </row>
    <row r="1119">
      <c r="AA1119" s="2">
        <f>IF(AND(ISNUMBER(资金流水!$B$1119),ISNUMBER(资金流水!$S$1119),资金流水!$S$1119&gt;=_辅助!$J$4,资金流水!$S$1119&lt;=_辅助!$J$2,OR(资金流水!$C$1119=$C$18,AND(资金流水!$AD$1119=$C$18,资金流水!$X$1119="账户互转"),AND($E$18&lt;&gt;"",资金流水!$J$1119=$E$18,资金流水!$X$1119="应付职工薪酬"))),INT(资金流水!$B$1119)*10000+1114,"")</f>
      </c>
    </row>
    <row r="1120">
      <c r="AA1120" s="2">
        <f>IF(AND(ISNUMBER(资金流水!$B$1120),ISNUMBER(资金流水!$S$1120),资金流水!$S$1120&gt;=_辅助!$J$4,资金流水!$S$1120&lt;=_辅助!$J$2,OR(资金流水!$C$1120=$C$18,AND(资金流水!$AD$1120=$C$18,资金流水!$X$1120="账户互转"),AND($E$18&lt;&gt;"",资金流水!$J$1120=$E$18,资金流水!$X$1120="应付职工薪酬"))),INT(资金流水!$B$1120)*10000+1115,"")</f>
      </c>
    </row>
    <row r="1121">
      <c r="AA1121" s="2">
        <f>IF(AND(ISNUMBER(资金流水!$B$1121),ISNUMBER(资金流水!$S$1121),资金流水!$S$1121&gt;=_辅助!$J$4,资金流水!$S$1121&lt;=_辅助!$J$2,OR(资金流水!$C$1121=$C$18,AND(资金流水!$AD$1121=$C$18,资金流水!$X$1121="账户互转"),AND($E$18&lt;&gt;"",资金流水!$J$1121=$E$18,资金流水!$X$1121="应付职工薪酬"))),INT(资金流水!$B$1121)*10000+1116,"")</f>
      </c>
    </row>
    <row r="1122">
      <c r="AA1122" s="2">
        <f>IF(AND(ISNUMBER(资金流水!$B$1122),ISNUMBER(资金流水!$S$1122),资金流水!$S$1122&gt;=_辅助!$J$4,资金流水!$S$1122&lt;=_辅助!$J$2,OR(资金流水!$C$1122=$C$18,AND(资金流水!$AD$1122=$C$18,资金流水!$X$1122="账户互转"),AND($E$18&lt;&gt;"",资金流水!$J$1122=$E$18,资金流水!$X$1122="应付职工薪酬"))),INT(资金流水!$B$1122)*10000+1117,"")</f>
      </c>
    </row>
    <row r="1123">
      <c r="AA1123" s="2">
        <f>IF(AND(ISNUMBER(资金流水!$B$1123),ISNUMBER(资金流水!$S$1123),资金流水!$S$1123&gt;=_辅助!$J$4,资金流水!$S$1123&lt;=_辅助!$J$2,OR(资金流水!$C$1123=$C$18,AND(资金流水!$AD$1123=$C$18,资金流水!$X$1123="账户互转"),AND($E$18&lt;&gt;"",资金流水!$J$1123=$E$18,资金流水!$X$1123="应付职工薪酬"))),INT(资金流水!$B$1123)*10000+1118,"")</f>
      </c>
    </row>
    <row r="1124">
      <c r="AA1124" s="2">
        <f>IF(AND(ISNUMBER(资金流水!$B$1124),ISNUMBER(资金流水!$S$1124),资金流水!$S$1124&gt;=_辅助!$J$4,资金流水!$S$1124&lt;=_辅助!$J$2,OR(资金流水!$C$1124=$C$18,AND(资金流水!$AD$1124=$C$18,资金流水!$X$1124="账户互转"),AND($E$18&lt;&gt;"",资金流水!$J$1124=$E$18,资金流水!$X$1124="应付职工薪酬"))),INT(资金流水!$B$1124)*10000+1119,"")</f>
      </c>
    </row>
    <row r="1125">
      <c r="AA1125" s="2">
        <f>IF(AND(ISNUMBER(资金流水!$B$1125),ISNUMBER(资金流水!$S$1125),资金流水!$S$1125&gt;=_辅助!$J$4,资金流水!$S$1125&lt;=_辅助!$J$2,OR(资金流水!$C$1125=$C$18,AND(资金流水!$AD$1125=$C$18,资金流水!$X$1125="账户互转"),AND($E$18&lt;&gt;"",资金流水!$J$1125=$E$18,资金流水!$X$1125="应付职工薪酬"))),INT(资金流水!$B$1125)*10000+1120,"")</f>
      </c>
    </row>
    <row r="1126">
      <c r="AA1126" s="2">
        <f>IF(AND(ISNUMBER(资金流水!$B$1126),ISNUMBER(资金流水!$S$1126),资金流水!$S$1126&gt;=_辅助!$J$4,资金流水!$S$1126&lt;=_辅助!$J$2,OR(资金流水!$C$1126=$C$18,AND(资金流水!$AD$1126=$C$18,资金流水!$X$1126="账户互转"),AND($E$18&lt;&gt;"",资金流水!$J$1126=$E$18,资金流水!$X$1126="应付职工薪酬"))),INT(资金流水!$B$1126)*10000+1121,"")</f>
      </c>
    </row>
    <row r="1127">
      <c r="AA1127" s="2">
        <f>IF(AND(ISNUMBER(资金流水!$B$1127),ISNUMBER(资金流水!$S$1127),资金流水!$S$1127&gt;=_辅助!$J$4,资金流水!$S$1127&lt;=_辅助!$J$2,OR(资金流水!$C$1127=$C$18,AND(资金流水!$AD$1127=$C$18,资金流水!$X$1127="账户互转"),AND($E$18&lt;&gt;"",资金流水!$J$1127=$E$18,资金流水!$X$1127="应付职工薪酬"))),INT(资金流水!$B$1127)*10000+1122,"")</f>
      </c>
    </row>
    <row r="1128">
      <c r="AA1128" s="2">
        <f>IF(AND(ISNUMBER(资金流水!$B$1128),ISNUMBER(资金流水!$S$1128),资金流水!$S$1128&gt;=_辅助!$J$4,资金流水!$S$1128&lt;=_辅助!$J$2,OR(资金流水!$C$1128=$C$18,AND(资金流水!$AD$1128=$C$18,资金流水!$X$1128="账户互转"),AND($E$18&lt;&gt;"",资金流水!$J$1128=$E$18,资金流水!$X$1128="应付职工薪酬"))),INT(资金流水!$B$1128)*10000+1123,"")</f>
      </c>
    </row>
    <row r="1129">
      <c r="AA1129" s="2">
        <f>IF(AND(ISNUMBER(资金流水!$B$1129),ISNUMBER(资金流水!$S$1129),资金流水!$S$1129&gt;=_辅助!$J$4,资金流水!$S$1129&lt;=_辅助!$J$2,OR(资金流水!$C$1129=$C$18,AND(资金流水!$AD$1129=$C$18,资金流水!$X$1129="账户互转"),AND($E$18&lt;&gt;"",资金流水!$J$1129=$E$18,资金流水!$X$1129="应付职工薪酬"))),INT(资金流水!$B$1129)*10000+1124,"")</f>
      </c>
    </row>
    <row r="1130">
      <c r="AA1130" s="2">
        <f>IF(AND(ISNUMBER(资金流水!$B$1130),ISNUMBER(资金流水!$S$1130),资金流水!$S$1130&gt;=_辅助!$J$4,资金流水!$S$1130&lt;=_辅助!$J$2,OR(资金流水!$C$1130=$C$18,AND(资金流水!$AD$1130=$C$18,资金流水!$X$1130="账户互转"),AND($E$18&lt;&gt;"",资金流水!$J$1130=$E$18,资金流水!$X$1130="应付职工薪酬"))),INT(资金流水!$B$1130)*10000+1125,"")</f>
      </c>
    </row>
    <row r="1131">
      <c r="AA1131" s="2">
        <f>IF(AND(ISNUMBER(资金流水!$B$1131),ISNUMBER(资金流水!$S$1131),资金流水!$S$1131&gt;=_辅助!$J$4,资金流水!$S$1131&lt;=_辅助!$J$2,OR(资金流水!$C$1131=$C$18,AND(资金流水!$AD$1131=$C$18,资金流水!$X$1131="账户互转"),AND($E$18&lt;&gt;"",资金流水!$J$1131=$E$18,资金流水!$X$1131="应付职工薪酬"))),INT(资金流水!$B$1131)*10000+1126,"")</f>
      </c>
    </row>
    <row r="1132">
      <c r="AA1132" s="2">
        <f>IF(AND(ISNUMBER(资金流水!$B$1132),ISNUMBER(资金流水!$S$1132),资金流水!$S$1132&gt;=_辅助!$J$4,资金流水!$S$1132&lt;=_辅助!$J$2,OR(资金流水!$C$1132=$C$18,AND(资金流水!$AD$1132=$C$18,资金流水!$X$1132="账户互转"),AND($E$18&lt;&gt;"",资金流水!$J$1132=$E$18,资金流水!$X$1132="应付职工薪酬"))),INT(资金流水!$B$1132)*10000+1127,"")</f>
      </c>
    </row>
    <row r="1133">
      <c r="AA1133" s="2">
        <f>IF(AND(ISNUMBER(资金流水!$B$1133),ISNUMBER(资金流水!$S$1133),资金流水!$S$1133&gt;=_辅助!$J$4,资金流水!$S$1133&lt;=_辅助!$J$2,OR(资金流水!$C$1133=$C$18,AND(资金流水!$AD$1133=$C$18,资金流水!$X$1133="账户互转"),AND($E$18&lt;&gt;"",资金流水!$J$1133=$E$18,资金流水!$X$1133="应付职工薪酬"))),INT(资金流水!$B$1133)*10000+1128,"")</f>
      </c>
    </row>
    <row r="1134">
      <c r="AA1134" s="2">
        <f>IF(AND(ISNUMBER(资金流水!$B$1134),ISNUMBER(资金流水!$S$1134),资金流水!$S$1134&gt;=_辅助!$J$4,资金流水!$S$1134&lt;=_辅助!$J$2,OR(资金流水!$C$1134=$C$18,AND(资金流水!$AD$1134=$C$18,资金流水!$X$1134="账户互转"),AND($E$18&lt;&gt;"",资金流水!$J$1134=$E$18,资金流水!$X$1134="应付职工薪酬"))),INT(资金流水!$B$1134)*10000+1129,"")</f>
      </c>
    </row>
    <row r="1135">
      <c r="AA1135" s="2">
        <f>IF(AND(ISNUMBER(资金流水!$B$1135),ISNUMBER(资金流水!$S$1135),资金流水!$S$1135&gt;=_辅助!$J$4,资金流水!$S$1135&lt;=_辅助!$J$2,OR(资金流水!$C$1135=$C$18,AND(资金流水!$AD$1135=$C$18,资金流水!$X$1135="账户互转"),AND($E$18&lt;&gt;"",资金流水!$J$1135=$E$18,资金流水!$X$1135="应付职工薪酬"))),INT(资金流水!$B$1135)*10000+1130,"")</f>
      </c>
    </row>
    <row r="1136">
      <c r="AA1136" s="2">
        <f>IF(AND(ISNUMBER(资金流水!$B$1136),ISNUMBER(资金流水!$S$1136),资金流水!$S$1136&gt;=_辅助!$J$4,资金流水!$S$1136&lt;=_辅助!$J$2,OR(资金流水!$C$1136=$C$18,AND(资金流水!$AD$1136=$C$18,资金流水!$X$1136="账户互转"),AND($E$18&lt;&gt;"",资金流水!$J$1136=$E$18,资金流水!$X$1136="应付职工薪酬"))),INT(资金流水!$B$1136)*10000+1131,"")</f>
      </c>
    </row>
    <row r="1137">
      <c r="AA1137" s="2">
        <f>IF(AND(ISNUMBER(资金流水!$B$1137),ISNUMBER(资金流水!$S$1137),资金流水!$S$1137&gt;=_辅助!$J$4,资金流水!$S$1137&lt;=_辅助!$J$2,OR(资金流水!$C$1137=$C$18,AND(资金流水!$AD$1137=$C$18,资金流水!$X$1137="账户互转"),AND($E$18&lt;&gt;"",资金流水!$J$1137=$E$18,资金流水!$X$1137="应付职工薪酬"))),INT(资金流水!$B$1137)*10000+1132,"")</f>
      </c>
    </row>
    <row r="1138">
      <c r="AA1138" s="2">
        <f>IF(AND(ISNUMBER(资金流水!$B$1138),ISNUMBER(资金流水!$S$1138),资金流水!$S$1138&gt;=_辅助!$J$4,资金流水!$S$1138&lt;=_辅助!$J$2,OR(资金流水!$C$1138=$C$18,AND(资金流水!$AD$1138=$C$18,资金流水!$X$1138="账户互转"),AND($E$18&lt;&gt;"",资金流水!$J$1138=$E$18,资金流水!$X$1138="应付职工薪酬"))),INT(资金流水!$B$1138)*10000+1133,"")</f>
      </c>
    </row>
    <row r="1139">
      <c r="AA1139" s="2">
        <f>IF(AND(ISNUMBER(资金流水!$B$1139),ISNUMBER(资金流水!$S$1139),资金流水!$S$1139&gt;=_辅助!$J$4,资金流水!$S$1139&lt;=_辅助!$J$2,OR(资金流水!$C$1139=$C$18,AND(资金流水!$AD$1139=$C$18,资金流水!$X$1139="账户互转"),AND($E$18&lt;&gt;"",资金流水!$J$1139=$E$18,资金流水!$X$1139="应付职工薪酬"))),INT(资金流水!$B$1139)*10000+1134,"")</f>
      </c>
    </row>
    <row r="1140">
      <c r="AA1140" s="2">
        <f>IF(AND(ISNUMBER(资金流水!$B$1140),ISNUMBER(资金流水!$S$1140),资金流水!$S$1140&gt;=_辅助!$J$4,资金流水!$S$1140&lt;=_辅助!$J$2,OR(资金流水!$C$1140=$C$18,AND(资金流水!$AD$1140=$C$18,资金流水!$X$1140="账户互转"),AND($E$18&lt;&gt;"",资金流水!$J$1140=$E$18,资金流水!$X$1140="应付职工薪酬"))),INT(资金流水!$B$1140)*10000+1135,"")</f>
      </c>
    </row>
    <row r="1141">
      <c r="AA1141" s="2">
        <f>IF(AND(ISNUMBER(资金流水!$B$1141),ISNUMBER(资金流水!$S$1141),资金流水!$S$1141&gt;=_辅助!$J$4,资金流水!$S$1141&lt;=_辅助!$J$2,OR(资金流水!$C$1141=$C$18,AND(资金流水!$AD$1141=$C$18,资金流水!$X$1141="账户互转"),AND($E$18&lt;&gt;"",资金流水!$J$1141=$E$18,资金流水!$X$1141="应付职工薪酬"))),INT(资金流水!$B$1141)*10000+1136,"")</f>
      </c>
    </row>
    <row r="1142">
      <c r="AA1142" s="2">
        <f>IF(AND(ISNUMBER(资金流水!$B$1142),ISNUMBER(资金流水!$S$1142),资金流水!$S$1142&gt;=_辅助!$J$4,资金流水!$S$1142&lt;=_辅助!$J$2,OR(资金流水!$C$1142=$C$18,AND(资金流水!$AD$1142=$C$18,资金流水!$X$1142="账户互转"),AND($E$18&lt;&gt;"",资金流水!$J$1142=$E$18,资金流水!$X$1142="应付职工薪酬"))),INT(资金流水!$B$1142)*10000+1137,"")</f>
      </c>
    </row>
    <row r="1143">
      <c r="AA1143" s="2">
        <f>IF(AND(ISNUMBER(资金流水!$B$1143),ISNUMBER(资金流水!$S$1143),资金流水!$S$1143&gt;=_辅助!$J$4,资金流水!$S$1143&lt;=_辅助!$J$2,OR(资金流水!$C$1143=$C$18,AND(资金流水!$AD$1143=$C$18,资金流水!$X$1143="账户互转"),AND($E$18&lt;&gt;"",资金流水!$J$1143=$E$18,资金流水!$X$1143="应付职工薪酬"))),INT(资金流水!$B$1143)*10000+1138,"")</f>
      </c>
    </row>
    <row r="1144">
      <c r="AA1144" s="2">
        <f>IF(AND(ISNUMBER(资金流水!$B$1144),ISNUMBER(资金流水!$S$1144),资金流水!$S$1144&gt;=_辅助!$J$4,资金流水!$S$1144&lt;=_辅助!$J$2,OR(资金流水!$C$1144=$C$18,AND(资金流水!$AD$1144=$C$18,资金流水!$X$1144="账户互转"),AND($E$18&lt;&gt;"",资金流水!$J$1144=$E$18,资金流水!$X$1144="应付职工薪酬"))),INT(资金流水!$B$1144)*10000+1139,"")</f>
      </c>
    </row>
    <row r="1145">
      <c r="AA1145" s="2">
        <f>IF(AND(ISNUMBER(资金流水!$B$1145),ISNUMBER(资金流水!$S$1145),资金流水!$S$1145&gt;=_辅助!$J$4,资金流水!$S$1145&lt;=_辅助!$J$2,OR(资金流水!$C$1145=$C$18,AND(资金流水!$AD$1145=$C$18,资金流水!$X$1145="账户互转"),AND($E$18&lt;&gt;"",资金流水!$J$1145=$E$18,资金流水!$X$1145="应付职工薪酬"))),INT(资金流水!$B$1145)*10000+1140,"")</f>
      </c>
    </row>
    <row r="1146">
      <c r="AA1146" s="2">
        <f>IF(AND(ISNUMBER(资金流水!$B$1146),ISNUMBER(资金流水!$S$1146),资金流水!$S$1146&gt;=_辅助!$J$4,资金流水!$S$1146&lt;=_辅助!$J$2,OR(资金流水!$C$1146=$C$18,AND(资金流水!$AD$1146=$C$18,资金流水!$X$1146="账户互转"),AND($E$18&lt;&gt;"",资金流水!$J$1146=$E$18,资金流水!$X$1146="应付职工薪酬"))),INT(资金流水!$B$1146)*10000+1141,"")</f>
      </c>
    </row>
    <row r="1147">
      <c r="AA1147" s="2">
        <f>IF(AND(ISNUMBER(资金流水!$B$1147),ISNUMBER(资金流水!$S$1147),资金流水!$S$1147&gt;=_辅助!$J$4,资金流水!$S$1147&lt;=_辅助!$J$2,OR(资金流水!$C$1147=$C$18,AND(资金流水!$AD$1147=$C$18,资金流水!$X$1147="账户互转"),AND($E$18&lt;&gt;"",资金流水!$J$1147=$E$18,资金流水!$X$1147="应付职工薪酬"))),INT(资金流水!$B$1147)*10000+1142,"")</f>
      </c>
    </row>
    <row r="1148">
      <c r="AA1148" s="2">
        <f>IF(AND(ISNUMBER(资金流水!$B$1148),ISNUMBER(资金流水!$S$1148),资金流水!$S$1148&gt;=_辅助!$J$4,资金流水!$S$1148&lt;=_辅助!$J$2,OR(资金流水!$C$1148=$C$18,AND(资金流水!$AD$1148=$C$18,资金流水!$X$1148="账户互转"),AND($E$18&lt;&gt;"",资金流水!$J$1148=$E$18,资金流水!$X$1148="应付职工薪酬"))),INT(资金流水!$B$1148)*10000+1143,"")</f>
      </c>
    </row>
    <row r="1149">
      <c r="AA1149" s="2">
        <f>IF(AND(ISNUMBER(资金流水!$B$1149),ISNUMBER(资金流水!$S$1149),资金流水!$S$1149&gt;=_辅助!$J$4,资金流水!$S$1149&lt;=_辅助!$J$2,OR(资金流水!$C$1149=$C$18,AND(资金流水!$AD$1149=$C$18,资金流水!$X$1149="账户互转"),AND($E$18&lt;&gt;"",资金流水!$J$1149=$E$18,资金流水!$X$1149="应付职工薪酬"))),INT(资金流水!$B$1149)*10000+1144,"")</f>
      </c>
    </row>
    <row r="1150">
      <c r="AA1150" s="2">
        <f>IF(AND(ISNUMBER(资金流水!$B$1150),ISNUMBER(资金流水!$S$1150),资金流水!$S$1150&gt;=_辅助!$J$4,资金流水!$S$1150&lt;=_辅助!$J$2,OR(资金流水!$C$1150=$C$18,AND(资金流水!$AD$1150=$C$18,资金流水!$X$1150="账户互转"),AND($E$18&lt;&gt;"",资金流水!$J$1150=$E$18,资金流水!$X$1150="应付职工薪酬"))),INT(资金流水!$B$1150)*10000+1145,"")</f>
      </c>
    </row>
    <row r="1151">
      <c r="AA1151" s="2">
        <f>IF(AND(ISNUMBER(资金流水!$B$1151),ISNUMBER(资金流水!$S$1151),资金流水!$S$1151&gt;=_辅助!$J$4,资金流水!$S$1151&lt;=_辅助!$J$2,OR(资金流水!$C$1151=$C$18,AND(资金流水!$AD$1151=$C$18,资金流水!$X$1151="账户互转"),AND($E$18&lt;&gt;"",资金流水!$J$1151=$E$18,资金流水!$X$1151="应付职工薪酬"))),INT(资金流水!$B$1151)*10000+1146,"")</f>
      </c>
    </row>
    <row r="1152">
      <c r="AA1152" s="2">
        <f>IF(AND(ISNUMBER(资金流水!$B$1152),ISNUMBER(资金流水!$S$1152),资金流水!$S$1152&gt;=_辅助!$J$4,资金流水!$S$1152&lt;=_辅助!$J$2,OR(资金流水!$C$1152=$C$18,AND(资金流水!$AD$1152=$C$18,资金流水!$X$1152="账户互转"),AND($E$18&lt;&gt;"",资金流水!$J$1152=$E$18,资金流水!$X$1152="应付职工薪酬"))),INT(资金流水!$B$1152)*10000+1147,"")</f>
      </c>
    </row>
    <row r="1153">
      <c r="AA1153" s="2">
        <f>IF(AND(ISNUMBER(资金流水!$B$1153),ISNUMBER(资金流水!$S$1153),资金流水!$S$1153&gt;=_辅助!$J$4,资金流水!$S$1153&lt;=_辅助!$J$2,OR(资金流水!$C$1153=$C$18,AND(资金流水!$AD$1153=$C$18,资金流水!$X$1153="账户互转"),AND($E$18&lt;&gt;"",资金流水!$J$1153=$E$18,资金流水!$X$1153="应付职工薪酬"))),INT(资金流水!$B$1153)*10000+1148,"")</f>
      </c>
    </row>
    <row r="1154">
      <c r="AA1154" s="2">
        <f>IF(AND(ISNUMBER(资金流水!$B$1154),ISNUMBER(资金流水!$S$1154),资金流水!$S$1154&gt;=_辅助!$J$4,资金流水!$S$1154&lt;=_辅助!$J$2,OR(资金流水!$C$1154=$C$18,AND(资金流水!$AD$1154=$C$18,资金流水!$X$1154="账户互转"),AND($E$18&lt;&gt;"",资金流水!$J$1154=$E$18,资金流水!$X$1154="应付职工薪酬"))),INT(资金流水!$B$1154)*10000+1149,"")</f>
      </c>
    </row>
    <row r="1155">
      <c r="AA1155" s="2">
        <f>IF(AND(ISNUMBER(资金流水!$B$1155),ISNUMBER(资金流水!$S$1155),资金流水!$S$1155&gt;=_辅助!$J$4,资金流水!$S$1155&lt;=_辅助!$J$2,OR(资金流水!$C$1155=$C$18,AND(资金流水!$AD$1155=$C$18,资金流水!$X$1155="账户互转"),AND($E$18&lt;&gt;"",资金流水!$J$1155=$E$18,资金流水!$X$1155="应付职工薪酬"))),INT(资金流水!$B$1155)*10000+1150,"")</f>
      </c>
    </row>
    <row r="1156">
      <c r="AA1156" s="2">
        <f>IF(AND(ISNUMBER(资金流水!$B$1156),ISNUMBER(资金流水!$S$1156),资金流水!$S$1156&gt;=_辅助!$J$4,资金流水!$S$1156&lt;=_辅助!$J$2,OR(资金流水!$C$1156=$C$18,AND(资金流水!$AD$1156=$C$18,资金流水!$X$1156="账户互转"),AND($E$18&lt;&gt;"",资金流水!$J$1156=$E$18,资金流水!$X$1156="应付职工薪酬"))),INT(资金流水!$B$1156)*10000+1151,"")</f>
      </c>
    </row>
    <row r="1157">
      <c r="AA1157" s="2">
        <f>IF(AND(ISNUMBER(资金流水!$B$1157),ISNUMBER(资金流水!$S$1157),资金流水!$S$1157&gt;=_辅助!$J$4,资金流水!$S$1157&lt;=_辅助!$J$2,OR(资金流水!$C$1157=$C$18,AND(资金流水!$AD$1157=$C$18,资金流水!$X$1157="账户互转"),AND($E$18&lt;&gt;"",资金流水!$J$1157=$E$18,资金流水!$X$1157="应付职工薪酬"))),INT(资金流水!$B$1157)*10000+1152,"")</f>
      </c>
    </row>
    <row r="1158">
      <c r="AA1158" s="2">
        <f>IF(AND(ISNUMBER(资金流水!$B$1158),ISNUMBER(资金流水!$S$1158),资金流水!$S$1158&gt;=_辅助!$J$4,资金流水!$S$1158&lt;=_辅助!$J$2,OR(资金流水!$C$1158=$C$18,AND(资金流水!$AD$1158=$C$18,资金流水!$X$1158="账户互转"),AND($E$18&lt;&gt;"",资金流水!$J$1158=$E$18,资金流水!$X$1158="应付职工薪酬"))),INT(资金流水!$B$1158)*10000+1153,"")</f>
      </c>
    </row>
    <row r="1159">
      <c r="AA1159" s="2">
        <f>IF(AND(ISNUMBER(资金流水!$B$1159),ISNUMBER(资金流水!$S$1159),资金流水!$S$1159&gt;=_辅助!$J$4,资金流水!$S$1159&lt;=_辅助!$J$2,OR(资金流水!$C$1159=$C$18,AND(资金流水!$AD$1159=$C$18,资金流水!$X$1159="账户互转"),AND($E$18&lt;&gt;"",资金流水!$J$1159=$E$18,资金流水!$X$1159="应付职工薪酬"))),INT(资金流水!$B$1159)*10000+1154,"")</f>
      </c>
    </row>
    <row r="1160">
      <c r="AA1160" s="2">
        <f>IF(AND(ISNUMBER(资金流水!$B$1160),ISNUMBER(资金流水!$S$1160),资金流水!$S$1160&gt;=_辅助!$J$4,资金流水!$S$1160&lt;=_辅助!$J$2,OR(资金流水!$C$1160=$C$18,AND(资金流水!$AD$1160=$C$18,资金流水!$X$1160="账户互转"),AND($E$18&lt;&gt;"",资金流水!$J$1160=$E$18,资金流水!$X$1160="应付职工薪酬"))),INT(资金流水!$B$1160)*10000+1155,"")</f>
      </c>
    </row>
    <row r="1161">
      <c r="AA1161" s="2">
        <f>IF(AND(ISNUMBER(资金流水!$B$1161),ISNUMBER(资金流水!$S$1161),资金流水!$S$1161&gt;=_辅助!$J$4,资金流水!$S$1161&lt;=_辅助!$J$2,OR(资金流水!$C$1161=$C$18,AND(资金流水!$AD$1161=$C$18,资金流水!$X$1161="账户互转"),AND($E$18&lt;&gt;"",资金流水!$J$1161=$E$18,资金流水!$X$1161="应付职工薪酬"))),INT(资金流水!$B$1161)*10000+1156,"")</f>
      </c>
    </row>
    <row r="1162">
      <c r="AA1162" s="2">
        <f>IF(AND(ISNUMBER(资金流水!$B$1162),ISNUMBER(资金流水!$S$1162),资金流水!$S$1162&gt;=_辅助!$J$4,资金流水!$S$1162&lt;=_辅助!$J$2,OR(资金流水!$C$1162=$C$18,AND(资金流水!$AD$1162=$C$18,资金流水!$X$1162="账户互转"),AND($E$18&lt;&gt;"",资金流水!$J$1162=$E$18,资金流水!$X$1162="应付职工薪酬"))),INT(资金流水!$B$1162)*10000+1157,"")</f>
      </c>
    </row>
    <row r="1163">
      <c r="AA1163" s="2">
        <f>IF(AND(ISNUMBER(资金流水!$B$1163),ISNUMBER(资金流水!$S$1163),资金流水!$S$1163&gt;=_辅助!$J$4,资金流水!$S$1163&lt;=_辅助!$J$2,OR(资金流水!$C$1163=$C$18,AND(资金流水!$AD$1163=$C$18,资金流水!$X$1163="账户互转"),AND($E$18&lt;&gt;"",资金流水!$J$1163=$E$18,资金流水!$X$1163="应付职工薪酬"))),INT(资金流水!$B$1163)*10000+1158,"")</f>
      </c>
    </row>
    <row r="1164">
      <c r="AA1164" s="2">
        <f>IF(AND(ISNUMBER(资金流水!$B$1164),ISNUMBER(资金流水!$S$1164),资金流水!$S$1164&gt;=_辅助!$J$4,资金流水!$S$1164&lt;=_辅助!$J$2,OR(资金流水!$C$1164=$C$18,AND(资金流水!$AD$1164=$C$18,资金流水!$X$1164="账户互转"),AND($E$18&lt;&gt;"",资金流水!$J$1164=$E$18,资金流水!$X$1164="应付职工薪酬"))),INT(资金流水!$B$1164)*10000+1159,"")</f>
      </c>
    </row>
    <row r="1165">
      <c r="AA1165" s="2">
        <f>IF(AND(ISNUMBER(资金流水!$B$1165),ISNUMBER(资金流水!$S$1165),资金流水!$S$1165&gt;=_辅助!$J$4,资金流水!$S$1165&lt;=_辅助!$J$2,OR(资金流水!$C$1165=$C$18,AND(资金流水!$AD$1165=$C$18,资金流水!$X$1165="账户互转"),AND($E$18&lt;&gt;"",资金流水!$J$1165=$E$18,资金流水!$X$1165="应付职工薪酬"))),INT(资金流水!$B$1165)*10000+1160,"")</f>
      </c>
    </row>
    <row r="1166">
      <c r="AA1166" s="2">
        <f>IF(AND(ISNUMBER(资金流水!$B$1166),ISNUMBER(资金流水!$S$1166),资金流水!$S$1166&gt;=_辅助!$J$4,资金流水!$S$1166&lt;=_辅助!$J$2,OR(资金流水!$C$1166=$C$18,AND(资金流水!$AD$1166=$C$18,资金流水!$X$1166="账户互转"),AND($E$18&lt;&gt;"",资金流水!$J$1166=$E$18,资金流水!$X$1166="应付职工薪酬"))),INT(资金流水!$B$1166)*10000+1161,"")</f>
      </c>
    </row>
    <row r="1167">
      <c r="AA1167" s="2">
        <f>IF(AND(ISNUMBER(资金流水!$B$1167),ISNUMBER(资金流水!$S$1167),资金流水!$S$1167&gt;=_辅助!$J$4,资金流水!$S$1167&lt;=_辅助!$J$2,OR(资金流水!$C$1167=$C$18,AND(资金流水!$AD$1167=$C$18,资金流水!$X$1167="账户互转"),AND($E$18&lt;&gt;"",资金流水!$J$1167=$E$18,资金流水!$X$1167="应付职工薪酬"))),INT(资金流水!$B$1167)*10000+1162,"")</f>
      </c>
    </row>
    <row r="1168">
      <c r="AA1168" s="2">
        <f>IF(AND(ISNUMBER(资金流水!$B$1168),ISNUMBER(资金流水!$S$1168),资金流水!$S$1168&gt;=_辅助!$J$4,资金流水!$S$1168&lt;=_辅助!$J$2,OR(资金流水!$C$1168=$C$18,AND(资金流水!$AD$1168=$C$18,资金流水!$X$1168="账户互转"),AND($E$18&lt;&gt;"",资金流水!$J$1168=$E$18,资金流水!$X$1168="应付职工薪酬"))),INT(资金流水!$B$1168)*10000+1163,"")</f>
      </c>
    </row>
    <row r="1169">
      <c r="AA1169" s="2">
        <f>IF(AND(ISNUMBER(资金流水!$B$1169),ISNUMBER(资金流水!$S$1169),资金流水!$S$1169&gt;=_辅助!$J$4,资金流水!$S$1169&lt;=_辅助!$J$2,OR(资金流水!$C$1169=$C$18,AND(资金流水!$AD$1169=$C$18,资金流水!$X$1169="账户互转"),AND($E$18&lt;&gt;"",资金流水!$J$1169=$E$18,资金流水!$X$1169="应付职工薪酬"))),INT(资金流水!$B$1169)*10000+1164,"")</f>
      </c>
    </row>
    <row r="1170">
      <c r="AA1170" s="2">
        <f>IF(AND(ISNUMBER(资金流水!$B$1170),ISNUMBER(资金流水!$S$1170),资金流水!$S$1170&gt;=_辅助!$J$4,资金流水!$S$1170&lt;=_辅助!$J$2,OR(资金流水!$C$1170=$C$18,AND(资金流水!$AD$1170=$C$18,资金流水!$X$1170="账户互转"),AND($E$18&lt;&gt;"",资金流水!$J$1170=$E$18,资金流水!$X$1170="应付职工薪酬"))),INT(资金流水!$B$1170)*10000+1165,"")</f>
      </c>
    </row>
    <row r="1171">
      <c r="AA1171" s="2">
        <f>IF(AND(ISNUMBER(资金流水!$B$1171),ISNUMBER(资金流水!$S$1171),资金流水!$S$1171&gt;=_辅助!$J$4,资金流水!$S$1171&lt;=_辅助!$J$2,OR(资金流水!$C$1171=$C$18,AND(资金流水!$AD$1171=$C$18,资金流水!$X$1171="账户互转"),AND($E$18&lt;&gt;"",资金流水!$J$1171=$E$18,资金流水!$X$1171="应付职工薪酬"))),INT(资金流水!$B$1171)*10000+1166,"")</f>
      </c>
    </row>
    <row r="1172">
      <c r="AA1172" s="2">
        <f>IF(AND(ISNUMBER(资金流水!$B$1172),ISNUMBER(资金流水!$S$1172),资金流水!$S$1172&gt;=_辅助!$J$4,资金流水!$S$1172&lt;=_辅助!$J$2,OR(资金流水!$C$1172=$C$18,AND(资金流水!$AD$1172=$C$18,资金流水!$X$1172="账户互转"),AND($E$18&lt;&gt;"",资金流水!$J$1172=$E$18,资金流水!$X$1172="应付职工薪酬"))),INT(资金流水!$B$1172)*10000+1167,"")</f>
      </c>
    </row>
    <row r="1173">
      <c r="AA1173" s="2">
        <f>IF(AND(ISNUMBER(资金流水!$B$1173),ISNUMBER(资金流水!$S$1173),资金流水!$S$1173&gt;=_辅助!$J$4,资金流水!$S$1173&lt;=_辅助!$J$2,OR(资金流水!$C$1173=$C$18,AND(资金流水!$AD$1173=$C$18,资金流水!$X$1173="账户互转"),AND($E$18&lt;&gt;"",资金流水!$J$1173=$E$18,资金流水!$X$1173="应付职工薪酬"))),INT(资金流水!$B$1173)*10000+1168,"")</f>
      </c>
    </row>
    <row r="1174">
      <c r="AA1174" s="2">
        <f>IF(AND(ISNUMBER(资金流水!$B$1174),ISNUMBER(资金流水!$S$1174),资金流水!$S$1174&gt;=_辅助!$J$4,资金流水!$S$1174&lt;=_辅助!$J$2,OR(资金流水!$C$1174=$C$18,AND(资金流水!$AD$1174=$C$18,资金流水!$X$1174="账户互转"),AND($E$18&lt;&gt;"",资金流水!$J$1174=$E$18,资金流水!$X$1174="应付职工薪酬"))),INT(资金流水!$B$1174)*10000+1169,"")</f>
      </c>
    </row>
    <row r="1175">
      <c r="AA1175" s="2">
        <f>IF(AND(ISNUMBER(资金流水!$B$1175),ISNUMBER(资金流水!$S$1175),资金流水!$S$1175&gt;=_辅助!$J$4,资金流水!$S$1175&lt;=_辅助!$J$2,OR(资金流水!$C$1175=$C$18,AND(资金流水!$AD$1175=$C$18,资金流水!$X$1175="账户互转"),AND($E$18&lt;&gt;"",资金流水!$J$1175=$E$18,资金流水!$X$1175="应付职工薪酬"))),INT(资金流水!$B$1175)*10000+1170,"")</f>
      </c>
    </row>
    <row r="1176">
      <c r="AA1176" s="2">
        <f>IF(AND(ISNUMBER(资金流水!$B$1176),ISNUMBER(资金流水!$S$1176),资金流水!$S$1176&gt;=_辅助!$J$4,资金流水!$S$1176&lt;=_辅助!$J$2,OR(资金流水!$C$1176=$C$18,AND(资金流水!$AD$1176=$C$18,资金流水!$X$1176="账户互转"),AND($E$18&lt;&gt;"",资金流水!$J$1176=$E$18,资金流水!$X$1176="应付职工薪酬"))),INT(资金流水!$B$1176)*10000+1171,"")</f>
      </c>
    </row>
    <row r="1177">
      <c r="AA1177" s="2">
        <f>IF(AND(ISNUMBER(资金流水!$B$1177),ISNUMBER(资金流水!$S$1177),资金流水!$S$1177&gt;=_辅助!$J$4,资金流水!$S$1177&lt;=_辅助!$J$2,OR(资金流水!$C$1177=$C$18,AND(资金流水!$AD$1177=$C$18,资金流水!$X$1177="账户互转"),AND($E$18&lt;&gt;"",资金流水!$J$1177=$E$18,资金流水!$X$1177="应付职工薪酬"))),INT(资金流水!$B$1177)*10000+1172,"")</f>
      </c>
    </row>
    <row r="1178">
      <c r="AA1178" s="2">
        <f>IF(AND(ISNUMBER(资金流水!$B$1178),ISNUMBER(资金流水!$S$1178),资金流水!$S$1178&gt;=_辅助!$J$4,资金流水!$S$1178&lt;=_辅助!$J$2,OR(资金流水!$C$1178=$C$18,AND(资金流水!$AD$1178=$C$18,资金流水!$X$1178="账户互转"),AND($E$18&lt;&gt;"",资金流水!$J$1178=$E$18,资金流水!$X$1178="应付职工薪酬"))),INT(资金流水!$B$1178)*10000+1173,"")</f>
      </c>
    </row>
    <row r="1179">
      <c r="AA1179" s="2">
        <f>IF(AND(ISNUMBER(资金流水!$B$1179),ISNUMBER(资金流水!$S$1179),资金流水!$S$1179&gt;=_辅助!$J$4,资金流水!$S$1179&lt;=_辅助!$J$2,OR(资金流水!$C$1179=$C$18,AND(资金流水!$AD$1179=$C$18,资金流水!$X$1179="账户互转"),AND($E$18&lt;&gt;"",资金流水!$J$1179=$E$18,资金流水!$X$1179="应付职工薪酬"))),INT(资金流水!$B$1179)*10000+1174,"")</f>
      </c>
    </row>
    <row r="1180">
      <c r="AA1180" s="2">
        <f>IF(AND(ISNUMBER(资金流水!$B$1180),ISNUMBER(资金流水!$S$1180),资金流水!$S$1180&gt;=_辅助!$J$4,资金流水!$S$1180&lt;=_辅助!$J$2,OR(资金流水!$C$1180=$C$18,AND(资金流水!$AD$1180=$C$18,资金流水!$X$1180="账户互转"),AND($E$18&lt;&gt;"",资金流水!$J$1180=$E$18,资金流水!$X$1180="应付职工薪酬"))),INT(资金流水!$B$1180)*10000+1175,"")</f>
      </c>
    </row>
    <row r="1181">
      <c r="AA1181" s="2">
        <f>IF(AND(ISNUMBER(资金流水!$B$1181),ISNUMBER(资金流水!$S$1181),资金流水!$S$1181&gt;=_辅助!$J$4,资金流水!$S$1181&lt;=_辅助!$J$2,OR(资金流水!$C$1181=$C$18,AND(资金流水!$AD$1181=$C$18,资金流水!$X$1181="账户互转"),AND($E$18&lt;&gt;"",资金流水!$J$1181=$E$18,资金流水!$X$1181="应付职工薪酬"))),INT(资金流水!$B$1181)*10000+1176,"")</f>
      </c>
    </row>
    <row r="1182">
      <c r="AA1182" s="2">
        <f>IF(AND(ISNUMBER(资金流水!$B$1182),ISNUMBER(资金流水!$S$1182),资金流水!$S$1182&gt;=_辅助!$J$4,资金流水!$S$1182&lt;=_辅助!$J$2,OR(资金流水!$C$1182=$C$18,AND(资金流水!$AD$1182=$C$18,资金流水!$X$1182="账户互转"),AND($E$18&lt;&gt;"",资金流水!$J$1182=$E$18,资金流水!$X$1182="应付职工薪酬"))),INT(资金流水!$B$1182)*10000+1177,"")</f>
      </c>
    </row>
    <row r="1183">
      <c r="AA1183" s="2">
        <f>IF(AND(ISNUMBER(资金流水!$B$1183),ISNUMBER(资金流水!$S$1183),资金流水!$S$1183&gt;=_辅助!$J$4,资金流水!$S$1183&lt;=_辅助!$J$2,OR(资金流水!$C$1183=$C$18,AND(资金流水!$AD$1183=$C$18,资金流水!$X$1183="账户互转"),AND($E$18&lt;&gt;"",资金流水!$J$1183=$E$18,资金流水!$X$1183="应付职工薪酬"))),INT(资金流水!$B$1183)*10000+1178,"")</f>
      </c>
    </row>
    <row r="1184">
      <c r="AA1184" s="2">
        <f>IF(AND(ISNUMBER(资金流水!$B$1184),ISNUMBER(资金流水!$S$1184),资金流水!$S$1184&gt;=_辅助!$J$4,资金流水!$S$1184&lt;=_辅助!$J$2,OR(资金流水!$C$1184=$C$18,AND(资金流水!$AD$1184=$C$18,资金流水!$X$1184="账户互转"),AND($E$18&lt;&gt;"",资金流水!$J$1184=$E$18,资金流水!$X$1184="应付职工薪酬"))),INT(资金流水!$B$1184)*10000+1179,"")</f>
      </c>
    </row>
    <row r="1185">
      <c r="AA1185" s="2">
        <f>IF(AND(ISNUMBER(资金流水!$B$1185),ISNUMBER(资金流水!$S$1185),资金流水!$S$1185&gt;=_辅助!$J$4,资金流水!$S$1185&lt;=_辅助!$J$2,OR(资金流水!$C$1185=$C$18,AND(资金流水!$AD$1185=$C$18,资金流水!$X$1185="账户互转"),AND($E$18&lt;&gt;"",资金流水!$J$1185=$E$18,资金流水!$X$1185="应付职工薪酬"))),INT(资金流水!$B$1185)*10000+1180,"")</f>
      </c>
    </row>
    <row r="1186">
      <c r="AA1186" s="2">
        <f>IF(AND(ISNUMBER(资金流水!$B$1186),ISNUMBER(资金流水!$S$1186),资金流水!$S$1186&gt;=_辅助!$J$4,资金流水!$S$1186&lt;=_辅助!$J$2,OR(资金流水!$C$1186=$C$18,AND(资金流水!$AD$1186=$C$18,资金流水!$X$1186="账户互转"),AND($E$18&lt;&gt;"",资金流水!$J$1186=$E$18,资金流水!$X$1186="应付职工薪酬"))),INT(资金流水!$B$1186)*10000+1181,"")</f>
      </c>
    </row>
    <row r="1187">
      <c r="AA1187" s="2">
        <f>IF(AND(ISNUMBER(资金流水!$B$1187),ISNUMBER(资金流水!$S$1187),资金流水!$S$1187&gt;=_辅助!$J$4,资金流水!$S$1187&lt;=_辅助!$J$2,OR(资金流水!$C$1187=$C$18,AND(资金流水!$AD$1187=$C$18,资金流水!$X$1187="账户互转"),AND($E$18&lt;&gt;"",资金流水!$J$1187=$E$18,资金流水!$X$1187="应付职工薪酬"))),INT(资金流水!$B$1187)*10000+1182,"")</f>
      </c>
    </row>
    <row r="1188">
      <c r="AA1188" s="2">
        <f>IF(AND(ISNUMBER(资金流水!$B$1188),ISNUMBER(资金流水!$S$1188),资金流水!$S$1188&gt;=_辅助!$J$4,资金流水!$S$1188&lt;=_辅助!$J$2,OR(资金流水!$C$1188=$C$18,AND(资金流水!$AD$1188=$C$18,资金流水!$X$1188="账户互转"),AND($E$18&lt;&gt;"",资金流水!$J$1188=$E$18,资金流水!$X$1188="应付职工薪酬"))),INT(资金流水!$B$1188)*10000+1183,"")</f>
      </c>
    </row>
    <row r="1189">
      <c r="AA1189" s="2">
        <f>IF(AND(ISNUMBER(资金流水!$B$1189),ISNUMBER(资金流水!$S$1189),资金流水!$S$1189&gt;=_辅助!$J$4,资金流水!$S$1189&lt;=_辅助!$J$2,OR(资金流水!$C$1189=$C$18,AND(资金流水!$AD$1189=$C$18,资金流水!$X$1189="账户互转"),AND($E$18&lt;&gt;"",资金流水!$J$1189=$E$18,资金流水!$X$1189="应付职工薪酬"))),INT(资金流水!$B$1189)*10000+1184,"")</f>
      </c>
    </row>
    <row r="1190">
      <c r="AA1190" s="2">
        <f>IF(AND(ISNUMBER(资金流水!$B$1190),ISNUMBER(资金流水!$S$1190),资金流水!$S$1190&gt;=_辅助!$J$4,资金流水!$S$1190&lt;=_辅助!$J$2,OR(资金流水!$C$1190=$C$18,AND(资金流水!$AD$1190=$C$18,资金流水!$X$1190="账户互转"),AND($E$18&lt;&gt;"",资金流水!$J$1190=$E$18,资金流水!$X$1190="应付职工薪酬"))),INT(资金流水!$B$1190)*10000+1185,"")</f>
      </c>
    </row>
    <row r="1191">
      <c r="AA1191" s="2">
        <f>IF(AND(ISNUMBER(资金流水!$B$1191),ISNUMBER(资金流水!$S$1191),资金流水!$S$1191&gt;=_辅助!$J$4,资金流水!$S$1191&lt;=_辅助!$J$2,OR(资金流水!$C$1191=$C$18,AND(资金流水!$AD$1191=$C$18,资金流水!$X$1191="账户互转"),AND($E$18&lt;&gt;"",资金流水!$J$1191=$E$18,资金流水!$X$1191="应付职工薪酬"))),INT(资金流水!$B$1191)*10000+1186,"")</f>
      </c>
    </row>
    <row r="1192">
      <c r="AA1192" s="2">
        <f>IF(AND(ISNUMBER(资金流水!$B$1192),ISNUMBER(资金流水!$S$1192),资金流水!$S$1192&gt;=_辅助!$J$4,资金流水!$S$1192&lt;=_辅助!$J$2,OR(资金流水!$C$1192=$C$18,AND(资金流水!$AD$1192=$C$18,资金流水!$X$1192="账户互转"),AND($E$18&lt;&gt;"",资金流水!$J$1192=$E$18,资金流水!$X$1192="应付职工薪酬"))),INT(资金流水!$B$1192)*10000+1187,"")</f>
      </c>
    </row>
    <row r="1193">
      <c r="AA1193" s="2">
        <f>IF(AND(ISNUMBER(资金流水!$B$1193),ISNUMBER(资金流水!$S$1193),资金流水!$S$1193&gt;=_辅助!$J$4,资金流水!$S$1193&lt;=_辅助!$J$2,OR(资金流水!$C$1193=$C$18,AND(资金流水!$AD$1193=$C$18,资金流水!$X$1193="账户互转"),AND($E$18&lt;&gt;"",资金流水!$J$1193=$E$18,资金流水!$X$1193="应付职工薪酬"))),INT(资金流水!$B$1193)*10000+1188,"")</f>
      </c>
    </row>
    <row r="1194">
      <c r="AA1194" s="2">
        <f>IF(AND(ISNUMBER(资金流水!$B$1194),ISNUMBER(资金流水!$S$1194),资金流水!$S$1194&gt;=_辅助!$J$4,资金流水!$S$1194&lt;=_辅助!$J$2,OR(资金流水!$C$1194=$C$18,AND(资金流水!$AD$1194=$C$18,资金流水!$X$1194="账户互转"),AND($E$18&lt;&gt;"",资金流水!$J$1194=$E$18,资金流水!$X$1194="应付职工薪酬"))),INT(资金流水!$B$1194)*10000+1189,"")</f>
      </c>
    </row>
    <row r="1195">
      <c r="AA1195" s="2">
        <f>IF(AND(ISNUMBER(资金流水!$B$1195),ISNUMBER(资金流水!$S$1195),资金流水!$S$1195&gt;=_辅助!$J$4,资金流水!$S$1195&lt;=_辅助!$J$2,OR(资金流水!$C$1195=$C$18,AND(资金流水!$AD$1195=$C$18,资金流水!$X$1195="账户互转"),AND($E$18&lt;&gt;"",资金流水!$J$1195=$E$18,资金流水!$X$1195="应付职工薪酬"))),INT(资金流水!$B$1195)*10000+1190,"")</f>
      </c>
    </row>
    <row r="1196">
      <c r="AA1196" s="2">
        <f>IF(AND(ISNUMBER(资金流水!$B$1196),ISNUMBER(资金流水!$S$1196),资金流水!$S$1196&gt;=_辅助!$J$4,资金流水!$S$1196&lt;=_辅助!$J$2,OR(资金流水!$C$1196=$C$18,AND(资金流水!$AD$1196=$C$18,资金流水!$X$1196="账户互转"),AND($E$18&lt;&gt;"",资金流水!$J$1196=$E$18,资金流水!$X$1196="应付职工薪酬"))),INT(资金流水!$B$1196)*10000+1191,"")</f>
      </c>
    </row>
    <row r="1197">
      <c r="AA1197" s="2">
        <f>IF(AND(ISNUMBER(资金流水!$B$1197),ISNUMBER(资金流水!$S$1197),资金流水!$S$1197&gt;=_辅助!$J$4,资金流水!$S$1197&lt;=_辅助!$J$2,OR(资金流水!$C$1197=$C$18,AND(资金流水!$AD$1197=$C$18,资金流水!$X$1197="账户互转"),AND($E$18&lt;&gt;"",资金流水!$J$1197=$E$18,资金流水!$X$1197="应付职工薪酬"))),INT(资金流水!$B$1197)*10000+1192,"")</f>
      </c>
    </row>
    <row r="1198">
      <c r="AA1198" s="2">
        <f>IF(AND(ISNUMBER(资金流水!$B$1198),ISNUMBER(资金流水!$S$1198),资金流水!$S$1198&gt;=_辅助!$J$4,资金流水!$S$1198&lt;=_辅助!$J$2,OR(资金流水!$C$1198=$C$18,AND(资金流水!$AD$1198=$C$18,资金流水!$X$1198="账户互转"),AND($E$18&lt;&gt;"",资金流水!$J$1198=$E$18,资金流水!$X$1198="应付职工薪酬"))),INT(资金流水!$B$1198)*10000+1193,"")</f>
      </c>
    </row>
    <row r="1199">
      <c r="AA1199" s="2">
        <f>IF(AND(ISNUMBER(资金流水!$B$1199),ISNUMBER(资金流水!$S$1199),资金流水!$S$1199&gt;=_辅助!$J$4,资金流水!$S$1199&lt;=_辅助!$J$2,OR(资金流水!$C$1199=$C$18,AND(资金流水!$AD$1199=$C$18,资金流水!$X$1199="账户互转"),AND($E$18&lt;&gt;"",资金流水!$J$1199=$E$18,资金流水!$X$1199="应付职工薪酬"))),INT(资金流水!$B$1199)*10000+1194,"")</f>
      </c>
    </row>
    <row r="1200">
      <c r="AA1200" s="2">
        <f>IF(AND(ISNUMBER(资金流水!$B$1200),ISNUMBER(资金流水!$S$1200),资金流水!$S$1200&gt;=_辅助!$J$4,资金流水!$S$1200&lt;=_辅助!$J$2,OR(资金流水!$C$1200=$C$18,AND(资金流水!$AD$1200=$C$18,资金流水!$X$1200="账户互转"),AND($E$18&lt;&gt;"",资金流水!$J$1200=$E$18,资金流水!$X$1200="应付职工薪酬"))),INT(资金流水!$B$1200)*10000+1195,"")</f>
      </c>
    </row>
    <row r="1201">
      <c r="AA1201" s="2">
        <f>IF(AND(ISNUMBER(资金流水!$B$1201),ISNUMBER(资金流水!$S$1201),资金流水!$S$1201&gt;=_辅助!$J$4,资金流水!$S$1201&lt;=_辅助!$J$2,OR(资金流水!$C$1201=$C$18,AND(资金流水!$AD$1201=$C$18,资金流水!$X$1201="账户互转"),AND($E$18&lt;&gt;"",资金流水!$J$1201=$E$18,资金流水!$X$1201="应付职工薪酬"))),INT(资金流水!$B$1201)*10000+1196,"")</f>
      </c>
    </row>
    <row r="1202">
      <c r="AA1202" s="2">
        <f>IF(AND(ISNUMBER(资金流水!$B$1202),ISNUMBER(资金流水!$S$1202),资金流水!$S$1202&gt;=_辅助!$J$4,资金流水!$S$1202&lt;=_辅助!$J$2,OR(资金流水!$C$1202=$C$18,AND(资金流水!$AD$1202=$C$18,资金流水!$X$1202="账户互转"),AND($E$18&lt;&gt;"",资金流水!$J$1202=$E$18,资金流水!$X$1202="应付职工薪酬"))),INT(资金流水!$B$1202)*10000+1197,"")</f>
      </c>
    </row>
    <row r="1203">
      <c r="AA1203" s="2">
        <f>IF(AND(ISNUMBER(资金流水!$B$1203),ISNUMBER(资金流水!$S$1203),资金流水!$S$1203&gt;=_辅助!$J$4,资金流水!$S$1203&lt;=_辅助!$J$2,OR(资金流水!$C$1203=$C$18,AND(资金流水!$AD$1203=$C$18,资金流水!$X$1203="账户互转"),AND($E$18&lt;&gt;"",资金流水!$J$1203=$E$18,资金流水!$X$1203="应付职工薪酬"))),INT(资金流水!$B$1203)*10000+1198,"")</f>
      </c>
    </row>
    <row r="1204">
      <c r="AA1204" s="2">
        <f>IF(AND(ISNUMBER(资金流水!$B$1204),ISNUMBER(资金流水!$S$1204),资金流水!$S$1204&gt;=_辅助!$J$4,资金流水!$S$1204&lt;=_辅助!$J$2,OR(资金流水!$C$1204=$C$18,AND(资金流水!$AD$1204=$C$18,资金流水!$X$1204="账户互转"),AND($E$18&lt;&gt;"",资金流水!$J$1204=$E$18,资金流水!$X$1204="应付职工薪酬"))),INT(资金流水!$B$1204)*10000+1199,"")</f>
      </c>
    </row>
    <row r="1205">
      <c r="AA1205" s="2">
        <f>IF(AND(ISNUMBER(资金流水!$B$1205),ISNUMBER(资金流水!$S$1205),资金流水!$S$1205&gt;=_辅助!$J$4,资金流水!$S$1205&lt;=_辅助!$J$2,OR(资金流水!$C$1205=$C$18,AND(资金流水!$AD$1205=$C$18,资金流水!$X$1205="账户互转"),AND($E$18&lt;&gt;"",资金流水!$J$1205=$E$18,资金流水!$X$1205="应付职工薪酬"))),INT(资金流水!$B$1205)*10000+1200,"")</f>
      </c>
    </row>
    <row r="1206">
      <c r="AA1206" s="2">
        <f>IF(AND(ISNUMBER(资金流水!$B$1206),ISNUMBER(资金流水!$S$1206),资金流水!$S$1206&gt;=_辅助!$J$4,资金流水!$S$1206&lt;=_辅助!$J$2,OR(资金流水!$C$1206=$C$18,AND(资金流水!$AD$1206=$C$18,资金流水!$X$1206="账户互转"),AND($E$18&lt;&gt;"",资金流水!$J$1206=$E$18,资金流水!$X$1206="应付职工薪酬"))),INT(资金流水!$B$1206)*10000+1201,"")</f>
      </c>
    </row>
    <row r="1207">
      <c r="AA1207" s="2">
        <f>IF(AND(ISNUMBER(资金流水!$B$1207),ISNUMBER(资金流水!$S$1207),资金流水!$S$1207&gt;=_辅助!$J$4,资金流水!$S$1207&lt;=_辅助!$J$2,OR(资金流水!$C$1207=$C$18,AND(资金流水!$AD$1207=$C$18,资金流水!$X$1207="账户互转"),AND($E$18&lt;&gt;"",资金流水!$J$1207=$E$18,资金流水!$X$1207="应付职工薪酬"))),INT(资金流水!$B$1207)*10000+1202,"")</f>
      </c>
    </row>
    <row r="1208">
      <c r="AA1208" s="2">
        <f>IF(AND(ISNUMBER(资金流水!$B$1208),ISNUMBER(资金流水!$S$1208),资金流水!$S$1208&gt;=_辅助!$J$4,资金流水!$S$1208&lt;=_辅助!$J$2,OR(资金流水!$C$1208=$C$18,AND(资金流水!$AD$1208=$C$18,资金流水!$X$1208="账户互转"),AND($E$18&lt;&gt;"",资金流水!$J$1208=$E$18,资金流水!$X$1208="应付职工薪酬"))),INT(资金流水!$B$1208)*10000+1203,"")</f>
      </c>
    </row>
    <row r="1209">
      <c r="AA1209" s="2">
        <f>IF(AND(ISNUMBER(资金流水!$B$1209),ISNUMBER(资金流水!$S$1209),资金流水!$S$1209&gt;=_辅助!$J$4,资金流水!$S$1209&lt;=_辅助!$J$2,OR(资金流水!$C$1209=$C$18,AND(资金流水!$AD$1209=$C$18,资金流水!$X$1209="账户互转"),AND($E$18&lt;&gt;"",资金流水!$J$1209=$E$18,资金流水!$X$1209="应付职工薪酬"))),INT(资金流水!$B$1209)*10000+1204,"")</f>
      </c>
    </row>
    <row r="1210">
      <c r="AA1210" s="2">
        <f>IF(AND(ISNUMBER(资金流水!$B$1210),ISNUMBER(资金流水!$S$1210),资金流水!$S$1210&gt;=_辅助!$J$4,资金流水!$S$1210&lt;=_辅助!$J$2,OR(资金流水!$C$1210=$C$18,AND(资金流水!$AD$1210=$C$18,资金流水!$X$1210="账户互转"),AND($E$18&lt;&gt;"",资金流水!$J$1210=$E$18,资金流水!$X$1210="应付职工薪酬"))),INT(资金流水!$B$1210)*10000+1205,"")</f>
      </c>
    </row>
    <row r="1211">
      <c r="AA1211" s="2">
        <f>IF(AND(ISNUMBER(资金流水!$B$1211),ISNUMBER(资金流水!$S$1211),资金流水!$S$1211&gt;=_辅助!$J$4,资金流水!$S$1211&lt;=_辅助!$J$2,OR(资金流水!$C$1211=$C$18,AND(资金流水!$AD$1211=$C$18,资金流水!$X$1211="账户互转"),AND($E$18&lt;&gt;"",资金流水!$J$1211=$E$18,资金流水!$X$1211="应付职工薪酬"))),INT(资金流水!$B$1211)*10000+1206,"")</f>
      </c>
    </row>
    <row r="1212">
      <c r="AA1212" s="2">
        <f>IF(AND(ISNUMBER(资金流水!$B$1212),ISNUMBER(资金流水!$S$1212),资金流水!$S$1212&gt;=_辅助!$J$4,资金流水!$S$1212&lt;=_辅助!$J$2,OR(资金流水!$C$1212=$C$18,AND(资金流水!$AD$1212=$C$18,资金流水!$X$1212="账户互转"),AND($E$18&lt;&gt;"",资金流水!$J$1212=$E$18,资金流水!$X$1212="应付职工薪酬"))),INT(资金流水!$B$1212)*10000+1207,"")</f>
      </c>
    </row>
    <row r="1213">
      <c r="AA1213" s="2">
        <f>IF(AND(ISNUMBER(资金流水!$B$1213),ISNUMBER(资金流水!$S$1213),资金流水!$S$1213&gt;=_辅助!$J$4,资金流水!$S$1213&lt;=_辅助!$J$2,OR(资金流水!$C$1213=$C$18,AND(资金流水!$AD$1213=$C$18,资金流水!$X$1213="账户互转"),AND($E$18&lt;&gt;"",资金流水!$J$1213=$E$18,资金流水!$X$1213="应付职工薪酬"))),INT(资金流水!$B$1213)*10000+1208,"")</f>
      </c>
    </row>
    <row r="1214">
      <c r="AA1214" s="2">
        <f>IF(AND(ISNUMBER(资金流水!$B$1214),ISNUMBER(资金流水!$S$1214),资金流水!$S$1214&gt;=_辅助!$J$4,资金流水!$S$1214&lt;=_辅助!$J$2,OR(资金流水!$C$1214=$C$18,AND(资金流水!$AD$1214=$C$18,资金流水!$X$1214="账户互转"),AND($E$18&lt;&gt;"",资金流水!$J$1214=$E$18,资金流水!$X$1214="应付职工薪酬"))),INT(资金流水!$B$1214)*10000+1209,"")</f>
      </c>
    </row>
    <row r="1215">
      <c r="AA1215" s="2">
        <f>IF(AND(ISNUMBER(资金流水!$B$1215),ISNUMBER(资金流水!$S$1215),资金流水!$S$1215&gt;=_辅助!$J$4,资金流水!$S$1215&lt;=_辅助!$J$2,OR(资金流水!$C$1215=$C$18,AND(资金流水!$AD$1215=$C$18,资金流水!$X$1215="账户互转"),AND($E$18&lt;&gt;"",资金流水!$J$1215=$E$18,资金流水!$X$1215="应付职工薪酬"))),INT(资金流水!$B$1215)*10000+1210,"")</f>
      </c>
    </row>
    <row r="1216">
      <c r="AA1216" s="2">
        <f>IF(AND(ISNUMBER(资金流水!$B$1216),ISNUMBER(资金流水!$S$1216),资金流水!$S$1216&gt;=_辅助!$J$4,资金流水!$S$1216&lt;=_辅助!$J$2,OR(资金流水!$C$1216=$C$18,AND(资金流水!$AD$1216=$C$18,资金流水!$X$1216="账户互转"),AND($E$18&lt;&gt;"",资金流水!$J$1216=$E$18,资金流水!$X$1216="应付职工薪酬"))),INT(资金流水!$B$1216)*10000+1211,"")</f>
      </c>
    </row>
    <row r="1217">
      <c r="AA1217" s="2">
        <f>IF(AND(ISNUMBER(资金流水!$B$1217),ISNUMBER(资金流水!$S$1217),资金流水!$S$1217&gt;=_辅助!$J$4,资金流水!$S$1217&lt;=_辅助!$J$2,OR(资金流水!$C$1217=$C$18,AND(资金流水!$AD$1217=$C$18,资金流水!$X$1217="账户互转"),AND($E$18&lt;&gt;"",资金流水!$J$1217=$E$18,资金流水!$X$1217="应付职工薪酬"))),INT(资金流水!$B$1217)*10000+1212,"")</f>
      </c>
    </row>
    <row r="1218">
      <c r="AA1218" s="2">
        <f>IF(AND(ISNUMBER(资金流水!$B$1218),ISNUMBER(资金流水!$S$1218),资金流水!$S$1218&gt;=_辅助!$J$4,资金流水!$S$1218&lt;=_辅助!$J$2,OR(资金流水!$C$1218=$C$18,AND(资金流水!$AD$1218=$C$18,资金流水!$X$1218="账户互转"),AND($E$18&lt;&gt;"",资金流水!$J$1218=$E$18,资金流水!$X$1218="应付职工薪酬"))),INT(资金流水!$B$1218)*10000+1213,"")</f>
      </c>
    </row>
    <row r="1219">
      <c r="AA1219" s="2">
        <f>IF(AND(ISNUMBER(资金流水!$B$1219),ISNUMBER(资金流水!$S$1219),资金流水!$S$1219&gt;=_辅助!$J$4,资金流水!$S$1219&lt;=_辅助!$J$2,OR(资金流水!$C$1219=$C$18,AND(资金流水!$AD$1219=$C$18,资金流水!$X$1219="账户互转"),AND($E$18&lt;&gt;"",资金流水!$J$1219=$E$18,资金流水!$X$1219="应付职工薪酬"))),INT(资金流水!$B$1219)*10000+1214,"")</f>
      </c>
    </row>
    <row r="1220">
      <c r="AA1220" s="2">
        <f>IF(AND(ISNUMBER(资金流水!$B$1220),ISNUMBER(资金流水!$S$1220),资金流水!$S$1220&gt;=_辅助!$J$4,资金流水!$S$1220&lt;=_辅助!$J$2,OR(资金流水!$C$1220=$C$18,AND(资金流水!$AD$1220=$C$18,资金流水!$X$1220="账户互转"),AND($E$18&lt;&gt;"",资金流水!$J$1220=$E$18,资金流水!$X$1220="应付职工薪酬"))),INT(资金流水!$B$1220)*10000+1215,"")</f>
      </c>
    </row>
    <row r="1221">
      <c r="AA1221" s="2">
        <f>IF(AND(ISNUMBER(资金流水!$B$1221),ISNUMBER(资金流水!$S$1221),资金流水!$S$1221&gt;=_辅助!$J$4,资金流水!$S$1221&lt;=_辅助!$J$2,OR(资金流水!$C$1221=$C$18,AND(资金流水!$AD$1221=$C$18,资金流水!$X$1221="账户互转"),AND($E$18&lt;&gt;"",资金流水!$J$1221=$E$18,资金流水!$X$1221="应付职工薪酬"))),INT(资金流水!$B$1221)*10000+1216,"")</f>
      </c>
    </row>
    <row r="1222">
      <c r="AA1222" s="2">
        <f>IF(AND(ISNUMBER(资金流水!$B$1222),ISNUMBER(资金流水!$S$1222),资金流水!$S$1222&gt;=_辅助!$J$4,资金流水!$S$1222&lt;=_辅助!$J$2,OR(资金流水!$C$1222=$C$18,AND(资金流水!$AD$1222=$C$18,资金流水!$X$1222="账户互转"),AND($E$18&lt;&gt;"",资金流水!$J$1222=$E$18,资金流水!$X$1222="应付职工薪酬"))),INT(资金流水!$B$1222)*10000+1217,"")</f>
      </c>
    </row>
    <row r="1223">
      <c r="AA1223" s="2">
        <f>IF(AND(ISNUMBER(资金流水!$B$1223),ISNUMBER(资金流水!$S$1223),资金流水!$S$1223&gt;=_辅助!$J$4,资金流水!$S$1223&lt;=_辅助!$J$2,OR(资金流水!$C$1223=$C$18,AND(资金流水!$AD$1223=$C$18,资金流水!$X$1223="账户互转"),AND($E$18&lt;&gt;"",资金流水!$J$1223=$E$18,资金流水!$X$1223="应付职工薪酬"))),INT(资金流水!$B$1223)*10000+1218,"")</f>
      </c>
    </row>
    <row r="1224">
      <c r="AA1224" s="2">
        <f>IF(AND(ISNUMBER(资金流水!$B$1224),ISNUMBER(资金流水!$S$1224),资金流水!$S$1224&gt;=_辅助!$J$4,资金流水!$S$1224&lt;=_辅助!$J$2,OR(资金流水!$C$1224=$C$18,AND(资金流水!$AD$1224=$C$18,资金流水!$X$1224="账户互转"),AND($E$18&lt;&gt;"",资金流水!$J$1224=$E$18,资金流水!$X$1224="应付职工薪酬"))),INT(资金流水!$B$1224)*10000+1219,"")</f>
      </c>
    </row>
    <row r="1225">
      <c r="AA1225" s="2">
        <f>IF(AND(ISNUMBER(资金流水!$B$1225),ISNUMBER(资金流水!$S$1225),资金流水!$S$1225&gt;=_辅助!$J$4,资金流水!$S$1225&lt;=_辅助!$J$2,OR(资金流水!$C$1225=$C$18,AND(资金流水!$AD$1225=$C$18,资金流水!$X$1225="账户互转"),AND($E$18&lt;&gt;"",资金流水!$J$1225=$E$18,资金流水!$X$1225="应付职工薪酬"))),INT(资金流水!$B$1225)*10000+1220,"")</f>
      </c>
    </row>
    <row r="1226">
      <c r="AA1226" s="2">
        <f>IF(AND(ISNUMBER(资金流水!$B$1226),ISNUMBER(资金流水!$S$1226),资金流水!$S$1226&gt;=_辅助!$J$4,资金流水!$S$1226&lt;=_辅助!$J$2,OR(资金流水!$C$1226=$C$18,AND(资金流水!$AD$1226=$C$18,资金流水!$X$1226="账户互转"),AND($E$18&lt;&gt;"",资金流水!$J$1226=$E$18,资金流水!$X$1226="应付职工薪酬"))),INT(资金流水!$B$1226)*10000+1221,"")</f>
      </c>
    </row>
    <row r="1227">
      <c r="AA1227" s="2">
        <f>IF(AND(ISNUMBER(资金流水!$B$1227),ISNUMBER(资金流水!$S$1227),资金流水!$S$1227&gt;=_辅助!$J$4,资金流水!$S$1227&lt;=_辅助!$J$2,OR(资金流水!$C$1227=$C$18,AND(资金流水!$AD$1227=$C$18,资金流水!$X$1227="账户互转"),AND($E$18&lt;&gt;"",资金流水!$J$1227=$E$18,资金流水!$X$1227="应付职工薪酬"))),INT(资金流水!$B$1227)*10000+1222,"")</f>
      </c>
    </row>
    <row r="1228">
      <c r="AA1228" s="2">
        <f>IF(AND(ISNUMBER(资金流水!$B$1228),ISNUMBER(资金流水!$S$1228),资金流水!$S$1228&gt;=_辅助!$J$4,资金流水!$S$1228&lt;=_辅助!$J$2,OR(资金流水!$C$1228=$C$18,AND(资金流水!$AD$1228=$C$18,资金流水!$X$1228="账户互转"),AND($E$18&lt;&gt;"",资金流水!$J$1228=$E$18,资金流水!$X$1228="应付职工薪酬"))),INT(资金流水!$B$1228)*10000+1223,"")</f>
      </c>
    </row>
    <row r="1229">
      <c r="AA1229" s="2">
        <f>IF(AND(ISNUMBER(资金流水!$B$1229),ISNUMBER(资金流水!$S$1229),资金流水!$S$1229&gt;=_辅助!$J$4,资金流水!$S$1229&lt;=_辅助!$J$2,OR(资金流水!$C$1229=$C$18,AND(资金流水!$AD$1229=$C$18,资金流水!$X$1229="账户互转"),AND($E$18&lt;&gt;"",资金流水!$J$1229=$E$18,资金流水!$X$1229="应付职工薪酬"))),INT(资金流水!$B$1229)*10000+1224,"")</f>
      </c>
    </row>
    <row r="1230">
      <c r="AA1230" s="2">
        <f>IF(AND(ISNUMBER(资金流水!$B$1230),ISNUMBER(资金流水!$S$1230),资金流水!$S$1230&gt;=_辅助!$J$4,资金流水!$S$1230&lt;=_辅助!$J$2,OR(资金流水!$C$1230=$C$18,AND(资金流水!$AD$1230=$C$18,资金流水!$X$1230="账户互转"),AND($E$18&lt;&gt;"",资金流水!$J$1230=$E$18,资金流水!$X$1230="应付职工薪酬"))),INT(资金流水!$B$1230)*10000+1225,"")</f>
      </c>
    </row>
    <row r="1231">
      <c r="AA1231" s="2">
        <f>IF(AND(ISNUMBER(资金流水!$B$1231),ISNUMBER(资金流水!$S$1231),资金流水!$S$1231&gt;=_辅助!$J$4,资金流水!$S$1231&lt;=_辅助!$J$2,OR(资金流水!$C$1231=$C$18,AND(资金流水!$AD$1231=$C$18,资金流水!$X$1231="账户互转"),AND($E$18&lt;&gt;"",资金流水!$J$1231=$E$18,资金流水!$X$1231="应付职工薪酬"))),INT(资金流水!$B$1231)*10000+1226,"")</f>
      </c>
    </row>
    <row r="1232">
      <c r="AA1232" s="2">
        <f>IF(AND(ISNUMBER(资金流水!$B$1232),ISNUMBER(资金流水!$S$1232),资金流水!$S$1232&gt;=_辅助!$J$4,资金流水!$S$1232&lt;=_辅助!$J$2,OR(资金流水!$C$1232=$C$18,AND(资金流水!$AD$1232=$C$18,资金流水!$X$1232="账户互转"),AND($E$18&lt;&gt;"",资金流水!$J$1232=$E$18,资金流水!$X$1232="应付职工薪酬"))),INT(资金流水!$B$1232)*10000+1227,"")</f>
      </c>
    </row>
    <row r="1233">
      <c r="AA1233" s="2">
        <f>IF(AND(ISNUMBER(资金流水!$B$1233),ISNUMBER(资金流水!$S$1233),资金流水!$S$1233&gt;=_辅助!$J$4,资金流水!$S$1233&lt;=_辅助!$J$2,OR(资金流水!$C$1233=$C$18,AND(资金流水!$AD$1233=$C$18,资金流水!$X$1233="账户互转"),AND($E$18&lt;&gt;"",资金流水!$J$1233=$E$18,资金流水!$X$1233="应付职工薪酬"))),INT(资金流水!$B$1233)*10000+1228,"")</f>
      </c>
    </row>
    <row r="1234">
      <c r="AA1234" s="2">
        <f>IF(AND(ISNUMBER(资金流水!$B$1234),ISNUMBER(资金流水!$S$1234),资金流水!$S$1234&gt;=_辅助!$J$4,资金流水!$S$1234&lt;=_辅助!$J$2,OR(资金流水!$C$1234=$C$18,AND(资金流水!$AD$1234=$C$18,资金流水!$X$1234="账户互转"),AND($E$18&lt;&gt;"",资金流水!$J$1234=$E$18,资金流水!$X$1234="应付职工薪酬"))),INT(资金流水!$B$1234)*10000+1229,"")</f>
      </c>
    </row>
    <row r="1235">
      <c r="AA1235" s="2">
        <f>IF(AND(ISNUMBER(资金流水!$B$1235),ISNUMBER(资金流水!$S$1235),资金流水!$S$1235&gt;=_辅助!$J$4,资金流水!$S$1235&lt;=_辅助!$J$2,OR(资金流水!$C$1235=$C$18,AND(资金流水!$AD$1235=$C$18,资金流水!$X$1235="账户互转"),AND($E$18&lt;&gt;"",资金流水!$J$1235=$E$18,资金流水!$X$1235="应付职工薪酬"))),INT(资金流水!$B$1235)*10000+1230,"")</f>
      </c>
    </row>
    <row r="1236">
      <c r="AA1236" s="2">
        <f>IF(AND(ISNUMBER(资金流水!$B$1236),ISNUMBER(资金流水!$S$1236),资金流水!$S$1236&gt;=_辅助!$J$4,资金流水!$S$1236&lt;=_辅助!$J$2,OR(资金流水!$C$1236=$C$18,AND(资金流水!$AD$1236=$C$18,资金流水!$X$1236="账户互转"),AND($E$18&lt;&gt;"",资金流水!$J$1236=$E$18,资金流水!$X$1236="应付职工薪酬"))),INT(资金流水!$B$1236)*10000+1231,"")</f>
      </c>
    </row>
    <row r="1237">
      <c r="AA1237" s="2">
        <f>IF(AND(ISNUMBER(资金流水!$B$1237),ISNUMBER(资金流水!$S$1237),资金流水!$S$1237&gt;=_辅助!$J$4,资金流水!$S$1237&lt;=_辅助!$J$2,OR(资金流水!$C$1237=$C$18,AND(资金流水!$AD$1237=$C$18,资金流水!$X$1237="账户互转"),AND($E$18&lt;&gt;"",资金流水!$J$1237=$E$18,资金流水!$X$1237="应付职工薪酬"))),INT(资金流水!$B$1237)*10000+1232,"")</f>
      </c>
    </row>
    <row r="1238">
      <c r="AA1238" s="2">
        <f>IF(AND(ISNUMBER(资金流水!$B$1238),ISNUMBER(资金流水!$S$1238),资金流水!$S$1238&gt;=_辅助!$J$4,资金流水!$S$1238&lt;=_辅助!$J$2,OR(资金流水!$C$1238=$C$18,AND(资金流水!$AD$1238=$C$18,资金流水!$X$1238="账户互转"),AND($E$18&lt;&gt;"",资金流水!$J$1238=$E$18,资金流水!$X$1238="应付职工薪酬"))),INT(资金流水!$B$1238)*10000+1233,"")</f>
      </c>
    </row>
    <row r="1239">
      <c r="AA1239" s="2">
        <f>IF(AND(ISNUMBER(资金流水!$B$1239),ISNUMBER(资金流水!$S$1239),资金流水!$S$1239&gt;=_辅助!$J$4,资金流水!$S$1239&lt;=_辅助!$J$2,OR(资金流水!$C$1239=$C$18,AND(资金流水!$AD$1239=$C$18,资金流水!$X$1239="账户互转"),AND($E$18&lt;&gt;"",资金流水!$J$1239=$E$18,资金流水!$X$1239="应付职工薪酬"))),INT(资金流水!$B$1239)*10000+1234,"")</f>
      </c>
    </row>
    <row r="1240">
      <c r="AA1240" s="2">
        <f>IF(AND(ISNUMBER(资金流水!$B$1240),ISNUMBER(资金流水!$S$1240),资金流水!$S$1240&gt;=_辅助!$J$4,资金流水!$S$1240&lt;=_辅助!$J$2,OR(资金流水!$C$1240=$C$18,AND(资金流水!$AD$1240=$C$18,资金流水!$X$1240="账户互转"),AND($E$18&lt;&gt;"",资金流水!$J$1240=$E$18,资金流水!$X$1240="应付职工薪酬"))),INT(资金流水!$B$1240)*10000+1235,"")</f>
      </c>
    </row>
    <row r="1241">
      <c r="AA1241" s="2">
        <f>IF(AND(ISNUMBER(资金流水!$B$1241),ISNUMBER(资金流水!$S$1241),资金流水!$S$1241&gt;=_辅助!$J$4,资金流水!$S$1241&lt;=_辅助!$J$2,OR(资金流水!$C$1241=$C$18,AND(资金流水!$AD$1241=$C$18,资金流水!$X$1241="账户互转"),AND($E$18&lt;&gt;"",资金流水!$J$1241=$E$18,资金流水!$X$1241="应付职工薪酬"))),INT(资金流水!$B$1241)*10000+1236,"")</f>
      </c>
    </row>
    <row r="1242">
      <c r="AA1242" s="2">
        <f>IF(AND(ISNUMBER(资金流水!$B$1242),ISNUMBER(资金流水!$S$1242),资金流水!$S$1242&gt;=_辅助!$J$4,资金流水!$S$1242&lt;=_辅助!$J$2,OR(资金流水!$C$1242=$C$18,AND(资金流水!$AD$1242=$C$18,资金流水!$X$1242="账户互转"),AND($E$18&lt;&gt;"",资金流水!$J$1242=$E$18,资金流水!$X$1242="应付职工薪酬"))),INT(资金流水!$B$1242)*10000+1237,"")</f>
      </c>
    </row>
    <row r="1243">
      <c r="AA1243" s="2">
        <f>IF(AND(ISNUMBER(资金流水!$B$1243),ISNUMBER(资金流水!$S$1243),资金流水!$S$1243&gt;=_辅助!$J$4,资金流水!$S$1243&lt;=_辅助!$J$2,OR(资金流水!$C$1243=$C$18,AND(资金流水!$AD$1243=$C$18,资金流水!$X$1243="账户互转"),AND($E$18&lt;&gt;"",资金流水!$J$1243=$E$18,资金流水!$X$1243="应付职工薪酬"))),INT(资金流水!$B$1243)*10000+1238,"")</f>
      </c>
    </row>
    <row r="1244">
      <c r="AA1244" s="2">
        <f>IF(AND(ISNUMBER(资金流水!$B$1244),ISNUMBER(资金流水!$S$1244),资金流水!$S$1244&gt;=_辅助!$J$4,资金流水!$S$1244&lt;=_辅助!$J$2,OR(资金流水!$C$1244=$C$18,AND(资金流水!$AD$1244=$C$18,资金流水!$X$1244="账户互转"),AND($E$18&lt;&gt;"",资金流水!$J$1244=$E$18,资金流水!$X$1244="应付职工薪酬"))),INT(资金流水!$B$1244)*10000+1239,"")</f>
      </c>
    </row>
    <row r="1245">
      <c r="AA1245" s="2">
        <f>IF(AND(ISNUMBER(资金流水!$B$1245),ISNUMBER(资金流水!$S$1245),资金流水!$S$1245&gt;=_辅助!$J$4,资金流水!$S$1245&lt;=_辅助!$J$2,OR(资金流水!$C$1245=$C$18,AND(资金流水!$AD$1245=$C$18,资金流水!$X$1245="账户互转"),AND($E$18&lt;&gt;"",资金流水!$J$1245=$E$18,资金流水!$X$1245="应付职工薪酬"))),INT(资金流水!$B$1245)*10000+1240,"")</f>
      </c>
    </row>
    <row r="1246">
      <c r="AA1246" s="2">
        <f>IF(AND(ISNUMBER(资金流水!$B$1246),ISNUMBER(资金流水!$S$1246),资金流水!$S$1246&gt;=_辅助!$J$4,资金流水!$S$1246&lt;=_辅助!$J$2,OR(资金流水!$C$1246=$C$18,AND(资金流水!$AD$1246=$C$18,资金流水!$X$1246="账户互转"),AND($E$18&lt;&gt;"",资金流水!$J$1246=$E$18,资金流水!$X$1246="应付职工薪酬"))),INT(资金流水!$B$1246)*10000+1241,"")</f>
      </c>
    </row>
    <row r="1247">
      <c r="AA1247" s="2">
        <f>IF(AND(ISNUMBER(资金流水!$B$1247),ISNUMBER(资金流水!$S$1247),资金流水!$S$1247&gt;=_辅助!$J$4,资金流水!$S$1247&lt;=_辅助!$J$2,OR(资金流水!$C$1247=$C$18,AND(资金流水!$AD$1247=$C$18,资金流水!$X$1247="账户互转"),AND($E$18&lt;&gt;"",资金流水!$J$1247=$E$18,资金流水!$X$1247="应付职工薪酬"))),INT(资金流水!$B$1247)*10000+1242,"")</f>
      </c>
    </row>
    <row r="1248">
      <c r="AA1248" s="2">
        <f>IF(AND(ISNUMBER(资金流水!$B$1248),ISNUMBER(资金流水!$S$1248),资金流水!$S$1248&gt;=_辅助!$J$4,资金流水!$S$1248&lt;=_辅助!$J$2,OR(资金流水!$C$1248=$C$18,AND(资金流水!$AD$1248=$C$18,资金流水!$X$1248="账户互转"),AND($E$18&lt;&gt;"",资金流水!$J$1248=$E$18,资金流水!$X$1248="应付职工薪酬"))),INT(资金流水!$B$1248)*10000+1243,"")</f>
      </c>
    </row>
    <row r="1249">
      <c r="AA1249" s="2">
        <f>IF(AND(ISNUMBER(资金流水!$B$1249),ISNUMBER(资金流水!$S$1249),资金流水!$S$1249&gt;=_辅助!$J$4,资金流水!$S$1249&lt;=_辅助!$J$2,OR(资金流水!$C$1249=$C$18,AND(资金流水!$AD$1249=$C$18,资金流水!$X$1249="账户互转"),AND($E$18&lt;&gt;"",资金流水!$J$1249=$E$18,资金流水!$X$1249="应付职工薪酬"))),INT(资金流水!$B$1249)*10000+1244,"")</f>
      </c>
    </row>
    <row r="1250">
      <c r="AA1250" s="2">
        <f>IF(AND(ISNUMBER(资金流水!$B$1250),ISNUMBER(资金流水!$S$1250),资金流水!$S$1250&gt;=_辅助!$J$4,资金流水!$S$1250&lt;=_辅助!$J$2,OR(资金流水!$C$1250=$C$18,AND(资金流水!$AD$1250=$C$18,资金流水!$X$1250="账户互转"),AND($E$18&lt;&gt;"",资金流水!$J$1250=$E$18,资金流水!$X$1250="应付职工薪酬"))),INT(资金流水!$B$1250)*10000+1245,"")</f>
      </c>
    </row>
    <row r="1251">
      <c r="AA1251" s="2">
        <f>IF(AND(ISNUMBER(资金流水!$B$1251),ISNUMBER(资金流水!$S$1251),资金流水!$S$1251&gt;=_辅助!$J$4,资金流水!$S$1251&lt;=_辅助!$J$2,OR(资金流水!$C$1251=$C$18,AND(资金流水!$AD$1251=$C$18,资金流水!$X$1251="账户互转"),AND($E$18&lt;&gt;"",资金流水!$J$1251=$E$18,资金流水!$X$1251="应付职工薪酬"))),INT(资金流水!$B$1251)*10000+1246,"")</f>
      </c>
    </row>
    <row r="1252">
      <c r="AA1252" s="2">
        <f>IF(AND(ISNUMBER(资金流水!$B$1252),ISNUMBER(资金流水!$S$1252),资金流水!$S$1252&gt;=_辅助!$J$4,资金流水!$S$1252&lt;=_辅助!$J$2,OR(资金流水!$C$1252=$C$18,AND(资金流水!$AD$1252=$C$18,资金流水!$X$1252="账户互转"),AND($E$18&lt;&gt;"",资金流水!$J$1252=$E$18,资金流水!$X$1252="应付职工薪酬"))),INT(资金流水!$B$1252)*10000+1247,"")</f>
      </c>
    </row>
    <row r="1253">
      <c r="AA1253" s="2">
        <f>IF(AND(ISNUMBER(资金流水!$B$1253),ISNUMBER(资金流水!$S$1253),资金流水!$S$1253&gt;=_辅助!$J$4,资金流水!$S$1253&lt;=_辅助!$J$2,OR(资金流水!$C$1253=$C$18,AND(资金流水!$AD$1253=$C$18,资金流水!$X$1253="账户互转"),AND($E$18&lt;&gt;"",资金流水!$J$1253=$E$18,资金流水!$X$1253="应付职工薪酬"))),INT(资金流水!$B$1253)*10000+1248,"")</f>
      </c>
    </row>
    <row r="1254">
      <c r="AA1254" s="2">
        <f>IF(AND(ISNUMBER(资金流水!$B$1254),ISNUMBER(资金流水!$S$1254),资金流水!$S$1254&gt;=_辅助!$J$4,资金流水!$S$1254&lt;=_辅助!$J$2,OR(资金流水!$C$1254=$C$18,AND(资金流水!$AD$1254=$C$18,资金流水!$X$1254="账户互转"),AND($E$18&lt;&gt;"",资金流水!$J$1254=$E$18,资金流水!$X$1254="应付职工薪酬"))),INT(资金流水!$B$1254)*10000+1249,"")</f>
      </c>
    </row>
    <row r="1255">
      <c r="AA1255" s="2">
        <f>IF(AND(ISNUMBER(资金流水!$B$1255),ISNUMBER(资金流水!$S$1255),资金流水!$S$1255&gt;=_辅助!$J$4,资金流水!$S$1255&lt;=_辅助!$J$2,OR(资金流水!$C$1255=$C$18,AND(资金流水!$AD$1255=$C$18,资金流水!$X$1255="账户互转"),AND($E$18&lt;&gt;"",资金流水!$J$1255=$E$18,资金流水!$X$1255="应付职工薪酬"))),INT(资金流水!$B$1255)*10000+1250,"")</f>
      </c>
    </row>
    <row r="1256">
      <c r="AA1256" s="2">
        <f>IF(AND(ISNUMBER(资金流水!$B$1256),ISNUMBER(资金流水!$S$1256),资金流水!$S$1256&gt;=_辅助!$J$4,资金流水!$S$1256&lt;=_辅助!$J$2,OR(资金流水!$C$1256=$C$18,AND(资金流水!$AD$1256=$C$18,资金流水!$X$1256="账户互转"),AND($E$18&lt;&gt;"",资金流水!$J$1256=$E$18,资金流水!$X$1256="应付职工薪酬"))),INT(资金流水!$B$1256)*10000+1251,"")</f>
      </c>
    </row>
    <row r="1257">
      <c r="AA1257" s="2">
        <f>IF(AND(ISNUMBER(资金流水!$B$1257),ISNUMBER(资金流水!$S$1257),资金流水!$S$1257&gt;=_辅助!$J$4,资金流水!$S$1257&lt;=_辅助!$J$2,OR(资金流水!$C$1257=$C$18,AND(资金流水!$AD$1257=$C$18,资金流水!$X$1257="账户互转"),AND($E$18&lt;&gt;"",资金流水!$J$1257=$E$18,资金流水!$X$1257="应付职工薪酬"))),INT(资金流水!$B$1257)*10000+1252,"")</f>
      </c>
    </row>
    <row r="1258">
      <c r="AA1258" s="2">
        <f>IF(AND(ISNUMBER(资金流水!$B$1258),ISNUMBER(资金流水!$S$1258),资金流水!$S$1258&gt;=_辅助!$J$4,资金流水!$S$1258&lt;=_辅助!$J$2,OR(资金流水!$C$1258=$C$18,AND(资金流水!$AD$1258=$C$18,资金流水!$X$1258="账户互转"),AND($E$18&lt;&gt;"",资金流水!$J$1258=$E$18,资金流水!$X$1258="应付职工薪酬"))),INT(资金流水!$B$1258)*10000+1253,"")</f>
      </c>
    </row>
    <row r="1259">
      <c r="AA1259" s="2">
        <f>IF(AND(ISNUMBER(资金流水!$B$1259),ISNUMBER(资金流水!$S$1259),资金流水!$S$1259&gt;=_辅助!$J$4,资金流水!$S$1259&lt;=_辅助!$J$2,OR(资金流水!$C$1259=$C$18,AND(资金流水!$AD$1259=$C$18,资金流水!$X$1259="账户互转"),AND($E$18&lt;&gt;"",资金流水!$J$1259=$E$18,资金流水!$X$1259="应付职工薪酬"))),INT(资金流水!$B$1259)*10000+1254,"")</f>
      </c>
    </row>
    <row r="1260">
      <c r="AA1260" s="2">
        <f>IF(AND(ISNUMBER(资金流水!$B$1260),ISNUMBER(资金流水!$S$1260),资金流水!$S$1260&gt;=_辅助!$J$4,资金流水!$S$1260&lt;=_辅助!$J$2,OR(资金流水!$C$1260=$C$18,AND(资金流水!$AD$1260=$C$18,资金流水!$X$1260="账户互转"),AND($E$18&lt;&gt;"",资金流水!$J$1260=$E$18,资金流水!$X$1260="应付职工薪酬"))),INT(资金流水!$B$1260)*10000+1255,"")</f>
      </c>
    </row>
    <row r="1261">
      <c r="AA1261" s="2">
        <f>IF(AND(ISNUMBER(资金流水!$B$1261),ISNUMBER(资金流水!$S$1261),资金流水!$S$1261&gt;=_辅助!$J$4,资金流水!$S$1261&lt;=_辅助!$J$2,OR(资金流水!$C$1261=$C$18,AND(资金流水!$AD$1261=$C$18,资金流水!$X$1261="账户互转"),AND($E$18&lt;&gt;"",资金流水!$J$1261=$E$18,资金流水!$X$1261="应付职工薪酬"))),INT(资金流水!$B$1261)*10000+1256,"")</f>
      </c>
    </row>
    <row r="1262">
      <c r="AA1262" s="2">
        <f>IF(AND(ISNUMBER(资金流水!$B$1262),ISNUMBER(资金流水!$S$1262),资金流水!$S$1262&gt;=_辅助!$J$4,资金流水!$S$1262&lt;=_辅助!$J$2,OR(资金流水!$C$1262=$C$18,AND(资金流水!$AD$1262=$C$18,资金流水!$X$1262="账户互转"),AND($E$18&lt;&gt;"",资金流水!$J$1262=$E$18,资金流水!$X$1262="应付职工薪酬"))),INT(资金流水!$B$1262)*10000+1257,"")</f>
      </c>
    </row>
    <row r="1263">
      <c r="AA1263" s="2">
        <f>IF(AND(ISNUMBER(资金流水!$B$1263),ISNUMBER(资金流水!$S$1263),资金流水!$S$1263&gt;=_辅助!$J$4,资金流水!$S$1263&lt;=_辅助!$J$2,OR(资金流水!$C$1263=$C$18,AND(资金流水!$AD$1263=$C$18,资金流水!$X$1263="账户互转"),AND($E$18&lt;&gt;"",资金流水!$J$1263=$E$18,资金流水!$X$1263="应付职工薪酬"))),INT(资金流水!$B$1263)*10000+1258,"")</f>
      </c>
    </row>
    <row r="1264">
      <c r="AA1264" s="2">
        <f>IF(AND(ISNUMBER(资金流水!$B$1264),ISNUMBER(资金流水!$S$1264),资金流水!$S$1264&gt;=_辅助!$J$4,资金流水!$S$1264&lt;=_辅助!$J$2,OR(资金流水!$C$1264=$C$18,AND(资金流水!$AD$1264=$C$18,资金流水!$X$1264="账户互转"),AND($E$18&lt;&gt;"",资金流水!$J$1264=$E$18,资金流水!$X$1264="应付职工薪酬"))),INT(资金流水!$B$1264)*10000+1259,"")</f>
      </c>
    </row>
    <row r="1265">
      <c r="AA1265" s="2">
        <f>IF(AND(ISNUMBER(资金流水!$B$1265),ISNUMBER(资金流水!$S$1265),资金流水!$S$1265&gt;=_辅助!$J$4,资金流水!$S$1265&lt;=_辅助!$J$2,OR(资金流水!$C$1265=$C$18,AND(资金流水!$AD$1265=$C$18,资金流水!$X$1265="账户互转"),AND($E$18&lt;&gt;"",资金流水!$J$1265=$E$18,资金流水!$X$1265="应付职工薪酬"))),INT(资金流水!$B$1265)*10000+1260,"")</f>
      </c>
    </row>
    <row r="1266">
      <c r="AA1266" s="2">
        <f>IF(AND(ISNUMBER(资金流水!$B$1266),ISNUMBER(资金流水!$S$1266),资金流水!$S$1266&gt;=_辅助!$J$4,资金流水!$S$1266&lt;=_辅助!$J$2,OR(资金流水!$C$1266=$C$18,AND(资金流水!$AD$1266=$C$18,资金流水!$X$1266="账户互转"),AND($E$18&lt;&gt;"",资金流水!$J$1266=$E$18,资金流水!$X$1266="应付职工薪酬"))),INT(资金流水!$B$1266)*10000+1261,"")</f>
      </c>
    </row>
    <row r="1267">
      <c r="AA1267" s="2">
        <f>IF(AND(ISNUMBER(资金流水!$B$1267),ISNUMBER(资金流水!$S$1267),资金流水!$S$1267&gt;=_辅助!$J$4,资金流水!$S$1267&lt;=_辅助!$J$2,OR(资金流水!$C$1267=$C$18,AND(资金流水!$AD$1267=$C$18,资金流水!$X$1267="账户互转"),AND($E$18&lt;&gt;"",资金流水!$J$1267=$E$18,资金流水!$X$1267="应付职工薪酬"))),INT(资金流水!$B$1267)*10000+1262,"")</f>
      </c>
    </row>
    <row r="1268">
      <c r="AA1268" s="2">
        <f>IF(AND(ISNUMBER(资金流水!$B$1268),ISNUMBER(资金流水!$S$1268),资金流水!$S$1268&gt;=_辅助!$J$4,资金流水!$S$1268&lt;=_辅助!$J$2,OR(资金流水!$C$1268=$C$18,AND(资金流水!$AD$1268=$C$18,资金流水!$X$1268="账户互转"),AND($E$18&lt;&gt;"",资金流水!$J$1268=$E$18,资金流水!$X$1268="应付职工薪酬"))),INT(资金流水!$B$1268)*10000+1263,"")</f>
      </c>
    </row>
    <row r="1269">
      <c r="AA1269" s="2">
        <f>IF(AND(ISNUMBER(资金流水!$B$1269),ISNUMBER(资金流水!$S$1269),资金流水!$S$1269&gt;=_辅助!$J$4,资金流水!$S$1269&lt;=_辅助!$J$2,OR(资金流水!$C$1269=$C$18,AND(资金流水!$AD$1269=$C$18,资金流水!$X$1269="账户互转"),AND($E$18&lt;&gt;"",资金流水!$J$1269=$E$18,资金流水!$X$1269="应付职工薪酬"))),INT(资金流水!$B$1269)*10000+1264,"")</f>
      </c>
    </row>
    <row r="1270">
      <c r="AA1270" s="2">
        <f>IF(AND(ISNUMBER(资金流水!$B$1270),ISNUMBER(资金流水!$S$1270),资金流水!$S$1270&gt;=_辅助!$J$4,资金流水!$S$1270&lt;=_辅助!$J$2,OR(资金流水!$C$1270=$C$18,AND(资金流水!$AD$1270=$C$18,资金流水!$X$1270="账户互转"),AND($E$18&lt;&gt;"",资金流水!$J$1270=$E$18,资金流水!$X$1270="应付职工薪酬"))),INT(资金流水!$B$1270)*10000+1265,"")</f>
      </c>
    </row>
    <row r="1271">
      <c r="AA1271" s="2">
        <f>IF(AND(ISNUMBER(资金流水!$B$1271),ISNUMBER(资金流水!$S$1271),资金流水!$S$1271&gt;=_辅助!$J$4,资金流水!$S$1271&lt;=_辅助!$J$2,OR(资金流水!$C$1271=$C$18,AND(资金流水!$AD$1271=$C$18,资金流水!$X$1271="账户互转"),AND($E$18&lt;&gt;"",资金流水!$J$1271=$E$18,资金流水!$X$1271="应付职工薪酬"))),INT(资金流水!$B$1271)*10000+1266,"")</f>
      </c>
    </row>
    <row r="1272">
      <c r="AA1272" s="2">
        <f>IF(AND(ISNUMBER(资金流水!$B$1272),ISNUMBER(资金流水!$S$1272),资金流水!$S$1272&gt;=_辅助!$J$4,资金流水!$S$1272&lt;=_辅助!$J$2,OR(资金流水!$C$1272=$C$18,AND(资金流水!$AD$1272=$C$18,资金流水!$X$1272="账户互转"),AND($E$18&lt;&gt;"",资金流水!$J$1272=$E$18,资金流水!$X$1272="应付职工薪酬"))),INT(资金流水!$B$1272)*10000+1267,"")</f>
      </c>
    </row>
    <row r="1273">
      <c r="AA1273" s="2">
        <f>IF(AND(ISNUMBER(资金流水!$B$1273),ISNUMBER(资金流水!$S$1273),资金流水!$S$1273&gt;=_辅助!$J$4,资金流水!$S$1273&lt;=_辅助!$J$2,OR(资金流水!$C$1273=$C$18,AND(资金流水!$AD$1273=$C$18,资金流水!$X$1273="账户互转"),AND($E$18&lt;&gt;"",资金流水!$J$1273=$E$18,资金流水!$X$1273="应付职工薪酬"))),INT(资金流水!$B$1273)*10000+1268,"")</f>
      </c>
    </row>
    <row r="1274">
      <c r="AA1274" s="2">
        <f>IF(AND(ISNUMBER(资金流水!$B$1274),ISNUMBER(资金流水!$S$1274),资金流水!$S$1274&gt;=_辅助!$J$4,资金流水!$S$1274&lt;=_辅助!$J$2,OR(资金流水!$C$1274=$C$18,AND(资金流水!$AD$1274=$C$18,资金流水!$X$1274="账户互转"),AND($E$18&lt;&gt;"",资金流水!$J$1274=$E$18,资金流水!$X$1274="应付职工薪酬"))),INT(资金流水!$B$1274)*10000+1269,"")</f>
      </c>
    </row>
    <row r="1275">
      <c r="AA1275" s="2">
        <f>IF(AND(ISNUMBER(资金流水!$B$1275),ISNUMBER(资金流水!$S$1275),资金流水!$S$1275&gt;=_辅助!$J$4,资金流水!$S$1275&lt;=_辅助!$J$2,OR(资金流水!$C$1275=$C$18,AND(资金流水!$AD$1275=$C$18,资金流水!$X$1275="账户互转"),AND($E$18&lt;&gt;"",资金流水!$J$1275=$E$18,资金流水!$X$1275="应付职工薪酬"))),INT(资金流水!$B$1275)*10000+1270,"")</f>
      </c>
    </row>
    <row r="1276">
      <c r="AA1276" s="2">
        <f>IF(AND(ISNUMBER(资金流水!$B$1276),ISNUMBER(资金流水!$S$1276),资金流水!$S$1276&gt;=_辅助!$J$4,资金流水!$S$1276&lt;=_辅助!$J$2,OR(资金流水!$C$1276=$C$18,AND(资金流水!$AD$1276=$C$18,资金流水!$X$1276="账户互转"),AND($E$18&lt;&gt;"",资金流水!$J$1276=$E$18,资金流水!$X$1276="应付职工薪酬"))),INT(资金流水!$B$1276)*10000+1271,"")</f>
      </c>
    </row>
    <row r="1277">
      <c r="AA1277" s="2">
        <f>IF(AND(ISNUMBER(资金流水!$B$1277),ISNUMBER(资金流水!$S$1277),资金流水!$S$1277&gt;=_辅助!$J$4,资金流水!$S$1277&lt;=_辅助!$J$2,OR(资金流水!$C$1277=$C$18,AND(资金流水!$AD$1277=$C$18,资金流水!$X$1277="账户互转"),AND($E$18&lt;&gt;"",资金流水!$J$1277=$E$18,资金流水!$X$1277="应付职工薪酬"))),INT(资金流水!$B$1277)*10000+1272,"")</f>
      </c>
    </row>
    <row r="1278">
      <c r="AA1278" s="2">
        <f>IF(AND(ISNUMBER(资金流水!$B$1278),ISNUMBER(资金流水!$S$1278),资金流水!$S$1278&gt;=_辅助!$J$4,资金流水!$S$1278&lt;=_辅助!$J$2,OR(资金流水!$C$1278=$C$18,AND(资金流水!$AD$1278=$C$18,资金流水!$X$1278="账户互转"),AND($E$18&lt;&gt;"",资金流水!$J$1278=$E$18,资金流水!$X$1278="应付职工薪酬"))),INT(资金流水!$B$1278)*10000+1273,"")</f>
      </c>
    </row>
    <row r="1279">
      <c r="AA1279" s="2">
        <f>IF(AND(ISNUMBER(资金流水!$B$1279),ISNUMBER(资金流水!$S$1279),资金流水!$S$1279&gt;=_辅助!$J$4,资金流水!$S$1279&lt;=_辅助!$J$2,OR(资金流水!$C$1279=$C$18,AND(资金流水!$AD$1279=$C$18,资金流水!$X$1279="账户互转"),AND($E$18&lt;&gt;"",资金流水!$J$1279=$E$18,资金流水!$X$1279="应付职工薪酬"))),INT(资金流水!$B$1279)*10000+1274,"")</f>
      </c>
    </row>
    <row r="1280">
      <c r="AA1280" s="2">
        <f>IF(AND(ISNUMBER(资金流水!$B$1280),ISNUMBER(资金流水!$S$1280),资金流水!$S$1280&gt;=_辅助!$J$4,资金流水!$S$1280&lt;=_辅助!$J$2,OR(资金流水!$C$1280=$C$18,AND(资金流水!$AD$1280=$C$18,资金流水!$X$1280="账户互转"),AND($E$18&lt;&gt;"",资金流水!$J$1280=$E$18,资金流水!$X$1280="应付职工薪酬"))),INT(资金流水!$B$1280)*10000+1275,"")</f>
      </c>
    </row>
    <row r="1281">
      <c r="AA1281" s="2">
        <f>IF(AND(ISNUMBER(资金流水!$B$1281),ISNUMBER(资金流水!$S$1281),资金流水!$S$1281&gt;=_辅助!$J$4,资金流水!$S$1281&lt;=_辅助!$J$2,OR(资金流水!$C$1281=$C$18,AND(资金流水!$AD$1281=$C$18,资金流水!$X$1281="账户互转"),AND($E$18&lt;&gt;"",资金流水!$J$1281=$E$18,资金流水!$X$1281="应付职工薪酬"))),INT(资金流水!$B$1281)*10000+1276,"")</f>
      </c>
    </row>
    <row r="1282">
      <c r="AA1282" s="2">
        <f>IF(AND(ISNUMBER(资金流水!$B$1282),ISNUMBER(资金流水!$S$1282),资金流水!$S$1282&gt;=_辅助!$J$4,资金流水!$S$1282&lt;=_辅助!$J$2,OR(资金流水!$C$1282=$C$18,AND(资金流水!$AD$1282=$C$18,资金流水!$X$1282="账户互转"),AND($E$18&lt;&gt;"",资金流水!$J$1282=$E$18,资金流水!$X$1282="应付职工薪酬"))),INT(资金流水!$B$1282)*10000+1277,"")</f>
      </c>
    </row>
    <row r="1283">
      <c r="AA1283" s="2">
        <f>IF(AND(ISNUMBER(资金流水!$B$1283),ISNUMBER(资金流水!$S$1283),资金流水!$S$1283&gt;=_辅助!$J$4,资金流水!$S$1283&lt;=_辅助!$J$2,OR(资金流水!$C$1283=$C$18,AND(资金流水!$AD$1283=$C$18,资金流水!$X$1283="账户互转"),AND($E$18&lt;&gt;"",资金流水!$J$1283=$E$18,资金流水!$X$1283="应付职工薪酬"))),INT(资金流水!$B$1283)*10000+1278,"")</f>
      </c>
    </row>
    <row r="1284">
      <c r="AA1284" s="2">
        <f>IF(AND(ISNUMBER(资金流水!$B$1284),ISNUMBER(资金流水!$S$1284),资金流水!$S$1284&gt;=_辅助!$J$4,资金流水!$S$1284&lt;=_辅助!$J$2,OR(资金流水!$C$1284=$C$18,AND(资金流水!$AD$1284=$C$18,资金流水!$X$1284="账户互转"),AND($E$18&lt;&gt;"",资金流水!$J$1284=$E$18,资金流水!$X$1284="应付职工薪酬"))),INT(资金流水!$B$1284)*10000+1279,"")</f>
      </c>
    </row>
    <row r="1285">
      <c r="AA1285" s="2">
        <f>IF(AND(ISNUMBER(资金流水!$B$1285),ISNUMBER(资金流水!$S$1285),资金流水!$S$1285&gt;=_辅助!$J$4,资金流水!$S$1285&lt;=_辅助!$J$2,OR(资金流水!$C$1285=$C$18,AND(资金流水!$AD$1285=$C$18,资金流水!$X$1285="账户互转"),AND($E$18&lt;&gt;"",资金流水!$J$1285=$E$18,资金流水!$X$1285="应付职工薪酬"))),INT(资金流水!$B$1285)*10000+1280,"")</f>
      </c>
    </row>
    <row r="1286">
      <c r="AA1286" s="2">
        <f>IF(AND(ISNUMBER(资金流水!$B$1286),ISNUMBER(资金流水!$S$1286),资金流水!$S$1286&gt;=_辅助!$J$4,资金流水!$S$1286&lt;=_辅助!$J$2,OR(资金流水!$C$1286=$C$18,AND(资金流水!$AD$1286=$C$18,资金流水!$X$1286="账户互转"),AND($E$18&lt;&gt;"",资金流水!$J$1286=$E$18,资金流水!$X$1286="应付职工薪酬"))),INT(资金流水!$B$1286)*10000+1281,"")</f>
      </c>
    </row>
    <row r="1287">
      <c r="AA1287" s="2">
        <f>IF(AND(ISNUMBER(资金流水!$B$1287),ISNUMBER(资金流水!$S$1287),资金流水!$S$1287&gt;=_辅助!$J$4,资金流水!$S$1287&lt;=_辅助!$J$2,OR(资金流水!$C$1287=$C$18,AND(资金流水!$AD$1287=$C$18,资金流水!$X$1287="账户互转"),AND($E$18&lt;&gt;"",资金流水!$J$1287=$E$18,资金流水!$X$1287="应付职工薪酬"))),INT(资金流水!$B$1287)*10000+1282,"")</f>
      </c>
    </row>
    <row r="1288">
      <c r="AA1288" s="2">
        <f>IF(AND(ISNUMBER(资金流水!$B$1288),ISNUMBER(资金流水!$S$1288),资金流水!$S$1288&gt;=_辅助!$J$4,资金流水!$S$1288&lt;=_辅助!$J$2,OR(资金流水!$C$1288=$C$18,AND(资金流水!$AD$1288=$C$18,资金流水!$X$1288="账户互转"),AND($E$18&lt;&gt;"",资金流水!$J$1288=$E$18,资金流水!$X$1288="应付职工薪酬"))),INT(资金流水!$B$1288)*10000+1283,"")</f>
      </c>
    </row>
    <row r="1289">
      <c r="AA1289" s="2">
        <f>IF(AND(ISNUMBER(资金流水!$B$1289),ISNUMBER(资金流水!$S$1289),资金流水!$S$1289&gt;=_辅助!$J$4,资金流水!$S$1289&lt;=_辅助!$J$2,OR(资金流水!$C$1289=$C$18,AND(资金流水!$AD$1289=$C$18,资金流水!$X$1289="账户互转"),AND($E$18&lt;&gt;"",资金流水!$J$1289=$E$18,资金流水!$X$1289="应付职工薪酬"))),INT(资金流水!$B$1289)*10000+1284,"")</f>
      </c>
    </row>
    <row r="1290">
      <c r="AA1290" s="2">
        <f>IF(AND(ISNUMBER(资金流水!$B$1290),ISNUMBER(资金流水!$S$1290),资金流水!$S$1290&gt;=_辅助!$J$4,资金流水!$S$1290&lt;=_辅助!$J$2,OR(资金流水!$C$1290=$C$18,AND(资金流水!$AD$1290=$C$18,资金流水!$X$1290="账户互转"),AND($E$18&lt;&gt;"",资金流水!$J$1290=$E$18,资金流水!$X$1290="应付职工薪酬"))),INT(资金流水!$B$1290)*10000+1285,"")</f>
      </c>
    </row>
    <row r="1291">
      <c r="AA1291" s="2">
        <f>IF(AND(ISNUMBER(资金流水!$B$1291),ISNUMBER(资金流水!$S$1291),资金流水!$S$1291&gt;=_辅助!$J$4,资金流水!$S$1291&lt;=_辅助!$J$2,OR(资金流水!$C$1291=$C$18,AND(资金流水!$AD$1291=$C$18,资金流水!$X$1291="账户互转"),AND($E$18&lt;&gt;"",资金流水!$J$1291=$E$18,资金流水!$X$1291="应付职工薪酬"))),INT(资金流水!$B$1291)*10000+1286,"")</f>
      </c>
    </row>
    <row r="1292">
      <c r="AA1292" s="2">
        <f>IF(AND(ISNUMBER(资金流水!$B$1292),ISNUMBER(资金流水!$S$1292),资金流水!$S$1292&gt;=_辅助!$J$4,资金流水!$S$1292&lt;=_辅助!$J$2,OR(资金流水!$C$1292=$C$18,AND(资金流水!$AD$1292=$C$18,资金流水!$X$1292="账户互转"),AND($E$18&lt;&gt;"",资金流水!$J$1292=$E$18,资金流水!$X$1292="应付职工薪酬"))),INT(资金流水!$B$1292)*10000+1287,"")</f>
      </c>
    </row>
    <row r="1293">
      <c r="AA1293" s="2">
        <f>IF(AND(ISNUMBER(资金流水!$B$1293),ISNUMBER(资金流水!$S$1293),资金流水!$S$1293&gt;=_辅助!$J$4,资金流水!$S$1293&lt;=_辅助!$J$2,OR(资金流水!$C$1293=$C$18,AND(资金流水!$AD$1293=$C$18,资金流水!$X$1293="账户互转"),AND($E$18&lt;&gt;"",资金流水!$J$1293=$E$18,资金流水!$X$1293="应付职工薪酬"))),INT(资金流水!$B$1293)*10000+1288,"")</f>
      </c>
    </row>
    <row r="1294">
      <c r="AA1294" s="2">
        <f>IF(AND(ISNUMBER(资金流水!$B$1294),ISNUMBER(资金流水!$S$1294),资金流水!$S$1294&gt;=_辅助!$J$4,资金流水!$S$1294&lt;=_辅助!$J$2,OR(资金流水!$C$1294=$C$18,AND(资金流水!$AD$1294=$C$18,资金流水!$X$1294="账户互转"),AND($E$18&lt;&gt;"",资金流水!$J$1294=$E$18,资金流水!$X$1294="应付职工薪酬"))),INT(资金流水!$B$1294)*10000+1289,"")</f>
      </c>
    </row>
    <row r="1295">
      <c r="AA1295" s="2">
        <f>IF(AND(ISNUMBER(资金流水!$B$1295),ISNUMBER(资金流水!$S$1295),资金流水!$S$1295&gt;=_辅助!$J$4,资金流水!$S$1295&lt;=_辅助!$J$2,OR(资金流水!$C$1295=$C$18,AND(资金流水!$AD$1295=$C$18,资金流水!$X$1295="账户互转"),AND($E$18&lt;&gt;"",资金流水!$J$1295=$E$18,资金流水!$X$1295="应付职工薪酬"))),INT(资金流水!$B$1295)*10000+1290,"")</f>
      </c>
    </row>
    <row r="1296">
      <c r="AA1296" s="2">
        <f>IF(AND(ISNUMBER(资金流水!$B$1296),ISNUMBER(资金流水!$S$1296),资金流水!$S$1296&gt;=_辅助!$J$4,资金流水!$S$1296&lt;=_辅助!$J$2,OR(资金流水!$C$1296=$C$18,AND(资金流水!$AD$1296=$C$18,资金流水!$X$1296="账户互转"),AND($E$18&lt;&gt;"",资金流水!$J$1296=$E$18,资金流水!$X$1296="应付职工薪酬"))),INT(资金流水!$B$1296)*10000+1291,"")</f>
      </c>
    </row>
    <row r="1297">
      <c r="AA1297" s="2">
        <f>IF(AND(ISNUMBER(资金流水!$B$1297),ISNUMBER(资金流水!$S$1297),资金流水!$S$1297&gt;=_辅助!$J$4,资金流水!$S$1297&lt;=_辅助!$J$2,OR(资金流水!$C$1297=$C$18,AND(资金流水!$AD$1297=$C$18,资金流水!$X$1297="账户互转"),AND($E$18&lt;&gt;"",资金流水!$J$1297=$E$18,资金流水!$X$1297="应付职工薪酬"))),INT(资金流水!$B$1297)*10000+1292,"")</f>
      </c>
    </row>
    <row r="1298">
      <c r="AA1298" s="2">
        <f>IF(AND(ISNUMBER(资金流水!$B$1298),ISNUMBER(资金流水!$S$1298),资金流水!$S$1298&gt;=_辅助!$J$4,资金流水!$S$1298&lt;=_辅助!$J$2,OR(资金流水!$C$1298=$C$18,AND(资金流水!$AD$1298=$C$18,资金流水!$X$1298="账户互转"),AND($E$18&lt;&gt;"",资金流水!$J$1298=$E$18,资金流水!$X$1298="应付职工薪酬"))),INT(资金流水!$B$1298)*10000+1293,"")</f>
      </c>
    </row>
    <row r="1299">
      <c r="AA1299" s="2">
        <f>IF(AND(ISNUMBER(资金流水!$B$1299),ISNUMBER(资金流水!$S$1299),资金流水!$S$1299&gt;=_辅助!$J$4,资金流水!$S$1299&lt;=_辅助!$J$2,OR(资金流水!$C$1299=$C$18,AND(资金流水!$AD$1299=$C$18,资金流水!$X$1299="账户互转"),AND($E$18&lt;&gt;"",资金流水!$J$1299=$E$18,资金流水!$X$1299="应付职工薪酬"))),INT(资金流水!$B$1299)*10000+1294,"")</f>
      </c>
    </row>
    <row r="1300">
      <c r="AA1300" s="2">
        <f>IF(AND(ISNUMBER(资金流水!$B$1300),ISNUMBER(资金流水!$S$1300),资金流水!$S$1300&gt;=_辅助!$J$4,资金流水!$S$1300&lt;=_辅助!$J$2,OR(资金流水!$C$1300=$C$18,AND(资金流水!$AD$1300=$C$18,资金流水!$X$1300="账户互转"),AND($E$18&lt;&gt;"",资金流水!$J$1300=$E$18,资金流水!$X$1300="应付职工薪酬"))),INT(资金流水!$B$1300)*10000+1295,"")</f>
      </c>
    </row>
    <row r="1301">
      <c r="AA1301" s="2">
        <f>IF(AND(ISNUMBER(资金流水!$B$1301),ISNUMBER(资金流水!$S$1301),资金流水!$S$1301&gt;=_辅助!$J$4,资金流水!$S$1301&lt;=_辅助!$J$2,OR(资金流水!$C$1301=$C$18,AND(资金流水!$AD$1301=$C$18,资金流水!$X$1301="账户互转"),AND($E$18&lt;&gt;"",资金流水!$J$1301=$E$18,资金流水!$X$1301="应付职工薪酬"))),INT(资金流水!$B$1301)*10000+1296,"")</f>
      </c>
    </row>
    <row r="1302">
      <c r="AA1302" s="2">
        <f>IF(AND(ISNUMBER(资金流水!$B$1302),ISNUMBER(资金流水!$S$1302),资金流水!$S$1302&gt;=_辅助!$J$4,资金流水!$S$1302&lt;=_辅助!$J$2,OR(资金流水!$C$1302=$C$18,AND(资金流水!$AD$1302=$C$18,资金流水!$X$1302="账户互转"),AND($E$18&lt;&gt;"",资金流水!$J$1302=$E$18,资金流水!$X$1302="应付职工薪酬"))),INT(资金流水!$B$1302)*10000+1297,"")</f>
      </c>
    </row>
    <row r="1303">
      <c r="AA1303" s="2">
        <f>IF(AND(ISNUMBER(资金流水!$B$1303),ISNUMBER(资金流水!$S$1303),资金流水!$S$1303&gt;=_辅助!$J$4,资金流水!$S$1303&lt;=_辅助!$J$2,OR(资金流水!$C$1303=$C$18,AND(资金流水!$AD$1303=$C$18,资金流水!$X$1303="账户互转"),AND($E$18&lt;&gt;"",资金流水!$J$1303=$E$18,资金流水!$X$1303="应付职工薪酬"))),INT(资金流水!$B$1303)*10000+1298,"")</f>
      </c>
    </row>
    <row r="1304">
      <c r="AA1304" s="2">
        <f>IF(AND(ISNUMBER(资金流水!$B$1304),ISNUMBER(资金流水!$S$1304),资金流水!$S$1304&gt;=_辅助!$J$4,资金流水!$S$1304&lt;=_辅助!$J$2,OR(资金流水!$C$1304=$C$18,AND(资金流水!$AD$1304=$C$18,资金流水!$X$1304="账户互转"),AND($E$18&lt;&gt;"",资金流水!$J$1304=$E$18,资金流水!$X$1304="应付职工薪酬"))),INT(资金流水!$B$1304)*10000+1299,"")</f>
      </c>
    </row>
    <row r="1305">
      <c r="AA1305" s="2">
        <f>IF(AND(ISNUMBER(资金流水!$B$1305),ISNUMBER(资金流水!$S$1305),资金流水!$S$1305&gt;=_辅助!$J$4,资金流水!$S$1305&lt;=_辅助!$J$2,OR(资金流水!$C$1305=$C$18,AND(资金流水!$AD$1305=$C$18,资金流水!$X$1305="账户互转"),AND($E$18&lt;&gt;"",资金流水!$J$1305=$E$18,资金流水!$X$1305="应付职工薪酬"))),INT(资金流水!$B$1305)*10000+1300,"")</f>
      </c>
    </row>
    <row r="1306">
      <c r="AA1306" s="2">
        <f>IF(AND(ISNUMBER(资金流水!$B$1306),ISNUMBER(资金流水!$S$1306),资金流水!$S$1306&gt;=_辅助!$J$4,资金流水!$S$1306&lt;=_辅助!$J$2,OR(资金流水!$C$1306=$C$18,AND(资金流水!$AD$1306=$C$18,资金流水!$X$1306="账户互转"),AND($E$18&lt;&gt;"",资金流水!$J$1306=$E$18,资金流水!$X$1306="应付职工薪酬"))),INT(资金流水!$B$1306)*10000+1301,"")</f>
      </c>
    </row>
    <row r="1307">
      <c r="AA1307" s="2">
        <f>IF(AND(ISNUMBER(资金流水!$B$1307),ISNUMBER(资金流水!$S$1307),资金流水!$S$1307&gt;=_辅助!$J$4,资金流水!$S$1307&lt;=_辅助!$J$2,OR(资金流水!$C$1307=$C$18,AND(资金流水!$AD$1307=$C$18,资金流水!$X$1307="账户互转"),AND($E$18&lt;&gt;"",资金流水!$J$1307=$E$18,资金流水!$X$1307="应付职工薪酬"))),INT(资金流水!$B$1307)*10000+1302,"")</f>
      </c>
    </row>
    <row r="1308">
      <c r="AA1308" s="2">
        <f>IF(AND(ISNUMBER(资金流水!$B$1308),ISNUMBER(资金流水!$S$1308),资金流水!$S$1308&gt;=_辅助!$J$4,资金流水!$S$1308&lt;=_辅助!$J$2,OR(资金流水!$C$1308=$C$18,AND(资金流水!$AD$1308=$C$18,资金流水!$X$1308="账户互转"),AND($E$18&lt;&gt;"",资金流水!$J$1308=$E$18,资金流水!$X$1308="应付职工薪酬"))),INT(资金流水!$B$1308)*10000+1303,"")</f>
      </c>
    </row>
    <row r="1309">
      <c r="AA1309" s="2">
        <f>IF(AND(ISNUMBER(资金流水!$B$1309),ISNUMBER(资金流水!$S$1309),资金流水!$S$1309&gt;=_辅助!$J$4,资金流水!$S$1309&lt;=_辅助!$J$2,OR(资金流水!$C$1309=$C$18,AND(资金流水!$AD$1309=$C$18,资金流水!$X$1309="账户互转"),AND($E$18&lt;&gt;"",资金流水!$J$1309=$E$18,资金流水!$X$1309="应付职工薪酬"))),INT(资金流水!$B$1309)*10000+1304,"")</f>
      </c>
    </row>
    <row r="1310">
      <c r="AA1310" s="2">
        <f>IF(AND(ISNUMBER(资金流水!$B$1310),ISNUMBER(资金流水!$S$1310),资金流水!$S$1310&gt;=_辅助!$J$4,资金流水!$S$1310&lt;=_辅助!$J$2,OR(资金流水!$C$1310=$C$18,AND(资金流水!$AD$1310=$C$18,资金流水!$X$1310="账户互转"),AND($E$18&lt;&gt;"",资金流水!$J$1310=$E$18,资金流水!$X$1310="应付职工薪酬"))),INT(资金流水!$B$1310)*10000+1305,"")</f>
      </c>
    </row>
    <row r="1311">
      <c r="AA1311" s="2">
        <f>IF(AND(ISNUMBER(资金流水!$B$1311),ISNUMBER(资金流水!$S$1311),资金流水!$S$1311&gt;=_辅助!$J$4,资金流水!$S$1311&lt;=_辅助!$J$2,OR(资金流水!$C$1311=$C$18,AND(资金流水!$AD$1311=$C$18,资金流水!$X$1311="账户互转"),AND($E$18&lt;&gt;"",资金流水!$J$1311=$E$18,资金流水!$X$1311="应付职工薪酬"))),INT(资金流水!$B$1311)*10000+1306,"")</f>
      </c>
    </row>
    <row r="1312">
      <c r="AA1312" s="2">
        <f>IF(AND(ISNUMBER(资金流水!$B$1312),ISNUMBER(资金流水!$S$1312),资金流水!$S$1312&gt;=_辅助!$J$4,资金流水!$S$1312&lt;=_辅助!$J$2,OR(资金流水!$C$1312=$C$18,AND(资金流水!$AD$1312=$C$18,资金流水!$X$1312="账户互转"),AND($E$18&lt;&gt;"",资金流水!$J$1312=$E$18,资金流水!$X$1312="应付职工薪酬"))),INT(资金流水!$B$1312)*10000+1307,"")</f>
      </c>
    </row>
    <row r="1313">
      <c r="AA1313" s="2">
        <f>IF(AND(ISNUMBER(资金流水!$B$1313),ISNUMBER(资金流水!$S$1313),资金流水!$S$1313&gt;=_辅助!$J$4,资金流水!$S$1313&lt;=_辅助!$J$2,OR(资金流水!$C$1313=$C$18,AND(资金流水!$AD$1313=$C$18,资金流水!$X$1313="账户互转"),AND($E$18&lt;&gt;"",资金流水!$J$1313=$E$18,资金流水!$X$1313="应付职工薪酬"))),INT(资金流水!$B$1313)*10000+1308,"")</f>
      </c>
    </row>
    <row r="1314">
      <c r="AA1314" s="2">
        <f>IF(AND(ISNUMBER(资金流水!$B$1314),ISNUMBER(资金流水!$S$1314),资金流水!$S$1314&gt;=_辅助!$J$4,资金流水!$S$1314&lt;=_辅助!$J$2,OR(资金流水!$C$1314=$C$18,AND(资金流水!$AD$1314=$C$18,资金流水!$X$1314="账户互转"),AND($E$18&lt;&gt;"",资金流水!$J$1314=$E$18,资金流水!$X$1314="应付职工薪酬"))),INT(资金流水!$B$1314)*10000+1309,"")</f>
      </c>
    </row>
    <row r="1315">
      <c r="AA1315" s="2">
        <f>IF(AND(ISNUMBER(资金流水!$B$1315),ISNUMBER(资金流水!$S$1315),资金流水!$S$1315&gt;=_辅助!$J$4,资金流水!$S$1315&lt;=_辅助!$J$2,OR(资金流水!$C$1315=$C$18,AND(资金流水!$AD$1315=$C$18,资金流水!$X$1315="账户互转"),AND($E$18&lt;&gt;"",资金流水!$J$1315=$E$18,资金流水!$X$1315="应付职工薪酬"))),INT(资金流水!$B$1315)*10000+1310,"")</f>
      </c>
    </row>
    <row r="1316">
      <c r="AA1316" s="2">
        <f>IF(AND(ISNUMBER(资金流水!$B$1316),ISNUMBER(资金流水!$S$1316),资金流水!$S$1316&gt;=_辅助!$J$4,资金流水!$S$1316&lt;=_辅助!$J$2,OR(资金流水!$C$1316=$C$18,AND(资金流水!$AD$1316=$C$18,资金流水!$X$1316="账户互转"),AND($E$18&lt;&gt;"",资金流水!$J$1316=$E$18,资金流水!$X$1316="应付职工薪酬"))),INT(资金流水!$B$1316)*10000+1311,"")</f>
      </c>
    </row>
    <row r="1317">
      <c r="AA1317" s="2">
        <f>IF(AND(ISNUMBER(资金流水!$B$1317),ISNUMBER(资金流水!$S$1317),资金流水!$S$1317&gt;=_辅助!$J$4,资金流水!$S$1317&lt;=_辅助!$J$2,OR(资金流水!$C$1317=$C$18,AND(资金流水!$AD$1317=$C$18,资金流水!$X$1317="账户互转"),AND($E$18&lt;&gt;"",资金流水!$J$1317=$E$18,资金流水!$X$1317="应付职工薪酬"))),INT(资金流水!$B$1317)*10000+1312,"")</f>
      </c>
    </row>
    <row r="1318">
      <c r="AA1318" s="2">
        <f>IF(AND(ISNUMBER(资金流水!$B$1318),ISNUMBER(资金流水!$S$1318),资金流水!$S$1318&gt;=_辅助!$J$4,资金流水!$S$1318&lt;=_辅助!$J$2,OR(资金流水!$C$1318=$C$18,AND(资金流水!$AD$1318=$C$18,资金流水!$X$1318="账户互转"),AND($E$18&lt;&gt;"",资金流水!$J$1318=$E$18,资金流水!$X$1318="应付职工薪酬"))),INT(资金流水!$B$1318)*10000+1313,"")</f>
      </c>
    </row>
    <row r="1319">
      <c r="AA1319" s="2">
        <f>IF(AND(ISNUMBER(资金流水!$B$1319),ISNUMBER(资金流水!$S$1319),资金流水!$S$1319&gt;=_辅助!$J$4,资金流水!$S$1319&lt;=_辅助!$J$2,OR(资金流水!$C$1319=$C$18,AND(资金流水!$AD$1319=$C$18,资金流水!$X$1319="账户互转"),AND($E$18&lt;&gt;"",资金流水!$J$1319=$E$18,资金流水!$X$1319="应付职工薪酬"))),INT(资金流水!$B$1319)*10000+1314,"")</f>
      </c>
    </row>
    <row r="1320">
      <c r="AA1320" s="2">
        <f>IF(AND(ISNUMBER(资金流水!$B$1320),ISNUMBER(资金流水!$S$1320),资金流水!$S$1320&gt;=_辅助!$J$4,资金流水!$S$1320&lt;=_辅助!$J$2,OR(资金流水!$C$1320=$C$18,AND(资金流水!$AD$1320=$C$18,资金流水!$X$1320="账户互转"),AND($E$18&lt;&gt;"",资金流水!$J$1320=$E$18,资金流水!$X$1320="应付职工薪酬"))),INT(资金流水!$B$1320)*10000+1315,"")</f>
      </c>
    </row>
    <row r="1321">
      <c r="AA1321" s="2">
        <f>IF(AND(ISNUMBER(资金流水!$B$1321),ISNUMBER(资金流水!$S$1321),资金流水!$S$1321&gt;=_辅助!$J$4,资金流水!$S$1321&lt;=_辅助!$J$2,OR(资金流水!$C$1321=$C$18,AND(资金流水!$AD$1321=$C$18,资金流水!$X$1321="账户互转"),AND($E$18&lt;&gt;"",资金流水!$J$1321=$E$18,资金流水!$X$1321="应付职工薪酬"))),INT(资金流水!$B$1321)*10000+1316,"")</f>
      </c>
    </row>
    <row r="1322">
      <c r="AA1322" s="2">
        <f>IF(AND(ISNUMBER(资金流水!$B$1322),ISNUMBER(资金流水!$S$1322),资金流水!$S$1322&gt;=_辅助!$J$4,资金流水!$S$1322&lt;=_辅助!$J$2,OR(资金流水!$C$1322=$C$18,AND(资金流水!$AD$1322=$C$18,资金流水!$X$1322="账户互转"),AND($E$18&lt;&gt;"",资金流水!$J$1322=$E$18,资金流水!$X$1322="应付职工薪酬"))),INT(资金流水!$B$1322)*10000+1317,"")</f>
      </c>
    </row>
    <row r="1323">
      <c r="AA1323" s="2">
        <f>IF(AND(ISNUMBER(资金流水!$B$1323),ISNUMBER(资金流水!$S$1323),资金流水!$S$1323&gt;=_辅助!$J$4,资金流水!$S$1323&lt;=_辅助!$J$2,OR(资金流水!$C$1323=$C$18,AND(资金流水!$AD$1323=$C$18,资金流水!$X$1323="账户互转"),AND($E$18&lt;&gt;"",资金流水!$J$1323=$E$18,资金流水!$X$1323="应付职工薪酬"))),INT(资金流水!$B$1323)*10000+1318,"")</f>
      </c>
    </row>
    <row r="1324">
      <c r="AA1324" s="2">
        <f>IF(AND(ISNUMBER(资金流水!$B$1324),ISNUMBER(资金流水!$S$1324),资金流水!$S$1324&gt;=_辅助!$J$4,资金流水!$S$1324&lt;=_辅助!$J$2,OR(资金流水!$C$1324=$C$18,AND(资金流水!$AD$1324=$C$18,资金流水!$X$1324="账户互转"),AND($E$18&lt;&gt;"",资金流水!$J$1324=$E$18,资金流水!$X$1324="应付职工薪酬"))),INT(资金流水!$B$1324)*10000+1319,"")</f>
      </c>
    </row>
    <row r="1325">
      <c r="AA1325" s="2">
        <f>IF(AND(ISNUMBER(资金流水!$B$1325),ISNUMBER(资金流水!$S$1325),资金流水!$S$1325&gt;=_辅助!$J$4,资金流水!$S$1325&lt;=_辅助!$J$2,OR(资金流水!$C$1325=$C$18,AND(资金流水!$AD$1325=$C$18,资金流水!$X$1325="账户互转"),AND($E$18&lt;&gt;"",资金流水!$J$1325=$E$18,资金流水!$X$1325="应付职工薪酬"))),INT(资金流水!$B$1325)*10000+1320,"")</f>
      </c>
    </row>
    <row r="1326">
      <c r="AA1326" s="2">
        <f>IF(AND(ISNUMBER(资金流水!$B$1326),ISNUMBER(资金流水!$S$1326),资金流水!$S$1326&gt;=_辅助!$J$4,资金流水!$S$1326&lt;=_辅助!$J$2,OR(资金流水!$C$1326=$C$18,AND(资金流水!$AD$1326=$C$18,资金流水!$X$1326="账户互转"),AND($E$18&lt;&gt;"",资金流水!$J$1326=$E$18,资金流水!$X$1326="应付职工薪酬"))),INT(资金流水!$B$1326)*10000+1321,"")</f>
      </c>
    </row>
    <row r="1327">
      <c r="AA1327" s="2">
        <f>IF(AND(ISNUMBER(资金流水!$B$1327),ISNUMBER(资金流水!$S$1327),资金流水!$S$1327&gt;=_辅助!$J$4,资金流水!$S$1327&lt;=_辅助!$J$2,OR(资金流水!$C$1327=$C$18,AND(资金流水!$AD$1327=$C$18,资金流水!$X$1327="账户互转"),AND($E$18&lt;&gt;"",资金流水!$J$1327=$E$18,资金流水!$X$1327="应付职工薪酬"))),INT(资金流水!$B$1327)*10000+1322,"")</f>
      </c>
    </row>
    <row r="1328">
      <c r="AA1328" s="2">
        <f>IF(AND(ISNUMBER(资金流水!$B$1328),ISNUMBER(资金流水!$S$1328),资金流水!$S$1328&gt;=_辅助!$J$4,资金流水!$S$1328&lt;=_辅助!$J$2,OR(资金流水!$C$1328=$C$18,AND(资金流水!$AD$1328=$C$18,资金流水!$X$1328="账户互转"),AND($E$18&lt;&gt;"",资金流水!$J$1328=$E$18,资金流水!$X$1328="应付职工薪酬"))),INT(资金流水!$B$1328)*10000+1323,"")</f>
      </c>
    </row>
    <row r="1329">
      <c r="AA1329" s="2">
        <f>IF(AND(ISNUMBER(资金流水!$B$1329),ISNUMBER(资金流水!$S$1329),资金流水!$S$1329&gt;=_辅助!$J$4,资金流水!$S$1329&lt;=_辅助!$J$2,OR(资金流水!$C$1329=$C$18,AND(资金流水!$AD$1329=$C$18,资金流水!$X$1329="账户互转"),AND($E$18&lt;&gt;"",资金流水!$J$1329=$E$18,资金流水!$X$1329="应付职工薪酬"))),INT(资金流水!$B$1329)*10000+1324,"")</f>
      </c>
    </row>
    <row r="1330">
      <c r="AA1330" s="2">
        <f>IF(AND(ISNUMBER(资金流水!$B$1330),ISNUMBER(资金流水!$S$1330),资金流水!$S$1330&gt;=_辅助!$J$4,资金流水!$S$1330&lt;=_辅助!$J$2,OR(资金流水!$C$1330=$C$18,AND(资金流水!$AD$1330=$C$18,资金流水!$X$1330="账户互转"),AND($E$18&lt;&gt;"",资金流水!$J$1330=$E$18,资金流水!$X$1330="应付职工薪酬"))),INT(资金流水!$B$1330)*10000+1325,"")</f>
      </c>
    </row>
    <row r="1331">
      <c r="AA1331" s="2">
        <f>IF(AND(ISNUMBER(资金流水!$B$1331),ISNUMBER(资金流水!$S$1331),资金流水!$S$1331&gt;=_辅助!$J$4,资金流水!$S$1331&lt;=_辅助!$J$2,OR(资金流水!$C$1331=$C$18,AND(资金流水!$AD$1331=$C$18,资金流水!$X$1331="账户互转"),AND($E$18&lt;&gt;"",资金流水!$J$1331=$E$18,资金流水!$X$1331="应付职工薪酬"))),INT(资金流水!$B$1331)*10000+1326,"")</f>
      </c>
    </row>
    <row r="1332">
      <c r="AA1332" s="2">
        <f>IF(AND(ISNUMBER(资金流水!$B$1332),ISNUMBER(资金流水!$S$1332),资金流水!$S$1332&gt;=_辅助!$J$4,资金流水!$S$1332&lt;=_辅助!$J$2,OR(资金流水!$C$1332=$C$18,AND(资金流水!$AD$1332=$C$18,资金流水!$X$1332="账户互转"),AND($E$18&lt;&gt;"",资金流水!$J$1332=$E$18,资金流水!$X$1332="应付职工薪酬"))),INT(资金流水!$B$1332)*10000+1327,"")</f>
      </c>
    </row>
    <row r="1333">
      <c r="AA1333" s="2">
        <f>IF(AND(ISNUMBER(资金流水!$B$1333),ISNUMBER(资金流水!$S$1333),资金流水!$S$1333&gt;=_辅助!$J$4,资金流水!$S$1333&lt;=_辅助!$J$2,OR(资金流水!$C$1333=$C$18,AND(资金流水!$AD$1333=$C$18,资金流水!$X$1333="账户互转"),AND($E$18&lt;&gt;"",资金流水!$J$1333=$E$18,资金流水!$X$1333="应付职工薪酬"))),INT(资金流水!$B$1333)*10000+1328,"")</f>
      </c>
    </row>
    <row r="1334">
      <c r="AA1334" s="2">
        <f>IF(AND(ISNUMBER(资金流水!$B$1334),ISNUMBER(资金流水!$S$1334),资金流水!$S$1334&gt;=_辅助!$J$4,资金流水!$S$1334&lt;=_辅助!$J$2,OR(资金流水!$C$1334=$C$18,AND(资金流水!$AD$1334=$C$18,资金流水!$X$1334="账户互转"),AND($E$18&lt;&gt;"",资金流水!$J$1334=$E$18,资金流水!$X$1334="应付职工薪酬"))),INT(资金流水!$B$1334)*10000+1329,"")</f>
      </c>
    </row>
    <row r="1335">
      <c r="AA1335" s="2">
        <f>IF(AND(ISNUMBER(资金流水!$B$1335),ISNUMBER(资金流水!$S$1335),资金流水!$S$1335&gt;=_辅助!$J$4,资金流水!$S$1335&lt;=_辅助!$J$2,OR(资金流水!$C$1335=$C$18,AND(资金流水!$AD$1335=$C$18,资金流水!$X$1335="账户互转"),AND($E$18&lt;&gt;"",资金流水!$J$1335=$E$18,资金流水!$X$1335="应付职工薪酬"))),INT(资金流水!$B$1335)*10000+1330,"")</f>
      </c>
    </row>
    <row r="1336">
      <c r="AA1336" s="2">
        <f>IF(AND(ISNUMBER(资金流水!$B$1336),ISNUMBER(资金流水!$S$1336),资金流水!$S$1336&gt;=_辅助!$J$4,资金流水!$S$1336&lt;=_辅助!$J$2,OR(资金流水!$C$1336=$C$18,AND(资金流水!$AD$1336=$C$18,资金流水!$X$1336="账户互转"),AND($E$18&lt;&gt;"",资金流水!$J$1336=$E$18,资金流水!$X$1336="应付职工薪酬"))),INT(资金流水!$B$1336)*10000+1331,"")</f>
      </c>
    </row>
    <row r="1337">
      <c r="AA1337" s="2">
        <f>IF(AND(ISNUMBER(资金流水!$B$1337),ISNUMBER(资金流水!$S$1337),资金流水!$S$1337&gt;=_辅助!$J$4,资金流水!$S$1337&lt;=_辅助!$J$2,OR(资金流水!$C$1337=$C$18,AND(资金流水!$AD$1337=$C$18,资金流水!$X$1337="账户互转"),AND($E$18&lt;&gt;"",资金流水!$J$1337=$E$18,资金流水!$X$1337="应付职工薪酬"))),INT(资金流水!$B$1337)*10000+1332,"")</f>
      </c>
    </row>
    <row r="1338">
      <c r="AA1338" s="2">
        <f>IF(AND(ISNUMBER(资金流水!$B$1338),ISNUMBER(资金流水!$S$1338),资金流水!$S$1338&gt;=_辅助!$J$4,资金流水!$S$1338&lt;=_辅助!$J$2,OR(资金流水!$C$1338=$C$18,AND(资金流水!$AD$1338=$C$18,资金流水!$X$1338="账户互转"),AND($E$18&lt;&gt;"",资金流水!$J$1338=$E$18,资金流水!$X$1338="应付职工薪酬"))),INT(资金流水!$B$1338)*10000+1333,"")</f>
      </c>
    </row>
    <row r="1339">
      <c r="AA1339" s="2">
        <f>IF(AND(ISNUMBER(资金流水!$B$1339),ISNUMBER(资金流水!$S$1339),资金流水!$S$1339&gt;=_辅助!$J$4,资金流水!$S$1339&lt;=_辅助!$J$2,OR(资金流水!$C$1339=$C$18,AND(资金流水!$AD$1339=$C$18,资金流水!$X$1339="账户互转"),AND($E$18&lt;&gt;"",资金流水!$J$1339=$E$18,资金流水!$X$1339="应付职工薪酬"))),INT(资金流水!$B$1339)*10000+1334,"")</f>
      </c>
    </row>
    <row r="1340">
      <c r="AA1340" s="2">
        <f>IF(AND(ISNUMBER(资金流水!$B$1340),ISNUMBER(资金流水!$S$1340),资金流水!$S$1340&gt;=_辅助!$J$4,资金流水!$S$1340&lt;=_辅助!$J$2,OR(资金流水!$C$1340=$C$18,AND(资金流水!$AD$1340=$C$18,资金流水!$X$1340="账户互转"),AND($E$18&lt;&gt;"",资金流水!$J$1340=$E$18,资金流水!$X$1340="应付职工薪酬"))),INT(资金流水!$B$1340)*10000+1335,"")</f>
      </c>
    </row>
    <row r="1341">
      <c r="AA1341" s="2">
        <f>IF(AND(ISNUMBER(资金流水!$B$1341),ISNUMBER(资金流水!$S$1341),资金流水!$S$1341&gt;=_辅助!$J$4,资金流水!$S$1341&lt;=_辅助!$J$2,OR(资金流水!$C$1341=$C$18,AND(资金流水!$AD$1341=$C$18,资金流水!$X$1341="账户互转"),AND($E$18&lt;&gt;"",资金流水!$J$1341=$E$18,资金流水!$X$1341="应付职工薪酬"))),INT(资金流水!$B$1341)*10000+1336,"")</f>
      </c>
    </row>
    <row r="1342">
      <c r="AA1342" s="2">
        <f>IF(AND(ISNUMBER(资金流水!$B$1342),ISNUMBER(资金流水!$S$1342),资金流水!$S$1342&gt;=_辅助!$J$4,资金流水!$S$1342&lt;=_辅助!$J$2,OR(资金流水!$C$1342=$C$18,AND(资金流水!$AD$1342=$C$18,资金流水!$X$1342="账户互转"),AND($E$18&lt;&gt;"",资金流水!$J$1342=$E$18,资金流水!$X$1342="应付职工薪酬"))),INT(资金流水!$B$1342)*10000+1337,"")</f>
      </c>
    </row>
    <row r="1343">
      <c r="AA1343" s="2">
        <f>IF(AND(ISNUMBER(资金流水!$B$1343),ISNUMBER(资金流水!$S$1343),资金流水!$S$1343&gt;=_辅助!$J$4,资金流水!$S$1343&lt;=_辅助!$J$2,OR(资金流水!$C$1343=$C$18,AND(资金流水!$AD$1343=$C$18,资金流水!$X$1343="账户互转"),AND($E$18&lt;&gt;"",资金流水!$J$1343=$E$18,资金流水!$X$1343="应付职工薪酬"))),INT(资金流水!$B$1343)*10000+1338,"")</f>
      </c>
    </row>
    <row r="1344">
      <c r="AA1344" s="2">
        <f>IF(AND(ISNUMBER(资金流水!$B$1344),ISNUMBER(资金流水!$S$1344),资金流水!$S$1344&gt;=_辅助!$J$4,资金流水!$S$1344&lt;=_辅助!$J$2,OR(资金流水!$C$1344=$C$18,AND(资金流水!$AD$1344=$C$18,资金流水!$X$1344="账户互转"),AND($E$18&lt;&gt;"",资金流水!$J$1344=$E$18,资金流水!$X$1344="应付职工薪酬"))),INT(资金流水!$B$1344)*10000+1339,"")</f>
      </c>
    </row>
    <row r="1345">
      <c r="AA1345" s="2">
        <f>IF(AND(ISNUMBER(资金流水!$B$1345),ISNUMBER(资金流水!$S$1345),资金流水!$S$1345&gt;=_辅助!$J$4,资金流水!$S$1345&lt;=_辅助!$J$2,OR(资金流水!$C$1345=$C$18,AND(资金流水!$AD$1345=$C$18,资金流水!$X$1345="账户互转"),AND($E$18&lt;&gt;"",资金流水!$J$1345=$E$18,资金流水!$X$1345="应付职工薪酬"))),INT(资金流水!$B$1345)*10000+1340,"")</f>
      </c>
    </row>
    <row r="1346">
      <c r="AA1346" s="2">
        <f>IF(AND(ISNUMBER(资金流水!$B$1346),ISNUMBER(资金流水!$S$1346),资金流水!$S$1346&gt;=_辅助!$J$4,资金流水!$S$1346&lt;=_辅助!$J$2,OR(资金流水!$C$1346=$C$18,AND(资金流水!$AD$1346=$C$18,资金流水!$X$1346="账户互转"),AND($E$18&lt;&gt;"",资金流水!$J$1346=$E$18,资金流水!$X$1346="应付职工薪酬"))),INT(资金流水!$B$1346)*10000+1341,"")</f>
      </c>
    </row>
    <row r="1347">
      <c r="AA1347" s="2">
        <f>IF(AND(ISNUMBER(资金流水!$B$1347),ISNUMBER(资金流水!$S$1347),资金流水!$S$1347&gt;=_辅助!$J$4,资金流水!$S$1347&lt;=_辅助!$J$2,OR(资金流水!$C$1347=$C$18,AND(资金流水!$AD$1347=$C$18,资金流水!$X$1347="账户互转"),AND($E$18&lt;&gt;"",资金流水!$J$1347=$E$18,资金流水!$X$1347="应付职工薪酬"))),INT(资金流水!$B$1347)*10000+1342,"")</f>
      </c>
    </row>
    <row r="1348">
      <c r="AA1348" s="2">
        <f>IF(AND(ISNUMBER(资金流水!$B$1348),ISNUMBER(资金流水!$S$1348),资金流水!$S$1348&gt;=_辅助!$J$4,资金流水!$S$1348&lt;=_辅助!$J$2,OR(资金流水!$C$1348=$C$18,AND(资金流水!$AD$1348=$C$18,资金流水!$X$1348="账户互转"),AND($E$18&lt;&gt;"",资金流水!$J$1348=$E$18,资金流水!$X$1348="应付职工薪酬"))),INT(资金流水!$B$1348)*10000+1343,"")</f>
      </c>
    </row>
    <row r="1349">
      <c r="AA1349" s="2">
        <f>IF(AND(ISNUMBER(资金流水!$B$1349),ISNUMBER(资金流水!$S$1349),资金流水!$S$1349&gt;=_辅助!$J$4,资金流水!$S$1349&lt;=_辅助!$J$2,OR(资金流水!$C$1349=$C$18,AND(资金流水!$AD$1349=$C$18,资金流水!$X$1349="账户互转"),AND($E$18&lt;&gt;"",资金流水!$J$1349=$E$18,资金流水!$X$1349="应付职工薪酬"))),INT(资金流水!$B$1349)*10000+1344,"")</f>
      </c>
    </row>
    <row r="1350">
      <c r="AA1350" s="2">
        <f>IF(AND(ISNUMBER(资金流水!$B$1350),ISNUMBER(资金流水!$S$1350),资金流水!$S$1350&gt;=_辅助!$J$4,资金流水!$S$1350&lt;=_辅助!$J$2,OR(资金流水!$C$1350=$C$18,AND(资金流水!$AD$1350=$C$18,资金流水!$X$1350="账户互转"),AND($E$18&lt;&gt;"",资金流水!$J$1350=$E$18,资金流水!$X$1350="应付职工薪酬"))),INT(资金流水!$B$1350)*10000+1345,"")</f>
      </c>
    </row>
    <row r="1351">
      <c r="AA1351" s="2">
        <f>IF(AND(ISNUMBER(资金流水!$B$1351),ISNUMBER(资金流水!$S$1351),资金流水!$S$1351&gt;=_辅助!$J$4,资金流水!$S$1351&lt;=_辅助!$J$2,OR(资金流水!$C$1351=$C$18,AND(资金流水!$AD$1351=$C$18,资金流水!$X$1351="账户互转"),AND($E$18&lt;&gt;"",资金流水!$J$1351=$E$18,资金流水!$X$1351="应付职工薪酬"))),INT(资金流水!$B$1351)*10000+1346,"")</f>
      </c>
    </row>
    <row r="1352">
      <c r="AA1352" s="2">
        <f>IF(AND(ISNUMBER(资金流水!$B$1352),ISNUMBER(资金流水!$S$1352),资金流水!$S$1352&gt;=_辅助!$J$4,资金流水!$S$1352&lt;=_辅助!$J$2,OR(资金流水!$C$1352=$C$18,AND(资金流水!$AD$1352=$C$18,资金流水!$X$1352="账户互转"),AND($E$18&lt;&gt;"",资金流水!$J$1352=$E$18,资金流水!$X$1352="应付职工薪酬"))),INT(资金流水!$B$1352)*10000+1347,"")</f>
      </c>
    </row>
    <row r="1353">
      <c r="AA1353" s="2">
        <f>IF(AND(ISNUMBER(资金流水!$B$1353),ISNUMBER(资金流水!$S$1353),资金流水!$S$1353&gt;=_辅助!$J$4,资金流水!$S$1353&lt;=_辅助!$J$2,OR(资金流水!$C$1353=$C$18,AND(资金流水!$AD$1353=$C$18,资金流水!$X$1353="账户互转"),AND($E$18&lt;&gt;"",资金流水!$J$1353=$E$18,资金流水!$X$1353="应付职工薪酬"))),INT(资金流水!$B$1353)*10000+1348,"")</f>
      </c>
    </row>
    <row r="1354">
      <c r="AA1354" s="2">
        <f>IF(AND(ISNUMBER(资金流水!$B$1354),ISNUMBER(资金流水!$S$1354),资金流水!$S$1354&gt;=_辅助!$J$4,资金流水!$S$1354&lt;=_辅助!$J$2,OR(资金流水!$C$1354=$C$18,AND(资金流水!$AD$1354=$C$18,资金流水!$X$1354="账户互转"),AND($E$18&lt;&gt;"",资金流水!$J$1354=$E$18,资金流水!$X$1354="应付职工薪酬"))),INT(资金流水!$B$1354)*10000+1349,"")</f>
      </c>
    </row>
    <row r="1355">
      <c r="AA1355" s="2">
        <f>IF(AND(ISNUMBER(资金流水!$B$1355),ISNUMBER(资金流水!$S$1355),资金流水!$S$1355&gt;=_辅助!$J$4,资金流水!$S$1355&lt;=_辅助!$J$2,OR(资金流水!$C$1355=$C$18,AND(资金流水!$AD$1355=$C$18,资金流水!$X$1355="账户互转"),AND($E$18&lt;&gt;"",资金流水!$J$1355=$E$18,资金流水!$X$1355="应付职工薪酬"))),INT(资金流水!$B$1355)*10000+1350,"")</f>
      </c>
    </row>
    <row r="1356">
      <c r="AA1356" s="2">
        <f>IF(AND(ISNUMBER(资金流水!$B$1356),ISNUMBER(资金流水!$S$1356),资金流水!$S$1356&gt;=_辅助!$J$4,资金流水!$S$1356&lt;=_辅助!$J$2,OR(资金流水!$C$1356=$C$18,AND(资金流水!$AD$1356=$C$18,资金流水!$X$1356="账户互转"),AND($E$18&lt;&gt;"",资金流水!$J$1356=$E$18,资金流水!$X$1356="应付职工薪酬"))),INT(资金流水!$B$1356)*10000+1351,"")</f>
      </c>
    </row>
    <row r="1357">
      <c r="AA1357" s="2">
        <f>IF(AND(ISNUMBER(资金流水!$B$1357),ISNUMBER(资金流水!$S$1357),资金流水!$S$1357&gt;=_辅助!$J$4,资金流水!$S$1357&lt;=_辅助!$J$2,OR(资金流水!$C$1357=$C$18,AND(资金流水!$AD$1357=$C$18,资金流水!$X$1357="账户互转"),AND($E$18&lt;&gt;"",资金流水!$J$1357=$E$18,资金流水!$X$1357="应付职工薪酬"))),INT(资金流水!$B$1357)*10000+1352,"")</f>
      </c>
    </row>
    <row r="1358">
      <c r="AA1358" s="2">
        <f>IF(AND(ISNUMBER(资金流水!$B$1358),ISNUMBER(资金流水!$S$1358),资金流水!$S$1358&gt;=_辅助!$J$4,资金流水!$S$1358&lt;=_辅助!$J$2,OR(资金流水!$C$1358=$C$18,AND(资金流水!$AD$1358=$C$18,资金流水!$X$1358="账户互转"),AND($E$18&lt;&gt;"",资金流水!$J$1358=$E$18,资金流水!$X$1358="应付职工薪酬"))),INT(资金流水!$B$1358)*10000+1353,"")</f>
      </c>
    </row>
    <row r="1359">
      <c r="AA1359" s="2">
        <f>IF(AND(ISNUMBER(资金流水!$B$1359),ISNUMBER(资金流水!$S$1359),资金流水!$S$1359&gt;=_辅助!$J$4,资金流水!$S$1359&lt;=_辅助!$J$2,OR(资金流水!$C$1359=$C$18,AND(资金流水!$AD$1359=$C$18,资金流水!$X$1359="账户互转"),AND($E$18&lt;&gt;"",资金流水!$J$1359=$E$18,资金流水!$X$1359="应付职工薪酬"))),INT(资金流水!$B$1359)*10000+1354,"")</f>
      </c>
    </row>
    <row r="1360">
      <c r="AA1360" s="2">
        <f>IF(AND(ISNUMBER(资金流水!$B$1360),ISNUMBER(资金流水!$S$1360),资金流水!$S$1360&gt;=_辅助!$J$4,资金流水!$S$1360&lt;=_辅助!$J$2,OR(资金流水!$C$1360=$C$18,AND(资金流水!$AD$1360=$C$18,资金流水!$X$1360="账户互转"),AND($E$18&lt;&gt;"",资金流水!$J$1360=$E$18,资金流水!$X$1360="应付职工薪酬"))),INT(资金流水!$B$1360)*10000+1355,"")</f>
      </c>
    </row>
    <row r="1361">
      <c r="AA1361" s="2">
        <f>IF(AND(ISNUMBER(资金流水!$B$1361),ISNUMBER(资金流水!$S$1361),资金流水!$S$1361&gt;=_辅助!$J$4,资金流水!$S$1361&lt;=_辅助!$J$2,OR(资金流水!$C$1361=$C$18,AND(资金流水!$AD$1361=$C$18,资金流水!$X$1361="账户互转"),AND($E$18&lt;&gt;"",资金流水!$J$1361=$E$18,资金流水!$X$1361="应付职工薪酬"))),INT(资金流水!$B$1361)*10000+1356,"")</f>
      </c>
    </row>
    <row r="1362">
      <c r="AA1362" s="2">
        <f>IF(AND(ISNUMBER(资金流水!$B$1362),ISNUMBER(资金流水!$S$1362),资金流水!$S$1362&gt;=_辅助!$J$4,资金流水!$S$1362&lt;=_辅助!$J$2,OR(资金流水!$C$1362=$C$18,AND(资金流水!$AD$1362=$C$18,资金流水!$X$1362="账户互转"),AND($E$18&lt;&gt;"",资金流水!$J$1362=$E$18,资金流水!$X$1362="应付职工薪酬"))),INT(资金流水!$B$1362)*10000+1357,"")</f>
      </c>
    </row>
    <row r="1363">
      <c r="AA1363" s="2">
        <f>IF(AND(ISNUMBER(资金流水!$B$1363),ISNUMBER(资金流水!$S$1363),资金流水!$S$1363&gt;=_辅助!$J$4,资金流水!$S$1363&lt;=_辅助!$J$2,OR(资金流水!$C$1363=$C$18,AND(资金流水!$AD$1363=$C$18,资金流水!$X$1363="账户互转"),AND($E$18&lt;&gt;"",资金流水!$J$1363=$E$18,资金流水!$X$1363="应付职工薪酬"))),INT(资金流水!$B$1363)*10000+1358,"")</f>
      </c>
    </row>
    <row r="1364">
      <c r="AA1364" s="2">
        <f>IF(AND(ISNUMBER(资金流水!$B$1364),ISNUMBER(资金流水!$S$1364),资金流水!$S$1364&gt;=_辅助!$J$4,资金流水!$S$1364&lt;=_辅助!$J$2,OR(资金流水!$C$1364=$C$18,AND(资金流水!$AD$1364=$C$18,资金流水!$X$1364="账户互转"),AND($E$18&lt;&gt;"",资金流水!$J$1364=$E$18,资金流水!$X$1364="应付职工薪酬"))),INT(资金流水!$B$1364)*10000+1359,"")</f>
      </c>
    </row>
    <row r="1365">
      <c r="AA1365" s="2">
        <f>IF(AND(ISNUMBER(资金流水!$B$1365),ISNUMBER(资金流水!$S$1365),资金流水!$S$1365&gt;=_辅助!$J$4,资金流水!$S$1365&lt;=_辅助!$J$2,OR(资金流水!$C$1365=$C$18,AND(资金流水!$AD$1365=$C$18,资金流水!$X$1365="账户互转"),AND($E$18&lt;&gt;"",资金流水!$J$1365=$E$18,资金流水!$X$1365="应付职工薪酬"))),INT(资金流水!$B$1365)*10000+1360,"")</f>
      </c>
    </row>
    <row r="1366">
      <c r="AA1366" s="2">
        <f>IF(AND(ISNUMBER(资金流水!$B$1366),ISNUMBER(资金流水!$S$1366),资金流水!$S$1366&gt;=_辅助!$J$4,资金流水!$S$1366&lt;=_辅助!$J$2,OR(资金流水!$C$1366=$C$18,AND(资金流水!$AD$1366=$C$18,资金流水!$X$1366="账户互转"),AND($E$18&lt;&gt;"",资金流水!$J$1366=$E$18,资金流水!$X$1366="应付职工薪酬"))),INT(资金流水!$B$1366)*10000+1361,"")</f>
      </c>
    </row>
    <row r="1367">
      <c r="AA1367" s="2">
        <f>IF(AND(ISNUMBER(资金流水!$B$1367),ISNUMBER(资金流水!$S$1367),资金流水!$S$1367&gt;=_辅助!$J$4,资金流水!$S$1367&lt;=_辅助!$J$2,OR(资金流水!$C$1367=$C$18,AND(资金流水!$AD$1367=$C$18,资金流水!$X$1367="账户互转"),AND($E$18&lt;&gt;"",资金流水!$J$1367=$E$18,资金流水!$X$1367="应付职工薪酬"))),INT(资金流水!$B$1367)*10000+1362,"")</f>
      </c>
    </row>
    <row r="1368">
      <c r="AA1368" s="2">
        <f>IF(AND(ISNUMBER(资金流水!$B$1368),ISNUMBER(资金流水!$S$1368),资金流水!$S$1368&gt;=_辅助!$J$4,资金流水!$S$1368&lt;=_辅助!$J$2,OR(资金流水!$C$1368=$C$18,AND(资金流水!$AD$1368=$C$18,资金流水!$X$1368="账户互转"),AND($E$18&lt;&gt;"",资金流水!$J$1368=$E$18,资金流水!$X$1368="应付职工薪酬"))),INT(资金流水!$B$1368)*10000+1363,"")</f>
      </c>
    </row>
    <row r="1369">
      <c r="AA1369" s="2">
        <f>IF(AND(ISNUMBER(资金流水!$B$1369),ISNUMBER(资金流水!$S$1369),资金流水!$S$1369&gt;=_辅助!$J$4,资金流水!$S$1369&lt;=_辅助!$J$2,OR(资金流水!$C$1369=$C$18,AND(资金流水!$AD$1369=$C$18,资金流水!$X$1369="账户互转"),AND($E$18&lt;&gt;"",资金流水!$J$1369=$E$18,资金流水!$X$1369="应付职工薪酬"))),INT(资金流水!$B$1369)*10000+1364,"")</f>
      </c>
    </row>
    <row r="1370">
      <c r="AA1370" s="2">
        <f>IF(AND(ISNUMBER(资金流水!$B$1370),ISNUMBER(资金流水!$S$1370),资金流水!$S$1370&gt;=_辅助!$J$4,资金流水!$S$1370&lt;=_辅助!$J$2,OR(资金流水!$C$1370=$C$18,AND(资金流水!$AD$1370=$C$18,资金流水!$X$1370="账户互转"),AND($E$18&lt;&gt;"",资金流水!$J$1370=$E$18,资金流水!$X$1370="应付职工薪酬"))),INT(资金流水!$B$1370)*10000+1365,"")</f>
      </c>
    </row>
    <row r="1371">
      <c r="AA1371" s="2">
        <f>IF(AND(ISNUMBER(资金流水!$B$1371),ISNUMBER(资金流水!$S$1371),资金流水!$S$1371&gt;=_辅助!$J$4,资金流水!$S$1371&lt;=_辅助!$J$2,OR(资金流水!$C$1371=$C$18,AND(资金流水!$AD$1371=$C$18,资金流水!$X$1371="账户互转"),AND($E$18&lt;&gt;"",资金流水!$J$1371=$E$18,资金流水!$X$1371="应付职工薪酬"))),INT(资金流水!$B$1371)*10000+1366,"")</f>
      </c>
    </row>
    <row r="1372">
      <c r="AA1372" s="2">
        <f>IF(AND(ISNUMBER(资金流水!$B$1372),ISNUMBER(资金流水!$S$1372),资金流水!$S$1372&gt;=_辅助!$J$4,资金流水!$S$1372&lt;=_辅助!$J$2,OR(资金流水!$C$1372=$C$18,AND(资金流水!$AD$1372=$C$18,资金流水!$X$1372="账户互转"),AND($E$18&lt;&gt;"",资金流水!$J$1372=$E$18,资金流水!$X$1372="应付职工薪酬"))),INT(资金流水!$B$1372)*10000+1367,"")</f>
      </c>
    </row>
    <row r="1373">
      <c r="AA1373" s="2">
        <f>IF(AND(ISNUMBER(资金流水!$B$1373),ISNUMBER(资金流水!$S$1373),资金流水!$S$1373&gt;=_辅助!$J$4,资金流水!$S$1373&lt;=_辅助!$J$2,OR(资金流水!$C$1373=$C$18,AND(资金流水!$AD$1373=$C$18,资金流水!$X$1373="账户互转"),AND($E$18&lt;&gt;"",资金流水!$J$1373=$E$18,资金流水!$X$1373="应付职工薪酬"))),INT(资金流水!$B$1373)*10000+1368,"")</f>
      </c>
    </row>
    <row r="1374">
      <c r="AA1374" s="2">
        <f>IF(AND(ISNUMBER(资金流水!$B$1374),ISNUMBER(资金流水!$S$1374),资金流水!$S$1374&gt;=_辅助!$J$4,资金流水!$S$1374&lt;=_辅助!$J$2,OR(资金流水!$C$1374=$C$18,AND(资金流水!$AD$1374=$C$18,资金流水!$X$1374="账户互转"),AND($E$18&lt;&gt;"",资金流水!$J$1374=$E$18,资金流水!$X$1374="应付职工薪酬"))),INT(资金流水!$B$1374)*10000+1369,"")</f>
      </c>
    </row>
    <row r="1375">
      <c r="AA1375" s="2">
        <f>IF(AND(ISNUMBER(资金流水!$B$1375),ISNUMBER(资金流水!$S$1375),资金流水!$S$1375&gt;=_辅助!$J$4,资金流水!$S$1375&lt;=_辅助!$J$2,OR(资金流水!$C$1375=$C$18,AND(资金流水!$AD$1375=$C$18,资金流水!$X$1375="账户互转"),AND($E$18&lt;&gt;"",资金流水!$J$1375=$E$18,资金流水!$X$1375="应付职工薪酬"))),INT(资金流水!$B$1375)*10000+1370,"")</f>
      </c>
    </row>
    <row r="1376">
      <c r="AA1376" s="2">
        <f>IF(AND(ISNUMBER(资金流水!$B$1376),ISNUMBER(资金流水!$S$1376),资金流水!$S$1376&gt;=_辅助!$J$4,资金流水!$S$1376&lt;=_辅助!$J$2,OR(资金流水!$C$1376=$C$18,AND(资金流水!$AD$1376=$C$18,资金流水!$X$1376="账户互转"),AND($E$18&lt;&gt;"",资金流水!$J$1376=$E$18,资金流水!$X$1376="应付职工薪酬"))),INT(资金流水!$B$1376)*10000+1371,"")</f>
      </c>
    </row>
    <row r="1377">
      <c r="AA1377" s="2">
        <f>IF(AND(ISNUMBER(资金流水!$B$1377),ISNUMBER(资金流水!$S$1377),资金流水!$S$1377&gt;=_辅助!$J$4,资金流水!$S$1377&lt;=_辅助!$J$2,OR(资金流水!$C$1377=$C$18,AND(资金流水!$AD$1377=$C$18,资金流水!$X$1377="账户互转"),AND($E$18&lt;&gt;"",资金流水!$J$1377=$E$18,资金流水!$X$1377="应付职工薪酬"))),INT(资金流水!$B$1377)*10000+1372,"")</f>
      </c>
    </row>
    <row r="1378">
      <c r="AA1378" s="2">
        <f>IF(AND(ISNUMBER(资金流水!$B$1378),ISNUMBER(资金流水!$S$1378),资金流水!$S$1378&gt;=_辅助!$J$4,资金流水!$S$1378&lt;=_辅助!$J$2,OR(资金流水!$C$1378=$C$18,AND(资金流水!$AD$1378=$C$18,资金流水!$X$1378="账户互转"),AND($E$18&lt;&gt;"",资金流水!$J$1378=$E$18,资金流水!$X$1378="应付职工薪酬"))),INT(资金流水!$B$1378)*10000+1373,"")</f>
      </c>
    </row>
    <row r="1379">
      <c r="AA1379" s="2">
        <f>IF(AND(ISNUMBER(资金流水!$B$1379),ISNUMBER(资金流水!$S$1379),资金流水!$S$1379&gt;=_辅助!$J$4,资金流水!$S$1379&lt;=_辅助!$J$2,OR(资金流水!$C$1379=$C$18,AND(资金流水!$AD$1379=$C$18,资金流水!$X$1379="账户互转"),AND($E$18&lt;&gt;"",资金流水!$J$1379=$E$18,资金流水!$X$1379="应付职工薪酬"))),INT(资金流水!$B$1379)*10000+1374,"")</f>
      </c>
    </row>
    <row r="1380">
      <c r="AA1380" s="2">
        <f>IF(AND(ISNUMBER(资金流水!$B$1380),ISNUMBER(资金流水!$S$1380),资金流水!$S$1380&gt;=_辅助!$J$4,资金流水!$S$1380&lt;=_辅助!$J$2,OR(资金流水!$C$1380=$C$18,AND(资金流水!$AD$1380=$C$18,资金流水!$X$1380="账户互转"),AND($E$18&lt;&gt;"",资金流水!$J$1380=$E$18,资金流水!$X$1380="应付职工薪酬"))),INT(资金流水!$B$1380)*10000+1375,"")</f>
      </c>
    </row>
    <row r="1381">
      <c r="AA1381" s="2">
        <f>IF(AND(ISNUMBER(资金流水!$B$1381),ISNUMBER(资金流水!$S$1381),资金流水!$S$1381&gt;=_辅助!$J$4,资金流水!$S$1381&lt;=_辅助!$J$2,OR(资金流水!$C$1381=$C$18,AND(资金流水!$AD$1381=$C$18,资金流水!$X$1381="账户互转"),AND($E$18&lt;&gt;"",资金流水!$J$1381=$E$18,资金流水!$X$1381="应付职工薪酬"))),INT(资金流水!$B$1381)*10000+1376,"")</f>
      </c>
    </row>
    <row r="1382">
      <c r="AA1382" s="2">
        <f>IF(AND(ISNUMBER(资金流水!$B$1382),ISNUMBER(资金流水!$S$1382),资金流水!$S$1382&gt;=_辅助!$J$4,资金流水!$S$1382&lt;=_辅助!$J$2,OR(资金流水!$C$1382=$C$18,AND(资金流水!$AD$1382=$C$18,资金流水!$X$1382="账户互转"),AND($E$18&lt;&gt;"",资金流水!$J$1382=$E$18,资金流水!$X$1382="应付职工薪酬"))),INT(资金流水!$B$1382)*10000+1377,"")</f>
      </c>
    </row>
    <row r="1383">
      <c r="AA1383" s="2">
        <f>IF(AND(ISNUMBER(资金流水!$B$1383),ISNUMBER(资金流水!$S$1383),资金流水!$S$1383&gt;=_辅助!$J$4,资金流水!$S$1383&lt;=_辅助!$J$2,OR(资金流水!$C$1383=$C$18,AND(资金流水!$AD$1383=$C$18,资金流水!$X$1383="账户互转"),AND($E$18&lt;&gt;"",资金流水!$J$1383=$E$18,资金流水!$X$1383="应付职工薪酬"))),INT(资金流水!$B$1383)*10000+1378,"")</f>
      </c>
    </row>
    <row r="1384">
      <c r="AA1384" s="2">
        <f>IF(AND(ISNUMBER(资金流水!$B$1384),ISNUMBER(资金流水!$S$1384),资金流水!$S$1384&gt;=_辅助!$J$4,资金流水!$S$1384&lt;=_辅助!$J$2,OR(资金流水!$C$1384=$C$18,AND(资金流水!$AD$1384=$C$18,资金流水!$X$1384="账户互转"),AND($E$18&lt;&gt;"",资金流水!$J$1384=$E$18,资金流水!$X$1384="应付职工薪酬"))),INT(资金流水!$B$1384)*10000+1379,"")</f>
      </c>
    </row>
    <row r="1385">
      <c r="AA1385" s="2">
        <f>IF(AND(ISNUMBER(资金流水!$B$1385),ISNUMBER(资金流水!$S$1385),资金流水!$S$1385&gt;=_辅助!$J$4,资金流水!$S$1385&lt;=_辅助!$J$2,OR(资金流水!$C$1385=$C$18,AND(资金流水!$AD$1385=$C$18,资金流水!$X$1385="账户互转"),AND($E$18&lt;&gt;"",资金流水!$J$1385=$E$18,资金流水!$X$1385="应付职工薪酬"))),INT(资金流水!$B$1385)*10000+1380,"")</f>
      </c>
    </row>
    <row r="1386">
      <c r="AA1386" s="2">
        <f>IF(AND(ISNUMBER(资金流水!$B$1386),ISNUMBER(资金流水!$S$1386),资金流水!$S$1386&gt;=_辅助!$J$4,资金流水!$S$1386&lt;=_辅助!$J$2,OR(资金流水!$C$1386=$C$18,AND(资金流水!$AD$1386=$C$18,资金流水!$X$1386="账户互转"),AND($E$18&lt;&gt;"",资金流水!$J$1386=$E$18,资金流水!$X$1386="应付职工薪酬"))),INT(资金流水!$B$1386)*10000+1381,"")</f>
      </c>
    </row>
    <row r="1387">
      <c r="AA1387" s="2">
        <f>IF(AND(ISNUMBER(资金流水!$B$1387),ISNUMBER(资金流水!$S$1387),资金流水!$S$1387&gt;=_辅助!$J$4,资金流水!$S$1387&lt;=_辅助!$J$2,OR(资金流水!$C$1387=$C$18,AND(资金流水!$AD$1387=$C$18,资金流水!$X$1387="账户互转"),AND($E$18&lt;&gt;"",资金流水!$J$1387=$E$18,资金流水!$X$1387="应付职工薪酬"))),INT(资金流水!$B$1387)*10000+1382,"")</f>
      </c>
    </row>
    <row r="1388">
      <c r="AA1388" s="2">
        <f>IF(AND(ISNUMBER(资金流水!$B$1388),ISNUMBER(资金流水!$S$1388),资金流水!$S$1388&gt;=_辅助!$J$4,资金流水!$S$1388&lt;=_辅助!$J$2,OR(资金流水!$C$1388=$C$18,AND(资金流水!$AD$1388=$C$18,资金流水!$X$1388="账户互转"),AND($E$18&lt;&gt;"",资金流水!$J$1388=$E$18,资金流水!$X$1388="应付职工薪酬"))),INT(资金流水!$B$1388)*10000+1383,"")</f>
      </c>
    </row>
    <row r="1389">
      <c r="AA1389" s="2">
        <f>IF(AND(ISNUMBER(资金流水!$B$1389),ISNUMBER(资金流水!$S$1389),资金流水!$S$1389&gt;=_辅助!$J$4,资金流水!$S$1389&lt;=_辅助!$J$2,OR(资金流水!$C$1389=$C$18,AND(资金流水!$AD$1389=$C$18,资金流水!$X$1389="账户互转"),AND($E$18&lt;&gt;"",资金流水!$J$1389=$E$18,资金流水!$X$1389="应付职工薪酬"))),INT(资金流水!$B$1389)*10000+1384,"")</f>
      </c>
    </row>
    <row r="1390">
      <c r="AA1390" s="2">
        <f>IF(AND(ISNUMBER(资金流水!$B$1390),ISNUMBER(资金流水!$S$1390),资金流水!$S$1390&gt;=_辅助!$J$4,资金流水!$S$1390&lt;=_辅助!$J$2,OR(资金流水!$C$1390=$C$18,AND(资金流水!$AD$1390=$C$18,资金流水!$X$1390="账户互转"),AND($E$18&lt;&gt;"",资金流水!$J$1390=$E$18,资金流水!$X$1390="应付职工薪酬"))),INT(资金流水!$B$1390)*10000+1385,"")</f>
      </c>
    </row>
    <row r="1391">
      <c r="AA1391" s="2">
        <f>IF(AND(ISNUMBER(资金流水!$B$1391),ISNUMBER(资金流水!$S$1391),资金流水!$S$1391&gt;=_辅助!$J$4,资金流水!$S$1391&lt;=_辅助!$J$2,OR(资金流水!$C$1391=$C$18,AND(资金流水!$AD$1391=$C$18,资金流水!$X$1391="账户互转"),AND($E$18&lt;&gt;"",资金流水!$J$1391=$E$18,资金流水!$X$1391="应付职工薪酬"))),INT(资金流水!$B$1391)*10000+1386,"")</f>
      </c>
    </row>
    <row r="1392">
      <c r="AA1392" s="2">
        <f>IF(AND(ISNUMBER(资金流水!$B$1392),ISNUMBER(资金流水!$S$1392),资金流水!$S$1392&gt;=_辅助!$J$4,资金流水!$S$1392&lt;=_辅助!$J$2,OR(资金流水!$C$1392=$C$18,AND(资金流水!$AD$1392=$C$18,资金流水!$X$1392="账户互转"),AND($E$18&lt;&gt;"",资金流水!$J$1392=$E$18,资金流水!$X$1392="应付职工薪酬"))),INT(资金流水!$B$1392)*10000+1387,"")</f>
      </c>
    </row>
    <row r="1393">
      <c r="AA1393" s="2">
        <f>IF(AND(ISNUMBER(资金流水!$B$1393),ISNUMBER(资金流水!$S$1393),资金流水!$S$1393&gt;=_辅助!$J$4,资金流水!$S$1393&lt;=_辅助!$J$2,OR(资金流水!$C$1393=$C$18,AND(资金流水!$AD$1393=$C$18,资金流水!$X$1393="账户互转"),AND($E$18&lt;&gt;"",资金流水!$J$1393=$E$18,资金流水!$X$1393="应付职工薪酬"))),INT(资金流水!$B$1393)*10000+1388,"")</f>
      </c>
    </row>
    <row r="1394">
      <c r="AA1394" s="2">
        <f>IF(AND(ISNUMBER(资金流水!$B$1394),ISNUMBER(资金流水!$S$1394),资金流水!$S$1394&gt;=_辅助!$J$4,资金流水!$S$1394&lt;=_辅助!$J$2,OR(资金流水!$C$1394=$C$18,AND(资金流水!$AD$1394=$C$18,资金流水!$X$1394="账户互转"),AND($E$18&lt;&gt;"",资金流水!$J$1394=$E$18,资金流水!$X$1394="应付职工薪酬"))),INT(资金流水!$B$1394)*10000+1389,"")</f>
      </c>
    </row>
    <row r="1395">
      <c r="AA1395" s="2">
        <f>IF(AND(ISNUMBER(资金流水!$B$1395),ISNUMBER(资金流水!$S$1395),资金流水!$S$1395&gt;=_辅助!$J$4,资金流水!$S$1395&lt;=_辅助!$J$2,OR(资金流水!$C$1395=$C$18,AND(资金流水!$AD$1395=$C$18,资金流水!$X$1395="账户互转"),AND($E$18&lt;&gt;"",资金流水!$J$1395=$E$18,资金流水!$X$1395="应付职工薪酬"))),INT(资金流水!$B$1395)*10000+1390,"")</f>
      </c>
    </row>
    <row r="1396">
      <c r="AA1396" s="2">
        <f>IF(AND(ISNUMBER(资金流水!$B$1396),ISNUMBER(资金流水!$S$1396),资金流水!$S$1396&gt;=_辅助!$J$4,资金流水!$S$1396&lt;=_辅助!$J$2,OR(资金流水!$C$1396=$C$18,AND(资金流水!$AD$1396=$C$18,资金流水!$X$1396="账户互转"),AND($E$18&lt;&gt;"",资金流水!$J$1396=$E$18,资金流水!$X$1396="应付职工薪酬"))),INT(资金流水!$B$1396)*10000+1391,"")</f>
      </c>
    </row>
    <row r="1397">
      <c r="AA1397" s="2">
        <f>IF(AND(ISNUMBER(资金流水!$B$1397),ISNUMBER(资金流水!$S$1397),资金流水!$S$1397&gt;=_辅助!$J$4,资金流水!$S$1397&lt;=_辅助!$J$2,OR(资金流水!$C$1397=$C$18,AND(资金流水!$AD$1397=$C$18,资金流水!$X$1397="账户互转"),AND($E$18&lt;&gt;"",资金流水!$J$1397=$E$18,资金流水!$X$1397="应付职工薪酬"))),INT(资金流水!$B$1397)*10000+1392,"")</f>
      </c>
    </row>
    <row r="1398">
      <c r="AA1398" s="2">
        <f>IF(AND(ISNUMBER(资金流水!$B$1398),ISNUMBER(资金流水!$S$1398),资金流水!$S$1398&gt;=_辅助!$J$4,资金流水!$S$1398&lt;=_辅助!$J$2,OR(资金流水!$C$1398=$C$18,AND(资金流水!$AD$1398=$C$18,资金流水!$X$1398="账户互转"),AND($E$18&lt;&gt;"",资金流水!$J$1398=$E$18,资金流水!$X$1398="应付职工薪酬"))),INT(资金流水!$B$1398)*10000+1393,"")</f>
      </c>
    </row>
    <row r="1399">
      <c r="AA1399" s="2">
        <f>IF(AND(ISNUMBER(资金流水!$B$1399),ISNUMBER(资金流水!$S$1399),资金流水!$S$1399&gt;=_辅助!$J$4,资金流水!$S$1399&lt;=_辅助!$J$2,OR(资金流水!$C$1399=$C$18,AND(资金流水!$AD$1399=$C$18,资金流水!$X$1399="账户互转"),AND($E$18&lt;&gt;"",资金流水!$J$1399=$E$18,资金流水!$X$1399="应付职工薪酬"))),INT(资金流水!$B$1399)*10000+1394,"")</f>
      </c>
    </row>
    <row r="1400">
      <c r="AA1400" s="2">
        <f>IF(AND(ISNUMBER(资金流水!$B$1400),ISNUMBER(资金流水!$S$1400),资金流水!$S$1400&gt;=_辅助!$J$4,资金流水!$S$1400&lt;=_辅助!$J$2,OR(资金流水!$C$1400=$C$18,AND(资金流水!$AD$1400=$C$18,资金流水!$X$1400="账户互转"),AND($E$18&lt;&gt;"",资金流水!$J$1400=$E$18,资金流水!$X$1400="应付职工薪酬"))),INT(资金流水!$B$1400)*10000+1395,"")</f>
      </c>
    </row>
    <row r="1401">
      <c r="AA1401" s="2">
        <f>IF(AND(ISNUMBER(资金流水!$B$1401),ISNUMBER(资金流水!$S$1401),资金流水!$S$1401&gt;=_辅助!$J$4,资金流水!$S$1401&lt;=_辅助!$J$2,OR(资金流水!$C$1401=$C$18,AND(资金流水!$AD$1401=$C$18,资金流水!$X$1401="账户互转"),AND($E$18&lt;&gt;"",资金流水!$J$1401=$E$18,资金流水!$X$1401="应付职工薪酬"))),INT(资金流水!$B$1401)*10000+1396,"")</f>
      </c>
    </row>
    <row r="1402">
      <c r="AA1402" s="2">
        <f>IF(AND(ISNUMBER(资金流水!$B$1402),ISNUMBER(资金流水!$S$1402),资金流水!$S$1402&gt;=_辅助!$J$4,资金流水!$S$1402&lt;=_辅助!$J$2,OR(资金流水!$C$1402=$C$18,AND(资金流水!$AD$1402=$C$18,资金流水!$X$1402="账户互转"),AND($E$18&lt;&gt;"",资金流水!$J$1402=$E$18,资金流水!$X$1402="应付职工薪酬"))),INT(资金流水!$B$1402)*10000+1397,"")</f>
      </c>
    </row>
    <row r="1403">
      <c r="AA1403" s="2">
        <f>IF(AND(ISNUMBER(资金流水!$B$1403),ISNUMBER(资金流水!$S$1403),资金流水!$S$1403&gt;=_辅助!$J$4,资金流水!$S$1403&lt;=_辅助!$J$2,OR(资金流水!$C$1403=$C$18,AND(资金流水!$AD$1403=$C$18,资金流水!$X$1403="账户互转"),AND($E$18&lt;&gt;"",资金流水!$J$1403=$E$18,资金流水!$X$1403="应付职工薪酬"))),INT(资金流水!$B$1403)*10000+1398,"")</f>
      </c>
    </row>
    <row r="1404">
      <c r="AA1404" s="2">
        <f>IF(AND(ISNUMBER(资金流水!$B$1404),ISNUMBER(资金流水!$S$1404),资金流水!$S$1404&gt;=_辅助!$J$4,资金流水!$S$1404&lt;=_辅助!$J$2,OR(资金流水!$C$1404=$C$18,AND(资金流水!$AD$1404=$C$18,资金流水!$X$1404="账户互转"),AND($E$18&lt;&gt;"",资金流水!$J$1404=$E$18,资金流水!$X$1404="应付职工薪酬"))),INT(资金流水!$B$1404)*10000+1399,"")</f>
      </c>
    </row>
    <row r="1405">
      <c r="AA1405" s="2">
        <f>IF(AND(ISNUMBER(资金流水!$B$1405),ISNUMBER(资金流水!$S$1405),资金流水!$S$1405&gt;=_辅助!$J$4,资金流水!$S$1405&lt;=_辅助!$J$2,OR(资金流水!$C$1405=$C$18,AND(资金流水!$AD$1405=$C$18,资金流水!$X$1405="账户互转"),AND($E$18&lt;&gt;"",资金流水!$J$1405=$E$18,资金流水!$X$1405="应付职工薪酬"))),INT(资金流水!$B$1405)*10000+1400,"")</f>
      </c>
    </row>
    <row r="1406">
      <c r="AA1406" s="2">
        <f>IF(AND(ISNUMBER(资金流水!$B$1406),ISNUMBER(资金流水!$S$1406),资金流水!$S$1406&gt;=_辅助!$J$4,资金流水!$S$1406&lt;=_辅助!$J$2,OR(资金流水!$C$1406=$C$18,AND(资金流水!$AD$1406=$C$18,资金流水!$X$1406="账户互转"),AND($E$18&lt;&gt;"",资金流水!$J$1406=$E$18,资金流水!$X$1406="应付职工薪酬"))),INT(资金流水!$B$1406)*10000+1401,"")</f>
      </c>
    </row>
    <row r="1407">
      <c r="AA1407" s="2">
        <f>IF(AND(ISNUMBER(资金流水!$B$1407),ISNUMBER(资金流水!$S$1407),资金流水!$S$1407&gt;=_辅助!$J$4,资金流水!$S$1407&lt;=_辅助!$J$2,OR(资金流水!$C$1407=$C$18,AND(资金流水!$AD$1407=$C$18,资金流水!$X$1407="账户互转"),AND($E$18&lt;&gt;"",资金流水!$J$1407=$E$18,资金流水!$X$1407="应付职工薪酬"))),INT(资金流水!$B$1407)*10000+1402,"")</f>
      </c>
    </row>
    <row r="1408">
      <c r="AA1408" s="2">
        <f>IF(AND(ISNUMBER(资金流水!$B$1408),ISNUMBER(资金流水!$S$1408),资金流水!$S$1408&gt;=_辅助!$J$4,资金流水!$S$1408&lt;=_辅助!$J$2,OR(资金流水!$C$1408=$C$18,AND(资金流水!$AD$1408=$C$18,资金流水!$X$1408="账户互转"),AND($E$18&lt;&gt;"",资金流水!$J$1408=$E$18,资金流水!$X$1408="应付职工薪酬"))),INT(资金流水!$B$1408)*10000+1403,"")</f>
      </c>
    </row>
    <row r="1409">
      <c r="AA1409" s="2">
        <f>IF(AND(ISNUMBER(资金流水!$B$1409),ISNUMBER(资金流水!$S$1409),资金流水!$S$1409&gt;=_辅助!$J$4,资金流水!$S$1409&lt;=_辅助!$J$2,OR(资金流水!$C$1409=$C$18,AND(资金流水!$AD$1409=$C$18,资金流水!$X$1409="账户互转"),AND($E$18&lt;&gt;"",资金流水!$J$1409=$E$18,资金流水!$X$1409="应付职工薪酬"))),INT(资金流水!$B$1409)*10000+1404,"")</f>
      </c>
    </row>
    <row r="1410">
      <c r="AA1410" s="2">
        <f>IF(AND(ISNUMBER(资金流水!$B$1410),ISNUMBER(资金流水!$S$1410),资金流水!$S$1410&gt;=_辅助!$J$4,资金流水!$S$1410&lt;=_辅助!$J$2,OR(资金流水!$C$1410=$C$18,AND(资金流水!$AD$1410=$C$18,资金流水!$X$1410="账户互转"),AND($E$18&lt;&gt;"",资金流水!$J$1410=$E$18,资金流水!$X$1410="应付职工薪酬"))),INT(资金流水!$B$1410)*10000+1405,"")</f>
      </c>
    </row>
    <row r="1411">
      <c r="AA1411" s="2">
        <f>IF(AND(ISNUMBER(资金流水!$B$1411),ISNUMBER(资金流水!$S$1411),资金流水!$S$1411&gt;=_辅助!$J$4,资金流水!$S$1411&lt;=_辅助!$J$2,OR(资金流水!$C$1411=$C$18,AND(资金流水!$AD$1411=$C$18,资金流水!$X$1411="账户互转"),AND($E$18&lt;&gt;"",资金流水!$J$1411=$E$18,资金流水!$X$1411="应付职工薪酬"))),INT(资金流水!$B$1411)*10000+1406,"")</f>
      </c>
    </row>
    <row r="1412">
      <c r="AA1412" s="2">
        <f>IF(AND(ISNUMBER(资金流水!$B$1412),ISNUMBER(资金流水!$S$1412),资金流水!$S$1412&gt;=_辅助!$J$4,资金流水!$S$1412&lt;=_辅助!$J$2,OR(资金流水!$C$1412=$C$18,AND(资金流水!$AD$1412=$C$18,资金流水!$X$1412="账户互转"),AND($E$18&lt;&gt;"",资金流水!$J$1412=$E$18,资金流水!$X$1412="应付职工薪酬"))),INT(资金流水!$B$1412)*10000+1407,"")</f>
      </c>
    </row>
    <row r="1413">
      <c r="AA1413" s="2">
        <f>IF(AND(ISNUMBER(资金流水!$B$1413),ISNUMBER(资金流水!$S$1413),资金流水!$S$1413&gt;=_辅助!$J$4,资金流水!$S$1413&lt;=_辅助!$J$2,OR(资金流水!$C$1413=$C$18,AND(资金流水!$AD$1413=$C$18,资金流水!$X$1413="账户互转"),AND($E$18&lt;&gt;"",资金流水!$J$1413=$E$18,资金流水!$X$1413="应付职工薪酬"))),INT(资金流水!$B$1413)*10000+1408,"")</f>
      </c>
    </row>
    <row r="1414">
      <c r="AA1414" s="2">
        <f>IF(AND(ISNUMBER(资金流水!$B$1414),ISNUMBER(资金流水!$S$1414),资金流水!$S$1414&gt;=_辅助!$J$4,资金流水!$S$1414&lt;=_辅助!$J$2,OR(资金流水!$C$1414=$C$18,AND(资金流水!$AD$1414=$C$18,资金流水!$X$1414="账户互转"),AND($E$18&lt;&gt;"",资金流水!$J$1414=$E$18,资金流水!$X$1414="应付职工薪酬"))),INT(资金流水!$B$1414)*10000+1409,"")</f>
      </c>
    </row>
    <row r="1415">
      <c r="AA1415" s="2">
        <f>IF(AND(ISNUMBER(资金流水!$B$1415),ISNUMBER(资金流水!$S$1415),资金流水!$S$1415&gt;=_辅助!$J$4,资金流水!$S$1415&lt;=_辅助!$J$2,OR(资金流水!$C$1415=$C$18,AND(资金流水!$AD$1415=$C$18,资金流水!$X$1415="账户互转"),AND($E$18&lt;&gt;"",资金流水!$J$1415=$E$18,资金流水!$X$1415="应付职工薪酬"))),INT(资金流水!$B$1415)*10000+1410,"")</f>
      </c>
    </row>
    <row r="1416">
      <c r="AA1416" s="2">
        <f>IF(AND(ISNUMBER(资金流水!$B$1416),ISNUMBER(资金流水!$S$1416),资金流水!$S$1416&gt;=_辅助!$J$4,资金流水!$S$1416&lt;=_辅助!$J$2,OR(资金流水!$C$1416=$C$18,AND(资金流水!$AD$1416=$C$18,资金流水!$X$1416="账户互转"),AND($E$18&lt;&gt;"",资金流水!$J$1416=$E$18,资金流水!$X$1416="应付职工薪酬"))),INT(资金流水!$B$1416)*10000+1411,"")</f>
      </c>
    </row>
    <row r="1417">
      <c r="AA1417" s="2">
        <f>IF(AND(ISNUMBER(资金流水!$B$1417),ISNUMBER(资金流水!$S$1417),资金流水!$S$1417&gt;=_辅助!$J$4,资金流水!$S$1417&lt;=_辅助!$J$2,OR(资金流水!$C$1417=$C$18,AND(资金流水!$AD$1417=$C$18,资金流水!$X$1417="账户互转"),AND($E$18&lt;&gt;"",资金流水!$J$1417=$E$18,资金流水!$X$1417="应付职工薪酬"))),INT(资金流水!$B$1417)*10000+1412,"")</f>
      </c>
    </row>
    <row r="1418">
      <c r="AA1418" s="2">
        <f>IF(AND(ISNUMBER(资金流水!$B$1418),ISNUMBER(资金流水!$S$1418),资金流水!$S$1418&gt;=_辅助!$J$4,资金流水!$S$1418&lt;=_辅助!$J$2,OR(资金流水!$C$1418=$C$18,AND(资金流水!$AD$1418=$C$18,资金流水!$X$1418="账户互转"),AND($E$18&lt;&gt;"",资金流水!$J$1418=$E$18,资金流水!$X$1418="应付职工薪酬"))),INT(资金流水!$B$1418)*10000+1413,"")</f>
      </c>
    </row>
    <row r="1419">
      <c r="AA1419" s="2">
        <f>IF(AND(ISNUMBER(资金流水!$B$1419),ISNUMBER(资金流水!$S$1419),资金流水!$S$1419&gt;=_辅助!$J$4,资金流水!$S$1419&lt;=_辅助!$J$2,OR(资金流水!$C$1419=$C$18,AND(资金流水!$AD$1419=$C$18,资金流水!$X$1419="账户互转"),AND($E$18&lt;&gt;"",资金流水!$J$1419=$E$18,资金流水!$X$1419="应付职工薪酬"))),INT(资金流水!$B$1419)*10000+1414,"")</f>
      </c>
    </row>
    <row r="1420">
      <c r="AA1420" s="2">
        <f>IF(AND(ISNUMBER(资金流水!$B$1420),ISNUMBER(资金流水!$S$1420),资金流水!$S$1420&gt;=_辅助!$J$4,资金流水!$S$1420&lt;=_辅助!$J$2,OR(资金流水!$C$1420=$C$18,AND(资金流水!$AD$1420=$C$18,资金流水!$X$1420="账户互转"),AND($E$18&lt;&gt;"",资金流水!$J$1420=$E$18,资金流水!$X$1420="应付职工薪酬"))),INT(资金流水!$B$1420)*10000+1415,"")</f>
      </c>
    </row>
    <row r="1421">
      <c r="AA1421" s="2">
        <f>IF(AND(ISNUMBER(资金流水!$B$1421),ISNUMBER(资金流水!$S$1421),资金流水!$S$1421&gt;=_辅助!$J$4,资金流水!$S$1421&lt;=_辅助!$J$2,OR(资金流水!$C$1421=$C$18,AND(资金流水!$AD$1421=$C$18,资金流水!$X$1421="账户互转"),AND($E$18&lt;&gt;"",资金流水!$J$1421=$E$18,资金流水!$X$1421="应付职工薪酬"))),INT(资金流水!$B$1421)*10000+1416,"")</f>
      </c>
    </row>
    <row r="1422">
      <c r="AA1422" s="2">
        <f>IF(AND(ISNUMBER(资金流水!$B$1422),ISNUMBER(资金流水!$S$1422),资金流水!$S$1422&gt;=_辅助!$J$4,资金流水!$S$1422&lt;=_辅助!$J$2,OR(资金流水!$C$1422=$C$18,AND(资金流水!$AD$1422=$C$18,资金流水!$X$1422="账户互转"),AND($E$18&lt;&gt;"",资金流水!$J$1422=$E$18,资金流水!$X$1422="应付职工薪酬"))),INT(资金流水!$B$1422)*10000+1417,"")</f>
      </c>
    </row>
    <row r="1423">
      <c r="AA1423" s="2">
        <f>IF(AND(ISNUMBER(资金流水!$B$1423),ISNUMBER(资金流水!$S$1423),资金流水!$S$1423&gt;=_辅助!$J$4,资金流水!$S$1423&lt;=_辅助!$J$2,OR(资金流水!$C$1423=$C$18,AND(资金流水!$AD$1423=$C$18,资金流水!$X$1423="账户互转"),AND($E$18&lt;&gt;"",资金流水!$J$1423=$E$18,资金流水!$X$1423="应付职工薪酬"))),INT(资金流水!$B$1423)*10000+1418,"")</f>
      </c>
    </row>
    <row r="1424">
      <c r="AA1424" s="2">
        <f>IF(AND(ISNUMBER(资金流水!$B$1424),ISNUMBER(资金流水!$S$1424),资金流水!$S$1424&gt;=_辅助!$J$4,资金流水!$S$1424&lt;=_辅助!$J$2,OR(资金流水!$C$1424=$C$18,AND(资金流水!$AD$1424=$C$18,资金流水!$X$1424="账户互转"),AND($E$18&lt;&gt;"",资金流水!$J$1424=$E$18,资金流水!$X$1424="应付职工薪酬"))),INT(资金流水!$B$1424)*10000+1419,"")</f>
      </c>
    </row>
    <row r="1425">
      <c r="AA1425" s="2">
        <f>IF(AND(ISNUMBER(资金流水!$B$1425),ISNUMBER(资金流水!$S$1425),资金流水!$S$1425&gt;=_辅助!$J$4,资金流水!$S$1425&lt;=_辅助!$J$2,OR(资金流水!$C$1425=$C$18,AND(资金流水!$AD$1425=$C$18,资金流水!$X$1425="账户互转"),AND($E$18&lt;&gt;"",资金流水!$J$1425=$E$18,资金流水!$X$1425="应付职工薪酬"))),INT(资金流水!$B$1425)*10000+1420,"")</f>
      </c>
    </row>
    <row r="1426">
      <c r="AA1426" s="2">
        <f>IF(AND(ISNUMBER(资金流水!$B$1426),ISNUMBER(资金流水!$S$1426),资金流水!$S$1426&gt;=_辅助!$J$4,资金流水!$S$1426&lt;=_辅助!$J$2,OR(资金流水!$C$1426=$C$18,AND(资金流水!$AD$1426=$C$18,资金流水!$X$1426="账户互转"),AND($E$18&lt;&gt;"",资金流水!$J$1426=$E$18,资金流水!$X$1426="应付职工薪酬"))),INT(资金流水!$B$1426)*10000+1421,"")</f>
      </c>
    </row>
    <row r="1427">
      <c r="AA1427" s="2">
        <f>IF(AND(ISNUMBER(资金流水!$B$1427),ISNUMBER(资金流水!$S$1427),资金流水!$S$1427&gt;=_辅助!$J$4,资金流水!$S$1427&lt;=_辅助!$J$2,OR(资金流水!$C$1427=$C$18,AND(资金流水!$AD$1427=$C$18,资金流水!$X$1427="账户互转"),AND($E$18&lt;&gt;"",资金流水!$J$1427=$E$18,资金流水!$X$1427="应付职工薪酬"))),INT(资金流水!$B$1427)*10000+1422,"")</f>
      </c>
    </row>
    <row r="1428">
      <c r="AA1428" s="2">
        <f>IF(AND(ISNUMBER(资金流水!$B$1428),ISNUMBER(资金流水!$S$1428),资金流水!$S$1428&gt;=_辅助!$J$4,资金流水!$S$1428&lt;=_辅助!$J$2,OR(资金流水!$C$1428=$C$18,AND(资金流水!$AD$1428=$C$18,资金流水!$X$1428="账户互转"),AND($E$18&lt;&gt;"",资金流水!$J$1428=$E$18,资金流水!$X$1428="应付职工薪酬"))),INT(资金流水!$B$1428)*10000+1423,"")</f>
      </c>
    </row>
    <row r="1429">
      <c r="AA1429" s="2">
        <f>IF(AND(ISNUMBER(资金流水!$B$1429),ISNUMBER(资金流水!$S$1429),资金流水!$S$1429&gt;=_辅助!$J$4,资金流水!$S$1429&lt;=_辅助!$J$2,OR(资金流水!$C$1429=$C$18,AND(资金流水!$AD$1429=$C$18,资金流水!$X$1429="账户互转"),AND($E$18&lt;&gt;"",资金流水!$J$1429=$E$18,资金流水!$X$1429="应付职工薪酬"))),INT(资金流水!$B$1429)*10000+1424,"")</f>
      </c>
    </row>
    <row r="1430">
      <c r="AA1430" s="2">
        <f>IF(AND(ISNUMBER(资金流水!$B$1430),ISNUMBER(资金流水!$S$1430),资金流水!$S$1430&gt;=_辅助!$J$4,资金流水!$S$1430&lt;=_辅助!$J$2,OR(资金流水!$C$1430=$C$18,AND(资金流水!$AD$1430=$C$18,资金流水!$X$1430="账户互转"),AND($E$18&lt;&gt;"",资金流水!$J$1430=$E$18,资金流水!$X$1430="应付职工薪酬"))),INT(资金流水!$B$1430)*10000+1425,"")</f>
      </c>
    </row>
    <row r="1431">
      <c r="AA1431" s="2">
        <f>IF(AND(ISNUMBER(资金流水!$B$1431),ISNUMBER(资金流水!$S$1431),资金流水!$S$1431&gt;=_辅助!$J$4,资金流水!$S$1431&lt;=_辅助!$J$2,OR(资金流水!$C$1431=$C$18,AND(资金流水!$AD$1431=$C$18,资金流水!$X$1431="账户互转"),AND($E$18&lt;&gt;"",资金流水!$J$1431=$E$18,资金流水!$X$1431="应付职工薪酬"))),INT(资金流水!$B$1431)*10000+1426,"")</f>
      </c>
    </row>
    <row r="1432">
      <c r="AA1432" s="2">
        <f>IF(AND(ISNUMBER(资金流水!$B$1432),ISNUMBER(资金流水!$S$1432),资金流水!$S$1432&gt;=_辅助!$J$4,资金流水!$S$1432&lt;=_辅助!$J$2,OR(资金流水!$C$1432=$C$18,AND(资金流水!$AD$1432=$C$18,资金流水!$X$1432="账户互转"),AND($E$18&lt;&gt;"",资金流水!$J$1432=$E$18,资金流水!$X$1432="应付职工薪酬"))),INT(资金流水!$B$1432)*10000+1427,"")</f>
      </c>
    </row>
    <row r="1433">
      <c r="AA1433" s="2">
        <f>IF(AND(ISNUMBER(资金流水!$B$1433),ISNUMBER(资金流水!$S$1433),资金流水!$S$1433&gt;=_辅助!$J$4,资金流水!$S$1433&lt;=_辅助!$J$2,OR(资金流水!$C$1433=$C$18,AND(资金流水!$AD$1433=$C$18,资金流水!$X$1433="账户互转"),AND($E$18&lt;&gt;"",资金流水!$J$1433=$E$18,资金流水!$X$1433="应付职工薪酬"))),INT(资金流水!$B$1433)*10000+1428,"")</f>
      </c>
    </row>
    <row r="1434">
      <c r="AA1434" s="2">
        <f>IF(AND(ISNUMBER(资金流水!$B$1434),ISNUMBER(资金流水!$S$1434),资金流水!$S$1434&gt;=_辅助!$J$4,资金流水!$S$1434&lt;=_辅助!$J$2,OR(资金流水!$C$1434=$C$18,AND(资金流水!$AD$1434=$C$18,资金流水!$X$1434="账户互转"),AND($E$18&lt;&gt;"",资金流水!$J$1434=$E$18,资金流水!$X$1434="应付职工薪酬"))),INT(资金流水!$B$1434)*10000+1429,"")</f>
      </c>
    </row>
    <row r="1435">
      <c r="AA1435" s="2">
        <f>IF(AND(ISNUMBER(资金流水!$B$1435),ISNUMBER(资金流水!$S$1435),资金流水!$S$1435&gt;=_辅助!$J$4,资金流水!$S$1435&lt;=_辅助!$J$2,OR(资金流水!$C$1435=$C$18,AND(资金流水!$AD$1435=$C$18,资金流水!$X$1435="账户互转"),AND($E$18&lt;&gt;"",资金流水!$J$1435=$E$18,资金流水!$X$1435="应付职工薪酬"))),INT(资金流水!$B$1435)*10000+1430,"")</f>
      </c>
    </row>
    <row r="1436">
      <c r="AA1436" s="2">
        <f>IF(AND(ISNUMBER(资金流水!$B$1436),ISNUMBER(资金流水!$S$1436),资金流水!$S$1436&gt;=_辅助!$J$4,资金流水!$S$1436&lt;=_辅助!$J$2,OR(资金流水!$C$1436=$C$18,AND(资金流水!$AD$1436=$C$18,资金流水!$X$1436="账户互转"),AND($E$18&lt;&gt;"",资金流水!$J$1436=$E$18,资金流水!$X$1436="应付职工薪酬"))),INT(资金流水!$B$1436)*10000+1431,"")</f>
      </c>
    </row>
    <row r="1437">
      <c r="AA1437" s="2">
        <f>IF(AND(ISNUMBER(资金流水!$B$1437),ISNUMBER(资金流水!$S$1437),资金流水!$S$1437&gt;=_辅助!$J$4,资金流水!$S$1437&lt;=_辅助!$J$2,OR(资金流水!$C$1437=$C$18,AND(资金流水!$AD$1437=$C$18,资金流水!$X$1437="账户互转"),AND($E$18&lt;&gt;"",资金流水!$J$1437=$E$18,资金流水!$X$1437="应付职工薪酬"))),INT(资金流水!$B$1437)*10000+1432,"")</f>
      </c>
    </row>
    <row r="1438">
      <c r="AA1438" s="2">
        <f>IF(AND(ISNUMBER(资金流水!$B$1438),ISNUMBER(资金流水!$S$1438),资金流水!$S$1438&gt;=_辅助!$J$4,资金流水!$S$1438&lt;=_辅助!$J$2,OR(资金流水!$C$1438=$C$18,AND(资金流水!$AD$1438=$C$18,资金流水!$X$1438="账户互转"),AND($E$18&lt;&gt;"",资金流水!$J$1438=$E$18,资金流水!$X$1438="应付职工薪酬"))),INT(资金流水!$B$1438)*10000+1433,"")</f>
      </c>
    </row>
    <row r="1439">
      <c r="AA1439" s="2">
        <f>IF(AND(ISNUMBER(资金流水!$B$1439),ISNUMBER(资金流水!$S$1439),资金流水!$S$1439&gt;=_辅助!$J$4,资金流水!$S$1439&lt;=_辅助!$J$2,OR(资金流水!$C$1439=$C$18,AND(资金流水!$AD$1439=$C$18,资金流水!$X$1439="账户互转"),AND($E$18&lt;&gt;"",资金流水!$J$1439=$E$18,资金流水!$X$1439="应付职工薪酬"))),INT(资金流水!$B$1439)*10000+1434,"")</f>
      </c>
    </row>
    <row r="1440">
      <c r="AA1440" s="2">
        <f>IF(AND(ISNUMBER(资金流水!$B$1440),ISNUMBER(资金流水!$S$1440),资金流水!$S$1440&gt;=_辅助!$J$4,资金流水!$S$1440&lt;=_辅助!$J$2,OR(资金流水!$C$1440=$C$18,AND(资金流水!$AD$1440=$C$18,资金流水!$X$1440="账户互转"),AND($E$18&lt;&gt;"",资金流水!$J$1440=$E$18,资金流水!$X$1440="应付职工薪酬"))),INT(资金流水!$B$1440)*10000+1435,"")</f>
      </c>
    </row>
    <row r="1441">
      <c r="AA1441" s="2">
        <f>IF(AND(ISNUMBER(资金流水!$B$1441),ISNUMBER(资金流水!$S$1441),资金流水!$S$1441&gt;=_辅助!$J$4,资金流水!$S$1441&lt;=_辅助!$J$2,OR(资金流水!$C$1441=$C$18,AND(资金流水!$AD$1441=$C$18,资金流水!$X$1441="账户互转"),AND($E$18&lt;&gt;"",资金流水!$J$1441=$E$18,资金流水!$X$1441="应付职工薪酬"))),INT(资金流水!$B$1441)*10000+1436,"")</f>
      </c>
    </row>
    <row r="1442">
      <c r="AA1442" s="2">
        <f>IF(AND(ISNUMBER(资金流水!$B$1442),ISNUMBER(资金流水!$S$1442),资金流水!$S$1442&gt;=_辅助!$J$4,资金流水!$S$1442&lt;=_辅助!$J$2,OR(资金流水!$C$1442=$C$18,AND(资金流水!$AD$1442=$C$18,资金流水!$X$1442="账户互转"),AND($E$18&lt;&gt;"",资金流水!$J$1442=$E$18,资金流水!$X$1442="应付职工薪酬"))),INT(资金流水!$B$1442)*10000+1437,"")</f>
      </c>
    </row>
    <row r="1443">
      <c r="AA1443" s="2">
        <f>IF(AND(ISNUMBER(资金流水!$B$1443),ISNUMBER(资金流水!$S$1443),资金流水!$S$1443&gt;=_辅助!$J$4,资金流水!$S$1443&lt;=_辅助!$J$2,OR(资金流水!$C$1443=$C$18,AND(资金流水!$AD$1443=$C$18,资金流水!$X$1443="账户互转"),AND($E$18&lt;&gt;"",资金流水!$J$1443=$E$18,资金流水!$X$1443="应付职工薪酬"))),INT(资金流水!$B$1443)*10000+1438,"")</f>
      </c>
    </row>
    <row r="1444">
      <c r="AA1444" s="2">
        <f>IF(AND(ISNUMBER(资金流水!$B$1444),ISNUMBER(资金流水!$S$1444),资金流水!$S$1444&gt;=_辅助!$J$4,资金流水!$S$1444&lt;=_辅助!$J$2,OR(资金流水!$C$1444=$C$18,AND(资金流水!$AD$1444=$C$18,资金流水!$X$1444="账户互转"),AND($E$18&lt;&gt;"",资金流水!$J$1444=$E$18,资金流水!$X$1444="应付职工薪酬"))),INT(资金流水!$B$1444)*10000+1439,"")</f>
      </c>
    </row>
    <row r="1445">
      <c r="AA1445" s="2">
        <f>IF(AND(ISNUMBER(资金流水!$B$1445),ISNUMBER(资金流水!$S$1445),资金流水!$S$1445&gt;=_辅助!$J$4,资金流水!$S$1445&lt;=_辅助!$J$2,OR(资金流水!$C$1445=$C$18,AND(资金流水!$AD$1445=$C$18,资金流水!$X$1445="账户互转"),AND($E$18&lt;&gt;"",资金流水!$J$1445=$E$18,资金流水!$X$1445="应付职工薪酬"))),INT(资金流水!$B$1445)*10000+1440,"")</f>
      </c>
    </row>
    <row r="1446">
      <c r="AA1446" s="2">
        <f>IF(AND(ISNUMBER(资金流水!$B$1446),ISNUMBER(资金流水!$S$1446),资金流水!$S$1446&gt;=_辅助!$J$4,资金流水!$S$1446&lt;=_辅助!$J$2,OR(资金流水!$C$1446=$C$18,AND(资金流水!$AD$1446=$C$18,资金流水!$X$1446="账户互转"),AND($E$18&lt;&gt;"",资金流水!$J$1446=$E$18,资金流水!$X$1446="应付职工薪酬"))),INT(资金流水!$B$1446)*10000+1441,"")</f>
      </c>
    </row>
    <row r="1447">
      <c r="AA1447" s="2">
        <f>IF(AND(ISNUMBER(资金流水!$B$1447),ISNUMBER(资金流水!$S$1447),资金流水!$S$1447&gt;=_辅助!$J$4,资金流水!$S$1447&lt;=_辅助!$J$2,OR(资金流水!$C$1447=$C$18,AND(资金流水!$AD$1447=$C$18,资金流水!$X$1447="账户互转"),AND($E$18&lt;&gt;"",资金流水!$J$1447=$E$18,资金流水!$X$1447="应付职工薪酬"))),INT(资金流水!$B$1447)*10000+1442,"")</f>
      </c>
    </row>
    <row r="1448">
      <c r="AA1448" s="2">
        <f>IF(AND(ISNUMBER(资金流水!$B$1448),ISNUMBER(资金流水!$S$1448),资金流水!$S$1448&gt;=_辅助!$J$4,资金流水!$S$1448&lt;=_辅助!$J$2,OR(资金流水!$C$1448=$C$18,AND(资金流水!$AD$1448=$C$18,资金流水!$X$1448="账户互转"),AND($E$18&lt;&gt;"",资金流水!$J$1448=$E$18,资金流水!$X$1448="应付职工薪酬"))),INT(资金流水!$B$1448)*10000+1443,"")</f>
      </c>
    </row>
    <row r="1449">
      <c r="AA1449" s="2">
        <f>IF(AND(ISNUMBER(资金流水!$B$1449),ISNUMBER(资金流水!$S$1449),资金流水!$S$1449&gt;=_辅助!$J$4,资金流水!$S$1449&lt;=_辅助!$J$2,OR(资金流水!$C$1449=$C$18,AND(资金流水!$AD$1449=$C$18,资金流水!$X$1449="账户互转"),AND($E$18&lt;&gt;"",资金流水!$J$1449=$E$18,资金流水!$X$1449="应付职工薪酬"))),INT(资金流水!$B$1449)*10000+1444,"")</f>
      </c>
    </row>
    <row r="1450">
      <c r="AA1450" s="2">
        <f>IF(AND(ISNUMBER(资金流水!$B$1450),ISNUMBER(资金流水!$S$1450),资金流水!$S$1450&gt;=_辅助!$J$4,资金流水!$S$1450&lt;=_辅助!$J$2,OR(资金流水!$C$1450=$C$18,AND(资金流水!$AD$1450=$C$18,资金流水!$X$1450="账户互转"),AND($E$18&lt;&gt;"",资金流水!$J$1450=$E$18,资金流水!$X$1450="应付职工薪酬"))),INT(资金流水!$B$1450)*10000+1445,"")</f>
      </c>
    </row>
    <row r="1451">
      <c r="AA1451" s="2">
        <f>IF(AND(ISNUMBER(资金流水!$B$1451),ISNUMBER(资金流水!$S$1451),资金流水!$S$1451&gt;=_辅助!$J$4,资金流水!$S$1451&lt;=_辅助!$J$2,OR(资金流水!$C$1451=$C$18,AND(资金流水!$AD$1451=$C$18,资金流水!$X$1451="账户互转"),AND($E$18&lt;&gt;"",资金流水!$J$1451=$E$18,资金流水!$X$1451="应付职工薪酬"))),INT(资金流水!$B$1451)*10000+1446,"")</f>
      </c>
    </row>
    <row r="1452">
      <c r="AA1452" s="2">
        <f>IF(AND(ISNUMBER(资金流水!$B$1452),ISNUMBER(资金流水!$S$1452),资金流水!$S$1452&gt;=_辅助!$J$4,资金流水!$S$1452&lt;=_辅助!$J$2,OR(资金流水!$C$1452=$C$18,AND(资金流水!$AD$1452=$C$18,资金流水!$X$1452="账户互转"),AND($E$18&lt;&gt;"",资金流水!$J$1452=$E$18,资金流水!$X$1452="应付职工薪酬"))),INT(资金流水!$B$1452)*10000+1447,"")</f>
      </c>
    </row>
    <row r="1453">
      <c r="AA1453" s="2">
        <f>IF(AND(ISNUMBER(资金流水!$B$1453),ISNUMBER(资金流水!$S$1453),资金流水!$S$1453&gt;=_辅助!$J$4,资金流水!$S$1453&lt;=_辅助!$J$2,OR(资金流水!$C$1453=$C$18,AND(资金流水!$AD$1453=$C$18,资金流水!$X$1453="账户互转"),AND($E$18&lt;&gt;"",资金流水!$J$1453=$E$18,资金流水!$X$1453="应付职工薪酬"))),INT(资金流水!$B$1453)*10000+1448,"")</f>
      </c>
    </row>
    <row r="1454">
      <c r="AA1454" s="2">
        <f>IF(AND(ISNUMBER(资金流水!$B$1454),ISNUMBER(资金流水!$S$1454),资金流水!$S$1454&gt;=_辅助!$J$4,资金流水!$S$1454&lt;=_辅助!$J$2,OR(资金流水!$C$1454=$C$18,AND(资金流水!$AD$1454=$C$18,资金流水!$X$1454="账户互转"),AND($E$18&lt;&gt;"",资金流水!$J$1454=$E$18,资金流水!$X$1454="应付职工薪酬"))),INT(资金流水!$B$1454)*10000+1449,"")</f>
      </c>
    </row>
    <row r="1455">
      <c r="AA1455" s="2">
        <f>IF(AND(ISNUMBER(资金流水!$B$1455),ISNUMBER(资金流水!$S$1455),资金流水!$S$1455&gt;=_辅助!$J$4,资金流水!$S$1455&lt;=_辅助!$J$2,OR(资金流水!$C$1455=$C$18,AND(资金流水!$AD$1455=$C$18,资金流水!$X$1455="账户互转"),AND($E$18&lt;&gt;"",资金流水!$J$1455=$E$18,资金流水!$X$1455="应付职工薪酬"))),INT(资金流水!$B$1455)*10000+1450,"")</f>
      </c>
    </row>
    <row r="1456">
      <c r="AA1456" s="2">
        <f>IF(AND(ISNUMBER(资金流水!$B$1456),ISNUMBER(资金流水!$S$1456),资金流水!$S$1456&gt;=_辅助!$J$4,资金流水!$S$1456&lt;=_辅助!$J$2,OR(资金流水!$C$1456=$C$18,AND(资金流水!$AD$1456=$C$18,资金流水!$X$1456="账户互转"),AND($E$18&lt;&gt;"",资金流水!$J$1456=$E$18,资金流水!$X$1456="应付职工薪酬"))),INT(资金流水!$B$1456)*10000+1451,"")</f>
      </c>
    </row>
    <row r="1457">
      <c r="AA1457" s="2">
        <f>IF(AND(ISNUMBER(资金流水!$B$1457),ISNUMBER(资金流水!$S$1457),资金流水!$S$1457&gt;=_辅助!$J$4,资金流水!$S$1457&lt;=_辅助!$J$2,OR(资金流水!$C$1457=$C$18,AND(资金流水!$AD$1457=$C$18,资金流水!$X$1457="账户互转"),AND($E$18&lt;&gt;"",资金流水!$J$1457=$E$18,资金流水!$X$1457="应付职工薪酬"))),INT(资金流水!$B$1457)*10000+1452,"")</f>
      </c>
    </row>
    <row r="1458">
      <c r="AA1458" s="2">
        <f>IF(AND(ISNUMBER(资金流水!$B$1458),ISNUMBER(资金流水!$S$1458),资金流水!$S$1458&gt;=_辅助!$J$4,资金流水!$S$1458&lt;=_辅助!$J$2,OR(资金流水!$C$1458=$C$18,AND(资金流水!$AD$1458=$C$18,资金流水!$X$1458="账户互转"),AND($E$18&lt;&gt;"",资金流水!$J$1458=$E$18,资金流水!$X$1458="应付职工薪酬"))),INT(资金流水!$B$1458)*10000+1453,"")</f>
      </c>
    </row>
    <row r="1459">
      <c r="AA1459" s="2">
        <f>IF(AND(ISNUMBER(资金流水!$B$1459),ISNUMBER(资金流水!$S$1459),资金流水!$S$1459&gt;=_辅助!$J$4,资金流水!$S$1459&lt;=_辅助!$J$2,OR(资金流水!$C$1459=$C$18,AND(资金流水!$AD$1459=$C$18,资金流水!$X$1459="账户互转"),AND($E$18&lt;&gt;"",资金流水!$J$1459=$E$18,资金流水!$X$1459="应付职工薪酬"))),INT(资金流水!$B$1459)*10000+1454,"")</f>
      </c>
    </row>
    <row r="1460">
      <c r="AA1460" s="2">
        <f>IF(AND(ISNUMBER(资金流水!$B$1460),ISNUMBER(资金流水!$S$1460),资金流水!$S$1460&gt;=_辅助!$J$4,资金流水!$S$1460&lt;=_辅助!$J$2,OR(资金流水!$C$1460=$C$18,AND(资金流水!$AD$1460=$C$18,资金流水!$X$1460="账户互转"),AND($E$18&lt;&gt;"",资金流水!$J$1460=$E$18,资金流水!$X$1460="应付职工薪酬"))),INT(资金流水!$B$1460)*10000+1455,"")</f>
      </c>
    </row>
    <row r="1461">
      <c r="AA1461" s="2">
        <f>IF(AND(ISNUMBER(资金流水!$B$1461),ISNUMBER(资金流水!$S$1461),资金流水!$S$1461&gt;=_辅助!$J$4,资金流水!$S$1461&lt;=_辅助!$J$2,OR(资金流水!$C$1461=$C$18,AND(资金流水!$AD$1461=$C$18,资金流水!$X$1461="账户互转"),AND($E$18&lt;&gt;"",资金流水!$J$1461=$E$18,资金流水!$X$1461="应付职工薪酬"))),INT(资金流水!$B$1461)*10000+1456,"")</f>
      </c>
    </row>
    <row r="1462">
      <c r="AA1462" s="2">
        <f>IF(AND(ISNUMBER(资金流水!$B$1462),ISNUMBER(资金流水!$S$1462),资金流水!$S$1462&gt;=_辅助!$J$4,资金流水!$S$1462&lt;=_辅助!$J$2,OR(资金流水!$C$1462=$C$18,AND(资金流水!$AD$1462=$C$18,资金流水!$X$1462="账户互转"),AND($E$18&lt;&gt;"",资金流水!$J$1462=$E$18,资金流水!$X$1462="应付职工薪酬"))),INT(资金流水!$B$1462)*10000+1457,"")</f>
      </c>
    </row>
    <row r="1463">
      <c r="AA1463" s="2">
        <f>IF(AND(ISNUMBER(资金流水!$B$1463),ISNUMBER(资金流水!$S$1463),资金流水!$S$1463&gt;=_辅助!$J$4,资金流水!$S$1463&lt;=_辅助!$J$2,OR(资金流水!$C$1463=$C$18,AND(资金流水!$AD$1463=$C$18,资金流水!$X$1463="账户互转"),AND($E$18&lt;&gt;"",资金流水!$J$1463=$E$18,资金流水!$X$1463="应付职工薪酬"))),INT(资金流水!$B$1463)*10000+1458,"")</f>
      </c>
    </row>
    <row r="1464">
      <c r="AA1464" s="2">
        <f>IF(AND(ISNUMBER(资金流水!$B$1464),ISNUMBER(资金流水!$S$1464),资金流水!$S$1464&gt;=_辅助!$J$4,资金流水!$S$1464&lt;=_辅助!$J$2,OR(资金流水!$C$1464=$C$18,AND(资金流水!$AD$1464=$C$18,资金流水!$X$1464="账户互转"),AND($E$18&lt;&gt;"",资金流水!$J$1464=$E$18,资金流水!$X$1464="应付职工薪酬"))),INT(资金流水!$B$1464)*10000+1459,"")</f>
      </c>
    </row>
    <row r="1465">
      <c r="AA1465" s="2">
        <f>IF(AND(ISNUMBER(资金流水!$B$1465),ISNUMBER(资金流水!$S$1465),资金流水!$S$1465&gt;=_辅助!$J$4,资金流水!$S$1465&lt;=_辅助!$J$2,OR(资金流水!$C$1465=$C$18,AND(资金流水!$AD$1465=$C$18,资金流水!$X$1465="账户互转"),AND($E$18&lt;&gt;"",资金流水!$J$1465=$E$18,资金流水!$X$1465="应付职工薪酬"))),INT(资金流水!$B$1465)*10000+1460,"")</f>
      </c>
    </row>
    <row r="1466">
      <c r="AA1466" s="2">
        <f>IF(AND(ISNUMBER(资金流水!$B$1466),ISNUMBER(资金流水!$S$1466),资金流水!$S$1466&gt;=_辅助!$J$4,资金流水!$S$1466&lt;=_辅助!$J$2,OR(资金流水!$C$1466=$C$18,AND(资金流水!$AD$1466=$C$18,资金流水!$X$1466="账户互转"),AND($E$18&lt;&gt;"",资金流水!$J$1466=$E$18,资金流水!$X$1466="应付职工薪酬"))),INT(资金流水!$B$1466)*10000+1461,"")</f>
      </c>
    </row>
    <row r="1467">
      <c r="AA1467" s="2">
        <f>IF(AND(ISNUMBER(资金流水!$B$1467),ISNUMBER(资金流水!$S$1467),资金流水!$S$1467&gt;=_辅助!$J$4,资金流水!$S$1467&lt;=_辅助!$J$2,OR(资金流水!$C$1467=$C$18,AND(资金流水!$AD$1467=$C$18,资金流水!$X$1467="账户互转"),AND($E$18&lt;&gt;"",资金流水!$J$1467=$E$18,资金流水!$X$1467="应付职工薪酬"))),INT(资金流水!$B$1467)*10000+1462,"")</f>
      </c>
    </row>
    <row r="1468">
      <c r="AA1468" s="2">
        <f>IF(AND(ISNUMBER(资金流水!$B$1468),ISNUMBER(资金流水!$S$1468),资金流水!$S$1468&gt;=_辅助!$J$4,资金流水!$S$1468&lt;=_辅助!$J$2,OR(资金流水!$C$1468=$C$18,AND(资金流水!$AD$1468=$C$18,资金流水!$X$1468="账户互转"),AND($E$18&lt;&gt;"",资金流水!$J$1468=$E$18,资金流水!$X$1468="应付职工薪酬"))),INT(资金流水!$B$1468)*10000+1463,"")</f>
      </c>
    </row>
    <row r="1469">
      <c r="AA1469" s="2">
        <f>IF(AND(ISNUMBER(资金流水!$B$1469),ISNUMBER(资金流水!$S$1469),资金流水!$S$1469&gt;=_辅助!$J$4,资金流水!$S$1469&lt;=_辅助!$J$2,OR(资金流水!$C$1469=$C$18,AND(资金流水!$AD$1469=$C$18,资金流水!$X$1469="账户互转"),AND($E$18&lt;&gt;"",资金流水!$J$1469=$E$18,资金流水!$X$1469="应付职工薪酬"))),INT(资金流水!$B$1469)*10000+1464,"")</f>
      </c>
    </row>
    <row r="1470">
      <c r="AA1470" s="2">
        <f>IF(AND(ISNUMBER(资金流水!$B$1470),ISNUMBER(资金流水!$S$1470),资金流水!$S$1470&gt;=_辅助!$J$4,资金流水!$S$1470&lt;=_辅助!$J$2,OR(资金流水!$C$1470=$C$18,AND(资金流水!$AD$1470=$C$18,资金流水!$X$1470="账户互转"),AND($E$18&lt;&gt;"",资金流水!$J$1470=$E$18,资金流水!$X$1470="应付职工薪酬"))),INT(资金流水!$B$1470)*10000+1465,"")</f>
      </c>
    </row>
    <row r="1471">
      <c r="AA1471" s="2">
        <f>IF(AND(ISNUMBER(资金流水!$B$1471),ISNUMBER(资金流水!$S$1471),资金流水!$S$1471&gt;=_辅助!$J$4,资金流水!$S$1471&lt;=_辅助!$J$2,OR(资金流水!$C$1471=$C$18,AND(资金流水!$AD$1471=$C$18,资金流水!$X$1471="账户互转"),AND($E$18&lt;&gt;"",资金流水!$J$1471=$E$18,资金流水!$X$1471="应付职工薪酬"))),INT(资金流水!$B$1471)*10000+1466,"")</f>
      </c>
    </row>
    <row r="1472">
      <c r="AA1472" s="2">
        <f>IF(AND(ISNUMBER(资金流水!$B$1472),ISNUMBER(资金流水!$S$1472),资金流水!$S$1472&gt;=_辅助!$J$4,资金流水!$S$1472&lt;=_辅助!$J$2,OR(资金流水!$C$1472=$C$18,AND(资金流水!$AD$1472=$C$18,资金流水!$X$1472="账户互转"),AND($E$18&lt;&gt;"",资金流水!$J$1472=$E$18,资金流水!$X$1472="应付职工薪酬"))),INT(资金流水!$B$1472)*10000+1467,"")</f>
      </c>
    </row>
    <row r="1473">
      <c r="AA1473" s="2">
        <f>IF(AND(ISNUMBER(资金流水!$B$1473),ISNUMBER(资金流水!$S$1473),资金流水!$S$1473&gt;=_辅助!$J$4,资金流水!$S$1473&lt;=_辅助!$J$2,OR(资金流水!$C$1473=$C$18,AND(资金流水!$AD$1473=$C$18,资金流水!$X$1473="账户互转"),AND($E$18&lt;&gt;"",资金流水!$J$1473=$E$18,资金流水!$X$1473="应付职工薪酬"))),INT(资金流水!$B$1473)*10000+1468,"")</f>
      </c>
    </row>
    <row r="1474">
      <c r="AA1474" s="2">
        <f>IF(AND(ISNUMBER(资金流水!$B$1474),ISNUMBER(资金流水!$S$1474),资金流水!$S$1474&gt;=_辅助!$J$4,资金流水!$S$1474&lt;=_辅助!$J$2,OR(资金流水!$C$1474=$C$18,AND(资金流水!$AD$1474=$C$18,资金流水!$X$1474="账户互转"),AND($E$18&lt;&gt;"",资金流水!$J$1474=$E$18,资金流水!$X$1474="应付职工薪酬"))),INT(资金流水!$B$1474)*10000+1469,"")</f>
      </c>
    </row>
    <row r="1475">
      <c r="AA1475" s="2">
        <f>IF(AND(ISNUMBER(资金流水!$B$1475),ISNUMBER(资金流水!$S$1475),资金流水!$S$1475&gt;=_辅助!$J$4,资金流水!$S$1475&lt;=_辅助!$J$2,OR(资金流水!$C$1475=$C$18,AND(资金流水!$AD$1475=$C$18,资金流水!$X$1475="账户互转"),AND($E$18&lt;&gt;"",资金流水!$J$1475=$E$18,资金流水!$X$1475="应付职工薪酬"))),INT(资金流水!$B$1475)*10000+1470,"")</f>
      </c>
    </row>
    <row r="1476">
      <c r="AA1476" s="2">
        <f>IF(AND(ISNUMBER(资金流水!$B$1476),ISNUMBER(资金流水!$S$1476),资金流水!$S$1476&gt;=_辅助!$J$4,资金流水!$S$1476&lt;=_辅助!$J$2,OR(资金流水!$C$1476=$C$18,AND(资金流水!$AD$1476=$C$18,资金流水!$X$1476="账户互转"),AND($E$18&lt;&gt;"",资金流水!$J$1476=$E$18,资金流水!$X$1476="应付职工薪酬"))),INT(资金流水!$B$1476)*10000+1471,"")</f>
      </c>
    </row>
    <row r="1477">
      <c r="AA1477" s="2">
        <f>IF(AND(ISNUMBER(资金流水!$B$1477),ISNUMBER(资金流水!$S$1477),资金流水!$S$1477&gt;=_辅助!$J$4,资金流水!$S$1477&lt;=_辅助!$J$2,OR(资金流水!$C$1477=$C$18,AND(资金流水!$AD$1477=$C$18,资金流水!$X$1477="账户互转"),AND($E$18&lt;&gt;"",资金流水!$J$1477=$E$18,资金流水!$X$1477="应付职工薪酬"))),INT(资金流水!$B$1477)*10000+1472,"")</f>
      </c>
    </row>
    <row r="1478">
      <c r="AA1478" s="2">
        <f>IF(AND(ISNUMBER(资金流水!$B$1478),ISNUMBER(资金流水!$S$1478),资金流水!$S$1478&gt;=_辅助!$J$4,资金流水!$S$1478&lt;=_辅助!$J$2,OR(资金流水!$C$1478=$C$18,AND(资金流水!$AD$1478=$C$18,资金流水!$X$1478="账户互转"),AND($E$18&lt;&gt;"",资金流水!$J$1478=$E$18,资金流水!$X$1478="应付职工薪酬"))),INT(资金流水!$B$1478)*10000+1473,"")</f>
      </c>
    </row>
    <row r="1479">
      <c r="AA1479" s="2">
        <f>IF(AND(ISNUMBER(资金流水!$B$1479),ISNUMBER(资金流水!$S$1479),资金流水!$S$1479&gt;=_辅助!$J$4,资金流水!$S$1479&lt;=_辅助!$J$2,OR(资金流水!$C$1479=$C$18,AND(资金流水!$AD$1479=$C$18,资金流水!$X$1479="账户互转"),AND($E$18&lt;&gt;"",资金流水!$J$1479=$E$18,资金流水!$X$1479="应付职工薪酬"))),INT(资金流水!$B$1479)*10000+1474,"")</f>
      </c>
    </row>
    <row r="1480">
      <c r="AA1480" s="2">
        <f>IF(AND(ISNUMBER(资金流水!$B$1480),ISNUMBER(资金流水!$S$1480),资金流水!$S$1480&gt;=_辅助!$J$4,资金流水!$S$1480&lt;=_辅助!$J$2,OR(资金流水!$C$1480=$C$18,AND(资金流水!$AD$1480=$C$18,资金流水!$X$1480="账户互转"),AND($E$18&lt;&gt;"",资金流水!$J$1480=$E$18,资金流水!$X$1480="应付职工薪酬"))),INT(资金流水!$B$1480)*10000+1475,"")</f>
      </c>
    </row>
    <row r="1481">
      <c r="AA1481" s="2">
        <f>IF(AND(ISNUMBER(资金流水!$B$1481),ISNUMBER(资金流水!$S$1481),资金流水!$S$1481&gt;=_辅助!$J$4,资金流水!$S$1481&lt;=_辅助!$J$2,OR(资金流水!$C$1481=$C$18,AND(资金流水!$AD$1481=$C$18,资金流水!$X$1481="账户互转"),AND($E$18&lt;&gt;"",资金流水!$J$1481=$E$18,资金流水!$X$1481="应付职工薪酬"))),INT(资金流水!$B$1481)*10000+1476,"")</f>
      </c>
    </row>
    <row r="1482">
      <c r="AA1482" s="2">
        <f>IF(AND(ISNUMBER(资金流水!$B$1482),ISNUMBER(资金流水!$S$1482),资金流水!$S$1482&gt;=_辅助!$J$4,资金流水!$S$1482&lt;=_辅助!$J$2,OR(资金流水!$C$1482=$C$18,AND(资金流水!$AD$1482=$C$18,资金流水!$X$1482="账户互转"),AND($E$18&lt;&gt;"",资金流水!$J$1482=$E$18,资金流水!$X$1482="应付职工薪酬"))),INT(资金流水!$B$1482)*10000+1477,"")</f>
      </c>
    </row>
    <row r="1483">
      <c r="AA1483" s="2">
        <f>IF(AND(ISNUMBER(资金流水!$B$1483),ISNUMBER(资金流水!$S$1483),资金流水!$S$1483&gt;=_辅助!$J$4,资金流水!$S$1483&lt;=_辅助!$J$2,OR(资金流水!$C$1483=$C$18,AND(资金流水!$AD$1483=$C$18,资金流水!$X$1483="账户互转"),AND($E$18&lt;&gt;"",资金流水!$J$1483=$E$18,资金流水!$X$1483="应付职工薪酬"))),INT(资金流水!$B$1483)*10000+1478,"")</f>
      </c>
    </row>
    <row r="1484">
      <c r="AA1484" s="2">
        <f>IF(AND(ISNUMBER(资金流水!$B$1484),ISNUMBER(资金流水!$S$1484),资金流水!$S$1484&gt;=_辅助!$J$4,资金流水!$S$1484&lt;=_辅助!$J$2,OR(资金流水!$C$1484=$C$18,AND(资金流水!$AD$1484=$C$18,资金流水!$X$1484="账户互转"),AND($E$18&lt;&gt;"",资金流水!$J$1484=$E$18,资金流水!$X$1484="应付职工薪酬"))),INT(资金流水!$B$1484)*10000+1479,"")</f>
      </c>
    </row>
    <row r="1485">
      <c r="AA1485" s="2">
        <f>IF(AND(ISNUMBER(资金流水!$B$1485),ISNUMBER(资金流水!$S$1485),资金流水!$S$1485&gt;=_辅助!$J$4,资金流水!$S$1485&lt;=_辅助!$J$2,OR(资金流水!$C$1485=$C$18,AND(资金流水!$AD$1485=$C$18,资金流水!$X$1485="账户互转"),AND($E$18&lt;&gt;"",资金流水!$J$1485=$E$18,资金流水!$X$1485="应付职工薪酬"))),INT(资金流水!$B$1485)*10000+1480,"")</f>
      </c>
    </row>
    <row r="1486">
      <c r="AA1486" s="2">
        <f>IF(AND(ISNUMBER(资金流水!$B$1486),ISNUMBER(资金流水!$S$1486),资金流水!$S$1486&gt;=_辅助!$J$4,资金流水!$S$1486&lt;=_辅助!$J$2,OR(资金流水!$C$1486=$C$18,AND(资金流水!$AD$1486=$C$18,资金流水!$X$1486="账户互转"),AND($E$18&lt;&gt;"",资金流水!$J$1486=$E$18,资金流水!$X$1486="应付职工薪酬"))),INT(资金流水!$B$1486)*10000+1481,"")</f>
      </c>
    </row>
    <row r="1487">
      <c r="AA1487" s="2">
        <f>IF(AND(ISNUMBER(资金流水!$B$1487),ISNUMBER(资金流水!$S$1487),资金流水!$S$1487&gt;=_辅助!$J$4,资金流水!$S$1487&lt;=_辅助!$J$2,OR(资金流水!$C$1487=$C$18,AND(资金流水!$AD$1487=$C$18,资金流水!$X$1487="账户互转"),AND($E$18&lt;&gt;"",资金流水!$J$1487=$E$18,资金流水!$X$1487="应付职工薪酬"))),INT(资金流水!$B$1487)*10000+1482,"")</f>
      </c>
    </row>
    <row r="1488">
      <c r="AA1488" s="2">
        <f>IF(AND(ISNUMBER(资金流水!$B$1488),ISNUMBER(资金流水!$S$1488),资金流水!$S$1488&gt;=_辅助!$J$4,资金流水!$S$1488&lt;=_辅助!$J$2,OR(资金流水!$C$1488=$C$18,AND(资金流水!$AD$1488=$C$18,资金流水!$X$1488="账户互转"),AND($E$18&lt;&gt;"",资金流水!$J$1488=$E$18,资金流水!$X$1488="应付职工薪酬"))),INT(资金流水!$B$1488)*10000+1483,"")</f>
      </c>
    </row>
    <row r="1489">
      <c r="AA1489" s="2">
        <f>IF(AND(ISNUMBER(资金流水!$B$1489),ISNUMBER(资金流水!$S$1489),资金流水!$S$1489&gt;=_辅助!$J$4,资金流水!$S$1489&lt;=_辅助!$J$2,OR(资金流水!$C$1489=$C$18,AND(资金流水!$AD$1489=$C$18,资金流水!$X$1489="账户互转"),AND($E$18&lt;&gt;"",资金流水!$J$1489=$E$18,资金流水!$X$1489="应付职工薪酬"))),INT(资金流水!$B$1489)*10000+1484,"")</f>
      </c>
    </row>
    <row r="1490">
      <c r="AA1490" s="2">
        <f>IF(AND(ISNUMBER(资金流水!$B$1490),ISNUMBER(资金流水!$S$1490),资金流水!$S$1490&gt;=_辅助!$J$4,资金流水!$S$1490&lt;=_辅助!$J$2,OR(资金流水!$C$1490=$C$18,AND(资金流水!$AD$1490=$C$18,资金流水!$X$1490="账户互转"),AND($E$18&lt;&gt;"",资金流水!$J$1490=$E$18,资金流水!$X$1490="应付职工薪酬"))),INT(资金流水!$B$1490)*10000+1485,"")</f>
      </c>
    </row>
    <row r="1491">
      <c r="AA1491" s="2">
        <f>IF(AND(ISNUMBER(资金流水!$B$1491),ISNUMBER(资金流水!$S$1491),资金流水!$S$1491&gt;=_辅助!$J$4,资金流水!$S$1491&lt;=_辅助!$J$2,OR(资金流水!$C$1491=$C$18,AND(资金流水!$AD$1491=$C$18,资金流水!$X$1491="账户互转"),AND($E$18&lt;&gt;"",资金流水!$J$1491=$E$18,资金流水!$X$1491="应付职工薪酬"))),INT(资金流水!$B$1491)*10000+1486,"")</f>
      </c>
    </row>
    <row r="1492">
      <c r="AA1492" s="2">
        <f>IF(AND(ISNUMBER(资金流水!$B$1492),ISNUMBER(资金流水!$S$1492),资金流水!$S$1492&gt;=_辅助!$J$4,资金流水!$S$1492&lt;=_辅助!$J$2,OR(资金流水!$C$1492=$C$18,AND(资金流水!$AD$1492=$C$18,资金流水!$X$1492="账户互转"),AND($E$18&lt;&gt;"",资金流水!$J$1492=$E$18,资金流水!$X$1492="应付职工薪酬"))),INT(资金流水!$B$1492)*10000+1487,"")</f>
      </c>
    </row>
    <row r="1493">
      <c r="AA1493" s="2">
        <f>IF(AND(ISNUMBER(资金流水!$B$1493),ISNUMBER(资金流水!$S$1493),资金流水!$S$1493&gt;=_辅助!$J$4,资金流水!$S$1493&lt;=_辅助!$J$2,OR(资金流水!$C$1493=$C$18,AND(资金流水!$AD$1493=$C$18,资金流水!$X$1493="账户互转"),AND($E$18&lt;&gt;"",资金流水!$J$1493=$E$18,资金流水!$X$1493="应付职工薪酬"))),INT(资金流水!$B$1493)*10000+1488,"")</f>
      </c>
    </row>
    <row r="1494">
      <c r="AA1494" s="2">
        <f>IF(AND(ISNUMBER(资金流水!$B$1494),ISNUMBER(资金流水!$S$1494),资金流水!$S$1494&gt;=_辅助!$J$4,资金流水!$S$1494&lt;=_辅助!$J$2,OR(资金流水!$C$1494=$C$18,AND(资金流水!$AD$1494=$C$18,资金流水!$X$1494="账户互转"),AND($E$18&lt;&gt;"",资金流水!$J$1494=$E$18,资金流水!$X$1494="应付职工薪酬"))),INT(资金流水!$B$1494)*10000+1489,"")</f>
      </c>
    </row>
    <row r="1495">
      <c r="AA1495" s="2">
        <f>IF(AND(ISNUMBER(资金流水!$B$1495),ISNUMBER(资金流水!$S$1495),资金流水!$S$1495&gt;=_辅助!$J$4,资金流水!$S$1495&lt;=_辅助!$J$2,OR(资金流水!$C$1495=$C$18,AND(资金流水!$AD$1495=$C$18,资金流水!$X$1495="账户互转"),AND($E$18&lt;&gt;"",资金流水!$J$1495=$E$18,资金流水!$X$1495="应付职工薪酬"))),INT(资金流水!$B$1495)*10000+1490,"")</f>
      </c>
    </row>
    <row r="1496">
      <c r="AA1496" s="2">
        <f>IF(AND(ISNUMBER(资金流水!$B$1496),ISNUMBER(资金流水!$S$1496),资金流水!$S$1496&gt;=_辅助!$J$4,资金流水!$S$1496&lt;=_辅助!$J$2,OR(资金流水!$C$1496=$C$18,AND(资金流水!$AD$1496=$C$18,资金流水!$X$1496="账户互转"),AND($E$18&lt;&gt;"",资金流水!$J$1496=$E$18,资金流水!$X$1496="应付职工薪酬"))),INT(资金流水!$B$1496)*10000+1491,"")</f>
      </c>
    </row>
    <row r="1497">
      <c r="AA1497" s="2">
        <f>IF(AND(ISNUMBER(资金流水!$B$1497),ISNUMBER(资金流水!$S$1497),资金流水!$S$1497&gt;=_辅助!$J$4,资金流水!$S$1497&lt;=_辅助!$J$2,OR(资金流水!$C$1497=$C$18,AND(资金流水!$AD$1497=$C$18,资金流水!$X$1497="账户互转"),AND($E$18&lt;&gt;"",资金流水!$J$1497=$E$18,资金流水!$X$1497="应付职工薪酬"))),INT(资金流水!$B$1497)*10000+1492,"")</f>
      </c>
    </row>
    <row r="1498">
      <c r="AA1498" s="2">
        <f>IF(AND(ISNUMBER(资金流水!$B$1498),ISNUMBER(资金流水!$S$1498),资金流水!$S$1498&gt;=_辅助!$J$4,资金流水!$S$1498&lt;=_辅助!$J$2,OR(资金流水!$C$1498=$C$18,AND(资金流水!$AD$1498=$C$18,资金流水!$X$1498="账户互转"),AND($E$18&lt;&gt;"",资金流水!$J$1498=$E$18,资金流水!$X$1498="应付职工薪酬"))),INT(资金流水!$B$1498)*10000+1493,"")</f>
      </c>
    </row>
    <row r="1499">
      <c r="AA1499" s="2">
        <f>IF(AND(ISNUMBER(资金流水!$B$1499),ISNUMBER(资金流水!$S$1499),资金流水!$S$1499&gt;=_辅助!$J$4,资金流水!$S$1499&lt;=_辅助!$J$2,OR(资金流水!$C$1499=$C$18,AND(资金流水!$AD$1499=$C$18,资金流水!$X$1499="账户互转"),AND($E$18&lt;&gt;"",资金流水!$J$1499=$E$18,资金流水!$X$1499="应付职工薪酬"))),INT(资金流水!$B$1499)*10000+1494,"")</f>
      </c>
    </row>
    <row r="1500">
      <c r="AA1500" s="2">
        <f>IF(AND(ISNUMBER(资金流水!$B$1500),ISNUMBER(资金流水!$S$1500),资金流水!$S$1500&gt;=_辅助!$J$4,资金流水!$S$1500&lt;=_辅助!$J$2,OR(资金流水!$C$1500=$C$18,AND(资金流水!$AD$1500=$C$18,资金流水!$X$1500="账户互转"),AND($E$18&lt;&gt;"",资金流水!$J$1500=$E$18,资金流水!$X$1500="应付职工薪酬"))),INT(资金流水!$B$1500)*10000+1495,"")</f>
      </c>
    </row>
    <row r="1501">
      <c r="AA1501" s="2">
        <f>IF(AND(ISNUMBER(资金流水!$B$1501),ISNUMBER(资金流水!$S$1501),资金流水!$S$1501&gt;=_辅助!$J$4,资金流水!$S$1501&lt;=_辅助!$J$2,OR(资金流水!$C$1501=$C$18,AND(资金流水!$AD$1501=$C$18,资金流水!$X$1501="账户互转"),AND($E$18&lt;&gt;"",资金流水!$J$1501=$E$18,资金流水!$X$1501="应付职工薪酬"))),INT(资金流水!$B$1501)*10000+1496,"")</f>
      </c>
    </row>
    <row r="1502">
      <c r="AA1502" s="2">
        <f>IF(AND(ISNUMBER(资金流水!$B$1502),ISNUMBER(资金流水!$S$1502),资金流水!$S$1502&gt;=_辅助!$J$4,资金流水!$S$1502&lt;=_辅助!$J$2,OR(资金流水!$C$1502=$C$18,AND(资金流水!$AD$1502=$C$18,资金流水!$X$1502="账户互转"),AND($E$18&lt;&gt;"",资金流水!$J$1502=$E$18,资金流水!$X$1502="应付职工薪酬"))),INT(资金流水!$B$1502)*10000+1497,"")</f>
      </c>
    </row>
    <row r="1503">
      <c r="AA1503" s="2">
        <f>IF(AND(ISNUMBER(资金流水!$B$1503),ISNUMBER(资金流水!$S$1503),资金流水!$S$1503&gt;=_辅助!$J$4,资金流水!$S$1503&lt;=_辅助!$J$2,OR(资金流水!$C$1503=$C$18,AND(资金流水!$AD$1503=$C$18,资金流水!$X$1503="账户互转"),AND($E$18&lt;&gt;"",资金流水!$J$1503=$E$18,资金流水!$X$1503="应付职工薪酬"))),INT(资金流水!$B$1503)*10000+1498,"")</f>
      </c>
    </row>
    <row r="1504">
      <c r="AA1504" s="2">
        <f>IF(AND(ISNUMBER(资金流水!$B$1504),ISNUMBER(资金流水!$S$1504),资金流水!$S$1504&gt;=_辅助!$J$4,资金流水!$S$1504&lt;=_辅助!$J$2,OR(资金流水!$C$1504=$C$18,AND(资金流水!$AD$1504=$C$18,资金流水!$X$1504="账户互转"),AND($E$18&lt;&gt;"",资金流水!$J$1504=$E$18,资金流水!$X$1504="应付职工薪酬"))),INT(资金流水!$B$1504)*10000+1499,"")</f>
      </c>
    </row>
    <row r="1505">
      <c r="AA1505" s="2">
        <f>IF(AND(ISNUMBER(资金流水!$B$1505),ISNUMBER(资金流水!$S$1505),资金流水!$S$1505&gt;=_辅助!$J$4,资金流水!$S$1505&lt;=_辅助!$J$2,OR(资金流水!$C$1505=$C$18,AND(资金流水!$AD$1505=$C$18,资金流水!$X$1505="账户互转"),AND($E$18&lt;&gt;"",资金流水!$J$1505=$E$18,资金流水!$X$1505="应付职工薪酬"))),INT(资金流水!$B$1505)*10000+1500,"")</f>
      </c>
    </row>
    <row r="1506">
      <c r="AA1506" s="2">
        <f>IF(AND(ISNUMBER(资金流水!$B$1506),ISNUMBER(资金流水!$S$1506),资金流水!$S$1506&gt;=_辅助!$J$4,资金流水!$S$1506&lt;=_辅助!$J$2,OR(资金流水!$C$1506=$C$18,AND(资金流水!$AD$1506=$C$18,资金流水!$X$1506="账户互转"),AND($E$18&lt;&gt;"",资金流水!$J$1506=$E$18,资金流水!$X$1506="应付职工薪酬"))),INT(资金流水!$B$1506)*10000+1501,"")</f>
      </c>
    </row>
    <row r="1507">
      <c r="AA1507" s="2">
        <f>IF(AND(ISNUMBER(资金流水!$B$1507),ISNUMBER(资金流水!$S$1507),资金流水!$S$1507&gt;=_辅助!$J$4,资金流水!$S$1507&lt;=_辅助!$J$2,OR(资金流水!$C$1507=$C$18,AND(资金流水!$AD$1507=$C$18,资金流水!$X$1507="账户互转"),AND($E$18&lt;&gt;"",资金流水!$J$1507=$E$18,资金流水!$X$1507="应付职工薪酬"))),INT(资金流水!$B$1507)*10000+1502,"")</f>
      </c>
    </row>
    <row r="1508">
      <c r="AA1508" s="2">
        <f>IF(AND(ISNUMBER(资金流水!$B$1508),ISNUMBER(资金流水!$S$1508),资金流水!$S$1508&gt;=_辅助!$J$4,资金流水!$S$1508&lt;=_辅助!$J$2,OR(资金流水!$C$1508=$C$18,AND(资金流水!$AD$1508=$C$18,资金流水!$X$1508="账户互转"),AND($E$18&lt;&gt;"",资金流水!$J$1508=$E$18,资金流水!$X$1508="应付职工薪酬"))),INT(资金流水!$B$1508)*10000+1503,"")</f>
      </c>
    </row>
    <row r="1509">
      <c r="AA1509" s="2">
        <f>IF(AND(ISNUMBER(资金流水!$B$1509),ISNUMBER(资金流水!$S$1509),资金流水!$S$1509&gt;=_辅助!$J$4,资金流水!$S$1509&lt;=_辅助!$J$2,OR(资金流水!$C$1509=$C$18,AND(资金流水!$AD$1509=$C$18,资金流水!$X$1509="账户互转"),AND($E$18&lt;&gt;"",资金流水!$J$1509=$E$18,资金流水!$X$1509="应付职工薪酬"))),INT(资金流水!$B$1509)*10000+1504,"")</f>
      </c>
    </row>
    <row r="1510">
      <c r="AA1510" s="2">
        <f>IF(AND(ISNUMBER(资金流水!$B$1510),ISNUMBER(资金流水!$S$1510),资金流水!$S$1510&gt;=_辅助!$J$4,资金流水!$S$1510&lt;=_辅助!$J$2,OR(资金流水!$C$1510=$C$18,AND(资金流水!$AD$1510=$C$18,资金流水!$X$1510="账户互转"),AND($E$18&lt;&gt;"",资金流水!$J$1510=$E$18,资金流水!$X$1510="应付职工薪酬"))),INT(资金流水!$B$1510)*10000+1505,"")</f>
      </c>
    </row>
    <row r="1511">
      <c r="AA1511" s="2">
        <f>IF(AND(ISNUMBER(资金流水!$B$1511),ISNUMBER(资金流水!$S$1511),资金流水!$S$1511&gt;=_辅助!$J$4,资金流水!$S$1511&lt;=_辅助!$J$2,OR(资金流水!$C$1511=$C$18,AND(资金流水!$AD$1511=$C$18,资金流水!$X$1511="账户互转"),AND($E$18&lt;&gt;"",资金流水!$J$1511=$E$18,资金流水!$X$1511="应付职工薪酬"))),INT(资金流水!$B$1511)*10000+1506,"")</f>
      </c>
    </row>
    <row r="1512">
      <c r="AA1512" s="2">
        <f>IF(AND(ISNUMBER(资金流水!$B$1512),ISNUMBER(资金流水!$S$1512),资金流水!$S$1512&gt;=_辅助!$J$4,资金流水!$S$1512&lt;=_辅助!$J$2,OR(资金流水!$C$1512=$C$18,AND(资金流水!$AD$1512=$C$18,资金流水!$X$1512="账户互转"),AND($E$18&lt;&gt;"",资金流水!$J$1512=$E$18,资金流水!$X$1512="应付职工薪酬"))),INT(资金流水!$B$1512)*10000+1507,"")</f>
      </c>
    </row>
    <row r="1513">
      <c r="AA1513" s="2">
        <f>IF(AND(ISNUMBER(资金流水!$B$1513),ISNUMBER(资金流水!$S$1513),资金流水!$S$1513&gt;=_辅助!$J$4,资金流水!$S$1513&lt;=_辅助!$J$2,OR(资金流水!$C$1513=$C$18,AND(资金流水!$AD$1513=$C$18,资金流水!$X$1513="账户互转"),AND($E$18&lt;&gt;"",资金流水!$J$1513=$E$18,资金流水!$X$1513="应付职工薪酬"))),INT(资金流水!$B$1513)*10000+1508,"")</f>
      </c>
    </row>
    <row r="1514">
      <c r="AA1514" s="2">
        <f>IF(AND(ISNUMBER(资金流水!$B$1514),ISNUMBER(资金流水!$S$1514),资金流水!$S$1514&gt;=_辅助!$J$4,资金流水!$S$1514&lt;=_辅助!$J$2,OR(资金流水!$C$1514=$C$18,AND(资金流水!$AD$1514=$C$18,资金流水!$X$1514="账户互转"),AND($E$18&lt;&gt;"",资金流水!$J$1514=$E$18,资金流水!$X$1514="应付职工薪酬"))),INT(资金流水!$B$1514)*10000+1509,"")</f>
      </c>
    </row>
    <row r="1515">
      <c r="AA1515" s="2">
        <f>IF(AND(ISNUMBER(资金流水!$B$1515),ISNUMBER(资金流水!$S$1515),资金流水!$S$1515&gt;=_辅助!$J$4,资金流水!$S$1515&lt;=_辅助!$J$2,OR(资金流水!$C$1515=$C$18,AND(资金流水!$AD$1515=$C$18,资金流水!$X$1515="账户互转"),AND($E$18&lt;&gt;"",资金流水!$J$1515=$E$18,资金流水!$X$1515="应付职工薪酬"))),INT(资金流水!$B$1515)*10000+1510,"")</f>
      </c>
    </row>
    <row r="1516">
      <c r="AA1516" s="2">
        <f>IF(AND(ISNUMBER(资金流水!$B$1516),ISNUMBER(资金流水!$S$1516),资金流水!$S$1516&gt;=_辅助!$J$4,资金流水!$S$1516&lt;=_辅助!$J$2,OR(资金流水!$C$1516=$C$18,AND(资金流水!$AD$1516=$C$18,资金流水!$X$1516="账户互转"),AND($E$18&lt;&gt;"",资金流水!$J$1516=$E$18,资金流水!$X$1516="应付职工薪酬"))),INT(资金流水!$B$1516)*10000+1511,"")</f>
      </c>
    </row>
    <row r="1517">
      <c r="AA1517" s="2">
        <f>IF(AND(ISNUMBER(资金流水!$B$1517),ISNUMBER(资金流水!$S$1517),资金流水!$S$1517&gt;=_辅助!$J$4,资金流水!$S$1517&lt;=_辅助!$J$2,OR(资金流水!$C$1517=$C$18,AND(资金流水!$AD$1517=$C$18,资金流水!$X$1517="账户互转"),AND($E$18&lt;&gt;"",资金流水!$J$1517=$E$18,资金流水!$X$1517="应付职工薪酬"))),INT(资金流水!$B$1517)*10000+1512,"")</f>
      </c>
    </row>
    <row r="1518">
      <c r="AA1518" s="2">
        <f>IF(AND(ISNUMBER(资金流水!$B$1518),ISNUMBER(资金流水!$S$1518),资金流水!$S$1518&gt;=_辅助!$J$4,资金流水!$S$1518&lt;=_辅助!$J$2,OR(资金流水!$C$1518=$C$18,AND(资金流水!$AD$1518=$C$18,资金流水!$X$1518="账户互转"),AND($E$18&lt;&gt;"",资金流水!$J$1518=$E$18,资金流水!$X$1518="应付职工薪酬"))),INT(资金流水!$B$1518)*10000+1513,"")</f>
      </c>
    </row>
    <row r="1519">
      <c r="AA1519" s="2">
        <f>IF(AND(ISNUMBER(资金流水!$B$1519),ISNUMBER(资金流水!$S$1519),资金流水!$S$1519&gt;=_辅助!$J$4,资金流水!$S$1519&lt;=_辅助!$J$2,OR(资金流水!$C$1519=$C$18,AND(资金流水!$AD$1519=$C$18,资金流水!$X$1519="账户互转"),AND($E$18&lt;&gt;"",资金流水!$J$1519=$E$18,资金流水!$X$1519="应付职工薪酬"))),INT(资金流水!$B$1519)*10000+1514,"")</f>
      </c>
    </row>
    <row r="1520">
      <c r="AA1520" s="2">
        <f>IF(AND(ISNUMBER(资金流水!$B$1520),ISNUMBER(资金流水!$S$1520),资金流水!$S$1520&gt;=_辅助!$J$4,资金流水!$S$1520&lt;=_辅助!$J$2,OR(资金流水!$C$1520=$C$18,AND(资金流水!$AD$1520=$C$18,资金流水!$X$1520="账户互转"),AND($E$18&lt;&gt;"",资金流水!$J$1520=$E$18,资金流水!$X$1520="应付职工薪酬"))),INT(资金流水!$B$1520)*10000+1515,"")</f>
      </c>
    </row>
    <row r="1521">
      <c r="AA1521" s="2">
        <f>IF(AND(ISNUMBER(资金流水!$B$1521),ISNUMBER(资金流水!$S$1521),资金流水!$S$1521&gt;=_辅助!$J$4,资金流水!$S$1521&lt;=_辅助!$J$2,OR(资金流水!$C$1521=$C$18,AND(资金流水!$AD$1521=$C$18,资金流水!$X$1521="账户互转"),AND($E$18&lt;&gt;"",资金流水!$J$1521=$E$18,资金流水!$X$1521="应付职工薪酬"))),INT(资金流水!$B$1521)*10000+1516,"")</f>
      </c>
    </row>
    <row r="1522">
      <c r="AA1522" s="2">
        <f>IF(AND(ISNUMBER(资金流水!$B$1522),ISNUMBER(资金流水!$S$1522),资金流水!$S$1522&gt;=_辅助!$J$4,资金流水!$S$1522&lt;=_辅助!$J$2,OR(资金流水!$C$1522=$C$18,AND(资金流水!$AD$1522=$C$18,资金流水!$X$1522="账户互转"),AND($E$18&lt;&gt;"",资金流水!$J$1522=$E$18,资金流水!$X$1522="应付职工薪酬"))),INT(资金流水!$B$1522)*10000+1517,"")</f>
      </c>
    </row>
    <row r="1523">
      <c r="AA1523" s="2">
        <f>IF(AND(ISNUMBER(资金流水!$B$1523),ISNUMBER(资金流水!$S$1523),资金流水!$S$1523&gt;=_辅助!$J$4,资金流水!$S$1523&lt;=_辅助!$J$2,OR(资金流水!$C$1523=$C$18,AND(资金流水!$AD$1523=$C$18,资金流水!$X$1523="账户互转"),AND($E$18&lt;&gt;"",资金流水!$J$1523=$E$18,资金流水!$X$1523="应付职工薪酬"))),INT(资金流水!$B$1523)*10000+1518,"")</f>
      </c>
    </row>
    <row r="1524">
      <c r="AA1524" s="2">
        <f>IF(AND(ISNUMBER(资金流水!$B$1524),ISNUMBER(资金流水!$S$1524),资金流水!$S$1524&gt;=_辅助!$J$4,资金流水!$S$1524&lt;=_辅助!$J$2,OR(资金流水!$C$1524=$C$18,AND(资金流水!$AD$1524=$C$18,资金流水!$X$1524="账户互转"),AND($E$18&lt;&gt;"",资金流水!$J$1524=$E$18,资金流水!$X$1524="应付职工薪酬"))),INT(资金流水!$B$1524)*10000+1519,"")</f>
      </c>
    </row>
    <row r="1525">
      <c r="AA1525" s="2">
        <f>IF(AND(ISNUMBER(资金流水!$B$1525),ISNUMBER(资金流水!$S$1525),资金流水!$S$1525&gt;=_辅助!$J$4,资金流水!$S$1525&lt;=_辅助!$J$2,OR(资金流水!$C$1525=$C$18,AND(资金流水!$AD$1525=$C$18,资金流水!$X$1525="账户互转"),AND($E$18&lt;&gt;"",资金流水!$J$1525=$E$18,资金流水!$X$1525="应付职工薪酬"))),INT(资金流水!$B$1525)*10000+1520,"")</f>
      </c>
    </row>
    <row r="1526">
      <c r="AA1526" s="2">
        <f>IF(AND(ISNUMBER(资金流水!$B$1526),ISNUMBER(资金流水!$S$1526),资金流水!$S$1526&gt;=_辅助!$J$4,资金流水!$S$1526&lt;=_辅助!$J$2,OR(资金流水!$C$1526=$C$18,AND(资金流水!$AD$1526=$C$18,资金流水!$X$1526="账户互转"),AND($E$18&lt;&gt;"",资金流水!$J$1526=$E$18,资金流水!$X$1526="应付职工薪酬"))),INT(资金流水!$B$1526)*10000+1521,"")</f>
      </c>
    </row>
    <row r="1527">
      <c r="AA1527" s="2">
        <f>IF(AND(ISNUMBER(资金流水!$B$1527),ISNUMBER(资金流水!$S$1527),资金流水!$S$1527&gt;=_辅助!$J$4,资金流水!$S$1527&lt;=_辅助!$J$2,OR(资金流水!$C$1527=$C$18,AND(资金流水!$AD$1527=$C$18,资金流水!$X$1527="账户互转"),AND($E$18&lt;&gt;"",资金流水!$J$1527=$E$18,资金流水!$X$1527="应付职工薪酬"))),INT(资金流水!$B$1527)*10000+1522,"")</f>
      </c>
    </row>
    <row r="1528">
      <c r="AA1528" s="2">
        <f>IF(AND(ISNUMBER(资金流水!$B$1528),ISNUMBER(资金流水!$S$1528),资金流水!$S$1528&gt;=_辅助!$J$4,资金流水!$S$1528&lt;=_辅助!$J$2,OR(资金流水!$C$1528=$C$18,AND(资金流水!$AD$1528=$C$18,资金流水!$X$1528="账户互转"),AND($E$18&lt;&gt;"",资金流水!$J$1528=$E$18,资金流水!$X$1528="应付职工薪酬"))),INT(资金流水!$B$1528)*10000+1523,"")</f>
      </c>
    </row>
    <row r="1529">
      <c r="AA1529" s="2">
        <f>IF(AND(ISNUMBER(资金流水!$B$1529),ISNUMBER(资金流水!$S$1529),资金流水!$S$1529&gt;=_辅助!$J$4,资金流水!$S$1529&lt;=_辅助!$J$2,OR(资金流水!$C$1529=$C$18,AND(资金流水!$AD$1529=$C$18,资金流水!$X$1529="账户互转"),AND($E$18&lt;&gt;"",资金流水!$J$1529=$E$18,资金流水!$X$1529="应付职工薪酬"))),INT(资金流水!$B$1529)*10000+1524,"")</f>
      </c>
    </row>
    <row r="1530">
      <c r="AA1530" s="2">
        <f>IF(AND(ISNUMBER(资金流水!$B$1530),ISNUMBER(资金流水!$S$1530),资金流水!$S$1530&gt;=_辅助!$J$4,资金流水!$S$1530&lt;=_辅助!$J$2,OR(资金流水!$C$1530=$C$18,AND(资金流水!$AD$1530=$C$18,资金流水!$X$1530="账户互转"),AND($E$18&lt;&gt;"",资金流水!$J$1530=$E$18,资金流水!$X$1530="应付职工薪酬"))),INT(资金流水!$B$1530)*10000+1525,"")</f>
      </c>
    </row>
    <row r="1531">
      <c r="AA1531" s="2">
        <f>IF(AND(ISNUMBER(资金流水!$B$1531),ISNUMBER(资金流水!$S$1531),资金流水!$S$1531&gt;=_辅助!$J$4,资金流水!$S$1531&lt;=_辅助!$J$2,OR(资金流水!$C$1531=$C$18,AND(资金流水!$AD$1531=$C$18,资金流水!$X$1531="账户互转"),AND($E$18&lt;&gt;"",资金流水!$J$1531=$E$18,资金流水!$X$1531="应付职工薪酬"))),INT(资金流水!$B$1531)*10000+1526,"")</f>
      </c>
    </row>
    <row r="1532">
      <c r="AA1532" s="2">
        <f>IF(AND(ISNUMBER(资金流水!$B$1532),ISNUMBER(资金流水!$S$1532),资金流水!$S$1532&gt;=_辅助!$J$4,资金流水!$S$1532&lt;=_辅助!$J$2,OR(资金流水!$C$1532=$C$18,AND(资金流水!$AD$1532=$C$18,资金流水!$X$1532="账户互转"),AND($E$18&lt;&gt;"",资金流水!$J$1532=$E$18,资金流水!$X$1532="应付职工薪酬"))),INT(资金流水!$B$1532)*10000+1527,"")</f>
      </c>
    </row>
    <row r="1533">
      <c r="AA1533" s="2">
        <f>IF(AND(ISNUMBER(资金流水!$B$1533),ISNUMBER(资金流水!$S$1533),资金流水!$S$1533&gt;=_辅助!$J$4,资金流水!$S$1533&lt;=_辅助!$J$2,OR(资金流水!$C$1533=$C$18,AND(资金流水!$AD$1533=$C$18,资金流水!$X$1533="账户互转"),AND($E$18&lt;&gt;"",资金流水!$J$1533=$E$18,资金流水!$X$1533="应付职工薪酬"))),INT(资金流水!$B$1533)*10000+1528,"")</f>
      </c>
    </row>
    <row r="1534">
      <c r="AA1534" s="2">
        <f>IF(AND(ISNUMBER(资金流水!$B$1534),ISNUMBER(资金流水!$S$1534),资金流水!$S$1534&gt;=_辅助!$J$4,资金流水!$S$1534&lt;=_辅助!$J$2,OR(资金流水!$C$1534=$C$18,AND(资金流水!$AD$1534=$C$18,资金流水!$X$1534="账户互转"),AND($E$18&lt;&gt;"",资金流水!$J$1534=$E$18,资金流水!$X$1534="应付职工薪酬"))),INT(资金流水!$B$1534)*10000+1529,"")</f>
      </c>
    </row>
    <row r="1535">
      <c r="AA1535" s="2">
        <f>IF(AND(ISNUMBER(资金流水!$B$1535),ISNUMBER(资金流水!$S$1535),资金流水!$S$1535&gt;=_辅助!$J$4,资金流水!$S$1535&lt;=_辅助!$J$2,OR(资金流水!$C$1535=$C$18,AND(资金流水!$AD$1535=$C$18,资金流水!$X$1535="账户互转"),AND($E$18&lt;&gt;"",资金流水!$J$1535=$E$18,资金流水!$X$1535="应付职工薪酬"))),INT(资金流水!$B$1535)*10000+1530,"")</f>
      </c>
    </row>
    <row r="1536">
      <c r="AA1536" s="2">
        <f>IF(AND(ISNUMBER(资金流水!$B$1536),ISNUMBER(资金流水!$S$1536),资金流水!$S$1536&gt;=_辅助!$J$4,资金流水!$S$1536&lt;=_辅助!$J$2,OR(资金流水!$C$1536=$C$18,AND(资金流水!$AD$1536=$C$18,资金流水!$X$1536="账户互转"),AND($E$18&lt;&gt;"",资金流水!$J$1536=$E$18,资金流水!$X$1536="应付职工薪酬"))),INT(资金流水!$B$1536)*10000+1531,"")</f>
      </c>
    </row>
    <row r="1537">
      <c r="AA1537" s="2">
        <f>IF(AND(ISNUMBER(资金流水!$B$1537),ISNUMBER(资金流水!$S$1537),资金流水!$S$1537&gt;=_辅助!$J$4,资金流水!$S$1537&lt;=_辅助!$J$2,OR(资金流水!$C$1537=$C$18,AND(资金流水!$AD$1537=$C$18,资金流水!$X$1537="账户互转"),AND($E$18&lt;&gt;"",资金流水!$J$1537=$E$18,资金流水!$X$1537="应付职工薪酬"))),INT(资金流水!$B$1537)*10000+1532,"")</f>
      </c>
    </row>
    <row r="1538">
      <c r="AA1538" s="2">
        <f>IF(AND(ISNUMBER(资金流水!$B$1538),ISNUMBER(资金流水!$S$1538),资金流水!$S$1538&gt;=_辅助!$J$4,资金流水!$S$1538&lt;=_辅助!$J$2,OR(资金流水!$C$1538=$C$18,AND(资金流水!$AD$1538=$C$18,资金流水!$X$1538="账户互转"),AND($E$18&lt;&gt;"",资金流水!$J$1538=$E$18,资金流水!$X$1538="应付职工薪酬"))),INT(资金流水!$B$1538)*10000+1533,"")</f>
      </c>
    </row>
    <row r="1539">
      <c r="AA1539" s="2">
        <f>IF(AND(ISNUMBER(资金流水!$B$1539),ISNUMBER(资金流水!$S$1539),资金流水!$S$1539&gt;=_辅助!$J$4,资金流水!$S$1539&lt;=_辅助!$J$2,OR(资金流水!$C$1539=$C$18,AND(资金流水!$AD$1539=$C$18,资金流水!$X$1539="账户互转"),AND($E$18&lt;&gt;"",资金流水!$J$1539=$E$18,资金流水!$X$1539="应付职工薪酬"))),INT(资金流水!$B$1539)*10000+1534,"")</f>
      </c>
    </row>
    <row r="1540">
      <c r="AA1540" s="2">
        <f>IF(AND(ISNUMBER(资金流水!$B$1540),ISNUMBER(资金流水!$S$1540),资金流水!$S$1540&gt;=_辅助!$J$4,资金流水!$S$1540&lt;=_辅助!$J$2,OR(资金流水!$C$1540=$C$18,AND(资金流水!$AD$1540=$C$18,资金流水!$X$1540="账户互转"),AND($E$18&lt;&gt;"",资金流水!$J$1540=$E$18,资金流水!$X$1540="应付职工薪酬"))),INT(资金流水!$B$1540)*10000+1535,"")</f>
      </c>
    </row>
    <row r="1541">
      <c r="AA1541" s="2">
        <f>IF(AND(ISNUMBER(资金流水!$B$1541),ISNUMBER(资金流水!$S$1541),资金流水!$S$1541&gt;=_辅助!$J$4,资金流水!$S$1541&lt;=_辅助!$J$2,OR(资金流水!$C$1541=$C$18,AND(资金流水!$AD$1541=$C$18,资金流水!$X$1541="账户互转"),AND($E$18&lt;&gt;"",资金流水!$J$1541=$E$18,资金流水!$X$1541="应付职工薪酬"))),INT(资金流水!$B$1541)*10000+1536,"")</f>
      </c>
    </row>
    <row r="1542">
      <c r="AA1542" s="2">
        <f>IF(AND(ISNUMBER(资金流水!$B$1542),ISNUMBER(资金流水!$S$1542),资金流水!$S$1542&gt;=_辅助!$J$4,资金流水!$S$1542&lt;=_辅助!$J$2,OR(资金流水!$C$1542=$C$18,AND(资金流水!$AD$1542=$C$18,资金流水!$X$1542="账户互转"),AND($E$18&lt;&gt;"",资金流水!$J$1542=$E$18,资金流水!$X$1542="应付职工薪酬"))),INT(资金流水!$B$1542)*10000+1537,"")</f>
      </c>
    </row>
    <row r="1543">
      <c r="AA1543" s="2">
        <f>IF(AND(ISNUMBER(资金流水!$B$1543),ISNUMBER(资金流水!$S$1543),资金流水!$S$1543&gt;=_辅助!$J$4,资金流水!$S$1543&lt;=_辅助!$J$2,OR(资金流水!$C$1543=$C$18,AND(资金流水!$AD$1543=$C$18,资金流水!$X$1543="账户互转"),AND($E$18&lt;&gt;"",资金流水!$J$1543=$E$18,资金流水!$X$1543="应付职工薪酬"))),INT(资金流水!$B$1543)*10000+1538,"")</f>
      </c>
    </row>
    <row r="1544">
      <c r="AA1544" s="2">
        <f>IF(AND(ISNUMBER(资金流水!$B$1544),ISNUMBER(资金流水!$S$1544),资金流水!$S$1544&gt;=_辅助!$J$4,资金流水!$S$1544&lt;=_辅助!$J$2,OR(资金流水!$C$1544=$C$18,AND(资金流水!$AD$1544=$C$18,资金流水!$X$1544="账户互转"),AND($E$18&lt;&gt;"",资金流水!$J$1544=$E$18,资金流水!$X$1544="应付职工薪酬"))),INT(资金流水!$B$1544)*10000+1539,"")</f>
      </c>
    </row>
    <row r="1545">
      <c r="AA1545" s="2">
        <f>IF(AND(ISNUMBER(资金流水!$B$1545),ISNUMBER(资金流水!$S$1545),资金流水!$S$1545&gt;=_辅助!$J$4,资金流水!$S$1545&lt;=_辅助!$J$2,OR(资金流水!$C$1545=$C$18,AND(资金流水!$AD$1545=$C$18,资金流水!$X$1545="账户互转"),AND($E$18&lt;&gt;"",资金流水!$J$1545=$E$18,资金流水!$X$1545="应付职工薪酬"))),INT(资金流水!$B$1545)*10000+1540,"")</f>
      </c>
    </row>
    <row r="1546">
      <c r="AA1546" s="2">
        <f>IF(AND(ISNUMBER(资金流水!$B$1546),ISNUMBER(资金流水!$S$1546),资金流水!$S$1546&gt;=_辅助!$J$4,资金流水!$S$1546&lt;=_辅助!$J$2,OR(资金流水!$C$1546=$C$18,AND(资金流水!$AD$1546=$C$18,资金流水!$X$1546="账户互转"),AND($E$18&lt;&gt;"",资金流水!$J$1546=$E$18,资金流水!$X$1546="应付职工薪酬"))),INT(资金流水!$B$1546)*10000+1541,"")</f>
      </c>
    </row>
    <row r="1547">
      <c r="AA1547" s="2">
        <f>IF(AND(ISNUMBER(资金流水!$B$1547),ISNUMBER(资金流水!$S$1547),资金流水!$S$1547&gt;=_辅助!$J$4,资金流水!$S$1547&lt;=_辅助!$J$2,OR(资金流水!$C$1547=$C$18,AND(资金流水!$AD$1547=$C$18,资金流水!$X$1547="账户互转"),AND($E$18&lt;&gt;"",资金流水!$J$1547=$E$18,资金流水!$X$1547="应付职工薪酬"))),INT(资金流水!$B$1547)*10000+1542,"")</f>
      </c>
    </row>
    <row r="1548">
      <c r="AA1548" s="2">
        <f>IF(AND(ISNUMBER(资金流水!$B$1548),ISNUMBER(资金流水!$S$1548),资金流水!$S$1548&gt;=_辅助!$J$4,资金流水!$S$1548&lt;=_辅助!$J$2,OR(资金流水!$C$1548=$C$18,AND(资金流水!$AD$1548=$C$18,资金流水!$X$1548="账户互转"),AND($E$18&lt;&gt;"",资金流水!$J$1548=$E$18,资金流水!$X$1548="应付职工薪酬"))),INT(资金流水!$B$1548)*10000+1543,"")</f>
      </c>
    </row>
    <row r="1549">
      <c r="AA1549" s="2">
        <f>IF(AND(ISNUMBER(资金流水!$B$1549),ISNUMBER(资金流水!$S$1549),资金流水!$S$1549&gt;=_辅助!$J$4,资金流水!$S$1549&lt;=_辅助!$J$2,OR(资金流水!$C$1549=$C$18,AND(资金流水!$AD$1549=$C$18,资金流水!$X$1549="账户互转"),AND($E$18&lt;&gt;"",资金流水!$J$1549=$E$18,资金流水!$X$1549="应付职工薪酬"))),INT(资金流水!$B$1549)*10000+1544,"")</f>
      </c>
    </row>
    <row r="1550">
      <c r="AA1550" s="2">
        <f>IF(AND(ISNUMBER(资金流水!$B$1550),ISNUMBER(资金流水!$S$1550),资金流水!$S$1550&gt;=_辅助!$J$4,资金流水!$S$1550&lt;=_辅助!$J$2,OR(资金流水!$C$1550=$C$18,AND(资金流水!$AD$1550=$C$18,资金流水!$X$1550="账户互转"),AND($E$18&lt;&gt;"",资金流水!$J$1550=$E$18,资金流水!$X$1550="应付职工薪酬"))),INT(资金流水!$B$1550)*10000+1545,"")</f>
      </c>
    </row>
    <row r="1551">
      <c r="AA1551" s="2">
        <f>IF(AND(ISNUMBER(资金流水!$B$1551),ISNUMBER(资金流水!$S$1551),资金流水!$S$1551&gt;=_辅助!$J$4,资金流水!$S$1551&lt;=_辅助!$J$2,OR(资金流水!$C$1551=$C$18,AND(资金流水!$AD$1551=$C$18,资金流水!$X$1551="账户互转"),AND($E$18&lt;&gt;"",资金流水!$J$1551=$E$18,资金流水!$X$1551="应付职工薪酬"))),INT(资金流水!$B$1551)*10000+1546,"")</f>
      </c>
    </row>
    <row r="1552">
      <c r="AA1552" s="2">
        <f>IF(AND(ISNUMBER(资金流水!$B$1552),ISNUMBER(资金流水!$S$1552),资金流水!$S$1552&gt;=_辅助!$J$4,资金流水!$S$1552&lt;=_辅助!$J$2,OR(资金流水!$C$1552=$C$18,AND(资金流水!$AD$1552=$C$18,资金流水!$X$1552="账户互转"),AND($E$18&lt;&gt;"",资金流水!$J$1552=$E$18,资金流水!$X$1552="应付职工薪酬"))),INT(资金流水!$B$1552)*10000+1547,"")</f>
      </c>
    </row>
    <row r="1553">
      <c r="AA1553" s="2">
        <f>IF(AND(ISNUMBER(资金流水!$B$1553),ISNUMBER(资金流水!$S$1553),资金流水!$S$1553&gt;=_辅助!$J$4,资金流水!$S$1553&lt;=_辅助!$J$2,OR(资金流水!$C$1553=$C$18,AND(资金流水!$AD$1553=$C$18,资金流水!$X$1553="账户互转"),AND($E$18&lt;&gt;"",资金流水!$J$1553=$E$18,资金流水!$X$1553="应付职工薪酬"))),INT(资金流水!$B$1553)*10000+1548,"")</f>
      </c>
    </row>
    <row r="1554">
      <c r="AA1554" s="2">
        <f>IF(AND(ISNUMBER(资金流水!$B$1554),ISNUMBER(资金流水!$S$1554),资金流水!$S$1554&gt;=_辅助!$J$4,资金流水!$S$1554&lt;=_辅助!$J$2,OR(资金流水!$C$1554=$C$18,AND(资金流水!$AD$1554=$C$18,资金流水!$X$1554="账户互转"),AND($E$18&lt;&gt;"",资金流水!$J$1554=$E$18,资金流水!$X$1554="应付职工薪酬"))),INT(资金流水!$B$1554)*10000+1549,"")</f>
      </c>
    </row>
    <row r="1555">
      <c r="AA1555" s="2">
        <f>IF(AND(ISNUMBER(资金流水!$B$1555),ISNUMBER(资金流水!$S$1555),资金流水!$S$1555&gt;=_辅助!$J$4,资金流水!$S$1555&lt;=_辅助!$J$2,OR(资金流水!$C$1555=$C$18,AND(资金流水!$AD$1555=$C$18,资金流水!$X$1555="账户互转"),AND($E$18&lt;&gt;"",资金流水!$J$1555=$E$18,资金流水!$X$1555="应付职工薪酬"))),INT(资金流水!$B$1555)*10000+1550,"")</f>
      </c>
    </row>
    <row r="1556">
      <c r="AA1556" s="2">
        <f>IF(AND(ISNUMBER(资金流水!$B$1556),ISNUMBER(资金流水!$S$1556),资金流水!$S$1556&gt;=_辅助!$J$4,资金流水!$S$1556&lt;=_辅助!$J$2,OR(资金流水!$C$1556=$C$18,AND(资金流水!$AD$1556=$C$18,资金流水!$X$1556="账户互转"),AND($E$18&lt;&gt;"",资金流水!$J$1556=$E$18,资金流水!$X$1556="应付职工薪酬"))),INT(资金流水!$B$1556)*10000+1551,"")</f>
      </c>
    </row>
    <row r="1557">
      <c r="AA1557" s="2">
        <f>IF(AND(ISNUMBER(资金流水!$B$1557),ISNUMBER(资金流水!$S$1557),资金流水!$S$1557&gt;=_辅助!$J$4,资金流水!$S$1557&lt;=_辅助!$J$2,OR(资金流水!$C$1557=$C$18,AND(资金流水!$AD$1557=$C$18,资金流水!$X$1557="账户互转"),AND($E$18&lt;&gt;"",资金流水!$J$1557=$E$18,资金流水!$X$1557="应付职工薪酬"))),INT(资金流水!$B$1557)*10000+1552,"")</f>
      </c>
    </row>
    <row r="1558">
      <c r="AA1558" s="2">
        <f>IF(AND(ISNUMBER(资金流水!$B$1558),ISNUMBER(资金流水!$S$1558),资金流水!$S$1558&gt;=_辅助!$J$4,资金流水!$S$1558&lt;=_辅助!$J$2,OR(资金流水!$C$1558=$C$18,AND(资金流水!$AD$1558=$C$18,资金流水!$X$1558="账户互转"),AND($E$18&lt;&gt;"",资金流水!$J$1558=$E$18,资金流水!$X$1558="应付职工薪酬"))),INT(资金流水!$B$1558)*10000+1553,"")</f>
      </c>
    </row>
    <row r="1559">
      <c r="AA1559" s="2">
        <f>IF(AND(ISNUMBER(资金流水!$B$1559),ISNUMBER(资金流水!$S$1559),资金流水!$S$1559&gt;=_辅助!$J$4,资金流水!$S$1559&lt;=_辅助!$J$2,OR(资金流水!$C$1559=$C$18,AND(资金流水!$AD$1559=$C$18,资金流水!$X$1559="账户互转"),AND($E$18&lt;&gt;"",资金流水!$J$1559=$E$18,资金流水!$X$1559="应付职工薪酬"))),INT(资金流水!$B$1559)*10000+1554,"")</f>
      </c>
    </row>
    <row r="1560">
      <c r="AA1560" s="2">
        <f>IF(AND(ISNUMBER(资金流水!$B$1560),ISNUMBER(资金流水!$S$1560),资金流水!$S$1560&gt;=_辅助!$J$4,资金流水!$S$1560&lt;=_辅助!$J$2,OR(资金流水!$C$1560=$C$18,AND(资金流水!$AD$1560=$C$18,资金流水!$X$1560="账户互转"),AND($E$18&lt;&gt;"",资金流水!$J$1560=$E$18,资金流水!$X$1560="应付职工薪酬"))),INT(资金流水!$B$1560)*10000+1555,"")</f>
      </c>
    </row>
    <row r="1561">
      <c r="AA1561" s="2">
        <f>IF(AND(ISNUMBER(资金流水!$B$1561),ISNUMBER(资金流水!$S$1561),资金流水!$S$1561&gt;=_辅助!$J$4,资金流水!$S$1561&lt;=_辅助!$J$2,OR(资金流水!$C$1561=$C$18,AND(资金流水!$AD$1561=$C$18,资金流水!$X$1561="账户互转"),AND($E$18&lt;&gt;"",资金流水!$J$1561=$E$18,资金流水!$X$1561="应付职工薪酬"))),INT(资金流水!$B$1561)*10000+1556,"")</f>
      </c>
    </row>
    <row r="1562">
      <c r="AA1562" s="2">
        <f>IF(AND(ISNUMBER(资金流水!$B$1562),ISNUMBER(资金流水!$S$1562),资金流水!$S$1562&gt;=_辅助!$J$4,资金流水!$S$1562&lt;=_辅助!$J$2,OR(资金流水!$C$1562=$C$18,AND(资金流水!$AD$1562=$C$18,资金流水!$X$1562="账户互转"),AND($E$18&lt;&gt;"",资金流水!$J$1562=$E$18,资金流水!$X$1562="应付职工薪酬"))),INT(资金流水!$B$1562)*10000+1557,"")</f>
      </c>
    </row>
    <row r="1563">
      <c r="AA1563" s="2">
        <f>IF(AND(ISNUMBER(资金流水!$B$1563),ISNUMBER(资金流水!$S$1563),资金流水!$S$1563&gt;=_辅助!$J$4,资金流水!$S$1563&lt;=_辅助!$J$2,OR(资金流水!$C$1563=$C$18,AND(资金流水!$AD$1563=$C$18,资金流水!$X$1563="账户互转"),AND($E$18&lt;&gt;"",资金流水!$J$1563=$E$18,资金流水!$X$1563="应付职工薪酬"))),INT(资金流水!$B$1563)*10000+1558,"")</f>
      </c>
    </row>
    <row r="1564">
      <c r="AA1564" s="2">
        <f>IF(AND(ISNUMBER(资金流水!$B$1564),ISNUMBER(资金流水!$S$1564),资金流水!$S$1564&gt;=_辅助!$J$4,资金流水!$S$1564&lt;=_辅助!$J$2,OR(资金流水!$C$1564=$C$18,AND(资金流水!$AD$1564=$C$18,资金流水!$X$1564="账户互转"),AND($E$18&lt;&gt;"",资金流水!$J$1564=$E$18,资金流水!$X$1564="应付职工薪酬"))),INT(资金流水!$B$1564)*10000+1559,"")</f>
      </c>
    </row>
    <row r="1565">
      <c r="AA1565" s="2">
        <f>IF(AND(ISNUMBER(资金流水!$B$1565),ISNUMBER(资金流水!$S$1565),资金流水!$S$1565&gt;=_辅助!$J$4,资金流水!$S$1565&lt;=_辅助!$J$2,OR(资金流水!$C$1565=$C$18,AND(资金流水!$AD$1565=$C$18,资金流水!$X$1565="账户互转"),AND($E$18&lt;&gt;"",资金流水!$J$1565=$E$18,资金流水!$X$1565="应付职工薪酬"))),INT(资金流水!$B$1565)*10000+1560,"")</f>
      </c>
    </row>
    <row r="1566">
      <c r="AA1566" s="2">
        <f>IF(AND(ISNUMBER(资金流水!$B$1566),ISNUMBER(资金流水!$S$1566),资金流水!$S$1566&gt;=_辅助!$J$4,资金流水!$S$1566&lt;=_辅助!$J$2,OR(资金流水!$C$1566=$C$18,AND(资金流水!$AD$1566=$C$18,资金流水!$X$1566="账户互转"),AND($E$18&lt;&gt;"",资金流水!$J$1566=$E$18,资金流水!$X$1566="应付职工薪酬"))),INT(资金流水!$B$1566)*10000+1561,"")</f>
      </c>
    </row>
    <row r="1567">
      <c r="AA1567" s="2">
        <f>IF(AND(ISNUMBER(资金流水!$B$1567),ISNUMBER(资金流水!$S$1567),资金流水!$S$1567&gt;=_辅助!$J$4,资金流水!$S$1567&lt;=_辅助!$J$2,OR(资金流水!$C$1567=$C$18,AND(资金流水!$AD$1567=$C$18,资金流水!$X$1567="账户互转"),AND($E$18&lt;&gt;"",资金流水!$J$1567=$E$18,资金流水!$X$1567="应付职工薪酬"))),INT(资金流水!$B$1567)*10000+1562,"")</f>
      </c>
    </row>
    <row r="1568">
      <c r="AA1568" s="2">
        <f>IF(AND(ISNUMBER(资金流水!$B$1568),ISNUMBER(资金流水!$S$1568),资金流水!$S$1568&gt;=_辅助!$J$4,资金流水!$S$1568&lt;=_辅助!$J$2,OR(资金流水!$C$1568=$C$18,AND(资金流水!$AD$1568=$C$18,资金流水!$X$1568="账户互转"),AND($E$18&lt;&gt;"",资金流水!$J$1568=$E$18,资金流水!$X$1568="应付职工薪酬"))),INT(资金流水!$B$1568)*10000+1563,"")</f>
      </c>
    </row>
    <row r="1569">
      <c r="AA1569" s="2">
        <f>IF(AND(ISNUMBER(资金流水!$B$1569),ISNUMBER(资金流水!$S$1569),资金流水!$S$1569&gt;=_辅助!$J$4,资金流水!$S$1569&lt;=_辅助!$J$2,OR(资金流水!$C$1569=$C$18,AND(资金流水!$AD$1569=$C$18,资金流水!$X$1569="账户互转"),AND($E$18&lt;&gt;"",资金流水!$J$1569=$E$18,资金流水!$X$1569="应付职工薪酬"))),INT(资金流水!$B$1569)*10000+1564,"")</f>
      </c>
    </row>
    <row r="1570">
      <c r="AA1570" s="2">
        <f>IF(AND(ISNUMBER(资金流水!$B$1570),ISNUMBER(资金流水!$S$1570),资金流水!$S$1570&gt;=_辅助!$J$4,资金流水!$S$1570&lt;=_辅助!$J$2,OR(资金流水!$C$1570=$C$18,AND(资金流水!$AD$1570=$C$18,资金流水!$X$1570="账户互转"),AND($E$18&lt;&gt;"",资金流水!$J$1570=$E$18,资金流水!$X$1570="应付职工薪酬"))),INT(资金流水!$B$1570)*10000+1565,"")</f>
      </c>
    </row>
    <row r="1571">
      <c r="AA1571" s="2">
        <f>IF(AND(ISNUMBER(资金流水!$B$1571),ISNUMBER(资金流水!$S$1571),资金流水!$S$1571&gt;=_辅助!$J$4,资金流水!$S$1571&lt;=_辅助!$J$2,OR(资金流水!$C$1571=$C$18,AND(资金流水!$AD$1571=$C$18,资金流水!$X$1571="账户互转"),AND($E$18&lt;&gt;"",资金流水!$J$1571=$E$18,资金流水!$X$1571="应付职工薪酬"))),INT(资金流水!$B$1571)*10000+1566,"")</f>
      </c>
    </row>
    <row r="1572">
      <c r="AA1572" s="2">
        <f>IF(AND(ISNUMBER(资金流水!$B$1572),ISNUMBER(资金流水!$S$1572),资金流水!$S$1572&gt;=_辅助!$J$4,资金流水!$S$1572&lt;=_辅助!$J$2,OR(资金流水!$C$1572=$C$18,AND(资金流水!$AD$1572=$C$18,资金流水!$X$1572="账户互转"),AND($E$18&lt;&gt;"",资金流水!$J$1572=$E$18,资金流水!$X$1572="应付职工薪酬"))),INT(资金流水!$B$1572)*10000+1567,"")</f>
      </c>
    </row>
    <row r="1573">
      <c r="AA1573" s="2">
        <f>IF(AND(ISNUMBER(资金流水!$B$1573),ISNUMBER(资金流水!$S$1573),资金流水!$S$1573&gt;=_辅助!$J$4,资金流水!$S$1573&lt;=_辅助!$J$2,OR(资金流水!$C$1573=$C$18,AND(资金流水!$AD$1573=$C$18,资金流水!$X$1573="账户互转"),AND($E$18&lt;&gt;"",资金流水!$J$1573=$E$18,资金流水!$X$1573="应付职工薪酬"))),INT(资金流水!$B$1573)*10000+1568,"")</f>
      </c>
    </row>
    <row r="1574">
      <c r="AA1574" s="2">
        <f>IF(AND(ISNUMBER(资金流水!$B$1574),ISNUMBER(资金流水!$S$1574),资金流水!$S$1574&gt;=_辅助!$J$4,资金流水!$S$1574&lt;=_辅助!$J$2,OR(资金流水!$C$1574=$C$18,AND(资金流水!$AD$1574=$C$18,资金流水!$X$1574="账户互转"),AND($E$18&lt;&gt;"",资金流水!$J$1574=$E$18,资金流水!$X$1574="应付职工薪酬"))),INT(资金流水!$B$1574)*10000+1569,"")</f>
      </c>
    </row>
    <row r="1575">
      <c r="AA1575" s="2">
        <f>IF(AND(ISNUMBER(资金流水!$B$1575),ISNUMBER(资金流水!$S$1575),资金流水!$S$1575&gt;=_辅助!$J$4,资金流水!$S$1575&lt;=_辅助!$J$2,OR(资金流水!$C$1575=$C$18,AND(资金流水!$AD$1575=$C$18,资金流水!$X$1575="账户互转"),AND($E$18&lt;&gt;"",资金流水!$J$1575=$E$18,资金流水!$X$1575="应付职工薪酬"))),INT(资金流水!$B$1575)*10000+1570,"")</f>
      </c>
    </row>
    <row r="1576">
      <c r="AA1576" s="2">
        <f>IF(AND(ISNUMBER(资金流水!$B$1576),ISNUMBER(资金流水!$S$1576),资金流水!$S$1576&gt;=_辅助!$J$4,资金流水!$S$1576&lt;=_辅助!$J$2,OR(资金流水!$C$1576=$C$18,AND(资金流水!$AD$1576=$C$18,资金流水!$X$1576="账户互转"),AND($E$18&lt;&gt;"",资金流水!$J$1576=$E$18,资金流水!$X$1576="应付职工薪酬"))),INT(资金流水!$B$1576)*10000+1571,"")</f>
      </c>
    </row>
    <row r="1577">
      <c r="AA1577" s="2">
        <f>IF(AND(ISNUMBER(资金流水!$B$1577),ISNUMBER(资金流水!$S$1577),资金流水!$S$1577&gt;=_辅助!$J$4,资金流水!$S$1577&lt;=_辅助!$J$2,OR(资金流水!$C$1577=$C$18,AND(资金流水!$AD$1577=$C$18,资金流水!$X$1577="账户互转"),AND($E$18&lt;&gt;"",资金流水!$J$1577=$E$18,资金流水!$X$1577="应付职工薪酬"))),INT(资金流水!$B$1577)*10000+1572,"")</f>
      </c>
    </row>
    <row r="1578">
      <c r="AA1578" s="2">
        <f>IF(AND(ISNUMBER(资金流水!$B$1578),ISNUMBER(资金流水!$S$1578),资金流水!$S$1578&gt;=_辅助!$J$4,资金流水!$S$1578&lt;=_辅助!$J$2,OR(资金流水!$C$1578=$C$18,AND(资金流水!$AD$1578=$C$18,资金流水!$X$1578="账户互转"),AND($E$18&lt;&gt;"",资金流水!$J$1578=$E$18,资金流水!$X$1578="应付职工薪酬"))),INT(资金流水!$B$1578)*10000+1573,"")</f>
      </c>
    </row>
    <row r="1579">
      <c r="AA1579" s="2">
        <f>IF(AND(ISNUMBER(资金流水!$B$1579),ISNUMBER(资金流水!$S$1579),资金流水!$S$1579&gt;=_辅助!$J$4,资金流水!$S$1579&lt;=_辅助!$J$2,OR(资金流水!$C$1579=$C$18,AND(资金流水!$AD$1579=$C$18,资金流水!$X$1579="账户互转"),AND($E$18&lt;&gt;"",资金流水!$J$1579=$E$18,资金流水!$X$1579="应付职工薪酬"))),INT(资金流水!$B$1579)*10000+1574,"")</f>
      </c>
    </row>
    <row r="1580">
      <c r="AA1580" s="2">
        <f>IF(AND(ISNUMBER(资金流水!$B$1580),ISNUMBER(资金流水!$S$1580),资金流水!$S$1580&gt;=_辅助!$J$4,资金流水!$S$1580&lt;=_辅助!$J$2,OR(资金流水!$C$1580=$C$18,AND(资金流水!$AD$1580=$C$18,资金流水!$X$1580="账户互转"),AND($E$18&lt;&gt;"",资金流水!$J$1580=$E$18,资金流水!$X$1580="应付职工薪酬"))),INT(资金流水!$B$1580)*10000+1575,"")</f>
      </c>
    </row>
    <row r="1581">
      <c r="AA1581" s="2">
        <f>IF(AND(ISNUMBER(资金流水!$B$1581),ISNUMBER(资金流水!$S$1581),资金流水!$S$1581&gt;=_辅助!$J$4,资金流水!$S$1581&lt;=_辅助!$J$2,OR(资金流水!$C$1581=$C$18,AND(资金流水!$AD$1581=$C$18,资金流水!$X$1581="账户互转"),AND($E$18&lt;&gt;"",资金流水!$J$1581=$E$18,资金流水!$X$1581="应付职工薪酬"))),INT(资金流水!$B$1581)*10000+1576,"")</f>
      </c>
    </row>
    <row r="1582">
      <c r="AA1582" s="2">
        <f>IF(AND(ISNUMBER(资金流水!$B$1582),ISNUMBER(资金流水!$S$1582),资金流水!$S$1582&gt;=_辅助!$J$4,资金流水!$S$1582&lt;=_辅助!$J$2,OR(资金流水!$C$1582=$C$18,AND(资金流水!$AD$1582=$C$18,资金流水!$X$1582="账户互转"),AND($E$18&lt;&gt;"",资金流水!$J$1582=$E$18,资金流水!$X$1582="应付职工薪酬"))),INT(资金流水!$B$1582)*10000+1577,"")</f>
      </c>
    </row>
    <row r="1583">
      <c r="AA1583" s="2">
        <f>IF(AND(ISNUMBER(资金流水!$B$1583),ISNUMBER(资金流水!$S$1583),资金流水!$S$1583&gt;=_辅助!$J$4,资金流水!$S$1583&lt;=_辅助!$J$2,OR(资金流水!$C$1583=$C$18,AND(资金流水!$AD$1583=$C$18,资金流水!$X$1583="账户互转"),AND($E$18&lt;&gt;"",资金流水!$J$1583=$E$18,资金流水!$X$1583="应付职工薪酬"))),INT(资金流水!$B$1583)*10000+1578,"")</f>
      </c>
    </row>
    <row r="1584">
      <c r="AA1584" s="2">
        <f>IF(AND(ISNUMBER(资金流水!$B$1584),ISNUMBER(资金流水!$S$1584),资金流水!$S$1584&gt;=_辅助!$J$4,资金流水!$S$1584&lt;=_辅助!$J$2,OR(资金流水!$C$1584=$C$18,AND(资金流水!$AD$1584=$C$18,资金流水!$X$1584="账户互转"),AND($E$18&lt;&gt;"",资金流水!$J$1584=$E$18,资金流水!$X$1584="应付职工薪酬"))),INT(资金流水!$B$1584)*10000+1579,"")</f>
      </c>
    </row>
    <row r="1585">
      <c r="AA1585" s="2">
        <f>IF(AND(ISNUMBER(资金流水!$B$1585),ISNUMBER(资金流水!$S$1585),资金流水!$S$1585&gt;=_辅助!$J$4,资金流水!$S$1585&lt;=_辅助!$J$2,OR(资金流水!$C$1585=$C$18,AND(资金流水!$AD$1585=$C$18,资金流水!$X$1585="账户互转"),AND($E$18&lt;&gt;"",资金流水!$J$1585=$E$18,资金流水!$X$1585="应付职工薪酬"))),INT(资金流水!$B$1585)*10000+1580,"")</f>
      </c>
    </row>
    <row r="1586">
      <c r="AA1586" s="2">
        <f>IF(AND(ISNUMBER(资金流水!$B$1586),ISNUMBER(资金流水!$S$1586),资金流水!$S$1586&gt;=_辅助!$J$4,资金流水!$S$1586&lt;=_辅助!$J$2,OR(资金流水!$C$1586=$C$18,AND(资金流水!$AD$1586=$C$18,资金流水!$X$1586="账户互转"),AND($E$18&lt;&gt;"",资金流水!$J$1586=$E$18,资金流水!$X$1586="应付职工薪酬"))),INT(资金流水!$B$1586)*10000+1581,"")</f>
      </c>
    </row>
    <row r="1587">
      <c r="AA1587" s="2">
        <f>IF(AND(ISNUMBER(资金流水!$B$1587),ISNUMBER(资金流水!$S$1587),资金流水!$S$1587&gt;=_辅助!$J$4,资金流水!$S$1587&lt;=_辅助!$J$2,OR(资金流水!$C$1587=$C$18,AND(资金流水!$AD$1587=$C$18,资金流水!$X$1587="账户互转"),AND($E$18&lt;&gt;"",资金流水!$J$1587=$E$18,资金流水!$X$1587="应付职工薪酬"))),INT(资金流水!$B$1587)*10000+1582,"")</f>
      </c>
    </row>
    <row r="1588">
      <c r="AA1588" s="2">
        <f>IF(AND(ISNUMBER(资金流水!$B$1588),ISNUMBER(资金流水!$S$1588),资金流水!$S$1588&gt;=_辅助!$J$4,资金流水!$S$1588&lt;=_辅助!$J$2,OR(资金流水!$C$1588=$C$18,AND(资金流水!$AD$1588=$C$18,资金流水!$X$1588="账户互转"),AND($E$18&lt;&gt;"",资金流水!$J$1588=$E$18,资金流水!$X$1588="应付职工薪酬"))),INT(资金流水!$B$1588)*10000+1583,"")</f>
      </c>
    </row>
    <row r="1589">
      <c r="AA1589" s="2">
        <f>IF(AND(ISNUMBER(资金流水!$B$1589),ISNUMBER(资金流水!$S$1589),资金流水!$S$1589&gt;=_辅助!$J$4,资金流水!$S$1589&lt;=_辅助!$J$2,OR(资金流水!$C$1589=$C$18,AND(资金流水!$AD$1589=$C$18,资金流水!$X$1589="账户互转"),AND($E$18&lt;&gt;"",资金流水!$J$1589=$E$18,资金流水!$X$1589="应付职工薪酬"))),INT(资金流水!$B$1589)*10000+1584,"")</f>
      </c>
    </row>
    <row r="1590">
      <c r="AA1590" s="2">
        <f>IF(AND(ISNUMBER(资金流水!$B$1590),ISNUMBER(资金流水!$S$1590),资金流水!$S$1590&gt;=_辅助!$J$4,资金流水!$S$1590&lt;=_辅助!$J$2,OR(资金流水!$C$1590=$C$18,AND(资金流水!$AD$1590=$C$18,资金流水!$X$1590="账户互转"),AND($E$18&lt;&gt;"",资金流水!$J$1590=$E$18,资金流水!$X$1590="应付职工薪酬"))),INT(资金流水!$B$1590)*10000+1585,"")</f>
      </c>
    </row>
    <row r="1591">
      <c r="AA1591" s="2">
        <f>IF(AND(ISNUMBER(资金流水!$B$1591),ISNUMBER(资金流水!$S$1591),资金流水!$S$1591&gt;=_辅助!$J$4,资金流水!$S$1591&lt;=_辅助!$J$2,OR(资金流水!$C$1591=$C$18,AND(资金流水!$AD$1591=$C$18,资金流水!$X$1591="账户互转"),AND($E$18&lt;&gt;"",资金流水!$J$1591=$E$18,资金流水!$X$1591="应付职工薪酬"))),INT(资金流水!$B$1591)*10000+1586,"")</f>
      </c>
    </row>
    <row r="1592">
      <c r="AA1592" s="2">
        <f>IF(AND(ISNUMBER(资金流水!$B$1592),ISNUMBER(资金流水!$S$1592),资金流水!$S$1592&gt;=_辅助!$J$4,资金流水!$S$1592&lt;=_辅助!$J$2,OR(资金流水!$C$1592=$C$18,AND(资金流水!$AD$1592=$C$18,资金流水!$X$1592="账户互转"),AND($E$18&lt;&gt;"",资金流水!$J$1592=$E$18,资金流水!$X$1592="应付职工薪酬"))),INT(资金流水!$B$1592)*10000+1587,"")</f>
      </c>
    </row>
    <row r="1593">
      <c r="AA1593" s="2">
        <f>IF(AND(ISNUMBER(资金流水!$B$1593),ISNUMBER(资金流水!$S$1593),资金流水!$S$1593&gt;=_辅助!$J$4,资金流水!$S$1593&lt;=_辅助!$J$2,OR(资金流水!$C$1593=$C$18,AND(资金流水!$AD$1593=$C$18,资金流水!$X$1593="账户互转"),AND($E$18&lt;&gt;"",资金流水!$J$1593=$E$18,资金流水!$X$1593="应付职工薪酬"))),INT(资金流水!$B$1593)*10000+1588,"")</f>
      </c>
    </row>
    <row r="1594">
      <c r="AA1594" s="2">
        <f>IF(AND(ISNUMBER(资金流水!$B$1594),ISNUMBER(资金流水!$S$1594),资金流水!$S$1594&gt;=_辅助!$J$4,资金流水!$S$1594&lt;=_辅助!$J$2,OR(资金流水!$C$1594=$C$18,AND(资金流水!$AD$1594=$C$18,资金流水!$X$1594="账户互转"),AND($E$18&lt;&gt;"",资金流水!$J$1594=$E$18,资金流水!$X$1594="应付职工薪酬"))),INT(资金流水!$B$1594)*10000+1589,"")</f>
      </c>
    </row>
    <row r="1595">
      <c r="AA1595" s="2">
        <f>IF(AND(ISNUMBER(资金流水!$B$1595),ISNUMBER(资金流水!$S$1595),资金流水!$S$1595&gt;=_辅助!$J$4,资金流水!$S$1595&lt;=_辅助!$J$2,OR(资金流水!$C$1595=$C$18,AND(资金流水!$AD$1595=$C$18,资金流水!$X$1595="账户互转"),AND($E$18&lt;&gt;"",资金流水!$J$1595=$E$18,资金流水!$X$1595="应付职工薪酬"))),INT(资金流水!$B$1595)*10000+1590,"")</f>
      </c>
    </row>
    <row r="1596">
      <c r="AA1596" s="2">
        <f>IF(AND(ISNUMBER(资金流水!$B$1596),ISNUMBER(资金流水!$S$1596),资金流水!$S$1596&gt;=_辅助!$J$4,资金流水!$S$1596&lt;=_辅助!$J$2,OR(资金流水!$C$1596=$C$18,AND(资金流水!$AD$1596=$C$18,资金流水!$X$1596="账户互转"),AND($E$18&lt;&gt;"",资金流水!$J$1596=$E$18,资金流水!$X$1596="应付职工薪酬"))),INT(资金流水!$B$1596)*10000+1591,"")</f>
      </c>
    </row>
    <row r="1597">
      <c r="AA1597" s="2">
        <f>IF(AND(ISNUMBER(资金流水!$B$1597),ISNUMBER(资金流水!$S$1597),资金流水!$S$1597&gt;=_辅助!$J$4,资金流水!$S$1597&lt;=_辅助!$J$2,OR(资金流水!$C$1597=$C$18,AND(资金流水!$AD$1597=$C$18,资金流水!$X$1597="账户互转"),AND($E$18&lt;&gt;"",资金流水!$J$1597=$E$18,资金流水!$X$1597="应付职工薪酬"))),INT(资金流水!$B$1597)*10000+1592,"")</f>
      </c>
    </row>
    <row r="1598">
      <c r="AA1598" s="2">
        <f>IF(AND(ISNUMBER(资金流水!$B$1598),ISNUMBER(资金流水!$S$1598),资金流水!$S$1598&gt;=_辅助!$J$4,资金流水!$S$1598&lt;=_辅助!$J$2,OR(资金流水!$C$1598=$C$18,AND(资金流水!$AD$1598=$C$18,资金流水!$X$1598="账户互转"),AND($E$18&lt;&gt;"",资金流水!$J$1598=$E$18,资金流水!$X$1598="应付职工薪酬"))),INT(资金流水!$B$1598)*10000+1593,"")</f>
      </c>
    </row>
    <row r="1599">
      <c r="AA1599" s="2">
        <f>IF(AND(ISNUMBER(资金流水!$B$1599),ISNUMBER(资金流水!$S$1599),资金流水!$S$1599&gt;=_辅助!$J$4,资金流水!$S$1599&lt;=_辅助!$J$2,OR(资金流水!$C$1599=$C$18,AND(资金流水!$AD$1599=$C$18,资金流水!$X$1599="账户互转"),AND($E$18&lt;&gt;"",资金流水!$J$1599=$E$18,资金流水!$X$1599="应付职工薪酬"))),INT(资金流水!$B$1599)*10000+1594,"")</f>
      </c>
    </row>
    <row r="1600">
      <c r="AA1600" s="2">
        <f>IF(AND(ISNUMBER(资金流水!$B$1600),ISNUMBER(资金流水!$S$1600),资金流水!$S$1600&gt;=_辅助!$J$4,资金流水!$S$1600&lt;=_辅助!$J$2,OR(资金流水!$C$1600=$C$18,AND(资金流水!$AD$1600=$C$18,资金流水!$X$1600="账户互转"),AND($E$18&lt;&gt;"",资金流水!$J$1600=$E$18,资金流水!$X$1600="应付职工薪酬"))),INT(资金流水!$B$1600)*10000+1595,"")</f>
      </c>
    </row>
    <row r="1601">
      <c r="AA1601" s="2">
        <f>IF(AND(ISNUMBER(资金流水!$B$1601),ISNUMBER(资金流水!$S$1601),资金流水!$S$1601&gt;=_辅助!$J$4,资金流水!$S$1601&lt;=_辅助!$J$2,OR(资金流水!$C$1601=$C$18,AND(资金流水!$AD$1601=$C$18,资金流水!$X$1601="账户互转"),AND($E$18&lt;&gt;"",资金流水!$J$1601=$E$18,资金流水!$X$1601="应付职工薪酬"))),INT(资金流水!$B$1601)*10000+1596,"")</f>
      </c>
    </row>
    <row r="1602">
      <c r="AA1602" s="2">
        <f>IF(AND(ISNUMBER(资金流水!$B$1602),ISNUMBER(资金流水!$S$1602),资金流水!$S$1602&gt;=_辅助!$J$4,资金流水!$S$1602&lt;=_辅助!$J$2,OR(资金流水!$C$1602=$C$18,AND(资金流水!$AD$1602=$C$18,资金流水!$X$1602="账户互转"),AND($E$18&lt;&gt;"",资金流水!$J$1602=$E$18,资金流水!$X$1602="应付职工薪酬"))),INT(资金流水!$B$1602)*10000+1597,"")</f>
      </c>
    </row>
    <row r="1603">
      <c r="AA1603" s="2">
        <f>IF(AND(ISNUMBER(资金流水!$B$1603),ISNUMBER(资金流水!$S$1603),资金流水!$S$1603&gt;=_辅助!$J$4,资金流水!$S$1603&lt;=_辅助!$J$2,OR(资金流水!$C$1603=$C$18,AND(资金流水!$AD$1603=$C$18,资金流水!$X$1603="账户互转"),AND($E$18&lt;&gt;"",资金流水!$J$1603=$E$18,资金流水!$X$1603="应付职工薪酬"))),INT(资金流水!$B$1603)*10000+1598,"")</f>
      </c>
    </row>
    <row r="1604">
      <c r="AA1604" s="2">
        <f>IF(AND(ISNUMBER(资金流水!$B$1604),ISNUMBER(资金流水!$S$1604),资金流水!$S$1604&gt;=_辅助!$J$4,资金流水!$S$1604&lt;=_辅助!$J$2,OR(资金流水!$C$1604=$C$18,AND(资金流水!$AD$1604=$C$18,资金流水!$X$1604="账户互转"),AND($E$18&lt;&gt;"",资金流水!$J$1604=$E$18,资金流水!$X$1604="应付职工薪酬"))),INT(资金流水!$B$1604)*10000+1599,"")</f>
      </c>
    </row>
    <row r="1605">
      <c r="AA1605" s="2">
        <f>IF(AND(ISNUMBER(资金流水!$B$1605),ISNUMBER(资金流水!$S$1605),资金流水!$S$1605&gt;=_辅助!$J$4,资金流水!$S$1605&lt;=_辅助!$J$2,OR(资金流水!$C$1605=$C$18,AND(资金流水!$AD$1605=$C$18,资金流水!$X$1605="账户互转"),AND($E$18&lt;&gt;"",资金流水!$J$1605=$E$18,资金流水!$X$1605="应付职工薪酬"))),INT(资金流水!$B$1605)*10000+1600,"")</f>
      </c>
    </row>
    <row r="1606">
      <c r="AA1606" s="2">
        <f>IF(AND(ISNUMBER(资金流水!$B$1606),ISNUMBER(资金流水!$S$1606),资金流水!$S$1606&gt;=_辅助!$J$4,资金流水!$S$1606&lt;=_辅助!$J$2,OR(资金流水!$C$1606=$C$18,AND(资金流水!$AD$1606=$C$18,资金流水!$X$1606="账户互转"),AND($E$18&lt;&gt;"",资金流水!$J$1606=$E$18,资金流水!$X$1606="应付职工薪酬"))),INT(资金流水!$B$1606)*10000+1601,"")</f>
      </c>
    </row>
    <row r="1607">
      <c r="AA1607" s="2">
        <f>IF(AND(ISNUMBER(资金流水!$B$1607),ISNUMBER(资金流水!$S$1607),资金流水!$S$1607&gt;=_辅助!$J$4,资金流水!$S$1607&lt;=_辅助!$J$2,OR(资金流水!$C$1607=$C$18,AND(资金流水!$AD$1607=$C$18,资金流水!$X$1607="账户互转"),AND($E$18&lt;&gt;"",资金流水!$J$1607=$E$18,资金流水!$X$1607="应付职工薪酬"))),INT(资金流水!$B$1607)*10000+1602,"")</f>
      </c>
    </row>
    <row r="1608">
      <c r="AA1608" s="2">
        <f>IF(AND(ISNUMBER(资金流水!$B$1608),ISNUMBER(资金流水!$S$1608),资金流水!$S$1608&gt;=_辅助!$J$4,资金流水!$S$1608&lt;=_辅助!$J$2,OR(资金流水!$C$1608=$C$18,AND(资金流水!$AD$1608=$C$18,资金流水!$X$1608="账户互转"),AND($E$18&lt;&gt;"",资金流水!$J$1608=$E$18,资金流水!$X$1608="应付职工薪酬"))),INT(资金流水!$B$1608)*10000+1603,"")</f>
      </c>
    </row>
    <row r="1609">
      <c r="AA1609" s="2">
        <f>IF(AND(ISNUMBER(资金流水!$B$1609),ISNUMBER(资金流水!$S$1609),资金流水!$S$1609&gt;=_辅助!$J$4,资金流水!$S$1609&lt;=_辅助!$J$2,OR(资金流水!$C$1609=$C$18,AND(资金流水!$AD$1609=$C$18,资金流水!$X$1609="账户互转"),AND($E$18&lt;&gt;"",资金流水!$J$1609=$E$18,资金流水!$X$1609="应付职工薪酬"))),INT(资金流水!$B$1609)*10000+1604,"")</f>
      </c>
    </row>
    <row r="1610">
      <c r="AA1610" s="2">
        <f>IF(AND(ISNUMBER(资金流水!$B$1610),ISNUMBER(资金流水!$S$1610),资金流水!$S$1610&gt;=_辅助!$J$4,资金流水!$S$1610&lt;=_辅助!$J$2,OR(资金流水!$C$1610=$C$18,AND(资金流水!$AD$1610=$C$18,资金流水!$X$1610="账户互转"),AND($E$18&lt;&gt;"",资金流水!$J$1610=$E$18,资金流水!$X$1610="应付职工薪酬"))),INT(资金流水!$B$1610)*10000+1605,"")</f>
      </c>
    </row>
    <row r="1611">
      <c r="AA1611" s="2">
        <f>IF(AND(ISNUMBER(资金流水!$B$1611),ISNUMBER(资金流水!$S$1611),资金流水!$S$1611&gt;=_辅助!$J$4,资金流水!$S$1611&lt;=_辅助!$J$2,OR(资金流水!$C$1611=$C$18,AND(资金流水!$AD$1611=$C$18,资金流水!$X$1611="账户互转"),AND($E$18&lt;&gt;"",资金流水!$J$1611=$E$18,资金流水!$X$1611="应付职工薪酬"))),INT(资金流水!$B$1611)*10000+1606,"")</f>
      </c>
    </row>
    <row r="1612">
      <c r="AA1612" s="2">
        <f>IF(AND(ISNUMBER(资金流水!$B$1612),ISNUMBER(资金流水!$S$1612),资金流水!$S$1612&gt;=_辅助!$J$4,资金流水!$S$1612&lt;=_辅助!$J$2,OR(资金流水!$C$1612=$C$18,AND(资金流水!$AD$1612=$C$18,资金流水!$X$1612="账户互转"),AND($E$18&lt;&gt;"",资金流水!$J$1612=$E$18,资金流水!$X$1612="应付职工薪酬"))),INT(资金流水!$B$1612)*10000+1607,"")</f>
      </c>
    </row>
    <row r="1613">
      <c r="AA1613" s="2">
        <f>IF(AND(ISNUMBER(资金流水!$B$1613),ISNUMBER(资金流水!$S$1613),资金流水!$S$1613&gt;=_辅助!$J$4,资金流水!$S$1613&lt;=_辅助!$J$2,OR(资金流水!$C$1613=$C$18,AND(资金流水!$AD$1613=$C$18,资金流水!$X$1613="账户互转"),AND($E$18&lt;&gt;"",资金流水!$J$1613=$E$18,资金流水!$X$1613="应付职工薪酬"))),INT(资金流水!$B$1613)*10000+1608,"")</f>
      </c>
    </row>
    <row r="1614">
      <c r="AA1614" s="2">
        <f>IF(AND(ISNUMBER(资金流水!$B$1614),ISNUMBER(资金流水!$S$1614),资金流水!$S$1614&gt;=_辅助!$J$4,资金流水!$S$1614&lt;=_辅助!$J$2,OR(资金流水!$C$1614=$C$18,AND(资金流水!$AD$1614=$C$18,资金流水!$X$1614="账户互转"),AND($E$18&lt;&gt;"",资金流水!$J$1614=$E$18,资金流水!$X$1614="应付职工薪酬"))),INT(资金流水!$B$1614)*10000+1609,"")</f>
      </c>
    </row>
    <row r="1615">
      <c r="AA1615" s="2">
        <f>IF(AND(ISNUMBER(资金流水!$B$1615),ISNUMBER(资金流水!$S$1615),资金流水!$S$1615&gt;=_辅助!$J$4,资金流水!$S$1615&lt;=_辅助!$J$2,OR(资金流水!$C$1615=$C$18,AND(资金流水!$AD$1615=$C$18,资金流水!$X$1615="账户互转"),AND($E$18&lt;&gt;"",资金流水!$J$1615=$E$18,资金流水!$X$1615="应付职工薪酬"))),INT(资金流水!$B$1615)*10000+1610,"")</f>
      </c>
    </row>
    <row r="1616">
      <c r="AA1616" s="2">
        <f>IF(AND(ISNUMBER(资金流水!$B$1616),ISNUMBER(资金流水!$S$1616),资金流水!$S$1616&gt;=_辅助!$J$4,资金流水!$S$1616&lt;=_辅助!$J$2,OR(资金流水!$C$1616=$C$18,AND(资金流水!$AD$1616=$C$18,资金流水!$X$1616="账户互转"),AND($E$18&lt;&gt;"",资金流水!$J$1616=$E$18,资金流水!$X$1616="应付职工薪酬"))),INT(资金流水!$B$1616)*10000+1611,"")</f>
      </c>
    </row>
    <row r="1617">
      <c r="AA1617" s="2">
        <f>IF(AND(ISNUMBER(资金流水!$B$1617),ISNUMBER(资金流水!$S$1617),资金流水!$S$1617&gt;=_辅助!$J$4,资金流水!$S$1617&lt;=_辅助!$J$2,OR(资金流水!$C$1617=$C$18,AND(资金流水!$AD$1617=$C$18,资金流水!$X$1617="账户互转"),AND($E$18&lt;&gt;"",资金流水!$J$1617=$E$18,资金流水!$X$1617="应付职工薪酬"))),INT(资金流水!$B$1617)*10000+1612,"")</f>
      </c>
    </row>
    <row r="1618">
      <c r="AA1618" s="2">
        <f>IF(AND(ISNUMBER(资金流水!$B$1618),ISNUMBER(资金流水!$S$1618),资金流水!$S$1618&gt;=_辅助!$J$4,资金流水!$S$1618&lt;=_辅助!$J$2,OR(资金流水!$C$1618=$C$18,AND(资金流水!$AD$1618=$C$18,资金流水!$X$1618="账户互转"),AND($E$18&lt;&gt;"",资金流水!$J$1618=$E$18,资金流水!$X$1618="应付职工薪酬"))),INT(资金流水!$B$1618)*10000+1613,"")</f>
      </c>
    </row>
    <row r="1619">
      <c r="AA1619" s="2">
        <f>IF(AND(ISNUMBER(资金流水!$B$1619),ISNUMBER(资金流水!$S$1619),资金流水!$S$1619&gt;=_辅助!$J$4,资金流水!$S$1619&lt;=_辅助!$J$2,OR(资金流水!$C$1619=$C$18,AND(资金流水!$AD$1619=$C$18,资金流水!$X$1619="账户互转"),AND($E$18&lt;&gt;"",资金流水!$J$1619=$E$18,资金流水!$X$1619="应付职工薪酬"))),INT(资金流水!$B$1619)*10000+1614,"")</f>
      </c>
    </row>
    <row r="1620">
      <c r="AA1620" s="2">
        <f>IF(AND(ISNUMBER(资金流水!$B$1620),ISNUMBER(资金流水!$S$1620),资金流水!$S$1620&gt;=_辅助!$J$4,资金流水!$S$1620&lt;=_辅助!$J$2,OR(资金流水!$C$1620=$C$18,AND(资金流水!$AD$1620=$C$18,资金流水!$X$1620="账户互转"),AND($E$18&lt;&gt;"",资金流水!$J$1620=$E$18,资金流水!$X$1620="应付职工薪酬"))),INT(资金流水!$B$1620)*10000+1615,"")</f>
      </c>
    </row>
    <row r="1621">
      <c r="AA1621" s="2">
        <f>IF(AND(ISNUMBER(资金流水!$B$1621),ISNUMBER(资金流水!$S$1621),资金流水!$S$1621&gt;=_辅助!$J$4,资金流水!$S$1621&lt;=_辅助!$J$2,OR(资金流水!$C$1621=$C$18,AND(资金流水!$AD$1621=$C$18,资金流水!$X$1621="账户互转"),AND($E$18&lt;&gt;"",资金流水!$J$1621=$E$18,资金流水!$X$1621="应付职工薪酬"))),INT(资金流水!$B$1621)*10000+1616,"")</f>
      </c>
    </row>
    <row r="1622">
      <c r="AA1622" s="2">
        <f>IF(AND(ISNUMBER(资金流水!$B$1622),ISNUMBER(资金流水!$S$1622),资金流水!$S$1622&gt;=_辅助!$J$4,资金流水!$S$1622&lt;=_辅助!$J$2,OR(资金流水!$C$1622=$C$18,AND(资金流水!$AD$1622=$C$18,资金流水!$X$1622="账户互转"),AND($E$18&lt;&gt;"",资金流水!$J$1622=$E$18,资金流水!$X$1622="应付职工薪酬"))),INT(资金流水!$B$1622)*10000+1617,"")</f>
      </c>
    </row>
    <row r="1623">
      <c r="AA1623" s="2">
        <f>IF(AND(ISNUMBER(资金流水!$B$1623),ISNUMBER(资金流水!$S$1623),资金流水!$S$1623&gt;=_辅助!$J$4,资金流水!$S$1623&lt;=_辅助!$J$2,OR(资金流水!$C$1623=$C$18,AND(资金流水!$AD$1623=$C$18,资金流水!$X$1623="账户互转"),AND($E$18&lt;&gt;"",资金流水!$J$1623=$E$18,资金流水!$X$1623="应付职工薪酬"))),INT(资金流水!$B$1623)*10000+1618,"")</f>
      </c>
    </row>
    <row r="1624">
      <c r="AA1624" s="2">
        <f>IF(AND(ISNUMBER(资金流水!$B$1624),ISNUMBER(资金流水!$S$1624),资金流水!$S$1624&gt;=_辅助!$J$4,资金流水!$S$1624&lt;=_辅助!$J$2,OR(资金流水!$C$1624=$C$18,AND(资金流水!$AD$1624=$C$18,资金流水!$X$1624="账户互转"),AND($E$18&lt;&gt;"",资金流水!$J$1624=$E$18,资金流水!$X$1624="应付职工薪酬"))),INT(资金流水!$B$1624)*10000+1619,"")</f>
      </c>
    </row>
    <row r="1625">
      <c r="AA1625" s="2">
        <f>IF(AND(ISNUMBER(资金流水!$B$1625),ISNUMBER(资金流水!$S$1625),资金流水!$S$1625&gt;=_辅助!$J$4,资金流水!$S$1625&lt;=_辅助!$J$2,OR(资金流水!$C$1625=$C$18,AND(资金流水!$AD$1625=$C$18,资金流水!$X$1625="账户互转"),AND($E$18&lt;&gt;"",资金流水!$J$1625=$E$18,资金流水!$X$1625="应付职工薪酬"))),INT(资金流水!$B$1625)*10000+1620,"")</f>
      </c>
    </row>
    <row r="1626">
      <c r="AA1626" s="2">
        <f>IF(AND(ISNUMBER(资金流水!$B$1626),ISNUMBER(资金流水!$S$1626),资金流水!$S$1626&gt;=_辅助!$J$4,资金流水!$S$1626&lt;=_辅助!$J$2,OR(资金流水!$C$1626=$C$18,AND(资金流水!$AD$1626=$C$18,资金流水!$X$1626="账户互转"),AND($E$18&lt;&gt;"",资金流水!$J$1626=$E$18,资金流水!$X$1626="应付职工薪酬"))),INT(资金流水!$B$1626)*10000+1621,"")</f>
      </c>
    </row>
    <row r="1627">
      <c r="AA1627" s="2">
        <f>IF(AND(ISNUMBER(资金流水!$B$1627),ISNUMBER(资金流水!$S$1627),资金流水!$S$1627&gt;=_辅助!$J$4,资金流水!$S$1627&lt;=_辅助!$J$2,OR(资金流水!$C$1627=$C$18,AND(资金流水!$AD$1627=$C$18,资金流水!$X$1627="账户互转"),AND($E$18&lt;&gt;"",资金流水!$J$1627=$E$18,资金流水!$X$1627="应付职工薪酬"))),INT(资金流水!$B$1627)*10000+1622,"")</f>
      </c>
    </row>
    <row r="1628">
      <c r="AA1628" s="2">
        <f>IF(AND(ISNUMBER(资金流水!$B$1628),ISNUMBER(资金流水!$S$1628),资金流水!$S$1628&gt;=_辅助!$J$4,资金流水!$S$1628&lt;=_辅助!$J$2,OR(资金流水!$C$1628=$C$18,AND(资金流水!$AD$1628=$C$18,资金流水!$X$1628="账户互转"),AND($E$18&lt;&gt;"",资金流水!$J$1628=$E$18,资金流水!$X$1628="应付职工薪酬"))),INT(资金流水!$B$1628)*10000+1623,"")</f>
      </c>
    </row>
    <row r="1629">
      <c r="AA1629" s="2">
        <f>IF(AND(ISNUMBER(资金流水!$B$1629),ISNUMBER(资金流水!$S$1629),资金流水!$S$1629&gt;=_辅助!$J$4,资金流水!$S$1629&lt;=_辅助!$J$2,OR(资金流水!$C$1629=$C$18,AND(资金流水!$AD$1629=$C$18,资金流水!$X$1629="账户互转"),AND($E$18&lt;&gt;"",资金流水!$J$1629=$E$18,资金流水!$X$1629="应付职工薪酬"))),INT(资金流水!$B$1629)*10000+1624,"")</f>
      </c>
    </row>
    <row r="1630">
      <c r="AA1630" s="2">
        <f>IF(AND(ISNUMBER(资金流水!$B$1630),ISNUMBER(资金流水!$S$1630),资金流水!$S$1630&gt;=_辅助!$J$4,资金流水!$S$1630&lt;=_辅助!$J$2,OR(资金流水!$C$1630=$C$18,AND(资金流水!$AD$1630=$C$18,资金流水!$X$1630="账户互转"),AND($E$18&lt;&gt;"",资金流水!$J$1630=$E$18,资金流水!$X$1630="应付职工薪酬"))),INT(资金流水!$B$1630)*10000+1625,"")</f>
      </c>
    </row>
    <row r="1631">
      <c r="AA1631" s="2">
        <f>IF(AND(ISNUMBER(资金流水!$B$1631),ISNUMBER(资金流水!$S$1631),资金流水!$S$1631&gt;=_辅助!$J$4,资金流水!$S$1631&lt;=_辅助!$J$2,OR(资金流水!$C$1631=$C$18,AND(资金流水!$AD$1631=$C$18,资金流水!$X$1631="账户互转"),AND($E$18&lt;&gt;"",资金流水!$J$1631=$E$18,资金流水!$X$1631="应付职工薪酬"))),INT(资金流水!$B$1631)*10000+1626,"")</f>
      </c>
    </row>
    <row r="1632">
      <c r="AA1632" s="2">
        <f>IF(AND(ISNUMBER(资金流水!$B$1632),ISNUMBER(资金流水!$S$1632),资金流水!$S$1632&gt;=_辅助!$J$4,资金流水!$S$1632&lt;=_辅助!$J$2,OR(资金流水!$C$1632=$C$18,AND(资金流水!$AD$1632=$C$18,资金流水!$X$1632="账户互转"),AND($E$18&lt;&gt;"",资金流水!$J$1632=$E$18,资金流水!$X$1632="应付职工薪酬"))),INT(资金流水!$B$1632)*10000+1627,"")</f>
      </c>
    </row>
    <row r="1633">
      <c r="AA1633" s="2">
        <f>IF(AND(ISNUMBER(资金流水!$B$1633),ISNUMBER(资金流水!$S$1633),资金流水!$S$1633&gt;=_辅助!$J$4,资金流水!$S$1633&lt;=_辅助!$J$2,OR(资金流水!$C$1633=$C$18,AND(资金流水!$AD$1633=$C$18,资金流水!$X$1633="账户互转"),AND($E$18&lt;&gt;"",资金流水!$J$1633=$E$18,资金流水!$X$1633="应付职工薪酬"))),INT(资金流水!$B$1633)*10000+1628,"")</f>
      </c>
    </row>
    <row r="1634">
      <c r="AA1634" s="2">
        <f>IF(AND(ISNUMBER(资金流水!$B$1634),ISNUMBER(资金流水!$S$1634),资金流水!$S$1634&gt;=_辅助!$J$4,资金流水!$S$1634&lt;=_辅助!$J$2,OR(资金流水!$C$1634=$C$18,AND(资金流水!$AD$1634=$C$18,资金流水!$X$1634="账户互转"),AND($E$18&lt;&gt;"",资金流水!$J$1634=$E$18,资金流水!$X$1634="应付职工薪酬"))),INT(资金流水!$B$1634)*10000+1629,"")</f>
      </c>
    </row>
    <row r="1635">
      <c r="AA1635" s="2">
        <f>IF(AND(ISNUMBER(资金流水!$B$1635),ISNUMBER(资金流水!$S$1635),资金流水!$S$1635&gt;=_辅助!$J$4,资金流水!$S$1635&lt;=_辅助!$J$2,OR(资金流水!$C$1635=$C$18,AND(资金流水!$AD$1635=$C$18,资金流水!$X$1635="账户互转"),AND($E$18&lt;&gt;"",资金流水!$J$1635=$E$18,资金流水!$X$1635="应付职工薪酬"))),INT(资金流水!$B$1635)*10000+1630,"")</f>
      </c>
    </row>
    <row r="1636">
      <c r="AA1636" s="2">
        <f>IF(AND(ISNUMBER(资金流水!$B$1636),ISNUMBER(资金流水!$S$1636),资金流水!$S$1636&gt;=_辅助!$J$4,资金流水!$S$1636&lt;=_辅助!$J$2,OR(资金流水!$C$1636=$C$18,AND(资金流水!$AD$1636=$C$18,资金流水!$X$1636="账户互转"),AND($E$18&lt;&gt;"",资金流水!$J$1636=$E$18,资金流水!$X$1636="应付职工薪酬"))),INT(资金流水!$B$1636)*10000+1631,"")</f>
      </c>
    </row>
    <row r="1637">
      <c r="AA1637" s="2">
        <f>IF(AND(ISNUMBER(资金流水!$B$1637),ISNUMBER(资金流水!$S$1637),资金流水!$S$1637&gt;=_辅助!$J$4,资金流水!$S$1637&lt;=_辅助!$J$2,OR(资金流水!$C$1637=$C$18,AND(资金流水!$AD$1637=$C$18,资金流水!$X$1637="账户互转"),AND($E$18&lt;&gt;"",资金流水!$J$1637=$E$18,资金流水!$X$1637="应付职工薪酬"))),INT(资金流水!$B$1637)*10000+1632,"")</f>
      </c>
    </row>
    <row r="1638">
      <c r="AA1638" s="2">
        <f>IF(AND(ISNUMBER(资金流水!$B$1638),ISNUMBER(资金流水!$S$1638),资金流水!$S$1638&gt;=_辅助!$J$4,资金流水!$S$1638&lt;=_辅助!$J$2,OR(资金流水!$C$1638=$C$18,AND(资金流水!$AD$1638=$C$18,资金流水!$X$1638="账户互转"),AND($E$18&lt;&gt;"",资金流水!$J$1638=$E$18,资金流水!$X$1638="应付职工薪酬"))),INT(资金流水!$B$1638)*10000+1633,"")</f>
      </c>
    </row>
    <row r="1639">
      <c r="AA1639" s="2">
        <f>IF(AND(ISNUMBER(资金流水!$B$1639),ISNUMBER(资金流水!$S$1639),资金流水!$S$1639&gt;=_辅助!$J$4,资金流水!$S$1639&lt;=_辅助!$J$2,OR(资金流水!$C$1639=$C$18,AND(资金流水!$AD$1639=$C$18,资金流水!$X$1639="账户互转"),AND($E$18&lt;&gt;"",资金流水!$J$1639=$E$18,资金流水!$X$1639="应付职工薪酬"))),INT(资金流水!$B$1639)*10000+1634,"")</f>
      </c>
    </row>
    <row r="1640">
      <c r="AA1640" s="2">
        <f>IF(AND(ISNUMBER(资金流水!$B$1640),ISNUMBER(资金流水!$S$1640),资金流水!$S$1640&gt;=_辅助!$J$4,资金流水!$S$1640&lt;=_辅助!$J$2,OR(资金流水!$C$1640=$C$18,AND(资金流水!$AD$1640=$C$18,资金流水!$X$1640="账户互转"),AND($E$18&lt;&gt;"",资金流水!$J$1640=$E$18,资金流水!$X$1640="应付职工薪酬"))),INT(资金流水!$B$1640)*10000+1635,"")</f>
      </c>
    </row>
    <row r="1641">
      <c r="AA1641" s="2">
        <f>IF(AND(ISNUMBER(资金流水!$B$1641),ISNUMBER(资金流水!$S$1641),资金流水!$S$1641&gt;=_辅助!$J$4,资金流水!$S$1641&lt;=_辅助!$J$2,OR(资金流水!$C$1641=$C$18,AND(资金流水!$AD$1641=$C$18,资金流水!$X$1641="账户互转"),AND($E$18&lt;&gt;"",资金流水!$J$1641=$E$18,资金流水!$X$1641="应付职工薪酬"))),INT(资金流水!$B$1641)*10000+1636,"")</f>
      </c>
    </row>
    <row r="1642">
      <c r="AA1642" s="2">
        <f>IF(AND(ISNUMBER(资金流水!$B$1642),ISNUMBER(资金流水!$S$1642),资金流水!$S$1642&gt;=_辅助!$J$4,资金流水!$S$1642&lt;=_辅助!$J$2,OR(资金流水!$C$1642=$C$18,AND(资金流水!$AD$1642=$C$18,资金流水!$X$1642="账户互转"),AND($E$18&lt;&gt;"",资金流水!$J$1642=$E$18,资金流水!$X$1642="应付职工薪酬"))),INT(资金流水!$B$1642)*10000+1637,"")</f>
      </c>
    </row>
    <row r="1643">
      <c r="AA1643" s="2">
        <f>IF(AND(ISNUMBER(资金流水!$B$1643),ISNUMBER(资金流水!$S$1643),资金流水!$S$1643&gt;=_辅助!$J$4,资金流水!$S$1643&lt;=_辅助!$J$2,OR(资金流水!$C$1643=$C$18,AND(资金流水!$AD$1643=$C$18,资金流水!$X$1643="账户互转"),AND($E$18&lt;&gt;"",资金流水!$J$1643=$E$18,资金流水!$X$1643="应付职工薪酬"))),INT(资金流水!$B$1643)*10000+1638,"")</f>
      </c>
    </row>
    <row r="1644">
      <c r="AA1644" s="2">
        <f>IF(AND(ISNUMBER(资金流水!$B$1644),ISNUMBER(资金流水!$S$1644),资金流水!$S$1644&gt;=_辅助!$J$4,资金流水!$S$1644&lt;=_辅助!$J$2,OR(资金流水!$C$1644=$C$18,AND(资金流水!$AD$1644=$C$18,资金流水!$X$1644="账户互转"),AND($E$18&lt;&gt;"",资金流水!$J$1644=$E$18,资金流水!$X$1644="应付职工薪酬"))),INT(资金流水!$B$1644)*10000+1639,"")</f>
      </c>
    </row>
    <row r="1645">
      <c r="AA1645" s="2">
        <f>IF(AND(ISNUMBER(资金流水!$B$1645),ISNUMBER(资金流水!$S$1645),资金流水!$S$1645&gt;=_辅助!$J$4,资金流水!$S$1645&lt;=_辅助!$J$2,OR(资金流水!$C$1645=$C$18,AND(资金流水!$AD$1645=$C$18,资金流水!$X$1645="账户互转"),AND($E$18&lt;&gt;"",资金流水!$J$1645=$E$18,资金流水!$X$1645="应付职工薪酬"))),INT(资金流水!$B$1645)*10000+1640,"")</f>
      </c>
    </row>
    <row r="1646">
      <c r="AA1646" s="2">
        <f>IF(AND(ISNUMBER(资金流水!$B$1646),ISNUMBER(资金流水!$S$1646),资金流水!$S$1646&gt;=_辅助!$J$4,资金流水!$S$1646&lt;=_辅助!$J$2,OR(资金流水!$C$1646=$C$18,AND(资金流水!$AD$1646=$C$18,资金流水!$X$1646="账户互转"),AND($E$18&lt;&gt;"",资金流水!$J$1646=$E$18,资金流水!$X$1646="应付职工薪酬"))),INT(资金流水!$B$1646)*10000+1641,"")</f>
      </c>
    </row>
    <row r="1647">
      <c r="AA1647" s="2">
        <f>IF(AND(ISNUMBER(资金流水!$B$1647),ISNUMBER(资金流水!$S$1647),资金流水!$S$1647&gt;=_辅助!$J$4,资金流水!$S$1647&lt;=_辅助!$J$2,OR(资金流水!$C$1647=$C$18,AND(资金流水!$AD$1647=$C$18,资金流水!$X$1647="账户互转"),AND($E$18&lt;&gt;"",资金流水!$J$1647=$E$18,资金流水!$X$1647="应付职工薪酬"))),INT(资金流水!$B$1647)*10000+1642,"")</f>
      </c>
    </row>
    <row r="1648">
      <c r="AA1648" s="2">
        <f>IF(AND(ISNUMBER(资金流水!$B$1648),ISNUMBER(资金流水!$S$1648),资金流水!$S$1648&gt;=_辅助!$J$4,资金流水!$S$1648&lt;=_辅助!$J$2,OR(资金流水!$C$1648=$C$18,AND(资金流水!$AD$1648=$C$18,资金流水!$X$1648="账户互转"),AND($E$18&lt;&gt;"",资金流水!$J$1648=$E$18,资金流水!$X$1648="应付职工薪酬"))),INT(资金流水!$B$1648)*10000+1643,"")</f>
      </c>
    </row>
    <row r="1649">
      <c r="AA1649" s="2">
        <f>IF(AND(ISNUMBER(资金流水!$B$1649),ISNUMBER(资金流水!$S$1649),资金流水!$S$1649&gt;=_辅助!$J$4,资金流水!$S$1649&lt;=_辅助!$J$2,OR(资金流水!$C$1649=$C$18,AND(资金流水!$AD$1649=$C$18,资金流水!$X$1649="账户互转"),AND($E$18&lt;&gt;"",资金流水!$J$1649=$E$18,资金流水!$X$1649="应付职工薪酬"))),INT(资金流水!$B$1649)*10000+1644,"")</f>
      </c>
    </row>
    <row r="1650">
      <c r="AA1650" s="2">
        <f>IF(AND(ISNUMBER(资金流水!$B$1650),ISNUMBER(资金流水!$S$1650),资金流水!$S$1650&gt;=_辅助!$J$4,资金流水!$S$1650&lt;=_辅助!$J$2,OR(资金流水!$C$1650=$C$18,AND(资金流水!$AD$1650=$C$18,资金流水!$X$1650="账户互转"),AND($E$18&lt;&gt;"",资金流水!$J$1650=$E$18,资金流水!$X$1650="应付职工薪酬"))),INT(资金流水!$B$1650)*10000+1645,"")</f>
      </c>
    </row>
    <row r="1651">
      <c r="AA1651" s="2">
        <f>IF(AND(ISNUMBER(资金流水!$B$1651),ISNUMBER(资金流水!$S$1651),资金流水!$S$1651&gt;=_辅助!$J$4,资金流水!$S$1651&lt;=_辅助!$J$2,OR(资金流水!$C$1651=$C$18,AND(资金流水!$AD$1651=$C$18,资金流水!$X$1651="账户互转"),AND($E$18&lt;&gt;"",资金流水!$J$1651=$E$18,资金流水!$X$1651="应付职工薪酬"))),INT(资金流水!$B$1651)*10000+1646,"")</f>
      </c>
    </row>
    <row r="1652">
      <c r="AA1652" s="2">
        <f>IF(AND(ISNUMBER(资金流水!$B$1652),ISNUMBER(资金流水!$S$1652),资金流水!$S$1652&gt;=_辅助!$J$4,资金流水!$S$1652&lt;=_辅助!$J$2,OR(资金流水!$C$1652=$C$18,AND(资金流水!$AD$1652=$C$18,资金流水!$X$1652="账户互转"),AND($E$18&lt;&gt;"",资金流水!$J$1652=$E$18,资金流水!$X$1652="应付职工薪酬"))),INT(资金流水!$B$1652)*10000+1647,"")</f>
      </c>
    </row>
    <row r="1653">
      <c r="AA1653" s="2">
        <f>IF(AND(ISNUMBER(资金流水!$B$1653),ISNUMBER(资金流水!$S$1653),资金流水!$S$1653&gt;=_辅助!$J$4,资金流水!$S$1653&lt;=_辅助!$J$2,OR(资金流水!$C$1653=$C$18,AND(资金流水!$AD$1653=$C$18,资金流水!$X$1653="账户互转"),AND($E$18&lt;&gt;"",资金流水!$J$1653=$E$18,资金流水!$X$1653="应付职工薪酬"))),INT(资金流水!$B$1653)*10000+1648,"")</f>
      </c>
    </row>
    <row r="1654">
      <c r="AA1654" s="2">
        <f>IF(AND(ISNUMBER(资金流水!$B$1654),ISNUMBER(资金流水!$S$1654),资金流水!$S$1654&gt;=_辅助!$J$4,资金流水!$S$1654&lt;=_辅助!$J$2,OR(资金流水!$C$1654=$C$18,AND(资金流水!$AD$1654=$C$18,资金流水!$X$1654="账户互转"),AND($E$18&lt;&gt;"",资金流水!$J$1654=$E$18,资金流水!$X$1654="应付职工薪酬"))),INT(资金流水!$B$1654)*10000+1649,"")</f>
      </c>
    </row>
    <row r="1655">
      <c r="AA1655" s="2">
        <f>IF(AND(ISNUMBER(资金流水!$B$1655),ISNUMBER(资金流水!$S$1655),资金流水!$S$1655&gt;=_辅助!$J$4,资金流水!$S$1655&lt;=_辅助!$J$2,OR(资金流水!$C$1655=$C$18,AND(资金流水!$AD$1655=$C$18,资金流水!$X$1655="账户互转"),AND($E$18&lt;&gt;"",资金流水!$J$1655=$E$18,资金流水!$X$1655="应付职工薪酬"))),INT(资金流水!$B$1655)*10000+1650,"")</f>
      </c>
    </row>
    <row r="1656">
      <c r="AA1656" s="2">
        <f>IF(AND(ISNUMBER(资金流水!$B$1656),ISNUMBER(资金流水!$S$1656),资金流水!$S$1656&gt;=_辅助!$J$4,资金流水!$S$1656&lt;=_辅助!$J$2,OR(资金流水!$C$1656=$C$18,AND(资金流水!$AD$1656=$C$18,资金流水!$X$1656="账户互转"),AND($E$18&lt;&gt;"",资金流水!$J$1656=$E$18,资金流水!$X$1656="应付职工薪酬"))),INT(资金流水!$B$1656)*10000+1651,"")</f>
      </c>
    </row>
    <row r="1657">
      <c r="AA1657" s="2">
        <f>IF(AND(ISNUMBER(资金流水!$B$1657),ISNUMBER(资金流水!$S$1657),资金流水!$S$1657&gt;=_辅助!$J$4,资金流水!$S$1657&lt;=_辅助!$J$2,OR(资金流水!$C$1657=$C$18,AND(资金流水!$AD$1657=$C$18,资金流水!$X$1657="账户互转"),AND($E$18&lt;&gt;"",资金流水!$J$1657=$E$18,资金流水!$X$1657="应付职工薪酬"))),INT(资金流水!$B$1657)*10000+1652,"")</f>
      </c>
    </row>
    <row r="1658">
      <c r="AA1658" s="2">
        <f>IF(AND(ISNUMBER(资金流水!$B$1658),ISNUMBER(资金流水!$S$1658),资金流水!$S$1658&gt;=_辅助!$J$4,资金流水!$S$1658&lt;=_辅助!$J$2,OR(资金流水!$C$1658=$C$18,AND(资金流水!$AD$1658=$C$18,资金流水!$X$1658="账户互转"),AND($E$18&lt;&gt;"",资金流水!$J$1658=$E$18,资金流水!$X$1658="应付职工薪酬"))),INT(资金流水!$B$1658)*10000+1653,"")</f>
      </c>
    </row>
    <row r="1659">
      <c r="AA1659" s="2">
        <f>IF(AND(ISNUMBER(资金流水!$B$1659),ISNUMBER(资金流水!$S$1659),资金流水!$S$1659&gt;=_辅助!$J$4,资金流水!$S$1659&lt;=_辅助!$J$2,OR(资金流水!$C$1659=$C$18,AND(资金流水!$AD$1659=$C$18,资金流水!$X$1659="账户互转"),AND($E$18&lt;&gt;"",资金流水!$J$1659=$E$18,资金流水!$X$1659="应付职工薪酬"))),INT(资金流水!$B$1659)*10000+1654,"")</f>
      </c>
    </row>
    <row r="1660">
      <c r="AA1660" s="2">
        <f>IF(AND(ISNUMBER(资金流水!$B$1660),ISNUMBER(资金流水!$S$1660),资金流水!$S$1660&gt;=_辅助!$J$4,资金流水!$S$1660&lt;=_辅助!$J$2,OR(资金流水!$C$1660=$C$18,AND(资金流水!$AD$1660=$C$18,资金流水!$X$1660="账户互转"),AND($E$18&lt;&gt;"",资金流水!$J$1660=$E$18,资金流水!$X$1660="应付职工薪酬"))),INT(资金流水!$B$1660)*10000+1655,"")</f>
      </c>
    </row>
    <row r="1661">
      <c r="AA1661" s="2">
        <f>IF(AND(ISNUMBER(资金流水!$B$1661),ISNUMBER(资金流水!$S$1661),资金流水!$S$1661&gt;=_辅助!$J$4,资金流水!$S$1661&lt;=_辅助!$J$2,OR(资金流水!$C$1661=$C$18,AND(资金流水!$AD$1661=$C$18,资金流水!$X$1661="账户互转"),AND($E$18&lt;&gt;"",资金流水!$J$1661=$E$18,资金流水!$X$1661="应付职工薪酬"))),INT(资金流水!$B$1661)*10000+1656,"")</f>
      </c>
    </row>
    <row r="1662">
      <c r="AA1662" s="2">
        <f>IF(AND(ISNUMBER(资金流水!$B$1662),ISNUMBER(资金流水!$S$1662),资金流水!$S$1662&gt;=_辅助!$J$4,资金流水!$S$1662&lt;=_辅助!$J$2,OR(资金流水!$C$1662=$C$18,AND(资金流水!$AD$1662=$C$18,资金流水!$X$1662="账户互转"),AND($E$18&lt;&gt;"",资金流水!$J$1662=$E$18,资金流水!$X$1662="应付职工薪酬"))),INT(资金流水!$B$1662)*10000+1657,"")</f>
      </c>
    </row>
    <row r="1663">
      <c r="AA1663" s="2">
        <f>IF(AND(ISNUMBER(资金流水!$B$1663),ISNUMBER(资金流水!$S$1663),资金流水!$S$1663&gt;=_辅助!$J$4,资金流水!$S$1663&lt;=_辅助!$J$2,OR(资金流水!$C$1663=$C$18,AND(资金流水!$AD$1663=$C$18,资金流水!$X$1663="账户互转"),AND($E$18&lt;&gt;"",资金流水!$J$1663=$E$18,资金流水!$X$1663="应付职工薪酬"))),INT(资金流水!$B$1663)*10000+1658,"")</f>
      </c>
    </row>
    <row r="1664">
      <c r="AA1664" s="2">
        <f>IF(AND(ISNUMBER(资金流水!$B$1664),ISNUMBER(资金流水!$S$1664),资金流水!$S$1664&gt;=_辅助!$J$4,资金流水!$S$1664&lt;=_辅助!$J$2,OR(资金流水!$C$1664=$C$18,AND(资金流水!$AD$1664=$C$18,资金流水!$X$1664="账户互转"),AND($E$18&lt;&gt;"",资金流水!$J$1664=$E$18,资金流水!$X$1664="应付职工薪酬"))),INT(资金流水!$B$1664)*10000+1659,"")</f>
      </c>
    </row>
    <row r="1665">
      <c r="AA1665" s="2">
        <f>IF(AND(ISNUMBER(资金流水!$B$1665),ISNUMBER(资金流水!$S$1665),资金流水!$S$1665&gt;=_辅助!$J$4,资金流水!$S$1665&lt;=_辅助!$J$2,OR(资金流水!$C$1665=$C$18,AND(资金流水!$AD$1665=$C$18,资金流水!$X$1665="账户互转"),AND($E$18&lt;&gt;"",资金流水!$J$1665=$E$18,资金流水!$X$1665="应付职工薪酬"))),INT(资金流水!$B$1665)*10000+1660,"")</f>
      </c>
    </row>
    <row r="1666">
      <c r="AA1666" s="2">
        <f>IF(AND(ISNUMBER(资金流水!$B$1666),ISNUMBER(资金流水!$S$1666),资金流水!$S$1666&gt;=_辅助!$J$4,资金流水!$S$1666&lt;=_辅助!$J$2,OR(资金流水!$C$1666=$C$18,AND(资金流水!$AD$1666=$C$18,资金流水!$X$1666="账户互转"),AND($E$18&lt;&gt;"",资金流水!$J$1666=$E$18,资金流水!$X$1666="应付职工薪酬"))),INT(资金流水!$B$1666)*10000+1661,"")</f>
      </c>
    </row>
    <row r="1667">
      <c r="AA1667" s="2">
        <f>IF(AND(ISNUMBER(资金流水!$B$1667),ISNUMBER(资金流水!$S$1667),资金流水!$S$1667&gt;=_辅助!$J$4,资金流水!$S$1667&lt;=_辅助!$J$2,OR(资金流水!$C$1667=$C$18,AND(资金流水!$AD$1667=$C$18,资金流水!$X$1667="账户互转"),AND($E$18&lt;&gt;"",资金流水!$J$1667=$E$18,资金流水!$X$1667="应付职工薪酬"))),INT(资金流水!$B$1667)*10000+1662,"")</f>
      </c>
    </row>
    <row r="1668">
      <c r="AA1668" s="2">
        <f>IF(AND(ISNUMBER(资金流水!$B$1668),ISNUMBER(资金流水!$S$1668),资金流水!$S$1668&gt;=_辅助!$J$4,资金流水!$S$1668&lt;=_辅助!$J$2,OR(资金流水!$C$1668=$C$18,AND(资金流水!$AD$1668=$C$18,资金流水!$X$1668="账户互转"),AND($E$18&lt;&gt;"",资金流水!$J$1668=$E$18,资金流水!$X$1668="应付职工薪酬"))),INT(资金流水!$B$1668)*10000+1663,"")</f>
      </c>
    </row>
    <row r="1669">
      <c r="AA1669" s="2">
        <f>IF(AND(ISNUMBER(资金流水!$B$1669),ISNUMBER(资金流水!$S$1669),资金流水!$S$1669&gt;=_辅助!$J$4,资金流水!$S$1669&lt;=_辅助!$J$2,OR(资金流水!$C$1669=$C$18,AND(资金流水!$AD$1669=$C$18,资金流水!$X$1669="账户互转"),AND($E$18&lt;&gt;"",资金流水!$J$1669=$E$18,资金流水!$X$1669="应付职工薪酬"))),INT(资金流水!$B$1669)*10000+1664,"")</f>
      </c>
    </row>
    <row r="1670">
      <c r="AA1670" s="2">
        <f>IF(AND(ISNUMBER(资金流水!$B$1670),ISNUMBER(资金流水!$S$1670),资金流水!$S$1670&gt;=_辅助!$J$4,资金流水!$S$1670&lt;=_辅助!$J$2,OR(资金流水!$C$1670=$C$18,AND(资金流水!$AD$1670=$C$18,资金流水!$X$1670="账户互转"),AND($E$18&lt;&gt;"",资金流水!$J$1670=$E$18,资金流水!$X$1670="应付职工薪酬"))),INT(资金流水!$B$1670)*10000+1665,"")</f>
      </c>
    </row>
    <row r="1671">
      <c r="AA1671" s="2">
        <f>IF(AND(ISNUMBER(资金流水!$B$1671),ISNUMBER(资金流水!$S$1671),资金流水!$S$1671&gt;=_辅助!$J$4,资金流水!$S$1671&lt;=_辅助!$J$2,OR(资金流水!$C$1671=$C$18,AND(资金流水!$AD$1671=$C$18,资金流水!$X$1671="账户互转"),AND($E$18&lt;&gt;"",资金流水!$J$1671=$E$18,资金流水!$X$1671="应付职工薪酬"))),INT(资金流水!$B$1671)*10000+1666,"")</f>
      </c>
    </row>
    <row r="1672">
      <c r="AA1672" s="2">
        <f>IF(AND(ISNUMBER(资金流水!$B$1672),ISNUMBER(资金流水!$S$1672),资金流水!$S$1672&gt;=_辅助!$J$4,资金流水!$S$1672&lt;=_辅助!$J$2,OR(资金流水!$C$1672=$C$18,AND(资金流水!$AD$1672=$C$18,资金流水!$X$1672="账户互转"),AND($E$18&lt;&gt;"",资金流水!$J$1672=$E$18,资金流水!$X$1672="应付职工薪酬"))),INT(资金流水!$B$1672)*10000+1667,"")</f>
      </c>
    </row>
    <row r="1673">
      <c r="AA1673" s="2">
        <f>IF(AND(ISNUMBER(资金流水!$B$1673),ISNUMBER(资金流水!$S$1673),资金流水!$S$1673&gt;=_辅助!$J$4,资金流水!$S$1673&lt;=_辅助!$J$2,OR(资金流水!$C$1673=$C$18,AND(资金流水!$AD$1673=$C$18,资金流水!$X$1673="账户互转"),AND($E$18&lt;&gt;"",资金流水!$J$1673=$E$18,资金流水!$X$1673="应付职工薪酬"))),INT(资金流水!$B$1673)*10000+1668,"")</f>
      </c>
    </row>
    <row r="1674">
      <c r="AA1674" s="2">
        <f>IF(AND(ISNUMBER(资金流水!$B$1674),ISNUMBER(资金流水!$S$1674),资金流水!$S$1674&gt;=_辅助!$J$4,资金流水!$S$1674&lt;=_辅助!$J$2,OR(资金流水!$C$1674=$C$18,AND(资金流水!$AD$1674=$C$18,资金流水!$X$1674="账户互转"),AND($E$18&lt;&gt;"",资金流水!$J$1674=$E$18,资金流水!$X$1674="应付职工薪酬"))),INT(资金流水!$B$1674)*10000+1669,"")</f>
      </c>
    </row>
    <row r="1675">
      <c r="AA1675" s="2">
        <f>IF(AND(ISNUMBER(资金流水!$B$1675),ISNUMBER(资金流水!$S$1675),资金流水!$S$1675&gt;=_辅助!$J$4,资金流水!$S$1675&lt;=_辅助!$J$2,OR(资金流水!$C$1675=$C$18,AND(资金流水!$AD$1675=$C$18,资金流水!$X$1675="账户互转"),AND($E$18&lt;&gt;"",资金流水!$J$1675=$E$18,资金流水!$X$1675="应付职工薪酬"))),INT(资金流水!$B$1675)*10000+1670,"")</f>
      </c>
    </row>
    <row r="1676">
      <c r="AA1676" s="2">
        <f>IF(AND(ISNUMBER(资金流水!$B$1676),ISNUMBER(资金流水!$S$1676),资金流水!$S$1676&gt;=_辅助!$J$4,资金流水!$S$1676&lt;=_辅助!$J$2,OR(资金流水!$C$1676=$C$18,AND(资金流水!$AD$1676=$C$18,资金流水!$X$1676="账户互转"),AND($E$18&lt;&gt;"",资金流水!$J$1676=$E$18,资金流水!$X$1676="应付职工薪酬"))),INT(资金流水!$B$1676)*10000+1671,"")</f>
      </c>
    </row>
    <row r="1677">
      <c r="AA1677" s="2">
        <f>IF(AND(ISNUMBER(资金流水!$B$1677),ISNUMBER(资金流水!$S$1677),资金流水!$S$1677&gt;=_辅助!$J$4,资金流水!$S$1677&lt;=_辅助!$J$2,OR(资金流水!$C$1677=$C$18,AND(资金流水!$AD$1677=$C$18,资金流水!$X$1677="账户互转"),AND($E$18&lt;&gt;"",资金流水!$J$1677=$E$18,资金流水!$X$1677="应付职工薪酬"))),INT(资金流水!$B$1677)*10000+1672,"")</f>
      </c>
    </row>
    <row r="1678">
      <c r="AA1678" s="2">
        <f>IF(AND(ISNUMBER(资金流水!$B$1678),ISNUMBER(资金流水!$S$1678),资金流水!$S$1678&gt;=_辅助!$J$4,资金流水!$S$1678&lt;=_辅助!$J$2,OR(资金流水!$C$1678=$C$18,AND(资金流水!$AD$1678=$C$18,资金流水!$X$1678="账户互转"),AND($E$18&lt;&gt;"",资金流水!$J$1678=$E$18,资金流水!$X$1678="应付职工薪酬"))),INT(资金流水!$B$1678)*10000+1673,"")</f>
      </c>
    </row>
    <row r="1679">
      <c r="AA1679" s="2">
        <f>IF(AND(ISNUMBER(资金流水!$B$1679),ISNUMBER(资金流水!$S$1679),资金流水!$S$1679&gt;=_辅助!$J$4,资金流水!$S$1679&lt;=_辅助!$J$2,OR(资金流水!$C$1679=$C$18,AND(资金流水!$AD$1679=$C$18,资金流水!$X$1679="账户互转"),AND($E$18&lt;&gt;"",资金流水!$J$1679=$E$18,资金流水!$X$1679="应付职工薪酬"))),INT(资金流水!$B$1679)*10000+1674,"")</f>
      </c>
    </row>
    <row r="1680">
      <c r="AA1680" s="2">
        <f>IF(AND(ISNUMBER(资金流水!$B$1680),ISNUMBER(资金流水!$S$1680),资金流水!$S$1680&gt;=_辅助!$J$4,资金流水!$S$1680&lt;=_辅助!$J$2,OR(资金流水!$C$1680=$C$18,AND(资金流水!$AD$1680=$C$18,资金流水!$X$1680="账户互转"),AND($E$18&lt;&gt;"",资金流水!$J$1680=$E$18,资金流水!$X$1680="应付职工薪酬"))),INT(资金流水!$B$1680)*10000+1675,"")</f>
      </c>
    </row>
    <row r="1681">
      <c r="AA1681" s="2">
        <f>IF(AND(ISNUMBER(资金流水!$B$1681),ISNUMBER(资金流水!$S$1681),资金流水!$S$1681&gt;=_辅助!$J$4,资金流水!$S$1681&lt;=_辅助!$J$2,OR(资金流水!$C$1681=$C$18,AND(资金流水!$AD$1681=$C$18,资金流水!$X$1681="账户互转"),AND($E$18&lt;&gt;"",资金流水!$J$1681=$E$18,资金流水!$X$1681="应付职工薪酬"))),INT(资金流水!$B$1681)*10000+1676,"")</f>
      </c>
    </row>
    <row r="1682">
      <c r="AA1682" s="2">
        <f>IF(AND(ISNUMBER(资金流水!$B$1682),ISNUMBER(资金流水!$S$1682),资金流水!$S$1682&gt;=_辅助!$J$4,资金流水!$S$1682&lt;=_辅助!$J$2,OR(资金流水!$C$1682=$C$18,AND(资金流水!$AD$1682=$C$18,资金流水!$X$1682="账户互转"),AND($E$18&lt;&gt;"",资金流水!$J$1682=$E$18,资金流水!$X$1682="应付职工薪酬"))),INT(资金流水!$B$1682)*10000+1677,"")</f>
      </c>
    </row>
    <row r="1683">
      <c r="AA1683" s="2">
        <f>IF(AND(ISNUMBER(资金流水!$B$1683),ISNUMBER(资金流水!$S$1683),资金流水!$S$1683&gt;=_辅助!$J$4,资金流水!$S$1683&lt;=_辅助!$J$2,OR(资金流水!$C$1683=$C$18,AND(资金流水!$AD$1683=$C$18,资金流水!$X$1683="账户互转"),AND($E$18&lt;&gt;"",资金流水!$J$1683=$E$18,资金流水!$X$1683="应付职工薪酬"))),INT(资金流水!$B$1683)*10000+1678,"")</f>
      </c>
    </row>
    <row r="1684">
      <c r="AA1684" s="2">
        <f>IF(AND(ISNUMBER(资金流水!$B$1684),ISNUMBER(资金流水!$S$1684),资金流水!$S$1684&gt;=_辅助!$J$4,资金流水!$S$1684&lt;=_辅助!$J$2,OR(资金流水!$C$1684=$C$18,AND(资金流水!$AD$1684=$C$18,资金流水!$X$1684="账户互转"),AND($E$18&lt;&gt;"",资金流水!$J$1684=$E$18,资金流水!$X$1684="应付职工薪酬"))),INT(资金流水!$B$1684)*10000+1679,"")</f>
      </c>
    </row>
    <row r="1685">
      <c r="AA1685" s="2">
        <f>IF(AND(ISNUMBER(资金流水!$B$1685),ISNUMBER(资金流水!$S$1685),资金流水!$S$1685&gt;=_辅助!$J$4,资金流水!$S$1685&lt;=_辅助!$J$2,OR(资金流水!$C$1685=$C$18,AND(资金流水!$AD$1685=$C$18,资金流水!$X$1685="账户互转"),AND($E$18&lt;&gt;"",资金流水!$J$1685=$E$18,资金流水!$X$1685="应付职工薪酬"))),INT(资金流水!$B$1685)*10000+1680,"")</f>
      </c>
    </row>
    <row r="1686">
      <c r="AA1686" s="2">
        <f>IF(AND(ISNUMBER(资金流水!$B$1686),ISNUMBER(资金流水!$S$1686),资金流水!$S$1686&gt;=_辅助!$J$4,资金流水!$S$1686&lt;=_辅助!$J$2,OR(资金流水!$C$1686=$C$18,AND(资金流水!$AD$1686=$C$18,资金流水!$X$1686="账户互转"),AND($E$18&lt;&gt;"",资金流水!$J$1686=$E$18,资金流水!$X$1686="应付职工薪酬"))),INT(资金流水!$B$1686)*10000+1681,"")</f>
      </c>
    </row>
    <row r="1687">
      <c r="AA1687" s="2">
        <f>IF(AND(ISNUMBER(资金流水!$B$1687),ISNUMBER(资金流水!$S$1687),资金流水!$S$1687&gt;=_辅助!$J$4,资金流水!$S$1687&lt;=_辅助!$J$2,OR(资金流水!$C$1687=$C$18,AND(资金流水!$AD$1687=$C$18,资金流水!$X$1687="账户互转"),AND($E$18&lt;&gt;"",资金流水!$J$1687=$E$18,资金流水!$X$1687="应付职工薪酬"))),INT(资金流水!$B$1687)*10000+1682,"")</f>
      </c>
    </row>
    <row r="1688">
      <c r="AA1688" s="2">
        <f>IF(AND(ISNUMBER(资金流水!$B$1688),ISNUMBER(资金流水!$S$1688),资金流水!$S$1688&gt;=_辅助!$J$4,资金流水!$S$1688&lt;=_辅助!$J$2,OR(资金流水!$C$1688=$C$18,AND(资金流水!$AD$1688=$C$18,资金流水!$X$1688="账户互转"),AND($E$18&lt;&gt;"",资金流水!$J$1688=$E$18,资金流水!$X$1688="应付职工薪酬"))),INT(资金流水!$B$1688)*10000+1683,"")</f>
      </c>
    </row>
    <row r="1689">
      <c r="AA1689" s="2">
        <f>IF(AND(ISNUMBER(资金流水!$B$1689),ISNUMBER(资金流水!$S$1689),资金流水!$S$1689&gt;=_辅助!$J$4,资金流水!$S$1689&lt;=_辅助!$J$2,OR(资金流水!$C$1689=$C$18,AND(资金流水!$AD$1689=$C$18,资金流水!$X$1689="账户互转"),AND($E$18&lt;&gt;"",资金流水!$J$1689=$E$18,资金流水!$X$1689="应付职工薪酬"))),INT(资金流水!$B$1689)*10000+1684,"")</f>
      </c>
    </row>
    <row r="1690">
      <c r="AA1690" s="2">
        <f>IF(AND(ISNUMBER(资金流水!$B$1690),ISNUMBER(资金流水!$S$1690),资金流水!$S$1690&gt;=_辅助!$J$4,资金流水!$S$1690&lt;=_辅助!$J$2,OR(资金流水!$C$1690=$C$18,AND(资金流水!$AD$1690=$C$18,资金流水!$X$1690="账户互转"),AND($E$18&lt;&gt;"",资金流水!$J$1690=$E$18,资金流水!$X$1690="应付职工薪酬"))),INT(资金流水!$B$1690)*10000+1685,"")</f>
      </c>
    </row>
    <row r="1691">
      <c r="AA1691" s="2">
        <f>IF(AND(ISNUMBER(资金流水!$B$1691),ISNUMBER(资金流水!$S$1691),资金流水!$S$1691&gt;=_辅助!$J$4,资金流水!$S$1691&lt;=_辅助!$J$2,OR(资金流水!$C$1691=$C$18,AND(资金流水!$AD$1691=$C$18,资金流水!$X$1691="账户互转"),AND($E$18&lt;&gt;"",资金流水!$J$1691=$E$18,资金流水!$X$1691="应付职工薪酬"))),INT(资金流水!$B$1691)*10000+1686,"")</f>
      </c>
    </row>
    <row r="1692">
      <c r="AA1692" s="2">
        <f>IF(AND(ISNUMBER(资金流水!$B$1692),ISNUMBER(资金流水!$S$1692),资金流水!$S$1692&gt;=_辅助!$J$4,资金流水!$S$1692&lt;=_辅助!$J$2,OR(资金流水!$C$1692=$C$18,AND(资金流水!$AD$1692=$C$18,资金流水!$X$1692="账户互转"),AND($E$18&lt;&gt;"",资金流水!$J$1692=$E$18,资金流水!$X$1692="应付职工薪酬"))),INT(资金流水!$B$1692)*10000+1687,"")</f>
      </c>
    </row>
    <row r="1693">
      <c r="AA1693" s="2">
        <f>IF(AND(ISNUMBER(资金流水!$B$1693),ISNUMBER(资金流水!$S$1693),资金流水!$S$1693&gt;=_辅助!$J$4,资金流水!$S$1693&lt;=_辅助!$J$2,OR(资金流水!$C$1693=$C$18,AND(资金流水!$AD$1693=$C$18,资金流水!$X$1693="账户互转"),AND($E$18&lt;&gt;"",资金流水!$J$1693=$E$18,资金流水!$X$1693="应付职工薪酬"))),INT(资金流水!$B$1693)*10000+1688,"")</f>
      </c>
    </row>
    <row r="1694">
      <c r="AA1694" s="2">
        <f>IF(AND(ISNUMBER(资金流水!$B$1694),ISNUMBER(资金流水!$S$1694),资金流水!$S$1694&gt;=_辅助!$J$4,资金流水!$S$1694&lt;=_辅助!$J$2,OR(资金流水!$C$1694=$C$18,AND(资金流水!$AD$1694=$C$18,资金流水!$X$1694="账户互转"),AND($E$18&lt;&gt;"",资金流水!$J$1694=$E$18,资金流水!$X$1694="应付职工薪酬"))),INT(资金流水!$B$1694)*10000+1689,"")</f>
      </c>
    </row>
    <row r="1695">
      <c r="AA1695" s="2">
        <f>IF(AND(ISNUMBER(资金流水!$B$1695),ISNUMBER(资金流水!$S$1695),资金流水!$S$1695&gt;=_辅助!$J$4,资金流水!$S$1695&lt;=_辅助!$J$2,OR(资金流水!$C$1695=$C$18,AND(资金流水!$AD$1695=$C$18,资金流水!$X$1695="账户互转"),AND($E$18&lt;&gt;"",资金流水!$J$1695=$E$18,资金流水!$X$1695="应付职工薪酬"))),INT(资金流水!$B$1695)*10000+1690,"")</f>
      </c>
    </row>
    <row r="1696">
      <c r="AA1696" s="2">
        <f>IF(AND(ISNUMBER(资金流水!$B$1696),ISNUMBER(资金流水!$S$1696),资金流水!$S$1696&gt;=_辅助!$J$4,资金流水!$S$1696&lt;=_辅助!$J$2,OR(资金流水!$C$1696=$C$18,AND(资金流水!$AD$1696=$C$18,资金流水!$X$1696="账户互转"),AND($E$18&lt;&gt;"",资金流水!$J$1696=$E$18,资金流水!$X$1696="应付职工薪酬"))),INT(资金流水!$B$1696)*10000+1691,"")</f>
      </c>
    </row>
    <row r="1697">
      <c r="AA1697" s="2">
        <f>IF(AND(ISNUMBER(资金流水!$B$1697),ISNUMBER(资金流水!$S$1697),资金流水!$S$1697&gt;=_辅助!$J$4,资金流水!$S$1697&lt;=_辅助!$J$2,OR(资金流水!$C$1697=$C$18,AND(资金流水!$AD$1697=$C$18,资金流水!$X$1697="账户互转"),AND($E$18&lt;&gt;"",资金流水!$J$1697=$E$18,资金流水!$X$1697="应付职工薪酬"))),INT(资金流水!$B$1697)*10000+1692,"")</f>
      </c>
    </row>
    <row r="1698">
      <c r="AA1698" s="2">
        <f>IF(AND(ISNUMBER(资金流水!$B$1698),ISNUMBER(资金流水!$S$1698),资金流水!$S$1698&gt;=_辅助!$J$4,资金流水!$S$1698&lt;=_辅助!$J$2,OR(资金流水!$C$1698=$C$18,AND(资金流水!$AD$1698=$C$18,资金流水!$X$1698="账户互转"),AND($E$18&lt;&gt;"",资金流水!$J$1698=$E$18,资金流水!$X$1698="应付职工薪酬"))),INT(资金流水!$B$1698)*10000+1693,"")</f>
      </c>
    </row>
    <row r="1699">
      <c r="AA1699" s="2">
        <f>IF(AND(ISNUMBER(资金流水!$B$1699),ISNUMBER(资金流水!$S$1699),资金流水!$S$1699&gt;=_辅助!$J$4,资金流水!$S$1699&lt;=_辅助!$J$2,OR(资金流水!$C$1699=$C$18,AND(资金流水!$AD$1699=$C$18,资金流水!$X$1699="账户互转"),AND($E$18&lt;&gt;"",资金流水!$J$1699=$E$18,资金流水!$X$1699="应付职工薪酬"))),INT(资金流水!$B$1699)*10000+1694,"")</f>
      </c>
    </row>
    <row r="1700">
      <c r="AA1700" s="2">
        <f>IF(AND(ISNUMBER(资金流水!$B$1700),ISNUMBER(资金流水!$S$1700),资金流水!$S$1700&gt;=_辅助!$J$4,资金流水!$S$1700&lt;=_辅助!$J$2,OR(资金流水!$C$1700=$C$18,AND(资金流水!$AD$1700=$C$18,资金流水!$X$1700="账户互转"),AND($E$18&lt;&gt;"",资金流水!$J$1700=$E$18,资金流水!$X$1700="应付职工薪酬"))),INT(资金流水!$B$1700)*10000+1695,"")</f>
      </c>
    </row>
    <row r="1701">
      <c r="AA1701" s="2">
        <f>IF(AND(ISNUMBER(资金流水!$B$1701),ISNUMBER(资金流水!$S$1701),资金流水!$S$1701&gt;=_辅助!$J$4,资金流水!$S$1701&lt;=_辅助!$J$2,OR(资金流水!$C$1701=$C$18,AND(资金流水!$AD$1701=$C$18,资金流水!$X$1701="账户互转"),AND($E$18&lt;&gt;"",资金流水!$J$1701=$E$18,资金流水!$X$1701="应付职工薪酬"))),INT(资金流水!$B$1701)*10000+1696,"")</f>
      </c>
    </row>
    <row r="1702">
      <c r="AA1702" s="2">
        <f>IF(AND(ISNUMBER(资金流水!$B$1702),ISNUMBER(资金流水!$S$1702),资金流水!$S$1702&gt;=_辅助!$J$4,资金流水!$S$1702&lt;=_辅助!$J$2,OR(资金流水!$C$1702=$C$18,AND(资金流水!$AD$1702=$C$18,资金流水!$X$1702="账户互转"),AND($E$18&lt;&gt;"",资金流水!$J$1702=$E$18,资金流水!$X$1702="应付职工薪酬"))),INT(资金流水!$B$1702)*10000+1697,"")</f>
      </c>
    </row>
    <row r="1703">
      <c r="AA1703" s="2">
        <f>IF(AND(ISNUMBER(资金流水!$B$1703),ISNUMBER(资金流水!$S$1703),资金流水!$S$1703&gt;=_辅助!$J$4,资金流水!$S$1703&lt;=_辅助!$J$2,OR(资金流水!$C$1703=$C$18,AND(资金流水!$AD$1703=$C$18,资金流水!$X$1703="账户互转"),AND($E$18&lt;&gt;"",资金流水!$J$1703=$E$18,资金流水!$X$1703="应付职工薪酬"))),INT(资金流水!$B$1703)*10000+1698,"")</f>
      </c>
    </row>
    <row r="1704">
      <c r="AA1704" s="2">
        <f>IF(AND(ISNUMBER(资金流水!$B$1704),ISNUMBER(资金流水!$S$1704),资金流水!$S$1704&gt;=_辅助!$J$4,资金流水!$S$1704&lt;=_辅助!$J$2,OR(资金流水!$C$1704=$C$18,AND(资金流水!$AD$1704=$C$18,资金流水!$X$1704="账户互转"),AND($E$18&lt;&gt;"",资金流水!$J$1704=$E$18,资金流水!$X$1704="应付职工薪酬"))),INT(资金流水!$B$1704)*10000+1699,"")</f>
      </c>
    </row>
    <row r="1705">
      <c r="AA1705" s="2">
        <f>IF(AND(ISNUMBER(资金流水!$B$1705),ISNUMBER(资金流水!$S$1705),资金流水!$S$1705&gt;=_辅助!$J$4,资金流水!$S$1705&lt;=_辅助!$J$2,OR(资金流水!$C$1705=$C$18,AND(资金流水!$AD$1705=$C$18,资金流水!$X$1705="账户互转"),AND($E$18&lt;&gt;"",资金流水!$J$1705=$E$18,资金流水!$X$1705="应付职工薪酬"))),INT(资金流水!$B$1705)*10000+1700,"")</f>
      </c>
    </row>
    <row r="1706">
      <c r="AA1706" s="2">
        <f>IF(AND(ISNUMBER(资金流水!$B$1706),ISNUMBER(资金流水!$S$1706),资金流水!$S$1706&gt;=_辅助!$J$4,资金流水!$S$1706&lt;=_辅助!$J$2,OR(资金流水!$C$1706=$C$18,AND(资金流水!$AD$1706=$C$18,资金流水!$X$1706="账户互转"),AND($E$18&lt;&gt;"",资金流水!$J$1706=$E$18,资金流水!$X$1706="应付职工薪酬"))),INT(资金流水!$B$1706)*10000+1701,"")</f>
      </c>
    </row>
    <row r="1707">
      <c r="AA1707" s="2">
        <f>IF(AND(ISNUMBER(资金流水!$B$1707),ISNUMBER(资金流水!$S$1707),资金流水!$S$1707&gt;=_辅助!$J$4,资金流水!$S$1707&lt;=_辅助!$J$2,OR(资金流水!$C$1707=$C$18,AND(资金流水!$AD$1707=$C$18,资金流水!$X$1707="账户互转"),AND($E$18&lt;&gt;"",资金流水!$J$1707=$E$18,资金流水!$X$1707="应付职工薪酬"))),INT(资金流水!$B$1707)*10000+1702,"")</f>
      </c>
    </row>
    <row r="1708">
      <c r="AA1708" s="2">
        <f>IF(AND(ISNUMBER(资金流水!$B$1708),ISNUMBER(资金流水!$S$1708),资金流水!$S$1708&gt;=_辅助!$J$4,资金流水!$S$1708&lt;=_辅助!$J$2,OR(资金流水!$C$1708=$C$18,AND(资金流水!$AD$1708=$C$18,资金流水!$X$1708="账户互转"),AND($E$18&lt;&gt;"",资金流水!$J$1708=$E$18,资金流水!$X$1708="应付职工薪酬"))),INT(资金流水!$B$1708)*10000+1703,"")</f>
      </c>
    </row>
    <row r="1709">
      <c r="AA1709" s="2">
        <f>IF(AND(ISNUMBER(资金流水!$B$1709),ISNUMBER(资金流水!$S$1709),资金流水!$S$1709&gt;=_辅助!$J$4,资金流水!$S$1709&lt;=_辅助!$J$2,OR(资金流水!$C$1709=$C$18,AND(资金流水!$AD$1709=$C$18,资金流水!$X$1709="账户互转"),AND($E$18&lt;&gt;"",资金流水!$J$1709=$E$18,资金流水!$X$1709="应付职工薪酬"))),INT(资金流水!$B$1709)*10000+1704,"")</f>
      </c>
    </row>
    <row r="1710">
      <c r="AA1710" s="2">
        <f>IF(AND(ISNUMBER(资金流水!$B$1710),ISNUMBER(资金流水!$S$1710),资金流水!$S$1710&gt;=_辅助!$J$4,资金流水!$S$1710&lt;=_辅助!$J$2,OR(资金流水!$C$1710=$C$18,AND(资金流水!$AD$1710=$C$18,资金流水!$X$1710="账户互转"),AND($E$18&lt;&gt;"",资金流水!$J$1710=$E$18,资金流水!$X$1710="应付职工薪酬"))),INT(资金流水!$B$1710)*10000+1705,"")</f>
      </c>
    </row>
    <row r="1711">
      <c r="AA1711" s="2">
        <f>IF(AND(ISNUMBER(资金流水!$B$1711),ISNUMBER(资金流水!$S$1711),资金流水!$S$1711&gt;=_辅助!$J$4,资金流水!$S$1711&lt;=_辅助!$J$2,OR(资金流水!$C$1711=$C$18,AND(资金流水!$AD$1711=$C$18,资金流水!$X$1711="账户互转"),AND($E$18&lt;&gt;"",资金流水!$J$1711=$E$18,资金流水!$X$1711="应付职工薪酬"))),INT(资金流水!$B$1711)*10000+1706,"")</f>
      </c>
    </row>
    <row r="1712">
      <c r="AA1712" s="2">
        <f>IF(AND(ISNUMBER(资金流水!$B$1712),ISNUMBER(资金流水!$S$1712),资金流水!$S$1712&gt;=_辅助!$J$4,资金流水!$S$1712&lt;=_辅助!$J$2,OR(资金流水!$C$1712=$C$18,AND(资金流水!$AD$1712=$C$18,资金流水!$X$1712="账户互转"),AND($E$18&lt;&gt;"",资金流水!$J$1712=$E$18,资金流水!$X$1712="应付职工薪酬"))),INT(资金流水!$B$1712)*10000+1707,"")</f>
      </c>
    </row>
    <row r="1713">
      <c r="AA1713" s="2">
        <f>IF(AND(ISNUMBER(资金流水!$B$1713),ISNUMBER(资金流水!$S$1713),资金流水!$S$1713&gt;=_辅助!$J$4,资金流水!$S$1713&lt;=_辅助!$J$2,OR(资金流水!$C$1713=$C$18,AND(资金流水!$AD$1713=$C$18,资金流水!$X$1713="账户互转"),AND($E$18&lt;&gt;"",资金流水!$J$1713=$E$18,资金流水!$X$1713="应付职工薪酬"))),INT(资金流水!$B$1713)*10000+1708,"")</f>
      </c>
    </row>
    <row r="1714">
      <c r="AA1714" s="2">
        <f>IF(AND(ISNUMBER(资金流水!$B$1714),ISNUMBER(资金流水!$S$1714),资金流水!$S$1714&gt;=_辅助!$J$4,资金流水!$S$1714&lt;=_辅助!$J$2,OR(资金流水!$C$1714=$C$18,AND(资金流水!$AD$1714=$C$18,资金流水!$X$1714="账户互转"),AND($E$18&lt;&gt;"",资金流水!$J$1714=$E$18,资金流水!$X$1714="应付职工薪酬"))),INT(资金流水!$B$1714)*10000+1709,"")</f>
      </c>
    </row>
    <row r="1715">
      <c r="AA1715" s="2">
        <f>IF(AND(ISNUMBER(资金流水!$B$1715),ISNUMBER(资金流水!$S$1715),资金流水!$S$1715&gt;=_辅助!$J$4,资金流水!$S$1715&lt;=_辅助!$J$2,OR(资金流水!$C$1715=$C$18,AND(资金流水!$AD$1715=$C$18,资金流水!$X$1715="账户互转"),AND($E$18&lt;&gt;"",资金流水!$J$1715=$E$18,资金流水!$X$1715="应付职工薪酬"))),INT(资金流水!$B$1715)*10000+1710,"")</f>
      </c>
    </row>
    <row r="1716">
      <c r="AA1716" s="2">
        <f>IF(AND(ISNUMBER(资金流水!$B$1716),ISNUMBER(资金流水!$S$1716),资金流水!$S$1716&gt;=_辅助!$J$4,资金流水!$S$1716&lt;=_辅助!$J$2,OR(资金流水!$C$1716=$C$18,AND(资金流水!$AD$1716=$C$18,资金流水!$X$1716="账户互转"),AND($E$18&lt;&gt;"",资金流水!$J$1716=$E$18,资金流水!$X$1716="应付职工薪酬"))),INT(资金流水!$B$1716)*10000+1711,"")</f>
      </c>
    </row>
    <row r="1717">
      <c r="AA1717" s="2">
        <f>IF(AND(ISNUMBER(资金流水!$B$1717),ISNUMBER(资金流水!$S$1717),资金流水!$S$1717&gt;=_辅助!$J$4,资金流水!$S$1717&lt;=_辅助!$J$2,OR(资金流水!$C$1717=$C$18,AND(资金流水!$AD$1717=$C$18,资金流水!$X$1717="账户互转"),AND($E$18&lt;&gt;"",资金流水!$J$1717=$E$18,资金流水!$X$1717="应付职工薪酬"))),INT(资金流水!$B$1717)*10000+1712,"")</f>
      </c>
    </row>
    <row r="1718">
      <c r="AA1718" s="2">
        <f>IF(AND(ISNUMBER(资金流水!$B$1718),ISNUMBER(资金流水!$S$1718),资金流水!$S$1718&gt;=_辅助!$J$4,资金流水!$S$1718&lt;=_辅助!$J$2,OR(资金流水!$C$1718=$C$18,AND(资金流水!$AD$1718=$C$18,资金流水!$X$1718="账户互转"),AND($E$18&lt;&gt;"",资金流水!$J$1718=$E$18,资金流水!$X$1718="应付职工薪酬"))),INT(资金流水!$B$1718)*10000+1713,"")</f>
      </c>
    </row>
    <row r="1719">
      <c r="AA1719" s="2">
        <f>IF(AND(ISNUMBER(资金流水!$B$1719),ISNUMBER(资金流水!$S$1719),资金流水!$S$1719&gt;=_辅助!$J$4,资金流水!$S$1719&lt;=_辅助!$J$2,OR(资金流水!$C$1719=$C$18,AND(资金流水!$AD$1719=$C$18,资金流水!$X$1719="账户互转"),AND($E$18&lt;&gt;"",资金流水!$J$1719=$E$18,资金流水!$X$1719="应付职工薪酬"))),INT(资金流水!$B$1719)*10000+1714,"")</f>
      </c>
    </row>
    <row r="1720">
      <c r="AA1720" s="2">
        <f>IF(AND(ISNUMBER(资金流水!$B$1720),ISNUMBER(资金流水!$S$1720),资金流水!$S$1720&gt;=_辅助!$J$4,资金流水!$S$1720&lt;=_辅助!$J$2,OR(资金流水!$C$1720=$C$18,AND(资金流水!$AD$1720=$C$18,资金流水!$X$1720="账户互转"),AND($E$18&lt;&gt;"",资金流水!$J$1720=$E$18,资金流水!$X$1720="应付职工薪酬"))),INT(资金流水!$B$1720)*10000+1715,"")</f>
      </c>
    </row>
    <row r="1721">
      <c r="AA1721" s="2">
        <f>IF(AND(ISNUMBER(资金流水!$B$1721),ISNUMBER(资金流水!$S$1721),资金流水!$S$1721&gt;=_辅助!$J$4,资金流水!$S$1721&lt;=_辅助!$J$2,OR(资金流水!$C$1721=$C$18,AND(资金流水!$AD$1721=$C$18,资金流水!$X$1721="账户互转"),AND($E$18&lt;&gt;"",资金流水!$J$1721=$E$18,资金流水!$X$1721="应付职工薪酬"))),INT(资金流水!$B$1721)*10000+1716,"")</f>
      </c>
    </row>
    <row r="1722">
      <c r="AA1722" s="2">
        <f>IF(AND(ISNUMBER(资金流水!$B$1722),ISNUMBER(资金流水!$S$1722),资金流水!$S$1722&gt;=_辅助!$J$4,资金流水!$S$1722&lt;=_辅助!$J$2,OR(资金流水!$C$1722=$C$18,AND(资金流水!$AD$1722=$C$18,资金流水!$X$1722="账户互转"),AND($E$18&lt;&gt;"",资金流水!$J$1722=$E$18,资金流水!$X$1722="应付职工薪酬"))),INT(资金流水!$B$1722)*10000+1717,"")</f>
      </c>
    </row>
    <row r="1723">
      <c r="AA1723" s="2">
        <f>IF(AND(ISNUMBER(资金流水!$B$1723),ISNUMBER(资金流水!$S$1723),资金流水!$S$1723&gt;=_辅助!$J$4,资金流水!$S$1723&lt;=_辅助!$J$2,OR(资金流水!$C$1723=$C$18,AND(资金流水!$AD$1723=$C$18,资金流水!$X$1723="账户互转"),AND($E$18&lt;&gt;"",资金流水!$J$1723=$E$18,资金流水!$X$1723="应付职工薪酬"))),INT(资金流水!$B$1723)*10000+1718,"")</f>
      </c>
    </row>
    <row r="1724">
      <c r="AA1724" s="2">
        <f>IF(AND(ISNUMBER(资金流水!$B$1724),ISNUMBER(资金流水!$S$1724),资金流水!$S$1724&gt;=_辅助!$J$4,资金流水!$S$1724&lt;=_辅助!$J$2,OR(资金流水!$C$1724=$C$18,AND(资金流水!$AD$1724=$C$18,资金流水!$X$1724="账户互转"),AND($E$18&lt;&gt;"",资金流水!$J$1724=$E$18,资金流水!$X$1724="应付职工薪酬"))),INT(资金流水!$B$1724)*10000+1719,"")</f>
      </c>
    </row>
    <row r="1725">
      <c r="AA1725" s="2">
        <f>IF(AND(ISNUMBER(资金流水!$B$1725),ISNUMBER(资金流水!$S$1725),资金流水!$S$1725&gt;=_辅助!$J$4,资金流水!$S$1725&lt;=_辅助!$J$2,OR(资金流水!$C$1725=$C$18,AND(资金流水!$AD$1725=$C$18,资金流水!$X$1725="账户互转"),AND($E$18&lt;&gt;"",资金流水!$J$1725=$E$18,资金流水!$X$1725="应付职工薪酬"))),INT(资金流水!$B$1725)*10000+1720,"")</f>
      </c>
    </row>
    <row r="1726">
      <c r="AA1726" s="2">
        <f>IF(AND(ISNUMBER(资金流水!$B$1726),ISNUMBER(资金流水!$S$1726),资金流水!$S$1726&gt;=_辅助!$J$4,资金流水!$S$1726&lt;=_辅助!$J$2,OR(资金流水!$C$1726=$C$18,AND(资金流水!$AD$1726=$C$18,资金流水!$X$1726="账户互转"),AND($E$18&lt;&gt;"",资金流水!$J$1726=$E$18,资金流水!$X$1726="应付职工薪酬"))),INT(资金流水!$B$1726)*10000+1721,"")</f>
      </c>
    </row>
    <row r="1727">
      <c r="AA1727" s="2">
        <f>IF(AND(ISNUMBER(资金流水!$B$1727),ISNUMBER(资金流水!$S$1727),资金流水!$S$1727&gt;=_辅助!$J$4,资金流水!$S$1727&lt;=_辅助!$J$2,OR(资金流水!$C$1727=$C$18,AND(资金流水!$AD$1727=$C$18,资金流水!$X$1727="账户互转"),AND($E$18&lt;&gt;"",资金流水!$J$1727=$E$18,资金流水!$X$1727="应付职工薪酬"))),INT(资金流水!$B$1727)*10000+1722,"")</f>
      </c>
    </row>
    <row r="1728">
      <c r="AA1728" s="2">
        <f>IF(AND(ISNUMBER(资金流水!$B$1728),ISNUMBER(资金流水!$S$1728),资金流水!$S$1728&gt;=_辅助!$J$4,资金流水!$S$1728&lt;=_辅助!$J$2,OR(资金流水!$C$1728=$C$18,AND(资金流水!$AD$1728=$C$18,资金流水!$X$1728="账户互转"),AND($E$18&lt;&gt;"",资金流水!$J$1728=$E$18,资金流水!$X$1728="应付职工薪酬"))),INT(资金流水!$B$1728)*10000+1723,"")</f>
      </c>
    </row>
    <row r="1729">
      <c r="AA1729" s="2">
        <f>IF(AND(ISNUMBER(资金流水!$B$1729),ISNUMBER(资金流水!$S$1729),资金流水!$S$1729&gt;=_辅助!$J$4,资金流水!$S$1729&lt;=_辅助!$J$2,OR(资金流水!$C$1729=$C$18,AND(资金流水!$AD$1729=$C$18,资金流水!$X$1729="账户互转"),AND($E$18&lt;&gt;"",资金流水!$J$1729=$E$18,资金流水!$X$1729="应付职工薪酬"))),INT(资金流水!$B$1729)*10000+1724,"")</f>
      </c>
    </row>
    <row r="1730">
      <c r="AA1730" s="2">
        <f>IF(AND(ISNUMBER(资金流水!$B$1730),ISNUMBER(资金流水!$S$1730),资金流水!$S$1730&gt;=_辅助!$J$4,资金流水!$S$1730&lt;=_辅助!$J$2,OR(资金流水!$C$1730=$C$18,AND(资金流水!$AD$1730=$C$18,资金流水!$X$1730="账户互转"),AND($E$18&lt;&gt;"",资金流水!$J$1730=$E$18,资金流水!$X$1730="应付职工薪酬"))),INT(资金流水!$B$1730)*10000+1725,"")</f>
      </c>
    </row>
    <row r="1731">
      <c r="AA1731" s="2">
        <f>IF(AND(ISNUMBER(资金流水!$B$1731),ISNUMBER(资金流水!$S$1731),资金流水!$S$1731&gt;=_辅助!$J$4,资金流水!$S$1731&lt;=_辅助!$J$2,OR(资金流水!$C$1731=$C$18,AND(资金流水!$AD$1731=$C$18,资金流水!$X$1731="账户互转"),AND($E$18&lt;&gt;"",资金流水!$J$1731=$E$18,资金流水!$X$1731="应付职工薪酬"))),INT(资金流水!$B$1731)*10000+1726,"")</f>
      </c>
    </row>
    <row r="1732">
      <c r="AA1732" s="2">
        <f>IF(AND(ISNUMBER(资金流水!$B$1732),ISNUMBER(资金流水!$S$1732),资金流水!$S$1732&gt;=_辅助!$J$4,资金流水!$S$1732&lt;=_辅助!$J$2,OR(资金流水!$C$1732=$C$18,AND(资金流水!$AD$1732=$C$18,资金流水!$X$1732="账户互转"),AND($E$18&lt;&gt;"",资金流水!$J$1732=$E$18,资金流水!$X$1732="应付职工薪酬"))),INT(资金流水!$B$1732)*10000+1727,"")</f>
      </c>
    </row>
    <row r="1733">
      <c r="AA1733" s="2">
        <f>IF(AND(ISNUMBER(资金流水!$B$1733),ISNUMBER(资金流水!$S$1733),资金流水!$S$1733&gt;=_辅助!$J$4,资金流水!$S$1733&lt;=_辅助!$J$2,OR(资金流水!$C$1733=$C$18,AND(资金流水!$AD$1733=$C$18,资金流水!$X$1733="账户互转"),AND($E$18&lt;&gt;"",资金流水!$J$1733=$E$18,资金流水!$X$1733="应付职工薪酬"))),INT(资金流水!$B$1733)*10000+1728,"")</f>
      </c>
    </row>
    <row r="1734">
      <c r="AA1734" s="2">
        <f>IF(AND(ISNUMBER(资金流水!$B$1734),ISNUMBER(资金流水!$S$1734),资金流水!$S$1734&gt;=_辅助!$J$4,资金流水!$S$1734&lt;=_辅助!$J$2,OR(资金流水!$C$1734=$C$18,AND(资金流水!$AD$1734=$C$18,资金流水!$X$1734="账户互转"),AND($E$18&lt;&gt;"",资金流水!$J$1734=$E$18,资金流水!$X$1734="应付职工薪酬"))),INT(资金流水!$B$1734)*10000+1729,"")</f>
      </c>
    </row>
    <row r="1735">
      <c r="AA1735" s="2">
        <f>IF(AND(ISNUMBER(资金流水!$B$1735),ISNUMBER(资金流水!$S$1735),资金流水!$S$1735&gt;=_辅助!$J$4,资金流水!$S$1735&lt;=_辅助!$J$2,OR(资金流水!$C$1735=$C$18,AND(资金流水!$AD$1735=$C$18,资金流水!$X$1735="账户互转"),AND($E$18&lt;&gt;"",资金流水!$J$1735=$E$18,资金流水!$X$1735="应付职工薪酬"))),INT(资金流水!$B$1735)*10000+1730,"")</f>
      </c>
    </row>
    <row r="1736">
      <c r="AA1736" s="2">
        <f>IF(AND(ISNUMBER(资金流水!$B$1736),ISNUMBER(资金流水!$S$1736),资金流水!$S$1736&gt;=_辅助!$J$4,资金流水!$S$1736&lt;=_辅助!$J$2,OR(资金流水!$C$1736=$C$18,AND(资金流水!$AD$1736=$C$18,资金流水!$X$1736="账户互转"),AND($E$18&lt;&gt;"",资金流水!$J$1736=$E$18,资金流水!$X$1736="应付职工薪酬"))),INT(资金流水!$B$1736)*10000+1731,"")</f>
      </c>
    </row>
    <row r="1737">
      <c r="AA1737" s="2">
        <f>IF(AND(ISNUMBER(资金流水!$B$1737),ISNUMBER(资金流水!$S$1737),资金流水!$S$1737&gt;=_辅助!$J$4,资金流水!$S$1737&lt;=_辅助!$J$2,OR(资金流水!$C$1737=$C$18,AND(资金流水!$AD$1737=$C$18,资金流水!$X$1737="账户互转"),AND($E$18&lt;&gt;"",资金流水!$J$1737=$E$18,资金流水!$X$1737="应付职工薪酬"))),INT(资金流水!$B$1737)*10000+1732,"")</f>
      </c>
    </row>
    <row r="1738">
      <c r="AA1738" s="2">
        <f>IF(AND(ISNUMBER(资金流水!$B$1738),ISNUMBER(资金流水!$S$1738),资金流水!$S$1738&gt;=_辅助!$J$4,资金流水!$S$1738&lt;=_辅助!$J$2,OR(资金流水!$C$1738=$C$18,AND(资金流水!$AD$1738=$C$18,资金流水!$X$1738="账户互转"),AND($E$18&lt;&gt;"",资金流水!$J$1738=$E$18,资金流水!$X$1738="应付职工薪酬"))),INT(资金流水!$B$1738)*10000+1733,"")</f>
      </c>
    </row>
    <row r="1739">
      <c r="AA1739" s="2">
        <f>IF(AND(ISNUMBER(资金流水!$B$1739),ISNUMBER(资金流水!$S$1739),资金流水!$S$1739&gt;=_辅助!$J$4,资金流水!$S$1739&lt;=_辅助!$J$2,OR(资金流水!$C$1739=$C$18,AND(资金流水!$AD$1739=$C$18,资金流水!$X$1739="账户互转"),AND($E$18&lt;&gt;"",资金流水!$J$1739=$E$18,资金流水!$X$1739="应付职工薪酬"))),INT(资金流水!$B$1739)*10000+1734,"")</f>
      </c>
    </row>
    <row r="1740">
      <c r="AA1740" s="2">
        <f>IF(AND(ISNUMBER(资金流水!$B$1740),ISNUMBER(资金流水!$S$1740),资金流水!$S$1740&gt;=_辅助!$J$4,资金流水!$S$1740&lt;=_辅助!$J$2,OR(资金流水!$C$1740=$C$18,AND(资金流水!$AD$1740=$C$18,资金流水!$X$1740="账户互转"),AND($E$18&lt;&gt;"",资金流水!$J$1740=$E$18,资金流水!$X$1740="应付职工薪酬"))),INT(资金流水!$B$1740)*10000+1735,"")</f>
      </c>
    </row>
    <row r="1741">
      <c r="AA1741" s="2">
        <f>IF(AND(ISNUMBER(资金流水!$B$1741),ISNUMBER(资金流水!$S$1741),资金流水!$S$1741&gt;=_辅助!$J$4,资金流水!$S$1741&lt;=_辅助!$J$2,OR(资金流水!$C$1741=$C$18,AND(资金流水!$AD$1741=$C$18,资金流水!$X$1741="账户互转"),AND($E$18&lt;&gt;"",资金流水!$J$1741=$E$18,资金流水!$X$1741="应付职工薪酬"))),INT(资金流水!$B$1741)*10000+1736,"")</f>
      </c>
    </row>
    <row r="1742">
      <c r="AA1742" s="2">
        <f>IF(AND(ISNUMBER(资金流水!$B$1742),ISNUMBER(资金流水!$S$1742),资金流水!$S$1742&gt;=_辅助!$J$4,资金流水!$S$1742&lt;=_辅助!$J$2,OR(资金流水!$C$1742=$C$18,AND(资金流水!$AD$1742=$C$18,资金流水!$X$1742="账户互转"),AND($E$18&lt;&gt;"",资金流水!$J$1742=$E$18,资金流水!$X$1742="应付职工薪酬"))),INT(资金流水!$B$1742)*10000+1737,"")</f>
      </c>
    </row>
    <row r="1743">
      <c r="AA1743" s="2">
        <f>IF(AND(ISNUMBER(资金流水!$B$1743),ISNUMBER(资金流水!$S$1743),资金流水!$S$1743&gt;=_辅助!$J$4,资金流水!$S$1743&lt;=_辅助!$J$2,OR(资金流水!$C$1743=$C$18,AND(资金流水!$AD$1743=$C$18,资金流水!$X$1743="账户互转"),AND($E$18&lt;&gt;"",资金流水!$J$1743=$E$18,资金流水!$X$1743="应付职工薪酬"))),INT(资金流水!$B$1743)*10000+1738,"")</f>
      </c>
    </row>
    <row r="1744">
      <c r="AA1744" s="2">
        <f>IF(AND(ISNUMBER(资金流水!$B$1744),ISNUMBER(资金流水!$S$1744),资金流水!$S$1744&gt;=_辅助!$J$4,资金流水!$S$1744&lt;=_辅助!$J$2,OR(资金流水!$C$1744=$C$18,AND(资金流水!$AD$1744=$C$18,资金流水!$X$1744="账户互转"),AND($E$18&lt;&gt;"",资金流水!$J$1744=$E$18,资金流水!$X$1744="应付职工薪酬"))),INT(资金流水!$B$1744)*10000+1739,"")</f>
      </c>
    </row>
    <row r="1745">
      <c r="AA1745" s="2">
        <f>IF(AND(ISNUMBER(资金流水!$B$1745),ISNUMBER(资金流水!$S$1745),资金流水!$S$1745&gt;=_辅助!$J$4,资金流水!$S$1745&lt;=_辅助!$J$2,OR(资金流水!$C$1745=$C$18,AND(资金流水!$AD$1745=$C$18,资金流水!$X$1745="账户互转"),AND($E$18&lt;&gt;"",资金流水!$J$1745=$E$18,资金流水!$X$1745="应付职工薪酬"))),INT(资金流水!$B$1745)*10000+1740,"")</f>
      </c>
    </row>
    <row r="1746">
      <c r="AA1746" s="2">
        <f>IF(AND(ISNUMBER(资金流水!$B$1746),ISNUMBER(资金流水!$S$1746),资金流水!$S$1746&gt;=_辅助!$J$4,资金流水!$S$1746&lt;=_辅助!$J$2,OR(资金流水!$C$1746=$C$18,AND(资金流水!$AD$1746=$C$18,资金流水!$X$1746="账户互转"),AND($E$18&lt;&gt;"",资金流水!$J$1746=$E$18,资金流水!$X$1746="应付职工薪酬"))),INT(资金流水!$B$1746)*10000+1741,"")</f>
      </c>
    </row>
    <row r="1747">
      <c r="AA1747" s="2">
        <f>IF(AND(ISNUMBER(资金流水!$B$1747),ISNUMBER(资金流水!$S$1747),资金流水!$S$1747&gt;=_辅助!$J$4,资金流水!$S$1747&lt;=_辅助!$J$2,OR(资金流水!$C$1747=$C$18,AND(资金流水!$AD$1747=$C$18,资金流水!$X$1747="账户互转"),AND($E$18&lt;&gt;"",资金流水!$J$1747=$E$18,资金流水!$X$1747="应付职工薪酬"))),INT(资金流水!$B$1747)*10000+1742,"")</f>
      </c>
    </row>
    <row r="1748">
      <c r="AA1748" s="2">
        <f>IF(AND(ISNUMBER(资金流水!$B$1748),ISNUMBER(资金流水!$S$1748),资金流水!$S$1748&gt;=_辅助!$J$4,资金流水!$S$1748&lt;=_辅助!$J$2,OR(资金流水!$C$1748=$C$18,AND(资金流水!$AD$1748=$C$18,资金流水!$X$1748="账户互转"),AND($E$18&lt;&gt;"",资金流水!$J$1748=$E$18,资金流水!$X$1748="应付职工薪酬"))),INT(资金流水!$B$1748)*10000+1743,"")</f>
      </c>
    </row>
    <row r="1749">
      <c r="AA1749" s="2">
        <f>IF(AND(ISNUMBER(资金流水!$B$1749),ISNUMBER(资金流水!$S$1749),资金流水!$S$1749&gt;=_辅助!$J$4,资金流水!$S$1749&lt;=_辅助!$J$2,OR(资金流水!$C$1749=$C$18,AND(资金流水!$AD$1749=$C$18,资金流水!$X$1749="账户互转"),AND($E$18&lt;&gt;"",资金流水!$J$1749=$E$18,资金流水!$X$1749="应付职工薪酬"))),INT(资金流水!$B$1749)*10000+1744,"")</f>
      </c>
    </row>
    <row r="1750">
      <c r="AA1750" s="2">
        <f>IF(AND(ISNUMBER(资金流水!$B$1750),ISNUMBER(资金流水!$S$1750),资金流水!$S$1750&gt;=_辅助!$J$4,资金流水!$S$1750&lt;=_辅助!$J$2,OR(资金流水!$C$1750=$C$18,AND(资金流水!$AD$1750=$C$18,资金流水!$X$1750="账户互转"),AND($E$18&lt;&gt;"",资金流水!$J$1750=$E$18,资金流水!$X$1750="应付职工薪酬"))),INT(资金流水!$B$1750)*10000+1745,"")</f>
      </c>
    </row>
    <row r="1751">
      <c r="AA1751" s="2">
        <f>IF(AND(ISNUMBER(资金流水!$B$1751),ISNUMBER(资金流水!$S$1751),资金流水!$S$1751&gt;=_辅助!$J$4,资金流水!$S$1751&lt;=_辅助!$J$2,OR(资金流水!$C$1751=$C$18,AND(资金流水!$AD$1751=$C$18,资金流水!$X$1751="账户互转"),AND($E$18&lt;&gt;"",资金流水!$J$1751=$E$18,资金流水!$X$1751="应付职工薪酬"))),INT(资金流水!$B$1751)*10000+1746,"")</f>
      </c>
    </row>
    <row r="1752">
      <c r="AA1752" s="2">
        <f>IF(AND(ISNUMBER(资金流水!$B$1752),ISNUMBER(资金流水!$S$1752),资金流水!$S$1752&gt;=_辅助!$J$4,资金流水!$S$1752&lt;=_辅助!$J$2,OR(资金流水!$C$1752=$C$18,AND(资金流水!$AD$1752=$C$18,资金流水!$X$1752="账户互转"),AND($E$18&lt;&gt;"",资金流水!$J$1752=$E$18,资金流水!$X$1752="应付职工薪酬"))),INT(资金流水!$B$1752)*10000+1747,"")</f>
      </c>
    </row>
    <row r="1753">
      <c r="AA1753" s="2">
        <f>IF(AND(ISNUMBER(资金流水!$B$1753),ISNUMBER(资金流水!$S$1753),资金流水!$S$1753&gt;=_辅助!$J$4,资金流水!$S$1753&lt;=_辅助!$J$2,OR(资金流水!$C$1753=$C$18,AND(资金流水!$AD$1753=$C$18,资金流水!$X$1753="账户互转"),AND($E$18&lt;&gt;"",资金流水!$J$1753=$E$18,资金流水!$X$1753="应付职工薪酬"))),INT(资金流水!$B$1753)*10000+1748,"")</f>
      </c>
    </row>
    <row r="1754">
      <c r="AA1754" s="2">
        <f>IF(AND(ISNUMBER(资金流水!$B$1754),ISNUMBER(资金流水!$S$1754),资金流水!$S$1754&gt;=_辅助!$J$4,资金流水!$S$1754&lt;=_辅助!$J$2,OR(资金流水!$C$1754=$C$18,AND(资金流水!$AD$1754=$C$18,资金流水!$X$1754="账户互转"),AND($E$18&lt;&gt;"",资金流水!$J$1754=$E$18,资金流水!$X$1754="应付职工薪酬"))),INT(资金流水!$B$1754)*10000+1749,"")</f>
      </c>
    </row>
    <row r="1755">
      <c r="AA1755" s="2">
        <f>IF(AND(ISNUMBER(资金流水!$B$1755),ISNUMBER(资金流水!$S$1755),资金流水!$S$1755&gt;=_辅助!$J$4,资金流水!$S$1755&lt;=_辅助!$J$2,OR(资金流水!$C$1755=$C$18,AND(资金流水!$AD$1755=$C$18,资金流水!$X$1755="账户互转"),AND($E$18&lt;&gt;"",资金流水!$J$1755=$E$18,资金流水!$X$1755="应付职工薪酬"))),INT(资金流水!$B$1755)*10000+1750,"")</f>
      </c>
    </row>
    <row r="1756">
      <c r="AA1756" s="2">
        <f>IF(AND(ISNUMBER(资金流水!$B$1756),ISNUMBER(资金流水!$S$1756),资金流水!$S$1756&gt;=_辅助!$J$4,资金流水!$S$1756&lt;=_辅助!$J$2,OR(资金流水!$C$1756=$C$18,AND(资金流水!$AD$1756=$C$18,资金流水!$X$1756="账户互转"),AND($E$18&lt;&gt;"",资金流水!$J$1756=$E$18,资金流水!$X$1756="应付职工薪酬"))),INT(资金流水!$B$1756)*10000+1751,"")</f>
      </c>
    </row>
    <row r="1757">
      <c r="AA1757" s="2">
        <f>IF(AND(ISNUMBER(资金流水!$B$1757),ISNUMBER(资金流水!$S$1757),资金流水!$S$1757&gt;=_辅助!$J$4,资金流水!$S$1757&lt;=_辅助!$J$2,OR(资金流水!$C$1757=$C$18,AND(资金流水!$AD$1757=$C$18,资金流水!$X$1757="账户互转"),AND($E$18&lt;&gt;"",资金流水!$J$1757=$E$18,资金流水!$X$1757="应付职工薪酬"))),INT(资金流水!$B$1757)*10000+1752,"")</f>
      </c>
    </row>
    <row r="1758">
      <c r="AA1758" s="2">
        <f>IF(AND(ISNUMBER(资金流水!$B$1758),ISNUMBER(资金流水!$S$1758),资金流水!$S$1758&gt;=_辅助!$J$4,资金流水!$S$1758&lt;=_辅助!$J$2,OR(资金流水!$C$1758=$C$18,AND(资金流水!$AD$1758=$C$18,资金流水!$X$1758="账户互转"),AND($E$18&lt;&gt;"",资金流水!$J$1758=$E$18,资金流水!$X$1758="应付职工薪酬"))),INT(资金流水!$B$1758)*10000+1753,"")</f>
      </c>
    </row>
    <row r="1759">
      <c r="AA1759" s="2">
        <f>IF(AND(ISNUMBER(资金流水!$B$1759),ISNUMBER(资金流水!$S$1759),资金流水!$S$1759&gt;=_辅助!$J$4,资金流水!$S$1759&lt;=_辅助!$J$2,OR(资金流水!$C$1759=$C$18,AND(资金流水!$AD$1759=$C$18,资金流水!$X$1759="账户互转"),AND($E$18&lt;&gt;"",资金流水!$J$1759=$E$18,资金流水!$X$1759="应付职工薪酬"))),INT(资金流水!$B$1759)*10000+1754,"")</f>
      </c>
    </row>
    <row r="1760">
      <c r="AA1760" s="2">
        <f>IF(AND(ISNUMBER(资金流水!$B$1760),ISNUMBER(资金流水!$S$1760),资金流水!$S$1760&gt;=_辅助!$J$4,资金流水!$S$1760&lt;=_辅助!$J$2,OR(资金流水!$C$1760=$C$18,AND(资金流水!$AD$1760=$C$18,资金流水!$X$1760="账户互转"),AND($E$18&lt;&gt;"",资金流水!$J$1760=$E$18,资金流水!$X$1760="应付职工薪酬"))),INT(资金流水!$B$1760)*10000+1755,"")</f>
      </c>
    </row>
    <row r="1761">
      <c r="AA1761" s="2">
        <f>IF(AND(ISNUMBER(资金流水!$B$1761),ISNUMBER(资金流水!$S$1761),资金流水!$S$1761&gt;=_辅助!$J$4,资金流水!$S$1761&lt;=_辅助!$J$2,OR(资金流水!$C$1761=$C$18,AND(资金流水!$AD$1761=$C$18,资金流水!$X$1761="账户互转"),AND($E$18&lt;&gt;"",资金流水!$J$1761=$E$18,资金流水!$X$1761="应付职工薪酬"))),INT(资金流水!$B$1761)*10000+1756,"")</f>
      </c>
    </row>
    <row r="1762">
      <c r="AA1762" s="2">
        <f>IF(AND(ISNUMBER(资金流水!$B$1762),ISNUMBER(资金流水!$S$1762),资金流水!$S$1762&gt;=_辅助!$J$4,资金流水!$S$1762&lt;=_辅助!$J$2,OR(资金流水!$C$1762=$C$18,AND(资金流水!$AD$1762=$C$18,资金流水!$X$1762="账户互转"),AND($E$18&lt;&gt;"",资金流水!$J$1762=$E$18,资金流水!$X$1762="应付职工薪酬"))),INT(资金流水!$B$1762)*10000+1757,"")</f>
      </c>
    </row>
    <row r="1763">
      <c r="AA1763" s="2">
        <f>IF(AND(ISNUMBER(资金流水!$B$1763),ISNUMBER(资金流水!$S$1763),资金流水!$S$1763&gt;=_辅助!$J$4,资金流水!$S$1763&lt;=_辅助!$J$2,OR(资金流水!$C$1763=$C$18,AND(资金流水!$AD$1763=$C$18,资金流水!$X$1763="账户互转"),AND($E$18&lt;&gt;"",资金流水!$J$1763=$E$18,资金流水!$X$1763="应付职工薪酬"))),INT(资金流水!$B$1763)*10000+1758,"")</f>
      </c>
    </row>
    <row r="1764">
      <c r="AA1764" s="2">
        <f>IF(AND(ISNUMBER(资金流水!$B$1764),ISNUMBER(资金流水!$S$1764),资金流水!$S$1764&gt;=_辅助!$J$4,资金流水!$S$1764&lt;=_辅助!$J$2,OR(资金流水!$C$1764=$C$18,AND(资金流水!$AD$1764=$C$18,资金流水!$X$1764="账户互转"),AND($E$18&lt;&gt;"",资金流水!$J$1764=$E$18,资金流水!$X$1764="应付职工薪酬"))),INT(资金流水!$B$1764)*10000+1759,"")</f>
      </c>
    </row>
    <row r="1765">
      <c r="AA1765" s="2">
        <f>IF(AND(ISNUMBER(资金流水!$B$1765),ISNUMBER(资金流水!$S$1765),资金流水!$S$1765&gt;=_辅助!$J$4,资金流水!$S$1765&lt;=_辅助!$J$2,OR(资金流水!$C$1765=$C$18,AND(资金流水!$AD$1765=$C$18,资金流水!$X$1765="账户互转"),AND($E$18&lt;&gt;"",资金流水!$J$1765=$E$18,资金流水!$X$1765="应付职工薪酬"))),INT(资金流水!$B$1765)*10000+1760,"")</f>
      </c>
    </row>
    <row r="1766">
      <c r="AA1766" s="2">
        <f>IF(AND(ISNUMBER(资金流水!$B$1766),ISNUMBER(资金流水!$S$1766),资金流水!$S$1766&gt;=_辅助!$J$4,资金流水!$S$1766&lt;=_辅助!$J$2,OR(资金流水!$C$1766=$C$18,AND(资金流水!$AD$1766=$C$18,资金流水!$X$1766="账户互转"),AND($E$18&lt;&gt;"",资金流水!$J$1766=$E$18,资金流水!$X$1766="应付职工薪酬"))),INT(资金流水!$B$1766)*10000+1761,"")</f>
      </c>
    </row>
    <row r="1767">
      <c r="AA1767" s="2">
        <f>IF(AND(ISNUMBER(资金流水!$B$1767),ISNUMBER(资金流水!$S$1767),资金流水!$S$1767&gt;=_辅助!$J$4,资金流水!$S$1767&lt;=_辅助!$J$2,OR(资金流水!$C$1767=$C$18,AND(资金流水!$AD$1767=$C$18,资金流水!$X$1767="账户互转"),AND($E$18&lt;&gt;"",资金流水!$J$1767=$E$18,资金流水!$X$1767="应付职工薪酬"))),INT(资金流水!$B$1767)*10000+1762,"")</f>
      </c>
    </row>
    <row r="1768">
      <c r="AA1768" s="2">
        <f>IF(AND(ISNUMBER(资金流水!$B$1768),ISNUMBER(资金流水!$S$1768),资金流水!$S$1768&gt;=_辅助!$J$4,资金流水!$S$1768&lt;=_辅助!$J$2,OR(资金流水!$C$1768=$C$18,AND(资金流水!$AD$1768=$C$18,资金流水!$X$1768="账户互转"),AND($E$18&lt;&gt;"",资金流水!$J$1768=$E$18,资金流水!$X$1768="应付职工薪酬"))),INT(资金流水!$B$1768)*10000+1763,"")</f>
      </c>
    </row>
    <row r="1769">
      <c r="AA1769" s="2">
        <f>IF(AND(ISNUMBER(资金流水!$B$1769),ISNUMBER(资金流水!$S$1769),资金流水!$S$1769&gt;=_辅助!$J$4,资金流水!$S$1769&lt;=_辅助!$J$2,OR(资金流水!$C$1769=$C$18,AND(资金流水!$AD$1769=$C$18,资金流水!$X$1769="账户互转"),AND($E$18&lt;&gt;"",资金流水!$J$1769=$E$18,资金流水!$X$1769="应付职工薪酬"))),INT(资金流水!$B$1769)*10000+1764,"")</f>
      </c>
    </row>
    <row r="1770">
      <c r="AA1770" s="2">
        <f>IF(AND(ISNUMBER(资金流水!$B$1770),ISNUMBER(资金流水!$S$1770),资金流水!$S$1770&gt;=_辅助!$J$4,资金流水!$S$1770&lt;=_辅助!$J$2,OR(资金流水!$C$1770=$C$18,AND(资金流水!$AD$1770=$C$18,资金流水!$X$1770="账户互转"),AND($E$18&lt;&gt;"",资金流水!$J$1770=$E$18,资金流水!$X$1770="应付职工薪酬"))),INT(资金流水!$B$1770)*10000+1765,"")</f>
      </c>
    </row>
    <row r="1771">
      <c r="AA1771" s="2">
        <f>IF(AND(ISNUMBER(资金流水!$B$1771),ISNUMBER(资金流水!$S$1771),资金流水!$S$1771&gt;=_辅助!$J$4,资金流水!$S$1771&lt;=_辅助!$J$2,OR(资金流水!$C$1771=$C$18,AND(资金流水!$AD$1771=$C$18,资金流水!$X$1771="账户互转"),AND($E$18&lt;&gt;"",资金流水!$J$1771=$E$18,资金流水!$X$1771="应付职工薪酬"))),INT(资金流水!$B$1771)*10000+1766,"")</f>
      </c>
    </row>
    <row r="1772">
      <c r="AA1772" s="2">
        <f>IF(AND(ISNUMBER(资金流水!$B$1772),ISNUMBER(资金流水!$S$1772),资金流水!$S$1772&gt;=_辅助!$J$4,资金流水!$S$1772&lt;=_辅助!$J$2,OR(资金流水!$C$1772=$C$18,AND(资金流水!$AD$1772=$C$18,资金流水!$X$1772="账户互转"),AND($E$18&lt;&gt;"",资金流水!$J$1772=$E$18,资金流水!$X$1772="应付职工薪酬"))),INT(资金流水!$B$1772)*10000+1767,"")</f>
      </c>
    </row>
    <row r="1773">
      <c r="AA1773" s="2">
        <f>IF(AND(ISNUMBER(资金流水!$B$1773),ISNUMBER(资金流水!$S$1773),资金流水!$S$1773&gt;=_辅助!$J$4,资金流水!$S$1773&lt;=_辅助!$J$2,OR(资金流水!$C$1773=$C$18,AND(资金流水!$AD$1773=$C$18,资金流水!$X$1773="账户互转"),AND($E$18&lt;&gt;"",资金流水!$J$1773=$E$18,资金流水!$X$1773="应付职工薪酬"))),INT(资金流水!$B$1773)*10000+1768,"")</f>
      </c>
    </row>
    <row r="1774">
      <c r="AA1774" s="2">
        <f>IF(AND(ISNUMBER(资金流水!$B$1774),ISNUMBER(资金流水!$S$1774),资金流水!$S$1774&gt;=_辅助!$J$4,资金流水!$S$1774&lt;=_辅助!$J$2,OR(资金流水!$C$1774=$C$18,AND(资金流水!$AD$1774=$C$18,资金流水!$X$1774="账户互转"),AND($E$18&lt;&gt;"",资金流水!$J$1774=$E$18,资金流水!$X$1774="应付职工薪酬"))),INT(资金流水!$B$1774)*10000+1769,"")</f>
      </c>
    </row>
    <row r="1775">
      <c r="AA1775" s="2">
        <f>IF(AND(ISNUMBER(资金流水!$B$1775),ISNUMBER(资金流水!$S$1775),资金流水!$S$1775&gt;=_辅助!$J$4,资金流水!$S$1775&lt;=_辅助!$J$2,OR(资金流水!$C$1775=$C$18,AND(资金流水!$AD$1775=$C$18,资金流水!$X$1775="账户互转"),AND($E$18&lt;&gt;"",资金流水!$J$1775=$E$18,资金流水!$X$1775="应付职工薪酬"))),INT(资金流水!$B$1775)*10000+1770,"")</f>
      </c>
    </row>
    <row r="1776">
      <c r="AA1776" s="2">
        <f>IF(AND(ISNUMBER(资金流水!$B$1776),ISNUMBER(资金流水!$S$1776),资金流水!$S$1776&gt;=_辅助!$J$4,资金流水!$S$1776&lt;=_辅助!$J$2,OR(资金流水!$C$1776=$C$18,AND(资金流水!$AD$1776=$C$18,资金流水!$X$1776="账户互转"),AND($E$18&lt;&gt;"",资金流水!$J$1776=$E$18,资金流水!$X$1776="应付职工薪酬"))),INT(资金流水!$B$1776)*10000+1771,"")</f>
      </c>
    </row>
    <row r="1777">
      <c r="AA1777" s="2">
        <f>IF(AND(ISNUMBER(资金流水!$B$1777),ISNUMBER(资金流水!$S$1777),资金流水!$S$1777&gt;=_辅助!$J$4,资金流水!$S$1777&lt;=_辅助!$J$2,OR(资金流水!$C$1777=$C$18,AND(资金流水!$AD$1777=$C$18,资金流水!$X$1777="账户互转"),AND($E$18&lt;&gt;"",资金流水!$J$1777=$E$18,资金流水!$X$1777="应付职工薪酬"))),INT(资金流水!$B$1777)*10000+1772,"")</f>
      </c>
    </row>
    <row r="1778">
      <c r="AA1778" s="2">
        <f>IF(AND(ISNUMBER(资金流水!$B$1778),ISNUMBER(资金流水!$S$1778),资金流水!$S$1778&gt;=_辅助!$J$4,资金流水!$S$1778&lt;=_辅助!$J$2,OR(资金流水!$C$1778=$C$18,AND(资金流水!$AD$1778=$C$18,资金流水!$X$1778="账户互转"),AND($E$18&lt;&gt;"",资金流水!$J$1778=$E$18,资金流水!$X$1778="应付职工薪酬"))),INT(资金流水!$B$1778)*10000+1773,"")</f>
      </c>
    </row>
    <row r="1779">
      <c r="AA1779" s="2">
        <f>IF(AND(ISNUMBER(资金流水!$B$1779),ISNUMBER(资金流水!$S$1779),资金流水!$S$1779&gt;=_辅助!$J$4,资金流水!$S$1779&lt;=_辅助!$J$2,OR(资金流水!$C$1779=$C$18,AND(资金流水!$AD$1779=$C$18,资金流水!$X$1779="账户互转"),AND($E$18&lt;&gt;"",资金流水!$J$1779=$E$18,资金流水!$X$1779="应付职工薪酬"))),INT(资金流水!$B$1779)*10000+1774,"")</f>
      </c>
    </row>
    <row r="1780">
      <c r="AA1780" s="2">
        <f>IF(AND(ISNUMBER(资金流水!$B$1780),ISNUMBER(资金流水!$S$1780),资金流水!$S$1780&gt;=_辅助!$J$4,资金流水!$S$1780&lt;=_辅助!$J$2,OR(资金流水!$C$1780=$C$18,AND(资金流水!$AD$1780=$C$18,资金流水!$X$1780="账户互转"),AND($E$18&lt;&gt;"",资金流水!$J$1780=$E$18,资金流水!$X$1780="应付职工薪酬"))),INT(资金流水!$B$1780)*10000+1775,"")</f>
      </c>
    </row>
    <row r="1781">
      <c r="AA1781" s="2">
        <f>IF(AND(ISNUMBER(资金流水!$B$1781),ISNUMBER(资金流水!$S$1781),资金流水!$S$1781&gt;=_辅助!$J$4,资金流水!$S$1781&lt;=_辅助!$J$2,OR(资金流水!$C$1781=$C$18,AND(资金流水!$AD$1781=$C$18,资金流水!$X$1781="账户互转"),AND($E$18&lt;&gt;"",资金流水!$J$1781=$E$18,资金流水!$X$1781="应付职工薪酬"))),INT(资金流水!$B$1781)*10000+1776,"")</f>
      </c>
    </row>
    <row r="1782">
      <c r="AA1782" s="2">
        <f>IF(AND(ISNUMBER(资金流水!$B$1782),ISNUMBER(资金流水!$S$1782),资金流水!$S$1782&gt;=_辅助!$J$4,资金流水!$S$1782&lt;=_辅助!$J$2,OR(资金流水!$C$1782=$C$18,AND(资金流水!$AD$1782=$C$18,资金流水!$X$1782="账户互转"),AND($E$18&lt;&gt;"",资金流水!$J$1782=$E$18,资金流水!$X$1782="应付职工薪酬"))),INT(资金流水!$B$1782)*10000+1777,"")</f>
      </c>
    </row>
    <row r="1783">
      <c r="AA1783" s="2">
        <f>IF(AND(ISNUMBER(资金流水!$B$1783),ISNUMBER(资金流水!$S$1783),资金流水!$S$1783&gt;=_辅助!$J$4,资金流水!$S$1783&lt;=_辅助!$J$2,OR(资金流水!$C$1783=$C$18,AND(资金流水!$AD$1783=$C$18,资金流水!$X$1783="账户互转"),AND($E$18&lt;&gt;"",资金流水!$J$1783=$E$18,资金流水!$X$1783="应付职工薪酬"))),INT(资金流水!$B$1783)*10000+1778,"")</f>
      </c>
    </row>
    <row r="1784">
      <c r="AA1784" s="2">
        <f>IF(AND(ISNUMBER(资金流水!$B$1784),ISNUMBER(资金流水!$S$1784),资金流水!$S$1784&gt;=_辅助!$J$4,资金流水!$S$1784&lt;=_辅助!$J$2,OR(资金流水!$C$1784=$C$18,AND(资金流水!$AD$1784=$C$18,资金流水!$X$1784="账户互转"),AND($E$18&lt;&gt;"",资金流水!$J$1784=$E$18,资金流水!$X$1784="应付职工薪酬"))),INT(资金流水!$B$1784)*10000+1779,"")</f>
      </c>
    </row>
    <row r="1785">
      <c r="AA1785" s="2">
        <f>IF(AND(ISNUMBER(资金流水!$B$1785),ISNUMBER(资金流水!$S$1785),资金流水!$S$1785&gt;=_辅助!$J$4,资金流水!$S$1785&lt;=_辅助!$J$2,OR(资金流水!$C$1785=$C$18,AND(资金流水!$AD$1785=$C$18,资金流水!$X$1785="账户互转"),AND($E$18&lt;&gt;"",资金流水!$J$1785=$E$18,资金流水!$X$1785="应付职工薪酬"))),INT(资金流水!$B$1785)*10000+1780,"")</f>
      </c>
    </row>
    <row r="1786">
      <c r="AA1786" s="2">
        <f>IF(AND(ISNUMBER(资金流水!$B$1786),ISNUMBER(资金流水!$S$1786),资金流水!$S$1786&gt;=_辅助!$J$4,资金流水!$S$1786&lt;=_辅助!$J$2,OR(资金流水!$C$1786=$C$18,AND(资金流水!$AD$1786=$C$18,资金流水!$X$1786="账户互转"),AND($E$18&lt;&gt;"",资金流水!$J$1786=$E$18,资金流水!$X$1786="应付职工薪酬"))),INT(资金流水!$B$1786)*10000+1781,"")</f>
      </c>
    </row>
    <row r="1787">
      <c r="AA1787" s="2">
        <f>IF(AND(ISNUMBER(资金流水!$B$1787),ISNUMBER(资金流水!$S$1787),资金流水!$S$1787&gt;=_辅助!$J$4,资金流水!$S$1787&lt;=_辅助!$J$2,OR(资金流水!$C$1787=$C$18,AND(资金流水!$AD$1787=$C$18,资金流水!$X$1787="账户互转"),AND($E$18&lt;&gt;"",资金流水!$J$1787=$E$18,资金流水!$X$1787="应付职工薪酬"))),INT(资金流水!$B$1787)*10000+1782,"")</f>
      </c>
    </row>
    <row r="1788">
      <c r="AA1788" s="2">
        <f>IF(AND(ISNUMBER(资金流水!$B$1788),ISNUMBER(资金流水!$S$1788),资金流水!$S$1788&gt;=_辅助!$J$4,资金流水!$S$1788&lt;=_辅助!$J$2,OR(资金流水!$C$1788=$C$18,AND(资金流水!$AD$1788=$C$18,资金流水!$X$1788="账户互转"),AND($E$18&lt;&gt;"",资金流水!$J$1788=$E$18,资金流水!$X$1788="应付职工薪酬"))),INT(资金流水!$B$1788)*10000+1783,"")</f>
      </c>
    </row>
    <row r="1789">
      <c r="AA1789" s="2">
        <f>IF(AND(ISNUMBER(资金流水!$B$1789),ISNUMBER(资金流水!$S$1789),资金流水!$S$1789&gt;=_辅助!$J$4,资金流水!$S$1789&lt;=_辅助!$J$2,OR(资金流水!$C$1789=$C$18,AND(资金流水!$AD$1789=$C$18,资金流水!$X$1789="账户互转"),AND($E$18&lt;&gt;"",资金流水!$J$1789=$E$18,资金流水!$X$1789="应付职工薪酬"))),INT(资金流水!$B$1789)*10000+1784,"")</f>
      </c>
    </row>
    <row r="1790">
      <c r="AA1790" s="2">
        <f>IF(AND(ISNUMBER(资金流水!$B$1790),ISNUMBER(资金流水!$S$1790),资金流水!$S$1790&gt;=_辅助!$J$4,资金流水!$S$1790&lt;=_辅助!$J$2,OR(资金流水!$C$1790=$C$18,AND(资金流水!$AD$1790=$C$18,资金流水!$X$1790="账户互转"),AND($E$18&lt;&gt;"",资金流水!$J$1790=$E$18,资金流水!$X$1790="应付职工薪酬"))),INT(资金流水!$B$1790)*10000+1785,"")</f>
      </c>
    </row>
    <row r="1791">
      <c r="AA1791" s="2">
        <f>IF(AND(ISNUMBER(资金流水!$B$1791),ISNUMBER(资金流水!$S$1791),资金流水!$S$1791&gt;=_辅助!$J$4,资金流水!$S$1791&lt;=_辅助!$J$2,OR(资金流水!$C$1791=$C$18,AND(资金流水!$AD$1791=$C$18,资金流水!$X$1791="账户互转"),AND($E$18&lt;&gt;"",资金流水!$J$1791=$E$18,资金流水!$X$1791="应付职工薪酬"))),INT(资金流水!$B$1791)*10000+1786,"")</f>
      </c>
    </row>
    <row r="1792">
      <c r="AA1792" s="2">
        <f>IF(AND(ISNUMBER(资金流水!$B$1792),ISNUMBER(资金流水!$S$1792),资金流水!$S$1792&gt;=_辅助!$J$4,资金流水!$S$1792&lt;=_辅助!$J$2,OR(资金流水!$C$1792=$C$18,AND(资金流水!$AD$1792=$C$18,资金流水!$X$1792="账户互转"),AND($E$18&lt;&gt;"",资金流水!$J$1792=$E$18,资金流水!$X$1792="应付职工薪酬"))),INT(资金流水!$B$1792)*10000+1787,"")</f>
      </c>
    </row>
    <row r="1793">
      <c r="AA1793" s="2">
        <f>IF(AND(ISNUMBER(资金流水!$B$1793),ISNUMBER(资金流水!$S$1793),资金流水!$S$1793&gt;=_辅助!$J$4,资金流水!$S$1793&lt;=_辅助!$J$2,OR(资金流水!$C$1793=$C$18,AND(资金流水!$AD$1793=$C$18,资金流水!$X$1793="账户互转"),AND($E$18&lt;&gt;"",资金流水!$J$1793=$E$18,资金流水!$X$1793="应付职工薪酬"))),INT(资金流水!$B$1793)*10000+1788,"")</f>
      </c>
    </row>
    <row r="1794">
      <c r="AA1794" s="2">
        <f>IF(AND(ISNUMBER(资金流水!$B$1794),ISNUMBER(资金流水!$S$1794),资金流水!$S$1794&gt;=_辅助!$J$4,资金流水!$S$1794&lt;=_辅助!$J$2,OR(资金流水!$C$1794=$C$18,AND(资金流水!$AD$1794=$C$18,资金流水!$X$1794="账户互转"),AND($E$18&lt;&gt;"",资金流水!$J$1794=$E$18,资金流水!$X$1794="应付职工薪酬"))),INT(资金流水!$B$1794)*10000+1789,"")</f>
      </c>
    </row>
    <row r="1795">
      <c r="AA1795" s="2">
        <f>IF(AND(ISNUMBER(资金流水!$B$1795),ISNUMBER(资金流水!$S$1795),资金流水!$S$1795&gt;=_辅助!$J$4,资金流水!$S$1795&lt;=_辅助!$J$2,OR(资金流水!$C$1795=$C$18,AND(资金流水!$AD$1795=$C$18,资金流水!$X$1795="账户互转"),AND($E$18&lt;&gt;"",资金流水!$J$1795=$E$18,资金流水!$X$1795="应付职工薪酬"))),INT(资金流水!$B$1795)*10000+1790,"")</f>
      </c>
    </row>
    <row r="1796">
      <c r="AA1796" s="2">
        <f>IF(AND(ISNUMBER(资金流水!$B$1796),ISNUMBER(资金流水!$S$1796),资金流水!$S$1796&gt;=_辅助!$J$4,资金流水!$S$1796&lt;=_辅助!$J$2,OR(资金流水!$C$1796=$C$18,AND(资金流水!$AD$1796=$C$18,资金流水!$X$1796="账户互转"),AND($E$18&lt;&gt;"",资金流水!$J$1796=$E$18,资金流水!$X$1796="应付职工薪酬"))),INT(资金流水!$B$1796)*10000+1791,"")</f>
      </c>
    </row>
    <row r="1797">
      <c r="AA1797" s="2">
        <f>IF(AND(ISNUMBER(资金流水!$B$1797),ISNUMBER(资金流水!$S$1797),资金流水!$S$1797&gt;=_辅助!$J$4,资金流水!$S$1797&lt;=_辅助!$J$2,OR(资金流水!$C$1797=$C$18,AND(资金流水!$AD$1797=$C$18,资金流水!$X$1797="账户互转"),AND($E$18&lt;&gt;"",资金流水!$J$1797=$E$18,资金流水!$X$1797="应付职工薪酬"))),INT(资金流水!$B$1797)*10000+1792,"")</f>
      </c>
    </row>
    <row r="1798">
      <c r="AA1798" s="2">
        <f>IF(AND(ISNUMBER(资金流水!$B$1798),ISNUMBER(资金流水!$S$1798),资金流水!$S$1798&gt;=_辅助!$J$4,资金流水!$S$1798&lt;=_辅助!$J$2,OR(资金流水!$C$1798=$C$18,AND(资金流水!$AD$1798=$C$18,资金流水!$X$1798="账户互转"),AND($E$18&lt;&gt;"",资金流水!$J$1798=$E$18,资金流水!$X$1798="应付职工薪酬"))),INT(资金流水!$B$1798)*10000+1793,"")</f>
      </c>
    </row>
    <row r="1799">
      <c r="AA1799" s="2">
        <f>IF(AND(ISNUMBER(资金流水!$B$1799),ISNUMBER(资金流水!$S$1799),资金流水!$S$1799&gt;=_辅助!$J$4,资金流水!$S$1799&lt;=_辅助!$J$2,OR(资金流水!$C$1799=$C$18,AND(资金流水!$AD$1799=$C$18,资金流水!$X$1799="账户互转"),AND($E$18&lt;&gt;"",资金流水!$J$1799=$E$18,资金流水!$X$1799="应付职工薪酬"))),INT(资金流水!$B$1799)*10000+1794,"")</f>
      </c>
    </row>
    <row r="1800">
      <c r="AA1800" s="2">
        <f>IF(AND(ISNUMBER(资金流水!$B$1800),ISNUMBER(资金流水!$S$1800),资金流水!$S$1800&gt;=_辅助!$J$4,资金流水!$S$1800&lt;=_辅助!$J$2,OR(资金流水!$C$1800=$C$18,AND(资金流水!$AD$1800=$C$18,资金流水!$X$1800="账户互转"),AND($E$18&lt;&gt;"",资金流水!$J$1800=$E$18,资金流水!$X$1800="应付职工薪酬"))),INT(资金流水!$B$1800)*10000+1795,"")</f>
      </c>
    </row>
    <row r="1801">
      <c r="AA1801" s="2">
        <f>IF(AND(ISNUMBER(资金流水!$B$1801),ISNUMBER(资金流水!$S$1801),资金流水!$S$1801&gt;=_辅助!$J$4,资金流水!$S$1801&lt;=_辅助!$J$2,OR(资金流水!$C$1801=$C$18,AND(资金流水!$AD$1801=$C$18,资金流水!$X$1801="账户互转"),AND($E$18&lt;&gt;"",资金流水!$J$1801=$E$18,资金流水!$X$1801="应付职工薪酬"))),INT(资金流水!$B$1801)*10000+1796,"")</f>
      </c>
    </row>
    <row r="1802">
      <c r="AA1802" s="2">
        <f>IF(AND(ISNUMBER(资金流水!$B$1802),ISNUMBER(资金流水!$S$1802),资金流水!$S$1802&gt;=_辅助!$J$4,资金流水!$S$1802&lt;=_辅助!$J$2,OR(资金流水!$C$1802=$C$18,AND(资金流水!$AD$1802=$C$18,资金流水!$X$1802="账户互转"),AND($E$18&lt;&gt;"",资金流水!$J$1802=$E$18,资金流水!$X$1802="应付职工薪酬"))),INT(资金流水!$B$1802)*10000+1797,"")</f>
      </c>
    </row>
    <row r="1803">
      <c r="AA1803" s="2">
        <f>IF(AND(ISNUMBER(资金流水!$B$1803),ISNUMBER(资金流水!$S$1803),资金流水!$S$1803&gt;=_辅助!$J$4,资金流水!$S$1803&lt;=_辅助!$J$2,OR(资金流水!$C$1803=$C$18,AND(资金流水!$AD$1803=$C$18,资金流水!$X$1803="账户互转"),AND($E$18&lt;&gt;"",资金流水!$J$1803=$E$18,资金流水!$X$1803="应付职工薪酬"))),INT(资金流水!$B$1803)*10000+1798,"")</f>
      </c>
    </row>
    <row r="1804">
      <c r="AA1804" s="2">
        <f>IF(AND(ISNUMBER(资金流水!$B$1804),ISNUMBER(资金流水!$S$1804),资金流水!$S$1804&gt;=_辅助!$J$4,资金流水!$S$1804&lt;=_辅助!$J$2,OR(资金流水!$C$1804=$C$18,AND(资金流水!$AD$1804=$C$18,资金流水!$X$1804="账户互转"),AND($E$18&lt;&gt;"",资金流水!$J$1804=$E$18,资金流水!$X$1804="应付职工薪酬"))),INT(资金流水!$B$1804)*10000+1799,"")</f>
      </c>
    </row>
    <row r="1805">
      <c r="AA1805" s="2">
        <f>IF(AND(ISNUMBER(资金流水!$B$1805),ISNUMBER(资金流水!$S$1805),资金流水!$S$1805&gt;=_辅助!$J$4,资金流水!$S$1805&lt;=_辅助!$J$2,OR(资金流水!$C$1805=$C$18,AND(资金流水!$AD$1805=$C$18,资金流水!$X$1805="账户互转"),AND($E$18&lt;&gt;"",资金流水!$J$1805=$E$18,资金流水!$X$1805="应付职工薪酬"))),INT(资金流水!$B$1805)*10000+1800,"")</f>
      </c>
    </row>
    <row r="1806">
      <c r="AA1806" s="2">
        <f>IF(AND(ISNUMBER(资金流水!$B$1806),ISNUMBER(资金流水!$S$1806),资金流水!$S$1806&gt;=_辅助!$J$4,资金流水!$S$1806&lt;=_辅助!$J$2,OR(资金流水!$C$1806=$C$18,AND(资金流水!$AD$1806=$C$18,资金流水!$X$1806="账户互转"),AND($E$18&lt;&gt;"",资金流水!$J$1806=$E$18,资金流水!$X$1806="应付职工薪酬"))),INT(资金流水!$B$1806)*10000+1801,"")</f>
      </c>
    </row>
    <row r="1807">
      <c r="AA1807" s="2">
        <f>IF(AND(ISNUMBER(资金流水!$B$1807),ISNUMBER(资金流水!$S$1807),资金流水!$S$1807&gt;=_辅助!$J$4,资金流水!$S$1807&lt;=_辅助!$J$2,OR(资金流水!$C$1807=$C$18,AND(资金流水!$AD$1807=$C$18,资金流水!$X$1807="账户互转"),AND($E$18&lt;&gt;"",资金流水!$J$1807=$E$18,资金流水!$X$1807="应付职工薪酬"))),INT(资金流水!$B$1807)*10000+1802,"")</f>
      </c>
    </row>
    <row r="1808">
      <c r="AA1808" s="2">
        <f>IF(AND(ISNUMBER(资金流水!$B$1808),ISNUMBER(资金流水!$S$1808),资金流水!$S$1808&gt;=_辅助!$J$4,资金流水!$S$1808&lt;=_辅助!$J$2,OR(资金流水!$C$1808=$C$18,AND(资金流水!$AD$1808=$C$18,资金流水!$X$1808="账户互转"),AND($E$18&lt;&gt;"",资金流水!$J$1808=$E$18,资金流水!$X$1808="应付职工薪酬"))),INT(资金流水!$B$1808)*10000+1803,"")</f>
      </c>
    </row>
    <row r="1809">
      <c r="AA1809" s="2">
        <f>IF(AND(ISNUMBER(资金流水!$B$1809),ISNUMBER(资金流水!$S$1809),资金流水!$S$1809&gt;=_辅助!$J$4,资金流水!$S$1809&lt;=_辅助!$J$2,OR(资金流水!$C$1809=$C$18,AND(资金流水!$AD$1809=$C$18,资金流水!$X$1809="账户互转"),AND($E$18&lt;&gt;"",资金流水!$J$1809=$E$18,资金流水!$X$1809="应付职工薪酬"))),INT(资金流水!$B$1809)*10000+1804,"")</f>
      </c>
    </row>
    <row r="1810">
      <c r="AA1810" s="2">
        <f>IF(AND(ISNUMBER(资金流水!$B$1810),ISNUMBER(资金流水!$S$1810),资金流水!$S$1810&gt;=_辅助!$J$4,资金流水!$S$1810&lt;=_辅助!$J$2,OR(资金流水!$C$1810=$C$18,AND(资金流水!$AD$1810=$C$18,资金流水!$X$1810="账户互转"),AND($E$18&lt;&gt;"",资金流水!$J$1810=$E$18,资金流水!$X$1810="应付职工薪酬"))),INT(资金流水!$B$1810)*10000+1805,"")</f>
      </c>
    </row>
    <row r="1811">
      <c r="AA1811" s="2">
        <f>IF(AND(ISNUMBER(资金流水!$B$1811),ISNUMBER(资金流水!$S$1811),资金流水!$S$1811&gt;=_辅助!$J$4,资金流水!$S$1811&lt;=_辅助!$J$2,OR(资金流水!$C$1811=$C$18,AND(资金流水!$AD$1811=$C$18,资金流水!$X$1811="账户互转"),AND($E$18&lt;&gt;"",资金流水!$J$1811=$E$18,资金流水!$X$1811="应付职工薪酬"))),INT(资金流水!$B$1811)*10000+1806,"")</f>
      </c>
    </row>
    <row r="1812">
      <c r="AA1812" s="2">
        <f>IF(AND(ISNUMBER(资金流水!$B$1812),ISNUMBER(资金流水!$S$1812),资金流水!$S$1812&gt;=_辅助!$J$4,资金流水!$S$1812&lt;=_辅助!$J$2,OR(资金流水!$C$1812=$C$18,AND(资金流水!$AD$1812=$C$18,资金流水!$X$1812="账户互转"),AND($E$18&lt;&gt;"",资金流水!$J$1812=$E$18,资金流水!$X$1812="应付职工薪酬"))),INT(资金流水!$B$1812)*10000+1807,"")</f>
      </c>
    </row>
    <row r="1813">
      <c r="AA1813" s="2">
        <f>IF(AND(ISNUMBER(资金流水!$B$1813),ISNUMBER(资金流水!$S$1813),资金流水!$S$1813&gt;=_辅助!$J$4,资金流水!$S$1813&lt;=_辅助!$J$2,OR(资金流水!$C$1813=$C$18,AND(资金流水!$AD$1813=$C$18,资金流水!$X$1813="账户互转"),AND($E$18&lt;&gt;"",资金流水!$J$1813=$E$18,资金流水!$X$1813="应付职工薪酬"))),INT(资金流水!$B$1813)*10000+1808,"")</f>
      </c>
    </row>
    <row r="1814">
      <c r="AA1814" s="2">
        <f>IF(AND(ISNUMBER(资金流水!$B$1814),ISNUMBER(资金流水!$S$1814),资金流水!$S$1814&gt;=_辅助!$J$4,资金流水!$S$1814&lt;=_辅助!$J$2,OR(资金流水!$C$1814=$C$18,AND(资金流水!$AD$1814=$C$18,资金流水!$X$1814="账户互转"),AND($E$18&lt;&gt;"",资金流水!$J$1814=$E$18,资金流水!$X$1814="应付职工薪酬"))),INT(资金流水!$B$1814)*10000+1809,"")</f>
      </c>
    </row>
    <row r="1815">
      <c r="AA1815" s="2">
        <f>IF(AND(ISNUMBER(资金流水!$B$1815),ISNUMBER(资金流水!$S$1815),资金流水!$S$1815&gt;=_辅助!$J$4,资金流水!$S$1815&lt;=_辅助!$J$2,OR(资金流水!$C$1815=$C$18,AND(资金流水!$AD$1815=$C$18,资金流水!$X$1815="账户互转"),AND($E$18&lt;&gt;"",资金流水!$J$1815=$E$18,资金流水!$X$1815="应付职工薪酬"))),INT(资金流水!$B$1815)*10000+1810,"")</f>
      </c>
    </row>
    <row r="1816">
      <c r="AA1816" s="2">
        <f>IF(AND(ISNUMBER(资金流水!$B$1816),ISNUMBER(资金流水!$S$1816),资金流水!$S$1816&gt;=_辅助!$J$4,资金流水!$S$1816&lt;=_辅助!$J$2,OR(资金流水!$C$1816=$C$18,AND(资金流水!$AD$1816=$C$18,资金流水!$X$1816="账户互转"),AND($E$18&lt;&gt;"",资金流水!$J$1816=$E$18,资金流水!$X$1816="应付职工薪酬"))),INT(资金流水!$B$1816)*10000+1811,"")</f>
      </c>
    </row>
    <row r="1817">
      <c r="AA1817" s="2">
        <f>IF(AND(ISNUMBER(资金流水!$B$1817),ISNUMBER(资金流水!$S$1817),资金流水!$S$1817&gt;=_辅助!$J$4,资金流水!$S$1817&lt;=_辅助!$J$2,OR(资金流水!$C$1817=$C$18,AND(资金流水!$AD$1817=$C$18,资金流水!$X$1817="账户互转"),AND($E$18&lt;&gt;"",资金流水!$J$1817=$E$18,资金流水!$X$1817="应付职工薪酬"))),INT(资金流水!$B$1817)*10000+1812,"")</f>
      </c>
    </row>
    <row r="1818">
      <c r="AA1818" s="2">
        <f>IF(AND(ISNUMBER(资金流水!$B$1818),ISNUMBER(资金流水!$S$1818),资金流水!$S$1818&gt;=_辅助!$J$4,资金流水!$S$1818&lt;=_辅助!$J$2,OR(资金流水!$C$1818=$C$18,AND(资金流水!$AD$1818=$C$18,资金流水!$X$1818="账户互转"),AND($E$18&lt;&gt;"",资金流水!$J$1818=$E$18,资金流水!$X$1818="应付职工薪酬"))),INT(资金流水!$B$1818)*10000+1813,"")</f>
      </c>
    </row>
    <row r="1819">
      <c r="AA1819" s="2">
        <f>IF(AND(ISNUMBER(资金流水!$B$1819),ISNUMBER(资金流水!$S$1819),资金流水!$S$1819&gt;=_辅助!$J$4,资金流水!$S$1819&lt;=_辅助!$J$2,OR(资金流水!$C$1819=$C$18,AND(资金流水!$AD$1819=$C$18,资金流水!$X$1819="账户互转"),AND($E$18&lt;&gt;"",资金流水!$J$1819=$E$18,资金流水!$X$1819="应付职工薪酬"))),INT(资金流水!$B$1819)*10000+1814,"")</f>
      </c>
    </row>
    <row r="1820">
      <c r="AA1820" s="2">
        <f>IF(AND(ISNUMBER(资金流水!$B$1820),ISNUMBER(资金流水!$S$1820),资金流水!$S$1820&gt;=_辅助!$J$4,资金流水!$S$1820&lt;=_辅助!$J$2,OR(资金流水!$C$1820=$C$18,AND(资金流水!$AD$1820=$C$18,资金流水!$X$1820="账户互转"),AND($E$18&lt;&gt;"",资金流水!$J$1820=$E$18,资金流水!$X$1820="应付职工薪酬"))),INT(资金流水!$B$1820)*10000+1815,"")</f>
      </c>
    </row>
    <row r="1821">
      <c r="AA1821" s="2">
        <f>IF(AND(ISNUMBER(资金流水!$B$1821),ISNUMBER(资金流水!$S$1821),资金流水!$S$1821&gt;=_辅助!$J$4,资金流水!$S$1821&lt;=_辅助!$J$2,OR(资金流水!$C$1821=$C$18,AND(资金流水!$AD$1821=$C$18,资金流水!$X$1821="账户互转"),AND($E$18&lt;&gt;"",资金流水!$J$1821=$E$18,资金流水!$X$1821="应付职工薪酬"))),INT(资金流水!$B$1821)*10000+1816,"")</f>
      </c>
    </row>
    <row r="1822">
      <c r="AA1822" s="2">
        <f>IF(AND(ISNUMBER(资金流水!$B$1822),ISNUMBER(资金流水!$S$1822),资金流水!$S$1822&gt;=_辅助!$J$4,资金流水!$S$1822&lt;=_辅助!$J$2,OR(资金流水!$C$1822=$C$18,AND(资金流水!$AD$1822=$C$18,资金流水!$X$1822="账户互转"),AND($E$18&lt;&gt;"",资金流水!$J$1822=$E$18,资金流水!$X$1822="应付职工薪酬"))),INT(资金流水!$B$1822)*10000+1817,"")</f>
      </c>
    </row>
    <row r="1823">
      <c r="AA1823" s="2">
        <f>IF(AND(ISNUMBER(资金流水!$B$1823),ISNUMBER(资金流水!$S$1823),资金流水!$S$1823&gt;=_辅助!$J$4,资金流水!$S$1823&lt;=_辅助!$J$2,OR(资金流水!$C$1823=$C$18,AND(资金流水!$AD$1823=$C$18,资金流水!$X$1823="账户互转"),AND($E$18&lt;&gt;"",资金流水!$J$1823=$E$18,资金流水!$X$1823="应付职工薪酬"))),INT(资金流水!$B$1823)*10000+1818,"")</f>
      </c>
    </row>
    <row r="1824">
      <c r="AA1824" s="2">
        <f>IF(AND(ISNUMBER(资金流水!$B$1824),ISNUMBER(资金流水!$S$1824),资金流水!$S$1824&gt;=_辅助!$J$4,资金流水!$S$1824&lt;=_辅助!$J$2,OR(资金流水!$C$1824=$C$18,AND(资金流水!$AD$1824=$C$18,资金流水!$X$1824="账户互转"),AND($E$18&lt;&gt;"",资金流水!$J$1824=$E$18,资金流水!$X$1824="应付职工薪酬"))),INT(资金流水!$B$1824)*10000+1819,"")</f>
      </c>
    </row>
    <row r="1825">
      <c r="AA1825" s="2">
        <f>IF(AND(ISNUMBER(资金流水!$B$1825),ISNUMBER(资金流水!$S$1825),资金流水!$S$1825&gt;=_辅助!$J$4,资金流水!$S$1825&lt;=_辅助!$J$2,OR(资金流水!$C$1825=$C$18,AND(资金流水!$AD$1825=$C$18,资金流水!$X$1825="账户互转"),AND($E$18&lt;&gt;"",资金流水!$J$1825=$E$18,资金流水!$X$1825="应付职工薪酬"))),INT(资金流水!$B$1825)*10000+1820,"")</f>
      </c>
    </row>
    <row r="1826">
      <c r="AA1826" s="2">
        <f>IF(AND(ISNUMBER(资金流水!$B$1826),ISNUMBER(资金流水!$S$1826),资金流水!$S$1826&gt;=_辅助!$J$4,资金流水!$S$1826&lt;=_辅助!$J$2,OR(资金流水!$C$1826=$C$18,AND(资金流水!$AD$1826=$C$18,资金流水!$X$1826="账户互转"),AND($E$18&lt;&gt;"",资金流水!$J$1826=$E$18,资金流水!$X$1826="应付职工薪酬"))),INT(资金流水!$B$1826)*10000+1821,"")</f>
      </c>
    </row>
    <row r="1827">
      <c r="AA1827" s="2">
        <f>IF(AND(ISNUMBER(资金流水!$B$1827),ISNUMBER(资金流水!$S$1827),资金流水!$S$1827&gt;=_辅助!$J$4,资金流水!$S$1827&lt;=_辅助!$J$2,OR(资金流水!$C$1827=$C$18,AND(资金流水!$AD$1827=$C$18,资金流水!$X$1827="账户互转"),AND($E$18&lt;&gt;"",资金流水!$J$1827=$E$18,资金流水!$X$1827="应付职工薪酬"))),INT(资金流水!$B$1827)*10000+1822,"")</f>
      </c>
    </row>
    <row r="1828">
      <c r="AA1828" s="2">
        <f>IF(AND(ISNUMBER(资金流水!$B$1828),ISNUMBER(资金流水!$S$1828),资金流水!$S$1828&gt;=_辅助!$J$4,资金流水!$S$1828&lt;=_辅助!$J$2,OR(资金流水!$C$1828=$C$18,AND(资金流水!$AD$1828=$C$18,资金流水!$X$1828="账户互转"),AND($E$18&lt;&gt;"",资金流水!$J$1828=$E$18,资金流水!$X$1828="应付职工薪酬"))),INT(资金流水!$B$1828)*10000+1823,"")</f>
      </c>
    </row>
    <row r="1829">
      <c r="AA1829" s="2">
        <f>IF(AND(ISNUMBER(资金流水!$B$1829),ISNUMBER(资金流水!$S$1829),资金流水!$S$1829&gt;=_辅助!$J$4,资金流水!$S$1829&lt;=_辅助!$J$2,OR(资金流水!$C$1829=$C$18,AND(资金流水!$AD$1829=$C$18,资金流水!$X$1829="账户互转"),AND($E$18&lt;&gt;"",资金流水!$J$1829=$E$18,资金流水!$X$1829="应付职工薪酬"))),INT(资金流水!$B$1829)*10000+1824,"")</f>
      </c>
    </row>
    <row r="1830">
      <c r="AA1830" s="2">
        <f>IF(AND(ISNUMBER(资金流水!$B$1830),ISNUMBER(资金流水!$S$1830),资金流水!$S$1830&gt;=_辅助!$J$4,资金流水!$S$1830&lt;=_辅助!$J$2,OR(资金流水!$C$1830=$C$18,AND(资金流水!$AD$1830=$C$18,资金流水!$X$1830="账户互转"),AND($E$18&lt;&gt;"",资金流水!$J$1830=$E$18,资金流水!$X$1830="应付职工薪酬"))),INT(资金流水!$B$1830)*10000+1825,"")</f>
      </c>
    </row>
    <row r="1831">
      <c r="AA1831" s="2">
        <f>IF(AND(ISNUMBER(资金流水!$B$1831),ISNUMBER(资金流水!$S$1831),资金流水!$S$1831&gt;=_辅助!$J$4,资金流水!$S$1831&lt;=_辅助!$J$2,OR(资金流水!$C$1831=$C$18,AND(资金流水!$AD$1831=$C$18,资金流水!$X$1831="账户互转"),AND($E$18&lt;&gt;"",资金流水!$J$1831=$E$18,资金流水!$X$1831="应付职工薪酬"))),INT(资金流水!$B$1831)*10000+1826,"")</f>
      </c>
    </row>
    <row r="1832">
      <c r="AA1832" s="2">
        <f>IF(AND(ISNUMBER(资金流水!$B$1832),ISNUMBER(资金流水!$S$1832),资金流水!$S$1832&gt;=_辅助!$J$4,资金流水!$S$1832&lt;=_辅助!$J$2,OR(资金流水!$C$1832=$C$18,AND(资金流水!$AD$1832=$C$18,资金流水!$X$1832="账户互转"),AND($E$18&lt;&gt;"",资金流水!$J$1832=$E$18,资金流水!$X$1832="应付职工薪酬"))),INT(资金流水!$B$1832)*10000+1827,"")</f>
      </c>
    </row>
    <row r="1833">
      <c r="AA1833" s="2">
        <f>IF(AND(ISNUMBER(资金流水!$B$1833),ISNUMBER(资金流水!$S$1833),资金流水!$S$1833&gt;=_辅助!$J$4,资金流水!$S$1833&lt;=_辅助!$J$2,OR(资金流水!$C$1833=$C$18,AND(资金流水!$AD$1833=$C$18,资金流水!$X$1833="账户互转"),AND($E$18&lt;&gt;"",资金流水!$J$1833=$E$18,资金流水!$X$1833="应付职工薪酬"))),INT(资金流水!$B$1833)*10000+1828,"")</f>
      </c>
    </row>
    <row r="1834">
      <c r="AA1834" s="2">
        <f>IF(AND(ISNUMBER(资金流水!$B$1834),ISNUMBER(资金流水!$S$1834),资金流水!$S$1834&gt;=_辅助!$J$4,资金流水!$S$1834&lt;=_辅助!$J$2,OR(资金流水!$C$1834=$C$18,AND(资金流水!$AD$1834=$C$18,资金流水!$X$1834="账户互转"),AND($E$18&lt;&gt;"",资金流水!$J$1834=$E$18,资金流水!$X$1834="应付职工薪酬"))),INT(资金流水!$B$1834)*10000+1829,"")</f>
      </c>
    </row>
    <row r="1835">
      <c r="AA1835" s="2">
        <f>IF(AND(ISNUMBER(资金流水!$B$1835),ISNUMBER(资金流水!$S$1835),资金流水!$S$1835&gt;=_辅助!$J$4,资金流水!$S$1835&lt;=_辅助!$J$2,OR(资金流水!$C$1835=$C$18,AND(资金流水!$AD$1835=$C$18,资金流水!$X$1835="账户互转"),AND($E$18&lt;&gt;"",资金流水!$J$1835=$E$18,资金流水!$X$1835="应付职工薪酬"))),INT(资金流水!$B$1835)*10000+1830,"")</f>
      </c>
    </row>
    <row r="1836">
      <c r="AA1836" s="2">
        <f>IF(AND(ISNUMBER(资金流水!$B$1836),ISNUMBER(资金流水!$S$1836),资金流水!$S$1836&gt;=_辅助!$J$4,资金流水!$S$1836&lt;=_辅助!$J$2,OR(资金流水!$C$1836=$C$18,AND(资金流水!$AD$1836=$C$18,资金流水!$X$1836="账户互转"),AND($E$18&lt;&gt;"",资金流水!$J$1836=$E$18,资金流水!$X$1836="应付职工薪酬"))),INT(资金流水!$B$1836)*10000+1831,"")</f>
      </c>
    </row>
    <row r="1837">
      <c r="AA1837" s="2">
        <f>IF(AND(ISNUMBER(资金流水!$B$1837),ISNUMBER(资金流水!$S$1837),资金流水!$S$1837&gt;=_辅助!$J$4,资金流水!$S$1837&lt;=_辅助!$J$2,OR(资金流水!$C$1837=$C$18,AND(资金流水!$AD$1837=$C$18,资金流水!$X$1837="账户互转"),AND($E$18&lt;&gt;"",资金流水!$J$1837=$E$18,资金流水!$X$1837="应付职工薪酬"))),INT(资金流水!$B$1837)*10000+1832,"")</f>
      </c>
    </row>
    <row r="1838">
      <c r="AA1838" s="2">
        <f>IF(AND(ISNUMBER(资金流水!$B$1838),ISNUMBER(资金流水!$S$1838),资金流水!$S$1838&gt;=_辅助!$J$4,资金流水!$S$1838&lt;=_辅助!$J$2,OR(资金流水!$C$1838=$C$18,AND(资金流水!$AD$1838=$C$18,资金流水!$X$1838="账户互转"),AND($E$18&lt;&gt;"",资金流水!$J$1838=$E$18,资金流水!$X$1838="应付职工薪酬"))),INT(资金流水!$B$1838)*10000+1833,"")</f>
      </c>
    </row>
    <row r="1839">
      <c r="AA1839" s="2">
        <f>IF(AND(ISNUMBER(资金流水!$B$1839),ISNUMBER(资金流水!$S$1839),资金流水!$S$1839&gt;=_辅助!$J$4,资金流水!$S$1839&lt;=_辅助!$J$2,OR(资金流水!$C$1839=$C$18,AND(资金流水!$AD$1839=$C$18,资金流水!$X$1839="账户互转"),AND($E$18&lt;&gt;"",资金流水!$J$1839=$E$18,资金流水!$X$1839="应付职工薪酬"))),INT(资金流水!$B$1839)*10000+1834,"")</f>
      </c>
    </row>
    <row r="1840">
      <c r="AA1840" s="2">
        <f>IF(AND(ISNUMBER(资金流水!$B$1840),ISNUMBER(资金流水!$S$1840),资金流水!$S$1840&gt;=_辅助!$J$4,资金流水!$S$1840&lt;=_辅助!$J$2,OR(资金流水!$C$1840=$C$18,AND(资金流水!$AD$1840=$C$18,资金流水!$X$1840="账户互转"),AND($E$18&lt;&gt;"",资金流水!$J$1840=$E$18,资金流水!$X$1840="应付职工薪酬"))),INT(资金流水!$B$1840)*10000+1835,"")</f>
      </c>
    </row>
    <row r="1841">
      <c r="AA1841" s="2">
        <f>IF(AND(ISNUMBER(资金流水!$B$1841),ISNUMBER(资金流水!$S$1841),资金流水!$S$1841&gt;=_辅助!$J$4,资金流水!$S$1841&lt;=_辅助!$J$2,OR(资金流水!$C$1841=$C$18,AND(资金流水!$AD$1841=$C$18,资金流水!$X$1841="账户互转"),AND($E$18&lt;&gt;"",资金流水!$J$1841=$E$18,资金流水!$X$1841="应付职工薪酬"))),INT(资金流水!$B$1841)*10000+1836,"")</f>
      </c>
    </row>
    <row r="1842">
      <c r="AA1842" s="2">
        <f>IF(AND(ISNUMBER(资金流水!$B$1842),ISNUMBER(资金流水!$S$1842),资金流水!$S$1842&gt;=_辅助!$J$4,资金流水!$S$1842&lt;=_辅助!$J$2,OR(资金流水!$C$1842=$C$18,AND(资金流水!$AD$1842=$C$18,资金流水!$X$1842="账户互转"),AND($E$18&lt;&gt;"",资金流水!$J$1842=$E$18,资金流水!$X$1842="应付职工薪酬"))),INT(资金流水!$B$1842)*10000+1837,"")</f>
      </c>
    </row>
    <row r="1843">
      <c r="AA1843" s="2">
        <f>IF(AND(ISNUMBER(资金流水!$B$1843),ISNUMBER(资金流水!$S$1843),资金流水!$S$1843&gt;=_辅助!$J$4,资金流水!$S$1843&lt;=_辅助!$J$2,OR(资金流水!$C$1843=$C$18,AND(资金流水!$AD$1843=$C$18,资金流水!$X$1843="账户互转"),AND($E$18&lt;&gt;"",资金流水!$J$1843=$E$18,资金流水!$X$1843="应付职工薪酬"))),INT(资金流水!$B$1843)*10000+1838,"")</f>
      </c>
    </row>
    <row r="1844">
      <c r="AA1844" s="2">
        <f>IF(AND(ISNUMBER(资金流水!$B$1844),ISNUMBER(资金流水!$S$1844),资金流水!$S$1844&gt;=_辅助!$J$4,资金流水!$S$1844&lt;=_辅助!$J$2,OR(资金流水!$C$1844=$C$18,AND(资金流水!$AD$1844=$C$18,资金流水!$X$1844="账户互转"),AND($E$18&lt;&gt;"",资金流水!$J$1844=$E$18,资金流水!$X$1844="应付职工薪酬"))),INT(资金流水!$B$1844)*10000+1839,"")</f>
      </c>
    </row>
    <row r="1845">
      <c r="AA1845" s="2">
        <f>IF(AND(ISNUMBER(资金流水!$B$1845),ISNUMBER(资金流水!$S$1845),资金流水!$S$1845&gt;=_辅助!$J$4,资金流水!$S$1845&lt;=_辅助!$J$2,OR(资金流水!$C$1845=$C$18,AND(资金流水!$AD$1845=$C$18,资金流水!$X$1845="账户互转"),AND($E$18&lt;&gt;"",资金流水!$J$1845=$E$18,资金流水!$X$1845="应付职工薪酬"))),INT(资金流水!$B$1845)*10000+1840,"")</f>
      </c>
    </row>
    <row r="1846">
      <c r="AA1846" s="2">
        <f>IF(AND(ISNUMBER(资金流水!$B$1846),ISNUMBER(资金流水!$S$1846),资金流水!$S$1846&gt;=_辅助!$J$4,资金流水!$S$1846&lt;=_辅助!$J$2,OR(资金流水!$C$1846=$C$18,AND(资金流水!$AD$1846=$C$18,资金流水!$X$1846="账户互转"),AND($E$18&lt;&gt;"",资金流水!$J$1846=$E$18,资金流水!$X$1846="应付职工薪酬"))),INT(资金流水!$B$1846)*10000+1841,"")</f>
      </c>
    </row>
    <row r="1847">
      <c r="AA1847" s="2">
        <f>IF(AND(ISNUMBER(资金流水!$B$1847),ISNUMBER(资金流水!$S$1847),资金流水!$S$1847&gt;=_辅助!$J$4,资金流水!$S$1847&lt;=_辅助!$J$2,OR(资金流水!$C$1847=$C$18,AND(资金流水!$AD$1847=$C$18,资金流水!$X$1847="账户互转"),AND($E$18&lt;&gt;"",资金流水!$J$1847=$E$18,资金流水!$X$1847="应付职工薪酬"))),INT(资金流水!$B$1847)*10000+1842,"")</f>
      </c>
    </row>
    <row r="1848">
      <c r="AA1848" s="2">
        <f>IF(AND(ISNUMBER(资金流水!$B$1848),ISNUMBER(资金流水!$S$1848),资金流水!$S$1848&gt;=_辅助!$J$4,资金流水!$S$1848&lt;=_辅助!$J$2,OR(资金流水!$C$1848=$C$18,AND(资金流水!$AD$1848=$C$18,资金流水!$X$1848="账户互转"),AND($E$18&lt;&gt;"",资金流水!$J$1848=$E$18,资金流水!$X$1848="应付职工薪酬"))),INT(资金流水!$B$1848)*10000+1843,"")</f>
      </c>
    </row>
    <row r="1849">
      <c r="AA1849" s="2">
        <f>IF(AND(ISNUMBER(资金流水!$B$1849),ISNUMBER(资金流水!$S$1849),资金流水!$S$1849&gt;=_辅助!$J$4,资金流水!$S$1849&lt;=_辅助!$J$2,OR(资金流水!$C$1849=$C$18,AND(资金流水!$AD$1849=$C$18,资金流水!$X$1849="账户互转"),AND($E$18&lt;&gt;"",资金流水!$J$1849=$E$18,资金流水!$X$1849="应付职工薪酬"))),INT(资金流水!$B$1849)*10000+1844,"")</f>
      </c>
    </row>
    <row r="1850">
      <c r="AA1850" s="2">
        <f>IF(AND(ISNUMBER(资金流水!$B$1850),ISNUMBER(资金流水!$S$1850),资金流水!$S$1850&gt;=_辅助!$J$4,资金流水!$S$1850&lt;=_辅助!$J$2,OR(资金流水!$C$1850=$C$18,AND(资金流水!$AD$1850=$C$18,资金流水!$X$1850="账户互转"),AND($E$18&lt;&gt;"",资金流水!$J$1850=$E$18,资金流水!$X$1850="应付职工薪酬"))),INT(资金流水!$B$1850)*10000+1845,"")</f>
      </c>
    </row>
    <row r="1851">
      <c r="AA1851" s="2">
        <f>IF(AND(ISNUMBER(资金流水!$B$1851),ISNUMBER(资金流水!$S$1851),资金流水!$S$1851&gt;=_辅助!$J$4,资金流水!$S$1851&lt;=_辅助!$J$2,OR(资金流水!$C$1851=$C$18,AND(资金流水!$AD$1851=$C$18,资金流水!$X$1851="账户互转"),AND($E$18&lt;&gt;"",资金流水!$J$1851=$E$18,资金流水!$X$1851="应付职工薪酬"))),INT(资金流水!$B$1851)*10000+1846,"")</f>
      </c>
    </row>
    <row r="1852">
      <c r="AA1852" s="2">
        <f>IF(AND(ISNUMBER(资金流水!$B$1852),ISNUMBER(资金流水!$S$1852),资金流水!$S$1852&gt;=_辅助!$J$4,资金流水!$S$1852&lt;=_辅助!$J$2,OR(资金流水!$C$1852=$C$18,AND(资金流水!$AD$1852=$C$18,资金流水!$X$1852="账户互转"),AND($E$18&lt;&gt;"",资金流水!$J$1852=$E$18,资金流水!$X$1852="应付职工薪酬"))),INT(资金流水!$B$1852)*10000+1847,"")</f>
      </c>
    </row>
    <row r="1853">
      <c r="AA1853" s="2">
        <f>IF(AND(ISNUMBER(资金流水!$B$1853),ISNUMBER(资金流水!$S$1853),资金流水!$S$1853&gt;=_辅助!$J$4,资金流水!$S$1853&lt;=_辅助!$J$2,OR(资金流水!$C$1853=$C$18,AND(资金流水!$AD$1853=$C$18,资金流水!$X$1853="账户互转"),AND($E$18&lt;&gt;"",资金流水!$J$1853=$E$18,资金流水!$X$1853="应付职工薪酬"))),INT(资金流水!$B$1853)*10000+1848,"")</f>
      </c>
    </row>
    <row r="1854">
      <c r="AA1854" s="2">
        <f>IF(AND(ISNUMBER(资金流水!$B$1854),ISNUMBER(资金流水!$S$1854),资金流水!$S$1854&gt;=_辅助!$J$4,资金流水!$S$1854&lt;=_辅助!$J$2,OR(资金流水!$C$1854=$C$18,AND(资金流水!$AD$1854=$C$18,资金流水!$X$1854="账户互转"),AND($E$18&lt;&gt;"",资金流水!$J$1854=$E$18,资金流水!$X$1854="应付职工薪酬"))),INT(资金流水!$B$1854)*10000+1849,"")</f>
      </c>
    </row>
    <row r="1855">
      <c r="AA1855" s="2">
        <f>IF(AND(ISNUMBER(资金流水!$B$1855),ISNUMBER(资金流水!$S$1855),资金流水!$S$1855&gt;=_辅助!$J$4,资金流水!$S$1855&lt;=_辅助!$J$2,OR(资金流水!$C$1855=$C$18,AND(资金流水!$AD$1855=$C$18,资金流水!$X$1855="账户互转"),AND($E$18&lt;&gt;"",资金流水!$J$1855=$E$18,资金流水!$X$1855="应付职工薪酬"))),INT(资金流水!$B$1855)*10000+1850,"")</f>
      </c>
    </row>
    <row r="1856">
      <c r="AA1856" s="2">
        <f>IF(AND(ISNUMBER(资金流水!$B$1856),ISNUMBER(资金流水!$S$1856),资金流水!$S$1856&gt;=_辅助!$J$4,资金流水!$S$1856&lt;=_辅助!$J$2,OR(资金流水!$C$1856=$C$18,AND(资金流水!$AD$1856=$C$18,资金流水!$X$1856="账户互转"),AND($E$18&lt;&gt;"",资金流水!$J$1856=$E$18,资金流水!$X$1856="应付职工薪酬"))),INT(资金流水!$B$1856)*10000+1851,"")</f>
      </c>
    </row>
    <row r="1857">
      <c r="AA1857" s="2">
        <f>IF(AND(ISNUMBER(资金流水!$B$1857),ISNUMBER(资金流水!$S$1857),资金流水!$S$1857&gt;=_辅助!$J$4,资金流水!$S$1857&lt;=_辅助!$J$2,OR(资金流水!$C$1857=$C$18,AND(资金流水!$AD$1857=$C$18,资金流水!$X$1857="账户互转"),AND($E$18&lt;&gt;"",资金流水!$J$1857=$E$18,资金流水!$X$1857="应付职工薪酬"))),INT(资金流水!$B$1857)*10000+1852,"")</f>
      </c>
    </row>
    <row r="1858">
      <c r="AA1858" s="2">
        <f>IF(AND(ISNUMBER(资金流水!$B$1858),ISNUMBER(资金流水!$S$1858),资金流水!$S$1858&gt;=_辅助!$J$4,资金流水!$S$1858&lt;=_辅助!$J$2,OR(资金流水!$C$1858=$C$18,AND(资金流水!$AD$1858=$C$18,资金流水!$X$1858="账户互转"),AND($E$18&lt;&gt;"",资金流水!$J$1858=$E$18,资金流水!$X$1858="应付职工薪酬"))),INT(资金流水!$B$1858)*10000+1853,"")</f>
      </c>
    </row>
    <row r="1859">
      <c r="AA1859" s="2">
        <f>IF(AND(ISNUMBER(资金流水!$B$1859),ISNUMBER(资金流水!$S$1859),资金流水!$S$1859&gt;=_辅助!$J$4,资金流水!$S$1859&lt;=_辅助!$J$2,OR(资金流水!$C$1859=$C$18,AND(资金流水!$AD$1859=$C$18,资金流水!$X$1859="账户互转"),AND($E$18&lt;&gt;"",资金流水!$J$1859=$E$18,资金流水!$X$1859="应付职工薪酬"))),INT(资金流水!$B$1859)*10000+1854,"")</f>
      </c>
    </row>
    <row r="1860">
      <c r="AA1860" s="2">
        <f>IF(AND(ISNUMBER(资金流水!$B$1860),ISNUMBER(资金流水!$S$1860),资金流水!$S$1860&gt;=_辅助!$J$4,资金流水!$S$1860&lt;=_辅助!$J$2,OR(资金流水!$C$1860=$C$18,AND(资金流水!$AD$1860=$C$18,资金流水!$X$1860="账户互转"),AND($E$18&lt;&gt;"",资金流水!$J$1860=$E$18,资金流水!$X$1860="应付职工薪酬"))),INT(资金流水!$B$1860)*10000+1855,"")</f>
      </c>
    </row>
    <row r="1861">
      <c r="AA1861" s="2">
        <f>IF(AND(ISNUMBER(资金流水!$B$1861),ISNUMBER(资金流水!$S$1861),资金流水!$S$1861&gt;=_辅助!$J$4,资金流水!$S$1861&lt;=_辅助!$J$2,OR(资金流水!$C$1861=$C$18,AND(资金流水!$AD$1861=$C$18,资金流水!$X$1861="账户互转"),AND($E$18&lt;&gt;"",资金流水!$J$1861=$E$18,资金流水!$X$1861="应付职工薪酬"))),INT(资金流水!$B$1861)*10000+1856,"")</f>
      </c>
    </row>
    <row r="1862">
      <c r="AA1862" s="2">
        <f>IF(AND(ISNUMBER(资金流水!$B$1862),ISNUMBER(资金流水!$S$1862),资金流水!$S$1862&gt;=_辅助!$J$4,资金流水!$S$1862&lt;=_辅助!$J$2,OR(资金流水!$C$1862=$C$18,AND(资金流水!$AD$1862=$C$18,资金流水!$X$1862="账户互转"),AND($E$18&lt;&gt;"",资金流水!$J$1862=$E$18,资金流水!$X$1862="应付职工薪酬"))),INT(资金流水!$B$1862)*10000+1857,"")</f>
      </c>
    </row>
    <row r="1863">
      <c r="AA1863" s="2">
        <f>IF(AND(ISNUMBER(资金流水!$B$1863),ISNUMBER(资金流水!$S$1863),资金流水!$S$1863&gt;=_辅助!$J$4,资金流水!$S$1863&lt;=_辅助!$J$2,OR(资金流水!$C$1863=$C$18,AND(资金流水!$AD$1863=$C$18,资金流水!$X$1863="账户互转"),AND($E$18&lt;&gt;"",资金流水!$J$1863=$E$18,资金流水!$X$1863="应付职工薪酬"))),INT(资金流水!$B$1863)*10000+1858,"")</f>
      </c>
    </row>
    <row r="1864">
      <c r="AA1864" s="2">
        <f>IF(AND(ISNUMBER(资金流水!$B$1864),ISNUMBER(资金流水!$S$1864),资金流水!$S$1864&gt;=_辅助!$J$4,资金流水!$S$1864&lt;=_辅助!$J$2,OR(资金流水!$C$1864=$C$18,AND(资金流水!$AD$1864=$C$18,资金流水!$X$1864="账户互转"),AND($E$18&lt;&gt;"",资金流水!$J$1864=$E$18,资金流水!$X$1864="应付职工薪酬"))),INT(资金流水!$B$1864)*10000+1859,"")</f>
      </c>
    </row>
    <row r="1865">
      <c r="AA1865" s="2">
        <f>IF(AND(ISNUMBER(资金流水!$B$1865),ISNUMBER(资金流水!$S$1865),资金流水!$S$1865&gt;=_辅助!$J$4,资金流水!$S$1865&lt;=_辅助!$J$2,OR(资金流水!$C$1865=$C$18,AND(资金流水!$AD$1865=$C$18,资金流水!$X$1865="账户互转"),AND($E$18&lt;&gt;"",资金流水!$J$1865=$E$18,资金流水!$X$1865="应付职工薪酬"))),INT(资金流水!$B$1865)*10000+1860,"")</f>
      </c>
    </row>
    <row r="1866">
      <c r="AA1866" s="2">
        <f>IF(AND(ISNUMBER(资金流水!$B$1866),ISNUMBER(资金流水!$S$1866),资金流水!$S$1866&gt;=_辅助!$J$4,资金流水!$S$1866&lt;=_辅助!$J$2,OR(资金流水!$C$1866=$C$18,AND(资金流水!$AD$1866=$C$18,资金流水!$X$1866="账户互转"),AND($E$18&lt;&gt;"",资金流水!$J$1866=$E$18,资金流水!$X$1866="应付职工薪酬"))),INT(资金流水!$B$1866)*10000+1861,"")</f>
      </c>
    </row>
    <row r="1867">
      <c r="AA1867" s="2">
        <f>IF(AND(ISNUMBER(资金流水!$B$1867),ISNUMBER(资金流水!$S$1867),资金流水!$S$1867&gt;=_辅助!$J$4,资金流水!$S$1867&lt;=_辅助!$J$2,OR(资金流水!$C$1867=$C$18,AND(资金流水!$AD$1867=$C$18,资金流水!$X$1867="账户互转"),AND($E$18&lt;&gt;"",资金流水!$J$1867=$E$18,资金流水!$X$1867="应付职工薪酬"))),INT(资金流水!$B$1867)*10000+1862,"")</f>
      </c>
    </row>
    <row r="1868">
      <c r="AA1868" s="2">
        <f>IF(AND(ISNUMBER(资金流水!$B$1868),ISNUMBER(资金流水!$S$1868),资金流水!$S$1868&gt;=_辅助!$J$4,资金流水!$S$1868&lt;=_辅助!$J$2,OR(资金流水!$C$1868=$C$18,AND(资金流水!$AD$1868=$C$18,资金流水!$X$1868="账户互转"),AND($E$18&lt;&gt;"",资金流水!$J$1868=$E$18,资金流水!$X$1868="应付职工薪酬"))),INT(资金流水!$B$1868)*10000+1863,"")</f>
      </c>
    </row>
    <row r="1869">
      <c r="AA1869" s="2">
        <f>IF(AND(ISNUMBER(资金流水!$B$1869),ISNUMBER(资金流水!$S$1869),资金流水!$S$1869&gt;=_辅助!$J$4,资金流水!$S$1869&lt;=_辅助!$J$2,OR(资金流水!$C$1869=$C$18,AND(资金流水!$AD$1869=$C$18,资金流水!$X$1869="账户互转"),AND($E$18&lt;&gt;"",资金流水!$J$1869=$E$18,资金流水!$X$1869="应付职工薪酬"))),INT(资金流水!$B$1869)*10000+1864,"")</f>
      </c>
    </row>
    <row r="1870">
      <c r="AA1870" s="2">
        <f>IF(AND(ISNUMBER(资金流水!$B$1870),ISNUMBER(资金流水!$S$1870),资金流水!$S$1870&gt;=_辅助!$J$4,资金流水!$S$1870&lt;=_辅助!$J$2,OR(资金流水!$C$1870=$C$18,AND(资金流水!$AD$1870=$C$18,资金流水!$X$1870="账户互转"),AND($E$18&lt;&gt;"",资金流水!$J$1870=$E$18,资金流水!$X$1870="应付职工薪酬"))),INT(资金流水!$B$1870)*10000+1865,"")</f>
      </c>
    </row>
    <row r="1871">
      <c r="AA1871" s="2">
        <f>IF(AND(ISNUMBER(资金流水!$B$1871),ISNUMBER(资金流水!$S$1871),资金流水!$S$1871&gt;=_辅助!$J$4,资金流水!$S$1871&lt;=_辅助!$J$2,OR(资金流水!$C$1871=$C$18,AND(资金流水!$AD$1871=$C$18,资金流水!$X$1871="账户互转"),AND($E$18&lt;&gt;"",资金流水!$J$1871=$E$18,资金流水!$X$1871="应付职工薪酬"))),INT(资金流水!$B$1871)*10000+1866,"")</f>
      </c>
    </row>
    <row r="1872">
      <c r="AA1872" s="2">
        <f>IF(AND(ISNUMBER(资金流水!$B$1872),ISNUMBER(资金流水!$S$1872),资金流水!$S$1872&gt;=_辅助!$J$4,资金流水!$S$1872&lt;=_辅助!$J$2,OR(资金流水!$C$1872=$C$18,AND(资金流水!$AD$1872=$C$18,资金流水!$X$1872="账户互转"),AND($E$18&lt;&gt;"",资金流水!$J$1872=$E$18,资金流水!$X$1872="应付职工薪酬"))),INT(资金流水!$B$1872)*10000+1867,"")</f>
      </c>
    </row>
    <row r="1873">
      <c r="AA1873" s="2">
        <f>IF(AND(ISNUMBER(资金流水!$B$1873),ISNUMBER(资金流水!$S$1873),资金流水!$S$1873&gt;=_辅助!$J$4,资金流水!$S$1873&lt;=_辅助!$J$2,OR(资金流水!$C$1873=$C$18,AND(资金流水!$AD$1873=$C$18,资金流水!$X$1873="账户互转"),AND($E$18&lt;&gt;"",资金流水!$J$1873=$E$18,资金流水!$X$1873="应付职工薪酬"))),INT(资金流水!$B$1873)*10000+1868,"")</f>
      </c>
    </row>
    <row r="1874">
      <c r="AA1874" s="2">
        <f>IF(AND(ISNUMBER(资金流水!$B$1874),ISNUMBER(资金流水!$S$1874),资金流水!$S$1874&gt;=_辅助!$J$4,资金流水!$S$1874&lt;=_辅助!$J$2,OR(资金流水!$C$1874=$C$18,AND(资金流水!$AD$1874=$C$18,资金流水!$X$1874="账户互转"),AND($E$18&lt;&gt;"",资金流水!$J$1874=$E$18,资金流水!$X$1874="应付职工薪酬"))),INT(资金流水!$B$1874)*10000+1869,"")</f>
      </c>
    </row>
    <row r="1875">
      <c r="AA1875" s="2">
        <f>IF(AND(ISNUMBER(资金流水!$B$1875),ISNUMBER(资金流水!$S$1875),资金流水!$S$1875&gt;=_辅助!$J$4,资金流水!$S$1875&lt;=_辅助!$J$2,OR(资金流水!$C$1875=$C$18,AND(资金流水!$AD$1875=$C$18,资金流水!$X$1875="账户互转"),AND($E$18&lt;&gt;"",资金流水!$J$1875=$E$18,资金流水!$X$1875="应付职工薪酬"))),INT(资金流水!$B$1875)*10000+1870,"")</f>
      </c>
    </row>
    <row r="1876">
      <c r="AA1876" s="2">
        <f>IF(AND(ISNUMBER(资金流水!$B$1876),ISNUMBER(资金流水!$S$1876),资金流水!$S$1876&gt;=_辅助!$J$4,资金流水!$S$1876&lt;=_辅助!$J$2,OR(资金流水!$C$1876=$C$18,AND(资金流水!$AD$1876=$C$18,资金流水!$X$1876="账户互转"),AND($E$18&lt;&gt;"",资金流水!$J$1876=$E$18,资金流水!$X$1876="应付职工薪酬"))),INT(资金流水!$B$1876)*10000+1871,"")</f>
      </c>
    </row>
    <row r="1877">
      <c r="AA1877" s="2">
        <f>IF(AND(ISNUMBER(资金流水!$B$1877),ISNUMBER(资金流水!$S$1877),资金流水!$S$1877&gt;=_辅助!$J$4,资金流水!$S$1877&lt;=_辅助!$J$2,OR(资金流水!$C$1877=$C$18,AND(资金流水!$AD$1877=$C$18,资金流水!$X$1877="账户互转"),AND($E$18&lt;&gt;"",资金流水!$J$1877=$E$18,资金流水!$X$1877="应付职工薪酬"))),INT(资金流水!$B$1877)*10000+1872,"")</f>
      </c>
    </row>
    <row r="1878">
      <c r="AA1878" s="2">
        <f>IF(AND(ISNUMBER(资金流水!$B$1878),ISNUMBER(资金流水!$S$1878),资金流水!$S$1878&gt;=_辅助!$J$4,资金流水!$S$1878&lt;=_辅助!$J$2,OR(资金流水!$C$1878=$C$18,AND(资金流水!$AD$1878=$C$18,资金流水!$X$1878="账户互转"),AND($E$18&lt;&gt;"",资金流水!$J$1878=$E$18,资金流水!$X$1878="应付职工薪酬"))),INT(资金流水!$B$1878)*10000+1873,"")</f>
      </c>
    </row>
    <row r="1879">
      <c r="AA1879" s="2">
        <f>IF(AND(ISNUMBER(资金流水!$B$1879),ISNUMBER(资金流水!$S$1879),资金流水!$S$1879&gt;=_辅助!$J$4,资金流水!$S$1879&lt;=_辅助!$J$2,OR(资金流水!$C$1879=$C$18,AND(资金流水!$AD$1879=$C$18,资金流水!$X$1879="账户互转"),AND($E$18&lt;&gt;"",资金流水!$J$1879=$E$18,资金流水!$X$1879="应付职工薪酬"))),INT(资金流水!$B$1879)*10000+1874,"")</f>
      </c>
    </row>
    <row r="1880">
      <c r="AA1880" s="2">
        <f>IF(AND(ISNUMBER(资金流水!$B$1880),ISNUMBER(资金流水!$S$1880),资金流水!$S$1880&gt;=_辅助!$J$4,资金流水!$S$1880&lt;=_辅助!$J$2,OR(资金流水!$C$1880=$C$18,AND(资金流水!$AD$1880=$C$18,资金流水!$X$1880="账户互转"),AND($E$18&lt;&gt;"",资金流水!$J$1880=$E$18,资金流水!$X$1880="应付职工薪酬"))),INT(资金流水!$B$1880)*10000+1875,"")</f>
      </c>
    </row>
    <row r="1881">
      <c r="AA1881" s="2">
        <f>IF(AND(ISNUMBER(资金流水!$B$1881),ISNUMBER(资金流水!$S$1881),资金流水!$S$1881&gt;=_辅助!$J$4,资金流水!$S$1881&lt;=_辅助!$J$2,OR(资金流水!$C$1881=$C$18,AND(资金流水!$AD$1881=$C$18,资金流水!$X$1881="账户互转"),AND($E$18&lt;&gt;"",资金流水!$J$1881=$E$18,资金流水!$X$1881="应付职工薪酬"))),INT(资金流水!$B$1881)*10000+1876,"")</f>
      </c>
    </row>
    <row r="1882">
      <c r="AA1882" s="2">
        <f>IF(AND(ISNUMBER(资金流水!$B$1882),ISNUMBER(资金流水!$S$1882),资金流水!$S$1882&gt;=_辅助!$J$4,资金流水!$S$1882&lt;=_辅助!$J$2,OR(资金流水!$C$1882=$C$18,AND(资金流水!$AD$1882=$C$18,资金流水!$X$1882="账户互转"),AND($E$18&lt;&gt;"",资金流水!$J$1882=$E$18,资金流水!$X$1882="应付职工薪酬"))),INT(资金流水!$B$1882)*10000+1877,"")</f>
      </c>
    </row>
    <row r="1883">
      <c r="AA1883" s="2">
        <f>IF(AND(ISNUMBER(资金流水!$B$1883),ISNUMBER(资金流水!$S$1883),资金流水!$S$1883&gt;=_辅助!$J$4,资金流水!$S$1883&lt;=_辅助!$J$2,OR(资金流水!$C$1883=$C$18,AND(资金流水!$AD$1883=$C$18,资金流水!$X$1883="账户互转"),AND($E$18&lt;&gt;"",资金流水!$J$1883=$E$18,资金流水!$X$1883="应付职工薪酬"))),INT(资金流水!$B$1883)*10000+1878,"")</f>
      </c>
    </row>
    <row r="1884">
      <c r="AA1884" s="2">
        <f>IF(AND(ISNUMBER(资金流水!$B$1884),ISNUMBER(资金流水!$S$1884),资金流水!$S$1884&gt;=_辅助!$J$4,资金流水!$S$1884&lt;=_辅助!$J$2,OR(资金流水!$C$1884=$C$18,AND(资金流水!$AD$1884=$C$18,资金流水!$X$1884="账户互转"),AND($E$18&lt;&gt;"",资金流水!$J$1884=$E$18,资金流水!$X$1884="应付职工薪酬"))),INT(资金流水!$B$1884)*10000+1879,"")</f>
      </c>
    </row>
    <row r="1885">
      <c r="AA1885" s="2">
        <f>IF(AND(ISNUMBER(资金流水!$B$1885),ISNUMBER(资金流水!$S$1885),资金流水!$S$1885&gt;=_辅助!$J$4,资金流水!$S$1885&lt;=_辅助!$J$2,OR(资金流水!$C$1885=$C$18,AND(资金流水!$AD$1885=$C$18,资金流水!$X$1885="账户互转"),AND($E$18&lt;&gt;"",资金流水!$J$1885=$E$18,资金流水!$X$1885="应付职工薪酬"))),INT(资金流水!$B$1885)*10000+1880,"")</f>
      </c>
    </row>
    <row r="1886">
      <c r="AA1886" s="2">
        <f>IF(AND(ISNUMBER(资金流水!$B$1886),ISNUMBER(资金流水!$S$1886),资金流水!$S$1886&gt;=_辅助!$J$4,资金流水!$S$1886&lt;=_辅助!$J$2,OR(资金流水!$C$1886=$C$18,AND(资金流水!$AD$1886=$C$18,资金流水!$X$1886="账户互转"),AND($E$18&lt;&gt;"",资金流水!$J$1886=$E$18,资金流水!$X$1886="应付职工薪酬"))),INT(资金流水!$B$1886)*10000+1881,"")</f>
      </c>
    </row>
    <row r="1887">
      <c r="AA1887" s="2">
        <f>IF(AND(ISNUMBER(资金流水!$B$1887),ISNUMBER(资金流水!$S$1887),资金流水!$S$1887&gt;=_辅助!$J$4,资金流水!$S$1887&lt;=_辅助!$J$2,OR(资金流水!$C$1887=$C$18,AND(资金流水!$AD$1887=$C$18,资金流水!$X$1887="账户互转"),AND($E$18&lt;&gt;"",资金流水!$J$1887=$E$18,资金流水!$X$1887="应付职工薪酬"))),INT(资金流水!$B$1887)*10000+1882,"")</f>
      </c>
    </row>
    <row r="1888">
      <c r="AA1888" s="2">
        <f>IF(AND(ISNUMBER(资金流水!$B$1888),ISNUMBER(资金流水!$S$1888),资金流水!$S$1888&gt;=_辅助!$J$4,资金流水!$S$1888&lt;=_辅助!$J$2,OR(资金流水!$C$1888=$C$18,AND(资金流水!$AD$1888=$C$18,资金流水!$X$1888="账户互转"),AND($E$18&lt;&gt;"",资金流水!$J$1888=$E$18,资金流水!$X$1888="应付职工薪酬"))),INT(资金流水!$B$1888)*10000+1883,"")</f>
      </c>
    </row>
    <row r="1889">
      <c r="AA1889" s="2">
        <f>IF(AND(ISNUMBER(资金流水!$B$1889),ISNUMBER(资金流水!$S$1889),资金流水!$S$1889&gt;=_辅助!$J$4,资金流水!$S$1889&lt;=_辅助!$J$2,OR(资金流水!$C$1889=$C$18,AND(资金流水!$AD$1889=$C$18,资金流水!$X$1889="账户互转"),AND($E$18&lt;&gt;"",资金流水!$J$1889=$E$18,资金流水!$X$1889="应付职工薪酬"))),INT(资金流水!$B$1889)*10000+1884,"")</f>
      </c>
    </row>
    <row r="1890">
      <c r="AA1890" s="2">
        <f>IF(AND(ISNUMBER(资金流水!$B$1890),ISNUMBER(资金流水!$S$1890),资金流水!$S$1890&gt;=_辅助!$J$4,资金流水!$S$1890&lt;=_辅助!$J$2,OR(资金流水!$C$1890=$C$18,AND(资金流水!$AD$1890=$C$18,资金流水!$X$1890="账户互转"),AND($E$18&lt;&gt;"",资金流水!$J$1890=$E$18,资金流水!$X$1890="应付职工薪酬"))),INT(资金流水!$B$1890)*10000+1885,"")</f>
      </c>
    </row>
    <row r="1891">
      <c r="AA1891" s="2">
        <f>IF(AND(ISNUMBER(资金流水!$B$1891),ISNUMBER(资金流水!$S$1891),资金流水!$S$1891&gt;=_辅助!$J$4,资金流水!$S$1891&lt;=_辅助!$J$2,OR(资金流水!$C$1891=$C$18,AND(资金流水!$AD$1891=$C$18,资金流水!$X$1891="账户互转"),AND($E$18&lt;&gt;"",资金流水!$J$1891=$E$18,资金流水!$X$1891="应付职工薪酬"))),INT(资金流水!$B$1891)*10000+1886,"")</f>
      </c>
    </row>
    <row r="1892">
      <c r="AA1892" s="2">
        <f>IF(AND(ISNUMBER(资金流水!$B$1892),ISNUMBER(资金流水!$S$1892),资金流水!$S$1892&gt;=_辅助!$J$4,资金流水!$S$1892&lt;=_辅助!$J$2,OR(资金流水!$C$1892=$C$18,AND(资金流水!$AD$1892=$C$18,资金流水!$X$1892="账户互转"),AND($E$18&lt;&gt;"",资金流水!$J$1892=$E$18,资金流水!$X$1892="应付职工薪酬"))),INT(资金流水!$B$1892)*10000+1887,"")</f>
      </c>
    </row>
    <row r="1893">
      <c r="AA1893" s="2">
        <f>IF(AND(ISNUMBER(资金流水!$B$1893),ISNUMBER(资金流水!$S$1893),资金流水!$S$1893&gt;=_辅助!$J$4,资金流水!$S$1893&lt;=_辅助!$J$2,OR(资金流水!$C$1893=$C$18,AND(资金流水!$AD$1893=$C$18,资金流水!$X$1893="账户互转"),AND($E$18&lt;&gt;"",资金流水!$J$1893=$E$18,资金流水!$X$1893="应付职工薪酬"))),INT(资金流水!$B$1893)*10000+1888,"")</f>
      </c>
    </row>
    <row r="1894">
      <c r="AA1894" s="2">
        <f>IF(AND(ISNUMBER(资金流水!$B$1894),ISNUMBER(资金流水!$S$1894),资金流水!$S$1894&gt;=_辅助!$J$4,资金流水!$S$1894&lt;=_辅助!$J$2,OR(资金流水!$C$1894=$C$18,AND(资金流水!$AD$1894=$C$18,资金流水!$X$1894="账户互转"),AND($E$18&lt;&gt;"",资金流水!$J$1894=$E$18,资金流水!$X$1894="应付职工薪酬"))),INT(资金流水!$B$1894)*10000+1889,"")</f>
      </c>
    </row>
    <row r="1895">
      <c r="AA1895" s="2">
        <f>IF(AND(ISNUMBER(资金流水!$B$1895),ISNUMBER(资金流水!$S$1895),资金流水!$S$1895&gt;=_辅助!$J$4,资金流水!$S$1895&lt;=_辅助!$J$2,OR(资金流水!$C$1895=$C$18,AND(资金流水!$AD$1895=$C$18,资金流水!$X$1895="账户互转"),AND($E$18&lt;&gt;"",资金流水!$J$1895=$E$18,资金流水!$X$1895="应付职工薪酬"))),INT(资金流水!$B$1895)*10000+1890,"")</f>
      </c>
    </row>
    <row r="1896">
      <c r="AA1896" s="2">
        <f>IF(AND(ISNUMBER(资金流水!$B$1896),ISNUMBER(资金流水!$S$1896),资金流水!$S$1896&gt;=_辅助!$J$4,资金流水!$S$1896&lt;=_辅助!$J$2,OR(资金流水!$C$1896=$C$18,AND(资金流水!$AD$1896=$C$18,资金流水!$X$1896="账户互转"),AND($E$18&lt;&gt;"",资金流水!$J$1896=$E$18,资金流水!$X$1896="应付职工薪酬"))),INT(资金流水!$B$1896)*10000+1891,"")</f>
      </c>
    </row>
    <row r="1897">
      <c r="AA1897" s="2">
        <f>IF(AND(ISNUMBER(资金流水!$B$1897),ISNUMBER(资金流水!$S$1897),资金流水!$S$1897&gt;=_辅助!$J$4,资金流水!$S$1897&lt;=_辅助!$J$2,OR(资金流水!$C$1897=$C$18,AND(资金流水!$AD$1897=$C$18,资金流水!$X$1897="账户互转"),AND($E$18&lt;&gt;"",资金流水!$J$1897=$E$18,资金流水!$X$1897="应付职工薪酬"))),INT(资金流水!$B$1897)*10000+1892,"")</f>
      </c>
    </row>
    <row r="1898">
      <c r="AA1898" s="2">
        <f>IF(AND(ISNUMBER(资金流水!$B$1898),ISNUMBER(资金流水!$S$1898),资金流水!$S$1898&gt;=_辅助!$J$4,资金流水!$S$1898&lt;=_辅助!$J$2,OR(资金流水!$C$1898=$C$18,AND(资金流水!$AD$1898=$C$18,资金流水!$X$1898="账户互转"),AND($E$18&lt;&gt;"",资金流水!$J$1898=$E$18,资金流水!$X$1898="应付职工薪酬"))),INT(资金流水!$B$1898)*10000+1893,"")</f>
      </c>
    </row>
    <row r="1899">
      <c r="AA1899" s="2">
        <f>IF(AND(ISNUMBER(资金流水!$B$1899),ISNUMBER(资金流水!$S$1899),资金流水!$S$1899&gt;=_辅助!$J$4,资金流水!$S$1899&lt;=_辅助!$J$2,OR(资金流水!$C$1899=$C$18,AND(资金流水!$AD$1899=$C$18,资金流水!$X$1899="账户互转"),AND($E$18&lt;&gt;"",资金流水!$J$1899=$E$18,资金流水!$X$1899="应付职工薪酬"))),INT(资金流水!$B$1899)*10000+1894,"")</f>
      </c>
    </row>
    <row r="1900">
      <c r="AA1900" s="2">
        <f>IF(AND(ISNUMBER(资金流水!$B$1900),ISNUMBER(资金流水!$S$1900),资金流水!$S$1900&gt;=_辅助!$J$4,资金流水!$S$1900&lt;=_辅助!$J$2,OR(资金流水!$C$1900=$C$18,AND(资金流水!$AD$1900=$C$18,资金流水!$X$1900="账户互转"),AND($E$18&lt;&gt;"",资金流水!$J$1900=$E$18,资金流水!$X$1900="应付职工薪酬"))),INT(资金流水!$B$1900)*10000+1895,"")</f>
      </c>
    </row>
    <row r="1901">
      <c r="AA1901" s="2">
        <f>IF(AND(ISNUMBER(资金流水!$B$1901),ISNUMBER(资金流水!$S$1901),资金流水!$S$1901&gt;=_辅助!$J$4,资金流水!$S$1901&lt;=_辅助!$J$2,OR(资金流水!$C$1901=$C$18,AND(资金流水!$AD$1901=$C$18,资金流水!$X$1901="账户互转"),AND($E$18&lt;&gt;"",资金流水!$J$1901=$E$18,资金流水!$X$1901="应付职工薪酬"))),INT(资金流水!$B$1901)*10000+1896,"")</f>
      </c>
    </row>
    <row r="1902">
      <c r="AA1902" s="2">
        <f>IF(AND(ISNUMBER(资金流水!$B$1902),ISNUMBER(资金流水!$S$1902),资金流水!$S$1902&gt;=_辅助!$J$4,资金流水!$S$1902&lt;=_辅助!$J$2,OR(资金流水!$C$1902=$C$18,AND(资金流水!$AD$1902=$C$18,资金流水!$X$1902="账户互转"),AND($E$18&lt;&gt;"",资金流水!$J$1902=$E$18,资金流水!$X$1902="应付职工薪酬"))),INT(资金流水!$B$1902)*10000+1897,"")</f>
      </c>
    </row>
    <row r="1903">
      <c r="AA1903" s="2">
        <f>IF(AND(ISNUMBER(资金流水!$B$1903),ISNUMBER(资金流水!$S$1903),资金流水!$S$1903&gt;=_辅助!$J$4,资金流水!$S$1903&lt;=_辅助!$J$2,OR(资金流水!$C$1903=$C$18,AND(资金流水!$AD$1903=$C$18,资金流水!$X$1903="账户互转"),AND($E$18&lt;&gt;"",资金流水!$J$1903=$E$18,资金流水!$X$1903="应付职工薪酬"))),INT(资金流水!$B$1903)*10000+1898,"")</f>
      </c>
    </row>
    <row r="1904">
      <c r="AA1904" s="2">
        <f>IF(AND(ISNUMBER(资金流水!$B$1904),ISNUMBER(资金流水!$S$1904),资金流水!$S$1904&gt;=_辅助!$J$4,资金流水!$S$1904&lt;=_辅助!$J$2,OR(资金流水!$C$1904=$C$18,AND(资金流水!$AD$1904=$C$18,资金流水!$X$1904="账户互转"),AND($E$18&lt;&gt;"",资金流水!$J$1904=$E$18,资金流水!$X$1904="应付职工薪酬"))),INT(资金流水!$B$1904)*10000+1899,"")</f>
      </c>
    </row>
    <row r="1905">
      <c r="AA1905" s="2">
        <f>IF(AND(ISNUMBER(资金流水!$B$1905),ISNUMBER(资金流水!$S$1905),资金流水!$S$1905&gt;=_辅助!$J$4,资金流水!$S$1905&lt;=_辅助!$J$2,OR(资金流水!$C$1905=$C$18,AND(资金流水!$AD$1905=$C$18,资金流水!$X$1905="账户互转"),AND($E$18&lt;&gt;"",资金流水!$J$1905=$E$18,资金流水!$X$1905="应付职工薪酬"))),INT(资金流水!$B$1905)*10000+1900,"")</f>
      </c>
    </row>
    <row r="1906">
      <c r="AA1906" s="2">
        <f>IF(AND(ISNUMBER(资金流水!$B$1906),ISNUMBER(资金流水!$S$1906),资金流水!$S$1906&gt;=_辅助!$J$4,资金流水!$S$1906&lt;=_辅助!$J$2,OR(资金流水!$C$1906=$C$18,AND(资金流水!$AD$1906=$C$18,资金流水!$X$1906="账户互转"),AND($E$18&lt;&gt;"",资金流水!$J$1906=$E$18,资金流水!$X$1906="应付职工薪酬"))),INT(资金流水!$B$1906)*10000+1901,"")</f>
      </c>
    </row>
    <row r="1907">
      <c r="AA1907" s="2">
        <f>IF(AND(ISNUMBER(资金流水!$B$1907),ISNUMBER(资金流水!$S$1907),资金流水!$S$1907&gt;=_辅助!$J$4,资金流水!$S$1907&lt;=_辅助!$J$2,OR(资金流水!$C$1907=$C$18,AND(资金流水!$AD$1907=$C$18,资金流水!$X$1907="账户互转"),AND($E$18&lt;&gt;"",资金流水!$J$1907=$E$18,资金流水!$X$1907="应付职工薪酬"))),INT(资金流水!$B$1907)*10000+1902,"")</f>
      </c>
    </row>
    <row r="1908">
      <c r="AA1908" s="2">
        <f>IF(AND(ISNUMBER(资金流水!$B$1908),ISNUMBER(资金流水!$S$1908),资金流水!$S$1908&gt;=_辅助!$J$4,资金流水!$S$1908&lt;=_辅助!$J$2,OR(资金流水!$C$1908=$C$18,AND(资金流水!$AD$1908=$C$18,资金流水!$X$1908="账户互转"),AND($E$18&lt;&gt;"",资金流水!$J$1908=$E$18,资金流水!$X$1908="应付职工薪酬"))),INT(资金流水!$B$1908)*10000+1903,"")</f>
      </c>
    </row>
    <row r="1909">
      <c r="AA1909" s="2">
        <f>IF(AND(ISNUMBER(资金流水!$B$1909),ISNUMBER(资金流水!$S$1909),资金流水!$S$1909&gt;=_辅助!$J$4,资金流水!$S$1909&lt;=_辅助!$J$2,OR(资金流水!$C$1909=$C$18,AND(资金流水!$AD$1909=$C$18,资金流水!$X$1909="账户互转"),AND($E$18&lt;&gt;"",资金流水!$J$1909=$E$18,资金流水!$X$1909="应付职工薪酬"))),INT(资金流水!$B$1909)*10000+1904,"")</f>
      </c>
    </row>
    <row r="1910">
      <c r="AA1910" s="2">
        <f>IF(AND(ISNUMBER(资金流水!$B$1910),ISNUMBER(资金流水!$S$1910),资金流水!$S$1910&gt;=_辅助!$J$4,资金流水!$S$1910&lt;=_辅助!$J$2,OR(资金流水!$C$1910=$C$18,AND(资金流水!$AD$1910=$C$18,资金流水!$X$1910="账户互转"),AND($E$18&lt;&gt;"",资金流水!$J$1910=$E$18,资金流水!$X$1910="应付职工薪酬"))),INT(资金流水!$B$1910)*10000+1905,"")</f>
      </c>
    </row>
    <row r="1911">
      <c r="AA1911" s="2">
        <f>IF(AND(ISNUMBER(资金流水!$B$1911),ISNUMBER(资金流水!$S$1911),资金流水!$S$1911&gt;=_辅助!$J$4,资金流水!$S$1911&lt;=_辅助!$J$2,OR(资金流水!$C$1911=$C$18,AND(资金流水!$AD$1911=$C$18,资金流水!$X$1911="账户互转"),AND($E$18&lt;&gt;"",资金流水!$J$1911=$E$18,资金流水!$X$1911="应付职工薪酬"))),INT(资金流水!$B$1911)*10000+1906,"")</f>
      </c>
    </row>
    <row r="1912">
      <c r="AA1912" s="2">
        <f>IF(AND(ISNUMBER(资金流水!$B$1912),ISNUMBER(资金流水!$S$1912),资金流水!$S$1912&gt;=_辅助!$J$4,资金流水!$S$1912&lt;=_辅助!$J$2,OR(资金流水!$C$1912=$C$18,AND(资金流水!$AD$1912=$C$18,资金流水!$X$1912="账户互转"),AND($E$18&lt;&gt;"",资金流水!$J$1912=$E$18,资金流水!$X$1912="应付职工薪酬"))),INT(资金流水!$B$1912)*10000+1907,"")</f>
      </c>
    </row>
    <row r="1913">
      <c r="AA1913" s="2">
        <f>IF(AND(ISNUMBER(资金流水!$B$1913),ISNUMBER(资金流水!$S$1913),资金流水!$S$1913&gt;=_辅助!$J$4,资金流水!$S$1913&lt;=_辅助!$J$2,OR(资金流水!$C$1913=$C$18,AND(资金流水!$AD$1913=$C$18,资金流水!$X$1913="账户互转"),AND($E$18&lt;&gt;"",资金流水!$J$1913=$E$18,资金流水!$X$1913="应付职工薪酬"))),INT(资金流水!$B$1913)*10000+1908,"")</f>
      </c>
    </row>
    <row r="1914">
      <c r="AA1914" s="2">
        <f>IF(AND(ISNUMBER(资金流水!$B$1914),ISNUMBER(资金流水!$S$1914),资金流水!$S$1914&gt;=_辅助!$J$4,资金流水!$S$1914&lt;=_辅助!$J$2,OR(资金流水!$C$1914=$C$18,AND(资金流水!$AD$1914=$C$18,资金流水!$X$1914="账户互转"),AND($E$18&lt;&gt;"",资金流水!$J$1914=$E$18,资金流水!$X$1914="应付职工薪酬"))),INT(资金流水!$B$1914)*10000+1909,"")</f>
      </c>
    </row>
    <row r="1915">
      <c r="AA1915" s="2">
        <f>IF(AND(ISNUMBER(资金流水!$B$1915),ISNUMBER(资金流水!$S$1915),资金流水!$S$1915&gt;=_辅助!$J$4,资金流水!$S$1915&lt;=_辅助!$J$2,OR(资金流水!$C$1915=$C$18,AND(资金流水!$AD$1915=$C$18,资金流水!$X$1915="账户互转"),AND($E$18&lt;&gt;"",资金流水!$J$1915=$E$18,资金流水!$X$1915="应付职工薪酬"))),INT(资金流水!$B$1915)*10000+1910,"")</f>
      </c>
    </row>
    <row r="1916">
      <c r="AA1916" s="2">
        <f>IF(AND(ISNUMBER(资金流水!$B$1916),ISNUMBER(资金流水!$S$1916),资金流水!$S$1916&gt;=_辅助!$J$4,资金流水!$S$1916&lt;=_辅助!$J$2,OR(资金流水!$C$1916=$C$18,AND(资金流水!$AD$1916=$C$18,资金流水!$X$1916="账户互转"),AND($E$18&lt;&gt;"",资金流水!$J$1916=$E$18,资金流水!$X$1916="应付职工薪酬"))),INT(资金流水!$B$1916)*10000+1911,"")</f>
      </c>
    </row>
    <row r="1917">
      <c r="AA1917" s="2">
        <f>IF(AND(ISNUMBER(资金流水!$B$1917),ISNUMBER(资金流水!$S$1917),资金流水!$S$1917&gt;=_辅助!$J$4,资金流水!$S$1917&lt;=_辅助!$J$2,OR(资金流水!$C$1917=$C$18,AND(资金流水!$AD$1917=$C$18,资金流水!$X$1917="账户互转"),AND($E$18&lt;&gt;"",资金流水!$J$1917=$E$18,资金流水!$X$1917="应付职工薪酬"))),INT(资金流水!$B$1917)*10000+1912,"")</f>
      </c>
    </row>
    <row r="1918">
      <c r="AA1918" s="2">
        <f>IF(AND(ISNUMBER(资金流水!$B$1918),ISNUMBER(资金流水!$S$1918),资金流水!$S$1918&gt;=_辅助!$J$4,资金流水!$S$1918&lt;=_辅助!$J$2,OR(资金流水!$C$1918=$C$18,AND(资金流水!$AD$1918=$C$18,资金流水!$X$1918="账户互转"),AND($E$18&lt;&gt;"",资金流水!$J$1918=$E$18,资金流水!$X$1918="应付职工薪酬"))),INT(资金流水!$B$1918)*10000+1913,"")</f>
      </c>
    </row>
    <row r="1919">
      <c r="AA1919" s="2">
        <f>IF(AND(ISNUMBER(资金流水!$B$1919),ISNUMBER(资金流水!$S$1919),资金流水!$S$1919&gt;=_辅助!$J$4,资金流水!$S$1919&lt;=_辅助!$J$2,OR(资金流水!$C$1919=$C$18,AND(资金流水!$AD$1919=$C$18,资金流水!$X$1919="账户互转"),AND($E$18&lt;&gt;"",资金流水!$J$1919=$E$18,资金流水!$X$1919="应付职工薪酬"))),INT(资金流水!$B$1919)*10000+1914,"")</f>
      </c>
    </row>
    <row r="1920">
      <c r="AA1920" s="2">
        <f>IF(AND(ISNUMBER(资金流水!$B$1920),ISNUMBER(资金流水!$S$1920),资金流水!$S$1920&gt;=_辅助!$J$4,资金流水!$S$1920&lt;=_辅助!$J$2,OR(资金流水!$C$1920=$C$18,AND(资金流水!$AD$1920=$C$18,资金流水!$X$1920="账户互转"),AND($E$18&lt;&gt;"",资金流水!$J$1920=$E$18,资金流水!$X$1920="应付职工薪酬"))),INT(资金流水!$B$1920)*10000+1915,"")</f>
      </c>
    </row>
    <row r="1921">
      <c r="AA1921" s="2">
        <f>IF(AND(ISNUMBER(资金流水!$B$1921),ISNUMBER(资金流水!$S$1921),资金流水!$S$1921&gt;=_辅助!$J$4,资金流水!$S$1921&lt;=_辅助!$J$2,OR(资金流水!$C$1921=$C$18,AND(资金流水!$AD$1921=$C$18,资金流水!$X$1921="账户互转"),AND($E$18&lt;&gt;"",资金流水!$J$1921=$E$18,资金流水!$X$1921="应付职工薪酬"))),INT(资金流水!$B$1921)*10000+1916,"")</f>
      </c>
    </row>
    <row r="1922">
      <c r="AA1922" s="2">
        <f>IF(AND(ISNUMBER(资金流水!$B$1922),ISNUMBER(资金流水!$S$1922),资金流水!$S$1922&gt;=_辅助!$J$4,资金流水!$S$1922&lt;=_辅助!$J$2,OR(资金流水!$C$1922=$C$18,AND(资金流水!$AD$1922=$C$18,资金流水!$X$1922="账户互转"),AND($E$18&lt;&gt;"",资金流水!$J$1922=$E$18,资金流水!$X$1922="应付职工薪酬"))),INT(资金流水!$B$1922)*10000+1917,"")</f>
      </c>
    </row>
    <row r="1923">
      <c r="AA1923" s="2">
        <f>IF(AND(ISNUMBER(资金流水!$B$1923),ISNUMBER(资金流水!$S$1923),资金流水!$S$1923&gt;=_辅助!$J$4,资金流水!$S$1923&lt;=_辅助!$J$2,OR(资金流水!$C$1923=$C$18,AND(资金流水!$AD$1923=$C$18,资金流水!$X$1923="账户互转"),AND($E$18&lt;&gt;"",资金流水!$J$1923=$E$18,资金流水!$X$1923="应付职工薪酬"))),INT(资金流水!$B$1923)*10000+1918,"")</f>
      </c>
    </row>
    <row r="1924">
      <c r="AA1924" s="2">
        <f>IF(AND(ISNUMBER(资金流水!$B$1924),ISNUMBER(资金流水!$S$1924),资金流水!$S$1924&gt;=_辅助!$J$4,资金流水!$S$1924&lt;=_辅助!$J$2,OR(资金流水!$C$1924=$C$18,AND(资金流水!$AD$1924=$C$18,资金流水!$X$1924="账户互转"),AND($E$18&lt;&gt;"",资金流水!$J$1924=$E$18,资金流水!$X$1924="应付职工薪酬"))),INT(资金流水!$B$1924)*10000+1919,"")</f>
      </c>
    </row>
    <row r="1925">
      <c r="AA1925" s="2">
        <f>IF(AND(ISNUMBER(资金流水!$B$1925),ISNUMBER(资金流水!$S$1925),资金流水!$S$1925&gt;=_辅助!$J$4,资金流水!$S$1925&lt;=_辅助!$J$2,OR(资金流水!$C$1925=$C$18,AND(资金流水!$AD$1925=$C$18,资金流水!$X$1925="账户互转"),AND($E$18&lt;&gt;"",资金流水!$J$1925=$E$18,资金流水!$X$1925="应付职工薪酬"))),INT(资金流水!$B$1925)*10000+1920,"")</f>
      </c>
    </row>
    <row r="1926">
      <c r="AA1926" s="2">
        <f>IF(AND(ISNUMBER(资金流水!$B$1926),ISNUMBER(资金流水!$S$1926),资金流水!$S$1926&gt;=_辅助!$J$4,资金流水!$S$1926&lt;=_辅助!$J$2,OR(资金流水!$C$1926=$C$18,AND(资金流水!$AD$1926=$C$18,资金流水!$X$1926="账户互转"),AND($E$18&lt;&gt;"",资金流水!$J$1926=$E$18,资金流水!$X$1926="应付职工薪酬"))),INT(资金流水!$B$1926)*10000+1921,"")</f>
      </c>
    </row>
    <row r="1927">
      <c r="AA1927" s="2">
        <f>IF(AND(ISNUMBER(资金流水!$B$1927),ISNUMBER(资金流水!$S$1927),资金流水!$S$1927&gt;=_辅助!$J$4,资金流水!$S$1927&lt;=_辅助!$J$2,OR(资金流水!$C$1927=$C$18,AND(资金流水!$AD$1927=$C$18,资金流水!$X$1927="账户互转"),AND($E$18&lt;&gt;"",资金流水!$J$1927=$E$18,资金流水!$X$1927="应付职工薪酬"))),INT(资金流水!$B$1927)*10000+1922,"")</f>
      </c>
    </row>
    <row r="1928">
      <c r="AA1928" s="2">
        <f>IF(AND(ISNUMBER(资金流水!$B$1928),ISNUMBER(资金流水!$S$1928),资金流水!$S$1928&gt;=_辅助!$J$4,资金流水!$S$1928&lt;=_辅助!$J$2,OR(资金流水!$C$1928=$C$18,AND(资金流水!$AD$1928=$C$18,资金流水!$X$1928="账户互转"),AND($E$18&lt;&gt;"",资金流水!$J$1928=$E$18,资金流水!$X$1928="应付职工薪酬"))),INT(资金流水!$B$1928)*10000+1923,"")</f>
      </c>
    </row>
    <row r="1929">
      <c r="AA1929" s="2">
        <f>IF(AND(ISNUMBER(资金流水!$B$1929),ISNUMBER(资金流水!$S$1929),资金流水!$S$1929&gt;=_辅助!$J$4,资金流水!$S$1929&lt;=_辅助!$J$2,OR(资金流水!$C$1929=$C$18,AND(资金流水!$AD$1929=$C$18,资金流水!$X$1929="账户互转"),AND($E$18&lt;&gt;"",资金流水!$J$1929=$E$18,资金流水!$X$1929="应付职工薪酬"))),INT(资金流水!$B$1929)*10000+1924,"")</f>
      </c>
    </row>
    <row r="1930">
      <c r="AA1930" s="2">
        <f>IF(AND(ISNUMBER(资金流水!$B$1930),ISNUMBER(资金流水!$S$1930),资金流水!$S$1930&gt;=_辅助!$J$4,资金流水!$S$1930&lt;=_辅助!$J$2,OR(资金流水!$C$1930=$C$18,AND(资金流水!$AD$1930=$C$18,资金流水!$X$1930="账户互转"),AND($E$18&lt;&gt;"",资金流水!$J$1930=$E$18,资金流水!$X$1930="应付职工薪酬"))),INT(资金流水!$B$1930)*10000+1925,"")</f>
      </c>
    </row>
    <row r="1931">
      <c r="AA1931" s="2">
        <f>IF(AND(ISNUMBER(资金流水!$B$1931),ISNUMBER(资金流水!$S$1931),资金流水!$S$1931&gt;=_辅助!$J$4,资金流水!$S$1931&lt;=_辅助!$J$2,OR(资金流水!$C$1931=$C$18,AND(资金流水!$AD$1931=$C$18,资金流水!$X$1931="账户互转"),AND($E$18&lt;&gt;"",资金流水!$J$1931=$E$18,资金流水!$X$1931="应付职工薪酬"))),INT(资金流水!$B$1931)*10000+1926,"")</f>
      </c>
    </row>
    <row r="1932">
      <c r="AA1932" s="2">
        <f>IF(AND(ISNUMBER(资金流水!$B$1932),ISNUMBER(资金流水!$S$1932),资金流水!$S$1932&gt;=_辅助!$J$4,资金流水!$S$1932&lt;=_辅助!$J$2,OR(资金流水!$C$1932=$C$18,AND(资金流水!$AD$1932=$C$18,资金流水!$X$1932="账户互转"),AND($E$18&lt;&gt;"",资金流水!$J$1932=$E$18,资金流水!$X$1932="应付职工薪酬"))),INT(资金流水!$B$1932)*10000+1927,"")</f>
      </c>
    </row>
    <row r="1933">
      <c r="AA1933" s="2">
        <f>IF(AND(ISNUMBER(资金流水!$B$1933),ISNUMBER(资金流水!$S$1933),资金流水!$S$1933&gt;=_辅助!$J$4,资金流水!$S$1933&lt;=_辅助!$J$2,OR(资金流水!$C$1933=$C$18,AND(资金流水!$AD$1933=$C$18,资金流水!$X$1933="账户互转"),AND($E$18&lt;&gt;"",资金流水!$J$1933=$E$18,资金流水!$X$1933="应付职工薪酬"))),INT(资金流水!$B$1933)*10000+1928,"")</f>
      </c>
    </row>
    <row r="1934">
      <c r="AA1934" s="2">
        <f>IF(AND(ISNUMBER(资金流水!$B$1934),ISNUMBER(资金流水!$S$1934),资金流水!$S$1934&gt;=_辅助!$J$4,资金流水!$S$1934&lt;=_辅助!$J$2,OR(资金流水!$C$1934=$C$18,AND(资金流水!$AD$1934=$C$18,资金流水!$X$1934="账户互转"),AND($E$18&lt;&gt;"",资金流水!$J$1934=$E$18,资金流水!$X$1934="应付职工薪酬"))),INT(资金流水!$B$1934)*10000+1929,"")</f>
      </c>
    </row>
    <row r="1935">
      <c r="AA1935" s="2">
        <f>IF(AND(ISNUMBER(资金流水!$B$1935),ISNUMBER(资金流水!$S$1935),资金流水!$S$1935&gt;=_辅助!$J$4,资金流水!$S$1935&lt;=_辅助!$J$2,OR(资金流水!$C$1935=$C$18,AND(资金流水!$AD$1935=$C$18,资金流水!$X$1935="账户互转"),AND($E$18&lt;&gt;"",资金流水!$J$1935=$E$18,资金流水!$X$1935="应付职工薪酬"))),INT(资金流水!$B$1935)*10000+1930,"")</f>
      </c>
    </row>
    <row r="1936">
      <c r="AA1936" s="2">
        <f>IF(AND(ISNUMBER(资金流水!$B$1936),ISNUMBER(资金流水!$S$1936),资金流水!$S$1936&gt;=_辅助!$J$4,资金流水!$S$1936&lt;=_辅助!$J$2,OR(资金流水!$C$1936=$C$18,AND(资金流水!$AD$1936=$C$18,资金流水!$X$1936="账户互转"),AND($E$18&lt;&gt;"",资金流水!$J$1936=$E$18,资金流水!$X$1936="应付职工薪酬"))),INT(资金流水!$B$1936)*10000+1931,"")</f>
      </c>
    </row>
    <row r="1937">
      <c r="AA1937" s="2">
        <f>IF(AND(ISNUMBER(资金流水!$B$1937),ISNUMBER(资金流水!$S$1937),资金流水!$S$1937&gt;=_辅助!$J$4,资金流水!$S$1937&lt;=_辅助!$J$2,OR(资金流水!$C$1937=$C$18,AND(资金流水!$AD$1937=$C$18,资金流水!$X$1937="账户互转"),AND($E$18&lt;&gt;"",资金流水!$J$1937=$E$18,资金流水!$X$1937="应付职工薪酬"))),INT(资金流水!$B$1937)*10000+1932,"")</f>
      </c>
    </row>
    <row r="1938">
      <c r="AA1938" s="2">
        <f>IF(AND(ISNUMBER(资金流水!$B$1938),ISNUMBER(资金流水!$S$1938),资金流水!$S$1938&gt;=_辅助!$J$4,资金流水!$S$1938&lt;=_辅助!$J$2,OR(资金流水!$C$1938=$C$18,AND(资金流水!$AD$1938=$C$18,资金流水!$X$1938="账户互转"),AND($E$18&lt;&gt;"",资金流水!$J$1938=$E$18,资金流水!$X$1938="应付职工薪酬"))),INT(资金流水!$B$1938)*10000+1933,"")</f>
      </c>
    </row>
    <row r="1939">
      <c r="AA1939" s="2">
        <f>IF(AND(ISNUMBER(资金流水!$B$1939),ISNUMBER(资金流水!$S$1939),资金流水!$S$1939&gt;=_辅助!$J$4,资金流水!$S$1939&lt;=_辅助!$J$2,OR(资金流水!$C$1939=$C$18,AND(资金流水!$AD$1939=$C$18,资金流水!$X$1939="账户互转"),AND($E$18&lt;&gt;"",资金流水!$J$1939=$E$18,资金流水!$X$1939="应付职工薪酬"))),INT(资金流水!$B$1939)*10000+1934,"")</f>
      </c>
    </row>
    <row r="1940">
      <c r="AA1940" s="2">
        <f>IF(AND(ISNUMBER(资金流水!$B$1940),ISNUMBER(资金流水!$S$1940),资金流水!$S$1940&gt;=_辅助!$J$4,资金流水!$S$1940&lt;=_辅助!$J$2,OR(资金流水!$C$1940=$C$18,AND(资金流水!$AD$1940=$C$18,资金流水!$X$1940="账户互转"),AND($E$18&lt;&gt;"",资金流水!$J$1940=$E$18,资金流水!$X$1940="应付职工薪酬"))),INT(资金流水!$B$1940)*10000+1935,"")</f>
      </c>
    </row>
    <row r="1941">
      <c r="AA1941" s="2">
        <f>IF(AND(ISNUMBER(资金流水!$B$1941),ISNUMBER(资金流水!$S$1941),资金流水!$S$1941&gt;=_辅助!$J$4,资金流水!$S$1941&lt;=_辅助!$J$2,OR(资金流水!$C$1941=$C$18,AND(资金流水!$AD$1941=$C$18,资金流水!$X$1941="账户互转"),AND($E$18&lt;&gt;"",资金流水!$J$1941=$E$18,资金流水!$X$1941="应付职工薪酬"))),INT(资金流水!$B$1941)*10000+1936,"")</f>
      </c>
    </row>
    <row r="1942">
      <c r="AA1942" s="2">
        <f>IF(AND(ISNUMBER(资金流水!$B$1942),ISNUMBER(资金流水!$S$1942),资金流水!$S$1942&gt;=_辅助!$J$4,资金流水!$S$1942&lt;=_辅助!$J$2,OR(资金流水!$C$1942=$C$18,AND(资金流水!$AD$1942=$C$18,资金流水!$X$1942="账户互转"),AND($E$18&lt;&gt;"",资金流水!$J$1942=$E$18,资金流水!$X$1942="应付职工薪酬"))),INT(资金流水!$B$1942)*10000+1937,"")</f>
      </c>
    </row>
    <row r="1943">
      <c r="AA1943" s="2">
        <f>IF(AND(ISNUMBER(资金流水!$B$1943),ISNUMBER(资金流水!$S$1943),资金流水!$S$1943&gt;=_辅助!$J$4,资金流水!$S$1943&lt;=_辅助!$J$2,OR(资金流水!$C$1943=$C$18,AND(资金流水!$AD$1943=$C$18,资金流水!$X$1943="账户互转"),AND($E$18&lt;&gt;"",资金流水!$J$1943=$E$18,资金流水!$X$1943="应付职工薪酬"))),INT(资金流水!$B$1943)*10000+1938,"")</f>
      </c>
    </row>
    <row r="1944">
      <c r="AA1944" s="2">
        <f>IF(AND(ISNUMBER(资金流水!$B$1944),ISNUMBER(资金流水!$S$1944),资金流水!$S$1944&gt;=_辅助!$J$4,资金流水!$S$1944&lt;=_辅助!$J$2,OR(资金流水!$C$1944=$C$18,AND(资金流水!$AD$1944=$C$18,资金流水!$X$1944="账户互转"),AND($E$18&lt;&gt;"",资金流水!$J$1944=$E$18,资金流水!$X$1944="应付职工薪酬"))),INT(资金流水!$B$1944)*10000+1939,"")</f>
      </c>
    </row>
    <row r="1945">
      <c r="AA1945" s="2">
        <f>IF(AND(ISNUMBER(资金流水!$B$1945),ISNUMBER(资金流水!$S$1945),资金流水!$S$1945&gt;=_辅助!$J$4,资金流水!$S$1945&lt;=_辅助!$J$2,OR(资金流水!$C$1945=$C$18,AND(资金流水!$AD$1945=$C$18,资金流水!$X$1945="账户互转"),AND($E$18&lt;&gt;"",资金流水!$J$1945=$E$18,资金流水!$X$1945="应付职工薪酬"))),INT(资金流水!$B$1945)*10000+1940,"")</f>
      </c>
    </row>
    <row r="1946">
      <c r="AA1946" s="2">
        <f>IF(AND(ISNUMBER(资金流水!$B$1946),ISNUMBER(资金流水!$S$1946),资金流水!$S$1946&gt;=_辅助!$J$4,资金流水!$S$1946&lt;=_辅助!$J$2,OR(资金流水!$C$1946=$C$18,AND(资金流水!$AD$1946=$C$18,资金流水!$X$1946="账户互转"),AND($E$18&lt;&gt;"",资金流水!$J$1946=$E$18,资金流水!$X$1946="应付职工薪酬"))),INT(资金流水!$B$1946)*10000+1941,"")</f>
      </c>
    </row>
    <row r="1947">
      <c r="AA1947" s="2">
        <f>IF(AND(ISNUMBER(资金流水!$B$1947),ISNUMBER(资金流水!$S$1947),资金流水!$S$1947&gt;=_辅助!$J$4,资金流水!$S$1947&lt;=_辅助!$J$2,OR(资金流水!$C$1947=$C$18,AND(资金流水!$AD$1947=$C$18,资金流水!$X$1947="账户互转"),AND($E$18&lt;&gt;"",资金流水!$J$1947=$E$18,资金流水!$X$1947="应付职工薪酬"))),INT(资金流水!$B$1947)*10000+1942,"")</f>
      </c>
    </row>
    <row r="1948">
      <c r="AA1948" s="2">
        <f>IF(AND(ISNUMBER(资金流水!$B$1948),ISNUMBER(资金流水!$S$1948),资金流水!$S$1948&gt;=_辅助!$J$4,资金流水!$S$1948&lt;=_辅助!$J$2,OR(资金流水!$C$1948=$C$18,AND(资金流水!$AD$1948=$C$18,资金流水!$X$1948="账户互转"),AND($E$18&lt;&gt;"",资金流水!$J$1948=$E$18,资金流水!$X$1948="应付职工薪酬"))),INT(资金流水!$B$1948)*10000+1943,"")</f>
      </c>
    </row>
    <row r="1949">
      <c r="AA1949" s="2">
        <f>IF(AND(ISNUMBER(资金流水!$B$1949),ISNUMBER(资金流水!$S$1949),资金流水!$S$1949&gt;=_辅助!$J$4,资金流水!$S$1949&lt;=_辅助!$J$2,OR(资金流水!$C$1949=$C$18,AND(资金流水!$AD$1949=$C$18,资金流水!$X$1949="账户互转"),AND($E$18&lt;&gt;"",资金流水!$J$1949=$E$18,资金流水!$X$1949="应付职工薪酬"))),INT(资金流水!$B$1949)*10000+1944,"")</f>
      </c>
    </row>
    <row r="1950">
      <c r="AA1950" s="2">
        <f>IF(AND(ISNUMBER(资金流水!$B$1950),ISNUMBER(资金流水!$S$1950),资金流水!$S$1950&gt;=_辅助!$J$4,资金流水!$S$1950&lt;=_辅助!$J$2,OR(资金流水!$C$1950=$C$18,AND(资金流水!$AD$1950=$C$18,资金流水!$X$1950="账户互转"),AND($E$18&lt;&gt;"",资金流水!$J$1950=$E$18,资金流水!$X$1950="应付职工薪酬"))),INT(资金流水!$B$1950)*10000+1945,"")</f>
      </c>
    </row>
    <row r="1951">
      <c r="AA1951" s="2">
        <f>IF(AND(ISNUMBER(资金流水!$B$1951),ISNUMBER(资金流水!$S$1951),资金流水!$S$1951&gt;=_辅助!$J$4,资金流水!$S$1951&lt;=_辅助!$J$2,OR(资金流水!$C$1951=$C$18,AND(资金流水!$AD$1951=$C$18,资金流水!$X$1951="账户互转"),AND($E$18&lt;&gt;"",资金流水!$J$1951=$E$18,资金流水!$X$1951="应付职工薪酬"))),INT(资金流水!$B$1951)*10000+1946,"")</f>
      </c>
    </row>
    <row r="1952">
      <c r="AA1952" s="2">
        <f>IF(AND(ISNUMBER(资金流水!$B$1952),ISNUMBER(资金流水!$S$1952),资金流水!$S$1952&gt;=_辅助!$J$4,资金流水!$S$1952&lt;=_辅助!$J$2,OR(资金流水!$C$1952=$C$18,AND(资金流水!$AD$1952=$C$18,资金流水!$X$1952="账户互转"),AND($E$18&lt;&gt;"",资金流水!$J$1952=$E$18,资金流水!$X$1952="应付职工薪酬"))),INT(资金流水!$B$1952)*10000+1947,"")</f>
      </c>
    </row>
    <row r="1953">
      <c r="AA1953" s="2">
        <f>IF(AND(ISNUMBER(资金流水!$B$1953),ISNUMBER(资金流水!$S$1953),资金流水!$S$1953&gt;=_辅助!$J$4,资金流水!$S$1953&lt;=_辅助!$J$2,OR(资金流水!$C$1953=$C$18,AND(资金流水!$AD$1953=$C$18,资金流水!$X$1953="账户互转"),AND($E$18&lt;&gt;"",资金流水!$J$1953=$E$18,资金流水!$X$1953="应付职工薪酬"))),INT(资金流水!$B$1953)*10000+1948,"")</f>
      </c>
    </row>
    <row r="1954">
      <c r="AA1954" s="2">
        <f>IF(AND(ISNUMBER(资金流水!$B$1954),ISNUMBER(资金流水!$S$1954),资金流水!$S$1954&gt;=_辅助!$J$4,资金流水!$S$1954&lt;=_辅助!$J$2,OR(资金流水!$C$1954=$C$18,AND(资金流水!$AD$1954=$C$18,资金流水!$X$1954="账户互转"),AND($E$18&lt;&gt;"",资金流水!$J$1954=$E$18,资金流水!$X$1954="应付职工薪酬"))),INT(资金流水!$B$1954)*10000+1949,"")</f>
      </c>
    </row>
    <row r="1955">
      <c r="AA1955" s="2">
        <f>IF(AND(ISNUMBER(资金流水!$B$1955),ISNUMBER(资金流水!$S$1955),资金流水!$S$1955&gt;=_辅助!$J$4,资金流水!$S$1955&lt;=_辅助!$J$2,OR(资金流水!$C$1955=$C$18,AND(资金流水!$AD$1955=$C$18,资金流水!$X$1955="账户互转"),AND($E$18&lt;&gt;"",资金流水!$J$1955=$E$18,资金流水!$X$1955="应付职工薪酬"))),INT(资金流水!$B$1955)*10000+1950,"")</f>
      </c>
    </row>
    <row r="1956">
      <c r="AA1956" s="2">
        <f>IF(AND(ISNUMBER(资金流水!$B$1956),ISNUMBER(资金流水!$S$1956),资金流水!$S$1956&gt;=_辅助!$J$4,资金流水!$S$1956&lt;=_辅助!$J$2,OR(资金流水!$C$1956=$C$18,AND(资金流水!$AD$1956=$C$18,资金流水!$X$1956="账户互转"),AND($E$18&lt;&gt;"",资金流水!$J$1956=$E$18,资金流水!$X$1956="应付职工薪酬"))),INT(资金流水!$B$1956)*10000+1951,"")</f>
      </c>
    </row>
    <row r="1957">
      <c r="AA1957" s="2">
        <f>IF(AND(ISNUMBER(资金流水!$B$1957),ISNUMBER(资金流水!$S$1957),资金流水!$S$1957&gt;=_辅助!$J$4,资金流水!$S$1957&lt;=_辅助!$J$2,OR(资金流水!$C$1957=$C$18,AND(资金流水!$AD$1957=$C$18,资金流水!$X$1957="账户互转"),AND($E$18&lt;&gt;"",资金流水!$J$1957=$E$18,资金流水!$X$1957="应付职工薪酬"))),INT(资金流水!$B$1957)*10000+1952,"")</f>
      </c>
    </row>
    <row r="1958">
      <c r="AA1958" s="2">
        <f>IF(AND(ISNUMBER(资金流水!$B$1958),ISNUMBER(资金流水!$S$1958),资金流水!$S$1958&gt;=_辅助!$J$4,资金流水!$S$1958&lt;=_辅助!$J$2,OR(资金流水!$C$1958=$C$18,AND(资金流水!$AD$1958=$C$18,资金流水!$X$1958="账户互转"),AND($E$18&lt;&gt;"",资金流水!$J$1958=$E$18,资金流水!$X$1958="应付职工薪酬"))),INT(资金流水!$B$1958)*10000+1953,"")</f>
      </c>
    </row>
    <row r="1959">
      <c r="AA1959" s="2">
        <f>IF(AND(ISNUMBER(资金流水!$B$1959),ISNUMBER(资金流水!$S$1959),资金流水!$S$1959&gt;=_辅助!$J$4,资金流水!$S$1959&lt;=_辅助!$J$2,OR(资金流水!$C$1959=$C$18,AND(资金流水!$AD$1959=$C$18,资金流水!$X$1959="账户互转"),AND($E$18&lt;&gt;"",资金流水!$J$1959=$E$18,资金流水!$X$1959="应付职工薪酬"))),INT(资金流水!$B$1959)*10000+1954,"")</f>
      </c>
    </row>
    <row r="1960">
      <c r="AA1960" s="2">
        <f>IF(AND(ISNUMBER(资金流水!$B$1960),ISNUMBER(资金流水!$S$1960),资金流水!$S$1960&gt;=_辅助!$J$4,资金流水!$S$1960&lt;=_辅助!$J$2,OR(资金流水!$C$1960=$C$18,AND(资金流水!$AD$1960=$C$18,资金流水!$X$1960="账户互转"),AND($E$18&lt;&gt;"",资金流水!$J$1960=$E$18,资金流水!$X$1960="应付职工薪酬"))),INT(资金流水!$B$1960)*10000+1955,"")</f>
      </c>
    </row>
    <row r="1961">
      <c r="AA1961" s="2">
        <f>IF(AND(ISNUMBER(资金流水!$B$1961),ISNUMBER(资金流水!$S$1961),资金流水!$S$1961&gt;=_辅助!$J$4,资金流水!$S$1961&lt;=_辅助!$J$2,OR(资金流水!$C$1961=$C$18,AND(资金流水!$AD$1961=$C$18,资金流水!$X$1961="账户互转"),AND($E$18&lt;&gt;"",资金流水!$J$1961=$E$18,资金流水!$X$1961="应付职工薪酬"))),INT(资金流水!$B$1961)*10000+1956,"")</f>
      </c>
    </row>
    <row r="1962">
      <c r="AA1962" s="2">
        <f>IF(AND(ISNUMBER(资金流水!$B$1962),ISNUMBER(资金流水!$S$1962),资金流水!$S$1962&gt;=_辅助!$J$4,资金流水!$S$1962&lt;=_辅助!$J$2,OR(资金流水!$C$1962=$C$18,AND(资金流水!$AD$1962=$C$18,资金流水!$X$1962="账户互转"),AND($E$18&lt;&gt;"",资金流水!$J$1962=$E$18,资金流水!$X$1962="应付职工薪酬"))),INT(资金流水!$B$1962)*10000+1957,"")</f>
      </c>
    </row>
    <row r="1963">
      <c r="AA1963" s="2">
        <f>IF(AND(ISNUMBER(资金流水!$B$1963),ISNUMBER(资金流水!$S$1963),资金流水!$S$1963&gt;=_辅助!$J$4,资金流水!$S$1963&lt;=_辅助!$J$2,OR(资金流水!$C$1963=$C$18,AND(资金流水!$AD$1963=$C$18,资金流水!$X$1963="账户互转"),AND($E$18&lt;&gt;"",资金流水!$J$1963=$E$18,资金流水!$X$1963="应付职工薪酬"))),INT(资金流水!$B$1963)*10000+1958,"")</f>
      </c>
    </row>
    <row r="1964">
      <c r="AA1964" s="2">
        <f>IF(AND(ISNUMBER(资金流水!$B$1964),ISNUMBER(资金流水!$S$1964),资金流水!$S$1964&gt;=_辅助!$J$4,资金流水!$S$1964&lt;=_辅助!$J$2,OR(资金流水!$C$1964=$C$18,AND(资金流水!$AD$1964=$C$18,资金流水!$X$1964="账户互转"),AND($E$18&lt;&gt;"",资金流水!$J$1964=$E$18,资金流水!$X$1964="应付职工薪酬"))),INT(资金流水!$B$1964)*10000+1959,"")</f>
      </c>
    </row>
    <row r="1965">
      <c r="AA1965" s="2">
        <f>IF(AND(ISNUMBER(资金流水!$B$1965),ISNUMBER(资金流水!$S$1965),资金流水!$S$1965&gt;=_辅助!$J$4,资金流水!$S$1965&lt;=_辅助!$J$2,OR(资金流水!$C$1965=$C$18,AND(资金流水!$AD$1965=$C$18,资金流水!$X$1965="账户互转"),AND($E$18&lt;&gt;"",资金流水!$J$1965=$E$18,资金流水!$X$1965="应付职工薪酬"))),INT(资金流水!$B$1965)*10000+1960,"")</f>
      </c>
    </row>
    <row r="1966">
      <c r="AA1966" s="2">
        <f>IF(AND(ISNUMBER(资金流水!$B$1966),ISNUMBER(资金流水!$S$1966),资金流水!$S$1966&gt;=_辅助!$J$4,资金流水!$S$1966&lt;=_辅助!$J$2,OR(资金流水!$C$1966=$C$18,AND(资金流水!$AD$1966=$C$18,资金流水!$X$1966="账户互转"),AND($E$18&lt;&gt;"",资金流水!$J$1966=$E$18,资金流水!$X$1966="应付职工薪酬"))),INT(资金流水!$B$1966)*10000+1961,"")</f>
      </c>
    </row>
    <row r="1967">
      <c r="AA1967" s="2">
        <f>IF(AND(ISNUMBER(资金流水!$B$1967),ISNUMBER(资金流水!$S$1967),资金流水!$S$1967&gt;=_辅助!$J$4,资金流水!$S$1967&lt;=_辅助!$J$2,OR(资金流水!$C$1967=$C$18,AND(资金流水!$AD$1967=$C$18,资金流水!$X$1967="账户互转"),AND($E$18&lt;&gt;"",资金流水!$J$1967=$E$18,资金流水!$X$1967="应付职工薪酬"))),INT(资金流水!$B$1967)*10000+1962,"")</f>
      </c>
    </row>
    <row r="1968">
      <c r="AA1968" s="2">
        <f>IF(AND(ISNUMBER(资金流水!$B$1968),ISNUMBER(资金流水!$S$1968),资金流水!$S$1968&gt;=_辅助!$J$4,资金流水!$S$1968&lt;=_辅助!$J$2,OR(资金流水!$C$1968=$C$18,AND(资金流水!$AD$1968=$C$18,资金流水!$X$1968="账户互转"),AND($E$18&lt;&gt;"",资金流水!$J$1968=$E$18,资金流水!$X$1968="应付职工薪酬"))),INT(资金流水!$B$1968)*10000+1963,"")</f>
      </c>
    </row>
    <row r="1969">
      <c r="AA1969" s="2">
        <f>IF(AND(ISNUMBER(资金流水!$B$1969),ISNUMBER(资金流水!$S$1969),资金流水!$S$1969&gt;=_辅助!$J$4,资金流水!$S$1969&lt;=_辅助!$J$2,OR(资金流水!$C$1969=$C$18,AND(资金流水!$AD$1969=$C$18,资金流水!$X$1969="账户互转"),AND($E$18&lt;&gt;"",资金流水!$J$1969=$E$18,资金流水!$X$1969="应付职工薪酬"))),INT(资金流水!$B$1969)*10000+1964,"")</f>
      </c>
    </row>
    <row r="1970">
      <c r="AA1970" s="2">
        <f>IF(AND(ISNUMBER(资金流水!$B$1970),ISNUMBER(资金流水!$S$1970),资金流水!$S$1970&gt;=_辅助!$J$4,资金流水!$S$1970&lt;=_辅助!$J$2,OR(资金流水!$C$1970=$C$18,AND(资金流水!$AD$1970=$C$18,资金流水!$X$1970="账户互转"),AND($E$18&lt;&gt;"",资金流水!$J$1970=$E$18,资金流水!$X$1970="应付职工薪酬"))),INT(资金流水!$B$1970)*10000+1965,"")</f>
      </c>
    </row>
    <row r="1971">
      <c r="AA1971" s="2">
        <f>IF(AND(ISNUMBER(资金流水!$B$1971),ISNUMBER(资金流水!$S$1971),资金流水!$S$1971&gt;=_辅助!$J$4,资金流水!$S$1971&lt;=_辅助!$J$2,OR(资金流水!$C$1971=$C$18,AND(资金流水!$AD$1971=$C$18,资金流水!$X$1971="账户互转"),AND($E$18&lt;&gt;"",资金流水!$J$1971=$E$18,资金流水!$X$1971="应付职工薪酬"))),INT(资金流水!$B$1971)*10000+1966,"")</f>
      </c>
    </row>
    <row r="1972">
      <c r="AA1972" s="2">
        <f>IF(AND(ISNUMBER(资金流水!$B$1972),ISNUMBER(资金流水!$S$1972),资金流水!$S$1972&gt;=_辅助!$J$4,资金流水!$S$1972&lt;=_辅助!$J$2,OR(资金流水!$C$1972=$C$18,AND(资金流水!$AD$1972=$C$18,资金流水!$X$1972="账户互转"),AND($E$18&lt;&gt;"",资金流水!$J$1972=$E$18,资金流水!$X$1972="应付职工薪酬"))),INT(资金流水!$B$1972)*10000+1967,"")</f>
      </c>
    </row>
    <row r="1973">
      <c r="AA1973" s="2">
        <f>IF(AND(ISNUMBER(资金流水!$B$1973),ISNUMBER(资金流水!$S$1973),资金流水!$S$1973&gt;=_辅助!$J$4,资金流水!$S$1973&lt;=_辅助!$J$2,OR(资金流水!$C$1973=$C$18,AND(资金流水!$AD$1973=$C$18,资金流水!$X$1973="账户互转"),AND($E$18&lt;&gt;"",资金流水!$J$1973=$E$18,资金流水!$X$1973="应付职工薪酬"))),INT(资金流水!$B$1973)*10000+1968,"")</f>
      </c>
    </row>
    <row r="1974">
      <c r="AA1974" s="2">
        <f>IF(AND(ISNUMBER(资金流水!$B$1974),ISNUMBER(资金流水!$S$1974),资金流水!$S$1974&gt;=_辅助!$J$4,资金流水!$S$1974&lt;=_辅助!$J$2,OR(资金流水!$C$1974=$C$18,AND(资金流水!$AD$1974=$C$18,资金流水!$X$1974="账户互转"),AND($E$18&lt;&gt;"",资金流水!$J$1974=$E$18,资金流水!$X$1974="应付职工薪酬"))),INT(资金流水!$B$1974)*10000+1969,"")</f>
      </c>
    </row>
    <row r="1975">
      <c r="AA1975" s="2">
        <f>IF(AND(ISNUMBER(资金流水!$B$1975),ISNUMBER(资金流水!$S$1975),资金流水!$S$1975&gt;=_辅助!$J$4,资金流水!$S$1975&lt;=_辅助!$J$2,OR(资金流水!$C$1975=$C$18,AND(资金流水!$AD$1975=$C$18,资金流水!$X$1975="账户互转"),AND($E$18&lt;&gt;"",资金流水!$J$1975=$E$18,资金流水!$X$1975="应付职工薪酬"))),INT(资金流水!$B$1975)*10000+1970,"")</f>
      </c>
    </row>
    <row r="1976">
      <c r="AA1976" s="2">
        <f>IF(AND(ISNUMBER(资金流水!$B$1976),ISNUMBER(资金流水!$S$1976),资金流水!$S$1976&gt;=_辅助!$J$4,资金流水!$S$1976&lt;=_辅助!$J$2,OR(资金流水!$C$1976=$C$18,AND(资金流水!$AD$1976=$C$18,资金流水!$X$1976="账户互转"),AND($E$18&lt;&gt;"",资金流水!$J$1976=$E$18,资金流水!$X$1976="应付职工薪酬"))),INT(资金流水!$B$1976)*10000+1971,"")</f>
      </c>
    </row>
    <row r="1977">
      <c r="AA1977" s="2">
        <f>IF(AND(ISNUMBER(资金流水!$B$1977),ISNUMBER(资金流水!$S$1977),资金流水!$S$1977&gt;=_辅助!$J$4,资金流水!$S$1977&lt;=_辅助!$J$2,OR(资金流水!$C$1977=$C$18,AND(资金流水!$AD$1977=$C$18,资金流水!$X$1977="账户互转"),AND($E$18&lt;&gt;"",资金流水!$J$1977=$E$18,资金流水!$X$1977="应付职工薪酬"))),INT(资金流水!$B$1977)*10000+1972,"")</f>
      </c>
    </row>
    <row r="1978">
      <c r="AA1978" s="2">
        <f>IF(AND(ISNUMBER(资金流水!$B$1978),ISNUMBER(资金流水!$S$1978),资金流水!$S$1978&gt;=_辅助!$J$4,资金流水!$S$1978&lt;=_辅助!$J$2,OR(资金流水!$C$1978=$C$18,AND(资金流水!$AD$1978=$C$18,资金流水!$X$1978="账户互转"),AND($E$18&lt;&gt;"",资金流水!$J$1978=$E$18,资金流水!$X$1978="应付职工薪酬"))),INT(资金流水!$B$1978)*10000+1973,"")</f>
      </c>
    </row>
    <row r="1979">
      <c r="AA1979" s="2">
        <f>IF(AND(ISNUMBER(资金流水!$B$1979),ISNUMBER(资金流水!$S$1979),资金流水!$S$1979&gt;=_辅助!$J$4,资金流水!$S$1979&lt;=_辅助!$J$2,OR(资金流水!$C$1979=$C$18,AND(资金流水!$AD$1979=$C$18,资金流水!$X$1979="账户互转"),AND($E$18&lt;&gt;"",资金流水!$J$1979=$E$18,资金流水!$X$1979="应付职工薪酬"))),INT(资金流水!$B$1979)*10000+1974,"")</f>
      </c>
    </row>
    <row r="1980">
      <c r="AA1980" s="2">
        <f>IF(AND(ISNUMBER(资金流水!$B$1980),ISNUMBER(资金流水!$S$1980),资金流水!$S$1980&gt;=_辅助!$J$4,资金流水!$S$1980&lt;=_辅助!$J$2,OR(资金流水!$C$1980=$C$18,AND(资金流水!$AD$1980=$C$18,资金流水!$X$1980="账户互转"),AND($E$18&lt;&gt;"",资金流水!$J$1980=$E$18,资金流水!$X$1980="应付职工薪酬"))),INT(资金流水!$B$1980)*10000+1975,"")</f>
      </c>
    </row>
    <row r="1981">
      <c r="AA1981" s="2">
        <f>IF(AND(ISNUMBER(资金流水!$B$1981),ISNUMBER(资金流水!$S$1981),资金流水!$S$1981&gt;=_辅助!$J$4,资金流水!$S$1981&lt;=_辅助!$J$2,OR(资金流水!$C$1981=$C$18,AND(资金流水!$AD$1981=$C$18,资金流水!$X$1981="账户互转"),AND($E$18&lt;&gt;"",资金流水!$J$1981=$E$18,资金流水!$X$1981="应付职工薪酬"))),INT(资金流水!$B$1981)*10000+1976,"")</f>
      </c>
    </row>
    <row r="1982">
      <c r="AA1982" s="2">
        <f>IF(AND(ISNUMBER(资金流水!$B$1982),ISNUMBER(资金流水!$S$1982),资金流水!$S$1982&gt;=_辅助!$J$4,资金流水!$S$1982&lt;=_辅助!$J$2,OR(资金流水!$C$1982=$C$18,AND(资金流水!$AD$1982=$C$18,资金流水!$X$1982="账户互转"),AND($E$18&lt;&gt;"",资金流水!$J$1982=$E$18,资金流水!$X$1982="应付职工薪酬"))),INT(资金流水!$B$1982)*10000+1977,"")</f>
      </c>
    </row>
    <row r="1983">
      <c r="AA1983" s="2">
        <f>IF(AND(ISNUMBER(资金流水!$B$1983),ISNUMBER(资金流水!$S$1983),资金流水!$S$1983&gt;=_辅助!$J$4,资金流水!$S$1983&lt;=_辅助!$J$2,OR(资金流水!$C$1983=$C$18,AND(资金流水!$AD$1983=$C$18,资金流水!$X$1983="账户互转"),AND($E$18&lt;&gt;"",资金流水!$J$1983=$E$18,资金流水!$X$1983="应付职工薪酬"))),INT(资金流水!$B$1983)*10000+1978,"")</f>
      </c>
    </row>
    <row r="1984">
      <c r="AA1984" s="2">
        <f>IF(AND(ISNUMBER(资金流水!$B$1984),ISNUMBER(资金流水!$S$1984),资金流水!$S$1984&gt;=_辅助!$J$4,资金流水!$S$1984&lt;=_辅助!$J$2,OR(资金流水!$C$1984=$C$18,AND(资金流水!$AD$1984=$C$18,资金流水!$X$1984="账户互转"),AND($E$18&lt;&gt;"",资金流水!$J$1984=$E$18,资金流水!$X$1984="应付职工薪酬"))),INT(资金流水!$B$1984)*10000+1979,"")</f>
      </c>
    </row>
    <row r="1985">
      <c r="AA1985" s="2">
        <f>IF(AND(ISNUMBER(资金流水!$B$1985),ISNUMBER(资金流水!$S$1985),资金流水!$S$1985&gt;=_辅助!$J$4,资金流水!$S$1985&lt;=_辅助!$J$2,OR(资金流水!$C$1985=$C$18,AND(资金流水!$AD$1985=$C$18,资金流水!$X$1985="账户互转"),AND($E$18&lt;&gt;"",资金流水!$J$1985=$E$18,资金流水!$X$1985="应付职工薪酬"))),INT(资金流水!$B$1985)*10000+1980,"")</f>
      </c>
    </row>
    <row r="1986">
      <c r="AA1986" s="2">
        <f>IF(AND(ISNUMBER(资金流水!$B$1986),ISNUMBER(资金流水!$S$1986),资金流水!$S$1986&gt;=_辅助!$J$4,资金流水!$S$1986&lt;=_辅助!$J$2,OR(资金流水!$C$1986=$C$18,AND(资金流水!$AD$1986=$C$18,资金流水!$X$1986="账户互转"),AND($E$18&lt;&gt;"",资金流水!$J$1986=$E$18,资金流水!$X$1986="应付职工薪酬"))),INT(资金流水!$B$1986)*10000+1981,"")</f>
      </c>
    </row>
    <row r="1987">
      <c r="AA1987" s="2">
        <f>IF(AND(ISNUMBER(资金流水!$B$1987),ISNUMBER(资金流水!$S$1987),资金流水!$S$1987&gt;=_辅助!$J$4,资金流水!$S$1987&lt;=_辅助!$J$2,OR(资金流水!$C$1987=$C$18,AND(资金流水!$AD$1987=$C$18,资金流水!$X$1987="账户互转"),AND($E$18&lt;&gt;"",资金流水!$J$1987=$E$18,资金流水!$X$1987="应付职工薪酬"))),INT(资金流水!$B$1987)*10000+1982,"")</f>
      </c>
    </row>
    <row r="1988">
      <c r="AA1988" s="2">
        <f>IF(AND(ISNUMBER(资金流水!$B$1988),ISNUMBER(资金流水!$S$1988),资金流水!$S$1988&gt;=_辅助!$J$4,资金流水!$S$1988&lt;=_辅助!$J$2,OR(资金流水!$C$1988=$C$18,AND(资金流水!$AD$1988=$C$18,资金流水!$X$1988="账户互转"),AND($E$18&lt;&gt;"",资金流水!$J$1988=$E$18,资金流水!$X$1988="应付职工薪酬"))),INT(资金流水!$B$1988)*10000+1983,"")</f>
      </c>
    </row>
    <row r="1989">
      <c r="AA1989" s="2">
        <f>IF(AND(ISNUMBER(资金流水!$B$1989),ISNUMBER(资金流水!$S$1989),资金流水!$S$1989&gt;=_辅助!$J$4,资金流水!$S$1989&lt;=_辅助!$J$2,OR(资金流水!$C$1989=$C$18,AND(资金流水!$AD$1989=$C$18,资金流水!$X$1989="账户互转"),AND($E$18&lt;&gt;"",资金流水!$J$1989=$E$18,资金流水!$X$1989="应付职工薪酬"))),INT(资金流水!$B$1989)*10000+1984,"")</f>
      </c>
    </row>
    <row r="1990">
      <c r="AA1990" s="2">
        <f>IF(AND(ISNUMBER(资金流水!$B$1990),ISNUMBER(资金流水!$S$1990),资金流水!$S$1990&gt;=_辅助!$J$4,资金流水!$S$1990&lt;=_辅助!$J$2,OR(资金流水!$C$1990=$C$18,AND(资金流水!$AD$1990=$C$18,资金流水!$X$1990="账户互转"),AND($E$18&lt;&gt;"",资金流水!$J$1990=$E$18,资金流水!$X$1990="应付职工薪酬"))),INT(资金流水!$B$1990)*10000+1985,"")</f>
      </c>
    </row>
    <row r="1991">
      <c r="AA1991" s="2">
        <f>IF(AND(ISNUMBER(资金流水!$B$1991),ISNUMBER(资金流水!$S$1991),资金流水!$S$1991&gt;=_辅助!$J$4,资金流水!$S$1991&lt;=_辅助!$J$2,OR(资金流水!$C$1991=$C$18,AND(资金流水!$AD$1991=$C$18,资金流水!$X$1991="账户互转"),AND($E$18&lt;&gt;"",资金流水!$J$1991=$E$18,资金流水!$X$1991="应付职工薪酬"))),INT(资金流水!$B$1991)*10000+1986,"")</f>
      </c>
    </row>
    <row r="1992">
      <c r="AA1992" s="2">
        <f>IF(AND(ISNUMBER(资金流水!$B$1992),ISNUMBER(资金流水!$S$1992),资金流水!$S$1992&gt;=_辅助!$J$4,资金流水!$S$1992&lt;=_辅助!$J$2,OR(资金流水!$C$1992=$C$18,AND(资金流水!$AD$1992=$C$18,资金流水!$X$1992="账户互转"),AND($E$18&lt;&gt;"",资金流水!$J$1992=$E$18,资金流水!$X$1992="应付职工薪酬"))),INT(资金流水!$B$1992)*10000+1987,"")</f>
      </c>
    </row>
    <row r="1993">
      <c r="AA1993" s="2">
        <f>IF(AND(ISNUMBER(资金流水!$B$1993),ISNUMBER(资金流水!$S$1993),资金流水!$S$1993&gt;=_辅助!$J$4,资金流水!$S$1993&lt;=_辅助!$J$2,OR(资金流水!$C$1993=$C$18,AND(资金流水!$AD$1993=$C$18,资金流水!$X$1993="账户互转"),AND($E$18&lt;&gt;"",资金流水!$J$1993=$E$18,资金流水!$X$1993="应付职工薪酬"))),INT(资金流水!$B$1993)*10000+1988,"")</f>
      </c>
    </row>
    <row r="1994">
      <c r="AA1994" s="2">
        <f>IF(AND(ISNUMBER(资金流水!$B$1994),ISNUMBER(资金流水!$S$1994),资金流水!$S$1994&gt;=_辅助!$J$4,资金流水!$S$1994&lt;=_辅助!$J$2,OR(资金流水!$C$1994=$C$18,AND(资金流水!$AD$1994=$C$18,资金流水!$X$1994="账户互转"),AND($E$18&lt;&gt;"",资金流水!$J$1994=$E$18,资金流水!$X$1994="应付职工薪酬"))),INT(资金流水!$B$1994)*10000+1989,"")</f>
      </c>
    </row>
    <row r="1995">
      <c r="AA1995" s="2">
        <f>IF(AND(ISNUMBER(资金流水!$B$1995),ISNUMBER(资金流水!$S$1995),资金流水!$S$1995&gt;=_辅助!$J$4,资金流水!$S$1995&lt;=_辅助!$J$2,OR(资金流水!$C$1995=$C$18,AND(资金流水!$AD$1995=$C$18,资金流水!$X$1995="账户互转"),AND($E$18&lt;&gt;"",资金流水!$J$1995=$E$18,资金流水!$X$1995="应付职工薪酬"))),INT(资金流水!$B$1995)*10000+1990,"")</f>
      </c>
    </row>
    <row r="1996">
      <c r="AA1996" s="2">
        <f>IF(AND(ISNUMBER(资金流水!$B$1996),ISNUMBER(资金流水!$S$1996),资金流水!$S$1996&gt;=_辅助!$J$4,资金流水!$S$1996&lt;=_辅助!$J$2,OR(资金流水!$C$1996=$C$18,AND(资金流水!$AD$1996=$C$18,资金流水!$X$1996="账户互转"),AND($E$18&lt;&gt;"",资金流水!$J$1996=$E$18,资金流水!$X$1996="应付职工薪酬"))),INT(资金流水!$B$1996)*10000+1991,"")</f>
      </c>
    </row>
    <row r="1997">
      <c r="AA1997" s="2">
        <f>IF(AND(ISNUMBER(资金流水!$B$1997),ISNUMBER(资金流水!$S$1997),资金流水!$S$1997&gt;=_辅助!$J$4,资金流水!$S$1997&lt;=_辅助!$J$2,OR(资金流水!$C$1997=$C$18,AND(资金流水!$AD$1997=$C$18,资金流水!$X$1997="账户互转"),AND($E$18&lt;&gt;"",资金流水!$J$1997=$E$18,资金流水!$X$1997="应付职工薪酬"))),INT(资金流水!$B$1997)*10000+1992,"")</f>
      </c>
    </row>
    <row r="1998">
      <c r="AA1998" s="2">
        <f>IF(AND(ISNUMBER(资金流水!$B$1998),ISNUMBER(资金流水!$S$1998),资金流水!$S$1998&gt;=_辅助!$J$4,资金流水!$S$1998&lt;=_辅助!$J$2,OR(资金流水!$C$1998=$C$18,AND(资金流水!$AD$1998=$C$18,资金流水!$X$1998="账户互转"),AND($E$18&lt;&gt;"",资金流水!$J$1998=$E$18,资金流水!$X$1998="应付职工薪酬"))),INT(资金流水!$B$1998)*10000+1993,"")</f>
      </c>
    </row>
    <row r="1999">
      <c r="AA1999" s="2">
        <f>IF(AND(ISNUMBER(资金流水!$B$1999),ISNUMBER(资金流水!$S$1999),资金流水!$S$1999&gt;=_辅助!$J$4,资金流水!$S$1999&lt;=_辅助!$J$2,OR(资金流水!$C$1999=$C$18,AND(资金流水!$AD$1999=$C$18,资金流水!$X$1999="账户互转"),AND($E$18&lt;&gt;"",资金流水!$J$1999=$E$18,资金流水!$X$1999="应付职工薪酬"))),INT(资金流水!$B$1999)*10000+1994,"")</f>
      </c>
    </row>
    <row r="2000">
      <c r="AA2000" s="2">
        <f>IF(AND(ISNUMBER(资金流水!$B$2000),ISNUMBER(资金流水!$S$2000),资金流水!$S$2000&gt;=_辅助!$J$4,资金流水!$S$2000&lt;=_辅助!$J$2,OR(资金流水!$C$2000=$C$18,AND(资金流水!$AD$2000=$C$18,资金流水!$X$2000="账户互转"),AND($E$18&lt;&gt;"",资金流水!$J$2000=$E$18,资金流水!$X$2000="应付职工薪酬"))),INT(资金流水!$B$2000)*10000+1995,"")</f>
      </c>
    </row>
    <row r="2001">
      <c r="AA2001" s="2">
        <f>IF(AND(ISNUMBER(资金流水!$B$2001),ISNUMBER(资金流水!$S$2001),资金流水!$S$2001&gt;=_辅助!$J$4,资金流水!$S$2001&lt;=_辅助!$J$2,OR(资金流水!$C$2001=$C$18,AND(资金流水!$AD$2001=$C$18,资金流水!$X$2001="账户互转"),AND($E$18&lt;&gt;"",资金流水!$J$2001=$E$18,资金流水!$X$2001="应付职工薪酬"))),INT(资金流水!$B$2001)*10000+1996,"")</f>
      </c>
    </row>
    <row r="2002">
      <c r="AA2002" s="2">
        <f>IF(AND(ISNUMBER(资金流水!$B$2002),ISNUMBER(资金流水!$S$2002),资金流水!$S$2002&gt;=_辅助!$J$4,资金流水!$S$2002&lt;=_辅助!$J$2,OR(资金流水!$C$2002=$C$18,AND(资金流水!$AD$2002=$C$18,资金流水!$X$2002="账户互转"),AND($E$18&lt;&gt;"",资金流水!$J$2002=$E$18,资金流水!$X$2002="应付职工薪酬"))),INT(资金流水!$B$2002)*10000+1997,"")</f>
      </c>
    </row>
    <row r="2003">
      <c r="AA2003" s="2">
        <f>IF(AND(ISNUMBER(资金流水!$B$2003),ISNUMBER(资金流水!$S$2003),资金流水!$S$2003&gt;=_辅助!$J$4,资金流水!$S$2003&lt;=_辅助!$J$2,OR(资金流水!$C$2003=$C$18,AND(资金流水!$AD$2003=$C$18,资金流水!$X$2003="账户互转"),AND($E$18&lt;&gt;"",资金流水!$J$2003=$E$18,资金流水!$X$2003="应付职工薪酬"))),INT(资金流水!$B$2003)*10000+1998,"")</f>
      </c>
    </row>
    <row r="2004">
      <c r="AA2004" s="2">
        <f>IF(AND(ISNUMBER(资金流水!$B$2004),ISNUMBER(资金流水!$S$2004),资金流水!$S$2004&gt;=_辅助!$J$4,资金流水!$S$2004&lt;=_辅助!$J$2,OR(资金流水!$C$2004=$C$18,AND(资金流水!$AD$2004=$C$18,资金流水!$X$2004="账户互转"),AND($E$18&lt;&gt;"",资金流水!$J$2004=$E$18,资金流水!$X$2004="应付职工薪酬"))),INT(资金流水!$B$2004)*10000+1999,"")</f>
      </c>
    </row>
    <row r="2005">
      <c r="AA2005" s="2">
        <f>IF(AND(ISNUMBER(资金流水!$B$2005),ISNUMBER(资金流水!$S$2005),资金流水!$S$2005&gt;=_辅助!$J$4,资金流水!$S$2005&lt;=_辅助!$J$2,OR(资金流水!$C$2005=$C$18,AND(资金流水!$AD$2005=$C$18,资金流水!$X$2005="账户互转"),AND($E$18&lt;&gt;"",资金流水!$J$2005=$E$18,资金流水!$X$2005="应付职工薪酬"))),INT(资金流水!$B$2005)*10000+2000,"")</f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16">
    <mergeCell ref="B3:D3"/>
    <mergeCell ref="O3:V3"/>
    <mergeCell ref="L12:M12"/>
    <mergeCell ref="A1:M1"/>
    <mergeCell ref="L7:M7"/>
    <mergeCell ref="L6:M6"/>
    <mergeCell ref="P20:T21"/>
    <mergeCell ref="L10:M10"/>
    <mergeCell ref="A17:M17"/>
    <mergeCell ref="L14:M14"/>
    <mergeCell ref="L11:M11"/>
    <mergeCell ref="L5:M5"/>
    <mergeCell ref="L8:M8"/>
    <mergeCell ref="A2:M2"/>
    <mergeCell ref="L13:M13"/>
    <mergeCell ref="L9:M9"/>
  </mergeCells>
  <dataValidations count="1">
    <dataValidation sqref="C18" showDropDown="0" showInputMessage="1" showErrorMessage="1" allowBlank="1" errorTitle="不在清单里" error="请从下拉里选；清单里没有的，先到【基础资料】/【往来单位】里登记" promptTitle="提示" prompt="选他的个人户" type="list" errorStyle="stop">
      <formula1>=基础资料!$G$5:$G$24</formula1>
    </dataValidation>
  </dataValidations>
  <hyperlinks>
    <hyperlink ref="N1" location="'首页'!A1" display="← 回首页"/>
  </hyperlinks>
  <pageMargins left="0.3" right="0.3" top="0.5" bottom="0.5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CB1000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8" customWidth="1" min="3" max="3"/>
    <col width="14" customWidth="1" min="4" max="4"/>
    <col width="20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7" customWidth="1" min="15" max="15"/>
    <col width="11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8" customWidth="1" min="37" max="37"/>
    <col width="16" customWidth="1" min="38" max="38"/>
    <col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5" max="55"/>
    <col hidden="1" width="13" customWidth="1" min="56" max="56"/>
    <col hidden="1" width="13" customWidth="1" min="79" max="79"/>
    <col hidden="1" width="13" customWidth="1" min="80" max="80"/>
  </cols>
  <sheetData>
    <row r="1" ht="33" customHeight="1">
      <c r="A1" s="1" t="inlineStr">
        <is>
          <t>工 资 表（选月份 · 每人在各工地的天数和工资 · 本月发了多少、还欠多少）</t>
        </is>
      </c>
      <c r="AM1" s="33" t="inlineStr">
        <is>
          <t>← 回首页</t>
        </is>
      </c>
      <c r="BC1" s="2">
        <f>SUM(CA1:CA1)</f>
        <v>0</v>
      </c>
      <c r="BD1" s="2">
        <f>SUM(CB1:CB1)</f>
        <v>0</v>
      </c>
      <c r="CA1" s="2">
        <f>IF(AND(_辅助!$E$1&lt;&gt;"",(COUNTIFS(考勤工资!$D$5:$D$1004,_辅助!$E$1,考勤工资!$Y$5:$Y$1004,$E$3)+COUNTIFS(考勤工资!$F$5:$F$1004,_辅助!$E$1,考勤工资!$Y$5:$Y$1004,$E$3)+COUNTIFS(考勤工资!$H$5:$H$1004,_辅助!$E$1,考勤工资!$Y$5:$Y$1004,$E$3)+COUNTIFS(考勤工资!$J$5:$J$1004,_辅助!$E$1,考勤工资!$Y$5:$Y$1004,$E$3))&gt;0),1,0)</f>
        <v>0</v>
      </c>
      <c r="CB1" s="2">
        <f>IF(考勤工资!$Y$5=$E$3,1,0)</f>
        <v>0</v>
      </c>
    </row>
    <row r="2" ht="38" customHeight="1">
      <c r="A2" s="3" t="inlineStr">
        <is>
          <t>💡 黄格子选月份（空着＝最近录了考勤的那个月）。全部从【考勤工资】自动来：每人一行，各工地天数、日工资、各工地小计，跟你原来的工资表一个样。右边是这个人的欠薪账：上月底欠他的 ＋ 本月实发应付 − 本月发放（【资金流水】这个月发给他的，类别「工资」，不管发的是哪个月的）− 总包代发（【代发抵账】）＋ 已退回（工人多拿了退回来的）＝ 月底欠薪（负数＝多发了，他欠公司）。这里只列这个月有考勤的人，所有人的欠薪看【工资汇总】。打印：筛掉空行，已设好横向一页宽。</t>
        </is>
      </c>
      <c r="BC2" s="2">
        <f>SUM(CA1:CA2)</f>
        <v>0</v>
      </c>
      <c r="BD2" s="2">
        <f>SUM(CB1:CB2)</f>
        <v>0</v>
      </c>
      <c r="CA2" s="2">
        <f>IF(AND(_辅助!$E$2&lt;&gt;"",(COUNTIFS(考勤工资!$D$5:$D$1004,_辅助!$E$2,考勤工资!$Y$5:$Y$1004,$E$3)+COUNTIFS(考勤工资!$F$5:$F$1004,_辅助!$E$2,考勤工资!$Y$5:$Y$1004,$E$3)+COUNTIFS(考勤工资!$H$5:$H$1004,_辅助!$E$2,考勤工资!$Y$5:$Y$1004,$E$3)+COUNTIFS(考勤工资!$J$5:$J$1004,_辅助!$E$2,考勤工资!$Y$5:$Y$1004,$E$3))&gt;0),1,0)</f>
        <v>0</v>
      </c>
      <c r="CB2" s="2">
        <f>IF(考勤工资!$Y$6=$E$3,1,0)</f>
        <v>0</v>
      </c>
    </row>
    <row r="3">
      <c r="B3" s="4" t="inlineStr">
        <is>
          <t>月份</t>
        </is>
      </c>
      <c r="C3" s="113" t="n">
        <v>46204</v>
      </c>
      <c r="D3" s="114">
        <f>IF(ISNUMBER($C$3),DATE(YEAR($C$3),MONTH($C$3),1),IF(MAX(考勤工资!$B$5:$B$1004)=0,DATE(_辅助!$J$7,1,1),DATE(YEAR(MAX(考勤工资!$B$5:$B$1004)),MONTH(MAX(考勤工资!$B$5:$B$1004)),1)))</f>
        <v>46204.0</v>
      </c>
      <c r="E3" s="2">
        <f>YEAR($D$3)*100+MONTH($D$3)</f>
        <v>202607</v>
      </c>
      <c r="F3" s="90">
        <f>IF($BD$1000&gt;150,"⚠ 这个月有"&amp;$BD$1000&amp;"行考勤，只列前150行","")&amp;IF($BC$61&gt;8,"  这个月跑了"&amp;$BC$61&amp;"个项目，第8列起合在「其他项目」","")</f>
      </c>
      <c r="BC3" s="2">
        <f>SUM(CA1:CA3)</f>
        <v>0</v>
      </c>
      <c r="BD3" s="2">
        <f>SUM(CB1:CB3)</f>
        <v>0</v>
      </c>
      <c r="CA3" s="2">
        <f>IF(AND(_辅助!$E$3&lt;&gt;"",(COUNTIFS(考勤工资!$D$5:$D$1004,_辅助!$E$3,考勤工资!$Y$5:$Y$1004,$E$3)+COUNTIFS(考勤工资!$F$5:$F$1004,_辅助!$E$3,考勤工资!$Y$5:$Y$1004,$E$3)+COUNTIFS(考勤工资!$H$5:$H$1004,_辅助!$E$3,考勤工资!$Y$5:$Y$1004,$E$3)+COUNTIFS(考勤工资!$J$5:$J$1004,_辅助!$E$3,考勤工资!$Y$5:$Y$1004,$E$3))&gt;0),1,0)</f>
        <v>0</v>
      </c>
      <c r="CB3" s="2">
        <f>IF(考勤工资!$Y$7=$E$3,1,0)</f>
        <v>0</v>
      </c>
    </row>
    <row r="4">
      <c r="A4" s="105" t="n"/>
      <c r="B4" s="76" t="inlineStr">
        <is>
          <t>合计</t>
        </is>
      </c>
      <c r="C4" s="105" t="n"/>
      <c r="D4" s="105" t="n"/>
      <c r="E4" s="105" t="n"/>
      <c r="F4" s="105" t="n"/>
      <c r="G4" s="115">
        <f>SUM(G6:G155)</f>
        <v>1</v>
      </c>
      <c r="H4" s="115">
        <f>SUM(H6:H155)</f>
        <v>0</v>
      </c>
      <c r="I4" s="115">
        <f>SUM(I6:I155)</f>
        <v>0</v>
      </c>
      <c r="J4" s="115">
        <f>SUM(J6:J155)</f>
        <v>0</v>
      </c>
      <c r="K4" s="115">
        <f>SUM(K6:K155)</f>
        <v>0</v>
      </c>
      <c r="L4" s="115">
        <f>SUM(L6:L155)</f>
        <v>0</v>
      </c>
      <c r="M4" s="115">
        <f>SUM(M6:M155)</f>
        <v>0</v>
      </c>
      <c r="N4" s="115">
        <f>SUM(N6:N155)</f>
        <v>0</v>
      </c>
      <c r="O4" s="115">
        <f>SUM(O6:O155)</f>
        <v>1</v>
      </c>
      <c r="P4" s="105" t="n"/>
      <c r="Q4" s="77">
        <f>SUM(Q6:Q155)</f>
        <v>1200</v>
      </c>
      <c r="R4" s="77">
        <f>SUM(R6:R155)</f>
        <v>0</v>
      </c>
      <c r="S4" s="77">
        <f>SUM(S6:S155)</f>
        <v>0</v>
      </c>
      <c r="T4" s="77">
        <f>SUM(T6:T155)</f>
        <v>0</v>
      </c>
      <c r="U4" s="77">
        <f>SUM(U6:U155)</f>
        <v>0</v>
      </c>
      <c r="V4" s="77">
        <f>SUM(V6:V155)</f>
        <v>0</v>
      </c>
      <c r="W4" s="77">
        <f>SUM(W6:W155)</f>
        <v>0</v>
      </c>
      <c r="X4" s="77">
        <f>SUM(X6:X155)</f>
        <v>0</v>
      </c>
      <c r="Y4" s="77">
        <f>SUM(Y6:Y155)</f>
        <v>1200</v>
      </c>
      <c r="Z4" s="77">
        <f>SUM(Z6:Z155)</f>
        <v>0</v>
      </c>
      <c r="AA4" s="77">
        <f>SUM(AA6:AA155)</f>
        <v>0</v>
      </c>
      <c r="AB4" s="77">
        <f>SUM(AB6:AB155)</f>
        <v>1200</v>
      </c>
      <c r="AC4" s="77">
        <f>SUM(AC6:AC155)</f>
        <v>80</v>
      </c>
      <c r="AD4" s="77">
        <f>SUM(AD6:AD155)</f>
        <v>0</v>
      </c>
      <c r="AE4" s="77">
        <f>SUM(AE6:AE155)</f>
        <v>1120</v>
      </c>
      <c r="AF4" s="77">
        <f>SUM(AF6:AF155)</f>
        <v>0</v>
      </c>
      <c r="AG4" s="77">
        <f>SUM(AG6:AG155)</f>
        <v>1120</v>
      </c>
      <c r="AH4" s="77">
        <f>SUM(AH6:AH155)</f>
        <v>0</v>
      </c>
      <c r="AI4" s="77">
        <f>SUM(AI6:AI155)</f>
        <v>0</v>
      </c>
      <c r="AJ4" s="77">
        <f>SUM(AJ6:AJ155)</f>
        <v>0</v>
      </c>
      <c r="AK4" s="105" t="n"/>
      <c r="AL4" s="105" t="n"/>
      <c r="BC4" s="2">
        <f>SUM(CA1:CA4)</f>
        <v>0</v>
      </c>
      <c r="BD4" s="2">
        <f>SUM(CB1:CB4)</f>
        <v>0</v>
      </c>
      <c r="CA4" s="2">
        <f>IF(AND(_辅助!$E$4&lt;&gt;"",(COUNTIFS(考勤工资!$D$5:$D$1004,_辅助!$E$4,考勤工资!$Y$5:$Y$1004,$E$3)+COUNTIFS(考勤工资!$F$5:$F$1004,_辅助!$E$4,考勤工资!$Y$5:$Y$1004,$E$3)+COUNTIFS(考勤工资!$H$5:$H$1004,_辅助!$E$4,考勤工资!$Y$5:$Y$1004,$E$3)+COUNTIFS(考勤工资!$J$5:$J$1004,_辅助!$E$4,考勤工资!$Y$5:$Y$1004,$E$3))&gt;0),1,0)</f>
        <v>0</v>
      </c>
      <c r="CB4" s="2">
        <f>IF(考勤工资!$Y$8=$E$3,1,0)</f>
        <v>0</v>
      </c>
    </row>
    <row r="5" ht="40" customHeight="1">
      <c r="A5" s="116" t="inlineStr">
        <is>
          <t>序号</t>
        </is>
      </c>
      <c r="B5" s="116" t="inlineStr">
        <is>
          <t>姓名</t>
        </is>
      </c>
      <c r="C5" s="116" t="inlineStr">
        <is>
          <t>身份证号</t>
        </is>
      </c>
      <c r="D5" s="116" t="inlineStr">
        <is>
          <t>手机号</t>
        </is>
      </c>
      <c r="E5" s="116" t="inlineStr">
        <is>
          <t>银行账号</t>
        </is>
      </c>
      <c r="F5" s="116" t="inlineStr">
        <is>
          <t>开户行</t>
        </is>
      </c>
      <c r="G5" s="17" t="str">
        <f>IFERROR(INDEX(_辅助!$E$1:$E$61,MATCH(1,$BC$1:$BC$61,0)),"")</f>
        <v>邹桥派出所</v>
      </c>
      <c r="H5" s="17">
        <f>IFERROR(INDEX(_辅助!$E$1:$E$61,MATCH(2,$BC$1:$BC$61,0)),"")</f>
      </c>
      <c r="I5" s="17">
        <f>IFERROR(INDEX(_辅助!$E$1:$E$61,MATCH(3,$BC$1:$BC$61,0)),"")</f>
      </c>
      <c r="J5" s="17">
        <f>IFERROR(INDEX(_辅助!$E$1:$E$61,MATCH(4,$BC$1:$BC$61,0)),"")</f>
      </c>
      <c r="K5" s="17">
        <f>IFERROR(INDEX(_辅助!$E$1:$E$61,MATCH(5,$BC$1:$BC$61,0)),"")</f>
      </c>
      <c r="L5" s="17">
        <f>IFERROR(INDEX(_辅助!$E$1:$E$61,MATCH(6,$BC$1:$BC$61,0)),"")</f>
      </c>
      <c r="M5" s="17">
        <f>IFERROR(INDEX(_辅助!$E$1:$E$61,MATCH(7,$BC$1:$BC$61,0)),"")</f>
      </c>
      <c r="N5" s="17">
        <f>IF($BC$61&gt;8,"其他项目",IFERROR(INDEX(_辅助!$E$1:$E$61,MATCH(8,$BC$1:$BC$61,0)),""))</f>
      </c>
      <c r="O5" s="116" t="inlineStr">
        <is>
          <t>合计
天数</t>
        </is>
      </c>
      <c r="P5" s="116" t="inlineStr">
        <is>
          <t>日工资
(月工资)</t>
        </is>
      </c>
      <c r="Q5" s="17" t="str">
        <f>IF(G$5="","",G$5&amp;"小计")</f>
        <v>邹桥派出所小计</v>
      </c>
      <c r="R5" s="17">
        <f>IF(H$5="","",H$5&amp;"小计")</f>
      </c>
      <c r="S5" s="17">
        <f>IF(I$5="","",I$5&amp;"小计")</f>
      </c>
      <c r="T5" s="17">
        <f>IF(J$5="","",J$5&amp;"小计")</f>
      </c>
      <c r="U5" s="17">
        <f>IF(K$5="","",K$5&amp;"小计")</f>
      </c>
      <c r="V5" s="17">
        <f>IF(L$5="","",L$5&amp;"小计")</f>
      </c>
      <c r="W5" s="17">
        <f>IF(M$5="","",M$5&amp;"小计")</f>
      </c>
      <c r="X5" s="17">
        <f>IF(N$5="","",N$5&amp;"小计")</f>
      </c>
      <c r="Y5" s="116" t="inlineStr">
        <is>
          <t>基本工资</t>
        </is>
      </c>
      <c r="Z5" s="116" t="inlineStr">
        <is>
          <t>补贴</t>
        </is>
      </c>
      <c r="AA5" s="116" t="inlineStr">
        <is>
          <t>其他加减</t>
        </is>
      </c>
      <c r="AB5" s="116" t="inlineStr">
        <is>
          <t>应发工资</t>
        </is>
      </c>
      <c r="AC5" s="116" t="inlineStr">
        <is>
          <t>代扣
个税</t>
        </is>
      </c>
      <c r="AD5" s="116" t="inlineStr">
        <is>
          <t>代扣
社保</t>
        </is>
      </c>
      <c r="AE5" s="116" t="inlineStr">
        <is>
          <t>实发应付</t>
        </is>
      </c>
      <c r="AF5" s="116" t="inlineStr">
        <is>
          <t>上月底
欠薪</t>
        </is>
      </c>
      <c r="AG5" s="116" t="inlineStr">
        <is>
          <t>本月发放</t>
        </is>
      </c>
      <c r="AH5" s="116" t="inlineStr">
        <is>
          <t>总包代发</t>
        </is>
      </c>
      <c r="AI5" s="116" t="inlineStr">
        <is>
          <t>已退回</t>
        </is>
      </c>
      <c r="AJ5" s="116" t="inlineStr">
        <is>
          <t>月底欠薪
（这个人）</t>
        </is>
      </c>
      <c r="AK5" s="116" t="inlineStr">
        <is>
          <t>签字</t>
        </is>
      </c>
      <c r="AL5" s="116" t="inlineStr">
        <is>
          <t>备注</t>
        </is>
      </c>
      <c r="BC5" s="2">
        <f>SUM(CA1:CA5)</f>
        <v>0</v>
      </c>
      <c r="BD5" s="2">
        <f>SUM(CB1:CB5)</f>
        <v>0</v>
      </c>
      <c r="CA5" s="2">
        <f>IF(AND(_辅助!$E$5&lt;&gt;"",(COUNTIFS(考勤工资!$D$5:$D$1004,_辅助!$E$5,考勤工资!$Y$5:$Y$1004,$E$3)+COUNTIFS(考勤工资!$F$5:$F$1004,_辅助!$E$5,考勤工资!$Y$5:$Y$1004,$E$3)+COUNTIFS(考勤工资!$H$5:$H$1004,_辅助!$E$5,考勤工资!$Y$5:$Y$1004,$E$3)+COUNTIFS(考勤工资!$J$5:$J$1004,_辅助!$E$5,考勤工资!$Y$5:$Y$1004,$E$3))&gt;0),1,0)</f>
        <v>0</v>
      </c>
      <c r="CB5" s="2">
        <f>IF(考勤工资!$Y$9=$E$3,1,0)</f>
        <v>0</v>
      </c>
    </row>
    <row r="6">
      <c r="A6" s="94">
        <f>IF($AN6=0,"",1)</f>
        <v>1</v>
      </c>
      <c r="B6" s="94" t="str">
        <f t="shared" ref="B6:B155" si="32">IF($AN6=0,"",INDEX(考勤工资!$C$5:$C$1004,$AN6))</f>
        <v>张洪林</v>
      </c>
      <c r="C6" s="96">
        <f t="shared" ref="C6:C155" si="33">IF($AN6=0,"",IFERROR(INDEX(往来单位!$G$4:$G$303,MATCH($B6,往来单位!$B$4:$B$303,0))&amp;"",""))</f>
      </c>
      <c r="D6" s="94">
        <f t="shared" ref="D6:D155" si="0">IF($AN6=0,"",IFERROR(INDEX(往来单位!$H$4:$H$303,MATCH($B6,往来单位!$B$4:$B$303,0))&amp;"",""))</f>
      </c>
      <c r="E6" s="117">
        <f t="shared" ref="E6:E155" si="1">IF($AN6=0,"",IFERROR(INDEX(往来单位!$I$4:$I$303,MATCH($B6,往来单位!$B$4:$B$303,0))&amp;"",""))</f>
      </c>
      <c r="F6" s="96">
        <f t="shared" ref="F6:F155" si="2">IF($AN6=0,"",IFERROR(INDEX(往来单位!$J$4:$J$303,MATCH($B6,往来单位!$B$4:$B$303,0))&amp;"",""))</f>
      </c>
      <c r="G6" s="118">
        <f t="shared" ref="G6:G155" si="3">IF(OR($AN6=0,G$5=""),"",(AP6=G$5)*AT6+(AQ6=G$5)*AU6+(AR6=G$5)*AV6+(AS6=G$5)*AW6)</f>
        <v>1</v>
      </c>
      <c r="H6" s="118">
        <f t="shared" ref="H6:H155" si="4">IF(OR($AN6=0,H$5=""),"",(AP6=H$5)*AT6+(AQ6=H$5)*AU6+(AR6=H$5)*AV6+(AS6=H$5)*AW6)</f>
      </c>
      <c r="I6" s="118">
        <f t="shared" ref="I6:I155" si="5">IF(OR($AN6=0,I$5=""),"",(AP6=I$5)*AT6+(AQ6=I$5)*AU6+(AR6=I$5)*AV6+(AS6=I$5)*AW6)</f>
      </c>
      <c r="J6" s="118">
        <f t="shared" ref="J6:J155" si="6">IF(OR($AN6=0,J$5=""),"",(AP6=J$5)*AT6+(AQ6=J$5)*AU6+(AR6=J$5)*AV6+(AS6=J$5)*AW6)</f>
      </c>
      <c r="K6" s="118">
        <f t="shared" ref="K6:K155" si="7">IF(OR($AN6=0,K$5=""),"",(AP6=K$5)*AT6+(AQ6=K$5)*AU6+(AR6=K$5)*AV6+(AS6=K$5)*AW6)</f>
      </c>
      <c r="L6" s="118">
        <f t="shared" ref="L6:L155" si="8">IF(OR($AN6=0,L$5=""),"",(AP6=L$5)*AT6+(AQ6=L$5)*AU6+(AR6=L$5)*AV6+(AS6=L$5)*AW6)</f>
      </c>
      <c r="M6" s="118">
        <f t="shared" ref="M6:M155" si="9">IF(OR($AN6=0,M$5=""),"",(AP6=M$5)*AT6+(AQ6=M$5)*AU6+(AR6=M$5)*AV6+(AS6=M$5)*AW6)</f>
      </c>
      <c r="N6" s="118">
        <f t="shared" ref="N6:N155" si="10">IF(OR($AN6=0,N$5=""),"",IF(N$5="其他项目",AT6+AU6+AV6+AW6-(N(G6)+N(H6)+N(I6)+N(J6)+N(K6)+N(L6)+N(M6)),(AP6=N$5)*AT6+(AQ6=N$5)*AU6+(AR6=N$5)*AV6+(AS6=N$5)*AW6))</f>
      </c>
      <c r="O6" s="118">
        <f t="shared" ref="O6:O155" si="11">IF($AN6=0,"",N(INDEX(考勤工资!$R$5:$R$1004,$AN6)))</f>
        <v>1</v>
      </c>
      <c r="P6" s="119">
        <f t="shared" ref="P6:P155" si="34">IF($AN6=0,"",N(INDEX(考勤工资!$S$5:$S$1004,$AN6)))</f>
        <v>1200</v>
      </c>
      <c r="Q6" s="21">
        <f t="shared" ref="Q6:Q155" si="12">IF(OR($AN6=0,G$5=""),"",(AP6=G$5)*AX6+(AQ6=G$5)*AY6+(AR6=G$5)*AZ6+(AS6=G$5)*BA6)</f>
        <v>1200</v>
      </c>
      <c r="R6" s="21">
        <f t="shared" ref="R6:R155" si="13">IF(OR($AN6=0,H$5=""),"",(AP6=H$5)*AX6+(AQ6=H$5)*AY6+(AR6=H$5)*AZ6+(AS6=H$5)*BA6)</f>
      </c>
      <c r="S6" s="21">
        <f t="shared" ref="S6:S155" si="14">IF(OR($AN6=0,I$5=""),"",(AP6=I$5)*AX6+(AQ6=I$5)*AY6+(AR6=I$5)*AZ6+(AS6=I$5)*BA6)</f>
      </c>
      <c r="T6" s="21">
        <f t="shared" ref="T6:T155" si="15">IF(OR($AN6=0,J$5=""),"",(AP6=J$5)*AX6+(AQ6=J$5)*AY6+(AR6=J$5)*AZ6+(AS6=J$5)*BA6)</f>
      </c>
      <c r="U6" s="21">
        <f t="shared" ref="U6:U155" si="16">IF(OR($AN6=0,K$5=""),"",(AP6=K$5)*AX6+(AQ6=K$5)*AY6+(AR6=K$5)*AZ6+(AS6=K$5)*BA6)</f>
      </c>
      <c r="V6" s="21">
        <f t="shared" ref="V6:V155" si="17">IF(OR($AN6=0,L$5=""),"",(AP6=L$5)*AX6+(AQ6=L$5)*AY6+(AR6=L$5)*AZ6+(AS6=L$5)*BA6)</f>
      </c>
      <c r="W6" s="21">
        <f t="shared" ref="W6:W155" si="18">IF(OR($AN6=0,M$5=""),"",(AP6=M$5)*AX6+(AQ6=M$5)*AY6+(AR6=M$5)*AZ6+(AS6=M$5)*BA6)</f>
      </c>
      <c r="X6" s="21">
        <f t="shared" ref="X6:X155" si="19">IF(OR($AN6=0,N$5=""),"",IF(N$5="其他项目",AX6+AY6+AZ6+BA6-(N(Q6)+N(R6)+N(S6)+N(T6)+N(U6)+N(V6)+N(W6)),(AP6=N$5)*AX6+(AQ6=N$5)*AY6+(AR6=N$5)*AZ6+(AS6=N$5)*BA6))</f>
      </c>
      <c r="Y6" s="21">
        <f t="shared" ref="Y6:Y155" si="20">IF($AN6=0,"",N(INDEX(考勤工资!$U$5:$U$1004,$AN6)))</f>
        <v>1200</v>
      </c>
      <c r="Z6" s="21">
        <f t="shared" ref="Z6:Z155" si="21">IF($AN6=0,"",N(INDEX(考勤工资!$M$5:$M$1004,$AN6)))</f>
        <v>0</v>
      </c>
      <c r="AA6" s="21">
        <f t="shared" ref="AA6:AA155" si="22">IF($AN6=0,"",N(INDEX(考勤工资!$N$5:$N$1004,$AN6)))</f>
        <v>0</v>
      </c>
      <c r="AB6" s="21">
        <f t="shared" ref="AB6:AB155" si="23">IF($AN6=0,"",N(INDEX(考勤工资!$V$5:$V$1004,$AN6)))</f>
        <v>1200</v>
      </c>
      <c r="AC6" s="21">
        <f t="shared" ref="AC6:AC155" si="24">IF($AN6=0,"",N(INDEX(考勤工资!$O$5:$O$1004,$AN6)))</f>
        <v>80</v>
      </c>
      <c r="AD6" s="21">
        <f t="shared" ref="AD6:AD155" si="25">IF($AN6=0,"",N(INDEX(考勤工资!$P$5:$P$1004,$AN6)))</f>
        <v>0</v>
      </c>
      <c r="AE6" s="21">
        <f t="shared" ref="AE6:AE155" si="26">IF($AN6=0,"",N(INDEX(考勤工资!$W$5:$W$1004,$AN6)))</f>
        <v>1120</v>
      </c>
      <c r="AF6" s="21">
        <f t="shared" ref="AF6:AF155" si="27">IF($AN6=0,"",IF($AO6=1,ROUND(N(IFERROR(INDEX(往来单位!$M$4:$M$303,MATCH($B6,往来单位!$B$4:$B$303,0)),0))+SUMIFS(考勤工资!$W$5:$W$1004,考勤工资!$C$5:$C$1004,$B6,考勤工资!$Y$5:$Y$1004,"&gt;="&amp;_辅助!$J$4,考勤工资!$Y$5:$Y$1004,"&lt;="&amp;IF(MOD($E$3,100)=1,$E$3-89,$E$3-1))+SUMIFS(资金流水!$R$6:$R$2005,资金流水!$J$6:$J$2005,$B6,资金流水!$X$6:$X$2005,"应付职工薪酬",资金流水!$S$6:$S$2005,"&gt;="&amp;_辅助!$J$4,资金流水!$S$6:$S$2005,"&lt;="&amp;IF(MOD($E$3,100)=1,$E$3-89,$E$3-1))-SUMIFS(代发抵账!$F$5:$F$304,代发抵账!$E$5:$E$304,$B6,代发抵账!$D$5:$D$304,"总包代发工资",代发抵账!$H$5:$H$304,"&gt;="&amp;_辅助!$J$4,代发抵账!$H$5:$H$304,"&lt;="&amp;IF(MOD($E$3,100)=1,$E$3-89,$E$3-1)),2),0))</f>
        <v>0</v>
      </c>
      <c r="AG6" s="21">
        <f t="shared" ref="AG6:AG155" si="28">IF($AN6=0,"",IF($AO6=1,-SUMIFS(资金流水!$R$6:$R$2005,资金流水!$J$6:$J$2005,$B6,资金流水!$X$6:$X$2005,"应付职工薪酬",资金流水!$R$6:$R$2005,"&lt;0",资金流水!$S$6:$S$2005,$E$3),0))</f>
        <v>1120</v>
      </c>
      <c r="AH6" s="21">
        <f t="shared" ref="AH6:AH155" si="29">IF($AN6=0,"",IF($AO6=1,SUMIFS(代发抵账!$F$5:$F$304,代发抵账!$E$5:$E$304,$B6,代发抵账!$D$5:$D$304,"总包代发工资",代发抵账!$H$5:$H$304,$E$3),0))</f>
        <v>0</v>
      </c>
      <c r="AI6" s="21">
        <f t="shared" ref="AI6:AI155" si="30">IF($AN6=0,"",IF($AO6=1,SUMIFS(资金流水!$R$6:$R$2005,资金流水!$J$6:$J$2005,$B6,资金流水!$X$6:$X$2005,"应付职工薪酬",资金流水!$R$6:$R$2005,"&gt;0",资金流水!$S$6:$S$2005,$E$3),0))</f>
        <v>0</v>
      </c>
      <c r="AJ6" s="21">
        <f t="shared" ref="AJ6:AJ155" si="31">IF($AN6=0,"",IF($AO6=1,ROUND(AF6+SUMIFS($AE$6:$AE$155,$B$6:$B$155,$B6)-AG6-AH6+AI6,2),""))</f>
        <v>0</v>
      </c>
      <c r="AK6" s="94" t="n"/>
      <c r="AL6" s="96" t="str">
        <f t="shared" ref="AL6:AL155" si="35">IF($AN6=0,"",INDEX(考勤工资!$Q$5:$Q$1004,$AN6)&amp;"")</f>
        <v>搬运保温棉 1 天（流水 7/31 实发 1,120）</v>
      </c>
      <c r="AN6" s="2">
        <f>IF(1&gt;$BD$1000,0,IFERROR(MATCH(1,$BD$1:$BD$1000,0),0))</f>
        <v>45</v>
      </c>
      <c r="AO6" s="2">
        <f t="shared" ref="AO6:AO155" si="36">IF($AN6=0,0,IF(COUNTIF($B$6:B6,$B6)=1,1,0))</f>
        <v>1</v>
      </c>
      <c r="AP6" s="2" t="str">
        <f t="shared" ref="AP6:AP155" si="37">IF($AN6=0,"",INDEX(考勤工资!$D$5:$D$1004,$AN6)&amp;"")</f>
        <v>邹桥派出所</v>
      </c>
      <c r="AQ6" s="2">
        <f t="shared" ref="AQ6:AQ155" si="38">IF($AN6=0,"",INDEX(考勤工资!$F$5:$F$1004,$AN6)&amp;"")</f>
      </c>
      <c r="AR6" s="2">
        <f t="shared" ref="AR6:AR155" si="39">IF($AN6=0,"",INDEX(考勤工资!$H$5:$H$1004,$AN6)&amp;"")</f>
      </c>
      <c r="AS6" s="2">
        <f t="shared" ref="AS6:AS155" si="40">IF($AN6=0,"",INDEX(考勤工资!$J$5:$J$1004,$AN6)&amp;"")</f>
      </c>
      <c r="AT6" s="2">
        <f t="shared" ref="AT6:AT155" si="41">IF($AN6=0,0,N(INDEX(考勤工资!$E$5:$E$1004,$AN6)))</f>
        <v>1</v>
      </c>
      <c r="AU6" s="2">
        <f t="shared" ref="AU6:AU155" si="42">IF($AN6=0,0,N(INDEX(考勤工资!$G$5:$G$1004,$AN6)))</f>
        <v>0</v>
      </c>
      <c r="AV6" s="2">
        <f t="shared" ref="AV6:AV155" si="43">IF($AN6=0,0,N(INDEX(考勤工资!$I$5:$I$1004,$AN6)))</f>
        <v>0</v>
      </c>
      <c r="AW6" s="2">
        <f t="shared" ref="AW6:AW155" si="44">IF($AN6=0,0,N(INDEX(考勤工资!$K$5:$K$1004,$AN6)))</f>
        <v>0</v>
      </c>
      <c r="AX6" s="2">
        <f t="shared" ref="AX6:AX155" si="45">IF($AN6=0,0,N(INDEX(考勤工资!$AC$5:$AC$1004,$AN6)))</f>
        <v>1200</v>
      </c>
      <c r="AY6" s="2">
        <f t="shared" ref="AY6:AY155" si="46">IF($AN6=0,0,N(INDEX(考勤工资!$AD$5:$AD$1004,$AN6)))</f>
        <v>0</v>
      </c>
      <c r="AZ6" s="2">
        <f t="shared" ref="AZ6:AZ155" si="47">IF($AN6=0,0,N(INDEX(考勤工资!$AE$5:$AE$1004,$AN6)))</f>
        <v>0</v>
      </c>
      <c r="BA6" s="2">
        <f t="shared" ref="BA6:BA155" si="48">IF($AN6=0,0,N(INDEX(考勤工资!$AF$5:$AF$1004,$AN6)))</f>
        <v>0</v>
      </c>
      <c r="BC6" s="2">
        <f>SUM(CA1:CA6)</f>
        <v>1</v>
      </c>
      <c r="BD6" s="2">
        <f>SUM(CB1:CB6)</f>
        <v>0</v>
      </c>
      <c r="CA6" s="2">
        <f>IF(AND(_辅助!$E$6&lt;&gt;"",(COUNTIFS(考勤工资!$D$5:$D$1004,_辅助!$E$6,考勤工资!$Y$5:$Y$1004,$E$3)+COUNTIFS(考勤工资!$F$5:$F$1004,_辅助!$E$6,考勤工资!$Y$5:$Y$1004,$E$3)+COUNTIFS(考勤工资!$H$5:$H$1004,_辅助!$E$6,考勤工资!$Y$5:$Y$1004,$E$3)+COUNTIFS(考勤工资!$J$5:$J$1004,_辅助!$E$6,考勤工资!$Y$5:$Y$1004,$E$3))&gt;0),1,0)</f>
        <v>1</v>
      </c>
      <c r="CB6" s="2">
        <f>IF(考勤工资!$Y$10=$E$3,1,0)</f>
        <v>0</v>
      </c>
    </row>
    <row r="7">
      <c r="A7" s="94">
        <f>IF($AN7=0,"",2)</f>
      </c>
      <c r="B7" s="94">
        <f t="shared" si="32"/>
      </c>
      <c r="C7" s="96">
        <f t="shared" si="33"/>
      </c>
      <c r="D7" s="94">
        <f t="shared" si="0"/>
      </c>
      <c r="E7" s="117">
        <f t="shared" si="1"/>
      </c>
      <c r="F7" s="96">
        <f t="shared" si="2"/>
      </c>
      <c r="G7" s="118">
        <f t="shared" si="3"/>
      </c>
      <c r="H7" s="118">
        <f t="shared" si="4"/>
      </c>
      <c r="I7" s="118">
        <f t="shared" si="5"/>
      </c>
      <c r="J7" s="118">
        <f t="shared" si="6"/>
      </c>
      <c r="K7" s="118">
        <f t="shared" si="7"/>
      </c>
      <c r="L7" s="118">
        <f t="shared" si="8"/>
      </c>
      <c r="M7" s="118">
        <f t="shared" si="9"/>
      </c>
      <c r="N7" s="118">
        <f t="shared" si="10"/>
      </c>
      <c r="O7" s="118">
        <f t="shared" si="11"/>
      </c>
      <c r="P7" s="119">
        <f t="shared" si="34"/>
      </c>
      <c r="Q7" s="21">
        <f t="shared" si="12"/>
      </c>
      <c r="R7" s="21">
        <f t="shared" si="13"/>
      </c>
      <c r="S7" s="21">
        <f t="shared" si="14"/>
      </c>
      <c r="T7" s="21">
        <f t="shared" si="15"/>
      </c>
      <c r="U7" s="21">
        <f t="shared" si="16"/>
      </c>
      <c r="V7" s="21">
        <f t="shared" si="17"/>
      </c>
      <c r="W7" s="21">
        <f t="shared" si="18"/>
      </c>
      <c r="X7" s="21">
        <f t="shared" si="19"/>
      </c>
      <c r="Y7" s="21">
        <f t="shared" si="20"/>
      </c>
      <c r="Z7" s="21">
        <f t="shared" si="21"/>
      </c>
      <c r="AA7" s="21">
        <f t="shared" si="22"/>
      </c>
      <c r="AB7" s="21">
        <f t="shared" si="23"/>
      </c>
      <c r="AC7" s="21">
        <f t="shared" si="24"/>
      </c>
      <c r="AD7" s="21">
        <f t="shared" si="25"/>
      </c>
      <c r="AE7" s="21">
        <f t="shared" si="26"/>
      </c>
      <c r="AF7" s="21">
        <f t="shared" si="27"/>
      </c>
      <c r="AG7" s="21">
        <f t="shared" si="28"/>
      </c>
      <c r="AH7" s="21">
        <f t="shared" si="29"/>
      </c>
      <c r="AI7" s="21">
        <f t="shared" si="30"/>
      </c>
      <c r="AJ7" s="21">
        <f t="shared" si="31"/>
      </c>
      <c r="AK7" s="94" t="n"/>
      <c r="AL7" s="96">
        <f t="shared" si="35"/>
      </c>
      <c r="AN7" s="2">
        <f>IF(2&gt;$BD$1000,0,IFERROR(MATCH(2,$BD$1:$BD$1000,0),0))</f>
        <v>0</v>
      </c>
      <c r="AO7" s="2">
        <f t="shared" si="36"/>
        <v>0</v>
      </c>
      <c r="AP7" s="2">
        <f t="shared" si="37"/>
      </c>
      <c r="AQ7" s="2">
        <f t="shared" si="38"/>
      </c>
      <c r="AR7" s="2">
        <f t="shared" si="39"/>
      </c>
      <c r="AS7" s="2">
        <f t="shared" si="40"/>
      </c>
      <c r="AT7" s="2">
        <f t="shared" si="41"/>
        <v>0</v>
      </c>
      <c r="AU7" s="2">
        <f t="shared" si="42"/>
        <v>0</v>
      </c>
      <c r="AV7" s="2">
        <f t="shared" si="43"/>
        <v>0</v>
      </c>
      <c r="AW7" s="2">
        <f t="shared" si="44"/>
        <v>0</v>
      </c>
      <c r="AX7" s="2">
        <f t="shared" si="45"/>
        <v>0</v>
      </c>
      <c r="AY7" s="2">
        <f t="shared" si="46"/>
        <v>0</v>
      </c>
      <c r="AZ7" s="2">
        <f t="shared" si="47"/>
        <v>0</v>
      </c>
      <c r="BA7" s="2">
        <f t="shared" si="48"/>
        <v>0</v>
      </c>
      <c r="BC7" s="2">
        <f>SUM(CA1:CA7)</f>
        <v>1</v>
      </c>
      <c r="BD7" s="2">
        <f>SUM(CB1:CB7)</f>
        <v>0</v>
      </c>
      <c r="CA7" s="2">
        <f>IF(AND(_辅助!$E$7&lt;&gt;"",(COUNTIFS(考勤工资!$D$5:$D$1004,_辅助!$E$7,考勤工资!$Y$5:$Y$1004,$E$3)+COUNTIFS(考勤工资!$F$5:$F$1004,_辅助!$E$7,考勤工资!$Y$5:$Y$1004,$E$3)+COUNTIFS(考勤工资!$H$5:$H$1004,_辅助!$E$7,考勤工资!$Y$5:$Y$1004,$E$3)+COUNTIFS(考勤工资!$J$5:$J$1004,_辅助!$E$7,考勤工资!$Y$5:$Y$1004,$E$3))&gt;0),1,0)</f>
        <v>0</v>
      </c>
      <c r="CB7" s="2">
        <f>IF(考勤工资!$Y$11=$E$3,1,0)</f>
        <v>0</v>
      </c>
    </row>
    <row r="8">
      <c r="A8" s="94">
        <f>IF($AN8=0,"",3)</f>
      </c>
      <c r="B8" s="94">
        <f t="shared" si="32"/>
      </c>
      <c r="C8" s="96">
        <f t="shared" si="33"/>
      </c>
      <c r="D8" s="94">
        <f t="shared" si="0"/>
      </c>
      <c r="E8" s="117">
        <f t="shared" si="1"/>
      </c>
      <c r="F8" s="96">
        <f t="shared" si="2"/>
      </c>
      <c r="G8" s="118">
        <f t="shared" si="3"/>
      </c>
      <c r="H8" s="118">
        <f t="shared" si="4"/>
      </c>
      <c r="I8" s="118">
        <f t="shared" si="5"/>
      </c>
      <c r="J8" s="118">
        <f t="shared" si="6"/>
      </c>
      <c r="K8" s="118">
        <f t="shared" si="7"/>
      </c>
      <c r="L8" s="118">
        <f t="shared" si="8"/>
      </c>
      <c r="M8" s="118">
        <f t="shared" si="9"/>
      </c>
      <c r="N8" s="118">
        <f t="shared" si="10"/>
      </c>
      <c r="O8" s="118">
        <f t="shared" si="11"/>
      </c>
      <c r="P8" s="119">
        <f t="shared" si="34"/>
      </c>
      <c r="Q8" s="21">
        <f t="shared" si="12"/>
      </c>
      <c r="R8" s="21">
        <f t="shared" si="13"/>
      </c>
      <c r="S8" s="21">
        <f t="shared" si="14"/>
      </c>
      <c r="T8" s="21">
        <f t="shared" si="15"/>
      </c>
      <c r="U8" s="21">
        <f t="shared" si="16"/>
      </c>
      <c r="V8" s="21">
        <f t="shared" si="17"/>
      </c>
      <c r="W8" s="21">
        <f t="shared" si="18"/>
      </c>
      <c r="X8" s="21">
        <f t="shared" si="19"/>
      </c>
      <c r="Y8" s="21">
        <f t="shared" si="20"/>
      </c>
      <c r="Z8" s="21">
        <f t="shared" si="21"/>
      </c>
      <c r="AA8" s="21">
        <f t="shared" si="22"/>
      </c>
      <c r="AB8" s="21">
        <f t="shared" si="23"/>
      </c>
      <c r="AC8" s="21">
        <f t="shared" si="24"/>
      </c>
      <c r="AD8" s="21">
        <f t="shared" si="25"/>
      </c>
      <c r="AE8" s="21">
        <f t="shared" si="26"/>
      </c>
      <c r="AF8" s="21">
        <f t="shared" si="27"/>
      </c>
      <c r="AG8" s="21">
        <f t="shared" si="28"/>
      </c>
      <c r="AH8" s="21">
        <f t="shared" si="29"/>
      </c>
      <c r="AI8" s="21">
        <f t="shared" si="30"/>
      </c>
      <c r="AJ8" s="21">
        <f t="shared" si="31"/>
      </c>
      <c r="AK8" s="94" t="n"/>
      <c r="AL8" s="96">
        <f t="shared" si="35"/>
      </c>
      <c r="AN8" s="2">
        <f>IF(3&gt;$BD$1000,0,IFERROR(MATCH(3,$BD$1:$BD$1000,0),0))</f>
        <v>0</v>
      </c>
      <c r="AO8" s="2">
        <f t="shared" si="36"/>
        <v>0</v>
      </c>
      <c r="AP8" s="2">
        <f t="shared" si="37"/>
      </c>
      <c r="AQ8" s="2">
        <f t="shared" si="38"/>
      </c>
      <c r="AR8" s="2">
        <f t="shared" si="39"/>
      </c>
      <c r="AS8" s="2">
        <f t="shared" si="40"/>
      </c>
      <c r="AT8" s="2">
        <f t="shared" si="41"/>
        <v>0</v>
      </c>
      <c r="AU8" s="2">
        <f t="shared" si="42"/>
        <v>0</v>
      </c>
      <c r="AV8" s="2">
        <f t="shared" si="43"/>
        <v>0</v>
      </c>
      <c r="AW8" s="2">
        <f t="shared" si="44"/>
        <v>0</v>
      </c>
      <c r="AX8" s="2">
        <f t="shared" si="45"/>
        <v>0</v>
      </c>
      <c r="AY8" s="2">
        <f t="shared" si="46"/>
        <v>0</v>
      </c>
      <c r="AZ8" s="2">
        <f t="shared" si="47"/>
        <v>0</v>
      </c>
      <c r="BA8" s="2">
        <f t="shared" si="48"/>
        <v>0</v>
      </c>
      <c r="BC8" s="2">
        <f>SUM(CA1:CA8)</f>
        <v>1</v>
      </c>
      <c r="BD8" s="2">
        <f>SUM(CB1:CB8)</f>
        <v>0</v>
      </c>
      <c r="CA8" s="2">
        <f>IF(AND(_辅助!$E$8&lt;&gt;"",(COUNTIFS(考勤工资!$D$5:$D$1004,_辅助!$E$8,考勤工资!$Y$5:$Y$1004,$E$3)+COUNTIFS(考勤工资!$F$5:$F$1004,_辅助!$E$8,考勤工资!$Y$5:$Y$1004,$E$3)+COUNTIFS(考勤工资!$H$5:$H$1004,_辅助!$E$8,考勤工资!$Y$5:$Y$1004,$E$3)+COUNTIFS(考勤工资!$J$5:$J$1004,_辅助!$E$8,考勤工资!$Y$5:$Y$1004,$E$3))&gt;0),1,0)</f>
        <v>0</v>
      </c>
      <c r="CB8" s="2">
        <f>IF(考勤工资!$Y$12=$E$3,1,0)</f>
        <v>0</v>
      </c>
    </row>
    <row r="9">
      <c r="A9" s="94">
        <f>IF($AN9=0,"",4)</f>
      </c>
      <c r="B9" s="94">
        <f t="shared" si="32"/>
      </c>
      <c r="C9" s="96">
        <f t="shared" si="33"/>
      </c>
      <c r="D9" s="94">
        <f t="shared" si="0"/>
      </c>
      <c r="E9" s="117">
        <f t="shared" si="1"/>
      </c>
      <c r="F9" s="96">
        <f t="shared" si="2"/>
      </c>
      <c r="G9" s="118">
        <f t="shared" si="3"/>
      </c>
      <c r="H9" s="118">
        <f t="shared" si="4"/>
      </c>
      <c r="I9" s="118">
        <f t="shared" si="5"/>
      </c>
      <c r="J9" s="118">
        <f t="shared" si="6"/>
      </c>
      <c r="K9" s="118">
        <f t="shared" si="7"/>
      </c>
      <c r="L9" s="118">
        <f t="shared" si="8"/>
      </c>
      <c r="M9" s="118">
        <f t="shared" si="9"/>
      </c>
      <c r="N9" s="118">
        <f t="shared" si="10"/>
      </c>
      <c r="O9" s="118">
        <f t="shared" si="11"/>
      </c>
      <c r="P9" s="119">
        <f t="shared" si="34"/>
      </c>
      <c r="Q9" s="21">
        <f t="shared" si="12"/>
      </c>
      <c r="R9" s="21">
        <f t="shared" si="13"/>
      </c>
      <c r="S9" s="21">
        <f t="shared" si="14"/>
      </c>
      <c r="T9" s="21">
        <f t="shared" si="15"/>
      </c>
      <c r="U9" s="21">
        <f t="shared" si="16"/>
      </c>
      <c r="V9" s="21">
        <f t="shared" si="17"/>
      </c>
      <c r="W9" s="21">
        <f t="shared" si="18"/>
      </c>
      <c r="X9" s="21">
        <f t="shared" si="19"/>
      </c>
      <c r="Y9" s="21">
        <f t="shared" si="20"/>
      </c>
      <c r="Z9" s="21">
        <f t="shared" si="21"/>
      </c>
      <c r="AA9" s="21">
        <f t="shared" si="22"/>
      </c>
      <c r="AB9" s="21">
        <f t="shared" si="23"/>
      </c>
      <c r="AC9" s="21">
        <f t="shared" si="24"/>
      </c>
      <c r="AD9" s="21">
        <f t="shared" si="25"/>
      </c>
      <c r="AE9" s="21">
        <f t="shared" si="26"/>
      </c>
      <c r="AF9" s="21">
        <f t="shared" si="27"/>
      </c>
      <c r="AG9" s="21">
        <f t="shared" si="28"/>
      </c>
      <c r="AH9" s="21">
        <f t="shared" si="29"/>
      </c>
      <c r="AI9" s="21">
        <f t="shared" si="30"/>
      </c>
      <c r="AJ9" s="21">
        <f t="shared" si="31"/>
      </c>
      <c r="AK9" s="94" t="n"/>
      <c r="AL9" s="96">
        <f t="shared" si="35"/>
      </c>
      <c r="AN9" s="2">
        <f>IF(4&gt;$BD$1000,0,IFERROR(MATCH(4,$BD$1:$BD$1000,0),0))</f>
        <v>0</v>
      </c>
      <c r="AO9" s="2">
        <f t="shared" si="36"/>
        <v>0</v>
      </c>
      <c r="AP9" s="2">
        <f t="shared" si="37"/>
      </c>
      <c r="AQ9" s="2">
        <f t="shared" si="38"/>
      </c>
      <c r="AR9" s="2">
        <f t="shared" si="39"/>
      </c>
      <c r="AS9" s="2">
        <f t="shared" si="40"/>
      </c>
      <c r="AT9" s="2">
        <f t="shared" si="41"/>
        <v>0</v>
      </c>
      <c r="AU9" s="2">
        <f t="shared" si="42"/>
        <v>0</v>
      </c>
      <c r="AV9" s="2">
        <f t="shared" si="43"/>
        <v>0</v>
      </c>
      <c r="AW9" s="2">
        <f t="shared" si="44"/>
        <v>0</v>
      </c>
      <c r="AX9" s="2">
        <f t="shared" si="45"/>
        <v>0</v>
      </c>
      <c r="AY9" s="2">
        <f t="shared" si="46"/>
        <v>0</v>
      </c>
      <c r="AZ9" s="2">
        <f t="shared" si="47"/>
        <v>0</v>
      </c>
      <c r="BA9" s="2">
        <f t="shared" si="48"/>
        <v>0</v>
      </c>
      <c r="BC9" s="2">
        <f>SUM(CA1:CA9)</f>
        <v>1</v>
      </c>
      <c r="BD9" s="2">
        <f>SUM(CB1:CB9)</f>
        <v>0</v>
      </c>
      <c r="CA9" s="2">
        <f>IF(AND(_辅助!$E$9&lt;&gt;"",(COUNTIFS(考勤工资!$D$5:$D$1004,_辅助!$E$9,考勤工资!$Y$5:$Y$1004,$E$3)+COUNTIFS(考勤工资!$F$5:$F$1004,_辅助!$E$9,考勤工资!$Y$5:$Y$1004,$E$3)+COUNTIFS(考勤工资!$H$5:$H$1004,_辅助!$E$9,考勤工资!$Y$5:$Y$1004,$E$3)+COUNTIFS(考勤工资!$J$5:$J$1004,_辅助!$E$9,考勤工资!$Y$5:$Y$1004,$E$3))&gt;0),1,0)</f>
        <v>0</v>
      </c>
      <c r="CB9" s="2">
        <f>IF(考勤工资!$Y$13=$E$3,1,0)</f>
        <v>0</v>
      </c>
    </row>
    <row r="10">
      <c r="A10" s="94">
        <f>IF($AN10=0,"",5)</f>
      </c>
      <c r="B10" s="94">
        <f t="shared" si="32"/>
      </c>
      <c r="C10" s="96">
        <f t="shared" si="33"/>
      </c>
      <c r="D10" s="94">
        <f t="shared" si="0"/>
      </c>
      <c r="E10" s="117">
        <f t="shared" si="1"/>
      </c>
      <c r="F10" s="96">
        <f t="shared" si="2"/>
      </c>
      <c r="G10" s="118">
        <f t="shared" si="3"/>
      </c>
      <c r="H10" s="118">
        <f t="shared" si="4"/>
      </c>
      <c r="I10" s="118">
        <f t="shared" si="5"/>
      </c>
      <c r="J10" s="118">
        <f t="shared" si="6"/>
      </c>
      <c r="K10" s="118">
        <f t="shared" si="7"/>
      </c>
      <c r="L10" s="118">
        <f t="shared" si="8"/>
      </c>
      <c r="M10" s="118">
        <f t="shared" si="9"/>
      </c>
      <c r="N10" s="118">
        <f t="shared" si="10"/>
      </c>
      <c r="O10" s="118">
        <f t="shared" si="11"/>
      </c>
      <c r="P10" s="119">
        <f t="shared" si="34"/>
      </c>
      <c r="Q10" s="21">
        <f t="shared" si="12"/>
      </c>
      <c r="R10" s="21">
        <f t="shared" si="13"/>
      </c>
      <c r="S10" s="21">
        <f t="shared" si="14"/>
      </c>
      <c r="T10" s="21">
        <f t="shared" si="15"/>
      </c>
      <c r="U10" s="21">
        <f t="shared" si="16"/>
      </c>
      <c r="V10" s="21">
        <f t="shared" si="17"/>
      </c>
      <c r="W10" s="21">
        <f t="shared" si="18"/>
      </c>
      <c r="X10" s="21">
        <f t="shared" si="19"/>
      </c>
      <c r="Y10" s="21">
        <f t="shared" si="20"/>
      </c>
      <c r="Z10" s="21">
        <f t="shared" si="21"/>
      </c>
      <c r="AA10" s="21">
        <f t="shared" si="22"/>
      </c>
      <c r="AB10" s="21">
        <f t="shared" si="23"/>
      </c>
      <c r="AC10" s="21">
        <f t="shared" si="24"/>
      </c>
      <c r="AD10" s="21">
        <f t="shared" si="25"/>
      </c>
      <c r="AE10" s="21">
        <f t="shared" si="26"/>
      </c>
      <c r="AF10" s="21">
        <f t="shared" si="27"/>
      </c>
      <c r="AG10" s="21">
        <f t="shared" si="28"/>
      </c>
      <c r="AH10" s="21">
        <f t="shared" si="29"/>
      </c>
      <c r="AI10" s="21">
        <f t="shared" si="30"/>
      </c>
      <c r="AJ10" s="21">
        <f t="shared" si="31"/>
      </c>
      <c r="AK10" s="94" t="n"/>
      <c r="AL10" s="96">
        <f t="shared" si="35"/>
      </c>
      <c r="AN10" s="2">
        <f>IF(5&gt;$BD$1000,0,IFERROR(MATCH(5,$BD$1:$BD$1000,0),0))</f>
        <v>0</v>
      </c>
      <c r="AO10" s="2">
        <f t="shared" si="36"/>
        <v>0</v>
      </c>
      <c r="AP10" s="2">
        <f t="shared" si="37"/>
      </c>
      <c r="AQ10" s="2">
        <f t="shared" si="38"/>
      </c>
      <c r="AR10" s="2">
        <f t="shared" si="39"/>
      </c>
      <c r="AS10" s="2">
        <f t="shared" si="40"/>
      </c>
      <c r="AT10" s="2">
        <f t="shared" si="41"/>
        <v>0</v>
      </c>
      <c r="AU10" s="2">
        <f t="shared" si="42"/>
        <v>0</v>
      </c>
      <c r="AV10" s="2">
        <f t="shared" si="43"/>
        <v>0</v>
      </c>
      <c r="AW10" s="2">
        <f t="shared" si="44"/>
        <v>0</v>
      </c>
      <c r="AX10" s="2">
        <f t="shared" si="45"/>
        <v>0</v>
      </c>
      <c r="AY10" s="2">
        <f t="shared" si="46"/>
        <v>0</v>
      </c>
      <c r="AZ10" s="2">
        <f t="shared" si="47"/>
        <v>0</v>
      </c>
      <c r="BA10" s="2">
        <f t="shared" si="48"/>
        <v>0</v>
      </c>
      <c r="BC10" s="2">
        <f>SUM(CA1:CA10)</f>
        <v>1</v>
      </c>
      <c r="BD10" s="2">
        <f>SUM(CB1:CB10)</f>
        <v>0</v>
      </c>
      <c r="CA10" s="2">
        <f>IF(AND(_辅助!$E$10&lt;&gt;"",(COUNTIFS(考勤工资!$D$5:$D$1004,_辅助!$E$10,考勤工资!$Y$5:$Y$1004,$E$3)+COUNTIFS(考勤工资!$F$5:$F$1004,_辅助!$E$10,考勤工资!$Y$5:$Y$1004,$E$3)+COUNTIFS(考勤工资!$H$5:$H$1004,_辅助!$E$10,考勤工资!$Y$5:$Y$1004,$E$3)+COUNTIFS(考勤工资!$J$5:$J$1004,_辅助!$E$10,考勤工资!$Y$5:$Y$1004,$E$3))&gt;0),1,0)</f>
        <v>0</v>
      </c>
      <c r="CB10" s="2">
        <f>IF(考勤工资!$Y$14=$E$3,1,0)</f>
        <v>0</v>
      </c>
    </row>
    <row r="11">
      <c r="A11" s="94">
        <f>IF($AN11=0,"",6)</f>
      </c>
      <c r="B11" s="94">
        <f t="shared" si="32"/>
      </c>
      <c r="C11" s="96">
        <f t="shared" si="33"/>
      </c>
      <c r="D11" s="94">
        <f t="shared" si="0"/>
      </c>
      <c r="E11" s="117">
        <f t="shared" si="1"/>
      </c>
      <c r="F11" s="96">
        <f t="shared" si="2"/>
      </c>
      <c r="G11" s="118">
        <f t="shared" si="3"/>
      </c>
      <c r="H11" s="118">
        <f t="shared" si="4"/>
      </c>
      <c r="I11" s="118">
        <f t="shared" si="5"/>
      </c>
      <c r="J11" s="118">
        <f t="shared" si="6"/>
      </c>
      <c r="K11" s="118">
        <f t="shared" si="7"/>
      </c>
      <c r="L11" s="118">
        <f t="shared" si="8"/>
      </c>
      <c r="M11" s="118">
        <f t="shared" si="9"/>
      </c>
      <c r="N11" s="118">
        <f t="shared" si="10"/>
      </c>
      <c r="O11" s="118">
        <f t="shared" si="11"/>
      </c>
      <c r="P11" s="119">
        <f t="shared" si="34"/>
      </c>
      <c r="Q11" s="21">
        <f t="shared" si="12"/>
      </c>
      <c r="R11" s="21">
        <f t="shared" si="13"/>
      </c>
      <c r="S11" s="21">
        <f t="shared" si="14"/>
      </c>
      <c r="T11" s="21">
        <f t="shared" si="15"/>
      </c>
      <c r="U11" s="21">
        <f t="shared" si="16"/>
      </c>
      <c r="V11" s="21">
        <f t="shared" si="17"/>
      </c>
      <c r="W11" s="21">
        <f t="shared" si="18"/>
      </c>
      <c r="X11" s="21">
        <f t="shared" si="19"/>
      </c>
      <c r="Y11" s="21">
        <f t="shared" si="20"/>
      </c>
      <c r="Z11" s="21">
        <f t="shared" si="21"/>
      </c>
      <c r="AA11" s="21">
        <f t="shared" si="22"/>
      </c>
      <c r="AB11" s="21">
        <f t="shared" si="23"/>
      </c>
      <c r="AC11" s="21">
        <f t="shared" si="24"/>
      </c>
      <c r="AD11" s="21">
        <f t="shared" si="25"/>
      </c>
      <c r="AE11" s="21">
        <f t="shared" si="26"/>
      </c>
      <c r="AF11" s="21">
        <f t="shared" si="27"/>
      </c>
      <c r="AG11" s="21">
        <f t="shared" si="28"/>
      </c>
      <c r="AH11" s="21">
        <f t="shared" si="29"/>
      </c>
      <c r="AI11" s="21">
        <f t="shared" si="30"/>
      </c>
      <c r="AJ11" s="21">
        <f t="shared" si="31"/>
      </c>
      <c r="AK11" s="94" t="n"/>
      <c r="AL11" s="96">
        <f t="shared" si="35"/>
      </c>
      <c r="AN11" s="2">
        <f>IF(6&gt;$BD$1000,0,IFERROR(MATCH(6,$BD$1:$BD$1000,0),0))</f>
        <v>0</v>
      </c>
      <c r="AO11" s="2">
        <f t="shared" si="36"/>
        <v>0</v>
      </c>
      <c r="AP11" s="2">
        <f t="shared" si="37"/>
      </c>
      <c r="AQ11" s="2">
        <f t="shared" si="38"/>
      </c>
      <c r="AR11" s="2">
        <f t="shared" si="39"/>
      </c>
      <c r="AS11" s="2">
        <f t="shared" si="40"/>
      </c>
      <c r="AT11" s="2">
        <f t="shared" si="41"/>
        <v>0</v>
      </c>
      <c r="AU11" s="2">
        <f t="shared" si="42"/>
        <v>0</v>
      </c>
      <c r="AV11" s="2">
        <f t="shared" si="43"/>
        <v>0</v>
      </c>
      <c r="AW11" s="2">
        <f t="shared" si="44"/>
        <v>0</v>
      </c>
      <c r="AX11" s="2">
        <f t="shared" si="45"/>
        <v>0</v>
      </c>
      <c r="AY11" s="2">
        <f t="shared" si="46"/>
        <v>0</v>
      </c>
      <c r="AZ11" s="2">
        <f t="shared" si="47"/>
        <v>0</v>
      </c>
      <c r="BA11" s="2">
        <f t="shared" si="48"/>
        <v>0</v>
      </c>
      <c r="BC11" s="2">
        <f>SUM(CA1:CA11)</f>
        <v>1</v>
      </c>
      <c r="BD11" s="2">
        <f>SUM(CB1:CB11)</f>
        <v>0</v>
      </c>
      <c r="CA11" s="2">
        <f>IF(AND(_辅助!$E$11&lt;&gt;"",(COUNTIFS(考勤工资!$D$5:$D$1004,_辅助!$E$11,考勤工资!$Y$5:$Y$1004,$E$3)+COUNTIFS(考勤工资!$F$5:$F$1004,_辅助!$E$11,考勤工资!$Y$5:$Y$1004,$E$3)+COUNTIFS(考勤工资!$H$5:$H$1004,_辅助!$E$11,考勤工资!$Y$5:$Y$1004,$E$3)+COUNTIFS(考勤工资!$J$5:$J$1004,_辅助!$E$11,考勤工资!$Y$5:$Y$1004,$E$3))&gt;0),1,0)</f>
        <v>0</v>
      </c>
      <c r="CB11" s="2">
        <f>IF(考勤工资!$Y$15=$E$3,1,0)</f>
        <v>0</v>
      </c>
    </row>
    <row r="12">
      <c r="A12" s="94">
        <f>IF($AN12=0,"",7)</f>
      </c>
      <c r="B12" s="94">
        <f t="shared" si="32"/>
      </c>
      <c r="C12" s="96">
        <f t="shared" si="33"/>
      </c>
      <c r="D12" s="94">
        <f t="shared" si="0"/>
      </c>
      <c r="E12" s="117">
        <f t="shared" si="1"/>
      </c>
      <c r="F12" s="96">
        <f t="shared" si="2"/>
      </c>
      <c r="G12" s="118">
        <f t="shared" si="3"/>
      </c>
      <c r="H12" s="118">
        <f t="shared" si="4"/>
      </c>
      <c r="I12" s="118">
        <f t="shared" si="5"/>
      </c>
      <c r="J12" s="118">
        <f t="shared" si="6"/>
      </c>
      <c r="K12" s="118">
        <f t="shared" si="7"/>
      </c>
      <c r="L12" s="118">
        <f t="shared" si="8"/>
      </c>
      <c r="M12" s="118">
        <f t="shared" si="9"/>
      </c>
      <c r="N12" s="118">
        <f t="shared" si="10"/>
      </c>
      <c r="O12" s="118">
        <f t="shared" si="11"/>
      </c>
      <c r="P12" s="119">
        <f t="shared" si="34"/>
      </c>
      <c r="Q12" s="21">
        <f t="shared" si="12"/>
      </c>
      <c r="R12" s="21">
        <f t="shared" si="13"/>
      </c>
      <c r="S12" s="21">
        <f t="shared" si="14"/>
      </c>
      <c r="T12" s="21">
        <f t="shared" si="15"/>
      </c>
      <c r="U12" s="21">
        <f t="shared" si="16"/>
      </c>
      <c r="V12" s="21">
        <f t="shared" si="17"/>
      </c>
      <c r="W12" s="21">
        <f t="shared" si="18"/>
      </c>
      <c r="X12" s="21">
        <f t="shared" si="19"/>
      </c>
      <c r="Y12" s="21">
        <f t="shared" si="20"/>
      </c>
      <c r="Z12" s="21">
        <f t="shared" si="21"/>
      </c>
      <c r="AA12" s="21">
        <f t="shared" si="22"/>
      </c>
      <c r="AB12" s="21">
        <f t="shared" si="23"/>
      </c>
      <c r="AC12" s="21">
        <f t="shared" si="24"/>
      </c>
      <c r="AD12" s="21">
        <f t="shared" si="25"/>
      </c>
      <c r="AE12" s="21">
        <f t="shared" si="26"/>
      </c>
      <c r="AF12" s="21">
        <f t="shared" si="27"/>
      </c>
      <c r="AG12" s="21">
        <f t="shared" si="28"/>
      </c>
      <c r="AH12" s="21">
        <f t="shared" si="29"/>
      </c>
      <c r="AI12" s="21">
        <f t="shared" si="30"/>
      </c>
      <c r="AJ12" s="21">
        <f t="shared" si="31"/>
      </c>
      <c r="AK12" s="94" t="n"/>
      <c r="AL12" s="96">
        <f t="shared" si="35"/>
      </c>
      <c r="AN12" s="2">
        <f>IF(7&gt;$BD$1000,0,IFERROR(MATCH(7,$BD$1:$BD$1000,0),0))</f>
        <v>0</v>
      </c>
      <c r="AO12" s="2">
        <f t="shared" si="36"/>
        <v>0</v>
      </c>
      <c r="AP12" s="2">
        <f t="shared" si="37"/>
      </c>
      <c r="AQ12" s="2">
        <f t="shared" si="38"/>
      </c>
      <c r="AR12" s="2">
        <f t="shared" si="39"/>
      </c>
      <c r="AS12" s="2">
        <f t="shared" si="40"/>
      </c>
      <c r="AT12" s="2">
        <f t="shared" si="41"/>
        <v>0</v>
      </c>
      <c r="AU12" s="2">
        <f t="shared" si="42"/>
        <v>0</v>
      </c>
      <c r="AV12" s="2">
        <f t="shared" si="43"/>
        <v>0</v>
      </c>
      <c r="AW12" s="2">
        <f t="shared" si="44"/>
        <v>0</v>
      </c>
      <c r="AX12" s="2">
        <f t="shared" si="45"/>
        <v>0</v>
      </c>
      <c r="AY12" s="2">
        <f t="shared" si="46"/>
        <v>0</v>
      </c>
      <c r="AZ12" s="2">
        <f t="shared" si="47"/>
        <v>0</v>
      </c>
      <c r="BA12" s="2">
        <f t="shared" si="48"/>
        <v>0</v>
      </c>
      <c r="BC12" s="2">
        <f>SUM(CA1:CA12)</f>
        <v>1</v>
      </c>
      <c r="BD12" s="2">
        <f>SUM(CB1:CB12)</f>
        <v>0</v>
      </c>
      <c r="CA12" s="2">
        <f>IF(AND(_辅助!$E$12&lt;&gt;"",(COUNTIFS(考勤工资!$D$5:$D$1004,_辅助!$E$12,考勤工资!$Y$5:$Y$1004,$E$3)+COUNTIFS(考勤工资!$F$5:$F$1004,_辅助!$E$12,考勤工资!$Y$5:$Y$1004,$E$3)+COUNTIFS(考勤工资!$H$5:$H$1004,_辅助!$E$12,考勤工资!$Y$5:$Y$1004,$E$3)+COUNTIFS(考勤工资!$J$5:$J$1004,_辅助!$E$12,考勤工资!$Y$5:$Y$1004,$E$3))&gt;0),1,0)</f>
        <v>0</v>
      </c>
      <c r="CB12" s="2">
        <f>IF(考勤工资!$Y$16=$E$3,1,0)</f>
        <v>0</v>
      </c>
    </row>
    <row r="13">
      <c r="A13" s="94">
        <f>IF($AN13=0,"",8)</f>
      </c>
      <c r="B13" s="94">
        <f t="shared" si="32"/>
      </c>
      <c r="C13" s="96">
        <f t="shared" si="33"/>
      </c>
      <c r="D13" s="94">
        <f t="shared" si="0"/>
      </c>
      <c r="E13" s="117">
        <f t="shared" si="1"/>
      </c>
      <c r="F13" s="96">
        <f t="shared" si="2"/>
      </c>
      <c r="G13" s="118">
        <f t="shared" si="3"/>
      </c>
      <c r="H13" s="118">
        <f t="shared" si="4"/>
      </c>
      <c r="I13" s="118">
        <f t="shared" si="5"/>
      </c>
      <c r="J13" s="118">
        <f t="shared" si="6"/>
      </c>
      <c r="K13" s="118">
        <f t="shared" si="7"/>
      </c>
      <c r="L13" s="118">
        <f t="shared" si="8"/>
      </c>
      <c r="M13" s="118">
        <f t="shared" si="9"/>
      </c>
      <c r="N13" s="118">
        <f t="shared" si="10"/>
      </c>
      <c r="O13" s="118">
        <f t="shared" si="11"/>
      </c>
      <c r="P13" s="119">
        <f t="shared" si="34"/>
      </c>
      <c r="Q13" s="21">
        <f t="shared" si="12"/>
      </c>
      <c r="R13" s="21">
        <f t="shared" si="13"/>
      </c>
      <c r="S13" s="21">
        <f t="shared" si="14"/>
      </c>
      <c r="T13" s="21">
        <f t="shared" si="15"/>
      </c>
      <c r="U13" s="21">
        <f t="shared" si="16"/>
      </c>
      <c r="V13" s="21">
        <f t="shared" si="17"/>
      </c>
      <c r="W13" s="21">
        <f t="shared" si="18"/>
      </c>
      <c r="X13" s="21">
        <f t="shared" si="19"/>
      </c>
      <c r="Y13" s="21">
        <f t="shared" si="20"/>
      </c>
      <c r="Z13" s="21">
        <f t="shared" si="21"/>
      </c>
      <c r="AA13" s="21">
        <f t="shared" si="22"/>
      </c>
      <c r="AB13" s="21">
        <f t="shared" si="23"/>
      </c>
      <c r="AC13" s="21">
        <f t="shared" si="24"/>
      </c>
      <c r="AD13" s="21">
        <f t="shared" si="25"/>
      </c>
      <c r="AE13" s="21">
        <f t="shared" si="26"/>
      </c>
      <c r="AF13" s="21">
        <f t="shared" si="27"/>
      </c>
      <c r="AG13" s="21">
        <f t="shared" si="28"/>
      </c>
      <c r="AH13" s="21">
        <f t="shared" si="29"/>
      </c>
      <c r="AI13" s="21">
        <f t="shared" si="30"/>
      </c>
      <c r="AJ13" s="21">
        <f t="shared" si="31"/>
      </c>
      <c r="AK13" s="94" t="n"/>
      <c r="AL13" s="96">
        <f t="shared" si="35"/>
      </c>
      <c r="AN13" s="2">
        <f>IF(8&gt;$BD$1000,0,IFERROR(MATCH(8,$BD$1:$BD$1000,0),0))</f>
        <v>0</v>
      </c>
      <c r="AO13" s="2">
        <f t="shared" si="36"/>
        <v>0</v>
      </c>
      <c r="AP13" s="2">
        <f t="shared" si="37"/>
      </c>
      <c r="AQ13" s="2">
        <f t="shared" si="38"/>
      </c>
      <c r="AR13" s="2">
        <f t="shared" si="39"/>
      </c>
      <c r="AS13" s="2">
        <f t="shared" si="40"/>
      </c>
      <c r="AT13" s="2">
        <f t="shared" si="41"/>
        <v>0</v>
      </c>
      <c r="AU13" s="2">
        <f t="shared" si="42"/>
        <v>0</v>
      </c>
      <c r="AV13" s="2">
        <f t="shared" si="43"/>
        <v>0</v>
      </c>
      <c r="AW13" s="2">
        <f t="shared" si="44"/>
        <v>0</v>
      </c>
      <c r="AX13" s="2">
        <f t="shared" si="45"/>
        <v>0</v>
      </c>
      <c r="AY13" s="2">
        <f t="shared" si="46"/>
        <v>0</v>
      </c>
      <c r="AZ13" s="2">
        <f t="shared" si="47"/>
        <v>0</v>
      </c>
      <c r="BA13" s="2">
        <f t="shared" si="48"/>
        <v>0</v>
      </c>
      <c r="BC13" s="2">
        <f>SUM(CA1:CA13)</f>
        <v>1</v>
      </c>
      <c r="BD13" s="2">
        <f>SUM(CB1:CB13)</f>
        <v>0</v>
      </c>
      <c r="CA13" s="2">
        <f>IF(AND(_辅助!$E$13&lt;&gt;"",(COUNTIFS(考勤工资!$D$5:$D$1004,_辅助!$E$13,考勤工资!$Y$5:$Y$1004,$E$3)+COUNTIFS(考勤工资!$F$5:$F$1004,_辅助!$E$13,考勤工资!$Y$5:$Y$1004,$E$3)+COUNTIFS(考勤工资!$H$5:$H$1004,_辅助!$E$13,考勤工资!$Y$5:$Y$1004,$E$3)+COUNTIFS(考勤工资!$J$5:$J$1004,_辅助!$E$13,考勤工资!$Y$5:$Y$1004,$E$3))&gt;0),1,0)</f>
        <v>0</v>
      </c>
      <c r="CB13" s="2">
        <f>IF(考勤工资!$Y$17=$E$3,1,0)</f>
        <v>0</v>
      </c>
    </row>
    <row r="14">
      <c r="A14" s="94">
        <f>IF($AN14=0,"",9)</f>
      </c>
      <c r="B14" s="94">
        <f t="shared" si="32"/>
      </c>
      <c r="C14" s="96">
        <f t="shared" si="33"/>
      </c>
      <c r="D14" s="94">
        <f t="shared" si="0"/>
      </c>
      <c r="E14" s="117">
        <f t="shared" si="1"/>
      </c>
      <c r="F14" s="96">
        <f t="shared" si="2"/>
      </c>
      <c r="G14" s="118">
        <f t="shared" si="3"/>
      </c>
      <c r="H14" s="118">
        <f t="shared" si="4"/>
      </c>
      <c r="I14" s="118">
        <f t="shared" si="5"/>
      </c>
      <c r="J14" s="118">
        <f t="shared" si="6"/>
      </c>
      <c r="K14" s="118">
        <f t="shared" si="7"/>
      </c>
      <c r="L14" s="118">
        <f t="shared" si="8"/>
      </c>
      <c r="M14" s="118">
        <f t="shared" si="9"/>
      </c>
      <c r="N14" s="118">
        <f t="shared" si="10"/>
      </c>
      <c r="O14" s="118">
        <f t="shared" si="11"/>
      </c>
      <c r="P14" s="119">
        <f t="shared" si="34"/>
      </c>
      <c r="Q14" s="21">
        <f t="shared" si="12"/>
      </c>
      <c r="R14" s="21">
        <f t="shared" si="13"/>
      </c>
      <c r="S14" s="21">
        <f t="shared" si="14"/>
      </c>
      <c r="T14" s="21">
        <f t="shared" si="15"/>
      </c>
      <c r="U14" s="21">
        <f t="shared" si="16"/>
      </c>
      <c r="V14" s="21">
        <f t="shared" si="17"/>
      </c>
      <c r="W14" s="21">
        <f t="shared" si="18"/>
      </c>
      <c r="X14" s="21">
        <f t="shared" si="19"/>
      </c>
      <c r="Y14" s="21">
        <f t="shared" si="20"/>
      </c>
      <c r="Z14" s="21">
        <f t="shared" si="21"/>
      </c>
      <c r="AA14" s="21">
        <f t="shared" si="22"/>
      </c>
      <c r="AB14" s="21">
        <f t="shared" si="23"/>
      </c>
      <c r="AC14" s="21">
        <f t="shared" si="24"/>
      </c>
      <c r="AD14" s="21">
        <f t="shared" si="25"/>
      </c>
      <c r="AE14" s="21">
        <f t="shared" si="26"/>
      </c>
      <c r="AF14" s="21">
        <f t="shared" si="27"/>
      </c>
      <c r="AG14" s="21">
        <f t="shared" si="28"/>
      </c>
      <c r="AH14" s="21">
        <f t="shared" si="29"/>
      </c>
      <c r="AI14" s="21">
        <f t="shared" si="30"/>
      </c>
      <c r="AJ14" s="21">
        <f t="shared" si="31"/>
      </c>
      <c r="AK14" s="94" t="n"/>
      <c r="AL14" s="96">
        <f t="shared" si="35"/>
      </c>
      <c r="AN14" s="2">
        <f>IF(9&gt;$BD$1000,0,IFERROR(MATCH(9,$BD$1:$BD$1000,0),0))</f>
        <v>0</v>
      </c>
      <c r="AO14" s="2">
        <f t="shared" si="36"/>
        <v>0</v>
      </c>
      <c r="AP14" s="2">
        <f t="shared" si="37"/>
      </c>
      <c r="AQ14" s="2">
        <f t="shared" si="38"/>
      </c>
      <c r="AR14" s="2">
        <f t="shared" si="39"/>
      </c>
      <c r="AS14" s="2">
        <f t="shared" si="40"/>
      </c>
      <c r="AT14" s="2">
        <f t="shared" si="41"/>
        <v>0</v>
      </c>
      <c r="AU14" s="2">
        <f t="shared" si="42"/>
        <v>0</v>
      </c>
      <c r="AV14" s="2">
        <f t="shared" si="43"/>
        <v>0</v>
      </c>
      <c r="AW14" s="2">
        <f t="shared" si="44"/>
        <v>0</v>
      </c>
      <c r="AX14" s="2">
        <f t="shared" si="45"/>
        <v>0</v>
      </c>
      <c r="AY14" s="2">
        <f t="shared" si="46"/>
        <v>0</v>
      </c>
      <c r="AZ14" s="2">
        <f t="shared" si="47"/>
        <v>0</v>
      </c>
      <c r="BA14" s="2">
        <f t="shared" si="48"/>
        <v>0</v>
      </c>
      <c r="BC14" s="2">
        <f>SUM(CA1:CA14)</f>
        <v>1</v>
      </c>
      <c r="BD14" s="2">
        <f>SUM(CB1:CB14)</f>
        <v>0</v>
      </c>
      <c r="CA14" s="2">
        <f>IF(AND(_辅助!$E$14&lt;&gt;"",(COUNTIFS(考勤工资!$D$5:$D$1004,_辅助!$E$14,考勤工资!$Y$5:$Y$1004,$E$3)+COUNTIFS(考勤工资!$F$5:$F$1004,_辅助!$E$14,考勤工资!$Y$5:$Y$1004,$E$3)+COUNTIFS(考勤工资!$H$5:$H$1004,_辅助!$E$14,考勤工资!$Y$5:$Y$1004,$E$3)+COUNTIFS(考勤工资!$J$5:$J$1004,_辅助!$E$14,考勤工资!$Y$5:$Y$1004,$E$3))&gt;0),1,0)</f>
        <v>0</v>
      </c>
      <c r="CB14" s="2">
        <f>IF(考勤工资!$Y$18=$E$3,1,0)</f>
        <v>0</v>
      </c>
    </row>
    <row r="15">
      <c r="A15" s="94">
        <f>IF($AN15=0,"",10)</f>
      </c>
      <c r="B15" s="94">
        <f t="shared" si="32"/>
      </c>
      <c r="C15" s="96">
        <f t="shared" si="33"/>
      </c>
      <c r="D15" s="94">
        <f t="shared" si="0"/>
      </c>
      <c r="E15" s="117">
        <f t="shared" si="1"/>
      </c>
      <c r="F15" s="96">
        <f t="shared" si="2"/>
      </c>
      <c r="G15" s="118">
        <f t="shared" si="3"/>
      </c>
      <c r="H15" s="118">
        <f t="shared" si="4"/>
      </c>
      <c r="I15" s="118">
        <f t="shared" si="5"/>
      </c>
      <c r="J15" s="118">
        <f t="shared" si="6"/>
      </c>
      <c r="K15" s="118">
        <f t="shared" si="7"/>
      </c>
      <c r="L15" s="118">
        <f t="shared" si="8"/>
      </c>
      <c r="M15" s="118">
        <f t="shared" si="9"/>
      </c>
      <c r="N15" s="118">
        <f t="shared" si="10"/>
      </c>
      <c r="O15" s="118">
        <f t="shared" si="11"/>
      </c>
      <c r="P15" s="119">
        <f t="shared" si="34"/>
      </c>
      <c r="Q15" s="21">
        <f t="shared" si="12"/>
      </c>
      <c r="R15" s="21">
        <f t="shared" si="13"/>
      </c>
      <c r="S15" s="21">
        <f t="shared" si="14"/>
      </c>
      <c r="T15" s="21">
        <f t="shared" si="15"/>
      </c>
      <c r="U15" s="21">
        <f t="shared" si="16"/>
      </c>
      <c r="V15" s="21">
        <f t="shared" si="17"/>
      </c>
      <c r="W15" s="21">
        <f t="shared" si="18"/>
      </c>
      <c r="X15" s="21">
        <f t="shared" si="19"/>
      </c>
      <c r="Y15" s="21">
        <f t="shared" si="20"/>
      </c>
      <c r="Z15" s="21">
        <f t="shared" si="21"/>
      </c>
      <c r="AA15" s="21">
        <f t="shared" si="22"/>
      </c>
      <c r="AB15" s="21">
        <f t="shared" si="23"/>
      </c>
      <c r="AC15" s="21">
        <f t="shared" si="24"/>
      </c>
      <c r="AD15" s="21">
        <f t="shared" si="25"/>
      </c>
      <c r="AE15" s="21">
        <f t="shared" si="26"/>
      </c>
      <c r="AF15" s="21">
        <f t="shared" si="27"/>
      </c>
      <c r="AG15" s="21">
        <f t="shared" si="28"/>
      </c>
      <c r="AH15" s="21">
        <f t="shared" si="29"/>
      </c>
      <c r="AI15" s="21">
        <f t="shared" si="30"/>
      </c>
      <c r="AJ15" s="21">
        <f t="shared" si="31"/>
      </c>
      <c r="AK15" s="94" t="n"/>
      <c r="AL15" s="96">
        <f t="shared" si="35"/>
      </c>
      <c r="AN15" s="2">
        <f>IF(10&gt;$BD$1000,0,IFERROR(MATCH(10,$BD$1:$BD$1000,0),0))</f>
        <v>0</v>
      </c>
      <c r="AO15" s="2">
        <f t="shared" si="36"/>
        <v>0</v>
      </c>
      <c r="AP15" s="2">
        <f t="shared" si="37"/>
      </c>
      <c r="AQ15" s="2">
        <f t="shared" si="38"/>
      </c>
      <c r="AR15" s="2">
        <f t="shared" si="39"/>
      </c>
      <c r="AS15" s="2">
        <f t="shared" si="40"/>
      </c>
      <c r="AT15" s="2">
        <f t="shared" si="41"/>
        <v>0</v>
      </c>
      <c r="AU15" s="2">
        <f t="shared" si="42"/>
        <v>0</v>
      </c>
      <c r="AV15" s="2">
        <f t="shared" si="43"/>
        <v>0</v>
      </c>
      <c r="AW15" s="2">
        <f t="shared" si="44"/>
        <v>0</v>
      </c>
      <c r="AX15" s="2">
        <f t="shared" si="45"/>
        <v>0</v>
      </c>
      <c r="AY15" s="2">
        <f t="shared" si="46"/>
        <v>0</v>
      </c>
      <c r="AZ15" s="2">
        <f t="shared" si="47"/>
        <v>0</v>
      </c>
      <c r="BA15" s="2">
        <f t="shared" si="48"/>
        <v>0</v>
      </c>
      <c r="BC15" s="2">
        <f>SUM(CA1:CA15)</f>
        <v>1</v>
      </c>
      <c r="BD15" s="2">
        <f>SUM(CB1:CB15)</f>
        <v>0</v>
      </c>
      <c r="CA15" s="2">
        <f>IF(AND(_辅助!$E$15&lt;&gt;"",(COUNTIFS(考勤工资!$D$5:$D$1004,_辅助!$E$15,考勤工资!$Y$5:$Y$1004,$E$3)+COUNTIFS(考勤工资!$F$5:$F$1004,_辅助!$E$15,考勤工资!$Y$5:$Y$1004,$E$3)+COUNTIFS(考勤工资!$H$5:$H$1004,_辅助!$E$15,考勤工资!$Y$5:$Y$1004,$E$3)+COUNTIFS(考勤工资!$J$5:$J$1004,_辅助!$E$15,考勤工资!$Y$5:$Y$1004,$E$3))&gt;0),1,0)</f>
        <v>0</v>
      </c>
      <c r="CB15" s="2">
        <f>IF(考勤工资!$Y$19=$E$3,1,0)</f>
        <v>0</v>
      </c>
    </row>
    <row r="16">
      <c r="A16" s="94">
        <f>IF($AN16=0,"",11)</f>
      </c>
      <c r="B16" s="94">
        <f t="shared" si="32"/>
      </c>
      <c r="C16" s="96">
        <f t="shared" si="33"/>
      </c>
      <c r="D16" s="94">
        <f t="shared" si="0"/>
      </c>
      <c r="E16" s="117">
        <f t="shared" si="1"/>
      </c>
      <c r="F16" s="96">
        <f t="shared" si="2"/>
      </c>
      <c r="G16" s="118">
        <f t="shared" si="3"/>
      </c>
      <c r="H16" s="118">
        <f t="shared" si="4"/>
      </c>
      <c r="I16" s="118">
        <f t="shared" si="5"/>
      </c>
      <c r="J16" s="118">
        <f t="shared" si="6"/>
      </c>
      <c r="K16" s="118">
        <f t="shared" si="7"/>
      </c>
      <c r="L16" s="118">
        <f t="shared" si="8"/>
      </c>
      <c r="M16" s="118">
        <f t="shared" si="9"/>
      </c>
      <c r="N16" s="118">
        <f t="shared" si="10"/>
      </c>
      <c r="O16" s="118">
        <f t="shared" si="11"/>
      </c>
      <c r="P16" s="119">
        <f t="shared" si="34"/>
      </c>
      <c r="Q16" s="21">
        <f t="shared" si="12"/>
      </c>
      <c r="R16" s="21">
        <f t="shared" si="13"/>
      </c>
      <c r="S16" s="21">
        <f t="shared" si="14"/>
      </c>
      <c r="T16" s="21">
        <f t="shared" si="15"/>
      </c>
      <c r="U16" s="21">
        <f t="shared" si="16"/>
      </c>
      <c r="V16" s="21">
        <f t="shared" si="17"/>
      </c>
      <c r="W16" s="21">
        <f t="shared" si="18"/>
      </c>
      <c r="X16" s="21">
        <f t="shared" si="19"/>
      </c>
      <c r="Y16" s="21">
        <f t="shared" si="20"/>
      </c>
      <c r="Z16" s="21">
        <f t="shared" si="21"/>
      </c>
      <c r="AA16" s="21">
        <f t="shared" si="22"/>
      </c>
      <c r="AB16" s="21">
        <f t="shared" si="23"/>
      </c>
      <c r="AC16" s="21">
        <f t="shared" si="24"/>
      </c>
      <c r="AD16" s="21">
        <f t="shared" si="25"/>
      </c>
      <c r="AE16" s="21">
        <f t="shared" si="26"/>
      </c>
      <c r="AF16" s="21">
        <f t="shared" si="27"/>
      </c>
      <c r="AG16" s="21">
        <f t="shared" si="28"/>
      </c>
      <c r="AH16" s="21">
        <f t="shared" si="29"/>
      </c>
      <c r="AI16" s="21">
        <f t="shared" si="30"/>
      </c>
      <c r="AJ16" s="21">
        <f t="shared" si="31"/>
      </c>
      <c r="AK16" s="94" t="n"/>
      <c r="AL16" s="96">
        <f t="shared" si="35"/>
      </c>
      <c r="AN16" s="2">
        <f>IF(11&gt;$BD$1000,0,IFERROR(MATCH(11,$BD$1:$BD$1000,0),0))</f>
        <v>0</v>
      </c>
      <c r="AO16" s="2">
        <f t="shared" si="36"/>
        <v>0</v>
      </c>
      <c r="AP16" s="2">
        <f t="shared" si="37"/>
      </c>
      <c r="AQ16" s="2">
        <f t="shared" si="38"/>
      </c>
      <c r="AR16" s="2">
        <f t="shared" si="39"/>
      </c>
      <c r="AS16" s="2">
        <f t="shared" si="40"/>
      </c>
      <c r="AT16" s="2">
        <f t="shared" si="41"/>
        <v>0</v>
      </c>
      <c r="AU16" s="2">
        <f t="shared" si="42"/>
        <v>0</v>
      </c>
      <c r="AV16" s="2">
        <f t="shared" si="43"/>
        <v>0</v>
      </c>
      <c r="AW16" s="2">
        <f t="shared" si="44"/>
        <v>0</v>
      </c>
      <c r="AX16" s="2">
        <f t="shared" si="45"/>
        <v>0</v>
      </c>
      <c r="AY16" s="2">
        <f t="shared" si="46"/>
        <v>0</v>
      </c>
      <c r="AZ16" s="2">
        <f t="shared" si="47"/>
        <v>0</v>
      </c>
      <c r="BA16" s="2">
        <f t="shared" si="48"/>
        <v>0</v>
      </c>
      <c r="BC16" s="2">
        <f>SUM(CA1:CA16)</f>
        <v>1</v>
      </c>
      <c r="BD16" s="2">
        <f>SUM(CB1:CB16)</f>
        <v>0</v>
      </c>
      <c r="CA16" s="2">
        <f>IF(AND(_辅助!$E$16&lt;&gt;"",(COUNTIFS(考勤工资!$D$5:$D$1004,_辅助!$E$16,考勤工资!$Y$5:$Y$1004,$E$3)+COUNTIFS(考勤工资!$F$5:$F$1004,_辅助!$E$16,考勤工资!$Y$5:$Y$1004,$E$3)+COUNTIFS(考勤工资!$H$5:$H$1004,_辅助!$E$16,考勤工资!$Y$5:$Y$1004,$E$3)+COUNTIFS(考勤工资!$J$5:$J$1004,_辅助!$E$16,考勤工资!$Y$5:$Y$1004,$E$3))&gt;0),1,0)</f>
        <v>0</v>
      </c>
      <c r="CB16" s="2">
        <f>IF(考勤工资!$Y$20=$E$3,1,0)</f>
        <v>0</v>
      </c>
    </row>
    <row r="17">
      <c r="A17" s="94">
        <f>IF($AN17=0,"",12)</f>
      </c>
      <c r="B17" s="94">
        <f t="shared" si="32"/>
      </c>
      <c r="C17" s="96">
        <f t="shared" si="33"/>
      </c>
      <c r="D17" s="94">
        <f t="shared" si="0"/>
      </c>
      <c r="E17" s="117">
        <f t="shared" si="1"/>
      </c>
      <c r="F17" s="96">
        <f t="shared" si="2"/>
      </c>
      <c r="G17" s="118">
        <f t="shared" si="3"/>
      </c>
      <c r="H17" s="118">
        <f t="shared" si="4"/>
      </c>
      <c r="I17" s="118">
        <f t="shared" si="5"/>
      </c>
      <c r="J17" s="118">
        <f t="shared" si="6"/>
      </c>
      <c r="K17" s="118">
        <f t="shared" si="7"/>
      </c>
      <c r="L17" s="118">
        <f t="shared" si="8"/>
      </c>
      <c r="M17" s="118">
        <f t="shared" si="9"/>
      </c>
      <c r="N17" s="118">
        <f t="shared" si="10"/>
      </c>
      <c r="O17" s="118">
        <f t="shared" si="11"/>
      </c>
      <c r="P17" s="119">
        <f t="shared" si="34"/>
      </c>
      <c r="Q17" s="21">
        <f t="shared" si="12"/>
      </c>
      <c r="R17" s="21">
        <f t="shared" si="13"/>
      </c>
      <c r="S17" s="21">
        <f t="shared" si="14"/>
      </c>
      <c r="T17" s="21">
        <f t="shared" si="15"/>
      </c>
      <c r="U17" s="21">
        <f t="shared" si="16"/>
      </c>
      <c r="V17" s="21">
        <f t="shared" si="17"/>
      </c>
      <c r="W17" s="21">
        <f t="shared" si="18"/>
      </c>
      <c r="X17" s="21">
        <f t="shared" si="19"/>
      </c>
      <c r="Y17" s="21">
        <f t="shared" si="20"/>
      </c>
      <c r="Z17" s="21">
        <f t="shared" si="21"/>
      </c>
      <c r="AA17" s="21">
        <f t="shared" si="22"/>
      </c>
      <c r="AB17" s="21">
        <f t="shared" si="23"/>
      </c>
      <c r="AC17" s="21">
        <f t="shared" si="24"/>
      </c>
      <c r="AD17" s="21">
        <f t="shared" si="25"/>
      </c>
      <c r="AE17" s="21">
        <f t="shared" si="26"/>
      </c>
      <c r="AF17" s="21">
        <f t="shared" si="27"/>
      </c>
      <c r="AG17" s="21">
        <f t="shared" si="28"/>
      </c>
      <c r="AH17" s="21">
        <f t="shared" si="29"/>
      </c>
      <c r="AI17" s="21">
        <f t="shared" si="30"/>
      </c>
      <c r="AJ17" s="21">
        <f t="shared" si="31"/>
      </c>
      <c r="AK17" s="94" t="n"/>
      <c r="AL17" s="96">
        <f t="shared" si="35"/>
      </c>
      <c r="AN17" s="2">
        <f>IF(12&gt;$BD$1000,0,IFERROR(MATCH(12,$BD$1:$BD$1000,0),0))</f>
        <v>0</v>
      </c>
      <c r="AO17" s="2">
        <f t="shared" si="36"/>
        <v>0</v>
      </c>
      <c r="AP17" s="2">
        <f t="shared" si="37"/>
      </c>
      <c r="AQ17" s="2">
        <f t="shared" si="38"/>
      </c>
      <c r="AR17" s="2">
        <f t="shared" si="39"/>
      </c>
      <c r="AS17" s="2">
        <f t="shared" si="40"/>
      </c>
      <c r="AT17" s="2">
        <f t="shared" si="41"/>
        <v>0</v>
      </c>
      <c r="AU17" s="2">
        <f t="shared" si="42"/>
        <v>0</v>
      </c>
      <c r="AV17" s="2">
        <f t="shared" si="43"/>
        <v>0</v>
      </c>
      <c r="AW17" s="2">
        <f t="shared" si="44"/>
        <v>0</v>
      </c>
      <c r="AX17" s="2">
        <f t="shared" si="45"/>
        <v>0</v>
      </c>
      <c r="AY17" s="2">
        <f t="shared" si="46"/>
        <v>0</v>
      </c>
      <c r="AZ17" s="2">
        <f t="shared" si="47"/>
        <v>0</v>
      </c>
      <c r="BA17" s="2">
        <f t="shared" si="48"/>
        <v>0</v>
      </c>
      <c r="BC17" s="2">
        <f>SUM(CA1:CA17)</f>
        <v>1</v>
      </c>
      <c r="BD17" s="2">
        <f>SUM(CB1:CB17)</f>
        <v>0</v>
      </c>
      <c r="CA17" s="2">
        <f>IF(AND(_辅助!$E$17&lt;&gt;"",(COUNTIFS(考勤工资!$D$5:$D$1004,_辅助!$E$17,考勤工资!$Y$5:$Y$1004,$E$3)+COUNTIFS(考勤工资!$F$5:$F$1004,_辅助!$E$17,考勤工资!$Y$5:$Y$1004,$E$3)+COUNTIFS(考勤工资!$H$5:$H$1004,_辅助!$E$17,考勤工资!$Y$5:$Y$1004,$E$3)+COUNTIFS(考勤工资!$J$5:$J$1004,_辅助!$E$17,考勤工资!$Y$5:$Y$1004,$E$3))&gt;0),1,0)</f>
        <v>0</v>
      </c>
      <c r="CB17" s="2">
        <f>IF(考勤工资!$Y$21=$E$3,1,0)</f>
        <v>0</v>
      </c>
    </row>
    <row r="18">
      <c r="A18" s="94">
        <f>IF($AN18=0,"",13)</f>
      </c>
      <c r="B18" s="94">
        <f t="shared" si="32"/>
      </c>
      <c r="C18" s="96">
        <f t="shared" si="33"/>
      </c>
      <c r="D18" s="94">
        <f t="shared" si="0"/>
      </c>
      <c r="E18" s="117">
        <f t="shared" si="1"/>
      </c>
      <c r="F18" s="96">
        <f t="shared" si="2"/>
      </c>
      <c r="G18" s="118">
        <f t="shared" si="3"/>
      </c>
      <c r="H18" s="118">
        <f t="shared" si="4"/>
      </c>
      <c r="I18" s="118">
        <f t="shared" si="5"/>
      </c>
      <c r="J18" s="118">
        <f t="shared" si="6"/>
      </c>
      <c r="K18" s="118">
        <f t="shared" si="7"/>
      </c>
      <c r="L18" s="118">
        <f t="shared" si="8"/>
      </c>
      <c r="M18" s="118">
        <f t="shared" si="9"/>
      </c>
      <c r="N18" s="118">
        <f t="shared" si="10"/>
      </c>
      <c r="O18" s="118">
        <f t="shared" si="11"/>
      </c>
      <c r="P18" s="119">
        <f t="shared" si="34"/>
      </c>
      <c r="Q18" s="21">
        <f t="shared" si="12"/>
      </c>
      <c r="R18" s="21">
        <f t="shared" si="13"/>
      </c>
      <c r="S18" s="21">
        <f t="shared" si="14"/>
      </c>
      <c r="T18" s="21">
        <f t="shared" si="15"/>
      </c>
      <c r="U18" s="21">
        <f t="shared" si="16"/>
      </c>
      <c r="V18" s="21">
        <f t="shared" si="17"/>
      </c>
      <c r="W18" s="21">
        <f t="shared" si="18"/>
      </c>
      <c r="X18" s="21">
        <f t="shared" si="19"/>
      </c>
      <c r="Y18" s="21">
        <f t="shared" si="20"/>
      </c>
      <c r="Z18" s="21">
        <f t="shared" si="21"/>
      </c>
      <c r="AA18" s="21">
        <f t="shared" si="22"/>
      </c>
      <c r="AB18" s="21">
        <f t="shared" si="23"/>
      </c>
      <c r="AC18" s="21">
        <f t="shared" si="24"/>
      </c>
      <c r="AD18" s="21">
        <f t="shared" si="25"/>
      </c>
      <c r="AE18" s="21">
        <f t="shared" si="26"/>
      </c>
      <c r="AF18" s="21">
        <f t="shared" si="27"/>
      </c>
      <c r="AG18" s="21">
        <f t="shared" si="28"/>
      </c>
      <c r="AH18" s="21">
        <f t="shared" si="29"/>
      </c>
      <c r="AI18" s="21">
        <f t="shared" si="30"/>
      </c>
      <c r="AJ18" s="21">
        <f t="shared" si="31"/>
      </c>
      <c r="AK18" s="94" t="n"/>
      <c r="AL18" s="96">
        <f t="shared" si="35"/>
      </c>
      <c r="AN18" s="2">
        <f>IF(13&gt;$BD$1000,0,IFERROR(MATCH(13,$BD$1:$BD$1000,0),0))</f>
        <v>0</v>
      </c>
      <c r="AO18" s="2">
        <f t="shared" si="36"/>
        <v>0</v>
      </c>
      <c r="AP18" s="2">
        <f t="shared" si="37"/>
      </c>
      <c r="AQ18" s="2">
        <f t="shared" si="38"/>
      </c>
      <c r="AR18" s="2">
        <f t="shared" si="39"/>
      </c>
      <c r="AS18" s="2">
        <f t="shared" si="40"/>
      </c>
      <c r="AT18" s="2">
        <f t="shared" si="41"/>
        <v>0</v>
      </c>
      <c r="AU18" s="2">
        <f t="shared" si="42"/>
        <v>0</v>
      </c>
      <c r="AV18" s="2">
        <f t="shared" si="43"/>
        <v>0</v>
      </c>
      <c r="AW18" s="2">
        <f t="shared" si="44"/>
        <v>0</v>
      </c>
      <c r="AX18" s="2">
        <f t="shared" si="45"/>
        <v>0</v>
      </c>
      <c r="AY18" s="2">
        <f t="shared" si="46"/>
        <v>0</v>
      </c>
      <c r="AZ18" s="2">
        <f t="shared" si="47"/>
        <v>0</v>
      </c>
      <c r="BA18" s="2">
        <f t="shared" si="48"/>
        <v>0</v>
      </c>
      <c r="BC18" s="2">
        <f>SUM(CA1:CA18)</f>
        <v>1</v>
      </c>
      <c r="BD18" s="2">
        <f>SUM(CB1:CB18)</f>
        <v>0</v>
      </c>
      <c r="CA18" s="2">
        <f>IF(AND(_辅助!$E$18&lt;&gt;"",(COUNTIFS(考勤工资!$D$5:$D$1004,_辅助!$E$18,考勤工资!$Y$5:$Y$1004,$E$3)+COUNTIFS(考勤工资!$F$5:$F$1004,_辅助!$E$18,考勤工资!$Y$5:$Y$1004,$E$3)+COUNTIFS(考勤工资!$H$5:$H$1004,_辅助!$E$18,考勤工资!$Y$5:$Y$1004,$E$3)+COUNTIFS(考勤工资!$J$5:$J$1004,_辅助!$E$18,考勤工资!$Y$5:$Y$1004,$E$3))&gt;0),1,0)</f>
        <v>0</v>
      </c>
      <c r="CB18" s="2">
        <f>IF(考勤工资!$Y$22=$E$3,1,0)</f>
        <v>0</v>
      </c>
    </row>
    <row r="19">
      <c r="A19" s="94">
        <f>IF($AN19=0,"",14)</f>
      </c>
      <c r="B19" s="94">
        <f t="shared" si="32"/>
      </c>
      <c r="C19" s="96">
        <f t="shared" si="33"/>
      </c>
      <c r="D19" s="94">
        <f t="shared" si="0"/>
      </c>
      <c r="E19" s="117">
        <f t="shared" si="1"/>
      </c>
      <c r="F19" s="96">
        <f t="shared" si="2"/>
      </c>
      <c r="G19" s="118">
        <f t="shared" si="3"/>
      </c>
      <c r="H19" s="118">
        <f t="shared" si="4"/>
      </c>
      <c r="I19" s="118">
        <f t="shared" si="5"/>
      </c>
      <c r="J19" s="118">
        <f t="shared" si="6"/>
      </c>
      <c r="K19" s="118">
        <f t="shared" si="7"/>
      </c>
      <c r="L19" s="118">
        <f t="shared" si="8"/>
      </c>
      <c r="M19" s="118">
        <f t="shared" si="9"/>
      </c>
      <c r="N19" s="118">
        <f t="shared" si="10"/>
      </c>
      <c r="O19" s="118">
        <f t="shared" si="11"/>
      </c>
      <c r="P19" s="119">
        <f t="shared" si="34"/>
      </c>
      <c r="Q19" s="21">
        <f t="shared" si="12"/>
      </c>
      <c r="R19" s="21">
        <f t="shared" si="13"/>
      </c>
      <c r="S19" s="21">
        <f t="shared" si="14"/>
      </c>
      <c r="T19" s="21">
        <f t="shared" si="15"/>
      </c>
      <c r="U19" s="21">
        <f t="shared" si="16"/>
      </c>
      <c r="V19" s="21">
        <f t="shared" si="17"/>
      </c>
      <c r="W19" s="21">
        <f t="shared" si="18"/>
      </c>
      <c r="X19" s="21">
        <f t="shared" si="19"/>
      </c>
      <c r="Y19" s="21">
        <f t="shared" si="20"/>
      </c>
      <c r="Z19" s="21">
        <f t="shared" si="21"/>
      </c>
      <c r="AA19" s="21">
        <f t="shared" si="22"/>
      </c>
      <c r="AB19" s="21">
        <f t="shared" si="23"/>
      </c>
      <c r="AC19" s="21">
        <f t="shared" si="24"/>
      </c>
      <c r="AD19" s="21">
        <f t="shared" si="25"/>
      </c>
      <c r="AE19" s="21">
        <f t="shared" si="26"/>
      </c>
      <c r="AF19" s="21">
        <f t="shared" si="27"/>
      </c>
      <c r="AG19" s="21">
        <f t="shared" si="28"/>
      </c>
      <c r="AH19" s="21">
        <f t="shared" si="29"/>
      </c>
      <c r="AI19" s="21">
        <f t="shared" si="30"/>
      </c>
      <c r="AJ19" s="21">
        <f t="shared" si="31"/>
      </c>
      <c r="AK19" s="94" t="n"/>
      <c r="AL19" s="96">
        <f t="shared" si="35"/>
      </c>
      <c r="AN19" s="2">
        <f>IF(14&gt;$BD$1000,0,IFERROR(MATCH(14,$BD$1:$BD$1000,0),0))</f>
        <v>0</v>
      </c>
      <c r="AO19" s="2">
        <f t="shared" si="36"/>
        <v>0</v>
      </c>
      <c r="AP19" s="2">
        <f t="shared" si="37"/>
      </c>
      <c r="AQ19" s="2">
        <f t="shared" si="38"/>
      </c>
      <c r="AR19" s="2">
        <f t="shared" si="39"/>
      </c>
      <c r="AS19" s="2">
        <f t="shared" si="40"/>
      </c>
      <c r="AT19" s="2">
        <f t="shared" si="41"/>
        <v>0</v>
      </c>
      <c r="AU19" s="2">
        <f t="shared" si="42"/>
        <v>0</v>
      </c>
      <c r="AV19" s="2">
        <f t="shared" si="43"/>
        <v>0</v>
      </c>
      <c r="AW19" s="2">
        <f t="shared" si="44"/>
        <v>0</v>
      </c>
      <c r="AX19" s="2">
        <f t="shared" si="45"/>
        <v>0</v>
      </c>
      <c r="AY19" s="2">
        <f t="shared" si="46"/>
        <v>0</v>
      </c>
      <c r="AZ19" s="2">
        <f t="shared" si="47"/>
        <v>0</v>
      </c>
      <c r="BA19" s="2">
        <f t="shared" si="48"/>
        <v>0</v>
      </c>
      <c r="BC19" s="2">
        <f>SUM(CA1:CA19)</f>
        <v>1</v>
      </c>
      <c r="BD19" s="2">
        <f>SUM(CB1:CB19)</f>
        <v>0</v>
      </c>
      <c r="CA19" s="2">
        <f>IF(AND(_辅助!$E$19&lt;&gt;"",(COUNTIFS(考勤工资!$D$5:$D$1004,_辅助!$E$19,考勤工资!$Y$5:$Y$1004,$E$3)+COUNTIFS(考勤工资!$F$5:$F$1004,_辅助!$E$19,考勤工资!$Y$5:$Y$1004,$E$3)+COUNTIFS(考勤工资!$H$5:$H$1004,_辅助!$E$19,考勤工资!$Y$5:$Y$1004,$E$3)+COUNTIFS(考勤工资!$J$5:$J$1004,_辅助!$E$19,考勤工资!$Y$5:$Y$1004,$E$3))&gt;0),1,0)</f>
        <v>0</v>
      </c>
      <c r="CB19" s="2">
        <f>IF(考勤工资!$Y$23=$E$3,1,0)</f>
        <v>0</v>
      </c>
    </row>
    <row r="20">
      <c r="A20" s="94">
        <f>IF($AN20=0,"",15)</f>
      </c>
      <c r="B20" s="94">
        <f t="shared" si="32"/>
      </c>
      <c r="C20" s="96">
        <f t="shared" si="33"/>
      </c>
      <c r="D20" s="94">
        <f t="shared" si="0"/>
      </c>
      <c r="E20" s="117">
        <f t="shared" si="1"/>
      </c>
      <c r="F20" s="96">
        <f t="shared" si="2"/>
      </c>
      <c r="G20" s="118">
        <f t="shared" si="3"/>
      </c>
      <c r="H20" s="118">
        <f t="shared" si="4"/>
      </c>
      <c r="I20" s="118">
        <f t="shared" si="5"/>
      </c>
      <c r="J20" s="118">
        <f t="shared" si="6"/>
      </c>
      <c r="K20" s="118">
        <f t="shared" si="7"/>
      </c>
      <c r="L20" s="118">
        <f t="shared" si="8"/>
      </c>
      <c r="M20" s="118">
        <f t="shared" si="9"/>
      </c>
      <c r="N20" s="118">
        <f t="shared" si="10"/>
      </c>
      <c r="O20" s="118">
        <f t="shared" si="11"/>
      </c>
      <c r="P20" s="119">
        <f t="shared" si="34"/>
      </c>
      <c r="Q20" s="21">
        <f t="shared" si="12"/>
      </c>
      <c r="R20" s="21">
        <f t="shared" si="13"/>
      </c>
      <c r="S20" s="21">
        <f t="shared" si="14"/>
      </c>
      <c r="T20" s="21">
        <f t="shared" si="15"/>
      </c>
      <c r="U20" s="21">
        <f t="shared" si="16"/>
      </c>
      <c r="V20" s="21">
        <f t="shared" si="17"/>
      </c>
      <c r="W20" s="21">
        <f t="shared" si="18"/>
      </c>
      <c r="X20" s="21">
        <f t="shared" si="19"/>
      </c>
      <c r="Y20" s="21">
        <f t="shared" si="20"/>
      </c>
      <c r="Z20" s="21">
        <f t="shared" si="21"/>
      </c>
      <c r="AA20" s="21">
        <f t="shared" si="22"/>
      </c>
      <c r="AB20" s="21">
        <f t="shared" si="23"/>
      </c>
      <c r="AC20" s="21">
        <f t="shared" si="24"/>
      </c>
      <c r="AD20" s="21">
        <f t="shared" si="25"/>
      </c>
      <c r="AE20" s="21">
        <f t="shared" si="26"/>
      </c>
      <c r="AF20" s="21">
        <f t="shared" si="27"/>
      </c>
      <c r="AG20" s="21">
        <f t="shared" si="28"/>
      </c>
      <c r="AH20" s="21">
        <f t="shared" si="29"/>
      </c>
      <c r="AI20" s="21">
        <f t="shared" si="30"/>
      </c>
      <c r="AJ20" s="21">
        <f t="shared" si="31"/>
      </c>
      <c r="AK20" s="94" t="n"/>
      <c r="AL20" s="96">
        <f t="shared" si="35"/>
      </c>
      <c r="AN20" s="2">
        <f>IF(15&gt;$BD$1000,0,IFERROR(MATCH(15,$BD$1:$BD$1000,0),0))</f>
        <v>0</v>
      </c>
      <c r="AO20" s="2">
        <f t="shared" si="36"/>
        <v>0</v>
      </c>
      <c r="AP20" s="2">
        <f t="shared" si="37"/>
      </c>
      <c r="AQ20" s="2">
        <f t="shared" si="38"/>
      </c>
      <c r="AR20" s="2">
        <f t="shared" si="39"/>
      </c>
      <c r="AS20" s="2">
        <f t="shared" si="40"/>
      </c>
      <c r="AT20" s="2">
        <f t="shared" si="41"/>
        <v>0</v>
      </c>
      <c r="AU20" s="2">
        <f t="shared" si="42"/>
        <v>0</v>
      </c>
      <c r="AV20" s="2">
        <f t="shared" si="43"/>
        <v>0</v>
      </c>
      <c r="AW20" s="2">
        <f t="shared" si="44"/>
        <v>0</v>
      </c>
      <c r="AX20" s="2">
        <f t="shared" si="45"/>
        <v>0</v>
      </c>
      <c r="AY20" s="2">
        <f t="shared" si="46"/>
        <v>0</v>
      </c>
      <c r="AZ20" s="2">
        <f t="shared" si="47"/>
        <v>0</v>
      </c>
      <c r="BA20" s="2">
        <f t="shared" si="48"/>
        <v>0</v>
      </c>
      <c r="BC20" s="2">
        <f>SUM(CA1:CA20)</f>
        <v>1</v>
      </c>
      <c r="BD20" s="2">
        <f>SUM(CB1:CB20)</f>
        <v>0</v>
      </c>
      <c r="CA20" s="2">
        <f>IF(AND(_辅助!$E$20&lt;&gt;"",(COUNTIFS(考勤工资!$D$5:$D$1004,_辅助!$E$20,考勤工资!$Y$5:$Y$1004,$E$3)+COUNTIFS(考勤工资!$F$5:$F$1004,_辅助!$E$20,考勤工资!$Y$5:$Y$1004,$E$3)+COUNTIFS(考勤工资!$H$5:$H$1004,_辅助!$E$20,考勤工资!$Y$5:$Y$1004,$E$3)+COUNTIFS(考勤工资!$J$5:$J$1004,_辅助!$E$20,考勤工资!$Y$5:$Y$1004,$E$3))&gt;0),1,0)</f>
        <v>0</v>
      </c>
      <c r="CB20" s="2">
        <f>IF(考勤工资!$Y$24=$E$3,1,0)</f>
        <v>0</v>
      </c>
    </row>
    <row r="21">
      <c r="A21" s="94">
        <f>IF($AN21=0,"",16)</f>
      </c>
      <c r="B21" s="94">
        <f t="shared" si="32"/>
      </c>
      <c r="C21" s="96">
        <f t="shared" si="33"/>
      </c>
      <c r="D21" s="94">
        <f t="shared" si="0"/>
      </c>
      <c r="E21" s="117">
        <f t="shared" si="1"/>
      </c>
      <c r="F21" s="96">
        <f t="shared" si="2"/>
      </c>
      <c r="G21" s="118">
        <f t="shared" si="3"/>
      </c>
      <c r="H21" s="118">
        <f t="shared" si="4"/>
      </c>
      <c r="I21" s="118">
        <f t="shared" si="5"/>
      </c>
      <c r="J21" s="118">
        <f t="shared" si="6"/>
      </c>
      <c r="K21" s="118">
        <f t="shared" si="7"/>
      </c>
      <c r="L21" s="118">
        <f t="shared" si="8"/>
      </c>
      <c r="M21" s="118">
        <f t="shared" si="9"/>
      </c>
      <c r="N21" s="118">
        <f t="shared" si="10"/>
      </c>
      <c r="O21" s="118">
        <f t="shared" si="11"/>
      </c>
      <c r="P21" s="119">
        <f t="shared" si="34"/>
      </c>
      <c r="Q21" s="21">
        <f t="shared" si="12"/>
      </c>
      <c r="R21" s="21">
        <f t="shared" si="13"/>
      </c>
      <c r="S21" s="21">
        <f t="shared" si="14"/>
      </c>
      <c r="T21" s="21">
        <f t="shared" si="15"/>
      </c>
      <c r="U21" s="21">
        <f t="shared" si="16"/>
      </c>
      <c r="V21" s="21">
        <f t="shared" si="17"/>
      </c>
      <c r="W21" s="21">
        <f t="shared" si="18"/>
      </c>
      <c r="X21" s="21">
        <f t="shared" si="19"/>
      </c>
      <c r="Y21" s="21">
        <f t="shared" si="20"/>
      </c>
      <c r="Z21" s="21">
        <f t="shared" si="21"/>
      </c>
      <c r="AA21" s="21">
        <f t="shared" si="22"/>
      </c>
      <c r="AB21" s="21">
        <f t="shared" si="23"/>
      </c>
      <c r="AC21" s="21">
        <f t="shared" si="24"/>
      </c>
      <c r="AD21" s="21">
        <f t="shared" si="25"/>
      </c>
      <c r="AE21" s="21">
        <f t="shared" si="26"/>
      </c>
      <c r="AF21" s="21">
        <f t="shared" si="27"/>
      </c>
      <c r="AG21" s="21">
        <f t="shared" si="28"/>
      </c>
      <c r="AH21" s="21">
        <f t="shared" si="29"/>
      </c>
      <c r="AI21" s="21">
        <f t="shared" si="30"/>
      </c>
      <c r="AJ21" s="21">
        <f t="shared" si="31"/>
      </c>
      <c r="AK21" s="94" t="n"/>
      <c r="AL21" s="96">
        <f t="shared" si="35"/>
      </c>
      <c r="AN21" s="2">
        <f>IF(16&gt;$BD$1000,0,IFERROR(MATCH(16,$BD$1:$BD$1000,0),0))</f>
        <v>0</v>
      </c>
      <c r="AO21" s="2">
        <f t="shared" si="36"/>
        <v>0</v>
      </c>
      <c r="AP21" s="2">
        <f t="shared" si="37"/>
      </c>
      <c r="AQ21" s="2">
        <f t="shared" si="38"/>
      </c>
      <c r="AR21" s="2">
        <f t="shared" si="39"/>
      </c>
      <c r="AS21" s="2">
        <f t="shared" si="40"/>
      </c>
      <c r="AT21" s="2">
        <f t="shared" si="41"/>
        <v>0</v>
      </c>
      <c r="AU21" s="2">
        <f t="shared" si="42"/>
        <v>0</v>
      </c>
      <c r="AV21" s="2">
        <f t="shared" si="43"/>
        <v>0</v>
      </c>
      <c r="AW21" s="2">
        <f t="shared" si="44"/>
        <v>0</v>
      </c>
      <c r="AX21" s="2">
        <f t="shared" si="45"/>
        <v>0</v>
      </c>
      <c r="AY21" s="2">
        <f t="shared" si="46"/>
        <v>0</v>
      </c>
      <c r="AZ21" s="2">
        <f t="shared" si="47"/>
        <v>0</v>
      </c>
      <c r="BA21" s="2">
        <f t="shared" si="48"/>
        <v>0</v>
      </c>
      <c r="BC21" s="2">
        <f>SUM(CA1:CA21)</f>
        <v>1</v>
      </c>
      <c r="BD21" s="2">
        <f>SUM(CB1:CB21)</f>
        <v>0</v>
      </c>
      <c r="CA21" s="2">
        <f>IF(AND(_辅助!$E$21&lt;&gt;"",(COUNTIFS(考勤工资!$D$5:$D$1004,_辅助!$E$21,考勤工资!$Y$5:$Y$1004,$E$3)+COUNTIFS(考勤工资!$F$5:$F$1004,_辅助!$E$21,考勤工资!$Y$5:$Y$1004,$E$3)+COUNTIFS(考勤工资!$H$5:$H$1004,_辅助!$E$21,考勤工资!$Y$5:$Y$1004,$E$3)+COUNTIFS(考勤工资!$J$5:$J$1004,_辅助!$E$21,考勤工资!$Y$5:$Y$1004,$E$3))&gt;0),1,0)</f>
        <v>0</v>
      </c>
      <c r="CB21" s="2">
        <f>IF(考勤工资!$Y$25=$E$3,1,0)</f>
        <v>0</v>
      </c>
    </row>
    <row r="22">
      <c r="A22" s="94">
        <f>IF($AN22=0,"",17)</f>
      </c>
      <c r="B22" s="94">
        <f t="shared" si="32"/>
      </c>
      <c r="C22" s="96">
        <f t="shared" si="33"/>
      </c>
      <c r="D22" s="94">
        <f t="shared" si="0"/>
      </c>
      <c r="E22" s="117">
        <f t="shared" si="1"/>
      </c>
      <c r="F22" s="96">
        <f t="shared" si="2"/>
      </c>
      <c r="G22" s="118">
        <f t="shared" si="3"/>
      </c>
      <c r="H22" s="118">
        <f t="shared" si="4"/>
      </c>
      <c r="I22" s="118">
        <f t="shared" si="5"/>
      </c>
      <c r="J22" s="118">
        <f t="shared" si="6"/>
      </c>
      <c r="K22" s="118">
        <f t="shared" si="7"/>
      </c>
      <c r="L22" s="118">
        <f t="shared" si="8"/>
      </c>
      <c r="M22" s="118">
        <f t="shared" si="9"/>
      </c>
      <c r="N22" s="118">
        <f t="shared" si="10"/>
      </c>
      <c r="O22" s="118">
        <f t="shared" si="11"/>
      </c>
      <c r="P22" s="119">
        <f t="shared" si="34"/>
      </c>
      <c r="Q22" s="21">
        <f t="shared" si="12"/>
      </c>
      <c r="R22" s="21">
        <f t="shared" si="13"/>
      </c>
      <c r="S22" s="21">
        <f t="shared" si="14"/>
      </c>
      <c r="T22" s="21">
        <f t="shared" si="15"/>
      </c>
      <c r="U22" s="21">
        <f t="shared" si="16"/>
      </c>
      <c r="V22" s="21">
        <f t="shared" si="17"/>
      </c>
      <c r="W22" s="21">
        <f t="shared" si="18"/>
      </c>
      <c r="X22" s="21">
        <f t="shared" si="19"/>
      </c>
      <c r="Y22" s="21">
        <f t="shared" si="20"/>
      </c>
      <c r="Z22" s="21">
        <f t="shared" si="21"/>
      </c>
      <c r="AA22" s="21">
        <f t="shared" si="22"/>
      </c>
      <c r="AB22" s="21">
        <f t="shared" si="23"/>
      </c>
      <c r="AC22" s="21">
        <f t="shared" si="24"/>
      </c>
      <c r="AD22" s="21">
        <f t="shared" si="25"/>
      </c>
      <c r="AE22" s="21">
        <f t="shared" si="26"/>
      </c>
      <c r="AF22" s="21">
        <f t="shared" si="27"/>
      </c>
      <c r="AG22" s="21">
        <f t="shared" si="28"/>
      </c>
      <c r="AH22" s="21">
        <f t="shared" si="29"/>
      </c>
      <c r="AI22" s="21">
        <f t="shared" si="30"/>
      </c>
      <c r="AJ22" s="21">
        <f t="shared" si="31"/>
      </c>
      <c r="AK22" s="94" t="n"/>
      <c r="AL22" s="96">
        <f t="shared" si="35"/>
      </c>
      <c r="AN22" s="2">
        <f>IF(17&gt;$BD$1000,0,IFERROR(MATCH(17,$BD$1:$BD$1000,0),0))</f>
        <v>0</v>
      </c>
      <c r="AO22" s="2">
        <f t="shared" si="36"/>
        <v>0</v>
      </c>
      <c r="AP22" s="2">
        <f t="shared" si="37"/>
      </c>
      <c r="AQ22" s="2">
        <f t="shared" si="38"/>
      </c>
      <c r="AR22" s="2">
        <f t="shared" si="39"/>
      </c>
      <c r="AS22" s="2">
        <f t="shared" si="40"/>
      </c>
      <c r="AT22" s="2">
        <f t="shared" si="41"/>
        <v>0</v>
      </c>
      <c r="AU22" s="2">
        <f t="shared" si="42"/>
        <v>0</v>
      </c>
      <c r="AV22" s="2">
        <f t="shared" si="43"/>
        <v>0</v>
      </c>
      <c r="AW22" s="2">
        <f t="shared" si="44"/>
        <v>0</v>
      </c>
      <c r="AX22" s="2">
        <f t="shared" si="45"/>
        <v>0</v>
      </c>
      <c r="AY22" s="2">
        <f t="shared" si="46"/>
        <v>0</v>
      </c>
      <c r="AZ22" s="2">
        <f t="shared" si="47"/>
        <v>0</v>
      </c>
      <c r="BA22" s="2">
        <f t="shared" si="48"/>
        <v>0</v>
      </c>
      <c r="BC22" s="2">
        <f>SUM(CA1:CA22)</f>
        <v>1</v>
      </c>
      <c r="BD22" s="2">
        <f>SUM(CB1:CB22)</f>
        <v>0</v>
      </c>
      <c r="CA22" s="2">
        <f>IF(AND(_辅助!$E$22&lt;&gt;"",(COUNTIFS(考勤工资!$D$5:$D$1004,_辅助!$E$22,考勤工资!$Y$5:$Y$1004,$E$3)+COUNTIFS(考勤工资!$F$5:$F$1004,_辅助!$E$22,考勤工资!$Y$5:$Y$1004,$E$3)+COUNTIFS(考勤工资!$H$5:$H$1004,_辅助!$E$22,考勤工资!$Y$5:$Y$1004,$E$3)+COUNTIFS(考勤工资!$J$5:$J$1004,_辅助!$E$22,考勤工资!$Y$5:$Y$1004,$E$3))&gt;0),1,0)</f>
        <v>0</v>
      </c>
      <c r="CB22" s="2">
        <f>IF(考勤工资!$Y$26=$E$3,1,0)</f>
        <v>0</v>
      </c>
    </row>
    <row r="23">
      <c r="A23" s="94">
        <f>IF($AN23=0,"",18)</f>
      </c>
      <c r="B23" s="94">
        <f t="shared" si="32"/>
      </c>
      <c r="C23" s="96">
        <f t="shared" si="33"/>
      </c>
      <c r="D23" s="94">
        <f t="shared" si="0"/>
      </c>
      <c r="E23" s="117">
        <f t="shared" si="1"/>
      </c>
      <c r="F23" s="96">
        <f t="shared" si="2"/>
      </c>
      <c r="G23" s="118">
        <f t="shared" si="3"/>
      </c>
      <c r="H23" s="118">
        <f t="shared" si="4"/>
      </c>
      <c r="I23" s="118">
        <f t="shared" si="5"/>
      </c>
      <c r="J23" s="118">
        <f t="shared" si="6"/>
      </c>
      <c r="K23" s="118">
        <f t="shared" si="7"/>
      </c>
      <c r="L23" s="118">
        <f t="shared" si="8"/>
      </c>
      <c r="M23" s="118">
        <f t="shared" si="9"/>
      </c>
      <c r="N23" s="118">
        <f t="shared" si="10"/>
      </c>
      <c r="O23" s="118">
        <f t="shared" si="11"/>
      </c>
      <c r="P23" s="119">
        <f t="shared" si="34"/>
      </c>
      <c r="Q23" s="21">
        <f t="shared" si="12"/>
      </c>
      <c r="R23" s="21">
        <f t="shared" si="13"/>
      </c>
      <c r="S23" s="21">
        <f t="shared" si="14"/>
      </c>
      <c r="T23" s="21">
        <f t="shared" si="15"/>
      </c>
      <c r="U23" s="21">
        <f t="shared" si="16"/>
      </c>
      <c r="V23" s="21">
        <f t="shared" si="17"/>
      </c>
      <c r="W23" s="21">
        <f t="shared" si="18"/>
      </c>
      <c r="X23" s="21">
        <f t="shared" si="19"/>
      </c>
      <c r="Y23" s="21">
        <f t="shared" si="20"/>
      </c>
      <c r="Z23" s="21">
        <f t="shared" si="21"/>
      </c>
      <c r="AA23" s="21">
        <f t="shared" si="22"/>
      </c>
      <c r="AB23" s="21">
        <f t="shared" si="23"/>
      </c>
      <c r="AC23" s="21">
        <f t="shared" si="24"/>
      </c>
      <c r="AD23" s="21">
        <f t="shared" si="25"/>
      </c>
      <c r="AE23" s="21">
        <f t="shared" si="26"/>
      </c>
      <c r="AF23" s="21">
        <f t="shared" si="27"/>
      </c>
      <c r="AG23" s="21">
        <f t="shared" si="28"/>
      </c>
      <c r="AH23" s="21">
        <f t="shared" si="29"/>
      </c>
      <c r="AI23" s="21">
        <f t="shared" si="30"/>
      </c>
      <c r="AJ23" s="21">
        <f t="shared" si="31"/>
      </c>
      <c r="AK23" s="94" t="n"/>
      <c r="AL23" s="96">
        <f t="shared" si="35"/>
      </c>
      <c r="AN23" s="2">
        <f>IF(18&gt;$BD$1000,0,IFERROR(MATCH(18,$BD$1:$BD$1000,0),0))</f>
        <v>0</v>
      </c>
      <c r="AO23" s="2">
        <f t="shared" si="36"/>
        <v>0</v>
      </c>
      <c r="AP23" s="2">
        <f t="shared" si="37"/>
      </c>
      <c r="AQ23" s="2">
        <f t="shared" si="38"/>
      </c>
      <c r="AR23" s="2">
        <f t="shared" si="39"/>
      </c>
      <c r="AS23" s="2">
        <f t="shared" si="40"/>
      </c>
      <c r="AT23" s="2">
        <f t="shared" si="41"/>
        <v>0</v>
      </c>
      <c r="AU23" s="2">
        <f t="shared" si="42"/>
        <v>0</v>
      </c>
      <c r="AV23" s="2">
        <f t="shared" si="43"/>
        <v>0</v>
      </c>
      <c r="AW23" s="2">
        <f t="shared" si="44"/>
        <v>0</v>
      </c>
      <c r="AX23" s="2">
        <f t="shared" si="45"/>
        <v>0</v>
      </c>
      <c r="AY23" s="2">
        <f t="shared" si="46"/>
        <v>0</v>
      </c>
      <c r="AZ23" s="2">
        <f t="shared" si="47"/>
        <v>0</v>
      </c>
      <c r="BA23" s="2">
        <f t="shared" si="48"/>
        <v>0</v>
      </c>
      <c r="BC23" s="2">
        <f>SUM(CA1:CA23)</f>
        <v>1</v>
      </c>
      <c r="BD23" s="2">
        <f>SUM(CB1:CB23)</f>
        <v>0</v>
      </c>
      <c r="CA23" s="2">
        <f>IF(AND(_辅助!$E$23&lt;&gt;"",(COUNTIFS(考勤工资!$D$5:$D$1004,_辅助!$E$23,考勤工资!$Y$5:$Y$1004,$E$3)+COUNTIFS(考勤工资!$F$5:$F$1004,_辅助!$E$23,考勤工资!$Y$5:$Y$1004,$E$3)+COUNTIFS(考勤工资!$H$5:$H$1004,_辅助!$E$23,考勤工资!$Y$5:$Y$1004,$E$3)+COUNTIFS(考勤工资!$J$5:$J$1004,_辅助!$E$23,考勤工资!$Y$5:$Y$1004,$E$3))&gt;0),1,0)</f>
        <v>0</v>
      </c>
      <c r="CB23" s="2">
        <f>IF(考勤工资!$Y$27=$E$3,1,0)</f>
        <v>0</v>
      </c>
    </row>
    <row r="24">
      <c r="A24" s="94">
        <f>IF($AN24=0,"",19)</f>
      </c>
      <c r="B24" s="94">
        <f t="shared" si="32"/>
      </c>
      <c r="C24" s="96">
        <f t="shared" si="33"/>
      </c>
      <c r="D24" s="94">
        <f t="shared" si="0"/>
      </c>
      <c r="E24" s="117">
        <f t="shared" si="1"/>
      </c>
      <c r="F24" s="96">
        <f t="shared" si="2"/>
      </c>
      <c r="G24" s="118">
        <f t="shared" si="3"/>
      </c>
      <c r="H24" s="118">
        <f t="shared" si="4"/>
      </c>
      <c r="I24" s="118">
        <f t="shared" si="5"/>
      </c>
      <c r="J24" s="118">
        <f t="shared" si="6"/>
      </c>
      <c r="K24" s="118">
        <f t="shared" si="7"/>
      </c>
      <c r="L24" s="118">
        <f t="shared" si="8"/>
      </c>
      <c r="M24" s="118">
        <f t="shared" si="9"/>
      </c>
      <c r="N24" s="118">
        <f t="shared" si="10"/>
      </c>
      <c r="O24" s="118">
        <f t="shared" si="11"/>
      </c>
      <c r="P24" s="119">
        <f t="shared" si="34"/>
      </c>
      <c r="Q24" s="21">
        <f t="shared" si="12"/>
      </c>
      <c r="R24" s="21">
        <f t="shared" si="13"/>
      </c>
      <c r="S24" s="21">
        <f t="shared" si="14"/>
      </c>
      <c r="T24" s="21">
        <f t="shared" si="15"/>
      </c>
      <c r="U24" s="21">
        <f t="shared" si="16"/>
      </c>
      <c r="V24" s="21">
        <f t="shared" si="17"/>
      </c>
      <c r="W24" s="21">
        <f t="shared" si="18"/>
      </c>
      <c r="X24" s="21">
        <f t="shared" si="19"/>
      </c>
      <c r="Y24" s="21">
        <f t="shared" si="20"/>
      </c>
      <c r="Z24" s="21">
        <f t="shared" si="21"/>
      </c>
      <c r="AA24" s="21">
        <f t="shared" si="22"/>
      </c>
      <c r="AB24" s="21">
        <f t="shared" si="23"/>
      </c>
      <c r="AC24" s="21">
        <f t="shared" si="24"/>
      </c>
      <c r="AD24" s="21">
        <f t="shared" si="25"/>
      </c>
      <c r="AE24" s="21">
        <f t="shared" si="26"/>
      </c>
      <c r="AF24" s="21">
        <f t="shared" si="27"/>
      </c>
      <c r="AG24" s="21">
        <f t="shared" si="28"/>
      </c>
      <c r="AH24" s="21">
        <f t="shared" si="29"/>
      </c>
      <c r="AI24" s="21">
        <f t="shared" si="30"/>
      </c>
      <c r="AJ24" s="21">
        <f t="shared" si="31"/>
      </c>
      <c r="AK24" s="94" t="n"/>
      <c r="AL24" s="96">
        <f t="shared" si="35"/>
      </c>
      <c r="AN24" s="2">
        <f>IF(19&gt;$BD$1000,0,IFERROR(MATCH(19,$BD$1:$BD$1000,0),0))</f>
        <v>0</v>
      </c>
      <c r="AO24" s="2">
        <f t="shared" si="36"/>
        <v>0</v>
      </c>
      <c r="AP24" s="2">
        <f t="shared" si="37"/>
      </c>
      <c r="AQ24" s="2">
        <f t="shared" si="38"/>
      </c>
      <c r="AR24" s="2">
        <f t="shared" si="39"/>
      </c>
      <c r="AS24" s="2">
        <f t="shared" si="40"/>
      </c>
      <c r="AT24" s="2">
        <f t="shared" si="41"/>
        <v>0</v>
      </c>
      <c r="AU24" s="2">
        <f t="shared" si="42"/>
        <v>0</v>
      </c>
      <c r="AV24" s="2">
        <f t="shared" si="43"/>
        <v>0</v>
      </c>
      <c r="AW24" s="2">
        <f t="shared" si="44"/>
        <v>0</v>
      </c>
      <c r="AX24" s="2">
        <f t="shared" si="45"/>
        <v>0</v>
      </c>
      <c r="AY24" s="2">
        <f t="shared" si="46"/>
        <v>0</v>
      </c>
      <c r="AZ24" s="2">
        <f t="shared" si="47"/>
        <v>0</v>
      </c>
      <c r="BA24" s="2">
        <f t="shared" si="48"/>
        <v>0</v>
      </c>
      <c r="BC24" s="2">
        <f>SUM(CA1:CA24)</f>
        <v>1</v>
      </c>
      <c r="BD24" s="2">
        <f>SUM(CB1:CB24)</f>
        <v>0</v>
      </c>
      <c r="CA24" s="2">
        <f>IF(AND(_辅助!$E$24&lt;&gt;"",(COUNTIFS(考勤工资!$D$5:$D$1004,_辅助!$E$24,考勤工资!$Y$5:$Y$1004,$E$3)+COUNTIFS(考勤工资!$F$5:$F$1004,_辅助!$E$24,考勤工资!$Y$5:$Y$1004,$E$3)+COUNTIFS(考勤工资!$H$5:$H$1004,_辅助!$E$24,考勤工资!$Y$5:$Y$1004,$E$3)+COUNTIFS(考勤工资!$J$5:$J$1004,_辅助!$E$24,考勤工资!$Y$5:$Y$1004,$E$3))&gt;0),1,0)</f>
        <v>0</v>
      </c>
      <c r="CB24" s="2">
        <f>IF(考勤工资!$Y$28=$E$3,1,0)</f>
        <v>0</v>
      </c>
    </row>
    <row r="25">
      <c r="A25" s="94">
        <f>IF($AN25=0,"",20)</f>
      </c>
      <c r="B25" s="94">
        <f t="shared" si="32"/>
      </c>
      <c r="C25" s="96">
        <f t="shared" si="33"/>
      </c>
      <c r="D25" s="94">
        <f t="shared" si="0"/>
      </c>
      <c r="E25" s="117">
        <f t="shared" si="1"/>
      </c>
      <c r="F25" s="96">
        <f t="shared" si="2"/>
      </c>
      <c r="G25" s="118">
        <f t="shared" si="3"/>
      </c>
      <c r="H25" s="118">
        <f t="shared" si="4"/>
      </c>
      <c r="I25" s="118">
        <f t="shared" si="5"/>
      </c>
      <c r="J25" s="118">
        <f t="shared" si="6"/>
      </c>
      <c r="K25" s="118">
        <f t="shared" si="7"/>
      </c>
      <c r="L25" s="118">
        <f t="shared" si="8"/>
      </c>
      <c r="M25" s="118">
        <f t="shared" si="9"/>
      </c>
      <c r="N25" s="118">
        <f t="shared" si="10"/>
      </c>
      <c r="O25" s="118">
        <f t="shared" si="11"/>
      </c>
      <c r="P25" s="119">
        <f t="shared" si="34"/>
      </c>
      <c r="Q25" s="21">
        <f t="shared" si="12"/>
      </c>
      <c r="R25" s="21">
        <f t="shared" si="13"/>
      </c>
      <c r="S25" s="21">
        <f t="shared" si="14"/>
      </c>
      <c r="T25" s="21">
        <f t="shared" si="15"/>
      </c>
      <c r="U25" s="21">
        <f t="shared" si="16"/>
      </c>
      <c r="V25" s="21">
        <f t="shared" si="17"/>
      </c>
      <c r="W25" s="21">
        <f t="shared" si="18"/>
      </c>
      <c r="X25" s="21">
        <f t="shared" si="19"/>
      </c>
      <c r="Y25" s="21">
        <f t="shared" si="20"/>
      </c>
      <c r="Z25" s="21">
        <f t="shared" si="21"/>
      </c>
      <c r="AA25" s="21">
        <f t="shared" si="22"/>
      </c>
      <c r="AB25" s="21">
        <f t="shared" si="23"/>
      </c>
      <c r="AC25" s="21">
        <f t="shared" si="24"/>
      </c>
      <c r="AD25" s="21">
        <f t="shared" si="25"/>
      </c>
      <c r="AE25" s="21">
        <f t="shared" si="26"/>
      </c>
      <c r="AF25" s="21">
        <f t="shared" si="27"/>
      </c>
      <c r="AG25" s="21">
        <f t="shared" si="28"/>
      </c>
      <c r="AH25" s="21">
        <f t="shared" si="29"/>
      </c>
      <c r="AI25" s="21">
        <f t="shared" si="30"/>
      </c>
      <c r="AJ25" s="21">
        <f t="shared" si="31"/>
      </c>
      <c r="AK25" s="94" t="n"/>
      <c r="AL25" s="96">
        <f t="shared" si="35"/>
      </c>
      <c r="AN25" s="2">
        <f>IF(20&gt;$BD$1000,0,IFERROR(MATCH(20,$BD$1:$BD$1000,0),0))</f>
        <v>0</v>
      </c>
      <c r="AO25" s="2">
        <f t="shared" si="36"/>
        <v>0</v>
      </c>
      <c r="AP25" s="2">
        <f t="shared" si="37"/>
      </c>
      <c r="AQ25" s="2">
        <f t="shared" si="38"/>
      </c>
      <c r="AR25" s="2">
        <f t="shared" si="39"/>
      </c>
      <c r="AS25" s="2">
        <f t="shared" si="40"/>
      </c>
      <c r="AT25" s="2">
        <f t="shared" si="41"/>
        <v>0</v>
      </c>
      <c r="AU25" s="2">
        <f t="shared" si="42"/>
        <v>0</v>
      </c>
      <c r="AV25" s="2">
        <f t="shared" si="43"/>
        <v>0</v>
      </c>
      <c r="AW25" s="2">
        <f t="shared" si="44"/>
        <v>0</v>
      </c>
      <c r="AX25" s="2">
        <f t="shared" si="45"/>
        <v>0</v>
      </c>
      <c r="AY25" s="2">
        <f t="shared" si="46"/>
        <v>0</v>
      </c>
      <c r="AZ25" s="2">
        <f t="shared" si="47"/>
        <v>0</v>
      </c>
      <c r="BA25" s="2">
        <f t="shared" si="48"/>
        <v>0</v>
      </c>
      <c r="BC25" s="2">
        <f>SUM(CA1:CA25)</f>
        <v>1</v>
      </c>
      <c r="BD25" s="2">
        <f>SUM(CB1:CB25)</f>
        <v>0</v>
      </c>
      <c r="CA25" s="2">
        <f>IF(AND(_辅助!$E$25&lt;&gt;"",(COUNTIFS(考勤工资!$D$5:$D$1004,_辅助!$E$25,考勤工资!$Y$5:$Y$1004,$E$3)+COUNTIFS(考勤工资!$F$5:$F$1004,_辅助!$E$25,考勤工资!$Y$5:$Y$1004,$E$3)+COUNTIFS(考勤工资!$H$5:$H$1004,_辅助!$E$25,考勤工资!$Y$5:$Y$1004,$E$3)+COUNTIFS(考勤工资!$J$5:$J$1004,_辅助!$E$25,考勤工资!$Y$5:$Y$1004,$E$3))&gt;0),1,0)</f>
        <v>0</v>
      </c>
      <c r="CB25" s="2">
        <f>IF(考勤工资!$Y$29=$E$3,1,0)</f>
        <v>0</v>
      </c>
    </row>
    <row r="26">
      <c r="A26" s="94">
        <f>IF($AN26=0,"",21)</f>
      </c>
      <c r="B26" s="94">
        <f t="shared" si="32"/>
      </c>
      <c r="C26" s="96">
        <f t="shared" si="33"/>
      </c>
      <c r="D26" s="94">
        <f t="shared" si="0"/>
      </c>
      <c r="E26" s="117">
        <f t="shared" si="1"/>
      </c>
      <c r="F26" s="96">
        <f t="shared" si="2"/>
      </c>
      <c r="G26" s="118">
        <f t="shared" si="3"/>
      </c>
      <c r="H26" s="118">
        <f t="shared" si="4"/>
      </c>
      <c r="I26" s="118">
        <f t="shared" si="5"/>
      </c>
      <c r="J26" s="118">
        <f t="shared" si="6"/>
      </c>
      <c r="K26" s="118">
        <f t="shared" si="7"/>
      </c>
      <c r="L26" s="118">
        <f t="shared" si="8"/>
      </c>
      <c r="M26" s="118">
        <f t="shared" si="9"/>
      </c>
      <c r="N26" s="118">
        <f t="shared" si="10"/>
      </c>
      <c r="O26" s="118">
        <f t="shared" si="11"/>
      </c>
      <c r="P26" s="119">
        <f t="shared" si="34"/>
      </c>
      <c r="Q26" s="21">
        <f t="shared" si="12"/>
      </c>
      <c r="R26" s="21">
        <f t="shared" si="13"/>
      </c>
      <c r="S26" s="21">
        <f t="shared" si="14"/>
      </c>
      <c r="T26" s="21">
        <f t="shared" si="15"/>
      </c>
      <c r="U26" s="21">
        <f t="shared" si="16"/>
      </c>
      <c r="V26" s="21">
        <f t="shared" si="17"/>
      </c>
      <c r="W26" s="21">
        <f t="shared" si="18"/>
      </c>
      <c r="X26" s="21">
        <f t="shared" si="19"/>
      </c>
      <c r="Y26" s="21">
        <f t="shared" si="20"/>
      </c>
      <c r="Z26" s="21">
        <f t="shared" si="21"/>
      </c>
      <c r="AA26" s="21">
        <f t="shared" si="22"/>
      </c>
      <c r="AB26" s="21">
        <f t="shared" si="23"/>
      </c>
      <c r="AC26" s="21">
        <f t="shared" si="24"/>
      </c>
      <c r="AD26" s="21">
        <f t="shared" si="25"/>
      </c>
      <c r="AE26" s="21">
        <f t="shared" si="26"/>
      </c>
      <c r="AF26" s="21">
        <f t="shared" si="27"/>
      </c>
      <c r="AG26" s="21">
        <f t="shared" si="28"/>
      </c>
      <c r="AH26" s="21">
        <f t="shared" si="29"/>
      </c>
      <c r="AI26" s="21">
        <f t="shared" si="30"/>
      </c>
      <c r="AJ26" s="21">
        <f t="shared" si="31"/>
      </c>
      <c r="AK26" s="94" t="n"/>
      <c r="AL26" s="96">
        <f t="shared" si="35"/>
      </c>
      <c r="AN26" s="2">
        <f>IF(21&gt;$BD$1000,0,IFERROR(MATCH(21,$BD$1:$BD$1000,0),0))</f>
        <v>0</v>
      </c>
      <c r="AO26" s="2">
        <f t="shared" si="36"/>
        <v>0</v>
      </c>
      <c r="AP26" s="2">
        <f t="shared" si="37"/>
      </c>
      <c r="AQ26" s="2">
        <f t="shared" si="38"/>
      </c>
      <c r="AR26" s="2">
        <f t="shared" si="39"/>
      </c>
      <c r="AS26" s="2">
        <f t="shared" si="40"/>
      </c>
      <c r="AT26" s="2">
        <f t="shared" si="41"/>
        <v>0</v>
      </c>
      <c r="AU26" s="2">
        <f t="shared" si="42"/>
        <v>0</v>
      </c>
      <c r="AV26" s="2">
        <f t="shared" si="43"/>
        <v>0</v>
      </c>
      <c r="AW26" s="2">
        <f t="shared" si="44"/>
        <v>0</v>
      </c>
      <c r="AX26" s="2">
        <f t="shared" si="45"/>
        <v>0</v>
      </c>
      <c r="AY26" s="2">
        <f t="shared" si="46"/>
        <v>0</v>
      </c>
      <c r="AZ26" s="2">
        <f t="shared" si="47"/>
        <v>0</v>
      </c>
      <c r="BA26" s="2">
        <f t="shared" si="48"/>
        <v>0</v>
      </c>
      <c r="BC26" s="2">
        <f>SUM(CA1:CA26)</f>
        <v>1</v>
      </c>
      <c r="BD26" s="2">
        <f>SUM(CB1:CB26)</f>
        <v>0</v>
      </c>
      <c r="CA26" s="2">
        <f>IF(AND(_辅助!$E$26&lt;&gt;"",(COUNTIFS(考勤工资!$D$5:$D$1004,_辅助!$E$26,考勤工资!$Y$5:$Y$1004,$E$3)+COUNTIFS(考勤工资!$F$5:$F$1004,_辅助!$E$26,考勤工资!$Y$5:$Y$1004,$E$3)+COUNTIFS(考勤工资!$H$5:$H$1004,_辅助!$E$26,考勤工资!$Y$5:$Y$1004,$E$3)+COUNTIFS(考勤工资!$J$5:$J$1004,_辅助!$E$26,考勤工资!$Y$5:$Y$1004,$E$3))&gt;0),1,0)</f>
        <v>0</v>
      </c>
      <c r="CB26" s="2">
        <f>IF(考勤工资!$Y$30=$E$3,1,0)</f>
        <v>0</v>
      </c>
    </row>
    <row r="27">
      <c r="A27" s="94">
        <f>IF($AN27=0,"",22)</f>
      </c>
      <c r="B27" s="94">
        <f t="shared" si="32"/>
      </c>
      <c r="C27" s="96">
        <f t="shared" si="33"/>
      </c>
      <c r="D27" s="94">
        <f t="shared" si="0"/>
      </c>
      <c r="E27" s="117">
        <f t="shared" si="1"/>
      </c>
      <c r="F27" s="96">
        <f t="shared" si="2"/>
      </c>
      <c r="G27" s="118">
        <f t="shared" si="3"/>
      </c>
      <c r="H27" s="118">
        <f t="shared" si="4"/>
      </c>
      <c r="I27" s="118">
        <f t="shared" si="5"/>
      </c>
      <c r="J27" s="118">
        <f t="shared" si="6"/>
      </c>
      <c r="K27" s="118">
        <f t="shared" si="7"/>
      </c>
      <c r="L27" s="118">
        <f t="shared" si="8"/>
      </c>
      <c r="M27" s="118">
        <f t="shared" si="9"/>
      </c>
      <c r="N27" s="118">
        <f t="shared" si="10"/>
      </c>
      <c r="O27" s="118">
        <f t="shared" si="11"/>
      </c>
      <c r="P27" s="119">
        <f t="shared" si="34"/>
      </c>
      <c r="Q27" s="21">
        <f t="shared" si="12"/>
      </c>
      <c r="R27" s="21">
        <f t="shared" si="13"/>
      </c>
      <c r="S27" s="21">
        <f t="shared" si="14"/>
      </c>
      <c r="T27" s="21">
        <f t="shared" si="15"/>
      </c>
      <c r="U27" s="21">
        <f t="shared" si="16"/>
      </c>
      <c r="V27" s="21">
        <f t="shared" si="17"/>
      </c>
      <c r="W27" s="21">
        <f t="shared" si="18"/>
      </c>
      <c r="X27" s="21">
        <f t="shared" si="19"/>
      </c>
      <c r="Y27" s="21">
        <f t="shared" si="20"/>
      </c>
      <c r="Z27" s="21">
        <f t="shared" si="21"/>
      </c>
      <c r="AA27" s="21">
        <f t="shared" si="22"/>
      </c>
      <c r="AB27" s="21">
        <f t="shared" si="23"/>
      </c>
      <c r="AC27" s="21">
        <f t="shared" si="24"/>
      </c>
      <c r="AD27" s="21">
        <f t="shared" si="25"/>
      </c>
      <c r="AE27" s="21">
        <f t="shared" si="26"/>
      </c>
      <c r="AF27" s="21">
        <f t="shared" si="27"/>
      </c>
      <c r="AG27" s="21">
        <f t="shared" si="28"/>
      </c>
      <c r="AH27" s="21">
        <f t="shared" si="29"/>
      </c>
      <c r="AI27" s="21">
        <f t="shared" si="30"/>
      </c>
      <c r="AJ27" s="21">
        <f t="shared" si="31"/>
      </c>
      <c r="AK27" s="94" t="n"/>
      <c r="AL27" s="96">
        <f t="shared" si="35"/>
      </c>
      <c r="AN27" s="2">
        <f>IF(22&gt;$BD$1000,0,IFERROR(MATCH(22,$BD$1:$BD$1000,0),0))</f>
        <v>0</v>
      </c>
      <c r="AO27" s="2">
        <f t="shared" si="36"/>
        <v>0</v>
      </c>
      <c r="AP27" s="2">
        <f t="shared" si="37"/>
      </c>
      <c r="AQ27" s="2">
        <f t="shared" si="38"/>
      </c>
      <c r="AR27" s="2">
        <f t="shared" si="39"/>
      </c>
      <c r="AS27" s="2">
        <f t="shared" si="40"/>
      </c>
      <c r="AT27" s="2">
        <f t="shared" si="41"/>
        <v>0</v>
      </c>
      <c r="AU27" s="2">
        <f t="shared" si="42"/>
        <v>0</v>
      </c>
      <c r="AV27" s="2">
        <f t="shared" si="43"/>
        <v>0</v>
      </c>
      <c r="AW27" s="2">
        <f t="shared" si="44"/>
        <v>0</v>
      </c>
      <c r="AX27" s="2">
        <f t="shared" si="45"/>
        <v>0</v>
      </c>
      <c r="AY27" s="2">
        <f t="shared" si="46"/>
        <v>0</v>
      </c>
      <c r="AZ27" s="2">
        <f t="shared" si="47"/>
        <v>0</v>
      </c>
      <c r="BA27" s="2">
        <f t="shared" si="48"/>
        <v>0</v>
      </c>
      <c r="BC27" s="2">
        <f>SUM(CA1:CA27)</f>
        <v>1</v>
      </c>
      <c r="BD27" s="2">
        <f>SUM(CB1:CB27)</f>
        <v>0</v>
      </c>
      <c r="CA27" s="2">
        <f>IF(AND(_辅助!$E$27&lt;&gt;"",(COUNTIFS(考勤工资!$D$5:$D$1004,_辅助!$E$27,考勤工资!$Y$5:$Y$1004,$E$3)+COUNTIFS(考勤工资!$F$5:$F$1004,_辅助!$E$27,考勤工资!$Y$5:$Y$1004,$E$3)+COUNTIFS(考勤工资!$H$5:$H$1004,_辅助!$E$27,考勤工资!$Y$5:$Y$1004,$E$3)+COUNTIFS(考勤工资!$J$5:$J$1004,_辅助!$E$27,考勤工资!$Y$5:$Y$1004,$E$3))&gt;0),1,0)</f>
        <v>0</v>
      </c>
      <c r="CB27" s="2">
        <f>IF(考勤工资!$Y$31=$E$3,1,0)</f>
        <v>0</v>
      </c>
    </row>
    <row r="28">
      <c r="A28" s="94">
        <f>IF($AN28=0,"",23)</f>
      </c>
      <c r="B28" s="94">
        <f t="shared" si="32"/>
      </c>
      <c r="C28" s="96">
        <f t="shared" si="33"/>
      </c>
      <c r="D28" s="94">
        <f t="shared" si="0"/>
      </c>
      <c r="E28" s="117">
        <f t="shared" si="1"/>
      </c>
      <c r="F28" s="96">
        <f t="shared" si="2"/>
      </c>
      <c r="G28" s="118">
        <f t="shared" si="3"/>
      </c>
      <c r="H28" s="118">
        <f t="shared" si="4"/>
      </c>
      <c r="I28" s="118">
        <f t="shared" si="5"/>
      </c>
      <c r="J28" s="118">
        <f t="shared" si="6"/>
      </c>
      <c r="K28" s="118">
        <f t="shared" si="7"/>
      </c>
      <c r="L28" s="118">
        <f t="shared" si="8"/>
      </c>
      <c r="M28" s="118">
        <f t="shared" si="9"/>
      </c>
      <c r="N28" s="118">
        <f t="shared" si="10"/>
      </c>
      <c r="O28" s="118">
        <f t="shared" si="11"/>
      </c>
      <c r="P28" s="119">
        <f t="shared" si="34"/>
      </c>
      <c r="Q28" s="21">
        <f t="shared" si="12"/>
      </c>
      <c r="R28" s="21">
        <f t="shared" si="13"/>
      </c>
      <c r="S28" s="21">
        <f t="shared" si="14"/>
      </c>
      <c r="T28" s="21">
        <f t="shared" si="15"/>
      </c>
      <c r="U28" s="21">
        <f t="shared" si="16"/>
      </c>
      <c r="V28" s="21">
        <f t="shared" si="17"/>
      </c>
      <c r="W28" s="21">
        <f t="shared" si="18"/>
      </c>
      <c r="X28" s="21">
        <f t="shared" si="19"/>
      </c>
      <c r="Y28" s="21">
        <f t="shared" si="20"/>
      </c>
      <c r="Z28" s="21">
        <f t="shared" si="21"/>
      </c>
      <c r="AA28" s="21">
        <f t="shared" si="22"/>
      </c>
      <c r="AB28" s="21">
        <f t="shared" si="23"/>
      </c>
      <c r="AC28" s="21">
        <f t="shared" si="24"/>
      </c>
      <c r="AD28" s="21">
        <f t="shared" si="25"/>
      </c>
      <c r="AE28" s="21">
        <f t="shared" si="26"/>
      </c>
      <c r="AF28" s="21">
        <f t="shared" si="27"/>
      </c>
      <c r="AG28" s="21">
        <f t="shared" si="28"/>
      </c>
      <c r="AH28" s="21">
        <f t="shared" si="29"/>
      </c>
      <c r="AI28" s="21">
        <f t="shared" si="30"/>
      </c>
      <c r="AJ28" s="21">
        <f t="shared" si="31"/>
      </c>
      <c r="AK28" s="94" t="n"/>
      <c r="AL28" s="96">
        <f t="shared" si="35"/>
      </c>
      <c r="AN28" s="2">
        <f>IF(23&gt;$BD$1000,0,IFERROR(MATCH(23,$BD$1:$BD$1000,0),0))</f>
        <v>0</v>
      </c>
      <c r="AO28" s="2">
        <f t="shared" si="36"/>
        <v>0</v>
      </c>
      <c r="AP28" s="2">
        <f t="shared" si="37"/>
      </c>
      <c r="AQ28" s="2">
        <f t="shared" si="38"/>
      </c>
      <c r="AR28" s="2">
        <f t="shared" si="39"/>
      </c>
      <c r="AS28" s="2">
        <f t="shared" si="40"/>
      </c>
      <c r="AT28" s="2">
        <f t="shared" si="41"/>
        <v>0</v>
      </c>
      <c r="AU28" s="2">
        <f t="shared" si="42"/>
        <v>0</v>
      </c>
      <c r="AV28" s="2">
        <f t="shared" si="43"/>
        <v>0</v>
      </c>
      <c r="AW28" s="2">
        <f t="shared" si="44"/>
        <v>0</v>
      </c>
      <c r="AX28" s="2">
        <f t="shared" si="45"/>
        <v>0</v>
      </c>
      <c r="AY28" s="2">
        <f t="shared" si="46"/>
        <v>0</v>
      </c>
      <c r="AZ28" s="2">
        <f t="shared" si="47"/>
        <v>0</v>
      </c>
      <c r="BA28" s="2">
        <f t="shared" si="48"/>
        <v>0</v>
      </c>
      <c r="BC28" s="2">
        <f>SUM(CA1:CA28)</f>
        <v>1</v>
      </c>
      <c r="BD28" s="2">
        <f>SUM(CB1:CB28)</f>
        <v>0</v>
      </c>
      <c r="CA28" s="2">
        <f>IF(AND(_辅助!$E$28&lt;&gt;"",(COUNTIFS(考勤工资!$D$5:$D$1004,_辅助!$E$28,考勤工资!$Y$5:$Y$1004,$E$3)+COUNTIFS(考勤工资!$F$5:$F$1004,_辅助!$E$28,考勤工资!$Y$5:$Y$1004,$E$3)+COUNTIFS(考勤工资!$H$5:$H$1004,_辅助!$E$28,考勤工资!$Y$5:$Y$1004,$E$3)+COUNTIFS(考勤工资!$J$5:$J$1004,_辅助!$E$28,考勤工资!$Y$5:$Y$1004,$E$3))&gt;0),1,0)</f>
        <v>0</v>
      </c>
      <c r="CB28" s="2">
        <f>IF(考勤工资!$Y$32=$E$3,1,0)</f>
        <v>0</v>
      </c>
    </row>
    <row r="29">
      <c r="A29" s="94">
        <f>IF($AN29=0,"",24)</f>
      </c>
      <c r="B29" s="94">
        <f t="shared" si="32"/>
      </c>
      <c r="C29" s="96">
        <f t="shared" si="33"/>
      </c>
      <c r="D29" s="94">
        <f t="shared" si="0"/>
      </c>
      <c r="E29" s="117">
        <f t="shared" si="1"/>
      </c>
      <c r="F29" s="96">
        <f t="shared" si="2"/>
      </c>
      <c r="G29" s="118">
        <f t="shared" si="3"/>
      </c>
      <c r="H29" s="118">
        <f t="shared" si="4"/>
      </c>
      <c r="I29" s="118">
        <f t="shared" si="5"/>
      </c>
      <c r="J29" s="118">
        <f t="shared" si="6"/>
      </c>
      <c r="K29" s="118">
        <f t="shared" si="7"/>
      </c>
      <c r="L29" s="118">
        <f t="shared" si="8"/>
      </c>
      <c r="M29" s="118">
        <f t="shared" si="9"/>
      </c>
      <c r="N29" s="118">
        <f t="shared" si="10"/>
      </c>
      <c r="O29" s="118">
        <f t="shared" si="11"/>
      </c>
      <c r="P29" s="119">
        <f t="shared" si="34"/>
      </c>
      <c r="Q29" s="21">
        <f t="shared" si="12"/>
      </c>
      <c r="R29" s="21">
        <f t="shared" si="13"/>
      </c>
      <c r="S29" s="21">
        <f t="shared" si="14"/>
      </c>
      <c r="T29" s="21">
        <f t="shared" si="15"/>
      </c>
      <c r="U29" s="21">
        <f t="shared" si="16"/>
      </c>
      <c r="V29" s="21">
        <f t="shared" si="17"/>
      </c>
      <c r="W29" s="21">
        <f t="shared" si="18"/>
      </c>
      <c r="X29" s="21">
        <f t="shared" si="19"/>
      </c>
      <c r="Y29" s="21">
        <f t="shared" si="20"/>
      </c>
      <c r="Z29" s="21">
        <f t="shared" si="21"/>
      </c>
      <c r="AA29" s="21">
        <f t="shared" si="22"/>
      </c>
      <c r="AB29" s="21">
        <f t="shared" si="23"/>
      </c>
      <c r="AC29" s="21">
        <f t="shared" si="24"/>
      </c>
      <c r="AD29" s="21">
        <f t="shared" si="25"/>
      </c>
      <c r="AE29" s="21">
        <f t="shared" si="26"/>
      </c>
      <c r="AF29" s="21">
        <f t="shared" si="27"/>
      </c>
      <c r="AG29" s="21">
        <f t="shared" si="28"/>
      </c>
      <c r="AH29" s="21">
        <f t="shared" si="29"/>
      </c>
      <c r="AI29" s="21">
        <f t="shared" si="30"/>
      </c>
      <c r="AJ29" s="21">
        <f t="shared" si="31"/>
      </c>
      <c r="AK29" s="94" t="n"/>
      <c r="AL29" s="96">
        <f t="shared" si="35"/>
      </c>
      <c r="AN29" s="2">
        <f>IF(24&gt;$BD$1000,0,IFERROR(MATCH(24,$BD$1:$BD$1000,0),0))</f>
        <v>0</v>
      </c>
      <c r="AO29" s="2">
        <f t="shared" si="36"/>
        <v>0</v>
      </c>
      <c r="AP29" s="2">
        <f t="shared" si="37"/>
      </c>
      <c r="AQ29" s="2">
        <f t="shared" si="38"/>
      </c>
      <c r="AR29" s="2">
        <f t="shared" si="39"/>
      </c>
      <c r="AS29" s="2">
        <f t="shared" si="40"/>
      </c>
      <c r="AT29" s="2">
        <f t="shared" si="41"/>
        <v>0</v>
      </c>
      <c r="AU29" s="2">
        <f t="shared" si="42"/>
        <v>0</v>
      </c>
      <c r="AV29" s="2">
        <f t="shared" si="43"/>
        <v>0</v>
      </c>
      <c r="AW29" s="2">
        <f t="shared" si="44"/>
        <v>0</v>
      </c>
      <c r="AX29" s="2">
        <f t="shared" si="45"/>
        <v>0</v>
      </c>
      <c r="AY29" s="2">
        <f t="shared" si="46"/>
        <v>0</v>
      </c>
      <c r="AZ29" s="2">
        <f t="shared" si="47"/>
        <v>0</v>
      </c>
      <c r="BA29" s="2">
        <f t="shared" si="48"/>
        <v>0</v>
      </c>
      <c r="BC29" s="2">
        <f>SUM(CA1:CA29)</f>
        <v>1</v>
      </c>
      <c r="BD29" s="2">
        <f>SUM(CB1:CB29)</f>
        <v>0</v>
      </c>
      <c r="CA29" s="2">
        <f>IF(AND(_辅助!$E$29&lt;&gt;"",(COUNTIFS(考勤工资!$D$5:$D$1004,_辅助!$E$29,考勤工资!$Y$5:$Y$1004,$E$3)+COUNTIFS(考勤工资!$F$5:$F$1004,_辅助!$E$29,考勤工资!$Y$5:$Y$1004,$E$3)+COUNTIFS(考勤工资!$H$5:$H$1004,_辅助!$E$29,考勤工资!$Y$5:$Y$1004,$E$3)+COUNTIFS(考勤工资!$J$5:$J$1004,_辅助!$E$29,考勤工资!$Y$5:$Y$1004,$E$3))&gt;0),1,0)</f>
        <v>0</v>
      </c>
      <c r="CB29" s="2">
        <f>IF(考勤工资!$Y$33=$E$3,1,0)</f>
        <v>0</v>
      </c>
    </row>
    <row r="30">
      <c r="A30" s="94">
        <f>IF($AN30=0,"",25)</f>
      </c>
      <c r="B30" s="94">
        <f t="shared" si="32"/>
      </c>
      <c r="C30" s="96">
        <f t="shared" si="33"/>
      </c>
      <c r="D30" s="94">
        <f t="shared" si="0"/>
      </c>
      <c r="E30" s="117">
        <f t="shared" si="1"/>
      </c>
      <c r="F30" s="96">
        <f t="shared" si="2"/>
      </c>
      <c r="G30" s="118">
        <f t="shared" si="3"/>
      </c>
      <c r="H30" s="118">
        <f t="shared" si="4"/>
      </c>
      <c r="I30" s="118">
        <f t="shared" si="5"/>
      </c>
      <c r="J30" s="118">
        <f t="shared" si="6"/>
      </c>
      <c r="K30" s="118">
        <f t="shared" si="7"/>
      </c>
      <c r="L30" s="118">
        <f t="shared" si="8"/>
      </c>
      <c r="M30" s="118">
        <f t="shared" si="9"/>
      </c>
      <c r="N30" s="118">
        <f t="shared" si="10"/>
      </c>
      <c r="O30" s="118">
        <f t="shared" si="11"/>
      </c>
      <c r="P30" s="119">
        <f t="shared" si="34"/>
      </c>
      <c r="Q30" s="21">
        <f t="shared" si="12"/>
      </c>
      <c r="R30" s="21">
        <f t="shared" si="13"/>
      </c>
      <c r="S30" s="21">
        <f t="shared" si="14"/>
      </c>
      <c r="T30" s="21">
        <f t="shared" si="15"/>
      </c>
      <c r="U30" s="21">
        <f t="shared" si="16"/>
      </c>
      <c r="V30" s="21">
        <f t="shared" si="17"/>
      </c>
      <c r="W30" s="21">
        <f t="shared" si="18"/>
      </c>
      <c r="X30" s="21">
        <f t="shared" si="19"/>
      </c>
      <c r="Y30" s="21">
        <f t="shared" si="20"/>
      </c>
      <c r="Z30" s="21">
        <f t="shared" si="21"/>
      </c>
      <c r="AA30" s="21">
        <f t="shared" si="22"/>
      </c>
      <c r="AB30" s="21">
        <f t="shared" si="23"/>
      </c>
      <c r="AC30" s="21">
        <f t="shared" si="24"/>
      </c>
      <c r="AD30" s="21">
        <f t="shared" si="25"/>
      </c>
      <c r="AE30" s="21">
        <f t="shared" si="26"/>
      </c>
      <c r="AF30" s="21">
        <f t="shared" si="27"/>
      </c>
      <c r="AG30" s="21">
        <f t="shared" si="28"/>
      </c>
      <c r="AH30" s="21">
        <f t="shared" si="29"/>
      </c>
      <c r="AI30" s="21">
        <f t="shared" si="30"/>
      </c>
      <c r="AJ30" s="21">
        <f t="shared" si="31"/>
      </c>
      <c r="AK30" s="94" t="n"/>
      <c r="AL30" s="96">
        <f t="shared" si="35"/>
      </c>
      <c r="AN30" s="2">
        <f>IF(25&gt;$BD$1000,0,IFERROR(MATCH(25,$BD$1:$BD$1000,0),0))</f>
        <v>0</v>
      </c>
      <c r="AO30" s="2">
        <f t="shared" si="36"/>
        <v>0</v>
      </c>
      <c r="AP30" s="2">
        <f t="shared" si="37"/>
      </c>
      <c r="AQ30" s="2">
        <f t="shared" si="38"/>
      </c>
      <c r="AR30" s="2">
        <f t="shared" si="39"/>
      </c>
      <c r="AS30" s="2">
        <f t="shared" si="40"/>
      </c>
      <c r="AT30" s="2">
        <f t="shared" si="41"/>
        <v>0</v>
      </c>
      <c r="AU30" s="2">
        <f t="shared" si="42"/>
        <v>0</v>
      </c>
      <c r="AV30" s="2">
        <f t="shared" si="43"/>
        <v>0</v>
      </c>
      <c r="AW30" s="2">
        <f t="shared" si="44"/>
        <v>0</v>
      </c>
      <c r="AX30" s="2">
        <f t="shared" si="45"/>
        <v>0</v>
      </c>
      <c r="AY30" s="2">
        <f t="shared" si="46"/>
        <v>0</v>
      </c>
      <c r="AZ30" s="2">
        <f t="shared" si="47"/>
        <v>0</v>
      </c>
      <c r="BA30" s="2">
        <f t="shared" si="48"/>
        <v>0</v>
      </c>
      <c r="BC30" s="2">
        <f>SUM(CA1:CA30)</f>
        <v>1</v>
      </c>
      <c r="BD30" s="2">
        <f>SUM(CB1:CB30)</f>
        <v>0</v>
      </c>
      <c r="CA30" s="2">
        <f>IF(AND(_辅助!$E$30&lt;&gt;"",(COUNTIFS(考勤工资!$D$5:$D$1004,_辅助!$E$30,考勤工资!$Y$5:$Y$1004,$E$3)+COUNTIFS(考勤工资!$F$5:$F$1004,_辅助!$E$30,考勤工资!$Y$5:$Y$1004,$E$3)+COUNTIFS(考勤工资!$H$5:$H$1004,_辅助!$E$30,考勤工资!$Y$5:$Y$1004,$E$3)+COUNTIFS(考勤工资!$J$5:$J$1004,_辅助!$E$30,考勤工资!$Y$5:$Y$1004,$E$3))&gt;0),1,0)</f>
        <v>0</v>
      </c>
      <c r="CB30" s="2">
        <f>IF(考勤工资!$Y$34=$E$3,1,0)</f>
        <v>0</v>
      </c>
    </row>
    <row r="31">
      <c r="A31" s="94">
        <f>IF($AN31=0,"",26)</f>
      </c>
      <c r="B31" s="94">
        <f t="shared" si="32"/>
      </c>
      <c r="C31" s="96">
        <f t="shared" si="33"/>
      </c>
      <c r="D31" s="94">
        <f t="shared" si="0"/>
      </c>
      <c r="E31" s="117">
        <f t="shared" si="1"/>
      </c>
      <c r="F31" s="96">
        <f t="shared" si="2"/>
      </c>
      <c r="G31" s="118">
        <f t="shared" si="3"/>
      </c>
      <c r="H31" s="118">
        <f t="shared" si="4"/>
      </c>
      <c r="I31" s="118">
        <f t="shared" si="5"/>
      </c>
      <c r="J31" s="118">
        <f t="shared" si="6"/>
      </c>
      <c r="K31" s="118">
        <f t="shared" si="7"/>
      </c>
      <c r="L31" s="118">
        <f t="shared" si="8"/>
      </c>
      <c r="M31" s="118">
        <f t="shared" si="9"/>
      </c>
      <c r="N31" s="118">
        <f t="shared" si="10"/>
      </c>
      <c r="O31" s="118">
        <f t="shared" si="11"/>
      </c>
      <c r="P31" s="119">
        <f t="shared" si="34"/>
      </c>
      <c r="Q31" s="21">
        <f t="shared" si="12"/>
      </c>
      <c r="R31" s="21">
        <f t="shared" si="13"/>
      </c>
      <c r="S31" s="21">
        <f t="shared" si="14"/>
      </c>
      <c r="T31" s="21">
        <f t="shared" si="15"/>
      </c>
      <c r="U31" s="21">
        <f t="shared" si="16"/>
      </c>
      <c r="V31" s="21">
        <f t="shared" si="17"/>
      </c>
      <c r="W31" s="21">
        <f t="shared" si="18"/>
      </c>
      <c r="X31" s="21">
        <f t="shared" si="19"/>
      </c>
      <c r="Y31" s="21">
        <f t="shared" si="20"/>
      </c>
      <c r="Z31" s="21">
        <f t="shared" si="21"/>
      </c>
      <c r="AA31" s="21">
        <f t="shared" si="22"/>
      </c>
      <c r="AB31" s="21">
        <f t="shared" si="23"/>
      </c>
      <c r="AC31" s="21">
        <f t="shared" si="24"/>
      </c>
      <c r="AD31" s="21">
        <f t="shared" si="25"/>
      </c>
      <c r="AE31" s="21">
        <f t="shared" si="26"/>
      </c>
      <c r="AF31" s="21">
        <f t="shared" si="27"/>
      </c>
      <c r="AG31" s="21">
        <f t="shared" si="28"/>
      </c>
      <c r="AH31" s="21">
        <f t="shared" si="29"/>
      </c>
      <c r="AI31" s="21">
        <f t="shared" si="30"/>
      </c>
      <c r="AJ31" s="21">
        <f t="shared" si="31"/>
      </c>
      <c r="AK31" s="94" t="n"/>
      <c r="AL31" s="96">
        <f t="shared" si="35"/>
      </c>
      <c r="AN31" s="2">
        <f>IF(26&gt;$BD$1000,0,IFERROR(MATCH(26,$BD$1:$BD$1000,0),0))</f>
        <v>0</v>
      </c>
      <c r="AO31" s="2">
        <f t="shared" si="36"/>
        <v>0</v>
      </c>
      <c r="AP31" s="2">
        <f t="shared" si="37"/>
      </c>
      <c r="AQ31" s="2">
        <f t="shared" si="38"/>
      </c>
      <c r="AR31" s="2">
        <f t="shared" si="39"/>
      </c>
      <c r="AS31" s="2">
        <f t="shared" si="40"/>
      </c>
      <c r="AT31" s="2">
        <f t="shared" si="41"/>
        <v>0</v>
      </c>
      <c r="AU31" s="2">
        <f t="shared" si="42"/>
        <v>0</v>
      </c>
      <c r="AV31" s="2">
        <f t="shared" si="43"/>
        <v>0</v>
      </c>
      <c r="AW31" s="2">
        <f t="shared" si="44"/>
        <v>0</v>
      </c>
      <c r="AX31" s="2">
        <f t="shared" si="45"/>
        <v>0</v>
      </c>
      <c r="AY31" s="2">
        <f t="shared" si="46"/>
        <v>0</v>
      </c>
      <c r="AZ31" s="2">
        <f t="shared" si="47"/>
        <v>0</v>
      </c>
      <c r="BA31" s="2">
        <f t="shared" si="48"/>
        <v>0</v>
      </c>
      <c r="BC31" s="2">
        <f>SUM(CA1:CA31)</f>
        <v>1</v>
      </c>
      <c r="BD31" s="2">
        <f>SUM(CB1:CB31)</f>
        <v>0</v>
      </c>
      <c r="CA31" s="2">
        <f>IF(AND(_辅助!$E$31&lt;&gt;"",(COUNTIFS(考勤工资!$D$5:$D$1004,_辅助!$E$31,考勤工资!$Y$5:$Y$1004,$E$3)+COUNTIFS(考勤工资!$F$5:$F$1004,_辅助!$E$31,考勤工资!$Y$5:$Y$1004,$E$3)+COUNTIFS(考勤工资!$H$5:$H$1004,_辅助!$E$31,考勤工资!$Y$5:$Y$1004,$E$3)+COUNTIFS(考勤工资!$J$5:$J$1004,_辅助!$E$31,考勤工资!$Y$5:$Y$1004,$E$3))&gt;0),1,0)</f>
        <v>0</v>
      </c>
      <c r="CB31" s="2">
        <f>IF(考勤工资!$Y$35=$E$3,1,0)</f>
        <v>0</v>
      </c>
    </row>
    <row r="32">
      <c r="A32" s="94">
        <f>IF($AN32=0,"",27)</f>
      </c>
      <c r="B32" s="94">
        <f t="shared" si="32"/>
      </c>
      <c r="C32" s="96">
        <f t="shared" si="33"/>
      </c>
      <c r="D32" s="94">
        <f t="shared" si="0"/>
      </c>
      <c r="E32" s="117">
        <f t="shared" si="1"/>
      </c>
      <c r="F32" s="96">
        <f t="shared" si="2"/>
      </c>
      <c r="G32" s="118">
        <f t="shared" si="3"/>
      </c>
      <c r="H32" s="118">
        <f t="shared" si="4"/>
      </c>
      <c r="I32" s="118">
        <f t="shared" si="5"/>
      </c>
      <c r="J32" s="118">
        <f t="shared" si="6"/>
      </c>
      <c r="K32" s="118">
        <f t="shared" si="7"/>
      </c>
      <c r="L32" s="118">
        <f t="shared" si="8"/>
      </c>
      <c r="M32" s="118">
        <f t="shared" si="9"/>
      </c>
      <c r="N32" s="118">
        <f t="shared" si="10"/>
      </c>
      <c r="O32" s="118">
        <f t="shared" si="11"/>
      </c>
      <c r="P32" s="119">
        <f t="shared" si="34"/>
      </c>
      <c r="Q32" s="21">
        <f t="shared" si="12"/>
      </c>
      <c r="R32" s="21">
        <f t="shared" si="13"/>
      </c>
      <c r="S32" s="21">
        <f t="shared" si="14"/>
      </c>
      <c r="T32" s="21">
        <f t="shared" si="15"/>
      </c>
      <c r="U32" s="21">
        <f t="shared" si="16"/>
      </c>
      <c r="V32" s="21">
        <f t="shared" si="17"/>
      </c>
      <c r="W32" s="21">
        <f t="shared" si="18"/>
      </c>
      <c r="X32" s="21">
        <f t="shared" si="19"/>
      </c>
      <c r="Y32" s="21">
        <f t="shared" si="20"/>
      </c>
      <c r="Z32" s="21">
        <f t="shared" si="21"/>
      </c>
      <c r="AA32" s="21">
        <f t="shared" si="22"/>
      </c>
      <c r="AB32" s="21">
        <f t="shared" si="23"/>
      </c>
      <c r="AC32" s="21">
        <f t="shared" si="24"/>
      </c>
      <c r="AD32" s="21">
        <f t="shared" si="25"/>
      </c>
      <c r="AE32" s="21">
        <f t="shared" si="26"/>
      </c>
      <c r="AF32" s="21">
        <f t="shared" si="27"/>
      </c>
      <c r="AG32" s="21">
        <f t="shared" si="28"/>
      </c>
      <c r="AH32" s="21">
        <f t="shared" si="29"/>
      </c>
      <c r="AI32" s="21">
        <f t="shared" si="30"/>
      </c>
      <c r="AJ32" s="21">
        <f t="shared" si="31"/>
      </c>
      <c r="AK32" s="94" t="n"/>
      <c r="AL32" s="96">
        <f t="shared" si="35"/>
      </c>
      <c r="AN32" s="2">
        <f>IF(27&gt;$BD$1000,0,IFERROR(MATCH(27,$BD$1:$BD$1000,0),0))</f>
        <v>0</v>
      </c>
      <c r="AO32" s="2">
        <f t="shared" si="36"/>
        <v>0</v>
      </c>
      <c r="AP32" s="2">
        <f t="shared" si="37"/>
      </c>
      <c r="AQ32" s="2">
        <f t="shared" si="38"/>
      </c>
      <c r="AR32" s="2">
        <f t="shared" si="39"/>
      </c>
      <c r="AS32" s="2">
        <f t="shared" si="40"/>
      </c>
      <c r="AT32" s="2">
        <f t="shared" si="41"/>
        <v>0</v>
      </c>
      <c r="AU32" s="2">
        <f t="shared" si="42"/>
        <v>0</v>
      </c>
      <c r="AV32" s="2">
        <f t="shared" si="43"/>
        <v>0</v>
      </c>
      <c r="AW32" s="2">
        <f t="shared" si="44"/>
        <v>0</v>
      </c>
      <c r="AX32" s="2">
        <f t="shared" si="45"/>
        <v>0</v>
      </c>
      <c r="AY32" s="2">
        <f t="shared" si="46"/>
        <v>0</v>
      </c>
      <c r="AZ32" s="2">
        <f t="shared" si="47"/>
        <v>0</v>
      </c>
      <c r="BA32" s="2">
        <f t="shared" si="48"/>
        <v>0</v>
      </c>
      <c r="BC32" s="2">
        <f>SUM(CA1:CA32)</f>
        <v>1</v>
      </c>
      <c r="BD32" s="2">
        <f>SUM(CB1:CB32)</f>
        <v>0</v>
      </c>
      <c r="CA32" s="2">
        <f>IF(AND(_辅助!$E$32&lt;&gt;"",(COUNTIFS(考勤工资!$D$5:$D$1004,_辅助!$E$32,考勤工资!$Y$5:$Y$1004,$E$3)+COUNTIFS(考勤工资!$F$5:$F$1004,_辅助!$E$32,考勤工资!$Y$5:$Y$1004,$E$3)+COUNTIFS(考勤工资!$H$5:$H$1004,_辅助!$E$32,考勤工资!$Y$5:$Y$1004,$E$3)+COUNTIFS(考勤工资!$J$5:$J$1004,_辅助!$E$32,考勤工资!$Y$5:$Y$1004,$E$3))&gt;0),1,0)</f>
        <v>0</v>
      </c>
      <c r="CB32" s="2">
        <f>IF(考勤工资!$Y$36=$E$3,1,0)</f>
        <v>0</v>
      </c>
    </row>
    <row r="33">
      <c r="A33" s="94">
        <f>IF($AN33=0,"",28)</f>
      </c>
      <c r="B33" s="94">
        <f t="shared" si="32"/>
      </c>
      <c r="C33" s="96">
        <f t="shared" si="33"/>
      </c>
      <c r="D33" s="94">
        <f t="shared" si="0"/>
      </c>
      <c r="E33" s="117">
        <f t="shared" si="1"/>
      </c>
      <c r="F33" s="96">
        <f t="shared" si="2"/>
      </c>
      <c r="G33" s="118">
        <f t="shared" si="3"/>
      </c>
      <c r="H33" s="118">
        <f t="shared" si="4"/>
      </c>
      <c r="I33" s="118">
        <f t="shared" si="5"/>
      </c>
      <c r="J33" s="118">
        <f t="shared" si="6"/>
      </c>
      <c r="K33" s="118">
        <f t="shared" si="7"/>
      </c>
      <c r="L33" s="118">
        <f t="shared" si="8"/>
      </c>
      <c r="M33" s="118">
        <f t="shared" si="9"/>
      </c>
      <c r="N33" s="118">
        <f t="shared" si="10"/>
      </c>
      <c r="O33" s="118">
        <f t="shared" si="11"/>
      </c>
      <c r="P33" s="119">
        <f t="shared" si="34"/>
      </c>
      <c r="Q33" s="21">
        <f t="shared" si="12"/>
      </c>
      <c r="R33" s="21">
        <f t="shared" si="13"/>
      </c>
      <c r="S33" s="21">
        <f t="shared" si="14"/>
      </c>
      <c r="T33" s="21">
        <f t="shared" si="15"/>
      </c>
      <c r="U33" s="21">
        <f t="shared" si="16"/>
      </c>
      <c r="V33" s="21">
        <f t="shared" si="17"/>
      </c>
      <c r="W33" s="21">
        <f t="shared" si="18"/>
      </c>
      <c r="X33" s="21">
        <f t="shared" si="19"/>
      </c>
      <c r="Y33" s="21">
        <f t="shared" si="20"/>
      </c>
      <c r="Z33" s="21">
        <f t="shared" si="21"/>
      </c>
      <c r="AA33" s="21">
        <f t="shared" si="22"/>
      </c>
      <c r="AB33" s="21">
        <f t="shared" si="23"/>
      </c>
      <c r="AC33" s="21">
        <f t="shared" si="24"/>
      </c>
      <c r="AD33" s="21">
        <f t="shared" si="25"/>
      </c>
      <c r="AE33" s="21">
        <f t="shared" si="26"/>
      </c>
      <c r="AF33" s="21">
        <f t="shared" si="27"/>
      </c>
      <c r="AG33" s="21">
        <f t="shared" si="28"/>
      </c>
      <c r="AH33" s="21">
        <f t="shared" si="29"/>
      </c>
      <c r="AI33" s="21">
        <f t="shared" si="30"/>
      </c>
      <c r="AJ33" s="21">
        <f t="shared" si="31"/>
      </c>
      <c r="AK33" s="94" t="n"/>
      <c r="AL33" s="96">
        <f t="shared" si="35"/>
      </c>
      <c r="AN33" s="2">
        <f>IF(28&gt;$BD$1000,0,IFERROR(MATCH(28,$BD$1:$BD$1000,0),0))</f>
        <v>0</v>
      </c>
      <c r="AO33" s="2">
        <f t="shared" si="36"/>
        <v>0</v>
      </c>
      <c r="AP33" s="2">
        <f t="shared" si="37"/>
      </c>
      <c r="AQ33" s="2">
        <f t="shared" si="38"/>
      </c>
      <c r="AR33" s="2">
        <f t="shared" si="39"/>
      </c>
      <c r="AS33" s="2">
        <f t="shared" si="40"/>
      </c>
      <c r="AT33" s="2">
        <f t="shared" si="41"/>
        <v>0</v>
      </c>
      <c r="AU33" s="2">
        <f t="shared" si="42"/>
        <v>0</v>
      </c>
      <c r="AV33" s="2">
        <f t="shared" si="43"/>
        <v>0</v>
      </c>
      <c r="AW33" s="2">
        <f t="shared" si="44"/>
        <v>0</v>
      </c>
      <c r="AX33" s="2">
        <f t="shared" si="45"/>
        <v>0</v>
      </c>
      <c r="AY33" s="2">
        <f t="shared" si="46"/>
        <v>0</v>
      </c>
      <c r="AZ33" s="2">
        <f t="shared" si="47"/>
        <v>0</v>
      </c>
      <c r="BA33" s="2">
        <f t="shared" si="48"/>
        <v>0</v>
      </c>
      <c r="BC33" s="2">
        <f>SUM(CA1:CA33)</f>
        <v>1</v>
      </c>
      <c r="BD33" s="2">
        <f>SUM(CB1:CB33)</f>
        <v>0</v>
      </c>
      <c r="CA33" s="2">
        <f>IF(AND(_辅助!$E$33&lt;&gt;"",(COUNTIFS(考勤工资!$D$5:$D$1004,_辅助!$E$33,考勤工资!$Y$5:$Y$1004,$E$3)+COUNTIFS(考勤工资!$F$5:$F$1004,_辅助!$E$33,考勤工资!$Y$5:$Y$1004,$E$3)+COUNTIFS(考勤工资!$H$5:$H$1004,_辅助!$E$33,考勤工资!$Y$5:$Y$1004,$E$3)+COUNTIFS(考勤工资!$J$5:$J$1004,_辅助!$E$33,考勤工资!$Y$5:$Y$1004,$E$3))&gt;0),1,0)</f>
        <v>0</v>
      </c>
      <c r="CB33" s="2">
        <f>IF(考勤工资!$Y$37=$E$3,1,0)</f>
        <v>0</v>
      </c>
    </row>
    <row r="34">
      <c r="A34" s="94">
        <f>IF($AN34=0,"",29)</f>
      </c>
      <c r="B34" s="94">
        <f t="shared" si="32"/>
      </c>
      <c r="C34" s="96">
        <f t="shared" si="33"/>
      </c>
      <c r="D34" s="94">
        <f t="shared" si="0"/>
      </c>
      <c r="E34" s="117">
        <f t="shared" si="1"/>
      </c>
      <c r="F34" s="96">
        <f t="shared" si="2"/>
      </c>
      <c r="G34" s="118">
        <f t="shared" si="3"/>
      </c>
      <c r="H34" s="118">
        <f t="shared" si="4"/>
      </c>
      <c r="I34" s="118">
        <f t="shared" si="5"/>
      </c>
      <c r="J34" s="118">
        <f t="shared" si="6"/>
      </c>
      <c r="K34" s="118">
        <f t="shared" si="7"/>
      </c>
      <c r="L34" s="118">
        <f t="shared" si="8"/>
      </c>
      <c r="M34" s="118">
        <f t="shared" si="9"/>
      </c>
      <c r="N34" s="118">
        <f t="shared" si="10"/>
      </c>
      <c r="O34" s="118">
        <f t="shared" si="11"/>
      </c>
      <c r="P34" s="119">
        <f t="shared" si="34"/>
      </c>
      <c r="Q34" s="21">
        <f t="shared" si="12"/>
      </c>
      <c r="R34" s="21">
        <f t="shared" si="13"/>
      </c>
      <c r="S34" s="21">
        <f t="shared" si="14"/>
      </c>
      <c r="T34" s="21">
        <f t="shared" si="15"/>
      </c>
      <c r="U34" s="21">
        <f t="shared" si="16"/>
      </c>
      <c r="V34" s="21">
        <f t="shared" si="17"/>
      </c>
      <c r="W34" s="21">
        <f t="shared" si="18"/>
      </c>
      <c r="X34" s="21">
        <f t="shared" si="19"/>
      </c>
      <c r="Y34" s="21">
        <f t="shared" si="20"/>
      </c>
      <c r="Z34" s="21">
        <f t="shared" si="21"/>
      </c>
      <c r="AA34" s="21">
        <f t="shared" si="22"/>
      </c>
      <c r="AB34" s="21">
        <f t="shared" si="23"/>
      </c>
      <c r="AC34" s="21">
        <f t="shared" si="24"/>
      </c>
      <c r="AD34" s="21">
        <f t="shared" si="25"/>
      </c>
      <c r="AE34" s="21">
        <f t="shared" si="26"/>
      </c>
      <c r="AF34" s="21">
        <f t="shared" si="27"/>
      </c>
      <c r="AG34" s="21">
        <f t="shared" si="28"/>
      </c>
      <c r="AH34" s="21">
        <f t="shared" si="29"/>
      </c>
      <c r="AI34" s="21">
        <f t="shared" si="30"/>
      </c>
      <c r="AJ34" s="21">
        <f t="shared" si="31"/>
      </c>
      <c r="AK34" s="94" t="n"/>
      <c r="AL34" s="96">
        <f t="shared" si="35"/>
      </c>
      <c r="AN34" s="2">
        <f>IF(29&gt;$BD$1000,0,IFERROR(MATCH(29,$BD$1:$BD$1000,0),0))</f>
        <v>0</v>
      </c>
      <c r="AO34" s="2">
        <f t="shared" si="36"/>
        <v>0</v>
      </c>
      <c r="AP34" s="2">
        <f t="shared" si="37"/>
      </c>
      <c r="AQ34" s="2">
        <f t="shared" si="38"/>
      </c>
      <c r="AR34" s="2">
        <f t="shared" si="39"/>
      </c>
      <c r="AS34" s="2">
        <f t="shared" si="40"/>
      </c>
      <c r="AT34" s="2">
        <f t="shared" si="41"/>
        <v>0</v>
      </c>
      <c r="AU34" s="2">
        <f t="shared" si="42"/>
        <v>0</v>
      </c>
      <c r="AV34" s="2">
        <f t="shared" si="43"/>
        <v>0</v>
      </c>
      <c r="AW34" s="2">
        <f t="shared" si="44"/>
        <v>0</v>
      </c>
      <c r="AX34" s="2">
        <f t="shared" si="45"/>
        <v>0</v>
      </c>
      <c r="AY34" s="2">
        <f t="shared" si="46"/>
        <v>0</v>
      </c>
      <c r="AZ34" s="2">
        <f t="shared" si="47"/>
        <v>0</v>
      </c>
      <c r="BA34" s="2">
        <f t="shared" si="48"/>
        <v>0</v>
      </c>
      <c r="BC34" s="2">
        <f>SUM(CA1:CA34)</f>
        <v>1</v>
      </c>
      <c r="BD34" s="2">
        <f>SUM(CB1:CB34)</f>
        <v>0</v>
      </c>
      <c r="CA34" s="2">
        <f>IF(AND(_辅助!$E$34&lt;&gt;"",(COUNTIFS(考勤工资!$D$5:$D$1004,_辅助!$E$34,考勤工资!$Y$5:$Y$1004,$E$3)+COUNTIFS(考勤工资!$F$5:$F$1004,_辅助!$E$34,考勤工资!$Y$5:$Y$1004,$E$3)+COUNTIFS(考勤工资!$H$5:$H$1004,_辅助!$E$34,考勤工资!$Y$5:$Y$1004,$E$3)+COUNTIFS(考勤工资!$J$5:$J$1004,_辅助!$E$34,考勤工资!$Y$5:$Y$1004,$E$3))&gt;0),1,0)</f>
        <v>0</v>
      </c>
      <c r="CB34" s="2">
        <f>IF(考勤工资!$Y$38=$E$3,1,0)</f>
        <v>0</v>
      </c>
    </row>
    <row r="35">
      <c r="A35" s="94">
        <f>IF($AN35=0,"",30)</f>
      </c>
      <c r="B35" s="94">
        <f t="shared" si="32"/>
      </c>
      <c r="C35" s="96">
        <f t="shared" si="33"/>
      </c>
      <c r="D35" s="94">
        <f t="shared" si="0"/>
      </c>
      <c r="E35" s="117">
        <f t="shared" si="1"/>
      </c>
      <c r="F35" s="96">
        <f t="shared" si="2"/>
      </c>
      <c r="G35" s="118">
        <f t="shared" si="3"/>
      </c>
      <c r="H35" s="118">
        <f t="shared" si="4"/>
      </c>
      <c r="I35" s="118">
        <f t="shared" si="5"/>
      </c>
      <c r="J35" s="118">
        <f t="shared" si="6"/>
      </c>
      <c r="K35" s="118">
        <f t="shared" si="7"/>
      </c>
      <c r="L35" s="118">
        <f t="shared" si="8"/>
      </c>
      <c r="M35" s="118">
        <f t="shared" si="9"/>
      </c>
      <c r="N35" s="118">
        <f t="shared" si="10"/>
      </c>
      <c r="O35" s="118">
        <f t="shared" si="11"/>
      </c>
      <c r="P35" s="119">
        <f t="shared" si="34"/>
      </c>
      <c r="Q35" s="21">
        <f t="shared" si="12"/>
      </c>
      <c r="R35" s="21">
        <f t="shared" si="13"/>
      </c>
      <c r="S35" s="21">
        <f t="shared" si="14"/>
      </c>
      <c r="T35" s="21">
        <f t="shared" si="15"/>
      </c>
      <c r="U35" s="21">
        <f t="shared" si="16"/>
      </c>
      <c r="V35" s="21">
        <f t="shared" si="17"/>
      </c>
      <c r="W35" s="21">
        <f t="shared" si="18"/>
      </c>
      <c r="X35" s="21">
        <f t="shared" si="19"/>
      </c>
      <c r="Y35" s="21">
        <f t="shared" si="20"/>
      </c>
      <c r="Z35" s="21">
        <f t="shared" si="21"/>
      </c>
      <c r="AA35" s="21">
        <f t="shared" si="22"/>
      </c>
      <c r="AB35" s="21">
        <f t="shared" si="23"/>
      </c>
      <c r="AC35" s="21">
        <f t="shared" si="24"/>
      </c>
      <c r="AD35" s="21">
        <f t="shared" si="25"/>
      </c>
      <c r="AE35" s="21">
        <f t="shared" si="26"/>
      </c>
      <c r="AF35" s="21">
        <f t="shared" si="27"/>
      </c>
      <c r="AG35" s="21">
        <f t="shared" si="28"/>
      </c>
      <c r="AH35" s="21">
        <f t="shared" si="29"/>
      </c>
      <c r="AI35" s="21">
        <f t="shared" si="30"/>
      </c>
      <c r="AJ35" s="21">
        <f t="shared" si="31"/>
      </c>
      <c r="AK35" s="94" t="n"/>
      <c r="AL35" s="96">
        <f t="shared" si="35"/>
      </c>
      <c r="AN35" s="2">
        <f>IF(30&gt;$BD$1000,0,IFERROR(MATCH(30,$BD$1:$BD$1000,0),0))</f>
        <v>0</v>
      </c>
      <c r="AO35" s="2">
        <f t="shared" si="36"/>
        <v>0</v>
      </c>
      <c r="AP35" s="2">
        <f t="shared" si="37"/>
      </c>
      <c r="AQ35" s="2">
        <f t="shared" si="38"/>
      </c>
      <c r="AR35" s="2">
        <f t="shared" si="39"/>
      </c>
      <c r="AS35" s="2">
        <f t="shared" si="40"/>
      </c>
      <c r="AT35" s="2">
        <f t="shared" si="41"/>
        <v>0</v>
      </c>
      <c r="AU35" s="2">
        <f t="shared" si="42"/>
        <v>0</v>
      </c>
      <c r="AV35" s="2">
        <f t="shared" si="43"/>
        <v>0</v>
      </c>
      <c r="AW35" s="2">
        <f t="shared" si="44"/>
        <v>0</v>
      </c>
      <c r="AX35" s="2">
        <f t="shared" si="45"/>
        <v>0</v>
      </c>
      <c r="AY35" s="2">
        <f t="shared" si="46"/>
        <v>0</v>
      </c>
      <c r="AZ35" s="2">
        <f t="shared" si="47"/>
        <v>0</v>
      </c>
      <c r="BA35" s="2">
        <f t="shared" si="48"/>
        <v>0</v>
      </c>
      <c r="BC35" s="2">
        <f>SUM(CA1:CA35)</f>
        <v>1</v>
      </c>
      <c r="BD35" s="2">
        <f>SUM(CB1:CB35)</f>
        <v>0</v>
      </c>
      <c r="CA35" s="2">
        <f>IF(AND(_辅助!$E$35&lt;&gt;"",(COUNTIFS(考勤工资!$D$5:$D$1004,_辅助!$E$35,考勤工资!$Y$5:$Y$1004,$E$3)+COUNTIFS(考勤工资!$F$5:$F$1004,_辅助!$E$35,考勤工资!$Y$5:$Y$1004,$E$3)+COUNTIFS(考勤工资!$H$5:$H$1004,_辅助!$E$35,考勤工资!$Y$5:$Y$1004,$E$3)+COUNTIFS(考勤工资!$J$5:$J$1004,_辅助!$E$35,考勤工资!$Y$5:$Y$1004,$E$3))&gt;0),1,0)</f>
        <v>0</v>
      </c>
      <c r="CB35" s="2">
        <f>IF(考勤工资!$Y$39=$E$3,1,0)</f>
        <v>0</v>
      </c>
    </row>
    <row r="36">
      <c r="A36" s="94">
        <f>IF($AN36=0,"",31)</f>
      </c>
      <c r="B36" s="94">
        <f t="shared" si="32"/>
      </c>
      <c r="C36" s="96">
        <f t="shared" si="33"/>
      </c>
      <c r="D36" s="94">
        <f t="shared" si="0"/>
      </c>
      <c r="E36" s="117">
        <f t="shared" si="1"/>
      </c>
      <c r="F36" s="96">
        <f t="shared" si="2"/>
      </c>
      <c r="G36" s="118">
        <f t="shared" si="3"/>
      </c>
      <c r="H36" s="118">
        <f t="shared" si="4"/>
      </c>
      <c r="I36" s="118">
        <f t="shared" si="5"/>
      </c>
      <c r="J36" s="118">
        <f t="shared" si="6"/>
      </c>
      <c r="K36" s="118">
        <f t="shared" si="7"/>
      </c>
      <c r="L36" s="118">
        <f t="shared" si="8"/>
      </c>
      <c r="M36" s="118">
        <f t="shared" si="9"/>
      </c>
      <c r="N36" s="118">
        <f t="shared" si="10"/>
      </c>
      <c r="O36" s="118">
        <f t="shared" si="11"/>
      </c>
      <c r="P36" s="119">
        <f t="shared" si="34"/>
      </c>
      <c r="Q36" s="21">
        <f t="shared" si="12"/>
      </c>
      <c r="R36" s="21">
        <f t="shared" si="13"/>
      </c>
      <c r="S36" s="21">
        <f t="shared" si="14"/>
      </c>
      <c r="T36" s="21">
        <f t="shared" si="15"/>
      </c>
      <c r="U36" s="21">
        <f t="shared" si="16"/>
      </c>
      <c r="V36" s="21">
        <f t="shared" si="17"/>
      </c>
      <c r="W36" s="21">
        <f t="shared" si="18"/>
      </c>
      <c r="X36" s="21">
        <f t="shared" si="19"/>
      </c>
      <c r="Y36" s="21">
        <f t="shared" si="20"/>
      </c>
      <c r="Z36" s="21">
        <f t="shared" si="21"/>
      </c>
      <c r="AA36" s="21">
        <f t="shared" si="22"/>
      </c>
      <c r="AB36" s="21">
        <f t="shared" si="23"/>
      </c>
      <c r="AC36" s="21">
        <f t="shared" si="24"/>
      </c>
      <c r="AD36" s="21">
        <f t="shared" si="25"/>
      </c>
      <c r="AE36" s="21">
        <f t="shared" si="26"/>
      </c>
      <c r="AF36" s="21">
        <f t="shared" si="27"/>
      </c>
      <c r="AG36" s="21">
        <f t="shared" si="28"/>
      </c>
      <c r="AH36" s="21">
        <f t="shared" si="29"/>
      </c>
      <c r="AI36" s="21">
        <f t="shared" si="30"/>
      </c>
      <c r="AJ36" s="21">
        <f t="shared" si="31"/>
      </c>
      <c r="AK36" s="94" t="n"/>
      <c r="AL36" s="96">
        <f t="shared" si="35"/>
      </c>
      <c r="AN36" s="2">
        <f>IF(31&gt;$BD$1000,0,IFERROR(MATCH(31,$BD$1:$BD$1000,0),0))</f>
        <v>0</v>
      </c>
      <c r="AO36" s="2">
        <f t="shared" si="36"/>
        <v>0</v>
      </c>
      <c r="AP36" s="2">
        <f t="shared" si="37"/>
      </c>
      <c r="AQ36" s="2">
        <f t="shared" si="38"/>
      </c>
      <c r="AR36" s="2">
        <f t="shared" si="39"/>
      </c>
      <c r="AS36" s="2">
        <f t="shared" si="40"/>
      </c>
      <c r="AT36" s="2">
        <f t="shared" si="41"/>
        <v>0</v>
      </c>
      <c r="AU36" s="2">
        <f t="shared" si="42"/>
        <v>0</v>
      </c>
      <c r="AV36" s="2">
        <f t="shared" si="43"/>
        <v>0</v>
      </c>
      <c r="AW36" s="2">
        <f t="shared" si="44"/>
        <v>0</v>
      </c>
      <c r="AX36" s="2">
        <f t="shared" si="45"/>
        <v>0</v>
      </c>
      <c r="AY36" s="2">
        <f t="shared" si="46"/>
        <v>0</v>
      </c>
      <c r="AZ36" s="2">
        <f t="shared" si="47"/>
        <v>0</v>
      </c>
      <c r="BA36" s="2">
        <f t="shared" si="48"/>
        <v>0</v>
      </c>
      <c r="BC36" s="2">
        <f>SUM(CA1:CA36)</f>
        <v>1</v>
      </c>
      <c r="BD36" s="2">
        <f>SUM(CB1:CB36)</f>
        <v>0</v>
      </c>
      <c r="CA36" s="2">
        <f>IF(AND(_辅助!$E$36&lt;&gt;"",(COUNTIFS(考勤工资!$D$5:$D$1004,_辅助!$E$36,考勤工资!$Y$5:$Y$1004,$E$3)+COUNTIFS(考勤工资!$F$5:$F$1004,_辅助!$E$36,考勤工资!$Y$5:$Y$1004,$E$3)+COUNTIFS(考勤工资!$H$5:$H$1004,_辅助!$E$36,考勤工资!$Y$5:$Y$1004,$E$3)+COUNTIFS(考勤工资!$J$5:$J$1004,_辅助!$E$36,考勤工资!$Y$5:$Y$1004,$E$3))&gt;0),1,0)</f>
        <v>0</v>
      </c>
      <c r="CB36" s="2">
        <f>IF(考勤工资!$Y$40=$E$3,1,0)</f>
        <v>0</v>
      </c>
    </row>
    <row r="37">
      <c r="A37" s="94">
        <f>IF($AN37=0,"",32)</f>
      </c>
      <c r="B37" s="94">
        <f t="shared" si="32"/>
      </c>
      <c r="C37" s="96">
        <f t="shared" si="33"/>
      </c>
      <c r="D37" s="94">
        <f t="shared" si="0"/>
      </c>
      <c r="E37" s="117">
        <f t="shared" si="1"/>
      </c>
      <c r="F37" s="96">
        <f t="shared" si="2"/>
      </c>
      <c r="G37" s="118">
        <f t="shared" si="3"/>
      </c>
      <c r="H37" s="118">
        <f t="shared" si="4"/>
      </c>
      <c r="I37" s="118">
        <f t="shared" si="5"/>
      </c>
      <c r="J37" s="118">
        <f t="shared" si="6"/>
      </c>
      <c r="K37" s="118">
        <f t="shared" si="7"/>
      </c>
      <c r="L37" s="118">
        <f t="shared" si="8"/>
      </c>
      <c r="M37" s="118">
        <f t="shared" si="9"/>
      </c>
      <c r="N37" s="118">
        <f t="shared" si="10"/>
      </c>
      <c r="O37" s="118">
        <f t="shared" si="11"/>
      </c>
      <c r="P37" s="119">
        <f t="shared" si="34"/>
      </c>
      <c r="Q37" s="21">
        <f t="shared" si="12"/>
      </c>
      <c r="R37" s="21">
        <f t="shared" si="13"/>
      </c>
      <c r="S37" s="21">
        <f t="shared" si="14"/>
      </c>
      <c r="T37" s="21">
        <f t="shared" si="15"/>
      </c>
      <c r="U37" s="21">
        <f t="shared" si="16"/>
      </c>
      <c r="V37" s="21">
        <f t="shared" si="17"/>
      </c>
      <c r="W37" s="21">
        <f t="shared" si="18"/>
      </c>
      <c r="X37" s="21">
        <f t="shared" si="19"/>
      </c>
      <c r="Y37" s="21">
        <f t="shared" si="20"/>
      </c>
      <c r="Z37" s="21">
        <f t="shared" si="21"/>
      </c>
      <c r="AA37" s="21">
        <f t="shared" si="22"/>
      </c>
      <c r="AB37" s="21">
        <f t="shared" si="23"/>
      </c>
      <c r="AC37" s="21">
        <f t="shared" si="24"/>
      </c>
      <c r="AD37" s="21">
        <f t="shared" si="25"/>
      </c>
      <c r="AE37" s="21">
        <f t="shared" si="26"/>
      </c>
      <c r="AF37" s="21">
        <f t="shared" si="27"/>
      </c>
      <c r="AG37" s="21">
        <f t="shared" si="28"/>
      </c>
      <c r="AH37" s="21">
        <f t="shared" si="29"/>
      </c>
      <c r="AI37" s="21">
        <f t="shared" si="30"/>
      </c>
      <c r="AJ37" s="21">
        <f t="shared" si="31"/>
      </c>
      <c r="AK37" s="94" t="n"/>
      <c r="AL37" s="96">
        <f t="shared" si="35"/>
      </c>
      <c r="AN37" s="2">
        <f>IF(32&gt;$BD$1000,0,IFERROR(MATCH(32,$BD$1:$BD$1000,0),0))</f>
        <v>0</v>
      </c>
      <c r="AO37" s="2">
        <f t="shared" si="36"/>
        <v>0</v>
      </c>
      <c r="AP37" s="2">
        <f t="shared" si="37"/>
      </c>
      <c r="AQ37" s="2">
        <f t="shared" si="38"/>
      </c>
      <c r="AR37" s="2">
        <f t="shared" si="39"/>
      </c>
      <c r="AS37" s="2">
        <f t="shared" si="40"/>
      </c>
      <c r="AT37" s="2">
        <f t="shared" si="41"/>
        <v>0</v>
      </c>
      <c r="AU37" s="2">
        <f t="shared" si="42"/>
        <v>0</v>
      </c>
      <c r="AV37" s="2">
        <f t="shared" si="43"/>
        <v>0</v>
      </c>
      <c r="AW37" s="2">
        <f t="shared" si="44"/>
        <v>0</v>
      </c>
      <c r="AX37" s="2">
        <f t="shared" si="45"/>
        <v>0</v>
      </c>
      <c r="AY37" s="2">
        <f t="shared" si="46"/>
        <v>0</v>
      </c>
      <c r="AZ37" s="2">
        <f t="shared" si="47"/>
        <v>0</v>
      </c>
      <c r="BA37" s="2">
        <f t="shared" si="48"/>
        <v>0</v>
      </c>
      <c r="BC37" s="2">
        <f>SUM(CA1:CA37)</f>
        <v>1</v>
      </c>
      <c r="BD37" s="2">
        <f>SUM(CB1:CB37)</f>
        <v>0</v>
      </c>
      <c r="CA37" s="2">
        <f>IF(AND(_辅助!$E$37&lt;&gt;"",(COUNTIFS(考勤工资!$D$5:$D$1004,_辅助!$E$37,考勤工资!$Y$5:$Y$1004,$E$3)+COUNTIFS(考勤工资!$F$5:$F$1004,_辅助!$E$37,考勤工资!$Y$5:$Y$1004,$E$3)+COUNTIFS(考勤工资!$H$5:$H$1004,_辅助!$E$37,考勤工资!$Y$5:$Y$1004,$E$3)+COUNTIFS(考勤工资!$J$5:$J$1004,_辅助!$E$37,考勤工资!$Y$5:$Y$1004,$E$3))&gt;0),1,0)</f>
        <v>0</v>
      </c>
      <c r="CB37" s="2">
        <f>IF(考勤工资!$Y$41=$E$3,1,0)</f>
        <v>0</v>
      </c>
    </row>
    <row r="38">
      <c r="A38" s="94">
        <f>IF($AN38=0,"",33)</f>
      </c>
      <c r="B38" s="94">
        <f t="shared" si="32"/>
      </c>
      <c r="C38" s="96">
        <f t="shared" si="33"/>
      </c>
      <c r="D38" s="94">
        <f t="shared" si="0"/>
      </c>
      <c r="E38" s="117">
        <f t="shared" si="1"/>
      </c>
      <c r="F38" s="96">
        <f t="shared" si="2"/>
      </c>
      <c r="G38" s="118">
        <f t="shared" si="3"/>
      </c>
      <c r="H38" s="118">
        <f t="shared" si="4"/>
      </c>
      <c r="I38" s="118">
        <f t="shared" si="5"/>
      </c>
      <c r="J38" s="118">
        <f t="shared" si="6"/>
      </c>
      <c r="K38" s="118">
        <f t="shared" si="7"/>
      </c>
      <c r="L38" s="118">
        <f t="shared" si="8"/>
      </c>
      <c r="M38" s="118">
        <f t="shared" si="9"/>
      </c>
      <c r="N38" s="118">
        <f t="shared" si="10"/>
      </c>
      <c r="O38" s="118">
        <f t="shared" si="11"/>
      </c>
      <c r="P38" s="119">
        <f t="shared" si="34"/>
      </c>
      <c r="Q38" s="21">
        <f t="shared" si="12"/>
      </c>
      <c r="R38" s="21">
        <f t="shared" si="13"/>
      </c>
      <c r="S38" s="21">
        <f t="shared" si="14"/>
      </c>
      <c r="T38" s="21">
        <f t="shared" si="15"/>
      </c>
      <c r="U38" s="21">
        <f t="shared" si="16"/>
      </c>
      <c r="V38" s="21">
        <f t="shared" si="17"/>
      </c>
      <c r="W38" s="21">
        <f t="shared" si="18"/>
      </c>
      <c r="X38" s="21">
        <f t="shared" si="19"/>
      </c>
      <c r="Y38" s="21">
        <f t="shared" si="20"/>
      </c>
      <c r="Z38" s="21">
        <f t="shared" si="21"/>
      </c>
      <c r="AA38" s="21">
        <f t="shared" si="22"/>
      </c>
      <c r="AB38" s="21">
        <f t="shared" si="23"/>
      </c>
      <c r="AC38" s="21">
        <f t="shared" si="24"/>
      </c>
      <c r="AD38" s="21">
        <f t="shared" si="25"/>
      </c>
      <c r="AE38" s="21">
        <f t="shared" si="26"/>
      </c>
      <c r="AF38" s="21">
        <f t="shared" si="27"/>
      </c>
      <c r="AG38" s="21">
        <f t="shared" si="28"/>
      </c>
      <c r="AH38" s="21">
        <f t="shared" si="29"/>
      </c>
      <c r="AI38" s="21">
        <f t="shared" si="30"/>
      </c>
      <c r="AJ38" s="21">
        <f t="shared" si="31"/>
      </c>
      <c r="AK38" s="94" t="n"/>
      <c r="AL38" s="96">
        <f t="shared" si="35"/>
      </c>
      <c r="AN38" s="2">
        <f>IF(33&gt;$BD$1000,0,IFERROR(MATCH(33,$BD$1:$BD$1000,0),0))</f>
        <v>0</v>
      </c>
      <c r="AO38" s="2">
        <f t="shared" si="36"/>
        <v>0</v>
      </c>
      <c r="AP38" s="2">
        <f t="shared" si="37"/>
      </c>
      <c r="AQ38" s="2">
        <f t="shared" si="38"/>
      </c>
      <c r="AR38" s="2">
        <f t="shared" si="39"/>
      </c>
      <c r="AS38" s="2">
        <f t="shared" si="40"/>
      </c>
      <c r="AT38" s="2">
        <f t="shared" si="41"/>
        <v>0</v>
      </c>
      <c r="AU38" s="2">
        <f t="shared" si="42"/>
        <v>0</v>
      </c>
      <c r="AV38" s="2">
        <f t="shared" si="43"/>
        <v>0</v>
      </c>
      <c r="AW38" s="2">
        <f t="shared" si="44"/>
        <v>0</v>
      </c>
      <c r="AX38" s="2">
        <f t="shared" si="45"/>
        <v>0</v>
      </c>
      <c r="AY38" s="2">
        <f t="shared" si="46"/>
        <v>0</v>
      </c>
      <c r="AZ38" s="2">
        <f t="shared" si="47"/>
        <v>0</v>
      </c>
      <c r="BA38" s="2">
        <f t="shared" si="48"/>
        <v>0</v>
      </c>
      <c r="BC38" s="2">
        <f>SUM(CA1:CA38)</f>
        <v>1</v>
      </c>
      <c r="BD38" s="2">
        <f>SUM(CB1:CB38)</f>
        <v>0</v>
      </c>
      <c r="CA38" s="2">
        <f>IF(AND(_辅助!$E$38&lt;&gt;"",(COUNTIFS(考勤工资!$D$5:$D$1004,_辅助!$E$38,考勤工资!$Y$5:$Y$1004,$E$3)+COUNTIFS(考勤工资!$F$5:$F$1004,_辅助!$E$38,考勤工资!$Y$5:$Y$1004,$E$3)+COUNTIFS(考勤工资!$H$5:$H$1004,_辅助!$E$38,考勤工资!$Y$5:$Y$1004,$E$3)+COUNTIFS(考勤工资!$J$5:$J$1004,_辅助!$E$38,考勤工资!$Y$5:$Y$1004,$E$3))&gt;0),1,0)</f>
        <v>0</v>
      </c>
      <c r="CB38" s="2">
        <f>IF(考勤工资!$Y$42=$E$3,1,0)</f>
        <v>0</v>
      </c>
    </row>
    <row r="39">
      <c r="A39" s="94">
        <f>IF($AN39=0,"",34)</f>
      </c>
      <c r="B39" s="94">
        <f t="shared" si="32"/>
      </c>
      <c r="C39" s="96">
        <f t="shared" si="33"/>
      </c>
      <c r="D39" s="94">
        <f t="shared" si="0"/>
      </c>
      <c r="E39" s="117">
        <f t="shared" si="1"/>
      </c>
      <c r="F39" s="96">
        <f t="shared" si="2"/>
      </c>
      <c r="G39" s="118">
        <f t="shared" si="3"/>
      </c>
      <c r="H39" s="118">
        <f t="shared" si="4"/>
      </c>
      <c r="I39" s="118">
        <f t="shared" si="5"/>
      </c>
      <c r="J39" s="118">
        <f t="shared" si="6"/>
      </c>
      <c r="K39" s="118">
        <f t="shared" si="7"/>
      </c>
      <c r="L39" s="118">
        <f t="shared" si="8"/>
      </c>
      <c r="M39" s="118">
        <f t="shared" si="9"/>
      </c>
      <c r="N39" s="118">
        <f t="shared" si="10"/>
      </c>
      <c r="O39" s="118">
        <f t="shared" si="11"/>
      </c>
      <c r="P39" s="119">
        <f t="shared" si="34"/>
      </c>
      <c r="Q39" s="21">
        <f t="shared" si="12"/>
      </c>
      <c r="R39" s="21">
        <f t="shared" si="13"/>
      </c>
      <c r="S39" s="21">
        <f t="shared" si="14"/>
      </c>
      <c r="T39" s="21">
        <f t="shared" si="15"/>
      </c>
      <c r="U39" s="21">
        <f t="shared" si="16"/>
      </c>
      <c r="V39" s="21">
        <f t="shared" si="17"/>
      </c>
      <c r="W39" s="21">
        <f t="shared" si="18"/>
      </c>
      <c r="X39" s="21">
        <f t="shared" si="19"/>
      </c>
      <c r="Y39" s="21">
        <f t="shared" si="20"/>
      </c>
      <c r="Z39" s="21">
        <f t="shared" si="21"/>
      </c>
      <c r="AA39" s="21">
        <f t="shared" si="22"/>
      </c>
      <c r="AB39" s="21">
        <f t="shared" si="23"/>
      </c>
      <c r="AC39" s="21">
        <f t="shared" si="24"/>
      </c>
      <c r="AD39" s="21">
        <f t="shared" si="25"/>
      </c>
      <c r="AE39" s="21">
        <f t="shared" si="26"/>
      </c>
      <c r="AF39" s="21">
        <f t="shared" si="27"/>
      </c>
      <c r="AG39" s="21">
        <f t="shared" si="28"/>
      </c>
      <c r="AH39" s="21">
        <f t="shared" si="29"/>
      </c>
      <c r="AI39" s="21">
        <f t="shared" si="30"/>
      </c>
      <c r="AJ39" s="21">
        <f t="shared" si="31"/>
      </c>
      <c r="AK39" s="94" t="n"/>
      <c r="AL39" s="96">
        <f t="shared" si="35"/>
      </c>
      <c r="AN39" s="2">
        <f>IF(34&gt;$BD$1000,0,IFERROR(MATCH(34,$BD$1:$BD$1000,0),0))</f>
        <v>0</v>
      </c>
      <c r="AO39" s="2">
        <f t="shared" si="36"/>
        <v>0</v>
      </c>
      <c r="AP39" s="2">
        <f t="shared" si="37"/>
      </c>
      <c r="AQ39" s="2">
        <f t="shared" si="38"/>
      </c>
      <c r="AR39" s="2">
        <f t="shared" si="39"/>
      </c>
      <c r="AS39" s="2">
        <f t="shared" si="40"/>
      </c>
      <c r="AT39" s="2">
        <f t="shared" si="41"/>
        <v>0</v>
      </c>
      <c r="AU39" s="2">
        <f t="shared" si="42"/>
        <v>0</v>
      </c>
      <c r="AV39" s="2">
        <f t="shared" si="43"/>
        <v>0</v>
      </c>
      <c r="AW39" s="2">
        <f t="shared" si="44"/>
        <v>0</v>
      </c>
      <c r="AX39" s="2">
        <f t="shared" si="45"/>
        <v>0</v>
      </c>
      <c r="AY39" s="2">
        <f t="shared" si="46"/>
        <v>0</v>
      </c>
      <c r="AZ39" s="2">
        <f t="shared" si="47"/>
        <v>0</v>
      </c>
      <c r="BA39" s="2">
        <f t="shared" si="48"/>
        <v>0</v>
      </c>
      <c r="BC39" s="2">
        <f>SUM(CA1:CA39)</f>
        <v>1</v>
      </c>
      <c r="BD39" s="2">
        <f>SUM(CB1:CB39)</f>
        <v>0</v>
      </c>
      <c r="CA39" s="2">
        <f>IF(AND(_辅助!$E$39&lt;&gt;"",(COUNTIFS(考勤工资!$D$5:$D$1004,_辅助!$E$39,考勤工资!$Y$5:$Y$1004,$E$3)+COUNTIFS(考勤工资!$F$5:$F$1004,_辅助!$E$39,考勤工资!$Y$5:$Y$1004,$E$3)+COUNTIFS(考勤工资!$H$5:$H$1004,_辅助!$E$39,考勤工资!$Y$5:$Y$1004,$E$3)+COUNTIFS(考勤工资!$J$5:$J$1004,_辅助!$E$39,考勤工资!$Y$5:$Y$1004,$E$3))&gt;0),1,0)</f>
        <v>0</v>
      </c>
      <c r="CB39" s="2">
        <f>IF(考勤工资!$Y$43=$E$3,1,0)</f>
        <v>0</v>
      </c>
    </row>
    <row r="40">
      <c r="A40" s="94">
        <f>IF($AN40=0,"",35)</f>
      </c>
      <c r="B40" s="94">
        <f t="shared" si="32"/>
      </c>
      <c r="C40" s="96">
        <f t="shared" si="33"/>
      </c>
      <c r="D40" s="94">
        <f t="shared" si="0"/>
      </c>
      <c r="E40" s="117">
        <f t="shared" si="1"/>
      </c>
      <c r="F40" s="96">
        <f t="shared" si="2"/>
      </c>
      <c r="G40" s="118">
        <f t="shared" si="3"/>
      </c>
      <c r="H40" s="118">
        <f t="shared" si="4"/>
      </c>
      <c r="I40" s="118">
        <f t="shared" si="5"/>
      </c>
      <c r="J40" s="118">
        <f t="shared" si="6"/>
      </c>
      <c r="K40" s="118">
        <f t="shared" si="7"/>
      </c>
      <c r="L40" s="118">
        <f t="shared" si="8"/>
      </c>
      <c r="M40" s="118">
        <f t="shared" si="9"/>
      </c>
      <c r="N40" s="118">
        <f t="shared" si="10"/>
      </c>
      <c r="O40" s="118">
        <f t="shared" si="11"/>
      </c>
      <c r="P40" s="119">
        <f t="shared" si="34"/>
      </c>
      <c r="Q40" s="21">
        <f t="shared" si="12"/>
      </c>
      <c r="R40" s="21">
        <f t="shared" si="13"/>
      </c>
      <c r="S40" s="21">
        <f t="shared" si="14"/>
      </c>
      <c r="T40" s="21">
        <f t="shared" si="15"/>
      </c>
      <c r="U40" s="21">
        <f t="shared" si="16"/>
      </c>
      <c r="V40" s="21">
        <f t="shared" si="17"/>
      </c>
      <c r="W40" s="21">
        <f t="shared" si="18"/>
      </c>
      <c r="X40" s="21">
        <f t="shared" si="19"/>
      </c>
      <c r="Y40" s="21">
        <f t="shared" si="20"/>
      </c>
      <c r="Z40" s="21">
        <f t="shared" si="21"/>
      </c>
      <c r="AA40" s="21">
        <f t="shared" si="22"/>
      </c>
      <c r="AB40" s="21">
        <f t="shared" si="23"/>
      </c>
      <c r="AC40" s="21">
        <f t="shared" si="24"/>
      </c>
      <c r="AD40" s="21">
        <f t="shared" si="25"/>
      </c>
      <c r="AE40" s="21">
        <f t="shared" si="26"/>
      </c>
      <c r="AF40" s="21">
        <f t="shared" si="27"/>
      </c>
      <c r="AG40" s="21">
        <f t="shared" si="28"/>
      </c>
      <c r="AH40" s="21">
        <f t="shared" si="29"/>
      </c>
      <c r="AI40" s="21">
        <f t="shared" si="30"/>
      </c>
      <c r="AJ40" s="21">
        <f t="shared" si="31"/>
      </c>
      <c r="AK40" s="94" t="n"/>
      <c r="AL40" s="96">
        <f t="shared" si="35"/>
      </c>
      <c r="AN40" s="2">
        <f>IF(35&gt;$BD$1000,0,IFERROR(MATCH(35,$BD$1:$BD$1000,0),0))</f>
        <v>0</v>
      </c>
      <c r="AO40" s="2">
        <f t="shared" si="36"/>
        <v>0</v>
      </c>
      <c r="AP40" s="2">
        <f t="shared" si="37"/>
      </c>
      <c r="AQ40" s="2">
        <f t="shared" si="38"/>
      </c>
      <c r="AR40" s="2">
        <f t="shared" si="39"/>
      </c>
      <c r="AS40" s="2">
        <f t="shared" si="40"/>
      </c>
      <c r="AT40" s="2">
        <f t="shared" si="41"/>
        <v>0</v>
      </c>
      <c r="AU40" s="2">
        <f t="shared" si="42"/>
        <v>0</v>
      </c>
      <c r="AV40" s="2">
        <f t="shared" si="43"/>
        <v>0</v>
      </c>
      <c r="AW40" s="2">
        <f t="shared" si="44"/>
        <v>0</v>
      </c>
      <c r="AX40" s="2">
        <f t="shared" si="45"/>
        <v>0</v>
      </c>
      <c r="AY40" s="2">
        <f t="shared" si="46"/>
        <v>0</v>
      </c>
      <c r="AZ40" s="2">
        <f t="shared" si="47"/>
        <v>0</v>
      </c>
      <c r="BA40" s="2">
        <f t="shared" si="48"/>
        <v>0</v>
      </c>
      <c r="BC40" s="2">
        <f>SUM(CA1:CA40)</f>
        <v>1</v>
      </c>
      <c r="BD40" s="2">
        <f>SUM(CB1:CB40)</f>
        <v>0</v>
      </c>
      <c r="CA40" s="2">
        <f>IF(AND(_辅助!$E$40&lt;&gt;"",(COUNTIFS(考勤工资!$D$5:$D$1004,_辅助!$E$40,考勤工资!$Y$5:$Y$1004,$E$3)+COUNTIFS(考勤工资!$F$5:$F$1004,_辅助!$E$40,考勤工资!$Y$5:$Y$1004,$E$3)+COUNTIFS(考勤工资!$H$5:$H$1004,_辅助!$E$40,考勤工资!$Y$5:$Y$1004,$E$3)+COUNTIFS(考勤工资!$J$5:$J$1004,_辅助!$E$40,考勤工资!$Y$5:$Y$1004,$E$3))&gt;0),1,0)</f>
        <v>0</v>
      </c>
      <c r="CB40" s="2">
        <f>IF(考勤工资!$Y$44=$E$3,1,0)</f>
        <v>0</v>
      </c>
    </row>
    <row r="41">
      <c r="A41" s="94">
        <f>IF($AN41=0,"",36)</f>
      </c>
      <c r="B41" s="94">
        <f t="shared" si="32"/>
      </c>
      <c r="C41" s="96">
        <f t="shared" si="33"/>
      </c>
      <c r="D41" s="94">
        <f t="shared" si="0"/>
      </c>
      <c r="E41" s="117">
        <f t="shared" si="1"/>
      </c>
      <c r="F41" s="96">
        <f t="shared" si="2"/>
      </c>
      <c r="G41" s="118">
        <f t="shared" si="3"/>
      </c>
      <c r="H41" s="118">
        <f t="shared" si="4"/>
      </c>
      <c r="I41" s="118">
        <f t="shared" si="5"/>
      </c>
      <c r="J41" s="118">
        <f t="shared" si="6"/>
      </c>
      <c r="K41" s="118">
        <f t="shared" si="7"/>
      </c>
      <c r="L41" s="118">
        <f t="shared" si="8"/>
      </c>
      <c r="M41" s="118">
        <f t="shared" si="9"/>
      </c>
      <c r="N41" s="118">
        <f t="shared" si="10"/>
      </c>
      <c r="O41" s="118">
        <f t="shared" si="11"/>
      </c>
      <c r="P41" s="119">
        <f t="shared" si="34"/>
      </c>
      <c r="Q41" s="21">
        <f t="shared" si="12"/>
      </c>
      <c r="R41" s="21">
        <f t="shared" si="13"/>
      </c>
      <c r="S41" s="21">
        <f t="shared" si="14"/>
      </c>
      <c r="T41" s="21">
        <f t="shared" si="15"/>
      </c>
      <c r="U41" s="21">
        <f t="shared" si="16"/>
      </c>
      <c r="V41" s="21">
        <f t="shared" si="17"/>
      </c>
      <c r="W41" s="21">
        <f t="shared" si="18"/>
      </c>
      <c r="X41" s="21">
        <f t="shared" si="19"/>
      </c>
      <c r="Y41" s="21">
        <f t="shared" si="20"/>
      </c>
      <c r="Z41" s="21">
        <f t="shared" si="21"/>
      </c>
      <c r="AA41" s="21">
        <f t="shared" si="22"/>
      </c>
      <c r="AB41" s="21">
        <f t="shared" si="23"/>
      </c>
      <c r="AC41" s="21">
        <f t="shared" si="24"/>
      </c>
      <c r="AD41" s="21">
        <f t="shared" si="25"/>
      </c>
      <c r="AE41" s="21">
        <f t="shared" si="26"/>
      </c>
      <c r="AF41" s="21">
        <f t="shared" si="27"/>
      </c>
      <c r="AG41" s="21">
        <f t="shared" si="28"/>
      </c>
      <c r="AH41" s="21">
        <f t="shared" si="29"/>
      </c>
      <c r="AI41" s="21">
        <f t="shared" si="30"/>
      </c>
      <c r="AJ41" s="21">
        <f t="shared" si="31"/>
      </c>
      <c r="AK41" s="94" t="n"/>
      <c r="AL41" s="96">
        <f t="shared" si="35"/>
      </c>
      <c r="AN41" s="2">
        <f>IF(36&gt;$BD$1000,0,IFERROR(MATCH(36,$BD$1:$BD$1000,0),0))</f>
        <v>0</v>
      </c>
      <c r="AO41" s="2">
        <f t="shared" si="36"/>
        <v>0</v>
      </c>
      <c r="AP41" s="2">
        <f t="shared" si="37"/>
      </c>
      <c r="AQ41" s="2">
        <f t="shared" si="38"/>
      </c>
      <c r="AR41" s="2">
        <f t="shared" si="39"/>
      </c>
      <c r="AS41" s="2">
        <f t="shared" si="40"/>
      </c>
      <c r="AT41" s="2">
        <f t="shared" si="41"/>
        <v>0</v>
      </c>
      <c r="AU41" s="2">
        <f t="shared" si="42"/>
        <v>0</v>
      </c>
      <c r="AV41" s="2">
        <f t="shared" si="43"/>
        <v>0</v>
      </c>
      <c r="AW41" s="2">
        <f t="shared" si="44"/>
        <v>0</v>
      </c>
      <c r="AX41" s="2">
        <f t="shared" si="45"/>
        <v>0</v>
      </c>
      <c r="AY41" s="2">
        <f t="shared" si="46"/>
        <v>0</v>
      </c>
      <c r="AZ41" s="2">
        <f t="shared" si="47"/>
        <v>0</v>
      </c>
      <c r="BA41" s="2">
        <f t="shared" si="48"/>
        <v>0</v>
      </c>
      <c r="BC41" s="2">
        <f>SUM(CA1:CA41)</f>
        <v>1</v>
      </c>
      <c r="BD41" s="2">
        <f>SUM(CB1:CB41)</f>
        <v>0</v>
      </c>
      <c r="CA41" s="2">
        <f>IF(AND(_辅助!$E$41&lt;&gt;"",(COUNTIFS(考勤工资!$D$5:$D$1004,_辅助!$E$41,考勤工资!$Y$5:$Y$1004,$E$3)+COUNTIFS(考勤工资!$F$5:$F$1004,_辅助!$E$41,考勤工资!$Y$5:$Y$1004,$E$3)+COUNTIFS(考勤工资!$H$5:$H$1004,_辅助!$E$41,考勤工资!$Y$5:$Y$1004,$E$3)+COUNTIFS(考勤工资!$J$5:$J$1004,_辅助!$E$41,考勤工资!$Y$5:$Y$1004,$E$3))&gt;0),1,0)</f>
        <v>0</v>
      </c>
      <c r="CB41" s="2">
        <f>IF(考勤工资!$Y$45=$E$3,1,0)</f>
        <v>0</v>
      </c>
    </row>
    <row r="42">
      <c r="A42" s="94">
        <f>IF($AN42=0,"",37)</f>
      </c>
      <c r="B42" s="94">
        <f t="shared" si="32"/>
      </c>
      <c r="C42" s="96">
        <f t="shared" si="33"/>
      </c>
      <c r="D42" s="94">
        <f t="shared" si="0"/>
      </c>
      <c r="E42" s="117">
        <f t="shared" si="1"/>
      </c>
      <c r="F42" s="96">
        <f t="shared" si="2"/>
      </c>
      <c r="G42" s="118">
        <f t="shared" si="3"/>
      </c>
      <c r="H42" s="118">
        <f t="shared" si="4"/>
      </c>
      <c r="I42" s="118">
        <f t="shared" si="5"/>
      </c>
      <c r="J42" s="118">
        <f t="shared" si="6"/>
      </c>
      <c r="K42" s="118">
        <f t="shared" si="7"/>
      </c>
      <c r="L42" s="118">
        <f t="shared" si="8"/>
      </c>
      <c r="M42" s="118">
        <f t="shared" si="9"/>
      </c>
      <c r="N42" s="118">
        <f t="shared" si="10"/>
      </c>
      <c r="O42" s="118">
        <f t="shared" si="11"/>
      </c>
      <c r="P42" s="119">
        <f t="shared" si="34"/>
      </c>
      <c r="Q42" s="21">
        <f t="shared" si="12"/>
      </c>
      <c r="R42" s="21">
        <f t="shared" si="13"/>
      </c>
      <c r="S42" s="21">
        <f t="shared" si="14"/>
      </c>
      <c r="T42" s="21">
        <f t="shared" si="15"/>
      </c>
      <c r="U42" s="21">
        <f t="shared" si="16"/>
      </c>
      <c r="V42" s="21">
        <f t="shared" si="17"/>
      </c>
      <c r="W42" s="21">
        <f t="shared" si="18"/>
      </c>
      <c r="X42" s="21">
        <f t="shared" si="19"/>
      </c>
      <c r="Y42" s="21">
        <f t="shared" si="20"/>
      </c>
      <c r="Z42" s="21">
        <f t="shared" si="21"/>
      </c>
      <c r="AA42" s="21">
        <f t="shared" si="22"/>
      </c>
      <c r="AB42" s="21">
        <f t="shared" si="23"/>
      </c>
      <c r="AC42" s="21">
        <f t="shared" si="24"/>
      </c>
      <c r="AD42" s="21">
        <f t="shared" si="25"/>
      </c>
      <c r="AE42" s="21">
        <f t="shared" si="26"/>
      </c>
      <c r="AF42" s="21">
        <f t="shared" si="27"/>
      </c>
      <c r="AG42" s="21">
        <f t="shared" si="28"/>
      </c>
      <c r="AH42" s="21">
        <f t="shared" si="29"/>
      </c>
      <c r="AI42" s="21">
        <f t="shared" si="30"/>
      </c>
      <c r="AJ42" s="21">
        <f t="shared" si="31"/>
      </c>
      <c r="AK42" s="94" t="n"/>
      <c r="AL42" s="96">
        <f t="shared" si="35"/>
      </c>
      <c r="AN42" s="2">
        <f>IF(37&gt;$BD$1000,0,IFERROR(MATCH(37,$BD$1:$BD$1000,0),0))</f>
        <v>0</v>
      </c>
      <c r="AO42" s="2">
        <f t="shared" si="36"/>
        <v>0</v>
      </c>
      <c r="AP42" s="2">
        <f t="shared" si="37"/>
      </c>
      <c r="AQ42" s="2">
        <f t="shared" si="38"/>
      </c>
      <c r="AR42" s="2">
        <f t="shared" si="39"/>
      </c>
      <c r="AS42" s="2">
        <f t="shared" si="40"/>
      </c>
      <c r="AT42" s="2">
        <f t="shared" si="41"/>
        <v>0</v>
      </c>
      <c r="AU42" s="2">
        <f t="shared" si="42"/>
        <v>0</v>
      </c>
      <c r="AV42" s="2">
        <f t="shared" si="43"/>
        <v>0</v>
      </c>
      <c r="AW42" s="2">
        <f t="shared" si="44"/>
        <v>0</v>
      </c>
      <c r="AX42" s="2">
        <f t="shared" si="45"/>
        <v>0</v>
      </c>
      <c r="AY42" s="2">
        <f t="shared" si="46"/>
        <v>0</v>
      </c>
      <c r="AZ42" s="2">
        <f t="shared" si="47"/>
        <v>0</v>
      </c>
      <c r="BA42" s="2">
        <f t="shared" si="48"/>
        <v>0</v>
      </c>
      <c r="BC42" s="2">
        <f>SUM(CA1:CA42)</f>
        <v>1</v>
      </c>
      <c r="BD42" s="2">
        <f>SUM(CB1:CB42)</f>
        <v>0</v>
      </c>
      <c r="CA42" s="2">
        <f>IF(AND(_辅助!$E$42&lt;&gt;"",(COUNTIFS(考勤工资!$D$5:$D$1004,_辅助!$E$42,考勤工资!$Y$5:$Y$1004,$E$3)+COUNTIFS(考勤工资!$F$5:$F$1004,_辅助!$E$42,考勤工资!$Y$5:$Y$1004,$E$3)+COUNTIFS(考勤工资!$H$5:$H$1004,_辅助!$E$42,考勤工资!$Y$5:$Y$1004,$E$3)+COUNTIFS(考勤工资!$J$5:$J$1004,_辅助!$E$42,考勤工资!$Y$5:$Y$1004,$E$3))&gt;0),1,0)</f>
        <v>0</v>
      </c>
      <c r="CB42" s="2">
        <f>IF(考勤工资!$Y$46=$E$3,1,0)</f>
        <v>0</v>
      </c>
    </row>
    <row r="43">
      <c r="A43" s="94">
        <f>IF($AN43=0,"",38)</f>
      </c>
      <c r="B43" s="94">
        <f t="shared" si="32"/>
      </c>
      <c r="C43" s="96">
        <f t="shared" si="33"/>
      </c>
      <c r="D43" s="94">
        <f t="shared" si="0"/>
      </c>
      <c r="E43" s="117">
        <f t="shared" si="1"/>
      </c>
      <c r="F43" s="96">
        <f t="shared" si="2"/>
      </c>
      <c r="G43" s="118">
        <f t="shared" si="3"/>
      </c>
      <c r="H43" s="118">
        <f t="shared" si="4"/>
      </c>
      <c r="I43" s="118">
        <f t="shared" si="5"/>
      </c>
      <c r="J43" s="118">
        <f t="shared" si="6"/>
      </c>
      <c r="K43" s="118">
        <f t="shared" si="7"/>
      </c>
      <c r="L43" s="118">
        <f t="shared" si="8"/>
      </c>
      <c r="M43" s="118">
        <f t="shared" si="9"/>
      </c>
      <c r="N43" s="118">
        <f t="shared" si="10"/>
      </c>
      <c r="O43" s="118">
        <f t="shared" si="11"/>
      </c>
      <c r="P43" s="119">
        <f t="shared" si="34"/>
      </c>
      <c r="Q43" s="21">
        <f t="shared" si="12"/>
      </c>
      <c r="R43" s="21">
        <f t="shared" si="13"/>
      </c>
      <c r="S43" s="21">
        <f t="shared" si="14"/>
      </c>
      <c r="T43" s="21">
        <f t="shared" si="15"/>
      </c>
      <c r="U43" s="21">
        <f t="shared" si="16"/>
      </c>
      <c r="V43" s="21">
        <f t="shared" si="17"/>
      </c>
      <c r="W43" s="21">
        <f t="shared" si="18"/>
      </c>
      <c r="X43" s="21">
        <f t="shared" si="19"/>
      </c>
      <c r="Y43" s="21">
        <f t="shared" si="20"/>
      </c>
      <c r="Z43" s="21">
        <f t="shared" si="21"/>
      </c>
      <c r="AA43" s="21">
        <f t="shared" si="22"/>
      </c>
      <c r="AB43" s="21">
        <f t="shared" si="23"/>
      </c>
      <c r="AC43" s="21">
        <f t="shared" si="24"/>
      </c>
      <c r="AD43" s="21">
        <f t="shared" si="25"/>
      </c>
      <c r="AE43" s="21">
        <f t="shared" si="26"/>
      </c>
      <c r="AF43" s="21">
        <f t="shared" si="27"/>
      </c>
      <c r="AG43" s="21">
        <f t="shared" si="28"/>
      </c>
      <c r="AH43" s="21">
        <f t="shared" si="29"/>
      </c>
      <c r="AI43" s="21">
        <f t="shared" si="30"/>
      </c>
      <c r="AJ43" s="21">
        <f t="shared" si="31"/>
      </c>
      <c r="AK43" s="94" t="n"/>
      <c r="AL43" s="96">
        <f t="shared" si="35"/>
      </c>
      <c r="AN43" s="2">
        <f>IF(38&gt;$BD$1000,0,IFERROR(MATCH(38,$BD$1:$BD$1000,0),0))</f>
        <v>0</v>
      </c>
      <c r="AO43" s="2">
        <f t="shared" si="36"/>
        <v>0</v>
      </c>
      <c r="AP43" s="2">
        <f t="shared" si="37"/>
      </c>
      <c r="AQ43" s="2">
        <f t="shared" si="38"/>
      </c>
      <c r="AR43" s="2">
        <f t="shared" si="39"/>
      </c>
      <c r="AS43" s="2">
        <f t="shared" si="40"/>
      </c>
      <c r="AT43" s="2">
        <f t="shared" si="41"/>
        <v>0</v>
      </c>
      <c r="AU43" s="2">
        <f t="shared" si="42"/>
        <v>0</v>
      </c>
      <c r="AV43" s="2">
        <f t="shared" si="43"/>
        <v>0</v>
      </c>
      <c r="AW43" s="2">
        <f t="shared" si="44"/>
        <v>0</v>
      </c>
      <c r="AX43" s="2">
        <f t="shared" si="45"/>
        <v>0</v>
      </c>
      <c r="AY43" s="2">
        <f t="shared" si="46"/>
        <v>0</v>
      </c>
      <c r="AZ43" s="2">
        <f t="shared" si="47"/>
        <v>0</v>
      </c>
      <c r="BA43" s="2">
        <f t="shared" si="48"/>
        <v>0</v>
      </c>
      <c r="BC43" s="2">
        <f>SUM(CA1:CA43)</f>
        <v>1</v>
      </c>
      <c r="BD43" s="2">
        <f>SUM(CB1:CB43)</f>
        <v>0</v>
      </c>
      <c r="CA43" s="2">
        <f>IF(AND(_辅助!$E$43&lt;&gt;"",(COUNTIFS(考勤工资!$D$5:$D$1004,_辅助!$E$43,考勤工资!$Y$5:$Y$1004,$E$3)+COUNTIFS(考勤工资!$F$5:$F$1004,_辅助!$E$43,考勤工资!$Y$5:$Y$1004,$E$3)+COUNTIFS(考勤工资!$H$5:$H$1004,_辅助!$E$43,考勤工资!$Y$5:$Y$1004,$E$3)+COUNTIFS(考勤工资!$J$5:$J$1004,_辅助!$E$43,考勤工资!$Y$5:$Y$1004,$E$3))&gt;0),1,0)</f>
        <v>0</v>
      </c>
      <c r="CB43" s="2">
        <f>IF(考勤工资!$Y$47=$E$3,1,0)</f>
        <v>0</v>
      </c>
    </row>
    <row r="44">
      <c r="A44" s="94">
        <f>IF($AN44=0,"",39)</f>
      </c>
      <c r="B44" s="94">
        <f t="shared" si="32"/>
      </c>
      <c r="C44" s="96">
        <f t="shared" si="33"/>
      </c>
      <c r="D44" s="94">
        <f t="shared" si="0"/>
      </c>
      <c r="E44" s="117">
        <f t="shared" si="1"/>
      </c>
      <c r="F44" s="96">
        <f t="shared" si="2"/>
      </c>
      <c r="G44" s="118">
        <f t="shared" si="3"/>
      </c>
      <c r="H44" s="118">
        <f t="shared" si="4"/>
      </c>
      <c r="I44" s="118">
        <f t="shared" si="5"/>
      </c>
      <c r="J44" s="118">
        <f t="shared" si="6"/>
      </c>
      <c r="K44" s="118">
        <f t="shared" si="7"/>
      </c>
      <c r="L44" s="118">
        <f t="shared" si="8"/>
      </c>
      <c r="M44" s="118">
        <f t="shared" si="9"/>
      </c>
      <c r="N44" s="118">
        <f t="shared" si="10"/>
      </c>
      <c r="O44" s="118">
        <f t="shared" si="11"/>
      </c>
      <c r="P44" s="119">
        <f t="shared" si="34"/>
      </c>
      <c r="Q44" s="21">
        <f t="shared" si="12"/>
      </c>
      <c r="R44" s="21">
        <f t="shared" si="13"/>
      </c>
      <c r="S44" s="21">
        <f t="shared" si="14"/>
      </c>
      <c r="T44" s="21">
        <f t="shared" si="15"/>
      </c>
      <c r="U44" s="21">
        <f t="shared" si="16"/>
      </c>
      <c r="V44" s="21">
        <f t="shared" si="17"/>
      </c>
      <c r="W44" s="21">
        <f t="shared" si="18"/>
      </c>
      <c r="X44" s="21">
        <f t="shared" si="19"/>
      </c>
      <c r="Y44" s="21">
        <f t="shared" si="20"/>
      </c>
      <c r="Z44" s="21">
        <f t="shared" si="21"/>
      </c>
      <c r="AA44" s="21">
        <f t="shared" si="22"/>
      </c>
      <c r="AB44" s="21">
        <f t="shared" si="23"/>
      </c>
      <c r="AC44" s="21">
        <f t="shared" si="24"/>
      </c>
      <c r="AD44" s="21">
        <f t="shared" si="25"/>
      </c>
      <c r="AE44" s="21">
        <f t="shared" si="26"/>
      </c>
      <c r="AF44" s="21">
        <f t="shared" si="27"/>
      </c>
      <c r="AG44" s="21">
        <f t="shared" si="28"/>
      </c>
      <c r="AH44" s="21">
        <f t="shared" si="29"/>
      </c>
      <c r="AI44" s="21">
        <f t="shared" si="30"/>
      </c>
      <c r="AJ44" s="21">
        <f t="shared" si="31"/>
      </c>
      <c r="AK44" s="94" t="n"/>
      <c r="AL44" s="96">
        <f t="shared" si="35"/>
      </c>
      <c r="AN44" s="2">
        <f>IF(39&gt;$BD$1000,0,IFERROR(MATCH(39,$BD$1:$BD$1000,0),0))</f>
        <v>0</v>
      </c>
      <c r="AO44" s="2">
        <f t="shared" si="36"/>
        <v>0</v>
      </c>
      <c r="AP44" s="2">
        <f t="shared" si="37"/>
      </c>
      <c r="AQ44" s="2">
        <f t="shared" si="38"/>
      </c>
      <c r="AR44" s="2">
        <f t="shared" si="39"/>
      </c>
      <c r="AS44" s="2">
        <f t="shared" si="40"/>
      </c>
      <c r="AT44" s="2">
        <f t="shared" si="41"/>
        <v>0</v>
      </c>
      <c r="AU44" s="2">
        <f t="shared" si="42"/>
        <v>0</v>
      </c>
      <c r="AV44" s="2">
        <f t="shared" si="43"/>
        <v>0</v>
      </c>
      <c r="AW44" s="2">
        <f t="shared" si="44"/>
        <v>0</v>
      </c>
      <c r="AX44" s="2">
        <f t="shared" si="45"/>
        <v>0</v>
      </c>
      <c r="AY44" s="2">
        <f t="shared" si="46"/>
        <v>0</v>
      </c>
      <c r="AZ44" s="2">
        <f t="shared" si="47"/>
        <v>0</v>
      </c>
      <c r="BA44" s="2">
        <f t="shared" si="48"/>
        <v>0</v>
      </c>
      <c r="BC44" s="2">
        <f>SUM(CA1:CA44)</f>
        <v>1</v>
      </c>
      <c r="BD44" s="2">
        <f>SUM(CB1:CB44)</f>
        <v>0</v>
      </c>
      <c r="CA44" s="2">
        <f>IF(AND(_辅助!$E$44&lt;&gt;"",(COUNTIFS(考勤工资!$D$5:$D$1004,_辅助!$E$44,考勤工资!$Y$5:$Y$1004,$E$3)+COUNTIFS(考勤工资!$F$5:$F$1004,_辅助!$E$44,考勤工资!$Y$5:$Y$1004,$E$3)+COUNTIFS(考勤工资!$H$5:$H$1004,_辅助!$E$44,考勤工资!$Y$5:$Y$1004,$E$3)+COUNTIFS(考勤工资!$J$5:$J$1004,_辅助!$E$44,考勤工资!$Y$5:$Y$1004,$E$3))&gt;0),1,0)</f>
        <v>0</v>
      </c>
      <c r="CB44" s="2">
        <f>IF(考勤工资!$Y$48=$E$3,1,0)</f>
        <v>0</v>
      </c>
    </row>
    <row r="45">
      <c r="A45" s="94">
        <f>IF($AN45=0,"",40)</f>
      </c>
      <c r="B45" s="94">
        <f t="shared" si="32"/>
      </c>
      <c r="C45" s="96">
        <f t="shared" si="33"/>
      </c>
      <c r="D45" s="94">
        <f t="shared" si="0"/>
      </c>
      <c r="E45" s="117">
        <f t="shared" si="1"/>
      </c>
      <c r="F45" s="96">
        <f t="shared" si="2"/>
      </c>
      <c r="G45" s="118">
        <f t="shared" si="3"/>
      </c>
      <c r="H45" s="118">
        <f t="shared" si="4"/>
      </c>
      <c r="I45" s="118">
        <f t="shared" si="5"/>
      </c>
      <c r="J45" s="118">
        <f t="shared" si="6"/>
      </c>
      <c r="K45" s="118">
        <f t="shared" si="7"/>
      </c>
      <c r="L45" s="118">
        <f t="shared" si="8"/>
      </c>
      <c r="M45" s="118">
        <f t="shared" si="9"/>
      </c>
      <c r="N45" s="118">
        <f t="shared" si="10"/>
      </c>
      <c r="O45" s="118">
        <f t="shared" si="11"/>
      </c>
      <c r="P45" s="119">
        <f t="shared" si="34"/>
      </c>
      <c r="Q45" s="21">
        <f t="shared" si="12"/>
      </c>
      <c r="R45" s="21">
        <f t="shared" si="13"/>
      </c>
      <c r="S45" s="21">
        <f t="shared" si="14"/>
      </c>
      <c r="T45" s="21">
        <f t="shared" si="15"/>
      </c>
      <c r="U45" s="21">
        <f t="shared" si="16"/>
      </c>
      <c r="V45" s="21">
        <f t="shared" si="17"/>
      </c>
      <c r="W45" s="21">
        <f t="shared" si="18"/>
      </c>
      <c r="X45" s="21">
        <f t="shared" si="19"/>
      </c>
      <c r="Y45" s="21">
        <f t="shared" si="20"/>
      </c>
      <c r="Z45" s="21">
        <f t="shared" si="21"/>
      </c>
      <c r="AA45" s="21">
        <f t="shared" si="22"/>
      </c>
      <c r="AB45" s="21">
        <f t="shared" si="23"/>
      </c>
      <c r="AC45" s="21">
        <f t="shared" si="24"/>
      </c>
      <c r="AD45" s="21">
        <f t="shared" si="25"/>
      </c>
      <c r="AE45" s="21">
        <f t="shared" si="26"/>
      </c>
      <c r="AF45" s="21">
        <f t="shared" si="27"/>
      </c>
      <c r="AG45" s="21">
        <f t="shared" si="28"/>
      </c>
      <c r="AH45" s="21">
        <f t="shared" si="29"/>
      </c>
      <c r="AI45" s="21">
        <f t="shared" si="30"/>
      </c>
      <c r="AJ45" s="21">
        <f t="shared" si="31"/>
      </c>
      <c r="AK45" s="94" t="n"/>
      <c r="AL45" s="96">
        <f t="shared" si="35"/>
      </c>
      <c r="AN45" s="2">
        <f>IF(40&gt;$BD$1000,0,IFERROR(MATCH(40,$BD$1:$BD$1000,0),0))</f>
        <v>0</v>
      </c>
      <c r="AO45" s="2">
        <f t="shared" si="36"/>
        <v>0</v>
      </c>
      <c r="AP45" s="2">
        <f t="shared" si="37"/>
      </c>
      <c r="AQ45" s="2">
        <f t="shared" si="38"/>
      </c>
      <c r="AR45" s="2">
        <f t="shared" si="39"/>
      </c>
      <c r="AS45" s="2">
        <f t="shared" si="40"/>
      </c>
      <c r="AT45" s="2">
        <f t="shared" si="41"/>
        <v>0</v>
      </c>
      <c r="AU45" s="2">
        <f t="shared" si="42"/>
        <v>0</v>
      </c>
      <c r="AV45" s="2">
        <f t="shared" si="43"/>
        <v>0</v>
      </c>
      <c r="AW45" s="2">
        <f t="shared" si="44"/>
        <v>0</v>
      </c>
      <c r="AX45" s="2">
        <f t="shared" si="45"/>
        <v>0</v>
      </c>
      <c r="AY45" s="2">
        <f t="shared" si="46"/>
        <v>0</v>
      </c>
      <c r="AZ45" s="2">
        <f t="shared" si="47"/>
        <v>0</v>
      </c>
      <c r="BA45" s="2">
        <f t="shared" si="48"/>
        <v>0</v>
      </c>
      <c r="BC45" s="2">
        <f>SUM(CA1:CA45)</f>
        <v>1</v>
      </c>
      <c r="BD45" s="2">
        <f>SUM(CB1:CB45)</f>
        <v>1</v>
      </c>
      <c r="CA45" s="2">
        <f>IF(AND(_辅助!$E$45&lt;&gt;"",(COUNTIFS(考勤工资!$D$5:$D$1004,_辅助!$E$45,考勤工资!$Y$5:$Y$1004,$E$3)+COUNTIFS(考勤工资!$F$5:$F$1004,_辅助!$E$45,考勤工资!$Y$5:$Y$1004,$E$3)+COUNTIFS(考勤工资!$H$5:$H$1004,_辅助!$E$45,考勤工资!$Y$5:$Y$1004,$E$3)+COUNTIFS(考勤工资!$J$5:$J$1004,_辅助!$E$45,考勤工资!$Y$5:$Y$1004,$E$3))&gt;0),1,0)</f>
        <v>0</v>
      </c>
      <c r="CB45" s="2">
        <f>IF(考勤工资!$Y$49=$E$3,1,0)</f>
        <v>1</v>
      </c>
    </row>
    <row r="46">
      <c r="A46" s="94">
        <f>IF($AN46=0,"",41)</f>
      </c>
      <c r="B46" s="94">
        <f t="shared" si="32"/>
      </c>
      <c r="C46" s="96">
        <f t="shared" si="33"/>
      </c>
      <c r="D46" s="94">
        <f t="shared" si="0"/>
      </c>
      <c r="E46" s="117">
        <f t="shared" si="1"/>
      </c>
      <c r="F46" s="96">
        <f t="shared" si="2"/>
      </c>
      <c r="G46" s="118">
        <f t="shared" si="3"/>
      </c>
      <c r="H46" s="118">
        <f t="shared" si="4"/>
      </c>
      <c r="I46" s="118">
        <f t="shared" si="5"/>
      </c>
      <c r="J46" s="118">
        <f t="shared" si="6"/>
      </c>
      <c r="K46" s="118">
        <f t="shared" si="7"/>
      </c>
      <c r="L46" s="118">
        <f t="shared" si="8"/>
      </c>
      <c r="M46" s="118">
        <f t="shared" si="9"/>
      </c>
      <c r="N46" s="118">
        <f t="shared" si="10"/>
      </c>
      <c r="O46" s="118">
        <f t="shared" si="11"/>
      </c>
      <c r="P46" s="119">
        <f t="shared" si="34"/>
      </c>
      <c r="Q46" s="21">
        <f t="shared" si="12"/>
      </c>
      <c r="R46" s="21">
        <f t="shared" si="13"/>
      </c>
      <c r="S46" s="21">
        <f t="shared" si="14"/>
      </c>
      <c r="T46" s="21">
        <f t="shared" si="15"/>
      </c>
      <c r="U46" s="21">
        <f t="shared" si="16"/>
      </c>
      <c r="V46" s="21">
        <f t="shared" si="17"/>
      </c>
      <c r="W46" s="21">
        <f t="shared" si="18"/>
      </c>
      <c r="X46" s="21">
        <f t="shared" si="19"/>
      </c>
      <c r="Y46" s="21">
        <f t="shared" si="20"/>
      </c>
      <c r="Z46" s="21">
        <f t="shared" si="21"/>
      </c>
      <c r="AA46" s="21">
        <f t="shared" si="22"/>
      </c>
      <c r="AB46" s="21">
        <f t="shared" si="23"/>
      </c>
      <c r="AC46" s="21">
        <f t="shared" si="24"/>
      </c>
      <c r="AD46" s="21">
        <f t="shared" si="25"/>
      </c>
      <c r="AE46" s="21">
        <f t="shared" si="26"/>
      </c>
      <c r="AF46" s="21">
        <f t="shared" si="27"/>
      </c>
      <c r="AG46" s="21">
        <f t="shared" si="28"/>
      </c>
      <c r="AH46" s="21">
        <f t="shared" si="29"/>
      </c>
      <c r="AI46" s="21">
        <f t="shared" si="30"/>
      </c>
      <c r="AJ46" s="21">
        <f t="shared" si="31"/>
      </c>
      <c r="AK46" s="94" t="n"/>
      <c r="AL46" s="96">
        <f t="shared" si="35"/>
      </c>
      <c r="AN46" s="2">
        <f>IF(41&gt;$BD$1000,0,IFERROR(MATCH(41,$BD$1:$BD$1000,0),0))</f>
        <v>0</v>
      </c>
      <c r="AO46" s="2">
        <f t="shared" si="36"/>
        <v>0</v>
      </c>
      <c r="AP46" s="2">
        <f t="shared" si="37"/>
      </c>
      <c r="AQ46" s="2">
        <f t="shared" si="38"/>
      </c>
      <c r="AR46" s="2">
        <f t="shared" si="39"/>
      </c>
      <c r="AS46" s="2">
        <f t="shared" si="40"/>
      </c>
      <c r="AT46" s="2">
        <f t="shared" si="41"/>
        <v>0</v>
      </c>
      <c r="AU46" s="2">
        <f t="shared" si="42"/>
        <v>0</v>
      </c>
      <c r="AV46" s="2">
        <f t="shared" si="43"/>
        <v>0</v>
      </c>
      <c r="AW46" s="2">
        <f t="shared" si="44"/>
        <v>0</v>
      </c>
      <c r="AX46" s="2">
        <f t="shared" si="45"/>
        <v>0</v>
      </c>
      <c r="AY46" s="2">
        <f t="shared" si="46"/>
        <v>0</v>
      </c>
      <c r="AZ46" s="2">
        <f t="shared" si="47"/>
        <v>0</v>
      </c>
      <c r="BA46" s="2">
        <f t="shared" si="48"/>
        <v>0</v>
      </c>
      <c r="BC46" s="2">
        <f>SUM(CA1:CA46)</f>
        <v>1</v>
      </c>
      <c r="BD46" s="2">
        <f>SUM(CB1:CB46)</f>
        <v>1</v>
      </c>
      <c r="CA46" s="2">
        <f>IF(AND(_辅助!$E$46&lt;&gt;"",(COUNTIFS(考勤工资!$D$5:$D$1004,_辅助!$E$46,考勤工资!$Y$5:$Y$1004,$E$3)+COUNTIFS(考勤工资!$F$5:$F$1004,_辅助!$E$46,考勤工资!$Y$5:$Y$1004,$E$3)+COUNTIFS(考勤工资!$H$5:$H$1004,_辅助!$E$46,考勤工资!$Y$5:$Y$1004,$E$3)+COUNTIFS(考勤工资!$J$5:$J$1004,_辅助!$E$46,考勤工资!$Y$5:$Y$1004,$E$3))&gt;0),1,0)</f>
        <v>0</v>
      </c>
      <c r="CB46" s="2">
        <f>IF(考勤工资!$Y$50=$E$3,1,0)</f>
        <v>0</v>
      </c>
    </row>
    <row r="47">
      <c r="A47" s="94">
        <f>IF($AN47=0,"",42)</f>
      </c>
      <c r="B47" s="94">
        <f t="shared" si="32"/>
      </c>
      <c r="C47" s="96">
        <f t="shared" si="33"/>
      </c>
      <c r="D47" s="94">
        <f t="shared" si="0"/>
      </c>
      <c r="E47" s="117">
        <f t="shared" si="1"/>
      </c>
      <c r="F47" s="96">
        <f t="shared" si="2"/>
      </c>
      <c r="G47" s="118">
        <f t="shared" si="3"/>
      </c>
      <c r="H47" s="118">
        <f t="shared" si="4"/>
      </c>
      <c r="I47" s="118">
        <f t="shared" si="5"/>
      </c>
      <c r="J47" s="118">
        <f t="shared" si="6"/>
      </c>
      <c r="K47" s="118">
        <f t="shared" si="7"/>
      </c>
      <c r="L47" s="118">
        <f t="shared" si="8"/>
      </c>
      <c r="M47" s="118">
        <f t="shared" si="9"/>
      </c>
      <c r="N47" s="118">
        <f t="shared" si="10"/>
      </c>
      <c r="O47" s="118">
        <f t="shared" si="11"/>
      </c>
      <c r="P47" s="119">
        <f t="shared" si="34"/>
      </c>
      <c r="Q47" s="21">
        <f t="shared" si="12"/>
      </c>
      <c r="R47" s="21">
        <f t="shared" si="13"/>
      </c>
      <c r="S47" s="21">
        <f t="shared" si="14"/>
      </c>
      <c r="T47" s="21">
        <f t="shared" si="15"/>
      </c>
      <c r="U47" s="21">
        <f t="shared" si="16"/>
      </c>
      <c r="V47" s="21">
        <f t="shared" si="17"/>
      </c>
      <c r="W47" s="21">
        <f t="shared" si="18"/>
      </c>
      <c r="X47" s="21">
        <f t="shared" si="19"/>
      </c>
      <c r="Y47" s="21">
        <f t="shared" si="20"/>
      </c>
      <c r="Z47" s="21">
        <f t="shared" si="21"/>
      </c>
      <c r="AA47" s="21">
        <f t="shared" si="22"/>
      </c>
      <c r="AB47" s="21">
        <f t="shared" si="23"/>
      </c>
      <c r="AC47" s="21">
        <f t="shared" si="24"/>
      </c>
      <c r="AD47" s="21">
        <f t="shared" si="25"/>
      </c>
      <c r="AE47" s="21">
        <f t="shared" si="26"/>
      </c>
      <c r="AF47" s="21">
        <f t="shared" si="27"/>
      </c>
      <c r="AG47" s="21">
        <f t="shared" si="28"/>
      </c>
      <c r="AH47" s="21">
        <f t="shared" si="29"/>
      </c>
      <c r="AI47" s="21">
        <f t="shared" si="30"/>
      </c>
      <c r="AJ47" s="21">
        <f t="shared" si="31"/>
      </c>
      <c r="AK47" s="94" t="n"/>
      <c r="AL47" s="96">
        <f t="shared" si="35"/>
      </c>
      <c r="AN47" s="2">
        <f>IF(42&gt;$BD$1000,0,IFERROR(MATCH(42,$BD$1:$BD$1000,0),0))</f>
        <v>0</v>
      </c>
      <c r="AO47" s="2">
        <f t="shared" si="36"/>
        <v>0</v>
      </c>
      <c r="AP47" s="2">
        <f t="shared" si="37"/>
      </c>
      <c r="AQ47" s="2">
        <f t="shared" si="38"/>
      </c>
      <c r="AR47" s="2">
        <f t="shared" si="39"/>
      </c>
      <c r="AS47" s="2">
        <f t="shared" si="40"/>
      </c>
      <c r="AT47" s="2">
        <f t="shared" si="41"/>
        <v>0</v>
      </c>
      <c r="AU47" s="2">
        <f t="shared" si="42"/>
        <v>0</v>
      </c>
      <c r="AV47" s="2">
        <f t="shared" si="43"/>
        <v>0</v>
      </c>
      <c r="AW47" s="2">
        <f t="shared" si="44"/>
        <v>0</v>
      </c>
      <c r="AX47" s="2">
        <f t="shared" si="45"/>
        <v>0</v>
      </c>
      <c r="AY47" s="2">
        <f t="shared" si="46"/>
        <v>0</v>
      </c>
      <c r="AZ47" s="2">
        <f t="shared" si="47"/>
        <v>0</v>
      </c>
      <c r="BA47" s="2">
        <f t="shared" si="48"/>
        <v>0</v>
      </c>
      <c r="BC47" s="2">
        <f>SUM(CA1:CA47)</f>
        <v>1</v>
      </c>
      <c r="BD47" s="2">
        <f>SUM(CB1:CB47)</f>
        <v>1</v>
      </c>
      <c r="CA47" s="2">
        <f>IF(AND(_辅助!$E$47&lt;&gt;"",(COUNTIFS(考勤工资!$D$5:$D$1004,_辅助!$E$47,考勤工资!$Y$5:$Y$1004,$E$3)+COUNTIFS(考勤工资!$F$5:$F$1004,_辅助!$E$47,考勤工资!$Y$5:$Y$1004,$E$3)+COUNTIFS(考勤工资!$H$5:$H$1004,_辅助!$E$47,考勤工资!$Y$5:$Y$1004,$E$3)+COUNTIFS(考勤工资!$J$5:$J$1004,_辅助!$E$47,考勤工资!$Y$5:$Y$1004,$E$3))&gt;0),1,0)</f>
        <v>0</v>
      </c>
      <c r="CB47" s="2">
        <f>IF(考勤工资!$Y$51=$E$3,1,0)</f>
        <v>0</v>
      </c>
    </row>
    <row r="48">
      <c r="A48" s="94">
        <f>IF($AN48=0,"",43)</f>
      </c>
      <c r="B48" s="94">
        <f t="shared" si="32"/>
      </c>
      <c r="C48" s="96">
        <f t="shared" si="33"/>
      </c>
      <c r="D48" s="94">
        <f t="shared" si="0"/>
      </c>
      <c r="E48" s="117">
        <f t="shared" si="1"/>
      </c>
      <c r="F48" s="96">
        <f t="shared" si="2"/>
      </c>
      <c r="G48" s="118">
        <f t="shared" si="3"/>
      </c>
      <c r="H48" s="118">
        <f t="shared" si="4"/>
      </c>
      <c r="I48" s="118">
        <f t="shared" si="5"/>
      </c>
      <c r="J48" s="118">
        <f t="shared" si="6"/>
      </c>
      <c r="K48" s="118">
        <f t="shared" si="7"/>
      </c>
      <c r="L48" s="118">
        <f t="shared" si="8"/>
      </c>
      <c r="M48" s="118">
        <f t="shared" si="9"/>
      </c>
      <c r="N48" s="118">
        <f t="shared" si="10"/>
      </c>
      <c r="O48" s="118">
        <f t="shared" si="11"/>
      </c>
      <c r="P48" s="119">
        <f t="shared" si="34"/>
      </c>
      <c r="Q48" s="21">
        <f t="shared" si="12"/>
      </c>
      <c r="R48" s="21">
        <f t="shared" si="13"/>
      </c>
      <c r="S48" s="21">
        <f t="shared" si="14"/>
      </c>
      <c r="T48" s="21">
        <f t="shared" si="15"/>
      </c>
      <c r="U48" s="21">
        <f t="shared" si="16"/>
      </c>
      <c r="V48" s="21">
        <f t="shared" si="17"/>
      </c>
      <c r="W48" s="21">
        <f t="shared" si="18"/>
      </c>
      <c r="X48" s="21">
        <f t="shared" si="19"/>
      </c>
      <c r="Y48" s="21">
        <f t="shared" si="20"/>
      </c>
      <c r="Z48" s="21">
        <f t="shared" si="21"/>
      </c>
      <c r="AA48" s="21">
        <f t="shared" si="22"/>
      </c>
      <c r="AB48" s="21">
        <f t="shared" si="23"/>
      </c>
      <c r="AC48" s="21">
        <f t="shared" si="24"/>
      </c>
      <c r="AD48" s="21">
        <f t="shared" si="25"/>
      </c>
      <c r="AE48" s="21">
        <f t="shared" si="26"/>
      </c>
      <c r="AF48" s="21">
        <f t="shared" si="27"/>
      </c>
      <c r="AG48" s="21">
        <f t="shared" si="28"/>
      </c>
      <c r="AH48" s="21">
        <f t="shared" si="29"/>
      </c>
      <c r="AI48" s="21">
        <f t="shared" si="30"/>
      </c>
      <c r="AJ48" s="21">
        <f t="shared" si="31"/>
      </c>
      <c r="AK48" s="94" t="n"/>
      <c r="AL48" s="96">
        <f t="shared" si="35"/>
      </c>
      <c r="AN48" s="2">
        <f>IF(43&gt;$BD$1000,0,IFERROR(MATCH(43,$BD$1:$BD$1000,0),0))</f>
        <v>0</v>
      </c>
      <c r="AO48" s="2">
        <f t="shared" si="36"/>
        <v>0</v>
      </c>
      <c r="AP48" s="2">
        <f t="shared" si="37"/>
      </c>
      <c r="AQ48" s="2">
        <f t="shared" si="38"/>
      </c>
      <c r="AR48" s="2">
        <f t="shared" si="39"/>
      </c>
      <c r="AS48" s="2">
        <f t="shared" si="40"/>
      </c>
      <c r="AT48" s="2">
        <f t="shared" si="41"/>
        <v>0</v>
      </c>
      <c r="AU48" s="2">
        <f t="shared" si="42"/>
        <v>0</v>
      </c>
      <c r="AV48" s="2">
        <f t="shared" si="43"/>
        <v>0</v>
      </c>
      <c r="AW48" s="2">
        <f t="shared" si="44"/>
        <v>0</v>
      </c>
      <c r="AX48" s="2">
        <f t="shared" si="45"/>
        <v>0</v>
      </c>
      <c r="AY48" s="2">
        <f t="shared" si="46"/>
        <v>0</v>
      </c>
      <c r="AZ48" s="2">
        <f t="shared" si="47"/>
        <v>0</v>
      </c>
      <c r="BA48" s="2">
        <f t="shared" si="48"/>
        <v>0</v>
      </c>
      <c r="BC48" s="2">
        <f>SUM(CA1:CA48)</f>
        <v>1</v>
      </c>
      <c r="BD48" s="2">
        <f>SUM(CB1:CB48)</f>
        <v>1</v>
      </c>
      <c r="CA48" s="2">
        <f>IF(AND(_辅助!$E$48&lt;&gt;"",(COUNTIFS(考勤工资!$D$5:$D$1004,_辅助!$E$48,考勤工资!$Y$5:$Y$1004,$E$3)+COUNTIFS(考勤工资!$F$5:$F$1004,_辅助!$E$48,考勤工资!$Y$5:$Y$1004,$E$3)+COUNTIFS(考勤工资!$H$5:$H$1004,_辅助!$E$48,考勤工资!$Y$5:$Y$1004,$E$3)+COUNTIFS(考勤工资!$J$5:$J$1004,_辅助!$E$48,考勤工资!$Y$5:$Y$1004,$E$3))&gt;0),1,0)</f>
        <v>0</v>
      </c>
      <c r="CB48" s="2">
        <f>IF(考勤工资!$Y$52=$E$3,1,0)</f>
        <v>0</v>
      </c>
    </row>
    <row r="49">
      <c r="A49" s="94">
        <f>IF($AN49=0,"",44)</f>
      </c>
      <c r="B49" s="94">
        <f t="shared" si="32"/>
      </c>
      <c r="C49" s="96">
        <f t="shared" si="33"/>
      </c>
      <c r="D49" s="94">
        <f t="shared" si="0"/>
      </c>
      <c r="E49" s="117">
        <f t="shared" si="1"/>
      </c>
      <c r="F49" s="96">
        <f t="shared" si="2"/>
      </c>
      <c r="G49" s="118">
        <f t="shared" si="3"/>
      </c>
      <c r="H49" s="118">
        <f t="shared" si="4"/>
      </c>
      <c r="I49" s="118">
        <f t="shared" si="5"/>
      </c>
      <c r="J49" s="118">
        <f t="shared" si="6"/>
      </c>
      <c r="K49" s="118">
        <f t="shared" si="7"/>
      </c>
      <c r="L49" s="118">
        <f t="shared" si="8"/>
      </c>
      <c r="M49" s="118">
        <f t="shared" si="9"/>
      </c>
      <c r="N49" s="118">
        <f t="shared" si="10"/>
      </c>
      <c r="O49" s="118">
        <f t="shared" si="11"/>
      </c>
      <c r="P49" s="119">
        <f t="shared" si="34"/>
      </c>
      <c r="Q49" s="21">
        <f t="shared" si="12"/>
      </c>
      <c r="R49" s="21">
        <f t="shared" si="13"/>
      </c>
      <c r="S49" s="21">
        <f t="shared" si="14"/>
      </c>
      <c r="T49" s="21">
        <f t="shared" si="15"/>
      </c>
      <c r="U49" s="21">
        <f t="shared" si="16"/>
      </c>
      <c r="V49" s="21">
        <f t="shared" si="17"/>
      </c>
      <c r="W49" s="21">
        <f t="shared" si="18"/>
      </c>
      <c r="X49" s="21">
        <f t="shared" si="19"/>
      </c>
      <c r="Y49" s="21">
        <f t="shared" si="20"/>
      </c>
      <c r="Z49" s="21">
        <f t="shared" si="21"/>
      </c>
      <c r="AA49" s="21">
        <f t="shared" si="22"/>
      </c>
      <c r="AB49" s="21">
        <f t="shared" si="23"/>
      </c>
      <c r="AC49" s="21">
        <f t="shared" si="24"/>
      </c>
      <c r="AD49" s="21">
        <f t="shared" si="25"/>
      </c>
      <c r="AE49" s="21">
        <f t="shared" si="26"/>
      </c>
      <c r="AF49" s="21">
        <f t="shared" si="27"/>
      </c>
      <c r="AG49" s="21">
        <f t="shared" si="28"/>
      </c>
      <c r="AH49" s="21">
        <f t="shared" si="29"/>
      </c>
      <c r="AI49" s="21">
        <f t="shared" si="30"/>
      </c>
      <c r="AJ49" s="21">
        <f t="shared" si="31"/>
      </c>
      <c r="AK49" s="94" t="n"/>
      <c r="AL49" s="96">
        <f t="shared" si="35"/>
      </c>
      <c r="AN49" s="2">
        <f>IF(44&gt;$BD$1000,0,IFERROR(MATCH(44,$BD$1:$BD$1000,0),0))</f>
        <v>0</v>
      </c>
      <c r="AO49" s="2">
        <f t="shared" si="36"/>
        <v>0</v>
      </c>
      <c r="AP49" s="2">
        <f t="shared" si="37"/>
      </c>
      <c r="AQ49" s="2">
        <f t="shared" si="38"/>
      </c>
      <c r="AR49" s="2">
        <f t="shared" si="39"/>
      </c>
      <c r="AS49" s="2">
        <f t="shared" si="40"/>
      </c>
      <c r="AT49" s="2">
        <f t="shared" si="41"/>
        <v>0</v>
      </c>
      <c r="AU49" s="2">
        <f t="shared" si="42"/>
        <v>0</v>
      </c>
      <c r="AV49" s="2">
        <f t="shared" si="43"/>
        <v>0</v>
      </c>
      <c r="AW49" s="2">
        <f t="shared" si="44"/>
        <v>0</v>
      </c>
      <c r="AX49" s="2">
        <f t="shared" si="45"/>
        <v>0</v>
      </c>
      <c r="AY49" s="2">
        <f t="shared" si="46"/>
        <v>0</v>
      </c>
      <c r="AZ49" s="2">
        <f t="shared" si="47"/>
        <v>0</v>
      </c>
      <c r="BA49" s="2">
        <f t="shared" si="48"/>
        <v>0</v>
      </c>
      <c r="BC49" s="2">
        <f>SUM(CA1:CA49)</f>
        <v>1</v>
      </c>
      <c r="BD49" s="2">
        <f>SUM(CB1:CB49)</f>
        <v>1</v>
      </c>
      <c r="CA49" s="2">
        <f>IF(AND(_辅助!$E$49&lt;&gt;"",(COUNTIFS(考勤工资!$D$5:$D$1004,_辅助!$E$49,考勤工资!$Y$5:$Y$1004,$E$3)+COUNTIFS(考勤工资!$F$5:$F$1004,_辅助!$E$49,考勤工资!$Y$5:$Y$1004,$E$3)+COUNTIFS(考勤工资!$H$5:$H$1004,_辅助!$E$49,考勤工资!$Y$5:$Y$1004,$E$3)+COUNTIFS(考勤工资!$J$5:$J$1004,_辅助!$E$49,考勤工资!$Y$5:$Y$1004,$E$3))&gt;0),1,0)</f>
        <v>0</v>
      </c>
      <c r="CB49" s="2">
        <f>IF(考勤工资!$Y$53=$E$3,1,0)</f>
        <v>0</v>
      </c>
    </row>
    <row r="50">
      <c r="A50" s="94">
        <f>IF($AN50=0,"",45)</f>
      </c>
      <c r="B50" s="94">
        <f t="shared" si="32"/>
      </c>
      <c r="C50" s="96">
        <f t="shared" si="33"/>
      </c>
      <c r="D50" s="94">
        <f t="shared" si="0"/>
      </c>
      <c r="E50" s="117">
        <f t="shared" si="1"/>
      </c>
      <c r="F50" s="96">
        <f t="shared" si="2"/>
      </c>
      <c r="G50" s="118">
        <f t="shared" si="3"/>
      </c>
      <c r="H50" s="118">
        <f t="shared" si="4"/>
      </c>
      <c r="I50" s="118">
        <f t="shared" si="5"/>
      </c>
      <c r="J50" s="118">
        <f t="shared" si="6"/>
      </c>
      <c r="K50" s="118">
        <f t="shared" si="7"/>
      </c>
      <c r="L50" s="118">
        <f t="shared" si="8"/>
      </c>
      <c r="M50" s="118">
        <f t="shared" si="9"/>
      </c>
      <c r="N50" s="118">
        <f t="shared" si="10"/>
      </c>
      <c r="O50" s="118">
        <f t="shared" si="11"/>
      </c>
      <c r="P50" s="119">
        <f t="shared" si="34"/>
      </c>
      <c r="Q50" s="21">
        <f t="shared" si="12"/>
      </c>
      <c r="R50" s="21">
        <f t="shared" si="13"/>
      </c>
      <c r="S50" s="21">
        <f t="shared" si="14"/>
      </c>
      <c r="T50" s="21">
        <f t="shared" si="15"/>
      </c>
      <c r="U50" s="21">
        <f t="shared" si="16"/>
      </c>
      <c r="V50" s="21">
        <f t="shared" si="17"/>
      </c>
      <c r="W50" s="21">
        <f t="shared" si="18"/>
      </c>
      <c r="X50" s="21">
        <f t="shared" si="19"/>
      </c>
      <c r="Y50" s="21">
        <f t="shared" si="20"/>
      </c>
      <c r="Z50" s="21">
        <f t="shared" si="21"/>
      </c>
      <c r="AA50" s="21">
        <f t="shared" si="22"/>
      </c>
      <c r="AB50" s="21">
        <f t="shared" si="23"/>
      </c>
      <c r="AC50" s="21">
        <f t="shared" si="24"/>
      </c>
      <c r="AD50" s="21">
        <f t="shared" si="25"/>
      </c>
      <c r="AE50" s="21">
        <f t="shared" si="26"/>
      </c>
      <c r="AF50" s="21">
        <f t="shared" si="27"/>
      </c>
      <c r="AG50" s="21">
        <f t="shared" si="28"/>
      </c>
      <c r="AH50" s="21">
        <f t="shared" si="29"/>
      </c>
      <c r="AI50" s="21">
        <f t="shared" si="30"/>
      </c>
      <c r="AJ50" s="21">
        <f t="shared" si="31"/>
      </c>
      <c r="AK50" s="94" t="n"/>
      <c r="AL50" s="96">
        <f t="shared" si="35"/>
      </c>
      <c r="AN50" s="2">
        <f>IF(45&gt;$BD$1000,0,IFERROR(MATCH(45,$BD$1:$BD$1000,0),0))</f>
        <v>0</v>
      </c>
      <c r="AO50" s="2">
        <f t="shared" si="36"/>
        <v>0</v>
      </c>
      <c r="AP50" s="2">
        <f t="shared" si="37"/>
      </c>
      <c r="AQ50" s="2">
        <f t="shared" si="38"/>
      </c>
      <c r="AR50" s="2">
        <f t="shared" si="39"/>
      </c>
      <c r="AS50" s="2">
        <f t="shared" si="40"/>
      </c>
      <c r="AT50" s="2">
        <f t="shared" si="41"/>
        <v>0</v>
      </c>
      <c r="AU50" s="2">
        <f t="shared" si="42"/>
        <v>0</v>
      </c>
      <c r="AV50" s="2">
        <f t="shared" si="43"/>
        <v>0</v>
      </c>
      <c r="AW50" s="2">
        <f t="shared" si="44"/>
        <v>0</v>
      </c>
      <c r="AX50" s="2">
        <f t="shared" si="45"/>
        <v>0</v>
      </c>
      <c r="AY50" s="2">
        <f t="shared" si="46"/>
        <v>0</v>
      </c>
      <c r="AZ50" s="2">
        <f t="shared" si="47"/>
        <v>0</v>
      </c>
      <c r="BA50" s="2">
        <f t="shared" si="48"/>
        <v>0</v>
      </c>
      <c r="BC50" s="2">
        <f>SUM(CA1:CA50)</f>
        <v>1</v>
      </c>
      <c r="BD50" s="2">
        <f>SUM(CB1:CB50)</f>
        <v>1</v>
      </c>
      <c r="CA50" s="2">
        <f>IF(AND(_辅助!$E$50&lt;&gt;"",(COUNTIFS(考勤工资!$D$5:$D$1004,_辅助!$E$50,考勤工资!$Y$5:$Y$1004,$E$3)+COUNTIFS(考勤工资!$F$5:$F$1004,_辅助!$E$50,考勤工资!$Y$5:$Y$1004,$E$3)+COUNTIFS(考勤工资!$H$5:$H$1004,_辅助!$E$50,考勤工资!$Y$5:$Y$1004,$E$3)+COUNTIFS(考勤工资!$J$5:$J$1004,_辅助!$E$50,考勤工资!$Y$5:$Y$1004,$E$3))&gt;0),1,0)</f>
        <v>0</v>
      </c>
      <c r="CB50" s="2">
        <f>IF(考勤工资!$Y$54=$E$3,1,0)</f>
        <v>0</v>
      </c>
    </row>
    <row r="51">
      <c r="A51" s="94">
        <f>IF($AN51=0,"",46)</f>
      </c>
      <c r="B51" s="94">
        <f t="shared" si="32"/>
      </c>
      <c r="C51" s="96">
        <f t="shared" si="33"/>
      </c>
      <c r="D51" s="94">
        <f t="shared" si="0"/>
      </c>
      <c r="E51" s="117">
        <f t="shared" si="1"/>
      </c>
      <c r="F51" s="96">
        <f t="shared" si="2"/>
      </c>
      <c r="G51" s="118">
        <f t="shared" si="3"/>
      </c>
      <c r="H51" s="118">
        <f t="shared" si="4"/>
      </c>
      <c r="I51" s="118">
        <f t="shared" si="5"/>
      </c>
      <c r="J51" s="118">
        <f t="shared" si="6"/>
      </c>
      <c r="K51" s="118">
        <f t="shared" si="7"/>
      </c>
      <c r="L51" s="118">
        <f t="shared" si="8"/>
      </c>
      <c r="M51" s="118">
        <f t="shared" si="9"/>
      </c>
      <c r="N51" s="118">
        <f t="shared" si="10"/>
      </c>
      <c r="O51" s="118">
        <f t="shared" si="11"/>
      </c>
      <c r="P51" s="119">
        <f t="shared" si="34"/>
      </c>
      <c r="Q51" s="21">
        <f t="shared" si="12"/>
      </c>
      <c r="R51" s="21">
        <f t="shared" si="13"/>
      </c>
      <c r="S51" s="21">
        <f t="shared" si="14"/>
      </c>
      <c r="T51" s="21">
        <f t="shared" si="15"/>
      </c>
      <c r="U51" s="21">
        <f t="shared" si="16"/>
      </c>
      <c r="V51" s="21">
        <f t="shared" si="17"/>
      </c>
      <c r="W51" s="21">
        <f t="shared" si="18"/>
      </c>
      <c r="X51" s="21">
        <f t="shared" si="19"/>
      </c>
      <c r="Y51" s="21">
        <f t="shared" si="20"/>
      </c>
      <c r="Z51" s="21">
        <f t="shared" si="21"/>
      </c>
      <c r="AA51" s="21">
        <f t="shared" si="22"/>
      </c>
      <c r="AB51" s="21">
        <f t="shared" si="23"/>
      </c>
      <c r="AC51" s="21">
        <f t="shared" si="24"/>
      </c>
      <c r="AD51" s="21">
        <f t="shared" si="25"/>
      </c>
      <c r="AE51" s="21">
        <f t="shared" si="26"/>
      </c>
      <c r="AF51" s="21">
        <f t="shared" si="27"/>
      </c>
      <c r="AG51" s="21">
        <f t="shared" si="28"/>
      </c>
      <c r="AH51" s="21">
        <f t="shared" si="29"/>
      </c>
      <c r="AI51" s="21">
        <f t="shared" si="30"/>
      </c>
      <c r="AJ51" s="21">
        <f t="shared" si="31"/>
      </c>
      <c r="AK51" s="94" t="n"/>
      <c r="AL51" s="96">
        <f t="shared" si="35"/>
      </c>
      <c r="AN51" s="2">
        <f>IF(46&gt;$BD$1000,0,IFERROR(MATCH(46,$BD$1:$BD$1000,0),0))</f>
        <v>0</v>
      </c>
      <c r="AO51" s="2">
        <f t="shared" si="36"/>
        <v>0</v>
      </c>
      <c r="AP51" s="2">
        <f t="shared" si="37"/>
      </c>
      <c r="AQ51" s="2">
        <f t="shared" si="38"/>
      </c>
      <c r="AR51" s="2">
        <f t="shared" si="39"/>
      </c>
      <c r="AS51" s="2">
        <f t="shared" si="40"/>
      </c>
      <c r="AT51" s="2">
        <f t="shared" si="41"/>
        <v>0</v>
      </c>
      <c r="AU51" s="2">
        <f t="shared" si="42"/>
        <v>0</v>
      </c>
      <c r="AV51" s="2">
        <f t="shared" si="43"/>
        <v>0</v>
      </c>
      <c r="AW51" s="2">
        <f t="shared" si="44"/>
        <v>0</v>
      </c>
      <c r="AX51" s="2">
        <f t="shared" si="45"/>
        <v>0</v>
      </c>
      <c r="AY51" s="2">
        <f t="shared" si="46"/>
        <v>0</v>
      </c>
      <c r="AZ51" s="2">
        <f t="shared" si="47"/>
        <v>0</v>
      </c>
      <c r="BA51" s="2">
        <f t="shared" si="48"/>
        <v>0</v>
      </c>
      <c r="BC51" s="2">
        <f>BC50+SUM(CA51:CA51)</f>
        <v>1</v>
      </c>
      <c r="BD51" s="2">
        <f>BD50+SUM(CB51:CB51)</f>
        <v>1</v>
      </c>
      <c r="CA51" s="2">
        <f>IF(AND(_辅助!$E$51&lt;&gt;"",(COUNTIFS(考勤工资!$D$5:$D$1004,_辅助!$E$51,考勤工资!$Y$5:$Y$1004,$E$3)+COUNTIFS(考勤工资!$F$5:$F$1004,_辅助!$E$51,考勤工资!$Y$5:$Y$1004,$E$3)+COUNTIFS(考勤工资!$H$5:$H$1004,_辅助!$E$51,考勤工资!$Y$5:$Y$1004,$E$3)+COUNTIFS(考勤工资!$J$5:$J$1004,_辅助!$E$51,考勤工资!$Y$5:$Y$1004,$E$3))&gt;0),1,0)</f>
        <v>0</v>
      </c>
      <c r="CB51" s="2">
        <f>IF(考勤工资!$Y$55=$E$3,1,0)</f>
        <v>0</v>
      </c>
    </row>
    <row r="52">
      <c r="A52" s="94">
        <f>IF($AN52=0,"",47)</f>
      </c>
      <c r="B52" s="94">
        <f t="shared" si="32"/>
      </c>
      <c r="C52" s="96">
        <f t="shared" si="33"/>
      </c>
      <c r="D52" s="94">
        <f t="shared" si="0"/>
      </c>
      <c r="E52" s="117">
        <f t="shared" si="1"/>
      </c>
      <c r="F52" s="96">
        <f t="shared" si="2"/>
      </c>
      <c r="G52" s="118">
        <f t="shared" si="3"/>
      </c>
      <c r="H52" s="118">
        <f t="shared" si="4"/>
      </c>
      <c r="I52" s="118">
        <f t="shared" si="5"/>
      </c>
      <c r="J52" s="118">
        <f t="shared" si="6"/>
      </c>
      <c r="K52" s="118">
        <f t="shared" si="7"/>
      </c>
      <c r="L52" s="118">
        <f t="shared" si="8"/>
      </c>
      <c r="M52" s="118">
        <f t="shared" si="9"/>
      </c>
      <c r="N52" s="118">
        <f t="shared" si="10"/>
      </c>
      <c r="O52" s="118">
        <f t="shared" si="11"/>
      </c>
      <c r="P52" s="119">
        <f t="shared" si="34"/>
      </c>
      <c r="Q52" s="21">
        <f t="shared" si="12"/>
      </c>
      <c r="R52" s="21">
        <f t="shared" si="13"/>
      </c>
      <c r="S52" s="21">
        <f t="shared" si="14"/>
      </c>
      <c r="T52" s="21">
        <f t="shared" si="15"/>
      </c>
      <c r="U52" s="21">
        <f t="shared" si="16"/>
      </c>
      <c r="V52" s="21">
        <f t="shared" si="17"/>
      </c>
      <c r="W52" s="21">
        <f t="shared" si="18"/>
      </c>
      <c r="X52" s="21">
        <f t="shared" si="19"/>
      </c>
      <c r="Y52" s="21">
        <f t="shared" si="20"/>
      </c>
      <c r="Z52" s="21">
        <f t="shared" si="21"/>
      </c>
      <c r="AA52" s="21">
        <f t="shared" si="22"/>
      </c>
      <c r="AB52" s="21">
        <f t="shared" si="23"/>
      </c>
      <c r="AC52" s="21">
        <f t="shared" si="24"/>
      </c>
      <c r="AD52" s="21">
        <f t="shared" si="25"/>
      </c>
      <c r="AE52" s="21">
        <f t="shared" si="26"/>
      </c>
      <c r="AF52" s="21">
        <f t="shared" si="27"/>
      </c>
      <c r="AG52" s="21">
        <f t="shared" si="28"/>
      </c>
      <c r="AH52" s="21">
        <f t="shared" si="29"/>
      </c>
      <c r="AI52" s="21">
        <f t="shared" si="30"/>
      </c>
      <c r="AJ52" s="21">
        <f t="shared" si="31"/>
      </c>
      <c r="AK52" s="94" t="n"/>
      <c r="AL52" s="96">
        <f t="shared" si="35"/>
      </c>
      <c r="AN52" s="2">
        <f>IF(47&gt;$BD$1000,0,IFERROR(MATCH(47,$BD$1:$BD$1000,0),0))</f>
        <v>0</v>
      </c>
      <c r="AO52" s="2">
        <f t="shared" si="36"/>
        <v>0</v>
      </c>
      <c r="AP52" s="2">
        <f t="shared" si="37"/>
      </c>
      <c r="AQ52" s="2">
        <f t="shared" si="38"/>
      </c>
      <c r="AR52" s="2">
        <f t="shared" si="39"/>
      </c>
      <c r="AS52" s="2">
        <f t="shared" si="40"/>
      </c>
      <c r="AT52" s="2">
        <f t="shared" si="41"/>
        <v>0</v>
      </c>
      <c r="AU52" s="2">
        <f t="shared" si="42"/>
        <v>0</v>
      </c>
      <c r="AV52" s="2">
        <f t="shared" si="43"/>
        <v>0</v>
      </c>
      <c r="AW52" s="2">
        <f t="shared" si="44"/>
        <v>0</v>
      </c>
      <c r="AX52" s="2">
        <f t="shared" si="45"/>
        <v>0</v>
      </c>
      <c r="AY52" s="2">
        <f t="shared" si="46"/>
        <v>0</v>
      </c>
      <c r="AZ52" s="2">
        <f t="shared" si="47"/>
        <v>0</v>
      </c>
      <c r="BA52" s="2">
        <f t="shared" si="48"/>
        <v>0</v>
      </c>
      <c r="BC52" s="2">
        <f>BC50+SUM(CA51:CA52)</f>
        <v>1</v>
      </c>
      <c r="BD52" s="2">
        <f>BD50+SUM(CB51:CB52)</f>
        <v>1</v>
      </c>
      <c r="CA52" s="2">
        <f>IF(AND(_辅助!$E$52&lt;&gt;"",(COUNTIFS(考勤工资!$D$5:$D$1004,_辅助!$E$52,考勤工资!$Y$5:$Y$1004,$E$3)+COUNTIFS(考勤工资!$F$5:$F$1004,_辅助!$E$52,考勤工资!$Y$5:$Y$1004,$E$3)+COUNTIFS(考勤工资!$H$5:$H$1004,_辅助!$E$52,考勤工资!$Y$5:$Y$1004,$E$3)+COUNTIFS(考勤工资!$J$5:$J$1004,_辅助!$E$52,考勤工资!$Y$5:$Y$1004,$E$3))&gt;0),1,0)</f>
        <v>0</v>
      </c>
      <c r="CB52" s="2">
        <f>IF(考勤工资!$Y$56=$E$3,1,0)</f>
        <v>0</v>
      </c>
    </row>
    <row r="53">
      <c r="A53" s="94">
        <f>IF($AN53=0,"",48)</f>
      </c>
      <c r="B53" s="94">
        <f t="shared" si="32"/>
      </c>
      <c r="C53" s="96">
        <f t="shared" si="33"/>
      </c>
      <c r="D53" s="94">
        <f t="shared" si="0"/>
      </c>
      <c r="E53" s="117">
        <f t="shared" si="1"/>
      </c>
      <c r="F53" s="96">
        <f t="shared" si="2"/>
      </c>
      <c r="G53" s="118">
        <f t="shared" si="3"/>
      </c>
      <c r="H53" s="118">
        <f t="shared" si="4"/>
      </c>
      <c r="I53" s="118">
        <f t="shared" si="5"/>
      </c>
      <c r="J53" s="118">
        <f t="shared" si="6"/>
      </c>
      <c r="K53" s="118">
        <f t="shared" si="7"/>
      </c>
      <c r="L53" s="118">
        <f t="shared" si="8"/>
      </c>
      <c r="M53" s="118">
        <f t="shared" si="9"/>
      </c>
      <c r="N53" s="118">
        <f t="shared" si="10"/>
      </c>
      <c r="O53" s="118">
        <f t="shared" si="11"/>
      </c>
      <c r="P53" s="119">
        <f t="shared" si="34"/>
      </c>
      <c r="Q53" s="21">
        <f t="shared" si="12"/>
      </c>
      <c r="R53" s="21">
        <f t="shared" si="13"/>
      </c>
      <c r="S53" s="21">
        <f t="shared" si="14"/>
      </c>
      <c r="T53" s="21">
        <f t="shared" si="15"/>
      </c>
      <c r="U53" s="21">
        <f t="shared" si="16"/>
      </c>
      <c r="V53" s="21">
        <f t="shared" si="17"/>
      </c>
      <c r="W53" s="21">
        <f t="shared" si="18"/>
      </c>
      <c r="X53" s="21">
        <f t="shared" si="19"/>
      </c>
      <c r="Y53" s="21">
        <f t="shared" si="20"/>
      </c>
      <c r="Z53" s="21">
        <f t="shared" si="21"/>
      </c>
      <c r="AA53" s="21">
        <f t="shared" si="22"/>
      </c>
      <c r="AB53" s="21">
        <f t="shared" si="23"/>
      </c>
      <c r="AC53" s="21">
        <f t="shared" si="24"/>
      </c>
      <c r="AD53" s="21">
        <f t="shared" si="25"/>
      </c>
      <c r="AE53" s="21">
        <f t="shared" si="26"/>
      </c>
      <c r="AF53" s="21">
        <f t="shared" si="27"/>
      </c>
      <c r="AG53" s="21">
        <f t="shared" si="28"/>
      </c>
      <c r="AH53" s="21">
        <f t="shared" si="29"/>
      </c>
      <c r="AI53" s="21">
        <f t="shared" si="30"/>
      </c>
      <c r="AJ53" s="21">
        <f t="shared" si="31"/>
      </c>
      <c r="AK53" s="94" t="n"/>
      <c r="AL53" s="96">
        <f t="shared" si="35"/>
      </c>
      <c r="AN53" s="2">
        <f>IF(48&gt;$BD$1000,0,IFERROR(MATCH(48,$BD$1:$BD$1000,0),0))</f>
        <v>0</v>
      </c>
      <c r="AO53" s="2">
        <f t="shared" si="36"/>
        <v>0</v>
      </c>
      <c r="AP53" s="2">
        <f t="shared" si="37"/>
      </c>
      <c r="AQ53" s="2">
        <f t="shared" si="38"/>
      </c>
      <c r="AR53" s="2">
        <f t="shared" si="39"/>
      </c>
      <c r="AS53" s="2">
        <f t="shared" si="40"/>
      </c>
      <c r="AT53" s="2">
        <f t="shared" si="41"/>
        <v>0</v>
      </c>
      <c r="AU53" s="2">
        <f t="shared" si="42"/>
        <v>0</v>
      </c>
      <c r="AV53" s="2">
        <f t="shared" si="43"/>
        <v>0</v>
      </c>
      <c r="AW53" s="2">
        <f t="shared" si="44"/>
        <v>0</v>
      </c>
      <c r="AX53" s="2">
        <f t="shared" si="45"/>
        <v>0</v>
      </c>
      <c r="AY53" s="2">
        <f t="shared" si="46"/>
        <v>0</v>
      </c>
      <c r="AZ53" s="2">
        <f t="shared" si="47"/>
        <v>0</v>
      </c>
      <c r="BA53" s="2">
        <f t="shared" si="48"/>
        <v>0</v>
      </c>
      <c r="BC53" s="2">
        <f>BC50+SUM(CA51:CA53)</f>
        <v>1</v>
      </c>
      <c r="BD53" s="2">
        <f>BD50+SUM(CB51:CB53)</f>
        <v>1</v>
      </c>
      <c r="CA53" s="2">
        <f>IF(AND(_辅助!$E$53&lt;&gt;"",(COUNTIFS(考勤工资!$D$5:$D$1004,_辅助!$E$53,考勤工资!$Y$5:$Y$1004,$E$3)+COUNTIFS(考勤工资!$F$5:$F$1004,_辅助!$E$53,考勤工资!$Y$5:$Y$1004,$E$3)+COUNTIFS(考勤工资!$H$5:$H$1004,_辅助!$E$53,考勤工资!$Y$5:$Y$1004,$E$3)+COUNTIFS(考勤工资!$J$5:$J$1004,_辅助!$E$53,考勤工资!$Y$5:$Y$1004,$E$3))&gt;0),1,0)</f>
        <v>0</v>
      </c>
      <c r="CB53" s="2">
        <f>IF(考勤工资!$Y$57=$E$3,1,0)</f>
        <v>0</v>
      </c>
    </row>
    <row r="54">
      <c r="A54" s="94">
        <f>IF($AN54=0,"",49)</f>
      </c>
      <c r="B54" s="94">
        <f t="shared" si="32"/>
      </c>
      <c r="C54" s="96">
        <f t="shared" si="33"/>
      </c>
      <c r="D54" s="94">
        <f t="shared" si="0"/>
      </c>
      <c r="E54" s="117">
        <f t="shared" si="1"/>
      </c>
      <c r="F54" s="96">
        <f t="shared" si="2"/>
      </c>
      <c r="G54" s="118">
        <f t="shared" si="3"/>
      </c>
      <c r="H54" s="118">
        <f t="shared" si="4"/>
      </c>
      <c r="I54" s="118">
        <f t="shared" si="5"/>
      </c>
      <c r="J54" s="118">
        <f t="shared" si="6"/>
      </c>
      <c r="K54" s="118">
        <f t="shared" si="7"/>
      </c>
      <c r="L54" s="118">
        <f t="shared" si="8"/>
      </c>
      <c r="M54" s="118">
        <f t="shared" si="9"/>
      </c>
      <c r="N54" s="118">
        <f t="shared" si="10"/>
      </c>
      <c r="O54" s="118">
        <f t="shared" si="11"/>
      </c>
      <c r="P54" s="119">
        <f t="shared" si="34"/>
      </c>
      <c r="Q54" s="21">
        <f t="shared" si="12"/>
      </c>
      <c r="R54" s="21">
        <f t="shared" si="13"/>
      </c>
      <c r="S54" s="21">
        <f t="shared" si="14"/>
      </c>
      <c r="T54" s="21">
        <f t="shared" si="15"/>
      </c>
      <c r="U54" s="21">
        <f t="shared" si="16"/>
      </c>
      <c r="V54" s="21">
        <f t="shared" si="17"/>
      </c>
      <c r="W54" s="21">
        <f t="shared" si="18"/>
      </c>
      <c r="X54" s="21">
        <f t="shared" si="19"/>
      </c>
      <c r="Y54" s="21">
        <f t="shared" si="20"/>
      </c>
      <c r="Z54" s="21">
        <f t="shared" si="21"/>
      </c>
      <c r="AA54" s="21">
        <f t="shared" si="22"/>
      </c>
      <c r="AB54" s="21">
        <f t="shared" si="23"/>
      </c>
      <c r="AC54" s="21">
        <f t="shared" si="24"/>
      </c>
      <c r="AD54" s="21">
        <f t="shared" si="25"/>
      </c>
      <c r="AE54" s="21">
        <f t="shared" si="26"/>
      </c>
      <c r="AF54" s="21">
        <f t="shared" si="27"/>
      </c>
      <c r="AG54" s="21">
        <f t="shared" si="28"/>
      </c>
      <c r="AH54" s="21">
        <f t="shared" si="29"/>
      </c>
      <c r="AI54" s="21">
        <f t="shared" si="30"/>
      </c>
      <c r="AJ54" s="21">
        <f t="shared" si="31"/>
      </c>
      <c r="AK54" s="94" t="n"/>
      <c r="AL54" s="96">
        <f t="shared" si="35"/>
      </c>
      <c r="AN54" s="2">
        <f>IF(49&gt;$BD$1000,0,IFERROR(MATCH(49,$BD$1:$BD$1000,0),0))</f>
        <v>0</v>
      </c>
      <c r="AO54" s="2">
        <f t="shared" si="36"/>
        <v>0</v>
      </c>
      <c r="AP54" s="2">
        <f t="shared" si="37"/>
      </c>
      <c r="AQ54" s="2">
        <f t="shared" si="38"/>
      </c>
      <c r="AR54" s="2">
        <f t="shared" si="39"/>
      </c>
      <c r="AS54" s="2">
        <f t="shared" si="40"/>
      </c>
      <c r="AT54" s="2">
        <f t="shared" si="41"/>
        <v>0</v>
      </c>
      <c r="AU54" s="2">
        <f t="shared" si="42"/>
        <v>0</v>
      </c>
      <c r="AV54" s="2">
        <f t="shared" si="43"/>
        <v>0</v>
      </c>
      <c r="AW54" s="2">
        <f t="shared" si="44"/>
        <v>0</v>
      </c>
      <c r="AX54" s="2">
        <f t="shared" si="45"/>
        <v>0</v>
      </c>
      <c r="AY54" s="2">
        <f t="shared" si="46"/>
        <v>0</v>
      </c>
      <c r="AZ54" s="2">
        <f t="shared" si="47"/>
        <v>0</v>
      </c>
      <c r="BA54" s="2">
        <f t="shared" si="48"/>
        <v>0</v>
      </c>
      <c r="BC54" s="2">
        <f>BC50+SUM(CA51:CA54)</f>
        <v>1</v>
      </c>
      <c r="BD54" s="2">
        <f>BD50+SUM(CB51:CB54)</f>
        <v>1</v>
      </c>
      <c r="CA54" s="2">
        <f>IF(AND(_辅助!$E$54&lt;&gt;"",(COUNTIFS(考勤工资!$D$5:$D$1004,_辅助!$E$54,考勤工资!$Y$5:$Y$1004,$E$3)+COUNTIFS(考勤工资!$F$5:$F$1004,_辅助!$E$54,考勤工资!$Y$5:$Y$1004,$E$3)+COUNTIFS(考勤工资!$H$5:$H$1004,_辅助!$E$54,考勤工资!$Y$5:$Y$1004,$E$3)+COUNTIFS(考勤工资!$J$5:$J$1004,_辅助!$E$54,考勤工资!$Y$5:$Y$1004,$E$3))&gt;0),1,0)</f>
        <v>0</v>
      </c>
      <c r="CB54" s="2">
        <f>IF(考勤工资!$Y$58=$E$3,1,0)</f>
        <v>0</v>
      </c>
    </row>
    <row r="55">
      <c r="A55" s="94">
        <f>IF($AN55=0,"",50)</f>
      </c>
      <c r="B55" s="94">
        <f t="shared" si="32"/>
      </c>
      <c r="C55" s="96">
        <f t="shared" si="33"/>
      </c>
      <c r="D55" s="94">
        <f t="shared" si="0"/>
      </c>
      <c r="E55" s="117">
        <f t="shared" si="1"/>
      </c>
      <c r="F55" s="96">
        <f t="shared" si="2"/>
      </c>
      <c r="G55" s="118">
        <f t="shared" si="3"/>
      </c>
      <c r="H55" s="118">
        <f t="shared" si="4"/>
      </c>
      <c r="I55" s="118">
        <f t="shared" si="5"/>
      </c>
      <c r="J55" s="118">
        <f t="shared" si="6"/>
      </c>
      <c r="K55" s="118">
        <f t="shared" si="7"/>
      </c>
      <c r="L55" s="118">
        <f t="shared" si="8"/>
      </c>
      <c r="M55" s="118">
        <f t="shared" si="9"/>
      </c>
      <c r="N55" s="118">
        <f t="shared" si="10"/>
      </c>
      <c r="O55" s="118">
        <f t="shared" si="11"/>
      </c>
      <c r="P55" s="119">
        <f t="shared" si="34"/>
      </c>
      <c r="Q55" s="21">
        <f t="shared" si="12"/>
      </c>
      <c r="R55" s="21">
        <f t="shared" si="13"/>
      </c>
      <c r="S55" s="21">
        <f t="shared" si="14"/>
      </c>
      <c r="T55" s="21">
        <f t="shared" si="15"/>
      </c>
      <c r="U55" s="21">
        <f t="shared" si="16"/>
      </c>
      <c r="V55" s="21">
        <f t="shared" si="17"/>
      </c>
      <c r="W55" s="21">
        <f t="shared" si="18"/>
      </c>
      <c r="X55" s="21">
        <f t="shared" si="19"/>
      </c>
      <c r="Y55" s="21">
        <f t="shared" si="20"/>
      </c>
      <c r="Z55" s="21">
        <f t="shared" si="21"/>
      </c>
      <c r="AA55" s="21">
        <f t="shared" si="22"/>
      </c>
      <c r="AB55" s="21">
        <f t="shared" si="23"/>
      </c>
      <c r="AC55" s="21">
        <f t="shared" si="24"/>
      </c>
      <c r="AD55" s="21">
        <f t="shared" si="25"/>
      </c>
      <c r="AE55" s="21">
        <f t="shared" si="26"/>
      </c>
      <c r="AF55" s="21">
        <f t="shared" si="27"/>
      </c>
      <c r="AG55" s="21">
        <f t="shared" si="28"/>
      </c>
      <c r="AH55" s="21">
        <f t="shared" si="29"/>
      </c>
      <c r="AI55" s="21">
        <f t="shared" si="30"/>
      </c>
      <c r="AJ55" s="21">
        <f t="shared" si="31"/>
      </c>
      <c r="AK55" s="94" t="n"/>
      <c r="AL55" s="96">
        <f t="shared" si="35"/>
      </c>
      <c r="AN55" s="2">
        <f>IF(50&gt;$BD$1000,0,IFERROR(MATCH(50,$BD$1:$BD$1000,0),0))</f>
        <v>0</v>
      </c>
      <c r="AO55" s="2">
        <f t="shared" si="36"/>
        <v>0</v>
      </c>
      <c r="AP55" s="2">
        <f t="shared" si="37"/>
      </c>
      <c r="AQ55" s="2">
        <f t="shared" si="38"/>
      </c>
      <c r="AR55" s="2">
        <f t="shared" si="39"/>
      </c>
      <c r="AS55" s="2">
        <f t="shared" si="40"/>
      </c>
      <c r="AT55" s="2">
        <f t="shared" si="41"/>
        <v>0</v>
      </c>
      <c r="AU55" s="2">
        <f t="shared" si="42"/>
        <v>0</v>
      </c>
      <c r="AV55" s="2">
        <f t="shared" si="43"/>
        <v>0</v>
      </c>
      <c r="AW55" s="2">
        <f t="shared" si="44"/>
        <v>0</v>
      </c>
      <c r="AX55" s="2">
        <f t="shared" si="45"/>
        <v>0</v>
      </c>
      <c r="AY55" s="2">
        <f t="shared" si="46"/>
        <v>0</v>
      </c>
      <c r="AZ55" s="2">
        <f t="shared" si="47"/>
        <v>0</v>
      </c>
      <c r="BA55" s="2">
        <f t="shared" si="48"/>
        <v>0</v>
      </c>
      <c r="BC55" s="2">
        <f>BC50+SUM(CA51:CA55)</f>
        <v>1</v>
      </c>
      <c r="BD55" s="2">
        <f>BD50+SUM(CB51:CB55)</f>
        <v>1</v>
      </c>
      <c r="CA55" s="2">
        <f>IF(AND(_辅助!$E$55&lt;&gt;"",(COUNTIFS(考勤工资!$D$5:$D$1004,_辅助!$E$55,考勤工资!$Y$5:$Y$1004,$E$3)+COUNTIFS(考勤工资!$F$5:$F$1004,_辅助!$E$55,考勤工资!$Y$5:$Y$1004,$E$3)+COUNTIFS(考勤工资!$H$5:$H$1004,_辅助!$E$55,考勤工资!$Y$5:$Y$1004,$E$3)+COUNTIFS(考勤工资!$J$5:$J$1004,_辅助!$E$55,考勤工资!$Y$5:$Y$1004,$E$3))&gt;0),1,0)</f>
        <v>0</v>
      </c>
      <c r="CB55" s="2">
        <f>IF(考勤工资!$Y$59=$E$3,1,0)</f>
        <v>0</v>
      </c>
    </row>
    <row r="56">
      <c r="A56" s="94">
        <f>IF($AN56=0,"",51)</f>
      </c>
      <c r="B56" s="94">
        <f t="shared" si="32"/>
      </c>
      <c r="C56" s="96">
        <f t="shared" si="33"/>
      </c>
      <c r="D56" s="94">
        <f t="shared" si="0"/>
      </c>
      <c r="E56" s="117">
        <f t="shared" si="1"/>
      </c>
      <c r="F56" s="96">
        <f t="shared" si="2"/>
      </c>
      <c r="G56" s="118">
        <f t="shared" si="3"/>
      </c>
      <c r="H56" s="118">
        <f t="shared" si="4"/>
      </c>
      <c r="I56" s="118">
        <f t="shared" si="5"/>
      </c>
      <c r="J56" s="118">
        <f t="shared" si="6"/>
      </c>
      <c r="K56" s="118">
        <f t="shared" si="7"/>
      </c>
      <c r="L56" s="118">
        <f t="shared" si="8"/>
      </c>
      <c r="M56" s="118">
        <f t="shared" si="9"/>
      </c>
      <c r="N56" s="118">
        <f t="shared" si="10"/>
      </c>
      <c r="O56" s="118">
        <f t="shared" si="11"/>
      </c>
      <c r="P56" s="119">
        <f t="shared" si="34"/>
      </c>
      <c r="Q56" s="21">
        <f t="shared" si="12"/>
      </c>
      <c r="R56" s="21">
        <f t="shared" si="13"/>
      </c>
      <c r="S56" s="21">
        <f t="shared" si="14"/>
      </c>
      <c r="T56" s="21">
        <f t="shared" si="15"/>
      </c>
      <c r="U56" s="21">
        <f t="shared" si="16"/>
      </c>
      <c r="V56" s="21">
        <f t="shared" si="17"/>
      </c>
      <c r="W56" s="21">
        <f t="shared" si="18"/>
      </c>
      <c r="X56" s="21">
        <f t="shared" si="19"/>
      </c>
      <c r="Y56" s="21">
        <f t="shared" si="20"/>
      </c>
      <c r="Z56" s="21">
        <f t="shared" si="21"/>
      </c>
      <c r="AA56" s="21">
        <f t="shared" si="22"/>
      </c>
      <c r="AB56" s="21">
        <f t="shared" si="23"/>
      </c>
      <c r="AC56" s="21">
        <f t="shared" si="24"/>
      </c>
      <c r="AD56" s="21">
        <f t="shared" si="25"/>
      </c>
      <c r="AE56" s="21">
        <f t="shared" si="26"/>
      </c>
      <c r="AF56" s="21">
        <f t="shared" si="27"/>
      </c>
      <c r="AG56" s="21">
        <f t="shared" si="28"/>
      </c>
      <c r="AH56" s="21">
        <f t="shared" si="29"/>
      </c>
      <c r="AI56" s="21">
        <f t="shared" si="30"/>
      </c>
      <c r="AJ56" s="21">
        <f t="shared" si="31"/>
      </c>
      <c r="AK56" s="94" t="n"/>
      <c r="AL56" s="96">
        <f t="shared" si="35"/>
      </c>
      <c r="AN56" s="2">
        <f>IF(51&gt;$BD$1000,0,IFERROR(MATCH(51,$BD$1:$BD$1000,0),0))</f>
        <v>0</v>
      </c>
      <c r="AO56" s="2">
        <f t="shared" si="36"/>
        <v>0</v>
      </c>
      <c r="AP56" s="2">
        <f t="shared" si="37"/>
      </c>
      <c r="AQ56" s="2">
        <f t="shared" si="38"/>
      </c>
      <c r="AR56" s="2">
        <f t="shared" si="39"/>
      </c>
      <c r="AS56" s="2">
        <f t="shared" si="40"/>
      </c>
      <c r="AT56" s="2">
        <f t="shared" si="41"/>
        <v>0</v>
      </c>
      <c r="AU56" s="2">
        <f t="shared" si="42"/>
        <v>0</v>
      </c>
      <c r="AV56" s="2">
        <f t="shared" si="43"/>
        <v>0</v>
      </c>
      <c r="AW56" s="2">
        <f t="shared" si="44"/>
        <v>0</v>
      </c>
      <c r="AX56" s="2">
        <f t="shared" si="45"/>
        <v>0</v>
      </c>
      <c r="AY56" s="2">
        <f t="shared" si="46"/>
        <v>0</v>
      </c>
      <c r="AZ56" s="2">
        <f t="shared" si="47"/>
        <v>0</v>
      </c>
      <c r="BA56" s="2">
        <f t="shared" si="48"/>
        <v>0</v>
      </c>
      <c r="BC56" s="2">
        <f>BC50+SUM(CA51:CA56)</f>
        <v>1</v>
      </c>
      <c r="BD56" s="2">
        <f>BD50+SUM(CB51:CB56)</f>
        <v>1</v>
      </c>
      <c r="CA56" s="2">
        <f>IF(AND(_辅助!$E$56&lt;&gt;"",(COUNTIFS(考勤工资!$D$5:$D$1004,_辅助!$E$56,考勤工资!$Y$5:$Y$1004,$E$3)+COUNTIFS(考勤工资!$F$5:$F$1004,_辅助!$E$56,考勤工资!$Y$5:$Y$1004,$E$3)+COUNTIFS(考勤工资!$H$5:$H$1004,_辅助!$E$56,考勤工资!$Y$5:$Y$1004,$E$3)+COUNTIFS(考勤工资!$J$5:$J$1004,_辅助!$E$56,考勤工资!$Y$5:$Y$1004,$E$3))&gt;0),1,0)</f>
        <v>0</v>
      </c>
      <c r="CB56" s="2">
        <f>IF(考勤工资!$Y$60=$E$3,1,0)</f>
        <v>0</v>
      </c>
    </row>
    <row r="57">
      <c r="A57" s="94">
        <f>IF($AN57=0,"",52)</f>
      </c>
      <c r="B57" s="94">
        <f t="shared" si="32"/>
      </c>
      <c r="C57" s="96">
        <f t="shared" si="33"/>
      </c>
      <c r="D57" s="94">
        <f t="shared" si="0"/>
      </c>
      <c r="E57" s="117">
        <f t="shared" si="1"/>
      </c>
      <c r="F57" s="96">
        <f t="shared" si="2"/>
      </c>
      <c r="G57" s="118">
        <f t="shared" si="3"/>
      </c>
      <c r="H57" s="118">
        <f t="shared" si="4"/>
      </c>
      <c r="I57" s="118">
        <f t="shared" si="5"/>
      </c>
      <c r="J57" s="118">
        <f t="shared" si="6"/>
      </c>
      <c r="K57" s="118">
        <f t="shared" si="7"/>
      </c>
      <c r="L57" s="118">
        <f t="shared" si="8"/>
      </c>
      <c r="M57" s="118">
        <f t="shared" si="9"/>
      </c>
      <c r="N57" s="118">
        <f t="shared" si="10"/>
      </c>
      <c r="O57" s="118">
        <f t="shared" si="11"/>
      </c>
      <c r="P57" s="119">
        <f t="shared" si="34"/>
      </c>
      <c r="Q57" s="21">
        <f t="shared" si="12"/>
      </c>
      <c r="R57" s="21">
        <f t="shared" si="13"/>
      </c>
      <c r="S57" s="21">
        <f t="shared" si="14"/>
      </c>
      <c r="T57" s="21">
        <f t="shared" si="15"/>
      </c>
      <c r="U57" s="21">
        <f t="shared" si="16"/>
      </c>
      <c r="V57" s="21">
        <f t="shared" si="17"/>
      </c>
      <c r="W57" s="21">
        <f t="shared" si="18"/>
      </c>
      <c r="X57" s="21">
        <f t="shared" si="19"/>
      </c>
      <c r="Y57" s="21">
        <f t="shared" si="20"/>
      </c>
      <c r="Z57" s="21">
        <f t="shared" si="21"/>
      </c>
      <c r="AA57" s="21">
        <f t="shared" si="22"/>
      </c>
      <c r="AB57" s="21">
        <f t="shared" si="23"/>
      </c>
      <c r="AC57" s="21">
        <f t="shared" si="24"/>
      </c>
      <c r="AD57" s="21">
        <f t="shared" si="25"/>
      </c>
      <c r="AE57" s="21">
        <f t="shared" si="26"/>
      </c>
      <c r="AF57" s="21">
        <f t="shared" si="27"/>
      </c>
      <c r="AG57" s="21">
        <f t="shared" si="28"/>
      </c>
      <c r="AH57" s="21">
        <f t="shared" si="29"/>
      </c>
      <c r="AI57" s="21">
        <f t="shared" si="30"/>
      </c>
      <c r="AJ57" s="21">
        <f t="shared" si="31"/>
      </c>
      <c r="AK57" s="94" t="n"/>
      <c r="AL57" s="96">
        <f t="shared" si="35"/>
      </c>
      <c r="AN57" s="2">
        <f>IF(52&gt;$BD$1000,0,IFERROR(MATCH(52,$BD$1:$BD$1000,0),0))</f>
        <v>0</v>
      </c>
      <c r="AO57" s="2">
        <f t="shared" si="36"/>
        <v>0</v>
      </c>
      <c r="AP57" s="2">
        <f t="shared" si="37"/>
      </c>
      <c r="AQ57" s="2">
        <f t="shared" si="38"/>
      </c>
      <c r="AR57" s="2">
        <f t="shared" si="39"/>
      </c>
      <c r="AS57" s="2">
        <f t="shared" si="40"/>
      </c>
      <c r="AT57" s="2">
        <f t="shared" si="41"/>
        <v>0</v>
      </c>
      <c r="AU57" s="2">
        <f t="shared" si="42"/>
        <v>0</v>
      </c>
      <c r="AV57" s="2">
        <f t="shared" si="43"/>
        <v>0</v>
      </c>
      <c r="AW57" s="2">
        <f t="shared" si="44"/>
        <v>0</v>
      </c>
      <c r="AX57" s="2">
        <f t="shared" si="45"/>
        <v>0</v>
      </c>
      <c r="AY57" s="2">
        <f t="shared" si="46"/>
        <v>0</v>
      </c>
      <c r="AZ57" s="2">
        <f t="shared" si="47"/>
        <v>0</v>
      </c>
      <c r="BA57" s="2">
        <f t="shared" si="48"/>
        <v>0</v>
      </c>
      <c r="BC57" s="2">
        <f>BC50+SUM(CA51:CA57)</f>
        <v>1</v>
      </c>
      <c r="BD57" s="2">
        <f>BD50+SUM(CB51:CB57)</f>
        <v>1</v>
      </c>
      <c r="CA57" s="2">
        <f>IF(AND(_辅助!$E$57&lt;&gt;"",(COUNTIFS(考勤工资!$D$5:$D$1004,_辅助!$E$57,考勤工资!$Y$5:$Y$1004,$E$3)+COUNTIFS(考勤工资!$F$5:$F$1004,_辅助!$E$57,考勤工资!$Y$5:$Y$1004,$E$3)+COUNTIFS(考勤工资!$H$5:$H$1004,_辅助!$E$57,考勤工资!$Y$5:$Y$1004,$E$3)+COUNTIFS(考勤工资!$J$5:$J$1004,_辅助!$E$57,考勤工资!$Y$5:$Y$1004,$E$3))&gt;0),1,0)</f>
        <v>0</v>
      </c>
      <c r="CB57" s="2">
        <f>IF(考勤工资!$Y$61=$E$3,1,0)</f>
        <v>0</v>
      </c>
    </row>
    <row r="58">
      <c r="A58" s="94">
        <f>IF($AN58=0,"",53)</f>
      </c>
      <c r="B58" s="94">
        <f t="shared" si="32"/>
      </c>
      <c r="C58" s="96">
        <f t="shared" si="33"/>
      </c>
      <c r="D58" s="94">
        <f t="shared" si="0"/>
      </c>
      <c r="E58" s="117">
        <f t="shared" si="1"/>
      </c>
      <c r="F58" s="96">
        <f t="shared" si="2"/>
      </c>
      <c r="G58" s="118">
        <f t="shared" si="3"/>
      </c>
      <c r="H58" s="118">
        <f t="shared" si="4"/>
      </c>
      <c r="I58" s="118">
        <f t="shared" si="5"/>
      </c>
      <c r="J58" s="118">
        <f t="shared" si="6"/>
      </c>
      <c r="K58" s="118">
        <f t="shared" si="7"/>
      </c>
      <c r="L58" s="118">
        <f t="shared" si="8"/>
      </c>
      <c r="M58" s="118">
        <f t="shared" si="9"/>
      </c>
      <c r="N58" s="118">
        <f t="shared" si="10"/>
      </c>
      <c r="O58" s="118">
        <f t="shared" si="11"/>
      </c>
      <c r="P58" s="119">
        <f t="shared" si="34"/>
      </c>
      <c r="Q58" s="21">
        <f t="shared" si="12"/>
      </c>
      <c r="R58" s="21">
        <f t="shared" si="13"/>
      </c>
      <c r="S58" s="21">
        <f t="shared" si="14"/>
      </c>
      <c r="T58" s="21">
        <f t="shared" si="15"/>
      </c>
      <c r="U58" s="21">
        <f t="shared" si="16"/>
      </c>
      <c r="V58" s="21">
        <f t="shared" si="17"/>
      </c>
      <c r="W58" s="21">
        <f t="shared" si="18"/>
      </c>
      <c r="X58" s="21">
        <f t="shared" si="19"/>
      </c>
      <c r="Y58" s="21">
        <f t="shared" si="20"/>
      </c>
      <c r="Z58" s="21">
        <f t="shared" si="21"/>
      </c>
      <c r="AA58" s="21">
        <f t="shared" si="22"/>
      </c>
      <c r="AB58" s="21">
        <f t="shared" si="23"/>
      </c>
      <c r="AC58" s="21">
        <f t="shared" si="24"/>
      </c>
      <c r="AD58" s="21">
        <f t="shared" si="25"/>
      </c>
      <c r="AE58" s="21">
        <f t="shared" si="26"/>
      </c>
      <c r="AF58" s="21">
        <f t="shared" si="27"/>
      </c>
      <c r="AG58" s="21">
        <f t="shared" si="28"/>
      </c>
      <c r="AH58" s="21">
        <f t="shared" si="29"/>
      </c>
      <c r="AI58" s="21">
        <f t="shared" si="30"/>
      </c>
      <c r="AJ58" s="21">
        <f t="shared" si="31"/>
      </c>
      <c r="AK58" s="94" t="n"/>
      <c r="AL58" s="96">
        <f t="shared" si="35"/>
      </c>
      <c r="AN58" s="2">
        <f>IF(53&gt;$BD$1000,0,IFERROR(MATCH(53,$BD$1:$BD$1000,0),0))</f>
        <v>0</v>
      </c>
      <c r="AO58" s="2">
        <f t="shared" si="36"/>
        <v>0</v>
      </c>
      <c r="AP58" s="2">
        <f t="shared" si="37"/>
      </c>
      <c r="AQ58" s="2">
        <f t="shared" si="38"/>
      </c>
      <c r="AR58" s="2">
        <f t="shared" si="39"/>
      </c>
      <c r="AS58" s="2">
        <f t="shared" si="40"/>
      </c>
      <c r="AT58" s="2">
        <f t="shared" si="41"/>
        <v>0</v>
      </c>
      <c r="AU58" s="2">
        <f t="shared" si="42"/>
        <v>0</v>
      </c>
      <c r="AV58" s="2">
        <f t="shared" si="43"/>
        <v>0</v>
      </c>
      <c r="AW58" s="2">
        <f t="shared" si="44"/>
        <v>0</v>
      </c>
      <c r="AX58" s="2">
        <f t="shared" si="45"/>
        <v>0</v>
      </c>
      <c r="AY58" s="2">
        <f t="shared" si="46"/>
        <v>0</v>
      </c>
      <c r="AZ58" s="2">
        <f t="shared" si="47"/>
        <v>0</v>
      </c>
      <c r="BA58" s="2">
        <f t="shared" si="48"/>
        <v>0</v>
      </c>
      <c r="BC58" s="2">
        <f>BC50+SUM(CA51:CA58)</f>
        <v>1</v>
      </c>
      <c r="BD58" s="2">
        <f>BD50+SUM(CB51:CB58)</f>
        <v>1</v>
      </c>
      <c r="CA58" s="2">
        <f>IF(AND(_辅助!$E$58&lt;&gt;"",(COUNTIFS(考勤工资!$D$5:$D$1004,_辅助!$E$58,考勤工资!$Y$5:$Y$1004,$E$3)+COUNTIFS(考勤工资!$F$5:$F$1004,_辅助!$E$58,考勤工资!$Y$5:$Y$1004,$E$3)+COUNTIFS(考勤工资!$H$5:$H$1004,_辅助!$E$58,考勤工资!$Y$5:$Y$1004,$E$3)+COUNTIFS(考勤工资!$J$5:$J$1004,_辅助!$E$58,考勤工资!$Y$5:$Y$1004,$E$3))&gt;0),1,0)</f>
        <v>0</v>
      </c>
      <c r="CB58" s="2">
        <f>IF(考勤工资!$Y$62=$E$3,1,0)</f>
        <v>0</v>
      </c>
    </row>
    <row r="59">
      <c r="A59" s="94">
        <f>IF($AN59=0,"",54)</f>
      </c>
      <c r="B59" s="94">
        <f t="shared" si="32"/>
      </c>
      <c r="C59" s="96">
        <f t="shared" si="33"/>
      </c>
      <c r="D59" s="94">
        <f t="shared" si="0"/>
      </c>
      <c r="E59" s="117">
        <f t="shared" si="1"/>
      </c>
      <c r="F59" s="96">
        <f t="shared" si="2"/>
      </c>
      <c r="G59" s="118">
        <f t="shared" si="3"/>
      </c>
      <c r="H59" s="118">
        <f t="shared" si="4"/>
      </c>
      <c r="I59" s="118">
        <f t="shared" si="5"/>
      </c>
      <c r="J59" s="118">
        <f t="shared" si="6"/>
      </c>
      <c r="K59" s="118">
        <f t="shared" si="7"/>
      </c>
      <c r="L59" s="118">
        <f t="shared" si="8"/>
      </c>
      <c r="M59" s="118">
        <f t="shared" si="9"/>
      </c>
      <c r="N59" s="118">
        <f t="shared" si="10"/>
      </c>
      <c r="O59" s="118">
        <f t="shared" si="11"/>
      </c>
      <c r="P59" s="119">
        <f t="shared" si="34"/>
      </c>
      <c r="Q59" s="21">
        <f t="shared" si="12"/>
      </c>
      <c r="R59" s="21">
        <f t="shared" si="13"/>
      </c>
      <c r="S59" s="21">
        <f t="shared" si="14"/>
      </c>
      <c r="T59" s="21">
        <f t="shared" si="15"/>
      </c>
      <c r="U59" s="21">
        <f t="shared" si="16"/>
      </c>
      <c r="V59" s="21">
        <f t="shared" si="17"/>
      </c>
      <c r="W59" s="21">
        <f t="shared" si="18"/>
      </c>
      <c r="X59" s="21">
        <f t="shared" si="19"/>
      </c>
      <c r="Y59" s="21">
        <f t="shared" si="20"/>
      </c>
      <c r="Z59" s="21">
        <f t="shared" si="21"/>
      </c>
      <c r="AA59" s="21">
        <f t="shared" si="22"/>
      </c>
      <c r="AB59" s="21">
        <f t="shared" si="23"/>
      </c>
      <c r="AC59" s="21">
        <f t="shared" si="24"/>
      </c>
      <c r="AD59" s="21">
        <f t="shared" si="25"/>
      </c>
      <c r="AE59" s="21">
        <f t="shared" si="26"/>
      </c>
      <c r="AF59" s="21">
        <f t="shared" si="27"/>
      </c>
      <c r="AG59" s="21">
        <f t="shared" si="28"/>
      </c>
      <c r="AH59" s="21">
        <f t="shared" si="29"/>
      </c>
      <c r="AI59" s="21">
        <f t="shared" si="30"/>
      </c>
      <c r="AJ59" s="21">
        <f t="shared" si="31"/>
      </c>
      <c r="AK59" s="94" t="n"/>
      <c r="AL59" s="96">
        <f t="shared" si="35"/>
      </c>
      <c r="AN59" s="2">
        <f>IF(54&gt;$BD$1000,0,IFERROR(MATCH(54,$BD$1:$BD$1000,0),0))</f>
        <v>0</v>
      </c>
      <c r="AO59" s="2">
        <f t="shared" si="36"/>
        <v>0</v>
      </c>
      <c r="AP59" s="2">
        <f t="shared" si="37"/>
      </c>
      <c r="AQ59" s="2">
        <f t="shared" si="38"/>
      </c>
      <c r="AR59" s="2">
        <f t="shared" si="39"/>
      </c>
      <c r="AS59" s="2">
        <f t="shared" si="40"/>
      </c>
      <c r="AT59" s="2">
        <f t="shared" si="41"/>
        <v>0</v>
      </c>
      <c r="AU59" s="2">
        <f t="shared" si="42"/>
        <v>0</v>
      </c>
      <c r="AV59" s="2">
        <f t="shared" si="43"/>
        <v>0</v>
      </c>
      <c r="AW59" s="2">
        <f t="shared" si="44"/>
        <v>0</v>
      </c>
      <c r="AX59" s="2">
        <f t="shared" si="45"/>
        <v>0</v>
      </c>
      <c r="AY59" s="2">
        <f t="shared" si="46"/>
        <v>0</v>
      </c>
      <c r="AZ59" s="2">
        <f t="shared" si="47"/>
        <v>0</v>
      </c>
      <c r="BA59" s="2">
        <f t="shared" si="48"/>
        <v>0</v>
      </c>
      <c r="BC59" s="2">
        <f>BC50+SUM(CA51:CA59)</f>
        <v>1</v>
      </c>
      <c r="BD59" s="2">
        <f>BD50+SUM(CB51:CB59)</f>
        <v>1</v>
      </c>
      <c r="CA59" s="2">
        <f>IF(AND(_辅助!$E$59&lt;&gt;"",(COUNTIFS(考勤工资!$D$5:$D$1004,_辅助!$E$59,考勤工资!$Y$5:$Y$1004,$E$3)+COUNTIFS(考勤工资!$F$5:$F$1004,_辅助!$E$59,考勤工资!$Y$5:$Y$1004,$E$3)+COUNTIFS(考勤工资!$H$5:$H$1004,_辅助!$E$59,考勤工资!$Y$5:$Y$1004,$E$3)+COUNTIFS(考勤工资!$J$5:$J$1004,_辅助!$E$59,考勤工资!$Y$5:$Y$1004,$E$3))&gt;0),1,0)</f>
        <v>0</v>
      </c>
      <c r="CB59" s="2">
        <f>IF(考勤工资!$Y$63=$E$3,1,0)</f>
        <v>0</v>
      </c>
    </row>
    <row r="60">
      <c r="A60" s="94">
        <f>IF($AN60=0,"",55)</f>
      </c>
      <c r="B60" s="94">
        <f t="shared" si="32"/>
      </c>
      <c r="C60" s="96">
        <f t="shared" si="33"/>
      </c>
      <c r="D60" s="94">
        <f t="shared" si="0"/>
      </c>
      <c r="E60" s="117">
        <f t="shared" si="1"/>
      </c>
      <c r="F60" s="96">
        <f t="shared" si="2"/>
      </c>
      <c r="G60" s="118">
        <f t="shared" si="3"/>
      </c>
      <c r="H60" s="118">
        <f t="shared" si="4"/>
      </c>
      <c r="I60" s="118">
        <f t="shared" si="5"/>
      </c>
      <c r="J60" s="118">
        <f t="shared" si="6"/>
      </c>
      <c r="K60" s="118">
        <f t="shared" si="7"/>
      </c>
      <c r="L60" s="118">
        <f t="shared" si="8"/>
      </c>
      <c r="M60" s="118">
        <f t="shared" si="9"/>
      </c>
      <c r="N60" s="118">
        <f t="shared" si="10"/>
      </c>
      <c r="O60" s="118">
        <f t="shared" si="11"/>
      </c>
      <c r="P60" s="119">
        <f t="shared" si="34"/>
      </c>
      <c r="Q60" s="21">
        <f t="shared" si="12"/>
      </c>
      <c r="R60" s="21">
        <f t="shared" si="13"/>
      </c>
      <c r="S60" s="21">
        <f t="shared" si="14"/>
      </c>
      <c r="T60" s="21">
        <f t="shared" si="15"/>
      </c>
      <c r="U60" s="21">
        <f t="shared" si="16"/>
      </c>
      <c r="V60" s="21">
        <f t="shared" si="17"/>
      </c>
      <c r="W60" s="21">
        <f t="shared" si="18"/>
      </c>
      <c r="X60" s="21">
        <f t="shared" si="19"/>
      </c>
      <c r="Y60" s="21">
        <f t="shared" si="20"/>
      </c>
      <c r="Z60" s="21">
        <f t="shared" si="21"/>
      </c>
      <c r="AA60" s="21">
        <f t="shared" si="22"/>
      </c>
      <c r="AB60" s="21">
        <f t="shared" si="23"/>
      </c>
      <c r="AC60" s="21">
        <f t="shared" si="24"/>
      </c>
      <c r="AD60" s="21">
        <f t="shared" si="25"/>
      </c>
      <c r="AE60" s="21">
        <f t="shared" si="26"/>
      </c>
      <c r="AF60" s="21">
        <f t="shared" si="27"/>
      </c>
      <c r="AG60" s="21">
        <f t="shared" si="28"/>
      </c>
      <c r="AH60" s="21">
        <f t="shared" si="29"/>
      </c>
      <c r="AI60" s="21">
        <f t="shared" si="30"/>
      </c>
      <c r="AJ60" s="21">
        <f t="shared" si="31"/>
      </c>
      <c r="AK60" s="94" t="n"/>
      <c r="AL60" s="96">
        <f t="shared" si="35"/>
      </c>
      <c r="AN60" s="2">
        <f>IF(55&gt;$BD$1000,0,IFERROR(MATCH(55,$BD$1:$BD$1000,0),0))</f>
        <v>0</v>
      </c>
      <c r="AO60" s="2">
        <f t="shared" si="36"/>
        <v>0</v>
      </c>
      <c r="AP60" s="2">
        <f t="shared" si="37"/>
      </c>
      <c r="AQ60" s="2">
        <f t="shared" si="38"/>
      </c>
      <c r="AR60" s="2">
        <f t="shared" si="39"/>
      </c>
      <c r="AS60" s="2">
        <f t="shared" si="40"/>
      </c>
      <c r="AT60" s="2">
        <f t="shared" si="41"/>
        <v>0</v>
      </c>
      <c r="AU60" s="2">
        <f t="shared" si="42"/>
        <v>0</v>
      </c>
      <c r="AV60" s="2">
        <f t="shared" si="43"/>
        <v>0</v>
      </c>
      <c r="AW60" s="2">
        <f t="shared" si="44"/>
        <v>0</v>
      </c>
      <c r="AX60" s="2">
        <f t="shared" si="45"/>
        <v>0</v>
      </c>
      <c r="AY60" s="2">
        <f t="shared" si="46"/>
        <v>0</v>
      </c>
      <c r="AZ60" s="2">
        <f t="shared" si="47"/>
        <v>0</v>
      </c>
      <c r="BA60" s="2">
        <f t="shared" si="48"/>
        <v>0</v>
      </c>
      <c r="BC60" s="2">
        <f>BC50+SUM(CA51:CA60)</f>
        <v>1</v>
      </c>
      <c r="BD60" s="2">
        <f>BD50+SUM(CB51:CB60)</f>
        <v>1</v>
      </c>
      <c r="CA60" s="2">
        <f>IF(AND(_辅助!$E$60&lt;&gt;"",(COUNTIFS(考勤工资!$D$5:$D$1004,_辅助!$E$60,考勤工资!$Y$5:$Y$1004,$E$3)+COUNTIFS(考勤工资!$F$5:$F$1004,_辅助!$E$60,考勤工资!$Y$5:$Y$1004,$E$3)+COUNTIFS(考勤工资!$H$5:$H$1004,_辅助!$E$60,考勤工资!$Y$5:$Y$1004,$E$3)+COUNTIFS(考勤工资!$J$5:$J$1004,_辅助!$E$60,考勤工资!$Y$5:$Y$1004,$E$3))&gt;0),1,0)</f>
        <v>0</v>
      </c>
      <c r="CB60" s="2">
        <f>IF(考勤工资!$Y$64=$E$3,1,0)</f>
        <v>0</v>
      </c>
    </row>
    <row r="61">
      <c r="A61" s="94">
        <f>IF($AN61=0,"",56)</f>
      </c>
      <c r="B61" s="94">
        <f t="shared" si="32"/>
      </c>
      <c r="C61" s="96">
        <f t="shared" si="33"/>
      </c>
      <c r="D61" s="94">
        <f t="shared" si="0"/>
      </c>
      <c r="E61" s="117">
        <f t="shared" si="1"/>
      </c>
      <c r="F61" s="96">
        <f t="shared" si="2"/>
      </c>
      <c r="G61" s="118">
        <f t="shared" si="3"/>
      </c>
      <c r="H61" s="118">
        <f t="shared" si="4"/>
      </c>
      <c r="I61" s="118">
        <f t="shared" si="5"/>
      </c>
      <c r="J61" s="118">
        <f t="shared" si="6"/>
      </c>
      <c r="K61" s="118">
        <f t="shared" si="7"/>
      </c>
      <c r="L61" s="118">
        <f t="shared" si="8"/>
      </c>
      <c r="M61" s="118">
        <f t="shared" si="9"/>
      </c>
      <c r="N61" s="118">
        <f t="shared" si="10"/>
      </c>
      <c r="O61" s="118">
        <f t="shared" si="11"/>
      </c>
      <c r="P61" s="119">
        <f t="shared" si="34"/>
      </c>
      <c r="Q61" s="21">
        <f t="shared" si="12"/>
      </c>
      <c r="R61" s="21">
        <f t="shared" si="13"/>
      </c>
      <c r="S61" s="21">
        <f t="shared" si="14"/>
      </c>
      <c r="T61" s="21">
        <f t="shared" si="15"/>
      </c>
      <c r="U61" s="21">
        <f t="shared" si="16"/>
      </c>
      <c r="V61" s="21">
        <f t="shared" si="17"/>
      </c>
      <c r="W61" s="21">
        <f t="shared" si="18"/>
      </c>
      <c r="X61" s="21">
        <f t="shared" si="19"/>
      </c>
      <c r="Y61" s="21">
        <f t="shared" si="20"/>
      </c>
      <c r="Z61" s="21">
        <f t="shared" si="21"/>
      </c>
      <c r="AA61" s="21">
        <f t="shared" si="22"/>
      </c>
      <c r="AB61" s="21">
        <f t="shared" si="23"/>
      </c>
      <c r="AC61" s="21">
        <f t="shared" si="24"/>
      </c>
      <c r="AD61" s="21">
        <f t="shared" si="25"/>
      </c>
      <c r="AE61" s="21">
        <f t="shared" si="26"/>
      </c>
      <c r="AF61" s="21">
        <f t="shared" si="27"/>
      </c>
      <c r="AG61" s="21">
        <f t="shared" si="28"/>
      </c>
      <c r="AH61" s="21">
        <f t="shared" si="29"/>
      </c>
      <c r="AI61" s="21">
        <f t="shared" si="30"/>
      </c>
      <c r="AJ61" s="21">
        <f t="shared" si="31"/>
      </c>
      <c r="AK61" s="94" t="n"/>
      <c r="AL61" s="96">
        <f t="shared" si="35"/>
      </c>
      <c r="AN61" s="2">
        <f>IF(56&gt;$BD$1000,0,IFERROR(MATCH(56,$BD$1:$BD$1000,0),0))</f>
        <v>0</v>
      </c>
      <c r="AO61" s="2">
        <f t="shared" si="36"/>
        <v>0</v>
      </c>
      <c r="AP61" s="2">
        <f t="shared" si="37"/>
      </c>
      <c r="AQ61" s="2">
        <f t="shared" si="38"/>
      </c>
      <c r="AR61" s="2">
        <f t="shared" si="39"/>
      </c>
      <c r="AS61" s="2">
        <f t="shared" si="40"/>
      </c>
      <c r="AT61" s="2">
        <f t="shared" si="41"/>
        <v>0</v>
      </c>
      <c r="AU61" s="2">
        <f t="shared" si="42"/>
        <v>0</v>
      </c>
      <c r="AV61" s="2">
        <f t="shared" si="43"/>
        <v>0</v>
      </c>
      <c r="AW61" s="2">
        <f t="shared" si="44"/>
        <v>0</v>
      </c>
      <c r="AX61" s="2">
        <f t="shared" si="45"/>
        <v>0</v>
      </c>
      <c r="AY61" s="2">
        <f t="shared" si="46"/>
        <v>0</v>
      </c>
      <c r="AZ61" s="2">
        <f t="shared" si="47"/>
        <v>0</v>
      </c>
      <c r="BA61" s="2">
        <f t="shared" si="48"/>
        <v>0</v>
      </c>
      <c r="BC61" s="2">
        <f>BC50+SUM(CA51:CA61)</f>
        <v>1</v>
      </c>
      <c r="BD61" s="2">
        <f>BD50+SUM(CB51:CB61)</f>
        <v>1</v>
      </c>
      <c r="CA61" s="2">
        <f>IF(AND(_辅助!$E$61&lt;&gt;"",(COUNTIFS(考勤工资!$D$5:$D$1004,_辅助!$E$61,考勤工资!$Y$5:$Y$1004,$E$3)+COUNTIFS(考勤工资!$F$5:$F$1004,_辅助!$E$61,考勤工资!$Y$5:$Y$1004,$E$3)+COUNTIFS(考勤工资!$H$5:$H$1004,_辅助!$E$61,考勤工资!$Y$5:$Y$1004,$E$3)+COUNTIFS(考勤工资!$J$5:$J$1004,_辅助!$E$61,考勤工资!$Y$5:$Y$1004,$E$3))&gt;0),1,0)</f>
        <v>0</v>
      </c>
      <c r="CB61" s="2">
        <f>IF(考勤工资!$Y$65=$E$3,1,0)</f>
        <v>0</v>
      </c>
    </row>
    <row r="62">
      <c r="A62" s="94">
        <f>IF($AN62=0,"",57)</f>
      </c>
      <c r="B62" s="94">
        <f t="shared" si="32"/>
      </c>
      <c r="C62" s="96">
        <f t="shared" si="33"/>
      </c>
      <c r="D62" s="94">
        <f t="shared" si="0"/>
      </c>
      <c r="E62" s="117">
        <f t="shared" si="1"/>
      </c>
      <c r="F62" s="96">
        <f t="shared" si="2"/>
      </c>
      <c r="G62" s="118">
        <f t="shared" si="3"/>
      </c>
      <c r="H62" s="118">
        <f t="shared" si="4"/>
      </c>
      <c r="I62" s="118">
        <f t="shared" si="5"/>
      </c>
      <c r="J62" s="118">
        <f t="shared" si="6"/>
      </c>
      <c r="K62" s="118">
        <f t="shared" si="7"/>
      </c>
      <c r="L62" s="118">
        <f t="shared" si="8"/>
      </c>
      <c r="M62" s="118">
        <f t="shared" si="9"/>
      </c>
      <c r="N62" s="118">
        <f t="shared" si="10"/>
      </c>
      <c r="O62" s="118">
        <f t="shared" si="11"/>
      </c>
      <c r="P62" s="119">
        <f t="shared" si="34"/>
      </c>
      <c r="Q62" s="21">
        <f t="shared" si="12"/>
      </c>
      <c r="R62" s="21">
        <f t="shared" si="13"/>
      </c>
      <c r="S62" s="21">
        <f t="shared" si="14"/>
      </c>
      <c r="T62" s="21">
        <f t="shared" si="15"/>
      </c>
      <c r="U62" s="21">
        <f t="shared" si="16"/>
      </c>
      <c r="V62" s="21">
        <f t="shared" si="17"/>
      </c>
      <c r="W62" s="21">
        <f t="shared" si="18"/>
      </c>
      <c r="X62" s="21">
        <f t="shared" si="19"/>
      </c>
      <c r="Y62" s="21">
        <f t="shared" si="20"/>
      </c>
      <c r="Z62" s="21">
        <f t="shared" si="21"/>
      </c>
      <c r="AA62" s="21">
        <f t="shared" si="22"/>
      </c>
      <c r="AB62" s="21">
        <f t="shared" si="23"/>
      </c>
      <c r="AC62" s="21">
        <f t="shared" si="24"/>
      </c>
      <c r="AD62" s="21">
        <f t="shared" si="25"/>
      </c>
      <c r="AE62" s="21">
        <f t="shared" si="26"/>
      </c>
      <c r="AF62" s="21">
        <f t="shared" si="27"/>
      </c>
      <c r="AG62" s="21">
        <f t="shared" si="28"/>
      </c>
      <c r="AH62" s="21">
        <f t="shared" si="29"/>
      </c>
      <c r="AI62" s="21">
        <f t="shared" si="30"/>
      </c>
      <c r="AJ62" s="21">
        <f t="shared" si="31"/>
      </c>
      <c r="AK62" s="94" t="n"/>
      <c r="AL62" s="96">
        <f t="shared" si="35"/>
      </c>
      <c r="AN62" s="2">
        <f>IF(57&gt;$BD$1000,0,IFERROR(MATCH(57,$BD$1:$BD$1000,0),0))</f>
        <v>0</v>
      </c>
      <c r="AO62" s="2">
        <f t="shared" si="36"/>
        <v>0</v>
      </c>
      <c r="AP62" s="2">
        <f t="shared" si="37"/>
      </c>
      <c r="AQ62" s="2">
        <f t="shared" si="38"/>
      </c>
      <c r="AR62" s="2">
        <f t="shared" si="39"/>
      </c>
      <c r="AS62" s="2">
        <f t="shared" si="40"/>
      </c>
      <c r="AT62" s="2">
        <f t="shared" si="41"/>
        <v>0</v>
      </c>
      <c r="AU62" s="2">
        <f t="shared" si="42"/>
        <v>0</v>
      </c>
      <c r="AV62" s="2">
        <f t="shared" si="43"/>
        <v>0</v>
      </c>
      <c r="AW62" s="2">
        <f t="shared" si="44"/>
        <v>0</v>
      </c>
      <c r="AX62" s="2">
        <f t="shared" si="45"/>
        <v>0</v>
      </c>
      <c r="AY62" s="2">
        <f t="shared" si="46"/>
        <v>0</v>
      </c>
      <c r="AZ62" s="2">
        <f t="shared" si="47"/>
        <v>0</v>
      </c>
      <c r="BA62" s="2">
        <f t="shared" si="48"/>
        <v>0</v>
      </c>
      <c r="BD62" s="2">
        <f>BD50+SUM(CB51:CB62)</f>
        <v>1</v>
      </c>
      <c r="CB62" s="2">
        <f>IF(考勤工资!$Y$66=$E$3,1,0)</f>
        <v>0</v>
      </c>
    </row>
    <row r="63">
      <c r="A63" s="94">
        <f>IF($AN63=0,"",58)</f>
      </c>
      <c r="B63" s="94">
        <f t="shared" si="32"/>
      </c>
      <c r="C63" s="96">
        <f t="shared" si="33"/>
      </c>
      <c r="D63" s="94">
        <f t="shared" si="0"/>
      </c>
      <c r="E63" s="117">
        <f t="shared" si="1"/>
      </c>
      <c r="F63" s="96">
        <f t="shared" si="2"/>
      </c>
      <c r="G63" s="118">
        <f t="shared" si="3"/>
      </c>
      <c r="H63" s="118">
        <f t="shared" si="4"/>
      </c>
      <c r="I63" s="118">
        <f t="shared" si="5"/>
      </c>
      <c r="J63" s="118">
        <f t="shared" si="6"/>
      </c>
      <c r="K63" s="118">
        <f t="shared" si="7"/>
      </c>
      <c r="L63" s="118">
        <f t="shared" si="8"/>
      </c>
      <c r="M63" s="118">
        <f t="shared" si="9"/>
      </c>
      <c r="N63" s="118">
        <f t="shared" si="10"/>
      </c>
      <c r="O63" s="118">
        <f t="shared" si="11"/>
      </c>
      <c r="P63" s="119">
        <f t="shared" si="34"/>
      </c>
      <c r="Q63" s="21">
        <f t="shared" si="12"/>
      </c>
      <c r="R63" s="21">
        <f t="shared" si="13"/>
      </c>
      <c r="S63" s="21">
        <f t="shared" si="14"/>
      </c>
      <c r="T63" s="21">
        <f t="shared" si="15"/>
      </c>
      <c r="U63" s="21">
        <f t="shared" si="16"/>
      </c>
      <c r="V63" s="21">
        <f t="shared" si="17"/>
      </c>
      <c r="W63" s="21">
        <f t="shared" si="18"/>
      </c>
      <c r="X63" s="21">
        <f t="shared" si="19"/>
      </c>
      <c r="Y63" s="21">
        <f t="shared" si="20"/>
      </c>
      <c r="Z63" s="21">
        <f t="shared" si="21"/>
      </c>
      <c r="AA63" s="21">
        <f t="shared" si="22"/>
      </c>
      <c r="AB63" s="21">
        <f t="shared" si="23"/>
      </c>
      <c r="AC63" s="21">
        <f t="shared" si="24"/>
      </c>
      <c r="AD63" s="21">
        <f t="shared" si="25"/>
      </c>
      <c r="AE63" s="21">
        <f t="shared" si="26"/>
      </c>
      <c r="AF63" s="21">
        <f t="shared" si="27"/>
      </c>
      <c r="AG63" s="21">
        <f t="shared" si="28"/>
      </c>
      <c r="AH63" s="21">
        <f t="shared" si="29"/>
      </c>
      <c r="AI63" s="21">
        <f t="shared" si="30"/>
      </c>
      <c r="AJ63" s="21">
        <f t="shared" si="31"/>
      </c>
      <c r="AK63" s="94" t="n"/>
      <c r="AL63" s="96">
        <f t="shared" si="35"/>
      </c>
      <c r="AN63" s="2">
        <f>IF(58&gt;$BD$1000,0,IFERROR(MATCH(58,$BD$1:$BD$1000,0),0))</f>
        <v>0</v>
      </c>
      <c r="AO63" s="2">
        <f t="shared" si="36"/>
        <v>0</v>
      </c>
      <c r="AP63" s="2">
        <f t="shared" si="37"/>
      </c>
      <c r="AQ63" s="2">
        <f t="shared" si="38"/>
      </c>
      <c r="AR63" s="2">
        <f t="shared" si="39"/>
      </c>
      <c r="AS63" s="2">
        <f t="shared" si="40"/>
      </c>
      <c r="AT63" s="2">
        <f t="shared" si="41"/>
        <v>0</v>
      </c>
      <c r="AU63" s="2">
        <f t="shared" si="42"/>
        <v>0</v>
      </c>
      <c r="AV63" s="2">
        <f t="shared" si="43"/>
        <v>0</v>
      </c>
      <c r="AW63" s="2">
        <f t="shared" si="44"/>
        <v>0</v>
      </c>
      <c r="AX63" s="2">
        <f t="shared" si="45"/>
        <v>0</v>
      </c>
      <c r="AY63" s="2">
        <f t="shared" si="46"/>
        <v>0</v>
      </c>
      <c r="AZ63" s="2">
        <f t="shared" si="47"/>
        <v>0</v>
      </c>
      <c r="BA63" s="2">
        <f t="shared" si="48"/>
        <v>0</v>
      </c>
      <c r="BD63" s="2">
        <f>BD50+SUM(CB51:CB63)</f>
        <v>1</v>
      </c>
      <c r="CB63" s="2">
        <f>IF(考勤工资!$Y$67=$E$3,1,0)</f>
        <v>0</v>
      </c>
    </row>
    <row r="64">
      <c r="A64" s="94">
        <f>IF($AN64=0,"",59)</f>
      </c>
      <c r="B64" s="94">
        <f t="shared" si="32"/>
      </c>
      <c r="C64" s="96">
        <f t="shared" si="33"/>
      </c>
      <c r="D64" s="94">
        <f t="shared" si="0"/>
      </c>
      <c r="E64" s="117">
        <f t="shared" si="1"/>
      </c>
      <c r="F64" s="96">
        <f t="shared" si="2"/>
      </c>
      <c r="G64" s="118">
        <f t="shared" si="3"/>
      </c>
      <c r="H64" s="118">
        <f t="shared" si="4"/>
      </c>
      <c r="I64" s="118">
        <f t="shared" si="5"/>
      </c>
      <c r="J64" s="118">
        <f t="shared" si="6"/>
      </c>
      <c r="K64" s="118">
        <f t="shared" si="7"/>
      </c>
      <c r="L64" s="118">
        <f t="shared" si="8"/>
      </c>
      <c r="M64" s="118">
        <f t="shared" si="9"/>
      </c>
      <c r="N64" s="118">
        <f t="shared" si="10"/>
      </c>
      <c r="O64" s="118">
        <f t="shared" si="11"/>
      </c>
      <c r="P64" s="119">
        <f t="shared" si="34"/>
      </c>
      <c r="Q64" s="21">
        <f t="shared" si="12"/>
      </c>
      <c r="R64" s="21">
        <f t="shared" si="13"/>
      </c>
      <c r="S64" s="21">
        <f t="shared" si="14"/>
      </c>
      <c r="T64" s="21">
        <f t="shared" si="15"/>
      </c>
      <c r="U64" s="21">
        <f t="shared" si="16"/>
      </c>
      <c r="V64" s="21">
        <f t="shared" si="17"/>
      </c>
      <c r="W64" s="21">
        <f t="shared" si="18"/>
      </c>
      <c r="X64" s="21">
        <f t="shared" si="19"/>
      </c>
      <c r="Y64" s="21">
        <f t="shared" si="20"/>
      </c>
      <c r="Z64" s="21">
        <f t="shared" si="21"/>
      </c>
      <c r="AA64" s="21">
        <f t="shared" si="22"/>
      </c>
      <c r="AB64" s="21">
        <f t="shared" si="23"/>
      </c>
      <c r="AC64" s="21">
        <f t="shared" si="24"/>
      </c>
      <c r="AD64" s="21">
        <f t="shared" si="25"/>
      </c>
      <c r="AE64" s="21">
        <f t="shared" si="26"/>
      </c>
      <c r="AF64" s="21">
        <f t="shared" si="27"/>
      </c>
      <c r="AG64" s="21">
        <f t="shared" si="28"/>
      </c>
      <c r="AH64" s="21">
        <f t="shared" si="29"/>
      </c>
      <c r="AI64" s="21">
        <f t="shared" si="30"/>
      </c>
      <c r="AJ64" s="21">
        <f t="shared" si="31"/>
      </c>
      <c r="AK64" s="94" t="n"/>
      <c r="AL64" s="96">
        <f t="shared" si="35"/>
      </c>
      <c r="AN64" s="2">
        <f>IF(59&gt;$BD$1000,0,IFERROR(MATCH(59,$BD$1:$BD$1000,0),0))</f>
        <v>0</v>
      </c>
      <c r="AO64" s="2">
        <f t="shared" si="36"/>
        <v>0</v>
      </c>
      <c r="AP64" s="2">
        <f t="shared" si="37"/>
      </c>
      <c r="AQ64" s="2">
        <f t="shared" si="38"/>
      </c>
      <c r="AR64" s="2">
        <f t="shared" si="39"/>
      </c>
      <c r="AS64" s="2">
        <f t="shared" si="40"/>
      </c>
      <c r="AT64" s="2">
        <f t="shared" si="41"/>
        <v>0</v>
      </c>
      <c r="AU64" s="2">
        <f t="shared" si="42"/>
        <v>0</v>
      </c>
      <c r="AV64" s="2">
        <f t="shared" si="43"/>
        <v>0</v>
      </c>
      <c r="AW64" s="2">
        <f t="shared" si="44"/>
        <v>0</v>
      </c>
      <c r="AX64" s="2">
        <f t="shared" si="45"/>
        <v>0</v>
      </c>
      <c r="AY64" s="2">
        <f t="shared" si="46"/>
        <v>0</v>
      </c>
      <c r="AZ64" s="2">
        <f t="shared" si="47"/>
        <v>0</v>
      </c>
      <c r="BA64" s="2">
        <f t="shared" si="48"/>
        <v>0</v>
      </c>
      <c r="BD64" s="2">
        <f>BD50+SUM(CB51:CB64)</f>
        <v>1</v>
      </c>
      <c r="CB64" s="2">
        <f>IF(考勤工资!$Y$68=$E$3,1,0)</f>
        <v>0</v>
      </c>
    </row>
    <row r="65">
      <c r="A65" s="94">
        <f>IF($AN65=0,"",60)</f>
      </c>
      <c r="B65" s="94">
        <f t="shared" si="32"/>
      </c>
      <c r="C65" s="96">
        <f t="shared" si="33"/>
      </c>
      <c r="D65" s="94">
        <f t="shared" si="0"/>
      </c>
      <c r="E65" s="117">
        <f t="shared" si="1"/>
      </c>
      <c r="F65" s="96">
        <f t="shared" si="2"/>
      </c>
      <c r="G65" s="118">
        <f t="shared" si="3"/>
      </c>
      <c r="H65" s="118">
        <f t="shared" si="4"/>
      </c>
      <c r="I65" s="118">
        <f t="shared" si="5"/>
      </c>
      <c r="J65" s="118">
        <f t="shared" si="6"/>
      </c>
      <c r="K65" s="118">
        <f t="shared" si="7"/>
      </c>
      <c r="L65" s="118">
        <f t="shared" si="8"/>
      </c>
      <c r="M65" s="118">
        <f t="shared" si="9"/>
      </c>
      <c r="N65" s="118">
        <f t="shared" si="10"/>
      </c>
      <c r="O65" s="118">
        <f t="shared" si="11"/>
      </c>
      <c r="P65" s="119">
        <f t="shared" si="34"/>
      </c>
      <c r="Q65" s="21">
        <f t="shared" si="12"/>
      </c>
      <c r="R65" s="21">
        <f t="shared" si="13"/>
      </c>
      <c r="S65" s="21">
        <f t="shared" si="14"/>
      </c>
      <c r="T65" s="21">
        <f t="shared" si="15"/>
      </c>
      <c r="U65" s="21">
        <f t="shared" si="16"/>
      </c>
      <c r="V65" s="21">
        <f t="shared" si="17"/>
      </c>
      <c r="W65" s="21">
        <f t="shared" si="18"/>
      </c>
      <c r="X65" s="21">
        <f t="shared" si="19"/>
      </c>
      <c r="Y65" s="21">
        <f t="shared" si="20"/>
      </c>
      <c r="Z65" s="21">
        <f t="shared" si="21"/>
      </c>
      <c r="AA65" s="21">
        <f t="shared" si="22"/>
      </c>
      <c r="AB65" s="21">
        <f t="shared" si="23"/>
      </c>
      <c r="AC65" s="21">
        <f t="shared" si="24"/>
      </c>
      <c r="AD65" s="21">
        <f t="shared" si="25"/>
      </c>
      <c r="AE65" s="21">
        <f t="shared" si="26"/>
      </c>
      <c r="AF65" s="21">
        <f t="shared" si="27"/>
      </c>
      <c r="AG65" s="21">
        <f t="shared" si="28"/>
      </c>
      <c r="AH65" s="21">
        <f t="shared" si="29"/>
      </c>
      <c r="AI65" s="21">
        <f t="shared" si="30"/>
      </c>
      <c r="AJ65" s="21">
        <f t="shared" si="31"/>
      </c>
      <c r="AK65" s="94" t="n"/>
      <c r="AL65" s="96">
        <f t="shared" si="35"/>
      </c>
      <c r="AN65" s="2">
        <f>IF(60&gt;$BD$1000,0,IFERROR(MATCH(60,$BD$1:$BD$1000,0),0))</f>
        <v>0</v>
      </c>
      <c r="AO65" s="2">
        <f t="shared" si="36"/>
        <v>0</v>
      </c>
      <c r="AP65" s="2">
        <f t="shared" si="37"/>
      </c>
      <c r="AQ65" s="2">
        <f t="shared" si="38"/>
      </c>
      <c r="AR65" s="2">
        <f t="shared" si="39"/>
      </c>
      <c r="AS65" s="2">
        <f t="shared" si="40"/>
      </c>
      <c r="AT65" s="2">
        <f t="shared" si="41"/>
        <v>0</v>
      </c>
      <c r="AU65" s="2">
        <f t="shared" si="42"/>
        <v>0</v>
      </c>
      <c r="AV65" s="2">
        <f t="shared" si="43"/>
        <v>0</v>
      </c>
      <c r="AW65" s="2">
        <f t="shared" si="44"/>
        <v>0</v>
      </c>
      <c r="AX65" s="2">
        <f t="shared" si="45"/>
        <v>0</v>
      </c>
      <c r="AY65" s="2">
        <f t="shared" si="46"/>
        <v>0</v>
      </c>
      <c r="AZ65" s="2">
        <f t="shared" si="47"/>
        <v>0</v>
      </c>
      <c r="BA65" s="2">
        <f t="shared" si="48"/>
        <v>0</v>
      </c>
      <c r="BD65" s="2">
        <f>BD50+SUM(CB51:CB65)</f>
        <v>1</v>
      </c>
      <c r="CB65" s="2">
        <f>IF(考勤工资!$Y$69=$E$3,1,0)</f>
        <v>0</v>
      </c>
    </row>
    <row r="66">
      <c r="A66" s="94">
        <f>IF($AN66=0,"",61)</f>
      </c>
      <c r="B66" s="94">
        <f t="shared" si="32"/>
      </c>
      <c r="C66" s="96">
        <f t="shared" si="33"/>
      </c>
      <c r="D66" s="94">
        <f t="shared" si="0"/>
      </c>
      <c r="E66" s="117">
        <f t="shared" si="1"/>
      </c>
      <c r="F66" s="96">
        <f t="shared" si="2"/>
      </c>
      <c r="G66" s="118">
        <f t="shared" si="3"/>
      </c>
      <c r="H66" s="118">
        <f t="shared" si="4"/>
      </c>
      <c r="I66" s="118">
        <f t="shared" si="5"/>
      </c>
      <c r="J66" s="118">
        <f t="shared" si="6"/>
      </c>
      <c r="K66" s="118">
        <f t="shared" si="7"/>
      </c>
      <c r="L66" s="118">
        <f t="shared" si="8"/>
      </c>
      <c r="M66" s="118">
        <f t="shared" si="9"/>
      </c>
      <c r="N66" s="118">
        <f t="shared" si="10"/>
      </c>
      <c r="O66" s="118">
        <f t="shared" si="11"/>
      </c>
      <c r="P66" s="119">
        <f t="shared" si="34"/>
      </c>
      <c r="Q66" s="21">
        <f t="shared" si="12"/>
      </c>
      <c r="R66" s="21">
        <f t="shared" si="13"/>
      </c>
      <c r="S66" s="21">
        <f t="shared" si="14"/>
      </c>
      <c r="T66" s="21">
        <f t="shared" si="15"/>
      </c>
      <c r="U66" s="21">
        <f t="shared" si="16"/>
      </c>
      <c r="V66" s="21">
        <f t="shared" si="17"/>
      </c>
      <c r="W66" s="21">
        <f t="shared" si="18"/>
      </c>
      <c r="X66" s="21">
        <f t="shared" si="19"/>
      </c>
      <c r="Y66" s="21">
        <f t="shared" si="20"/>
      </c>
      <c r="Z66" s="21">
        <f t="shared" si="21"/>
      </c>
      <c r="AA66" s="21">
        <f t="shared" si="22"/>
      </c>
      <c r="AB66" s="21">
        <f t="shared" si="23"/>
      </c>
      <c r="AC66" s="21">
        <f t="shared" si="24"/>
      </c>
      <c r="AD66" s="21">
        <f t="shared" si="25"/>
      </c>
      <c r="AE66" s="21">
        <f t="shared" si="26"/>
      </c>
      <c r="AF66" s="21">
        <f t="shared" si="27"/>
      </c>
      <c r="AG66" s="21">
        <f t="shared" si="28"/>
      </c>
      <c r="AH66" s="21">
        <f t="shared" si="29"/>
      </c>
      <c r="AI66" s="21">
        <f t="shared" si="30"/>
      </c>
      <c r="AJ66" s="21">
        <f t="shared" si="31"/>
      </c>
      <c r="AK66" s="94" t="n"/>
      <c r="AL66" s="96">
        <f t="shared" si="35"/>
      </c>
      <c r="AN66" s="2">
        <f>IF(61&gt;$BD$1000,0,IFERROR(MATCH(61,$BD$1:$BD$1000,0),0))</f>
        <v>0</v>
      </c>
      <c r="AO66" s="2">
        <f t="shared" si="36"/>
        <v>0</v>
      </c>
      <c r="AP66" s="2">
        <f t="shared" si="37"/>
      </c>
      <c r="AQ66" s="2">
        <f t="shared" si="38"/>
      </c>
      <c r="AR66" s="2">
        <f t="shared" si="39"/>
      </c>
      <c r="AS66" s="2">
        <f t="shared" si="40"/>
      </c>
      <c r="AT66" s="2">
        <f t="shared" si="41"/>
        <v>0</v>
      </c>
      <c r="AU66" s="2">
        <f t="shared" si="42"/>
        <v>0</v>
      </c>
      <c r="AV66" s="2">
        <f t="shared" si="43"/>
        <v>0</v>
      </c>
      <c r="AW66" s="2">
        <f t="shared" si="44"/>
        <v>0</v>
      </c>
      <c r="AX66" s="2">
        <f t="shared" si="45"/>
        <v>0</v>
      </c>
      <c r="AY66" s="2">
        <f t="shared" si="46"/>
        <v>0</v>
      </c>
      <c r="AZ66" s="2">
        <f t="shared" si="47"/>
        <v>0</v>
      </c>
      <c r="BA66" s="2">
        <f t="shared" si="48"/>
        <v>0</v>
      </c>
      <c r="BD66" s="2">
        <f>BD50+SUM(CB51:CB66)</f>
        <v>1</v>
      </c>
      <c r="CB66" s="2">
        <f>IF(考勤工资!$Y$70=$E$3,1,0)</f>
        <v>0</v>
      </c>
    </row>
    <row r="67">
      <c r="A67" s="94">
        <f>IF($AN67=0,"",62)</f>
      </c>
      <c r="B67" s="94">
        <f t="shared" si="32"/>
      </c>
      <c r="C67" s="96">
        <f t="shared" si="33"/>
      </c>
      <c r="D67" s="94">
        <f t="shared" si="0"/>
      </c>
      <c r="E67" s="117">
        <f t="shared" si="1"/>
      </c>
      <c r="F67" s="96">
        <f t="shared" si="2"/>
      </c>
      <c r="G67" s="118">
        <f t="shared" si="3"/>
      </c>
      <c r="H67" s="118">
        <f t="shared" si="4"/>
      </c>
      <c r="I67" s="118">
        <f t="shared" si="5"/>
      </c>
      <c r="J67" s="118">
        <f t="shared" si="6"/>
      </c>
      <c r="K67" s="118">
        <f t="shared" si="7"/>
      </c>
      <c r="L67" s="118">
        <f t="shared" si="8"/>
      </c>
      <c r="M67" s="118">
        <f t="shared" si="9"/>
      </c>
      <c r="N67" s="118">
        <f t="shared" si="10"/>
      </c>
      <c r="O67" s="118">
        <f t="shared" si="11"/>
      </c>
      <c r="P67" s="119">
        <f t="shared" si="34"/>
      </c>
      <c r="Q67" s="21">
        <f t="shared" si="12"/>
      </c>
      <c r="R67" s="21">
        <f t="shared" si="13"/>
      </c>
      <c r="S67" s="21">
        <f t="shared" si="14"/>
      </c>
      <c r="T67" s="21">
        <f t="shared" si="15"/>
      </c>
      <c r="U67" s="21">
        <f t="shared" si="16"/>
      </c>
      <c r="V67" s="21">
        <f t="shared" si="17"/>
      </c>
      <c r="W67" s="21">
        <f t="shared" si="18"/>
      </c>
      <c r="X67" s="21">
        <f t="shared" si="19"/>
      </c>
      <c r="Y67" s="21">
        <f t="shared" si="20"/>
      </c>
      <c r="Z67" s="21">
        <f t="shared" si="21"/>
      </c>
      <c r="AA67" s="21">
        <f t="shared" si="22"/>
      </c>
      <c r="AB67" s="21">
        <f t="shared" si="23"/>
      </c>
      <c r="AC67" s="21">
        <f t="shared" si="24"/>
      </c>
      <c r="AD67" s="21">
        <f t="shared" si="25"/>
      </c>
      <c r="AE67" s="21">
        <f t="shared" si="26"/>
      </c>
      <c r="AF67" s="21">
        <f t="shared" si="27"/>
      </c>
      <c r="AG67" s="21">
        <f t="shared" si="28"/>
      </c>
      <c r="AH67" s="21">
        <f t="shared" si="29"/>
      </c>
      <c r="AI67" s="21">
        <f t="shared" si="30"/>
      </c>
      <c r="AJ67" s="21">
        <f t="shared" si="31"/>
      </c>
      <c r="AK67" s="94" t="n"/>
      <c r="AL67" s="96">
        <f t="shared" si="35"/>
      </c>
      <c r="AN67" s="2">
        <f>IF(62&gt;$BD$1000,0,IFERROR(MATCH(62,$BD$1:$BD$1000,0),0))</f>
        <v>0</v>
      </c>
      <c r="AO67" s="2">
        <f t="shared" si="36"/>
        <v>0</v>
      </c>
      <c r="AP67" s="2">
        <f t="shared" si="37"/>
      </c>
      <c r="AQ67" s="2">
        <f t="shared" si="38"/>
      </c>
      <c r="AR67" s="2">
        <f t="shared" si="39"/>
      </c>
      <c r="AS67" s="2">
        <f t="shared" si="40"/>
      </c>
      <c r="AT67" s="2">
        <f t="shared" si="41"/>
        <v>0</v>
      </c>
      <c r="AU67" s="2">
        <f t="shared" si="42"/>
        <v>0</v>
      </c>
      <c r="AV67" s="2">
        <f t="shared" si="43"/>
        <v>0</v>
      </c>
      <c r="AW67" s="2">
        <f t="shared" si="44"/>
        <v>0</v>
      </c>
      <c r="AX67" s="2">
        <f t="shared" si="45"/>
        <v>0</v>
      </c>
      <c r="AY67" s="2">
        <f t="shared" si="46"/>
        <v>0</v>
      </c>
      <c r="AZ67" s="2">
        <f t="shared" si="47"/>
        <v>0</v>
      </c>
      <c r="BA67" s="2">
        <f t="shared" si="48"/>
        <v>0</v>
      </c>
      <c r="BD67" s="2">
        <f>BD50+SUM(CB51:CB67)</f>
        <v>1</v>
      </c>
      <c r="CB67" s="2">
        <f>IF(考勤工资!$Y$71=$E$3,1,0)</f>
        <v>0</v>
      </c>
    </row>
    <row r="68">
      <c r="A68" s="94">
        <f>IF($AN68=0,"",63)</f>
      </c>
      <c r="B68" s="94">
        <f t="shared" si="32"/>
      </c>
      <c r="C68" s="96">
        <f t="shared" si="33"/>
      </c>
      <c r="D68" s="94">
        <f t="shared" si="0"/>
      </c>
      <c r="E68" s="117">
        <f t="shared" si="1"/>
      </c>
      <c r="F68" s="96">
        <f t="shared" si="2"/>
      </c>
      <c r="G68" s="118">
        <f t="shared" si="3"/>
      </c>
      <c r="H68" s="118">
        <f t="shared" si="4"/>
      </c>
      <c r="I68" s="118">
        <f t="shared" si="5"/>
      </c>
      <c r="J68" s="118">
        <f t="shared" si="6"/>
      </c>
      <c r="K68" s="118">
        <f t="shared" si="7"/>
      </c>
      <c r="L68" s="118">
        <f t="shared" si="8"/>
      </c>
      <c r="M68" s="118">
        <f t="shared" si="9"/>
      </c>
      <c r="N68" s="118">
        <f t="shared" si="10"/>
      </c>
      <c r="O68" s="118">
        <f t="shared" si="11"/>
      </c>
      <c r="P68" s="119">
        <f t="shared" si="34"/>
      </c>
      <c r="Q68" s="21">
        <f t="shared" si="12"/>
      </c>
      <c r="R68" s="21">
        <f t="shared" si="13"/>
      </c>
      <c r="S68" s="21">
        <f t="shared" si="14"/>
      </c>
      <c r="T68" s="21">
        <f t="shared" si="15"/>
      </c>
      <c r="U68" s="21">
        <f t="shared" si="16"/>
      </c>
      <c r="V68" s="21">
        <f t="shared" si="17"/>
      </c>
      <c r="W68" s="21">
        <f t="shared" si="18"/>
      </c>
      <c r="X68" s="21">
        <f t="shared" si="19"/>
      </c>
      <c r="Y68" s="21">
        <f t="shared" si="20"/>
      </c>
      <c r="Z68" s="21">
        <f t="shared" si="21"/>
      </c>
      <c r="AA68" s="21">
        <f t="shared" si="22"/>
      </c>
      <c r="AB68" s="21">
        <f t="shared" si="23"/>
      </c>
      <c r="AC68" s="21">
        <f t="shared" si="24"/>
      </c>
      <c r="AD68" s="21">
        <f t="shared" si="25"/>
      </c>
      <c r="AE68" s="21">
        <f t="shared" si="26"/>
      </c>
      <c r="AF68" s="21">
        <f t="shared" si="27"/>
      </c>
      <c r="AG68" s="21">
        <f t="shared" si="28"/>
      </c>
      <c r="AH68" s="21">
        <f t="shared" si="29"/>
      </c>
      <c r="AI68" s="21">
        <f t="shared" si="30"/>
      </c>
      <c r="AJ68" s="21">
        <f t="shared" si="31"/>
      </c>
      <c r="AK68" s="94" t="n"/>
      <c r="AL68" s="96">
        <f t="shared" si="35"/>
      </c>
      <c r="AN68" s="2">
        <f>IF(63&gt;$BD$1000,0,IFERROR(MATCH(63,$BD$1:$BD$1000,0),0))</f>
        <v>0</v>
      </c>
      <c r="AO68" s="2">
        <f t="shared" si="36"/>
        <v>0</v>
      </c>
      <c r="AP68" s="2">
        <f t="shared" si="37"/>
      </c>
      <c r="AQ68" s="2">
        <f t="shared" si="38"/>
      </c>
      <c r="AR68" s="2">
        <f t="shared" si="39"/>
      </c>
      <c r="AS68" s="2">
        <f t="shared" si="40"/>
      </c>
      <c r="AT68" s="2">
        <f t="shared" si="41"/>
        <v>0</v>
      </c>
      <c r="AU68" s="2">
        <f t="shared" si="42"/>
        <v>0</v>
      </c>
      <c r="AV68" s="2">
        <f t="shared" si="43"/>
        <v>0</v>
      </c>
      <c r="AW68" s="2">
        <f t="shared" si="44"/>
        <v>0</v>
      </c>
      <c r="AX68" s="2">
        <f t="shared" si="45"/>
        <v>0</v>
      </c>
      <c r="AY68" s="2">
        <f t="shared" si="46"/>
        <v>0</v>
      </c>
      <c r="AZ68" s="2">
        <f t="shared" si="47"/>
        <v>0</v>
      </c>
      <c r="BA68" s="2">
        <f t="shared" si="48"/>
        <v>0</v>
      </c>
      <c r="BD68" s="2">
        <f>BD50+SUM(CB51:CB68)</f>
        <v>1</v>
      </c>
      <c r="CB68" s="2">
        <f>IF(考勤工资!$Y$72=$E$3,1,0)</f>
        <v>0</v>
      </c>
    </row>
    <row r="69">
      <c r="A69" s="94">
        <f>IF($AN69=0,"",64)</f>
      </c>
      <c r="B69" s="94">
        <f t="shared" si="32"/>
      </c>
      <c r="C69" s="96">
        <f t="shared" si="33"/>
      </c>
      <c r="D69" s="94">
        <f t="shared" si="0"/>
      </c>
      <c r="E69" s="117">
        <f t="shared" si="1"/>
      </c>
      <c r="F69" s="96">
        <f t="shared" si="2"/>
      </c>
      <c r="G69" s="118">
        <f t="shared" si="3"/>
      </c>
      <c r="H69" s="118">
        <f t="shared" si="4"/>
      </c>
      <c r="I69" s="118">
        <f t="shared" si="5"/>
      </c>
      <c r="J69" s="118">
        <f t="shared" si="6"/>
      </c>
      <c r="K69" s="118">
        <f t="shared" si="7"/>
      </c>
      <c r="L69" s="118">
        <f t="shared" si="8"/>
      </c>
      <c r="M69" s="118">
        <f t="shared" si="9"/>
      </c>
      <c r="N69" s="118">
        <f t="shared" si="10"/>
      </c>
      <c r="O69" s="118">
        <f t="shared" si="11"/>
      </c>
      <c r="P69" s="119">
        <f t="shared" si="34"/>
      </c>
      <c r="Q69" s="21">
        <f t="shared" si="12"/>
      </c>
      <c r="R69" s="21">
        <f t="shared" si="13"/>
      </c>
      <c r="S69" s="21">
        <f t="shared" si="14"/>
      </c>
      <c r="T69" s="21">
        <f t="shared" si="15"/>
      </c>
      <c r="U69" s="21">
        <f t="shared" si="16"/>
      </c>
      <c r="V69" s="21">
        <f t="shared" si="17"/>
      </c>
      <c r="W69" s="21">
        <f t="shared" si="18"/>
      </c>
      <c r="X69" s="21">
        <f t="shared" si="19"/>
      </c>
      <c r="Y69" s="21">
        <f t="shared" si="20"/>
      </c>
      <c r="Z69" s="21">
        <f t="shared" si="21"/>
      </c>
      <c r="AA69" s="21">
        <f t="shared" si="22"/>
      </c>
      <c r="AB69" s="21">
        <f t="shared" si="23"/>
      </c>
      <c r="AC69" s="21">
        <f t="shared" si="24"/>
      </c>
      <c r="AD69" s="21">
        <f t="shared" si="25"/>
      </c>
      <c r="AE69" s="21">
        <f t="shared" si="26"/>
      </c>
      <c r="AF69" s="21">
        <f t="shared" si="27"/>
      </c>
      <c r="AG69" s="21">
        <f t="shared" si="28"/>
      </c>
      <c r="AH69" s="21">
        <f t="shared" si="29"/>
      </c>
      <c r="AI69" s="21">
        <f t="shared" si="30"/>
      </c>
      <c r="AJ69" s="21">
        <f t="shared" si="31"/>
      </c>
      <c r="AK69" s="94" t="n"/>
      <c r="AL69" s="96">
        <f t="shared" si="35"/>
      </c>
      <c r="AN69" s="2">
        <f>IF(64&gt;$BD$1000,0,IFERROR(MATCH(64,$BD$1:$BD$1000,0),0))</f>
        <v>0</v>
      </c>
      <c r="AO69" s="2">
        <f t="shared" si="36"/>
        <v>0</v>
      </c>
      <c r="AP69" s="2">
        <f t="shared" si="37"/>
      </c>
      <c r="AQ69" s="2">
        <f t="shared" si="38"/>
      </c>
      <c r="AR69" s="2">
        <f t="shared" si="39"/>
      </c>
      <c r="AS69" s="2">
        <f t="shared" si="40"/>
      </c>
      <c r="AT69" s="2">
        <f t="shared" si="41"/>
        <v>0</v>
      </c>
      <c r="AU69" s="2">
        <f t="shared" si="42"/>
        <v>0</v>
      </c>
      <c r="AV69" s="2">
        <f t="shared" si="43"/>
        <v>0</v>
      </c>
      <c r="AW69" s="2">
        <f t="shared" si="44"/>
        <v>0</v>
      </c>
      <c r="AX69" s="2">
        <f t="shared" si="45"/>
        <v>0</v>
      </c>
      <c r="AY69" s="2">
        <f t="shared" si="46"/>
        <v>0</v>
      </c>
      <c r="AZ69" s="2">
        <f t="shared" si="47"/>
        <v>0</v>
      </c>
      <c r="BA69" s="2">
        <f t="shared" si="48"/>
        <v>0</v>
      </c>
      <c r="BD69" s="2">
        <f>BD50+SUM(CB51:CB69)</f>
        <v>1</v>
      </c>
      <c r="CB69" s="2">
        <f>IF(考勤工资!$Y$73=$E$3,1,0)</f>
        <v>0</v>
      </c>
    </row>
    <row r="70">
      <c r="A70" s="94">
        <f>IF($AN70=0,"",65)</f>
      </c>
      <c r="B70" s="94">
        <f t="shared" si="32"/>
      </c>
      <c r="C70" s="96">
        <f t="shared" si="33"/>
      </c>
      <c r="D70" s="94">
        <f t="shared" si="0"/>
      </c>
      <c r="E70" s="117">
        <f t="shared" si="1"/>
      </c>
      <c r="F70" s="96">
        <f t="shared" si="2"/>
      </c>
      <c r="G70" s="118">
        <f t="shared" si="3"/>
      </c>
      <c r="H70" s="118">
        <f t="shared" si="4"/>
      </c>
      <c r="I70" s="118">
        <f t="shared" si="5"/>
      </c>
      <c r="J70" s="118">
        <f t="shared" si="6"/>
      </c>
      <c r="K70" s="118">
        <f t="shared" si="7"/>
      </c>
      <c r="L70" s="118">
        <f t="shared" si="8"/>
      </c>
      <c r="M70" s="118">
        <f t="shared" si="9"/>
      </c>
      <c r="N70" s="118">
        <f t="shared" si="10"/>
      </c>
      <c r="O70" s="118">
        <f t="shared" si="11"/>
      </c>
      <c r="P70" s="119">
        <f t="shared" si="34"/>
      </c>
      <c r="Q70" s="21">
        <f t="shared" si="12"/>
      </c>
      <c r="R70" s="21">
        <f t="shared" si="13"/>
      </c>
      <c r="S70" s="21">
        <f t="shared" si="14"/>
      </c>
      <c r="T70" s="21">
        <f t="shared" si="15"/>
      </c>
      <c r="U70" s="21">
        <f t="shared" si="16"/>
      </c>
      <c r="V70" s="21">
        <f t="shared" si="17"/>
      </c>
      <c r="W70" s="21">
        <f t="shared" si="18"/>
      </c>
      <c r="X70" s="21">
        <f t="shared" si="19"/>
      </c>
      <c r="Y70" s="21">
        <f t="shared" si="20"/>
      </c>
      <c r="Z70" s="21">
        <f t="shared" si="21"/>
      </c>
      <c r="AA70" s="21">
        <f t="shared" si="22"/>
      </c>
      <c r="AB70" s="21">
        <f t="shared" si="23"/>
      </c>
      <c r="AC70" s="21">
        <f t="shared" si="24"/>
      </c>
      <c r="AD70" s="21">
        <f t="shared" si="25"/>
      </c>
      <c r="AE70" s="21">
        <f t="shared" si="26"/>
      </c>
      <c r="AF70" s="21">
        <f t="shared" si="27"/>
      </c>
      <c r="AG70" s="21">
        <f t="shared" si="28"/>
      </c>
      <c r="AH70" s="21">
        <f t="shared" si="29"/>
      </c>
      <c r="AI70" s="21">
        <f t="shared" si="30"/>
      </c>
      <c r="AJ70" s="21">
        <f t="shared" si="31"/>
      </c>
      <c r="AK70" s="94" t="n"/>
      <c r="AL70" s="96">
        <f t="shared" si="35"/>
      </c>
      <c r="AN70" s="2">
        <f>IF(65&gt;$BD$1000,0,IFERROR(MATCH(65,$BD$1:$BD$1000,0),0))</f>
        <v>0</v>
      </c>
      <c r="AO70" s="2">
        <f t="shared" si="36"/>
        <v>0</v>
      </c>
      <c r="AP70" s="2">
        <f t="shared" si="37"/>
      </c>
      <c r="AQ70" s="2">
        <f t="shared" si="38"/>
      </c>
      <c r="AR70" s="2">
        <f t="shared" si="39"/>
      </c>
      <c r="AS70" s="2">
        <f t="shared" si="40"/>
      </c>
      <c r="AT70" s="2">
        <f t="shared" si="41"/>
        <v>0</v>
      </c>
      <c r="AU70" s="2">
        <f t="shared" si="42"/>
        <v>0</v>
      </c>
      <c r="AV70" s="2">
        <f t="shared" si="43"/>
        <v>0</v>
      </c>
      <c r="AW70" s="2">
        <f t="shared" si="44"/>
        <v>0</v>
      </c>
      <c r="AX70" s="2">
        <f t="shared" si="45"/>
        <v>0</v>
      </c>
      <c r="AY70" s="2">
        <f t="shared" si="46"/>
        <v>0</v>
      </c>
      <c r="AZ70" s="2">
        <f t="shared" si="47"/>
        <v>0</v>
      </c>
      <c r="BA70" s="2">
        <f t="shared" si="48"/>
        <v>0</v>
      </c>
      <c r="BD70" s="2">
        <f>BD50+SUM(CB51:CB70)</f>
        <v>1</v>
      </c>
      <c r="CB70" s="2">
        <f>IF(考勤工资!$Y$74=$E$3,1,0)</f>
        <v>0</v>
      </c>
    </row>
    <row r="71">
      <c r="A71" s="94">
        <f>IF($AN71=0,"",66)</f>
      </c>
      <c r="B71" s="94">
        <f t="shared" si="32"/>
      </c>
      <c r="C71" s="96">
        <f t="shared" si="33"/>
      </c>
      <c r="D71" s="94">
        <f t="shared" si="0"/>
      </c>
      <c r="E71" s="117">
        <f t="shared" si="1"/>
      </c>
      <c r="F71" s="96">
        <f t="shared" si="2"/>
      </c>
      <c r="G71" s="118">
        <f t="shared" si="3"/>
      </c>
      <c r="H71" s="118">
        <f t="shared" si="4"/>
      </c>
      <c r="I71" s="118">
        <f t="shared" si="5"/>
      </c>
      <c r="J71" s="118">
        <f t="shared" si="6"/>
      </c>
      <c r="K71" s="118">
        <f t="shared" si="7"/>
      </c>
      <c r="L71" s="118">
        <f t="shared" si="8"/>
      </c>
      <c r="M71" s="118">
        <f t="shared" si="9"/>
      </c>
      <c r="N71" s="118">
        <f t="shared" si="10"/>
      </c>
      <c r="O71" s="118">
        <f t="shared" si="11"/>
      </c>
      <c r="P71" s="119">
        <f t="shared" si="34"/>
      </c>
      <c r="Q71" s="21">
        <f t="shared" si="12"/>
      </c>
      <c r="R71" s="21">
        <f t="shared" si="13"/>
      </c>
      <c r="S71" s="21">
        <f t="shared" si="14"/>
      </c>
      <c r="T71" s="21">
        <f t="shared" si="15"/>
      </c>
      <c r="U71" s="21">
        <f t="shared" si="16"/>
      </c>
      <c r="V71" s="21">
        <f t="shared" si="17"/>
      </c>
      <c r="W71" s="21">
        <f t="shared" si="18"/>
      </c>
      <c r="X71" s="21">
        <f t="shared" si="19"/>
      </c>
      <c r="Y71" s="21">
        <f t="shared" si="20"/>
      </c>
      <c r="Z71" s="21">
        <f t="shared" si="21"/>
      </c>
      <c r="AA71" s="21">
        <f t="shared" si="22"/>
      </c>
      <c r="AB71" s="21">
        <f t="shared" si="23"/>
      </c>
      <c r="AC71" s="21">
        <f t="shared" si="24"/>
      </c>
      <c r="AD71" s="21">
        <f t="shared" si="25"/>
      </c>
      <c r="AE71" s="21">
        <f t="shared" si="26"/>
      </c>
      <c r="AF71" s="21">
        <f t="shared" si="27"/>
      </c>
      <c r="AG71" s="21">
        <f t="shared" si="28"/>
      </c>
      <c r="AH71" s="21">
        <f t="shared" si="29"/>
      </c>
      <c r="AI71" s="21">
        <f t="shared" si="30"/>
      </c>
      <c r="AJ71" s="21">
        <f t="shared" si="31"/>
      </c>
      <c r="AK71" s="94" t="n"/>
      <c r="AL71" s="96">
        <f t="shared" si="35"/>
      </c>
      <c r="AN71" s="2">
        <f>IF(66&gt;$BD$1000,0,IFERROR(MATCH(66,$BD$1:$BD$1000,0),0))</f>
        <v>0</v>
      </c>
      <c r="AO71" s="2">
        <f t="shared" si="36"/>
        <v>0</v>
      </c>
      <c r="AP71" s="2">
        <f t="shared" si="37"/>
      </c>
      <c r="AQ71" s="2">
        <f t="shared" si="38"/>
      </c>
      <c r="AR71" s="2">
        <f t="shared" si="39"/>
      </c>
      <c r="AS71" s="2">
        <f t="shared" si="40"/>
      </c>
      <c r="AT71" s="2">
        <f t="shared" si="41"/>
        <v>0</v>
      </c>
      <c r="AU71" s="2">
        <f t="shared" si="42"/>
        <v>0</v>
      </c>
      <c r="AV71" s="2">
        <f t="shared" si="43"/>
        <v>0</v>
      </c>
      <c r="AW71" s="2">
        <f t="shared" si="44"/>
        <v>0</v>
      </c>
      <c r="AX71" s="2">
        <f t="shared" si="45"/>
        <v>0</v>
      </c>
      <c r="AY71" s="2">
        <f t="shared" si="46"/>
        <v>0</v>
      </c>
      <c r="AZ71" s="2">
        <f t="shared" si="47"/>
        <v>0</v>
      </c>
      <c r="BA71" s="2">
        <f t="shared" si="48"/>
        <v>0</v>
      </c>
      <c r="BD71" s="2">
        <f>BD50+SUM(CB51:CB71)</f>
        <v>1</v>
      </c>
      <c r="CB71" s="2">
        <f>IF(考勤工资!$Y$75=$E$3,1,0)</f>
        <v>0</v>
      </c>
    </row>
    <row r="72">
      <c r="A72" s="94">
        <f>IF($AN72=0,"",67)</f>
      </c>
      <c r="B72" s="94">
        <f t="shared" si="32"/>
      </c>
      <c r="C72" s="96">
        <f t="shared" si="33"/>
      </c>
      <c r="D72" s="94">
        <f t="shared" si="0"/>
      </c>
      <c r="E72" s="117">
        <f t="shared" si="1"/>
      </c>
      <c r="F72" s="96">
        <f t="shared" si="2"/>
      </c>
      <c r="G72" s="118">
        <f t="shared" si="3"/>
      </c>
      <c r="H72" s="118">
        <f t="shared" si="4"/>
      </c>
      <c r="I72" s="118">
        <f t="shared" si="5"/>
      </c>
      <c r="J72" s="118">
        <f t="shared" si="6"/>
      </c>
      <c r="K72" s="118">
        <f t="shared" si="7"/>
      </c>
      <c r="L72" s="118">
        <f t="shared" si="8"/>
      </c>
      <c r="M72" s="118">
        <f t="shared" si="9"/>
      </c>
      <c r="N72" s="118">
        <f t="shared" si="10"/>
      </c>
      <c r="O72" s="118">
        <f t="shared" si="11"/>
      </c>
      <c r="P72" s="119">
        <f t="shared" si="34"/>
      </c>
      <c r="Q72" s="21">
        <f t="shared" si="12"/>
      </c>
      <c r="R72" s="21">
        <f t="shared" si="13"/>
      </c>
      <c r="S72" s="21">
        <f t="shared" si="14"/>
      </c>
      <c r="T72" s="21">
        <f t="shared" si="15"/>
      </c>
      <c r="U72" s="21">
        <f t="shared" si="16"/>
      </c>
      <c r="V72" s="21">
        <f t="shared" si="17"/>
      </c>
      <c r="W72" s="21">
        <f t="shared" si="18"/>
      </c>
      <c r="X72" s="21">
        <f t="shared" si="19"/>
      </c>
      <c r="Y72" s="21">
        <f t="shared" si="20"/>
      </c>
      <c r="Z72" s="21">
        <f t="shared" si="21"/>
      </c>
      <c r="AA72" s="21">
        <f t="shared" si="22"/>
      </c>
      <c r="AB72" s="21">
        <f t="shared" si="23"/>
      </c>
      <c r="AC72" s="21">
        <f t="shared" si="24"/>
      </c>
      <c r="AD72" s="21">
        <f t="shared" si="25"/>
      </c>
      <c r="AE72" s="21">
        <f t="shared" si="26"/>
      </c>
      <c r="AF72" s="21">
        <f t="shared" si="27"/>
      </c>
      <c r="AG72" s="21">
        <f t="shared" si="28"/>
      </c>
      <c r="AH72" s="21">
        <f t="shared" si="29"/>
      </c>
      <c r="AI72" s="21">
        <f t="shared" si="30"/>
      </c>
      <c r="AJ72" s="21">
        <f t="shared" si="31"/>
      </c>
      <c r="AK72" s="94" t="n"/>
      <c r="AL72" s="96">
        <f t="shared" si="35"/>
      </c>
      <c r="AN72" s="2">
        <f>IF(67&gt;$BD$1000,0,IFERROR(MATCH(67,$BD$1:$BD$1000,0),0))</f>
        <v>0</v>
      </c>
      <c r="AO72" s="2">
        <f t="shared" si="36"/>
        <v>0</v>
      </c>
      <c r="AP72" s="2">
        <f t="shared" si="37"/>
      </c>
      <c r="AQ72" s="2">
        <f t="shared" si="38"/>
      </c>
      <c r="AR72" s="2">
        <f t="shared" si="39"/>
      </c>
      <c r="AS72" s="2">
        <f t="shared" si="40"/>
      </c>
      <c r="AT72" s="2">
        <f t="shared" si="41"/>
        <v>0</v>
      </c>
      <c r="AU72" s="2">
        <f t="shared" si="42"/>
        <v>0</v>
      </c>
      <c r="AV72" s="2">
        <f t="shared" si="43"/>
        <v>0</v>
      </c>
      <c r="AW72" s="2">
        <f t="shared" si="44"/>
        <v>0</v>
      </c>
      <c r="AX72" s="2">
        <f t="shared" si="45"/>
        <v>0</v>
      </c>
      <c r="AY72" s="2">
        <f t="shared" si="46"/>
        <v>0</v>
      </c>
      <c r="AZ72" s="2">
        <f t="shared" si="47"/>
        <v>0</v>
      </c>
      <c r="BA72" s="2">
        <f t="shared" si="48"/>
        <v>0</v>
      </c>
      <c r="BD72" s="2">
        <f>BD50+SUM(CB51:CB72)</f>
        <v>1</v>
      </c>
      <c r="CB72" s="2">
        <f>IF(考勤工资!$Y$76=$E$3,1,0)</f>
        <v>0</v>
      </c>
    </row>
    <row r="73">
      <c r="A73" s="94">
        <f>IF($AN73=0,"",68)</f>
      </c>
      <c r="B73" s="94">
        <f t="shared" si="32"/>
      </c>
      <c r="C73" s="96">
        <f t="shared" si="33"/>
      </c>
      <c r="D73" s="94">
        <f t="shared" si="0"/>
      </c>
      <c r="E73" s="117">
        <f t="shared" si="1"/>
      </c>
      <c r="F73" s="96">
        <f t="shared" si="2"/>
      </c>
      <c r="G73" s="118">
        <f t="shared" si="3"/>
      </c>
      <c r="H73" s="118">
        <f t="shared" si="4"/>
      </c>
      <c r="I73" s="118">
        <f t="shared" si="5"/>
      </c>
      <c r="J73" s="118">
        <f t="shared" si="6"/>
      </c>
      <c r="K73" s="118">
        <f t="shared" si="7"/>
      </c>
      <c r="L73" s="118">
        <f t="shared" si="8"/>
      </c>
      <c r="M73" s="118">
        <f t="shared" si="9"/>
      </c>
      <c r="N73" s="118">
        <f t="shared" si="10"/>
      </c>
      <c r="O73" s="118">
        <f t="shared" si="11"/>
      </c>
      <c r="P73" s="119">
        <f t="shared" si="34"/>
      </c>
      <c r="Q73" s="21">
        <f t="shared" si="12"/>
      </c>
      <c r="R73" s="21">
        <f t="shared" si="13"/>
      </c>
      <c r="S73" s="21">
        <f t="shared" si="14"/>
      </c>
      <c r="T73" s="21">
        <f t="shared" si="15"/>
      </c>
      <c r="U73" s="21">
        <f t="shared" si="16"/>
      </c>
      <c r="V73" s="21">
        <f t="shared" si="17"/>
      </c>
      <c r="W73" s="21">
        <f t="shared" si="18"/>
      </c>
      <c r="X73" s="21">
        <f t="shared" si="19"/>
      </c>
      <c r="Y73" s="21">
        <f t="shared" si="20"/>
      </c>
      <c r="Z73" s="21">
        <f t="shared" si="21"/>
      </c>
      <c r="AA73" s="21">
        <f t="shared" si="22"/>
      </c>
      <c r="AB73" s="21">
        <f t="shared" si="23"/>
      </c>
      <c r="AC73" s="21">
        <f t="shared" si="24"/>
      </c>
      <c r="AD73" s="21">
        <f t="shared" si="25"/>
      </c>
      <c r="AE73" s="21">
        <f t="shared" si="26"/>
      </c>
      <c r="AF73" s="21">
        <f t="shared" si="27"/>
      </c>
      <c r="AG73" s="21">
        <f t="shared" si="28"/>
      </c>
      <c r="AH73" s="21">
        <f t="shared" si="29"/>
      </c>
      <c r="AI73" s="21">
        <f t="shared" si="30"/>
      </c>
      <c r="AJ73" s="21">
        <f t="shared" si="31"/>
      </c>
      <c r="AK73" s="94" t="n"/>
      <c r="AL73" s="96">
        <f t="shared" si="35"/>
      </c>
      <c r="AN73" s="2">
        <f>IF(68&gt;$BD$1000,0,IFERROR(MATCH(68,$BD$1:$BD$1000,0),0))</f>
        <v>0</v>
      </c>
      <c r="AO73" s="2">
        <f t="shared" si="36"/>
        <v>0</v>
      </c>
      <c r="AP73" s="2">
        <f t="shared" si="37"/>
      </c>
      <c r="AQ73" s="2">
        <f t="shared" si="38"/>
      </c>
      <c r="AR73" s="2">
        <f t="shared" si="39"/>
      </c>
      <c r="AS73" s="2">
        <f t="shared" si="40"/>
      </c>
      <c r="AT73" s="2">
        <f t="shared" si="41"/>
        <v>0</v>
      </c>
      <c r="AU73" s="2">
        <f t="shared" si="42"/>
        <v>0</v>
      </c>
      <c r="AV73" s="2">
        <f t="shared" si="43"/>
        <v>0</v>
      </c>
      <c r="AW73" s="2">
        <f t="shared" si="44"/>
        <v>0</v>
      </c>
      <c r="AX73" s="2">
        <f t="shared" si="45"/>
        <v>0</v>
      </c>
      <c r="AY73" s="2">
        <f t="shared" si="46"/>
        <v>0</v>
      </c>
      <c r="AZ73" s="2">
        <f t="shared" si="47"/>
        <v>0</v>
      </c>
      <c r="BA73" s="2">
        <f t="shared" si="48"/>
        <v>0</v>
      </c>
      <c r="BD73" s="2">
        <f>BD50+SUM(CB51:CB73)</f>
        <v>1</v>
      </c>
      <c r="CB73" s="2">
        <f>IF(考勤工资!$Y$77=$E$3,1,0)</f>
        <v>0</v>
      </c>
    </row>
    <row r="74">
      <c r="A74" s="94">
        <f>IF($AN74=0,"",69)</f>
      </c>
      <c r="B74" s="94">
        <f t="shared" si="32"/>
      </c>
      <c r="C74" s="96">
        <f t="shared" si="33"/>
      </c>
      <c r="D74" s="94">
        <f t="shared" si="0"/>
      </c>
      <c r="E74" s="117">
        <f t="shared" si="1"/>
      </c>
      <c r="F74" s="96">
        <f t="shared" si="2"/>
      </c>
      <c r="G74" s="118">
        <f t="shared" si="3"/>
      </c>
      <c r="H74" s="118">
        <f t="shared" si="4"/>
      </c>
      <c r="I74" s="118">
        <f t="shared" si="5"/>
      </c>
      <c r="J74" s="118">
        <f t="shared" si="6"/>
      </c>
      <c r="K74" s="118">
        <f t="shared" si="7"/>
      </c>
      <c r="L74" s="118">
        <f t="shared" si="8"/>
      </c>
      <c r="M74" s="118">
        <f t="shared" si="9"/>
      </c>
      <c r="N74" s="118">
        <f t="shared" si="10"/>
      </c>
      <c r="O74" s="118">
        <f t="shared" si="11"/>
      </c>
      <c r="P74" s="119">
        <f t="shared" si="34"/>
      </c>
      <c r="Q74" s="21">
        <f t="shared" si="12"/>
      </c>
      <c r="R74" s="21">
        <f t="shared" si="13"/>
      </c>
      <c r="S74" s="21">
        <f t="shared" si="14"/>
      </c>
      <c r="T74" s="21">
        <f t="shared" si="15"/>
      </c>
      <c r="U74" s="21">
        <f t="shared" si="16"/>
      </c>
      <c r="V74" s="21">
        <f t="shared" si="17"/>
      </c>
      <c r="W74" s="21">
        <f t="shared" si="18"/>
      </c>
      <c r="X74" s="21">
        <f t="shared" si="19"/>
      </c>
      <c r="Y74" s="21">
        <f t="shared" si="20"/>
      </c>
      <c r="Z74" s="21">
        <f t="shared" si="21"/>
      </c>
      <c r="AA74" s="21">
        <f t="shared" si="22"/>
      </c>
      <c r="AB74" s="21">
        <f t="shared" si="23"/>
      </c>
      <c r="AC74" s="21">
        <f t="shared" si="24"/>
      </c>
      <c r="AD74" s="21">
        <f t="shared" si="25"/>
      </c>
      <c r="AE74" s="21">
        <f t="shared" si="26"/>
      </c>
      <c r="AF74" s="21">
        <f t="shared" si="27"/>
      </c>
      <c r="AG74" s="21">
        <f t="shared" si="28"/>
      </c>
      <c r="AH74" s="21">
        <f t="shared" si="29"/>
      </c>
      <c r="AI74" s="21">
        <f t="shared" si="30"/>
      </c>
      <c r="AJ74" s="21">
        <f t="shared" si="31"/>
      </c>
      <c r="AK74" s="94" t="n"/>
      <c r="AL74" s="96">
        <f t="shared" si="35"/>
      </c>
      <c r="AN74" s="2">
        <f>IF(69&gt;$BD$1000,0,IFERROR(MATCH(69,$BD$1:$BD$1000,0),0))</f>
        <v>0</v>
      </c>
      <c r="AO74" s="2">
        <f t="shared" si="36"/>
        <v>0</v>
      </c>
      <c r="AP74" s="2">
        <f t="shared" si="37"/>
      </c>
      <c r="AQ74" s="2">
        <f t="shared" si="38"/>
      </c>
      <c r="AR74" s="2">
        <f t="shared" si="39"/>
      </c>
      <c r="AS74" s="2">
        <f t="shared" si="40"/>
      </c>
      <c r="AT74" s="2">
        <f t="shared" si="41"/>
        <v>0</v>
      </c>
      <c r="AU74" s="2">
        <f t="shared" si="42"/>
        <v>0</v>
      </c>
      <c r="AV74" s="2">
        <f t="shared" si="43"/>
        <v>0</v>
      </c>
      <c r="AW74" s="2">
        <f t="shared" si="44"/>
        <v>0</v>
      </c>
      <c r="AX74" s="2">
        <f t="shared" si="45"/>
        <v>0</v>
      </c>
      <c r="AY74" s="2">
        <f t="shared" si="46"/>
        <v>0</v>
      </c>
      <c r="AZ74" s="2">
        <f t="shared" si="47"/>
        <v>0</v>
      </c>
      <c r="BA74" s="2">
        <f t="shared" si="48"/>
        <v>0</v>
      </c>
      <c r="BD74" s="2">
        <f>BD50+SUM(CB51:CB74)</f>
        <v>1</v>
      </c>
      <c r="CB74" s="2">
        <f>IF(考勤工资!$Y$78=$E$3,1,0)</f>
        <v>0</v>
      </c>
    </row>
    <row r="75">
      <c r="A75" s="94">
        <f>IF($AN75=0,"",70)</f>
      </c>
      <c r="B75" s="94">
        <f t="shared" si="32"/>
      </c>
      <c r="C75" s="96">
        <f t="shared" si="33"/>
      </c>
      <c r="D75" s="94">
        <f t="shared" si="0"/>
      </c>
      <c r="E75" s="117">
        <f t="shared" si="1"/>
      </c>
      <c r="F75" s="96">
        <f t="shared" si="2"/>
      </c>
      <c r="G75" s="118">
        <f t="shared" si="3"/>
      </c>
      <c r="H75" s="118">
        <f t="shared" si="4"/>
      </c>
      <c r="I75" s="118">
        <f t="shared" si="5"/>
      </c>
      <c r="J75" s="118">
        <f t="shared" si="6"/>
      </c>
      <c r="K75" s="118">
        <f t="shared" si="7"/>
      </c>
      <c r="L75" s="118">
        <f t="shared" si="8"/>
      </c>
      <c r="M75" s="118">
        <f t="shared" si="9"/>
      </c>
      <c r="N75" s="118">
        <f t="shared" si="10"/>
      </c>
      <c r="O75" s="118">
        <f t="shared" si="11"/>
      </c>
      <c r="P75" s="119">
        <f t="shared" si="34"/>
      </c>
      <c r="Q75" s="21">
        <f t="shared" si="12"/>
      </c>
      <c r="R75" s="21">
        <f t="shared" si="13"/>
      </c>
      <c r="S75" s="21">
        <f t="shared" si="14"/>
      </c>
      <c r="T75" s="21">
        <f t="shared" si="15"/>
      </c>
      <c r="U75" s="21">
        <f t="shared" si="16"/>
      </c>
      <c r="V75" s="21">
        <f t="shared" si="17"/>
      </c>
      <c r="W75" s="21">
        <f t="shared" si="18"/>
      </c>
      <c r="X75" s="21">
        <f t="shared" si="19"/>
      </c>
      <c r="Y75" s="21">
        <f t="shared" si="20"/>
      </c>
      <c r="Z75" s="21">
        <f t="shared" si="21"/>
      </c>
      <c r="AA75" s="21">
        <f t="shared" si="22"/>
      </c>
      <c r="AB75" s="21">
        <f t="shared" si="23"/>
      </c>
      <c r="AC75" s="21">
        <f t="shared" si="24"/>
      </c>
      <c r="AD75" s="21">
        <f t="shared" si="25"/>
      </c>
      <c r="AE75" s="21">
        <f t="shared" si="26"/>
      </c>
      <c r="AF75" s="21">
        <f t="shared" si="27"/>
      </c>
      <c r="AG75" s="21">
        <f t="shared" si="28"/>
      </c>
      <c r="AH75" s="21">
        <f t="shared" si="29"/>
      </c>
      <c r="AI75" s="21">
        <f t="shared" si="30"/>
      </c>
      <c r="AJ75" s="21">
        <f t="shared" si="31"/>
      </c>
      <c r="AK75" s="94" t="n"/>
      <c r="AL75" s="96">
        <f t="shared" si="35"/>
      </c>
      <c r="AN75" s="2">
        <f>IF(70&gt;$BD$1000,0,IFERROR(MATCH(70,$BD$1:$BD$1000,0),0))</f>
        <v>0</v>
      </c>
      <c r="AO75" s="2">
        <f t="shared" si="36"/>
        <v>0</v>
      </c>
      <c r="AP75" s="2">
        <f t="shared" si="37"/>
      </c>
      <c r="AQ75" s="2">
        <f t="shared" si="38"/>
      </c>
      <c r="AR75" s="2">
        <f t="shared" si="39"/>
      </c>
      <c r="AS75" s="2">
        <f t="shared" si="40"/>
      </c>
      <c r="AT75" s="2">
        <f t="shared" si="41"/>
        <v>0</v>
      </c>
      <c r="AU75" s="2">
        <f t="shared" si="42"/>
        <v>0</v>
      </c>
      <c r="AV75" s="2">
        <f t="shared" si="43"/>
        <v>0</v>
      </c>
      <c r="AW75" s="2">
        <f t="shared" si="44"/>
        <v>0</v>
      </c>
      <c r="AX75" s="2">
        <f t="shared" si="45"/>
        <v>0</v>
      </c>
      <c r="AY75" s="2">
        <f t="shared" si="46"/>
        <v>0</v>
      </c>
      <c r="AZ75" s="2">
        <f t="shared" si="47"/>
        <v>0</v>
      </c>
      <c r="BA75" s="2">
        <f t="shared" si="48"/>
        <v>0</v>
      </c>
      <c r="BD75" s="2">
        <f>BD50+SUM(CB51:CB75)</f>
        <v>1</v>
      </c>
      <c r="CB75" s="2">
        <f>IF(考勤工资!$Y$79=$E$3,1,0)</f>
        <v>0</v>
      </c>
    </row>
    <row r="76">
      <c r="A76" s="94">
        <f>IF($AN76=0,"",71)</f>
      </c>
      <c r="B76" s="94">
        <f t="shared" si="32"/>
      </c>
      <c r="C76" s="96">
        <f t="shared" si="33"/>
      </c>
      <c r="D76" s="94">
        <f t="shared" si="0"/>
      </c>
      <c r="E76" s="117">
        <f t="shared" si="1"/>
      </c>
      <c r="F76" s="96">
        <f t="shared" si="2"/>
      </c>
      <c r="G76" s="118">
        <f t="shared" si="3"/>
      </c>
      <c r="H76" s="118">
        <f t="shared" si="4"/>
      </c>
      <c r="I76" s="118">
        <f t="shared" si="5"/>
      </c>
      <c r="J76" s="118">
        <f t="shared" si="6"/>
      </c>
      <c r="K76" s="118">
        <f t="shared" si="7"/>
      </c>
      <c r="L76" s="118">
        <f t="shared" si="8"/>
      </c>
      <c r="M76" s="118">
        <f t="shared" si="9"/>
      </c>
      <c r="N76" s="118">
        <f t="shared" si="10"/>
      </c>
      <c r="O76" s="118">
        <f t="shared" si="11"/>
      </c>
      <c r="P76" s="119">
        <f t="shared" si="34"/>
      </c>
      <c r="Q76" s="21">
        <f t="shared" si="12"/>
      </c>
      <c r="R76" s="21">
        <f t="shared" si="13"/>
      </c>
      <c r="S76" s="21">
        <f t="shared" si="14"/>
      </c>
      <c r="T76" s="21">
        <f t="shared" si="15"/>
      </c>
      <c r="U76" s="21">
        <f t="shared" si="16"/>
      </c>
      <c r="V76" s="21">
        <f t="shared" si="17"/>
      </c>
      <c r="W76" s="21">
        <f t="shared" si="18"/>
      </c>
      <c r="X76" s="21">
        <f t="shared" si="19"/>
      </c>
      <c r="Y76" s="21">
        <f t="shared" si="20"/>
      </c>
      <c r="Z76" s="21">
        <f t="shared" si="21"/>
      </c>
      <c r="AA76" s="21">
        <f t="shared" si="22"/>
      </c>
      <c r="AB76" s="21">
        <f t="shared" si="23"/>
      </c>
      <c r="AC76" s="21">
        <f t="shared" si="24"/>
      </c>
      <c r="AD76" s="21">
        <f t="shared" si="25"/>
      </c>
      <c r="AE76" s="21">
        <f t="shared" si="26"/>
      </c>
      <c r="AF76" s="21">
        <f t="shared" si="27"/>
      </c>
      <c r="AG76" s="21">
        <f t="shared" si="28"/>
      </c>
      <c r="AH76" s="21">
        <f t="shared" si="29"/>
      </c>
      <c r="AI76" s="21">
        <f t="shared" si="30"/>
      </c>
      <c r="AJ76" s="21">
        <f t="shared" si="31"/>
      </c>
      <c r="AK76" s="94" t="n"/>
      <c r="AL76" s="96">
        <f t="shared" si="35"/>
      </c>
      <c r="AN76" s="2">
        <f>IF(71&gt;$BD$1000,0,IFERROR(MATCH(71,$BD$1:$BD$1000,0),0))</f>
        <v>0</v>
      </c>
      <c r="AO76" s="2">
        <f t="shared" si="36"/>
        <v>0</v>
      </c>
      <c r="AP76" s="2">
        <f t="shared" si="37"/>
      </c>
      <c r="AQ76" s="2">
        <f t="shared" si="38"/>
      </c>
      <c r="AR76" s="2">
        <f t="shared" si="39"/>
      </c>
      <c r="AS76" s="2">
        <f t="shared" si="40"/>
      </c>
      <c r="AT76" s="2">
        <f t="shared" si="41"/>
        <v>0</v>
      </c>
      <c r="AU76" s="2">
        <f t="shared" si="42"/>
        <v>0</v>
      </c>
      <c r="AV76" s="2">
        <f t="shared" si="43"/>
        <v>0</v>
      </c>
      <c r="AW76" s="2">
        <f t="shared" si="44"/>
        <v>0</v>
      </c>
      <c r="AX76" s="2">
        <f t="shared" si="45"/>
        <v>0</v>
      </c>
      <c r="AY76" s="2">
        <f t="shared" si="46"/>
        <v>0</v>
      </c>
      <c r="AZ76" s="2">
        <f t="shared" si="47"/>
        <v>0</v>
      </c>
      <c r="BA76" s="2">
        <f t="shared" si="48"/>
        <v>0</v>
      </c>
      <c r="BD76" s="2">
        <f>BD50+SUM(CB51:CB76)</f>
        <v>1</v>
      </c>
      <c r="CB76" s="2">
        <f>IF(考勤工资!$Y$80=$E$3,1,0)</f>
        <v>0</v>
      </c>
    </row>
    <row r="77">
      <c r="A77" s="94">
        <f>IF($AN77=0,"",72)</f>
      </c>
      <c r="B77" s="94">
        <f t="shared" si="32"/>
      </c>
      <c r="C77" s="96">
        <f t="shared" si="33"/>
      </c>
      <c r="D77" s="94">
        <f t="shared" si="0"/>
      </c>
      <c r="E77" s="117">
        <f t="shared" si="1"/>
      </c>
      <c r="F77" s="96">
        <f t="shared" si="2"/>
      </c>
      <c r="G77" s="118">
        <f t="shared" si="3"/>
      </c>
      <c r="H77" s="118">
        <f t="shared" si="4"/>
      </c>
      <c r="I77" s="118">
        <f t="shared" si="5"/>
      </c>
      <c r="J77" s="118">
        <f t="shared" si="6"/>
      </c>
      <c r="K77" s="118">
        <f t="shared" si="7"/>
      </c>
      <c r="L77" s="118">
        <f t="shared" si="8"/>
      </c>
      <c r="M77" s="118">
        <f t="shared" si="9"/>
      </c>
      <c r="N77" s="118">
        <f t="shared" si="10"/>
      </c>
      <c r="O77" s="118">
        <f t="shared" si="11"/>
      </c>
      <c r="P77" s="119">
        <f t="shared" si="34"/>
      </c>
      <c r="Q77" s="21">
        <f t="shared" si="12"/>
      </c>
      <c r="R77" s="21">
        <f t="shared" si="13"/>
      </c>
      <c r="S77" s="21">
        <f t="shared" si="14"/>
      </c>
      <c r="T77" s="21">
        <f t="shared" si="15"/>
      </c>
      <c r="U77" s="21">
        <f t="shared" si="16"/>
      </c>
      <c r="V77" s="21">
        <f t="shared" si="17"/>
      </c>
      <c r="W77" s="21">
        <f t="shared" si="18"/>
      </c>
      <c r="X77" s="21">
        <f t="shared" si="19"/>
      </c>
      <c r="Y77" s="21">
        <f t="shared" si="20"/>
      </c>
      <c r="Z77" s="21">
        <f t="shared" si="21"/>
      </c>
      <c r="AA77" s="21">
        <f t="shared" si="22"/>
      </c>
      <c r="AB77" s="21">
        <f t="shared" si="23"/>
      </c>
      <c r="AC77" s="21">
        <f t="shared" si="24"/>
      </c>
      <c r="AD77" s="21">
        <f t="shared" si="25"/>
      </c>
      <c r="AE77" s="21">
        <f t="shared" si="26"/>
      </c>
      <c r="AF77" s="21">
        <f t="shared" si="27"/>
      </c>
      <c r="AG77" s="21">
        <f t="shared" si="28"/>
      </c>
      <c r="AH77" s="21">
        <f t="shared" si="29"/>
      </c>
      <c r="AI77" s="21">
        <f t="shared" si="30"/>
      </c>
      <c r="AJ77" s="21">
        <f t="shared" si="31"/>
      </c>
      <c r="AK77" s="94" t="n"/>
      <c r="AL77" s="96">
        <f t="shared" si="35"/>
      </c>
      <c r="AN77" s="2">
        <f>IF(72&gt;$BD$1000,0,IFERROR(MATCH(72,$BD$1:$BD$1000,0),0))</f>
        <v>0</v>
      </c>
      <c r="AO77" s="2">
        <f t="shared" si="36"/>
        <v>0</v>
      </c>
      <c r="AP77" s="2">
        <f t="shared" si="37"/>
      </c>
      <c r="AQ77" s="2">
        <f t="shared" si="38"/>
      </c>
      <c r="AR77" s="2">
        <f t="shared" si="39"/>
      </c>
      <c r="AS77" s="2">
        <f t="shared" si="40"/>
      </c>
      <c r="AT77" s="2">
        <f t="shared" si="41"/>
        <v>0</v>
      </c>
      <c r="AU77" s="2">
        <f t="shared" si="42"/>
        <v>0</v>
      </c>
      <c r="AV77" s="2">
        <f t="shared" si="43"/>
        <v>0</v>
      </c>
      <c r="AW77" s="2">
        <f t="shared" si="44"/>
        <v>0</v>
      </c>
      <c r="AX77" s="2">
        <f t="shared" si="45"/>
        <v>0</v>
      </c>
      <c r="AY77" s="2">
        <f t="shared" si="46"/>
        <v>0</v>
      </c>
      <c r="AZ77" s="2">
        <f t="shared" si="47"/>
        <v>0</v>
      </c>
      <c r="BA77" s="2">
        <f t="shared" si="48"/>
        <v>0</v>
      </c>
      <c r="BD77" s="2">
        <f>BD50+SUM(CB51:CB77)</f>
        <v>1</v>
      </c>
      <c r="CB77" s="2">
        <f>IF(考勤工资!$Y$81=$E$3,1,0)</f>
        <v>0</v>
      </c>
    </row>
    <row r="78">
      <c r="A78" s="94">
        <f>IF($AN78=0,"",73)</f>
      </c>
      <c r="B78" s="94">
        <f t="shared" si="32"/>
      </c>
      <c r="C78" s="96">
        <f t="shared" si="33"/>
      </c>
      <c r="D78" s="94">
        <f t="shared" si="0"/>
      </c>
      <c r="E78" s="117">
        <f t="shared" si="1"/>
      </c>
      <c r="F78" s="96">
        <f t="shared" si="2"/>
      </c>
      <c r="G78" s="118">
        <f t="shared" si="3"/>
      </c>
      <c r="H78" s="118">
        <f t="shared" si="4"/>
      </c>
      <c r="I78" s="118">
        <f t="shared" si="5"/>
      </c>
      <c r="J78" s="118">
        <f t="shared" si="6"/>
      </c>
      <c r="K78" s="118">
        <f t="shared" si="7"/>
      </c>
      <c r="L78" s="118">
        <f t="shared" si="8"/>
      </c>
      <c r="M78" s="118">
        <f t="shared" si="9"/>
      </c>
      <c r="N78" s="118">
        <f t="shared" si="10"/>
      </c>
      <c r="O78" s="118">
        <f t="shared" si="11"/>
      </c>
      <c r="P78" s="119">
        <f t="shared" si="34"/>
      </c>
      <c r="Q78" s="21">
        <f t="shared" si="12"/>
      </c>
      <c r="R78" s="21">
        <f t="shared" si="13"/>
      </c>
      <c r="S78" s="21">
        <f t="shared" si="14"/>
      </c>
      <c r="T78" s="21">
        <f t="shared" si="15"/>
      </c>
      <c r="U78" s="21">
        <f t="shared" si="16"/>
      </c>
      <c r="V78" s="21">
        <f t="shared" si="17"/>
      </c>
      <c r="W78" s="21">
        <f t="shared" si="18"/>
      </c>
      <c r="X78" s="21">
        <f t="shared" si="19"/>
      </c>
      <c r="Y78" s="21">
        <f t="shared" si="20"/>
      </c>
      <c r="Z78" s="21">
        <f t="shared" si="21"/>
      </c>
      <c r="AA78" s="21">
        <f t="shared" si="22"/>
      </c>
      <c r="AB78" s="21">
        <f t="shared" si="23"/>
      </c>
      <c r="AC78" s="21">
        <f t="shared" si="24"/>
      </c>
      <c r="AD78" s="21">
        <f t="shared" si="25"/>
      </c>
      <c r="AE78" s="21">
        <f t="shared" si="26"/>
      </c>
      <c r="AF78" s="21">
        <f t="shared" si="27"/>
      </c>
      <c r="AG78" s="21">
        <f t="shared" si="28"/>
      </c>
      <c r="AH78" s="21">
        <f t="shared" si="29"/>
      </c>
      <c r="AI78" s="21">
        <f t="shared" si="30"/>
      </c>
      <c r="AJ78" s="21">
        <f t="shared" si="31"/>
      </c>
      <c r="AK78" s="94" t="n"/>
      <c r="AL78" s="96">
        <f t="shared" si="35"/>
      </c>
      <c r="AN78" s="2">
        <f>IF(73&gt;$BD$1000,0,IFERROR(MATCH(73,$BD$1:$BD$1000,0),0))</f>
        <v>0</v>
      </c>
      <c r="AO78" s="2">
        <f t="shared" si="36"/>
        <v>0</v>
      </c>
      <c r="AP78" s="2">
        <f t="shared" si="37"/>
      </c>
      <c r="AQ78" s="2">
        <f t="shared" si="38"/>
      </c>
      <c r="AR78" s="2">
        <f t="shared" si="39"/>
      </c>
      <c r="AS78" s="2">
        <f t="shared" si="40"/>
      </c>
      <c r="AT78" s="2">
        <f t="shared" si="41"/>
        <v>0</v>
      </c>
      <c r="AU78" s="2">
        <f t="shared" si="42"/>
        <v>0</v>
      </c>
      <c r="AV78" s="2">
        <f t="shared" si="43"/>
        <v>0</v>
      </c>
      <c r="AW78" s="2">
        <f t="shared" si="44"/>
        <v>0</v>
      </c>
      <c r="AX78" s="2">
        <f t="shared" si="45"/>
        <v>0</v>
      </c>
      <c r="AY78" s="2">
        <f t="shared" si="46"/>
        <v>0</v>
      </c>
      <c r="AZ78" s="2">
        <f t="shared" si="47"/>
        <v>0</v>
      </c>
      <c r="BA78" s="2">
        <f t="shared" si="48"/>
        <v>0</v>
      </c>
      <c r="BD78" s="2">
        <f>BD50+SUM(CB51:CB78)</f>
        <v>1</v>
      </c>
      <c r="CB78" s="2">
        <f>IF(考勤工资!$Y$82=$E$3,1,0)</f>
        <v>0</v>
      </c>
    </row>
    <row r="79">
      <c r="A79" s="94">
        <f>IF($AN79=0,"",74)</f>
      </c>
      <c r="B79" s="94">
        <f t="shared" si="32"/>
      </c>
      <c r="C79" s="96">
        <f t="shared" si="33"/>
      </c>
      <c r="D79" s="94">
        <f t="shared" si="0"/>
      </c>
      <c r="E79" s="117">
        <f t="shared" si="1"/>
      </c>
      <c r="F79" s="96">
        <f t="shared" si="2"/>
      </c>
      <c r="G79" s="118">
        <f t="shared" si="3"/>
      </c>
      <c r="H79" s="118">
        <f t="shared" si="4"/>
      </c>
      <c r="I79" s="118">
        <f t="shared" si="5"/>
      </c>
      <c r="J79" s="118">
        <f t="shared" si="6"/>
      </c>
      <c r="K79" s="118">
        <f t="shared" si="7"/>
      </c>
      <c r="L79" s="118">
        <f t="shared" si="8"/>
      </c>
      <c r="M79" s="118">
        <f t="shared" si="9"/>
      </c>
      <c r="N79" s="118">
        <f t="shared" si="10"/>
      </c>
      <c r="O79" s="118">
        <f t="shared" si="11"/>
      </c>
      <c r="P79" s="119">
        <f t="shared" si="34"/>
      </c>
      <c r="Q79" s="21">
        <f t="shared" si="12"/>
      </c>
      <c r="R79" s="21">
        <f t="shared" si="13"/>
      </c>
      <c r="S79" s="21">
        <f t="shared" si="14"/>
      </c>
      <c r="T79" s="21">
        <f t="shared" si="15"/>
      </c>
      <c r="U79" s="21">
        <f t="shared" si="16"/>
      </c>
      <c r="V79" s="21">
        <f t="shared" si="17"/>
      </c>
      <c r="W79" s="21">
        <f t="shared" si="18"/>
      </c>
      <c r="X79" s="21">
        <f t="shared" si="19"/>
      </c>
      <c r="Y79" s="21">
        <f t="shared" si="20"/>
      </c>
      <c r="Z79" s="21">
        <f t="shared" si="21"/>
      </c>
      <c r="AA79" s="21">
        <f t="shared" si="22"/>
      </c>
      <c r="AB79" s="21">
        <f t="shared" si="23"/>
      </c>
      <c r="AC79" s="21">
        <f t="shared" si="24"/>
      </c>
      <c r="AD79" s="21">
        <f t="shared" si="25"/>
      </c>
      <c r="AE79" s="21">
        <f t="shared" si="26"/>
      </c>
      <c r="AF79" s="21">
        <f t="shared" si="27"/>
      </c>
      <c r="AG79" s="21">
        <f t="shared" si="28"/>
      </c>
      <c r="AH79" s="21">
        <f t="shared" si="29"/>
      </c>
      <c r="AI79" s="21">
        <f t="shared" si="30"/>
      </c>
      <c r="AJ79" s="21">
        <f t="shared" si="31"/>
      </c>
      <c r="AK79" s="94" t="n"/>
      <c r="AL79" s="96">
        <f t="shared" si="35"/>
      </c>
      <c r="AN79" s="2">
        <f>IF(74&gt;$BD$1000,0,IFERROR(MATCH(74,$BD$1:$BD$1000,0),0))</f>
        <v>0</v>
      </c>
      <c r="AO79" s="2">
        <f t="shared" si="36"/>
        <v>0</v>
      </c>
      <c r="AP79" s="2">
        <f t="shared" si="37"/>
      </c>
      <c r="AQ79" s="2">
        <f t="shared" si="38"/>
      </c>
      <c r="AR79" s="2">
        <f t="shared" si="39"/>
      </c>
      <c r="AS79" s="2">
        <f t="shared" si="40"/>
      </c>
      <c r="AT79" s="2">
        <f t="shared" si="41"/>
        <v>0</v>
      </c>
      <c r="AU79" s="2">
        <f t="shared" si="42"/>
        <v>0</v>
      </c>
      <c r="AV79" s="2">
        <f t="shared" si="43"/>
        <v>0</v>
      </c>
      <c r="AW79" s="2">
        <f t="shared" si="44"/>
        <v>0</v>
      </c>
      <c r="AX79" s="2">
        <f t="shared" si="45"/>
        <v>0</v>
      </c>
      <c r="AY79" s="2">
        <f t="shared" si="46"/>
        <v>0</v>
      </c>
      <c r="AZ79" s="2">
        <f t="shared" si="47"/>
        <v>0</v>
      </c>
      <c r="BA79" s="2">
        <f t="shared" si="48"/>
        <v>0</v>
      </c>
      <c r="BD79" s="2">
        <f>BD50+SUM(CB51:CB79)</f>
        <v>1</v>
      </c>
      <c r="CB79" s="2">
        <f>IF(考勤工资!$Y$83=$E$3,1,0)</f>
        <v>0</v>
      </c>
    </row>
    <row r="80">
      <c r="A80" s="94">
        <f>IF($AN80=0,"",75)</f>
      </c>
      <c r="B80" s="94">
        <f t="shared" si="32"/>
      </c>
      <c r="C80" s="96">
        <f t="shared" si="33"/>
      </c>
      <c r="D80" s="94">
        <f t="shared" si="0"/>
      </c>
      <c r="E80" s="117">
        <f t="shared" si="1"/>
      </c>
      <c r="F80" s="96">
        <f t="shared" si="2"/>
      </c>
      <c r="G80" s="118">
        <f t="shared" si="3"/>
      </c>
      <c r="H80" s="118">
        <f t="shared" si="4"/>
      </c>
      <c r="I80" s="118">
        <f t="shared" si="5"/>
      </c>
      <c r="J80" s="118">
        <f t="shared" si="6"/>
      </c>
      <c r="K80" s="118">
        <f t="shared" si="7"/>
      </c>
      <c r="L80" s="118">
        <f t="shared" si="8"/>
      </c>
      <c r="M80" s="118">
        <f t="shared" si="9"/>
      </c>
      <c r="N80" s="118">
        <f t="shared" si="10"/>
      </c>
      <c r="O80" s="118">
        <f t="shared" si="11"/>
      </c>
      <c r="P80" s="119">
        <f t="shared" si="34"/>
      </c>
      <c r="Q80" s="21">
        <f t="shared" si="12"/>
      </c>
      <c r="R80" s="21">
        <f t="shared" si="13"/>
      </c>
      <c r="S80" s="21">
        <f t="shared" si="14"/>
      </c>
      <c r="T80" s="21">
        <f t="shared" si="15"/>
      </c>
      <c r="U80" s="21">
        <f t="shared" si="16"/>
      </c>
      <c r="V80" s="21">
        <f t="shared" si="17"/>
      </c>
      <c r="W80" s="21">
        <f t="shared" si="18"/>
      </c>
      <c r="X80" s="21">
        <f t="shared" si="19"/>
      </c>
      <c r="Y80" s="21">
        <f t="shared" si="20"/>
      </c>
      <c r="Z80" s="21">
        <f t="shared" si="21"/>
      </c>
      <c r="AA80" s="21">
        <f t="shared" si="22"/>
      </c>
      <c r="AB80" s="21">
        <f t="shared" si="23"/>
      </c>
      <c r="AC80" s="21">
        <f t="shared" si="24"/>
      </c>
      <c r="AD80" s="21">
        <f t="shared" si="25"/>
      </c>
      <c r="AE80" s="21">
        <f t="shared" si="26"/>
      </c>
      <c r="AF80" s="21">
        <f t="shared" si="27"/>
      </c>
      <c r="AG80" s="21">
        <f t="shared" si="28"/>
      </c>
      <c r="AH80" s="21">
        <f t="shared" si="29"/>
      </c>
      <c r="AI80" s="21">
        <f t="shared" si="30"/>
      </c>
      <c r="AJ80" s="21">
        <f t="shared" si="31"/>
      </c>
      <c r="AK80" s="94" t="n"/>
      <c r="AL80" s="96">
        <f t="shared" si="35"/>
      </c>
      <c r="AN80" s="2">
        <f>IF(75&gt;$BD$1000,0,IFERROR(MATCH(75,$BD$1:$BD$1000,0),0))</f>
        <v>0</v>
      </c>
      <c r="AO80" s="2">
        <f t="shared" si="36"/>
        <v>0</v>
      </c>
      <c r="AP80" s="2">
        <f t="shared" si="37"/>
      </c>
      <c r="AQ80" s="2">
        <f t="shared" si="38"/>
      </c>
      <c r="AR80" s="2">
        <f t="shared" si="39"/>
      </c>
      <c r="AS80" s="2">
        <f t="shared" si="40"/>
      </c>
      <c r="AT80" s="2">
        <f t="shared" si="41"/>
        <v>0</v>
      </c>
      <c r="AU80" s="2">
        <f t="shared" si="42"/>
        <v>0</v>
      </c>
      <c r="AV80" s="2">
        <f t="shared" si="43"/>
        <v>0</v>
      </c>
      <c r="AW80" s="2">
        <f t="shared" si="44"/>
        <v>0</v>
      </c>
      <c r="AX80" s="2">
        <f t="shared" si="45"/>
        <v>0</v>
      </c>
      <c r="AY80" s="2">
        <f t="shared" si="46"/>
        <v>0</v>
      </c>
      <c r="AZ80" s="2">
        <f t="shared" si="47"/>
        <v>0</v>
      </c>
      <c r="BA80" s="2">
        <f t="shared" si="48"/>
        <v>0</v>
      </c>
      <c r="BD80" s="2">
        <f>BD50+SUM(CB51:CB80)</f>
        <v>1</v>
      </c>
      <c r="CB80" s="2">
        <f>IF(考勤工资!$Y$84=$E$3,1,0)</f>
        <v>0</v>
      </c>
    </row>
    <row r="81">
      <c r="A81" s="94">
        <f>IF($AN81=0,"",76)</f>
      </c>
      <c r="B81" s="94">
        <f t="shared" si="32"/>
      </c>
      <c r="C81" s="96">
        <f t="shared" si="33"/>
      </c>
      <c r="D81" s="94">
        <f t="shared" si="0"/>
      </c>
      <c r="E81" s="117">
        <f t="shared" si="1"/>
      </c>
      <c r="F81" s="96">
        <f t="shared" si="2"/>
      </c>
      <c r="G81" s="118">
        <f t="shared" si="3"/>
      </c>
      <c r="H81" s="118">
        <f t="shared" si="4"/>
      </c>
      <c r="I81" s="118">
        <f t="shared" si="5"/>
      </c>
      <c r="J81" s="118">
        <f t="shared" si="6"/>
      </c>
      <c r="K81" s="118">
        <f t="shared" si="7"/>
      </c>
      <c r="L81" s="118">
        <f t="shared" si="8"/>
      </c>
      <c r="M81" s="118">
        <f t="shared" si="9"/>
      </c>
      <c r="N81" s="118">
        <f t="shared" si="10"/>
      </c>
      <c r="O81" s="118">
        <f t="shared" si="11"/>
      </c>
      <c r="P81" s="119">
        <f t="shared" si="34"/>
      </c>
      <c r="Q81" s="21">
        <f t="shared" si="12"/>
      </c>
      <c r="R81" s="21">
        <f t="shared" si="13"/>
      </c>
      <c r="S81" s="21">
        <f t="shared" si="14"/>
      </c>
      <c r="T81" s="21">
        <f t="shared" si="15"/>
      </c>
      <c r="U81" s="21">
        <f t="shared" si="16"/>
      </c>
      <c r="V81" s="21">
        <f t="shared" si="17"/>
      </c>
      <c r="W81" s="21">
        <f t="shared" si="18"/>
      </c>
      <c r="X81" s="21">
        <f t="shared" si="19"/>
      </c>
      <c r="Y81" s="21">
        <f t="shared" si="20"/>
      </c>
      <c r="Z81" s="21">
        <f t="shared" si="21"/>
      </c>
      <c r="AA81" s="21">
        <f t="shared" si="22"/>
      </c>
      <c r="AB81" s="21">
        <f t="shared" si="23"/>
      </c>
      <c r="AC81" s="21">
        <f t="shared" si="24"/>
      </c>
      <c r="AD81" s="21">
        <f t="shared" si="25"/>
      </c>
      <c r="AE81" s="21">
        <f t="shared" si="26"/>
      </c>
      <c r="AF81" s="21">
        <f t="shared" si="27"/>
      </c>
      <c r="AG81" s="21">
        <f t="shared" si="28"/>
      </c>
      <c r="AH81" s="21">
        <f t="shared" si="29"/>
      </c>
      <c r="AI81" s="21">
        <f t="shared" si="30"/>
      </c>
      <c r="AJ81" s="21">
        <f t="shared" si="31"/>
      </c>
      <c r="AK81" s="94" t="n"/>
      <c r="AL81" s="96">
        <f t="shared" si="35"/>
      </c>
      <c r="AN81" s="2">
        <f>IF(76&gt;$BD$1000,0,IFERROR(MATCH(76,$BD$1:$BD$1000,0),0))</f>
        <v>0</v>
      </c>
      <c r="AO81" s="2">
        <f t="shared" si="36"/>
        <v>0</v>
      </c>
      <c r="AP81" s="2">
        <f t="shared" si="37"/>
      </c>
      <c r="AQ81" s="2">
        <f t="shared" si="38"/>
      </c>
      <c r="AR81" s="2">
        <f t="shared" si="39"/>
      </c>
      <c r="AS81" s="2">
        <f t="shared" si="40"/>
      </c>
      <c r="AT81" s="2">
        <f t="shared" si="41"/>
        <v>0</v>
      </c>
      <c r="AU81" s="2">
        <f t="shared" si="42"/>
        <v>0</v>
      </c>
      <c r="AV81" s="2">
        <f t="shared" si="43"/>
        <v>0</v>
      </c>
      <c r="AW81" s="2">
        <f t="shared" si="44"/>
        <v>0</v>
      </c>
      <c r="AX81" s="2">
        <f t="shared" si="45"/>
        <v>0</v>
      </c>
      <c r="AY81" s="2">
        <f t="shared" si="46"/>
        <v>0</v>
      </c>
      <c r="AZ81" s="2">
        <f t="shared" si="47"/>
        <v>0</v>
      </c>
      <c r="BA81" s="2">
        <f t="shared" si="48"/>
        <v>0</v>
      </c>
      <c r="BD81" s="2">
        <f>BD50+SUM(CB51:CB81)</f>
        <v>1</v>
      </c>
      <c r="CB81" s="2">
        <f>IF(考勤工资!$Y$85=$E$3,1,0)</f>
        <v>0</v>
      </c>
    </row>
    <row r="82">
      <c r="A82" s="94">
        <f>IF($AN82=0,"",77)</f>
      </c>
      <c r="B82" s="94">
        <f t="shared" si="32"/>
      </c>
      <c r="C82" s="96">
        <f t="shared" si="33"/>
      </c>
      <c r="D82" s="94">
        <f t="shared" si="0"/>
      </c>
      <c r="E82" s="117">
        <f t="shared" si="1"/>
      </c>
      <c r="F82" s="96">
        <f t="shared" si="2"/>
      </c>
      <c r="G82" s="118">
        <f t="shared" si="3"/>
      </c>
      <c r="H82" s="118">
        <f t="shared" si="4"/>
      </c>
      <c r="I82" s="118">
        <f t="shared" si="5"/>
      </c>
      <c r="J82" s="118">
        <f t="shared" si="6"/>
      </c>
      <c r="K82" s="118">
        <f t="shared" si="7"/>
      </c>
      <c r="L82" s="118">
        <f t="shared" si="8"/>
      </c>
      <c r="M82" s="118">
        <f t="shared" si="9"/>
      </c>
      <c r="N82" s="118">
        <f t="shared" si="10"/>
      </c>
      <c r="O82" s="118">
        <f t="shared" si="11"/>
      </c>
      <c r="P82" s="119">
        <f t="shared" si="34"/>
      </c>
      <c r="Q82" s="21">
        <f t="shared" si="12"/>
      </c>
      <c r="R82" s="21">
        <f t="shared" si="13"/>
      </c>
      <c r="S82" s="21">
        <f t="shared" si="14"/>
      </c>
      <c r="T82" s="21">
        <f t="shared" si="15"/>
      </c>
      <c r="U82" s="21">
        <f t="shared" si="16"/>
      </c>
      <c r="V82" s="21">
        <f t="shared" si="17"/>
      </c>
      <c r="W82" s="21">
        <f t="shared" si="18"/>
      </c>
      <c r="X82" s="21">
        <f t="shared" si="19"/>
      </c>
      <c r="Y82" s="21">
        <f t="shared" si="20"/>
      </c>
      <c r="Z82" s="21">
        <f t="shared" si="21"/>
      </c>
      <c r="AA82" s="21">
        <f t="shared" si="22"/>
      </c>
      <c r="AB82" s="21">
        <f t="shared" si="23"/>
      </c>
      <c r="AC82" s="21">
        <f t="shared" si="24"/>
      </c>
      <c r="AD82" s="21">
        <f t="shared" si="25"/>
      </c>
      <c r="AE82" s="21">
        <f t="shared" si="26"/>
      </c>
      <c r="AF82" s="21">
        <f t="shared" si="27"/>
      </c>
      <c r="AG82" s="21">
        <f t="shared" si="28"/>
      </c>
      <c r="AH82" s="21">
        <f t="shared" si="29"/>
      </c>
      <c r="AI82" s="21">
        <f t="shared" si="30"/>
      </c>
      <c r="AJ82" s="21">
        <f t="shared" si="31"/>
      </c>
      <c r="AK82" s="94" t="n"/>
      <c r="AL82" s="96">
        <f t="shared" si="35"/>
      </c>
      <c r="AN82" s="2">
        <f>IF(77&gt;$BD$1000,0,IFERROR(MATCH(77,$BD$1:$BD$1000,0),0))</f>
        <v>0</v>
      </c>
      <c r="AO82" s="2">
        <f t="shared" si="36"/>
        <v>0</v>
      </c>
      <c r="AP82" s="2">
        <f t="shared" si="37"/>
      </c>
      <c r="AQ82" s="2">
        <f t="shared" si="38"/>
      </c>
      <c r="AR82" s="2">
        <f t="shared" si="39"/>
      </c>
      <c r="AS82" s="2">
        <f t="shared" si="40"/>
      </c>
      <c r="AT82" s="2">
        <f t="shared" si="41"/>
        <v>0</v>
      </c>
      <c r="AU82" s="2">
        <f t="shared" si="42"/>
        <v>0</v>
      </c>
      <c r="AV82" s="2">
        <f t="shared" si="43"/>
        <v>0</v>
      </c>
      <c r="AW82" s="2">
        <f t="shared" si="44"/>
        <v>0</v>
      </c>
      <c r="AX82" s="2">
        <f t="shared" si="45"/>
        <v>0</v>
      </c>
      <c r="AY82" s="2">
        <f t="shared" si="46"/>
        <v>0</v>
      </c>
      <c r="AZ82" s="2">
        <f t="shared" si="47"/>
        <v>0</v>
      </c>
      <c r="BA82" s="2">
        <f t="shared" si="48"/>
        <v>0</v>
      </c>
      <c r="BD82" s="2">
        <f>BD50+SUM(CB51:CB82)</f>
        <v>1</v>
      </c>
      <c r="CB82" s="2">
        <f>IF(考勤工资!$Y$86=$E$3,1,0)</f>
        <v>0</v>
      </c>
    </row>
    <row r="83">
      <c r="A83" s="94">
        <f>IF($AN83=0,"",78)</f>
      </c>
      <c r="B83" s="94">
        <f t="shared" si="32"/>
      </c>
      <c r="C83" s="96">
        <f t="shared" si="33"/>
      </c>
      <c r="D83" s="94">
        <f t="shared" si="0"/>
      </c>
      <c r="E83" s="117">
        <f t="shared" si="1"/>
      </c>
      <c r="F83" s="96">
        <f t="shared" si="2"/>
      </c>
      <c r="G83" s="118">
        <f t="shared" si="3"/>
      </c>
      <c r="H83" s="118">
        <f t="shared" si="4"/>
      </c>
      <c r="I83" s="118">
        <f t="shared" si="5"/>
      </c>
      <c r="J83" s="118">
        <f t="shared" si="6"/>
      </c>
      <c r="K83" s="118">
        <f t="shared" si="7"/>
      </c>
      <c r="L83" s="118">
        <f t="shared" si="8"/>
      </c>
      <c r="M83" s="118">
        <f t="shared" si="9"/>
      </c>
      <c r="N83" s="118">
        <f t="shared" si="10"/>
      </c>
      <c r="O83" s="118">
        <f t="shared" si="11"/>
      </c>
      <c r="P83" s="119">
        <f t="shared" si="34"/>
      </c>
      <c r="Q83" s="21">
        <f t="shared" si="12"/>
      </c>
      <c r="R83" s="21">
        <f t="shared" si="13"/>
      </c>
      <c r="S83" s="21">
        <f t="shared" si="14"/>
      </c>
      <c r="T83" s="21">
        <f t="shared" si="15"/>
      </c>
      <c r="U83" s="21">
        <f t="shared" si="16"/>
      </c>
      <c r="V83" s="21">
        <f t="shared" si="17"/>
      </c>
      <c r="W83" s="21">
        <f t="shared" si="18"/>
      </c>
      <c r="X83" s="21">
        <f t="shared" si="19"/>
      </c>
      <c r="Y83" s="21">
        <f t="shared" si="20"/>
      </c>
      <c r="Z83" s="21">
        <f t="shared" si="21"/>
      </c>
      <c r="AA83" s="21">
        <f t="shared" si="22"/>
      </c>
      <c r="AB83" s="21">
        <f t="shared" si="23"/>
      </c>
      <c r="AC83" s="21">
        <f t="shared" si="24"/>
      </c>
      <c r="AD83" s="21">
        <f t="shared" si="25"/>
      </c>
      <c r="AE83" s="21">
        <f t="shared" si="26"/>
      </c>
      <c r="AF83" s="21">
        <f t="shared" si="27"/>
      </c>
      <c r="AG83" s="21">
        <f t="shared" si="28"/>
      </c>
      <c r="AH83" s="21">
        <f t="shared" si="29"/>
      </c>
      <c r="AI83" s="21">
        <f t="shared" si="30"/>
      </c>
      <c r="AJ83" s="21">
        <f t="shared" si="31"/>
      </c>
      <c r="AK83" s="94" t="n"/>
      <c r="AL83" s="96">
        <f t="shared" si="35"/>
      </c>
      <c r="AN83" s="2">
        <f>IF(78&gt;$BD$1000,0,IFERROR(MATCH(78,$BD$1:$BD$1000,0),0))</f>
        <v>0</v>
      </c>
      <c r="AO83" s="2">
        <f t="shared" si="36"/>
        <v>0</v>
      </c>
      <c r="AP83" s="2">
        <f t="shared" si="37"/>
      </c>
      <c r="AQ83" s="2">
        <f t="shared" si="38"/>
      </c>
      <c r="AR83" s="2">
        <f t="shared" si="39"/>
      </c>
      <c r="AS83" s="2">
        <f t="shared" si="40"/>
      </c>
      <c r="AT83" s="2">
        <f t="shared" si="41"/>
        <v>0</v>
      </c>
      <c r="AU83" s="2">
        <f t="shared" si="42"/>
        <v>0</v>
      </c>
      <c r="AV83" s="2">
        <f t="shared" si="43"/>
        <v>0</v>
      </c>
      <c r="AW83" s="2">
        <f t="shared" si="44"/>
        <v>0</v>
      </c>
      <c r="AX83" s="2">
        <f t="shared" si="45"/>
        <v>0</v>
      </c>
      <c r="AY83" s="2">
        <f t="shared" si="46"/>
        <v>0</v>
      </c>
      <c r="AZ83" s="2">
        <f t="shared" si="47"/>
        <v>0</v>
      </c>
      <c r="BA83" s="2">
        <f t="shared" si="48"/>
        <v>0</v>
      </c>
      <c r="BD83" s="2">
        <f>BD50+SUM(CB51:CB83)</f>
        <v>1</v>
      </c>
      <c r="CB83" s="2">
        <f>IF(考勤工资!$Y$87=$E$3,1,0)</f>
        <v>0</v>
      </c>
    </row>
    <row r="84">
      <c r="A84" s="94">
        <f>IF($AN84=0,"",79)</f>
      </c>
      <c r="B84" s="94">
        <f t="shared" si="32"/>
      </c>
      <c r="C84" s="96">
        <f t="shared" si="33"/>
      </c>
      <c r="D84" s="94">
        <f t="shared" si="0"/>
      </c>
      <c r="E84" s="117">
        <f t="shared" si="1"/>
      </c>
      <c r="F84" s="96">
        <f t="shared" si="2"/>
      </c>
      <c r="G84" s="118">
        <f t="shared" si="3"/>
      </c>
      <c r="H84" s="118">
        <f t="shared" si="4"/>
      </c>
      <c r="I84" s="118">
        <f t="shared" si="5"/>
      </c>
      <c r="J84" s="118">
        <f t="shared" si="6"/>
      </c>
      <c r="K84" s="118">
        <f t="shared" si="7"/>
      </c>
      <c r="L84" s="118">
        <f t="shared" si="8"/>
      </c>
      <c r="M84" s="118">
        <f t="shared" si="9"/>
      </c>
      <c r="N84" s="118">
        <f t="shared" si="10"/>
      </c>
      <c r="O84" s="118">
        <f t="shared" si="11"/>
      </c>
      <c r="P84" s="119">
        <f t="shared" si="34"/>
      </c>
      <c r="Q84" s="21">
        <f t="shared" si="12"/>
      </c>
      <c r="R84" s="21">
        <f t="shared" si="13"/>
      </c>
      <c r="S84" s="21">
        <f t="shared" si="14"/>
      </c>
      <c r="T84" s="21">
        <f t="shared" si="15"/>
      </c>
      <c r="U84" s="21">
        <f t="shared" si="16"/>
      </c>
      <c r="V84" s="21">
        <f t="shared" si="17"/>
      </c>
      <c r="W84" s="21">
        <f t="shared" si="18"/>
      </c>
      <c r="X84" s="21">
        <f t="shared" si="19"/>
      </c>
      <c r="Y84" s="21">
        <f t="shared" si="20"/>
      </c>
      <c r="Z84" s="21">
        <f t="shared" si="21"/>
      </c>
      <c r="AA84" s="21">
        <f t="shared" si="22"/>
      </c>
      <c r="AB84" s="21">
        <f t="shared" si="23"/>
      </c>
      <c r="AC84" s="21">
        <f t="shared" si="24"/>
      </c>
      <c r="AD84" s="21">
        <f t="shared" si="25"/>
      </c>
      <c r="AE84" s="21">
        <f t="shared" si="26"/>
      </c>
      <c r="AF84" s="21">
        <f t="shared" si="27"/>
      </c>
      <c r="AG84" s="21">
        <f t="shared" si="28"/>
      </c>
      <c r="AH84" s="21">
        <f t="shared" si="29"/>
      </c>
      <c r="AI84" s="21">
        <f t="shared" si="30"/>
      </c>
      <c r="AJ84" s="21">
        <f t="shared" si="31"/>
      </c>
      <c r="AK84" s="94" t="n"/>
      <c r="AL84" s="96">
        <f t="shared" si="35"/>
      </c>
      <c r="AN84" s="2">
        <f>IF(79&gt;$BD$1000,0,IFERROR(MATCH(79,$BD$1:$BD$1000,0),0))</f>
        <v>0</v>
      </c>
      <c r="AO84" s="2">
        <f t="shared" si="36"/>
        <v>0</v>
      </c>
      <c r="AP84" s="2">
        <f t="shared" si="37"/>
      </c>
      <c r="AQ84" s="2">
        <f t="shared" si="38"/>
      </c>
      <c r="AR84" s="2">
        <f t="shared" si="39"/>
      </c>
      <c r="AS84" s="2">
        <f t="shared" si="40"/>
      </c>
      <c r="AT84" s="2">
        <f t="shared" si="41"/>
        <v>0</v>
      </c>
      <c r="AU84" s="2">
        <f t="shared" si="42"/>
        <v>0</v>
      </c>
      <c r="AV84" s="2">
        <f t="shared" si="43"/>
        <v>0</v>
      </c>
      <c r="AW84" s="2">
        <f t="shared" si="44"/>
        <v>0</v>
      </c>
      <c r="AX84" s="2">
        <f t="shared" si="45"/>
        <v>0</v>
      </c>
      <c r="AY84" s="2">
        <f t="shared" si="46"/>
        <v>0</v>
      </c>
      <c r="AZ84" s="2">
        <f t="shared" si="47"/>
        <v>0</v>
      </c>
      <c r="BA84" s="2">
        <f t="shared" si="48"/>
        <v>0</v>
      </c>
      <c r="BD84" s="2">
        <f>BD50+SUM(CB51:CB84)</f>
        <v>1</v>
      </c>
      <c r="CB84" s="2">
        <f>IF(考勤工资!$Y$88=$E$3,1,0)</f>
        <v>0</v>
      </c>
    </row>
    <row r="85">
      <c r="A85" s="94">
        <f>IF($AN85=0,"",80)</f>
      </c>
      <c r="B85" s="94">
        <f t="shared" si="32"/>
      </c>
      <c r="C85" s="96">
        <f t="shared" si="33"/>
      </c>
      <c r="D85" s="94">
        <f t="shared" si="0"/>
      </c>
      <c r="E85" s="117">
        <f t="shared" si="1"/>
      </c>
      <c r="F85" s="96">
        <f t="shared" si="2"/>
      </c>
      <c r="G85" s="118">
        <f t="shared" si="3"/>
      </c>
      <c r="H85" s="118">
        <f t="shared" si="4"/>
      </c>
      <c r="I85" s="118">
        <f t="shared" si="5"/>
      </c>
      <c r="J85" s="118">
        <f t="shared" si="6"/>
      </c>
      <c r="K85" s="118">
        <f t="shared" si="7"/>
      </c>
      <c r="L85" s="118">
        <f t="shared" si="8"/>
      </c>
      <c r="M85" s="118">
        <f t="shared" si="9"/>
      </c>
      <c r="N85" s="118">
        <f t="shared" si="10"/>
      </c>
      <c r="O85" s="118">
        <f t="shared" si="11"/>
      </c>
      <c r="P85" s="119">
        <f t="shared" si="34"/>
      </c>
      <c r="Q85" s="21">
        <f t="shared" si="12"/>
      </c>
      <c r="R85" s="21">
        <f t="shared" si="13"/>
      </c>
      <c r="S85" s="21">
        <f t="shared" si="14"/>
      </c>
      <c r="T85" s="21">
        <f t="shared" si="15"/>
      </c>
      <c r="U85" s="21">
        <f t="shared" si="16"/>
      </c>
      <c r="V85" s="21">
        <f t="shared" si="17"/>
      </c>
      <c r="W85" s="21">
        <f t="shared" si="18"/>
      </c>
      <c r="X85" s="21">
        <f t="shared" si="19"/>
      </c>
      <c r="Y85" s="21">
        <f t="shared" si="20"/>
      </c>
      <c r="Z85" s="21">
        <f t="shared" si="21"/>
      </c>
      <c r="AA85" s="21">
        <f t="shared" si="22"/>
      </c>
      <c r="AB85" s="21">
        <f t="shared" si="23"/>
      </c>
      <c r="AC85" s="21">
        <f t="shared" si="24"/>
      </c>
      <c r="AD85" s="21">
        <f t="shared" si="25"/>
      </c>
      <c r="AE85" s="21">
        <f t="shared" si="26"/>
      </c>
      <c r="AF85" s="21">
        <f t="shared" si="27"/>
      </c>
      <c r="AG85" s="21">
        <f t="shared" si="28"/>
      </c>
      <c r="AH85" s="21">
        <f t="shared" si="29"/>
      </c>
      <c r="AI85" s="21">
        <f t="shared" si="30"/>
      </c>
      <c r="AJ85" s="21">
        <f t="shared" si="31"/>
      </c>
      <c r="AK85" s="94" t="n"/>
      <c r="AL85" s="96">
        <f t="shared" si="35"/>
      </c>
      <c r="AN85" s="2">
        <f>IF(80&gt;$BD$1000,0,IFERROR(MATCH(80,$BD$1:$BD$1000,0),0))</f>
        <v>0</v>
      </c>
      <c r="AO85" s="2">
        <f t="shared" si="36"/>
        <v>0</v>
      </c>
      <c r="AP85" s="2">
        <f t="shared" si="37"/>
      </c>
      <c r="AQ85" s="2">
        <f t="shared" si="38"/>
      </c>
      <c r="AR85" s="2">
        <f t="shared" si="39"/>
      </c>
      <c r="AS85" s="2">
        <f t="shared" si="40"/>
      </c>
      <c r="AT85" s="2">
        <f t="shared" si="41"/>
        <v>0</v>
      </c>
      <c r="AU85" s="2">
        <f t="shared" si="42"/>
        <v>0</v>
      </c>
      <c r="AV85" s="2">
        <f t="shared" si="43"/>
        <v>0</v>
      </c>
      <c r="AW85" s="2">
        <f t="shared" si="44"/>
        <v>0</v>
      </c>
      <c r="AX85" s="2">
        <f t="shared" si="45"/>
        <v>0</v>
      </c>
      <c r="AY85" s="2">
        <f t="shared" si="46"/>
        <v>0</v>
      </c>
      <c r="AZ85" s="2">
        <f t="shared" si="47"/>
        <v>0</v>
      </c>
      <c r="BA85" s="2">
        <f t="shared" si="48"/>
        <v>0</v>
      </c>
      <c r="BD85" s="2">
        <f>BD50+SUM(CB51:CB85)</f>
        <v>1</v>
      </c>
      <c r="CB85" s="2">
        <f>IF(考勤工资!$Y$89=$E$3,1,0)</f>
        <v>0</v>
      </c>
    </row>
    <row r="86">
      <c r="A86" s="94">
        <f>IF($AN86=0,"",81)</f>
      </c>
      <c r="B86" s="94">
        <f t="shared" si="32"/>
      </c>
      <c r="C86" s="96">
        <f t="shared" si="33"/>
      </c>
      <c r="D86" s="94">
        <f t="shared" si="0"/>
      </c>
      <c r="E86" s="117">
        <f t="shared" si="1"/>
      </c>
      <c r="F86" s="96">
        <f t="shared" si="2"/>
      </c>
      <c r="G86" s="118">
        <f t="shared" si="3"/>
      </c>
      <c r="H86" s="118">
        <f t="shared" si="4"/>
      </c>
      <c r="I86" s="118">
        <f t="shared" si="5"/>
      </c>
      <c r="J86" s="118">
        <f t="shared" si="6"/>
      </c>
      <c r="K86" s="118">
        <f t="shared" si="7"/>
      </c>
      <c r="L86" s="118">
        <f t="shared" si="8"/>
      </c>
      <c r="M86" s="118">
        <f t="shared" si="9"/>
      </c>
      <c r="N86" s="118">
        <f t="shared" si="10"/>
      </c>
      <c r="O86" s="118">
        <f t="shared" si="11"/>
      </c>
      <c r="P86" s="119">
        <f t="shared" si="34"/>
      </c>
      <c r="Q86" s="21">
        <f t="shared" si="12"/>
      </c>
      <c r="R86" s="21">
        <f t="shared" si="13"/>
      </c>
      <c r="S86" s="21">
        <f t="shared" si="14"/>
      </c>
      <c r="T86" s="21">
        <f t="shared" si="15"/>
      </c>
      <c r="U86" s="21">
        <f t="shared" si="16"/>
      </c>
      <c r="V86" s="21">
        <f t="shared" si="17"/>
      </c>
      <c r="W86" s="21">
        <f t="shared" si="18"/>
      </c>
      <c r="X86" s="21">
        <f t="shared" si="19"/>
      </c>
      <c r="Y86" s="21">
        <f t="shared" si="20"/>
      </c>
      <c r="Z86" s="21">
        <f t="shared" si="21"/>
      </c>
      <c r="AA86" s="21">
        <f t="shared" si="22"/>
      </c>
      <c r="AB86" s="21">
        <f t="shared" si="23"/>
      </c>
      <c r="AC86" s="21">
        <f t="shared" si="24"/>
      </c>
      <c r="AD86" s="21">
        <f t="shared" si="25"/>
      </c>
      <c r="AE86" s="21">
        <f t="shared" si="26"/>
      </c>
      <c r="AF86" s="21">
        <f t="shared" si="27"/>
      </c>
      <c r="AG86" s="21">
        <f t="shared" si="28"/>
      </c>
      <c r="AH86" s="21">
        <f t="shared" si="29"/>
      </c>
      <c r="AI86" s="21">
        <f t="shared" si="30"/>
      </c>
      <c r="AJ86" s="21">
        <f t="shared" si="31"/>
      </c>
      <c r="AK86" s="94" t="n"/>
      <c r="AL86" s="96">
        <f t="shared" si="35"/>
      </c>
      <c r="AN86" s="2">
        <f>IF(81&gt;$BD$1000,0,IFERROR(MATCH(81,$BD$1:$BD$1000,0),0))</f>
        <v>0</v>
      </c>
      <c r="AO86" s="2">
        <f t="shared" si="36"/>
        <v>0</v>
      </c>
      <c r="AP86" s="2">
        <f t="shared" si="37"/>
      </c>
      <c r="AQ86" s="2">
        <f t="shared" si="38"/>
      </c>
      <c r="AR86" s="2">
        <f t="shared" si="39"/>
      </c>
      <c r="AS86" s="2">
        <f t="shared" si="40"/>
      </c>
      <c r="AT86" s="2">
        <f t="shared" si="41"/>
        <v>0</v>
      </c>
      <c r="AU86" s="2">
        <f t="shared" si="42"/>
        <v>0</v>
      </c>
      <c r="AV86" s="2">
        <f t="shared" si="43"/>
        <v>0</v>
      </c>
      <c r="AW86" s="2">
        <f t="shared" si="44"/>
        <v>0</v>
      </c>
      <c r="AX86" s="2">
        <f t="shared" si="45"/>
        <v>0</v>
      </c>
      <c r="AY86" s="2">
        <f t="shared" si="46"/>
        <v>0</v>
      </c>
      <c r="AZ86" s="2">
        <f t="shared" si="47"/>
        <v>0</v>
      </c>
      <c r="BA86" s="2">
        <f t="shared" si="48"/>
        <v>0</v>
      </c>
      <c r="BD86" s="2">
        <f>BD50+SUM(CB51:CB86)</f>
        <v>1</v>
      </c>
      <c r="CB86" s="2">
        <f>IF(考勤工资!$Y$90=$E$3,1,0)</f>
        <v>0</v>
      </c>
    </row>
    <row r="87">
      <c r="A87" s="94">
        <f>IF($AN87=0,"",82)</f>
      </c>
      <c r="B87" s="94">
        <f t="shared" si="32"/>
      </c>
      <c r="C87" s="96">
        <f t="shared" si="33"/>
      </c>
      <c r="D87" s="94">
        <f t="shared" si="0"/>
      </c>
      <c r="E87" s="117">
        <f t="shared" si="1"/>
      </c>
      <c r="F87" s="96">
        <f t="shared" si="2"/>
      </c>
      <c r="G87" s="118">
        <f t="shared" si="3"/>
      </c>
      <c r="H87" s="118">
        <f t="shared" si="4"/>
      </c>
      <c r="I87" s="118">
        <f t="shared" si="5"/>
      </c>
      <c r="J87" s="118">
        <f t="shared" si="6"/>
      </c>
      <c r="K87" s="118">
        <f t="shared" si="7"/>
      </c>
      <c r="L87" s="118">
        <f t="shared" si="8"/>
      </c>
      <c r="M87" s="118">
        <f t="shared" si="9"/>
      </c>
      <c r="N87" s="118">
        <f t="shared" si="10"/>
      </c>
      <c r="O87" s="118">
        <f t="shared" si="11"/>
      </c>
      <c r="P87" s="119">
        <f t="shared" si="34"/>
      </c>
      <c r="Q87" s="21">
        <f t="shared" si="12"/>
      </c>
      <c r="R87" s="21">
        <f t="shared" si="13"/>
      </c>
      <c r="S87" s="21">
        <f t="shared" si="14"/>
      </c>
      <c r="T87" s="21">
        <f t="shared" si="15"/>
      </c>
      <c r="U87" s="21">
        <f t="shared" si="16"/>
      </c>
      <c r="V87" s="21">
        <f t="shared" si="17"/>
      </c>
      <c r="W87" s="21">
        <f t="shared" si="18"/>
      </c>
      <c r="X87" s="21">
        <f t="shared" si="19"/>
      </c>
      <c r="Y87" s="21">
        <f t="shared" si="20"/>
      </c>
      <c r="Z87" s="21">
        <f t="shared" si="21"/>
      </c>
      <c r="AA87" s="21">
        <f t="shared" si="22"/>
      </c>
      <c r="AB87" s="21">
        <f t="shared" si="23"/>
      </c>
      <c r="AC87" s="21">
        <f t="shared" si="24"/>
      </c>
      <c r="AD87" s="21">
        <f t="shared" si="25"/>
      </c>
      <c r="AE87" s="21">
        <f t="shared" si="26"/>
      </c>
      <c r="AF87" s="21">
        <f t="shared" si="27"/>
      </c>
      <c r="AG87" s="21">
        <f t="shared" si="28"/>
      </c>
      <c r="AH87" s="21">
        <f t="shared" si="29"/>
      </c>
      <c r="AI87" s="21">
        <f t="shared" si="30"/>
      </c>
      <c r="AJ87" s="21">
        <f t="shared" si="31"/>
      </c>
      <c r="AK87" s="94" t="n"/>
      <c r="AL87" s="96">
        <f t="shared" si="35"/>
      </c>
      <c r="AN87" s="2">
        <f>IF(82&gt;$BD$1000,0,IFERROR(MATCH(82,$BD$1:$BD$1000,0),0))</f>
        <v>0</v>
      </c>
      <c r="AO87" s="2">
        <f t="shared" si="36"/>
        <v>0</v>
      </c>
      <c r="AP87" s="2">
        <f t="shared" si="37"/>
      </c>
      <c r="AQ87" s="2">
        <f t="shared" si="38"/>
      </c>
      <c r="AR87" s="2">
        <f t="shared" si="39"/>
      </c>
      <c r="AS87" s="2">
        <f t="shared" si="40"/>
      </c>
      <c r="AT87" s="2">
        <f t="shared" si="41"/>
        <v>0</v>
      </c>
      <c r="AU87" s="2">
        <f t="shared" si="42"/>
        <v>0</v>
      </c>
      <c r="AV87" s="2">
        <f t="shared" si="43"/>
        <v>0</v>
      </c>
      <c r="AW87" s="2">
        <f t="shared" si="44"/>
        <v>0</v>
      </c>
      <c r="AX87" s="2">
        <f t="shared" si="45"/>
        <v>0</v>
      </c>
      <c r="AY87" s="2">
        <f t="shared" si="46"/>
        <v>0</v>
      </c>
      <c r="AZ87" s="2">
        <f t="shared" si="47"/>
        <v>0</v>
      </c>
      <c r="BA87" s="2">
        <f t="shared" si="48"/>
        <v>0</v>
      </c>
      <c r="BD87" s="2">
        <f>BD50+SUM(CB51:CB87)</f>
        <v>1</v>
      </c>
      <c r="CB87" s="2">
        <f>IF(考勤工资!$Y$91=$E$3,1,0)</f>
        <v>0</v>
      </c>
    </row>
    <row r="88">
      <c r="A88" s="94">
        <f>IF($AN88=0,"",83)</f>
      </c>
      <c r="B88" s="94">
        <f t="shared" si="32"/>
      </c>
      <c r="C88" s="96">
        <f t="shared" si="33"/>
      </c>
      <c r="D88" s="94">
        <f t="shared" si="0"/>
      </c>
      <c r="E88" s="117">
        <f t="shared" si="1"/>
      </c>
      <c r="F88" s="96">
        <f t="shared" si="2"/>
      </c>
      <c r="G88" s="118">
        <f t="shared" si="3"/>
      </c>
      <c r="H88" s="118">
        <f t="shared" si="4"/>
      </c>
      <c r="I88" s="118">
        <f t="shared" si="5"/>
      </c>
      <c r="J88" s="118">
        <f t="shared" si="6"/>
      </c>
      <c r="K88" s="118">
        <f t="shared" si="7"/>
      </c>
      <c r="L88" s="118">
        <f t="shared" si="8"/>
      </c>
      <c r="M88" s="118">
        <f t="shared" si="9"/>
      </c>
      <c r="N88" s="118">
        <f t="shared" si="10"/>
      </c>
      <c r="O88" s="118">
        <f t="shared" si="11"/>
      </c>
      <c r="P88" s="119">
        <f t="shared" si="34"/>
      </c>
      <c r="Q88" s="21">
        <f t="shared" si="12"/>
      </c>
      <c r="R88" s="21">
        <f t="shared" si="13"/>
      </c>
      <c r="S88" s="21">
        <f t="shared" si="14"/>
      </c>
      <c r="T88" s="21">
        <f t="shared" si="15"/>
      </c>
      <c r="U88" s="21">
        <f t="shared" si="16"/>
      </c>
      <c r="V88" s="21">
        <f t="shared" si="17"/>
      </c>
      <c r="W88" s="21">
        <f t="shared" si="18"/>
      </c>
      <c r="X88" s="21">
        <f t="shared" si="19"/>
      </c>
      <c r="Y88" s="21">
        <f t="shared" si="20"/>
      </c>
      <c r="Z88" s="21">
        <f t="shared" si="21"/>
      </c>
      <c r="AA88" s="21">
        <f t="shared" si="22"/>
      </c>
      <c r="AB88" s="21">
        <f t="shared" si="23"/>
      </c>
      <c r="AC88" s="21">
        <f t="shared" si="24"/>
      </c>
      <c r="AD88" s="21">
        <f t="shared" si="25"/>
      </c>
      <c r="AE88" s="21">
        <f t="shared" si="26"/>
      </c>
      <c r="AF88" s="21">
        <f t="shared" si="27"/>
      </c>
      <c r="AG88" s="21">
        <f t="shared" si="28"/>
      </c>
      <c r="AH88" s="21">
        <f t="shared" si="29"/>
      </c>
      <c r="AI88" s="21">
        <f t="shared" si="30"/>
      </c>
      <c r="AJ88" s="21">
        <f t="shared" si="31"/>
      </c>
      <c r="AK88" s="94" t="n"/>
      <c r="AL88" s="96">
        <f t="shared" si="35"/>
      </c>
      <c r="AN88" s="2">
        <f>IF(83&gt;$BD$1000,0,IFERROR(MATCH(83,$BD$1:$BD$1000,0),0))</f>
        <v>0</v>
      </c>
      <c r="AO88" s="2">
        <f t="shared" si="36"/>
        <v>0</v>
      </c>
      <c r="AP88" s="2">
        <f t="shared" si="37"/>
      </c>
      <c r="AQ88" s="2">
        <f t="shared" si="38"/>
      </c>
      <c r="AR88" s="2">
        <f t="shared" si="39"/>
      </c>
      <c r="AS88" s="2">
        <f t="shared" si="40"/>
      </c>
      <c r="AT88" s="2">
        <f t="shared" si="41"/>
        <v>0</v>
      </c>
      <c r="AU88" s="2">
        <f t="shared" si="42"/>
        <v>0</v>
      </c>
      <c r="AV88" s="2">
        <f t="shared" si="43"/>
        <v>0</v>
      </c>
      <c r="AW88" s="2">
        <f t="shared" si="44"/>
        <v>0</v>
      </c>
      <c r="AX88" s="2">
        <f t="shared" si="45"/>
        <v>0</v>
      </c>
      <c r="AY88" s="2">
        <f t="shared" si="46"/>
        <v>0</v>
      </c>
      <c r="AZ88" s="2">
        <f t="shared" si="47"/>
        <v>0</v>
      </c>
      <c r="BA88" s="2">
        <f t="shared" si="48"/>
        <v>0</v>
      </c>
      <c r="BD88" s="2">
        <f>BD50+SUM(CB51:CB88)</f>
        <v>1</v>
      </c>
      <c r="CB88" s="2">
        <f>IF(考勤工资!$Y$92=$E$3,1,0)</f>
        <v>0</v>
      </c>
    </row>
    <row r="89">
      <c r="A89" s="94">
        <f>IF($AN89=0,"",84)</f>
      </c>
      <c r="B89" s="94">
        <f t="shared" si="32"/>
      </c>
      <c r="C89" s="96">
        <f t="shared" si="33"/>
      </c>
      <c r="D89" s="94">
        <f t="shared" si="0"/>
      </c>
      <c r="E89" s="117">
        <f t="shared" si="1"/>
      </c>
      <c r="F89" s="96">
        <f t="shared" si="2"/>
      </c>
      <c r="G89" s="118">
        <f t="shared" si="3"/>
      </c>
      <c r="H89" s="118">
        <f t="shared" si="4"/>
      </c>
      <c r="I89" s="118">
        <f t="shared" si="5"/>
      </c>
      <c r="J89" s="118">
        <f t="shared" si="6"/>
      </c>
      <c r="K89" s="118">
        <f t="shared" si="7"/>
      </c>
      <c r="L89" s="118">
        <f t="shared" si="8"/>
      </c>
      <c r="M89" s="118">
        <f t="shared" si="9"/>
      </c>
      <c r="N89" s="118">
        <f t="shared" si="10"/>
      </c>
      <c r="O89" s="118">
        <f t="shared" si="11"/>
      </c>
      <c r="P89" s="119">
        <f t="shared" si="34"/>
      </c>
      <c r="Q89" s="21">
        <f t="shared" si="12"/>
      </c>
      <c r="R89" s="21">
        <f t="shared" si="13"/>
      </c>
      <c r="S89" s="21">
        <f t="shared" si="14"/>
      </c>
      <c r="T89" s="21">
        <f t="shared" si="15"/>
      </c>
      <c r="U89" s="21">
        <f t="shared" si="16"/>
      </c>
      <c r="V89" s="21">
        <f t="shared" si="17"/>
      </c>
      <c r="W89" s="21">
        <f t="shared" si="18"/>
      </c>
      <c r="X89" s="21">
        <f t="shared" si="19"/>
      </c>
      <c r="Y89" s="21">
        <f t="shared" si="20"/>
      </c>
      <c r="Z89" s="21">
        <f t="shared" si="21"/>
      </c>
      <c r="AA89" s="21">
        <f t="shared" si="22"/>
      </c>
      <c r="AB89" s="21">
        <f t="shared" si="23"/>
      </c>
      <c r="AC89" s="21">
        <f t="shared" si="24"/>
      </c>
      <c r="AD89" s="21">
        <f t="shared" si="25"/>
      </c>
      <c r="AE89" s="21">
        <f t="shared" si="26"/>
      </c>
      <c r="AF89" s="21">
        <f t="shared" si="27"/>
      </c>
      <c r="AG89" s="21">
        <f t="shared" si="28"/>
      </c>
      <c r="AH89" s="21">
        <f t="shared" si="29"/>
      </c>
      <c r="AI89" s="21">
        <f t="shared" si="30"/>
      </c>
      <c r="AJ89" s="21">
        <f t="shared" si="31"/>
      </c>
      <c r="AK89" s="94" t="n"/>
      <c r="AL89" s="96">
        <f t="shared" si="35"/>
      </c>
      <c r="AN89" s="2">
        <f>IF(84&gt;$BD$1000,0,IFERROR(MATCH(84,$BD$1:$BD$1000,0),0))</f>
        <v>0</v>
      </c>
      <c r="AO89" s="2">
        <f t="shared" si="36"/>
        <v>0</v>
      </c>
      <c r="AP89" s="2">
        <f t="shared" si="37"/>
      </c>
      <c r="AQ89" s="2">
        <f t="shared" si="38"/>
      </c>
      <c r="AR89" s="2">
        <f t="shared" si="39"/>
      </c>
      <c r="AS89" s="2">
        <f t="shared" si="40"/>
      </c>
      <c r="AT89" s="2">
        <f t="shared" si="41"/>
        <v>0</v>
      </c>
      <c r="AU89" s="2">
        <f t="shared" si="42"/>
        <v>0</v>
      </c>
      <c r="AV89" s="2">
        <f t="shared" si="43"/>
        <v>0</v>
      </c>
      <c r="AW89" s="2">
        <f t="shared" si="44"/>
        <v>0</v>
      </c>
      <c r="AX89" s="2">
        <f t="shared" si="45"/>
        <v>0</v>
      </c>
      <c r="AY89" s="2">
        <f t="shared" si="46"/>
        <v>0</v>
      </c>
      <c r="AZ89" s="2">
        <f t="shared" si="47"/>
        <v>0</v>
      </c>
      <c r="BA89" s="2">
        <f t="shared" si="48"/>
        <v>0</v>
      </c>
      <c r="BD89" s="2">
        <f>BD50+SUM(CB51:CB89)</f>
        <v>1</v>
      </c>
      <c r="CB89" s="2">
        <f>IF(考勤工资!$Y$93=$E$3,1,0)</f>
        <v>0</v>
      </c>
    </row>
    <row r="90">
      <c r="A90" s="94">
        <f>IF($AN90=0,"",85)</f>
      </c>
      <c r="B90" s="94">
        <f t="shared" si="32"/>
      </c>
      <c r="C90" s="96">
        <f t="shared" si="33"/>
      </c>
      <c r="D90" s="94">
        <f t="shared" si="0"/>
      </c>
      <c r="E90" s="117">
        <f t="shared" si="1"/>
      </c>
      <c r="F90" s="96">
        <f t="shared" si="2"/>
      </c>
      <c r="G90" s="118">
        <f t="shared" si="3"/>
      </c>
      <c r="H90" s="118">
        <f t="shared" si="4"/>
      </c>
      <c r="I90" s="118">
        <f t="shared" si="5"/>
      </c>
      <c r="J90" s="118">
        <f t="shared" si="6"/>
      </c>
      <c r="K90" s="118">
        <f t="shared" si="7"/>
      </c>
      <c r="L90" s="118">
        <f t="shared" si="8"/>
      </c>
      <c r="M90" s="118">
        <f t="shared" si="9"/>
      </c>
      <c r="N90" s="118">
        <f t="shared" si="10"/>
      </c>
      <c r="O90" s="118">
        <f t="shared" si="11"/>
      </c>
      <c r="P90" s="119">
        <f t="shared" si="34"/>
      </c>
      <c r="Q90" s="21">
        <f t="shared" si="12"/>
      </c>
      <c r="R90" s="21">
        <f t="shared" si="13"/>
      </c>
      <c r="S90" s="21">
        <f t="shared" si="14"/>
      </c>
      <c r="T90" s="21">
        <f t="shared" si="15"/>
      </c>
      <c r="U90" s="21">
        <f t="shared" si="16"/>
      </c>
      <c r="V90" s="21">
        <f t="shared" si="17"/>
      </c>
      <c r="W90" s="21">
        <f t="shared" si="18"/>
      </c>
      <c r="X90" s="21">
        <f t="shared" si="19"/>
      </c>
      <c r="Y90" s="21">
        <f t="shared" si="20"/>
      </c>
      <c r="Z90" s="21">
        <f t="shared" si="21"/>
      </c>
      <c r="AA90" s="21">
        <f t="shared" si="22"/>
      </c>
      <c r="AB90" s="21">
        <f t="shared" si="23"/>
      </c>
      <c r="AC90" s="21">
        <f t="shared" si="24"/>
      </c>
      <c r="AD90" s="21">
        <f t="shared" si="25"/>
      </c>
      <c r="AE90" s="21">
        <f t="shared" si="26"/>
      </c>
      <c r="AF90" s="21">
        <f t="shared" si="27"/>
      </c>
      <c r="AG90" s="21">
        <f t="shared" si="28"/>
      </c>
      <c r="AH90" s="21">
        <f t="shared" si="29"/>
      </c>
      <c r="AI90" s="21">
        <f t="shared" si="30"/>
      </c>
      <c r="AJ90" s="21">
        <f t="shared" si="31"/>
      </c>
      <c r="AK90" s="94" t="n"/>
      <c r="AL90" s="96">
        <f t="shared" si="35"/>
      </c>
      <c r="AN90" s="2">
        <f>IF(85&gt;$BD$1000,0,IFERROR(MATCH(85,$BD$1:$BD$1000,0),0))</f>
        <v>0</v>
      </c>
      <c r="AO90" s="2">
        <f t="shared" si="36"/>
        <v>0</v>
      </c>
      <c r="AP90" s="2">
        <f t="shared" si="37"/>
      </c>
      <c r="AQ90" s="2">
        <f t="shared" si="38"/>
      </c>
      <c r="AR90" s="2">
        <f t="shared" si="39"/>
      </c>
      <c r="AS90" s="2">
        <f t="shared" si="40"/>
      </c>
      <c r="AT90" s="2">
        <f t="shared" si="41"/>
        <v>0</v>
      </c>
      <c r="AU90" s="2">
        <f t="shared" si="42"/>
        <v>0</v>
      </c>
      <c r="AV90" s="2">
        <f t="shared" si="43"/>
        <v>0</v>
      </c>
      <c r="AW90" s="2">
        <f t="shared" si="44"/>
        <v>0</v>
      </c>
      <c r="AX90" s="2">
        <f t="shared" si="45"/>
        <v>0</v>
      </c>
      <c r="AY90" s="2">
        <f t="shared" si="46"/>
        <v>0</v>
      </c>
      <c r="AZ90" s="2">
        <f t="shared" si="47"/>
        <v>0</v>
      </c>
      <c r="BA90" s="2">
        <f t="shared" si="48"/>
        <v>0</v>
      </c>
      <c r="BD90" s="2">
        <f>BD50+SUM(CB51:CB90)</f>
        <v>1</v>
      </c>
      <c r="CB90" s="2">
        <f>IF(考勤工资!$Y$94=$E$3,1,0)</f>
        <v>0</v>
      </c>
    </row>
    <row r="91">
      <c r="A91" s="94">
        <f>IF($AN91=0,"",86)</f>
      </c>
      <c r="B91" s="94">
        <f t="shared" si="32"/>
      </c>
      <c r="C91" s="96">
        <f t="shared" si="33"/>
      </c>
      <c r="D91" s="94">
        <f t="shared" si="0"/>
      </c>
      <c r="E91" s="117">
        <f t="shared" si="1"/>
      </c>
      <c r="F91" s="96">
        <f t="shared" si="2"/>
      </c>
      <c r="G91" s="118">
        <f t="shared" si="3"/>
      </c>
      <c r="H91" s="118">
        <f t="shared" si="4"/>
      </c>
      <c r="I91" s="118">
        <f t="shared" si="5"/>
      </c>
      <c r="J91" s="118">
        <f t="shared" si="6"/>
      </c>
      <c r="K91" s="118">
        <f t="shared" si="7"/>
      </c>
      <c r="L91" s="118">
        <f t="shared" si="8"/>
      </c>
      <c r="M91" s="118">
        <f t="shared" si="9"/>
      </c>
      <c r="N91" s="118">
        <f t="shared" si="10"/>
      </c>
      <c r="O91" s="118">
        <f t="shared" si="11"/>
      </c>
      <c r="P91" s="119">
        <f t="shared" si="34"/>
      </c>
      <c r="Q91" s="21">
        <f t="shared" si="12"/>
      </c>
      <c r="R91" s="21">
        <f t="shared" si="13"/>
      </c>
      <c r="S91" s="21">
        <f t="shared" si="14"/>
      </c>
      <c r="T91" s="21">
        <f t="shared" si="15"/>
      </c>
      <c r="U91" s="21">
        <f t="shared" si="16"/>
      </c>
      <c r="V91" s="21">
        <f t="shared" si="17"/>
      </c>
      <c r="W91" s="21">
        <f t="shared" si="18"/>
      </c>
      <c r="X91" s="21">
        <f t="shared" si="19"/>
      </c>
      <c r="Y91" s="21">
        <f t="shared" si="20"/>
      </c>
      <c r="Z91" s="21">
        <f t="shared" si="21"/>
      </c>
      <c r="AA91" s="21">
        <f t="shared" si="22"/>
      </c>
      <c r="AB91" s="21">
        <f t="shared" si="23"/>
      </c>
      <c r="AC91" s="21">
        <f t="shared" si="24"/>
      </c>
      <c r="AD91" s="21">
        <f t="shared" si="25"/>
      </c>
      <c r="AE91" s="21">
        <f t="shared" si="26"/>
      </c>
      <c r="AF91" s="21">
        <f t="shared" si="27"/>
      </c>
      <c r="AG91" s="21">
        <f t="shared" si="28"/>
      </c>
      <c r="AH91" s="21">
        <f t="shared" si="29"/>
      </c>
      <c r="AI91" s="21">
        <f t="shared" si="30"/>
      </c>
      <c r="AJ91" s="21">
        <f t="shared" si="31"/>
      </c>
      <c r="AK91" s="94" t="n"/>
      <c r="AL91" s="96">
        <f t="shared" si="35"/>
      </c>
      <c r="AN91" s="2">
        <f>IF(86&gt;$BD$1000,0,IFERROR(MATCH(86,$BD$1:$BD$1000,0),0))</f>
        <v>0</v>
      </c>
      <c r="AO91" s="2">
        <f t="shared" si="36"/>
        <v>0</v>
      </c>
      <c r="AP91" s="2">
        <f t="shared" si="37"/>
      </c>
      <c r="AQ91" s="2">
        <f t="shared" si="38"/>
      </c>
      <c r="AR91" s="2">
        <f t="shared" si="39"/>
      </c>
      <c r="AS91" s="2">
        <f t="shared" si="40"/>
      </c>
      <c r="AT91" s="2">
        <f t="shared" si="41"/>
        <v>0</v>
      </c>
      <c r="AU91" s="2">
        <f t="shared" si="42"/>
        <v>0</v>
      </c>
      <c r="AV91" s="2">
        <f t="shared" si="43"/>
        <v>0</v>
      </c>
      <c r="AW91" s="2">
        <f t="shared" si="44"/>
        <v>0</v>
      </c>
      <c r="AX91" s="2">
        <f t="shared" si="45"/>
        <v>0</v>
      </c>
      <c r="AY91" s="2">
        <f t="shared" si="46"/>
        <v>0</v>
      </c>
      <c r="AZ91" s="2">
        <f t="shared" si="47"/>
        <v>0</v>
      </c>
      <c r="BA91" s="2">
        <f t="shared" si="48"/>
        <v>0</v>
      </c>
      <c r="BD91" s="2">
        <f>BD50+SUM(CB51:CB91)</f>
        <v>1</v>
      </c>
      <c r="CB91" s="2">
        <f>IF(考勤工资!$Y$95=$E$3,1,0)</f>
        <v>0</v>
      </c>
    </row>
    <row r="92">
      <c r="A92" s="94">
        <f>IF($AN92=0,"",87)</f>
      </c>
      <c r="B92" s="94">
        <f t="shared" si="32"/>
      </c>
      <c r="C92" s="96">
        <f t="shared" si="33"/>
      </c>
      <c r="D92" s="94">
        <f t="shared" si="0"/>
      </c>
      <c r="E92" s="117">
        <f t="shared" si="1"/>
      </c>
      <c r="F92" s="96">
        <f t="shared" si="2"/>
      </c>
      <c r="G92" s="118">
        <f t="shared" si="3"/>
      </c>
      <c r="H92" s="118">
        <f t="shared" si="4"/>
      </c>
      <c r="I92" s="118">
        <f t="shared" si="5"/>
      </c>
      <c r="J92" s="118">
        <f t="shared" si="6"/>
      </c>
      <c r="K92" s="118">
        <f t="shared" si="7"/>
      </c>
      <c r="L92" s="118">
        <f t="shared" si="8"/>
      </c>
      <c r="M92" s="118">
        <f t="shared" si="9"/>
      </c>
      <c r="N92" s="118">
        <f t="shared" si="10"/>
      </c>
      <c r="O92" s="118">
        <f t="shared" si="11"/>
      </c>
      <c r="P92" s="119">
        <f t="shared" si="34"/>
      </c>
      <c r="Q92" s="21">
        <f t="shared" si="12"/>
      </c>
      <c r="R92" s="21">
        <f t="shared" si="13"/>
      </c>
      <c r="S92" s="21">
        <f t="shared" si="14"/>
      </c>
      <c r="T92" s="21">
        <f t="shared" si="15"/>
      </c>
      <c r="U92" s="21">
        <f t="shared" si="16"/>
      </c>
      <c r="V92" s="21">
        <f t="shared" si="17"/>
      </c>
      <c r="W92" s="21">
        <f t="shared" si="18"/>
      </c>
      <c r="X92" s="21">
        <f t="shared" si="19"/>
      </c>
      <c r="Y92" s="21">
        <f t="shared" si="20"/>
      </c>
      <c r="Z92" s="21">
        <f t="shared" si="21"/>
      </c>
      <c r="AA92" s="21">
        <f t="shared" si="22"/>
      </c>
      <c r="AB92" s="21">
        <f t="shared" si="23"/>
      </c>
      <c r="AC92" s="21">
        <f t="shared" si="24"/>
      </c>
      <c r="AD92" s="21">
        <f t="shared" si="25"/>
      </c>
      <c r="AE92" s="21">
        <f t="shared" si="26"/>
      </c>
      <c r="AF92" s="21">
        <f t="shared" si="27"/>
      </c>
      <c r="AG92" s="21">
        <f t="shared" si="28"/>
      </c>
      <c r="AH92" s="21">
        <f t="shared" si="29"/>
      </c>
      <c r="AI92" s="21">
        <f t="shared" si="30"/>
      </c>
      <c r="AJ92" s="21">
        <f t="shared" si="31"/>
      </c>
      <c r="AK92" s="94" t="n"/>
      <c r="AL92" s="96">
        <f t="shared" si="35"/>
      </c>
      <c r="AN92" s="2">
        <f>IF(87&gt;$BD$1000,0,IFERROR(MATCH(87,$BD$1:$BD$1000,0),0))</f>
        <v>0</v>
      </c>
      <c r="AO92" s="2">
        <f t="shared" si="36"/>
        <v>0</v>
      </c>
      <c r="AP92" s="2">
        <f t="shared" si="37"/>
      </c>
      <c r="AQ92" s="2">
        <f t="shared" si="38"/>
      </c>
      <c r="AR92" s="2">
        <f t="shared" si="39"/>
      </c>
      <c r="AS92" s="2">
        <f t="shared" si="40"/>
      </c>
      <c r="AT92" s="2">
        <f t="shared" si="41"/>
        <v>0</v>
      </c>
      <c r="AU92" s="2">
        <f t="shared" si="42"/>
        <v>0</v>
      </c>
      <c r="AV92" s="2">
        <f t="shared" si="43"/>
        <v>0</v>
      </c>
      <c r="AW92" s="2">
        <f t="shared" si="44"/>
        <v>0</v>
      </c>
      <c r="AX92" s="2">
        <f t="shared" si="45"/>
        <v>0</v>
      </c>
      <c r="AY92" s="2">
        <f t="shared" si="46"/>
        <v>0</v>
      </c>
      <c r="AZ92" s="2">
        <f t="shared" si="47"/>
        <v>0</v>
      </c>
      <c r="BA92" s="2">
        <f t="shared" si="48"/>
        <v>0</v>
      </c>
      <c r="BD92" s="2">
        <f>BD50+SUM(CB51:CB92)</f>
        <v>1</v>
      </c>
      <c r="CB92" s="2">
        <f>IF(考勤工资!$Y$96=$E$3,1,0)</f>
        <v>0</v>
      </c>
    </row>
    <row r="93">
      <c r="A93" s="94">
        <f>IF($AN93=0,"",88)</f>
      </c>
      <c r="B93" s="94">
        <f t="shared" si="32"/>
      </c>
      <c r="C93" s="96">
        <f t="shared" si="33"/>
      </c>
      <c r="D93" s="94">
        <f t="shared" si="0"/>
      </c>
      <c r="E93" s="117">
        <f t="shared" si="1"/>
      </c>
      <c r="F93" s="96">
        <f t="shared" si="2"/>
      </c>
      <c r="G93" s="118">
        <f t="shared" si="3"/>
      </c>
      <c r="H93" s="118">
        <f t="shared" si="4"/>
      </c>
      <c r="I93" s="118">
        <f t="shared" si="5"/>
      </c>
      <c r="J93" s="118">
        <f t="shared" si="6"/>
      </c>
      <c r="K93" s="118">
        <f t="shared" si="7"/>
      </c>
      <c r="L93" s="118">
        <f t="shared" si="8"/>
      </c>
      <c r="M93" s="118">
        <f t="shared" si="9"/>
      </c>
      <c r="N93" s="118">
        <f t="shared" si="10"/>
      </c>
      <c r="O93" s="118">
        <f t="shared" si="11"/>
      </c>
      <c r="P93" s="119">
        <f t="shared" si="34"/>
      </c>
      <c r="Q93" s="21">
        <f t="shared" si="12"/>
      </c>
      <c r="R93" s="21">
        <f t="shared" si="13"/>
      </c>
      <c r="S93" s="21">
        <f t="shared" si="14"/>
      </c>
      <c r="T93" s="21">
        <f t="shared" si="15"/>
      </c>
      <c r="U93" s="21">
        <f t="shared" si="16"/>
      </c>
      <c r="V93" s="21">
        <f t="shared" si="17"/>
      </c>
      <c r="W93" s="21">
        <f t="shared" si="18"/>
      </c>
      <c r="X93" s="21">
        <f t="shared" si="19"/>
      </c>
      <c r="Y93" s="21">
        <f t="shared" si="20"/>
      </c>
      <c r="Z93" s="21">
        <f t="shared" si="21"/>
      </c>
      <c r="AA93" s="21">
        <f t="shared" si="22"/>
      </c>
      <c r="AB93" s="21">
        <f t="shared" si="23"/>
      </c>
      <c r="AC93" s="21">
        <f t="shared" si="24"/>
      </c>
      <c r="AD93" s="21">
        <f t="shared" si="25"/>
      </c>
      <c r="AE93" s="21">
        <f t="shared" si="26"/>
      </c>
      <c r="AF93" s="21">
        <f t="shared" si="27"/>
      </c>
      <c r="AG93" s="21">
        <f t="shared" si="28"/>
      </c>
      <c r="AH93" s="21">
        <f t="shared" si="29"/>
      </c>
      <c r="AI93" s="21">
        <f t="shared" si="30"/>
      </c>
      <c r="AJ93" s="21">
        <f t="shared" si="31"/>
      </c>
      <c r="AK93" s="94" t="n"/>
      <c r="AL93" s="96">
        <f t="shared" si="35"/>
      </c>
      <c r="AN93" s="2">
        <f>IF(88&gt;$BD$1000,0,IFERROR(MATCH(88,$BD$1:$BD$1000,0),0))</f>
        <v>0</v>
      </c>
      <c r="AO93" s="2">
        <f t="shared" si="36"/>
        <v>0</v>
      </c>
      <c r="AP93" s="2">
        <f t="shared" si="37"/>
      </c>
      <c r="AQ93" s="2">
        <f t="shared" si="38"/>
      </c>
      <c r="AR93" s="2">
        <f t="shared" si="39"/>
      </c>
      <c r="AS93" s="2">
        <f t="shared" si="40"/>
      </c>
      <c r="AT93" s="2">
        <f t="shared" si="41"/>
        <v>0</v>
      </c>
      <c r="AU93" s="2">
        <f t="shared" si="42"/>
        <v>0</v>
      </c>
      <c r="AV93" s="2">
        <f t="shared" si="43"/>
        <v>0</v>
      </c>
      <c r="AW93" s="2">
        <f t="shared" si="44"/>
        <v>0</v>
      </c>
      <c r="AX93" s="2">
        <f t="shared" si="45"/>
        <v>0</v>
      </c>
      <c r="AY93" s="2">
        <f t="shared" si="46"/>
        <v>0</v>
      </c>
      <c r="AZ93" s="2">
        <f t="shared" si="47"/>
        <v>0</v>
      </c>
      <c r="BA93" s="2">
        <f t="shared" si="48"/>
        <v>0</v>
      </c>
      <c r="BD93" s="2">
        <f>BD50+SUM(CB51:CB93)</f>
        <v>1</v>
      </c>
      <c r="CB93" s="2">
        <f>IF(考勤工资!$Y$97=$E$3,1,0)</f>
        <v>0</v>
      </c>
    </row>
    <row r="94">
      <c r="A94" s="94">
        <f>IF($AN94=0,"",89)</f>
      </c>
      <c r="B94" s="94">
        <f t="shared" si="32"/>
      </c>
      <c r="C94" s="96">
        <f t="shared" si="33"/>
      </c>
      <c r="D94" s="94">
        <f t="shared" si="0"/>
      </c>
      <c r="E94" s="117">
        <f t="shared" si="1"/>
      </c>
      <c r="F94" s="96">
        <f t="shared" si="2"/>
      </c>
      <c r="G94" s="118">
        <f t="shared" si="3"/>
      </c>
      <c r="H94" s="118">
        <f t="shared" si="4"/>
      </c>
      <c r="I94" s="118">
        <f t="shared" si="5"/>
      </c>
      <c r="J94" s="118">
        <f t="shared" si="6"/>
      </c>
      <c r="K94" s="118">
        <f t="shared" si="7"/>
      </c>
      <c r="L94" s="118">
        <f t="shared" si="8"/>
      </c>
      <c r="M94" s="118">
        <f t="shared" si="9"/>
      </c>
      <c r="N94" s="118">
        <f t="shared" si="10"/>
      </c>
      <c r="O94" s="118">
        <f t="shared" si="11"/>
      </c>
      <c r="P94" s="119">
        <f t="shared" si="34"/>
      </c>
      <c r="Q94" s="21">
        <f t="shared" si="12"/>
      </c>
      <c r="R94" s="21">
        <f t="shared" si="13"/>
      </c>
      <c r="S94" s="21">
        <f t="shared" si="14"/>
      </c>
      <c r="T94" s="21">
        <f t="shared" si="15"/>
      </c>
      <c r="U94" s="21">
        <f t="shared" si="16"/>
      </c>
      <c r="V94" s="21">
        <f t="shared" si="17"/>
      </c>
      <c r="W94" s="21">
        <f t="shared" si="18"/>
      </c>
      <c r="X94" s="21">
        <f t="shared" si="19"/>
      </c>
      <c r="Y94" s="21">
        <f t="shared" si="20"/>
      </c>
      <c r="Z94" s="21">
        <f t="shared" si="21"/>
      </c>
      <c r="AA94" s="21">
        <f t="shared" si="22"/>
      </c>
      <c r="AB94" s="21">
        <f t="shared" si="23"/>
      </c>
      <c r="AC94" s="21">
        <f t="shared" si="24"/>
      </c>
      <c r="AD94" s="21">
        <f t="shared" si="25"/>
      </c>
      <c r="AE94" s="21">
        <f t="shared" si="26"/>
      </c>
      <c r="AF94" s="21">
        <f t="shared" si="27"/>
      </c>
      <c r="AG94" s="21">
        <f t="shared" si="28"/>
      </c>
      <c r="AH94" s="21">
        <f t="shared" si="29"/>
      </c>
      <c r="AI94" s="21">
        <f t="shared" si="30"/>
      </c>
      <c r="AJ94" s="21">
        <f t="shared" si="31"/>
      </c>
      <c r="AK94" s="94" t="n"/>
      <c r="AL94" s="96">
        <f t="shared" si="35"/>
      </c>
      <c r="AN94" s="2">
        <f>IF(89&gt;$BD$1000,0,IFERROR(MATCH(89,$BD$1:$BD$1000,0),0))</f>
        <v>0</v>
      </c>
      <c r="AO94" s="2">
        <f t="shared" si="36"/>
        <v>0</v>
      </c>
      <c r="AP94" s="2">
        <f t="shared" si="37"/>
      </c>
      <c r="AQ94" s="2">
        <f t="shared" si="38"/>
      </c>
      <c r="AR94" s="2">
        <f t="shared" si="39"/>
      </c>
      <c r="AS94" s="2">
        <f t="shared" si="40"/>
      </c>
      <c r="AT94" s="2">
        <f t="shared" si="41"/>
        <v>0</v>
      </c>
      <c r="AU94" s="2">
        <f t="shared" si="42"/>
        <v>0</v>
      </c>
      <c r="AV94" s="2">
        <f t="shared" si="43"/>
        <v>0</v>
      </c>
      <c r="AW94" s="2">
        <f t="shared" si="44"/>
        <v>0</v>
      </c>
      <c r="AX94" s="2">
        <f t="shared" si="45"/>
        <v>0</v>
      </c>
      <c r="AY94" s="2">
        <f t="shared" si="46"/>
        <v>0</v>
      </c>
      <c r="AZ94" s="2">
        <f t="shared" si="47"/>
        <v>0</v>
      </c>
      <c r="BA94" s="2">
        <f t="shared" si="48"/>
        <v>0</v>
      </c>
      <c r="BD94" s="2">
        <f>BD50+SUM(CB51:CB94)</f>
        <v>1</v>
      </c>
      <c r="CB94" s="2">
        <f>IF(考勤工资!$Y$98=$E$3,1,0)</f>
        <v>0</v>
      </c>
    </row>
    <row r="95">
      <c r="A95" s="94">
        <f>IF($AN95=0,"",90)</f>
      </c>
      <c r="B95" s="94">
        <f t="shared" si="32"/>
      </c>
      <c r="C95" s="96">
        <f t="shared" si="33"/>
      </c>
      <c r="D95" s="94">
        <f t="shared" si="0"/>
      </c>
      <c r="E95" s="117">
        <f t="shared" si="1"/>
      </c>
      <c r="F95" s="96">
        <f t="shared" si="2"/>
      </c>
      <c r="G95" s="118">
        <f t="shared" si="3"/>
      </c>
      <c r="H95" s="118">
        <f t="shared" si="4"/>
      </c>
      <c r="I95" s="118">
        <f t="shared" si="5"/>
      </c>
      <c r="J95" s="118">
        <f t="shared" si="6"/>
      </c>
      <c r="K95" s="118">
        <f t="shared" si="7"/>
      </c>
      <c r="L95" s="118">
        <f t="shared" si="8"/>
      </c>
      <c r="M95" s="118">
        <f t="shared" si="9"/>
      </c>
      <c r="N95" s="118">
        <f t="shared" si="10"/>
      </c>
      <c r="O95" s="118">
        <f t="shared" si="11"/>
      </c>
      <c r="P95" s="119">
        <f t="shared" si="34"/>
      </c>
      <c r="Q95" s="21">
        <f t="shared" si="12"/>
      </c>
      <c r="R95" s="21">
        <f t="shared" si="13"/>
      </c>
      <c r="S95" s="21">
        <f t="shared" si="14"/>
      </c>
      <c r="T95" s="21">
        <f t="shared" si="15"/>
      </c>
      <c r="U95" s="21">
        <f t="shared" si="16"/>
      </c>
      <c r="V95" s="21">
        <f t="shared" si="17"/>
      </c>
      <c r="W95" s="21">
        <f t="shared" si="18"/>
      </c>
      <c r="X95" s="21">
        <f t="shared" si="19"/>
      </c>
      <c r="Y95" s="21">
        <f t="shared" si="20"/>
      </c>
      <c r="Z95" s="21">
        <f t="shared" si="21"/>
      </c>
      <c r="AA95" s="21">
        <f t="shared" si="22"/>
      </c>
      <c r="AB95" s="21">
        <f t="shared" si="23"/>
      </c>
      <c r="AC95" s="21">
        <f t="shared" si="24"/>
      </c>
      <c r="AD95" s="21">
        <f t="shared" si="25"/>
      </c>
      <c r="AE95" s="21">
        <f t="shared" si="26"/>
      </c>
      <c r="AF95" s="21">
        <f t="shared" si="27"/>
      </c>
      <c r="AG95" s="21">
        <f t="shared" si="28"/>
      </c>
      <c r="AH95" s="21">
        <f t="shared" si="29"/>
      </c>
      <c r="AI95" s="21">
        <f t="shared" si="30"/>
      </c>
      <c r="AJ95" s="21">
        <f t="shared" si="31"/>
      </c>
      <c r="AK95" s="94" t="n"/>
      <c r="AL95" s="96">
        <f t="shared" si="35"/>
      </c>
      <c r="AN95" s="2">
        <f>IF(90&gt;$BD$1000,0,IFERROR(MATCH(90,$BD$1:$BD$1000,0),0))</f>
        <v>0</v>
      </c>
      <c r="AO95" s="2">
        <f t="shared" si="36"/>
        <v>0</v>
      </c>
      <c r="AP95" s="2">
        <f t="shared" si="37"/>
      </c>
      <c r="AQ95" s="2">
        <f t="shared" si="38"/>
      </c>
      <c r="AR95" s="2">
        <f t="shared" si="39"/>
      </c>
      <c r="AS95" s="2">
        <f t="shared" si="40"/>
      </c>
      <c r="AT95" s="2">
        <f t="shared" si="41"/>
        <v>0</v>
      </c>
      <c r="AU95" s="2">
        <f t="shared" si="42"/>
        <v>0</v>
      </c>
      <c r="AV95" s="2">
        <f t="shared" si="43"/>
        <v>0</v>
      </c>
      <c r="AW95" s="2">
        <f t="shared" si="44"/>
        <v>0</v>
      </c>
      <c r="AX95" s="2">
        <f t="shared" si="45"/>
        <v>0</v>
      </c>
      <c r="AY95" s="2">
        <f t="shared" si="46"/>
        <v>0</v>
      </c>
      <c r="AZ95" s="2">
        <f t="shared" si="47"/>
        <v>0</v>
      </c>
      <c r="BA95" s="2">
        <f t="shared" si="48"/>
        <v>0</v>
      </c>
      <c r="BD95" s="2">
        <f>BD50+SUM(CB51:CB95)</f>
        <v>1</v>
      </c>
      <c r="CB95" s="2">
        <f>IF(考勤工资!$Y$99=$E$3,1,0)</f>
        <v>0</v>
      </c>
    </row>
    <row r="96">
      <c r="A96" s="94">
        <f>IF($AN96=0,"",91)</f>
      </c>
      <c r="B96" s="94">
        <f t="shared" si="32"/>
      </c>
      <c r="C96" s="96">
        <f t="shared" si="33"/>
      </c>
      <c r="D96" s="94">
        <f t="shared" si="0"/>
      </c>
      <c r="E96" s="117">
        <f t="shared" si="1"/>
      </c>
      <c r="F96" s="96">
        <f t="shared" si="2"/>
      </c>
      <c r="G96" s="118">
        <f t="shared" si="3"/>
      </c>
      <c r="H96" s="118">
        <f t="shared" si="4"/>
      </c>
      <c r="I96" s="118">
        <f t="shared" si="5"/>
      </c>
      <c r="J96" s="118">
        <f t="shared" si="6"/>
      </c>
      <c r="K96" s="118">
        <f t="shared" si="7"/>
      </c>
      <c r="L96" s="118">
        <f t="shared" si="8"/>
      </c>
      <c r="M96" s="118">
        <f t="shared" si="9"/>
      </c>
      <c r="N96" s="118">
        <f t="shared" si="10"/>
      </c>
      <c r="O96" s="118">
        <f t="shared" si="11"/>
      </c>
      <c r="P96" s="119">
        <f t="shared" si="34"/>
      </c>
      <c r="Q96" s="21">
        <f t="shared" si="12"/>
      </c>
      <c r="R96" s="21">
        <f t="shared" si="13"/>
      </c>
      <c r="S96" s="21">
        <f t="shared" si="14"/>
      </c>
      <c r="T96" s="21">
        <f t="shared" si="15"/>
      </c>
      <c r="U96" s="21">
        <f t="shared" si="16"/>
      </c>
      <c r="V96" s="21">
        <f t="shared" si="17"/>
      </c>
      <c r="W96" s="21">
        <f t="shared" si="18"/>
      </c>
      <c r="X96" s="21">
        <f t="shared" si="19"/>
      </c>
      <c r="Y96" s="21">
        <f t="shared" si="20"/>
      </c>
      <c r="Z96" s="21">
        <f t="shared" si="21"/>
      </c>
      <c r="AA96" s="21">
        <f t="shared" si="22"/>
      </c>
      <c r="AB96" s="21">
        <f t="shared" si="23"/>
      </c>
      <c r="AC96" s="21">
        <f t="shared" si="24"/>
      </c>
      <c r="AD96" s="21">
        <f t="shared" si="25"/>
      </c>
      <c r="AE96" s="21">
        <f t="shared" si="26"/>
      </c>
      <c r="AF96" s="21">
        <f t="shared" si="27"/>
      </c>
      <c r="AG96" s="21">
        <f t="shared" si="28"/>
      </c>
      <c r="AH96" s="21">
        <f t="shared" si="29"/>
      </c>
      <c r="AI96" s="21">
        <f t="shared" si="30"/>
      </c>
      <c r="AJ96" s="21">
        <f t="shared" si="31"/>
      </c>
      <c r="AK96" s="94" t="n"/>
      <c r="AL96" s="96">
        <f t="shared" si="35"/>
      </c>
      <c r="AN96" s="2">
        <f>IF(91&gt;$BD$1000,0,IFERROR(MATCH(91,$BD$1:$BD$1000,0),0))</f>
        <v>0</v>
      </c>
      <c r="AO96" s="2">
        <f t="shared" si="36"/>
        <v>0</v>
      </c>
      <c r="AP96" s="2">
        <f t="shared" si="37"/>
      </c>
      <c r="AQ96" s="2">
        <f t="shared" si="38"/>
      </c>
      <c r="AR96" s="2">
        <f t="shared" si="39"/>
      </c>
      <c r="AS96" s="2">
        <f t="shared" si="40"/>
      </c>
      <c r="AT96" s="2">
        <f t="shared" si="41"/>
        <v>0</v>
      </c>
      <c r="AU96" s="2">
        <f t="shared" si="42"/>
        <v>0</v>
      </c>
      <c r="AV96" s="2">
        <f t="shared" si="43"/>
        <v>0</v>
      </c>
      <c r="AW96" s="2">
        <f t="shared" si="44"/>
        <v>0</v>
      </c>
      <c r="AX96" s="2">
        <f t="shared" si="45"/>
        <v>0</v>
      </c>
      <c r="AY96" s="2">
        <f t="shared" si="46"/>
        <v>0</v>
      </c>
      <c r="AZ96" s="2">
        <f t="shared" si="47"/>
        <v>0</v>
      </c>
      <c r="BA96" s="2">
        <f t="shared" si="48"/>
        <v>0</v>
      </c>
      <c r="BD96" s="2">
        <f>BD50+SUM(CB51:CB96)</f>
        <v>1</v>
      </c>
      <c r="CB96" s="2">
        <f>IF(考勤工资!$Y$100=$E$3,1,0)</f>
        <v>0</v>
      </c>
    </row>
    <row r="97">
      <c r="A97" s="94">
        <f>IF($AN97=0,"",92)</f>
      </c>
      <c r="B97" s="94">
        <f t="shared" si="32"/>
      </c>
      <c r="C97" s="96">
        <f t="shared" si="33"/>
      </c>
      <c r="D97" s="94">
        <f t="shared" si="0"/>
      </c>
      <c r="E97" s="117">
        <f t="shared" si="1"/>
      </c>
      <c r="F97" s="96">
        <f t="shared" si="2"/>
      </c>
      <c r="G97" s="118">
        <f t="shared" si="3"/>
      </c>
      <c r="H97" s="118">
        <f t="shared" si="4"/>
      </c>
      <c r="I97" s="118">
        <f t="shared" si="5"/>
      </c>
      <c r="J97" s="118">
        <f t="shared" si="6"/>
      </c>
      <c r="K97" s="118">
        <f t="shared" si="7"/>
      </c>
      <c r="L97" s="118">
        <f t="shared" si="8"/>
      </c>
      <c r="M97" s="118">
        <f t="shared" si="9"/>
      </c>
      <c r="N97" s="118">
        <f t="shared" si="10"/>
      </c>
      <c r="O97" s="118">
        <f t="shared" si="11"/>
      </c>
      <c r="P97" s="119">
        <f t="shared" si="34"/>
      </c>
      <c r="Q97" s="21">
        <f t="shared" si="12"/>
      </c>
      <c r="R97" s="21">
        <f t="shared" si="13"/>
      </c>
      <c r="S97" s="21">
        <f t="shared" si="14"/>
      </c>
      <c r="T97" s="21">
        <f t="shared" si="15"/>
      </c>
      <c r="U97" s="21">
        <f t="shared" si="16"/>
      </c>
      <c r="V97" s="21">
        <f t="shared" si="17"/>
      </c>
      <c r="W97" s="21">
        <f t="shared" si="18"/>
      </c>
      <c r="X97" s="21">
        <f t="shared" si="19"/>
      </c>
      <c r="Y97" s="21">
        <f t="shared" si="20"/>
      </c>
      <c r="Z97" s="21">
        <f t="shared" si="21"/>
      </c>
      <c r="AA97" s="21">
        <f t="shared" si="22"/>
      </c>
      <c r="AB97" s="21">
        <f t="shared" si="23"/>
      </c>
      <c r="AC97" s="21">
        <f t="shared" si="24"/>
      </c>
      <c r="AD97" s="21">
        <f t="shared" si="25"/>
      </c>
      <c r="AE97" s="21">
        <f t="shared" si="26"/>
      </c>
      <c r="AF97" s="21">
        <f t="shared" si="27"/>
      </c>
      <c r="AG97" s="21">
        <f t="shared" si="28"/>
      </c>
      <c r="AH97" s="21">
        <f t="shared" si="29"/>
      </c>
      <c r="AI97" s="21">
        <f t="shared" si="30"/>
      </c>
      <c r="AJ97" s="21">
        <f t="shared" si="31"/>
      </c>
      <c r="AK97" s="94" t="n"/>
      <c r="AL97" s="96">
        <f t="shared" si="35"/>
      </c>
      <c r="AN97" s="2">
        <f>IF(92&gt;$BD$1000,0,IFERROR(MATCH(92,$BD$1:$BD$1000,0),0))</f>
        <v>0</v>
      </c>
      <c r="AO97" s="2">
        <f t="shared" si="36"/>
        <v>0</v>
      </c>
      <c r="AP97" s="2">
        <f t="shared" si="37"/>
      </c>
      <c r="AQ97" s="2">
        <f t="shared" si="38"/>
      </c>
      <c r="AR97" s="2">
        <f t="shared" si="39"/>
      </c>
      <c r="AS97" s="2">
        <f t="shared" si="40"/>
      </c>
      <c r="AT97" s="2">
        <f t="shared" si="41"/>
        <v>0</v>
      </c>
      <c r="AU97" s="2">
        <f t="shared" si="42"/>
        <v>0</v>
      </c>
      <c r="AV97" s="2">
        <f t="shared" si="43"/>
        <v>0</v>
      </c>
      <c r="AW97" s="2">
        <f t="shared" si="44"/>
        <v>0</v>
      </c>
      <c r="AX97" s="2">
        <f t="shared" si="45"/>
        <v>0</v>
      </c>
      <c r="AY97" s="2">
        <f t="shared" si="46"/>
        <v>0</v>
      </c>
      <c r="AZ97" s="2">
        <f t="shared" si="47"/>
        <v>0</v>
      </c>
      <c r="BA97" s="2">
        <f t="shared" si="48"/>
        <v>0</v>
      </c>
      <c r="BD97" s="2">
        <f>BD50+SUM(CB51:CB97)</f>
        <v>1</v>
      </c>
      <c r="CB97" s="2">
        <f>IF(考勤工资!$Y$101=$E$3,1,0)</f>
        <v>0</v>
      </c>
    </row>
    <row r="98">
      <c r="A98" s="94">
        <f>IF($AN98=0,"",93)</f>
      </c>
      <c r="B98" s="94">
        <f t="shared" si="32"/>
      </c>
      <c r="C98" s="96">
        <f t="shared" si="33"/>
      </c>
      <c r="D98" s="94">
        <f t="shared" si="0"/>
      </c>
      <c r="E98" s="117">
        <f t="shared" si="1"/>
      </c>
      <c r="F98" s="96">
        <f t="shared" si="2"/>
      </c>
      <c r="G98" s="118">
        <f t="shared" si="3"/>
      </c>
      <c r="H98" s="118">
        <f t="shared" si="4"/>
      </c>
      <c r="I98" s="118">
        <f t="shared" si="5"/>
      </c>
      <c r="J98" s="118">
        <f t="shared" si="6"/>
      </c>
      <c r="K98" s="118">
        <f t="shared" si="7"/>
      </c>
      <c r="L98" s="118">
        <f t="shared" si="8"/>
      </c>
      <c r="M98" s="118">
        <f t="shared" si="9"/>
      </c>
      <c r="N98" s="118">
        <f t="shared" si="10"/>
      </c>
      <c r="O98" s="118">
        <f t="shared" si="11"/>
      </c>
      <c r="P98" s="119">
        <f t="shared" si="34"/>
      </c>
      <c r="Q98" s="21">
        <f t="shared" si="12"/>
      </c>
      <c r="R98" s="21">
        <f t="shared" si="13"/>
      </c>
      <c r="S98" s="21">
        <f t="shared" si="14"/>
      </c>
      <c r="T98" s="21">
        <f t="shared" si="15"/>
      </c>
      <c r="U98" s="21">
        <f t="shared" si="16"/>
      </c>
      <c r="V98" s="21">
        <f t="shared" si="17"/>
      </c>
      <c r="W98" s="21">
        <f t="shared" si="18"/>
      </c>
      <c r="X98" s="21">
        <f t="shared" si="19"/>
      </c>
      <c r="Y98" s="21">
        <f t="shared" si="20"/>
      </c>
      <c r="Z98" s="21">
        <f t="shared" si="21"/>
      </c>
      <c r="AA98" s="21">
        <f t="shared" si="22"/>
      </c>
      <c r="AB98" s="21">
        <f t="shared" si="23"/>
      </c>
      <c r="AC98" s="21">
        <f t="shared" si="24"/>
      </c>
      <c r="AD98" s="21">
        <f t="shared" si="25"/>
      </c>
      <c r="AE98" s="21">
        <f t="shared" si="26"/>
      </c>
      <c r="AF98" s="21">
        <f t="shared" si="27"/>
      </c>
      <c r="AG98" s="21">
        <f t="shared" si="28"/>
      </c>
      <c r="AH98" s="21">
        <f t="shared" si="29"/>
      </c>
      <c r="AI98" s="21">
        <f t="shared" si="30"/>
      </c>
      <c r="AJ98" s="21">
        <f t="shared" si="31"/>
      </c>
      <c r="AK98" s="94" t="n"/>
      <c r="AL98" s="96">
        <f t="shared" si="35"/>
      </c>
      <c r="AN98" s="2">
        <f>IF(93&gt;$BD$1000,0,IFERROR(MATCH(93,$BD$1:$BD$1000,0),0))</f>
        <v>0</v>
      </c>
      <c r="AO98" s="2">
        <f t="shared" si="36"/>
        <v>0</v>
      </c>
      <c r="AP98" s="2">
        <f t="shared" si="37"/>
      </c>
      <c r="AQ98" s="2">
        <f t="shared" si="38"/>
      </c>
      <c r="AR98" s="2">
        <f t="shared" si="39"/>
      </c>
      <c r="AS98" s="2">
        <f t="shared" si="40"/>
      </c>
      <c r="AT98" s="2">
        <f t="shared" si="41"/>
        <v>0</v>
      </c>
      <c r="AU98" s="2">
        <f t="shared" si="42"/>
        <v>0</v>
      </c>
      <c r="AV98" s="2">
        <f t="shared" si="43"/>
        <v>0</v>
      </c>
      <c r="AW98" s="2">
        <f t="shared" si="44"/>
        <v>0</v>
      </c>
      <c r="AX98" s="2">
        <f t="shared" si="45"/>
        <v>0</v>
      </c>
      <c r="AY98" s="2">
        <f t="shared" si="46"/>
        <v>0</v>
      </c>
      <c r="AZ98" s="2">
        <f t="shared" si="47"/>
        <v>0</v>
      </c>
      <c r="BA98" s="2">
        <f t="shared" si="48"/>
        <v>0</v>
      </c>
      <c r="BD98" s="2">
        <f>BD50+SUM(CB51:CB98)</f>
        <v>1</v>
      </c>
      <c r="CB98" s="2">
        <f>IF(考勤工资!$Y$102=$E$3,1,0)</f>
        <v>0</v>
      </c>
    </row>
    <row r="99">
      <c r="A99" s="94">
        <f>IF($AN99=0,"",94)</f>
      </c>
      <c r="B99" s="94">
        <f t="shared" si="32"/>
      </c>
      <c r="C99" s="96">
        <f t="shared" si="33"/>
      </c>
      <c r="D99" s="94">
        <f t="shared" si="0"/>
      </c>
      <c r="E99" s="117">
        <f t="shared" si="1"/>
      </c>
      <c r="F99" s="96">
        <f t="shared" si="2"/>
      </c>
      <c r="G99" s="118">
        <f t="shared" si="3"/>
      </c>
      <c r="H99" s="118">
        <f t="shared" si="4"/>
      </c>
      <c r="I99" s="118">
        <f t="shared" si="5"/>
      </c>
      <c r="J99" s="118">
        <f t="shared" si="6"/>
      </c>
      <c r="K99" s="118">
        <f t="shared" si="7"/>
      </c>
      <c r="L99" s="118">
        <f t="shared" si="8"/>
      </c>
      <c r="M99" s="118">
        <f t="shared" si="9"/>
      </c>
      <c r="N99" s="118">
        <f t="shared" si="10"/>
      </c>
      <c r="O99" s="118">
        <f t="shared" si="11"/>
      </c>
      <c r="P99" s="119">
        <f t="shared" si="34"/>
      </c>
      <c r="Q99" s="21">
        <f t="shared" si="12"/>
      </c>
      <c r="R99" s="21">
        <f t="shared" si="13"/>
      </c>
      <c r="S99" s="21">
        <f t="shared" si="14"/>
      </c>
      <c r="T99" s="21">
        <f t="shared" si="15"/>
      </c>
      <c r="U99" s="21">
        <f t="shared" si="16"/>
      </c>
      <c r="V99" s="21">
        <f t="shared" si="17"/>
      </c>
      <c r="W99" s="21">
        <f t="shared" si="18"/>
      </c>
      <c r="X99" s="21">
        <f t="shared" si="19"/>
      </c>
      <c r="Y99" s="21">
        <f t="shared" si="20"/>
      </c>
      <c r="Z99" s="21">
        <f t="shared" si="21"/>
      </c>
      <c r="AA99" s="21">
        <f t="shared" si="22"/>
      </c>
      <c r="AB99" s="21">
        <f t="shared" si="23"/>
      </c>
      <c r="AC99" s="21">
        <f t="shared" si="24"/>
      </c>
      <c r="AD99" s="21">
        <f t="shared" si="25"/>
      </c>
      <c r="AE99" s="21">
        <f t="shared" si="26"/>
      </c>
      <c r="AF99" s="21">
        <f t="shared" si="27"/>
      </c>
      <c r="AG99" s="21">
        <f t="shared" si="28"/>
      </c>
      <c r="AH99" s="21">
        <f t="shared" si="29"/>
      </c>
      <c r="AI99" s="21">
        <f t="shared" si="30"/>
      </c>
      <c r="AJ99" s="21">
        <f t="shared" si="31"/>
      </c>
      <c r="AK99" s="94" t="n"/>
      <c r="AL99" s="96">
        <f t="shared" si="35"/>
      </c>
      <c r="AN99" s="2">
        <f>IF(94&gt;$BD$1000,0,IFERROR(MATCH(94,$BD$1:$BD$1000,0),0))</f>
        <v>0</v>
      </c>
      <c r="AO99" s="2">
        <f t="shared" si="36"/>
        <v>0</v>
      </c>
      <c r="AP99" s="2">
        <f t="shared" si="37"/>
      </c>
      <c r="AQ99" s="2">
        <f t="shared" si="38"/>
      </c>
      <c r="AR99" s="2">
        <f t="shared" si="39"/>
      </c>
      <c r="AS99" s="2">
        <f t="shared" si="40"/>
      </c>
      <c r="AT99" s="2">
        <f t="shared" si="41"/>
        <v>0</v>
      </c>
      <c r="AU99" s="2">
        <f t="shared" si="42"/>
        <v>0</v>
      </c>
      <c r="AV99" s="2">
        <f t="shared" si="43"/>
        <v>0</v>
      </c>
      <c r="AW99" s="2">
        <f t="shared" si="44"/>
        <v>0</v>
      </c>
      <c r="AX99" s="2">
        <f t="shared" si="45"/>
        <v>0</v>
      </c>
      <c r="AY99" s="2">
        <f t="shared" si="46"/>
        <v>0</v>
      </c>
      <c r="AZ99" s="2">
        <f t="shared" si="47"/>
        <v>0</v>
      </c>
      <c r="BA99" s="2">
        <f t="shared" si="48"/>
        <v>0</v>
      </c>
      <c r="BD99" s="2">
        <f>BD50+SUM(CB51:CB99)</f>
        <v>1</v>
      </c>
      <c r="CB99" s="2">
        <f>IF(考勤工资!$Y$103=$E$3,1,0)</f>
        <v>0</v>
      </c>
    </row>
    <row r="100">
      <c r="A100" s="94">
        <f>IF($AN100=0,"",95)</f>
      </c>
      <c r="B100" s="94">
        <f t="shared" si="32"/>
      </c>
      <c r="C100" s="96">
        <f t="shared" si="33"/>
      </c>
      <c r="D100" s="94">
        <f t="shared" si="0"/>
      </c>
      <c r="E100" s="117">
        <f t="shared" si="1"/>
      </c>
      <c r="F100" s="96">
        <f t="shared" si="2"/>
      </c>
      <c r="G100" s="118">
        <f t="shared" si="3"/>
      </c>
      <c r="H100" s="118">
        <f t="shared" si="4"/>
      </c>
      <c r="I100" s="118">
        <f t="shared" si="5"/>
      </c>
      <c r="J100" s="118">
        <f t="shared" si="6"/>
      </c>
      <c r="K100" s="118">
        <f t="shared" si="7"/>
      </c>
      <c r="L100" s="118">
        <f t="shared" si="8"/>
      </c>
      <c r="M100" s="118">
        <f t="shared" si="9"/>
      </c>
      <c r="N100" s="118">
        <f t="shared" si="10"/>
      </c>
      <c r="O100" s="118">
        <f t="shared" si="11"/>
      </c>
      <c r="P100" s="119">
        <f t="shared" si="34"/>
      </c>
      <c r="Q100" s="21">
        <f t="shared" si="12"/>
      </c>
      <c r="R100" s="21">
        <f t="shared" si="13"/>
      </c>
      <c r="S100" s="21">
        <f t="shared" si="14"/>
      </c>
      <c r="T100" s="21">
        <f t="shared" si="15"/>
      </c>
      <c r="U100" s="21">
        <f t="shared" si="16"/>
      </c>
      <c r="V100" s="21">
        <f t="shared" si="17"/>
      </c>
      <c r="W100" s="21">
        <f t="shared" si="18"/>
      </c>
      <c r="X100" s="21">
        <f t="shared" si="19"/>
      </c>
      <c r="Y100" s="21">
        <f t="shared" si="20"/>
      </c>
      <c r="Z100" s="21">
        <f t="shared" si="21"/>
      </c>
      <c r="AA100" s="21">
        <f t="shared" si="22"/>
      </c>
      <c r="AB100" s="21">
        <f t="shared" si="23"/>
      </c>
      <c r="AC100" s="21">
        <f t="shared" si="24"/>
      </c>
      <c r="AD100" s="21">
        <f t="shared" si="25"/>
      </c>
      <c r="AE100" s="21">
        <f t="shared" si="26"/>
      </c>
      <c r="AF100" s="21">
        <f t="shared" si="27"/>
      </c>
      <c r="AG100" s="21">
        <f t="shared" si="28"/>
      </c>
      <c r="AH100" s="21">
        <f t="shared" si="29"/>
      </c>
      <c r="AI100" s="21">
        <f t="shared" si="30"/>
      </c>
      <c r="AJ100" s="21">
        <f t="shared" si="31"/>
      </c>
      <c r="AK100" s="94" t="n"/>
      <c r="AL100" s="96">
        <f t="shared" si="35"/>
      </c>
      <c r="AN100" s="2">
        <f>IF(95&gt;$BD$1000,0,IFERROR(MATCH(95,$BD$1:$BD$1000,0),0))</f>
        <v>0</v>
      </c>
      <c r="AO100" s="2">
        <f t="shared" si="36"/>
        <v>0</v>
      </c>
      <c r="AP100" s="2">
        <f t="shared" si="37"/>
      </c>
      <c r="AQ100" s="2">
        <f t="shared" si="38"/>
      </c>
      <c r="AR100" s="2">
        <f t="shared" si="39"/>
      </c>
      <c r="AS100" s="2">
        <f t="shared" si="40"/>
      </c>
      <c r="AT100" s="2">
        <f t="shared" si="41"/>
        <v>0</v>
      </c>
      <c r="AU100" s="2">
        <f t="shared" si="42"/>
        <v>0</v>
      </c>
      <c r="AV100" s="2">
        <f t="shared" si="43"/>
        <v>0</v>
      </c>
      <c r="AW100" s="2">
        <f t="shared" si="44"/>
        <v>0</v>
      </c>
      <c r="AX100" s="2">
        <f t="shared" si="45"/>
        <v>0</v>
      </c>
      <c r="AY100" s="2">
        <f t="shared" si="46"/>
        <v>0</v>
      </c>
      <c r="AZ100" s="2">
        <f t="shared" si="47"/>
        <v>0</v>
      </c>
      <c r="BA100" s="2">
        <f t="shared" si="48"/>
        <v>0</v>
      </c>
      <c r="BD100" s="2">
        <f>BD50+SUM(CB51:CB100)</f>
        <v>1</v>
      </c>
      <c r="CB100" s="2">
        <f>IF(考勤工资!$Y$104=$E$3,1,0)</f>
        <v>0</v>
      </c>
    </row>
    <row r="101">
      <c r="A101" s="94">
        <f>IF($AN101=0,"",96)</f>
      </c>
      <c r="B101" s="94">
        <f t="shared" si="32"/>
      </c>
      <c r="C101" s="96">
        <f t="shared" si="33"/>
      </c>
      <c r="D101" s="94">
        <f t="shared" si="0"/>
      </c>
      <c r="E101" s="117">
        <f t="shared" si="1"/>
      </c>
      <c r="F101" s="96">
        <f t="shared" si="2"/>
      </c>
      <c r="G101" s="118">
        <f t="shared" si="3"/>
      </c>
      <c r="H101" s="118">
        <f t="shared" si="4"/>
      </c>
      <c r="I101" s="118">
        <f t="shared" si="5"/>
      </c>
      <c r="J101" s="118">
        <f t="shared" si="6"/>
      </c>
      <c r="K101" s="118">
        <f t="shared" si="7"/>
      </c>
      <c r="L101" s="118">
        <f t="shared" si="8"/>
      </c>
      <c r="M101" s="118">
        <f t="shared" si="9"/>
      </c>
      <c r="N101" s="118">
        <f t="shared" si="10"/>
      </c>
      <c r="O101" s="118">
        <f t="shared" si="11"/>
      </c>
      <c r="P101" s="119">
        <f t="shared" si="34"/>
      </c>
      <c r="Q101" s="21">
        <f t="shared" si="12"/>
      </c>
      <c r="R101" s="21">
        <f t="shared" si="13"/>
      </c>
      <c r="S101" s="21">
        <f t="shared" si="14"/>
      </c>
      <c r="T101" s="21">
        <f t="shared" si="15"/>
      </c>
      <c r="U101" s="21">
        <f t="shared" si="16"/>
      </c>
      <c r="V101" s="21">
        <f t="shared" si="17"/>
      </c>
      <c r="W101" s="21">
        <f t="shared" si="18"/>
      </c>
      <c r="X101" s="21">
        <f t="shared" si="19"/>
      </c>
      <c r="Y101" s="21">
        <f t="shared" si="20"/>
      </c>
      <c r="Z101" s="21">
        <f t="shared" si="21"/>
      </c>
      <c r="AA101" s="21">
        <f t="shared" si="22"/>
      </c>
      <c r="AB101" s="21">
        <f t="shared" si="23"/>
      </c>
      <c r="AC101" s="21">
        <f t="shared" si="24"/>
      </c>
      <c r="AD101" s="21">
        <f t="shared" si="25"/>
      </c>
      <c r="AE101" s="21">
        <f t="shared" si="26"/>
      </c>
      <c r="AF101" s="21">
        <f t="shared" si="27"/>
      </c>
      <c r="AG101" s="21">
        <f t="shared" si="28"/>
      </c>
      <c r="AH101" s="21">
        <f t="shared" si="29"/>
      </c>
      <c r="AI101" s="21">
        <f t="shared" si="30"/>
      </c>
      <c r="AJ101" s="21">
        <f t="shared" si="31"/>
      </c>
      <c r="AK101" s="94" t="n"/>
      <c r="AL101" s="96">
        <f t="shared" si="35"/>
      </c>
      <c r="AN101" s="2">
        <f>IF(96&gt;$BD$1000,0,IFERROR(MATCH(96,$BD$1:$BD$1000,0),0))</f>
        <v>0</v>
      </c>
      <c r="AO101" s="2">
        <f t="shared" si="36"/>
        <v>0</v>
      </c>
      <c r="AP101" s="2">
        <f t="shared" si="37"/>
      </c>
      <c r="AQ101" s="2">
        <f t="shared" si="38"/>
      </c>
      <c r="AR101" s="2">
        <f t="shared" si="39"/>
      </c>
      <c r="AS101" s="2">
        <f t="shared" si="40"/>
      </c>
      <c r="AT101" s="2">
        <f t="shared" si="41"/>
        <v>0</v>
      </c>
      <c r="AU101" s="2">
        <f t="shared" si="42"/>
        <v>0</v>
      </c>
      <c r="AV101" s="2">
        <f t="shared" si="43"/>
        <v>0</v>
      </c>
      <c r="AW101" s="2">
        <f t="shared" si="44"/>
        <v>0</v>
      </c>
      <c r="AX101" s="2">
        <f t="shared" si="45"/>
        <v>0</v>
      </c>
      <c r="AY101" s="2">
        <f t="shared" si="46"/>
        <v>0</v>
      </c>
      <c r="AZ101" s="2">
        <f t="shared" si="47"/>
        <v>0</v>
      </c>
      <c r="BA101" s="2">
        <f t="shared" si="48"/>
        <v>0</v>
      </c>
      <c r="BD101" s="2">
        <f>BD100+SUM(CB101:CB101)</f>
        <v>1</v>
      </c>
      <c r="CB101" s="2">
        <f>IF(考勤工资!$Y$105=$E$3,1,0)</f>
        <v>0</v>
      </c>
    </row>
    <row r="102">
      <c r="A102" s="94">
        <f>IF($AN102=0,"",97)</f>
      </c>
      <c r="B102" s="94">
        <f t="shared" si="32"/>
      </c>
      <c r="C102" s="96">
        <f t="shared" si="33"/>
      </c>
      <c r="D102" s="94">
        <f t="shared" si="0"/>
      </c>
      <c r="E102" s="117">
        <f t="shared" si="1"/>
      </c>
      <c r="F102" s="96">
        <f t="shared" si="2"/>
      </c>
      <c r="G102" s="118">
        <f t="shared" si="3"/>
      </c>
      <c r="H102" s="118">
        <f t="shared" si="4"/>
      </c>
      <c r="I102" s="118">
        <f t="shared" si="5"/>
      </c>
      <c r="J102" s="118">
        <f t="shared" si="6"/>
      </c>
      <c r="K102" s="118">
        <f t="shared" si="7"/>
      </c>
      <c r="L102" s="118">
        <f t="shared" si="8"/>
      </c>
      <c r="M102" s="118">
        <f t="shared" si="9"/>
      </c>
      <c r="N102" s="118">
        <f t="shared" si="10"/>
      </c>
      <c r="O102" s="118">
        <f t="shared" si="11"/>
      </c>
      <c r="P102" s="119">
        <f t="shared" si="34"/>
      </c>
      <c r="Q102" s="21">
        <f t="shared" si="12"/>
      </c>
      <c r="R102" s="21">
        <f t="shared" si="13"/>
      </c>
      <c r="S102" s="21">
        <f t="shared" si="14"/>
      </c>
      <c r="T102" s="21">
        <f t="shared" si="15"/>
      </c>
      <c r="U102" s="21">
        <f t="shared" si="16"/>
      </c>
      <c r="V102" s="21">
        <f t="shared" si="17"/>
      </c>
      <c r="W102" s="21">
        <f t="shared" si="18"/>
      </c>
      <c r="X102" s="21">
        <f t="shared" si="19"/>
      </c>
      <c r="Y102" s="21">
        <f t="shared" si="20"/>
      </c>
      <c r="Z102" s="21">
        <f t="shared" si="21"/>
      </c>
      <c r="AA102" s="21">
        <f t="shared" si="22"/>
      </c>
      <c r="AB102" s="21">
        <f t="shared" si="23"/>
      </c>
      <c r="AC102" s="21">
        <f t="shared" si="24"/>
      </c>
      <c r="AD102" s="21">
        <f t="shared" si="25"/>
      </c>
      <c r="AE102" s="21">
        <f t="shared" si="26"/>
      </c>
      <c r="AF102" s="21">
        <f t="shared" si="27"/>
      </c>
      <c r="AG102" s="21">
        <f t="shared" si="28"/>
      </c>
      <c r="AH102" s="21">
        <f t="shared" si="29"/>
      </c>
      <c r="AI102" s="21">
        <f t="shared" si="30"/>
      </c>
      <c r="AJ102" s="21">
        <f t="shared" si="31"/>
      </c>
      <c r="AK102" s="94" t="n"/>
      <c r="AL102" s="96">
        <f t="shared" si="35"/>
      </c>
      <c r="AN102" s="2">
        <f>IF(97&gt;$BD$1000,0,IFERROR(MATCH(97,$BD$1:$BD$1000,0),0))</f>
        <v>0</v>
      </c>
      <c r="AO102" s="2">
        <f t="shared" si="36"/>
        <v>0</v>
      </c>
      <c r="AP102" s="2">
        <f t="shared" si="37"/>
      </c>
      <c r="AQ102" s="2">
        <f t="shared" si="38"/>
      </c>
      <c r="AR102" s="2">
        <f t="shared" si="39"/>
      </c>
      <c r="AS102" s="2">
        <f t="shared" si="40"/>
      </c>
      <c r="AT102" s="2">
        <f t="shared" si="41"/>
        <v>0</v>
      </c>
      <c r="AU102" s="2">
        <f t="shared" si="42"/>
        <v>0</v>
      </c>
      <c r="AV102" s="2">
        <f t="shared" si="43"/>
        <v>0</v>
      </c>
      <c r="AW102" s="2">
        <f t="shared" si="44"/>
        <v>0</v>
      </c>
      <c r="AX102" s="2">
        <f t="shared" si="45"/>
        <v>0</v>
      </c>
      <c r="AY102" s="2">
        <f t="shared" si="46"/>
        <v>0</v>
      </c>
      <c r="AZ102" s="2">
        <f t="shared" si="47"/>
        <v>0</v>
      </c>
      <c r="BA102" s="2">
        <f t="shared" si="48"/>
        <v>0</v>
      </c>
      <c r="BD102" s="2">
        <f>BD100+SUM(CB101:CB102)</f>
        <v>1</v>
      </c>
      <c r="CB102" s="2">
        <f>IF(考勤工资!$Y$106=$E$3,1,0)</f>
        <v>0</v>
      </c>
    </row>
    <row r="103">
      <c r="A103" s="94">
        <f>IF($AN103=0,"",98)</f>
      </c>
      <c r="B103" s="94">
        <f t="shared" si="32"/>
      </c>
      <c r="C103" s="96">
        <f t="shared" si="33"/>
      </c>
      <c r="D103" s="94">
        <f t="shared" si="0"/>
      </c>
      <c r="E103" s="117">
        <f t="shared" si="1"/>
      </c>
      <c r="F103" s="96">
        <f t="shared" si="2"/>
      </c>
      <c r="G103" s="118">
        <f t="shared" si="3"/>
      </c>
      <c r="H103" s="118">
        <f t="shared" si="4"/>
      </c>
      <c r="I103" s="118">
        <f t="shared" si="5"/>
      </c>
      <c r="J103" s="118">
        <f t="shared" si="6"/>
      </c>
      <c r="K103" s="118">
        <f t="shared" si="7"/>
      </c>
      <c r="L103" s="118">
        <f t="shared" si="8"/>
      </c>
      <c r="M103" s="118">
        <f t="shared" si="9"/>
      </c>
      <c r="N103" s="118">
        <f t="shared" si="10"/>
      </c>
      <c r="O103" s="118">
        <f t="shared" si="11"/>
      </c>
      <c r="P103" s="119">
        <f t="shared" si="34"/>
      </c>
      <c r="Q103" s="21">
        <f t="shared" si="12"/>
      </c>
      <c r="R103" s="21">
        <f t="shared" si="13"/>
      </c>
      <c r="S103" s="21">
        <f t="shared" si="14"/>
      </c>
      <c r="T103" s="21">
        <f t="shared" si="15"/>
      </c>
      <c r="U103" s="21">
        <f t="shared" si="16"/>
      </c>
      <c r="V103" s="21">
        <f t="shared" si="17"/>
      </c>
      <c r="W103" s="21">
        <f t="shared" si="18"/>
      </c>
      <c r="X103" s="21">
        <f t="shared" si="19"/>
      </c>
      <c r="Y103" s="21">
        <f t="shared" si="20"/>
      </c>
      <c r="Z103" s="21">
        <f t="shared" si="21"/>
      </c>
      <c r="AA103" s="21">
        <f t="shared" si="22"/>
      </c>
      <c r="AB103" s="21">
        <f t="shared" si="23"/>
      </c>
      <c r="AC103" s="21">
        <f t="shared" si="24"/>
      </c>
      <c r="AD103" s="21">
        <f t="shared" si="25"/>
      </c>
      <c r="AE103" s="21">
        <f t="shared" si="26"/>
      </c>
      <c r="AF103" s="21">
        <f t="shared" si="27"/>
      </c>
      <c r="AG103" s="21">
        <f t="shared" si="28"/>
      </c>
      <c r="AH103" s="21">
        <f t="shared" si="29"/>
      </c>
      <c r="AI103" s="21">
        <f t="shared" si="30"/>
      </c>
      <c r="AJ103" s="21">
        <f t="shared" si="31"/>
      </c>
      <c r="AK103" s="94" t="n"/>
      <c r="AL103" s="96">
        <f t="shared" si="35"/>
      </c>
      <c r="AN103" s="2">
        <f>IF(98&gt;$BD$1000,0,IFERROR(MATCH(98,$BD$1:$BD$1000,0),0))</f>
        <v>0</v>
      </c>
      <c r="AO103" s="2">
        <f t="shared" si="36"/>
        <v>0</v>
      </c>
      <c r="AP103" s="2">
        <f t="shared" si="37"/>
      </c>
      <c r="AQ103" s="2">
        <f t="shared" si="38"/>
      </c>
      <c r="AR103" s="2">
        <f t="shared" si="39"/>
      </c>
      <c r="AS103" s="2">
        <f t="shared" si="40"/>
      </c>
      <c r="AT103" s="2">
        <f t="shared" si="41"/>
        <v>0</v>
      </c>
      <c r="AU103" s="2">
        <f t="shared" si="42"/>
        <v>0</v>
      </c>
      <c r="AV103" s="2">
        <f t="shared" si="43"/>
        <v>0</v>
      </c>
      <c r="AW103" s="2">
        <f t="shared" si="44"/>
        <v>0</v>
      </c>
      <c r="AX103" s="2">
        <f t="shared" si="45"/>
        <v>0</v>
      </c>
      <c r="AY103" s="2">
        <f t="shared" si="46"/>
        <v>0</v>
      </c>
      <c r="AZ103" s="2">
        <f t="shared" si="47"/>
        <v>0</v>
      </c>
      <c r="BA103" s="2">
        <f t="shared" si="48"/>
        <v>0</v>
      </c>
      <c r="BD103" s="2">
        <f>BD100+SUM(CB101:CB103)</f>
        <v>1</v>
      </c>
      <c r="CB103" s="2">
        <f>IF(考勤工资!$Y$107=$E$3,1,0)</f>
        <v>0</v>
      </c>
    </row>
    <row r="104">
      <c r="A104" s="94">
        <f>IF($AN104=0,"",99)</f>
      </c>
      <c r="B104" s="94">
        <f t="shared" si="32"/>
      </c>
      <c r="C104" s="96">
        <f t="shared" si="33"/>
      </c>
      <c r="D104" s="94">
        <f t="shared" si="0"/>
      </c>
      <c r="E104" s="117">
        <f t="shared" si="1"/>
      </c>
      <c r="F104" s="96">
        <f t="shared" si="2"/>
      </c>
      <c r="G104" s="118">
        <f t="shared" si="3"/>
      </c>
      <c r="H104" s="118">
        <f t="shared" si="4"/>
      </c>
      <c r="I104" s="118">
        <f t="shared" si="5"/>
      </c>
      <c r="J104" s="118">
        <f t="shared" si="6"/>
      </c>
      <c r="K104" s="118">
        <f t="shared" si="7"/>
      </c>
      <c r="L104" s="118">
        <f t="shared" si="8"/>
      </c>
      <c r="M104" s="118">
        <f t="shared" si="9"/>
      </c>
      <c r="N104" s="118">
        <f t="shared" si="10"/>
      </c>
      <c r="O104" s="118">
        <f t="shared" si="11"/>
      </c>
      <c r="P104" s="119">
        <f t="shared" si="34"/>
      </c>
      <c r="Q104" s="21">
        <f t="shared" si="12"/>
      </c>
      <c r="R104" s="21">
        <f t="shared" si="13"/>
      </c>
      <c r="S104" s="21">
        <f t="shared" si="14"/>
      </c>
      <c r="T104" s="21">
        <f t="shared" si="15"/>
      </c>
      <c r="U104" s="21">
        <f t="shared" si="16"/>
      </c>
      <c r="V104" s="21">
        <f t="shared" si="17"/>
      </c>
      <c r="W104" s="21">
        <f t="shared" si="18"/>
      </c>
      <c r="X104" s="21">
        <f t="shared" si="19"/>
      </c>
      <c r="Y104" s="21">
        <f t="shared" si="20"/>
      </c>
      <c r="Z104" s="21">
        <f t="shared" si="21"/>
      </c>
      <c r="AA104" s="21">
        <f t="shared" si="22"/>
      </c>
      <c r="AB104" s="21">
        <f t="shared" si="23"/>
      </c>
      <c r="AC104" s="21">
        <f t="shared" si="24"/>
      </c>
      <c r="AD104" s="21">
        <f t="shared" si="25"/>
      </c>
      <c r="AE104" s="21">
        <f t="shared" si="26"/>
      </c>
      <c r="AF104" s="21">
        <f t="shared" si="27"/>
      </c>
      <c r="AG104" s="21">
        <f t="shared" si="28"/>
      </c>
      <c r="AH104" s="21">
        <f t="shared" si="29"/>
      </c>
      <c r="AI104" s="21">
        <f t="shared" si="30"/>
      </c>
      <c r="AJ104" s="21">
        <f t="shared" si="31"/>
      </c>
      <c r="AK104" s="94" t="n"/>
      <c r="AL104" s="96">
        <f t="shared" si="35"/>
      </c>
      <c r="AN104" s="2">
        <f>IF(99&gt;$BD$1000,0,IFERROR(MATCH(99,$BD$1:$BD$1000,0),0))</f>
        <v>0</v>
      </c>
      <c r="AO104" s="2">
        <f t="shared" si="36"/>
        <v>0</v>
      </c>
      <c r="AP104" s="2">
        <f t="shared" si="37"/>
      </c>
      <c r="AQ104" s="2">
        <f t="shared" si="38"/>
      </c>
      <c r="AR104" s="2">
        <f t="shared" si="39"/>
      </c>
      <c r="AS104" s="2">
        <f t="shared" si="40"/>
      </c>
      <c r="AT104" s="2">
        <f t="shared" si="41"/>
        <v>0</v>
      </c>
      <c r="AU104" s="2">
        <f t="shared" si="42"/>
        <v>0</v>
      </c>
      <c r="AV104" s="2">
        <f t="shared" si="43"/>
        <v>0</v>
      </c>
      <c r="AW104" s="2">
        <f t="shared" si="44"/>
        <v>0</v>
      </c>
      <c r="AX104" s="2">
        <f t="shared" si="45"/>
        <v>0</v>
      </c>
      <c r="AY104" s="2">
        <f t="shared" si="46"/>
        <v>0</v>
      </c>
      <c r="AZ104" s="2">
        <f t="shared" si="47"/>
        <v>0</v>
      </c>
      <c r="BA104" s="2">
        <f t="shared" si="48"/>
        <v>0</v>
      </c>
      <c r="BD104" s="2">
        <f>BD100+SUM(CB101:CB104)</f>
        <v>1</v>
      </c>
      <c r="CB104" s="2">
        <f>IF(考勤工资!$Y$108=$E$3,1,0)</f>
        <v>0</v>
      </c>
    </row>
    <row r="105">
      <c r="A105" s="94">
        <f>IF($AN105=0,"",100)</f>
      </c>
      <c r="B105" s="94">
        <f t="shared" si="32"/>
      </c>
      <c r="C105" s="96">
        <f t="shared" si="33"/>
      </c>
      <c r="D105" s="94">
        <f t="shared" si="0"/>
      </c>
      <c r="E105" s="117">
        <f t="shared" si="1"/>
      </c>
      <c r="F105" s="96">
        <f t="shared" si="2"/>
      </c>
      <c r="G105" s="118">
        <f t="shared" si="3"/>
      </c>
      <c r="H105" s="118">
        <f t="shared" si="4"/>
      </c>
      <c r="I105" s="118">
        <f t="shared" si="5"/>
      </c>
      <c r="J105" s="118">
        <f t="shared" si="6"/>
      </c>
      <c r="K105" s="118">
        <f t="shared" si="7"/>
      </c>
      <c r="L105" s="118">
        <f t="shared" si="8"/>
      </c>
      <c r="M105" s="118">
        <f t="shared" si="9"/>
      </c>
      <c r="N105" s="118">
        <f t="shared" si="10"/>
      </c>
      <c r="O105" s="118">
        <f t="shared" si="11"/>
      </c>
      <c r="P105" s="119">
        <f t="shared" si="34"/>
      </c>
      <c r="Q105" s="21">
        <f t="shared" si="12"/>
      </c>
      <c r="R105" s="21">
        <f t="shared" si="13"/>
      </c>
      <c r="S105" s="21">
        <f t="shared" si="14"/>
      </c>
      <c r="T105" s="21">
        <f t="shared" si="15"/>
      </c>
      <c r="U105" s="21">
        <f t="shared" si="16"/>
      </c>
      <c r="V105" s="21">
        <f t="shared" si="17"/>
      </c>
      <c r="W105" s="21">
        <f t="shared" si="18"/>
      </c>
      <c r="X105" s="21">
        <f t="shared" si="19"/>
      </c>
      <c r="Y105" s="21">
        <f t="shared" si="20"/>
      </c>
      <c r="Z105" s="21">
        <f t="shared" si="21"/>
      </c>
      <c r="AA105" s="21">
        <f t="shared" si="22"/>
      </c>
      <c r="AB105" s="21">
        <f t="shared" si="23"/>
      </c>
      <c r="AC105" s="21">
        <f t="shared" si="24"/>
      </c>
      <c r="AD105" s="21">
        <f t="shared" si="25"/>
      </c>
      <c r="AE105" s="21">
        <f t="shared" si="26"/>
      </c>
      <c r="AF105" s="21">
        <f t="shared" si="27"/>
      </c>
      <c r="AG105" s="21">
        <f t="shared" si="28"/>
      </c>
      <c r="AH105" s="21">
        <f t="shared" si="29"/>
      </c>
      <c r="AI105" s="21">
        <f t="shared" si="30"/>
      </c>
      <c r="AJ105" s="21">
        <f t="shared" si="31"/>
      </c>
      <c r="AK105" s="94" t="n"/>
      <c r="AL105" s="96">
        <f t="shared" si="35"/>
      </c>
      <c r="AN105" s="2">
        <f>IF(100&gt;$BD$1000,0,IFERROR(MATCH(100,$BD$1:$BD$1000,0),0))</f>
        <v>0</v>
      </c>
      <c r="AO105" s="2">
        <f t="shared" si="36"/>
        <v>0</v>
      </c>
      <c r="AP105" s="2">
        <f t="shared" si="37"/>
      </c>
      <c r="AQ105" s="2">
        <f t="shared" si="38"/>
      </c>
      <c r="AR105" s="2">
        <f t="shared" si="39"/>
      </c>
      <c r="AS105" s="2">
        <f t="shared" si="40"/>
      </c>
      <c r="AT105" s="2">
        <f t="shared" si="41"/>
        <v>0</v>
      </c>
      <c r="AU105" s="2">
        <f t="shared" si="42"/>
        <v>0</v>
      </c>
      <c r="AV105" s="2">
        <f t="shared" si="43"/>
        <v>0</v>
      </c>
      <c r="AW105" s="2">
        <f t="shared" si="44"/>
        <v>0</v>
      </c>
      <c r="AX105" s="2">
        <f t="shared" si="45"/>
        <v>0</v>
      </c>
      <c r="AY105" s="2">
        <f t="shared" si="46"/>
        <v>0</v>
      </c>
      <c r="AZ105" s="2">
        <f t="shared" si="47"/>
        <v>0</v>
      </c>
      <c r="BA105" s="2">
        <f t="shared" si="48"/>
        <v>0</v>
      </c>
      <c r="BD105" s="2">
        <f>BD100+SUM(CB101:CB105)</f>
        <v>1</v>
      </c>
      <c r="CB105" s="2">
        <f>IF(考勤工资!$Y$109=$E$3,1,0)</f>
        <v>0</v>
      </c>
    </row>
    <row r="106">
      <c r="A106" s="94">
        <f>IF($AN106=0,"",101)</f>
      </c>
      <c r="B106" s="94">
        <f t="shared" si="32"/>
      </c>
      <c r="C106" s="96">
        <f t="shared" si="33"/>
      </c>
      <c r="D106" s="94">
        <f t="shared" si="0"/>
      </c>
      <c r="E106" s="117">
        <f t="shared" si="1"/>
      </c>
      <c r="F106" s="96">
        <f t="shared" si="2"/>
      </c>
      <c r="G106" s="118">
        <f t="shared" si="3"/>
      </c>
      <c r="H106" s="118">
        <f t="shared" si="4"/>
      </c>
      <c r="I106" s="118">
        <f t="shared" si="5"/>
      </c>
      <c r="J106" s="118">
        <f t="shared" si="6"/>
      </c>
      <c r="K106" s="118">
        <f t="shared" si="7"/>
      </c>
      <c r="L106" s="118">
        <f t="shared" si="8"/>
      </c>
      <c r="M106" s="118">
        <f t="shared" si="9"/>
      </c>
      <c r="N106" s="118">
        <f t="shared" si="10"/>
      </c>
      <c r="O106" s="118">
        <f t="shared" si="11"/>
      </c>
      <c r="P106" s="119">
        <f t="shared" si="34"/>
      </c>
      <c r="Q106" s="21">
        <f t="shared" si="12"/>
      </c>
      <c r="R106" s="21">
        <f t="shared" si="13"/>
      </c>
      <c r="S106" s="21">
        <f t="shared" si="14"/>
      </c>
      <c r="T106" s="21">
        <f t="shared" si="15"/>
      </c>
      <c r="U106" s="21">
        <f t="shared" si="16"/>
      </c>
      <c r="V106" s="21">
        <f t="shared" si="17"/>
      </c>
      <c r="W106" s="21">
        <f t="shared" si="18"/>
      </c>
      <c r="X106" s="21">
        <f t="shared" si="19"/>
      </c>
      <c r="Y106" s="21">
        <f t="shared" si="20"/>
      </c>
      <c r="Z106" s="21">
        <f t="shared" si="21"/>
      </c>
      <c r="AA106" s="21">
        <f t="shared" si="22"/>
      </c>
      <c r="AB106" s="21">
        <f t="shared" si="23"/>
      </c>
      <c r="AC106" s="21">
        <f t="shared" si="24"/>
      </c>
      <c r="AD106" s="21">
        <f t="shared" si="25"/>
      </c>
      <c r="AE106" s="21">
        <f t="shared" si="26"/>
      </c>
      <c r="AF106" s="21">
        <f t="shared" si="27"/>
      </c>
      <c r="AG106" s="21">
        <f t="shared" si="28"/>
      </c>
      <c r="AH106" s="21">
        <f t="shared" si="29"/>
      </c>
      <c r="AI106" s="21">
        <f t="shared" si="30"/>
      </c>
      <c r="AJ106" s="21">
        <f t="shared" si="31"/>
      </c>
      <c r="AK106" s="94" t="n"/>
      <c r="AL106" s="96">
        <f t="shared" si="35"/>
      </c>
      <c r="AN106" s="2">
        <f>IF(101&gt;$BD$1000,0,IFERROR(MATCH(101,$BD$1:$BD$1000,0),0))</f>
        <v>0</v>
      </c>
      <c r="AO106" s="2">
        <f t="shared" si="36"/>
        <v>0</v>
      </c>
      <c r="AP106" s="2">
        <f t="shared" si="37"/>
      </c>
      <c r="AQ106" s="2">
        <f t="shared" si="38"/>
      </c>
      <c r="AR106" s="2">
        <f t="shared" si="39"/>
      </c>
      <c r="AS106" s="2">
        <f t="shared" si="40"/>
      </c>
      <c r="AT106" s="2">
        <f t="shared" si="41"/>
        <v>0</v>
      </c>
      <c r="AU106" s="2">
        <f t="shared" si="42"/>
        <v>0</v>
      </c>
      <c r="AV106" s="2">
        <f t="shared" si="43"/>
        <v>0</v>
      </c>
      <c r="AW106" s="2">
        <f t="shared" si="44"/>
        <v>0</v>
      </c>
      <c r="AX106" s="2">
        <f t="shared" si="45"/>
        <v>0</v>
      </c>
      <c r="AY106" s="2">
        <f t="shared" si="46"/>
        <v>0</v>
      </c>
      <c r="AZ106" s="2">
        <f t="shared" si="47"/>
        <v>0</v>
      </c>
      <c r="BA106" s="2">
        <f t="shared" si="48"/>
        <v>0</v>
      </c>
      <c r="BD106" s="2">
        <f>BD100+SUM(CB101:CB106)</f>
        <v>1</v>
      </c>
      <c r="CB106" s="2">
        <f>IF(考勤工资!$Y$110=$E$3,1,0)</f>
        <v>0</v>
      </c>
    </row>
    <row r="107">
      <c r="A107" s="94">
        <f>IF($AN107=0,"",102)</f>
      </c>
      <c r="B107" s="94">
        <f t="shared" si="32"/>
      </c>
      <c r="C107" s="96">
        <f t="shared" si="33"/>
      </c>
      <c r="D107" s="94">
        <f t="shared" si="0"/>
      </c>
      <c r="E107" s="117">
        <f t="shared" si="1"/>
      </c>
      <c r="F107" s="96">
        <f t="shared" si="2"/>
      </c>
      <c r="G107" s="118">
        <f t="shared" si="3"/>
      </c>
      <c r="H107" s="118">
        <f t="shared" si="4"/>
      </c>
      <c r="I107" s="118">
        <f t="shared" si="5"/>
      </c>
      <c r="J107" s="118">
        <f t="shared" si="6"/>
      </c>
      <c r="K107" s="118">
        <f t="shared" si="7"/>
      </c>
      <c r="L107" s="118">
        <f t="shared" si="8"/>
      </c>
      <c r="M107" s="118">
        <f t="shared" si="9"/>
      </c>
      <c r="N107" s="118">
        <f t="shared" si="10"/>
      </c>
      <c r="O107" s="118">
        <f t="shared" si="11"/>
      </c>
      <c r="P107" s="119">
        <f t="shared" si="34"/>
      </c>
      <c r="Q107" s="21">
        <f t="shared" si="12"/>
      </c>
      <c r="R107" s="21">
        <f t="shared" si="13"/>
      </c>
      <c r="S107" s="21">
        <f t="shared" si="14"/>
      </c>
      <c r="T107" s="21">
        <f t="shared" si="15"/>
      </c>
      <c r="U107" s="21">
        <f t="shared" si="16"/>
      </c>
      <c r="V107" s="21">
        <f t="shared" si="17"/>
      </c>
      <c r="W107" s="21">
        <f t="shared" si="18"/>
      </c>
      <c r="X107" s="21">
        <f t="shared" si="19"/>
      </c>
      <c r="Y107" s="21">
        <f t="shared" si="20"/>
      </c>
      <c r="Z107" s="21">
        <f t="shared" si="21"/>
      </c>
      <c r="AA107" s="21">
        <f t="shared" si="22"/>
      </c>
      <c r="AB107" s="21">
        <f t="shared" si="23"/>
      </c>
      <c r="AC107" s="21">
        <f t="shared" si="24"/>
      </c>
      <c r="AD107" s="21">
        <f t="shared" si="25"/>
      </c>
      <c r="AE107" s="21">
        <f t="shared" si="26"/>
      </c>
      <c r="AF107" s="21">
        <f t="shared" si="27"/>
      </c>
      <c r="AG107" s="21">
        <f t="shared" si="28"/>
      </c>
      <c r="AH107" s="21">
        <f t="shared" si="29"/>
      </c>
      <c r="AI107" s="21">
        <f t="shared" si="30"/>
      </c>
      <c r="AJ107" s="21">
        <f t="shared" si="31"/>
      </c>
      <c r="AK107" s="94" t="n"/>
      <c r="AL107" s="96">
        <f t="shared" si="35"/>
      </c>
      <c r="AN107" s="2">
        <f>IF(102&gt;$BD$1000,0,IFERROR(MATCH(102,$BD$1:$BD$1000,0),0))</f>
        <v>0</v>
      </c>
      <c r="AO107" s="2">
        <f t="shared" si="36"/>
        <v>0</v>
      </c>
      <c r="AP107" s="2">
        <f t="shared" si="37"/>
      </c>
      <c r="AQ107" s="2">
        <f t="shared" si="38"/>
      </c>
      <c r="AR107" s="2">
        <f t="shared" si="39"/>
      </c>
      <c r="AS107" s="2">
        <f t="shared" si="40"/>
      </c>
      <c r="AT107" s="2">
        <f t="shared" si="41"/>
        <v>0</v>
      </c>
      <c r="AU107" s="2">
        <f t="shared" si="42"/>
        <v>0</v>
      </c>
      <c r="AV107" s="2">
        <f t="shared" si="43"/>
        <v>0</v>
      </c>
      <c r="AW107" s="2">
        <f t="shared" si="44"/>
        <v>0</v>
      </c>
      <c r="AX107" s="2">
        <f t="shared" si="45"/>
        <v>0</v>
      </c>
      <c r="AY107" s="2">
        <f t="shared" si="46"/>
        <v>0</v>
      </c>
      <c r="AZ107" s="2">
        <f t="shared" si="47"/>
        <v>0</v>
      </c>
      <c r="BA107" s="2">
        <f t="shared" si="48"/>
        <v>0</v>
      </c>
      <c r="BD107" s="2">
        <f>BD100+SUM(CB101:CB107)</f>
        <v>1</v>
      </c>
      <c r="CB107" s="2">
        <f>IF(考勤工资!$Y$111=$E$3,1,0)</f>
        <v>0</v>
      </c>
    </row>
    <row r="108">
      <c r="A108" s="94">
        <f>IF($AN108=0,"",103)</f>
      </c>
      <c r="B108" s="94">
        <f t="shared" si="32"/>
      </c>
      <c r="C108" s="96">
        <f t="shared" si="33"/>
      </c>
      <c r="D108" s="94">
        <f t="shared" si="0"/>
      </c>
      <c r="E108" s="117">
        <f t="shared" si="1"/>
      </c>
      <c r="F108" s="96">
        <f t="shared" si="2"/>
      </c>
      <c r="G108" s="118">
        <f t="shared" si="3"/>
      </c>
      <c r="H108" s="118">
        <f t="shared" si="4"/>
      </c>
      <c r="I108" s="118">
        <f t="shared" si="5"/>
      </c>
      <c r="J108" s="118">
        <f t="shared" si="6"/>
      </c>
      <c r="K108" s="118">
        <f t="shared" si="7"/>
      </c>
      <c r="L108" s="118">
        <f t="shared" si="8"/>
      </c>
      <c r="M108" s="118">
        <f t="shared" si="9"/>
      </c>
      <c r="N108" s="118">
        <f t="shared" si="10"/>
      </c>
      <c r="O108" s="118">
        <f t="shared" si="11"/>
      </c>
      <c r="P108" s="119">
        <f t="shared" si="34"/>
      </c>
      <c r="Q108" s="21">
        <f t="shared" si="12"/>
      </c>
      <c r="R108" s="21">
        <f t="shared" si="13"/>
      </c>
      <c r="S108" s="21">
        <f t="shared" si="14"/>
      </c>
      <c r="T108" s="21">
        <f t="shared" si="15"/>
      </c>
      <c r="U108" s="21">
        <f t="shared" si="16"/>
      </c>
      <c r="V108" s="21">
        <f t="shared" si="17"/>
      </c>
      <c r="W108" s="21">
        <f t="shared" si="18"/>
      </c>
      <c r="X108" s="21">
        <f t="shared" si="19"/>
      </c>
      <c r="Y108" s="21">
        <f t="shared" si="20"/>
      </c>
      <c r="Z108" s="21">
        <f t="shared" si="21"/>
      </c>
      <c r="AA108" s="21">
        <f t="shared" si="22"/>
      </c>
      <c r="AB108" s="21">
        <f t="shared" si="23"/>
      </c>
      <c r="AC108" s="21">
        <f t="shared" si="24"/>
      </c>
      <c r="AD108" s="21">
        <f t="shared" si="25"/>
      </c>
      <c r="AE108" s="21">
        <f t="shared" si="26"/>
      </c>
      <c r="AF108" s="21">
        <f t="shared" si="27"/>
      </c>
      <c r="AG108" s="21">
        <f t="shared" si="28"/>
      </c>
      <c r="AH108" s="21">
        <f t="shared" si="29"/>
      </c>
      <c r="AI108" s="21">
        <f t="shared" si="30"/>
      </c>
      <c r="AJ108" s="21">
        <f t="shared" si="31"/>
      </c>
      <c r="AK108" s="94" t="n"/>
      <c r="AL108" s="96">
        <f t="shared" si="35"/>
      </c>
      <c r="AN108" s="2">
        <f>IF(103&gt;$BD$1000,0,IFERROR(MATCH(103,$BD$1:$BD$1000,0),0))</f>
        <v>0</v>
      </c>
      <c r="AO108" s="2">
        <f t="shared" si="36"/>
        <v>0</v>
      </c>
      <c r="AP108" s="2">
        <f t="shared" si="37"/>
      </c>
      <c r="AQ108" s="2">
        <f t="shared" si="38"/>
      </c>
      <c r="AR108" s="2">
        <f t="shared" si="39"/>
      </c>
      <c r="AS108" s="2">
        <f t="shared" si="40"/>
      </c>
      <c r="AT108" s="2">
        <f t="shared" si="41"/>
        <v>0</v>
      </c>
      <c r="AU108" s="2">
        <f t="shared" si="42"/>
        <v>0</v>
      </c>
      <c r="AV108" s="2">
        <f t="shared" si="43"/>
        <v>0</v>
      </c>
      <c r="AW108" s="2">
        <f t="shared" si="44"/>
        <v>0</v>
      </c>
      <c r="AX108" s="2">
        <f t="shared" si="45"/>
        <v>0</v>
      </c>
      <c r="AY108" s="2">
        <f t="shared" si="46"/>
        <v>0</v>
      </c>
      <c r="AZ108" s="2">
        <f t="shared" si="47"/>
        <v>0</v>
      </c>
      <c r="BA108" s="2">
        <f t="shared" si="48"/>
        <v>0</v>
      </c>
      <c r="BD108" s="2">
        <f>BD100+SUM(CB101:CB108)</f>
        <v>1</v>
      </c>
      <c r="CB108" s="2">
        <f>IF(考勤工资!$Y$112=$E$3,1,0)</f>
        <v>0</v>
      </c>
    </row>
    <row r="109">
      <c r="A109" s="94">
        <f>IF($AN109=0,"",104)</f>
      </c>
      <c r="B109" s="94">
        <f t="shared" si="32"/>
      </c>
      <c r="C109" s="96">
        <f t="shared" si="33"/>
      </c>
      <c r="D109" s="94">
        <f t="shared" si="0"/>
      </c>
      <c r="E109" s="117">
        <f t="shared" si="1"/>
      </c>
      <c r="F109" s="96">
        <f t="shared" si="2"/>
      </c>
      <c r="G109" s="118">
        <f t="shared" si="3"/>
      </c>
      <c r="H109" s="118">
        <f t="shared" si="4"/>
      </c>
      <c r="I109" s="118">
        <f t="shared" si="5"/>
      </c>
      <c r="J109" s="118">
        <f t="shared" si="6"/>
      </c>
      <c r="K109" s="118">
        <f t="shared" si="7"/>
      </c>
      <c r="L109" s="118">
        <f t="shared" si="8"/>
      </c>
      <c r="M109" s="118">
        <f t="shared" si="9"/>
      </c>
      <c r="N109" s="118">
        <f t="shared" si="10"/>
      </c>
      <c r="O109" s="118">
        <f t="shared" si="11"/>
      </c>
      <c r="P109" s="119">
        <f t="shared" si="34"/>
      </c>
      <c r="Q109" s="21">
        <f t="shared" si="12"/>
      </c>
      <c r="R109" s="21">
        <f t="shared" si="13"/>
      </c>
      <c r="S109" s="21">
        <f t="shared" si="14"/>
      </c>
      <c r="T109" s="21">
        <f t="shared" si="15"/>
      </c>
      <c r="U109" s="21">
        <f t="shared" si="16"/>
      </c>
      <c r="V109" s="21">
        <f t="shared" si="17"/>
      </c>
      <c r="W109" s="21">
        <f t="shared" si="18"/>
      </c>
      <c r="X109" s="21">
        <f t="shared" si="19"/>
      </c>
      <c r="Y109" s="21">
        <f t="shared" si="20"/>
      </c>
      <c r="Z109" s="21">
        <f t="shared" si="21"/>
      </c>
      <c r="AA109" s="21">
        <f t="shared" si="22"/>
      </c>
      <c r="AB109" s="21">
        <f t="shared" si="23"/>
      </c>
      <c r="AC109" s="21">
        <f t="shared" si="24"/>
      </c>
      <c r="AD109" s="21">
        <f t="shared" si="25"/>
      </c>
      <c r="AE109" s="21">
        <f t="shared" si="26"/>
      </c>
      <c r="AF109" s="21">
        <f t="shared" si="27"/>
      </c>
      <c r="AG109" s="21">
        <f t="shared" si="28"/>
      </c>
      <c r="AH109" s="21">
        <f t="shared" si="29"/>
      </c>
      <c r="AI109" s="21">
        <f t="shared" si="30"/>
      </c>
      <c r="AJ109" s="21">
        <f t="shared" si="31"/>
      </c>
      <c r="AK109" s="94" t="n"/>
      <c r="AL109" s="96">
        <f t="shared" si="35"/>
      </c>
      <c r="AN109" s="2">
        <f>IF(104&gt;$BD$1000,0,IFERROR(MATCH(104,$BD$1:$BD$1000,0),0))</f>
        <v>0</v>
      </c>
      <c r="AO109" s="2">
        <f t="shared" si="36"/>
        <v>0</v>
      </c>
      <c r="AP109" s="2">
        <f t="shared" si="37"/>
      </c>
      <c r="AQ109" s="2">
        <f t="shared" si="38"/>
      </c>
      <c r="AR109" s="2">
        <f t="shared" si="39"/>
      </c>
      <c r="AS109" s="2">
        <f t="shared" si="40"/>
      </c>
      <c r="AT109" s="2">
        <f t="shared" si="41"/>
        <v>0</v>
      </c>
      <c r="AU109" s="2">
        <f t="shared" si="42"/>
        <v>0</v>
      </c>
      <c r="AV109" s="2">
        <f t="shared" si="43"/>
        <v>0</v>
      </c>
      <c r="AW109" s="2">
        <f t="shared" si="44"/>
        <v>0</v>
      </c>
      <c r="AX109" s="2">
        <f t="shared" si="45"/>
        <v>0</v>
      </c>
      <c r="AY109" s="2">
        <f t="shared" si="46"/>
        <v>0</v>
      </c>
      <c r="AZ109" s="2">
        <f t="shared" si="47"/>
        <v>0</v>
      </c>
      <c r="BA109" s="2">
        <f t="shared" si="48"/>
        <v>0</v>
      </c>
      <c r="BD109" s="2">
        <f>BD100+SUM(CB101:CB109)</f>
        <v>1</v>
      </c>
      <c r="CB109" s="2">
        <f>IF(考勤工资!$Y$113=$E$3,1,0)</f>
        <v>0</v>
      </c>
    </row>
    <row r="110">
      <c r="A110" s="94">
        <f>IF($AN110=0,"",105)</f>
      </c>
      <c r="B110" s="94">
        <f t="shared" si="32"/>
      </c>
      <c r="C110" s="96">
        <f t="shared" si="33"/>
      </c>
      <c r="D110" s="94">
        <f t="shared" si="0"/>
      </c>
      <c r="E110" s="117">
        <f t="shared" si="1"/>
      </c>
      <c r="F110" s="96">
        <f t="shared" si="2"/>
      </c>
      <c r="G110" s="118">
        <f t="shared" si="3"/>
      </c>
      <c r="H110" s="118">
        <f t="shared" si="4"/>
      </c>
      <c r="I110" s="118">
        <f t="shared" si="5"/>
      </c>
      <c r="J110" s="118">
        <f t="shared" si="6"/>
      </c>
      <c r="K110" s="118">
        <f t="shared" si="7"/>
      </c>
      <c r="L110" s="118">
        <f t="shared" si="8"/>
      </c>
      <c r="M110" s="118">
        <f t="shared" si="9"/>
      </c>
      <c r="N110" s="118">
        <f t="shared" si="10"/>
      </c>
      <c r="O110" s="118">
        <f t="shared" si="11"/>
      </c>
      <c r="P110" s="119">
        <f t="shared" si="34"/>
      </c>
      <c r="Q110" s="21">
        <f t="shared" si="12"/>
      </c>
      <c r="R110" s="21">
        <f t="shared" si="13"/>
      </c>
      <c r="S110" s="21">
        <f t="shared" si="14"/>
      </c>
      <c r="T110" s="21">
        <f t="shared" si="15"/>
      </c>
      <c r="U110" s="21">
        <f t="shared" si="16"/>
      </c>
      <c r="V110" s="21">
        <f t="shared" si="17"/>
      </c>
      <c r="W110" s="21">
        <f t="shared" si="18"/>
      </c>
      <c r="X110" s="21">
        <f t="shared" si="19"/>
      </c>
      <c r="Y110" s="21">
        <f t="shared" si="20"/>
      </c>
      <c r="Z110" s="21">
        <f t="shared" si="21"/>
      </c>
      <c r="AA110" s="21">
        <f t="shared" si="22"/>
      </c>
      <c r="AB110" s="21">
        <f t="shared" si="23"/>
      </c>
      <c r="AC110" s="21">
        <f t="shared" si="24"/>
      </c>
      <c r="AD110" s="21">
        <f t="shared" si="25"/>
      </c>
      <c r="AE110" s="21">
        <f t="shared" si="26"/>
      </c>
      <c r="AF110" s="21">
        <f t="shared" si="27"/>
      </c>
      <c r="AG110" s="21">
        <f t="shared" si="28"/>
      </c>
      <c r="AH110" s="21">
        <f t="shared" si="29"/>
      </c>
      <c r="AI110" s="21">
        <f t="shared" si="30"/>
      </c>
      <c r="AJ110" s="21">
        <f t="shared" si="31"/>
      </c>
      <c r="AK110" s="94" t="n"/>
      <c r="AL110" s="96">
        <f t="shared" si="35"/>
      </c>
      <c r="AN110" s="2">
        <f>IF(105&gt;$BD$1000,0,IFERROR(MATCH(105,$BD$1:$BD$1000,0),0))</f>
        <v>0</v>
      </c>
      <c r="AO110" s="2">
        <f t="shared" si="36"/>
        <v>0</v>
      </c>
      <c r="AP110" s="2">
        <f t="shared" si="37"/>
      </c>
      <c r="AQ110" s="2">
        <f t="shared" si="38"/>
      </c>
      <c r="AR110" s="2">
        <f t="shared" si="39"/>
      </c>
      <c r="AS110" s="2">
        <f t="shared" si="40"/>
      </c>
      <c r="AT110" s="2">
        <f t="shared" si="41"/>
        <v>0</v>
      </c>
      <c r="AU110" s="2">
        <f t="shared" si="42"/>
        <v>0</v>
      </c>
      <c r="AV110" s="2">
        <f t="shared" si="43"/>
        <v>0</v>
      </c>
      <c r="AW110" s="2">
        <f t="shared" si="44"/>
        <v>0</v>
      </c>
      <c r="AX110" s="2">
        <f t="shared" si="45"/>
        <v>0</v>
      </c>
      <c r="AY110" s="2">
        <f t="shared" si="46"/>
        <v>0</v>
      </c>
      <c r="AZ110" s="2">
        <f t="shared" si="47"/>
        <v>0</v>
      </c>
      <c r="BA110" s="2">
        <f t="shared" si="48"/>
        <v>0</v>
      </c>
      <c r="BD110" s="2">
        <f>BD100+SUM(CB101:CB110)</f>
        <v>1</v>
      </c>
      <c r="CB110" s="2">
        <f>IF(考勤工资!$Y$114=$E$3,1,0)</f>
        <v>0</v>
      </c>
    </row>
    <row r="111">
      <c r="A111" s="94">
        <f>IF($AN111=0,"",106)</f>
      </c>
      <c r="B111" s="94">
        <f t="shared" si="32"/>
      </c>
      <c r="C111" s="96">
        <f t="shared" si="33"/>
      </c>
      <c r="D111" s="94">
        <f t="shared" si="0"/>
      </c>
      <c r="E111" s="117">
        <f t="shared" si="1"/>
      </c>
      <c r="F111" s="96">
        <f t="shared" si="2"/>
      </c>
      <c r="G111" s="118">
        <f t="shared" si="3"/>
      </c>
      <c r="H111" s="118">
        <f t="shared" si="4"/>
      </c>
      <c r="I111" s="118">
        <f t="shared" si="5"/>
      </c>
      <c r="J111" s="118">
        <f t="shared" si="6"/>
      </c>
      <c r="K111" s="118">
        <f t="shared" si="7"/>
      </c>
      <c r="L111" s="118">
        <f t="shared" si="8"/>
      </c>
      <c r="M111" s="118">
        <f t="shared" si="9"/>
      </c>
      <c r="N111" s="118">
        <f t="shared" si="10"/>
      </c>
      <c r="O111" s="118">
        <f t="shared" si="11"/>
      </c>
      <c r="P111" s="119">
        <f t="shared" si="34"/>
      </c>
      <c r="Q111" s="21">
        <f t="shared" si="12"/>
      </c>
      <c r="R111" s="21">
        <f t="shared" si="13"/>
      </c>
      <c r="S111" s="21">
        <f t="shared" si="14"/>
      </c>
      <c r="T111" s="21">
        <f t="shared" si="15"/>
      </c>
      <c r="U111" s="21">
        <f t="shared" si="16"/>
      </c>
      <c r="V111" s="21">
        <f t="shared" si="17"/>
      </c>
      <c r="W111" s="21">
        <f t="shared" si="18"/>
      </c>
      <c r="X111" s="21">
        <f t="shared" si="19"/>
      </c>
      <c r="Y111" s="21">
        <f t="shared" si="20"/>
      </c>
      <c r="Z111" s="21">
        <f t="shared" si="21"/>
      </c>
      <c r="AA111" s="21">
        <f t="shared" si="22"/>
      </c>
      <c r="AB111" s="21">
        <f t="shared" si="23"/>
      </c>
      <c r="AC111" s="21">
        <f t="shared" si="24"/>
      </c>
      <c r="AD111" s="21">
        <f t="shared" si="25"/>
      </c>
      <c r="AE111" s="21">
        <f t="shared" si="26"/>
      </c>
      <c r="AF111" s="21">
        <f t="shared" si="27"/>
      </c>
      <c r="AG111" s="21">
        <f t="shared" si="28"/>
      </c>
      <c r="AH111" s="21">
        <f t="shared" si="29"/>
      </c>
      <c r="AI111" s="21">
        <f t="shared" si="30"/>
      </c>
      <c r="AJ111" s="21">
        <f t="shared" si="31"/>
      </c>
      <c r="AK111" s="94" t="n"/>
      <c r="AL111" s="96">
        <f t="shared" si="35"/>
      </c>
      <c r="AN111" s="2">
        <f>IF(106&gt;$BD$1000,0,IFERROR(MATCH(106,$BD$1:$BD$1000,0),0))</f>
        <v>0</v>
      </c>
      <c r="AO111" s="2">
        <f t="shared" si="36"/>
        <v>0</v>
      </c>
      <c r="AP111" s="2">
        <f t="shared" si="37"/>
      </c>
      <c r="AQ111" s="2">
        <f t="shared" si="38"/>
      </c>
      <c r="AR111" s="2">
        <f t="shared" si="39"/>
      </c>
      <c r="AS111" s="2">
        <f t="shared" si="40"/>
      </c>
      <c r="AT111" s="2">
        <f t="shared" si="41"/>
        <v>0</v>
      </c>
      <c r="AU111" s="2">
        <f t="shared" si="42"/>
        <v>0</v>
      </c>
      <c r="AV111" s="2">
        <f t="shared" si="43"/>
        <v>0</v>
      </c>
      <c r="AW111" s="2">
        <f t="shared" si="44"/>
        <v>0</v>
      </c>
      <c r="AX111" s="2">
        <f t="shared" si="45"/>
        <v>0</v>
      </c>
      <c r="AY111" s="2">
        <f t="shared" si="46"/>
        <v>0</v>
      </c>
      <c r="AZ111" s="2">
        <f t="shared" si="47"/>
        <v>0</v>
      </c>
      <c r="BA111" s="2">
        <f t="shared" si="48"/>
        <v>0</v>
      </c>
      <c r="BD111" s="2">
        <f>BD100+SUM(CB101:CB111)</f>
        <v>1</v>
      </c>
      <c r="CB111" s="2">
        <f>IF(考勤工资!$Y$115=$E$3,1,0)</f>
        <v>0</v>
      </c>
    </row>
    <row r="112">
      <c r="A112" s="94">
        <f>IF($AN112=0,"",107)</f>
      </c>
      <c r="B112" s="94">
        <f t="shared" si="32"/>
      </c>
      <c r="C112" s="96">
        <f t="shared" si="33"/>
      </c>
      <c r="D112" s="94">
        <f t="shared" si="0"/>
      </c>
      <c r="E112" s="117">
        <f t="shared" si="1"/>
      </c>
      <c r="F112" s="96">
        <f t="shared" si="2"/>
      </c>
      <c r="G112" s="118">
        <f t="shared" si="3"/>
      </c>
      <c r="H112" s="118">
        <f t="shared" si="4"/>
      </c>
      <c r="I112" s="118">
        <f t="shared" si="5"/>
      </c>
      <c r="J112" s="118">
        <f t="shared" si="6"/>
      </c>
      <c r="K112" s="118">
        <f t="shared" si="7"/>
      </c>
      <c r="L112" s="118">
        <f t="shared" si="8"/>
      </c>
      <c r="M112" s="118">
        <f t="shared" si="9"/>
      </c>
      <c r="N112" s="118">
        <f t="shared" si="10"/>
      </c>
      <c r="O112" s="118">
        <f t="shared" si="11"/>
      </c>
      <c r="P112" s="119">
        <f t="shared" si="34"/>
      </c>
      <c r="Q112" s="21">
        <f t="shared" si="12"/>
      </c>
      <c r="R112" s="21">
        <f t="shared" si="13"/>
      </c>
      <c r="S112" s="21">
        <f t="shared" si="14"/>
      </c>
      <c r="T112" s="21">
        <f t="shared" si="15"/>
      </c>
      <c r="U112" s="21">
        <f t="shared" si="16"/>
      </c>
      <c r="V112" s="21">
        <f t="shared" si="17"/>
      </c>
      <c r="W112" s="21">
        <f t="shared" si="18"/>
      </c>
      <c r="X112" s="21">
        <f t="shared" si="19"/>
      </c>
      <c r="Y112" s="21">
        <f t="shared" si="20"/>
      </c>
      <c r="Z112" s="21">
        <f t="shared" si="21"/>
      </c>
      <c r="AA112" s="21">
        <f t="shared" si="22"/>
      </c>
      <c r="AB112" s="21">
        <f t="shared" si="23"/>
      </c>
      <c r="AC112" s="21">
        <f t="shared" si="24"/>
      </c>
      <c r="AD112" s="21">
        <f t="shared" si="25"/>
      </c>
      <c r="AE112" s="21">
        <f t="shared" si="26"/>
      </c>
      <c r="AF112" s="21">
        <f t="shared" si="27"/>
      </c>
      <c r="AG112" s="21">
        <f t="shared" si="28"/>
      </c>
      <c r="AH112" s="21">
        <f t="shared" si="29"/>
      </c>
      <c r="AI112" s="21">
        <f t="shared" si="30"/>
      </c>
      <c r="AJ112" s="21">
        <f t="shared" si="31"/>
      </c>
      <c r="AK112" s="94" t="n"/>
      <c r="AL112" s="96">
        <f t="shared" si="35"/>
      </c>
      <c r="AN112" s="2">
        <f>IF(107&gt;$BD$1000,0,IFERROR(MATCH(107,$BD$1:$BD$1000,0),0))</f>
        <v>0</v>
      </c>
      <c r="AO112" s="2">
        <f t="shared" si="36"/>
        <v>0</v>
      </c>
      <c r="AP112" s="2">
        <f t="shared" si="37"/>
      </c>
      <c r="AQ112" s="2">
        <f t="shared" si="38"/>
      </c>
      <c r="AR112" s="2">
        <f t="shared" si="39"/>
      </c>
      <c r="AS112" s="2">
        <f t="shared" si="40"/>
      </c>
      <c r="AT112" s="2">
        <f t="shared" si="41"/>
        <v>0</v>
      </c>
      <c r="AU112" s="2">
        <f t="shared" si="42"/>
        <v>0</v>
      </c>
      <c r="AV112" s="2">
        <f t="shared" si="43"/>
        <v>0</v>
      </c>
      <c r="AW112" s="2">
        <f t="shared" si="44"/>
        <v>0</v>
      </c>
      <c r="AX112" s="2">
        <f t="shared" si="45"/>
        <v>0</v>
      </c>
      <c r="AY112" s="2">
        <f t="shared" si="46"/>
        <v>0</v>
      </c>
      <c r="AZ112" s="2">
        <f t="shared" si="47"/>
        <v>0</v>
      </c>
      <c r="BA112" s="2">
        <f t="shared" si="48"/>
        <v>0</v>
      </c>
      <c r="BD112" s="2">
        <f>BD100+SUM(CB101:CB112)</f>
        <v>1</v>
      </c>
      <c r="CB112" s="2">
        <f>IF(考勤工资!$Y$116=$E$3,1,0)</f>
        <v>0</v>
      </c>
    </row>
    <row r="113">
      <c r="A113" s="94">
        <f>IF($AN113=0,"",108)</f>
      </c>
      <c r="B113" s="94">
        <f t="shared" si="32"/>
      </c>
      <c r="C113" s="96">
        <f t="shared" si="33"/>
      </c>
      <c r="D113" s="94">
        <f t="shared" si="0"/>
      </c>
      <c r="E113" s="117">
        <f t="shared" si="1"/>
      </c>
      <c r="F113" s="96">
        <f t="shared" si="2"/>
      </c>
      <c r="G113" s="118">
        <f t="shared" si="3"/>
      </c>
      <c r="H113" s="118">
        <f t="shared" si="4"/>
      </c>
      <c r="I113" s="118">
        <f t="shared" si="5"/>
      </c>
      <c r="J113" s="118">
        <f t="shared" si="6"/>
      </c>
      <c r="K113" s="118">
        <f t="shared" si="7"/>
      </c>
      <c r="L113" s="118">
        <f t="shared" si="8"/>
      </c>
      <c r="M113" s="118">
        <f t="shared" si="9"/>
      </c>
      <c r="N113" s="118">
        <f t="shared" si="10"/>
      </c>
      <c r="O113" s="118">
        <f t="shared" si="11"/>
      </c>
      <c r="P113" s="119">
        <f t="shared" si="34"/>
      </c>
      <c r="Q113" s="21">
        <f t="shared" si="12"/>
      </c>
      <c r="R113" s="21">
        <f t="shared" si="13"/>
      </c>
      <c r="S113" s="21">
        <f t="shared" si="14"/>
      </c>
      <c r="T113" s="21">
        <f t="shared" si="15"/>
      </c>
      <c r="U113" s="21">
        <f t="shared" si="16"/>
      </c>
      <c r="V113" s="21">
        <f t="shared" si="17"/>
      </c>
      <c r="W113" s="21">
        <f t="shared" si="18"/>
      </c>
      <c r="X113" s="21">
        <f t="shared" si="19"/>
      </c>
      <c r="Y113" s="21">
        <f t="shared" si="20"/>
      </c>
      <c r="Z113" s="21">
        <f t="shared" si="21"/>
      </c>
      <c r="AA113" s="21">
        <f t="shared" si="22"/>
      </c>
      <c r="AB113" s="21">
        <f t="shared" si="23"/>
      </c>
      <c r="AC113" s="21">
        <f t="shared" si="24"/>
      </c>
      <c r="AD113" s="21">
        <f t="shared" si="25"/>
      </c>
      <c r="AE113" s="21">
        <f t="shared" si="26"/>
      </c>
      <c r="AF113" s="21">
        <f t="shared" si="27"/>
      </c>
      <c r="AG113" s="21">
        <f t="shared" si="28"/>
      </c>
      <c r="AH113" s="21">
        <f t="shared" si="29"/>
      </c>
      <c r="AI113" s="21">
        <f t="shared" si="30"/>
      </c>
      <c r="AJ113" s="21">
        <f t="shared" si="31"/>
      </c>
      <c r="AK113" s="94" t="n"/>
      <c r="AL113" s="96">
        <f t="shared" si="35"/>
      </c>
      <c r="AN113" s="2">
        <f>IF(108&gt;$BD$1000,0,IFERROR(MATCH(108,$BD$1:$BD$1000,0),0))</f>
        <v>0</v>
      </c>
      <c r="AO113" s="2">
        <f t="shared" si="36"/>
        <v>0</v>
      </c>
      <c r="AP113" s="2">
        <f t="shared" si="37"/>
      </c>
      <c r="AQ113" s="2">
        <f t="shared" si="38"/>
      </c>
      <c r="AR113" s="2">
        <f t="shared" si="39"/>
      </c>
      <c r="AS113" s="2">
        <f t="shared" si="40"/>
      </c>
      <c r="AT113" s="2">
        <f t="shared" si="41"/>
        <v>0</v>
      </c>
      <c r="AU113" s="2">
        <f t="shared" si="42"/>
        <v>0</v>
      </c>
      <c r="AV113" s="2">
        <f t="shared" si="43"/>
        <v>0</v>
      </c>
      <c r="AW113" s="2">
        <f t="shared" si="44"/>
        <v>0</v>
      </c>
      <c r="AX113" s="2">
        <f t="shared" si="45"/>
        <v>0</v>
      </c>
      <c r="AY113" s="2">
        <f t="shared" si="46"/>
        <v>0</v>
      </c>
      <c r="AZ113" s="2">
        <f t="shared" si="47"/>
        <v>0</v>
      </c>
      <c r="BA113" s="2">
        <f t="shared" si="48"/>
        <v>0</v>
      </c>
      <c r="BD113" s="2">
        <f>BD100+SUM(CB101:CB113)</f>
        <v>1</v>
      </c>
      <c r="CB113" s="2">
        <f>IF(考勤工资!$Y$117=$E$3,1,0)</f>
        <v>0</v>
      </c>
    </row>
    <row r="114">
      <c r="A114" s="94">
        <f>IF($AN114=0,"",109)</f>
      </c>
      <c r="B114" s="94">
        <f t="shared" si="32"/>
      </c>
      <c r="C114" s="96">
        <f t="shared" si="33"/>
      </c>
      <c r="D114" s="94">
        <f t="shared" si="0"/>
      </c>
      <c r="E114" s="117">
        <f t="shared" si="1"/>
      </c>
      <c r="F114" s="96">
        <f t="shared" si="2"/>
      </c>
      <c r="G114" s="118">
        <f t="shared" si="3"/>
      </c>
      <c r="H114" s="118">
        <f t="shared" si="4"/>
      </c>
      <c r="I114" s="118">
        <f t="shared" si="5"/>
      </c>
      <c r="J114" s="118">
        <f t="shared" si="6"/>
      </c>
      <c r="K114" s="118">
        <f t="shared" si="7"/>
      </c>
      <c r="L114" s="118">
        <f t="shared" si="8"/>
      </c>
      <c r="M114" s="118">
        <f t="shared" si="9"/>
      </c>
      <c r="N114" s="118">
        <f t="shared" si="10"/>
      </c>
      <c r="O114" s="118">
        <f t="shared" si="11"/>
      </c>
      <c r="P114" s="119">
        <f t="shared" si="34"/>
      </c>
      <c r="Q114" s="21">
        <f t="shared" si="12"/>
      </c>
      <c r="R114" s="21">
        <f t="shared" si="13"/>
      </c>
      <c r="S114" s="21">
        <f t="shared" si="14"/>
      </c>
      <c r="T114" s="21">
        <f t="shared" si="15"/>
      </c>
      <c r="U114" s="21">
        <f t="shared" si="16"/>
      </c>
      <c r="V114" s="21">
        <f t="shared" si="17"/>
      </c>
      <c r="W114" s="21">
        <f t="shared" si="18"/>
      </c>
      <c r="X114" s="21">
        <f t="shared" si="19"/>
      </c>
      <c r="Y114" s="21">
        <f t="shared" si="20"/>
      </c>
      <c r="Z114" s="21">
        <f t="shared" si="21"/>
      </c>
      <c r="AA114" s="21">
        <f t="shared" si="22"/>
      </c>
      <c r="AB114" s="21">
        <f t="shared" si="23"/>
      </c>
      <c r="AC114" s="21">
        <f t="shared" si="24"/>
      </c>
      <c r="AD114" s="21">
        <f t="shared" si="25"/>
      </c>
      <c r="AE114" s="21">
        <f t="shared" si="26"/>
      </c>
      <c r="AF114" s="21">
        <f t="shared" si="27"/>
      </c>
      <c r="AG114" s="21">
        <f t="shared" si="28"/>
      </c>
      <c r="AH114" s="21">
        <f t="shared" si="29"/>
      </c>
      <c r="AI114" s="21">
        <f t="shared" si="30"/>
      </c>
      <c r="AJ114" s="21">
        <f t="shared" si="31"/>
      </c>
      <c r="AK114" s="94" t="n"/>
      <c r="AL114" s="96">
        <f t="shared" si="35"/>
      </c>
      <c r="AN114" s="2">
        <f>IF(109&gt;$BD$1000,0,IFERROR(MATCH(109,$BD$1:$BD$1000,0),0))</f>
        <v>0</v>
      </c>
      <c r="AO114" s="2">
        <f t="shared" si="36"/>
        <v>0</v>
      </c>
      <c r="AP114" s="2">
        <f t="shared" si="37"/>
      </c>
      <c r="AQ114" s="2">
        <f t="shared" si="38"/>
      </c>
      <c r="AR114" s="2">
        <f t="shared" si="39"/>
      </c>
      <c r="AS114" s="2">
        <f t="shared" si="40"/>
      </c>
      <c r="AT114" s="2">
        <f t="shared" si="41"/>
        <v>0</v>
      </c>
      <c r="AU114" s="2">
        <f t="shared" si="42"/>
        <v>0</v>
      </c>
      <c r="AV114" s="2">
        <f t="shared" si="43"/>
        <v>0</v>
      </c>
      <c r="AW114" s="2">
        <f t="shared" si="44"/>
        <v>0</v>
      </c>
      <c r="AX114" s="2">
        <f t="shared" si="45"/>
        <v>0</v>
      </c>
      <c r="AY114" s="2">
        <f t="shared" si="46"/>
        <v>0</v>
      </c>
      <c r="AZ114" s="2">
        <f t="shared" si="47"/>
        <v>0</v>
      </c>
      <c r="BA114" s="2">
        <f t="shared" si="48"/>
        <v>0</v>
      </c>
      <c r="BD114" s="2">
        <f>BD100+SUM(CB101:CB114)</f>
        <v>1</v>
      </c>
      <c r="CB114" s="2">
        <f>IF(考勤工资!$Y$118=$E$3,1,0)</f>
        <v>0</v>
      </c>
    </row>
    <row r="115">
      <c r="A115" s="94">
        <f>IF($AN115=0,"",110)</f>
      </c>
      <c r="B115" s="94">
        <f t="shared" si="32"/>
      </c>
      <c r="C115" s="96">
        <f t="shared" si="33"/>
      </c>
      <c r="D115" s="94">
        <f t="shared" si="0"/>
      </c>
      <c r="E115" s="117">
        <f t="shared" si="1"/>
      </c>
      <c r="F115" s="96">
        <f t="shared" si="2"/>
      </c>
      <c r="G115" s="118">
        <f t="shared" si="3"/>
      </c>
      <c r="H115" s="118">
        <f t="shared" si="4"/>
      </c>
      <c r="I115" s="118">
        <f t="shared" si="5"/>
      </c>
      <c r="J115" s="118">
        <f t="shared" si="6"/>
      </c>
      <c r="K115" s="118">
        <f t="shared" si="7"/>
      </c>
      <c r="L115" s="118">
        <f t="shared" si="8"/>
      </c>
      <c r="M115" s="118">
        <f t="shared" si="9"/>
      </c>
      <c r="N115" s="118">
        <f t="shared" si="10"/>
      </c>
      <c r="O115" s="118">
        <f t="shared" si="11"/>
      </c>
      <c r="P115" s="119">
        <f t="shared" si="34"/>
      </c>
      <c r="Q115" s="21">
        <f t="shared" si="12"/>
      </c>
      <c r="R115" s="21">
        <f t="shared" si="13"/>
      </c>
      <c r="S115" s="21">
        <f t="shared" si="14"/>
      </c>
      <c r="T115" s="21">
        <f t="shared" si="15"/>
      </c>
      <c r="U115" s="21">
        <f t="shared" si="16"/>
      </c>
      <c r="V115" s="21">
        <f t="shared" si="17"/>
      </c>
      <c r="W115" s="21">
        <f t="shared" si="18"/>
      </c>
      <c r="X115" s="21">
        <f t="shared" si="19"/>
      </c>
      <c r="Y115" s="21">
        <f t="shared" si="20"/>
      </c>
      <c r="Z115" s="21">
        <f t="shared" si="21"/>
      </c>
      <c r="AA115" s="21">
        <f t="shared" si="22"/>
      </c>
      <c r="AB115" s="21">
        <f t="shared" si="23"/>
      </c>
      <c r="AC115" s="21">
        <f t="shared" si="24"/>
      </c>
      <c r="AD115" s="21">
        <f t="shared" si="25"/>
      </c>
      <c r="AE115" s="21">
        <f t="shared" si="26"/>
      </c>
      <c r="AF115" s="21">
        <f t="shared" si="27"/>
      </c>
      <c r="AG115" s="21">
        <f t="shared" si="28"/>
      </c>
      <c r="AH115" s="21">
        <f t="shared" si="29"/>
      </c>
      <c r="AI115" s="21">
        <f t="shared" si="30"/>
      </c>
      <c r="AJ115" s="21">
        <f t="shared" si="31"/>
      </c>
      <c r="AK115" s="94" t="n"/>
      <c r="AL115" s="96">
        <f t="shared" si="35"/>
      </c>
      <c r="AN115" s="2">
        <f>IF(110&gt;$BD$1000,0,IFERROR(MATCH(110,$BD$1:$BD$1000,0),0))</f>
        <v>0</v>
      </c>
      <c r="AO115" s="2">
        <f t="shared" si="36"/>
        <v>0</v>
      </c>
      <c r="AP115" s="2">
        <f t="shared" si="37"/>
      </c>
      <c r="AQ115" s="2">
        <f t="shared" si="38"/>
      </c>
      <c r="AR115" s="2">
        <f t="shared" si="39"/>
      </c>
      <c r="AS115" s="2">
        <f t="shared" si="40"/>
      </c>
      <c r="AT115" s="2">
        <f t="shared" si="41"/>
        <v>0</v>
      </c>
      <c r="AU115" s="2">
        <f t="shared" si="42"/>
        <v>0</v>
      </c>
      <c r="AV115" s="2">
        <f t="shared" si="43"/>
        <v>0</v>
      </c>
      <c r="AW115" s="2">
        <f t="shared" si="44"/>
        <v>0</v>
      </c>
      <c r="AX115" s="2">
        <f t="shared" si="45"/>
        <v>0</v>
      </c>
      <c r="AY115" s="2">
        <f t="shared" si="46"/>
        <v>0</v>
      </c>
      <c r="AZ115" s="2">
        <f t="shared" si="47"/>
        <v>0</v>
      </c>
      <c r="BA115" s="2">
        <f t="shared" si="48"/>
        <v>0</v>
      </c>
      <c r="BD115" s="2">
        <f>BD100+SUM(CB101:CB115)</f>
        <v>1</v>
      </c>
      <c r="CB115" s="2">
        <f>IF(考勤工资!$Y$119=$E$3,1,0)</f>
        <v>0</v>
      </c>
    </row>
    <row r="116">
      <c r="A116" s="94">
        <f>IF($AN116=0,"",111)</f>
      </c>
      <c r="B116" s="94">
        <f t="shared" si="32"/>
      </c>
      <c r="C116" s="96">
        <f t="shared" si="33"/>
      </c>
      <c r="D116" s="94">
        <f t="shared" si="0"/>
      </c>
      <c r="E116" s="117">
        <f t="shared" si="1"/>
      </c>
      <c r="F116" s="96">
        <f t="shared" si="2"/>
      </c>
      <c r="G116" s="118">
        <f t="shared" si="3"/>
      </c>
      <c r="H116" s="118">
        <f t="shared" si="4"/>
      </c>
      <c r="I116" s="118">
        <f t="shared" si="5"/>
      </c>
      <c r="J116" s="118">
        <f t="shared" si="6"/>
      </c>
      <c r="K116" s="118">
        <f t="shared" si="7"/>
      </c>
      <c r="L116" s="118">
        <f t="shared" si="8"/>
      </c>
      <c r="M116" s="118">
        <f t="shared" si="9"/>
      </c>
      <c r="N116" s="118">
        <f t="shared" si="10"/>
      </c>
      <c r="O116" s="118">
        <f t="shared" si="11"/>
      </c>
      <c r="P116" s="119">
        <f t="shared" si="34"/>
      </c>
      <c r="Q116" s="21">
        <f t="shared" si="12"/>
      </c>
      <c r="R116" s="21">
        <f t="shared" si="13"/>
      </c>
      <c r="S116" s="21">
        <f t="shared" si="14"/>
      </c>
      <c r="T116" s="21">
        <f t="shared" si="15"/>
      </c>
      <c r="U116" s="21">
        <f t="shared" si="16"/>
      </c>
      <c r="V116" s="21">
        <f t="shared" si="17"/>
      </c>
      <c r="W116" s="21">
        <f t="shared" si="18"/>
      </c>
      <c r="X116" s="21">
        <f t="shared" si="19"/>
      </c>
      <c r="Y116" s="21">
        <f t="shared" si="20"/>
      </c>
      <c r="Z116" s="21">
        <f t="shared" si="21"/>
      </c>
      <c r="AA116" s="21">
        <f t="shared" si="22"/>
      </c>
      <c r="AB116" s="21">
        <f t="shared" si="23"/>
      </c>
      <c r="AC116" s="21">
        <f t="shared" si="24"/>
      </c>
      <c r="AD116" s="21">
        <f t="shared" si="25"/>
      </c>
      <c r="AE116" s="21">
        <f t="shared" si="26"/>
      </c>
      <c r="AF116" s="21">
        <f t="shared" si="27"/>
      </c>
      <c r="AG116" s="21">
        <f t="shared" si="28"/>
      </c>
      <c r="AH116" s="21">
        <f t="shared" si="29"/>
      </c>
      <c r="AI116" s="21">
        <f t="shared" si="30"/>
      </c>
      <c r="AJ116" s="21">
        <f t="shared" si="31"/>
      </c>
      <c r="AK116" s="94" t="n"/>
      <c r="AL116" s="96">
        <f t="shared" si="35"/>
      </c>
      <c r="AN116" s="2">
        <f>IF(111&gt;$BD$1000,0,IFERROR(MATCH(111,$BD$1:$BD$1000,0),0))</f>
        <v>0</v>
      </c>
      <c r="AO116" s="2">
        <f t="shared" si="36"/>
        <v>0</v>
      </c>
      <c r="AP116" s="2">
        <f t="shared" si="37"/>
      </c>
      <c r="AQ116" s="2">
        <f t="shared" si="38"/>
      </c>
      <c r="AR116" s="2">
        <f t="shared" si="39"/>
      </c>
      <c r="AS116" s="2">
        <f t="shared" si="40"/>
      </c>
      <c r="AT116" s="2">
        <f t="shared" si="41"/>
        <v>0</v>
      </c>
      <c r="AU116" s="2">
        <f t="shared" si="42"/>
        <v>0</v>
      </c>
      <c r="AV116" s="2">
        <f t="shared" si="43"/>
        <v>0</v>
      </c>
      <c r="AW116" s="2">
        <f t="shared" si="44"/>
        <v>0</v>
      </c>
      <c r="AX116" s="2">
        <f t="shared" si="45"/>
        <v>0</v>
      </c>
      <c r="AY116" s="2">
        <f t="shared" si="46"/>
        <v>0</v>
      </c>
      <c r="AZ116" s="2">
        <f t="shared" si="47"/>
        <v>0</v>
      </c>
      <c r="BA116" s="2">
        <f t="shared" si="48"/>
        <v>0</v>
      </c>
      <c r="BD116" s="2">
        <f>BD100+SUM(CB101:CB116)</f>
        <v>1</v>
      </c>
      <c r="CB116" s="2">
        <f>IF(考勤工资!$Y$120=$E$3,1,0)</f>
        <v>0</v>
      </c>
    </row>
    <row r="117">
      <c r="A117" s="94">
        <f>IF($AN117=0,"",112)</f>
      </c>
      <c r="B117" s="94">
        <f t="shared" si="32"/>
      </c>
      <c r="C117" s="96">
        <f t="shared" si="33"/>
      </c>
      <c r="D117" s="94">
        <f t="shared" si="0"/>
      </c>
      <c r="E117" s="117">
        <f t="shared" si="1"/>
      </c>
      <c r="F117" s="96">
        <f t="shared" si="2"/>
      </c>
      <c r="G117" s="118">
        <f t="shared" si="3"/>
      </c>
      <c r="H117" s="118">
        <f t="shared" si="4"/>
      </c>
      <c r="I117" s="118">
        <f t="shared" si="5"/>
      </c>
      <c r="J117" s="118">
        <f t="shared" si="6"/>
      </c>
      <c r="K117" s="118">
        <f t="shared" si="7"/>
      </c>
      <c r="L117" s="118">
        <f t="shared" si="8"/>
      </c>
      <c r="M117" s="118">
        <f t="shared" si="9"/>
      </c>
      <c r="N117" s="118">
        <f t="shared" si="10"/>
      </c>
      <c r="O117" s="118">
        <f t="shared" si="11"/>
      </c>
      <c r="P117" s="119">
        <f t="shared" si="34"/>
      </c>
      <c r="Q117" s="21">
        <f t="shared" si="12"/>
      </c>
      <c r="R117" s="21">
        <f t="shared" si="13"/>
      </c>
      <c r="S117" s="21">
        <f t="shared" si="14"/>
      </c>
      <c r="T117" s="21">
        <f t="shared" si="15"/>
      </c>
      <c r="U117" s="21">
        <f t="shared" si="16"/>
      </c>
      <c r="V117" s="21">
        <f t="shared" si="17"/>
      </c>
      <c r="W117" s="21">
        <f t="shared" si="18"/>
      </c>
      <c r="X117" s="21">
        <f t="shared" si="19"/>
      </c>
      <c r="Y117" s="21">
        <f t="shared" si="20"/>
      </c>
      <c r="Z117" s="21">
        <f t="shared" si="21"/>
      </c>
      <c r="AA117" s="21">
        <f t="shared" si="22"/>
      </c>
      <c r="AB117" s="21">
        <f t="shared" si="23"/>
      </c>
      <c r="AC117" s="21">
        <f t="shared" si="24"/>
      </c>
      <c r="AD117" s="21">
        <f t="shared" si="25"/>
      </c>
      <c r="AE117" s="21">
        <f t="shared" si="26"/>
      </c>
      <c r="AF117" s="21">
        <f t="shared" si="27"/>
      </c>
      <c r="AG117" s="21">
        <f t="shared" si="28"/>
      </c>
      <c r="AH117" s="21">
        <f t="shared" si="29"/>
      </c>
      <c r="AI117" s="21">
        <f t="shared" si="30"/>
      </c>
      <c r="AJ117" s="21">
        <f t="shared" si="31"/>
      </c>
      <c r="AK117" s="94" t="n"/>
      <c r="AL117" s="96">
        <f t="shared" si="35"/>
      </c>
      <c r="AN117" s="2">
        <f>IF(112&gt;$BD$1000,0,IFERROR(MATCH(112,$BD$1:$BD$1000,0),0))</f>
        <v>0</v>
      </c>
      <c r="AO117" s="2">
        <f t="shared" si="36"/>
        <v>0</v>
      </c>
      <c r="AP117" s="2">
        <f t="shared" si="37"/>
      </c>
      <c r="AQ117" s="2">
        <f t="shared" si="38"/>
      </c>
      <c r="AR117" s="2">
        <f t="shared" si="39"/>
      </c>
      <c r="AS117" s="2">
        <f t="shared" si="40"/>
      </c>
      <c r="AT117" s="2">
        <f t="shared" si="41"/>
        <v>0</v>
      </c>
      <c r="AU117" s="2">
        <f t="shared" si="42"/>
        <v>0</v>
      </c>
      <c r="AV117" s="2">
        <f t="shared" si="43"/>
        <v>0</v>
      </c>
      <c r="AW117" s="2">
        <f t="shared" si="44"/>
        <v>0</v>
      </c>
      <c r="AX117" s="2">
        <f t="shared" si="45"/>
        <v>0</v>
      </c>
      <c r="AY117" s="2">
        <f t="shared" si="46"/>
        <v>0</v>
      </c>
      <c r="AZ117" s="2">
        <f t="shared" si="47"/>
        <v>0</v>
      </c>
      <c r="BA117" s="2">
        <f t="shared" si="48"/>
        <v>0</v>
      </c>
      <c r="BD117" s="2">
        <f>BD100+SUM(CB101:CB117)</f>
        <v>1</v>
      </c>
      <c r="CB117" s="2">
        <f>IF(考勤工资!$Y$121=$E$3,1,0)</f>
        <v>0</v>
      </c>
    </row>
    <row r="118">
      <c r="A118" s="94">
        <f>IF($AN118=0,"",113)</f>
      </c>
      <c r="B118" s="94">
        <f t="shared" si="32"/>
      </c>
      <c r="C118" s="96">
        <f t="shared" si="33"/>
      </c>
      <c r="D118" s="94">
        <f t="shared" si="0"/>
      </c>
      <c r="E118" s="117">
        <f t="shared" si="1"/>
      </c>
      <c r="F118" s="96">
        <f t="shared" si="2"/>
      </c>
      <c r="G118" s="118">
        <f t="shared" si="3"/>
      </c>
      <c r="H118" s="118">
        <f t="shared" si="4"/>
      </c>
      <c r="I118" s="118">
        <f t="shared" si="5"/>
      </c>
      <c r="J118" s="118">
        <f t="shared" si="6"/>
      </c>
      <c r="K118" s="118">
        <f t="shared" si="7"/>
      </c>
      <c r="L118" s="118">
        <f t="shared" si="8"/>
      </c>
      <c r="M118" s="118">
        <f t="shared" si="9"/>
      </c>
      <c r="N118" s="118">
        <f t="shared" si="10"/>
      </c>
      <c r="O118" s="118">
        <f t="shared" si="11"/>
      </c>
      <c r="P118" s="119">
        <f t="shared" si="34"/>
      </c>
      <c r="Q118" s="21">
        <f t="shared" si="12"/>
      </c>
      <c r="R118" s="21">
        <f t="shared" si="13"/>
      </c>
      <c r="S118" s="21">
        <f t="shared" si="14"/>
      </c>
      <c r="T118" s="21">
        <f t="shared" si="15"/>
      </c>
      <c r="U118" s="21">
        <f t="shared" si="16"/>
      </c>
      <c r="V118" s="21">
        <f t="shared" si="17"/>
      </c>
      <c r="W118" s="21">
        <f t="shared" si="18"/>
      </c>
      <c r="X118" s="21">
        <f t="shared" si="19"/>
      </c>
      <c r="Y118" s="21">
        <f t="shared" si="20"/>
      </c>
      <c r="Z118" s="21">
        <f t="shared" si="21"/>
      </c>
      <c r="AA118" s="21">
        <f t="shared" si="22"/>
      </c>
      <c r="AB118" s="21">
        <f t="shared" si="23"/>
      </c>
      <c r="AC118" s="21">
        <f t="shared" si="24"/>
      </c>
      <c r="AD118" s="21">
        <f t="shared" si="25"/>
      </c>
      <c r="AE118" s="21">
        <f t="shared" si="26"/>
      </c>
      <c r="AF118" s="21">
        <f t="shared" si="27"/>
      </c>
      <c r="AG118" s="21">
        <f t="shared" si="28"/>
      </c>
      <c r="AH118" s="21">
        <f t="shared" si="29"/>
      </c>
      <c r="AI118" s="21">
        <f t="shared" si="30"/>
      </c>
      <c r="AJ118" s="21">
        <f t="shared" si="31"/>
      </c>
      <c r="AK118" s="94" t="n"/>
      <c r="AL118" s="96">
        <f t="shared" si="35"/>
      </c>
      <c r="AN118" s="2">
        <f>IF(113&gt;$BD$1000,0,IFERROR(MATCH(113,$BD$1:$BD$1000,0),0))</f>
        <v>0</v>
      </c>
      <c r="AO118" s="2">
        <f t="shared" si="36"/>
        <v>0</v>
      </c>
      <c r="AP118" s="2">
        <f t="shared" si="37"/>
      </c>
      <c r="AQ118" s="2">
        <f t="shared" si="38"/>
      </c>
      <c r="AR118" s="2">
        <f t="shared" si="39"/>
      </c>
      <c r="AS118" s="2">
        <f t="shared" si="40"/>
      </c>
      <c r="AT118" s="2">
        <f t="shared" si="41"/>
        <v>0</v>
      </c>
      <c r="AU118" s="2">
        <f t="shared" si="42"/>
        <v>0</v>
      </c>
      <c r="AV118" s="2">
        <f t="shared" si="43"/>
        <v>0</v>
      </c>
      <c r="AW118" s="2">
        <f t="shared" si="44"/>
        <v>0</v>
      </c>
      <c r="AX118" s="2">
        <f t="shared" si="45"/>
        <v>0</v>
      </c>
      <c r="AY118" s="2">
        <f t="shared" si="46"/>
        <v>0</v>
      </c>
      <c r="AZ118" s="2">
        <f t="shared" si="47"/>
        <v>0</v>
      </c>
      <c r="BA118" s="2">
        <f t="shared" si="48"/>
        <v>0</v>
      </c>
      <c r="BD118" s="2">
        <f>BD100+SUM(CB101:CB118)</f>
        <v>1</v>
      </c>
      <c r="CB118" s="2">
        <f>IF(考勤工资!$Y$122=$E$3,1,0)</f>
        <v>0</v>
      </c>
    </row>
    <row r="119">
      <c r="A119" s="94">
        <f>IF($AN119=0,"",114)</f>
      </c>
      <c r="B119" s="94">
        <f t="shared" si="32"/>
      </c>
      <c r="C119" s="96">
        <f t="shared" si="33"/>
      </c>
      <c r="D119" s="94">
        <f t="shared" si="0"/>
      </c>
      <c r="E119" s="117">
        <f t="shared" si="1"/>
      </c>
      <c r="F119" s="96">
        <f t="shared" si="2"/>
      </c>
      <c r="G119" s="118">
        <f t="shared" si="3"/>
      </c>
      <c r="H119" s="118">
        <f t="shared" si="4"/>
      </c>
      <c r="I119" s="118">
        <f t="shared" si="5"/>
      </c>
      <c r="J119" s="118">
        <f t="shared" si="6"/>
      </c>
      <c r="K119" s="118">
        <f t="shared" si="7"/>
      </c>
      <c r="L119" s="118">
        <f t="shared" si="8"/>
      </c>
      <c r="M119" s="118">
        <f t="shared" si="9"/>
      </c>
      <c r="N119" s="118">
        <f t="shared" si="10"/>
      </c>
      <c r="O119" s="118">
        <f t="shared" si="11"/>
      </c>
      <c r="P119" s="119">
        <f t="shared" si="34"/>
      </c>
      <c r="Q119" s="21">
        <f t="shared" si="12"/>
      </c>
      <c r="R119" s="21">
        <f t="shared" si="13"/>
      </c>
      <c r="S119" s="21">
        <f t="shared" si="14"/>
      </c>
      <c r="T119" s="21">
        <f t="shared" si="15"/>
      </c>
      <c r="U119" s="21">
        <f t="shared" si="16"/>
      </c>
      <c r="V119" s="21">
        <f t="shared" si="17"/>
      </c>
      <c r="W119" s="21">
        <f t="shared" si="18"/>
      </c>
      <c r="X119" s="21">
        <f t="shared" si="19"/>
      </c>
      <c r="Y119" s="21">
        <f t="shared" si="20"/>
      </c>
      <c r="Z119" s="21">
        <f t="shared" si="21"/>
      </c>
      <c r="AA119" s="21">
        <f t="shared" si="22"/>
      </c>
      <c r="AB119" s="21">
        <f t="shared" si="23"/>
      </c>
      <c r="AC119" s="21">
        <f t="shared" si="24"/>
      </c>
      <c r="AD119" s="21">
        <f t="shared" si="25"/>
      </c>
      <c r="AE119" s="21">
        <f t="shared" si="26"/>
      </c>
      <c r="AF119" s="21">
        <f t="shared" si="27"/>
      </c>
      <c r="AG119" s="21">
        <f t="shared" si="28"/>
      </c>
      <c r="AH119" s="21">
        <f t="shared" si="29"/>
      </c>
      <c r="AI119" s="21">
        <f t="shared" si="30"/>
      </c>
      <c r="AJ119" s="21">
        <f t="shared" si="31"/>
      </c>
      <c r="AK119" s="94" t="n"/>
      <c r="AL119" s="96">
        <f t="shared" si="35"/>
      </c>
      <c r="AN119" s="2">
        <f>IF(114&gt;$BD$1000,0,IFERROR(MATCH(114,$BD$1:$BD$1000,0),0))</f>
        <v>0</v>
      </c>
      <c r="AO119" s="2">
        <f t="shared" si="36"/>
        <v>0</v>
      </c>
      <c r="AP119" s="2">
        <f t="shared" si="37"/>
      </c>
      <c r="AQ119" s="2">
        <f t="shared" si="38"/>
      </c>
      <c r="AR119" s="2">
        <f t="shared" si="39"/>
      </c>
      <c r="AS119" s="2">
        <f t="shared" si="40"/>
      </c>
      <c r="AT119" s="2">
        <f t="shared" si="41"/>
        <v>0</v>
      </c>
      <c r="AU119" s="2">
        <f t="shared" si="42"/>
        <v>0</v>
      </c>
      <c r="AV119" s="2">
        <f t="shared" si="43"/>
        <v>0</v>
      </c>
      <c r="AW119" s="2">
        <f t="shared" si="44"/>
        <v>0</v>
      </c>
      <c r="AX119" s="2">
        <f t="shared" si="45"/>
        <v>0</v>
      </c>
      <c r="AY119" s="2">
        <f t="shared" si="46"/>
        <v>0</v>
      </c>
      <c r="AZ119" s="2">
        <f t="shared" si="47"/>
        <v>0</v>
      </c>
      <c r="BA119" s="2">
        <f t="shared" si="48"/>
        <v>0</v>
      </c>
      <c r="BD119" s="2">
        <f>BD100+SUM(CB101:CB119)</f>
        <v>1</v>
      </c>
      <c r="CB119" s="2">
        <f>IF(考勤工资!$Y$123=$E$3,1,0)</f>
        <v>0</v>
      </c>
    </row>
    <row r="120">
      <c r="A120" s="94">
        <f>IF($AN120=0,"",115)</f>
      </c>
      <c r="B120" s="94">
        <f t="shared" si="32"/>
      </c>
      <c r="C120" s="96">
        <f t="shared" si="33"/>
      </c>
      <c r="D120" s="94">
        <f t="shared" si="0"/>
      </c>
      <c r="E120" s="117">
        <f t="shared" si="1"/>
      </c>
      <c r="F120" s="96">
        <f t="shared" si="2"/>
      </c>
      <c r="G120" s="118">
        <f t="shared" si="3"/>
      </c>
      <c r="H120" s="118">
        <f t="shared" si="4"/>
      </c>
      <c r="I120" s="118">
        <f t="shared" si="5"/>
      </c>
      <c r="J120" s="118">
        <f t="shared" si="6"/>
      </c>
      <c r="K120" s="118">
        <f t="shared" si="7"/>
      </c>
      <c r="L120" s="118">
        <f t="shared" si="8"/>
      </c>
      <c r="M120" s="118">
        <f t="shared" si="9"/>
      </c>
      <c r="N120" s="118">
        <f t="shared" si="10"/>
      </c>
      <c r="O120" s="118">
        <f t="shared" si="11"/>
      </c>
      <c r="P120" s="119">
        <f t="shared" si="34"/>
      </c>
      <c r="Q120" s="21">
        <f t="shared" si="12"/>
      </c>
      <c r="R120" s="21">
        <f t="shared" si="13"/>
      </c>
      <c r="S120" s="21">
        <f t="shared" si="14"/>
      </c>
      <c r="T120" s="21">
        <f t="shared" si="15"/>
      </c>
      <c r="U120" s="21">
        <f t="shared" si="16"/>
      </c>
      <c r="V120" s="21">
        <f t="shared" si="17"/>
      </c>
      <c r="W120" s="21">
        <f t="shared" si="18"/>
      </c>
      <c r="X120" s="21">
        <f t="shared" si="19"/>
      </c>
      <c r="Y120" s="21">
        <f t="shared" si="20"/>
      </c>
      <c r="Z120" s="21">
        <f t="shared" si="21"/>
      </c>
      <c r="AA120" s="21">
        <f t="shared" si="22"/>
      </c>
      <c r="AB120" s="21">
        <f t="shared" si="23"/>
      </c>
      <c r="AC120" s="21">
        <f t="shared" si="24"/>
      </c>
      <c r="AD120" s="21">
        <f t="shared" si="25"/>
      </c>
      <c r="AE120" s="21">
        <f t="shared" si="26"/>
      </c>
      <c r="AF120" s="21">
        <f t="shared" si="27"/>
      </c>
      <c r="AG120" s="21">
        <f t="shared" si="28"/>
      </c>
      <c r="AH120" s="21">
        <f t="shared" si="29"/>
      </c>
      <c r="AI120" s="21">
        <f t="shared" si="30"/>
      </c>
      <c r="AJ120" s="21">
        <f t="shared" si="31"/>
      </c>
      <c r="AK120" s="94" t="n"/>
      <c r="AL120" s="96">
        <f t="shared" si="35"/>
      </c>
      <c r="AN120" s="2">
        <f>IF(115&gt;$BD$1000,0,IFERROR(MATCH(115,$BD$1:$BD$1000,0),0))</f>
        <v>0</v>
      </c>
      <c r="AO120" s="2">
        <f t="shared" si="36"/>
        <v>0</v>
      </c>
      <c r="AP120" s="2">
        <f t="shared" si="37"/>
      </c>
      <c r="AQ120" s="2">
        <f t="shared" si="38"/>
      </c>
      <c r="AR120" s="2">
        <f t="shared" si="39"/>
      </c>
      <c r="AS120" s="2">
        <f t="shared" si="40"/>
      </c>
      <c r="AT120" s="2">
        <f t="shared" si="41"/>
        <v>0</v>
      </c>
      <c r="AU120" s="2">
        <f t="shared" si="42"/>
        <v>0</v>
      </c>
      <c r="AV120" s="2">
        <f t="shared" si="43"/>
        <v>0</v>
      </c>
      <c r="AW120" s="2">
        <f t="shared" si="44"/>
        <v>0</v>
      </c>
      <c r="AX120" s="2">
        <f t="shared" si="45"/>
        <v>0</v>
      </c>
      <c r="AY120" s="2">
        <f t="shared" si="46"/>
        <v>0</v>
      </c>
      <c r="AZ120" s="2">
        <f t="shared" si="47"/>
        <v>0</v>
      </c>
      <c r="BA120" s="2">
        <f t="shared" si="48"/>
        <v>0</v>
      </c>
      <c r="BD120" s="2">
        <f>BD100+SUM(CB101:CB120)</f>
        <v>1</v>
      </c>
      <c r="CB120" s="2">
        <f>IF(考勤工资!$Y$124=$E$3,1,0)</f>
        <v>0</v>
      </c>
    </row>
    <row r="121">
      <c r="A121" s="94">
        <f>IF($AN121=0,"",116)</f>
      </c>
      <c r="B121" s="94">
        <f t="shared" si="32"/>
      </c>
      <c r="C121" s="96">
        <f t="shared" si="33"/>
      </c>
      <c r="D121" s="94">
        <f t="shared" si="0"/>
      </c>
      <c r="E121" s="117">
        <f t="shared" si="1"/>
      </c>
      <c r="F121" s="96">
        <f t="shared" si="2"/>
      </c>
      <c r="G121" s="118">
        <f t="shared" si="3"/>
      </c>
      <c r="H121" s="118">
        <f t="shared" si="4"/>
      </c>
      <c r="I121" s="118">
        <f t="shared" si="5"/>
      </c>
      <c r="J121" s="118">
        <f t="shared" si="6"/>
      </c>
      <c r="K121" s="118">
        <f t="shared" si="7"/>
      </c>
      <c r="L121" s="118">
        <f t="shared" si="8"/>
      </c>
      <c r="M121" s="118">
        <f t="shared" si="9"/>
      </c>
      <c r="N121" s="118">
        <f t="shared" si="10"/>
      </c>
      <c r="O121" s="118">
        <f t="shared" si="11"/>
      </c>
      <c r="P121" s="119">
        <f t="shared" si="34"/>
      </c>
      <c r="Q121" s="21">
        <f t="shared" si="12"/>
      </c>
      <c r="R121" s="21">
        <f t="shared" si="13"/>
      </c>
      <c r="S121" s="21">
        <f t="shared" si="14"/>
      </c>
      <c r="T121" s="21">
        <f t="shared" si="15"/>
      </c>
      <c r="U121" s="21">
        <f t="shared" si="16"/>
      </c>
      <c r="V121" s="21">
        <f t="shared" si="17"/>
      </c>
      <c r="W121" s="21">
        <f t="shared" si="18"/>
      </c>
      <c r="X121" s="21">
        <f t="shared" si="19"/>
      </c>
      <c r="Y121" s="21">
        <f t="shared" si="20"/>
      </c>
      <c r="Z121" s="21">
        <f t="shared" si="21"/>
      </c>
      <c r="AA121" s="21">
        <f t="shared" si="22"/>
      </c>
      <c r="AB121" s="21">
        <f t="shared" si="23"/>
      </c>
      <c r="AC121" s="21">
        <f t="shared" si="24"/>
      </c>
      <c r="AD121" s="21">
        <f t="shared" si="25"/>
      </c>
      <c r="AE121" s="21">
        <f t="shared" si="26"/>
      </c>
      <c r="AF121" s="21">
        <f t="shared" si="27"/>
      </c>
      <c r="AG121" s="21">
        <f t="shared" si="28"/>
      </c>
      <c r="AH121" s="21">
        <f t="shared" si="29"/>
      </c>
      <c r="AI121" s="21">
        <f t="shared" si="30"/>
      </c>
      <c r="AJ121" s="21">
        <f t="shared" si="31"/>
      </c>
      <c r="AK121" s="94" t="n"/>
      <c r="AL121" s="96">
        <f t="shared" si="35"/>
      </c>
      <c r="AN121" s="2">
        <f>IF(116&gt;$BD$1000,0,IFERROR(MATCH(116,$BD$1:$BD$1000,0),0))</f>
        <v>0</v>
      </c>
      <c r="AO121" s="2">
        <f t="shared" si="36"/>
        <v>0</v>
      </c>
      <c r="AP121" s="2">
        <f t="shared" si="37"/>
      </c>
      <c r="AQ121" s="2">
        <f t="shared" si="38"/>
      </c>
      <c r="AR121" s="2">
        <f t="shared" si="39"/>
      </c>
      <c r="AS121" s="2">
        <f t="shared" si="40"/>
      </c>
      <c r="AT121" s="2">
        <f t="shared" si="41"/>
        <v>0</v>
      </c>
      <c r="AU121" s="2">
        <f t="shared" si="42"/>
        <v>0</v>
      </c>
      <c r="AV121" s="2">
        <f t="shared" si="43"/>
        <v>0</v>
      </c>
      <c r="AW121" s="2">
        <f t="shared" si="44"/>
        <v>0</v>
      </c>
      <c r="AX121" s="2">
        <f t="shared" si="45"/>
        <v>0</v>
      </c>
      <c r="AY121" s="2">
        <f t="shared" si="46"/>
        <v>0</v>
      </c>
      <c r="AZ121" s="2">
        <f t="shared" si="47"/>
        <v>0</v>
      </c>
      <c r="BA121" s="2">
        <f t="shared" si="48"/>
        <v>0</v>
      </c>
      <c r="BD121" s="2">
        <f>BD100+SUM(CB101:CB121)</f>
        <v>1</v>
      </c>
      <c r="CB121" s="2">
        <f>IF(考勤工资!$Y$125=$E$3,1,0)</f>
        <v>0</v>
      </c>
    </row>
    <row r="122">
      <c r="A122" s="94">
        <f>IF($AN122=0,"",117)</f>
      </c>
      <c r="B122" s="94">
        <f t="shared" si="32"/>
      </c>
      <c r="C122" s="96">
        <f t="shared" si="33"/>
      </c>
      <c r="D122" s="94">
        <f t="shared" si="0"/>
      </c>
      <c r="E122" s="117">
        <f t="shared" si="1"/>
      </c>
      <c r="F122" s="96">
        <f t="shared" si="2"/>
      </c>
      <c r="G122" s="118">
        <f t="shared" si="3"/>
      </c>
      <c r="H122" s="118">
        <f t="shared" si="4"/>
      </c>
      <c r="I122" s="118">
        <f t="shared" si="5"/>
      </c>
      <c r="J122" s="118">
        <f t="shared" si="6"/>
      </c>
      <c r="K122" s="118">
        <f t="shared" si="7"/>
      </c>
      <c r="L122" s="118">
        <f t="shared" si="8"/>
      </c>
      <c r="M122" s="118">
        <f t="shared" si="9"/>
      </c>
      <c r="N122" s="118">
        <f t="shared" si="10"/>
      </c>
      <c r="O122" s="118">
        <f t="shared" si="11"/>
      </c>
      <c r="P122" s="119">
        <f t="shared" si="34"/>
      </c>
      <c r="Q122" s="21">
        <f t="shared" si="12"/>
      </c>
      <c r="R122" s="21">
        <f t="shared" si="13"/>
      </c>
      <c r="S122" s="21">
        <f t="shared" si="14"/>
      </c>
      <c r="T122" s="21">
        <f t="shared" si="15"/>
      </c>
      <c r="U122" s="21">
        <f t="shared" si="16"/>
      </c>
      <c r="V122" s="21">
        <f t="shared" si="17"/>
      </c>
      <c r="W122" s="21">
        <f t="shared" si="18"/>
      </c>
      <c r="X122" s="21">
        <f t="shared" si="19"/>
      </c>
      <c r="Y122" s="21">
        <f t="shared" si="20"/>
      </c>
      <c r="Z122" s="21">
        <f t="shared" si="21"/>
      </c>
      <c r="AA122" s="21">
        <f t="shared" si="22"/>
      </c>
      <c r="AB122" s="21">
        <f t="shared" si="23"/>
      </c>
      <c r="AC122" s="21">
        <f t="shared" si="24"/>
      </c>
      <c r="AD122" s="21">
        <f t="shared" si="25"/>
      </c>
      <c r="AE122" s="21">
        <f t="shared" si="26"/>
      </c>
      <c r="AF122" s="21">
        <f t="shared" si="27"/>
      </c>
      <c r="AG122" s="21">
        <f t="shared" si="28"/>
      </c>
      <c r="AH122" s="21">
        <f t="shared" si="29"/>
      </c>
      <c r="AI122" s="21">
        <f t="shared" si="30"/>
      </c>
      <c r="AJ122" s="21">
        <f t="shared" si="31"/>
      </c>
      <c r="AK122" s="94" t="n"/>
      <c r="AL122" s="96">
        <f t="shared" si="35"/>
      </c>
      <c r="AN122" s="2">
        <f>IF(117&gt;$BD$1000,0,IFERROR(MATCH(117,$BD$1:$BD$1000,0),0))</f>
        <v>0</v>
      </c>
      <c r="AO122" s="2">
        <f t="shared" si="36"/>
        <v>0</v>
      </c>
      <c r="AP122" s="2">
        <f t="shared" si="37"/>
      </c>
      <c r="AQ122" s="2">
        <f t="shared" si="38"/>
      </c>
      <c r="AR122" s="2">
        <f t="shared" si="39"/>
      </c>
      <c r="AS122" s="2">
        <f t="shared" si="40"/>
      </c>
      <c r="AT122" s="2">
        <f t="shared" si="41"/>
        <v>0</v>
      </c>
      <c r="AU122" s="2">
        <f t="shared" si="42"/>
        <v>0</v>
      </c>
      <c r="AV122" s="2">
        <f t="shared" si="43"/>
        <v>0</v>
      </c>
      <c r="AW122" s="2">
        <f t="shared" si="44"/>
        <v>0</v>
      </c>
      <c r="AX122" s="2">
        <f t="shared" si="45"/>
        <v>0</v>
      </c>
      <c r="AY122" s="2">
        <f t="shared" si="46"/>
        <v>0</v>
      </c>
      <c r="AZ122" s="2">
        <f t="shared" si="47"/>
        <v>0</v>
      </c>
      <c r="BA122" s="2">
        <f t="shared" si="48"/>
        <v>0</v>
      </c>
      <c r="BD122" s="2">
        <f>BD100+SUM(CB101:CB122)</f>
        <v>1</v>
      </c>
      <c r="CB122" s="2">
        <f>IF(考勤工资!$Y$126=$E$3,1,0)</f>
        <v>0</v>
      </c>
    </row>
    <row r="123">
      <c r="A123" s="94">
        <f>IF($AN123=0,"",118)</f>
      </c>
      <c r="B123" s="94">
        <f t="shared" si="32"/>
      </c>
      <c r="C123" s="96">
        <f t="shared" si="33"/>
      </c>
      <c r="D123" s="94">
        <f t="shared" si="0"/>
      </c>
      <c r="E123" s="117">
        <f t="shared" si="1"/>
      </c>
      <c r="F123" s="96">
        <f t="shared" si="2"/>
      </c>
      <c r="G123" s="118">
        <f t="shared" si="3"/>
      </c>
      <c r="H123" s="118">
        <f t="shared" si="4"/>
      </c>
      <c r="I123" s="118">
        <f t="shared" si="5"/>
      </c>
      <c r="J123" s="118">
        <f t="shared" si="6"/>
      </c>
      <c r="K123" s="118">
        <f t="shared" si="7"/>
      </c>
      <c r="L123" s="118">
        <f t="shared" si="8"/>
      </c>
      <c r="M123" s="118">
        <f t="shared" si="9"/>
      </c>
      <c r="N123" s="118">
        <f t="shared" si="10"/>
      </c>
      <c r="O123" s="118">
        <f t="shared" si="11"/>
      </c>
      <c r="P123" s="119">
        <f t="shared" si="34"/>
      </c>
      <c r="Q123" s="21">
        <f t="shared" si="12"/>
      </c>
      <c r="R123" s="21">
        <f t="shared" si="13"/>
      </c>
      <c r="S123" s="21">
        <f t="shared" si="14"/>
      </c>
      <c r="T123" s="21">
        <f t="shared" si="15"/>
      </c>
      <c r="U123" s="21">
        <f t="shared" si="16"/>
      </c>
      <c r="V123" s="21">
        <f t="shared" si="17"/>
      </c>
      <c r="W123" s="21">
        <f t="shared" si="18"/>
      </c>
      <c r="X123" s="21">
        <f t="shared" si="19"/>
      </c>
      <c r="Y123" s="21">
        <f t="shared" si="20"/>
      </c>
      <c r="Z123" s="21">
        <f t="shared" si="21"/>
      </c>
      <c r="AA123" s="21">
        <f t="shared" si="22"/>
      </c>
      <c r="AB123" s="21">
        <f t="shared" si="23"/>
      </c>
      <c r="AC123" s="21">
        <f t="shared" si="24"/>
      </c>
      <c r="AD123" s="21">
        <f t="shared" si="25"/>
      </c>
      <c r="AE123" s="21">
        <f t="shared" si="26"/>
      </c>
      <c r="AF123" s="21">
        <f t="shared" si="27"/>
      </c>
      <c r="AG123" s="21">
        <f t="shared" si="28"/>
      </c>
      <c r="AH123" s="21">
        <f t="shared" si="29"/>
      </c>
      <c r="AI123" s="21">
        <f t="shared" si="30"/>
      </c>
      <c r="AJ123" s="21">
        <f t="shared" si="31"/>
      </c>
      <c r="AK123" s="94" t="n"/>
      <c r="AL123" s="96">
        <f t="shared" si="35"/>
      </c>
      <c r="AN123" s="2">
        <f>IF(118&gt;$BD$1000,0,IFERROR(MATCH(118,$BD$1:$BD$1000,0),0))</f>
        <v>0</v>
      </c>
      <c r="AO123" s="2">
        <f t="shared" si="36"/>
        <v>0</v>
      </c>
      <c r="AP123" s="2">
        <f t="shared" si="37"/>
      </c>
      <c r="AQ123" s="2">
        <f t="shared" si="38"/>
      </c>
      <c r="AR123" s="2">
        <f t="shared" si="39"/>
      </c>
      <c r="AS123" s="2">
        <f t="shared" si="40"/>
      </c>
      <c r="AT123" s="2">
        <f t="shared" si="41"/>
        <v>0</v>
      </c>
      <c r="AU123" s="2">
        <f t="shared" si="42"/>
        <v>0</v>
      </c>
      <c r="AV123" s="2">
        <f t="shared" si="43"/>
        <v>0</v>
      </c>
      <c r="AW123" s="2">
        <f t="shared" si="44"/>
        <v>0</v>
      </c>
      <c r="AX123" s="2">
        <f t="shared" si="45"/>
        <v>0</v>
      </c>
      <c r="AY123" s="2">
        <f t="shared" si="46"/>
        <v>0</v>
      </c>
      <c r="AZ123" s="2">
        <f t="shared" si="47"/>
        <v>0</v>
      </c>
      <c r="BA123" s="2">
        <f t="shared" si="48"/>
        <v>0</v>
      </c>
      <c r="BD123" s="2">
        <f>BD100+SUM(CB101:CB123)</f>
        <v>1</v>
      </c>
      <c r="CB123" s="2">
        <f>IF(考勤工资!$Y$127=$E$3,1,0)</f>
        <v>0</v>
      </c>
    </row>
    <row r="124">
      <c r="A124" s="94">
        <f>IF($AN124=0,"",119)</f>
      </c>
      <c r="B124" s="94">
        <f t="shared" si="32"/>
      </c>
      <c r="C124" s="96">
        <f t="shared" si="33"/>
      </c>
      <c r="D124" s="94">
        <f t="shared" si="0"/>
      </c>
      <c r="E124" s="117">
        <f t="shared" si="1"/>
      </c>
      <c r="F124" s="96">
        <f t="shared" si="2"/>
      </c>
      <c r="G124" s="118">
        <f t="shared" si="3"/>
      </c>
      <c r="H124" s="118">
        <f t="shared" si="4"/>
      </c>
      <c r="I124" s="118">
        <f t="shared" si="5"/>
      </c>
      <c r="J124" s="118">
        <f t="shared" si="6"/>
      </c>
      <c r="K124" s="118">
        <f t="shared" si="7"/>
      </c>
      <c r="L124" s="118">
        <f t="shared" si="8"/>
      </c>
      <c r="M124" s="118">
        <f t="shared" si="9"/>
      </c>
      <c r="N124" s="118">
        <f t="shared" si="10"/>
      </c>
      <c r="O124" s="118">
        <f t="shared" si="11"/>
      </c>
      <c r="P124" s="119">
        <f t="shared" si="34"/>
      </c>
      <c r="Q124" s="21">
        <f t="shared" si="12"/>
      </c>
      <c r="R124" s="21">
        <f t="shared" si="13"/>
      </c>
      <c r="S124" s="21">
        <f t="shared" si="14"/>
      </c>
      <c r="T124" s="21">
        <f t="shared" si="15"/>
      </c>
      <c r="U124" s="21">
        <f t="shared" si="16"/>
      </c>
      <c r="V124" s="21">
        <f t="shared" si="17"/>
      </c>
      <c r="W124" s="21">
        <f t="shared" si="18"/>
      </c>
      <c r="X124" s="21">
        <f t="shared" si="19"/>
      </c>
      <c r="Y124" s="21">
        <f t="shared" si="20"/>
      </c>
      <c r="Z124" s="21">
        <f t="shared" si="21"/>
      </c>
      <c r="AA124" s="21">
        <f t="shared" si="22"/>
      </c>
      <c r="AB124" s="21">
        <f t="shared" si="23"/>
      </c>
      <c r="AC124" s="21">
        <f t="shared" si="24"/>
      </c>
      <c r="AD124" s="21">
        <f t="shared" si="25"/>
      </c>
      <c r="AE124" s="21">
        <f t="shared" si="26"/>
      </c>
      <c r="AF124" s="21">
        <f t="shared" si="27"/>
      </c>
      <c r="AG124" s="21">
        <f t="shared" si="28"/>
      </c>
      <c r="AH124" s="21">
        <f t="shared" si="29"/>
      </c>
      <c r="AI124" s="21">
        <f t="shared" si="30"/>
      </c>
      <c r="AJ124" s="21">
        <f t="shared" si="31"/>
      </c>
      <c r="AK124" s="94" t="n"/>
      <c r="AL124" s="96">
        <f t="shared" si="35"/>
      </c>
      <c r="AN124" s="2">
        <f>IF(119&gt;$BD$1000,0,IFERROR(MATCH(119,$BD$1:$BD$1000,0),0))</f>
        <v>0</v>
      </c>
      <c r="AO124" s="2">
        <f t="shared" si="36"/>
        <v>0</v>
      </c>
      <c r="AP124" s="2">
        <f t="shared" si="37"/>
      </c>
      <c r="AQ124" s="2">
        <f t="shared" si="38"/>
      </c>
      <c r="AR124" s="2">
        <f t="shared" si="39"/>
      </c>
      <c r="AS124" s="2">
        <f t="shared" si="40"/>
      </c>
      <c r="AT124" s="2">
        <f t="shared" si="41"/>
        <v>0</v>
      </c>
      <c r="AU124" s="2">
        <f t="shared" si="42"/>
        <v>0</v>
      </c>
      <c r="AV124" s="2">
        <f t="shared" si="43"/>
        <v>0</v>
      </c>
      <c r="AW124" s="2">
        <f t="shared" si="44"/>
        <v>0</v>
      </c>
      <c r="AX124" s="2">
        <f t="shared" si="45"/>
        <v>0</v>
      </c>
      <c r="AY124" s="2">
        <f t="shared" si="46"/>
        <v>0</v>
      </c>
      <c r="AZ124" s="2">
        <f t="shared" si="47"/>
        <v>0</v>
      </c>
      <c r="BA124" s="2">
        <f t="shared" si="48"/>
        <v>0</v>
      </c>
      <c r="BD124" s="2">
        <f>BD100+SUM(CB101:CB124)</f>
        <v>1</v>
      </c>
      <c r="CB124" s="2">
        <f>IF(考勤工资!$Y$128=$E$3,1,0)</f>
        <v>0</v>
      </c>
    </row>
    <row r="125">
      <c r="A125" s="94">
        <f>IF($AN125=0,"",120)</f>
      </c>
      <c r="B125" s="94">
        <f t="shared" si="32"/>
      </c>
      <c r="C125" s="96">
        <f t="shared" si="33"/>
      </c>
      <c r="D125" s="94">
        <f t="shared" si="0"/>
      </c>
      <c r="E125" s="117">
        <f t="shared" si="1"/>
      </c>
      <c r="F125" s="96">
        <f t="shared" si="2"/>
      </c>
      <c r="G125" s="118">
        <f t="shared" si="3"/>
      </c>
      <c r="H125" s="118">
        <f t="shared" si="4"/>
      </c>
      <c r="I125" s="118">
        <f t="shared" si="5"/>
      </c>
      <c r="J125" s="118">
        <f t="shared" si="6"/>
      </c>
      <c r="K125" s="118">
        <f t="shared" si="7"/>
      </c>
      <c r="L125" s="118">
        <f t="shared" si="8"/>
      </c>
      <c r="M125" s="118">
        <f t="shared" si="9"/>
      </c>
      <c r="N125" s="118">
        <f t="shared" si="10"/>
      </c>
      <c r="O125" s="118">
        <f t="shared" si="11"/>
      </c>
      <c r="P125" s="119">
        <f t="shared" si="34"/>
      </c>
      <c r="Q125" s="21">
        <f t="shared" si="12"/>
      </c>
      <c r="R125" s="21">
        <f t="shared" si="13"/>
      </c>
      <c r="S125" s="21">
        <f t="shared" si="14"/>
      </c>
      <c r="T125" s="21">
        <f t="shared" si="15"/>
      </c>
      <c r="U125" s="21">
        <f t="shared" si="16"/>
      </c>
      <c r="V125" s="21">
        <f t="shared" si="17"/>
      </c>
      <c r="W125" s="21">
        <f t="shared" si="18"/>
      </c>
      <c r="X125" s="21">
        <f t="shared" si="19"/>
      </c>
      <c r="Y125" s="21">
        <f t="shared" si="20"/>
      </c>
      <c r="Z125" s="21">
        <f t="shared" si="21"/>
      </c>
      <c r="AA125" s="21">
        <f t="shared" si="22"/>
      </c>
      <c r="AB125" s="21">
        <f t="shared" si="23"/>
      </c>
      <c r="AC125" s="21">
        <f t="shared" si="24"/>
      </c>
      <c r="AD125" s="21">
        <f t="shared" si="25"/>
      </c>
      <c r="AE125" s="21">
        <f t="shared" si="26"/>
      </c>
      <c r="AF125" s="21">
        <f t="shared" si="27"/>
      </c>
      <c r="AG125" s="21">
        <f t="shared" si="28"/>
      </c>
      <c r="AH125" s="21">
        <f t="shared" si="29"/>
      </c>
      <c r="AI125" s="21">
        <f t="shared" si="30"/>
      </c>
      <c r="AJ125" s="21">
        <f t="shared" si="31"/>
      </c>
      <c r="AK125" s="94" t="n"/>
      <c r="AL125" s="96">
        <f t="shared" si="35"/>
      </c>
      <c r="AN125" s="2">
        <f>IF(120&gt;$BD$1000,0,IFERROR(MATCH(120,$BD$1:$BD$1000,0),0))</f>
        <v>0</v>
      </c>
      <c r="AO125" s="2">
        <f t="shared" si="36"/>
        <v>0</v>
      </c>
      <c r="AP125" s="2">
        <f t="shared" si="37"/>
      </c>
      <c r="AQ125" s="2">
        <f t="shared" si="38"/>
      </c>
      <c r="AR125" s="2">
        <f t="shared" si="39"/>
      </c>
      <c r="AS125" s="2">
        <f t="shared" si="40"/>
      </c>
      <c r="AT125" s="2">
        <f t="shared" si="41"/>
        <v>0</v>
      </c>
      <c r="AU125" s="2">
        <f t="shared" si="42"/>
        <v>0</v>
      </c>
      <c r="AV125" s="2">
        <f t="shared" si="43"/>
        <v>0</v>
      </c>
      <c r="AW125" s="2">
        <f t="shared" si="44"/>
        <v>0</v>
      </c>
      <c r="AX125" s="2">
        <f t="shared" si="45"/>
        <v>0</v>
      </c>
      <c r="AY125" s="2">
        <f t="shared" si="46"/>
        <v>0</v>
      </c>
      <c r="AZ125" s="2">
        <f t="shared" si="47"/>
        <v>0</v>
      </c>
      <c r="BA125" s="2">
        <f t="shared" si="48"/>
        <v>0</v>
      </c>
      <c r="BD125" s="2">
        <f>BD100+SUM(CB101:CB125)</f>
        <v>1</v>
      </c>
      <c r="CB125" s="2">
        <f>IF(考勤工资!$Y$129=$E$3,1,0)</f>
        <v>0</v>
      </c>
    </row>
    <row r="126">
      <c r="A126" s="94">
        <f>IF($AN126=0,"",121)</f>
      </c>
      <c r="B126" s="94">
        <f t="shared" si="32"/>
      </c>
      <c r="C126" s="96">
        <f t="shared" si="33"/>
      </c>
      <c r="D126" s="94">
        <f t="shared" si="0"/>
      </c>
      <c r="E126" s="117">
        <f t="shared" si="1"/>
      </c>
      <c r="F126" s="96">
        <f t="shared" si="2"/>
      </c>
      <c r="G126" s="118">
        <f t="shared" si="3"/>
      </c>
      <c r="H126" s="118">
        <f t="shared" si="4"/>
      </c>
      <c r="I126" s="118">
        <f t="shared" si="5"/>
      </c>
      <c r="J126" s="118">
        <f t="shared" si="6"/>
      </c>
      <c r="K126" s="118">
        <f t="shared" si="7"/>
      </c>
      <c r="L126" s="118">
        <f t="shared" si="8"/>
      </c>
      <c r="M126" s="118">
        <f t="shared" si="9"/>
      </c>
      <c r="N126" s="118">
        <f t="shared" si="10"/>
      </c>
      <c r="O126" s="118">
        <f t="shared" si="11"/>
      </c>
      <c r="P126" s="119">
        <f t="shared" si="34"/>
      </c>
      <c r="Q126" s="21">
        <f t="shared" si="12"/>
      </c>
      <c r="R126" s="21">
        <f t="shared" si="13"/>
      </c>
      <c r="S126" s="21">
        <f t="shared" si="14"/>
      </c>
      <c r="T126" s="21">
        <f t="shared" si="15"/>
      </c>
      <c r="U126" s="21">
        <f t="shared" si="16"/>
      </c>
      <c r="V126" s="21">
        <f t="shared" si="17"/>
      </c>
      <c r="W126" s="21">
        <f t="shared" si="18"/>
      </c>
      <c r="X126" s="21">
        <f t="shared" si="19"/>
      </c>
      <c r="Y126" s="21">
        <f t="shared" si="20"/>
      </c>
      <c r="Z126" s="21">
        <f t="shared" si="21"/>
      </c>
      <c r="AA126" s="21">
        <f t="shared" si="22"/>
      </c>
      <c r="AB126" s="21">
        <f t="shared" si="23"/>
      </c>
      <c r="AC126" s="21">
        <f t="shared" si="24"/>
      </c>
      <c r="AD126" s="21">
        <f t="shared" si="25"/>
      </c>
      <c r="AE126" s="21">
        <f t="shared" si="26"/>
      </c>
      <c r="AF126" s="21">
        <f t="shared" si="27"/>
      </c>
      <c r="AG126" s="21">
        <f t="shared" si="28"/>
      </c>
      <c r="AH126" s="21">
        <f t="shared" si="29"/>
      </c>
      <c r="AI126" s="21">
        <f t="shared" si="30"/>
      </c>
      <c r="AJ126" s="21">
        <f t="shared" si="31"/>
      </c>
      <c r="AK126" s="94" t="n"/>
      <c r="AL126" s="96">
        <f t="shared" si="35"/>
      </c>
      <c r="AN126" s="2">
        <f>IF(121&gt;$BD$1000,0,IFERROR(MATCH(121,$BD$1:$BD$1000,0),0))</f>
        <v>0</v>
      </c>
      <c r="AO126" s="2">
        <f t="shared" si="36"/>
        <v>0</v>
      </c>
      <c r="AP126" s="2">
        <f t="shared" si="37"/>
      </c>
      <c r="AQ126" s="2">
        <f t="shared" si="38"/>
      </c>
      <c r="AR126" s="2">
        <f t="shared" si="39"/>
      </c>
      <c r="AS126" s="2">
        <f t="shared" si="40"/>
      </c>
      <c r="AT126" s="2">
        <f t="shared" si="41"/>
        <v>0</v>
      </c>
      <c r="AU126" s="2">
        <f t="shared" si="42"/>
        <v>0</v>
      </c>
      <c r="AV126" s="2">
        <f t="shared" si="43"/>
        <v>0</v>
      </c>
      <c r="AW126" s="2">
        <f t="shared" si="44"/>
        <v>0</v>
      </c>
      <c r="AX126" s="2">
        <f t="shared" si="45"/>
        <v>0</v>
      </c>
      <c r="AY126" s="2">
        <f t="shared" si="46"/>
        <v>0</v>
      </c>
      <c r="AZ126" s="2">
        <f t="shared" si="47"/>
        <v>0</v>
      </c>
      <c r="BA126" s="2">
        <f t="shared" si="48"/>
        <v>0</v>
      </c>
      <c r="BD126" s="2">
        <f>BD100+SUM(CB101:CB126)</f>
        <v>1</v>
      </c>
      <c r="CB126" s="2">
        <f>IF(考勤工资!$Y$130=$E$3,1,0)</f>
        <v>0</v>
      </c>
    </row>
    <row r="127">
      <c r="A127" s="94">
        <f>IF($AN127=0,"",122)</f>
      </c>
      <c r="B127" s="94">
        <f t="shared" si="32"/>
      </c>
      <c r="C127" s="96">
        <f t="shared" si="33"/>
      </c>
      <c r="D127" s="94">
        <f t="shared" si="0"/>
      </c>
      <c r="E127" s="117">
        <f t="shared" si="1"/>
      </c>
      <c r="F127" s="96">
        <f t="shared" si="2"/>
      </c>
      <c r="G127" s="118">
        <f t="shared" si="3"/>
      </c>
      <c r="H127" s="118">
        <f t="shared" si="4"/>
      </c>
      <c r="I127" s="118">
        <f t="shared" si="5"/>
      </c>
      <c r="J127" s="118">
        <f t="shared" si="6"/>
      </c>
      <c r="K127" s="118">
        <f t="shared" si="7"/>
      </c>
      <c r="L127" s="118">
        <f t="shared" si="8"/>
      </c>
      <c r="M127" s="118">
        <f t="shared" si="9"/>
      </c>
      <c r="N127" s="118">
        <f t="shared" si="10"/>
      </c>
      <c r="O127" s="118">
        <f t="shared" si="11"/>
      </c>
      <c r="P127" s="119">
        <f t="shared" si="34"/>
      </c>
      <c r="Q127" s="21">
        <f t="shared" si="12"/>
      </c>
      <c r="R127" s="21">
        <f t="shared" si="13"/>
      </c>
      <c r="S127" s="21">
        <f t="shared" si="14"/>
      </c>
      <c r="T127" s="21">
        <f t="shared" si="15"/>
      </c>
      <c r="U127" s="21">
        <f t="shared" si="16"/>
      </c>
      <c r="V127" s="21">
        <f t="shared" si="17"/>
      </c>
      <c r="W127" s="21">
        <f t="shared" si="18"/>
      </c>
      <c r="X127" s="21">
        <f t="shared" si="19"/>
      </c>
      <c r="Y127" s="21">
        <f t="shared" si="20"/>
      </c>
      <c r="Z127" s="21">
        <f t="shared" si="21"/>
      </c>
      <c r="AA127" s="21">
        <f t="shared" si="22"/>
      </c>
      <c r="AB127" s="21">
        <f t="shared" si="23"/>
      </c>
      <c r="AC127" s="21">
        <f t="shared" si="24"/>
      </c>
      <c r="AD127" s="21">
        <f t="shared" si="25"/>
      </c>
      <c r="AE127" s="21">
        <f t="shared" si="26"/>
      </c>
      <c r="AF127" s="21">
        <f t="shared" si="27"/>
      </c>
      <c r="AG127" s="21">
        <f t="shared" si="28"/>
      </c>
      <c r="AH127" s="21">
        <f t="shared" si="29"/>
      </c>
      <c r="AI127" s="21">
        <f t="shared" si="30"/>
      </c>
      <c r="AJ127" s="21">
        <f t="shared" si="31"/>
      </c>
      <c r="AK127" s="94" t="n"/>
      <c r="AL127" s="96">
        <f t="shared" si="35"/>
      </c>
      <c r="AN127" s="2">
        <f>IF(122&gt;$BD$1000,0,IFERROR(MATCH(122,$BD$1:$BD$1000,0),0))</f>
        <v>0</v>
      </c>
      <c r="AO127" s="2">
        <f t="shared" si="36"/>
        <v>0</v>
      </c>
      <c r="AP127" s="2">
        <f t="shared" si="37"/>
      </c>
      <c r="AQ127" s="2">
        <f t="shared" si="38"/>
      </c>
      <c r="AR127" s="2">
        <f t="shared" si="39"/>
      </c>
      <c r="AS127" s="2">
        <f t="shared" si="40"/>
      </c>
      <c r="AT127" s="2">
        <f t="shared" si="41"/>
        <v>0</v>
      </c>
      <c r="AU127" s="2">
        <f t="shared" si="42"/>
        <v>0</v>
      </c>
      <c r="AV127" s="2">
        <f t="shared" si="43"/>
        <v>0</v>
      </c>
      <c r="AW127" s="2">
        <f t="shared" si="44"/>
        <v>0</v>
      </c>
      <c r="AX127" s="2">
        <f t="shared" si="45"/>
        <v>0</v>
      </c>
      <c r="AY127" s="2">
        <f t="shared" si="46"/>
        <v>0</v>
      </c>
      <c r="AZ127" s="2">
        <f t="shared" si="47"/>
        <v>0</v>
      </c>
      <c r="BA127" s="2">
        <f t="shared" si="48"/>
        <v>0</v>
      </c>
      <c r="BD127" s="2">
        <f>BD100+SUM(CB101:CB127)</f>
        <v>1</v>
      </c>
      <c r="CB127" s="2">
        <f>IF(考勤工资!$Y$131=$E$3,1,0)</f>
        <v>0</v>
      </c>
    </row>
    <row r="128">
      <c r="A128" s="94">
        <f>IF($AN128=0,"",123)</f>
      </c>
      <c r="B128" s="94">
        <f t="shared" si="32"/>
      </c>
      <c r="C128" s="96">
        <f t="shared" si="33"/>
      </c>
      <c r="D128" s="94">
        <f t="shared" si="0"/>
      </c>
      <c r="E128" s="117">
        <f t="shared" si="1"/>
      </c>
      <c r="F128" s="96">
        <f t="shared" si="2"/>
      </c>
      <c r="G128" s="118">
        <f t="shared" si="3"/>
      </c>
      <c r="H128" s="118">
        <f t="shared" si="4"/>
      </c>
      <c r="I128" s="118">
        <f t="shared" si="5"/>
      </c>
      <c r="J128" s="118">
        <f t="shared" si="6"/>
      </c>
      <c r="K128" s="118">
        <f t="shared" si="7"/>
      </c>
      <c r="L128" s="118">
        <f t="shared" si="8"/>
      </c>
      <c r="M128" s="118">
        <f t="shared" si="9"/>
      </c>
      <c r="N128" s="118">
        <f t="shared" si="10"/>
      </c>
      <c r="O128" s="118">
        <f t="shared" si="11"/>
      </c>
      <c r="P128" s="119">
        <f t="shared" si="34"/>
      </c>
      <c r="Q128" s="21">
        <f t="shared" si="12"/>
      </c>
      <c r="R128" s="21">
        <f t="shared" si="13"/>
      </c>
      <c r="S128" s="21">
        <f t="shared" si="14"/>
      </c>
      <c r="T128" s="21">
        <f t="shared" si="15"/>
      </c>
      <c r="U128" s="21">
        <f t="shared" si="16"/>
      </c>
      <c r="V128" s="21">
        <f t="shared" si="17"/>
      </c>
      <c r="W128" s="21">
        <f t="shared" si="18"/>
      </c>
      <c r="X128" s="21">
        <f t="shared" si="19"/>
      </c>
      <c r="Y128" s="21">
        <f t="shared" si="20"/>
      </c>
      <c r="Z128" s="21">
        <f t="shared" si="21"/>
      </c>
      <c r="AA128" s="21">
        <f t="shared" si="22"/>
      </c>
      <c r="AB128" s="21">
        <f t="shared" si="23"/>
      </c>
      <c r="AC128" s="21">
        <f t="shared" si="24"/>
      </c>
      <c r="AD128" s="21">
        <f t="shared" si="25"/>
      </c>
      <c r="AE128" s="21">
        <f t="shared" si="26"/>
      </c>
      <c r="AF128" s="21">
        <f t="shared" si="27"/>
      </c>
      <c r="AG128" s="21">
        <f t="shared" si="28"/>
      </c>
      <c r="AH128" s="21">
        <f t="shared" si="29"/>
      </c>
      <c r="AI128" s="21">
        <f t="shared" si="30"/>
      </c>
      <c r="AJ128" s="21">
        <f t="shared" si="31"/>
      </c>
      <c r="AK128" s="94" t="n"/>
      <c r="AL128" s="96">
        <f t="shared" si="35"/>
      </c>
      <c r="AN128" s="2">
        <f>IF(123&gt;$BD$1000,0,IFERROR(MATCH(123,$BD$1:$BD$1000,0),0))</f>
        <v>0</v>
      </c>
      <c r="AO128" s="2">
        <f t="shared" si="36"/>
        <v>0</v>
      </c>
      <c r="AP128" s="2">
        <f t="shared" si="37"/>
      </c>
      <c r="AQ128" s="2">
        <f t="shared" si="38"/>
      </c>
      <c r="AR128" s="2">
        <f t="shared" si="39"/>
      </c>
      <c r="AS128" s="2">
        <f t="shared" si="40"/>
      </c>
      <c r="AT128" s="2">
        <f t="shared" si="41"/>
        <v>0</v>
      </c>
      <c r="AU128" s="2">
        <f t="shared" si="42"/>
        <v>0</v>
      </c>
      <c r="AV128" s="2">
        <f t="shared" si="43"/>
        <v>0</v>
      </c>
      <c r="AW128" s="2">
        <f t="shared" si="44"/>
        <v>0</v>
      </c>
      <c r="AX128" s="2">
        <f t="shared" si="45"/>
        <v>0</v>
      </c>
      <c r="AY128" s="2">
        <f t="shared" si="46"/>
        <v>0</v>
      </c>
      <c r="AZ128" s="2">
        <f t="shared" si="47"/>
        <v>0</v>
      </c>
      <c r="BA128" s="2">
        <f t="shared" si="48"/>
        <v>0</v>
      </c>
      <c r="BD128" s="2">
        <f>BD100+SUM(CB101:CB128)</f>
        <v>1</v>
      </c>
      <c r="CB128" s="2">
        <f>IF(考勤工资!$Y$132=$E$3,1,0)</f>
        <v>0</v>
      </c>
    </row>
    <row r="129">
      <c r="A129" s="94">
        <f>IF($AN129=0,"",124)</f>
      </c>
      <c r="B129" s="94">
        <f t="shared" si="32"/>
      </c>
      <c r="C129" s="96">
        <f t="shared" si="33"/>
      </c>
      <c r="D129" s="94">
        <f t="shared" si="0"/>
      </c>
      <c r="E129" s="117">
        <f t="shared" si="1"/>
      </c>
      <c r="F129" s="96">
        <f t="shared" si="2"/>
      </c>
      <c r="G129" s="118">
        <f t="shared" si="3"/>
      </c>
      <c r="H129" s="118">
        <f t="shared" si="4"/>
      </c>
      <c r="I129" s="118">
        <f t="shared" si="5"/>
      </c>
      <c r="J129" s="118">
        <f t="shared" si="6"/>
      </c>
      <c r="K129" s="118">
        <f t="shared" si="7"/>
      </c>
      <c r="L129" s="118">
        <f t="shared" si="8"/>
      </c>
      <c r="M129" s="118">
        <f t="shared" si="9"/>
      </c>
      <c r="N129" s="118">
        <f t="shared" si="10"/>
      </c>
      <c r="O129" s="118">
        <f t="shared" si="11"/>
      </c>
      <c r="P129" s="119">
        <f t="shared" si="34"/>
      </c>
      <c r="Q129" s="21">
        <f t="shared" si="12"/>
      </c>
      <c r="R129" s="21">
        <f t="shared" si="13"/>
      </c>
      <c r="S129" s="21">
        <f t="shared" si="14"/>
      </c>
      <c r="T129" s="21">
        <f t="shared" si="15"/>
      </c>
      <c r="U129" s="21">
        <f t="shared" si="16"/>
      </c>
      <c r="V129" s="21">
        <f t="shared" si="17"/>
      </c>
      <c r="W129" s="21">
        <f t="shared" si="18"/>
      </c>
      <c r="X129" s="21">
        <f t="shared" si="19"/>
      </c>
      <c r="Y129" s="21">
        <f t="shared" si="20"/>
      </c>
      <c r="Z129" s="21">
        <f t="shared" si="21"/>
      </c>
      <c r="AA129" s="21">
        <f t="shared" si="22"/>
      </c>
      <c r="AB129" s="21">
        <f t="shared" si="23"/>
      </c>
      <c r="AC129" s="21">
        <f t="shared" si="24"/>
      </c>
      <c r="AD129" s="21">
        <f t="shared" si="25"/>
      </c>
      <c r="AE129" s="21">
        <f t="shared" si="26"/>
      </c>
      <c r="AF129" s="21">
        <f t="shared" si="27"/>
      </c>
      <c r="AG129" s="21">
        <f t="shared" si="28"/>
      </c>
      <c r="AH129" s="21">
        <f t="shared" si="29"/>
      </c>
      <c r="AI129" s="21">
        <f t="shared" si="30"/>
      </c>
      <c r="AJ129" s="21">
        <f t="shared" si="31"/>
      </c>
      <c r="AK129" s="94" t="n"/>
      <c r="AL129" s="96">
        <f t="shared" si="35"/>
      </c>
      <c r="AN129" s="2">
        <f>IF(124&gt;$BD$1000,0,IFERROR(MATCH(124,$BD$1:$BD$1000,0),0))</f>
        <v>0</v>
      </c>
      <c r="AO129" s="2">
        <f t="shared" si="36"/>
        <v>0</v>
      </c>
      <c r="AP129" s="2">
        <f t="shared" si="37"/>
      </c>
      <c r="AQ129" s="2">
        <f t="shared" si="38"/>
      </c>
      <c r="AR129" s="2">
        <f t="shared" si="39"/>
      </c>
      <c r="AS129" s="2">
        <f t="shared" si="40"/>
      </c>
      <c r="AT129" s="2">
        <f t="shared" si="41"/>
        <v>0</v>
      </c>
      <c r="AU129" s="2">
        <f t="shared" si="42"/>
        <v>0</v>
      </c>
      <c r="AV129" s="2">
        <f t="shared" si="43"/>
        <v>0</v>
      </c>
      <c r="AW129" s="2">
        <f t="shared" si="44"/>
        <v>0</v>
      </c>
      <c r="AX129" s="2">
        <f t="shared" si="45"/>
        <v>0</v>
      </c>
      <c r="AY129" s="2">
        <f t="shared" si="46"/>
        <v>0</v>
      </c>
      <c r="AZ129" s="2">
        <f t="shared" si="47"/>
        <v>0</v>
      </c>
      <c r="BA129" s="2">
        <f t="shared" si="48"/>
        <v>0</v>
      </c>
      <c r="BD129" s="2">
        <f>BD100+SUM(CB101:CB129)</f>
        <v>1</v>
      </c>
      <c r="CB129" s="2">
        <f>IF(考勤工资!$Y$133=$E$3,1,0)</f>
        <v>0</v>
      </c>
    </row>
    <row r="130">
      <c r="A130" s="94">
        <f>IF($AN130=0,"",125)</f>
      </c>
      <c r="B130" s="94">
        <f t="shared" si="32"/>
      </c>
      <c r="C130" s="96">
        <f t="shared" si="33"/>
      </c>
      <c r="D130" s="94">
        <f t="shared" si="0"/>
      </c>
      <c r="E130" s="117">
        <f t="shared" si="1"/>
      </c>
      <c r="F130" s="96">
        <f t="shared" si="2"/>
      </c>
      <c r="G130" s="118">
        <f t="shared" si="3"/>
      </c>
      <c r="H130" s="118">
        <f t="shared" si="4"/>
      </c>
      <c r="I130" s="118">
        <f t="shared" si="5"/>
      </c>
      <c r="J130" s="118">
        <f t="shared" si="6"/>
      </c>
      <c r="K130" s="118">
        <f t="shared" si="7"/>
      </c>
      <c r="L130" s="118">
        <f t="shared" si="8"/>
      </c>
      <c r="M130" s="118">
        <f t="shared" si="9"/>
      </c>
      <c r="N130" s="118">
        <f t="shared" si="10"/>
      </c>
      <c r="O130" s="118">
        <f t="shared" si="11"/>
      </c>
      <c r="P130" s="119">
        <f t="shared" si="34"/>
      </c>
      <c r="Q130" s="21">
        <f t="shared" si="12"/>
      </c>
      <c r="R130" s="21">
        <f t="shared" si="13"/>
      </c>
      <c r="S130" s="21">
        <f t="shared" si="14"/>
      </c>
      <c r="T130" s="21">
        <f t="shared" si="15"/>
      </c>
      <c r="U130" s="21">
        <f t="shared" si="16"/>
      </c>
      <c r="V130" s="21">
        <f t="shared" si="17"/>
      </c>
      <c r="W130" s="21">
        <f t="shared" si="18"/>
      </c>
      <c r="X130" s="21">
        <f t="shared" si="19"/>
      </c>
      <c r="Y130" s="21">
        <f t="shared" si="20"/>
      </c>
      <c r="Z130" s="21">
        <f t="shared" si="21"/>
      </c>
      <c r="AA130" s="21">
        <f t="shared" si="22"/>
      </c>
      <c r="AB130" s="21">
        <f t="shared" si="23"/>
      </c>
      <c r="AC130" s="21">
        <f t="shared" si="24"/>
      </c>
      <c r="AD130" s="21">
        <f t="shared" si="25"/>
      </c>
      <c r="AE130" s="21">
        <f t="shared" si="26"/>
      </c>
      <c r="AF130" s="21">
        <f t="shared" si="27"/>
      </c>
      <c r="AG130" s="21">
        <f t="shared" si="28"/>
      </c>
      <c r="AH130" s="21">
        <f t="shared" si="29"/>
      </c>
      <c r="AI130" s="21">
        <f t="shared" si="30"/>
      </c>
      <c r="AJ130" s="21">
        <f t="shared" si="31"/>
      </c>
      <c r="AK130" s="94" t="n"/>
      <c r="AL130" s="96">
        <f t="shared" si="35"/>
      </c>
      <c r="AN130" s="2">
        <f>IF(125&gt;$BD$1000,0,IFERROR(MATCH(125,$BD$1:$BD$1000,0),0))</f>
        <v>0</v>
      </c>
      <c r="AO130" s="2">
        <f t="shared" si="36"/>
        <v>0</v>
      </c>
      <c r="AP130" s="2">
        <f t="shared" si="37"/>
      </c>
      <c r="AQ130" s="2">
        <f t="shared" si="38"/>
      </c>
      <c r="AR130" s="2">
        <f t="shared" si="39"/>
      </c>
      <c r="AS130" s="2">
        <f t="shared" si="40"/>
      </c>
      <c r="AT130" s="2">
        <f t="shared" si="41"/>
        <v>0</v>
      </c>
      <c r="AU130" s="2">
        <f t="shared" si="42"/>
        <v>0</v>
      </c>
      <c r="AV130" s="2">
        <f t="shared" si="43"/>
        <v>0</v>
      </c>
      <c r="AW130" s="2">
        <f t="shared" si="44"/>
        <v>0</v>
      </c>
      <c r="AX130" s="2">
        <f t="shared" si="45"/>
        <v>0</v>
      </c>
      <c r="AY130" s="2">
        <f t="shared" si="46"/>
        <v>0</v>
      </c>
      <c r="AZ130" s="2">
        <f t="shared" si="47"/>
        <v>0</v>
      </c>
      <c r="BA130" s="2">
        <f t="shared" si="48"/>
        <v>0</v>
      </c>
      <c r="BD130" s="2">
        <f>BD100+SUM(CB101:CB130)</f>
        <v>1</v>
      </c>
      <c r="CB130" s="2">
        <f>IF(考勤工资!$Y$134=$E$3,1,0)</f>
        <v>0</v>
      </c>
    </row>
    <row r="131">
      <c r="A131" s="94">
        <f>IF($AN131=0,"",126)</f>
      </c>
      <c r="B131" s="94">
        <f t="shared" si="32"/>
      </c>
      <c r="C131" s="96">
        <f t="shared" si="33"/>
      </c>
      <c r="D131" s="94">
        <f t="shared" si="0"/>
      </c>
      <c r="E131" s="117">
        <f t="shared" si="1"/>
      </c>
      <c r="F131" s="96">
        <f t="shared" si="2"/>
      </c>
      <c r="G131" s="118">
        <f t="shared" si="3"/>
      </c>
      <c r="H131" s="118">
        <f t="shared" si="4"/>
      </c>
      <c r="I131" s="118">
        <f t="shared" si="5"/>
      </c>
      <c r="J131" s="118">
        <f t="shared" si="6"/>
      </c>
      <c r="K131" s="118">
        <f t="shared" si="7"/>
      </c>
      <c r="L131" s="118">
        <f t="shared" si="8"/>
      </c>
      <c r="M131" s="118">
        <f t="shared" si="9"/>
      </c>
      <c r="N131" s="118">
        <f t="shared" si="10"/>
      </c>
      <c r="O131" s="118">
        <f t="shared" si="11"/>
      </c>
      <c r="P131" s="119">
        <f t="shared" si="34"/>
      </c>
      <c r="Q131" s="21">
        <f t="shared" si="12"/>
      </c>
      <c r="R131" s="21">
        <f t="shared" si="13"/>
      </c>
      <c r="S131" s="21">
        <f t="shared" si="14"/>
      </c>
      <c r="T131" s="21">
        <f t="shared" si="15"/>
      </c>
      <c r="U131" s="21">
        <f t="shared" si="16"/>
      </c>
      <c r="V131" s="21">
        <f t="shared" si="17"/>
      </c>
      <c r="W131" s="21">
        <f t="shared" si="18"/>
      </c>
      <c r="X131" s="21">
        <f t="shared" si="19"/>
      </c>
      <c r="Y131" s="21">
        <f t="shared" si="20"/>
      </c>
      <c r="Z131" s="21">
        <f t="shared" si="21"/>
      </c>
      <c r="AA131" s="21">
        <f t="shared" si="22"/>
      </c>
      <c r="AB131" s="21">
        <f t="shared" si="23"/>
      </c>
      <c r="AC131" s="21">
        <f t="shared" si="24"/>
      </c>
      <c r="AD131" s="21">
        <f t="shared" si="25"/>
      </c>
      <c r="AE131" s="21">
        <f t="shared" si="26"/>
      </c>
      <c r="AF131" s="21">
        <f t="shared" si="27"/>
      </c>
      <c r="AG131" s="21">
        <f t="shared" si="28"/>
      </c>
      <c r="AH131" s="21">
        <f t="shared" si="29"/>
      </c>
      <c r="AI131" s="21">
        <f t="shared" si="30"/>
      </c>
      <c r="AJ131" s="21">
        <f t="shared" si="31"/>
      </c>
      <c r="AK131" s="94" t="n"/>
      <c r="AL131" s="96">
        <f t="shared" si="35"/>
      </c>
      <c r="AN131" s="2">
        <f>IF(126&gt;$BD$1000,0,IFERROR(MATCH(126,$BD$1:$BD$1000,0),0))</f>
        <v>0</v>
      </c>
      <c r="AO131" s="2">
        <f t="shared" si="36"/>
        <v>0</v>
      </c>
      <c r="AP131" s="2">
        <f t="shared" si="37"/>
      </c>
      <c r="AQ131" s="2">
        <f t="shared" si="38"/>
      </c>
      <c r="AR131" s="2">
        <f t="shared" si="39"/>
      </c>
      <c r="AS131" s="2">
        <f t="shared" si="40"/>
      </c>
      <c r="AT131" s="2">
        <f t="shared" si="41"/>
        <v>0</v>
      </c>
      <c r="AU131" s="2">
        <f t="shared" si="42"/>
        <v>0</v>
      </c>
      <c r="AV131" s="2">
        <f t="shared" si="43"/>
        <v>0</v>
      </c>
      <c r="AW131" s="2">
        <f t="shared" si="44"/>
        <v>0</v>
      </c>
      <c r="AX131" s="2">
        <f t="shared" si="45"/>
        <v>0</v>
      </c>
      <c r="AY131" s="2">
        <f t="shared" si="46"/>
        <v>0</v>
      </c>
      <c r="AZ131" s="2">
        <f t="shared" si="47"/>
        <v>0</v>
      </c>
      <c r="BA131" s="2">
        <f t="shared" si="48"/>
        <v>0</v>
      </c>
      <c r="BD131" s="2">
        <f>BD100+SUM(CB101:CB131)</f>
        <v>1</v>
      </c>
      <c r="CB131" s="2">
        <f>IF(考勤工资!$Y$135=$E$3,1,0)</f>
        <v>0</v>
      </c>
    </row>
    <row r="132">
      <c r="A132" s="94">
        <f>IF($AN132=0,"",127)</f>
      </c>
      <c r="B132" s="94">
        <f t="shared" si="32"/>
      </c>
      <c r="C132" s="96">
        <f t="shared" si="33"/>
      </c>
      <c r="D132" s="94">
        <f t="shared" si="0"/>
      </c>
      <c r="E132" s="117">
        <f t="shared" si="1"/>
      </c>
      <c r="F132" s="96">
        <f t="shared" si="2"/>
      </c>
      <c r="G132" s="118">
        <f t="shared" si="3"/>
      </c>
      <c r="H132" s="118">
        <f t="shared" si="4"/>
      </c>
      <c r="I132" s="118">
        <f t="shared" si="5"/>
      </c>
      <c r="J132" s="118">
        <f t="shared" si="6"/>
      </c>
      <c r="K132" s="118">
        <f t="shared" si="7"/>
      </c>
      <c r="L132" s="118">
        <f t="shared" si="8"/>
      </c>
      <c r="M132" s="118">
        <f t="shared" si="9"/>
      </c>
      <c r="N132" s="118">
        <f t="shared" si="10"/>
      </c>
      <c r="O132" s="118">
        <f t="shared" si="11"/>
      </c>
      <c r="P132" s="119">
        <f t="shared" si="34"/>
      </c>
      <c r="Q132" s="21">
        <f t="shared" si="12"/>
      </c>
      <c r="R132" s="21">
        <f t="shared" si="13"/>
      </c>
      <c r="S132" s="21">
        <f t="shared" si="14"/>
      </c>
      <c r="T132" s="21">
        <f t="shared" si="15"/>
      </c>
      <c r="U132" s="21">
        <f t="shared" si="16"/>
      </c>
      <c r="V132" s="21">
        <f t="shared" si="17"/>
      </c>
      <c r="W132" s="21">
        <f t="shared" si="18"/>
      </c>
      <c r="X132" s="21">
        <f t="shared" si="19"/>
      </c>
      <c r="Y132" s="21">
        <f t="shared" si="20"/>
      </c>
      <c r="Z132" s="21">
        <f t="shared" si="21"/>
      </c>
      <c r="AA132" s="21">
        <f t="shared" si="22"/>
      </c>
      <c r="AB132" s="21">
        <f t="shared" si="23"/>
      </c>
      <c r="AC132" s="21">
        <f t="shared" si="24"/>
      </c>
      <c r="AD132" s="21">
        <f t="shared" si="25"/>
      </c>
      <c r="AE132" s="21">
        <f t="shared" si="26"/>
      </c>
      <c r="AF132" s="21">
        <f t="shared" si="27"/>
      </c>
      <c r="AG132" s="21">
        <f t="shared" si="28"/>
      </c>
      <c r="AH132" s="21">
        <f t="shared" si="29"/>
      </c>
      <c r="AI132" s="21">
        <f t="shared" si="30"/>
      </c>
      <c r="AJ132" s="21">
        <f t="shared" si="31"/>
      </c>
      <c r="AK132" s="94" t="n"/>
      <c r="AL132" s="96">
        <f t="shared" si="35"/>
      </c>
      <c r="AN132" s="2">
        <f>IF(127&gt;$BD$1000,0,IFERROR(MATCH(127,$BD$1:$BD$1000,0),0))</f>
        <v>0</v>
      </c>
      <c r="AO132" s="2">
        <f t="shared" si="36"/>
        <v>0</v>
      </c>
      <c r="AP132" s="2">
        <f t="shared" si="37"/>
      </c>
      <c r="AQ132" s="2">
        <f t="shared" si="38"/>
      </c>
      <c r="AR132" s="2">
        <f t="shared" si="39"/>
      </c>
      <c r="AS132" s="2">
        <f t="shared" si="40"/>
      </c>
      <c r="AT132" s="2">
        <f t="shared" si="41"/>
        <v>0</v>
      </c>
      <c r="AU132" s="2">
        <f t="shared" si="42"/>
        <v>0</v>
      </c>
      <c r="AV132" s="2">
        <f t="shared" si="43"/>
        <v>0</v>
      </c>
      <c r="AW132" s="2">
        <f t="shared" si="44"/>
        <v>0</v>
      </c>
      <c r="AX132" s="2">
        <f t="shared" si="45"/>
        <v>0</v>
      </c>
      <c r="AY132" s="2">
        <f t="shared" si="46"/>
        <v>0</v>
      </c>
      <c r="AZ132" s="2">
        <f t="shared" si="47"/>
        <v>0</v>
      </c>
      <c r="BA132" s="2">
        <f t="shared" si="48"/>
        <v>0</v>
      </c>
      <c r="BD132" s="2">
        <f>BD100+SUM(CB101:CB132)</f>
        <v>1</v>
      </c>
      <c r="CB132" s="2">
        <f>IF(考勤工资!$Y$136=$E$3,1,0)</f>
        <v>0</v>
      </c>
    </row>
    <row r="133">
      <c r="A133" s="94">
        <f>IF($AN133=0,"",128)</f>
      </c>
      <c r="B133" s="94">
        <f t="shared" si="32"/>
      </c>
      <c r="C133" s="96">
        <f t="shared" si="33"/>
      </c>
      <c r="D133" s="94">
        <f t="shared" si="0"/>
      </c>
      <c r="E133" s="117">
        <f t="shared" si="1"/>
      </c>
      <c r="F133" s="96">
        <f t="shared" si="2"/>
      </c>
      <c r="G133" s="118">
        <f t="shared" si="3"/>
      </c>
      <c r="H133" s="118">
        <f t="shared" si="4"/>
      </c>
      <c r="I133" s="118">
        <f t="shared" si="5"/>
      </c>
      <c r="J133" s="118">
        <f t="shared" si="6"/>
      </c>
      <c r="K133" s="118">
        <f t="shared" si="7"/>
      </c>
      <c r="L133" s="118">
        <f t="shared" si="8"/>
      </c>
      <c r="M133" s="118">
        <f t="shared" si="9"/>
      </c>
      <c r="N133" s="118">
        <f t="shared" si="10"/>
      </c>
      <c r="O133" s="118">
        <f t="shared" si="11"/>
      </c>
      <c r="P133" s="119">
        <f t="shared" si="34"/>
      </c>
      <c r="Q133" s="21">
        <f t="shared" si="12"/>
      </c>
      <c r="R133" s="21">
        <f t="shared" si="13"/>
      </c>
      <c r="S133" s="21">
        <f t="shared" si="14"/>
      </c>
      <c r="T133" s="21">
        <f t="shared" si="15"/>
      </c>
      <c r="U133" s="21">
        <f t="shared" si="16"/>
      </c>
      <c r="V133" s="21">
        <f t="shared" si="17"/>
      </c>
      <c r="W133" s="21">
        <f t="shared" si="18"/>
      </c>
      <c r="X133" s="21">
        <f t="shared" si="19"/>
      </c>
      <c r="Y133" s="21">
        <f t="shared" si="20"/>
      </c>
      <c r="Z133" s="21">
        <f t="shared" si="21"/>
      </c>
      <c r="AA133" s="21">
        <f t="shared" si="22"/>
      </c>
      <c r="AB133" s="21">
        <f t="shared" si="23"/>
      </c>
      <c r="AC133" s="21">
        <f t="shared" si="24"/>
      </c>
      <c r="AD133" s="21">
        <f t="shared" si="25"/>
      </c>
      <c r="AE133" s="21">
        <f t="shared" si="26"/>
      </c>
      <c r="AF133" s="21">
        <f t="shared" si="27"/>
      </c>
      <c r="AG133" s="21">
        <f t="shared" si="28"/>
      </c>
      <c r="AH133" s="21">
        <f t="shared" si="29"/>
      </c>
      <c r="AI133" s="21">
        <f t="shared" si="30"/>
      </c>
      <c r="AJ133" s="21">
        <f t="shared" si="31"/>
      </c>
      <c r="AK133" s="94" t="n"/>
      <c r="AL133" s="96">
        <f t="shared" si="35"/>
      </c>
      <c r="AN133" s="2">
        <f>IF(128&gt;$BD$1000,0,IFERROR(MATCH(128,$BD$1:$BD$1000,0),0))</f>
        <v>0</v>
      </c>
      <c r="AO133" s="2">
        <f t="shared" si="36"/>
        <v>0</v>
      </c>
      <c r="AP133" s="2">
        <f t="shared" si="37"/>
      </c>
      <c r="AQ133" s="2">
        <f t="shared" si="38"/>
      </c>
      <c r="AR133" s="2">
        <f t="shared" si="39"/>
      </c>
      <c r="AS133" s="2">
        <f t="shared" si="40"/>
      </c>
      <c r="AT133" s="2">
        <f t="shared" si="41"/>
        <v>0</v>
      </c>
      <c r="AU133" s="2">
        <f t="shared" si="42"/>
        <v>0</v>
      </c>
      <c r="AV133" s="2">
        <f t="shared" si="43"/>
        <v>0</v>
      </c>
      <c r="AW133" s="2">
        <f t="shared" si="44"/>
        <v>0</v>
      </c>
      <c r="AX133" s="2">
        <f t="shared" si="45"/>
        <v>0</v>
      </c>
      <c r="AY133" s="2">
        <f t="shared" si="46"/>
        <v>0</v>
      </c>
      <c r="AZ133" s="2">
        <f t="shared" si="47"/>
        <v>0</v>
      </c>
      <c r="BA133" s="2">
        <f t="shared" si="48"/>
        <v>0</v>
      </c>
      <c r="BD133" s="2">
        <f>BD100+SUM(CB101:CB133)</f>
        <v>1</v>
      </c>
      <c r="CB133" s="2">
        <f>IF(考勤工资!$Y$137=$E$3,1,0)</f>
        <v>0</v>
      </c>
    </row>
    <row r="134">
      <c r="A134" s="94">
        <f>IF($AN134=0,"",129)</f>
      </c>
      <c r="B134" s="94">
        <f t="shared" si="32"/>
      </c>
      <c r="C134" s="96">
        <f t="shared" si="33"/>
      </c>
      <c r="D134" s="94">
        <f t="shared" si="0"/>
      </c>
      <c r="E134" s="117">
        <f t="shared" si="1"/>
      </c>
      <c r="F134" s="96">
        <f t="shared" si="2"/>
      </c>
      <c r="G134" s="118">
        <f t="shared" si="3"/>
      </c>
      <c r="H134" s="118">
        <f t="shared" si="4"/>
      </c>
      <c r="I134" s="118">
        <f t="shared" si="5"/>
      </c>
      <c r="J134" s="118">
        <f t="shared" si="6"/>
      </c>
      <c r="K134" s="118">
        <f t="shared" si="7"/>
      </c>
      <c r="L134" s="118">
        <f t="shared" si="8"/>
      </c>
      <c r="M134" s="118">
        <f t="shared" si="9"/>
      </c>
      <c r="N134" s="118">
        <f t="shared" si="10"/>
      </c>
      <c r="O134" s="118">
        <f t="shared" si="11"/>
      </c>
      <c r="P134" s="119">
        <f t="shared" si="34"/>
      </c>
      <c r="Q134" s="21">
        <f t="shared" si="12"/>
      </c>
      <c r="R134" s="21">
        <f t="shared" si="13"/>
      </c>
      <c r="S134" s="21">
        <f t="shared" si="14"/>
      </c>
      <c r="T134" s="21">
        <f t="shared" si="15"/>
      </c>
      <c r="U134" s="21">
        <f t="shared" si="16"/>
      </c>
      <c r="V134" s="21">
        <f t="shared" si="17"/>
      </c>
      <c r="W134" s="21">
        <f t="shared" si="18"/>
      </c>
      <c r="X134" s="21">
        <f t="shared" si="19"/>
      </c>
      <c r="Y134" s="21">
        <f t="shared" si="20"/>
      </c>
      <c r="Z134" s="21">
        <f t="shared" si="21"/>
      </c>
      <c r="AA134" s="21">
        <f t="shared" si="22"/>
      </c>
      <c r="AB134" s="21">
        <f t="shared" si="23"/>
      </c>
      <c r="AC134" s="21">
        <f t="shared" si="24"/>
      </c>
      <c r="AD134" s="21">
        <f t="shared" si="25"/>
      </c>
      <c r="AE134" s="21">
        <f t="shared" si="26"/>
      </c>
      <c r="AF134" s="21">
        <f t="shared" si="27"/>
      </c>
      <c r="AG134" s="21">
        <f t="shared" si="28"/>
      </c>
      <c r="AH134" s="21">
        <f t="shared" si="29"/>
      </c>
      <c r="AI134" s="21">
        <f t="shared" si="30"/>
      </c>
      <c r="AJ134" s="21">
        <f t="shared" si="31"/>
      </c>
      <c r="AK134" s="94" t="n"/>
      <c r="AL134" s="96">
        <f t="shared" si="35"/>
      </c>
      <c r="AN134" s="2">
        <f>IF(129&gt;$BD$1000,0,IFERROR(MATCH(129,$BD$1:$BD$1000,0),0))</f>
        <v>0</v>
      </c>
      <c r="AO134" s="2">
        <f t="shared" si="36"/>
        <v>0</v>
      </c>
      <c r="AP134" s="2">
        <f t="shared" si="37"/>
      </c>
      <c r="AQ134" s="2">
        <f t="shared" si="38"/>
      </c>
      <c r="AR134" s="2">
        <f t="shared" si="39"/>
      </c>
      <c r="AS134" s="2">
        <f t="shared" si="40"/>
      </c>
      <c r="AT134" s="2">
        <f t="shared" si="41"/>
        <v>0</v>
      </c>
      <c r="AU134" s="2">
        <f t="shared" si="42"/>
        <v>0</v>
      </c>
      <c r="AV134" s="2">
        <f t="shared" si="43"/>
        <v>0</v>
      </c>
      <c r="AW134" s="2">
        <f t="shared" si="44"/>
        <v>0</v>
      </c>
      <c r="AX134" s="2">
        <f t="shared" si="45"/>
        <v>0</v>
      </c>
      <c r="AY134" s="2">
        <f t="shared" si="46"/>
        <v>0</v>
      </c>
      <c r="AZ134" s="2">
        <f t="shared" si="47"/>
        <v>0</v>
      </c>
      <c r="BA134" s="2">
        <f t="shared" si="48"/>
        <v>0</v>
      </c>
      <c r="BD134" s="2">
        <f>BD100+SUM(CB101:CB134)</f>
        <v>1</v>
      </c>
      <c r="CB134" s="2">
        <f>IF(考勤工资!$Y$138=$E$3,1,0)</f>
        <v>0</v>
      </c>
    </row>
    <row r="135">
      <c r="A135" s="94">
        <f>IF($AN135=0,"",130)</f>
      </c>
      <c r="B135" s="94">
        <f t="shared" si="32"/>
      </c>
      <c r="C135" s="96">
        <f t="shared" si="33"/>
      </c>
      <c r="D135" s="94">
        <f t="shared" si="0"/>
      </c>
      <c r="E135" s="117">
        <f t="shared" si="1"/>
      </c>
      <c r="F135" s="96">
        <f t="shared" si="2"/>
      </c>
      <c r="G135" s="118">
        <f t="shared" si="3"/>
      </c>
      <c r="H135" s="118">
        <f t="shared" si="4"/>
      </c>
      <c r="I135" s="118">
        <f t="shared" si="5"/>
      </c>
      <c r="J135" s="118">
        <f t="shared" si="6"/>
      </c>
      <c r="K135" s="118">
        <f t="shared" si="7"/>
      </c>
      <c r="L135" s="118">
        <f t="shared" si="8"/>
      </c>
      <c r="M135" s="118">
        <f t="shared" si="9"/>
      </c>
      <c r="N135" s="118">
        <f t="shared" si="10"/>
      </c>
      <c r="O135" s="118">
        <f t="shared" si="11"/>
      </c>
      <c r="P135" s="119">
        <f t="shared" si="34"/>
      </c>
      <c r="Q135" s="21">
        <f t="shared" si="12"/>
      </c>
      <c r="R135" s="21">
        <f t="shared" si="13"/>
      </c>
      <c r="S135" s="21">
        <f t="shared" si="14"/>
      </c>
      <c r="T135" s="21">
        <f t="shared" si="15"/>
      </c>
      <c r="U135" s="21">
        <f t="shared" si="16"/>
      </c>
      <c r="V135" s="21">
        <f t="shared" si="17"/>
      </c>
      <c r="W135" s="21">
        <f t="shared" si="18"/>
      </c>
      <c r="X135" s="21">
        <f t="shared" si="19"/>
      </c>
      <c r="Y135" s="21">
        <f t="shared" si="20"/>
      </c>
      <c r="Z135" s="21">
        <f t="shared" si="21"/>
      </c>
      <c r="AA135" s="21">
        <f t="shared" si="22"/>
      </c>
      <c r="AB135" s="21">
        <f t="shared" si="23"/>
      </c>
      <c r="AC135" s="21">
        <f t="shared" si="24"/>
      </c>
      <c r="AD135" s="21">
        <f t="shared" si="25"/>
      </c>
      <c r="AE135" s="21">
        <f t="shared" si="26"/>
      </c>
      <c r="AF135" s="21">
        <f t="shared" si="27"/>
      </c>
      <c r="AG135" s="21">
        <f t="shared" si="28"/>
      </c>
      <c r="AH135" s="21">
        <f t="shared" si="29"/>
      </c>
      <c r="AI135" s="21">
        <f t="shared" si="30"/>
      </c>
      <c r="AJ135" s="21">
        <f t="shared" si="31"/>
      </c>
      <c r="AK135" s="94" t="n"/>
      <c r="AL135" s="96">
        <f t="shared" si="35"/>
      </c>
      <c r="AN135" s="2">
        <f>IF(130&gt;$BD$1000,0,IFERROR(MATCH(130,$BD$1:$BD$1000,0),0))</f>
        <v>0</v>
      </c>
      <c r="AO135" s="2">
        <f t="shared" si="36"/>
        <v>0</v>
      </c>
      <c r="AP135" s="2">
        <f t="shared" si="37"/>
      </c>
      <c r="AQ135" s="2">
        <f t="shared" si="38"/>
      </c>
      <c r="AR135" s="2">
        <f t="shared" si="39"/>
      </c>
      <c r="AS135" s="2">
        <f t="shared" si="40"/>
      </c>
      <c r="AT135" s="2">
        <f t="shared" si="41"/>
        <v>0</v>
      </c>
      <c r="AU135" s="2">
        <f t="shared" si="42"/>
        <v>0</v>
      </c>
      <c r="AV135" s="2">
        <f t="shared" si="43"/>
        <v>0</v>
      </c>
      <c r="AW135" s="2">
        <f t="shared" si="44"/>
        <v>0</v>
      </c>
      <c r="AX135" s="2">
        <f t="shared" si="45"/>
        <v>0</v>
      </c>
      <c r="AY135" s="2">
        <f t="shared" si="46"/>
        <v>0</v>
      </c>
      <c r="AZ135" s="2">
        <f t="shared" si="47"/>
        <v>0</v>
      </c>
      <c r="BA135" s="2">
        <f t="shared" si="48"/>
        <v>0</v>
      </c>
      <c r="BD135" s="2">
        <f>BD100+SUM(CB101:CB135)</f>
        <v>1</v>
      </c>
      <c r="CB135" s="2">
        <f>IF(考勤工资!$Y$139=$E$3,1,0)</f>
        <v>0</v>
      </c>
    </row>
    <row r="136">
      <c r="A136" s="94">
        <f>IF($AN136=0,"",131)</f>
      </c>
      <c r="B136" s="94">
        <f t="shared" si="32"/>
      </c>
      <c r="C136" s="96">
        <f t="shared" si="33"/>
      </c>
      <c r="D136" s="94">
        <f t="shared" si="0"/>
      </c>
      <c r="E136" s="117">
        <f t="shared" si="1"/>
      </c>
      <c r="F136" s="96">
        <f t="shared" si="2"/>
      </c>
      <c r="G136" s="118">
        <f t="shared" si="3"/>
      </c>
      <c r="H136" s="118">
        <f t="shared" si="4"/>
      </c>
      <c r="I136" s="118">
        <f t="shared" si="5"/>
      </c>
      <c r="J136" s="118">
        <f t="shared" si="6"/>
      </c>
      <c r="K136" s="118">
        <f t="shared" si="7"/>
      </c>
      <c r="L136" s="118">
        <f t="shared" si="8"/>
      </c>
      <c r="M136" s="118">
        <f t="shared" si="9"/>
      </c>
      <c r="N136" s="118">
        <f t="shared" si="10"/>
      </c>
      <c r="O136" s="118">
        <f t="shared" si="11"/>
      </c>
      <c r="P136" s="119">
        <f t="shared" si="34"/>
      </c>
      <c r="Q136" s="21">
        <f t="shared" si="12"/>
      </c>
      <c r="R136" s="21">
        <f t="shared" si="13"/>
      </c>
      <c r="S136" s="21">
        <f t="shared" si="14"/>
      </c>
      <c r="T136" s="21">
        <f t="shared" si="15"/>
      </c>
      <c r="U136" s="21">
        <f t="shared" si="16"/>
      </c>
      <c r="V136" s="21">
        <f t="shared" si="17"/>
      </c>
      <c r="W136" s="21">
        <f t="shared" si="18"/>
      </c>
      <c r="X136" s="21">
        <f t="shared" si="19"/>
      </c>
      <c r="Y136" s="21">
        <f t="shared" si="20"/>
      </c>
      <c r="Z136" s="21">
        <f t="shared" si="21"/>
      </c>
      <c r="AA136" s="21">
        <f t="shared" si="22"/>
      </c>
      <c r="AB136" s="21">
        <f t="shared" si="23"/>
      </c>
      <c r="AC136" s="21">
        <f t="shared" si="24"/>
      </c>
      <c r="AD136" s="21">
        <f t="shared" si="25"/>
      </c>
      <c r="AE136" s="21">
        <f t="shared" si="26"/>
      </c>
      <c r="AF136" s="21">
        <f t="shared" si="27"/>
      </c>
      <c r="AG136" s="21">
        <f t="shared" si="28"/>
      </c>
      <c r="AH136" s="21">
        <f t="shared" si="29"/>
      </c>
      <c r="AI136" s="21">
        <f t="shared" si="30"/>
      </c>
      <c r="AJ136" s="21">
        <f t="shared" si="31"/>
      </c>
      <c r="AK136" s="94" t="n"/>
      <c r="AL136" s="96">
        <f t="shared" si="35"/>
      </c>
      <c r="AN136" s="2">
        <f>IF(131&gt;$BD$1000,0,IFERROR(MATCH(131,$BD$1:$BD$1000,0),0))</f>
        <v>0</v>
      </c>
      <c r="AO136" s="2">
        <f t="shared" si="36"/>
        <v>0</v>
      </c>
      <c r="AP136" s="2">
        <f t="shared" si="37"/>
      </c>
      <c r="AQ136" s="2">
        <f t="shared" si="38"/>
      </c>
      <c r="AR136" s="2">
        <f t="shared" si="39"/>
      </c>
      <c r="AS136" s="2">
        <f t="shared" si="40"/>
      </c>
      <c r="AT136" s="2">
        <f t="shared" si="41"/>
        <v>0</v>
      </c>
      <c r="AU136" s="2">
        <f t="shared" si="42"/>
        <v>0</v>
      </c>
      <c r="AV136" s="2">
        <f t="shared" si="43"/>
        <v>0</v>
      </c>
      <c r="AW136" s="2">
        <f t="shared" si="44"/>
        <v>0</v>
      </c>
      <c r="AX136" s="2">
        <f t="shared" si="45"/>
        <v>0</v>
      </c>
      <c r="AY136" s="2">
        <f t="shared" si="46"/>
        <v>0</v>
      </c>
      <c r="AZ136" s="2">
        <f t="shared" si="47"/>
        <v>0</v>
      </c>
      <c r="BA136" s="2">
        <f t="shared" si="48"/>
        <v>0</v>
      </c>
      <c r="BD136" s="2">
        <f>BD100+SUM(CB101:CB136)</f>
        <v>1</v>
      </c>
      <c r="CB136" s="2">
        <f>IF(考勤工资!$Y$140=$E$3,1,0)</f>
        <v>0</v>
      </c>
    </row>
    <row r="137">
      <c r="A137" s="94">
        <f>IF($AN137=0,"",132)</f>
      </c>
      <c r="B137" s="94">
        <f t="shared" si="32"/>
      </c>
      <c r="C137" s="96">
        <f t="shared" si="33"/>
      </c>
      <c r="D137" s="94">
        <f t="shared" si="0"/>
      </c>
      <c r="E137" s="117">
        <f t="shared" si="1"/>
      </c>
      <c r="F137" s="96">
        <f t="shared" si="2"/>
      </c>
      <c r="G137" s="118">
        <f t="shared" si="3"/>
      </c>
      <c r="H137" s="118">
        <f t="shared" si="4"/>
      </c>
      <c r="I137" s="118">
        <f t="shared" si="5"/>
      </c>
      <c r="J137" s="118">
        <f t="shared" si="6"/>
      </c>
      <c r="K137" s="118">
        <f t="shared" si="7"/>
      </c>
      <c r="L137" s="118">
        <f t="shared" si="8"/>
      </c>
      <c r="M137" s="118">
        <f t="shared" si="9"/>
      </c>
      <c r="N137" s="118">
        <f t="shared" si="10"/>
      </c>
      <c r="O137" s="118">
        <f t="shared" si="11"/>
      </c>
      <c r="P137" s="119">
        <f t="shared" si="34"/>
      </c>
      <c r="Q137" s="21">
        <f t="shared" si="12"/>
      </c>
      <c r="R137" s="21">
        <f t="shared" si="13"/>
      </c>
      <c r="S137" s="21">
        <f t="shared" si="14"/>
      </c>
      <c r="T137" s="21">
        <f t="shared" si="15"/>
      </c>
      <c r="U137" s="21">
        <f t="shared" si="16"/>
      </c>
      <c r="V137" s="21">
        <f t="shared" si="17"/>
      </c>
      <c r="W137" s="21">
        <f t="shared" si="18"/>
      </c>
      <c r="X137" s="21">
        <f t="shared" si="19"/>
      </c>
      <c r="Y137" s="21">
        <f t="shared" si="20"/>
      </c>
      <c r="Z137" s="21">
        <f t="shared" si="21"/>
      </c>
      <c r="AA137" s="21">
        <f t="shared" si="22"/>
      </c>
      <c r="AB137" s="21">
        <f t="shared" si="23"/>
      </c>
      <c r="AC137" s="21">
        <f t="shared" si="24"/>
      </c>
      <c r="AD137" s="21">
        <f t="shared" si="25"/>
      </c>
      <c r="AE137" s="21">
        <f t="shared" si="26"/>
      </c>
      <c r="AF137" s="21">
        <f t="shared" si="27"/>
      </c>
      <c r="AG137" s="21">
        <f t="shared" si="28"/>
      </c>
      <c r="AH137" s="21">
        <f t="shared" si="29"/>
      </c>
      <c r="AI137" s="21">
        <f t="shared" si="30"/>
      </c>
      <c r="AJ137" s="21">
        <f t="shared" si="31"/>
      </c>
      <c r="AK137" s="94" t="n"/>
      <c r="AL137" s="96">
        <f t="shared" si="35"/>
      </c>
      <c r="AN137" s="2">
        <f>IF(132&gt;$BD$1000,0,IFERROR(MATCH(132,$BD$1:$BD$1000,0),0))</f>
        <v>0</v>
      </c>
      <c r="AO137" s="2">
        <f t="shared" si="36"/>
        <v>0</v>
      </c>
      <c r="AP137" s="2">
        <f t="shared" si="37"/>
      </c>
      <c r="AQ137" s="2">
        <f t="shared" si="38"/>
      </c>
      <c r="AR137" s="2">
        <f t="shared" si="39"/>
      </c>
      <c r="AS137" s="2">
        <f t="shared" si="40"/>
      </c>
      <c r="AT137" s="2">
        <f t="shared" si="41"/>
        <v>0</v>
      </c>
      <c r="AU137" s="2">
        <f t="shared" si="42"/>
        <v>0</v>
      </c>
      <c r="AV137" s="2">
        <f t="shared" si="43"/>
        <v>0</v>
      </c>
      <c r="AW137" s="2">
        <f t="shared" si="44"/>
        <v>0</v>
      </c>
      <c r="AX137" s="2">
        <f t="shared" si="45"/>
        <v>0</v>
      </c>
      <c r="AY137" s="2">
        <f t="shared" si="46"/>
        <v>0</v>
      </c>
      <c r="AZ137" s="2">
        <f t="shared" si="47"/>
        <v>0</v>
      </c>
      <c r="BA137" s="2">
        <f t="shared" si="48"/>
        <v>0</v>
      </c>
      <c r="BD137" s="2">
        <f>BD100+SUM(CB101:CB137)</f>
        <v>1</v>
      </c>
      <c r="CB137" s="2">
        <f>IF(考勤工资!$Y$141=$E$3,1,0)</f>
        <v>0</v>
      </c>
    </row>
    <row r="138">
      <c r="A138" s="94">
        <f>IF($AN138=0,"",133)</f>
      </c>
      <c r="B138" s="94">
        <f t="shared" si="32"/>
      </c>
      <c r="C138" s="96">
        <f t="shared" si="33"/>
      </c>
      <c r="D138" s="94">
        <f t="shared" si="0"/>
      </c>
      <c r="E138" s="117">
        <f t="shared" si="1"/>
      </c>
      <c r="F138" s="96">
        <f t="shared" si="2"/>
      </c>
      <c r="G138" s="118">
        <f t="shared" si="3"/>
      </c>
      <c r="H138" s="118">
        <f t="shared" si="4"/>
      </c>
      <c r="I138" s="118">
        <f t="shared" si="5"/>
      </c>
      <c r="J138" s="118">
        <f t="shared" si="6"/>
      </c>
      <c r="K138" s="118">
        <f t="shared" si="7"/>
      </c>
      <c r="L138" s="118">
        <f t="shared" si="8"/>
      </c>
      <c r="M138" s="118">
        <f t="shared" si="9"/>
      </c>
      <c r="N138" s="118">
        <f t="shared" si="10"/>
      </c>
      <c r="O138" s="118">
        <f t="shared" si="11"/>
      </c>
      <c r="P138" s="119">
        <f t="shared" si="34"/>
      </c>
      <c r="Q138" s="21">
        <f t="shared" si="12"/>
      </c>
      <c r="R138" s="21">
        <f t="shared" si="13"/>
      </c>
      <c r="S138" s="21">
        <f t="shared" si="14"/>
      </c>
      <c r="T138" s="21">
        <f t="shared" si="15"/>
      </c>
      <c r="U138" s="21">
        <f t="shared" si="16"/>
      </c>
      <c r="V138" s="21">
        <f t="shared" si="17"/>
      </c>
      <c r="W138" s="21">
        <f t="shared" si="18"/>
      </c>
      <c r="X138" s="21">
        <f t="shared" si="19"/>
      </c>
      <c r="Y138" s="21">
        <f t="shared" si="20"/>
      </c>
      <c r="Z138" s="21">
        <f t="shared" si="21"/>
      </c>
      <c r="AA138" s="21">
        <f t="shared" si="22"/>
      </c>
      <c r="AB138" s="21">
        <f t="shared" si="23"/>
      </c>
      <c r="AC138" s="21">
        <f t="shared" si="24"/>
      </c>
      <c r="AD138" s="21">
        <f t="shared" si="25"/>
      </c>
      <c r="AE138" s="21">
        <f t="shared" si="26"/>
      </c>
      <c r="AF138" s="21">
        <f t="shared" si="27"/>
      </c>
      <c r="AG138" s="21">
        <f t="shared" si="28"/>
      </c>
      <c r="AH138" s="21">
        <f t="shared" si="29"/>
      </c>
      <c r="AI138" s="21">
        <f t="shared" si="30"/>
      </c>
      <c r="AJ138" s="21">
        <f t="shared" si="31"/>
      </c>
      <c r="AK138" s="94" t="n"/>
      <c r="AL138" s="96">
        <f t="shared" si="35"/>
      </c>
      <c r="AN138" s="2">
        <f>IF(133&gt;$BD$1000,0,IFERROR(MATCH(133,$BD$1:$BD$1000,0),0))</f>
        <v>0</v>
      </c>
      <c r="AO138" s="2">
        <f t="shared" si="36"/>
        <v>0</v>
      </c>
      <c r="AP138" s="2">
        <f t="shared" si="37"/>
      </c>
      <c r="AQ138" s="2">
        <f t="shared" si="38"/>
      </c>
      <c r="AR138" s="2">
        <f t="shared" si="39"/>
      </c>
      <c r="AS138" s="2">
        <f t="shared" si="40"/>
      </c>
      <c r="AT138" s="2">
        <f t="shared" si="41"/>
        <v>0</v>
      </c>
      <c r="AU138" s="2">
        <f t="shared" si="42"/>
        <v>0</v>
      </c>
      <c r="AV138" s="2">
        <f t="shared" si="43"/>
        <v>0</v>
      </c>
      <c r="AW138" s="2">
        <f t="shared" si="44"/>
        <v>0</v>
      </c>
      <c r="AX138" s="2">
        <f t="shared" si="45"/>
        <v>0</v>
      </c>
      <c r="AY138" s="2">
        <f t="shared" si="46"/>
        <v>0</v>
      </c>
      <c r="AZ138" s="2">
        <f t="shared" si="47"/>
        <v>0</v>
      </c>
      <c r="BA138" s="2">
        <f t="shared" si="48"/>
        <v>0</v>
      </c>
      <c r="BD138" s="2">
        <f>BD100+SUM(CB101:CB138)</f>
        <v>1</v>
      </c>
      <c r="CB138" s="2">
        <f>IF(考勤工资!$Y$142=$E$3,1,0)</f>
        <v>0</v>
      </c>
    </row>
    <row r="139">
      <c r="A139" s="94">
        <f>IF($AN139=0,"",134)</f>
      </c>
      <c r="B139" s="94">
        <f t="shared" si="32"/>
      </c>
      <c r="C139" s="96">
        <f t="shared" si="33"/>
      </c>
      <c r="D139" s="94">
        <f t="shared" si="0"/>
      </c>
      <c r="E139" s="117">
        <f t="shared" si="1"/>
      </c>
      <c r="F139" s="96">
        <f t="shared" si="2"/>
      </c>
      <c r="G139" s="118">
        <f t="shared" si="3"/>
      </c>
      <c r="H139" s="118">
        <f t="shared" si="4"/>
      </c>
      <c r="I139" s="118">
        <f t="shared" si="5"/>
      </c>
      <c r="J139" s="118">
        <f t="shared" si="6"/>
      </c>
      <c r="K139" s="118">
        <f t="shared" si="7"/>
      </c>
      <c r="L139" s="118">
        <f t="shared" si="8"/>
      </c>
      <c r="M139" s="118">
        <f t="shared" si="9"/>
      </c>
      <c r="N139" s="118">
        <f t="shared" si="10"/>
      </c>
      <c r="O139" s="118">
        <f t="shared" si="11"/>
      </c>
      <c r="P139" s="119">
        <f t="shared" si="34"/>
      </c>
      <c r="Q139" s="21">
        <f t="shared" si="12"/>
      </c>
      <c r="R139" s="21">
        <f t="shared" si="13"/>
      </c>
      <c r="S139" s="21">
        <f t="shared" si="14"/>
      </c>
      <c r="T139" s="21">
        <f t="shared" si="15"/>
      </c>
      <c r="U139" s="21">
        <f t="shared" si="16"/>
      </c>
      <c r="V139" s="21">
        <f t="shared" si="17"/>
      </c>
      <c r="W139" s="21">
        <f t="shared" si="18"/>
      </c>
      <c r="X139" s="21">
        <f t="shared" si="19"/>
      </c>
      <c r="Y139" s="21">
        <f t="shared" si="20"/>
      </c>
      <c r="Z139" s="21">
        <f t="shared" si="21"/>
      </c>
      <c r="AA139" s="21">
        <f t="shared" si="22"/>
      </c>
      <c r="AB139" s="21">
        <f t="shared" si="23"/>
      </c>
      <c r="AC139" s="21">
        <f t="shared" si="24"/>
      </c>
      <c r="AD139" s="21">
        <f t="shared" si="25"/>
      </c>
      <c r="AE139" s="21">
        <f t="shared" si="26"/>
      </c>
      <c r="AF139" s="21">
        <f t="shared" si="27"/>
      </c>
      <c r="AG139" s="21">
        <f t="shared" si="28"/>
      </c>
      <c r="AH139" s="21">
        <f t="shared" si="29"/>
      </c>
      <c r="AI139" s="21">
        <f t="shared" si="30"/>
      </c>
      <c r="AJ139" s="21">
        <f t="shared" si="31"/>
      </c>
      <c r="AK139" s="94" t="n"/>
      <c r="AL139" s="96">
        <f t="shared" si="35"/>
      </c>
      <c r="AN139" s="2">
        <f>IF(134&gt;$BD$1000,0,IFERROR(MATCH(134,$BD$1:$BD$1000,0),0))</f>
        <v>0</v>
      </c>
      <c r="AO139" s="2">
        <f t="shared" si="36"/>
        <v>0</v>
      </c>
      <c r="AP139" s="2">
        <f t="shared" si="37"/>
      </c>
      <c r="AQ139" s="2">
        <f t="shared" si="38"/>
      </c>
      <c r="AR139" s="2">
        <f t="shared" si="39"/>
      </c>
      <c r="AS139" s="2">
        <f t="shared" si="40"/>
      </c>
      <c r="AT139" s="2">
        <f t="shared" si="41"/>
        <v>0</v>
      </c>
      <c r="AU139" s="2">
        <f t="shared" si="42"/>
        <v>0</v>
      </c>
      <c r="AV139" s="2">
        <f t="shared" si="43"/>
        <v>0</v>
      </c>
      <c r="AW139" s="2">
        <f t="shared" si="44"/>
        <v>0</v>
      </c>
      <c r="AX139" s="2">
        <f t="shared" si="45"/>
        <v>0</v>
      </c>
      <c r="AY139" s="2">
        <f t="shared" si="46"/>
        <v>0</v>
      </c>
      <c r="AZ139" s="2">
        <f t="shared" si="47"/>
        <v>0</v>
      </c>
      <c r="BA139" s="2">
        <f t="shared" si="48"/>
        <v>0</v>
      </c>
      <c r="BD139" s="2">
        <f>BD100+SUM(CB101:CB139)</f>
        <v>1</v>
      </c>
      <c r="CB139" s="2">
        <f>IF(考勤工资!$Y$143=$E$3,1,0)</f>
        <v>0</v>
      </c>
    </row>
    <row r="140">
      <c r="A140" s="94">
        <f>IF($AN140=0,"",135)</f>
      </c>
      <c r="B140" s="94">
        <f t="shared" si="32"/>
      </c>
      <c r="C140" s="96">
        <f t="shared" si="33"/>
      </c>
      <c r="D140" s="94">
        <f t="shared" si="0"/>
      </c>
      <c r="E140" s="117">
        <f t="shared" si="1"/>
      </c>
      <c r="F140" s="96">
        <f t="shared" si="2"/>
      </c>
      <c r="G140" s="118">
        <f t="shared" si="3"/>
      </c>
      <c r="H140" s="118">
        <f t="shared" si="4"/>
      </c>
      <c r="I140" s="118">
        <f t="shared" si="5"/>
      </c>
      <c r="J140" s="118">
        <f t="shared" si="6"/>
      </c>
      <c r="K140" s="118">
        <f t="shared" si="7"/>
      </c>
      <c r="L140" s="118">
        <f t="shared" si="8"/>
      </c>
      <c r="M140" s="118">
        <f t="shared" si="9"/>
      </c>
      <c r="N140" s="118">
        <f t="shared" si="10"/>
      </c>
      <c r="O140" s="118">
        <f t="shared" si="11"/>
      </c>
      <c r="P140" s="119">
        <f t="shared" si="34"/>
      </c>
      <c r="Q140" s="21">
        <f t="shared" si="12"/>
      </c>
      <c r="R140" s="21">
        <f t="shared" si="13"/>
      </c>
      <c r="S140" s="21">
        <f t="shared" si="14"/>
      </c>
      <c r="T140" s="21">
        <f t="shared" si="15"/>
      </c>
      <c r="U140" s="21">
        <f t="shared" si="16"/>
      </c>
      <c r="V140" s="21">
        <f t="shared" si="17"/>
      </c>
      <c r="W140" s="21">
        <f t="shared" si="18"/>
      </c>
      <c r="X140" s="21">
        <f t="shared" si="19"/>
      </c>
      <c r="Y140" s="21">
        <f t="shared" si="20"/>
      </c>
      <c r="Z140" s="21">
        <f t="shared" si="21"/>
      </c>
      <c r="AA140" s="21">
        <f t="shared" si="22"/>
      </c>
      <c r="AB140" s="21">
        <f t="shared" si="23"/>
      </c>
      <c r="AC140" s="21">
        <f t="shared" si="24"/>
      </c>
      <c r="AD140" s="21">
        <f t="shared" si="25"/>
      </c>
      <c r="AE140" s="21">
        <f t="shared" si="26"/>
      </c>
      <c r="AF140" s="21">
        <f t="shared" si="27"/>
      </c>
      <c r="AG140" s="21">
        <f t="shared" si="28"/>
      </c>
      <c r="AH140" s="21">
        <f t="shared" si="29"/>
      </c>
      <c r="AI140" s="21">
        <f t="shared" si="30"/>
      </c>
      <c r="AJ140" s="21">
        <f t="shared" si="31"/>
      </c>
      <c r="AK140" s="94" t="n"/>
      <c r="AL140" s="96">
        <f t="shared" si="35"/>
      </c>
      <c r="AN140" s="2">
        <f>IF(135&gt;$BD$1000,0,IFERROR(MATCH(135,$BD$1:$BD$1000,0),0))</f>
        <v>0</v>
      </c>
      <c r="AO140" s="2">
        <f t="shared" si="36"/>
        <v>0</v>
      </c>
      <c r="AP140" s="2">
        <f t="shared" si="37"/>
      </c>
      <c r="AQ140" s="2">
        <f t="shared" si="38"/>
      </c>
      <c r="AR140" s="2">
        <f t="shared" si="39"/>
      </c>
      <c r="AS140" s="2">
        <f t="shared" si="40"/>
      </c>
      <c r="AT140" s="2">
        <f t="shared" si="41"/>
        <v>0</v>
      </c>
      <c r="AU140" s="2">
        <f t="shared" si="42"/>
        <v>0</v>
      </c>
      <c r="AV140" s="2">
        <f t="shared" si="43"/>
        <v>0</v>
      </c>
      <c r="AW140" s="2">
        <f t="shared" si="44"/>
        <v>0</v>
      </c>
      <c r="AX140" s="2">
        <f t="shared" si="45"/>
        <v>0</v>
      </c>
      <c r="AY140" s="2">
        <f t="shared" si="46"/>
        <v>0</v>
      </c>
      <c r="AZ140" s="2">
        <f t="shared" si="47"/>
        <v>0</v>
      </c>
      <c r="BA140" s="2">
        <f t="shared" si="48"/>
        <v>0</v>
      </c>
      <c r="BD140" s="2">
        <f>BD100+SUM(CB101:CB140)</f>
        <v>1</v>
      </c>
      <c r="CB140" s="2">
        <f>IF(考勤工资!$Y$144=$E$3,1,0)</f>
        <v>0</v>
      </c>
    </row>
    <row r="141">
      <c r="A141" s="94">
        <f>IF($AN141=0,"",136)</f>
      </c>
      <c r="B141" s="94">
        <f t="shared" si="32"/>
      </c>
      <c r="C141" s="96">
        <f t="shared" si="33"/>
      </c>
      <c r="D141" s="94">
        <f t="shared" si="0"/>
      </c>
      <c r="E141" s="117">
        <f t="shared" si="1"/>
      </c>
      <c r="F141" s="96">
        <f t="shared" si="2"/>
      </c>
      <c r="G141" s="118">
        <f t="shared" si="3"/>
      </c>
      <c r="H141" s="118">
        <f t="shared" si="4"/>
      </c>
      <c r="I141" s="118">
        <f t="shared" si="5"/>
      </c>
      <c r="J141" s="118">
        <f t="shared" si="6"/>
      </c>
      <c r="K141" s="118">
        <f t="shared" si="7"/>
      </c>
      <c r="L141" s="118">
        <f t="shared" si="8"/>
      </c>
      <c r="M141" s="118">
        <f t="shared" si="9"/>
      </c>
      <c r="N141" s="118">
        <f t="shared" si="10"/>
      </c>
      <c r="O141" s="118">
        <f t="shared" si="11"/>
      </c>
      <c r="P141" s="119">
        <f t="shared" si="34"/>
      </c>
      <c r="Q141" s="21">
        <f t="shared" si="12"/>
      </c>
      <c r="R141" s="21">
        <f t="shared" si="13"/>
      </c>
      <c r="S141" s="21">
        <f t="shared" si="14"/>
      </c>
      <c r="T141" s="21">
        <f t="shared" si="15"/>
      </c>
      <c r="U141" s="21">
        <f t="shared" si="16"/>
      </c>
      <c r="V141" s="21">
        <f t="shared" si="17"/>
      </c>
      <c r="W141" s="21">
        <f t="shared" si="18"/>
      </c>
      <c r="X141" s="21">
        <f t="shared" si="19"/>
      </c>
      <c r="Y141" s="21">
        <f t="shared" si="20"/>
      </c>
      <c r="Z141" s="21">
        <f t="shared" si="21"/>
      </c>
      <c r="AA141" s="21">
        <f t="shared" si="22"/>
      </c>
      <c r="AB141" s="21">
        <f t="shared" si="23"/>
      </c>
      <c r="AC141" s="21">
        <f t="shared" si="24"/>
      </c>
      <c r="AD141" s="21">
        <f t="shared" si="25"/>
      </c>
      <c r="AE141" s="21">
        <f t="shared" si="26"/>
      </c>
      <c r="AF141" s="21">
        <f t="shared" si="27"/>
      </c>
      <c r="AG141" s="21">
        <f t="shared" si="28"/>
      </c>
      <c r="AH141" s="21">
        <f t="shared" si="29"/>
      </c>
      <c r="AI141" s="21">
        <f t="shared" si="30"/>
      </c>
      <c r="AJ141" s="21">
        <f t="shared" si="31"/>
      </c>
      <c r="AK141" s="94" t="n"/>
      <c r="AL141" s="96">
        <f t="shared" si="35"/>
      </c>
      <c r="AN141" s="2">
        <f>IF(136&gt;$BD$1000,0,IFERROR(MATCH(136,$BD$1:$BD$1000,0),0))</f>
        <v>0</v>
      </c>
      <c r="AO141" s="2">
        <f t="shared" si="36"/>
        <v>0</v>
      </c>
      <c r="AP141" s="2">
        <f t="shared" si="37"/>
      </c>
      <c r="AQ141" s="2">
        <f t="shared" si="38"/>
      </c>
      <c r="AR141" s="2">
        <f t="shared" si="39"/>
      </c>
      <c r="AS141" s="2">
        <f t="shared" si="40"/>
      </c>
      <c r="AT141" s="2">
        <f t="shared" si="41"/>
        <v>0</v>
      </c>
      <c r="AU141" s="2">
        <f t="shared" si="42"/>
        <v>0</v>
      </c>
      <c r="AV141" s="2">
        <f t="shared" si="43"/>
        <v>0</v>
      </c>
      <c r="AW141" s="2">
        <f t="shared" si="44"/>
        <v>0</v>
      </c>
      <c r="AX141" s="2">
        <f t="shared" si="45"/>
        <v>0</v>
      </c>
      <c r="AY141" s="2">
        <f t="shared" si="46"/>
        <v>0</v>
      </c>
      <c r="AZ141" s="2">
        <f t="shared" si="47"/>
        <v>0</v>
      </c>
      <c r="BA141" s="2">
        <f t="shared" si="48"/>
        <v>0</v>
      </c>
      <c r="BD141" s="2">
        <f>BD100+SUM(CB101:CB141)</f>
        <v>1</v>
      </c>
      <c r="CB141" s="2">
        <f>IF(考勤工资!$Y$145=$E$3,1,0)</f>
        <v>0</v>
      </c>
    </row>
    <row r="142">
      <c r="A142" s="94">
        <f>IF($AN142=0,"",137)</f>
      </c>
      <c r="B142" s="94">
        <f t="shared" si="32"/>
      </c>
      <c r="C142" s="96">
        <f t="shared" si="33"/>
      </c>
      <c r="D142" s="94">
        <f t="shared" si="0"/>
      </c>
      <c r="E142" s="117">
        <f t="shared" si="1"/>
      </c>
      <c r="F142" s="96">
        <f t="shared" si="2"/>
      </c>
      <c r="G142" s="118">
        <f t="shared" si="3"/>
      </c>
      <c r="H142" s="118">
        <f t="shared" si="4"/>
      </c>
      <c r="I142" s="118">
        <f t="shared" si="5"/>
      </c>
      <c r="J142" s="118">
        <f t="shared" si="6"/>
      </c>
      <c r="K142" s="118">
        <f t="shared" si="7"/>
      </c>
      <c r="L142" s="118">
        <f t="shared" si="8"/>
      </c>
      <c r="M142" s="118">
        <f t="shared" si="9"/>
      </c>
      <c r="N142" s="118">
        <f t="shared" si="10"/>
      </c>
      <c r="O142" s="118">
        <f t="shared" si="11"/>
      </c>
      <c r="P142" s="119">
        <f t="shared" si="34"/>
      </c>
      <c r="Q142" s="21">
        <f t="shared" si="12"/>
      </c>
      <c r="R142" s="21">
        <f t="shared" si="13"/>
      </c>
      <c r="S142" s="21">
        <f t="shared" si="14"/>
      </c>
      <c r="T142" s="21">
        <f t="shared" si="15"/>
      </c>
      <c r="U142" s="21">
        <f t="shared" si="16"/>
      </c>
      <c r="V142" s="21">
        <f t="shared" si="17"/>
      </c>
      <c r="W142" s="21">
        <f t="shared" si="18"/>
      </c>
      <c r="X142" s="21">
        <f t="shared" si="19"/>
      </c>
      <c r="Y142" s="21">
        <f t="shared" si="20"/>
      </c>
      <c r="Z142" s="21">
        <f t="shared" si="21"/>
      </c>
      <c r="AA142" s="21">
        <f t="shared" si="22"/>
      </c>
      <c r="AB142" s="21">
        <f t="shared" si="23"/>
      </c>
      <c r="AC142" s="21">
        <f t="shared" si="24"/>
      </c>
      <c r="AD142" s="21">
        <f t="shared" si="25"/>
      </c>
      <c r="AE142" s="21">
        <f t="shared" si="26"/>
      </c>
      <c r="AF142" s="21">
        <f t="shared" si="27"/>
      </c>
      <c r="AG142" s="21">
        <f t="shared" si="28"/>
      </c>
      <c r="AH142" s="21">
        <f t="shared" si="29"/>
      </c>
      <c r="AI142" s="21">
        <f t="shared" si="30"/>
      </c>
      <c r="AJ142" s="21">
        <f t="shared" si="31"/>
      </c>
      <c r="AK142" s="94" t="n"/>
      <c r="AL142" s="96">
        <f t="shared" si="35"/>
      </c>
      <c r="AN142" s="2">
        <f>IF(137&gt;$BD$1000,0,IFERROR(MATCH(137,$BD$1:$BD$1000,0),0))</f>
        <v>0</v>
      </c>
      <c r="AO142" s="2">
        <f t="shared" si="36"/>
        <v>0</v>
      </c>
      <c r="AP142" s="2">
        <f t="shared" si="37"/>
      </c>
      <c r="AQ142" s="2">
        <f t="shared" si="38"/>
      </c>
      <c r="AR142" s="2">
        <f t="shared" si="39"/>
      </c>
      <c r="AS142" s="2">
        <f t="shared" si="40"/>
      </c>
      <c r="AT142" s="2">
        <f t="shared" si="41"/>
        <v>0</v>
      </c>
      <c r="AU142" s="2">
        <f t="shared" si="42"/>
        <v>0</v>
      </c>
      <c r="AV142" s="2">
        <f t="shared" si="43"/>
        <v>0</v>
      </c>
      <c r="AW142" s="2">
        <f t="shared" si="44"/>
        <v>0</v>
      </c>
      <c r="AX142" s="2">
        <f t="shared" si="45"/>
        <v>0</v>
      </c>
      <c r="AY142" s="2">
        <f t="shared" si="46"/>
        <v>0</v>
      </c>
      <c r="AZ142" s="2">
        <f t="shared" si="47"/>
        <v>0</v>
      </c>
      <c r="BA142" s="2">
        <f t="shared" si="48"/>
        <v>0</v>
      </c>
      <c r="BD142" s="2">
        <f>BD100+SUM(CB101:CB142)</f>
        <v>1</v>
      </c>
      <c r="CB142" s="2">
        <f>IF(考勤工资!$Y$146=$E$3,1,0)</f>
        <v>0</v>
      </c>
    </row>
    <row r="143">
      <c r="A143" s="94">
        <f>IF($AN143=0,"",138)</f>
      </c>
      <c r="B143" s="94">
        <f t="shared" si="32"/>
      </c>
      <c r="C143" s="96">
        <f t="shared" si="33"/>
      </c>
      <c r="D143" s="94">
        <f t="shared" si="0"/>
      </c>
      <c r="E143" s="117">
        <f t="shared" si="1"/>
      </c>
      <c r="F143" s="96">
        <f t="shared" si="2"/>
      </c>
      <c r="G143" s="118">
        <f t="shared" si="3"/>
      </c>
      <c r="H143" s="118">
        <f t="shared" si="4"/>
      </c>
      <c r="I143" s="118">
        <f t="shared" si="5"/>
      </c>
      <c r="J143" s="118">
        <f t="shared" si="6"/>
      </c>
      <c r="K143" s="118">
        <f t="shared" si="7"/>
      </c>
      <c r="L143" s="118">
        <f t="shared" si="8"/>
      </c>
      <c r="M143" s="118">
        <f t="shared" si="9"/>
      </c>
      <c r="N143" s="118">
        <f t="shared" si="10"/>
      </c>
      <c r="O143" s="118">
        <f t="shared" si="11"/>
      </c>
      <c r="P143" s="119">
        <f t="shared" si="34"/>
      </c>
      <c r="Q143" s="21">
        <f t="shared" si="12"/>
      </c>
      <c r="R143" s="21">
        <f t="shared" si="13"/>
      </c>
      <c r="S143" s="21">
        <f t="shared" si="14"/>
      </c>
      <c r="T143" s="21">
        <f t="shared" si="15"/>
      </c>
      <c r="U143" s="21">
        <f t="shared" si="16"/>
      </c>
      <c r="V143" s="21">
        <f t="shared" si="17"/>
      </c>
      <c r="W143" s="21">
        <f t="shared" si="18"/>
      </c>
      <c r="X143" s="21">
        <f t="shared" si="19"/>
      </c>
      <c r="Y143" s="21">
        <f t="shared" si="20"/>
      </c>
      <c r="Z143" s="21">
        <f t="shared" si="21"/>
      </c>
      <c r="AA143" s="21">
        <f t="shared" si="22"/>
      </c>
      <c r="AB143" s="21">
        <f t="shared" si="23"/>
      </c>
      <c r="AC143" s="21">
        <f t="shared" si="24"/>
      </c>
      <c r="AD143" s="21">
        <f t="shared" si="25"/>
      </c>
      <c r="AE143" s="21">
        <f t="shared" si="26"/>
      </c>
      <c r="AF143" s="21">
        <f t="shared" si="27"/>
      </c>
      <c r="AG143" s="21">
        <f t="shared" si="28"/>
      </c>
      <c r="AH143" s="21">
        <f t="shared" si="29"/>
      </c>
      <c r="AI143" s="21">
        <f t="shared" si="30"/>
      </c>
      <c r="AJ143" s="21">
        <f t="shared" si="31"/>
      </c>
      <c r="AK143" s="94" t="n"/>
      <c r="AL143" s="96">
        <f t="shared" si="35"/>
      </c>
      <c r="AN143" s="2">
        <f>IF(138&gt;$BD$1000,0,IFERROR(MATCH(138,$BD$1:$BD$1000,0),0))</f>
        <v>0</v>
      </c>
      <c r="AO143" s="2">
        <f t="shared" si="36"/>
        <v>0</v>
      </c>
      <c r="AP143" s="2">
        <f t="shared" si="37"/>
      </c>
      <c r="AQ143" s="2">
        <f t="shared" si="38"/>
      </c>
      <c r="AR143" s="2">
        <f t="shared" si="39"/>
      </c>
      <c r="AS143" s="2">
        <f t="shared" si="40"/>
      </c>
      <c r="AT143" s="2">
        <f t="shared" si="41"/>
        <v>0</v>
      </c>
      <c r="AU143" s="2">
        <f t="shared" si="42"/>
        <v>0</v>
      </c>
      <c r="AV143" s="2">
        <f t="shared" si="43"/>
        <v>0</v>
      </c>
      <c r="AW143" s="2">
        <f t="shared" si="44"/>
        <v>0</v>
      </c>
      <c r="AX143" s="2">
        <f t="shared" si="45"/>
        <v>0</v>
      </c>
      <c r="AY143" s="2">
        <f t="shared" si="46"/>
        <v>0</v>
      </c>
      <c r="AZ143" s="2">
        <f t="shared" si="47"/>
        <v>0</v>
      </c>
      <c r="BA143" s="2">
        <f t="shared" si="48"/>
        <v>0</v>
      </c>
      <c r="BD143" s="2">
        <f>BD100+SUM(CB101:CB143)</f>
        <v>1</v>
      </c>
      <c r="CB143" s="2">
        <f>IF(考勤工资!$Y$147=$E$3,1,0)</f>
        <v>0</v>
      </c>
    </row>
    <row r="144">
      <c r="A144" s="94">
        <f>IF($AN144=0,"",139)</f>
      </c>
      <c r="B144" s="94">
        <f t="shared" si="32"/>
      </c>
      <c r="C144" s="96">
        <f t="shared" si="33"/>
      </c>
      <c r="D144" s="94">
        <f t="shared" si="0"/>
      </c>
      <c r="E144" s="117">
        <f t="shared" si="1"/>
      </c>
      <c r="F144" s="96">
        <f t="shared" si="2"/>
      </c>
      <c r="G144" s="118">
        <f t="shared" si="3"/>
      </c>
      <c r="H144" s="118">
        <f t="shared" si="4"/>
      </c>
      <c r="I144" s="118">
        <f t="shared" si="5"/>
      </c>
      <c r="J144" s="118">
        <f t="shared" si="6"/>
      </c>
      <c r="K144" s="118">
        <f t="shared" si="7"/>
      </c>
      <c r="L144" s="118">
        <f t="shared" si="8"/>
      </c>
      <c r="M144" s="118">
        <f t="shared" si="9"/>
      </c>
      <c r="N144" s="118">
        <f t="shared" si="10"/>
      </c>
      <c r="O144" s="118">
        <f t="shared" si="11"/>
      </c>
      <c r="P144" s="119">
        <f t="shared" si="34"/>
      </c>
      <c r="Q144" s="21">
        <f t="shared" si="12"/>
      </c>
      <c r="R144" s="21">
        <f t="shared" si="13"/>
      </c>
      <c r="S144" s="21">
        <f t="shared" si="14"/>
      </c>
      <c r="T144" s="21">
        <f t="shared" si="15"/>
      </c>
      <c r="U144" s="21">
        <f t="shared" si="16"/>
      </c>
      <c r="V144" s="21">
        <f t="shared" si="17"/>
      </c>
      <c r="W144" s="21">
        <f t="shared" si="18"/>
      </c>
      <c r="X144" s="21">
        <f t="shared" si="19"/>
      </c>
      <c r="Y144" s="21">
        <f t="shared" si="20"/>
      </c>
      <c r="Z144" s="21">
        <f t="shared" si="21"/>
      </c>
      <c r="AA144" s="21">
        <f t="shared" si="22"/>
      </c>
      <c r="AB144" s="21">
        <f t="shared" si="23"/>
      </c>
      <c r="AC144" s="21">
        <f t="shared" si="24"/>
      </c>
      <c r="AD144" s="21">
        <f t="shared" si="25"/>
      </c>
      <c r="AE144" s="21">
        <f t="shared" si="26"/>
      </c>
      <c r="AF144" s="21">
        <f t="shared" si="27"/>
      </c>
      <c r="AG144" s="21">
        <f t="shared" si="28"/>
      </c>
      <c r="AH144" s="21">
        <f t="shared" si="29"/>
      </c>
      <c r="AI144" s="21">
        <f t="shared" si="30"/>
      </c>
      <c r="AJ144" s="21">
        <f t="shared" si="31"/>
      </c>
      <c r="AK144" s="94" t="n"/>
      <c r="AL144" s="96">
        <f t="shared" si="35"/>
      </c>
      <c r="AN144" s="2">
        <f>IF(139&gt;$BD$1000,0,IFERROR(MATCH(139,$BD$1:$BD$1000,0),0))</f>
        <v>0</v>
      </c>
      <c r="AO144" s="2">
        <f t="shared" si="36"/>
        <v>0</v>
      </c>
      <c r="AP144" s="2">
        <f t="shared" si="37"/>
      </c>
      <c r="AQ144" s="2">
        <f t="shared" si="38"/>
      </c>
      <c r="AR144" s="2">
        <f t="shared" si="39"/>
      </c>
      <c r="AS144" s="2">
        <f t="shared" si="40"/>
      </c>
      <c r="AT144" s="2">
        <f t="shared" si="41"/>
        <v>0</v>
      </c>
      <c r="AU144" s="2">
        <f t="shared" si="42"/>
        <v>0</v>
      </c>
      <c r="AV144" s="2">
        <f t="shared" si="43"/>
        <v>0</v>
      </c>
      <c r="AW144" s="2">
        <f t="shared" si="44"/>
        <v>0</v>
      </c>
      <c r="AX144" s="2">
        <f t="shared" si="45"/>
        <v>0</v>
      </c>
      <c r="AY144" s="2">
        <f t="shared" si="46"/>
        <v>0</v>
      </c>
      <c r="AZ144" s="2">
        <f t="shared" si="47"/>
        <v>0</v>
      </c>
      <c r="BA144" s="2">
        <f t="shared" si="48"/>
        <v>0</v>
      </c>
      <c r="BD144" s="2">
        <f>BD100+SUM(CB101:CB144)</f>
        <v>1</v>
      </c>
      <c r="CB144" s="2">
        <f>IF(考勤工资!$Y$148=$E$3,1,0)</f>
        <v>0</v>
      </c>
    </row>
    <row r="145">
      <c r="A145" s="94">
        <f>IF($AN145=0,"",140)</f>
      </c>
      <c r="B145" s="94">
        <f t="shared" si="32"/>
      </c>
      <c r="C145" s="96">
        <f t="shared" si="33"/>
      </c>
      <c r="D145" s="94">
        <f t="shared" si="0"/>
      </c>
      <c r="E145" s="117">
        <f t="shared" si="1"/>
      </c>
      <c r="F145" s="96">
        <f t="shared" si="2"/>
      </c>
      <c r="G145" s="118">
        <f t="shared" si="3"/>
      </c>
      <c r="H145" s="118">
        <f t="shared" si="4"/>
      </c>
      <c r="I145" s="118">
        <f t="shared" si="5"/>
      </c>
      <c r="J145" s="118">
        <f t="shared" si="6"/>
      </c>
      <c r="K145" s="118">
        <f t="shared" si="7"/>
      </c>
      <c r="L145" s="118">
        <f t="shared" si="8"/>
      </c>
      <c r="M145" s="118">
        <f t="shared" si="9"/>
      </c>
      <c r="N145" s="118">
        <f t="shared" si="10"/>
      </c>
      <c r="O145" s="118">
        <f t="shared" si="11"/>
      </c>
      <c r="P145" s="119">
        <f t="shared" si="34"/>
      </c>
      <c r="Q145" s="21">
        <f t="shared" si="12"/>
      </c>
      <c r="R145" s="21">
        <f t="shared" si="13"/>
      </c>
      <c r="S145" s="21">
        <f t="shared" si="14"/>
      </c>
      <c r="T145" s="21">
        <f t="shared" si="15"/>
      </c>
      <c r="U145" s="21">
        <f t="shared" si="16"/>
      </c>
      <c r="V145" s="21">
        <f t="shared" si="17"/>
      </c>
      <c r="W145" s="21">
        <f t="shared" si="18"/>
      </c>
      <c r="X145" s="21">
        <f t="shared" si="19"/>
      </c>
      <c r="Y145" s="21">
        <f t="shared" si="20"/>
      </c>
      <c r="Z145" s="21">
        <f t="shared" si="21"/>
      </c>
      <c r="AA145" s="21">
        <f t="shared" si="22"/>
      </c>
      <c r="AB145" s="21">
        <f t="shared" si="23"/>
      </c>
      <c r="AC145" s="21">
        <f t="shared" si="24"/>
      </c>
      <c r="AD145" s="21">
        <f t="shared" si="25"/>
      </c>
      <c r="AE145" s="21">
        <f t="shared" si="26"/>
      </c>
      <c r="AF145" s="21">
        <f t="shared" si="27"/>
      </c>
      <c r="AG145" s="21">
        <f t="shared" si="28"/>
      </c>
      <c r="AH145" s="21">
        <f t="shared" si="29"/>
      </c>
      <c r="AI145" s="21">
        <f t="shared" si="30"/>
      </c>
      <c r="AJ145" s="21">
        <f t="shared" si="31"/>
      </c>
      <c r="AK145" s="94" t="n"/>
      <c r="AL145" s="96">
        <f t="shared" si="35"/>
      </c>
      <c r="AN145" s="2">
        <f>IF(140&gt;$BD$1000,0,IFERROR(MATCH(140,$BD$1:$BD$1000,0),0))</f>
        <v>0</v>
      </c>
      <c r="AO145" s="2">
        <f t="shared" si="36"/>
        <v>0</v>
      </c>
      <c r="AP145" s="2">
        <f t="shared" si="37"/>
      </c>
      <c r="AQ145" s="2">
        <f t="shared" si="38"/>
      </c>
      <c r="AR145" s="2">
        <f t="shared" si="39"/>
      </c>
      <c r="AS145" s="2">
        <f t="shared" si="40"/>
      </c>
      <c r="AT145" s="2">
        <f t="shared" si="41"/>
        <v>0</v>
      </c>
      <c r="AU145" s="2">
        <f t="shared" si="42"/>
        <v>0</v>
      </c>
      <c r="AV145" s="2">
        <f t="shared" si="43"/>
        <v>0</v>
      </c>
      <c r="AW145" s="2">
        <f t="shared" si="44"/>
        <v>0</v>
      </c>
      <c r="AX145" s="2">
        <f t="shared" si="45"/>
        <v>0</v>
      </c>
      <c r="AY145" s="2">
        <f t="shared" si="46"/>
        <v>0</v>
      </c>
      <c r="AZ145" s="2">
        <f t="shared" si="47"/>
        <v>0</v>
      </c>
      <c r="BA145" s="2">
        <f t="shared" si="48"/>
        <v>0</v>
      </c>
      <c r="BD145" s="2">
        <f>BD100+SUM(CB101:CB145)</f>
        <v>1</v>
      </c>
      <c r="CB145" s="2">
        <f>IF(考勤工资!$Y$149=$E$3,1,0)</f>
        <v>0</v>
      </c>
    </row>
    <row r="146">
      <c r="A146" s="94">
        <f>IF($AN146=0,"",141)</f>
      </c>
      <c r="B146" s="94">
        <f t="shared" si="32"/>
      </c>
      <c r="C146" s="96">
        <f t="shared" si="33"/>
      </c>
      <c r="D146" s="94">
        <f t="shared" si="0"/>
      </c>
      <c r="E146" s="117">
        <f t="shared" si="1"/>
      </c>
      <c r="F146" s="96">
        <f t="shared" si="2"/>
      </c>
      <c r="G146" s="118">
        <f t="shared" si="3"/>
      </c>
      <c r="H146" s="118">
        <f t="shared" si="4"/>
      </c>
      <c r="I146" s="118">
        <f t="shared" si="5"/>
      </c>
      <c r="J146" s="118">
        <f t="shared" si="6"/>
      </c>
      <c r="K146" s="118">
        <f t="shared" si="7"/>
      </c>
      <c r="L146" s="118">
        <f t="shared" si="8"/>
      </c>
      <c r="M146" s="118">
        <f t="shared" si="9"/>
      </c>
      <c r="N146" s="118">
        <f t="shared" si="10"/>
      </c>
      <c r="O146" s="118">
        <f t="shared" si="11"/>
      </c>
      <c r="P146" s="119">
        <f t="shared" si="34"/>
      </c>
      <c r="Q146" s="21">
        <f t="shared" si="12"/>
      </c>
      <c r="R146" s="21">
        <f t="shared" si="13"/>
      </c>
      <c r="S146" s="21">
        <f t="shared" si="14"/>
      </c>
      <c r="T146" s="21">
        <f t="shared" si="15"/>
      </c>
      <c r="U146" s="21">
        <f t="shared" si="16"/>
      </c>
      <c r="V146" s="21">
        <f t="shared" si="17"/>
      </c>
      <c r="W146" s="21">
        <f t="shared" si="18"/>
      </c>
      <c r="X146" s="21">
        <f t="shared" si="19"/>
      </c>
      <c r="Y146" s="21">
        <f t="shared" si="20"/>
      </c>
      <c r="Z146" s="21">
        <f t="shared" si="21"/>
      </c>
      <c r="AA146" s="21">
        <f t="shared" si="22"/>
      </c>
      <c r="AB146" s="21">
        <f t="shared" si="23"/>
      </c>
      <c r="AC146" s="21">
        <f t="shared" si="24"/>
      </c>
      <c r="AD146" s="21">
        <f t="shared" si="25"/>
      </c>
      <c r="AE146" s="21">
        <f t="shared" si="26"/>
      </c>
      <c r="AF146" s="21">
        <f t="shared" si="27"/>
      </c>
      <c r="AG146" s="21">
        <f t="shared" si="28"/>
      </c>
      <c r="AH146" s="21">
        <f t="shared" si="29"/>
      </c>
      <c r="AI146" s="21">
        <f t="shared" si="30"/>
      </c>
      <c r="AJ146" s="21">
        <f t="shared" si="31"/>
      </c>
      <c r="AK146" s="94" t="n"/>
      <c r="AL146" s="96">
        <f t="shared" si="35"/>
      </c>
      <c r="AN146" s="2">
        <f>IF(141&gt;$BD$1000,0,IFERROR(MATCH(141,$BD$1:$BD$1000,0),0))</f>
        <v>0</v>
      </c>
      <c r="AO146" s="2">
        <f t="shared" si="36"/>
        <v>0</v>
      </c>
      <c r="AP146" s="2">
        <f t="shared" si="37"/>
      </c>
      <c r="AQ146" s="2">
        <f t="shared" si="38"/>
      </c>
      <c r="AR146" s="2">
        <f t="shared" si="39"/>
      </c>
      <c r="AS146" s="2">
        <f t="shared" si="40"/>
      </c>
      <c r="AT146" s="2">
        <f t="shared" si="41"/>
        <v>0</v>
      </c>
      <c r="AU146" s="2">
        <f t="shared" si="42"/>
        <v>0</v>
      </c>
      <c r="AV146" s="2">
        <f t="shared" si="43"/>
        <v>0</v>
      </c>
      <c r="AW146" s="2">
        <f t="shared" si="44"/>
        <v>0</v>
      </c>
      <c r="AX146" s="2">
        <f t="shared" si="45"/>
        <v>0</v>
      </c>
      <c r="AY146" s="2">
        <f t="shared" si="46"/>
        <v>0</v>
      </c>
      <c r="AZ146" s="2">
        <f t="shared" si="47"/>
        <v>0</v>
      </c>
      <c r="BA146" s="2">
        <f t="shared" si="48"/>
        <v>0</v>
      </c>
      <c r="BD146" s="2">
        <f>BD100+SUM(CB101:CB146)</f>
        <v>1</v>
      </c>
      <c r="CB146" s="2">
        <f>IF(考勤工资!$Y$150=$E$3,1,0)</f>
        <v>0</v>
      </c>
    </row>
    <row r="147">
      <c r="A147" s="94">
        <f>IF($AN147=0,"",142)</f>
      </c>
      <c r="B147" s="94">
        <f t="shared" si="32"/>
      </c>
      <c r="C147" s="96">
        <f t="shared" si="33"/>
      </c>
      <c r="D147" s="94">
        <f t="shared" si="0"/>
      </c>
      <c r="E147" s="117">
        <f t="shared" si="1"/>
      </c>
      <c r="F147" s="96">
        <f t="shared" si="2"/>
      </c>
      <c r="G147" s="118">
        <f t="shared" si="3"/>
      </c>
      <c r="H147" s="118">
        <f t="shared" si="4"/>
      </c>
      <c r="I147" s="118">
        <f t="shared" si="5"/>
      </c>
      <c r="J147" s="118">
        <f t="shared" si="6"/>
      </c>
      <c r="K147" s="118">
        <f t="shared" si="7"/>
      </c>
      <c r="L147" s="118">
        <f t="shared" si="8"/>
      </c>
      <c r="M147" s="118">
        <f t="shared" si="9"/>
      </c>
      <c r="N147" s="118">
        <f t="shared" si="10"/>
      </c>
      <c r="O147" s="118">
        <f t="shared" si="11"/>
      </c>
      <c r="P147" s="119">
        <f t="shared" si="34"/>
      </c>
      <c r="Q147" s="21">
        <f t="shared" si="12"/>
      </c>
      <c r="R147" s="21">
        <f t="shared" si="13"/>
      </c>
      <c r="S147" s="21">
        <f t="shared" si="14"/>
      </c>
      <c r="T147" s="21">
        <f t="shared" si="15"/>
      </c>
      <c r="U147" s="21">
        <f t="shared" si="16"/>
      </c>
      <c r="V147" s="21">
        <f t="shared" si="17"/>
      </c>
      <c r="W147" s="21">
        <f t="shared" si="18"/>
      </c>
      <c r="X147" s="21">
        <f t="shared" si="19"/>
      </c>
      <c r="Y147" s="21">
        <f t="shared" si="20"/>
      </c>
      <c r="Z147" s="21">
        <f t="shared" si="21"/>
      </c>
      <c r="AA147" s="21">
        <f t="shared" si="22"/>
      </c>
      <c r="AB147" s="21">
        <f t="shared" si="23"/>
      </c>
      <c r="AC147" s="21">
        <f t="shared" si="24"/>
      </c>
      <c r="AD147" s="21">
        <f t="shared" si="25"/>
      </c>
      <c r="AE147" s="21">
        <f t="shared" si="26"/>
      </c>
      <c r="AF147" s="21">
        <f t="shared" si="27"/>
      </c>
      <c r="AG147" s="21">
        <f t="shared" si="28"/>
      </c>
      <c r="AH147" s="21">
        <f t="shared" si="29"/>
      </c>
      <c r="AI147" s="21">
        <f t="shared" si="30"/>
      </c>
      <c r="AJ147" s="21">
        <f t="shared" si="31"/>
      </c>
      <c r="AK147" s="94" t="n"/>
      <c r="AL147" s="96">
        <f t="shared" si="35"/>
      </c>
      <c r="AN147" s="2">
        <f>IF(142&gt;$BD$1000,0,IFERROR(MATCH(142,$BD$1:$BD$1000,0),0))</f>
        <v>0</v>
      </c>
      <c r="AO147" s="2">
        <f t="shared" si="36"/>
        <v>0</v>
      </c>
      <c r="AP147" s="2">
        <f t="shared" si="37"/>
      </c>
      <c r="AQ147" s="2">
        <f t="shared" si="38"/>
      </c>
      <c r="AR147" s="2">
        <f t="shared" si="39"/>
      </c>
      <c r="AS147" s="2">
        <f t="shared" si="40"/>
      </c>
      <c r="AT147" s="2">
        <f t="shared" si="41"/>
        <v>0</v>
      </c>
      <c r="AU147" s="2">
        <f t="shared" si="42"/>
        <v>0</v>
      </c>
      <c r="AV147" s="2">
        <f t="shared" si="43"/>
        <v>0</v>
      </c>
      <c r="AW147" s="2">
        <f t="shared" si="44"/>
        <v>0</v>
      </c>
      <c r="AX147" s="2">
        <f t="shared" si="45"/>
        <v>0</v>
      </c>
      <c r="AY147" s="2">
        <f t="shared" si="46"/>
        <v>0</v>
      </c>
      <c r="AZ147" s="2">
        <f t="shared" si="47"/>
        <v>0</v>
      </c>
      <c r="BA147" s="2">
        <f t="shared" si="48"/>
        <v>0</v>
      </c>
      <c r="BD147" s="2">
        <f>BD100+SUM(CB101:CB147)</f>
        <v>1</v>
      </c>
      <c r="CB147" s="2">
        <f>IF(考勤工资!$Y$151=$E$3,1,0)</f>
        <v>0</v>
      </c>
    </row>
    <row r="148">
      <c r="A148" s="94">
        <f>IF($AN148=0,"",143)</f>
      </c>
      <c r="B148" s="94">
        <f t="shared" si="32"/>
      </c>
      <c r="C148" s="96">
        <f t="shared" si="33"/>
      </c>
      <c r="D148" s="94">
        <f t="shared" si="0"/>
      </c>
      <c r="E148" s="117">
        <f t="shared" si="1"/>
      </c>
      <c r="F148" s="96">
        <f t="shared" si="2"/>
      </c>
      <c r="G148" s="118">
        <f t="shared" si="3"/>
      </c>
      <c r="H148" s="118">
        <f t="shared" si="4"/>
      </c>
      <c r="I148" s="118">
        <f t="shared" si="5"/>
      </c>
      <c r="J148" s="118">
        <f t="shared" si="6"/>
      </c>
      <c r="K148" s="118">
        <f t="shared" si="7"/>
      </c>
      <c r="L148" s="118">
        <f t="shared" si="8"/>
      </c>
      <c r="M148" s="118">
        <f t="shared" si="9"/>
      </c>
      <c r="N148" s="118">
        <f t="shared" si="10"/>
      </c>
      <c r="O148" s="118">
        <f t="shared" si="11"/>
      </c>
      <c r="P148" s="119">
        <f t="shared" si="34"/>
      </c>
      <c r="Q148" s="21">
        <f t="shared" si="12"/>
      </c>
      <c r="R148" s="21">
        <f t="shared" si="13"/>
      </c>
      <c r="S148" s="21">
        <f t="shared" si="14"/>
      </c>
      <c r="T148" s="21">
        <f t="shared" si="15"/>
      </c>
      <c r="U148" s="21">
        <f t="shared" si="16"/>
      </c>
      <c r="V148" s="21">
        <f t="shared" si="17"/>
      </c>
      <c r="W148" s="21">
        <f t="shared" si="18"/>
      </c>
      <c r="X148" s="21">
        <f t="shared" si="19"/>
      </c>
      <c r="Y148" s="21">
        <f t="shared" si="20"/>
      </c>
      <c r="Z148" s="21">
        <f t="shared" si="21"/>
      </c>
      <c r="AA148" s="21">
        <f t="shared" si="22"/>
      </c>
      <c r="AB148" s="21">
        <f t="shared" si="23"/>
      </c>
      <c r="AC148" s="21">
        <f t="shared" si="24"/>
      </c>
      <c r="AD148" s="21">
        <f t="shared" si="25"/>
      </c>
      <c r="AE148" s="21">
        <f t="shared" si="26"/>
      </c>
      <c r="AF148" s="21">
        <f t="shared" si="27"/>
      </c>
      <c r="AG148" s="21">
        <f t="shared" si="28"/>
      </c>
      <c r="AH148" s="21">
        <f t="shared" si="29"/>
      </c>
      <c r="AI148" s="21">
        <f t="shared" si="30"/>
      </c>
      <c r="AJ148" s="21">
        <f t="shared" si="31"/>
      </c>
      <c r="AK148" s="94" t="n"/>
      <c r="AL148" s="96">
        <f t="shared" si="35"/>
      </c>
      <c r="AN148" s="2">
        <f>IF(143&gt;$BD$1000,0,IFERROR(MATCH(143,$BD$1:$BD$1000,0),0))</f>
        <v>0</v>
      </c>
      <c r="AO148" s="2">
        <f t="shared" si="36"/>
        <v>0</v>
      </c>
      <c r="AP148" s="2">
        <f t="shared" si="37"/>
      </c>
      <c r="AQ148" s="2">
        <f t="shared" si="38"/>
      </c>
      <c r="AR148" s="2">
        <f t="shared" si="39"/>
      </c>
      <c r="AS148" s="2">
        <f t="shared" si="40"/>
      </c>
      <c r="AT148" s="2">
        <f t="shared" si="41"/>
        <v>0</v>
      </c>
      <c r="AU148" s="2">
        <f t="shared" si="42"/>
        <v>0</v>
      </c>
      <c r="AV148" s="2">
        <f t="shared" si="43"/>
        <v>0</v>
      </c>
      <c r="AW148" s="2">
        <f t="shared" si="44"/>
        <v>0</v>
      </c>
      <c r="AX148" s="2">
        <f t="shared" si="45"/>
        <v>0</v>
      </c>
      <c r="AY148" s="2">
        <f t="shared" si="46"/>
        <v>0</v>
      </c>
      <c r="AZ148" s="2">
        <f t="shared" si="47"/>
        <v>0</v>
      </c>
      <c r="BA148" s="2">
        <f t="shared" si="48"/>
        <v>0</v>
      </c>
      <c r="BD148" s="2">
        <f>BD100+SUM(CB101:CB148)</f>
        <v>1</v>
      </c>
      <c r="CB148" s="2">
        <f>IF(考勤工资!$Y$152=$E$3,1,0)</f>
        <v>0</v>
      </c>
    </row>
    <row r="149">
      <c r="A149" s="94">
        <f>IF($AN149=0,"",144)</f>
      </c>
      <c r="B149" s="94">
        <f t="shared" si="32"/>
      </c>
      <c r="C149" s="96">
        <f t="shared" si="33"/>
      </c>
      <c r="D149" s="94">
        <f t="shared" si="0"/>
      </c>
      <c r="E149" s="117">
        <f t="shared" si="1"/>
      </c>
      <c r="F149" s="96">
        <f t="shared" si="2"/>
      </c>
      <c r="G149" s="118">
        <f t="shared" si="3"/>
      </c>
      <c r="H149" s="118">
        <f t="shared" si="4"/>
      </c>
      <c r="I149" s="118">
        <f t="shared" si="5"/>
      </c>
      <c r="J149" s="118">
        <f t="shared" si="6"/>
      </c>
      <c r="K149" s="118">
        <f t="shared" si="7"/>
      </c>
      <c r="L149" s="118">
        <f t="shared" si="8"/>
      </c>
      <c r="M149" s="118">
        <f t="shared" si="9"/>
      </c>
      <c r="N149" s="118">
        <f t="shared" si="10"/>
      </c>
      <c r="O149" s="118">
        <f t="shared" si="11"/>
      </c>
      <c r="P149" s="119">
        <f t="shared" si="34"/>
      </c>
      <c r="Q149" s="21">
        <f t="shared" si="12"/>
      </c>
      <c r="R149" s="21">
        <f t="shared" si="13"/>
      </c>
      <c r="S149" s="21">
        <f t="shared" si="14"/>
      </c>
      <c r="T149" s="21">
        <f t="shared" si="15"/>
      </c>
      <c r="U149" s="21">
        <f t="shared" si="16"/>
      </c>
      <c r="V149" s="21">
        <f t="shared" si="17"/>
      </c>
      <c r="W149" s="21">
        <f t="shared" si="18"/>
      </c>
      <c r="X149" s="21">
        <f t="shared" si="19"/>
      </c>
      <c r="Y149" s="21">
        <f t="shared" si="20"/>
      </c>
      <c r="Z149" s="21">
        <f t="shared" si="21"/>
      </c>
      <c r="AA149" s="21">
        <f t="shared" si="22"/>
      </c>
      <c r="AB149" s="21">
        <f t="shared" si="23"/>
      </c>
      <c r="AC149" s="21">
        <f t="shared" si="24"/>
      </c>
      <c r="AD149" s="21">
        <f t="shared" si="25"/>
      </c>
      <c r="AE149" s="21">
        <f t="shared" si="26"/>
      </c>
      <c r="AF149" s="21">
        <f t="shared" si="27"/>
      </c>
      <c r="AG149" s="21">
        <f t="shared" si="28"/>
      </c>
      <c r="AH149" s="21">
        <f t="shared" si="29"/>
      </c>
      <c r="AI149" s="21">
        <f t="shared" si="30"/>
      </c>
      <c r="AJ149" s="21">
        <f t="shared" si="31"/>
      </c>
      <c r="AK149" s="94" t="n"/>
      <c r="AL149" s="96">
        <f t="shared" si="35"/>
      </c>
      <c r="AN149" s="2">
        <f>IF(144&gt;$BD$1000,0,IFERROR(MATCH(144,$BD$1:$BD$1000,0),0))</f>
        <v>0</v>
      </c>
      <c r="AO149" s="2">
        <f t="shared" si="36"/>
        <v>0</v>
      </c>
      <c r="AP149" s="2">
        <f t="shared" si="37"/>
      </c>
      <c r="AQ149" s="2">
        <f t="shared" si="38"/>
      </c>
      <c r="AR149" s="2">
        <f t="shared" si="39"/>
      </c>
      <c r="AS149" s="2">
        <f t="shared" si="40"/>
      </c>
      <c r="AT149" s="2">
        <f t="shared" si="41"/>
        <v>0</v>
      </c>
      <c r="AU149" s="2">
        <f t="shared" si="42"/>
        <v>0</v>
      </c>
      <c r="AV149" s="2">
        <f t="shared" si="43"/>
        <v>0</v>
      </c>
      <c r="AW149" s="2">
        <f t="shared" si="44"/>
        <v>0</v>
      </c>
      <c r="AX149" s="2">
        <f t="shared" si="45"/>
        <v>0</v>
      </c>
      <c r="AY149" s="2">
        <f t="shared" si="46"/>
        <v>0</v>
      </c>
      <c r="AZ149" s="2">
        <f t="shared" si="47"/>
        <v>0</v>
      </c>
      <c r="BA149" s="2">
        <f t="shared" si="48"/>
        <v>0</v>
      </c>
      <c r="BD149" s="2">
        <f>BD100+SUM(CB101:CB149)</f>
        <v>1</v>
      </c>
      <c r="CB149" s="2">
        <f>IF(考勤工资!$Y$153=$E$3,1,0)</f>
        <v>0</v>
      </c>
    </row>
    <row r="150">
      <c r="A150" s="94">
        <f>IF($AN150=0,"",145)</f>
      </c>
      <c r="B150" s="94">
        <f t="shared" si="32"/>
      </c>
      <c r="C150" s="96">
        <f t="shared" si="33"/>
      </c>
      <c r="D150" s="94">
        <f t="shared" si="0"/>
      </c>
      <c r="E150" s="117">
        <f t="shared" si="1"/>
      </c>
      <c r="F150" s="96">
        <f t="shared" si="2"/>
      </c>
      <c r="G150" s="118">
        <f t="shared" si="3"/>
      </c>
      <c r="H150" s="118">
        <f t="shared" si="4"/>
      </c>
      <c r="I150" s="118">
        <f t="shared" si="5"/>
      </c>
      <c r="J150" s="118">
        <f t="shared" si="6"/>
      </c>
      <c r="K150" s="118">
        <f t="shared" si="7"/>
      </c>
      <c r="L150" s="118">
        <f t="shared" si="8"/>
      </c>
      <c r="M150" s="118">
        <f t="shared" si="9"/>
      </c>
      <c r="N150" s="118">
        <f t="shared" si="10"/>
      </c>
      <c r="O150" s="118">
        <f t="shared" si="11"/>
      </c>
      <c r="P150" s="119">
        <f t="shared" si="34"/>
      </c>
      <c r="Q150" s="21">
        <f t="shared" si="12"/>
      </c>
      <c r="R150" s="21">
        <f t="shared" si="13"/>
      </c>
      <c r="S150" s="21">
        <f t="shared" si="14"/>
      </c>
      <c r="T150" s="21">
        <f t="shared" si="15"/>
      </c>
      <c r="U150" s="21">
        <f t="shared" si="16"/>
      </c>
      <c r="V150" s="21">
        <f t="shared" si="17"/>
      </c>
      <c r="W150" s="21">
        <f t="shared" si="18"/>
      </c>
      <c r="X150" s="21">
        <f t="shared" si="19"/>
      </c>
      <c r="Y150" s="21">
        <f t="shared" si="20"/>
      </c>
      <c r="Z150" s="21">
        <f t="shared" si="21"/>
      </c>
      <c r="AA150" s="21">
        <f t="shared" si="22"/>
      </c>
      <c r="AB150" s="21">
        <f t="shared" si="23"/>
      </c>
      <c r="AC150" s="21">
        <f t="shared" si="24"/>
      </c>
      <c r="AD150" s="21">
        <f t="shared" si="25"/>
      </c>
      <c r="AE150" s="21">
        <f t="shared" si="26"/>
      </c>
      <c r="AF150" s="21">
        <f t="shared" si="27"/>
      </c>
      <c r="AG150" s="21">
        <f t="shared" si="28"/>
      </c>
      <c r="AH150" s="21">
        <f t="shared" si="29"/>
      </c>
      <c r="AI150" s="21">
        <f t="shared" si="30"/>
      </c>
      <c r="AJ150" s="21">
        <f t="shared" si="31"/>
      </c>
      <c r="AK150" s="94" t="n"/>
      <c r="AL150" s="96">
        <f t="shared" si="35"/>
      </c>
      <c r="AN150" s="2">
        <f>IF(145&gt;$BD$1000,0,IFERROR(MATCH(145,$BD$1:$BD$1000,0),0))</f>
        <v>0</v>
      </c>
      <c r="AO150" s="2">
        <f t="shared" si="36"/>
        <v>0</v>
      </c>
      <c r="AP150" s="2">
        <f t="shared" si="37"/>
      </c>
      <c r="AQ150" s="2">
        <f t="shared" si="38"/>
      </c>
      <c r="AR150" s="2">
        <f t="shared" si="39"/>
      </c>
      <c r="AS150" s="2">
        <f t="shared" si="40"/>
      </c>
      <c r="AT150" s="2">
        <f t="shared" si="41"/>
        <v>0</v>
      </c>
      <c r="AU150" s="2">
        <f t="shared" si="42"/>
        <v>0</v>
      </c>
      <c r="AV150" s="2">
        <f t="shared" si="43"/>
        <v>0</v>
      </c>
      <c r="AW150" s="2">
        <f t="shared" si="44"/>
        <v>0</v>
      </c>
      <c r="AX150" s="2">
        <f t="shared" si="45"/>
        <v>0</v>
      </c>
      <c r="AY150" s="2">
        <f t="shared" si="46"/>
        <v>0</v>
      </c>
      <c r="AZ150" s="2">
        <f t="shared" si="47"/>
        <v>0</v>
      </c>
      <c r="BA150" s="2">
        <f t="shared" si="48"/>
        <v>0</v>
      </c>
      <c r="BD150" s="2">
        <f>BD100+SUM(CB101:CB150)</f>
        <v>1</v>
      </c>
      <c r="CB150" s="2">
        <f>IF(考勤工资!$Y$154=$E$3,1,0)</f>
        <v>0</v>
      </c>
    </row>
    <row r="151">
      <c r="A151" s="94">
        <f>IF($AN151=0,"",146)</f>
      </c>
      <c r="B151" s="94">
        <f t="shared" si="32"/>
      </c>
      <c r="C151" s="96">
        <f t="shared" si="33"/>
      </c>
      <c r="D151" s="94">
        <f t="shared" si="0"/>
      </c>
      <c r="E151" s="117">
        <f t="shared" si="1"/>
      </c>
      <c r="F151" s="96">
        <f t="shared" si="2"/>
      </c>
      <c r="G151" s="118">
        <f t="shared" si="3"/>
      </c>
      <c r="H151" s="118">
        <f t="shared" si="4"/>
      </c>
      <c r="I151" s="118">
        <f t="shared" si="5"/>
      </c>
      <c r="J151" s="118">
        <f t="shared" si="6"/>
      </c>
      <c r="K151" s="118">
        <f t="shared" si="7"/>
      </c>
      <c r="L151" s="118">
        <f t="shared" si="8"/>
      </c>
      <c r="M151" s="118">
        <f t="shared" si="9"/>
      </c>
      <c r="N151" s="118">
        <f t="shared" si="10"/>
      </c>
      <c r="O151" s="118">
        <f t="shared" si="11"/>
      </c>
      <c r="P151" s="119">
        <f t="shared" si="34"/>
      </c>
      <c r="Q151" s="21">
        <f t="shared" si="12"/>
      </c>
      <c r="R151" s="21">
        <f t="shared" si="13"/>
      </c>
      <c r="S151" s="21">
        <f t="shared" si="14"/>
      </c>
      <c r="T151" s="21">
        <f t="shared" si="15"/>
      </c>
      <c r="U151" s="21">
        <f t="shared" si="16"/>
      </c>
      <c r="V151" s="21">
        <f t="shared" si="17"/>
      </c>
      <c r="W151" s="21">
        <f t="shared" si="18"/>
      </c>
      <c r="X151" s="21">
        <f t="shared" si="19"/>
      </c>
      <c r="Y151" s="21">
        <f t="shared" si="20"/>
      </c>
      <c r="Z151" s="21">
        <f t="shared" si="21"/>
      </c>
      <c r="AA151" s="21">
        <f t="shared" si="22"/>
      </c>
      <c r="AB151" s="21">
        <f t="shared" si="23"/>
      </c>
      <c r="AC151" s="21">
        <f t="shared" si="24"/>
      </c>
      <c r="AD151" s="21">
        <f t="shared" si="25"/>
      </c>
      <c r="AE151" s="21">
        <f t="shared" si="26"/>
      </c>
      <c r="AF151" s="21">
        <f t="shared" si="27"/>
      </c>
      <c r="AG151" s="21">
        <f t="shared" si="28"/>
      </c>
      <c r="AH151" s="21">
        <f t="shared" si="29"/>
      </c>
      <c r="AI151" s="21">
        <f t="shared" si="30"/>
      </c>
      <c r="AJ151" s="21">
        <f t="shared" si="31"/>
      </c>
      <c r="AK151" s="94" t="n"/>
      <c r="AL151" s="96">
        <f t="shared" si="35"/>
      </c>
      <c r="AN151" s="2">
        <f>IF(146&gt;$BD$1000,0,IFERROR(MATCH(146,$BD$1:$BD$1000,0),0))</f>
        <v>0</v>
      </c>
      <c r="AO151" s="2">
        <f t="shared" si="36"/>
        <v>0</v>
      </c>
      <c r="AP151" s="2">
        <f t="shared" si="37"/>
      </c>
      <c r="AQ151" s="2">
        <f t="shared" si="38"/>
      </c>
      <c r="AR151" s="2">
        <f t="shared" si="39"/>
      </c>
      <c r="AS151" s="2">
        <f t="shared" si="40"/>
      </c>
      <c r="AT151" s="2">
        <f t="shared" si="41"/>
        <v>0</v>
      </c>
      <c r="AU151" s="2">
        <f t="shared" si="42"/>
        <v>0</v>
      </c>
      <c r="AV151" s="2">
        <f t="shared" si="43"/>
        <v>0</v>
      </c>
      <c r="AW151" s="2">
        <f t="shared" si="44"/>
        <v>0</v>
      </c>
      <c r="AX151" s="2">
        <f t="shared" si="45"/>
        <v>0</v>
      </c>
      <c r="AY151" s="2">
        <f t="shared" si="46"/>
        <v>0</v>
      </c>
      <c r="AZ151" s="2">
        <f t="shared" si="47"/>
        <v>0</v>
      </c>
      <c r="BA151" s="2">
        <f t="shared" si="48"/>
        <v>0</v>
      </c>
      <c r="BD151" s="2">
        <f>BD150+SUM(CB151:CB151)</f>
        <v>1</v>
      </c>
      <c r="CB151" s="2">
        <f>IF(考勤工资!$Y$155=$E$3,1,0)</f>
        <v>0</v>
      </c>
    </row>
    <row r="152">
      <c r="A152" s="94">
        <f>IF($AN152=0,"",147)</f>
      </c>
      <c r="B152" s="94">
        <f t="shared" si="32"/>
      </c>
      <c r="C152" s="96">
        <f t="shared" si="33"/>
      </c>
      <c r="D152" s="94">
        <f t="shared" si="0"/>
      </c>
      <c r="E152" s="117">
        <f t="shared" si="1"/>
      </c>
      <c r="F152" s="96">
        <f t="shared" si="2"/>
      </c>
      <c r="G152" s="118">
        <f t="shared" si="3"/>
      </c>
      <c r="H152" s="118">
        <f t="shared" si="4"/>
      </c>
      <c r="I152" s="118">
        <f t="shared" si="5"/>
      </c>
      <c r="J152" s="118">
        <f t="shared" si="6"/>
      </c>
      <c r="K152" s="118">
        <f t="shared" si="7"/>
      </c>
      <c r="L152" s="118">
        <f t="shared" si="8"/>
      </c>
      <c r="M152" s="118">
        <f t="shared" si="9"/>
      </c>
      <c r="N152" s="118">
        <f t="shared" si="10"/>
      </c>
      <c r="O152" s="118">
        <f t="shared" si="11"/>
      </c>
      <c r="P152" s="119">
        <f t="shared" si="34"/>
      </c>
      <c r="Q152" s="21">
        <f t="shared" si="12"/>
      </c>
      <c r="R152" s="21">
        <f t="shared" si="13"/>
      </c>
      <c r="S152" s="21">
        <f t="shared" si="14"/>
      </c>
      <c r="T152" s="21">
        <f t="shared" si="15"/>
      </c>
      <c r="U152" s="21">
        <f t="shared" si="16"/>
      </c>
      <c r="V152" s="21">
        <f t="shared" si="17"/>
      </c>
      <c r="W152" s="21">
        <f t="shared" si="18"/>
      </c>
      <c r="X152" s="21">
        <f t="shared" si="19"/>
      </c>
      <c r="Y152" s="21">
        <f t="shared" si="20"/>
      </c>
      <c r="Z152" s="21">
        <f t="shared" si="21"/>
      </c>
      <c r="AA152" s="21">
        <f t="shared" si="22"/>
      </c>
      <c r="AB152" s="21">
        <f t="shared" si="23"/>
      </c>
      <c r="AC152" s="21">
        <f t="shared" si="24"/>
      </c>
      <c r="AD152" s="21">
        <f t="shared" si="25"/>
      </c>
      <c r="AE152" s="21">
        <f t="shared" si="26"/>
      </c>
      <c r="AF152" s="21">
        <f t="shared" si="27"/>
      </c>
      <c r="AG152" s="21">
        <f t="shared" si="28"/>
      </c>
      <c r="AH152" s="21">
        <f t="shared" si="29"/>
      </c>
      <c r="AI152" s="21">
        <f t="shared" si="30"/>
      </c>
      <c r="AJ152" s="21">
        <f t="shared" si="31"/>
      </c>
      <c r="AK152" s="94" t="n"/>
      <c r="AL152" s="96">
        <f t="shared" si="35"/>
      </c>
      <c r="AN152" s="2">
        <f>IF(147&gt;$BD$1000,0,IFERROR(MATCH(147,$BD$1:$BD$1000,0),0))</f>
        <v>0</v>
      </c>
      <c r="AO152" s="2">
        <f t="shared" si="36"/>
        <v>0</v>
      </c>
      <c r="AP152" s="2">
        <f t="shared" si="37"/>
      </c>
      <c r="AQ152" s="2">
        <f t="shared" si="38"/>
      </c>
      <c r="AR152" s="2">
        <f t="shared" si="39"/>
      </c>
      <c r="AS152" s="2">
        <f t="shared" si="40"/>
      </c>
      <c r="AT152" s="2">
        <f t="shared" si="41"/>
        <v>0</v>
      </c>
      <c r="AU152" s="2">
        <f t="shared" si="42"/>
        <v>0</v>
      </c>
      <c r="AV152" s="2">
        <f t="shared" si="43"/>
        <v>0</v>
      </c>
      <c r="AW152" s="2">
        <f t="shared" si="44"/>
        <v>0</v>
      </c>
      <c r="AX152" s="2">
        <f t="shared" si="45"/>
        <v>0</v>
      </c>
      <c r="AY152" s="2">
        <f t="shared" si="46"/>
        <v>0</v>
      </c>
      <c r="AZ152" s="2">
        <f t="shared" si="47"/>
        <v>0</v>
      </c>
      <c r="BA152" s="2">
        <f t="shared" si="48"/>
        <v>0</v>
      </c>
      <c r="BD152" s="2">
        <f>BD150+SUM(CB151:CB152)</f>
        <v>1</v>
      </c>
      <c r="CB152" s="2">
        <f>IF(考勤工资!$Y$156=$E$3,1,0)</f>
        <v>0</v>
      </c>
    </row>
    <row r="153">
      <c r="A153" s="94">
        <f>IF($AN153=0,"",148)</f>
      </c>
      <c r="B153" s="94">
        <f t="shared" si="32"/>
      </c>
      <c r="C153" s="96">
        <f t="shared" si="33"/>
      </c>
      <c r="D153" s="94">
        <f t="shared" si="0"/>
      </c>
      <c r="E153" s="117">
        <f t="shared" si="1"/>
      </c>
      <c r="F153" s="96">
        <f t="shared" si="2"/>
      </c>
      <c r="G153" s="118">
        <f t="shared" si="3"/>
      </c>
      <c r="H153" s="118">
        <f t="shared" si="4"/>
      </c>
      <c r="I153" s="118">
        <f t="shared" si="5"/>
      </c>
      <c r="J153" s="118">
        <f t="shared" si="6"/>
      </c>
      <c r="K153" s="118">
        <f t="shared" si="7"/>
      </c>
      <c r="L153" s="118">
        <f t="shared" si="8"/>
      </c>
      <c r="M153" s="118">
        <f t="shared" si="9"/>
      </c>
      <c r="N153" s="118">
        <f t="shared" si="10"/>
      </c>
      <c r="O153" s="118">
        <f t="shared" si="11"/>
      </c>
      <c r="P153" s="119">
        <f t="shared" si="34"/>
      </c>
      <c r="Q153" s="21">
        <f t="shared" si="12"/>
      </c>
      <c r="R153" s="21">
        <f t="shared" si="13"/>
      </c>
      <c r="S153" s="21">
        <f t="shared" si="14"/>
      </c>
      <c r="T153" s="21">
        <f t="shared" si="15"/>
      </c>
      <c r="U153" s="21">
        <f t="shared" si="16"/>
      </c>
      <c r="V153" s="21">
        <f t="shared" si="17"/>
      </c>
      <c r="W153" s="21">
        <f t="shared" si="18"/>
      </c>
      <c r="X153" s="21">
        <f t="shared" si="19"/>
      </c>
      <c r="Y153" s="21">
        <f t="shared" si="20"/>
      </c>
      <c r="Z153" s="21">
        <f t="shared" si="21"/>
      </c>
      <c r="AA153" s="21">
        <f t="shared" si="22"/>
      </c>
      <c r="AB153" s="21">
        <f t="shared" si="23"/>
      </c>
      <c r="AC153" s="21">
        <f t="shared" si="24"/>
      </c>
      <c r="AD153" s="21">
        <f t="shared" si="25"/>
      </c>
      <c r="AE153" s="21">
        <f t="shared" si="26"/>
      </c>
      <c r="AF153" s="21">
        <f t="shared" si="27"/>
      </c>
      <c r="AG153" s="21">
        <f t="shared" si="28"/>
      </c>
      <c r="AH153" s="21">
        <f t="shared" si="29"/>
      </c>
      <c r="AI153" s="21">
        <f t="shared" si="30"/>
      </c>
      <c r="AJ153" s="21">
        <f t="shared" si="31"/>
      </c>
      <c r="AK153" s="94" t="n"/>
      <c r="AL153" s="96">
        <f t="shared" si="35"/>
      </c>
      <c r="AN153" s="2">
        <f>IF(148&gt;$BD$1000,0,IFERROR(MATCH(148,$BD$1:$BD$1000,0),0))</f>
        <v>0</v>
      </c>
      <c r="AO153" s="2">
        <f t="shared" si="36"/>
        <v>0</v>
      </c>
      <c r="AP153" s="2">
        <f t="shared" si="37"/>
      </c>
      <c r="AQ153" s="2">
        <f t="shared" si="38"/>
      </c>
      <c r="AR153" s="2">
        <f t="shared" si="39"/>
      </c>
      <c r="AS153" s="2">
        <f t="shared" si="40"/>
      </c>
      <c r="AT153" s="2">
        <f t="shared" si="41"/>
        <v>0</v>
      </c>
      <c r="AU153" s="2">
        <f t="shared" si="42"/>
        <v>0</v>
      </c>
      <c r="AV153" s="2">
        <f t="shared" si="43"/>
        <v>0</v>
      </c>
      <c r="AW153" s="2">
        <f t="shared" si="44"/>
        <v>0</v>
      </c>
      <c r="AX153" s="2">
        <f t="shared" si="45"/>
        <v>0</v>
      </c>
      <c r="AY153" s="2">
        <f t="shared" si="46"/>
        <v>0</v>
      </c>
      <c r="AZ153" s="2">
        <f t="shared" si="47"/>
        <v>0</v>
      </c>
      <c r="BA153" s="2">
        <f t="shared" si="48"/>
        <v>0</v>
      </c>
      <c r="BD153" s="2">
        <f>BD150+SUM(CB151:CB153)</f>
        <v>1</v>
      </c>
      <c r="CB153" s="2">
        <f>IF(考勤工资!$Y$157=$E$3,1,0)</f>
        <v>0</v>
      </c>
    </row>
    <row r="154">
      <c r="A154" s="94">
        <f>IF($AN154=0,"",149)</f>
      </c>
      <c r="B154" s="94">
        <f t="shared" si="32"/>
      </c>
      <c r="C154" s="96">
        <f t="shared" si="33"/>
      </c>
      <c r="D154" s="94">
        <f t="shared" si="0"/>
      </c>
      <c r="E154" s="117">
        <f t="shared" si="1"/>
      </c>
      <c r="F154" s="96">
        <f t="shared" si="2"/>
      </c>
      <c r="G154" s="118">
        <f t="shared" si="3"/>
      </c>
      <c r="H154" s="118">
        <f t="shared" si="4"/>
      </c>
      <c r="I154" s="118">
        <f t="shared" si="5"/>
      </c>
      <c r="J154" s="118">
        <f t="shared" si="6"/>
      </c>
      <c r="K154" s="118">
        <f t="shared" si="7"/>
      </c>
      <c r="L154" s="118">
        <f t="shared" si="8"/>
      </c>
      <c r="M154" s="118">
        <f t="shared" si="9"/>
      </c>
      <c r="N154" s="118">
        <f t="shared" si="10"/>
      </c>
      <c r="O154" s="118">
        <f t="shared" si="11"/>
      </c>
      <c r="P154" s="119">
        <f t="shared" si="34"/>
      </c>
      <c r="Q154" s="21">
        <f t="shared" si="12"/>
      </c>
      <c r="R154" s="21">
        <f t="shared" si="13"/>
      </c>
      <c r="S154" s="21">
        <f t="shared" si="14"/>
      </c>
      <c r="T154" s="21">
        <f t="shared" si="15"/>
      </c>
      <c r="U154" s="21">
        <f t="shared" si="16"/>
      </c>
      <c r="V154" s="21">
        <f t="shared" si="17"/>
      </c>
      <c r="W154" s="21">
        <f t="shared" si="18"/>
      </c>
      <c r="X154" s="21">
        <f t="shared" si="19"/>
      </c>
      <c r="Y154" s="21">
        <f t="shared" si="20"/>
      </c>
      <c r="Z154" s="21">
        <f t="shared" si="21"/>
      </c>
      <c r="AA154" s="21">
        <f t="shared" si="22"/>
      </c>
      <c r="AB154" s="21">
        <f t="shared" si="23"/>
      </c>
      <c r="AC154" s="21">
        <f t="shared" si="24"/>
      </c>
      <c r="AD154" s="21">
        <f t="shared" si="25"/>
      </c>
      <c r="AE154" s="21">
        <f t="shared" si="26"/>
      </c>
      <c r="AF154" s="21">
        <f t="shared" si="27"/>
      </c>
      <c r="AG154" s="21">
        <f t="shared" si="28"/>
      </c>
      <c r="AH154" s="21">
        <f t="shared" si="29"/>
      </c>
      <c r="AI154" s="21">
        <f t="shared" si="30"/>
      </c>
      <c r="AJ154" s="21">
        <f t="shared" si="31"/>
      </c>
      <c r="AK154" s="94" t="n"/>
      <c r="AL154" s="96">
        <f t="shared" si="35"/>
      </c>
      <c r="AN154" s="2">
        <f>IF(149&gt;$BD$1000,0,IFERROR(MATCH(149,$BD$1:$BD$1000,0),0))</f>
        <v>0</v>
      </c>
      <c r="AO154" s="2">
        <f t="shared" si="36"/>
        <v>0</v>
      </c>
      <c r="AP154" s="2">
        <f t="shared" si="37"/>
      </c>
      <c r="AQ154" s="2">
        <f t="shared" si="38"/>
      </c>
      <c r="AR154" s="2">
        <f t="shared" si="39"/>
      </c>
      <c r="AS154" s="2">
        <f t="shared" si="40"/>
      </c>
      <c r="AT154" s="2">
        <f t="shared" si="41"/>
        <v>0</v>
      </c>
      <c r="AU154" s="2">
        <f t="shared" si="42"/>
        <v>0</v>
      </c>
      <c r="AV154" s="2">
        <f t="shared" si="43"/>
        <v>0</v>
      </c>
      <c r="AW154" s="2">
        <f t="shared" si="44"/>
        <v>0</v>
      </c>
      <c r="AX154" s="2">
        <f t="shared" si="45"/>
        <v>0</v>
      </c>
      <c r="AY154" s="2">
        <f t="shared" si="46"/>
        <v>0</v>
      </c>
      <c r="AZ154" s="2">
        <f t="shared" si="47"/>
        <v>0</v>
      </c>
      <c r="BA154" s="2">
        <f t="shared" si="48"/>
        <v>0</v>
      </c>
      <c r="BD154" s="2">
        <f>BD150+SUM(CB151:CB154)</f>
        <v>1</v>
      </c>
      <c r="CB154" s="2">
        <f>IF(考勤工资!$Y$158=$E$3,1,0)</f>
        <v>0</v>
      </c>
    </row>
    <row r="155">
      <c r="A155" s="94">
        <f>IF($AN155=0,"",150)</f>
      </c>
      <c r="B155" s="94">
        <f t="shared" si="32"/>
      </c>
      <c r="C155" s="96">
        <f t="shared" si="33"/>
      </c>
      <c r="D155" s="94">
        <f t="shared" si="0"/>
      </c>
      <c r="E155" s="117">
        <f t="shared" si="1"/>
      </c>
      <c r="F155" s="96">
        <f t="shared" si="2"/>
      </c>
      <c r="G155" s="118">
        <f t="shared" si="3"/>
      </c>
      <c r="H155" s="118">
        <f t="shared" si="4"/>
      </c>
      <c r="I155" s="118">
        <f t="shared" si="5"/>
      </c>
      <c r="J155" s="118">
        <f t="shared" si="6"/>
      </c>
      <c r="K155" s="118">
        <f t="shared" si="7"/>
      </c>
      <c r="L155" s="118">
        <f t="shared" si="8"/>
      </c>
      <c r="M155" s="118">
        <f t="shared" si="9"/>
      </c>
      <c r="N155" s="118">
        <f t="shared" si="10"/>
      </c>
      <c r="O155" s="118">
        <f t="shared" si="11"/>
      </c>
      <c r="P155" s="119">
        <f t="shared" si="34"/>
      </c>
      <c r="Q155" s="21">
        <f t="shared" si="12"/>
      </c>
      <c r="R155" s="21">
        <f t="shared" si="13"/>
      </c>
      <c r="S155" s="21">
        <f t="shared" si="14"/>
      </c>
      <c r="T155" s="21">
        <f t="shared" si="15"/>
      </c>
      <c r="U155" s="21">
        <f t="shared" si="16"/>
      </c>
      <c r="V155" s="21">
        <f t="shared" si="17"/>
      </c>
      <c r="W155" s="21">
        <f t="shared" si="18"/>
      </c>
      <c r="X155" s="21">
        <f t="shared" si="19"/>
      </c>
      <c r="Y155" s="21">
        <f t="shared" si="20"/>
      </c>
      <c r="Z155" s="21">
        <f t="shared" si="21"/>
      </c>
      <c r="AA155" s="21">
        <f t="shared" si="22"/>
      </c>
      <c r="AB155" s="21">
        <f t="shared" si="23"/>
      </c>
      <c r="AC155" s="21">
        <f t="shared" si="24"/>
      </c>
      <c r="AD155" s="21">
        <f t="shared" si="25"/>
      </c>
      <c r="AE155" s="21">
        <f t="shared" si="26"/>
      </c>
      <c r="AF155" s="21">
        <f t="shared" si="27"/>
      </c>
      <c r="AG155" s="21">
        <f t="shared" si="28"/>
      </c>
      <c r="AH155" s="21">
        <f t="shared" si="29"/>
      </c>
      <c r="AI155" s="21">
        <f t="shared" si="30"/>
      </c>
      <c r="AJ155" s="21">
        <f t="shared" si="31"/>
      </c>
      <c r="AK155" s="94" t="n"/>
      <c r="AL155" s="96">
        <f t="shared" si="35"/>
      </c>
      <c r="AN155" s="2">
        <f>IF(150&gt;$BD$1000,0,IFERROR(MATCH(150,$BD$1:$BD$1000,0),0))</f>
        <v>0</v>
      </c>
      <c r="AO155" s="2">
        <f t="shared" si="36"/>
        <v>0</v>
      </c>
      <c r="AP155" s="2">
        <f t="shared" si="37"/>
      </c>
      <c r="AQ155" s="2">
        <f t="shared" si="38"/>
      </c>
      <c r="AR155" s="2">
        <f t="shared" si="39"/>
      </c>
      <c r="AS155" s="2">
        <f t="shared" si="40"/>
      </c>
      <c r="AT155" s="2">
        <f t="shared" si="41"/>
        <v>0</v>
      </c>
      <c r="AU155" s="2">
        <f t="shared" si="42"/>
        <v>0</v>
      </c>
      <c r="AV155" s="2">
        <f t="shared" si="43"/>
        <v>0</v>
      </c>
      <c r="AW155" s="2">
        <f t="shared" si="44"/>
        <v>0</v>
      </c>
      <c r="AX155" s="2">
        <f t="shared" si="45"/>
        <v>0</v>
      </c>
      <c r="AY155" s="2">
        <f t="shared" si="46"/>
        <v>0</v>
      </c>
      <c r="AZ155" s="2">
        <f t="shared" si="47"/>
        <v>0</v>
      </c>
      <c r="BA155" s="2">
        <f t="shared" si="48"/>
        <v>0</v>
      </c>
      <c r="BD155" s="2">
        <f>BD150+SUM(CB151:CB155)</f>
        <v>1</v>
      </c>
      <c r="CB155" s="2">
        <f>IF(考勤工资!$Y$159=$E$3,1,0)</f>
        <v>0</v>
      </c>
    </row>
    <row r="156">
      <c r="BD156" s="2">
        <f>BD150+SUM(CB151:CB156)</f>
        <v>1</v>
      </c>
      <c r="CB156" s="2">
        <f>IF(考勤工资!$Y$160=$E$3,1,0)</f>
        <v>0</v>
      </c>
    </row>
    <row r="157">
      <c r="BD157" s="2">
        <f>BD150+SUM(CB151:CB157)</f>
        <v>1</v>
      </c>
      <c r="CB157" s="2">
        <f>IF(考勤工资!$Y$161=$E$3,1,0)</f>
        <v>0</v>
      </c>
    </row>
    <row r="158">
      <c r="BD158" s="2">
        <f>BD150+SUM(CB151:CB158)</f>
        <v>1</v>
      </c>
      <c r="CB158" s="2">
        <f>IF(考勤工资!$Y$162=$E$3,1,0)</f>
        <v>0</v>
      </c>
    </row>
    <row r="159">
      <c r="BD159" s="2">
        <f>BD150+SUM(CB151:CB159)</f>
        <v>1</v>
      </c>
      <c r="CB159" s="2">
        <f>IF(考勤工资!$Y$163=$E$3,1,0)</f>
        <v>0</v>
      </c>
    </row>
    <row r="160">
      <c r="BD160" s="2">
        <f>BD150+SUM(CB151:CB160)</f>
        <v>1</v>
      </c>
      <c r="CB160" s="2">
        <f>IF(考勤工资!$Y$164=$E$3,1,0)</f>
        <v>0</v>
      </c>
    </row>
    <row r="161">
      <c r="BD161" s="2">
        <f>BD150+SUM(CB151:CB161)</f>
        <v>1</v>
      </c>
      <c r="CB161" s="2">
        <f>IF(考勤工资!$Y$165=$E$3,1,0)</f>
        <v>0</v>
      </c>
    </row>
    <row r="162">
      <c r="BD162" s="2">
        <f>BD150+SUM(CB151:CB162)</f>
        <v>1</v>
      </c>
      <c r="CB162" s="2">
        <f>IF(考勤工资!$Y$166=$E$3,1,0)</f>
        <v>0</v>
      </c>
    </row>
    <row r="163">
      <c r="BD163" s="2">
        <f>BD150+SUM(CB151:CB163)</f>
        <v>1</v>
      </c>
      <c r="CB163" s="2">
        <f>IF(考勤工资!$Y$167=$E$3,1,0)</f>
        <v>0</v>
      </c>
    </row>
    <row r="164">
      <c r="BD164" s="2">
        <f>BD150+SUM(CB151:CB164)</f>
        <v>1</v>
      </c>
      <c r="CB164" s="2">
        <f>IF(考勤工资!$Y$168=$E$3,1,0)</f>
        <v>0</v>
      </c>
    </row>
    <row r="165">
      <c r="BD165" s="2">
        <f>BD150+SUM(CB151:CB165)</f>
        <v>1</v>
      </c>
      <c r="CB165" s="2">
        <f>IF(考勤工资!$Y$169=$E$3,1,0)</f>
        <v>0</v>
      </c>
    </row>
    <row r="166">
      <c r="BD166" s="2">
        <f>BD150+SUM(CB151:CB166)</f>
        <v>1</v>
      </c>
      <c r="CB166" s="2">
        <f>IF(考勤工资!$Y$170=$E$3,1,0)</f>
        <v>0</v>
      </c>
    </row>
    <row r="167">
      <c r="BD167" s="2">
        <f>BD150+SUM(CB151:CB167)</f>
        <v>1</v>
      </c>
      <c r="CB167" s="2">
        <f>IF(考勤工资!$Y$171=$E$3,1,0)</f>
        <v>0</v>
      </c>
    </row>
    <row r="168">
      <c r="BD168" s="2">
        <f>BD150+SUM(CB151:CB168)</f>
        <v>1</v>
      </c>
      <c r="CB168" s="2">
        <f>IF(考勤工资!$Y$172=$E$3,1,0)</f>
        <v>0</v>
      </c>
    </row>
    <row r="169">
      <c r="BD169" s="2">
        <f>BD150+SUM(CB151:CB169)</f>
        <v>1</v>
      </c>
      <c r="CB169" s="2">
        <f>IF(考勤工资!$Y$173=$E$3,1,0)</f>
        <v>0</v>
      </c>
    </row>
    <row r="170">
      <c r="BD170" s="2">
        <f>BD150+SUM(CB151:CB170)</f>
        <v>1</v>
      </c>
      <c r="CB170" s="2">
        <f>IF(考勤工资!$Y$174=$E$3,1,0)</f>
        <v>0</v>
      </c>
    </row>
    <row r="171">
      <c r="BD171" s="2">
        <f>BD150+SUM(CB151:CB171)</f>
        <v>1</v>
      </c>
      <c r="CB171" s="2">
        <f>IF(考勤工资!$Y$175=$E$3,1,0)</f>
        <v>0</v>
      </c>
    </row>
    <row r="172">
      <c r="BD172" s="2">
        <f>BD150+SUM(CB151:CB172)</f>
        <v>1</v>
      </c>
      <c r="CB172" s="2">
        <f>IF(考勤工资!$Y$176=$E$3,1,0)</f>
        <v>0</v>
      </c>
    </row>
    <row r="173">
      <c r="BD173" s="2">
        <f>BD150+SUM(CB151:CB173)</f>
        <v>1</v>
      </c>
      <c r="CB173" s="2">
        <f>IF(考勤工资!$Y$177=$E$3,1,0)</f>
        <v>0</v>
      </c>
    </row>
    <row r="174">
      <c r="BD174" s="2">
        <f>BD150+SUM(CB151:CB174)</f>
        <v>1</v>
      </c>
      <c r="CB174" s="2">
        <f>IF(考勤工资!$Y$178=$E$3,1,0)</f>
        <v>0</v>
      </c>
    </row>
    <row r="175">
      <c r="BD175" s="2">
        <f>BD150+SUM(CB151:CB175)</f>
        <v>1</v>
      </c>
      <c r="CB175" s="2">
        <f>IF(考勤工资!$Y$179=$E$3,1,0)</f>
        <v>0</v>
      </c>
    </row>
    <row r="176">
      <c r="BD176" s="2">
        <f>BD150+SUM(CB151:CB176)</f>
        <v>1</v>
      </c>
      <c r="CB176" s="2">
        <f>IF(考勤工资!$Y$180=$E$3,1,0)</f>
        <v>0</v>
      </c>
    </row>
    <row r="177">
      <c r="BD177" s="2">
        <f>BD150+SUM(CB151:CB177)</f>
        <v>1</v>
      </c>
      <c r="CB177" s="2">
        <f>IF(考勤工资!$Y$181=$E$3,1,0)</f>
        <v>0</v>
      </c>
    </row>
    <row r="178">
      <c r="BD178" s="2">
        <f>BD150+SUM(CB151:CB178)</f>
        <v>1</v>
      </c>
      <c r="CB178" s="2">
        <f>IF(考勤工资!$Y$182=$E$3,1,0)</f>
        <v>0</v>
      </c>
    </row>
    <row r="179">
      <c r="BD179" s="2">
        <f>BD150+SUM(CB151:CB179)</f>
        <v>1</v>
      </c>
      <c r="CB179" s="2">
        <f>IF(考勤工资!$Y$183=$E$3,1,0)</f>
        <v>0</v>
      </c>
    </row>
    <row r="180">
      <c r="BD180" s="2">
        <f>BD150+SUM(CB151:CB180)</f>
        <v>1</v>
      </c>
      <c r="CB180" s="2">
        <f>IF(考勤工资!$Y$184=$E$3,1,0)</f>
        <v>0</v>
      </c>
    </row>
    <row r="181">
      <c r="BD181" s="2">
        <f>BD150+SUM(CB151:CB181)</f>
        <v>1</v>
      </c>
      <c r="CB181" s="2">
        <f>IF(考勤工资!$Y$185=$E$3,1,0)</f>
        <v>0</v>
      </c>
    </row>
    <row r="182">
      <c r="BD182" s="2">
        <f>BD150+SUM(CB151:CB182)</f>
        <v>1</v>
      </c>
      <c r="CB182" s="2">
        <f>IF(考勤工资!$Y$186=$E$3,1,0)</f>
        <v>0</v>
      </c>
    </row>
    <row r="183">
      <c r="BD183" s="2">
        <f>BD150+SUM(CB151:CB183)</f>
        <v>1</v>
      </c>
      <c r="CB183" s="2">
        <f>IF(考勤工资!$Y$187=$E$3,1,0)</f>
        <v>0</v>
      </c>
    </row>
    <row r="184">
      <c r="BD184" s="2">
        <f>BD150+SUM(CB151:CB184)</f>
        <v>1</v>
      </c>
      <c r="CB184" s="2">
        <f>IF(考勤工资!$Y$188=$E$3,1,0)</f>
        <v>0</v>
      </c>
    </row>
    <row r="185">
      <c r="BD185" s="2">
        <f>BD150+SUM(CB151:CB185)</f>
        <v>1</v>
      </c>
      <c r="CB185" s="2">
        <f>IF(考勤工资!$Y$189=$E$3,1,0)</f>
        <v>0</v>
      </c>
    </row>
    <row r="186">
      <c r="BD186" s="2">
        <f>BD150+SUM(CB151:CB186)</f>
        <v>1</v>
      </c>
      <c r="CB186" s="2">
        <f>IF(考勤工资!$Y$190=$E$3,1,0)</f>
        <v>0</v>
      </c>
    </row>
    <row r="187">
      <c r="BD187" s="2">
        <f>BD150+SUM(CB151:CB187)</f>
        <v>1</v>
      </c>
      <c r="CB187" s="2">
        <f>IF(考勤工资!$Y$191=$E$3,1,0)</f>
        <v>0</v>
      </c>
    </row>
    <row r="188">
      <c r="BD188" s="2">
        <f>BD150+SUM(CB151:CB188)</f>
        <v>1</v>
      </c>
      <c r="CB188" s="2">
        <f>IF(考勤工资!$Y$192=$E$3,1,0)</f>
        <v>0</v>
      </c>
    </row>
    <row r="189">
      <c r="BD189" s="2">
        <f>BD150+SUM(CB151:CB189)</f>
        <v>1</v>
      </c>
      <c r="CB189" s="2">
        <f>IF(考勤工资!$Y$193=$E$3,1,0)</f>
        <v>0</v>
      </c>
    </row>
    <row r="190">
      <c r="BD190" s="2">
        <f>BD150+SUM(CB151:CB190)</f>
        <v>1</v>
      </c>
      <c r="CB190" s="2">
        <f>IF(考勤工资!$Y$194=$E$3,1,0)</f>
        <v>0</v>
      </c>
    </row>
    <row r="191">
      <c r="BD191" s="2">
        <f>BD150+SUM(CB151:CB191)</f>
        <v>1</v>
      </c>
      <c r="CB191" s="2">
        <f>IF(考勤工资!$Y$195=$E$3,1,0)</f>
        <v>0</v>
      </c>
    </row>
    <row r="192">
      <c r="BD192" s="2">
        <f>BD150+SUM(CB151:CB192)</f>
        <v>1</v>
      </c>
      <c r="CB192" s="2">
        <f>IF(考勤工资!$Y$196=$E$3,1,0)</f>
        <v>0</v>
      </c>
    </row>
    <row r="193">
      <c r="BD193" s="2">
        <f>BD150+SUM(CB151:CB193)</f>
        <v>1</v>
      </c>
      <c r="CB193" s="2">
        <f>IF(考勤工资!$Y$197=$E$3,1,0)</f>
        <v>0</v>
      </c>
    </row>
    <row r="194">
      <c r="BD194" s="2">
        <f>BD150+SUM(CB151:CB194)</f>
        <v>1</v>
      </c>
      <c r="CB194" s="2">
        <f>IF(考勤工资!$Y$198=$E$3,1,0)</f>
        <v>0</v>
      </c>
    </row>
    <row r="195">
      <c r="BD195" s="2">
        <f>BD150+SUM(CB151:CB195)</f>
        <v>1</v>
      </c>
      <c r="CB195" s="2">
        <f>IF(考勤工资!$Y$199=$E$3,1,0)</f>
        <v>0</v>
      </c>
    </row>
    <row r="196">
      <c r="BD196" s="2">
        <f>BD150+SUM(CB151:CB196)</f>
        <v>1</v>
      </c>
      <c r="CB196" s="2">
        <f>IF(考勤工资!$Y$200=$E$3,1,0)</f>
        <v>0</v>
      </c>
    </row>
    <row r="197">
      <c r="BD197" s="2">
        <f>BD150+SUM(CB151:CB197)</f>
        <v>1</v>
      </c>
      <c r="CB197" s="2">
        <f>IF(考勤工资!$Y$201=$E$3,1,0)</f>
        <v>0</v>
      </c>
    </row>
    <row r="198">
      <c r="BD198" s="2">
        <f>BD150+SUM(CB151:CB198)</f>
        <v>1</v>
      </c>
      <c r="CB198" s="2">
        <f>IF(考勤工资!$Y$202=$E$3,1,0)</f>
        <v>0</v>
      </c>
    </row>
    <row r="199">
      <c r="BD199" s="2">
        <f>BD150+SUM(CB151:CB199)</f>
        <v>1</v>
      </c>
      <c r="CB199" s="2">
        <f>IF(考勤工资!$Y$203=$E$3,1,0)</f>
        <v>0</v>
      </c>
    </row>
    <row r="200">
      <c r="BD200" s="2">
        <f>BD150+SUM(CB151:CB200)</f>
        <v>1</v>
      </c>
      <c r="CB200" s="2">
        <f>IF(考勤工资!$Y$204=$E$3,1,0)</f>
        <v>0</v>
      </c>
    </row>
    <row r="201">
      <c r="BD201" s="2">
        <f>BD200+SUM(CB201:CB201)</f>
        <v>1</v>
      </c>
      <c r="CB201" s="2">
        <f>IF(考勤工资!$Y$205=$E$3,1,0)</f>
        <v>0</v>
      </c>
    </row>
    <row r="202">
      <c r="BD202" s="2">
        <f>BD200+SUM(CB201:CB202)</f>
        <v>1</v>
      </c>
      <c r="CB202" s="2">
        <f>IF(考勤工资!$Y$206=$E$3,1,0)</f>
        <v>0</v>
      </c>
    </row>
    <row r="203">
      <c r="BD203" s="2">
        <f>BD200+SUM(CB201:CB203)</f>
        <v>1</v>
      </c>
      <c r="CB203" s="2">
        <f>IF(考勤工资!$Y$207=$E$3,1,0)</f>
        <v>0</v>
      </c>
    </row>
    <row r="204">
      <c r="BD204" s="2">
        <f>BD200+SUM(CB201:CB204)</f>
        <v>1</v>
      </c>
      <c r="CB204" s="2">
        <f>IF(考勤工资!$Y$208=$E$3,1,0)</f>
        <v>0</v>
      </c>
    </row>
    <row r="205">
      <c r="BD205" s="2">
        <f>BD200+SUM(CB201:CB205)</f>
        <v>1</v>
      </c>
      <c r="CB205" s="2">
        <f>IF(考勤工资!$Y$209=$E$3,1,0)</f>
        <v>0</v>
      </c>
    </row>
    <row r="206">
      <c r="BD206" s="2">
        <f>BD200+SUM(CB201:CB206)</f>
        <v>1</v>
      </c>
      <c r="CB206" s="2">
        <f>IF(考勤工资!$Y$210=$E$3,1,0)</f>
        <v>0</v>
      </c>
    </row>
    <row r="207">
      <c r="BD207" s="2">
        <f>BD200+SUM(CB201:CB207)</f>
        <v>1</v>
      </c>
      <c r="CB207" s="2">
        <f>IF(考勤工资!$Y$211=$E$3,1,0)</f>
        <v>0</v>
      </c>
    </row>
    <row r="208">
      <c r="BD208" s="2">
        <f>BD200+SUM(CB201:CB208)</f>
        <v>1</v>
      </c>
      <c r="CB208" s="2">
        <f>IF(考勤工资!$Y$212=$E$3,1,0)</f>
        <v>0</v>
      </c>
    </row>
    <row r="209">
      <c r="BD209" s="2">
        <f>BD200+SUM(CB201:CB209)</f>
        <v>1</v>
      </c>
      <c r="CB209" s="2">
        <f>IF(考勤工资!$Y$213=$E$3,1,0)</f>
        <v>0</v>
      </c>
    </row>
    <row r="210">
      <c r="BD210" s="2">
        <f>BD200+SUM(CB201:CB210)</f>
        <v>1</v>
      </c>
      <c r="CB210" s="2">
        <f>IF(考勤工资!$Y$214=$E$3,1,0)</f>
        <v>0</v>
      </c>
    </row>
    <row r="211">
      <c r="BD211" s="2">
        <f>BD200+SUM(CB201:CB211)</f>
        <v>1</v>
      </c>
      <c r="CB211" s="2">
        <f>IF(考勤工资!$Y$215=$E$3,1,0)</f>
        <v>0</v>
      </c>
    </row>
    <row r="212">
      <c r="BD212" s="2">
        <f>BD200+SUM(CB201:CB212)</f>
        <v>1</v>
      </c>
      <c r="CB212" s="2">
        <f>IF(考勤工资!$Y$216=$E$3,1,0)</f>
        <v>0</v>
      </c>
    </row>
    <row r="213">
      <c r="BD213" s="2">
        <f>BD200+SUM(CB201:CB213)</f>
        <v>1</v>
      </c>
      <c r="CB213" s="2">
        <f>IF(考勤工资!$Y$217=$E$3,1,0)</f>
        <v>0</v>
      </c>
    </row>
    <row r="214">
      <c r="BD214" s="2">
        <f>BD200+SUM(CB201:CB214)</f>
        <v>1</v>
      </c>
      <c r="CB214" s="2">
        <f>IF(考勤工资!$Y$218=$E$3,1,0)</f>
        <v>0</v>
      </c>
    </row>
    <row r="215">
      <c r="BD215" s="2">
        <f>BD200+SUM(CB201:CB215)</f>
        <v>1</v>
      </c>
      <c r="CB215" s="2">
        <f>IF(考勤工资!$Y$219=$E$3,1,0)</f>
        <v>0</v>
      </c>
    </row>
    <row r="216">
      <c r="BD216" s="2">
        <f>BD200+SUM(CB201:CB216)</f>
        <v>1</v>
      </c>
      <c r="CB216" s="2">
        <f>IF(考勤工资!$Y$220=$E$3,1,0)</f>
        <v>0</v>
      </c>
    </row>
    <row r="217">
      <c r="BD217" s="2">
        <f>BD200+SUM(CB201:CB217)</f>
        <v>1</v>
      </c>
      <c r="CB217" s="2">
        <f>IF(考勤工资!$Y$221=$E$3,1,0)</f>
        <v>0</v>
      </c>
    </row>
    <row r="218">
      <c r="BD218" s="2">
        <f>BD200+SUM(CB201:CB218)</f>
        <v>1</v>
      </c>
      <c r="CB218" s="2">
        <f>IF(考勤工资!$Y$222=$E$3,1,0)</f>
        <v>0</v>
      </c>
    </row>
    <row r="219">
      <c r="BD219" s="2">
        <f>BD200+SUM(CB201:CB219)</f>
        <v>1</v>
      </c>
      <c r="CB219" s="2">
        <f>IF(考勤工资!$Y$223=$E$3,1,0)</f>
        <v>0</v>
      </c>
    </row>
    <row r="220">
      <c r="BD220" s="2">
        <f>BD200+SUM(CB201:CB220)</f>
        <v>1</v>
      </c>
      <c r="CB220" s="2">
        <f>IF(考勤工资!$Y$224=$E$3,1,0)</f>
        <v>0</v>
      </c>
    </row>
    <row r="221">
      <c r="BD221" s="2">
        <f>BD200+SUM(CB201:CB221)</f>
        <v>1</v>
      </c>
      <c r="CB221" s="2">
        <f>IF(考勤工资!$Y$225=$E$3,1,0)</f>
        <v>0</v>
      </c>
    </row>
    <row r="222">
      <c r="BD222" s="2">
        <f>BD200+SUM(CB201:CB222)</f>
        <v>1</v>
      </c>
      <c r="CB222" s="2">
        <f>IF(考勤工资!$Y$226=$E$3,1,0)</f>
        <v>0</v>
      </c>
    </row>
    <row r="223">
      <c r="BD223" s="2">
        <f>BD200+SUM(CB201:CB223)</f>
        <v>1</v>
      </c>
      <c r="CB223" s="2">
        <f>IF(考勤工资!$Y$227=$E$3,1,0)</f>
        <v>0</v>
      </c>
    </row>
    <row r="224">
      <c r="BD224" s="2">
        <f>BD200+SUM(CB201:CB224)</f>
        <v>1</v>
      </c>
      <c r="CB224" s="2">
        <f>IF(考勤工资!$Y$228=$E$3,1,0)</f>
        <v>0</v>
      </c>
    </row>
    <row r="225">
      <c r="BD225" s="2">
        <f>BD200+SUM(CB201:CB225)</f>
        <v>1</v>
      </c>
      <c r="CB225" s="2">
        <f>IF(考勤工资!$Y$229=$E$3,1,0)</f>
        <v>0</v>
      </c>
    </row>
    <row r="226">
      <c r="BD226" s="2">
        <f>BD200+SUM(CB201:CB226)</f>
        <v>1</v>
      </c>
      <c r="CB226" s="2">
        <f>IF(考勤工资!$Y$230=$E$3,1,0)</f>
        <v>0</v>
      </c>
    </row>
    <row r="227">
      <c r="BD227" s="2">
        <f>BD200+SUM(CB201:CB227)</f>
        <v>1</v>
      </c>
      <c r="CB227" s="2">
        <f>IF(考勤工资!$Y$231=$E$3,1,0)</f>
        <v>0</v>
      </c>
    </row>
    <row r="228">
      <c r="BD228" s="2">
        <f>BD200+SUM(CB201:CB228)</f>
        <v>1</v>
      </c>
      <c r="CB228" s="2">
        <f>IF(考勤工资!$Y$232=$E$3,1,0)</f>
        <v>0</v>
      </c>
    </row>
    <row r="229">
      <c r="BD229" s="2">
        <f>BD200+SUM(CB201:CB229)</f>
        <v>1</v>
      </c>
      <c r="CB229" s="2">
        <f>IF(考勤工资!$Y$233=$E$3,1,0)</f>
        <v>0</v>
      </c>
    </row>
    <row r="230">
      <c r="BD230" s="2">
        <f>BD200+SUM(CB201:CB230)</f>
        <v>1</v>
      </c>
      <c r="CB230" s="2">
        <f>IF(考勤工资!$Y$234=$E$3,1,0)</f>
        <v>0</v>
      </c>
    </row>
    <row r="231">
      <c r="BD231" s="2">
        <f>BD200+SUM(CB201:CB231)</f>
        <v>1</v>
      </c>
      <c r="CB231" s="2">
        <f>IF(考勤工资!$Y$235=$E$3,1,0)</f>
        <v>0</v>
      </c>
    </row>
    <row r="232">
      <c r="BD232" s="2">
        <f>BD200+SUM(CB201:CB232)</f>
        <v>1</v>
      </c>
      <c r="CB232" s="2">
        <f>IF(考勤工资!$Y$236=$E$3,1,0)</f>
        <v>0</v>
      </c>
    </row>
    <row r="233">
      <c r="BD233" s="2">
        <f>BD200+SUM(CB201:CB233)</f>
        <v>1</v>
      </c>
      <c r="CB233" s="2">
        <f>IF(考勤工资!$Y$237=$E$3,1,0)</f>
        <v>0</v>
      </c>
    </row>
    <row r="234">
      <c r="BD234" s="2">
        <f>BD200+SUM(CB201:CB234)</f>
        <v>1</v>
      </c>
      <c r="CB234" s="2">
        <f>IF(考勤工资!$Y$238=$E$3,1,0)</f>
        <v>0</v>
      </c>
    </row>
    <row r="235">
      <c r="BD235" s="2">
        <f>BD200+SUM(CB201:CB235)</f>
        <v>1</v>
      </c>
      <c r="CB235" s="2">
        <f>IF(考勤工资!$Y$239=$E$3,1,0)</f>
        <v>0</v>
      </c>
    </row>
    <row r="236">
      <c r="BD236" s="2">
        <f>BD200+SUM(CB201:CB236)</f>
        <v>1</v>
      </c>
      <c r="CB236" s="2">
        <f>IF(考勤工资!$Y$240=$E$3,1,0)</f>
        <v>0</v>
      </c>
    </row>
    <row r="237">
      <c r="BD237" s="2">
        <f>BD200+SUM(CB201:CB237)</f>
        <v>1</v>
      </c>
      <c r="CB237" s="2">
        <f>IF(考勤工资!$Y$241=$E$3,1,0)</f>
        <v>0</v>
      </c>
    </row>
    <row r="238">
      <c r="BD238" s="2">
        <f>BD200+SUM(CB201:CB238)</f>
        <v>1</v>
      </c>
      <c r="CB238" s="2">
        <f>IF(考勤工资!$Y$242=$E$3,1,0)</f>
        <v>0</v>
      </c>
    </row>
    <row r="239">
      <c r="BD239" s="2">
        <f>BD200+SUM(CB201:CB239)</f>
        <v>1</v>
      </c>
      <c r="CB239" s="2">
        <f>IF(考勤工资!$Y$243=$E$3,1,0)</f>
        <v>0</v>
      </c>
    </row>
    <row r="240">
      <c r="BD240" s="2">
        <f>BD200+SUM(CB201:CB240)</f>
        <v>1</v>
      </c>
      <c r="CB240" s="2">
        <f>IF(考勤工资!$Y$244=$E$3,1,0)</f>
        <v>0</v>
      </c>
    </row>
    <row r="241">
      <c r="BD241" s="2">
        <f>BD200+SUM(CB201:CB241)</f>
        <v>1</v>
      </c>
      <c r="CB241" s="2">
        <f>IF(考勤工资!$Y$245=$E$3,1,0)</f>
        <v>0</v>
      </c>
    </row>
    <row r="242">
      <c r="BD242" s="2">
        <f>BD200+SUM(CB201:CB242)</f>
        <v>1</v>
      </c>
      <c r="CB242" s="2">
        <f>IF(考勤工资!$Y$246=$E$3,1,0)</f>
        <v>0</v>
      </c>
    </row>
    <row r="243">
      <c r="BD243" s="2">
        <f>BD200+SUM(CB201:CB243)</f>
        <v>1</v>
      </c>
      <c r="CB243" s="2">
        <f>IF(考勤工资!$Y$247=$E$3,1,0)</f>
        <v>0</v>
      </c>
    </row>
    <row r="244">
      <c r="BD244" s="2">
        <f>BD200+SUM(CB201:CB244)</f>
        <v>1</v>
      </c>
      <c r="CB244" s="2">
        <f>IF(考勤工资!$Y$248=$E$3,1,0)</f>
        <v>0</v>
      </c>
    </row>
    <row r="245">
      <c r="BD245" s="2">
        <f>BD200+SUM(CB201:CB245)</f>
        <v>1</v>
      </c>
      <c r="CB245" s="2">
        <f>IF(考勤工资!$Y$249=$E$3,1,0)</f>
        <v>0</v>
      </c>
    </row>
    <row r="246">
      <c r="BD246" s="2">
        <f>BD200+SUM(CB201:CB246)</f>
        <v>1</v>
      </c>
      <c r="CB246" s="2">
        <f>IF(考勤工资!$Y$250=$E$3,1,0)</f>
        <v>0</v>
      </c>
    </row>
    <row r="247">
      <c r="BD247" s="2">
        <f>BD200+SUM(CB201:CB247)</f>
        <v>1</v>
      </c>
      <c r="CB247" s="2">
        <f>IF(考勤工资!$Y$251=$E$3,1,0)</f>
        <v>0</v>
      </c>
    </row>
    <row r="248">
      <c r="BD248" s="2">
        <f>BD200+SUM(CB201:CB248)</f>
        <v>1</v>
      </c>
      <c r="CB248" s="2">
        <f>IF(考勤工资!$Y$252=$E$3,1,0)</f>
        <v>0</v>
      </c>
    </row>
    <row r="249">
      <c r="BD249" s="2">
        <f>BD200+SUM(CB201:CB249)</f>
        <v>1</v>
      </c>
      <c r="CB249" s="2">
        <f>IF(考勤工资!$Y$253=$E$3,1,0)</f>
        <v>0</v>
      </c>
    </row>
    <row r="250">
      <c r="BD250" s="2">
        <f>BD200+SUM(CB201:CB250)</f>
        <v>1</v>
      </c>
      <c r="CB250" s="2">
        <f>IF(考勤工资!$Y$254=$E$3,1,0)</f>
        <v>0</v>
      </c>
    </row>
    <row r="251">
      <c r="BD251" s="2">
        <f>BD250+SUM(CB251:CB251)</f>
        <v>1</v>
      </c>
      <c r="CB251" s="2">
        <f>IF(考勤工资!$Y$255=$E$3,1,0)</f>
        <v>0</v>
      </c>
    </row>
    <row r="252">
      <c r="BD252" s="2">
        <f>BD250+SUM(CB251:CB252)</f>
        <v>1</v>
      </c>
      <c r="CB252" s="2">
        <f>IF(考勤工资!$Y$256=$E$3,1,0)</f>
        <v>0</v>
      </c>
    </row>
    <row r="253">
      <c r="BD253" s="2">
        <f>BD250+SUM(CB251:CB253)</f>
        <v>1</v>
      </c>
      <c r="CB253" s="2">
        <f>IF(考勤工资!$Y$257=$E$3,1,0)</f>
        <v>0</v>
      </c>
    </row>
    <row r="254">
      <c r="BD254" s="2">
        <f>BD250+SUM(CB251:CB254)</f>
        <v>1</v>
      </c>
      <c r="CB254" s="2">
        <f>IF(考勤工资!$Y$258=$E$3,1,0)</f>
        <v>0</v>
      </c>
    </row>
    <row r="255">
      <c r="BD255" s="2">
        <f>BD250+SUM(CB251:CB255)</f>
        <v>1</v>
      </c>
      <c r="CB255" s="2">
        <f>IF(考勤工资!$Y$259=$E$3,1,0)</f>
        <v>0</v>
      </c>
    </row>
    <row r="256">
      <c r="BD256" s="2">
        <f>BD250+SUM(CB251:CB256)</f>
        <v>1</v>
      </c>
      <c r="CB256" s="2">
        <f>IF(考勤工资!$Y$260=$E$3,1,0)</f>
        <v>0</v>
      </c>
    </row>
    <row r="257">
      <c r="BD257" s="2">
        <f>BD250+SUM(CB251:CB257)</f>
        <v>1</v>
      </c>
      <c r="CB257" s="2">
        <f>IF(考勤工资!$Y$261=$E$3,1,0)</f>
        <v>0</v>
      </c>
    </row>
    <row r="258">
      <c r="BD258" s="2">
        <f>BD250+SUM(CB251:CB258)</f>
        <v>1</v>
      </c>
      <c r="CB258" s="2">
        <f>IF(考勤工资!$Y$262=$E$3,1,0)</f>
        <v>0</v>
      </c>
    </row>
    <row r="259">
      <c r="BD259" s="2">
        <f>BD250+SUM(CB251:CB259)</f>
        <v>1</v>
      </c>
      <c r="CB259" s="2">
        <f>IF(考勤工资!$Y$263=$E$3,1,0)</f>
        <v>0</v>
      </c>
    </row>
    <row r="260">
      <c r="BD260" s="2">
        <f>BD250+SUM(CB251:CB260)</f>
        <v>1</v>
      </c>
      <c r="CB260" s="2">
        <f>IF(考勤工资!$Y$264=$E$3,1,0)</f>
        <v>0</v>
      </c>
    </row>
    <row r="261">
      <c r="BD261" s="2">
        <f>BD250+SUM(CB251:CB261)</f>
        <v>1</v>
      </c>
      <c r="CB261" s="2">
        <f>IF(考勤工资!$Y$265=$E$3,1,0)</f>
        <v>0</v>
      </c>
    </row>
    <row r="262">
      <c r="BD262" s="2">
        <f>BD250+SUM(CB251:CB262)</f>
        <v>1</v>
      </c>
      <c r="CB262" s="2">
        <f>IF(考勤工资!$Y$266=$E$3,1,0)</f>
        <v>0</v>
      </c>
    </row>
    <row r="263">
      <c r="BD263" s="2">
        <f>BD250+SUM(CB251:CB263)</f>
        <v>1</v>
      </c>
      <c r="CB263" s="2">
        <f>IF(考勤工资!$Y$267=$E$3,1,0)</f>
        <v>0</v>
      </c>
    </row>
    <row r="264">
      <c r="BD264" s="2">
        <f>BD250+SUM(CB251:CB264)</f>
        <v>1</v>
      </c>
      <c r="CB264" s="2">
        <f>IF(考勤工资!$Y$268=$E$3,1,0)</f>
        <v>0</v>
      </c>
    </row>
    <row r="265">
      <c r="BD265" s="2">
        <f>BD250+SUM(CB251:CB265)</f>
        <v>1</v>
      </c>
      <c r="CB265" s="2">
        <f>IF(考勤工资!$Y$269=$E$3,1,0)</f>
        <v>0</v>
      </c>
    </row>
    <row r="266">
      <c r="BD266" s="2">
        <f>BD250+SUM(CB251:CB266)</f>
        <v>1</v>
      </c>
      <c r="CB266" s="2">
        <f>IF(考勤工资!$Y$270=$E$3,1,0)</f>
        <v>0</v>
      </c>
    </row>
    <row r="267">
      <c r="BD267" s="2">
        <f>BD250+SUM(CB251:CB267)</f>
        <v>1</v>
      </c>
      <c r="CB267" s="2">
        <f>IF(考勤工资!$Y$271=$E$3,1,0)</f>
        <v>0</v>
      </c>
    </row>
    <row r="268">
      <c r="BD268" s="2">
        <f>BD250+SUM(CB251:CB268)</f>
        <v>1</v>
      </c>
      <c r="CB268" s="2">
        <f>IF(考勤工资!$Y$272=$E$3,1,0)</f>
        <v>0</v>
      </c>
    </row>
    <row r="269">
      <c r="BD269" s="2">
        <f>BD250+SUM(CB251:CB269)</f>
        <v>1</v>
      </c>
      <c r="CB269" s="2">
        <f>IF(考勤工资!$Y$273=$E$3,1,0)</f>
        <v>0</v>
      </c>
    </row>
    <row r="270">
      <c r="BD270" s="2">
        <f>BD250+SUM(CB251:CB270)</f>
        <v>1</v>
      </c>
      <c r="CB270" s="2">
        <f>IF(考勤工资!$Y$274=$E$3,1,0)</f>
        <v>0</v>
      </c>
    </row>
    <row r="271">
      <c r="BD271" s="2">
        <f>BD250+SUM(CB251:CB271)</f>
        <v>1</v>
      </c>
      <c r="CB271" s="2">
        <f>IF(考勤工资!$Y$275=$E$3,1,0)</f>
        <v>0</v>
      </c>
    </row>
    <row r="272">
      <c r="BD272" s="2">
        <f>BD250+SUM(CB251:CB272)</f>
        <v>1</v>
      </c>
      <c r="CB272" s="2">
        <f>IF(考勤工资!$Y$276=$E$3,1,0)</f>
        <v>0</v>
      </c>
    </row>
    <row r="273">
      <c r="BD273" s="2">
        <f>BD250+SUM(CB251:CB273)</f>
        <v>1</v>
      </c>
      <c r="CB273" s="2">
        <f>IF(考勤工资!$Y$277=$E$3,1,0)</f>
        <v>0</v>
      </c>
    </row>
    <row r="274">
      <c r="BD274" s="2">
        <f>BD250+SUM(CB251:CB274)</f>
        <v>1</v>
      </c>
      <c r="CB274" s="2">
        <f>IF(考勤工资!$Y$278=$E$3,1,0)</f>
        <v>0</v>
      </c>
    </row>
    <row r="275">
      <c r="BD275" s="2">
        <f>BD250+SUM(CB251:CB275)</f>
        <v>1</v>
      </c>
      <c r="CB275" s="2">
        <f>IF(考勤工资!$Y$279=$E$3,1,0)</f>
        <v>0</v>
      </c>
    </row>
    <row r="276">
      <c r="BD276" s="2">
        <f>BD250+SUM(CB251:CB276)</f>
        <v>1</v>
      </c>
      <c r="CB276" s="2">
        <f>IF(考勤工资!$Y$280=$E$3,1,0)</f>
        <v>0</v>
      </c>
    </row>
    <row r="277">
      <c r="BD277" s="2">
        <f>BD250+SUM(CB251:CB277)</f>
        <v>1</v>
      </c>
      <c r="CB277" s="2">
        <f>IF(考勤工资!$Y$281=$E$3,1,0)</f>
        <v>0</v>
      </c>
    </row>
    <row r="278">
      <c r="BD278" s="2">
        <f>BD250+SUM(CB251:CB278)</f>
        <v>1</v>
      </c>
      <c r="CB278" s="2">
        <f>IF(考勤工资!$Y$282=$E$3,1,0)</f>
        <v>0</v>
      </c>
    </row>
    <row r="279">
      <c r="BD279" s="2">
        <f>BD250+SUM(CB251:CB279)</f>
        <v>1</v>
      </c>
      <c r="CB279" s="2">
        <f>IF(考勤工资!$Y$283=$E$3,1,0)</f>
        <v>0</v>
      </c>
    </row>
    <row r="280">
      <c r="BD280" s="2">
        <f>BD250+SUM(CB251:CB280)</f>
        <v>1</v>
      </c>
      <c r="CB280" s="2">
        <f>IF(考勤工资!$Y$284=$E$3,1,0)</f>
        <v>0</v>
      </c>
    </row>
    <row r="281">
      <c r="BD281" s="2">
        <f>BD250+SUM(CB251:CB281)</f>
        <v>1</v>
      </c>
      <c r="CB281" s="2">
        <f>IF(考勤工资!$Y$285=$E$3,1,0)</f>
        <v>0</v>
      </c>
    </row>
    <row r="282">
      <c r="BD282" s="2">
        <f>BD250+SUM(CB251:CB282)</f>
        <v>1</v>
      </c>
      <c r="CB282" s="2">
        <f>IF(考勤工资!$Y$286=$E$3,1,0)</f>
        <v>0</v>
      </c>
    </row>
    <row r="283">
      <c r="BD283" s="2">
        <f>BD250+SUM(CB251:CB283)</f>
        <v>1</v>
      </c>
      <c r="CB283" s="2">
        <f>IF(考勤工资!$Y$287=$E$3,1,0)</f>
        <v>0</v>
      </c>
    </row>
    <row r="284">
      <c r="BD284" s="2">
        <f>BD250+SUM(CB251:CB284)</f>
        <v>1</v>
      </c>
      <c r="CB284" s="2">
        <f>IF(考勤工资!$Y$288=$E$3,1,0)</f>
        <v>0</v>
      </c>
    </row>
    <row r="285">
      <c r="BD285" s="2">
        <f>BD250+SUM(CB251:CB285)</f>
        <v>1</v>
      </c>
      <c r="CB285" s="2">
        <f>IF(考勤工资!$Y$289=$E$3,1,0)</f>
        <v>0</v>
      </c>
    </row>
    <row r="286">
      <c r="BD286" s="2">
        <f>BD250+SUM(CB251:CB286)</f>
        <v>1</v>
      </c>
      <c r="CB286" s="2">
        <f>IF(考勤工资!$Y$290=$E$3,1,0)</f>
        <v>0</v>
      </c>
    </row>
    <row r="287">
      <c r="BD287" s="2">
        <f>BD250+SUM(CB251:CB287)</f>
        <v>1</v>
      </c>
      <c r="CB287" s="2">
        <f>IF(考勤工资!$Y$291=$E$3,1,0)</f>
        <v>0</v>
      </c>
    </row>
    <row r="288">
      <c r="BD288" s="2">
        <f>BD250+SUM(CB251:CB288)</f>
        <v>1</v>
      </c>
      <c r="CB288" s="2">
        <f>IF(考勤工资!$Y$292=$E$3,1,0)</f>
        <v>0</v>
      </c>
    </row>
    <row r="289">
      <c r="BD289" s="2">
        <f>BD250+SUM(CB251:CB289)</f>
        <v>1</v>
      </c>
      <c r="CB289" s="2">
        <f>IF(考勤工资!$Y$293=$E$3,1,0)</f>
        <v>0</v>
      </c>
    </row>
    <row r="290">
      <c r="BD290" s="2">
        <f>BD250+SUM(CB251:CB290)</f>
        <v>1</v>
      </c>
      <c r="CB290" s="2">
        <f>IF(考勤工资!$Y$294=$E$3,1,0)</f>
        <v>0</v>
      </c>
    </row>
    <row r="291">
      <c r="BD291" s="2">
        <f>BD250+SUM(CB251:CB291)</f>
        <v>1</v>
      </c>
      <c r="CB291" s="2">
        <f>IF(考勤工资!$Y$295=$E$3,1,0)</f>
        <v>0</v>
      </c>
    </row>
    <row r="292">
      <c r="BD292" s="2">
        <f>BD250+SUM(CB251:CB292)</f>
        <v>1</v>
      </c>
      <c r="CB292" s="2">
        <f>IF(考勤工资!$Y$296=$E$3,1,0)</f>
        <v>0</v>
      </c>
    </row>
    <row r="293">
      <c r="BD293" s="2">
        <f>BD250+SUM(CB251:CB293)</f>
        <v>1</v>
      </c>
      <c r="CB293" s="2">
        <f>IF(考勤工资!$Y$297=$E$3,1,0)</f>
        <v>0</v>
      </c>
    </row>
    <row r="294">
      <c r="BD294" s="2">
        <f>BD250+SUM(CB251:CB294)</f>
        <v>1</v>
      </c>
      <c r="CB294" s="2">
        <f>IF(考勤工资!$Y$298=$E$3,1,0)</f>
        <v>0</v>
      </c>
    </row>
    <row r="295">
      <c r="BD295" s="2">
        <f>BD250+SUM(CB251:CB295)</f>
        <v>1</v>
      </c>
      <c r="CB295" s="2">
        <f>IF(考勤工资!$Y$299=$E$3,1,0)</f>
        <v>0</v>
      </c>
    </row>
    <row r="296">
      <c r="BD296" s="2">
        <f>BD250+SUM(CB251:CB296)</f>
        <v>1</v>
      </c>
      <c r="CB296" s="2">
        <f>IF(考勤工资!$Y$300=$E$3,1,0)</f>
        <v>0</v>
      </c>
    </row>
    <row r="297">
      <c r="BD297" s="2">
        <f>BD250+SUM(CB251:CB297)</f>
        <v>1</v>
      </c>
      <c r="CB297" s="2">
        <f>IF(考勤工资!$Y$301=$E$3,1,0)</f>
        <v>0</v>
      </c>
    </row>
    <row r="298">
      <c r="BD298" s="2">
        <f>BD250+SUM(CB251:CB298)</f>
        <v>1</v>
      </c>
      <c r="CB298" s="2">
        <f>IF(考勤工资!$Y$302=$E$3,1,0)</f>
        <v>0</v>
      </c>
    </row>
    <row r="299">
      <c r="BD299" s="2">
        <f>BD250+SUM(CB251:CB299)</f>
        <v>1</v>
      </c>
      <c r="CB299" s="2">
        <f>IF(考勤工资!$Y$303=$E$3,1,0)</f>
        <v>0</v>
      </c>
    </row>
    <row r="300">
      <c r="BD300" s="2">
        <f>BD250+SUM(CB251:CB300)</f>
        <v>1</v>
      </c>
      <c r="CB300" s="2">
        <f>IF(考勤工资!$Y$304=$E$3,1,0)</f>
        <v>0</v>
      </c>
    </row>
    <row r="301">
      <c r="BD301" s="2">
        <f>BD300+SUM(CB301:CB301)</f>
        <v>1</v>
      </c>
      <c r="CB301" s="2">
        <f>IF(考勤工资!$Y$305=$E$3,1,0)</f>
        <v>0</v>
      </c>
    </row>
    <row r="302">
      <c r="BD302" s="2">
        <f>BD300+SUM(CB301:CB302)</f>
        <v>1</v>
      </c>
      <c r="CB302" s="2">
        <f>IF(考勤工资!$Y$306=$E$3,1,0)</f>
        <v>0</v>
      </c>
    </row>
    <row r="303">
      <c r="BD303" s="2">
        <f>BD300+SUM(CB301:CB303)</f>
        <v>1</v>
      </c>
      <c r="CB303" s="2">
        <f>IF(考勤工资!$Y$307=$E$3,1,0)</f>
        <v>0</v>
      </c>
    </row>
    <row r="304">
      <c r="BD304" s="2">
        <f>BD300+SUM(CB301:CB304)</f>
        <v>1</v>
      </c>
      <c r="CB304" s="2">
        <f>IF(考勤工资!$Y$308=$E$3,1,0)</f>
        <v>0</v>
      </c>
    </row>
    <row r="305">
      <c r="BD305" s="2">
        <f>BD300+SUM(CB301:CB305)</f>
        <v>1</v>
      </c>
      <c r="CB305" s="2">
        <f>IF(考勤工资!$Y$309=$E$3,1,0)</f>
        <v>0</v>
      </c>
    </row>
    <row r="306">
      <c r="BD306" s="2">
        <f>BD300+SUM(CB301:CB306)</f>
        <v>1</v>
      </c>
      <c r="CB306" s="2">
        <f>IF(考勤工资!$Y$310=$E$3,1,0)</f>
        <v>0</v>
      </c>
    </row>
    <row r="307">
      <c r="BD307" s="2">
        <f>BD300+SUM(CB301:CB307)</f>
        <v>1</v>
      </c>
      <c r="CB307" s="2">
        <f>IF(考勤工资!$Y$311=$E$3,1,0)</f>
        <v>0</v>
      </c>
    </row>
    <row r="308">
      <c r="BD308" s="2">
        <f>BD300+SUM(CB301:CB308)</f>
        <v>1</v>
      </c>
      <c r="CB308" s="2">
        <f>IF(考勤工资!$Y$312=$E$3,1,0)</f>
        <v>0</v>
      </c>
    </row>
    <row r="309">
      <c r="BD309" s="2">
        <f>BD300+SUM(CB301:CB309)</f>
        <v>1</v>
      </c>
      <c r="CB309" s="2">
        <f>IF(考勤工资!$Y$313=$E$3,1,0)</f>
        <v>0</v>
      </c>
    </row>
    <row r="310">
      <c r="BD310" s="2">
        <f>BD300+SUM(CB301:CB310)</f>
        <v>1</v>
      </c>
      <c r="CB310" s="2">
        <f>IF(考勤工资!$Y$314=$E$3,1,0)</f>
        <v>0</v>
      </c>
    </row>
    <row r="311">
      <c r="BD311" s="2">
        <f>BD300+SUM(CB301:CB311)</f>
        <v>1</v>
      </c>
      <c r="CB311" s="2">
        <f>IF(考勤工资!$Y$315=$E$3,1,0)</f>
        <v>0</v>
      </c>
    </row>
    <row r="312">
      <c r="BD312" s="2">
        <f>BD300+SUM(CB301:CB312)</f>
        <v>1</v>
      </c>
      <c r="CB312" s="2">
        <f>IF(考勤工资!$Y$316=$E$3,1,0)</f>
        <v>0</v>
      </c>
    </row>
    <row r="313">
      <c r="BD313" s="2">
        <f>BD300+SUM(CB301:CB313)</f>
        <v>1</v>
      </c>
      <c r="CB313" s="2">
        <f>IF(考勤工资!$Y$317=$E$3,1,0)</f>
        <v>0</v>
      </c>
    </row>
    <row r="314">
      <c r="BD314" s="2">
        <f>BD300+SUM(CB301:CB314)</f>
        <v>1</v>
      </c>
      <c r="CB314" s="2">
        <f>IF(考勤工资!$Y$318=$E$3,1,0)</f>
        <v>0</v>
      </c>
    </row>
    <row r="315">
      <c r="BD315" s="2">
        <f>BD300+SUM(CB301:CB315)</f>
        <v>1</v>
      </c>
      <c r="CB315" s="2">
        <f>IF(考勤工资!$Y$319=$E$3,1,0)</f>
        <v>0</v>
      </c>
    </row>
    <row r="316">
      <c r="BD316" s="2">
        <f>BD300+SUM(CB301:CB316)</f>
        <v>1</v>
      </c>
      <c r="CB316" s="2">
        <f>IF(考勤工资!$Y$320=$E$3,1,0)</f>
        <v>0</v>
      </c>
    </row>
    <row r="317">
      <c r="BD317" s="2">
        <f>BD300+SUM(CB301:CB317)</f>
        <v>1</v>
      </c>
      <c r="CB317" s="2">
        <f>IF(考勤工资!$Y$321=$E$3,1,0)</f>
        <v>0</v>
      </c>
    </row>
    <row r="318">
      <c r="BD318" s="2">
        <f>BD300+SUM(CB301:CB318)</f>
        <v>1</v>
      </c>
      <c r="CB318" s="2">
        <f>IF(考勤工资!$Y$322=$E$3,1,0)</f>
        <v>0</v>
      </c>
    </row>
    <row r="319">
      <c r="BD319" s="2">
        <f>BD300+SUM(CB301:CB319)</f>
        <v>1</v>
      </c>
      <c r="CB319" s="2">
        <f>IF(考勤工资!$Y$323=$E$3,1,0)</f>
        <v>0</v>
      </c>
    </row>
    <row r="320">
      <c r="BD320" s="2">
        <f>BD300+SUM(CB301:CB320)</f>
        <v>1</v>
      </c>
      <c r="CB320" s="2">
        <f>IF(考勤工资!$Y$324=$E$3,1,0)</f>
        <v>0</v>
      </c>
    </row>
    <row r="321">
      <c r="BD321" s="2">
        <f>BD300+SUM(CB301:CB321)</f>
        <v>1</v>
      </c>
      <c r="CB321" s="2">
        <f>IF(考勤工资!$Y$325=$E$3,1,0)</f>
        <v>0</v>
      </c>
    </row>
    <row r="322">
      <c r="BD322" s="2">
        <f>BD300+SUM(CB301:CB322)</f>
        <v>1</v>
      </c>
      <c r="CB322" s="2">
        <f>IF(考勤工资!$Y$326=$E$3,1,0)</f>
        <v>0</v>
      </c>
    </row>
    <row r="323">
      <c r="BD323" s="2">
        <f>BD300+SUM(CB301:CB323)</f>
        <v>1</v>
      </c>
      <c r="CB323" s="2">
        <f>IF(考勤工资!$Y$327=$E$3,1,0)</f>
        <v>0</v>
      </c>
    </row>
    <row r="324">
      <c r="BD324" s="2">
        <f>BD300+SUM(CB301:CB324)</f>
        <v>1</v>
      </c>
      <c r="CB324" s="2">
        <f>IF(考勤工资!$Y$328=$E$3,1,0)</f>
        <v>0</v>
      </c>
    </row>
    <row r="325">
      <c r="BD325" s="2">
        <f>BD300+SUM(CB301:CB325)</f>
        <v>1</v>
      </c>
      <c r="CB325" s="2">
        <f>IF(考勤工资!$Y$329=$E$3,1,0)</f>
        <v>0</v>
      </c>
    </row>
    <row r="326">
      <c r="BD326" s="2">
        <f>BD300+SUM(CB301:CB326)</f>
        <v>1</v>
      </c>
      <c r="CB326" s="2">
        <f>IF(考勤工资!$Y$330=$E$3,1,0)</f>
        <v>0</v>
      </c>
    </row>
    <row r="327">
      <c r="BD327" s="2">
        <f>BD300+SUM(CB301:CB327)</f>
        <v>1</v>
      </c>
      <c r="CB327" s="2">
        <f>IF(考勤工资!$Y$331=$E$3,1,0)</f>
        <v>0</v>
      </c>
    </row>
    <row r="328">
      <c r="BD328" s="2">
        <f>BD300+SUM(CB301:CB328)</f>
        <v>1</v>
      </c>
      <c r="CB328" s="2">
        <f>IF(考勤工资!$Y$332=$E$3,1,0)</f>
        <v>0</v>
      </c>
    </row>
    <row r="329">
      <c r="BD329" s="2">
        <f>BD300+SUM(CB301:CB329)</f>
        <v>1</v>
      </c>
      <c r="CB329" s="2">
        <f>IF(考勤工资!$Y$333=$E$3,1,0)</f>
        <v>0</v>
      </c>
    </row>
    <row r="330">
      <c r="BD330" s="2">
        <f>BD300+SUM(CB301:CB330)</f>
        <v>1</v>
      </c>
      <c r="CB330" s="2">
        <f>IF(考勤工资!$Y$334=$E$3,1,0)</f>
        <v>0</v>
      </c>
    </row>
    <row r="331">
      <c r="BD331" s="2">
        <f>BD300+SUM(CB301:CB331)</f>
        <v>1</v>
      </c>
      <c r="CB331" s="2">
        <f>IF(考勤工资!$Y$335=$E$3,1,0)</f>
        <v>0</v>
      </c>
    </row>
    <row r="332">
      <c r="BD332" s="2">
        <f>BD300+SUM(CB301:CB332)</f>
        <v>1</v>
      </c>
      <c r="CB332" s="2">
        <f>IF(考勤工资!$Y$336=$E$3,1,0)</f>
        <v>0</v>
      </c>
    </row>
    <row r="333">
      <c r="BD333" s="2">
        <f>BD300+SUM(CB301:CB333)</f>
        <v>1</v>
      </c>
      <c r="CB333" s="2">
        <f>IF(考勤工资!$Y$337=$E$3,1,0)</f>
        <v>0</v>
      </c>
    </row>
    <row r="334">
      <c r="BD334" s="2">
        <f>BD300+SUM(CB301:CB334)</f>
        <v>1</v>
      </c>
      <c r="CB334" s="2">
        <f>IF(考勤工资!$Y$338=$E$3,1,0)</f>
        <v>0</v>
      </c>
    </row>
    <row r="335">
      <c r="BD335" s="2">
        <f>BD300+SUM(CB301:CB335)</f>
        <v>1</v>
      </c>
      <c r="CB335" s="2">
        <f>IF(考勤工资!$Y$339=$E$3,1,0)</f>
        <v>0</v>
      </c>
    </row>
    <row r="336">
      <c r="BD336" s="2">
        <f>BD300+SUM(CB301:CB336)</f>
        <v>1</v>
      </c>
      <c r="CB336" s="2">
        <f>IF(考勤工资!$Y$340=$E$3,1,0)</f>
        <v>0</v>
      </c>
    </row>
    <row r="337">
      <c r="BD337" s="2">
        <f>BD300+SUM(CB301:CB337)</f>
        <v>1</v>
      </c>
      <c r="CB337" s="2">
        <f>IF(考勤工资!$Y$341=$E$3,1,0)</f>
        <v>0</v>
      </c>
    </row>
    <row r="338">
      <c r="BD338" s="2">
        <f>BD300+SUM(CB301:CB338)</f>
        <v>1</v>
      </c>
      <c r="CB338" s="2">
        <f>IF(考勤工资!$Y$342=$E$3,1,0)</f>
        <v>0</v>
      </c>
    </row>
    <row r="339">
      <c r="BD339" s="2">
        <f>BD300+SUM(CB301:CB339)</f>
        <v>1</v>
      </c>
      <c r="CB339" s="2">
        <f>IF(考勤工资!$Y$343=$E$3,1,0)</f>
        <v>0</v>
      </c>
    </row>
    <row r="340">
      <c r="BD340" s="2">
        <f>BD300+SUM(CB301:CB340)</f>
        <v>1</v>
      </c>
      <c r="CB340" s="2">
        <f>IF(考勤工资!$Y$344=$E$3,1,0)</f>
        <v>0</v>
      </c>
    </row>
    <row r="341">
      <c r="BD341" s="2">
        <f>BD300+SUM(CB301:CB341)</f>
        <v>1</v>
      </c>
      <c r="CB341" s="2">
        <f>IF(考勤工资!$Y$345=$E$3,1,0)</f>
        <v>0</v>
      </c>
    </row>
    <row r="342">
      <c r="BD342" s="2">
        <f>BD300+SUM(CB301:CB342)</f>
        <v>1</v>
      </c>
      <c r="CB342" s="2">
        <f>IF(考勤工资!$Y$346=$E$3,1,0)</f>
        <v>0</v>
      </c>
    </row>
    <row r="343">
      <c r="BD343" s="2">
        <f>BD300+SUM(CB301:CB343)</f>
        <v>1</v>
      </c>
      <c r="CB343" s="2">
        <f>IF(考勤工资!$Y$347=$E$3,1,0)</f>
        <v>0</v>
      </c>
    </row>
    <row r="344">
      <c r="BD344" s="2">
        <f>BD300+SUM(CB301:CB344)</f>
        <v>1</v>
      </c>
      <c r="CB344" s="2">
        <f>IF(考勤工资!$Y$348=$E$3,1,0)</f>
        <v>0</v>
      </c>
    </row>
    <row r="345">
      <c r="BD345" s="2">
        <f>BD300+SUM(CB301:CB345)</f>
        <v>1</v>
      </c>
      <c r="CB345" s="2">
        <f>IF(考勤工资!$Y$349=$E$3,1,0)</f>
        <v>0</v>
      </c>
    </row>
    <row r="346">
      <c r="BD346" s="2">
        <f>BD300+SUM(CB301:CB346)</f>
        <v>1</v>
      </c>
      <c r="CB346" s="2">
        <f>IF(考勤工资!$Y$350=$E$3,1,0)</f>
        <v>0</v>
      </c>
    </row>
    <row r="347">
      <c r="BD347" s="2">
        <f>BD300+SUM(CB301:CB347)</f>
        <v>1</v>
      </c>
      <c r="CB347" s="2">
        <f>IF(考勤工资!$Y$351=$E$3,1,0)</f>
        <v>0</v>
      </c>
    </row>
    <row r="348">
      <c r="BD348" s="2">
        <f>BD300+SUM(CB301:CB348)</f>
        <v>1</v>
      </c>
      <c r="CB348" s="2">
        <f>IF(考勤工资!$Y$352=$E$3,1,0)</f>
        <v>0</v>
      </c>
    </row>
    <row r="349">
      <c r="BD349" s="2">
        <f>BD300+SUM(CB301:CB349)</f>
        <v>1</v>
      </c>
      <c r="CB349" s="2">
        <f>IF(考勤工资!$Y$353=$E$3,1,0)</f>
        <v>0</v>
      </c>
    </row>
    <row r="350">
      <c r="BD350" s="2">
        <f>BD300+SUM(CB301:CB350)</f>
        <v>1</v>
      </c>
      <c r="CB350" s="2">
        <f>IF(考勤工资!$Y$354=$E$3,1,0)</f>
        <v>0</v>
      </c>
    </row>
    <row r="351">
      <c r="BD351" s="2">
        <f>BD350+SUM(CB351:CB351)</f>
        <v>1</v>
      </c>
      <c r="CB351" s="2">
        <f>IF(考勤工资!$Y$355=$E$3,1,0)</f>
        <v>0</v>
      </c>
    </row>
    <row r="352">
      <c r="BD352" s="2">
        <f>BD350+SUM(CB351:CB352)</f>
        <v>1</v>
      </c>
      <c r="CB352" s="2">
        <f>IF(考勤工资!$Y$356=$E$3,1,0)</f>
        <v>0</v>
      </c>
    </row>
    <row r="353">
      <c r="BD353" s="2">
        <f>BD350+SUM(CB351:CB353)</f>
        <v>1</v>
      </c>
      <c r="CB353" s="2">
        <f>IF(考勤工资!$Y$357=$E$3,1,0)</f>
        <v>0</v>
      </c>
    </row>
    <row r="354">
      <c r="BD354" s="2">
        <f>BD350+SUM(CB351:CB354)</f>
        <v>1</v>
      </c>
      <c r="CB354" s="2">
        <f>IF(考勤工资!$Y$358=$E$3,1,0)</f>
        <v>0</v>
      </c>
    </row>
    <row r="355">
      <c r="BD355" s="2">
        <f>BD350+SUM(CB351:CB355)</f>
        <v>1</v>
      </c>
      <c r="CB355" s="2">
        <f>IF(考勤工资!$Y$359=$E$3,1,0)</f>
        <v>0</v>
      </c>
    </row>
    <row r="356">
      <c r="BD356" s="2">
        <f>BD350+SUM(CB351:CB356)</f>
        <v>1</v>
      </c>
      <c r="CB356" s="2">
        <f>IF(考勤工资!$Y$360=$E$3,1,0)</f>
        <v>0</v>
      </c>
    </row>
    <row r="357">
      <c r="BD357" s="2">
        <f>BD350+SUM(CB351:CB357)</f>
        <v>1</v>
      </c>
      <c r="CB357" s="2">
        <f>IF(考勤工资!$Y$361=$E$3,1,0)</f>
        <v>0</v>
      </c>
    </row>
    <row r="358">
      <c r="BD358" s="2">
        <f>BD350+SUM(CB351:CB358)</f>
        <v>1</v>
      </c>
      <c r="CB358" s="2">
        <f>IF(考勤工资!$Y$362=$E$3,1,0)</f>
        <v>0</v>
      </c>
    </row>
    <row r="359">
      <c r="BD359" s="2">
        <f>BD350+SUM(CB351:CB359)</f>
        <v>1</v>
      </c>
      <c r="CB359" s="2">
        <f>IF(考勤工资!$Y$363=$E$3,1,0)</f>
        <v>0</v>
      </c>
    </row>
    <row r="360">
      <c r="BD360" s="2">
        <f>BD350+SUM(CB351:CB360)</f>
        <v>1</v>
      </c>
      <c r="CB360" s="2">
        <f>IF(考勤工资!$Y$364=$E$3,1,0)</f>
        <v>0</v>
      </c>
    </row>
    <row r="361">
      <c r="BD361" s="2">
        <f>BD350+SUM(CB351:CB361)</f>
        <v>1</v>
      </c>
      <c r="CB361" s="2">
        <f>IF(考勤工资!$Y$365=$E$3,1,0)</f>
        <v>0</v>
      </c>
    </row>
    <row r="362">
      <c r="BD362" s="2">
        <f>BD350+SUM(CB351:CB362)</f>
        <v>1</v>
      </c>
      <c r="CB362" s="2">
        <f>IF(考勤工资!$Y$366=$E$3,1,0)</f>
        <v>0</v>
      </c>
    </row>
    <row r="363">
      <c r="BD363" s="2">
        <f>BD350+SUM(CB351:CB363)</f>
        <v>1</v>
      </c>
      <c r="CB363" s="2">
        <f>IF(考勤工资!$Y$367=$E$3,1,0)</f>
        <v>0</v>
      </c>
    </row>
    <row r="364">
      <c r="BD364" s="2">
        <f>BD350+SUM(CB351:CB364)</f>
        <v>1</v>
      </c>
      <c r="CB364" s="2">
        <f>IF(考勤工资!$Y$368=$E$3,1,0)</f>
        <v>0</v>
      </c>
    </row>
    <row r="365">
      <c r="BD365" s="2">
        <f>BD350+SUM(CB351:CB365)</f>
        <v>1</v>
      </c>
      <c r="CB365" s="2">
        <f>IF(考勤工资!$Y$369=$E$3,1,0)</f>
        <v>0</v>
      </c>
    </row>
    <row r="366">
      <c r="BD366" s="2">
        <f>BD350+SUM(CB351:CB366)</f>
        <v>1</v>
      </c>
      <c r="CB366" s="2">
        <f>IF(考勤工资!$Y$370=$E$3,1,0)</f>
        <v>0</v>
      </c>
    </row>
    <row r="367">
      <c r="BD367" s="2">
        <f>BD350+SUM(CB351:CB367)</f>
        <v>1</v>
      </c>
      <c r="CB367" s="2">
        <f>IF(考勤工资!$Y$371=$E$3,1,0)</f>
        <v>0</v>
      </c>
    </row>
    <row r="368">
      <c r="BD368" s="2">
        <f>BD350+SUM(CB351:CB368)</f>
        <v>1</v>
      </c>
      <c r="CB368" s="2">
        <f>IF(考勤工资!$Y$372=$E$3,1,0)</f>
        <v>0</v>
      </c>
    </row>
    <row r="369">
      <c r="BD369" s="2">
        <f>BD350+SUM(CB351:CB369)</f>
        <v>1</v>
      </c>
      <c r="CB369" s="2">
        <f>IF(考勤工资!$Y$373=$E$3,1,0)</f>
        <v>0</v>
      </c>
    </row>
    <row r="370">
      <c r="BD370" s="2">
        <f>BD350+SUM(CB351:CB370)</f>
        <v>1</v>
      </c>
      <c r="CB370" s="2">
        <f>IF(考勤工资!$Y$374=$E$3,1,0)</f>
        <v>0</v>
      </c>
    </row>
    <row r="371">
      <c r="BD371" s="2">
        <f>BD350+SUM(CB351:CB371)</f>
        <v>1</v>
      </c>
      <c r="CB371" s="2">
        <f>IF(考勤工资!$Y$375=$E$3,1,0)</f>
        <v>0</v>
      </c>
    </row>
    <row r="372">
      <c r="BD372" s="2">
        <f>BD350+SUM(CB351:CB372)</f>
        <v>1</v>
      </c>
      <c r="CB372" s="2">
        <f>IF(考勤工资!$Y$376=$E$3,1,0)</f>
        <v>0</v>
      </c>
    </row>
    <row r="373">
      <c r="BD373" s="2">
        <f>BD350+SUM(CB351:CB373)</f>
        <v>1</v>
      </c>
      <c r="CB373" s="2">
        <f>IF(考勤工资!$Y$377=$E$3,1,0)</f>
        <v>0</v>
      </c>
    </row>
    <row r="374">
      <c r="BD374" s="2">
        <f>BD350+SUM(CB351:CB374)</f>
        <v>1</v>
      </c>
      <c r="CB374" s="2">
        <f>IF(考勤工资!$Y$378=$E$3,1,0)</f>
        <v>0</v>
      </c>
    </row>
    <row r="375">
      <c r="BD375" s="2">
        <f>BD350+SUM(CB351:CB375)</f>
        <v>1</v>
      </c>
      <c r="CB375" s="2">
        <f>IF(考勤工资!$Y$379=$E$3,1,0)</f>
        <v>0</v>
      </c>
    </row>
    <row r="376">
      <c r="BD376" s="2">
        <f>BD350+SUM(CB351:CB376)</f>
        <v>1</v>
      </c>
      <c r="CB376" s="2">
        <f>IF(考勤工资!$Y$380=$E$3,1,0)</f>
        <v>0</v>
      </c>
    </row>
    <row r="377">
      <c r="BD377" s="2">
        <f>BD350+SUM(CB351:CB377)</f>
        <v>1</v>
      </c>
      <c r="CB377" s="2">
        <f>IF(考勤工资!$Y$381=$E$3,1,0)</f>
        <v>0</v>
      </c>
    </row>
    <row r="378">
      <c r="BD378" s="2">
        <f>BD350+SUM(CB351:CB378)</f>
        <v>1</v>
      </c>
      <c r="CB378" s="2">
        <f>IF(考勤工资!$Y$382=$E$3,1,0)</f>
        <v>0</v>
      </c>
    </row>
    <row r="379">
      <c r="BD379" s="2">
        <f>BD350+SUM(CB351:CB379)</f>
        <v>1</v>
      </c>
      <c r="CB379" s="2">
        <f>IF(考勤工资!$Y$383=$E$3,1,0)</f>
        <v>0</v>
      </c>
    </row>
    <row r="380">
      <c r="BD380" s="2">
        <f>BD350+SUM(CB351:CB380)</f>
        <v>1</v>
      </c>
      <c r="CB380" s="2">
        <f>IF(考勤工资!$Y$384=$E$3,1,0)</f>
        <v>0</v>
      </c>
    </row>
    <row r="381">
      <c r="BD381" s="2">
        <f>BD350+SUM(CB351:CB381)</f>
        <v>1</v>
      </c>
      <c r="CB381" s="2">
        <f>IF(考勤工资!$Y$385=$E$3,1,0)</f>
        <v>0</v>
      </c>
    </row>
    <row r="382">
      <c r="BD382" s="2">
        <f>BD350+SUM(CB351:CB382)</f>
        <v>1</v>
      </c>
      <c r="CB382" s="2">
        <f>IF(考勤工资!$Y$386=$E$3,1,0)</f>
        <v>0</v>
      </c>
    </row>
    <row r="383">
      <c r="BD383" s="2">
        <f>BD350+SUM(CB351:CB383)</f>
        <v>1</v>
      </c>
      <c r="CB383" s="2">
        <f>IF(考勤工资!$Y$387=$E$3,1,0)</f>
        <v>0</v>
      </c>
    </row>
    <row r="384">
      <c r="BD384" s="2">
        <f>BD350+SUM(CB351:CB384)</f>
        <v>1</v>
      </c>
      <c r="CB384" s="2">
        <f>IF(考勤工资!$Y$388=$E$3,1,0)</f>
        <v>0</v>
      </c>
    </row>
    <row r="385">
      <c r="BD385" s="2">
        <f>BD350+SUM(CB351:CB385)</f>
        <v>1</v>
      </c>
      <c r="CB385" s="2">
        <f>IF(考勤工资!$Y$389=$E$3,1,0)</f>
        <v>0</v>
      </c>
    </row>
    <row r="386">
      <c r="BD386" s="2">
        <f>BD350+SUM(CB351:CB386)</f>
        <v>1</v>
      </c>
      <c r="CB386" s="2">
        <f>IF(考勤工资!$Y$390=$E$3,1,0)</f>
        <v>0</v>
      </c>
    </row>
    <row r="387">
      <c r="BD387" s="2">
        <f>BD350+SUM(CB351:CB387)</f>
        <v>1</v>
      </c>
      <c r="CB387" s="2">
        <f>IF(考勤工资!$Y$391=$E$3,1,0)</f>
        <v>0</v>
      </c>
    </row>
    <row r="388">
      <c r="BD388" s="2">
        <f>BD350+SUM(CB351:CB388)</f>
        <v>1</v>
      </c>
      <c r="CB388" s="2">
        <f>IF(考勤工资!$Y$392=$E$3,1,0)</f>
        <v>0</v>
      </c>
    </row>
    <row r="389">
      <c r="BD389" s="2">
        <f>BD350+SUM(CB351:CB389)</f>
        <v>1</v>
      </c>
      <c r="CB389" s="2">
        <f>IF(考勤工资!$Y$393=$E$3,1,0)</f>
        <v>0</v>
      </c>
    </row>
    <row r="390">
      <c r="BD390" s="2">
        <f>BD350+SUM(CB351:CB390)</f>
        <v>1</v>
      </c>
      <c r="CB390" s="2">
        <f>IF(考勤工资!$Y$394=$E$3,1,0)</f>
        <v>0</v>
      </c>
    </row>
    <row r="391">
      <c r="BD391" s="2">
        <f>BD350+SUM(CB351:CB391)</f>
        <v>1</v>
      </c>
      <c r="CB391" s="2">
        <f>IF(考勤工资!$Y$395=$E$3,1,0)</f>
        <v>0</v>
      </c>
    </row>
    <row r="392">
      <c r="BD392" s="2">
        <f>BD350+SUM(CB351:CB392)</f>
        <v>1</v>
      </c>
      <c r="CB392" s="2">
        <f>IF(考勤工资!$Y$396=$E$3,1,0)</f>
        <v>0</v>
      </c>
    </row>
    <row r="393">
      <c r="BD393" s="2">
        <f>BD350+SUM(CB351:CB393)</f>
        <v>1</v>
      </c>
      <c r="CB393" s="2">
        <f>IF(考勤工资!$Y$397=$E$3,1,0)</f>
        <v>0</v>
      </c>
    </row>
    <row r="394">
      <c r="BD394" s="2">
        <f>BD350+SUM(CB351:CB394)</f>
        <v>1</v>
      </c>
      <c r="CB394" s="2">
        <f>IF(考勤工资!$Y$398=$E$3,1,0)</f>
        <v>0</v>
      </c>
    </row>
    <row r="395">
      <c r="BD395" s="2">
        <f>BD350+SUM(CB351:CB395)</f>
        <v>1</v>
      </c>
      <c r="CB395" s="2">
        <f>IF(考勤工资!$Y$399=$E$3,1,0)</f>
        <v>0</v>
      </c>
    </row>
    <row r="396">
      <c r="BD396" s="2">
        <f>BD350+SUM(CB351:CB396)</f>
        <v>1</v>
      </c>
      <c r="CB396" s="2">
        <f>IF(考勤工资!$Y$400=$E$3,1,0)</f>
        <v>0</v>
      </c>
    </row>
    <row r="397">
      <c r="BD397" s="2">
        <f>BD350+SUM(CB351:CB397)</f>
        <v>1</v>
      </c>
      <c r="CB397" s="2">
        <f>IF(考勤工资!$Y$401=$E$3,1,0)</f>
        <v>0</v>
      </c>
    </row>
    <row r="398">
      <c r="BD398" s="2">
        <f>BD350+SUM(CB351:CB398)</f>
        <v>1</v>
      </c>
      <c r="CB398" s="2">
        <f>IF(考勤工资!$Y$402=$E$3,1,0)</f>
        <v>0</v>
      </c>
    </row>
    <row r="399">
      <c r="BD399" s="2">
        <f>BD350+SUM(CB351:CB399)</f>
        <v>1</v>
      </c>
      <c r="CB399" s="2">
        <f>IF(考勤工资!$Y$403=$E$3,1,0)</f>
        <v>0</v>
      </c>
    </row>
    <row r="400">
      <c r="BD400" s="2">
        <f>BD350+SUM(CB351:CB400)</f>
        <v>1</v>
      </c>
      <c r="CB400" s="2">
        <f>IF(考勤工资!$Y$404=$E$3,1,0)</f>
        <v>0</v>
      </c>
    </row>
    <row r="401">
      <c r="BD401" s="2">
        <f>BD400+SUM(CB401:CB401)</f>
        <v>1</v>
      </c>
      <c r="CB401" s="2">
        <f>IF(考勤工资!$Y$405=$E$3,1,0)</f>
        <v>0</v>
      </c>
    </row>
    <row r="402">
      <c r="BD402" s="2">
        <f>BD400+SUM(CB401:CB402)</f>
        <v>1</v>
      </c>
      <c r="CB402" s="2">
        <f>IF(考勤工资!$Y$406=$E$3,1,0)</f>
        <v>0</v>
      </c>
    </row>
    <row r="403">
      <c r="BD403" s="2">
        <f>BD400+SUM(CB401:CB403)</f>
        <v>1</v>
      </c>
      <c r="CB403" s="2">
        <f>IF(考勤工资!$Y$407=$E$3,1,0)</f>
        <v>0</v>
      </c>
    </row>
    <row r="404">
      <c r="BD404" s="2">
        <f>BD400+SUM(CB401:CB404)</f>
        <v>1</v>
      </c>
      <c r="CB404" s="2">
        <f>IF(考勤工资!$Y$408=$E$3,1,0)</f>
        <v>0</v>
      </c>
    </row>
    <row r="405">
      <c r="BD405" s="2">
        <f>BD400+SUM(CB401:CB405)</f>
        <v>1</v>
      </c>
      <c r="CB405" s="2">
        <f>IF(考勤工资!$Y$409=$E$3,1,0)</f>
        <v>0</v>
      </c>
    </row>
    <row r="406">
      <c r="BD406" s="2">
        <f>BD400+SUM(CB401:CB406)</f>
        <v>1</v>
      </c>
      <c r="CB406" s="2">
        <f>IF(考勤工资!$Y$410=$E$3,1,0)</f>
        <v>0</v>
      </c>
    </row>
    <row r="407">
      <c r="BD407" s="2">
        <f>BD400+SUM(CB401:CB407)</f>
        <v>1</v>
      </c>
      <c r="CB407" s="2">
        <f>IF(考勤工资!$Y$411=$E$3,1,0)</f>
        <v>0</v>
      </c>
    </row>
    <row r="408">
      <c r="BD408" s="2">
        <f>BD400+SUM(CB401:CB408)</f>
        <v>1</v>
      </c>
      <c r="CB408" s="2">
        <f>IF(考勤工资!$Y$412=$E$3,1,0)</f>
        <v>0</v>
      </c>
    </row>
    <row r="409">
      <c r="BD409" s="2">
        <f>BD400+SUM(CB401:CB409)</f>
        <v>1</v>
      </c>
      <c r="CB409" s="2">
        <f>IF(考勤工资!$Y$413=$E$3,1,0)</f>
        <v>0</v>
      </c>
    </row>
    <row r="410">
      <c r="BD410" s="2">
        <f>BD400+SUM(CB401:CB410)</f>
        <v>1</v>
      </c>
      <c r="CB410" s="2">
        <f>IF(考勤工资!$Y$414=$E$3,1,0)</f>
        <v>0</v>
      </c>
    </row>
    <row r="411">
      <c r="BD411" s="2">
        <f>BD400+SUM(CB401:CB411)</f>
        <v>1</v>
      </c>
      <c r="CB411" s="2">
        <f>IF(考勤工资!$Y$415=$E$3,1,0)</f>
        <v>0</v>
      </c>
    </row>
    <row r="412">
      <c r="BD412" s="2">
        <f>BD400+SUM(CB401:CB412)</f>
        <v>1</v>
      </c>
      <c r="CB412" s="2">
        <f>IF(考勤工资!$Y$416=$E$3,1,0)</f>
        <v>0</v>
      </c>
    </row>
    <row r="413">
      <c r="BD413" s="2">
        <f>BD400+SUM(CB401:CB413)</f>
        <v>1</v>
      </c>
      <c r="CB413" s="2">
        <f>IF(考勤工资!$Y$417=$E$3,1,0)</f>
        <v>0</v>
      </c>
    </row>
    <row r="414">
      <c r="BD414" s="2">
        <f>BD400+SUM(CB401:CB414)</f>
        <v>1</v>
      </c>
      <c r="CB414" s="2">
        <f>IF(考勤工资!$Y$418=$E$3,1,0)</f>
        <v>0</v>
      </c>
    </row>
    <row r="415">
      <c r="BD415" s="2">
        <f>BD400+SUM(CB401:CB415)</f>
        <v>1</v>
      </c>
      <c r="CB415" s="2">
        <f>IF(考勤工资!$Y$419=$E$3,1,0)</f>
        <v>0</v>
      </c>
    </row>
    <row r="416">
      <c r="BD416" s="2">
        <f>BD400+SUM(CB401:CB416)</f>
        <v>1</v>
      </c>
      <c r="CB416" s="2">
        <f>IF(考勤工资!$Y$420=$E$3,1,0)</f>
        <v>0</v>
      </c>
    </row>
    <row r="417">
      <c r="BD417" s="2">
        <f>BD400+SUM(CB401:CB417)</f>
        <v>1</v>
      </c>
      <c r="CB417" s="2">
        <f>IF(考勤工资!$Y$421=$E$3,1,0)</f>
        <v>0</v>
      </c>
    </row>
    <row r="418">
      <c r="BD418" s="2">
        <f>BD400+SUM(CB401:CB418)</f>
        <v>1</v>
      </c>
      <c r="CB418" s="2">
        <f>IF(考勤工资!$Y$422=$E$3,1,0)</f>
        <v>0</v>
      </c>
    </row>
    <row r="419">
      <c r="BD419" s="2">
        <f>BD400+SUM(CB401:CB419)</f>
        <v>1</v>
      </c>
      <c r="CB419" s="2">
        <f>IF(考勤工资!$Y$423=$E$3,1,0)</f>
        <v>0</v>
      </c>
    </row>
    <row r="420">
      <c r="BD420" s="2">
        <f>BD400+SUM(CB401:CB420)</f>
        <v>1</v>
      </c>
      <c r="CB420" s="2">
        <f>IF(考勤工资!$Y$424=$E$3,1,0)</f>
        <v>0</v>
      </c>
    </row>
    <row r="421">
      <c r="BD421" s="2">
        <f>BD400+SUM(CB401:CB421)</f>
        <v>1</v>
      </c>
      <c r="CB421" s="2">
        <f>IF(考勤工资!$Y$425=$E$3,1,0)</f>
        <v>0</v>
      </c>
    </row>
    <row r="422">
      <c r="BD422" s="2">
        <f>BD400+SUM(CB401:CB422)</f>
        <v>1</v>
      </c>
      <c r="CB422" s="2">
        <f>IF(考勤工资!$Y$426=$E$3,1,0)</f>
        <v>0</v>
      </c>
    </row>
    <row r="423">
      <c r="BD423" s="2">
        <f>BD400+SUM(CB401:CB423)</f>
        <v>1</v>
      </c>
      <c r="CB423" s="2">
        <f>IF(考勤工资!$Y$427=$E$3,1,0)</f>
        <v>0</v>
      </c>
    </row>
    <row r="424">
      <c r="BD424" s="2">
        <f>BD400+SUM(CB401:CB424)</f>
        <v>1</v>
      </c>
      <c r="CB424" s="2">
        <f>IF(考勤工资!$Y$428=$E$3,1,0)</f>
        <v>0</v>
      </c>
    </row>
    <row r="425">
      <c r="BD425" s="2">
        <f>BD400+SUM(CB401:CB425)</f>
        <v>1</v>
      </c>
      <c r="CB425" s="2">
        <f>IF(考勤工资!$Y$429=$E$3,1,0)</f>
        <v>0</v>
      </c>
    </row>
    <row r="426">
      <c r="BD426" s="2">
        <f>BD400+SUM(CB401:CB426)</f>
        <v>1</v>
      </c>
      <c r="CB426" s="2">
        <f>IF(考勤工资!$Y$430=$E$3,1,0)</f>
        <v>0</v>
      </c>
    </row>
    <row r="427">
      <c r="BD427" s="2">
        <f>BD400+SUM(CB401:CB427)</f>
        <v>1</v>
      </c>
      <c r="CB427" s="2">
        <f>IF(考勤工资!$Y$431=$E$3,1,0)</f>
        <v>0</v>
      </c>
    </row>
    <row r="428">
      <c r="BD428" s="2">
        <f>BD400+SUM(CB401:CB428)</f>
        <v>1</v>
      </c>
      <c r="CB428" s="2">
        <f>IF(考勤工资!$Y$432=$E$3,1,0)</f>
        <v>0</v>
      </c>
    </row>
    <row r="429">
      <c r="BD429" s="2">
        <f>BD400+SUM(CB401:CB429)</f>
        <v>1</v>
      </c>
      <c r="CB429" s="2">
        <f>IF(考勤工资!$Y$433=$E$3,1,0)</f>
        <v>0</v>
      </c>
    </row>
    <row r="430">
      <c r="BD430" s="2">
        <f>BD400+SUM(CB401:CB430)</f>
        <v>1</v>
      </c>
      <c r="CB430" s="2">
        <f>IF(考勤工资!$Y$434=$E$3,1,0)</f>
        <v>0</v>
      </c>
    </row>
    <row r="431">
      <c r="BD431" s="2">
        <f>BD400+SUM(CB401:CB431)</f>
        <v>1</v>
      </c>
      <c r="CB431" s="2">
        <f>IF(考勤工资!$Y$435=$E$3,1,0)</f>
        <v>0</v>
      </c>
    </row>
    <row r="432">
      <c r="BD432" s="2">
        <f>BD400+SUM(CB401:CB432)</f>
        <v>1</v>
      </c>
      <c r="CB432" s="2">
        <f>IF(考勤工资!$Y$436=$E$3,1,0)</f>
        <v>0</v>
      </c>
    </row>
    <row r="433">
      <c r="BD433" s="2">
        <f>BD400+SUM(CB401:CB433)</f>
        <v>1</v>
      </c>
      <c r="CB433" s="2">
        <f>IF(考勤工资!$Y$437=$E$3,1,0)</f>
        <v>0</v>
      </c>
    </row>
    <row r="434">
      <c r="BD434" s="2">
        <f>BD400+SUM(CB401:CB434)</f>
        <v>1</v>
      </c>
      <c r="CB434" s="2">
        <f>IF(考勤工资!$Y$438=$E$3,1,0)</f>
        <v>0</v>
      </c>
    </row>
    <row r="435">
      <c r="BD435" s="2">
        <f>BD400+SUM(CB401:CB435)</f>
        <v>1</v>
      </c>
      <c r="CB435" s="2">
        <f>IF(考勤工资!$Y$439=$E$3,1,0)</f>
        <v>0</v>
      </c>
    </row>
    <row r="436">
      <c r="BD436" s="2">
        <f>BD400+SUM(CB401:CB436)</f>
        <v>1</v>
      </c>
      <c r="CB436" s="2">
        <f>IF(考勤工资!$Y$440=$E$3,1,0)</f>
        <v>0</v>
      </c>
    </row>
    <row r="437">
      <c r="BD437" s="2">
        <f>BD400+SUM(CB401:CB437)</f>
        <v>1</v>
      </c>
      <c r="CB437" s="2">
        <f>IF(考勤工资!$Y$441=$E$3,1,0)</f>
        <v>0</v>
      </c>
    </row>
    <row r="438">
      <c r="BD438" s="2">
        <f>BD400+SUM(CB401:CB438)</f>
        <v>1</v>
      </c>
      <c r="CB438" s="2">
        <f>IF(考勤工资!$Y$442=$E$3,1,0)</f>
        <v>0</v>
      </c>
    </row>
    <row r="439">
      <c r="BD439" s="2">
        <f>BD400+SUM(CB401:CB439)</f>
        <v>1</v>
      </c>
      <c r="CB439" s="2">
        <f>IF(考勤工资!$Y$443=$E$3,1,0)</f>
        <v>0</v>
      </c>
    </row>
    <row r="440">
      <c r="BD440" s="2">
        <f>BD400+SUM(CB401:CB440)</f>
        <v>1</v>
      </c>
      <c r="CB440" s="2">
        <f>IF(考勤工资!$Y$444=$E$3,1,0)</f>
        <v>0</v>
      </c>
    </row>
    <row r="441">
      <c r="BD441" s="2">
        <f>BD400+SUM(CB401:CB441)</f>
        <v>1</v>
      </c>
      <c r="CB441" s="2">
        <f>IF(考勤工资!$Y$445=$E$3,1,0)</f>
        <v>0</v>
      </c>
    </row>
    <row r="442">
      <c r="BD442" s="2">
        <f>BD400+SUM(CB401:CB442)</f>
        <v>1</v>
      </c>
      <c r="CB442" s="2">
        <f>IF(考勤工资!$Y$446=$E$3,1,0)</f>
        <v>0</v>
      </c>
    </row>
    <row r="443">
      <c r="BD443" s="2">
        <f>BD400+SUM(CB401:CB443)</f>
        <v>1</v>
      </c>
      <c r="CB443" s="2">
        <f>IF(考勤工资!$Y$447=$E$3,1,0)</f>
        <v>0</v>
      </c>
    </row>
    <row r="444">
      <c r="BD444" s="2">
        <f>BD400+SUM(CB401:CB444)</f>
        <v>1</v>
      </c>
      <c r="CB444" s="2">
        <f>IF(考勤工资!$Y$448=$E$3,1,0)</f>
        <v>0</v>
      </c>
    </row>
    <row r="445">
      <c r="BD445" s="2">
        <f>BD400+SUM(CB401:CB445)</f>
        <v>1</v>
      </c>
      <c r="CB445" s="2">
        <f>IF(考勤工资!$Y$449=$E$3,1,0)</f>
        <v>0</v>
      </c>
    </row>
    <row r="446">
      <c r="BD446" s="2">
        <f>BD400+SUM(CB401:CB446)</f>
        <v>1</v>
      </c>
      <c r="CB446" s="2">
        <f>IF(考勤工资!$Y$450=$E$3,1,0)</f>
        <v>0</v>
      </c>
    </row>
    <row r="447">
      <c r="BD447" s="2">
        <f>BD400+SUM(CB401:CB447)</f>
        <v>1</v>
      </c>
      <c r="CB447" s="2">
        <f>IF(考勤工资!$Y$451=$E$3,1,0)</f>
        <v>0</v>
      </c>
    </row>
    <row r="448">
      <c r="BD448" s="2">
        <f>BD400+SUM(CB401:CB448)</f>
        <v>1</v>
      </c>
      <c r="CB448" s="2">
        <f>IF(考勤工资!$Y$452=$E$3,1,0)</f>
        <v>0</v>
      </c>
    </row>
    <row r="449">
      <c r="BD449" s="2">
        <f>BD400+SUM(CB401:CB449)</f>
        <v>1</v>
      </c>
      <c r="CB449" s="2">
        <f>IF(考勤工资!$Y$453=$E$3,1,0)</f>
        <v>0</v>
      </c>
    </row>
    <row r="450">
      <c r="BD450" s="2">
        <f>BD400+SUM(CB401:CB450)</f>
        <v>1</v>
      </c>
      <c r="CB450" s="2">
        <f>IF(考勤工资!$Y$454=$E$3,1,0)</f>
        <v>0</v>
      </c>
    </row>
    <row r="451">
      <c r="BD451" s="2">
        <f>BD450+SUM(CB451:CB451)</f>
        <v>1</v>
      </c>
      <c r="CB451" s="2">
        <f>IF(考勤工资!$Y$455=$E$3,1,0)</f>
        <v>0</v>
      </c>
    </row>
    <row r="452">
      <c r="BD452" s="2">
        <f>BD450+SUM(CB451:CB452)</f>
        <v>1</v>
      </c>
      <c r="CB452" s="2">
        <f>IF(考勤工资!$Y$456=$E$3,1,0)</f>
        <v>0</v>
      </c>
    </row>
    <row r="453">
      <c r="BD453" s="2">
        <f>BD450+SUM(CB451:CB453)</f>
        <v>1</v>
      </c>
      <c r="CB453" s="2">
        <f>IF(考勤工资!$Y$457=$E$3,1,0)</f>
        <v>0</v>
      </c>
    </row>
    <row r="454">
      <c r="BD454" s="2">
        <f>BD450+SUM(CB451:CB454)</f>
        <v>1</v>
      </c>
      <c r="CB454" s="2">
        <f>IF(考勤工资!$Y$458=$E$3,1,0)</f>
        <v>0</v>
      </c>
    </row>
    <row r="455">
      <c r="BD455" s="2">
        <f>BD450+SUM(CB451:CB455)</f>
        <v>1</v>
      </c>
      <c r="CB455" s="2">
        <f>IF(考勤工资!$Y$459=$E$3,1,0)</f>
        <v>0</v>
      </c>
    </row>
    <row r="456">
      <c r="BD456" s="2">
        <f>BD450+SUM(CB451:CB456)</f>
        <v>1</v>
      </c>
      <c r="CB456" s="2">
        <f>IF(考勤工资!$Y$460=$E$3,1,0)</f>
        <v>0</v>
      </c>
    </row>
    <row r="457">
      <c r="BD457" s="2">
        <f>BD450+SUM(CB451:CB457)</f>
        <v>1</v>
      </c>
      <c r="CB457" s="2">
        <f>IF(考勤工资!$Y$461=$E$3,1,0)</f>
        <v>0</v>
      </c>
    </row>
    <row r="458">
      <c r="BD458" s="2">
        <f>BD450+SUM(CB451:CB458)</f>
        <v>1</v>
      </c>
      <c r="CB458" s="2">
        <f>IF(考勤工资!$Y$462=$E$3,1,0)</f>
        <v>0</v>
      </c>
    </row>
    <row r="459">
      <c r="BD459" s="2">
        <f>BD450+SUM(CB451:CB459)</f>
        <v>1</v>
      </c>
      <c r="CB459" s="2">
        <f>IF(考勤工资!$Y$463=$E$3,1,0)</f>
        <v>0</v>
      </c>
    </row>
    <row r="460">
      <c r="BD460" s="2">
        <f>BD450+SUM(CB451:CB460)</f>
        <v>1</v>
      </c>
      <c r="CB460" s="2">
        <f>IF(考勤工资!$Y$464=$E$3,1,0)</f>
        <v>0</v>
      </c>
    </row>
    <row r="461">
      <c r="BD461" s="2">
        <f>BD450+SUM(CB451:CB461)</f>
        <v>1</v>
      </c>
      <c r="CB461" s="2">
        <f>IF(考勤工资!$Y$465=$E$3,1,0)</f>
        <v>0</v>
      </c>
    </row>
    <row r="462">
      <c r="BD462" s="2">
        <f>BD450+SUM(CB451:CB462)</f>
        <v>1</v>
      </c>
      <c r="CB462" s="2">
        <f>IF(考勤工资!$Y$466=$E$3,1,0)</f>
        <v>0</v>
      </c>
    </row>
    <row r="463">
      <c r="BD463" s="2">
        <f>BD450+SUM(CB451:CB463)</f>
        <v>1</v>
      </c>
      <c r="CB463" s="2">
        <f>IF(考勤工资!$Y$467=$E$3,1,0)</f>
        <v>0</v>
      </c>
    </row>
    <row r="464">
      <c r="BD464" s="2">
        <f>BD450+SUM(CB451:CB464)</f>
        <v>1</v>
      </c>
      <c r="CB464" s="2">
        <f>IF(考勤工资!$Y$468=$E$3,1,0)</f>
        <v>0</v>
      </c>
    </row>
    <row r="465">
      <c r="BD465" s="2">
        <f>BD450+SUM(CB451:CB465)</f>
        <v>1</v>
      </c>
      <c r="CB465" s="2">
        <f>IF(考勤工资!$Y$469=$E$3,1,0)</f>
        <v>0</v>
      </c>
    </row>
    <row r="466">
      <c r="BD466" s="2">
        <f>BD450+SUM(CB451:CB466)</f>
        <v>1</v>
      </c>
      <c r="CB466" s="2">
        <f>IF(考勤工资!$Y$470=$E$3,1,0)</f>
        <v>0</v>
      </c>
    </row>
    <row r="467">
      <c r="BD467" s="2">
        <f>BD450+SUM(CB451:CB467)</f>
        <v>1</v>
      </c>
      <c r="CB467" s="2">
        <f>IF(考勤工资!$Y$471=$E$3,1,0)</f>
        <v>0</v>
      </c>
    </row>
    <row r="468">
      <c r="BD468" s="2">
        <f>BD450+SUM(CB451:CB468)</f>
        <v>1</v>
      </c>
      <c r="CB468" s="2">
        <f>IF(考勤工资!$Y$472=$E$3,1,0)</f>
        <v>0</v>
      </c>
    </row>
    <row r="469">
      <c r="BD469" s="2">
        <f>BD450+SUM(CB451:CB469)</f>
        <v>1</v>
      </c>
      <c r="CB469" s="2">
        <f>IF(考勤工资!$Y$473=$E$3,1,0)</f>
        <v>0</v>
      </c>
    </row>
    <row r="470">
      <c r="BD470" s="2">
        <f>BD450+SUM(CB451:CB470)</f>
        <v>1</v>
      </c>
      <c r="CB470" s="2">
        <f>IF(考勤工资!$Y$474=$E$3,1,0)</f>
        <v>0</v>
      </c>
    </row>
    <row r="471">
      <c r="BD471" s="2">
        <f>BD450+SUM(CB451:CB471)</f>
        <v>1</v>
      </c>
      <c r="CB471" s="2">
        <f>IF(考勤工资!$Y$475=$E$3,1,0)</f>
        <v>0</v>
      </c>
    </row>
    <row r="472">
      <c r="BD472" s="2">
        <f>BD450+SUM(CB451:CB472)</f>
        <v>1</v>
      </c>
      <c r="CB472" s="2">
        <f>IF(考勤工资!$Y$476=$E$3,1,0)</f>
        <v>0</v>
      </c>
    </row>
    <row r="473">
      <c r="BD473" s="2">
        <f>BD450+SUM(CB451:CB473)</f>
        <v>1</v>
      </c>
      <c r="CB473" s="2">
        <f>IF(考勤工资!$Y$477=$E$3,1,0)</f>
        <v>0</v>
      </c>
    </row>
    <row r="474">
      <c r="BD474" s="2">
        <f>BD450+SUM(CB451:CB474)</f>
        <v>1</v>
      </c>
      <c r="CB474" s="2">
        <f>IF(考勤工资!$Y$478=$E$3,1,0)</f>
        <v>0</v>
      </c>
    </row>
    <row r="475">
      <c r="BD475" s="2">
        <f>BD450+SUM(CB451:CB475)</f>
        <v>1</v>
      </c>
      <c r="CB475" s="2">
        <f>IF(考勤工资!$Y$479=$E$3,1,0)</f>
        <v>0</v>
      </c>
    </row>
    <row r="476">
      <c r="BD476" s="2">
        <f>BD450+SUM(CB451:CB476)</f>
        <v>1</v>
      </c>
      <c r="CB476" s="2">
        <f>IF(考勤工资!$Y$480=$E$3,1,0)</f>
        <v>0</v>
      </c>
    </row>
    <row r="477">
      <c r="BD477" s="2">
        <f>BD450+SUM(CB451:CB477)</f>
        <v>1</v>
      </c>
      <c r="CB477" s="2">
        <f>IF(考勤工资!$Y$481=$E$3,1,0)</f>
        <v>0</v>
      </c>
    </row>
    <row r="478">
      <c r="BD478" s="2">
        <f>BD450+SUM(CB451:CB478)</f>
        <v>1</v>
      </c>
      <c r="CB478" s="2">
        <f>IF(考勤工资!$Y$482=$E$3,1,0)</f>
        <v>0</v>
      </c>
    </row>
    <row r="479">
      <c r="BD479" s="2">
        <f>BD450+SUM(CB451:CB479)</f>
        <v>1</v>
      </c>
      <c r="CB479" s="2">
        <f>IF(考勤工资!$Y$483=$E$3,1,0)</f>
        <v>0</v>
      </c>
    </row>
    <row r="480">
      <c r="BD480" s="2">
        <f>BD450+SUM(CB451:CB480)</f>
        <v>1</v>
      </c>
      <c r="CB480" s="2">
        <f>IF(考勤工资!$Y$484=$E$3,1,0)</f>
        <v>0</v>
      </c>
    </row>
    <row r="481">
      <c r="BD481" s="2">
        <f>BD450+SUM(CB451:CB481)</f>
        <v>1</v>
      </c>
      <c r="CB481" s="2">
        <f>IF(考勤工资!$Y$485=$E$3,1,0)</f>
        <v>0</v>
      </c>
    </row>
    <row r="482">
      <c r="BD482" s="2">
        <f>BD450+SUM(CB451:CB482)</f>
        <v>1</v>
      </c>
      <c r="CB482" s="2">
        <f>IF(考勤工资!$Y$486=$E$3,1,0)</f>
        <v>0</v>
      </c>
    </row>
    <row r="483">
      <c r="BD483" s="2">
        <f>BD450+SUM(CB451:CB483)</f>
        <v>1</v>
      </c>
      <c r="CB483" s="2">
        <f>IF(考勤工资!$Y$487=$E$3,1,0)</f>
        <v>0</v>
      </c>
    </row>
    <row r="484">
      <c r="BD484" s="2">
        <f>BD450+SUM(CB451:CB484)</f>
        <v>1</v>
      </c>
      <c r="CB484" s="2">
        <f>IF(考勤工资!$Y$488=$E$3,1,0)</f>
        <v>0</v>
      </c>
    </row>
    <row r="485">
      <c r="BD485" s="2">
        <f>BD450+SUM(CB451:CB485)</f>
        <v>1</v>
      </c>
      <c r="CB485" s="2">
        <f>IF(考勤工资!$Y$489=$E$3,1,0)</f>
        <v>0</v>
      </c>
    </row>
    <row r="486">
      <c r="BD486" s="2">
        <f>BD450+SUM(CB451:CB486)</f>
        <v>1</v>
      </c>
      <c r="CB486" s="2">
        <f>IF(考勤工资!$Y$490=$E$3,1,0)</f>
        <v>0</v>
      </c>
    </row>
    <row r="487">
      <c r="BD487" s="2">
        <f>BD450+SUM(CB451:CB487)</f>
        <v>1</v>
      </c>
      <c r="CB487" s="2">
        <f>IF(考勤工资!$Y$491=$E$3,1,0)</f>
        <v>0</v>
      </c>
    </row>
    <row r="488">
      <c r="BD488" s="2">
        <f>BD450+SUM(CB451:CB488)</f>
        <v>1</v>
      </c>
      <c r="CB488" s="2">
        <f>IF(考勤工资!$Y$492=$E$3,1,0)</f>
        <v>0</v>
      </c>
    </row>
    <row r="489">
      <c r="BD489" s="2">
        <f>BD450+SUM(CB451:CB489)</f>
        <v>1</v>
      </c>
      <c r="CB489" s="2">
        <f>IF(考勤工资!$Y$493=$E$3,1,0)</f>
        <v>0</v>
      </c>
    </row>
    <row r="490">
      <c r="BD490" s="2">
        <f>BD450+SUM(CB451:CB490)</f>
        <v>1</v>
      </c>
      <c r="CB490" s="2">
        <f>IF(考勤工资!$Y$494=$E$3,1,0)</f>
        <v>0</v>
      </c>
    </row>
    <row r="491">
      <c r="BD491" s="2">
        <f>BD450+SUM(CB451:CB491)</f>
        <v>1</v>
      </c>
      <c r="CB491" s="2">
        <f>IF(考勤工资!$Y$495=$E$3,1,0)</f>
        <v>0</v>
      </c>
    </row>
    <row r="492">
      <c r="BD492" s="2">
        <f>BD450+SUM(CB451:CB492)</f>
        <v>1</v>
      </c>
      <c r="CB492" s="2">
        <f>IF(考勤工资!$Y$496=$E$3,1,0)</f>
        <v>0</v>
      </c>
    </row>
    <row r="493">
      <c r="BD493" s="2">
        <f>BD450+SUM(CB451:CB493)</f>
        <v>1</v>
      </c>
      <c r="CB493" s="2">
        <f>IF(考勤工资!$Y$497=$E$3,1,0)</f>
        <v>0</v>
      </c>
    </row>
    <row r="494">
      <c r="BD494" s="2">
        <f>BD450+SUM(CB451:CB494)</f>
        <v>1</v>
      </c>
      <c r="CB494" s="2">
        <f>IF(考勤工资!$Y$498=$E$3,1,0)</f>
        <v>0</v>
      </c>
    </row>
    <row r="495">
      <c r="BD495" s="2">
        <f>BD450+SUM(CB451:CB495)</f>
        <v>1</v>
      </c>
      <c r="CB495" s="2">
        <f>IF(考勤工资!$Y$499=$E$3,1,0)</f>
        <v>0</v>
      </c>
    </row>
    <row r="496">
      <c r="BD496" s="2">
        <f>BD450+SUM(CB451:CB496)</f>
        <v>1</v>
      </c>
      <c r="CB496" s="2">
        <f>IF(考勤工资!$Y$500=$E$3,1,0)</f>
        <v>0</v>
      </c>
    </row>
    <row r="497">
      <c r="BD497" s="2">
        <f>BD450+SUM(CB451:CB497)</f>
        <v>1</v>
      </c>
      <c r="CB497" s="2">
        <f>IF(考勤工资!$Y$501=$E$3,1,0)</f>
        <v>0</v>
      </c>
    </row>
    <row r="498">
      <c r="BD498" s="2">
        <f>BD450+SUM(CB451:CB498)</f>
        <v>1</v>
      </c>
      <c r="CB498" s="2">
        <f>IF(考勤工资!$Y$502=$E$3,1,0)</f>
        <v>0</v>
      </c>
    </row>
    <row r="499">
      <c r="BD499" s="2">
        <f>BD450+SUM(CB451:CB499)</f>
        <v>1</v>
      </c>
      <c r="CB499" s="2">
        <f>IF(考勤工资!$Y$503=$E$3,1,0)</f>
        <v>0</v>
      </c>
    </row>
    <row r="500">
      <c r="BD500" s="2">
        <f>BD450+SUM(CB451:CB500)</f>
        <v>1</v>
      </c>
      <c r="CB500" s="2">
        <f>IF(考勤工资!$Y$504=$E$3,1,0)</f>
        <v>0</v>
      </c>
    </row>
    <row r="501">
      <c r="BD501" s="2">
        <f>BD500+SUM(CB501:CB501)</f>
        <v>1</v>
      </c>
      <c r="CB501" s="2">
        <f>IF(考勤工资!$Y$505=$E$3,1,0)</f>
        <v>0</v>
      </c>
    </row>
    <row r="502">
      <c r="BD502" s="2">
        <f>BD500+SUM(CB501:CB502)</f>
        <v>1</v>
      </c>
      <c r="CB502" s="2">
        <f>IF(考勤工资!$Y$506=$E$3,1,0)</f>
        <v>0</v>
      </c>
    </row>
    <row r="503">
      <c r="BD503" s="2">
        <f>BD500+SUM(CB501:CB503)</f>
        <v>1</v>
      </c>
      <c r="CB503" s="2">
        <f>IF(考勤工资!$Y$507=$E$3,1,0)</f>
        <v>0</v>
      </c>
    </row>
    <row r="504">
      <c r="BD504" s="2">
        <f>BD500+SUM(CB501:CB504)</f>
        <v>1</v>
      </c>
      <c r="CB504" s="2">
        <f>IF(考勤工资!$Y$508=$E$3,1,0)</f>
        <v>0</v>
      </c>
    </row>
    <row r="505">
      <c r="BD505" s="2">
        <f>BD500+SUM(CB501:CB505)</f>
        <v>1</v>
      </c>
      <c r="CB505" s="2">
        <f>IF(考勤工资!$Y$509=$E$3,1,0)</f>
        <v>0</v>
      </c>
    </row>
    <row r="506">
      <c r="BD506" s="2">
        <f>BD500+SUM(CB501:CB506)</f>
        <v>1</v>
      </c>
      <c r="CB506" s="2">
        <f>IF(考勤工资!$Y$510=$E$3,1,0)</f>
        <v>0</v>
      </c>
    </row>
    <row r="507">
      <c r="BD507" s="2">
        <f>BD500+SUM(CB501:CB507)</f>
        <v>1</v>
      </c>
      <c r="CB507" s="2">
        <f>IF(考勤工资!$Y$511=$E$3,1,0)</f>
        <v>0</v>
      </c>
    </row>
    <row r="508">
      <c r="BD508" s="2">
        <f>BD500+SUM(CB501:CB508)</f>
        <v>1</v>
      </c>
      <c r="CB508" s="2">
        <f>IF(考勤工资!$Y$512=$E$3,1,0)</f>
        <v>0</v>
      </c>
    </row>
    <row r="509">
      <c r="BD509" s="2">
        <f>BD500+SUM(CB501:CB509)</f>
        <v>1</v>
      </c>
      <c r="CB509" s="2">
        <f>IF(考勤工资!$Y$513=$E$3,1,0)</f>
        <v>0</v>
      </c>
    </row>
    <row r="510">
      <c r="BD510" s="2">
        <f>BD500+SUM(CB501:CB510)</f>
        <v>1</v>
      </c>
      <c r="CB510" s="2">
        <f>IF(考勤工资!$Y$514=$E$3,1,0)</f>
        <v>0</v>
      </c>
    </row>
    <row r="511">
      <c r="BD511" s="2">
        <f>BD500+SUM(CB501:CB511)</f>
        <v>1</v>
      </c>
      <c r="CB511" s="2">
        <f>IF(考勤工资!$Y$515=$E$3,1,0)</f>
        <v>0</v>
      </c>
    </row>
    <row r="512">
      <c r="BD512" s="2">
        <f>BD500+SUM(CB501:CB512)</f>
        <v>1</v>
      </c>
      <c r="CB512" s="2">
        <f>IF(考勤工资!$Y$516=$E$3,1,0)</f>
        <v>0</v>
      </c>
    </row>
    <row r="513">
      <c r="BD513" s="2">
        <f>BD500+SUM(CB501:CB513)</f>
        <v>1</v>
      </c>
      <c r="CB513" s="2">
        <f>IF(考勤工资!$Y$517=$E$3,1,0)</f>
        <v>0</v>
      </c>
    </row>
    <row r="514">
      <c r="BD514" s="2">
        <f>BD500+SUM(CB501:CB514)</f>
        <v>1</v>
      </c>
      <c r="CB514" s="2">
        <f>IF(考勤工资!$Y$518=$E$3,1,0)</f>
        <v>0</v>
      </c>
    </row>
    <row r="515">
      <c r="BD515" s="2">
        <f>BD500+SUM(CB501:CB515)</f>
        <v>1</v>
      </c>
      <c r="CB515" s="2">
        <f>IF(考勤工资!$Y$519=$E$3,1,0)</f>
        <v>0</v>
      </c>
    </row>
    <row r="516">
      <c r="BD516" s="2">
        <f>BD500+SUM(CB501:CB516)</f>
        <v>1</v>
      </c>
      <c r="CB516" s="2">
        <f>IF(考勤工资!$Y$520=$E$3,1,0)</f>
        <v>0</v>
      </c>
    </row>
    <row r="517">
      <c r="BD517" s="2">
        <f>BD500+SUM(CB501:CB517)</f>
        <v>1</v>
      </c>
      <c r="CB517" s="2">
        <f>IF(考勤工资!$Y$521=$E$3,1,0)</f>
        <v>0</v>
      </c>
    </row>
    <row r="518">
      <c r="BD518" s="2">
        <f>BD500+SUM(CB501:CB518)</f>
        <v>1</v>
      </c>
      <c r="CB518" s="2">
        <f>IF(考勤工资!$Y$522=$E$3,1,0)</f>
        <v>0</v>
      </c>
    </row>
    <row r="519">
      <c r="BD519" s="2">
        <f>BD500+SUM(CB501:CB519)</f>
        <v>1</v>
      </c>
      <c r="CB519" s="2">
        <f>IF(考勤工资!$Y$523=$E$3,1,0)</f>
        <v>0</v>
      </c>
    </row>
    <row r="520">
      <c r="BD520" s="2">
        <f>BD500+SUM(CB501:CB520)</f>
        <v>1</v>
      </c>
      <c r="CB520" s="2">
        <f>IF(考勤工资!$Y$524=$E$3,1,0)</f>
        <v>0</v>
      </c>
    </row>
    <row r="521">
      <c r="BD521" s="2">
        <f>BD500+SUM(CB501:CB521)</f>
        <v>1</v>
      </c>
      <c r="CB521" s="2">
        <f>IF(考勤工资!$Y$525=$E$3,1,0)</f>
        <v>0</v>
      </c>
    </row>
    <row r="522">
      <c r="BD522" s="2">
        <f>BD500+SUM(CB501:CB522)</f>
        <v>1</v>
      </c>
      <c r="CB522" s="2">
        <f>IF(考勤工资!$Y$526=$E$3,1,0)</f>
        <v>0</v>
      </c>
    </row>
    <row r="523">
      <c r="BD523" s="2">
        <f>BD500+SUM(CB501:CB523)</f>
        <v>1</v>
      </c>
      <c r="CB523" s="2">
        <f>IF(考勤工资!$Y$527=$E$3,1,0)</f>
        <v>0</v>
      </c>
    </row>
    <row r="524">
      <c r="BD524" s="2">
        <f>BD500+SUM(CB501:CB524)</f>
        <v>1</v>
      </c>
      <c r="CB524" s="2">
        <f>IF(考勤工资!$Y$528=$E$3,1,0)</f>
        <v>0</v>
      </c>
    </row>
    <row r="525">
      <c r="BD525" s="2">
        <f>BD500+SUM(CB501:CB525)</f>
        <v>1</v>
      </c>
      <c r="CB525" s="2">
        <f>IF(考勤工资!$Y$529=$E$3,1,0)</f>
        <v>0</v>
      </c>
    </row>
    <row r="526">
      <c r="BD526" s="2">
        <f>BD500+SUM(CB501:CB526)</f>
        <v>1</v>
      </c>
      <c r="CB526" s="2">
        <f>IF(考勤工资!$Y$530=$E$3,1,0)</f>
        <v>0</v>
      </c>
    </row>
    <row r="527">
      <c r="BD527" s="2">
        <f>BD500+SUM(CB501:CB527)</f>
        <v>1</v>
      </c>
      <c r="CB527" s="2">
        <f>IF(考勤工资!$Y$531=$E$3,1,0)</f>
        <v>0</v>
      </c>
    </row>
    <row r="528">
      <c r="BD528" s="2">
        <f>BD500+SUM(CB501:CB528)</f>
        <v>1</v>
      </c>
      <c r="CB528" s="2">
        <f>IF(考勤工资!$Y$532=$E$3,1,0)</f>
        <v>0</v>
      </c>
    </row>
    <row r="529">
      <c r="BD529" s="2">
        <f>BD500+SUM(CB501:CB529)</f>
        <v>1</v>
      </c>
      <c r="CB529" s="2">
        <f>IF(考勤工资!$Y$533=$E$3,1,0)</f>
        <v>0</v>
      </c>
    </row>
    <row r="530">
      <c r="BD530" s="2">
        <f>BD500+SUM(CB501:CB530)</f>
        <v>1</v>
      </c>
      <c r="CB530" s="2">
        <f>IF(考勤工资!$Y$534=$E$3,1,0)</f>
        <v>0</v>
      </c>
    </row>
    <row r="531">
      <c r="BD531" s="2">
        <f>BD500+SUM(CB501:CB531)</f>
        <v>1</v>
      </c>
      <c r="CB531" s="2">
        <f>IF(考勤工资!$Y$535=$E$3,1,0)</f>
        <v>0</v>
      </c>
    </row>
    <row r="532">
      <c r="BD532" s="2">
        <f>BD500+SUM(CB501:CB532)</f>
        <v>1</v>
      </c>
      <c r="CB532" s="2">
        <f>IF(考勤工资!$Y$536=$E$3,1,0)</f>
        <v>0</v>
      </c>
    </row>
    <row r="533">
      <c r="BD533" s="2">
        <f>BD500+SUM(CB501:CB533)</f>
        <v>1</v>
      </c>
      <c r="CB533" s="2">
        <f>IF(考勤工资!$Y$537=$E$3,1,0)</f>
        <v>0</v>
      </c>
    </row>
    <row r="534">
      <c r="BD534" s="2">
        <f>BD500+SUM(CB501:CB534)</f>
        <v>1</v>
      </c>
      <c r="CB534" s="2">
        <f>IF(考勤工资!$Y$538=$E$3,1,0)</f>
        <v>0</v>
      </c>
    </row>
    <row r="535">
      <c r="BD535" s="2">
        <f>BD500+SUM(CB501:CB535)</f>
        <v>1</v>
      </c>
      <c r="CB535" s="2">
        <f>IF(考勤工资!$Y$539=$E$3,1,0)</f>
        <v>0</v>
      </c>
    </row>
    <row r="536">
      <c r="BD536" s="2">
        <f>BD500+SUM(CB501:CB536)</f>
        <v>1</v>
      </c>
      <c r="CB536" s="2">
        <f>IF(考勤工资!$Y$540=$E$3,1,0)</f>
        <v>0</v>
      </c>
    </row>
    <row r="537">
      <c r="BD537" s="2">
        <f>BD500+SUM(CB501:CB537)</f>
        <v>1</v>
      </c>
      <c r="CB537" s="2">
        <f>IF(考勤工资!$Y$541=$E$3,1,0)</f>
        <v>0</v>
      </c>
    </row>
    <row r="538">
      <c r="BD538" s="2">
        <f>BD500+SUM(CB501:CB538)</f>
        <v>1</v>
      </c>
      <c r="CB538" s="2">
        <f>IF(考勤工资!$Y$542=$E$3,1,0)</f>
        <v>0</v>
      </c>
    </row>
    <row r="539">
      <c r="BD539" s="2">
        <f>BD500+SUM(CB501:CB539)</f>
        <v>1</v>
      </c>
      <c r="CB539" s="2">
        <f>IF(考勤工资!$Y$543=$E$3,1,0)</f>
        <v>0</v>
      </c>
    </row>
    <row r="540">
      <c r="BD540" s="2">
        <f>BD500+SUM(CB501:CB540)</f>
        <v>1</v>
      </c>
      <c r="CB540" s="2">
        <f>IF(考勤工资!$Y$544=$E$3,1,0)</f>
        <v>0</v>
      </c>
    </row>
    <row r="541">
      <c r="BD541" s="2">
        <f>BD500+SUM(CB501:CB541)</f>
        <v>1</v>
      </c>
      <c r="CB541" s="2">
        <f>IF(考勤工资!$Y$545=$E$3,1,0)</f>
        <v>0</v>
      </c>
    </row>
    <row r="542">
      <c r="BD542" s="2">
        <f>BD500+SUM(CB501:CB542)</f>
        <v>1</v>
      </c>
      <c r="CB542" s="2">
        <f>IF(考勤工资!$Y$546=$E$3,1,0)</f>
        <v>0</v>
      </c>
    </row>
    <row r="543">
      <c r="BD543" s="2">
        <f>BD500+SUM(CB501:CB543)</f>
        <v>1</v>
      </c>
      <c r="CB543" s="2">
        <f>IF(考勤工资!$Y$547=$E$3,1,0)</f>
        <v>0</v>
      </c>
    </row>
    <row r="544">
      <c r="BD544" s="2">
        <f>BD500+SUM(CB501:CB544)</f>
        <v>1</v>
      </c>
      <c r="CB544" s="2">
        <f>IF(考勤工资!$Y$548=$E$3,1,0)</f>
        <v>0</v>
      </c>
    </row>
    <row r="545">
      <c r="BD545" s="2">
        <f>BD500+SUM(CB501:CB545)</f>
        <v>1</v>
      </c>
      <c r="CB545" s="2">
        <f>IF(考勤工资!$Y$549=$E$3,1,0)</f>
        <v>0</v>
      </c>
    </row>
    <row r="546">
      <c r="BD546" s="2">
        <f>BD500+SUM(CB501:CB546)</f>
        <v>1</v>
      </c>
      <c r="CB546" s="2">
        <f>IF(考勤工资!$Y$550=$E$3,1,0)</f>
        <v>0</v>
      </c>
    </row>
    <row r="547">
      <c r="BD547" s="2">
        <f>BD500+SUM(CB501:CB547)</f>
        <v>1</v>
      </c>
      <c r="CB547" s="2">
        <f>IF(考勤工资!$Y$551=$E$3,1,0)</f>
        <v>0</v>
      </c>
    </row>
    <row r="548">
      <c r="BD548" s="2">
        <f>BD500+SUM(CB501:CB548)</f>
        <v>1</v>
      </c>
      <c r="CB548" s="2">
        <f>IF(考勤工资!$Y$552=$E$3,1,0)</f>
        <v>0</v>
      </c>
    </row>
    <row r="549">
      <c r="BD549" s="2">
        <f>BD500+SUM(CB501:CB549)</f>
        <v>1</v>
      </c>
      <c r="CB549" s="2">
        <f>IF(考勤工资!$Y$553=$E$3,1,0)</f>
        <v>0</v>
      </c>
    </row>
    <row r="550">
      <c r="BD550" s="2">
        <f>BD500+SUM(CB501:CB550)</f>
        <v>1</v>
      </c>
      <c r="CB550" s="2">
        <f>IF(考勤工资!$Y$554=$E$3,1,0)</f>
        <v>0</v>
      </c>
    </row>
    <row r="551">
      <c r="BD551" s="2">
        <f>BD550+SUM(CB551:CB551)</f>
        <v>1</v>
      </c>
      <c r="CB551" s="2">
        <f>IF(考勤工资!$Y$555=$E$3,1,0)</f>
        <v>0</v>
      </c>
    </row>
    <row r="552">
      <c r="BD552" s="2">
        <f>BD550+SUM(CB551:CB552)</f>
        <v>1</v>
      </c>
      <c r="CB552" s="2">
        <f>IF(考勤工资!$Y$556=$E$3,1,0)</f>
        <v>0</v>
      </c>
    </row>
    <row r="553">
      <c r="BD553" s="2">
        <f>BD550+SUM(CB551:CB553)</f>
        <v>1</v>
      </c>
      <c r="CB553" s="2">
        <f>IF(考勤工资!$Y$557=$E$3,1,0)</f>
        <v>0</v>
      </c>
    </row>
    <row r="554">
      <c r="BD554" s="2">
        <f>BD550+SUM(CB551:CB554)</f>
        <v>1</v>
      </c>
      <c r="CB554" s="2">
        <f>IF(考勤工资!$Y$558=$E$3,1,0)</f>
        <v>0</v>
      </c>
    </row>
    <row r="555">
      <c r="BD555" s="2">
        <f>BD550+SUM(CB551:CB555)</f>
        <v>1</v>
      </c>
      <c r="CB555" s="2">
        <f>IF(考勤工资!$Y$559=$E$3,1,0)</f>
        <v>0</v>
      </c>
    </row>
    <row r="556">
      <c r="BD556" s="2">
        <f>BD550+SUM(CB551:CB556)</f>
        <v>1</v>
      </c>
      <c r="CB556" s="2">
        <f>IF(考勤工资!$Y$560=$E$3,1,0)</f>
        <v>0</v>
      </c>
    </row>
    <row r="557">
      <c r="BD557" s="2">
        <f>BD550+SUM(CB551:CB557)</f>
        <v>1</v>
      </c>
      <c r="CB557" s="2">
        <f>IF(考勤工资!$Y$561=$E$3,1,0)</f>
        <v>0</v>
      </c>
    </row>
    <row r="558">
      <c r="BD558" s="2">
        <f>BD550+SUM(CB551:CB558)</f>
        <v>1</v>
      </c>
      <c r="CB558" s="2">
        <f>IF(考勤工资!$Y$562=$E$3,1,0)</f>
        <v>0</v>
      </c>
    </row>
    <row r="559">
      <c r="BD559" s="2">
        <f>BD550+SUM(CB551:CB559)</f>
        <v>1</v>
      </c>
      <c r="CB559" s="2">
        <f>IF(考勤工资!$Y$563=$E$3,1,0)</f>
        <v>0</v>
      </c>
    </row>
    <row r="560">
      <c r="BD560" s="2">
        <f>BD550+SUM(CB551:CB560)</f>
        <v>1</v>
      </c>
      <c r="CB560" s="2">
        <f>IF(考勤工资!$Y$564=$E$3,1,0)</f>
        <v>0</v>
      </c>
    </row>
    <row r="561">
      <c r="BD561" s="2">
        <f>BD550+SUM(CB551:CB561)</f>
        <v>1</v>
      </c>
      <c r="CB561" s="2">
        <f>IF(考勤工资!$Y$565=$E$3,1,0)</f>
        <v>0</v>
      </c>
    </row>
    <row r="562">
      <c r="BD562" s="2">
        <f>BD550+SUM(CB551:CB562)</f>
        <v>1</v>
      </c>
      <c r="CB562" s="2">
        <f>IF(考勤工资!$Y$566=$E$3,1,0)</f>
        <v>0</v>
      </c>
    </row>
    <row r="563">
      <c r="BD563" s="2">
        <f>BD550+SUM(CB551:CB563)</f>
        <v>1</v>
      </c>
      <c r="CB563" s="2">
        <f>IF(考勤工资!$Y$567=$E$3,1,0)</f>
        <v>0</v>
      </c>
    </row>
    <row r="564">
      <c r="BD564" s="2">
        <f>BD550+SUM(CB551:CB564)</f>
        <v>1</v>
      </c>
      <c r="CB564" s="2">
        <f>IF(考勤工资!$Y$568=$E$3,1,0)</f>
        <v>0</v>
      </c>
    </row>
    <row r="565">
      <c r="BD565" s="2">
        <f>BD550+SUM(CB551:CB565)</f>
        <v>1</v>
      </c>
      <c r="CB565" s="2">
        <f>IF(考勤工资!$Y$569=$E$3,1,0)</f>
        <v>0</v>
      </c>
    </row>
    <row r="566">
      <c r="BD566" s="2">
        <f>BD550+SUM(CB551:CB566)</f>
        <v>1</v>
      </c>
      <c r="CB566" s="2">
        <f>IF(考勤工资!$Y$570=$E$3,1,0)</f>
        <v>0</v>
      </c>
    </row>
    <row r="567">
      <c r="BD567" s="2">
        <f>BD550+SUM(CB551:CB567)</f>
        <v>1</v>
      </c>
      <c r="CB567" s="2">
        <f>IF(考勤工资!$Y$571=$E$3,1,0)</f>
        <v>0</v>
      </c>
    </row>
    <row r="568">
      <c r="BD568" s="2">
        <f>BD550+SUM(CB551:CB568)</f>
        <v>1</v>
      </c>
      <c r="CB568" s="2">
        <f>IF(考勤工资!$Y$572=$E$3,1,0)</f>
        <v>0</v>
      </c>
    </row>
    <row r="569">
      <c r="BD569" s="2">
        <f>BD550+SUM(CB551:CB569)</f>
        <v>1</v>
      </c>
      <c r="CB569" s="2">
        <f>IF(考勤工资!$Y$573=$E$3,1,0)</f>
        <v>0</v>
      </c>
    </row>
    <row r="570">
      <c r="BD570" s="2">
        <f>BD550+SUM(CB551:CB570)</f>
        <v>1</v>
      </c>
      <c r="CB570" s="2">
        <f>IF(考勤工资!$Y$574=$E$3,1,0)</f>
        <v>0</v>
      </c>
    </row>
    <row r="571">
      <c r="BD571" s="2">
        <f>BD550+SUM(CB551:CB571)</f>
        <v>1</v>
      </c>
      <c r="CB571" s="2">
        <f>IF(考勤工资!$Y$575=$E$3,1,0)</f>
        <v>0</v>
      </c>
    </row>
    <row r="572">
      <c r="BD572" s="2">
        <f>BD550+SUM(CB551:CB572)</f>
        <v>1</v>
      </c>
      <c r="CB572" s="2">
        <f>IF(考勤工资!$Y$576=$E$3,1,0)</f>
        <v>0</v>
      </c>
    </row>
    <row r="573">
      <c r="BD573" s="2">
        <f>BD550+SUM(CB551:CB573)</f>
        <v>1</v>
      </c>
      <c r="CB573" s="2">
        <f>IF(考勤工资!$Y$577=$E$3,1,0)</f>
        <v>0</v>
      </c>
    </row>
    <row r="574">
      <c r="BD574" s="2">
        <f>BD550+SUM(CB551:CB574)</f>
        <v>1</v>
      </c>
      <c r="CB574" s="2">
        <f>IF(考勤工资!$Y$578=$E$3,1,0)</f>
        <v>0</v>
      </c>
    </row>
    <row r="575">
      <c r="BD575" s="2">
        <f>BD550+SUM(CB551:CB575)</f>
        <v>1</v>
      </c>
      <c r="CB575" s="2">
        <f>IF(考勤工资!$Y$579=$E$3,1,0)</f>
        <v>0</v>
      </c>
    </row>
    <row r="576">
      <c r="BD576" s="2">
        <f>BD550+SUM(CB551:CB576)</f>
        <v>1</v>
      </c>
      <c r="CB576" s="2">
        <f>IF(考勤工资!$Y$580=$E$3,1,0)</f>
        <v>0</v>
      </c>
    </row>
    <row r="577">
      <c r="BD577" s="2">
        <f>BD550+SUM(CB551:CB577)</f>
        <v>1</v>
      </c>
      <c r="CB577" s="2">
        <f>IF(考勤工资!$Y$581=$E$3,1,0)</f>
        <v>0</v>
      </c>
    </row>
    <row r="578">
      <c r="BD578" s="2">
        <f>BD550+SUM(CB551:CB578)</f>
        <v>1</v>
      </c>
      <c r="CB578" s="2">
        <f>IF(考勤工资!$Y$582=$E$3,1,0)</f>
        <v>0</v>
      </c>
    </row>
    <row r="579">
      <c r="BD579" s="2">
        <f>BD550+SUM(CB551:CB579)</f>
        <v>1</v>
      </c>
      <c r="CB579" s="2">
        <f>IF(考勤工资!$Y$583=$E$3,1,0)</f>
        <v>0</v>
      </c>
    </row>
    <row r="580">
      <c r="BD580" s="2">
        <f>BD550+SUM(CB551:CB580)</f>
        <v>1</v>
      </c>
      <c r="CB580" s="2">
        <f>IF(考勤工资!$Y$584=$E$3,1,0)</f>
        <v>0</v>
      </c>
    </row>
    <row r="581">
      <c r="BD581" s="2">
        <f>BD550+SUM(CB551:CB581)</f>
        <v>1</v>
      </c>
      <c r="CB581" s="2">
        <f>IF(考勤工资!$Y$585=$E$3,1,0)</f>
        <v>0</v>
      </c>
    </row>
    <row r="582">
      <c r="BD582" s="2">
        <f>BD550+SUM(CB551:CB582)</f>
        <v>1</v>
      </c>
      <c r="CB582" s="2">
        <f>IF(考勤工资!$Y$586=$E$3,1,0)</f>
        <v>0</v>
      </c>
    </row>
    <row r="583">
      <c r="BD583" s="2">
        <f>BD550+SUM(CB551:CB583)</f>
        <v>1</v>
      </c>
      <c r="CB583" s="2">
        <f>IF(考勤工资!$Y$587=$E$3,1,0)</f>
        <v>0</v>
      </c>
    </row>
    <row r="584">
      <c r="BD584" s="2">
        <f>BD550+SUM(CB551:CB584)</f>
        <v>1</v>
      </c>
      <c r="CB584" s="2">
        <f>IF(考勤工资!$Y$588=$E$3,1,0)</f>
        <v>0</v>
      </c>
    </row>
    <row r="585">
      <c r="BD585" s="2">
        <f>BD550+SUM(CB551:CB585)</f>
        <v>1</v>
      </c>
      <c r="CB585" s="2">
        <f>IF(考勤工资!$Y$589=$E$3,1,0)</f>
        <v>0</v>
      </c>
    </row>
    <row r="586">
      <c r="BD586" s="2">
        <f>BD550+SUM(CB551:CB586)</f>
        <v>1</v>
      </c>
      <c r="CB586" s="2">
        <f>IF(考勤工资!$Y$590=$E$3,1,0)</f>
        <v>0</v>
      </c>
    </row>
    <row r="587">
      <c r="BD587" s="2">
        <f>BD550+SUM(CB551:CB587)</f>
        <v>1</v>
      </c>
      <c r="CB587" s="2">
        <f>IF(考勤工资!$Y$591=$E$3,1,0)</f>
        <v>0</v>
      </c>
    </row>
    <row r="588">
      <c r="BD588" s="2">
        <f>BD550+SUM(CB551:CB588)</f>
        <v>1</v>
      </c>
      <c r="CB588" s="2">
        <f>IF(考勤工资!$Y$592=$E$3,1,0)</f>
        <v>0</v>
      </c>
    </row>
    <row r="589">
      <c r="BD589" s="2">
        <f>BD550+SUM(CB551:CB589)</f>
        <v>1</v>
      </c>
      <c r="CB589" s="2">
        <f>IF(考勤工资!$Y$593=$E$3,1,0)</f>
        <v>0</v>
      </c>
    </row>
    <row r="590">
      <c r="BD590" s="2">
        <f>BD550+SUM(CB551:CB590)</f>
        <v>1</v>
      </c>
      <c r="CB590" s="2">
        <f>IF(考勤工资!$Y$594=$E$3,1,0)</f>
        <v>0</v>
      </c>
    </row>
    <row r="591">
      <c r="BD591" s="2">
        <f>BD550+SUM(CB551:CB591)</f>
        <v>1</v>
      </c>
      <c r="CB591" s="2">
        <f>IF(考勤工资!$Y$595=$E$3,1,0)</f>
        <v>0</v>
      </c>
    </row>
    <row r="592">
      <c r="BD592" s="2">
        <f>BD550+SUM(CB551:CB592)</f>
        <v>1</v>
      </c>
      <c r="CB592" s="2">
        <f>IF(考勤工资!$Y$596=$E$3,1,0)</f>
        <v>0</v>
      </c>
    </row>
    <row r="593">
      <c r="BD593" s="2">
        <f>BD550+SUM(CB551:CB593)</f>
        <v>1</v>
      </c>
      <c r="CB593" s="2">
        <f>IF(考勤工资!$Y$597=$E$3,1,0)</f>
        <v>0</v>
      </c>
    </row>
    <row r="594">
      <c r="BD594" s="2">
        <f>BD550+SUM(CB551:CB594)</f>
        <v>1</v>
      </c>
      <c r="CB594" s="2">
        <f>IF(考勤工资!$Y$598=$E$3,1,0)</f>
        <v>0</v>
      </c>
    </row>
    <row r="595">
      <c r="BD595" s="2">
        <f>BD550+SUM(CB551:CB595)</f>
        <v>1</v>
      </c>
      <c r="CB595" s="2">
        <f>IF(考勤工资!$Y$599=$E$3,1,0)</f>
        <v>0</v>
      </c>
    </row>
    <row r="596">
      <c r="BD596" s="2">
        <f>BD550+SUM(CB551:CB596)</f>
        <v>1</v>
      </c>
      <c r="CB596" s="2">
        <f>IF(考勤工资!$Y$600=$E$3,1,0)</f>
        <v>0</v>
      </c>
    </row>
    <row r="597">
      <c r="BD597" s="2">
        <f>BD550+SUM(CB551:CB597)</f>
        <v>1</v>
      </c>
      <c r="CB597" s="2">
        <f>IF(考勤工资!$Y$601=$E$3,1,0)</f>
        <v>0</v>
      </c>
    </row>
    <row r="598">
      <c r="BD598" s="2">
        <f>BD550+SUM(CB551:CB598)</f>
        <v>1</v>
      </c>
      <c r="CB598" s="2">
        <f>IF(考勤工资!$Y$602=$E$3,1,0)</f>
        <v>0</v>
      </c>
    </row>
    <row r="599">
      <c r="BD599" s="2">
        <f>BD550+SUM(CB551:CB599)</f>
        <v>1</v>
      </c>
      <c r="CB599" s="2">
        <f>IF(考勤工资!$Y$603=$E$3,1,0)</f>
        <v>0</v>
      </c>
    </row>
    <row r="600">
      <c r="BD600" s="2">
        <f>BD550+SUM(CB551:CB600)</f>
        <v>1</v>
      </c>
      <c r="CB600" s="2">
        <f>IF(考勤工资!$Y$604=$E$3,1,0)</f>
        <v>0</v>
      </c>
    </row>
    <row r="601">
      <c r="BD601" s="2">
        <f>BD600+SUM(CB601:CB601)</f>
        <v>1</v>
      </c>
      <c r="CB601" s="2">
        <f>IF(考勤工资!$Y$605=$E$3,1,0)</f>
        <v>0</v>
      </c>
    </row>
    <row r="602">
      <c r="BD602" s="2">
        <f>BD600+SUM(CB601:CB602)</f>
        <v>1</v>
      </c>
      <c r="CB602" s="2">
        <f>IF(考勤工资!$Y$606=$E$3,1,0)</f>
        <v>0</v>
      </c>
    </row>
    <row r="603">
      <c r="BD603" s="2">
        <f>BD600+SUM(CB601:CB603)</f>
        <v>1</v>
      </c>
      <c r="CB603" s="2">
        <f>IF(考勤工资!$Y$607=$E$3,1,0)</f>
        <v>0</v>
      </c>
    </row>
    <row r="604">
      <c r="BD604" s="2">
        <f>BD600+SUM(CB601:CB604)</f>
        <v>1</v>
      </c>
      <c r="CB604" s="2">
        <f>IF(考勤工资!$Y$608=$E$3,1,0)</f>
        <v>0</v>
      </c>
    </row>
    <row r="605">
      <c r="BD605" s="2">
        <f>BD600+SUM(CB601:CB605)</f>
        <v>1</v>
      </c>
      <c r="CB605" s="2">
        <f>IF(考勤工资!$Y$609=$E$3,1,0)</f>
        <v>0</v>
      </c>
    </row>
    <row r="606">
      <c r="BD606" s="2">
        <f>BD600+SUM(CB601:CB606)</f>
        <v>1</v>
      </c>
      <c r="CB606" s="2">
        <f>IF(考勤工资!$Y$610=$E$3,1,0)</f>
        <v>0</v>
      </c>
    </row>
    <row r="607">
      <c r="BD607" s="2">
        <f>BD600+SUM(CB601:CB607)</f>
        <v>1</v>
      </c>
      <c r="CB607" s="2">
        <f>IF(考勤工资!$Y$611=$E$3,1,0)</f>
        <v>0</v>
      </c>
    </row>
    <row r="608">
      <c r="BD608" s="2">
        <f>BD600+SUM(CB601:CB608)</f>
        <v>1</v>
      </c>
      <c r="CB608" s="2">
        <f>IF(考勤工资!$Y$612=$E$3,1,0)</f>
        <v>0</v>
      </c>
    </row>
    <row r="609">
      <c r="BD609" s="2">
        <f>BD600+SUM(CB601:CB609)</f>
        <v>1</v>
      </c>
      <c r="CB609" s="2">
        <f>IF(考勤工资!$Y$613=$E$3,1,0)</f>
        <v>0</v>
      </c>
    </row>
    <row r="610">
      <c r="BD610" s="2">
        <f>BD600+SUM(CB601:CB610)</f>
        <v>1</v>
      </c>
      <c r="CB610" s="2">
        <f>IF(考勤工资!$Y$614=$E$3,1,0)</f>
        <v>0</v>
      </c>
    </row>
    <row r="611">
      <c r="BD611" s="2">
        <f>BD600+SUM(CB601:CB611)</f>
        <v>1</v>
      </c>
      <c r="CB611" s="2">
        <f>IF(考勤工资!$Y$615=$E$3,1,0)</f>
        <v>0</v>
      </c>
    </row>
    <row r="612">
      <c r="BD612" s="2">
        <f>BD600+SUM(CB601:CB612)</f>
        <v>1</v>
      </c>
      <c r="CB612" s="2">
        <f>IF(考勤工资!$Y$616=$E$3,1,0)</f>
        <v>0</v>
      </c>
    </row>
    <row r="613">
      <c r="BD613" s="2">
        <f>BD600+SUM(CB601:CB613)</f>
        <v>1</v>
      </c>
      <c r="CB613" s="2">
        <f>IF(考勤工资!$Y$617=$E$3,1,0)</f>
        <v>0</v>
      </c>
    </row>
    <row r="614">
      <c r="BD614" s="2">
        <f>BD600+SUM(CB601:CB614)</f>
        <v>1</v>
      </c>
      <c r="CB614" s="2">
        <f>IF(考勤工资!$Y$618=$E$3,1,0)</f>
        <v>0</v>
      </c>
    </row>
    <row r="615">
      <c r="BD615" s="2">
        <f>BD600+SUM(CB601:CB615)</f>
        <v>1</v>
      </c>
      <c r="CB615" s="2">
        <f>IF(考勤工资!$Y$619=$E$3,1,0)</f>
        <v>0</v>
      </c>
    </row>
    <row r="616">
      <c r="BD616" s="2">
        <f>BD600+SUM(CB601:CB616)</f>
        <v>1</v>
      </c>
      <c r="CB616" s="2">
        <f>IF(考勤工资!$Y$620=$E$3,1,0)</f>
        <v>0</v>
      </c>
    </row>
    <row r="617">
      <c r="BD617" s="2">
        <f>BD600+SUM(CB601:CB617)</f>
        <v>1</v>
      </c>
      <c r="CB617" s="2">
        <f>IF(考勤工资!$Y$621=$E$3,1,0)</f>
        <v>0</v>
      </c>
    </row>
    <row r="618">
      <c r="BD618" s="2">
        <f>BD600+SUM(CB601:CB618)</f>
        <v>1</v>
      </c>
      <c r="CB618" s="2">
        <f>IF(考勤工资!$Y$622=$E$3,1,0)</f>
        <v>0</v>
      </c>
    </row>
    <row r="619">
      <c r="BD619" s="2">
        <f>BD600+SUM(CB601:CB619)</f>
        <v>1</v>
      </c>
      <c r="CB619" s="2">
        <f>IF(考勤工资!$Y$623=$E$3,1,0)</f>
        <v>0</v>
      </c>
    </row>
    <row r="620">
      <c r="BD620" s="2">
        <f>BD600+SUM(CB601:CB620)</f>
        <v>1</v>
      </c>
      <c r="CB620" s="2">
        <f>IF(考勤工资!$Y$624=$E$3,1,0)</f>
        <v>0</v>
      </c>
    </row>
    <row r="621">
      <c r="BD621" s="2">
        <f>BD600+SUM(CB601:CB621)</f>
        <v>1</v>
      </c>
      <c r="CB621" s="2">
        <f>IF(考勤工资!$Y$625=$E$3,1,0)</f>
        <v>0</v>
      </c>
    </row>
    <row r="622">
      <c r="BD622" s="2">
        <f>BD600+SUM(CB601:CB622)</f>
        <v>1</v>
      </c>
      <c r="CB622" s="2">
        <f>IF(考勤工资!$Y$626=$E$3,1,0)</f>
        <v>0</v>
      </c>
    </row>
    <row r="623">
      <c r="BD623" s="2">
        <f>BD600+SUM(CB601:CB623)</f>
        <v>1</v>
      </c>
      <c r="CB623" s="2">
        <f>IF(考勤工资!$Y$627=$E$3,1,0)</f>
        <v>0</v>
      </c>
    </row>
    <row r="624">
      <c r="BD624" s="2">
        <f>BD600+SUM(CB601:CB624)</f>
        <v>1</v>
      </c>
      <c r="CB624" s="2">
        <f>IF(考勤工资!$Y$628=$E$3,1,0)</f>
        <v>0</v>
      </c>
    </row>
    <row r="625">
      <c r="BD625" s="2">
        <f>BD600+SUM(CB601:CB625)</f>
        <v>1</v>
      </c>
      <c r="CB625" s="2">
        <f>IF(考勤工资!$Y$629=$E$3,1,0)</f>
        <v>0</v>
      </c>
    </row>
    <row r="626">
      <c r="BD626" s="2">
        <f>BD600+SUM(CB601:CB626)</f>
        <v>1</v>
      </c>
      <c r="CB626" s="2">
        <f>IF(考勤工资!$Y$630=$E$3,1,0)</f>
        <v>0</v>
      </c>
    </row>
    <row r="627">
      <c r="BD627" s="2">
        <f>BD600+SUM(CB601:CB627)</f>
        <v>1</v>
      </c>
      <c r="CB627" s="2">
        <f>IF(考勤工资!$Y$631=$E$3,1,0)</f>
        <v>0</v>
      </c>
    </row>
    <row r="628">
      <c r="BD628" s="2">
        <f>BD600+SUM(CB601:CB628)</f>
        <v>1</v>
      </c>
      <c r="CB628" s="2">
        <f>IF(考勤工资!$Y$632=$E$3,1,0)</f>
        <v>0</v>
      </c>
    </row>
    <row r="629">
      <c r="BD629" s="2">
        <f>BD600+SUM(CB601:CB629)</f>
        <v>1</v>
      </c>
      <c r="CB629" s="2">
        <f>IF(考勤工资!$Y$633=$E$3,1,0)</f>
        <v>0</v>
      </c>
    </row>
    <row r="630">
      <c r="BD630" s="2">
        <f>BD600+SUM(CB601:CB630)</f>
        <v>1</v>
      </c>
      <c r="CB630" s="2">
        <f>IF(考勤工资!$Y$634=$E$3,1,0)</f>
        <v>0</v>
      </c>
    </row>
    <row r="631">
      <c r="BD631" s="2">
        <f>BD600+SUM(CB601:CB631)</f>
        <v>1</v>
      </c>
      <c r="CB631" s="2">
        <f>IF(考勤工资!$Y$635=$E$3,1,0)</f>
        <v>0</v>
      </c>
    </row>
    <row r="632">
      <c r="BD632" s="2">
        <f>BD600+SUM(CB601:CB632)</f>
        <v>1</v>
      </c>
      <c r="CB632" s="2">
        <f>IF(考勤工资!$Y$636=$E$3,1,0)</f>
        <v>0</v>
      </c>
    </row>
    <row r="633">
      <c r="BD633" s="2">
        <f>BD600+SUM(CB601:CB633)</f>
        <v>1</v>
      </c>
      <c r="CB633" s="2">
        <f>IF(考勤工资!$Y$637=$E$3,1,0)</f>
        <v>0</v>
      </c>
    </row>
    <row r="634">
      <c r="BD634" s="2">
        <f>BD600+SUM(CB601:CB634)</f>
        <v>1</v>
      </c>
      <c r="CB634" s="2">
        <f>IF(考勤工资!$Y$638=$E$3,1,0)</f>
        <v>0</v>
      </c>
    </row>
    <row r="635">
      <c r="BD635" s="2">
        <f>BD600+SUM(CB601:CB635)</f>
        <v>1</v>
      </c>
      <c r="CB635" s="2">
        <f>IF(考勤工资!$Y$639=$E$3,1,0)</f>
        <v>0</v>
      </c>
    </row>
    <row r="636">
      <c r="BD636" s="2">
        <f>BD600+SUM(CB601:CB636)</f>
        <v>1</v>
      </c>
      <c r="CB636" s="2">
        <f>IF(考勤工资!$Y$640=$E$3,1,0)</f>
        <v>0</v>
      </c>
    </row>
    <row r="637">
      <c r="BD637" s="2">
        <f>BD600+SUM(CB601:CB637)</f>
        <v>1</v>
      </c>
      <c r="CB637" s="2">
        <f>IF(考勤工资!$Y$641=$E$3,1,0)</f>
        <v>0</v>
      </c>
    </row>
    <row r="638">
      <c r="BD638" s="2">
        <f>BD600+SUM(CB601:CB638)</f>
        <v>1</v>
      </c>
      <c r="CB638" s="2">
        <f>IF(考勤工资!$Y$642=$E$3,1,0)</f>
        <v>0</v>
      </c>
    </row>
    <row r="639">
      <c r="BD639" s="2">
        <f>BD600+SUM(CB601:CB639)</f>
        <v>1</v>
      </c>
      <c r="CB639" s="2">
        <f>IF(考勤工资!$Y$643=$E$3,1,0)</f>
        <v>0</v>
      </c>
    </row>
    <row r="640">
      <c r="BD640" s="2">
        <f>BD600+SUM(CB601:CB640)</f>
        <v>1</v>
      </c>
      <c r="CB640" s="2">
        <f>IF(考勤工资!$Y$644=$E$3,1,0)</f>
        <v>0</v>
      </c>
    </row>
    <row r="641">
      <c r="BD641" s="2">
        <f>BD600+SUM(CB601:CB641)</f>
        <v>1</v>
      </c>
      <c r="CB641" s="2">
        <f>IF(考勤工资!$Y$645=$E$3,1,0)</f>
        <v>0</v>
      </c>
    </row>
    <row r="642">
      <c r="BD642" s="2">
        <f>BD600+SUM(CB601:CB642)</f>
        <v>1</v>
      </c>
      <c r="CB642" s="2">
        <f>IF(考勤工资!$Y$646=$E$3,1,0)</f>
        <v>0</v>
      </c>
    </row>
    <row r="643">
      <c r="BD643" s="2">
        <f>BD600+SUM(CB601:CB643)</f>
        <v>1</v>
      </c>
      <c r="CB643" s="2">
        <f>IF(考勤工资!$Y$647=$E$3,1,0)</f>
        <v>0</v>
      </c>
    </row>
    <row r="644">
      <c r="BD644" s="2">
        <f>BD600+SUM(CB601:CB644)</f>
        <v>1</v>
      </c>
      <c r="CB644" s="2">
        <f>IF(考勤工资!$Y$648=$E$3,1,0)</f>
        <v>0</v>
      </c>
    </row>
    <row r="645">
      <c r="BD645" s="2">
        <f>BD600+SUM(CB601:CB645)</f>
        <v>1</v>
      </c>
      <c r="CB645" s="2">
        <f>IF(考勤工资!$Y$649=$E$3,1,0)</f>
        <v>0</v>
      </c>
    </row>
    <row r="646">
      <c r="BD646" s="2">
        <f>BD600+SUM(CB601:CB646)</f>
        <v>1</v>
      </c>
      <c r="CB646" s="2">
        <f>IF(考勤工资!$Y$650=$E$3,1,0)</f>
        <v>0</v>
      </c>
    </row>
    <row r="647">
      <c r="BD647" s="2">
        <f>BD600+SUM(CB601:CB647)</f>
        <v>1</v>
      </c>
      <c r="CB647" s="2">
        <f>IF(考勤工资!$Y$651=$E$3,1,0)</f>
        <v>0</v>
      </c>
    </row>
    <row r="648">
      <c r="BD648" s="2">
        <f>BD600+SUM(CB601:CB648)</f>
        <v>1</v>
      </c>
      <c r="CB648" s="2">
        <f>IF(考勤工资!$Y$652=$E$3,1,0)</f>
        <v>0</v>
      </c>
    </row>
    <row r="649">
      <c r="BD649" s="2">
        <f>BD600+SUM(CB601:CB649)</f>
        <v>1</v>
      </c>
      <c r="CB649" s="2">
        <f>IF(考勤工资!$Y$653=$E$3,1,0)</f>
        <v>0</v>
      </c>
    </row>
    <row r="650">
      <c r="BD650" s="2">
        <f>BD600+SUM(CB601:CB650)</f>
        <v>1</v>
      </c>
      <c r="CB650" s="2">
        <f>IF(考勤工资!$Y$654=$E$3,1,0)</f>
        <v>0</v>
      </c>
    </row>
    <row r="651">
      <c r="BD651" s="2">
        <f>BD650+SUM(CB651:CB651)</f>
        <v>1</v>
      </c>
      <c r="CB651" s="2">
        <f>IF(考勤工资!$Y$655=$E$3,1,0)</f>
        <v>0</v>
      </c>
    </row>
    <row r="652">
      <c r="BD652" s="2">
        <f>BD650+SUM(CB651:CB652)</f>
        <v>1</v>
      </c>
      <c r="CB652" s="2">
        <f>IF(考勤工资!$Y$656=$E$3,1,0)</f>
        <v>0</v>
      </c>
    </row>
    <row r="653">
      <c r="BD653" s="2">
        <f>BD650+SUM(CB651:CB653)</f>
        <v>1</v>
      </c>
      <c r="CB653" s="2">
        <f>IF(考勤工资!$Y$657=$E$3,1,0)</f>
        <v>0</v>
      </c>
    </row>
    <row r="654">
      <c r="BD654" s="2">
        <f>BD650+SUM(CB651:CB654)</f>
        <v>1</v>
      </c>
      <c r="CB654" s="2">
        <f>IF(考勤工资!$Y$658=$E$3,1,0)</f>
        <v>0</v>
      </c>
    </row>
    <row r="655">
      <c r="BD655" s="2">
        <f>BD650+SUM(CB651:CB655)</f>
        <v>1</v>
      </c>
      <c r="CB655" s="2">
        <f>IF(考勤工资!$Y$659=$E$3,1,0)</f>
        <v>0</v>
      </c>
    </row>
    <row r="656">
      <c r="BD656" s="2">
        <f>BD650+SUM(CB651:CB656)</f>
        <v>1</v>
      </c>
      <c r="CB656" s="2">
        <f>IF(考勤工资!$Y$660=$E$3,1,0)</f>
        <v>0</v>
      </c>
    </row>
    <row r="657">
      <c r="BD657" s="2">
        <f>BD650+SUM(CB651:CB657)</f>
        <v>1</v>
      </c>
      <c r="CB657" s="2">
        <f>IF(考勤工资!$Y$661=$E$3,1,0)</f>
        <v>0</v>
      </c>
    </row>
    <row r="658">
      <c r="BD658" s="2">
        <f>BD650+SUM(CB651:CB658)</f>
        <v>1</v>
      </c>
      <c r="CB658" s="2">
        <f>IF(考勤工资!$Y$662=$E$3,1,0)</f>
        <v>0</v>
      </c>
    </row>
    <row r="659">
      <c r="BD659" s="2">
        <f>BD650+SUM(CB651:CB659)</f>
        <v>1</v>
      </c>
      <c r="CB659" s="2">
        <f>IF(考勤工资!$Y$663=$E$3,1,0)</f>
        <v>0</v>
      </c>
    </row>
    <row r="660">
      <c r="BD660" s="2">
        <f>BD650+SUM(CB651:CB660)</f>
        <v>1</v>
      </c>
      <c r="CB660" s="2">
        <f>IF(考勤工资!$Y$664=$E$3,1,0)</f>
        <v>0</v>
      </c>
    </row>
    <row r="661">
      <c r="BD661" s="2">
        <f>BD650+SUM(CB651:CB661)</f>
        <v>1</v>
      </c>
      <c r="CB661" s="2">
        <f>IF(考勤工资!$Y$665=$E$3,1,0)</f>
        <v>0</v>
      </c>
    </row>
    <row r="662">
      <c r="BD662" s="2">
        <f>BD650+SUM(CB651:CB662)</f>
        <v>1</v>
      </c>
      <c r="CB662" s="2">
        <f>IF(考勤工资!$Y$666=$E$3,1,0)</f>
        <v>0</v>
      </c>
    </row>
    <row r="663">
      <c r="BD663" s="2">
        <f>BD650+SUM(CB651:CB663)</f>
        <v>1</v>
      </c>
      <c r="CB663" s="2">
        <f>IF(考勤工资!$Y$667=$E$3,1,0)</f>
        <v>0</v>
      </c>
    </row>
    <row r="664">
      <c r="BD664" s="2">
        <f>BD650+SUM(CB651:CB664)</f>
        <v>1</v>
      </c>
      <c r="CB664" s="2">
        <f>IF(考勤工资!$Y$668=$E$3,1,0)</f>
        <v>0</v>
      </c>
    </row>
    <row r="665">
      <c r="BD665" s="2">
        <f>BD650+SUM(CB651:CB665)</f>
        <v>1</v>
      </c>
      <c r="CB665" s="2">
        <f>IF(考勤工资!$Y$669=$E$3,1,0)</f>
        <v>0</v>
      </c>
    </row>
    <row r="666">
      <c r="BD666" s="2">
        <f>BD650+SUM(CB651:CB666)</f>
        <v>1</v>
      </c>
      <c r="CB666" s="2">
        <f>IF(考勤工资!$Y$670=$E$3,1,0)</f>
        <v>0</v>
      </c>
    </row>
    <row r="667">
      <c r="BD667" s="2">
        <f>BD650+SUM(CB651:CB667)</f>
        <v>1</v>
      </c>
      <c r="CB667" s="2">
        <f>IF(考勤工资!$Y$671=$E$3,1,0)</f>
        <v>0</v>
      </c>
    </row>
    <row r="668">
      <c r="BD668" s="2">
        <f>BD650+SUM(CB651:CB668)</f>
        <v>1</v>
      </c>
      <c r="CB668" s="2">
        <f>IF(考勤工资!$Y$672=$E$3,1,0)</f>
        <v>0</v>
      </c>
    </row>
    <row r="669">
      <c r="BD669" s="2">
        <f>BD650+SUM(CB651:CB669)</f>
        <v>1</v>
      </c>
      <c r="CB669" s="2">
        <f>IF(考勤工资!$Y$673=$E$3,1,0)</f>
        <v>0</v>
      </c>
    </row>
    <row r="670">
      <c r="BD670" s="2">
        <f>BD650+SUM(CB651:CB670)</f>
        <v>1</v>
      </c>
      <c r="CB670" s="2">
        <f>IF(考勤工资!$Y$674=$E$3,1,0)</f>
        <v>0</v>
      </c>
    </row>
    <row r="671">
      <c r="BD671" s="2">
        <f>BD650+SUM(CB651:CB671)</f>
        <v>1</v>
      </c>
      <c r="CB671" s="2">
        <f>IF(考勤工资!$Y$675=$E$3,1,0)</f>
        <v>0</v>
      </c>
    </row>
    <row r="672">
      <c r="BD672" s="2">
        <f>BD650+SUM(CB651:CB672)</f>
        <v>1</v>
      </c>
      <c r="CB672" s="2">
        <f>IF(考勤工资!$Y$676=$E$3,1,0)</f>
        <v>0</v>
      </c>
    </row>
    <row r="673">
      <c r="BD673" s="2">
        <f>BD650+SUM(CB651:CB673)</f>
        <v>1</v>
      </c>
      <c r="CB673" s="2">
        <f>IF(考勤工资!$Y$677=$E$3,1,0)</f>
        <v>0</v>
      </c>
    </row>
    <row r="674">
      <c r="BD674" s="2">
        <f>BD650+SUM(CB651:CB674)</f>
        <v>1</v>
      </c>
      <c r="CB674" s="2">
        <f>IF(考勤工资!$Y$678=$E$3,1,0)</f>
        <v>0</v>
      </c>
    </row>
    <row r="675">
      <c r="BD675" s="2">
        <f>BD650+SUM(CB651:CB675)</f>
        <v>1</v>
      </c>
      <c r="CB675" s="2">
        <f>IF(考勤工资!$Y$679=$E$3,1,0)</f>
        <v>0</v>
      </c>
    </row>
    <row r="676">
      <c r="BD676" s="2">
        <f>BD650+SUM(CB651:CB676)</f>
        <v>1</v>
      </c>
      <c r="CB676" s="2">
        <f>IF(考勤工资!$Y$680=$E$3,1,0)</f>
        <v>0</v>
      </c>
    </row>
    <row r="677">
      <c r="BD677" s="2">
        <f>BD650+SUM(CB651:CB677)</f>
        <v>1</v>
      </c>
      <c r="CB677" s="2">
        <f>IF(考勤工资!$Y$681=$E$3,1,0)</f>
        <v>0</v>
      </c>
    </row>
    <row r="678">
      <c r="BD678" s="2">
        <f>BD650+SUM(CB651:CB678)</f>
        <v>1</v>
      </c>
      <c r="CB678" s="2">
        <f>IF(考勤工资!$Y$682=$E$3,1,0)</f>
        <v>0</v>
      </c>
    </row>
    <row r="679">
      <c r="BD679" s="2">
        <f>BD650+SUM(CB651:CB679)</f>
        <v>1</v>
      </c>
      <c r="CB679" s="2">
        <f>IF(考勤工资!$Y$683=$E$3,1,0)</f>
        <v>0</v>
      </c>
    </row>
    <row r="680">
      <c r="BD680" s="2">
        <f>BD650+SUM(CB651:CB680)</f>
        <v>1</v>
      </c>
      <c r="CB680" s="2">
        <f>IF(考勤工资!$Y$684=$E$3,1,0)</f>
        <v>0</v>
      </c>
    </row>
    <row r="681">
      <c r="BD681" s="2">
        <f>BD650+SUM(CB651:CB681)</f>
        <v>1</v>
      </c>
      <c r="CB681" s="2">
        <f>IF(考勤工资!$Y$685=$E$3,1,0)</f>
        <v>0</v>
      </c>
    </row>
    <row r="682">
      <c r="BD682" s="2">
        <f>BD650+SUM(CB651:CB682)</f>
        <v>1</v>
      </c>
      <c r="CB682" s="2">
        <f>IF(考勤工资!$Y$686=$E$3,1,0)</f>
        <v>0</v>
      </c>
    </row>
    <row r="683">
      <c r="BD683" s="2">
        <f>BD650+SUM(CB651:CB683)</f>
        <v>1</v>
      </c>
      <c r="CB683" s="2">
        <f>IF(考勤工资!$Y$687=$E$3,1,0)</f>
        <v>0</v>
      </c>
    </row>
    <row r="684">
      <c r="BD684" s="2">
        <f>BD650+SUM(CB651:CB684)</f>
        <v>1</v>
      </c>
      <c r="CB684" s="2">
        <f>IF(考勤工资!$Y$688=$E$3,1,0)</f>
        <v>0</v>
      </c>
    </row>
    <row r="685">
      <c r="BD685" s="2">
        <f>BD650+SUM(CB651:CB685)</f>
        <v>1</v>
      </c>
      <c r="CB685" s="2">
        <f>IF(考勤工资!$Y$689=$E$3,1,0)</f>
        <v>0</v>
      </c>
    </row>
    <row r="686">
      <c r="BD686" s="2">
        <f>BD650+SUM(CB651:CB686)</f>
        <v>1</v>
      </c>
      <c r="CB686" s="2">
        <f>IF(考勤工资!$Y$690=$E$3,1,0)</f>
        <v>0</v>
      </c>
    </row>
    <row r="687">
      <c r="BD687" s="2">
        <f>BD650+SUM(CB651:CB687)</f>
        <v>1</v>
      </c>
      <c r="CB687" s="2">
        <f>IF(考勤工资!$Y$691=$E$3,1,0)</f>
        <v>0</v>
      </c>
    </row>
    <row r="688">
      <c r="BD688" s="2">
        <f>BD650+SUM(CB651:CB688)</f>
        <v>1</v>
      </c>
      <c r="CB688" s="2">
        <f>IF(考勤工资!$Y$692=$E$3,1,0)</f>
        <v>0</v>
      </c>
    </row>
    <row r="689">
      <c r="BD689" s="2">
        <f>BD650+SUM(CB651:CB689)</f>
        <v>1</v>
      </c>
      <c r="CB689" s="2">
        <f>IF(考勤工资!$Y$693=$E$3,1,0)</f>
        <v>0</v>
      </c>
    </row>
    <row r="690">
      <c r="BD690" s="2">
        <f>BD650+SUM(CB651:CB690)</f>
        <v>1</v>
      </c>
      <c r="CB690" s="2">
        <f>IF(考勤工资!$Y$694=$E$3,1,0)</f>
        <v>0</v>
      </c>
    </row>
    <row r="691">
      <c r="BD691" s="2">
        <f>BD650+SUM(CB651:CB691)</f>
        <v>1</v>
      </c>
      <c r="CB691" s="2">
        <f>IF(考勤工资!$Y$695=$E$3,1,0)</f>
        <v>0</v>
      </c>
    </row>
    <row r="692">
      <c r="BD692" s="2">
        <f>BD650+SUM(CB651:CB692)</f>
        <v>1</v>
      </c>
      <c r="CB692" s="2">
        <f>IF(考勤工资!$Y$696=$E$3,1,0)</f>
        <v>0</v>
      </c>
    </row>
    <row r="693">
      <c r="BD693" s="2">
        <f>BD650+SUM(CB651:CB693)</f>
        <v>1</v>
      </c>
      <c r="CB693" s="2">
        <f>IF(考勤工资!$Y$697=$E$3,1,0)</f>
        <v>0</v>
      </c>
    </row>
    <row r="694">
      <c r="BD694" s="2">
        <f>BD650+SUM(CB651:CB694)</f>
        <v>1</v>
      </c>
      <c r="CB694" s="2">
        <f>IF(考勤工资!$Y$698=$E$3,1,0)</f>
        <v>0</v>
      </c>
    </row>
    <row r="695">
      <c r="BD695" s="2">
        <f>BD650+SUM(CB651:CB695)</f>
        <v>1</v>
      </c>
      <c r="CB695" s="2">
        <f>IF(考勤工资!$Y$699=$E$3,1,0)</f>
        <v>0</v>
      </c>
    </row>
    <row r="696">
      <c r="BD696" s="2">
        <f>BD650+SUM(CB651:CB696)</f>
        <v>1</v>
      </c>
      <c r="CB696" s="2">
        <f>IF(考勤工资!$Y$700=$E$3,1,0)</f>
        <v>0</v>
      </c>
    </row>
    <row r="697">
      <c r="BD697" s="2">
        <f>BD650+SUM(CB651:CB697)</f>
        <v>1</v>
      </c>
      <c r="CB697" s="2">
        <f>IF(考勤工资!$Y$701=$E$3,1,0)</f>
        <v>0</v>
      </c>
    </row>
    <row r="698">
      <c r="BD698" s="2">
        <f>BD650+SUM(CB651:CB698)</f>
        <v>1</v>
      </c>
      <c r="CB698" s="2">
        <f>IF(考勤工资!$Y$702=$E$3,1,0)</f>
        <v>0</v>
      </c>
    </row>
    <row r="699">
      <c r="BD699" s="2">
        <f>BD650+SUM(CB651:CB699)</f>
        <v>1</v>
      </c>
      <c r="CB699" s="2">
        <f>IF(考勤工资!$Y$703=$E$3,1,0)</f>
        <v>0</v>
      </c>
    </row>
    <row r="700">
      <c r="BD700" s="2">
        <f>BD650+SUM(CB651:CB700)</f>
        <v>1</v>
      </c>
      <c r="CB700" s="2">
        <f>IF(考勤工资!$Y$704=$E$3,1,0)</f>
        <v>0</v>
      </c>
    </row>
    <row r="701">
      <c r="BD701" s="2">
        <f>BD700+SUM(CB701:CB701)</f>
        <v>1</v>
      </c>
      <c r="CB701" s="2">
        <f>IF(考勤工资!$Y$705=$E$3,1,0)</f>
        <v>0</v>
      </c>
    </row>
    <row r="702">
      <c r="BD702" s="2">
        <f>BD700+SUM(CB701:CB702)</f>
        <v>1</v>
      </c>
      <c r="CB702" s="2">
        <f>IF(考勤工资!$Y$706=$E$3,1,0)</f>
        <v>0</v>
      </c>
    </row>
    <row r="703">
      <c r="BD703" s="2">
        <f>BD700+SUM(CB701:CB703)</f>
        <v>1</v>
      </c>
      <c r="CB703" s="2">
        <f>IF(考勤工资!$Y$707=$E$3,1,0)</f>
        <v>0</v>
      </c>
    </row>
    <row r="704">
      <c r="BD704" s="2">
        <f>BD700+SUM(CB701:CB704)</f>
        <v>1</v>
      </c>
      <c r="CB704" s="2">
        <f>IF(考勤工资!$Y$708=$E$3,1,0)</f>
        <v>0</v>
      </c>
    </row>
    <row r="705">
      <c r="BD705" s="2">
        <f>BD700+SUM(CB701:CB705)</f>
        <v>1</v>
      </c>
      <c r="CB705" s="2">
        <f>IF(考勤工资!$Y$709=$E$3,1,0)</f>
        <v>0</v>
      </c>
    </row>
    <row r="706">
      <c r="BD706" s="2">
        <f>BD700+SUM(CB701:CB706)</f>
        <v>1</v>
      </c>
      <c r="CB706" s="2">
        <f>IF(考勤工资!$Y$710=$E$3,1,0)</f>
        <v>0</v>
      </c>
    </row>
    <row r="707">
      <c r="BD707" s="2">
        <f>BD700+SUM(CB701:CB707)</f>
        <v>1</v>
      </c>
      <c r="CB707" s="2">
        <f>IF(考勤工资!$Y$711=$E$3,1,0)</f>
        <v>0</v>
      </c>
    </row>
    <row r="708">
      <c r="BD708" s="2">
        <f>BD700+SUM(CB701:CB708)</f>
        <v>1</v>
      </c>
      <c r="CB708" s="2">
        <f>IF(考勤工资!$Y$712=$E$3,1,0)</f>
        <v>0</v>
      </c>
    </row>
    <row r="709">
      <c r="BD709" s="2">
        <f>BD700+SUM(CB701:CB709)</f>
        <v>1</v>
      </c>
      <c r="CB709" s="2">
        <f>IF(考勤工资!$Y$713=$E$3,1,0)</f>
        <v>0</v>
      </c>
    </row>
    <row r="710">
      <c r="BD710" s="2">
        <f>BD700+SUM(CB701:CB710)</f>
        <v>1</v>
      </c>
      <c r="CB710" s="2">
        <f>IF(考勤工资!$Y$714=$E$3,1,0)</f>
        <v>0</v>
      </c>
    </row>
    <row r="711">
      <c r="BD711" s="2">
        <f>BD700+SUM(CB701:CB711)</f>
        <v>1</v>
      </c>
      <c r="CB711" s="2">
        <f>IF(考勤工资!$Y$715=$E$3,1,0)</f>
        <v>0</v>
      </c>
    </row>
    <row r="712">
      <c r="BD712" s="2">
        <f>BD700+SUM(CB701:CB712)</f>
        <v>1</v>
      </c>
      <c r="CB712" s="2">
        <f>IF(考勤工资!$Y$716=$E$3,1,0)</f>
        <v>0</v>
      </c>
    </row>
    <row r="713">
      <c r="BD713" s="2">
        <f>BD700+SUM(CB701:CB713)</f>
        <v>1</v>
      </c>
      <c r="CB713" s="2">
        <f>IF(考勤工资!$Y$717=$E$3,1,0)</f>
        <v>0</v>
      </c>
    </row>
    <row r="714">
      <c r="BD714" s="2">
        <f>BD700+SUM(CB701:CB714)</f>
        <v>1</v>
      </c>
      <c r="CB714" s="2">
        <f>IF(考勤工资!$Y$718=$E$3,1,0)</f>
        <v>0</v>
      </c>
    </row>
    <row r="715">
      <c r="BD715" s="2">
        <f>BD700+SUM(CB701:CB715)</f>
        <v>1</v>
      </c>
      <c r="CB715" s="2">
        <f>IF(考勤工资!$Y$719=$E$3,1,0)</f>
        <v>0</v>
      </c>
    </row>
    <row r="716">
      <c r="BD716" s="2">
        <f>BD700+SUM(CB701:CB716)</f>
        <v>1</v>
      </c>
      <c r="CB716" s="2">
        <f>IF(考勤工资!$Y$720=$E$3,1,0)</f>
        <v>0</v>
      </c>
    </row>
    <row r="717">
      <c r="BD717" s="2">
        <f>BD700+SUM(CB701:CB717)</f>
        <v>1</v>
      </c>
      <c r="CB717" s="2">
        <f>IF(考勤工资!$Y$721=$E$3,1,0)</f>
        <v>0</v>
      </c>
    </row>
    <row r="718">
      <c r="BD718" s="2">
        <f>BD700+SUM(CB701:CB718)</f>
        <v>1</v>
      </c>
      <c r="CB718" s="2">
        <f>IF(考勤工资!$Y$722=$E$3,1,0)</f>
        <v>0</v>
      </c>
    </row>
    <row r="719">
      <c r="BD719" s="2">
        <f>BD700+SUM(CB701:CB719)</f>
        <v>1</v>
      </c>
      <c r="CB719" s="2">
        <f>IF(考勤工资!$Y$723=$E$3,1,0)</f>
        <v>0</v>
      </c>
    </row>
    <row r="720">
      <c r="BD720" s="2">
        <f>BD700+SUM(CB701:CB720)</f>
        <v>1</v>
      </c>
      <c r="CB720" s="2">
        <f>IF(考勤工资!$Y$724=$E$3,1,0)</f>
        <v>0</v>
      </c>
    </row>
    <row r="721">
      <c r="BD721" s="2">
        <f>BD700+SUM(CB701:CB721)</f>
        <v>1</v>
      </c>
      <c r="CB721" s="2">
        <f>IF(考勤工资!$Y$725=$E$3,1,0)</f>
        <v>0</v>
      </c>
    </row>
    <row r="722">
      <c r="BD722" s="2">
        <f>BD700+SUM(CB701:CB722)</f>
        <v>1</v>
      </c>
      <c r="CB722" s="2">
        <f>IF(考勤工资!$Y$726=$E$3,1,0)</f>
        <v>0</v>
      </c>
    </row>
    <row r="723">
      <c r="BD723" s="2">
        <f>BD700+SUM(CB701:CB723)</f>
        <v>1</v>
      </c>
      <c r="CB723" s="2">
        <f>IF(考勤工资!$Y$727=$E$3,1,0)</f>
        <v>0</v>
      </c>
    </row>
    <row r="724">
      <c r="BD724" s="2">
        <f>BD700+SUM(CB701:CB724)</f>
        <v>1</v>
      </c>
      <c r="CB724" s="2">
        <f>IF(考勤工资!$Y$728=$E$3,1,0)</f>
        <v>0</v>
      </c>
    </row>
    <row r="725">
      <c r="BD725" s="2">
        <f>BD700+SUM(CB701:CB725)</f>
        <v>1</v>
      </c>
      <c r="CB725" s="2">
        <f>IF(考勤工资!$Y$729=$E$3,1,0)</f>
        <v>0</v>
      </c>
    </row>
    <row r="726">
      <c r="BD726" s="2">
        <f>BD700+SUM(CB701:CB726)</f>
        <v>1</v>
      </c>
      <c r="CB726" s="2">
        <f>IF(考勤工资!$Y$730=$E$3,1,0)</f>
        <v>0</v>
      </c>
    </row>
    <row r="727">
      <c r="BD727" s="2">
        <f>BD700+SUM(CB701:CB727)</f>
        <v>1</v>
      </c>
      <c r="CB727" s="2">
        <f>IF(考勤工资!$Y$731=$E$3,1,0)</f>
        <v>0</v>
      </c>
    </row>
    <row r="728">
      <c r="BD728" s="2">
        <f>BD700+SUM(CB701:CB728)</f>
        <v>1</v>
      </c>
      <c r="CB728" s="2">
        <f>IF(考勤工资!$Y$732=$E$3,1,0)</f>
        <v>0</v>
      </c>
    </row>
    <row r="729">
      <c r="BD729" s="2">
        <f>BD700+SUM(CB701:CB729)</f>
        <v>1</v>
      </c>
      <c r="CB729" s="2">
        <f>IF(考勤工资!$Y$733=$E$3,1,0)</f>
        <v>0</v>
      </c>
    </row>
    <row r="730">
      <c r="BD730" s="2">
        <f>BD700+SUM(CB701:CB730)</f>
        <v>1</v>
      </c>
      <c r="CB730" s="2">
        <f>IF(考勤工资!$Y$734=$E$3,1,0)</f>
        <v>0</v>
      </c>
    </row>
    <row r="731">
      <c r="BD731" s="2">
        <f>BD700+SUM(CB701:CB731)</f>
        <v>1</v>
      </c>
      <c r="CB731" s="2">
        <f>IF(考勤工资!$Y$735=$E$3,1,0)</f>
        <v>0</v>
      </c>
    </row>
    <row r="732">
      <c r="BD732" s="2">
        <f>BD700+SUM(CB701:CB732)</f>
        <v>1</v>
      </c>
      <c r="CB732" s="2">
        <f>IF(考勤工资!$Y$736=$E$3,1,0)</f>
        <v>0</v>
      </c>
    </row>
    <row r="733">
      <c r="BD733" s="2">
        <f>BD700+SUM(CB701:CB733)</f>
        <v>1</v>
      </c>
      <c r="CB733" s="2">
        <f>IF(考勤工资!$Y$737=$E$3,1,0)</f>
        <v>0</v>
      </c>
    </row>
    <row r="734">
      <c r="BD734" s="2">
        <f>BD700+SUM(CB701:CB734)</f>
        <v>1</v>
      </c>
      <c r="CB734" s="2">
        <f>IF(考勤工资!$Y$738=$E$3,1,0)</f>
        <v>0</v>
      </c>
    </row>
    <row r="735">
      <c r="BD735" s="2">
        <f>BD700+SUM(CB701:CB735)</f>
        <v>1</v>
      </c>
      <c r="CB735" s="2">
        <f>IF(考勤工资!$Y$739=$E$3,1,0)</f>
        <v>0</v>
      </c>
    </row>
    <row r="736">
      <c r="BD736" s="2">
        <f>BD700+SUM(CB701:CB736)</f>
        <v>1</v>
      </c>
      <c r="CB736" s="2">
        <f>IF(考勤工资!$Y$740=$E$3,1,0)</f>
        <v>0</v>
      </c>
    </row>
    <row r="737">
      <c r="BD737" s="2">
        <f>BD700+SUM(CB701:CB737)</f>
        <v>1</v>
      </c>
      <c r="CB737" s="2">
        <f>IF(考勤工资!$Y$741=$E$3,1,0)</f>
        <v>0</v>
      </c>
    </row>
    <row r="738">
      <c r="BD738" s="2">
        <f>BD700+SUM(CB701:CB738)</f>
        <v>1</v>
      </c>
      <c r="CB738" s="2">
        <f>IF(考勤工资!$Y$742=$E$3,1,0)</f>
        <v>0</v>
      </c>
    </row>
    <row r="739">
      <c r="BD739" s="2">
        <f>BD700+SUM(CB701:CB739)</f>
        <v>1</v>
      </c>
      <c r="CB739" s="2">
        <f>IF(考勤工资!$Y$743=$E$3,1,0)</f>
        <v>0</v>
      </c>
    </row>
    <row r="740">
      <c r="BD740" s="2">
        <f>BD700+SUM(CB701:CB740)</f>
        <v>1</v>
      </c>
      <c r="CB740" s="2">
        <f>IF(考勤工资!$Y$744=$E$3,1,0)</f>
        <v>0</v>
      </c>
    </row>
    <row r="741">
      <c r="BD741" s="2">
        <f>BD700+SUM(CB701:CB741)</f>
        <v>1</v>
      </c>
      <c r="CB741" s="2">
        <f>IF(考勤工资!$Y$745=$E$3,1,0)</f>
        <v>0</v>
      </c>
    </row>
    <row r="742">
      <c r="BD742" s="2">
        <f>BD700+SUM(CB701:CB742)</f>
        <v>1</v>
      </c>
      <c r="CB742" s="2">
        <f>IF(考勤工资!$Y$746=$E$3,1,0)</f>
        <v>0</v>
      </c>
    </row>
    <row r="743">
      <c r="BD743" s="2">
        <f>BD700+SUM(CB701:CB743)</f>
        <v>1</v>
      </c>
      <c r="CB743" s="2">
        <f>IF(考勤工资!$Y$747=$E$3,1,0)</f>
        <v>0</v>
      </c>
    </row>
    <row r="744">
      <c r="BD744" s="2">
        <f>BD700+SUM(CB701:CB744)</f>
        <v>1</v>
      </c>
      <c r="CB744" s="2">
        <f>IF(考勤工资!$Y$748=$E$3,1,0)</f>
        <v>0</v>
      </c>
    </row>
    <row r="745">
      <c r="BD745" s="2">
        <f>BD700+SUM(CB701:CB745)</f>
        <v>1</v>
      </c>
      <c r="CB745" s="2">
        <f>IF(考勤工资!$Y$749=$E$3,1,0)</f>
        <v>0</v>
      </c>
    </row>
    <row r="746">
      <c r="BD746" s="2">
        <f>BD700+SUM(CB701:CB746)</f>
        <v>1</v>
      </c>
      <c r="CB746" s="2">
        <f>IF(考勤工资!$Y$750=$E$3,1,0)</f>
        <v>0</v>
      </c>
    </row>
    <row r="747">
      <c r="BD747" s="2">
        <f>BD700+SUM(CB701:CB747)</f>
        <v>1</v>
      </c>
      <c r="CB747" s="2">
        <f>IF(考勤工资!$Y$751=$E$3,1,0)</f>
        <v>0</v>
      </c>
    </row>
    <row r="748">
      <c r="BD748" s="2">
        <f>BD700+SUM(CB701:CB748)</f>
        <v>1</v>
      </c>
      <c r="CB748" s="2">
        <f>IF(考勤工资!$Y$752=$E$3,1,0)</f>
        <v>0</v>
      </c>
    </row>
    <row r="749">
      <c r="BD749" s="2">
        <f>BD700+SUM(CB701:CB749)</f>
        <v>1</v>
      </c>
      <c r="CB749" s="2">
        <f>IF(考勤工资!$Y$753=$E$3,1,0)</f>
        <v>0</v>
      </c>
    </row>
    <row r="750">
      <c r="BD750" s="2">
        <f>BD700+SUM(CB701:CB750)</f>
        <v>1</v>
      </c>
      <c r="CB750" s="2">
        <f>IF(考勤工资!$Y$754=$E$3,1,0)</f>
        <v>0</v>
      </c>
    </row>
    <row r="751">
      <c r="BD751" s="2">
        <f>BD750+SUM(CB751:CB751)</f>
        <v>1</v>
      </c>
      <c r="CB751" s="2">
        <f>IF(考勤工资!$Y$755=$E$3,1,0)</f>
        <v>0</v>
      </c>
    </row>
    <row r="752">
      <c r="BD752" s="2">
        <f>BD750+SUM(CB751:CB752)</f>
        <v>1</v>
      </c>
      <c r="CB752" s="2">
        <f>IF(考勤工资!$Y$756=$E$3,1,0)</f>
        <v>0</v>
      </c>
    </row>
    <row r="753">
      <c r="BD753" s="2">
        <f>BD750+SUM(CB751:CB753)</f>
        <v>1</v>
      </c>
      <c r="CB753" s="2">
        <f>IF(考勤工资!$Y$757=$E$3,1,0)</f>
        <v>0</v>
      </c>
    </row>
    <row r="754">
      <c r="BD754" s="2">
        <f>BD750+SUM(CB751:CB754)</f>
        <v>1</v>
      </c>
      <c r="CB754" s="2">
        <f>IF(考勤工资!$Y$758=$E$3,1,0)</f>
        <v>0</v>
      </c>
    </row>
    <row r="755">
      <c r="BD755" s="2">
        <f>BD750+SUM(CB751:CB755)</f>
        <v>1</v>
      </c>
      <c r="CB755" s="2">
        <f>IF(考勤工资!$Y$759=$E$3,1,0)</f>
        <v>0</v>
      </c>
    </row>
    <row r="756">
      <c r="BD756" s="2">
        <f>BD750+SUM(CB751:CB756)</f>
        <v>1</v>
      </c>
      <c r="CB756" s="2">
        <f>IF(考勤工资!$Y$760=$E$3,1,0)</f>
        <v>0</v>
      </c>
    </row>
    <row r="757">
      <c r="BD757" s="2">
        <f>BD750+SUM(CB751:CB757)</f>
        <v>1</v>
      </c>
      <c r="CB757" s="2">
        <f>IF(考勤工资!$Y$761=$E$3,1,0)</f>
        <v>0</v>
      </c>
    </row>
    <row r="758">
      <c r="BD758" s="2">
        <f>BD750+SUM(CB751:CB758)</f>
        <v>1</v>
      </c>
      <c r="CB758" s="2">
        <f>IF(考勤工资!$Y$762=$E$3,1,0)</f>
        <v>0</v>
      </c>
    </row>
    <row r="759">
      <c r="BD759" s="2">
        <f>BD750+SUM(CB751:CB759)</f>
        <v>1</v>
      </c>
      <c r="CB759" s="2">
        <f>IF(考勤工资!$Y$763=$E$3,1,0)</f>
        <v>0</v>
      </c>
    </row>
    <row r="760">
      <c r="BD760" s="2">
        <f>BD750+SUM(CB751:CB760)</f>
        <v>1</v>
      </c>
      <c r="CB760" s="2">
        <f>IF(考勤工资!$Y$764=$E$3,1,0)</f>
        <v>0</v>
      </c>
    </row>
    <row r="761">
      <c r="BD761" s="2">
        <f>BD750+SUM(CB751:CB761)</f>
        <v>1</v>
      </c>
      <c r="CB761" s="2">
        <f>IF(考勤工资!$Y$765=$E$3,1,0)</f>
        <v>0</v>
      </c>
    </row>
    <row r="762">
      <c r="BD762" s="2">
        <f>BD750+SUM(CB751:CB762)</f>
        <v>1</v>
      </c>
      <c r="CB762" s="2">
        <f>IF(考勤工资!$Y$766=$E$3,1,0)</f>
        <v>0</v>
      </c>
    </row>
    <row r="763">
      <c r="BD763" s="2">
        <f>BD750+SUM(CB751:CB763)</f>
        <v>1</v>
      </c>
      <c r="CB763" s="2">
        <f>IF(考勤工资!$Y$767=$E$3,1,0)</f>
        <v>0</v>
      </c>
    </row>
    <row r="764">
      <c r="BD764" s="2">
        <f>BD750+SUM(CB751:CB764)</f>
        <v>1</v>
      </c>
      <c r="CB764" s="2">
        <f>IF(考勤工资!$Y$768=$E$3,1,0)</f>
        <v>0</v>
      </c>
    </row>
    <row r="765">
      <c r="BD765" s="2">
        <f>BD750+SUM(CB751:CB765)</f>
        <v>1</v>
      </c>
      <c r="CB765" s="2">
        <f>IF(考勤工资!$Y$769=$E$3,1,0)</f>
        <v>0</v>
      </c>
    </row>
    <row r="766">
      <c r="BD766" s="2">
        <f>BD750+SUM(CB751:CB766)</f>
        <v>1</v>
      </c>
      <c r="CB766" s="2">
        <f>IF(考勤工资!$Y$770=$E$3,1,0)</f>
        <v>0</v>
      </c>
    </row>
    <row r="767">
      <c r="BD767" s="2">
        <f>BD750+SUM(CB751:CB767)</f>
        <v>1</v>
      </c>
      <c r="CB767" s="2">
        <f>IF(考勤工资!$Y$771=$E$3,1,0)</f>
        <v>0</v>
      </c>
    </row>
    <row r="768">
      <c r="BD768" s="2">
        <f>BD750+SUM(CB751:CB768)</f>
        <v>1</v>
      </c>
      <c r="CB768" s="2">
        <f>IF(考勤工资!$Y$772=$E$3,1,0)</f>
        <v>0</v>
      </c>
    </row>
    <row r="769">
      <c r="BD769" s="2">
        <f>BD750+SUM(CB751:CB769)</f>
        <v>1</v>
      </c>
      <c r="CB769" s="2">
        <f>IF(考勤工资!$Y$773=$E$3,1,0)</f>
        <v>0</v>
      </c>
    </row>
    <row r="770">
      <c r="BD770" s="2">
        <f>BD750+SUM(CB751:CB770)</f>
        <v>1</v>
      </c>
      <c r="CB770" s="2">
        <f>IF(考勤工资!$Y$774=$E$3,1,0)</f>
        <v>0</v>
      </c>
    </row>
    <row r="771">
      <c r="BD771" s="2">
        <f>BD750+SUM(CB751:CB771)</f>
        <v>1</v>
      </c>
      <c r="CB771" s="2">
        <f>IF(考勤工资!$Y$775=$E$3,1,0)</f>
        <v>0</v>
      </c>
    </row>
    <row r="772">
      <c r="BD772" s="2">
        <f>BD750+SUM(CB751:CB772)</f>
        <v>1</v>
      </c>
      <c r="CB772" s="2">
        <f>IF(考勤工资!$Y$776=$E$3,1,0)</f>
        <v>0</v>
      </c>
    </row>
    <row r="773">
      <c r="BD773" s="2">
        <f>BD750+SUM(CB751:CB773)</f>
        <v>1</v>
      </c>
      <c r="CB773" s="2">
        <f>IF(考勤工资!$Y$777=$E$3,1,0)</f>
        <v>0</v>
      </c>
    </row>
    <row r="774">
      <c r="BD774" s="2">
        <f>BD750+SUM(CB751:CB774)</f>
        <v>1</v>
      </c>
      <c r="CB774" s="2">
        <f>IF(考勤工资!$Y$778=$E$3,1,0)</f>
        <v>0</v>
      </c>
    </row>
    <row r="775">
      <c r="BD775" s="2">
        <f>BD750+SUM(CB751:CB775)</f>
        <v>1</v>
      </c>
      <c r="CB775" s="2">
        <f>IF(考勤工资!$Y$779=$E$3,1,0)</f>
        <v>0</v>
      </c>
    </row>
    <row r="776">
      <c r="BD776" s="2">
        <f>BD750+SUM(CB751:CB776)</f>
        <v>1</v>
      </c>
      <c r="CB776" s="2">
        <f>IF(考勤工资!$Y$780=$E$3,1,0)</f>
        <v>0</v>
      </c>
    </row>
    <row r="777">
      <c r="BD777" s="2">
        <f>BD750+SUM(CB751:CB777)</f>
        <v>1</v>
      </c>
      <c r="CB777" s="2">
        <f>IF(考勤工资!$Y$781=$E$3,1,0)</f>
        <v>0</v>
      </c>
    </row>
    <row r="778">
      <c r="BD778" s="2">
        <f>BD750+SUM(CB751:CB778)</f>
        <v>1</v>
      </c>
      <c r="CB778" s="2">
        <f>IF(考勤工资!$Y$782=$E$3,1,0)</f>
        <v>0</v>
      </c>
    </row>
    <row r="779">
      <c r="BD779" s="2">
        <f>BD750+SUM(CB751:CB779)</f>
        <v>1</v>
      </c>
      <c r="CB779" s="2">
        <f>IF(考勤工资!$Y$783=$E$3,1,0)</f>
        <v>0</v>
      </c>
    </row>
    <row r="780">
      <c r="BD780" s="2">
        <f>BD750+SUM(CB751:CB780)</f>
        <v>1</v>
      </c>
      <c r="CB780" s="2">
        <f>IF(考勤工资!$Y$784=$E$3,1,0)</f>
        <v>0</v>
      </c>
    </row>
    <row r="781">
      <c r="BD781" s="2">
        <f>BD750+SUM(CB751:CB781)</f>
        <v>1</v>
      </c>
      <c r="CB781" s="2">
        <f>IF(考勤工资!$Y$785=$E$3,1,0)</f>
        <v>0</v>
      </c>
    </row>
    <row r="782">
      <c r="BD782" s="2">
        <f>BD750+SUM(CB751:CB782)</f>
        <v>1</v>
      </c>
      <c r="CB782" s="2">
        <f>IF(考勤工资!$Y$786=$E$3,1,0)</f>
        <v>0</v>
      </c>
    </row>
    <row r="783">
      <c r="BD783" s="2">
        <f>BD750+SUM(CB751:CB783)</f>
        <v>1</v>
      </c>
      <c r="CB783" s="2">
        <f>IF(考勤工资!$Y$787=$E$3,1,0)</f>
        <v>0</v>
      </c>
    </row>
    <row r="784">
      <c r="BD784" s="2">
        <f>BD750+SUM(CB751:CB784)</f>
        <v>1</v>
      </c>
      <c r="CB784" s="2">
        <f>IF(考勤工资!$Y$788=$E$3,1,0)</f>
        <v>0</v>
      </c>
    </row>
    <row r="785">
      <c r="BD785" s="2">
        <f>BD750+SUM(CB751:CB785)</f>
        <v>1</v>
      </c>
      <c r="CB785" s="2">
        <f>IF(考勤工资!$Y$789=$E$3,1,0)</f>
        <v>0</v>
      </c>
    </row>
    <row r="786">
      <c r="BD786" s="2">
        <f>BD750+SUM(CB751:CB786)</f>
        <v>1</v>
      </c>
      <c r="CB786" s="2">
        <f>IF(考勤工资!$Y$790=$E$3,1,0)</f>
        <v>0</v>
      </c>
    </row>
    <row r="787">
      <c r="BD787" s="2">
        <f>BD750+SUM(CB751:CB787)</f>
        <v>1</v>
      </c>
      <c r="CB787" s="2">
        <f>IF(考勤工资!$Y$791=$E$3,1,0)</f>
        <v>0</v>
      </c>
    </row>
    <row r="788">
      <c r="BD788" s="2">
        <f>BD750+SUM(CB751:CB788)</f>
        <v>1</v>
      </c>
      <c r="CB788" s="2">
        <f>IF(考勤工资!$Y$792=$E$3,1,0)</f>
        <v>0</v>
      </c>
    </row>
    <row r="789">
      <c r="BD789" s="2">
        <f>BD750+SUM(CB751:CB789)</f>
        <v>1</v>
      </c>
      <c r="CB789" s="2">
        <f>IF(考勤工资!$Y$793=$E$3,1,0)</f>
        <v>0</v>
      </c>
    </row>
    <row r="790">
      <c r="BD790" s="2">
        <f>BD750+SUM(CB751:CB790)</f>
        <v>1</v>
      </c>
      <c r="CB790" s="2">
        <f>IF(考勤工资!$Y$794=$E$3,1,0)</f>
        <v>0</v>
      </c>
    </row>
    <row r="791">
      <c r="BD791" s="2">
        <f>BD750+SUM(CB751:CB791)</f>
        <v>1</v>
      </c>
      <c r="CB791" s="2">
        <f>IF(考勤工资!$Y$795=$E$3,1,0)</f>
        <v>0</v>
      </c>
    </row>
    <row r="792">
      <c r="BD792" s="2">
        <f>BD750+SUM(CB751:CB792)</f>
        <v>1</v>
      </c>
      <c r="CB792" s="2">
        <f>IF(考勤工资!$Y$796=$E$3,1,0)</f>
        <v>0</v>
      </c>
    </row>
    <row r="793">
      <c r="BD793" s="2">
        <f>BD750+SUM(CB751:CB793)</f>
        <v>1</v>
      </c>
      <c r="CB793" s="2">
        <f>IF(考勤工资!$Y$797=$E$3,1,0)</f>
        <v>0</v>
      </c>
    </row>
    <row r="794">
      <c r="BD794" s="2">
        <f>BD750+SUM(CB751:CB794)</f>
        <v>1</v>
      </c>
      <c r="CB794" s="2">
        <f>IF(考勤工资!$Y$798=$E$3,1,0)</f>
        <v>0</v>
      </c>
    </row>
    <row r="795">
      <c r="BD795" s="2">
        <f>BD750+SUM(CB751:CB795)</f>
        <v>1</v>
      </c>
      <c r="CB795" s="2">
        <f>IF(考勤工资!$Y$799=$E$3,1,0)</f>
        <v>0</v>
      </c>
    </row>
    <row r="796">
      <c r="BD796" s="2">
        <f>BD750+SUM(CB751:CB796)</f>
        <v>1</v>
      </c>
      <c r="CB796" s="2">
        <f>IF(考勤工资!$Y$800=$E$3,1,0)</f>
        <v>0</v>
      </c>
    </row>
    <row r="797">
      <c r="BD797" s="2">
        <f>BD750+SUM(CB751:CB797)</f>
        <v>1</v>
      </c>
      <c r="CB797" s="2">
        <f>IF(考勤工资!$Y$801=$E$3,1,0)</f>
        <v>0</v>
      </c>
    </row>
    <row r="798">
      <c r="BD798" s="2">
        <f>BD750+SUM(CB751:CB798)</f>
        <v>1</v>
      </c>
      <c r="CB798" s="2">
        <f>IF(考勤工资!$Y$802=$E$3,1,0)</f>
        <v>0</v>
      </c>
    </row>
    <row r="799">
      <c r="BD799" s="2">
        <f>BD750+SUM(CB751:CB799)</f>
        <v>1</v>
      </c>
      <c r="CB799" s="2">
        <f>IF(考勤工资!$Y$803=$E$3,1,0)</f>
        <v>0</v>
      </c>
    </row>
    <row r="800">
      <c r="BD800" s="2">
        <f>BD750+SUM(CB751:CB800)</f>
        <v>1</v>
      </c>
      <c r="CB800" s="2">
        <f>IF(考勤工资!$Y$804=$E$3,1,0)</f>
        <v>0</v>
      </c>
    </row>
    <row r="801">
      <c r="BD801" s="2">
        <f>BD800+SUM(CB801:CB801)</f>
        <v>1</v>
      </c>
      <c r="CB801" s="2">
        <f>IF(考勤工资!$Y$805=$E$3,1,0)</f>
        <v>0</v>
      </c>
    </row>
    <row r="802">
      <c r="BD802" s="2">
        <f>BD800+SUM(CB801:CB802)</f>
        <v>1</v>
      </c>
      <c r="CB802" s="2">
        <f>IF(考勤工资!$Y$806=$E$3,1,0)</f>
        <v>0</v>
      </c>
    </row>
    <row r="803">
      <c r="BD803" s="2">
        <f>BD800+SUM(CB801:CB803)</f>
        <v>1</v>
      </c>
      <c r="CB803" s="2">
        <f>IF(考勤工资!$Y$807=$E$3,1,0)</f>
        <v>0</v>
      </c>
    </row>
    <row r="804">
      <c r="BD804" s="2">
        <f>BD800+SUM(CB801:CB804)</f>
        <v>1</v>
      </c>
      <c r="CB804" s="2">
        <f>IF(考勤工资!$Y$808=$E$3,1,0)</f>
        <v>0</v>
      </c>
    </row>
    <row r="805">
      <c r="BD805" s="2">
        <f>BD800+SUM(CB801:CB805)</f>
        <v>1</v>
      </c>
      <c r="CB805" s="2">
        <f>IF(考勤工资!$Y$809=$E$3,1,0)</f>
        <v>0</v>
      </c>
    </row>
    <row r="806">
      <c r="BD806" s="2">
        <f>BD800+SUM(CB801:CB806)</f>
        <v>1</v>
      </c>
      <c r="CB806" s="2">
        <f>IF(考勤工资!$Y$810=$E$3,1,0)</f>
        <v>0</v>
      </c>
    </row>
    <row r="807">
      <c r="BD807" s="2">
        <f>BD800+SUM(CB801:CB807)</f>
        <v>1</v>
      </c>
      <c r="CB807" s="2">
        <f>IF(考勤工资!$Y$811=$E$3,1,0)</f>
        <v>0</v>
      </c>
    </row>
    <row r="808">
      <c r="BD808" s="2">
        <f>BD800+SUM(CB801:CB808)</f>
        <v>1</v>
      </c>
      <c r="CB808" s="2">
        <f>IF(考勤工资!$Y$812=$E$3,1,0)</f>
        <v>0</v>
      </c>
    </row>
    <row r="809">
      <c r="BD809" s="2">
        <f>BD800+SUM(CB801:CB809)</f>
        <v>1</v>
      </c>
      <c r="CB809" s="2">
        <f>IF(考勤工资!$Y$813=$E$3,1,0)</f>
        <v>0</v>
      </c>
    </row>
    <row r="810">
      <c r="BD810" s="2">
        <f>BD800+SUM(CB801:CB810)</f>
        <v>1</v>
      </c>
      <c r="CB810" s="2">
        <f>IF(考勤工资!$Y$814=$E$3,1,0)</f>
        <v>0</v>
      </c>
    </row>
    <row r="811">
      <c r="BD811" s="2">
        <f>BD800+SUM(CB801:CB811)</f>
        <v>1</v>
      </c>
      <c r="CB811" s="2">
        <f>IF(考勤工资!$Y$815=$E$3,1,0)</f>
        <v>0</v>
      </c>
    </row>
    <row r="812">
      <c r="BD812" s="2">
        <f>BD800+SUM(CB801:CB812)</f>
        <v>1</v>
      </c>
      <c r="CB812" s="2">
        <f>IF(考勤工资!$Y$816=$E$3,1,0)</f>
        <v>0</v>
      </c>
    </row>
    <row r="813">
      <c r="BD813" s="2">
        <f>BD800+SUM(CB801:CB813)</f>
        <v>1</v>
      </c>
      <c r="CB813" s="2">
        <f>IF(考勤工资!$Y$817=$E$3,1,0)</f>
        <v>0</v>
      </c>
    </row>
    <row r="814">
      <c r="BD814" s="2">
        <f>BD800+SUM(CB801:CB814)</f>
        <v>1</v>
      </c>
      <c r="CB814" s="2">
        <f>IF(考勤工资!$Y$818=$E$3,1,0)</f>
        <v>0</v>
      </c>
    </row>
    <row r="815">
      <c r="BD815" s="2">
        <f>BD800+SUM(CB801:CB815)</f>
        <v>1</v>
      </c>
      <c r="CB815" s="2">
        <f>IF(考勤工资!$Y$819=$E$3,1,0)</f>
        <v>0</v>
      </c>
    </row>
    <row r="816">
      <c r="BD816" s="2">
        <f>BD800+SUM(CB801:CB816)</f>
        <v>1</v>
      </c>
      <c r="CB816" s="2">
        <f>IF(考勤工资!$Y$820=$E$3,1,0)</f>
        <v>0</v>
      </c>
    </row>
    <row r="817">
      <c r="BD817" s="2">
        <f>BD800+SUM(CB801:CB817)</f>
        <v>1</v>
      </c>
      <c r="CB817" s="2">
        <f>IF(考勤工资!$Y$821=$E$3,1,0)</f>
        <v>0</v>
      </c>
    </row>
    <row r="818">
      <c r="BD818" s="2">
        <f>BD800+SUM(CB801:CB818)</f>
        <v>1</v>
      </c>
      <c r="CB818" s="2">
        <f>IF(考勤工资!$Y$822=$E$3,1,0)</f>
        <v>0</v>
      </c>
    </row>
    <row r="819">
      <c r="BD819" s="2">
        <f>BD800+SUM(CB801:CB819)</f>
        <v>1</v>
      </c>
      <c r="CB819" s="2">
        <f>IF(考勤工资!$Y$823=$E$3,1,0)</f>
        <v>0</v>
      </c>
    </row>
    <row r="820">
      <c r="BD820" s="2">
        <f>BD800+SUM(CB801:CB820)</f>
        <v>1</v>
      </c>
      <c r="CB820" s="2">
        <f>IF(考勤工资!$Y$824=$E$3,1,0)</f>
        <v>0</v>
      </c>
    </row>
    <row r="821">
      <c r="BD821" s="2">
        <f>BD800+SUM(CB801:CB821)</f>
        <v>1</v>
      </c>
      <c r="CB821" s="2">
        <f>IF(考勤工资!$Y$825=$E$3,1,0)</f>
        <v>0</v>
      </c>
    </row>
    <row r="822">
      <c r="BD822" s="2">
        <f>BD800+SUM(CB801:CB822)</f>
        <v>1</v>
      </c>
      <c r="CB822" s="2">
        <f>IF(考勤工资!$Y$826=$E$3,1,0)</f>
        <v>0</v>
      </c>
    </row>
    <row r="823">
      <c r="BD823" s="2">
        <f>BD800+SUM(CB801:CB823)</f>
        <v>1</v>
      </c>
      <c r="CB823" s="2">
        <f>IF(考勤工资!$Y$827=$E$3,1,0)</f>
        <v>0</v>
      </c>
    </row>
    <row r="824">
      <c r="BD824" s="2">
        <f>BD800+SUM(CB801:CB824)</f>
        <v>1</v>
      </c>
      <c r="CB824" s="2">
        <f>IF(考勤工资!$Y$828=$E$3,1,0)</f>
        <v>0</v>
      </c>
    </row>
    <row r="825">
      <c r="BD825" s="2">
        <f>BD800+SUM(CB801:CB825)</f>
        <v>1</v>
      </c>
      <c r="CB825" s="2">
        <f>IF(考勤工资!$Y$829=$E$3,1,0)</f>
        <v>0</v>
      </c>
    </row>
    <row r="826">
      <c r="BD826" s="2">
        <f>BD800+SUM(CB801:CB826)</f>
        <v>1</v>
      </c>
      <c r="CB826" s="2">
        <f>IF(考勤工资!$Y$830=$E$3,1,0)</f>
        <v>0</v>
      </c>
    </row>
    <row r="827">
      <c r="BD827" s="2">
        <f>BD800+SUM(CB801:CB827)</f>
        <v>1</v>
      </c>
      <c r="CB827" s="2">
        <f>IF(考勤工资!$Y$831=$E$3,1,0)</f>
        <v>0</v>
      </c>
    </row>
    <row r="828">
      <c r="BD828" s="2">
        <f>BD800+SUM(CB801:CB828)</f>
        <v>1</v>
      </c>
      <c r="CB828" s="2">
        <f>IF(考勤工资!$Y$832=$E$3,1,0)</f>
        <v>0</v>
      </c>
    </row>
    <row r="829">
      <c r="BD829" s="2">
        <f>BD800+SUM(CB801:CB829)</f>
        <v>1</v>
      </c>
      <c r="CB829" s="2">
        <f>IF(考勤工资!$Y$833=$E$3,1,0)</f>
        <v>0</v>
      </c>
    </row>
    <row r="830">
      <c r="BD830" s="2">
        <f>BD800+SUM(CB801:CB830)</f>
        <v>1</v>
      </c>
      <c r="CB830" s="2">
        <f>IF(考勤工资!$Y$834=$E$3,1,0)</f>
        <v>0</v>
      </c>
    </row>
    <row r="831">
      <c r="BD831" s="2">
        <f>BD800+SUM(CB801:CB831)</f>
        <v>1</v>
      </c>
      <c r="CB831" s="2">
        <f>IF(考勤工资!$Y$835=$E$3,1,0)</f>
        <v>0</v>
      </c>
    </row>
    <row r="832">
      <c r="BD832" s="2">
        <f>BD800+SUM(CB801:CB832)</f>
        <v>1</v>
      </c>
      <c r="CB832" s="2">
        <f>IF(考勤工资!$Y$836=$E$3,1,0)</f>
        <v>0</v>
      </c>
    </row>
    <row r="833">
      <c r="BD833" s="2">
        <f>BD800+SUM(CB801:CB833)</f>
        <v>1</v>
      </c>
      <c r="CB833" s="2">
        <f>IF(考勤工资!$Y$837=$E$3,1,0)</f>
        <v>0</v>
      </c>
    </row>
    <row r="834">
      <c r="BD834" s="2">
        <f>BD800+SUM(CB801:CB834)</f>
        <v>1</v>
      </c>
      <c r="CB834" s="2">
        <f>IF(考勤工资!$Y$838=$E$3,1,0)</f>
        <v>0</v>
      </c>
    </row>
    <row r="835">
      <c r="BD835" s="2">
        <f>BD800+SUM(CB801:CB835)</f>
        <v>1</v>
      </c>
      <c r="CB835" s="2">
        <f>IF(考勤工资!$Y$839=$E$3,1,0)</f>
        <v>0</v>
      </c>
    </row>
    <row r="836">
      <c r="BD836" s="2">
        <f>BD800+SUM(CB801:CB836)</f>
        <v>1</v>
      </c>
      <c r="CB836" s="2">
        <f>IF(考勤工资!$Y$840=$E$3,1,0)</f>
        <v>0</v>
      </c>
    </row>
    <row r="837">
      <c r="BD837" s="2">
        <f>BD800+SUM(CB801:CB837)</f>
        <v>1</v>
      </c>
      <c r="CB837" s="2">
        <f>IF(考勤工资!$Y$841=$E$3,1,0)</f>
        <v>0</v>
      </c>
    </row>
    <row r="838">
      <c r="BD838" s="2">
        <f>BD800+SUM(CB801:CB838)</f>
        <v>1</v>
      </c>
      <c r="CB838" s="2">
        <f>IF(考勤工资!$Y$842=$E$3,1,0)</f>
        <v>0</v>
      </c>
    </row>
    <row r="839">
      <c r="BD839" s="2">
        <f>BD800+SUM(CB801:CB839)</f>
        <v>1</v>
      </c>
      <c r="CB839" s="2">
        <f>IF(考勤工资!$Y$843=$E$3,1,0)</f>
        <v>0</v>
      </c>
    </row>
    <row r="840">
      <c r="BD840" s="2">
        <f>BD800+SUM(CB801:CB840)</f>
        <v>1</v>
      </c>
      <c r="CB840" s="2">
        <f>IF(考勤工资!$Y$844=$E$3,1,0)</f>
        <v>0</v>
      </c>
    </row>
    <row r="841">
      <c r="BD841" s="2">
        <f>BD800+SUM(CB801:CB841)</f>
        <v>1</v>
      </c>
      <c r="CB841" s="2">
        <f>IF(考勤工资!$Y$845=$E$3,1,0)</f>
        <v>0</v>
      </c>
    </row>
    <row r="842">
      <c r="BD842" s="2">
        <f>BD800+SUM(CB801:CB842)</f>
        <v>1</v>
      </c>
      <c r="CB842" s="2">
        <f>IF(考勤工资!$Y$846=$E$3,1,0)</f>
        <v>0</v>
      </c>
    </row>
    <row r="843">
      <c r="BD843" s="2">
        <f>BD800+SUM(CB801:CB843)</f>
        <v>1</v>
      </c>
      <c r="CB843" s="2">
        <f>IF(考勤工资!$Y$847=$E$3,1,0)</f>
        <v>0</v>
      </c>
    </row>
    <row r="844">
      <c r="BD844" s="2">
        <f>BD800+SUM(CB801:CB844)</f>
        <v>1</v>
      </c>
      <c r="CB844" s="2">
        <f>IF(考勤工资!$Y$848=$E$3,1,0)</f>
        <v>0</v>
      </c>
    </row>
    <row r="845">
      <c r="BD845" s="2">
        <f>BD800+SUM(CB801:CB845)</f>
        <v>1</v>
      </c>
      <c r="CB845" s="2">
        <f>IF(考勤工资!$Y$849=$E$3,1,0)</f>
        <v>0</v>
      </c>
    </row>
    <row r="846">
      <c r="BD846" s="2">
        <f>BD800+SUM(CB801:CB846)</f>
        <v>1</v>
      </c>
      <c r="CB846" s="2">
        <f>IF(考勤工资!$Y$850=$E$3,1,0)</f>
        <v>0</v>
      </c>
    </row>
    <row r="847">
      <c r="BD847" s="2">
        <f>BD800+SUM(CB801:CB847)</f>
        <v>1</v>
      </c>
      <c r="CB847" s="2">
        <f>IF(考勤工资!$Y$851=$E$3,1,0)</f>
        <v>0</v>
      </c>
    </row>
    <row r="848">
      <c r="BD848" s="2">
        <f>BD800+SUM(CB801:CB848)</f>
        <v>1</v>
      </c>
      <c r="CB848" s="2">
        <f>IF(考勤工资!$Y$852=$E$3,1,0)</f>
        <v>0</v>
      </c>
    </row>
    <row r="849">
      <c r="BD849" s="2">
        <f>BD800+SUM(CB801:CB849)</f>
        <v>1</v>
      </c>
      <c r="CB849" s="2">
        <f>IF(考勤工资!$Y$853=$E$3,1,0)</f>
        <v>0</v>
      </c>
    </row>
    <row r="850">
      <c r="BD850" s="2">
        <f>BD800+SUM(CB801:CB850)</f>
        <v>1</v>
      </c>
      <c r="CB850" s="2">
        <f>IF(考勤工资!$Y$854=$E$3,1,0)</f>
        <v>0</v>
      </c>
    </row>
    <row r="851">
      <c r="BD851" s="2">
        <f>BD850+SUM(CB851:CB851)</f>
        <v>1</v>
      </c>
      <c r="CB851" s="2">
        <f>IF(考勤工资!$Y$855=$E$3,1,0)</f>
        <v>0</v>
      </c>
    </row>
    <row r="852">
      <c r="BD852" s="2">
        <f>BD850+SUM(CB851:CB852)</f>
        <v>1</v>
      </c>
      <c r="CB852" s="2">
        <f>IF(考勤工资!$Y$856=$E$3,1,0)</f>
        <v>0</v>
      </c>
    </row>
    <row r="853">
      <c r="BD853" s="2">
        <f>BD850+SUM(CB851:CB853)</f>
        <v>1</v>
      </c>
      <c r="CB853" s="2">
        <f>IF(考勤工资!$Y$857=$E$3,1,0)</f>
        <v>0</v>
      </c>
    </row>
    <row r="854">
      <c r="BD854" s="2">
        <f>BD850+SUM(CB851:CB854)</f>
        <v>1</v>
      </c>
      <c r="CB854" s="2">
        <f>IF(考勤工资!$Y$858=$E$3,1,0)</f>
        <v>0</v>
      </c>
    </row>
    <row r="855">
      <c r="BD855" s="2">
        <f>BD850+SUM(CB851:CB855)</f>
        <v>1</v>
      </c>
      <c r="CB855" s="2">
        <f>IF(考勤工资!$Y$859=$E$3,1,0)</f>
        <v>0</v>
      </c>
    </row>
    <row r="856">
      <c r="BD856" s="2">
        <f>BD850+SUM(CB851:CB856)</f>
        <v>1</v>
      </c>
      <c r="CB856" s="2">
        <f>IF(考勤工资!$Y$860=$E$3,1,0)</f>
        <v>0</v>
      </c>
    </row>
    <row r="857">
      <c r="BD857" s="2">
        <f>BD850+SUM(CB851:CB857)</f>
        <v>1</v>
      </c>
      <c r="CB857" s="2">
        <f>IF(考勤工资!$Y$861=$E$3,1,0)</f>
        <v>0</v>
      </c>
    </row>
    <row r="858">
      <c r="BD858" s="2">
        <f>BD850+SUM(CB851:CB858)</f>
        <v>1</v>
      </c>
      <c r="CB858" s="2">
        <f>IF(考勤工资!$Y$862=$E$3,1,0)</f>
        <v>0</v>
      </c>
    </row>
    <row r="859">
      <c r="BD859" s="2">
        <f>BD850+SUM(CB851:CB859)</f>
        <v>1</v>
      </c>
      <c r="CB859" s="2">
        <f>IF(考勤工资!$Y$863=$E$3,1,0)</f>
        <v>0</v>
      </c>
    </row>
    <row r="860">
      <c r="BD860" s="2">
        <f>BD850+SUM(CB851:CB860)</f>
        <v>1</v>
      </c>
      <c r="CB860" s="2">
        <f>IF(考勤工资!$Y$864=$E$3,1,0)</f>
        <v>0</v>
      </c>
    </row>
    <row r="861">
      <c r="BD861" s="2">
        <f>BD850+SUM(CB851:CB861)</f>
        <v>1</v>
      </c>
      <c r="CB861" s="2">
        <f>IF(考勤工资!$Y$865=$E$3,1,0)</f>
        <v>0</v>
      </c>
    </row>
    <row r="862">
      <c r="BD862" s="2">
        <f>BD850+SUM(CB851:CB862)</f>
        <v>1</v>
      </c>
      <c r="CB862" s="2">
        <f>IF(考勤工资!$Y$866=$E$3,1,0)</f>
        <v>0</v>
      </c>
    </row>
    <row r="863">
      <c r="BD863" s="2">
        <f>BD850+SUM(CB851:CB863)</f>
        <v>1</v>
      </c>
      <c r="CB863" s="2">
        <f>IF(考勤工资!$Y$867=$E$3,1,0)</f>
        <v>0</v>
      </c>
    </row>
    <row r="864">
      <c r="BD864" s="2">
        <f>BD850+SUM(CB851:CB864)</f>
        <v>1</v>
      </c>
      <c r="CB864" s="2">
        <f>IF(考勤工资!$Y$868=$E$3,1,0)</f>
        <v>0</v>
      </c>
    </row>
    <row r="865">
      <c r="BD865" s="2">
        <f>BD850+SUM(CB851:CB865)</f>
        <v>1</v>
      </c>
      <c r="CB865" s="2">
        <f>IF(考勤工资!$Y$869=$E$3,1,0)</f>
        <v>0</v>
      </c>
    </row>
    <row r="866">
      <c r="BD866" s="2">
        <f>BD850+SUM(CB851:CB866)</f>
        <v>1</v>
      </c>
      <c r="CB866" s="2">
        <f>IF(考勤工资!$Y$870=$E$3,1,0)</f>
        <v>0</v>
      </c>
    </row>
    <row r="867">
      <c r="BD867" s="2">
        <f>BD850+SUM(CB851:CB867)</f>
        <v>1</v>
      </c>
      <c r="CB867" s="2">
        <f>IF(考勤工资!$Y$871=$E$3,1,0)</f>
        <v>0</v>
      </c>
    </row>
    <row r="868">
      <c r="BD868" s="2">
        <f>BD850+SUM(CB851:CB868)</f>
        <v>1</v>
      </c>
      <c r="CB868" s="2">
        <f>IF(考勤工资!$Y$872=$E$3,1,0)</f>
        <v>0</v>
      </c>
    </row>
    <row r="869">
      <c r="BD869" s="2">
        <f>BD850+SUM(CB851:CB869)</f>
        <v>1</v>
      </c>
      <c r="CB869" s="2">
        <f>IF(考勤工资!$Y$873=$E$3,1,0)</f>
        <v>0</v>
      </c>
    </row>
    <row r="870">
      <c r="BD870" s="2">
        <f>BD850+SUM(CB851:CB870)</f>
        <v>1</v>
      </c>
      <c r="CB870" s="2">
        <f>IF(考勤工资!$Y$874=$E$3,1,0)</f>
        <v>0</v>
      </c>
    </row>
    <row r="871">
      <c r="BD871" s="2">
        <f>BD850+SUM(CB851:CB871)</f>
        <v>1</v>
      </c>
      <c r="CB871" s="2">
        <f>IF(考勤工资!$Y$875=$E$3,1,0)</f>
        <v>0</v>
      </c>
    </row>
    <row r="872">
      <c r="BD872" s="2">
        <f>BD850+SUM(CB851:CB872)</f>
        <v>1</v>
      </c>
      <c r="CB872" s="2">
        <f>IF(考勤工资!$Y$876=$E$3,1,0)</f>
        <v>0</v>
      </c>
    </row>
    <row r="873">
      <c r="BD873" s="2">
        <f>BD850+SUM(CB851:CB873)</f>
        <v>1</v>
      </c>
      <c r="CB873" s="2">
        <f>IF(考勤工资!$Y$877=$E$3,1,0)</f>
        <v>0</v>
      </c>
    </row>
    <row r="874">
      <c r="BD874" s="2">
        <f>BD850+SUM(CB851:CB874)</f>
        <v>1</v>
      </c>
      <c r="CB874" s="2">
        <f>IF(考勤工资!$Y$878=$E$3,1,0)</f>
        <v>0</v>
      </c>
    </row>
    <row r="875">
      <c r="BD875" s="2">
        <f>BD850+SUM(CB851:CB875)</f>
        <v>1</v>
      </c>
      <c r="CB875" s="2">
        <f>IF(考勤工资!$Y$879=$E$3,1,0)</f>
        <v>0</v>
      </c>
    </row>
    <row r="876">
      <c r="BD876" s="2">
        <f>BD850+SUM(CB851:CB876)</f>
        <v>1</v>
      </c>
      <c r="CB876" s="2">
        <f>IF(考勤工资!$Y$880=$E$3,1,0)</f>
        <v>0</v>
      </c>
    </row>
    <row r="877">
      <c r="BD877" s="2">
        <f>BD850+SUM(CB851:CB877)</f>
        <v>1</v>
      </c>
      <c r="CB877" s="2">
        <f>IF(考勤工资!$Y$881=$E$3,1,0)</f>
        <v>0</v>
      </c>
    </row>
    <row r="878">
      <c r="BD878" s="2">
        <f>BD850+SUM(CB851:CB878)</f>
        <v>1</v>
      </c>
      <c r="CB878" s="2">
        <f>IF(考勤工资!$Y$882=$E$3,1,0)</f>
        <v>0</v>
      </c>
    </row>
    <row r="879">
      <c r="BD879" s="2">
        <f>BD850+SUM(CB851:CB879)</f>
        <v>1</v>
      </c>
      <c r="CB879" s="2">
        <f>IF(考勤工资!$Y$883=$E$3,1,0)</f>
        <v>0</v>
      </c>
    </row>
    <row r="880">
      <c r="BD880" s="2">
        <f>BD850+SUM(CB851:CB880)</f>
        <v>1</v>
      </c>
      <c r="CB880" s="2">
        <f>IF(考勤工资!$Y$884=$E$3,1,0)</f>
        <v>0</v>
      </c>
    </row>
    <row r="881">
      <c r="BD881" s="2">
        <f>BD850+SUM(CB851:CB881)</f>
        <v>1</v>
      </c>
      <c r="CB881" s="2">
        <f>IF(考勤工资!$Y$885=$E$3,1,0)</f>
        <v>0</v>
      </c>
    </row>
    <row r="882">
      <c r="BD882" s="2">
        <f>BD850+SUM(CB851:CB882)</f>
        <v>1</v>
      </c>
      <c r="CB882" s="2">
        <f>IF(考勤工资!$Y$886=$E$3,1,0)</f>
        <v>0</v>
      </c>
    </row>
    <row r="883">
      <c r="BD883" s="2">
        <f>BD850+SUM(CB851:CB883)</f>
        <v>1</v>
      </c>
      <c r="CB883" s="2">
        <f>IF(考勤工资!$Y$887=$E$3,1,0)</f>
        <v>0</v>
      </c>
    </row>
    <row r="884">
      <c r="BD884" s="2">
        <f>BD850+SUM(CB851:CB884)</f>
        <v>1</v>
      </c>
      <c r="CB884" s="2">
        <f>IF(考勤工资!$Y$888=$E$3,1,0)</f>
        <v>0</v>
      </c>
    </row>
    <row r="885">
      <c r="BD885" s="2">
        <f>BD850+SUM(CB851:CB885)</f>
        <v>1</v>
      </c>
      <c r="CB885" s="2">
        <f>IF(考勤工资!$Y$889=$E$3,1,0)</f>
        <v>0</v>
      </c>
    </row>
    <row r="886">
      <c r="BD886" s="2">
        <f>BD850+SUM(CB851:CB886)</f>
        <v>1</v>
      </c>
      <c r="CB886" s="2">
        <f>IF(考勤工资!$Y$890=$E$3,1,0)</f>
        <v>0</v>
      </c>
    </row>
    <row r="887">
      <c r="BD887" s="2">
        <f>BD850+SUM(CB851:CB887)</f>
        <v>1</v>
      </c>
      <c r="CB887" s="2">
        <f>IF(考勤工资!$Y$891=$E$3,1,0)</f>
        <v>0</v>
      </c>
    </row>
    <row r="888">
      <c r="BD888" s="2">
        <f>BD850+SUM(CB851:CB888)</f>
        <v>1</v>
      </c>
      <c r="CB888" s="2">
        <f>IF(考勤工资!$Y$892=$E$3,1,0)</f>
        <v>0</v>
      </c>
    </row>
    <row r="889">
      <c r="BD889" s="2">
        <f>BD850+SUM(CB851:CB889)</f>
        <v>1</v>
      </c>
      <c r="CB889" s="2">
        <f>IF(考勤工资!$Y$893=$E$3,1,0)</f>
        <v>0</v>
      </c>
    </row>
    <row r="890">
      <c r="BD890" s="2">
        <f>BD850+SUM(CB851:CB890)</f>
        <v>1</v>
      </c>
      <c r="CB890" s="2">
        <f>IF(考勤工资!$Y$894=$E$3,1,0)</f>
        <v>0</v>
      </c>
    </row>
    <row r="891">
      <c r="BD891" s="2">
        <f>BD850+SUM(CB851:CB891)</f>
        <v>1</v>
      </c>
      <c r="CB891" s="2">
        <f>IF(考勤工资!$Y$895=$E$3,1,0)</f>
        <v>0</v>
      </c>
    </row>
    <row r="892">
      <c r="BD892" s="2">
        <f>BD850+SUM(CB851:CB892)</f>
        <v>1</v>
      </c>
      <c r="CB892" s="2">
        <f>IF(考勤工资!$Y$896=$E$3,1,0)</f>
        <v>0</v>
      </c>
    </row>
    <row r="893">
      <c r="BD893" s="2">
        <f>BD850+SUM(CB851:CB893)</f>
        <v>1</v>
      </c>
      <c r="CB893" s="2">
        <f>IF(考勤工资!$Y$897=$E$3,1,0)</f>
        <v>0</v>
      </c>
    </row>
    <row r="894">
      <c r="BD894" s="2">
        <f>BD850+SUM(CB851:CB894)</f>
        <v>1</v>
      </c>
      <c r="CB894" s="2">
        <f>IF(考勤工资!$Y$898=$E$3,1,0)</f>
        <v>0</v>
      </c>
    </row>
    <row r="895">
      <c r="BD895" s="2">
        <f>BD850+SUM(CB851:CB895)</f>
        <v>1</v>
      </c>
      <c r="CB895" s="2">
        <f>IF(考勤工资!$Y$899=$E$3,1,0)</f>
        <v>0</v>
      </c>
    </row>
    <row r="896">
      <c r="BD896" s="2">
        <f>BD850+SUM(CB851:CB896)</f>
        <v>1</v>
      </c>
      <c r="CB896" s="2">
        <f>IF(考勤工资!$Y$900=$E$3,1,0)</f>
        <v>0</v>
      </c>
    </row>
    <row r="897">
      <c r="BD897" s="2">
        <f>BD850+SUM(CB851:CB897)</f>
        <v>1</v>
      </c>
      <c r="CB897" s="2">
        <f>IF(考勤工资!$Y$901=$E$3,1,0)</f>
        <v>0</v>
      </c>
    </row>
    <row r="898">
      <c r="BD898" s="2">
        <f>BD850+SUM(CB851:CB898)</f>
        <v>1</v>
      </c>
      <c r="CB898" s="2">
        <f>IF(考勤工资!$Y$902=$E$3,1,0)</f>
        <v>0</v>
      </c>
    </row>
    <row r="899">
      <c r="BD899" s="2">
        <f>BD850+SUM(CB851:CB899)</f>
        <v>1</v>
      </c>
      <c r="CB899" s="2">
        <f>IF(考勤工资!$Y$903=$E$3,1,0)</f>
        <v>0</v>
      </c>
    </row>
    <row r="900">
      <c r="BD900" s="2">
        <f>BD850+SUM(CB851:CB900)</f>
        <v>1</v>
      </c>
      <c r="CB900" s="2">
        <f>IF(考勤工资!$Y$904=$E$3,1,0)</f>
        <v>0</v>
      </c>
    </row>
    <row r="901">
      <c r="BD901" s="2">
        <f>BD900+SUM(CB901:CB901)</f>
        <v>1</v>
      </c>
      <c r="CB901" s="2">
        <f>IF(考勤工资!$Y$905=$E$3,1,0)</f>
        <v>0</v>
      </c>
    </row>
    <row r="902">
      <c r="BD902" s="2">
        <f>BD900+SUM(CB901:CB902)</f>
        <v>1</v>
      </c>
      <c r="CB902" s="2">
        <f>IF(考勤工资!$Y$906=$E$3,1,0)</f>
        <v>0</v>
      </c>
    </row>
    <row r="903">
      <c r="BD903" s="2">
        <f>BD900+SUM(CB901:CB903)</f>
        <v>1</v>
      </c>
      <c r="CB903" s="2">
        <f>IF(考勤工资!$Y$907=$E$3,1,0)</f>
        <v>0</v>
      </c>
    </row>
    <row r="904">
      <c r="BD904" s="2">
        <f>BD900+SUM(CB901:CB904)</f>
        <v>1</v>
      </c>
      <c r="CB904" s="2">
        <f>IF(考勤工资!$Y$908=$E$3,1,0)</f>
        <v>0</v>
      </c>
    </row>
    <row r="905">
      <c r="BD905" s="2">
        <f>BD900+SUM(CB901:CB905)</f>
        <v>1</v>
      </c>
      <c r="CB905" s="2">
        <f>IF(考勤工资!$Y$909=$E$3,1,0)</f>
        <v>0</v>
      </c>
    </row>
    <row r="906">
      <c r="BD906" s="2">
        <f>BD900+SUM(CB901:CB906)</f>
        <v>1</v>
      </c>
      <c r="CB906" s="2">
        <f>IF(考勤工资!$Y$910=$E$3,1,0)</f>
        <v>0</v>
      </c>
    </row>
    <row r="907">
      <c r="BD907" s="2">
        <f>BD900+SUM(CB901:CB907)</f>
        <v>1</v>
      </c>
      <c r="CB907" s="2">
        <f>IF(考勤工资!$Y$911=$E$3,1,0)</f>
        <v>0</v>
      </c>
    </row>
    <row r="908">
      <c r="BD908" s="2">
        <f>BD900+SUM(CB901:CB908)</f>
        <v>1</v>
      </c>
      <c r="CB908" s="2">
        <f>IF(考勤工资!$Y$912=$E$3,1,0)</f>
        <v>0</v>
      </c>
    </row>
    <row r="909">
      <c r="BD909" s="2">
        <f>BD900+SUM(CB901:CB909)</f>
        <v>1</v>
      </c>
      <c r="CB909" s="2">
        <f>IF(考勤工资!$Y$913=$E$3,1,0)</f>
        <v>0</v>
      </c>
    </row>
    <row r="910">
      <c r="BD910" s="2">
        <f>BD900+SUM(CB901:CB910)</f>
        <v>1</v>
      </c>
      <c r="CB910" s="2">
        <f>IF(考勤工资!$Y$914=$E$3,1,0)</f>
        <v>0</v>
      </c>
    </row>
    <row r="911">
      <c r="BD911" s="2">
        <f>BD900+SUM(CB901:CB911)</f>
        <v>1</v>
      </c>
      <c r="CB911" s="2">
        <f>IF(考勤工资!$Y$915=$E$3,1,0)</f>
        <v>0</v>
      </c>
    </row>
    <row r="912">
      <c r="BD912" s="2">
        <f>BD900+SUM(CB901:CB912)</f>
        <v>1</v>
      </c>
      <c r="CB912" s="2">
        <f>IF(考勤工资!$Y$916=$E$3,1,0)</f>
        <v>0</v>
      </c>
    </row>
    <row r="913">
      <c r="BD913" s="2">
        <f>BD900+SUM(CB901:CB913)</f>
        <v>1</v>
      </c>
      <c r="CB913" s="2">
        <f>IF(考勤工资!$Y$917=$E$3,1,0)</f>
        <v>0</v>
      </c>
    </row>
    <row r="914">
      <c r="BD914" s="2">
        <f>BD900+SUM(CB901:CB914)</f>
        <v>1</v>
      </c>
      <c r="CB914" s="2">
        <f>IF(考勤工资!$Y$918=$E$3,1,0)</f>
        <v>0</v>
      </c>
    </row>
    <row r="915">
      <c r="BD915" s="2">
        <f>BD900+SUM(CB901:CB915)</f>
        <v>1</v>
      </c>
      <c r="CB915" s="2">
        <f>IF(考勤工资!$Y$919=$E$3,1,0)</f>
        <v>0</v>
      </c>
    </row>
    <row r="916">
      <c r="BD916" s="2">
        <f>BD900+SUM(CB901:CB916)</f>
        <v>1</v>
      </c>
      <c r="CB916" s="2">
        <f>IF(考勤工资!$Y$920=$E$3,1,0)</f>
        <v>0</v>
      </c>
    </row>
    <row r="917">
      <c r="BD917" s="2">
        <f>BD900+SUM(CB901:CB917)</f>
        <v>1</v>
      </c>
      <c r="CB917" s="2">
        <f>IF(考勤工资!$Y$921=$E$3,1,0)</f>
        <v>0</v>
      </c>
    </row>
    <row r="918">
      <c r="BD918" s="2">
        <f>BD900+SUM(CB901:CB918)</f>
        <v>1</v>
      </c>
      <c r="CB918" s="2">
        <f>IF(考勤工资!$Y$922=$E$3,1,0)</f>
        <v>0</v>
      </c>
    </row>
    <row r="919">
      <c r="BD919" s="2">
        <f>BD900+SUM(CB901:CB919)</f>
        <v>1</v>
      </c>
      <c r="CB919" s="2">
        <f>IF(考勤工资!$Y$923=$E$3,1,0)</f>
        <v>0</v>
      </c>
    </row>
    <row r="920">
      <c r="BD920" s="2">
        <f>BD900+SUM(CB901:CB920)</f>
        <v>1</v>
      </c>
      <c r="CB920" s="2">
        <f>IF(考勤工资!$Y$924=$E$3,1,0)</f>
        <v>0</v>
      </c>
    </row>
    <row r="921">
      <c r="BD921" s="2">
        <f>BD900+SUM(CB901:CB921)</f>
        <v>1</v>
      </c>
      <c r="CB921" s="2">
        <f>IF(考勤工资!$Y$925=$E$3,1,0)</f>
        <v>0</v>
      </c>
    </row>
    <row r="922">
      <c r="BD922" s="2">
        <f>BD900+SUM(CB901:CB922)</f>
        <v>1</v>
      </c>
      <c r="CB922" s="2">
        <f>IF(考勤工资!$Y$926=$E$3,1,0)</f>
        <v>0</v>
      </c>
    </row>
    <row r="923">
      <c r="BD923" s="2">
        <f>BD900+SUM(CB901:CB923)</f>
        <v>1</v>
      </c>
      <c r="CB923" s="2">
        <f>IF(考勤工资!$Y$927=$E$3,1,0)</f>
        <v>0</v>
      </c>
    </row>
    <row r="924">
      <c r="BD924" s="2">
        <f>BD900+SUM(CB901:CB924)</f>
        <v>1</v>
      </c>
      <c r="CB924" s="2">
        <f>IF(考勤工资!$Y$928=$E$3,1,0)</f>
        <v>0</v>
      </c>
    </row>
    <row r="925">
      <c r="BD925" s="2">
        <f>BD900+SUM(CB901:CB925)</f>
        <v>1</v>
      </c>
      <c r="CB925" s="2">
        <f>IF(考勤工资!$Y$929=$E$3,1,0)</f>
        <v>0</v>
      </c>
    </row>
    <row r="926">
      <c r="BD926" s="2">
        <f>BD900+SUM(CB901:CB926)</f>
        <v>1</v>
      </c>
      <c r="CB926" s="2">
        <f>IF(考勤工资!$Y$930=$E$3,1,0)</f>
        <v>0</v>
      </c>
    </row>
    <row r="927">
      <c r="BD927" s="2">
        <f>BD900+SUM(CB901:CB927)</f>
        <v>1</v>
      </c>
      <c r="CB927" s="2">
        <f>IF(考勤工资!$Y$931=$E$3,1,0)</f>
        <v>0</v>
      </c>
    </row>
    <row r="928">
      <c r="BD928" s="2">
        <f>BD900+SUM(CB901:CB928)</f>
        <v>1</v>
      </c>
      <c r="CB928" s="2">
        <f>IF(考勤工资!$Y$932=$E$3,1,0)</f>
        <v>0</v>
      </c>
    </row>
    <row r="929">
      <c r="BD929" s="2">
        <f>BD900+SUM(CB901:CB929)</f>
        <v>1</v>
      </c>
      <c r="CB929" s="2">
        <f>IF(考勤工资!$Y$933=$E$3,1,0)</f>
        <v>0</v>
      </c>
    </row>
    <row r="930">
      <c r="BD930" s="2">
        <f>BD900+SUM(CB901:CB930)</f>
        <v>1</v>
      </c>
      <c r="CB930" s="2">
        <f>IF(考勤工资!$Y$934=$E$3,1,0)</f>
        <v>0</v>
      </c>
    </row>
    <row r="931">
      <c r="BD931" s="2">
        <f>BD900+SUM(CB901:CB931)</f>
        <v>1</v>
      </c>
      <c r="CB931" s="2">
        <f>IF(考勤工资!$Y$935=$E$3,1,0)</f>
        <v>0</v>
      </c>
    </row>
    <row r="932">
      <c r="BD932" s="2">
        <f>BD900+SUM(CB901:CB932)</f>
        <v>1</v>
      </c>
      <c r="CB932" s="2">
        <f>IF(考勤工资!$Y$936=$E$3,1,0)</f>
        <v>0</v>
      </c>
    </row>
    <row r="933">
      <c r="BD933" s="2">
        <f>BD900+SUM(CB901:CB933)</f>
        <v>1</v>
      </c>
      <c r="CB933" s="2">
        <f>IF(考勤工资!$Y$937=$E$3,1,0)</f>
        <v>0</v>
      </c>
    </row>
    <row r="934">
      <c r="BD934" s="2">
        <f>BD900+SUM(CB901:CB934)</f>
        <v>1</v>
      </c>
      <c r="CB934" s="2">
        <f>IF(考勤工资!$Y$938=$E$3,1,0)</f>
        <v>0</v>
      </c>
    </row>
    <row r="935">
      <c r="BD935" s="2">
        <f>BD900+SUM(CB901:CB935)</f>
        <v>1</v>
      </c>
      <c r="CB935" s="2">
        <f>IF(考勤工资!$Y$939=$E$3,1,0)</f>
        <v>0</v>
      </c>
    </row>
    <row r="936">
      <c r="BD936" s="2">
        <f>BD900+SUM(CB901:CB936)</f>
        <v>1</v>
      </c>
      <c r="CB936" s="2">
        <f>IF(考勤工资!$Y$940=$E$3,1,0)</f>
        <v>0</v>
      </c>
    </row>
    <row r="937">
      <c r="BD937" s="2">
        <f>BD900+SUM(CB901:CB937)</f>
        <v>1</v>
      </c>
      <c r="CB937" s="2">
        <f>IF(考勤工资!$Y$941=$E$3,1,0)</f>
        <v>0</v>
      </c>
    </row>
    <row r="938">
      <c r="BD938" s="2">
        <f>BD900+SUM(CB901:CB938)</f>
        <v>1</v>
      </c>
      <c r="CB938" s="2">
        <f>IF(考勤工资!$Y$942=$E$3,1,0)</f>
        <v>0</v>
      </c>
    </row>
    <row r="939">
      <c r="BD939" s="2">
        <f>BD900+SUM(CB901:CB939)</f>
        <v>1</v>
      </c>
      <c r="CB939" s="2">
        <f>IF(考勤工资!$Y$943=$E$3,1,0)</f>
        <v>0</v>
      </c>
    </row>
    <row r="940">
      <c r="BD940" s="2">
        <f>BD900+SUM(CB901:CB940)</f>
        <v>1</v>
      </c>
      <c r="CB940" s="2">
        <f>IF(考勤工资!$Y$944=$E$3,1,0)</f>
        <v>0</v>
      </c>
    </row>
    <row r="941">
      <c r="BD941" s="2">
        <f>BD900+SUM(CB901:CB941)</f>
        <v>1</v>
      </c>
      <c r="CB941" s="2">
        <f>IF(考勤工资!$Y$945=$E$3,1,0)</f>
        <v>0</v>
      </c>
    </row>
    <row r="942">
      <c r="BD942" s="2">
        <f>BD900+SUM(CB901:CB942)</f>
        <v>1</v>
      </c>
      <c r="CB942" s="2">
        <f>IF(考勤工资!$Y$946=$E$3,1,0)</f>
        <v>0</v>
      </c>
    </row>
    <row r="943">
      <c r="BD943" s="2">
        <f>BD900+SUM(CB901:CB943)</f>
        <v>1</v>
      </c>
      <c r="CB943" s="2">
        <f>IF(考勤工资!$Y$947=$E$3,1,0)</f>
        <v>0</v>
      </c>
    </row>
    <row r="944">
      <c r="BD944" s="2">
        <f>BD900+SUM(CB901:CB944)</f>
        <v>1</v>
      </c>
      <c r="CB944" s="2">
        <f>IF(考勤工资!$Y$948=$E$3,1,0)</f>
        <v>0</v>
      </c>
    </row>
    <row r="945">
      <c r="BD945" s="2">
        <f>BD900+SUM(CB901:CB945)</f>
        <v>1</v>
      </c>
      <c r="CB945" s="2">
        <f>IF(考勤工资!$Y$949=$E$3,1,0)</f>
        <v>0</v>
      </c>
    </row>
    <row r="946">
      <c r="BD946" s="2">
        <f>BD900+SUM(CB901:CB946)</f>
        <v>1</v>
      </c>
      <c r="CB946" s="2">
        <f>IF(考勤工资!$Y$950=$E$3,1,0)</f>
        <v>0</v>
      </c>
    </row>
    <row r="947">
      <c r="BD947" s="2">
        <f>BD900+SUM(CB901:CB947)</f>
        <v>1</v>
      </c>
      <c r="CB947" s="2">
        <f>IF(考勤工资!$Y$951=$E$3,1,0)</f>
        <v>0</v>
      </c>
    </row>
    <row r="948">
      <c r="BD948" s="2">
        <f>BD900+SUM(CB901:CB948)</f>
        <v>1</v>
      </c>
      <c r="CB948" s="2">
        <f>IF(考勤工资!$Y$952=$E$3,1,0)</f>
        <v>0</v>
      </c>
    </row>
    <row r="949">
      <c r="BD949" s="2">
        <f>BD900+SUM(CB901:CB949)</f>
        <v>1</v>
      </c>
      <c r="CB949" s="2">
        <f>IF(考勤工资!$Y$953=$E$3,1,0)</f>
        <v>0</v>
      </c>
    </row>
    <row r="950">
      <c r="BD950" s="2">
        <f>BD900+SUM(CB901:CB950)</f>
        <v>1</v>
      </c>
      <c r="CB950" s="2">
        <f>IF(考勤工资!$Y$954=$E$3,1,0)</f>
        <v>0</v>
      </c>
    </row>
    <row r="951">
      <c r="BD951" s="2">
        <f>BD950+SUM(CB951:CB951)</f>
        <v>1</v>
      </c>
      <c r="CB951" s="2">
        <f>IF(考勤工资!$Y$955=$E$3,1,0)</f>
        <v>0</v>
      </c>
    </row>
    <row r="952">
      <c r="BD952" s="2">
        <f>BD950+SUM(CB951:CB952)</f>
        <v>1</v>
      </c>
      <c r="CB952" s="2">
        <f>IF(考勤工资!$Y$956=$E$3,1,0)</f>
        <v>0</v>
      </c>
    </row>
    <row r="953">
      <c r="BD953" s="2">
        <f>BD950+SUM(CB951:CB953)</f>
        <v>1</v>
      </c>
      <c r="CB953" s="2">
        <f>IF(考勤工资!$Y$957=$E$3,1,0)</f>
        <v>0</v>
      </c>
    </row>
    <row r="954">
      <c r="BD954" s="2">
        <f>BD950+SUM(CB951:CB954)</f>
        <v>1</v>
      </c>
      <c r="CB954" s="2">
        <f>IF(考勤工资!$Y$958=$E$3,1,0)</f>
        <v>0</v>
      </c>
    </row>
    <row r="955">
      <c r="BD955" s="2">
        <f>BD950+SUM(CB951:CB955)</f>
        <v>1</v>
      </c>
      <c r="CB955" s="2">
        <f>IF(考勤工资!$Y$959=$E$3,1,0)</f>
        <v>0</v>
      </c>
    </row>
    <row r="956">
      <c r="BD956" s="2">
        <f>BD950+SUM(CB951:CB956)</f>
        <v>1</v>
      </c>
      <c r="CB956" s="2">
        <f>IF(考勤工资!$Y$960=$E$3,1,0)</f>
        <v>0</v>
      </c>
    </row>
    <row r="957">
      <c r="BD957" s="2">
        <f>BD950+SUM(CB951:CB957)</f>
        <v>1</v>
      </c>
      <c r="CB957" s="2">
        <f>IF(考勤工资!$Y$961=$E$3,1,0)</f>
        <v>0</v>
      </c>
    </row>
    <row r="958">
      <c r="BD958" s="2">
        <f>BD950+SUM(CB951:CB958)</f>
        <v>1</v>
      </c>
      <c r="CB958" s="2">
        <f>IF(考勤工资!$Y$962=$E$3,1,0)</f>
        <v>0</v>
      </c>
    </row>
    <row r="959">
      <c r="BD959" s="2">
        <f>BD950+SUM(CB951:CB959)</f>
        <v>1</v>
      </c>
      <c r="CB959" s="2">
        <f>IF(考勤工资!$Y$963=$E$3,1,0)</f>
        <v>0</v>
      </c>
    </row>
    <row r="960">
      <c r="BD960" s="2">
        <f>BD950+SUM(CB951:CB960)</f>
        <v>1</v>
      </c>
      <c r="CB960" s="2">
        <f>IF(考勤工资!$Y$964=$E$3,1,0)</f>
        <v>0</v>
      </c>
    </row>
    <row r="961">
      <c r="BD961" s="2">
        <f>BD950+SUM(CB951:CB961)</f>
        <v>1</v>
      </c>
      <c r="CB961" s="2">
        <f>IF(考勤工资!$Y$965=$E$3,1,0)</f>
        <v>0</v>
      </c>
    </row>
    <row r="962">
      <c r="BD962" s="2">
        <f>BD950+SUM(CB951:CB962)</f>
        <v>1</v>
      </c>
      <c r="CB962" s="2">
        <f>IF(考勤工资!$Y$966=$E$3,1,0)</f>
        <v>0</v>
      </c>
    </row>
    <row r="963">
      <c r="BD963" s="2">
        <f>BD950+SUM(CB951:CB963)</f>
        <v>1</v>
      </c>
      <c r="CB963" s="2">
        <f>IF(考勤工资!$Y$967=$E$3,1,0)</f>
        <v>0</v>
      </c>
    </row>
    <row r="964">
      <c r="BD964" s="2">
        <f>BD950+SUM(CB951:CB964)</f>
        <v>1</v>
      </c>
      <c r="CB964" s="2">
        <f>IF(考勤工资!$Y$968=$E$3,1,0)</f>
        <v>0</v>
      </c>
    </row>
    <row r="965">
      <c r="BD965" s="2">
        <f>BD950+SUM(CB951:CB965)</f>
        <v>1</v>
      </c>
      <c r="CB965" s="2">
        <f>IF(考勤工资!$Y$969=$E$3,1,0)</f>
        <v>0</v>
      </c>
    </row>
    <row r="966">
      <c r="BD966" s="2">
        <f>BD950+SUM(CB951:CB966)</f>
        <v>1</v>
      </c>
      <c r="CB966" s="2">
        <f>IF(考勤工资!$Y$970=$E$3,1,0)</f>
        <v>0</v>
      </c>
    </row>
    <row r="967">
      <c r="BD967" s="2">
        <f>BD950+SUM(CB951:CB967)</f>
        <v>1</v>
      </c>
      <c r="CB967" s="2">
        <f>IF(考勤工资!$Y$971=$E$3,1,0)</f>
        <v>0</v>
      </c>
    </row>
    <row r="968">
      <c r="BD968" s="2">
        <f>BD950+SUM(CB951:CB968)</f>
        <v>1</v>
      </c>
      <c r="CB968" s="2">
        <f>IF(考勤工资!$Y$972=$E$3,1,0)</f>
        <v>0</v>
      </c>
    </row>
    <row r="969">
      <c r="BD969" s="2">
        <f>BD950+SUM(CB951:CB969)</f>
        <v>1</v>
      </c>
      <c r="CB969" s="2">
        <f>IF(考勤工资!$Y$973=$E$3,1,0)</f>
        <v>0</v>
      </c>
    </row>
    <row r="970">
      <c r="BD970" s="2">
        <f>BD950+SUM(CB951:CB970)</f>
        <v>1</v>
      </c>
      <c r="CB970" s="2">
        <f>IF(考勤工资!$Y$974=$E$3,1,0)</f>
        <v>0</v>
      </c>
    </row>
    <row r="971">
      <c r="BD971" s="2">
        <f>BD950+SUM(CB951:CB971)</f>
        <v>1</v>
      </c>
      <c r="CB971" s="2">
        <f>IF(考勤工资!$Y$975=$E$3,1,0)</f>
        <v>0</v>
      </c>
    </row>
    <row r="972">
      <c r="BD972" s="2">
        <f>BD950+SUM(CB951:CB972)</f>
        <v>1</v>
      </c>
      <c r="CB972" s="2">
        <f>IF(考勤工资!$Y$976=$E$3,1,0)</f>
        <v>0</v>
      </c>
    </row>
    <row r="973">
      <c r="BD973" s="2">
        <f>BD950+SUM(CB951:CB973)</f>
        <v>1</v>
      </c>
      <c r="CB973" s="2">
        <f>IF(考勤工资!$Y$977=$E$3,1,0)</f>
        <v>0</v>
      </c>
    </row>
    <row r="974">
      <c r="BD974" s="2">
        <f>BD950+SUM(CB951:CB974)</f>
        <v>1</v>
      </c>
      <c r="CB974" s="2">
        <f>IF(考勤工资!$Y$978=$E$3,1,0)</f>
        <v>0</v>
      </c>
    </row>
    <row r="975">
      <c r="BD975" s="2">
        <f>BD950+SUM(CB951:CB975)</f>
        <v>1</v>
      </c>
      <c r="CB975" s="2">
        <f>IF(考勤工资!$Y$979=$E$3,1,0)</f>
        <v>0</v>
      </c>
    </row>
    <row r="976">
      <c r="BD976" s="2">
        <f>BD950+SUM(CB951:CB976)</f>
        <v>1</v>
      </c>
      <c r="CB976" s="2">
        <f>IF(考勤工资!$Y$980=$E$3,1,0)</f>
        <v>0</v>
      </c>
    </row>
    <row r="977">
      <c r="BD977" s="2">
        <f>BD950+SUM(CB951:CB977)</f>
        <v>1</v>
      </c>
      <c r="CB977" s="2">
        <f>IF(考勤工资!$Y$981=$E$3,1,0)</f>
        <v>0</v>
      </c>
    </row>
    <row r="978">
      <c r="BD978" s="2">
        <f>BD950+SUM(CB951:CB978)</f>
        <v>1</v>
      </c>
      <c r="CB978" s="2">
        <f>IF(考勤工资!$Y$982=$E$3,1,0)</f>
        <v>0</v>
      </c>
    </row>
    <row r="979">
      <c r="BD979" s="2">
        <f>BD950+SUM(CB951:CB979)</f>
        <v>1</v>
      </c>
      <c r="CB979" s="2">
        <f>IF(考勤工资!$Y$983=$E$3,1,0)</f>
        <v>0</v>
      </c>
    </row>
    <row r="980">
      <c r="BD980" s="2">
        <f>BD950+SUM(CB951:CB980)</f>
        <v>1</v>
      </c>
      <c r="CB980" s="2">
        <f>IF(考勤工资!$Y$984=$E$3,1,0)</f>
        <v>0</v>
      </c>
    </row>
    <row r="981">
      <c r="BD981" s="2">
        <f>BD950+SUM(CB951:CB981)</f>
        <v>1</v>
      </c>
      <c r="CB981" s="2">
        <f>IF(考勤工资!$Y$985=$E$3,1,0)</f>
        <v>0</v>
      </c>
    </row>
    <row r="982">
      <c r="BD982" s="2">
        <f>BD950+SUM(CB951:CB982)</f>
        <v>1</v>
      </c>
      <c r="CB982" s="2">
        <f>IF(考勤工资!$Y$986=$E$3,1,0)</f>
        <v>0</v>
      </c>
    </row>
    <row r="983">
      <c r="BD983" s="2">
        <f>BD950+SUM(CB951:CB983)</f>
        <v>1</v>
      </c>
      <c r="CB983" s="2">
        <f>IF(考勤工资!$Y$987=$E$3,1,0)</f>
        <v>0</v>
      </c>
    </row>
    <row r="984">
      <c r="BD984" s="2">
        <f>BD950+SUM(CB951:CB984)</f>
        <v>1</v>
      </c>
      <c r="CB984" s="2">
        <f>IF(考勤工资!$Y$988=$E$3,1,0)</f>
        <v>0</v>
      </c>
    </row>
    <row r="985">
      <c r="BD985" s="2">
        <f>BD950+SUM(CB951:CB985)</f>
        <v>1</v>
      </c>
      <c r="CB985" s="2">
        <f>IF(考勤工资!$Y$989=$E$3,1,0)</f>
        <v>0</v>
      </c>
    </row>
    <row r="986">
      <c r="BD986" s="2">
        <f>BD950+SUM(CB951:CB986)</f>
        <v>1</v>
      </c>
      <c r="CB986" s="2">
        <f>IF(考勤工资!$Y$990=$E$3,1,0)</f>
        <v>0</v>
      </c>
    </row>
    <row r="987">
      <c r="BD987" s="2">
        <f>BD950+SUM(CB951:CB987)</f>
        <v>1</v>
      </c>
      <c r="CB987" s="2">
        <f>IF(考勤工资!$Y$991=$E$3,1,0)</f>
        <v>0</v>
      </c>
    </row>
    <row r="988">
      <c r="BD988" s="2">
        <f>BD950+SUM(CB951:CB988)</f>
        <v>1</v>
      </c>
      <c r="CB988" s="2">
        <f>IF(考勤工资!$Y$992=$E$3,1,0)</f>
        <v>0</v>
      </c>
    </row>
    <row r="989">
      <c r="BD989" s="2">
        <f>BD950+SUM(CB951:CB989)</f>
        <v>1</v>
      </c>
      <c r="CB989" s="2">
        <f>IF(考勤工资!$Y$993=$E$3,1,0)</f>
        <v>0</v>
      </c>
    </row>
    <row r="990">
      <c r="BD990" s="2">
        <f>BD950+SUM(CB951:CB990)</f>
        <v>1</v>
      </c>
      <c r="CB990" s="2">
        <f>IF(考勤工资!$Y$994=$E$3,1,0)</f>
        <v>0</v>
      </c>
    </row>
    <row r="991">
      <c r="BD991" s="2">
        <f>BD950+SUM(CB951:CB991)</f>
        <v>1</v>
      </c>
      <c r="CB991" s="2">
        <f>IF(考勤工资!$Y$995=$E$3,1,0)</f>
        <v>0</v>
      </c>
    </row>
    <row r="992">
      <c r="BD992" s="2">
        <f>BD950+SUM(CB951:CB992)</f>
        <v>1</v>
      </c>
      <c r="CB992" s="2">
        <f>IF(考勤工资!$Y$996=$E$3,1,0)</f>
        <v>0</v>
      </c>
    </row>
    <row r="993">
      <c r="BD993" s="2">
        <f>BD950+SUM(CB951:CB993)</f>
        <v>1</v>
      </c>
      <c r="CB993" s="2">
        <f>IF(考勤工资!$Y$997=$E$3,1,0)</f>
        <v>0</v>
      </c>
    </row>
    <row r="994">
      <c r="BD994" s="2">
        <f>BD950+SUM(CB951:CB994)</f>
        <v>1</v>
      </c>
      <c r="CB994" s="2">
        <f>IF(考勤工资!$Y$998=$E$3,1,0)</f>
        <v>0</v>
      </c>
    </row>
    <row r="995">
      <c r="BD995" s="2">
        <f>BD950+SUM(CB951:CB995)</f>
        <v>1</v>
      </c>
      <c r="CB995" s="2">
        <f>IF(考勤工资!$Y$999=$E$3,1,0)</f>
        <v>0</v>
      </c>
    </row>
    <row r="996">
      <c r="BD996" s="2">
        <f>BD950+SUM(CB951:CB996)</f>
        <v>1</v>
      </c>
      <c r="CB996" s="2">
        <f>IF(考勤工资!$Y$1000=$E$3,1,0)</f>
        <v>0</v>
      </c>
    </row>
    <row r="997">
      <c r="BD997" s="2">
        <f>BD950+SUM(CB951:CB997)</f>
        <v>1</v>
      </c>
      <c r="CB997" s="2">
        <f>IF(考勤工资!$Y$1001=$E$3,1,0)</f>
        <v>0</v>
      </c>
    </row>
    <row r="998">
      <c r="BD998" s="2">
        <f>BD950+SUM(CB951:CB998)</f>
        <v>1</v>
      </c>
      <c r="CB998" s="2">
        <f>IF(考勤工资!$Y$1002=$E$3,1,0)</f>
        <v>0</v>
      </c>
    </row>
    <row r="999">
      <c r="BD999" s="2">
        <f>BD950+SUM(CB951:CB999)</f>
        <v>1</v>
      </c>
      <c r="CB999" s="2">
        <f>IF(考勤工资!$Y$1003=$E$3,1,0)</f>
        <v>0</v>
      </c>
    </row>
    <row r="1000">
      <c r="BD1000" s="2">
        <f>BD950+SUM(CB951:CB1000)</f>
        <v>1</v>
      </c>
      <c r="CB1000" s="2">
        <f>IF(考勤工资!$Y$1004=$E$3,1,0)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5:AL155"/>
  <mergeCells count="3">
    <mergeCell ref="A1:AL1"/>
    <mergeCell ref="F3:T3"/>
    <mergeCell ref="A2:AL2"/>
  </mergeCells>
  <conditionalFormatting sqref="AJ6:AJ155">
    <cfRule type="expression" priority="1" dxfId="3">
      <formula>N($AJ6)&lt;0</formula>
    </cfRule>
  </conditionalFormatting>
  <dataValidations count="1">
    <dataValidation sqref="C3" showDropDown="0" showInputMessage="0" showErrorMessage="1" allowBlank="1" errorTitle="日期" error="要像 2026/9/1 这样填日期" type="date" errorStyle="warning" operator="between">
      <formula1>36526</formula1>
      <formula2>73050</formula2>
    </dataValidation>
  </dataValidations>
  <hyperlinks>
    <hyperlink ref="AM1" location="'首页'!A1" display="← 回首页"/>
  </hyperlinks>
  <pageMargins left="0.3" right="0.3" top="0.5" bottom="0.5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CA300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9" customWidth="1" min="3" max="3"/>
    <col width="11" customWidth="1" min="4" max="4"/>
    <col width="15" customWidth="1" min="5" max="5"/>
    <col width="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6" customWidth="1" min="16" max="16"/>
    <col width="2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2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52" max="52"/>
    <col hidden="1" width="13" customWidth="1" min="53" max="53"/>
    <col hidden="1" width="13" customWidth="1" min="79" max="79"/>
  </cols>
  <sheetData>
    <row r="1" ht="33" customHeight="1">
      <c r="A1" s="1" t="inlineStr">
        <is>
          <t>工 资 汇 总（每人一行：本年应发、发了多少、还欠多少）</t>
        </is>
      </c>
      <c r="AE1" s="33" t="inlineStr">
        <is>
          <t>← 回首页</t>
        </is>
      </c>
      <c r="BA1" s="2">
        <f>SUM(CA1:CA1)</f>
        <v>0</v>
      </c>
      <c r="CA1" s="2">
        <f>IF(AND(OR(_余额!$B$3="管理人员",_余额!$B$3="工人"),OR(_余额!$J$3&lt;&gt;0,_余额!$K$3&lt;&gt;0,_余额!$E$3&lt;&gt;0,_余额!$L$3&lt;&gt;0,AND(_余额!$B$3="管理人员",COUNTIFS(工资标准!$B$4:$B$303,_余额!$A$3,工资标准!$E$4:$E$303,"&gt;0")&gt;0))),1,0)</f>
        <v>0</v>
      </c>
    </row>
    <row r="2" ht="24" customHeight="1">
      <c r="A2" s="3" t="inlineStr">
        <is>
          <t>💡 全自动，年度跟首页走。年初欠薪＋本年实发应付−本年发放−总包代发＋已退回＝剩余工资（负数＝多发了，他欠公司，下个月从工资里扣或让他退）。右边是各月应发。月薪的人某个月没录考勤，最后一列会提醒（漏录了工资就进不了成本）。</t>
        </is>
      </c>
      <c r="BA2" s="2">
        <f>SUM(CA1:CA2)</f>
        <v>0</v>
      </c>
      <c r="CA2" s="2">
        <f>IF(AND(OR(_余额!$B$4="管理人员",_余额!$B$4="工人"),OR(_余额!$J$4&lt;&gt;0,_余额!$K$4&lt;&gt;0,_余额!$E$4&lt;&gt;0,_余额!$L$4&lt;&gt;0,AND(_余额!$B$4="管理人员",COUNTIFS(工资标准!$B$4:$B$303,_余额!$A$4,工资标准!$E$4:$E$303,"&gt;0")&gt;0))),1,0)</f>
        <v>0</v>
      </c>
    </row>
    <row r="3">
      <c r="B3" s="98" t="str">
        <f>_辅助!$J$7&amp;"年  截止 "&amp;TEXT(_辅助!$J$9,"m月d日")</f>
        <v>2026年  截止 8月31日</v>
      </c>
      <c r="E3" s="90">
        <f>IF($BA$300&gt;200,"⚠ 有"&amp;$BA$300&amp;"人，只列前200人","")</f>
      </c>
      <c r="BA3" s="2">
        <f>SUM(CA1:CA3)</f>
        <v>0</v>
      </c>
      <c r="CA3" s="2">
        <f>IF(AND(OR(_余额!$B$5="管理人员",_余额!$B$5="工人"),OR(_余额!$J$5&lt;&gt;0,_余额!$K$5&lt;&gt;0,_余额!$E$5&lt;&gt;0,_余额!$L$5&lt;&gt;0,AND(_余额!$B$5="管理人员",COUNTIFS(工资标准!$B$4:$B$303,_余额!$A$5,工资标准!$E$4:$E$303,"&gt;0")&gt;0))),1,0)</f>
        <v>0</v>
      </c>
    </row>
    <row r="4">
      <c r="A4" s="105" t="n"/>
      <c r="B4" s="76" t="inlineStr">
        <is>
          <t>合计</t>
        </is>
      </c>
      <c r="C4" s="105" t="n"/>
      <c r="D4" s="105" t="n"/>
      <c r="E4" s="77">
        <f>SUM(E6:E205)</f>
        <v>0</v>
      </c>
      <c r="F4" s="120">
        <f>SUM(F6:F205)</f>
        <v>643.13</v>
      </c>
      <c r="G4" s="77">
        <f>SUM(G6:G205)</f>
        <v>256423.9</v>
      </c>
      <c r="H4" s="77">
        <f>SUM(H6:H205)</f>
        <v>0</v>
      </c>
      <c r="I4" s="77">
        <f>SUM(I6:I205)</f>
        <v>80</v>
      </c>
      <c r="J4" s="77">
        <f>SUM(J6:J205)</f>
        <v>0</v>
      </c>
      <c r="K4" s="77">
        <f>SUM(K6:K205)</f>
        <v>256343.9</v>
      </c>
      <c r="L4" s="77">
        <f>SUM(L6:L205)</f>
        <v>256031.31</v>
      </c>
      <c r="M4" s="77">
        <f>SUM(M6:M205)</f>
        <v>0</v>
      </c>
      <c r="N4" s="77">
        <f>SUM(N6:N205)</f>
        <v>5000</v>
      </c>
      <c r="O4" s="77">
        <f>SUM(O6:O205)</f>
        <v>5312.59</v>
      </c>
      <c r="P4" s="105" t="n"/>
      <c r="R4" s="77">
        <f>SUM(R6:R205)</f>
        <v>0</v>
      </c>
      <c r="S4" s="77">
        <f>SUM(S6:S205)</f>
        <v>0</v>
      </c>
      <c r="T4" s="77">
        <f>SUM(T6:T205)</f>
        <v>81165</v>
      </c>
      <c r="U4" s="77">
        <f>SUM(U6:U205)</f>
        <v>174058.9</v>
      </c>
      <c r="V4" s="77">
        <f>SUM(V6:V205)</f>
        <v>0</v>
      </c>
      <c r="W4" s="77">
        <f>SUM(W6:W205)</f>
        <v>0</v>
      </c>
      <c r="X4" s="77">
        <f>SUM(X6:X205)</f>
        <v>1200</v>
      </c>
      <c r="Y4" s="77">
        <f>SUM(Y6:Y205)</f>
        <v>0</v>
      </c>
      <c r="Z4" s="77">
        <f>SUM(Z6:Z205)</f>
        <v>0</v>
      </c>
      <c r="AA4" s="77">
        <f>SUM(AA6:AA205)</f>
        <v>0</v>
      </c>
      <c r="AB4" s="77">
        <f>SUM(AB6:AB205)</f>
        <v>0</v>
      </c>
      <c r="AC4" s="77">
        <f>SUM(AC6:AC205)</f>
        <v>0</v>
      </c>
      <c r="AD4" s="121" t="str">
        <f>IF(COUNTIF(AD6:AD205,"⚠*")&gt;0,COUNTIF(AD6:AD205,"⚠*")&amp;"个管理人员有月份没录考勤","")</f>
        <v>5个管理人员有月份没录考勤</v>
      </c>
      <c r="BA4" s="2">
        <f>SUM(CA1:CA4)</f>
        <v>0</v>
      </c>
      <c r="CA4" s="2">
        <f>IF(AND(OR(_余额!$B$6="管理人员",_余额!$B$6="工人"),OR(_余额!$J$6&lt;&gt;0,_余额!$K$6&lt;&gt;0,_余额!$E$6&lt;&gt;0,_余额!$L$6&lt;&gt;0,AND(_余额!$B$6="管理人员",COUNTIFS(工资标准!$B$4:$B$303,_余额!$A$6,工资标准!$E$4:$E$303,"&gt;0")&gt;0))),1,0)</f>
        <v>0</v>
      </c>
    </row>
    <row r="5" ht="40" customHeight="1">
      <c r="A5" s="116" t="inlineStr">
        <is>
          <t>序号</t>
        </is>
      </c>
      <c r="B5" s="116" t="inlineStr">
        <is>
          <t>姓名</t>
        </is>
      </c>
      <c r="C5" s="116" t="inlineStr">
        <is>
          <t>类型</t>
        </is>
      </c>
      <c r="D5" s="116" t="inlineStr">
        <is>
          <t>现在的
日薪/月薪</t>
        </is>
      </c>
      <c r="E5" s="116" t="inlineStr">
        <is>
          <t>年初欠薪</t>
        </is>
      </c>
      <c r="F5" s="116" t="inlineStr">
        <is>
          <t>本年
天数</t>
        </is>
      </c>
      <c r="G5" s="116" t="inlineStr">
        <is>
          <t>本年应发</t>
        </is>
      </c>
      <c r="H5" s="116" t="inlineStr">
        <is>
          <t>其中补贴</t>
        </is>
      </c>
      <c r="I5" s="116" t="inlineStr">
        <is>
          <t>代扣个税</t>
        </is>
      </c>
      <c r="J5" s="116" t="inlineStr">
        <is>
          <t>代扣社保</t>
        </is>
      </c>
      <c r="K5" s="116" t="inlineStr">
        <is>
          <t>本年
实发应付</t>
        </is>
      </c>
      <c r="L5" s="116" t="inlineStr">
        <is>
          <t>本年发放</t>
        </is>
      </c>
      <c r="M5" s="116" t="inlineStr">
        <is>
          <t>总包代发</t>
        </is>
      </c>
      <c r="N5" s="116" t="inlineStr">
        <is>
          <t>已退回</t>
        </is>
      </c>
      <c r="O5" s="116" t="inlineStr">
        <is>
          <t>剩余工资
（欠薪）</t>
        </is>
      </c>
      <c r="P5" s="116" t="inlineStr">
        <is>
          <t>说明</t>
        </is>
      </c>
      <c r="R5" s="122" t="inlineStr">
        <is>
          <t>1月</t>
        </is>
      </c>
      <c r="S5" s="122" t="inlineStr">
        <is>
          <t>2月</t>
        </is>
      </c>
      <c r="T5" s="122" t="inlineStr">
        <is>
          <t>3月</t>
        </is>
      </c>
      <c r="U5" s="122" t="inlineStr">
        <is>
          <t>4月</t>
        </is>
      </c>
      <c r="V5" s="122" t="inlineStr">
        <is>
          <t>5月</t>
        </is>
      </c>
      <c r="W5" s="122" t="inlineStr">
        <is>
          <t>6月</t>
        </is>
      </c>
      <c r="X5" s="122" t="inlineStr">
        <is>
          <t>7月</t>
        </is>
      </c>
      <c r="Y5" s="122" t="inlineStr">
        <is>
          <t>8月</t>
        </is>
      </c>
      <c r="Z5" s="122" t="inlineStr">
        <is>
          <t>9月</t>
        </is>
      </c>
      <c r="AA5" s="122" t="inlineStr">
        <is>
          <t>10月</t>
        </is>
      </c>
      <c r="AB5" s="122" t="inlineStr">
        <is>
          <t>11月</t>
        </is>
      </c>
      <c r="AC5" s="122" t="inlineStr">
        <is>
          <t>12月</t>
        </is>
      </c>
      <c r="AD5" s="116" t="inlineStr">
        <is>
          <t>提醒</t>
        </is>
      </c>
      <c r="BA5" s="2">
        <f>SUM(CA1:CA5)</f>
        <v>0</v>
      </c>
      <c r="CA5" s="2">
        <f>IF(AND(OR(_余额!$B$7="管理人员",_余额!$B$7="工人"),OR(_余额!$J$7&lt;&gt;0,_余额!$K$7&lt;&gt;0,_余额!$E$7&lt;&gt;0,_余额!$L$7&lt;&gt;0,AND(_余额!$B$7="管理人员",COUNTIFS(工资标准!$B$4:$B$303,_余额!$A$7,工资标准!$E$4:$E$303,"&gt;0")&gt;0))),1,0)</f>
        <v>0</v>
      </c>
    </row>
    <row r="6">
      <c r="A6" s="94">
        <f>IF($AZ6=0,"",1)</f>
        <v>1</v>
      </c>
      <c r="B6" s="94" t="str">
        <f t="shared" ref="B6:B205" si="0">IF($AZ6=0,"",INDEX(往来单位!$B$4:$B$303,$AZ6))</f>
        <v>聂峰</v>
      </c>
      <c r="C6" s="94" t="str">
        <f t="shared" ref="C6:C205" si="25">IF($AZ6=0,"",INDEX(往来单位!$C$4:$C$303,$AZ6))</f>
        <v>工人</v>
      </c>
      <c r="D6" s="119">
        <f t="shared" ref="D6:D205" si="26">IF($AZ6=0,"",IF($AG6=0,"",SUMIFS(工资标准!$D$4:$D$303,工资标准!$B$4:$B$303,$B6,工资标准!$H$4:$H$303,$AG6)+SUMIFS(工资标准!$E$4:$E$303,工资标准!$B$4:$B$303,$B6,工资标准!$H$4:$H$303,$AG6)))</f>
        <v>500</v>
      </c>
      <c r="E6" s="21">
        <f t="shared" ref="E6:E205" si="1">IF($AZ6=0,"",INDEX(_余额!$F$3:$F$302,$AZ6))</f>
        <v>0</v>
      </c>
      <c r="F6" s="118">
        <f t="shared" ref="F6:F205" si="2">IF($AZ6=0,"",SUMIFS(考勤工资!$R$5:$R$1004,考勤工资!$C$5:$C$1004,$B6,考勤工资!$Y$5:$Y$1004,"&gt;="&amp;MAX(_辅助!$J$1,_辅助!$J$4),考勤工资!$Y$5:$Y$1004,"&lt;="&amp;_辅助!$J$2))</f>
        <v>60</v>
      </c>
      <c r="G6" s="21">
        <f t="shared" ref="G6:G205" si="3">IF($AZ6=0,"",SUMIFS(考勤工资!$V$5:$V$1004,考勤工资!$C$5:$C$1004,$B6,考勤工资!$Y$5:$Y$1004,"&gt;="&amp;MAX(_辅助!$J$1,_辅助!$J$4),考勤工资!$Y$5:$Y$1004,"&lt;="&amp;_辅助!$J$2))</f>
        <v>30000</v>
      </c>
      <c r="H6" s="21">
        <f t="shared" ref="H6:H205" si="4">IF($AZ6=0,"",SUMIFS(考勤工资!$M$5:$M$1004,考勤工资!$C$5:$C$1004,$B6,考勤工资!$Y$5:$Y$1004,"&gt;="&amp;MAX(_辅助!$J$1,_辅助!$J$4),考勤工资!$Y$5:$Y$1004,"&lt;="&amp;_辅助!$J$2))</f>
        <v>0</v>
      </c>
      <c r="I6" s="21">
        <f t="shared" ref="I6:I205" si="5">IF($AZ6=0,"",SUMIFS(考勤工资!$O$5:$O$1004,考勤工资!$C$5:$C$1004,$B6,考勤工资!$Y$5:$Y$1004,"&gt;="&amp;MAX(_辅助!$J$1,_辅助!$J$4),考勤工资!$Y$5:$Y$1004,"&lt;="&amp;_辅助!$J$2))</f>
        <v>0</v>
      </c>
      <c r="J6" s="21">
        <f t="shared" ref="J6:J205" si="6">IF($AZ6=0,"",SUMIFS(考勤工资!$P$5:$P$1004,考勤工资!$C$5:$C$1004,$B6,考勤工资!$Y$5:$Y$1004,"&gt;="&amp;MAX(_辅助!$J$1,_辅助!$J$4),考勤工资!$Y$5:$Y$1004,"&lt;="&amp;_辅助!$J$2))</f>
        <v>0</v>
      </c>
      <c r="K6" s="21">
        <f t="shared" ref="K6:K205" si="7">IF($AZ6=0,"",SUMIFS(考勤工资!$W$5:$W$1004,考勤工资!$C$5:$C$1004,$B6,考勤工资!$Y$5:$Y$1004,"&gt;="&amp;MAX(_辅助!$J$1,_辅助!$J$4),考勤工资!$Y$5:$Y$1004,"&lt;="&amp;_辅助!$J$2))</f>
        <v>30000</v>
      </c>
      <c r="L6" s="21">
        <f t="shared" ref="L6:L205" si="8">IF($AZ6=0,"",-SUMIFS(资金流水!$R$6:$R$2005,资金流水!$J$6:$J$2005,$B6,资金流水!$X$6:$X$2005,"应付职工薪酬",资金流水!$R$6:$R$2005,"&lt;0",资金流水!$S$6:$S$2005,"&gt;="&amp;MAX(_辅助!$J$1,_辅助!$J$4),资金流水!$S$6:$S$2005,"&lt;="&amp;_辅助!$J$2))</f>
        <v>6000</v>
      </c>
      <c r="M6" s="21">
        <f t="shared" ref="M6:M205" si="9">IF($AZ6=0,"",SUMIFS(代发抵账!$F$5:$F$304,代发抵账!$E$5:$E$304,$B6,代发抵账!$D$5:$D$304,"总包代发工资",代发抵账!$H$5:$H$304,"&gt;="&amp;MAX(_辅助!$J$1,_辅助!$J$4),代发抵账!$H$5:$H$304,"&lt;="&amp;_辅助!$J$2))</f>
        <v>0</v>
      </c>
      <c r="N6" s="21">
        <f t="shared" ref="N6:N205" si="10">IF($AZ6=0,"",SUMIFS(资金流水!$R$6:$R$2005,资金流水!$J$6:$J$2005,$B6,资金流水!$X$6:$X$2005,"应付职工薪酬",资金流水!$R$6:$R$2005,"&gt;0",资金流水!$S$6:$S$2005,"&gt;="&amp;MAX(_辅助!$J$1,_辅助!$J$4),资金流水!$S$6:$S$2005,"&lt;="&amp;_辅助!$J$2))</f>
        <v>0</v>
      </c>
      <c r="O6" s="21">
        <f t="shared" ref="O6:O205" si="11">IF($AZ6=0,"",INDEX(_余额!$E$3:$E$302,$AZ6))</f>
        <v>24000</v>
      </c>
      <c r="P6" s="96" t="str">
        <f t="shared" ref="P6:P205" si="27">IF($AZ6=0,"",IF(ROUND(E6+K6-L6-M6+N6-O6,2)&lt;&gt;0,"✗ 对不上，查一下",IF(O6&lt;0,"多发了，他欠公司",IF(O6&gt;0,"公司还欠他",""))))</f>
        <v>公司还欠他</v>
      </c>
      <c r="R6" s="21">
        <f t="shared" ref="R6:R205" si="12">IF($AZ6=0,"",SUMIFS(考勤工资!$V$5:$V$1004,考勤工资!$C$5:$C$1004,$B6,考勤工资!$Y$5:$Y$1004,_辅助!$J$7*100+1))</f>
        <v>0</v>
      </c>
      <c r="S6" s="21">
        <f t="shared" ref="S6:S205" si="13">IF($AZ6=0,"",SUMIFS(考勤工资!$V$5:$V$1004,考勤工资!$C$5:$C$1004,$B6,考勤工资!$Y$5:$Y$1004,_辅助!$J$7*100+2))</f>
        <v>0</v>
      </c>
      <c r="T6" s="21">
        <f t="shared" ref="T6:T205" si="14">IF($AZ6=0,"",SUMIFS(考勤工资!$V$5:$V$1004,考勤工资!$C$5:$C$1004,$B6,考勤工资!$Y$5:$Y$1004,_辅助!$J$7*100+3))</f>
        <v>18000</v>
      </c>
      <c r="U6" s="21">
        <f t="shared" ref="U6:U205" si="15">IF($AZ6=0,"",SUMIFS(考勤工资!$V$5:$V$1004,考勤工资!$C$5:$C$1004,$B6,考勤工资!$Y$5:$Y$1004,_辅助!$J$7*100+4))</f>
        <v>12000</v>
      </c>
      <c r="V6" s="21">
        <f t="shared" ref="V6:V205" si="16">IF($AZ6=0,"",SUMIFS(考勤工资!$V$5:$V$1004,考勤工资!$C$5:$C$1004,$B6,考勤工资!$Y$5:$Y$1004,_辅助!$J$7*100+5))</f>
        <v>0</v>
      </c>
      <c r="W6" s="21">
        <f t="shared" ref="W6:W205" si="17">IF($AZ6=0,"",SUMIFS(考勤工资!$V$5:$V$1004,考勤工资!$C$5:$C$1004,$B6,考勤工资!$Y$5:$Y$1004,_辅助!$J$7*100+6))</f>
        <v>0</v>
      </c>
      <c r="X6" s="21">
        <f t="shared" ref="X6:X205" si="18">IF($AZ6=0,"",SUMIFS(考勤工资!$V$5:$V$1004,考勤工资!$C$5:$C$1004,$B6,考勤工资!$Y$5:$Y$1004,_辅助!$J$7*100+7))</f>
        <v>0</v>
      </c>
      <c r="Y6" s="21">
        <f t="shared" ref="Y6:Y205" si="19">IF($AZ6=0,"",SUMIFS(考勤工资!$V$5:$V$1004,考勤工资!$C$5:$C$1004,$B6,考勤工资!$Y$5:$Y$1004,_辅助!$J$7*100+8))</f>
        <v>0</v>
      </c>
      <c r="Z6" s="21">
        <f t="shared" ref="Z6:Z205" si="20">IF($AZ6=0,"",SUMIFS(考勤工资!$V$5:$V$1004,考勤工资!$C$5:$C$1004,$B6,考勤工资!$Y$5:$Y$1004,_辅助!$J$7*100+9))</f>
        <v>0</v>
      </c>
      <c r="AA6" s="21">
        <f t="shared" ref="AA6:AA205" si="21">IF($AZ6=0,"",SUMIFS(考勤工资!$V$5:$V$1004,考勤工资!$C$5:$C$1004,$B6,考勤工资!$Y$5:$Y$1004,_辅助!$J$7*100+10))</f>
        <v>0</v>
      </c>
      <c r="AB6" s="21">
        <f t="shared" ref="AB6:AB205" si="22">IF($AZ6=0,"",SUMIFS(考勤工资!$V$5:$V$1004,考勤工资!$C$5:$C$1004,$B6,考勤工资!$Y$5:$Y$1004,_辅助!$J$7*100+11))</f>
        <v>0</v>
      </c>
      <c r="AC6" s="21">
        <f t="shared" ref="AC6:AC205" si="23">IF($AZ6=0,"",SUMIFS(考勤工资!$V$5:$V$1004,考勤工资!$C$5:$C$1004,$B6,考勤工资!$Y$5:$Y$1004,_辅助!$J$7*100+12))</f>
        <v>0</v>
      </c>
      <c r="AD6" s="96">
        <f t="shared" ref="AD6:AD205" si="24">IF($AZ6=0,"",IF(AND(C6="管理人员",COUNTIFS(工资标准!$B$4:$B$303,$B6,工资标准!$E$4:$E$303,"&gt;0")&gt;0),IF((AND(_辅助!$J$7*100+1&gt;=$AE6,_辅助!$J$7*100+1&lt;=_辅助!$J$2,_辅助!$J$7*100+1&lt;=$AF6,N(R6)=0)+AND(_辅助!$J$7*100+2&gt;=$AE6,_辅助!$J$7*100+2&lt;=_辅助!$J$2,_辅助!$J$7*100+2&lt;=$AF6,N(S6)=0)+AND(_辅助!$J$7*100+3&gt;=$AE6,_辅助!$J$7*100+3&lt;=_辅助!$J$2,_辅助!$J$7*100+3&lt;=$AF6,N(T6)=0)+AND(_辅助!$J$7*100+4&gt;=$AE6,_辅助!$J$7*100+4&lt;=_辅助!$J$2,_辅助!$J$7*100+4&lt;=$AF6,N(U6)=0)+AND(_辅助!$J$7*100+5&gt;=$AE6,_辅助!$J$7*100+5&lt;=_辅助!$J$2,_辅助!$J$7*100+5&lt;=$AF6,N(V6)=0)+AND(_辅助!$J$7*100+6&gt;=$AE6,_辅助!$J$7*100+6&lt;=_辅助!$J$2,_辅助!$J$7*100+6&lt;=$AF6,N(W6)=0)+AND(_辅助!$J$7*100+7&gt;=$AE6,_辅助!$J$7*100+7&lt;=_辅助!$J$2,_辅助!$J$7*100+7&lt;=$AF6,N(X6)=0)+AND(_辅助!$J$7*100+8&gt;=$AE6,_辅助!$J$7*100+8&lt;=_辅助!$J$2,_辅助!$J$7*100+8&lt;=$AF6,N(Y6)=0)+AND(_辅助!$J$7*100+9&gt;=$AE6,_辅助!$J$7*100+9&lt;=_辅助!$J$2,_辅助!$J$7*100+9&lt;=$AF6,N(Z6)=0)+AND(_辅助!$J$7*100+10&gt;=$AE6,_辅助!$J$7*100+10&lt;=_辅助!$J$2,_辅助!$J$7*100+10&lt;=$AF6,N(AA6)=0)+AND(_辅助!$J$7*100+11&gt;=$AE6,_辅助!$J$7*100+11&lt;=_辅助!$J$2,_辅助!$J$7*100+11&lt;=$AF6,N(AB6)=0)+AND(_辅助!$J$7*100+12&gt;=$AE6,_辅助!$J$7*100+12&lt;=_辅助!$J$2,_辅助!$J$7*100+12&lt;=$AF6,N(AC6)=0))&gt;0,"⚠ 有"&amp;(AND(_辅助!$J$7*100+1&gt;=$AE6,_辅助!$J$7*100+1&lt;=_辅助!$J$2,_辅助!$J$7*100+1&lt;=$AF6,N(R6)=0)+AND(_辅助!$J$7*100+2&gt;=$AE6,_辅助!$J$7*100+2&lt;=_辅助!$J$2,_辅助!$J$7*100+2&lt;=$AF6,N(S6)=0)+AND(_辅助!$J$7*100+3&gt;=$AE6,_辅助!$J$7*100+3&lt;=_辅助!$J$2,_辅助!$J$7*100+3&lt;=$AF6,N(T6)=0)+AND(_辅助!$J$7*100+4&gt;=$AE6,_辅助!$J$7*100+4&lt;=_辅助!$J$2,_辅助!$J$7*100+4&lt;=$AF6,N(U6)=0)+AND(_辅助!$J$7*100+5&gt;=$AE6,_辅助!$J$7*100+5&lt;=_辅助!$J$2,_辅助!$J$7*100+5&lt;=$AF6,N(V6)=0)+AND(_辅助!$J$7*100+6&gt;=$AE6,_辅助!$J$7*100+6&lt;=_辅助!$J$2,_辅助!$J$7*100+6&lt;=$AF6,N(W6)=0)+AND(_辅助!$J$7*100+7&gt;=$AE6,_辅助!$J$7*100+7&lt;=_辅助!$J$2,_辅助!$J$7*100+7&lt;=$AF6,N(X6)=0)+AND(_辅助!$J$7*100+8&gt;=$AE6,_辅助!$J$7*100+8&lt;=_辅助!$J$2,_辅助!$J$7*100+8&lt;=$AF6,N(Y6)=0)+AND(_辅助!$J$7*100+9&gt;=$AE6,_辅助!$J$7*100+9&lt;=_辅助!$J$2,_辅助!$J$7*100+9&lt;=$AF6,N(Z6)=0)+AND(_辅助!$J$7*100+10&gt;=$AE6,_辅助!$J$7*100+10&lt;=_辅助!$J$2,_辅助!$J$7*100+10&lt;=$AF6,N(AA6)=0)+AND(_辅助!$J$7*100+11&gt;=$AE6,_辅助!$J$7*100+11&lt;=_辅助!$J$2,_辅助!$J$7*100+11&lt;=$AF6,N(AB6)=0)+AND(_辅助!$J$7*100+12&gt;=$AE6,_辅助!$J$7*100+12&lt;=_辅助!$J$2,_辅助!$J$7*100+12&lt;=$AF6,N(AC6)=0))&amp;"个月没录考勤",""),""))</f>
      </c>
      <c r="AE6" s="2">
        <f t="shared" ref="AE6:AE205" si="28">IF($AZ6=0,0,MAX(MAX(_辅助!$J$1,_辅助!$J$4),IF(N(IF(ISNUMBER(INDEX(往来单位!$K$4:$K$303,$AZ6)),INDEX(往来单位!$K$4:$K$303,$AZ6),IFERROR(INDEX(工资标准!$H$4:$H$303,MATCH($B6&amp;"|1",工资标准!$I$4:$I$303,0)),0)))=0,0,YEAR(IF(ISNUMBER(INDEX(往来单位!$K$4:$K$303,$AZ6)),INDEX(往来单位!$K$4:$K$303,$AZ6),IFERROR(INDEX(工资标准!$H$4:$H$303,MATCH($B6&amp;"|1",工资标准!$I$4:$I$303,0)),0)))*100+MONTH(IF(ISNUMBER(INDEX(往来单位!$K$4:$K$303,$AZ6)),INDEX(往来单位!$K$4:$K$303,$AZ6),IFERROR(INDEX(工资标准!$H$4:$H$303,MATCH($B6&amp;"|1",工资标准!$I$4:$I$303,0)),0))))))</f>
        <v>202603</v>
      </c>
      <c r="AF6" s="2">
        <f t="shared" ref="AF6:AF205" si="29">IF($AZ6=0,999912,IF(ISNUMBER(INDEX(往来单位!$L$4:$L$303,$AZ6)),YEAR(INDEX(往来单位!$L$4:$L$303,$AZ6))*100+MONTH(INDEX(往来单位!$L$4:$L$303,$AZ6)),999912))</f>
        <v>999912</v>
      </c>
      <c r="AG6" s="2">
        <f t="shared" ref="AG6:AG205" si="30">IF($AZ6=0,0,IF(COUNTIFS(工资标准!$B$4:$B$303,$B6,工资标准!$H$4:$H$303,"&gt;0",工资标准!$H$4:$H$303,"&lt;="&amp;_辅助!$J$9)=0,0,IFERROR(INDEX(工资标准!$H$4:$H$303,MATCH($B6&amp;"|"&amp;COUNTIFS(工资标准!$B$4:$B$303,$B6,工资标准!$H$4:$H$303,"&gt;0",工资标准!$H$4:$H$303,"&lt;="&amp;_辅助!$J$9),工资标准!$I$4:$I$303,0)),0)))</f>
        <v>45658</v>
      </c>
      <c r="AZ6" s="2">
        <f>IF(1&gt;$BA$300,0,IFERROR(MATCH(1,$BA$1:$BA$300,0),0))</f>
        <v>41</v>
      </c>
      <c r="BA6" s="2">
        <f>SUM(CA1:CA6)</f>
        <v>0</v>
      </c>
      <c r="CA6" s="2">
        <f>IF(AND(OR(_余额!$B$8="管理人员",_余额!$B$8="工人"),OR(_余额!$J$8&lt;&gt;0,_余额!$K$8&lt;&gt;0,_余额!$E$8&lt;&gt;0,_余额!$L$8&lt;&gt;0,AND(_余额!$B$8="管理人员",COUNTIFS(工资标准!$B$4:$B$303,_余额!$A$8,工资标准!$E$4:$E$303,"&gt;0")&gt;0))),1,0)</f>
        <v>0</v>
      </c>
    </row>
    <row r="7">
      <c r="A7" s="94">
        <f>IF($AZ7=0,"",2)</f>
        <v>2</v>
      </c>
      <c r="B7" s="94" t="str">
        <f t="shared" si="0"/>
        <v>袁斌财</v>
      </c>
      <c r="C7" s="94" t="str">
        <f t="shared" si="25"/>
        <v>工人</v>
      </c>
      <c r="D7" s="119">
        <f t="shared" si="26"/>
        <v>330</v>
      </c>
      <c r="E7" s="21">
        <f t="shared" si="1"/>
        <v>0</v>
      </c>
      <c r="F7" s="118">
        <f t="shared" si="2"/>
        <v>60.67</v>
      </c>
      <c r="G7" s="21">
        <f t="shared" si="3"/>
        <v>20021.1</v>
      </c>
      <c r="H7" s="21">
        <f t="shared" si="4"/>
        <v>0</v>
      </c>
      <c r="I7" s="21">
        <f t="shared" si="5"/>
        <v>0</v>
      </c>
      <c r="J7" s="21">
        <f t="shared" si="6"/>
        <v>0</v>
      </c>
      <c r="K7" s="21">
        <f t="shared" si="7"/>
        <v>20021.1</v>
      </c>
      <c r="L7" s="21">
        <f t="shared" si="8"/>
        <v>9000</v>
      </c>
      <c r="M7" s="21">
        <f t="shared" si="9"/>
        <v>0</v>
      </c>
      <c r="N7" s="21">
        <f t="shared" si="10"/>
        <v>0</v>
      </c>
      <c r="O7" s="21">
        <f t="shared" si="11"/>
        <v>11021.1</v>
      </c>
      <c r="P7" s="96" t="str">
        <f t="shared" si="27"/>
        <v>公司还欠他</v>
      </c>
      <c r="R7" s="21">
        <f t="shared" si="12"/>
        <v>0</v>
      </c>
      <c r="S7" s="21">
        <f t="shared" si="13"/>
        <v>0</v>
      </c>
      <c r="T7" s="21">
        <f t="shared" si="14"/>
        <v>11880</v>
      </c>
      <c r="U7" s="21">
        <f t="shared" si="15"/>
        <v>8141.1</v>
      </c>
      <c r="V7" s="21">
        <f t="shared" si="16"/>
        <v>0</v>
      </c>
      <c r="W7" s="21">
        <f t="shared" si="17"/>
        <v>0</v>
      </c>
      <c r="X7" s="21">
        <f t="shared" si="18"/>
        <v>0</v>
      </c>
      <c r="Y7" s="21">
        <f t="shared" si="19"/>
        <v>0</v>
      </c>
      <c r="Z7" s="21">
        <f t="shared" si="20"/>
        <v>0</v>
      </c>
      <c r="AA7" s="21">
        <f t="shared" si="21"/>
        <v>0</v>
      </c>
      <c r="AB7" s="21">
        <f t="shared" si="22"/>
        <v>0</v>
      </c>
      <c r="AC7" s="21">
        <f t="shared" si="23"/>
        <v>0</v>
      </c>
      <c r="AD7" s="96">
        <f t="shared" si="24"/>
      </c>
      <c r="AE7" s="2">
        <f t="shared" si="28"/>
        <v>202603</v>
      </c>
      <c r="AF7" s="2">
        <f t="shared" si="29"/>
        <v>999912</v>
      </c>
      <c r="AG7" s="2">
        <f t="shared" si="30"/>
        <v>45658</v>
      </c>
      <c r="AZ7" s="2">
        <f>IF(2&gt;$BA$300,0,IFERROR(MATCH(2,$BA$1:$BA$300,0),0))</f>
        <v>42</v>
      </c>
      <c r="BA7" s="2">
        <f>SUM(CA1:CA7)</f>
        <v>0</v>
      </c>
      <c r="CA7" s="2">
        <f>IF(AND(OR(_余额!$B$9="管理人员",_余额!$B$9="工人"),OR(_余额!$J$9&lt;&gt;0,_余额!$K$9&lt;&gt;0,_余额!$E$9&lt;&gt;0,_余额!$L$9&lt;&gt;0,AND(_余额!$B$9="管理人员",COUNTIFS(工资标准!$B$4:$B$303,_余额!$A$9,工资标准!$E$4:$E$303,"&gt;0")&gt;0))),1,0)</f>
        <v>0</v>
      </c>
    </row>
    <row r="8">
      <c r="A8" s="94">
        <f>IF($AZ8=0,"",3)</f>
        <v>3</v>
      </c>
      <c r="B8" s="94" t="str">
        <f t="shared" si="0"/>
        <v>胡家新</v>
      </c>
      <c r="C8" s="94" t="str">
        <f t="shared" si="25"/>
        <v>工人</v>
      </c>
      <c r="D8" s="119">
        <f t="shared" si="26"/>
        <v>270</v>
      </c>
      <c r="E8" s="21">
        <f t="shared" si="1"/>
        <v>0</v>
      </c>
      <c r="F8" s="118">
        <f t="shared" si="2"/>
        <v>38</v>
      </c>
      <c r="G8" s="21">
        <f t="shared" si="3"/>
        <v>10260</v>
      </c>
      <c r="H8" s="21">
        <f t="shared" si="4"/>
        <v>0</v>
      </c>
      <c r="I8" s="21">
        <f t="shared" si="5"/>
        <v>0</v>
      </c>
      <c r="J8" s="21">
        <f t="shared" si="6"/>
        <v>0</v>
      </c>
      <c r="K8" s="21">
        <f t="shared" si="7"/>
        <v>10260</v>
      </c>
      <c r="L8" s="21">
        <f t="shared" si="8"/>
        <v>7000</v>
      </c>
      <c r="M8" s="21">
        <f t="shared" si="9"/>
        <v>0</v>
      </c>
      <c r="N8" s="21">
        <f t="shared" si="10"/>
        <v>0</v>
      </c>
      <c r="O8" s="21">
        <f t="shared" si="11"/>
        <v>3260</v>
      </c>
      <c r="P8" s="96" t="str">
        <f t="shared" si="27"/>
        <v>公司还欠他</v>
      </c>
      <c r="R8" s="21">
        <f t="shared" si="12"/>
        <v>0</v>
      </c>
      <c r="S8" s="21">
        <f t="shared" si="13"/>
        <v>0</v>
      </c>
      <c r="T8" s="21">
        <f t="shared" si="14"/>
        <v>9450</v>
      </c>
      <c r="U8" s="21">
        <f t="shared" si="15"/>
        <v>810</v>
      </c>
      <c r="V8" s="21">
        <f t="shared" si="16"/>
        <v>0</v>
      </c>
      <c r="W8" s="21">
        <f t="shared" si="17"/>
        <v>0</v>
      </c>
      <c r="X8" s="21">
        <f t="shared" si="18"/>
        <v>0</v>
      </c>
      <c r="Y8" s="21">
        <f t="shared" si="19"/>
        <v>0</v>
      </c>
      <c r="Z8" s="21">
        <f t="shared" si="20"/>
        <v>0</v>
      </c>
      <c r="AA8" s="21">
        <f t="shared" si="21"/>
        <v>0</v>
      </c>
      <c r="AB8" s="21">
        <f t="shared" si="22"/>
        <v>0</v>
      </c>
      <c r="AC8" s="21">
        <f t="shared" si="23"/>
        <v>0</v>
      </c>
      <c r="AD8" s="96">
        <f t="shared" si="24"/>
      </c>
      <c r="AE8" s="2">
        <f t="shared" si="28"/>
        <v>202603</v>
      </c>
      <c r="AF8" s="2">
        <f t="shared" si="29"/>
        <v>999912</v>
      </c>
      <c r="AG8" s="2">
        <f t="shared" si="30"/>
        <v>45658</v>
      </c>
      <c r="AZ8" s="2">
        <f>IF(3&gt;$BA$300,0,IFERROR(MATCH(3,$BA$1:$BA$300,0),0))</f>
        <v>43</v>
      </c>
      <c r="BA8" s="2">
        <f>SUM(CA1:CA8)</f>
        <v>0</v>
      </c>
      <c r="CA8" s="2">
        <f>IF(AND(OR(_余额!$B$10="管理人员",_余额!$B$10="工人"),OR(_余额!$J$10&lt;&gt;0,_余额!$K$10&lt;&gt;0,_余额!$E$10&lt;&gt;0,_余额!$L$10&lt;&gt;0,AND(_余额!$B$10="管理人员",COUNTIFS(工资标准!$B$4:$B$303,_余额!$A$10,工资标准!$E$4:$E$303,"&gt;0")&gt;0))),1,0)</f>
        <v>0</v>
      </c>
    </row>
    <row r="9">
      <c r="A9" s="94">
        <f>IF($AZ9=0,"",4)</f>
        <v>4</v>
      </c>
      <c r="B9" s="94" t="str">
        <f t="shared" si="0"/>
        <v>刘海</v>
      </c>
      <c r="C9" s="94" t="str">
        <f t="shared" si="25"/>
        <v>工人</v>
      </c>
      <c r="D9" s="119">
        <f t="shared" si="26"/>
        <v>250</v>
      </c>
      <c r="E9" s="21">
        <f t="shared" si="1"/>
        <v>0</v>
      </c>
      <c r="F9" s="118">
        <f t="shared" si="2"/>
        <v>33</v>
      </c>
      <c r="G9" s="21">
        <f t="shared" si="3"/>
        <v>8250</v>
      </c>
      <c r="H9" s="21">
        <f t="shared" si="4"/>
        <v>0</v>
      </c>
      <c r="I9" s="21">
        <f t="shared" si="5"/>
        <v>0</v>
      </c>
      <c r="J9" s="21">
        <f t="shared" si="6"/>
        <v>0</v>
      </c>
      <c r="K9" s="21">
        <f t="shared" si="7"/>
        <v>8250</v>
      </c>
      <c r="L9" s="21">
        <f t="shared" si="8"/>
        <v>6000</v>
      </c>
      <c r="M9" s="21">
        <f t="shared" si="9"/>
        <v>0</v>
      </c>
      <c r="N9" s="21">
        <f t="shared" si="10"/>
        <v>0</v>
      </c>
      <c r="O9" s="21">
        <f t="shared" si="11"/>
        <v>2250</v>
      </c>
      <c r="P9" s="96" t="str">
        <f t="shared" si="27"/>
        <v>公司还欠他</v>
      </c>
      <c r="R9" s="21">
        <f t="shared" si="12"/>
        <v>0</v>
      </c>
      <c r="S9" s="21">
        <f t="shared" si="13"/>
        <v>0</v>
      </c>
      <c r="T9" s="21">
        <f t="shared" si="14"/>
        <v>7500</v>
      </c>
      <c r="U9" s="21">
        <f t="shared" si="15"/>
        <v>750</v>
      </c>
      <c r="V9" s="21">
        <f t="shared" si="16"/>
        <v>0</v>
      </c>
      <c r="W9" s="21">
        <f t="shared" si="17"/>
        <v>0</v>
      </c>
      <c r="X9" s="21">
        <f t="shared" si="18"/>
        <v>0</v>
      </c>
      <c r="Y9" s="21">
        <f t="shared" si="19"/>
        <v>0</v>
      </c>
      <c r="Z9" s="21">
        <f t="shared" si="20"/>
        <v>0</v>
      </c>
      <c r="AA9" s="21">
        <f t="shared" si="21"/>
        <v>0</v>
      </c>
      <c r="AB9" s="21">
        <f t="shared" si="22"/>
        <v>0</v>
      </c>
      <c r="AC9" s="21">
        <f t="shared" si="23"/>
        <v>0</v>
      </c>
      <c r="AD9" s="96">
        <f t="shared" si="24"/>
      </c>
      <c r="AE9" s="2">
        <f t="shared" si="28"/>
        <v>202603</v>
      </c>
      <c r="AF9" s="2">
        <f t="shared" si="29"/>
        <v>999912</v>
      </c>
      <c r="AG9" s="2">
        <f t="shared" si="30"/>
        <v>45658</v>
      </c>
      <c r="AZ9" s="2">
        <f>IF(4&gt;$BA$300,0,IFERROR(MATCH(4,$BA$1:$BA$300,0),0))</f>
        <v>44</v>
      </c>
      <c r="BA9" s="2">
        <f>SUM(CA1:CA9)</f>
        <v>0</v>
      </c>
      <c r="CA9" s="2">
        <f>IF(AND(OR(_余额!$B$11="管理人员",_余额!$B$11="工人"),OR(_余额!$J$11&lt;&gt;0,_余额!$K$11&lt;&gt;0,_余额!$E$11&lt;&gt;0,_余额!$L$11&lt;&gt;0,AND(_余额!$B$11="管理人员",COUNTIFS(工资标准!$B$4:$B$303,_余额!$A$11,工资标准!$E$4:$E$303,"&gt;0")&gt;0))),1,0)</f>
        <v>0</v>
      </c>
    </row>
    <row r="10">
      <c r="A10" s="94">
        <f>IF($AZ10=0,"",5)</f>
        <v>5</v>
      </c>
      <c r="B10" s="94" t="str">
        <f t="shared" si="0"/>
        <v>程章赐</v>
      </c>
      <c r="C10" s="94" t="str">
        <f t="shared" si="25"/>
        <v>工人</v>
      </c>
      <c r="D10" s="119">
        <f t="shared" si="26"/>
        <v>350</v>
      </c>
      <c r="E10" s="21">
        <f t="shared" si="1"/>
        <v>0</v>
      </c>
      <c r="F10" s="118">
        <f t="shared" si="2"/>
        <v>35.5</v>
      </c>
      <c r="G10" s="21">
        <f t="shared" si="3"/>
        <v>12425</v>
      </c>
      <c r="H10" s="21">
        <f t="shared" si="4"/>
        <v>0</v>
      </c>
      <c r="I10" s="21">
        <f t="shared" si="5"/>
        <v>0</v>
      </c>
      <c r="J10" s="21">
        <f t="shared" si="6"/>
        <v>0</v>
      </c>
      <c r="K10" s="21">
        <f t="shared" si="7"/>
        <v>12425</v>
      </c>
      <c r="L10" s="21">
        <f t="shared" si="8"/>
        <v>4000</v>
      </c>
      <c r="M10" s="21">
        <f t="shared" si="9"/>
        <v>0</v>
      </c>
      <c r="N10" s="21">
        <f t="shared" si="10"/>
        <v>0</v>
      </c>
      <c r="O10" s="21">
        <f t="shared" si="11"/>
        <v>8425</v>
      </c>
      <c r="P10" s="96" t="str">
        <f t="shared" si="27"/>
        <v>公司还欠他</v>
      </c>
      <c r="R10" s="21">
        <f t="shared" si="12"/>
        <v>0</v>
      </c>
      <c r="S10" s="21">
        <f t="shared" si="13"/>
        <v>0</v>
      </c>
      <c r="T10" s="21">
        <f t="shared" si="14"/>
        <v>7175</v>
      </c>
      <c r="U10" s="21">
        <f t="shared" si="15"/>
        <v>5250</v>
      </c>
      <c r="V10" s="21">
        <f t="shared" si="16"/>
        <v>0</v>
      </c>
      <c r="W10" s="21">
        <f t="shared" si="17"/>
        <v>0</v>
      </c>
      <c r="X10" s="21">
        <f t="shared" si="18"/>
        <v>0</v>
      </c>
      <c r="Y10" s="21">
        <f t="shared" si="19"/>
        <v>0</v>
      </c>
      <c r="Z10" s="21">
        <f t="shared" si="20"/>
        <v>0</v>
      </c>
      <c r="AA10" s="21">
        <f t="shared" si="21"/>
        <v>0</v>
      </c>
      <c r="AB10" s="21">
        <f t="shared" si="22"/>
        <v>0</v>
      </c>
      <c r="AC10" s="21">
        <f t="shared" si="23"/>
        <v>0</v>
      </c>
      <c r="AD10" s="96">
        <f t="shared" si="24"/>
      </c>
      <c r="AE10" s="2">
        <f t="shared" si="28"/>
        <v>202603</v>
      </c>
      <c r="AF10" s="2">
        <f t="shared" si="29"/>
        <v>999912</v>
      </c>
      <c r="AG10" s="2">
        <f t="shared" si="30"/>
        <v>45658</v>
      </c>
      <c r="AZ10" s="2">
        <f>IF(5&gt;$BA$300,0,IFERROR(MATCH(5,$BA$1:$BA$300,0),0))</f>
        <v>45</v>
      </c>
      <c r="BA10" s="2">
        <f>SUM(CA1:CA10)</f>
        <v>0</v>
      </c>
      <c r="CA10" s="2">
        <f>IF(AND(OR(_余额!$B$12="管理人员",_余额!$B$12="工人"),OR(_余额!$J$12&lt;&gt;0,_余额!$K$12&lt;&gt;0,_余额!$E$12&lt;&gt;0,_余额!$L$12&lt;&gt;0,AND(_余额!$B$12="管理人员",COUNTIFS(工资标准!$B$4:$B$303,_余额!$A$12,工资标准!$E$4:$E$303,"&gt;0")&gt;0))),1,0)</f>
        <v>0</v>
      </c>
    </row>
    <row r="11">
      <c r="A11" s="94">
        <f>IF($AZ11=0,"",6)</f>
        <v>6</v>
      </c>
      <c r="B11" s="94" t="str">
        <f t="shared" si="0"/>
        <v>程章材</v>
      </c>
      <c r="C11" s="94" t="str">
        <f t="shared" si="25"/>
        <v>工人</v>
      </c>
      <c r="D11" s="119">
        <f t="shared" si="26"/>
        <v>200</v>
      </c>
      <c r="E11" s="21">
        <f t="shared" si="1"/>
        <v>0</v>
      </c>
      <c r="F11" s="118">
        <f t="shared" si="2"/>
        <v>32.5</v>
      </c>
      <c r="G11" s="21">
        <f t="shared" si="3"/>
        <v>6500</v>
      </c>
      <c r="H11" s="21">
        <f t="shared" si="4"/>
        <v>0</v>
      </c>
      <c r="I11" s="21">
        <f t="shared" si="5"/>
        <v>0</v>
      </c>
      <c r="J11" s="21">
        <f t="shared" si="6"/>
        <v>0</v>
      </c>
      <c r="K11" s="21">
        <f t="shared" si="7"/>
        <v>6500</v>
      </c>
      <c r="L11" s="21">
        <f t="shared" si="8"/>
        <v>4000</v>
      </c>
      <c r="M11" s="21">
        <f t="shared" si="9"/>
        <v>0</v>
      </c>
      <c r="N11" s="21">
        <f t="shared" si="10"/>
        <v>0</v>
      </c>
      <c r="O11" s="21">
        <f t="shared" si="11"/>
        <v>2500</v>
      </c>
      <c r="P11" s="96" t="str">
        <f t="shared" si="27"/>
        <v>公司还欠他</v>
      </c>
      <c r="R11" s="21">
        <f t="shared" si="12"/>
        <v>0</v>
      </c>
      <c r="S11" s="21">
        <f t="shared" si="13"/>
        <v>0</v>
      </c>
      <c r="T11" s="21">
        <f t="shared" si="14"/>
        <v>4100</v>
      </c>
      <c r="U11" s="21">
        <f t="shared" si="15"/>
        <v>2400</v>
      </c>
      <c r="V11" s="21">
        <f t="shared" si="16"/>
        <v>0</v>
      </c>
      <c r="W11" s="21">
        <f t="shared" si="17"/>
        <v>0</v>
      </c>
      <c r="X11" s="21">
        <f t="shared" si="18"/>
        <v>0</v>
      </c>
      <c r="Y11" s="21">
        <f t="shared" si="19"/>
        <v>0</v>
      </c>
      <c r="Z11" s="21">
        <f t="shared" si="20"/>
        <v>0</v>
      </c>
      <c r="AA11" s="21">
        <f t="shared" si="21"/>
        <v>0</v>
      </c>
      <c r="AB11" s="21">
        <f t="shared" si="22"/>
        <v>0</v>
      </c>
      <c r="AC11" s="21">
        <f t="shared" si="23"/>
        <v>0</v>
      </c>
      <c r="AD11" s="96">
        <f t="shared" si="24"/>
      </c>
      <c r="AE11" s="2">
        <f t="shared" si="28"/>
        <v>202603</v>
      </c>
      <c r="AF11" s="2">
        <f t="shared" si="29"/>
        <v>999912</v>
      </c>
      <c r="AG11" s="2">
        <f t="shared" si="30"/>
        <v>45658</v>
      </c>
      <c r="AZ11" s="2">
        <f>IF(6&gt;$BA$300,0,IFERROR(MATCH(6,$BA$1:$BA$300,0),0))</f>
        <v>46</v>
      </c>
      <c r="BA11" s="2">
        <f>SUM(CA1:CA11)</f>
        <v>0</v>
      </c>
      <c r="CA11" s="2">
        <f>IF(AND(OR(_余额!$B$13="管理人员",_余额!$B$13="工人"),OR(_余额!$J$13&lt;&gt;0,_余额!$K$13&lt;&gt;0,_余额!$E$13&lt;&gt;0,_余额!$L$13&lt;&gt;0,AND(_余额!$B$13="管理人员",COUNTIFS(工资标准!$B$4:$B$303,_余额!$A$13,工资标准!$E$4:$E$303,"&gt;0")&gt;0))),1,0)</f>
        <v>0</v>
      </c>
    </row>
    <row r="12">
      <c r="A12" s="94">
        <f>IF($AZ12=0,"",7)</f>
        <v>7</v>
      </c>
      <c r="B12" s="94" t="str">
        <f t="shared" si="0"/>
        <v>叶炳南</v>
      </c>
      <c r="C12" s="94" t="str">
        <f t="shared" si="25"/>
        <v>工人</v>
      </c>
      <c r="D12" s="119">
        <f t="shared" si="26"/>
        <v>330</v>
      </c>
      <c r="E12" s="21">
        <f t="shared" si="1"/>
        <v>0</v>
      </c>
      <c r="F12" s="118">
        <f t="shared" si="2"/>
        <v>25.78</v>
      </c>
      <c r="G12" s="21">
        <f t="shared" si="3"/>
        <v>8507.4</v>
      </c>
      <c r="H12" s="21">
        <f t="shared" si="4"/>
        <v>0</v>
      </c>
      <c r="I12" s="21">
        <f t="shared" si="5"/>
        <v>0</v>
      </c>
      <c r="J12" s="21">
        <f t="shared" si="6"/>
        <v>0</v>
      </c>
      <c r="K12" s="21">
        <f t="shared" si="7"/>
        <v>8507.4</v>
      </c>
      <c r="L12" s="21">
        <f t="shared" si="8"/>
        <v>9000</v>
      </c>
      <c r="M12" s="21">
        <f t="shared" si="9"/>
        <v>0</v>
      </c>
      <c r="N12" s="21">
        <f t="shared" si="10"/>
        <v>0</v>
      </c>
      <c r="O12" s="21">
        <f t="shared" si="11"/>
        <v>-492.6</v>
      </c>
      <c r="P12" s="96" t="str">
        <f t="shared" si="27"/>
        <v>多发了，他欠公司</v>
      </c>
      <c r="R12" s="21">
        <f t="shared" si="12"/>
        <v>0</v>
      </c>
      <c r="S12" s="21">
        <f t="shared" si="13"/>
        <v>0</v>
      </c>
      <c r="T12" s="21">
        <f t="shared" si="14"/>
        <v>0</v>
      </c>
      <c r="U12" s="21">
        <f t="shared" si="15"/>
        <v>8507.4</v>
      </c>
      <c r="V12" s="21">
        <f t="shared" si="16"/>
        <v>0</v>
      </c>
      <c r="W12" s="21">
        <f t="shared" si="17"/>
        <v>0</v>
      </c>
      <c r="X12" s="21">
        <f t="shared" si="18"/>
        <v>0</v>
      </c>
      <c r="Y12" s="21">
        <f t="shared" si="19"/>
        <v>0</v>
      </c>
      <c r="Z12" s="21">
        <f t="shared" si="20"/>
        <v>0</v>
      </c>
      <c r="AA12" s="21">
        <f t="shared" si="21"/>
        <v>0</v>
      </c>
      <c r="AB12" s="21">
        <f t="shared" si="22"/>
        <v>0</v>
      </c>
      <c r="AC12" s="21">
        <f t="shared" si="23"/>
        <v>0</v>
      </c>
      <c r="AD12" s="96">
        <f t="shared" si="24"/>
      </c>
      <c r="AE12" s="2">
        <f t="shared" si="28"/>
        <v>202603</v>
      </c>
      <c r="AF12" s="2">
        <f t="shared" si="29"/>
        <v>999912</v>
      </c>
      <c r="AG12" s="2">
        <f t="shared" si="30"/>
        <v>45658</v>
      </c>
      <c r="AZ12" s="2">
        <f>IF(7&gt;$BA$300,0,IFERROR(MATCH(7,$BA$1:$BA$300,0),0))</f>
        <v>47</v>
      </c>
      <c r="BA12" s="2">
        <f>SUM(CA1:CA12)</f>
        <v>0</v>
      </c>
      <c r="CA12" s="2">
        <f>IF(AND(OR(_余额!$B$14="管理人员",_余额!$B$14="工人"),OR(_余额!$J$14&lt;&gt;0,_余额!$K$14&lt;&gt;0,_余额!$E$14&lt;&gt;0,_余额!$L$14&lt;&gt;0,AND(_余额!$B$14="管理人员",COUNTIFS(工资标准!$B$4:$B$303,_余额!$A$14,工资标准!$E$4:$E$303,"&gt;0")&gt;0))),1,0)</f>
        <v>0</v>
      </c>
    </row>
    <row r="13">
      <c r="A13" s="94">
        <f>IF($AZ13=0,"",8)</f>
        <v>8</v>
      </c>
      <c r="B13" s="94" t="str">
        <f t="shared" si="0"/>
        <v>万焕和</v>
      </c>
      <c r="C13" s="94" t="str">
        <f t="shared" si="25"/>
        <v>工人</v>
      </c>
      <c r="D13" s="119">
        <f t="shared" si="26"/>
        <v>320</v>
      </c>
      <c r="E13" s="21">
        <f t="shared" si="1"/>
        <v>0</v>
      </c>
      <c r="F13" s="118">
        <f t="shared" si="2"/>
        <v>3</v>
      </c>
      <c r="G13" s="21">
        <f t="shared" si="3"/>
        <v>960</v>
      </c>
      <c r="H13" s="21">
        <f t="shared" si="4"/>
        <v>0</v>
      </c>
      <c r="I13" s="21">
        <f t="shared" si="5"/>
        <v>0</v>
      </c>
      <c r="J13" s="21">
        <f t="shared" si="6"/>
        <v>0</v>
      </c>
      <c r="K13" s="21">
        <f t="shared" si="7"/>
        <v>960</v>
      </c>
      <c r="L13" s="21">
        <f t="shared" si="8"/>
        <v>7000</v>
      </c>
      <c r="M13" s="21">
        <f t="shared" si="9"/>
        <v>0</v>
      </c>
      <c r="N13" s="21">
        <f t="shared" si="10"/>
        <v>0</v>
      </c>
      <c r="O13" s="21">
        <f t="shared" si="11"/>
        <v>-6040</v>
      </c>
      <c r="P13" s="96" t="str">
        <f t="shared" si="27"/>
        <v>多发了，他欠公司</v>
      </c>
      <c r="R13" s="21">
        <f t="shared" si="12"/>
        <v>0</v>
      </c>
      <c r="S13" s="21">
        <f t="shared" si="13"/>
        <v>0</v>
      </c>
      <c r="T13" s="21">
        <f t="shared" si="14"/>
        <v>0</v>
      </c>
      <c r="U13" s="21">
        <f t="shared" si="15"/>
        <v>960</v>
      </c>
      <c r="V13" s="21">
        <f t="shared" si="16"/>
        <v>0</v>
      </c>
      <c r="W13" s="21">
        <f t="shared" si="17"/>
        <v>0</v>
      </c>
      <c r="X13" s="21">
        <f t="shared" si="18"/>
        <v>0</v>
      </c>
      <c r="Y13" s="21">
        <f t="shared" si="19"/>
        <v>0</v>
      </c>
      <c r="Z13" s="21">
        <f t="shared" si="20"/>
        <v>0</v>
      </c>
      <c r="AA13" s="21">
        <f t="shared" si="21"/>
        <v>0</v>
      </c>
      <c r="AB13" s="21">
        <f t="shared" si="22"/>
        <v>0</v>
      </c>
      <c r="AC13" s="21">
        <f t="shared" si="23"/>
        <v>0</v>
      </c>
      <c r="AD13" s="96">
        <f t="shared" si="24"/>
      </c>
      <c r="AE13" s="2">
        <f t="shared" si="28"/>
        <v>202603</v>
      </c>
      <c r="AF13" s="2">
        <f t="shared" si="29"/>
        <v>999912</v>
      </c>
      <c r="AG13" s="2">
        <f t="shared" si="30"/>
        <v>45658</v>
      </c>
      <c r="AZ13" s="2">
        <f>IF(8&gt;$BA$300,0,IFERROR(MATCH(8,$BA$1:$BA$300,0),0))</f>
        <v>48</v>
      </c>
      <c r="BA13" s="2">
        <f>SUM(CA1:CA13)</f>
        <v>0</v>
      </c>
      <c r="CA13" s="2">
        <f>IF(AND(OR(_余额!$B$15="管理人员",_余额!$B$15="工人"),OR(_余额!$J$15&lt;&gt;0,_余额!$K$15&lt;&gt;0,_余额!$E$15&lt;&gt;0,_余额!$L$15&lt;&gt;0,AND(_余额!$B$15="管理人员",COUNTIFS(工资标准!$B$4:$B$303,_余额!$A$15,工资标准!$E$4:$E$303,"&gt;0")&gt;0))),1,0)</f>
        <v>0</v>
      </c>
    </row>
    <row r="14">
      <c r="A14" s="94">
        <f>IF($AZ14=0,"",9)</f>
        <v>9</v>
      </c>
      <c r="B14" s="94" t="str">
        <f t="shared" si="0"/>
        <v>邓泽贵</v>
      </c>
      <c r="C14" s="94" t="str">
        <f t="shared" si="25"/>
        <v>工人</v>
      </c>
      <c r="D14" s="119">
        <f t="shared" si="26"/>
        <v>350</v>
      </c>
      <c r="E14" s="21">
        <f t="shared" si="1"/>
        <v>0</v>
      </c>
      <c r="F14" s="118">
        <f t="shared" si="2"/>
        <v>26.78</v>
      </c>
      <c r="G14" s="21">
        <f t="shared" si="3"/>
        <v>9373</v>
      </c>
      <c r="H14" s="21">
        <f t="shared" si="4"/>
        <v>0</v>
      </c>
      <c r="I14" s="21">
        <f t="shared" si="5"/>
        <v>0</v>
      </c>
      <c r="J14" s="21">
        <f t="shared" si="6"/>
        <v>0</v>
      </c>
      <c r="K14" s="21">
        <f t="shared" si="7"/>
        <v>9373</v>
      </c>
      <c r="L14" s="21">
        <f t="shared" si="8"/>
        <v>25184.31</v>
      </c>
      <c r="M14" s="21">
        <f t="shared" si="9"/>
        <v>0</v>
      </c>
      <c r="N14" s="21">
        <f t="shared" si="10"/>
        <v>0</v>
      </c>
      <c r="O14" s="21">
        <f t="shared" si="11"/>
        <v>-15811.31</v>
      </c>
      <c r="P14" s="96" t="str">
        <f t="shared" si="27"/>
        <v>多发了，他欠公司</v>
      </c>
      <c r="R14" s="21">
        <f t="shared" si="12"/>
        <v>0</v>
      </c>
      <c r="S14" s="21">
        <f t="shared" si="13"/>
        <v>0</v>
      </c>
      <c r="T14" s="21">
        <f t="shared" si="14"/>
        <v>0</v>
      </c>
      <c r="U14" s="21">
        <f t="shared" si="15"/>
        <v>9373</v>
      </c>
      <c r="V14" s="21">
        <f t="shared" si="16"/>
        <v>0</v>
      </c>
      <c r="W14" s="21">
        <f t="shared" si="17"/>
        <v>0</v>
      </c>
      <c r="X14" s="21">
        <f t="shared" si="18"/>
        <v>0</v>
      </c>
      <c r="Y14" s="21">
        <f t="shared" si="19"/>
        <v>0</v>
      </c>
      <c r="Z14" s="21">
        <f t="shared" si="20"/>
        <v>0</v>
      </c>
      <c r="AA14" s="21">
        <f t="shared" si="21"/>
        <v>0</v>
      </c>
      <c r="AB14" s="21">
        <f t="shared" si="22"/>
        <v>0</v>
      </c>
      <c r="AC14" s="21">
        <f t="shared" si="23"/>
        <v>0</v>
      </c>
      <c r="AD14" s="96">
        <f t="shared" si="24"/>
      </c>
      <c r="AE14" s="2">
        <f t="shared" si="28"/>
        <v>202603</v>
      </c>
      <c r="AF14" s="2">
        <f t="shared" si="29"/>
        <v>999912</v>
      </c>
      <c r="AG14" s="2">
        <f t="shared" si="30"/>
        <v>45658</v>
      </c>
      <c r="AZ14" s="2">
        <f>IF(9&gt;$BA$300,0,IFERROR(MATCH(9,$BA$1:$BA$300,0),0))</f>
        <v>49</v>
      </c>
      <c r="BA14" s="2">
        <f>SUM(CA1:CA14)</f>
        <v>0</v>
      </c>
      <c r="CA14" s="2">
        <f>IF(AND(OR(_余额!$B$16="管理人员",_余额!$B$16="工人"),OR(_余额!$J$16&lt;&gt;0,_余额!$K$16&lt;&gt;0,_余额!$E$16&lt;&gt;0,_余额!$L$16&lt;&gt;0,AND(_余额!$B$16="管理人员",COUNTIFS(工资标准!$B$4:$B$303,_余额!$A$16,工资标准!$E$4:$E$303,"&gt;0")&gt;0))),1,0)</f>
        <v>0</v>
      </c>
    </row>
    <row r="15">
      <c r="A15" s="94">
        <f>IF($AZ15=0,"",10)</f>
        <v>10</v>
      </c>
      <c r="B15" s="94" t="str">
        <f t="shared" si="0"/>
        <v>吴长友</v>
      </c>
      <c r="C15" s="94" t="str">
        <f t="shared" si="25"/>
        <v>工人</v>
      </c>
      <c r="D15" s="119">
        <f t="shared" si="26"/>
        <v>330</v>
      </c>
      <c r="E15" s="21">
        <f t="shared" si="1"/>
        <v>0</v>
      </c>
      <c r="F15" s="118">
        <f t="shared" si="2"/>
        <v>14.28</v>
      </c>
      <c r="G15" s="21">
        <f t="shared" si="3"/>
        <v>4712.4</v>
      </c>
      <c r="H15" s="21">
        <f t="shared" si="4"/>
        <v>0</v>
      </c>
      <c r="I15" s="21">
        <f t="shared" si="5"/>
        <v>0</v>
      </c>
      <c r="J15" s="21">
        <f t="shared" si="6"/>
        <v>0</v>
      </c>
      <c r="K15" s="21">
        <f t="shared" si="7"/>
        <v>4712.4</v>
      </c>
      <c r="L15" s="21">
        <f t="shared" si="8"/>
        <v>6000</v>
      </c>
      <c r="M15" s="21">
        <f t="shared" si="9"/>
        <v>0</v>
      </c>
      <c r="N15" s="21">
        <f t="shared" si="10"/>
        <v>0</v>
      </c>
      <c r="O15" s="21">
        <f t="shared" si="11"/>
        <v>-1287.6</v>
      </c>
      <c r="P15" s="96" t="str">
        <f t="shared" si="27"/>
        <v>多发了，他欠公司</v>
      </c>
      <c r="R15" s="21">
        <f t="shared" si="12"/>
        <v>0</v>
      </c>
      <c r="S15" s="21">
        <f t="shared" si="13"/>
        <v>0</v>
      </c>
      <c r="T15" s="21">
        <f t="shared" si="14"/>
        <v>0</v>
      </c>
      <c r="U15" s="21">
        <f t="shared" si="15"/>
        <v>4712.4</v>
      </c>
      <c r="V15" s="21">
        <f t="shared" si="16"/>
        <v>0</v>
      </c>
      <c r="W15" s="21">
        <f t="shared" si="17"/>
        <v>0</v>
      </c>
      <c r="X15" s="21">
        <f t="shared" si="18"/>
        <v>0</v>
      </c>
      <c r="Y15" s="21">
        <f t="shared" si="19"/>
        <v>0</v>
      </c>
      <c r="Z15" s="21">
        <f t="shared" si="20"/>
        <v>0</v>
      </c>
      <c r="AA15" s="21">
        <f t="shared" si="21"/>
        <v>0</v>
      </c>
      <c r="AB15" s="21">
        <f t="shared" si="22"/>
        <v>0</v>
      </c>
      <c r="AC15" s="21">
        <f t="shared" si="23"/>
        <v>0</v>
      </c>
      <c r="AD15" s="96">
        <f t="shared" si="24"/>
      </c>
      <c r="AE15" s="2">
        <f t="shared" si="28"/>
        <v>202603</v>
      </c>
      <c r="AF15" s="2">
        <f t="shared" si="29"/>
        <v>999912</v>
      </c>
      <c r="AG15" s="2">
        <f t="shared" si="30"/>
        <v>45658</v>
      </c>
      <c r="AZ15" s="2">
        <f>IF(10&gt;$BA$300,0,IFERROR(MATCH(10,$BA$1:$BA$300,0),0))</f>
        <v>50</v>
      </c>
      <c r="BA15" s="2">
        <f>SUM(CA1:CA15)</f>
        <v>0</v>
      </c>
      <c r="CA15" s="2">
        <f>IF(AND(OR(_余额!$B$17="管理人员",_余额!$B$17="工人"),OR(_余额!$J$17&lt;&gt;0,_余额!$K$17&lt;&gt;0,_余额!$E$17&lt;&gt;0,_余额!$L$17&lt;&gt;0,AND(_余额!$B$17="管理人员",COUNTIFS(工资标准!$B$4:$B$303,_余额!$A$17,工资标准!$E$4:$E$303,"&gt;0")&gt;0))),1,0)</f>
        <v>0</v>
      </c>
    </row>
    <row r="16">
      <c r="A16" s="94">
        <f>IF($AZ16=0,"",11)</f>
        <v>11</v>
      </c>
      <c r="B16" s="94" t="str">
        <f t="shared" si="0"/>
        <v>闵清林</v>
      </c>
      <c r="C16" s="94" t="str">
        <f t="shared" si="25"/>
        <v>工人</v>
      </c>
      <c r="D16" s="119">
        <f t="shared" si="26"/>
        <v>300</v>
      </c>
      <c r="E16" s="21">
        <f t="shared" si="1"/>
        <v>0</v>
      </c>
      <c r="F16" s="118">
        <f t="shared" si="2"/>
        <v>13.5</v>
      </c>
      <c r="G16" s="21">
        <f t="shared" si="3"/>
        <v>4050</v>
      </c>
      <c r="H16" s="21">
        <f t="shared" si="4"/>
        <v>0</v>
      </c>
      <c r="I16" s="21">
        <f t="shared" si="5"/>
        <v>0</v>
      </c>
      <c r="J16" s="21">
        <f t="shared" si="6"/>
        <v>0</v>
      </c>
      <c r="K16" s="21">
        <f t="shared" si="7"/>
        <v>4050</v>
      </c>
      <c r="L16" s="21">
        <f t="shared" si="8"/>
        <v>13587</v>
      </c>
      <c r="M16" s="21">
        <f t="shared" si="9"/>
        <v>0</v>
      </c>
      <c r="N16" s="21">
        <f t="shared" si="10"/>
        <v>0</v>
      </c>
      <c r="O16" s="21">
        <f t="shared" si="11"/>
        <v>-9537</v>
      </c>
      <c r="P16" s="96" t="str">
        <f t="shared" si="27"/>
        <v>多发了，他欠公司</v>
      </c>
      <c r="R16" s="21">
        <f t="shared" si="12"/>
        <v>0</v>
      </c>
      <c r="S16" s="21">
        <f t="shared" si="13"/>
        <v>0</v>
      </c>
      <c r="T16" s="21">
        <f t="shared" si="14"/>
        <v>0</v>
      </c>
      <c r="U16" s="21">
        <f t="shared" si="15"/>
        <v>4050</v>
      </c>
      <c r="V16" s="21">
        <f t="shared" si="16"/>
        <v>0</v>
      </c>
      <c r="W16" s="21">
        <f t="shared" si="17"/>
        <v>0</v>
      </c>
      <c r="X16" s="21">
        <f t="shared" si="18"/>
        <v>0</v>
      </c>
      <c r="Y16" s="21">
        <f t="shared" si="19"/>
        <v>0</v>
      </c>
      <c r="Z16" s="21">
        <f t="shared" si="20"/>
        <v>0</v>
      </c>
      <c r="AA16" s="21">
        <f t="shared" si="21"/>
        <v>0</v>
      </c>
      <c r="AB16" s="21">
        <f t="shared" si="22"/>
        <v>0</v>
      </c>
      <c r="AC16" s="21">
        <f t="shared" si="23"/>
        <v>0</v>
      </c>
      <c r="AD16" s="96">
        <f t="shared" si="24"/>
      </c>
      <c r="AE16" s="2">
        <f t="shared" si="28"/>
        <v>202603</v>
      </c>
      <c r="AF16" s="2">
        <f t="shared" si="29"/>
        <v>999912</v>
      </c>
      <c r="AG16" s="2">
        <f t="shared" si="30"/>
        <v>45658</v>
      </c>
      <c r="AZ16" s="2">
        <f>IF(11&gt;$BA$300,0,IFERROR(MATCH(11,$BA$1:$BA$300,0),0))</f>
        <v>51</v>
      </c>
      <c r="BA16" s="2">
        <f>SUM(CA1:CA16)</f>
        <v>0</v>
      </c>
      <c r="CA16" s="2">
        <f>IF(AND(OR(_余额!$B$18="管理人员",_余额!$B$18="工人"),OR(_余额!$J$18&lt;&gt;0,_余额!$K$18&lt;&gt;0,_余额!$E$18&lt;&gt;0,_余额!$L$18&lt;&gt;0,AND(_余额!$B$18="管理人员",COUNTIFS(工资标准!$B$4:$B$303,_余额!$A$18,工资标准!$E$4:$E$303,"&gt;0")&gt;0))),1,0)</f>
        <v>0</v>
      </c>
    </row>
    <row r="17">
      <c r="A17" s="94">
        <f>IF($AZ17=0,"",12)</f>
        <v>12</v>
      </c>
      <c r="B17" s="94" t="str">
        <f t="shared" si="0"/>
        <v>徐从国</v>
      </c>
      <c r="C17" s="94" t="str">
        <f t="shared" si="25"/>
        <v>工人</v>
      </c>
      <c r="D17" s="119">
        <f t="shared" si="26"/>
        <v>280</v>
      </c>
      <c r="E17" s="21">
        <f t="shared" si="1"/>
        <v>0</v>
      </c>
      <c r="F17" s="118">
        <f t="shared" si="2"/>
        <v>24.5</v>
      </c>
      <c r="G17" s="21">
        <f t="shared" si="3"/>
        <v>6860</v>
      </c>
      <c r="H17" s="21">
        <f t="shared" si="4"/>
        <v>0</v>
      </c>
      <c r="I17" s="21">
        <f t="shared" si="5"/>
        <v>0</v>
      </c>
      <c r="J17" s="21">
        <f t="shared" si="6"/>
        <v>0</v>
      </c>
      <c r="K17" s="21">
        <f t="shared" si="7"/>
        <v>6860</v>
      </c>
      <c r="L17" s="21">
        <f t="shared" si="8"/>
        <v>6000</v>
      </c>
      <c r="M17" s="21">
        <f t="shared" si="9"/>
        <v>0</v>
      </c>
      <c r="N17" s="21">
        <f t="shared" si="10"/>
        <v>0</v>
      </c>
      <c r="O17" s="21">
        <f t="shared" si="11"/>
        <v>860</v>
      </c>
      <c r="P17" s="96" t="str">
        <f t="shared" si="27"/>
        <v>公司还欠他</v>
      </c>
      <c r="R17" s="21">
        <f t="shared" si="12"/>
        <v>0</v>
      </c>
      <c r="S17" s="21">
        <f t="shared" si="13"/>
        <v>0</v>
      </c>
      <c r="T17" s="21">
        <f t="shared" si="14"/>
        <v>0</v>
      </c>
      <c r="U17" s="21">
        <f t="shared" si="15"/>
        <v>6860</v>
      </c>
      <c r="V17" s="21">
        <f t="shared" si="16"/>
        <v>0</v>
      </c>
      <c r="W17" s="21">
        <f t="shared" si="17"/>
        <v>0</v>
      </c>
      <c r="X17" s="21">
        <f t="shared" si="18"/>
        <v>0</v>
      </c>
      <c r="Y17" s="21">
        <f t="shared" si="19"/>
        <v>0</v>
      </c>
      <c r="Z17" s="21">
        <f t="shared" si="20"/>
        <v>0</v>
      </c>
      <c r="AA17" s="21">
        <f t="shared" si="21"/>
        <v>0</v>
      </c>
      <c r="AB17" s="21">
        <f t="shared" si="22"/>
        <v>0</v>
      </c>
      <c r="AC17" s="21">
        <f t="shared" si="23"/>
        <v>0</v>
      </c>
      <c r="AD17" s="96">
        <f t="shared" si="24"/>
      </c>
      <c r="AE17" s="2">
        <f t="shared" si="28"/>
        <v>202603</v>
      </c>
      <c r="AF17" s="2">
        <f t="shared" si="29"/>
        <v>999912</v>
      </c>
      <c r="AG17" s="2">
        <f t="shared" si="30"/>
        <v>45658</v>
      </c>
      <c r="AZ17" s="2">
        <f>IF(12&gt;$BA$300,0,IFERROR(MATCH(12,$BA$1:$BA$300,0),0))</f>
        <v>52</v>
      </c>
      <c r="BA17" s="2">
        <f>SUM(CA1:CA17)</f>
        <v>0</v>
      </c>
      <c r="CA17" s="2">
        <f>IF(AND(OR(_余额!$B$19="管理人员",_余额!$B$19="工人"),OR(_余额!$J$19&lt;&gt;0,_余额!$K$19&lt;&gt;0,_余额!$E$19&lt;&gt;0,_余额!$L$19&lt;&gt;0,AND(_余额!$B$19="管理人员",COUNTIFS(工资标准!$B$4:$B$303,_余额!$A$19,工资标准!$E$4:$E$303,"&gt;0")&gt;0))),1,0)</f>
        <v>0</v>
      </c>
    </row>
    <row r="18">
      <c r="A18" s="94">
        <f>IF($AZ18=0,"",13)</f>
        <v>13</v>
      </c>
      <c r="B18" s="94" t="str">
        <f t="shared" si="0"/>
        <v>梅秀刚</v>
      </c>
      <c r="C18" s="94" t="str">
        <f t="shared" si="25"/>
        <v>工人</v>
      </c>
      <c r="D18" s="119">
        <f t="shared" si="26"/>
        <v>340</v>
      </c>
      <c r="E18" s="21">
        <f t="shared" si="1"/>
        <v>0</v>
      </c>
      <c r="F18" s="118">
        <f t="shared" si="2"/>
        <v>11.5</v>
      </c>
      <c r="G18" s="21">
        <f t="shared" si="3"/>
        <v>3910</v>
      </c>
      <c r="H18" s="21">
        <f t="shared" si="4"/>
        <v>0</v>
      </c>
      <c r="I18" s="21">
        <f t="shared" si="5"/>
        <v>0</v>
      </c>
      <c r="J18" s="21">
        <f t="shared" si="6"/>
        <v>0</v>
      </c>
      <c r="K18" s="21">
        <f t="shared" si="7"/>
        <v>3910</v>
      </c>
      <c r="L18" s="21">
        <f t="shared" si="8"/>
        <v>11000</v>
      </c>
      <c r="M18" s="21">
        <f t="shared" si="9"/>
        <v>0</v>
      </c>
      <c r="N18" s="21">
        <f t="shared" si="10"/>
        <v>0</v>
      </c>
      <c r="O18" s="21">
        <f t="shared" si="11"/>
        <v>-7090</v>
      </c>
      <c r="P18" s="96" t="str">
        <f t="shared" si="27"/>
        <v>多发了，他欠公司</v>
      </c>
      <c r="R18" s="21">
        <f t="shared" si="12"/>
        <v>0</v>
      </c>
      <c r="S18" s="21">
        <f t="shared" si="13"/>
        <v>0</v>
      </c>
      <c r="T18" s="21">
        <f t="shared" si="14"/>
        <v>0</v>
      </c>
      <c r="U18" s="21">
        <f t="shared" si="15"/>
        <v>3910</v>
      </c>
      <c r="V18" s="21">
        <f t="shared" si="16"/>
        <v>0</v>
      </c>
      <c r="W18" s="21">
        <f t="shared" si="17"/>
        <v>0</v>
      </c>
      <c r="X18" s="21">
        <f t="shared" si="18"/>
        <v>0</v>
      </c>
      <c r="Y18" s="21">
        <f t="shared" si="19"/>
        <v>0</v>
      </c>
      <c r="Z18" s="21">
        <f t="shared" si="20"/>
        <v>0</v>
      </c>
      <c r="AA18" s="21">
        <f t="shared" si="21"/>
        <v>0</v>
      </c>
      <c r="AB18" s="21">
        <f t="shared" si="22"/>
        <v>0</v>
      </c>
      <c r="AC18" s="21">
        <f t="shared" si="23"/>
        <v>0</v>
      </c>
      <c r="AD18" s="96">
        <f t="shared" si="24"/>
      </c>
      <c r="AE18" s="2">
        <f t="shared" si="28"/>
        <v>202603</v>
      </c>
      <c r="AF18" s="2">
        <f t="shared" si="29"/>
        <v>999912</v>
      </c>
      <c r="AG18" s="2">
        <f t="shared" si="30"/>
        <v>45658</v>
      </c>
      <c r="AZ18" s="2">
        <f>IF(13&gt;$BA$300,0,IFERROR(MATCH(13,$BA$1:$BA$300,0),0))</f>
        <v>53</v>
      </c>
      <c r="BA18" s="2">
        <f>SUM(CA1:CA18)</f>
        <v>0</v>
      </c>
      <c r="CA18" s="2">
        <f>IF(AND(OR(_余额!$B$20="管理人员",_余额!$B$20="工人"),OR(_余额!$J$20&lt;&gt;0,_余额!$K$20&lt;&gt;0,_余额!$E$20&lt;&gt;0,_余额!$L$20&lt;&gt;0,AND(_余额!$B$20="管理人员",COUNTIFS(工资标准!$B$4:$B$303,_余额!$A$20,工资标准!$E$4:$E$303,"&gt;0")&gt;0))),1,0)</f>
        <v>0</v>
      </c>
    </row>
    <row r="19">
      <c r="A19" s="94">
        <f>IF($AZ19=0,"",14)</f>
        <v>14</v>
      </c>
      <c r="B19" s="94" t="str">
        <f t="shared" si="0"/>
        <v>金南水</v>
      </c>
      <c r="C19" s="94" t="str">
        <f t="shared" si="25"/>
        <v>工人</v>
      </c>
      <c r="D19" s="119">
        <f t="shared" si="26"/>
        <v>290</v>
      </c>
      <c r="E19" s="21">
        <f t="shared" si="1"/>
        <v>0</v>
      </c>
      <c r="F19" s="118">
        <f t="shared" si="2"/>
        <v>24.5</v>
      </c>
      <c r="G19" s="21">
        <f t="shared" si="3"/>
        <v>7105</v>
      </c>
      <c r="H19" s="21">
        <f t="shared" si="4"/>
        <v>0</v>
      </c>
      <c r="I19" s="21">
        <f t="shared" si="5"/>
        <v>0</v>
      </c>
      <c r="J19" s="21">
        <f t="shared" si="6"/>
        <v>0</v>
      </c>
      <c r="K19" s="21">
        <f t="shared" si="7"/>
        <v>7105</v>
      </c>
      <c r="L19" s="21">
        <f t="shared" si="8"/>
        <v>21000</v>
      </c>
      <c r="M19" s="21">
        <f t="shared" si="9"/>
        <v>0</v>
      </c>
      <c r="N19" s="21">
        <f t="shared" si="10"/>
        <v>0</v>
      </c>
      <c r="O19" s="21">
        <f t="shared" si="11"/>
        <v>-13895</v>
      </c>
      <c r="P19" s="96" t="str">
        <f t="shared" si="27"/>
        <v>多发了，他欠公司</v>
      </c>
      <c r="R19" s="21">
        <f t="shared" si="12"/>
        <v>0</v>
      </c>
      <c r="S19" s="21">
        <f t="shared" si="13"/>
        <v>0</v>
      </c>
      <c r="T19" s="21">
        <f t="shared" si="14"/>
        <v>0</v>
      </c>
      <c r="U19" s="21">
        <f t="shared" si="15"/>
        <v>7105</v>
      </c>
      <c r="V19" s="21">
        <f t="shared" si="16"/>
        <v>0</v>
      </c>
      <c r="W19" s="21">
        <f t="shared" si="17"/>
        <v>0</v>
      </c>
      <c r="X19" s="21">
        <f t="shared" si="18"/>
        <v>0</v>
      </c>
      <c r="Y19" s="21">
        <f t="shared" si="19"/>
        <v>0</v>
      </c>
      <c r="Z19" s="21">
        <f t="shared" si="20"/>
        <v>0</v>
      </c>
      <c r="AA19" s="21">
        <f t="shared" si="21"/>
        <v>0</v>
      </c>
      <c r="AB19" s="21">
        <f t="shared" si="22"/>
        <v>0</v>
      </c>
      <c r="AC19" s="21">
        <f t="shared" si="23"/>
        <v>0</v>
      </c>
      <c r="AD19" s="96">
        <f t="shared" si="24"/>
      </c>
      <c r="AE19" s="2">
        <f t="shared" si="28"/>
        <v>202603</v>
      </c>
      <c r="AF19" s="2">
        <f t="shared" si="29"/>
        <v>999912</v>
      </c>
      <c r="AG19" s="2">
        <f t="shared" si="30"/>
        <v>45658</v>
      </c>
      <c r="AZ19" s="2">
        <f>IF(14&gt;$BA$300,0,IFERROR(MATCH(14,$BA$1:$BA$300,0),0))</f>
        <v>54</v>
      </c>
      <c r="BA19" s="2">
        <f>SUM(CA1:CA19)</f>
        <v>0</v>
      </c>
      <c r="CA19" s="2">
        <f>IF(AND(OR(_余额!$B$21="管理人员",_余额!$B$21="工人"),OR(_余额!$J$21&lt;&gt;0,_余额!$K$21&lt;&gt;0,_余额!$E$21&lt;&gt;0,_余额!$L$21&lt;&gt;0,AND(_余额!$B$21="管理人员",COUNTIFS(工资标准!$B$4:$B$303,_余额!$A$21,工资标准!$E$4:$E$303,"&gt;0")&gt;0))),1,0)</f>
        <v>0</v>
      </c>
    </row>
    <row r="20">
      <c r="A20" s="94">
        <f>IF($AZ20=0,"",15)</f>
        <v>15</v>
      </c>
      <c r="B20" s="94" t="str">
        <f t="shared" si="0"/>
        <v>金李平</v>
      </c>
      <c r="C20" s="94" t="str">
        <f t="shared" si="25"/>
        <v>工人</v>
      </c>
      <c r="D20" s="119">
        <f t="shared" si="26"/>
        <v>270</v>
      </c>
      <c r="E20" s="21">
        <f t="shared" si="1"/>
        <v>0</v>
      </c>
      <c r="F20" s="118">
        <f t="shared" si="2"/>
        <v>14.28</v>
      </c>
      <c r="G20" s="21">
        <f t="shared" si="3"/>
        <v>3855.6</v>
      </c>
      <c r="H20" s="21">
        <f t="shared" si="4"/>
        <v>0</v>
      </c>
      <c r="I20" s="21">
        <f t="shared" si="5"/>
        <v>0</v>
      </c>
      <c r="J20" s="21">
        <f t="shared" si="6"/>
        <v>0</v>
      </c>
      <c r="K20" s="21">
        <f t="shared" si="7"/>
        <v>3855.6</v>
      </c>
      <c r="L20" s="21">
        <f t="shared" si="8"/>
        <v>4000</v>
      </c>
      <c r="M20" s="21">
        <f t="shared" si="9"/>
        <v>0</v>
      </c>
      <c r="N20" s="21">
        <f t="shared" si="10"/>
        <v>0</v>
      </c>
      <c r="O20" s="21">
        <f t="shared" si="11"/>
        <v>-144.4</v>
      </c>
      <c r="P20" s="96" t="str">
        <f t="shared" si="27"/>
        <v>多发了，他欠公司</v>
      </c>
      <c r="R20" s="21">
        <f t="shared" si="12"/>
        <v>0</v>
      </c>
      <c r="S20" s="21">
        <f t="shared" si="13"/>
        <v>0</v>
      </c>
      <c r="T20" s="21">
        <f t="shared" si="14"/>
        <v>0</v>
      </c>
      <c r="U20" s="21">
        <f t="shared" si="15"/>
        <v>3855.6</v>
      </c>
      <c r="V20" s="21">
        <f t="shared" si="16"/>
        <v>0</v>
      </c>
      <c r="W20" s="21">
        <f t="shared" si="17"/>
        <v>0</v>
      </c>
      <c r="X20" s="21">
        <f t="shared" si="18"/>
        <v>0</v>
      </c>
      <c r="Y20" s="21">
        <f t="shared" si="19"/>
        <v>0</v>
      </c>
      <c r="Z20" s="21">
        <f t="shared" si="20"/>
        <v>0</v>
      </c>
      <c r="AA20" s="21">
        <f t="shared" si="21"/>
        <v>0</v>
      </c>
      <c r="AB20" s="21">
        <f t="shared" si="22"/>
        <v>0</v>
      </c>
      <c r="AC20" s="21">
        <f t="shared" si="23"/>
        <v>0</v>
      </c>
      <c r="AD20" s="96">
        <f t="shared" si="24"/>
      </c>
      <c r="AE20" s="2">
        <f t="shared" si="28"/>
        <v>202603</v>
      </c>
      <c r="AF20" s="2">
        <f t="shared" si="29"/>
        <v>999912</v>
      </c>
      <c r="AG20" s="2">
        <f t="shared" si="30"/>
        <v>45658</v>
      </c>
      <c r="AZ20" s="2">
        <f>IF(15&gt;$BA$300,0,IFERROR(MATCH(15,$BA$1:$BA$300,0),0))</f>
        <v>55</v>
      </c>
      <c r="BA20" s="2">
        <f>SUM(CA1:CA20)</f>
        <v>0</v>
      </c>
      <c r="CA20" s="2">
        <f>IF(AND(OR(_余额!$B$22="管理人员",_余额!$B$22="工人"),OR(_余额!$J$22&lt;&gt;0,_余额!$K$22&lt;&gt;0,_余额!$E$22&lt;&gt;0,_余额!$L$22&lt;&gt;0,AND(_余额!$B$22="管理人员",COUNTIFS(工资标准!$B$4:$B$303,_余额!$A$22,工资标准!$E$4:$E$303,"&gt;0")&gt;0))),1,0)</f>
        <v>0</v>
      </c>
    </row>
    <row r="21">
      <c r="A21" s="94">
        <f>IF($AZ21=0,"",16)</f>
        <v>16</v>
      </c>
      <c r="B21" s="94" t="str">
        <f t="shared" si="0"/>
        <v>杨明定</v>
      </c>
      <c r="C21" s="94" t="str">
        <f t="shared" si="25"/>
        <v>工人</v>
      </c>
      <c r="D21" s="119">
        <f t="shared" si="26"/>
        <v>310</v>
      </c>
      <c r="E21" s="21">
        <f t="shared" si="1"/>
        <v>0</v>
      </c>
      <c r="F21" s="118">
        <f t="shared" si="2"/>
        <v>13.28</v>
      </c>
      <c r="G21" s="21">
        <f t="shared" si="3"/>
        <v>4116.8</v>
      </c>
      <c r="H21" s="21">
        <f t="shared" si="4"/>
        <v>0</v>
      </c>
      <c r="I21" s="21">
        <f t="shared" si="5"/>
        <v>0</v>
      </c>
      <c r="J21" s="21">
        <f t="shared" si="6"/>
        <v>0</v>
      </c>
      <c r="K21" s="21">
        <f t="shared" si="7"/>
        <v>4116.8</v>
      </c>
      <c r="L21" s="21">
        <f t="shared" si="8"/>
        <v>4000</v>
      </c>
      <c r="M21" s="21">
        <f t="shared" si="9"/>
        <v>0</v>
      </c>
      <c r="N21" s="21">
        <f t="shared" si="10"/>
        <v>0</v>
      </c>
      <c r="O21" s="21">
        <f t="shared" si="11"/>
        <v>116.8</v>
      </c>
      <c r="P21" s="96" t="str">
        <f t="shared" si="27"/>
        <v>公司还欠他</v>
      </c>
      <c r="R21" s="21">
        <f t="shared" si="12"/>
        <v>0</v>
      </c>
      <c r="S21" s="21">
        <f t="shared" si="13"/>
        <v>0</v>
      </c>
      <c r="T21" s="21">
        <f t="shared" si="14"/>
        <v>0</v>
      </c>
      <c r="U21" s="21">
        <f t="shared" si="15"/>
        <v>4116.8</v>
      </c>
      <c r="V21" s="21">
        <f t="shared" si="16"/>
        <v>0</v>
      </c>
      <c r="W21" s="21">
        <f t="shared" si="17"/>
        <v>0</v>
      </c>
      <c r="X21" s="21">
        <f t="shared" si="18"/>
        <v>0</v>
      </c>
      <c r="Y21" s="21">
        <f t="shared" si="19"/>
        <v>0</v>
      </c>
      <c r="Z21" s="21">
        <f t="shared" si="20"/>
        <v>0</v>
      </c>
      <c r="AA21" s="21">
        <f t="shared" si="21"/>
        <v>0</v>
      </c>
      <c r="AB21" s="21">
        <f t="shared" si="22"/>
        <v>0</v>
      </c>
      <c r="AC21" s="21">
        <f t="shared" si="23"/>
        <v>0</v>
      </c>
      <c r="AD21" s="96">
        <f t="shared" si="24"/>
      </c>
      <c r="AE21" s="2">
        <f t="shared" si="28"/>
        <v>202603</v>
      </c>
      <c r="AF21" s="2">
        <f t="shared" si="29"/>
        <v>999912</v>
      </c>
      <c r="AG21" s="2">
        <f t="shared" si="30"/>
        <v>45658</v>
      </c>
      <c r="AZ21" s="2">
        <f>IF(16&gt;$BA$300,0,IFERROR(MATCH(16,$BA$1:$BA$300,0),0))</f>
        <v>56</v>
      </c>
      <c r="BA21" s="2">
        <f>SUM(CA1:CA21)</f>
        <v>0</v>
      </c>
      <c r="CA21" s="2">
        <f>IF(AND(OR(_余额!$B$23="管理人员",_余额!$B$23="工人"),OR(_余额!$J$23&lt;&gt;0,_余额!$K$23&lt;&gt;0,_余额!$E$23&lt;&gt;0,_余额!$L$23&lt;&gt;0,AND(_余额!$B$23="管理人员",COUNTIFS(工资标准!$B$4:$B$303,_余额!$A$23,工资标准!$E$4:$E$303,"&gt;0")&gt;0))),1,0)</f>
        <v>0</v>
      </c>
    </row>
    <row r="22">
      <c r="A22" s="94">
        <f>IF($AZ22=0,"",17)</f>
        <v>17</v>
      </c>
      <c r="B22" s="94" t="str">
        <f t="shared" si="0"/>
        <v>王兴蛟</v>
      </c>
      <c r="C22" s="94" t="str">
        <f t="shared" si="25"/>
        <v>工人</v>
      </c>
      <c r="D22" s="119">
        <f t="shared" si="26"/>
        <v>320</v>
      </c>
      <c r="E22" s="21">
        <f t="shared" si="1"/>
        <v>0</v>
      </c>
      <c r="F22" s="118">
        <f t="shared" si="2"/>
        <v>22.78</v>
      </c>
      <c r="G22" s="21">
        <f t="shared" si="3"/>
        <v>7289.6</v>
      </c>
      <c r="H22" s="21">
        <f t="shared" si="4"/>
        <v>0</v>
      </c>
      <c r="I22" s="21">
        <f t="shared" si="5"/>
        <v>0</v>
      </c>
      <c r="J22" s="21">
        <f t="shared" si="6"/>
        <v>0</v>
      </c>
      <c r="K22" s="21">
        <f t="shared" si="7"/>
        <v>7289.6</v>
      </c>
      <c r="L22" s="21">
        <f t="shared" si="8"/>
        <v>12000</v>
      </c>
      <c r="M22" s="21">
        <f t="shared" si="9"/>
        <v>0</v>
      </c>
      <c r="N22" s="21">
        <f t="shared" si="10"/>
        <v>5000</v>
      </c>
      <c r="O22" s="21">
        <f t="shared" si="11"/>
        <v>289.6</v>
      </c>
      <c r="P22" s="96" t="str">
        <f t="shared" si="27"/>
        <v>公司还欠他</v>
      </c>
      <c r="R22" s="21">
        <f t="shared" si="12"/>
        <v>0</v>
      </c>
      <c r="S22" s="21">
        <f t="shared" si="13"/>
        <v>0</v>
      </c>
      <c r="T22" s="21">
        <f t="shared" si="14"/>
        <v>0</v>
      </c>
      <c r="U22" s="21">
        <f t="shared" si="15"/>
        <v>7289.6</v>
      </c>
      <c r="V22" s="21">
        <f t="shared" si="16"/>
        <v>0</v>
      </c>
      <c r="W22" s="21">
        <f t="shared" si="17"/>
        <v>0</v>
      </c>
      <c r="X22" s="21">
        <f t="shared" si="18"/>
        <v>0</v>
      </c>
      <c r="Y22" s="21">
        <f t="shared" si="19"/>
        <v>0</v>
      </c>
      <c r="Z22" s="21">
        <f t="shared" si="20"/>
        <v>0</v>
      </c>
      <c r="AA22" s="21">
        <f t="shared" si="21"/>
        <v>0</v>
      </c>
      <c r="AB22" s="21">
        <f t="shared" si="22"/>
        <v>0</v>
      </c>
      <c r="AC22" s="21">
        <f t="shared" si="23"/>
        <v>0</v>
      </c>
      <c r="AD22" s="96">
        <f t="shared" si="24"/>
      </c>
      <c r="AE22" s="2">
        <f t="shared" si="28"/>
        <v>202603</v>
      </c>
      <c r="AF22" s="2">
        <f t="shared" si="29"/>
        <v>999912</v>
      </c>
      <c r="AG22" s="2">
        <f t="shared" si="30"/>
        <v>45658</v>
      </c>
      <c r="AZ22" s="2">
        <f>IF(17&gt;$BA$300,0,IFERROR(MATCH(17,$BA$1:$BA$300,0),0))</f>
        <v>57</v>
      </c>
      <c r="BA22" s="2">
        <f>SUM(CA1:CA22)</f>
        <v>0</v>
      </c>
      <c r="CA22" s="2">
        <f>IF(AND(OR(_余额!$B$24="管理人员",_余额!$B$24="工人"),OR(_余额!$J$24&lt;&gt;0,_余额!$K$24&lt;&gt;0,_余额!$E$24&lt;&gt;0,_余额!$L$24&lt;&gt;0,AND(_余额!$B$24="管理人员",COUNTIFS(工资标准!$B$4:$B$303,_余额!$A$24,工资标准!$E$4:$E$303,"&gt;0")&gt;0))),1,0)</f>
        <v>0</v>
      </c>
    </row>
    <row r="23">
      <c r="A23" s="94">
        <f>IF($AZ23=0,"",18)</f>
        <v>18</v>
      </c>
      <c r="B23" s="94" t="str">
        <f t="shared" si="0"/>
        <v>高征坤</v>
      </c>
      <c r="C23" s="94" t="str">
        <f t="shared" si="25"/>
        <v>工人</v>
      </c>
      <c r="D23" s="119">
        <f t="shared" si="26"/>
        <v>290</v>
      </c>
      <c r="E23" s="21">
        <f t="shared" si="1"/>
        <v>0</v>
      </c>
      <c r="F23" s="118">
        <f t="shared" si="2"/>
        <v>13</v>
      </c>
      <c r="G23" s="21">
        <f t="shared" si="3"/>
        <v>3770</v>
      </c>
      <c r="H23" s="21">
        <f t="shared" si="4"/>
        <v>0</v>
      </c>
      <c r="I23" s="21">
        <f t="shared" si="5"/>
        <v>0</v>
      </c>
      <c r="J23" s="21">
        <f t="shared" si="6"/>
        <v>0</v>
      </c>
      <c r="K23" s="21">
        <f t="shared" si="7"/>
        <v>3770</v>
      </c>
      <c r="L23" s="21">
        <f t="shared" si="8"/>
        <v>4000</v>
      </c>
      <c r="M23" s="21">
        <f t="shared" si="9"/>
        <v>0</v>
      </c>
      <c r="N23" s="21">
        <f t="shared" si="10"/>
        <v>0</v>
      </c>
      <c r="O23" s="21">
        <f t="shared" si="11"/>
        <v>-230</v>
      </c>
      <c r="P23" s="96" t="str">
        <f t="shared" si="27"/>
        <v>多发了，他欠公司</v>
      </c>
      <c r="R23" s="21">
        <f t="shared" si="12"/>
        <v>0</v>
      </c>
      <c r="S23" s="21">
        <f t="shared" si="13"/>
        <v>0</v>
      </c>
      <c r="T23" s="21">
        <f t="shared" si="14"/>
        <v>0</v>
      </c>
      <c r="U23" s="21">
        <f t="shared" si="15"/>
        <v>3770</v>
      </c>
      <c r="V23" s="21">
        <f t="shared" si="16"/>
        <v>0</v>
      </c>
      <c r="W23" s="21">
        <f t="shared" si="17"/>
        <v>0</v>
      </c>
      <c r="X23" s="21">
        <f t="shared" si="18"/>
        <v>0</v>
      </c>
      <c r="Y23" s="21">
        <f t="shared" si="19"/>
        <v>0</v>
      </c>
      <c r="Z23" s="21">
        <f t="shared" si="20"/>
        <v>0</v>
      </c>
      <c r="AA23" s="21">
        <f t="shared" si="21"/>
        <v>0</v>
      </c>
      <c r="AB23" s="21">
        <f t="shared" si="22"/>
        <v>0</v>
      </c>
      <c r="AC23" s="21">
        <f t="shared" si="23"/>
        <v>0</v>
      </c>
      <c r="AD23" s="96">
        <f t="shared" si="24"/>
      </c>
      <c r="AE23" s="2">
        <f t="shared" si="28"/>
        <v>202603</v>
      </c>
      <c r="AF23" s="2">
        <f t="shared" si="29"/>
        <v>999912</v>
      </c>
      <c r="AG23" s="2">
        <f t="shared" si="30"/>
        <v>45658</v>
      </c>
      <c r="AZ23" s="2">
        <f>IF(18&gt;$BA$300,0,IFERROR(MATCH(18,$BA$1:$BA$300,0),0))</f>
        <v>58</v>
      </c>
      <c r="BA23" s="2">
        <f>SUM(CA1:CA23)</f>
        <v>0</v>
      </c>
      <c r="CA23" s="2">
        <f>IF(AND(OR(_余额!$B$25="管理人员",_余额!$B$25="工人"),OR(_余额!$J$25&lt;&gt;0,_余额!$K$25&lt;&gt;0,_余额!$E$25&lt;&gt;0,_余额!$L$25&lt;&gt;0,AND(_余额!$B$25="管理人员",COUNTIFS(工资标准!$B$4:$B$303,_余额!$A$25,工资标准!$E$4:$E$303,"&gt;0")&gt;0))),1,0)</f>
        <v>0</v>
      </c>
    </row>
    <row r="24">
      <c r="A24" s="94">
        <f>IF($AZ24=0,"",19)</f>
        <v>19</v>
      </c>
      <c r="B24" s="94" t="str">
        <f t="shared" si="0"/>
        <v>张亮亮</v>
      </c>
      <c r="C24" s="94" t="str">
        <f t="shared" si="25"/>
        <v>工人</v>
      </c>
      <c r="D24" s="119">
        <f t="shared" si="26"/>
        <v>390</v>
      </c>
      <c r="E24" s="21">
        <f t="shared" si="1"/>
        <v>0</v>
      </c>
      <c r="F24" s="118">
        <f t="shared" si="2"/>
        <v>14</v>
      </c>
      <c r="G24" s="21">
        <f t="shared" si="3"/>
        <v>5460</v>
      </c>
      <c r="H24" s="21">
        <f t="shared" si="4"/>
        <v>0</v>
      </c>
      <c r="I24" s="21">
        <f t="shared" si="5"/>
        <v>0</v>
      </c>
      <c r="J24" s="21">
        <f t="shared" si="6"/>
        <v>0</v>
      </c>
      <c r="K24" s="21">
        <f t="shared" si="7"/>
        <v>5460</v>
      </c>
      <c r="L24" s="21">
        <f t="shared" si="8"/>
        <v>14000</v>
      </c>
      <c r="M24" s="21">
        <f t="shared" si="9"/>
        <v>0</v>
      </c>
      <c r="N24" s="21">
        <f t="shared" si="10"/>
        <v>0</v>
      </c>
      <c r="O24" s="21">
        <f t="shared" si="11"/>
        <v>-8540</v>
      </c>
      <c r="P24" s="96" t="str">
        <f t="shared" si="27"/>
        <v>多发了，他欠公司</v>
      </c>
      <c r="R24" s="21">
        <f t="shared" si="12"/>
        <v>0</v>
      </c>
      <c r="S24" s="21">
        <f t="shared" si="13"/>
        <v>0</v>
      </c>
      <c r="T24" s="21">
        <f t="shared" si="14"/>
        <v>0</v>
      </c>
      <c r="U24" s="21">
        <f t="shared" si="15"/>
        <v>5460</v>
      </c>
      <c r="V24" s="21">
        <f t="shared" si="16"/>
        <v>0</v>
      </c>
      <c r="W24" s="21">
        <f t="shared" si="17"/>
        <v>0</v>
      </c>
      <c r="X24" s="21">
        <f t="shared" si="18"/>
        <v>0</v>
      </c>
      <c r="Y24" s="21">
        <f t="shared" si="19"/>
        <v>0</v>
      </c>
      <c r="Z24" s="21">
        <f t="shared" si="20"/>
        <v>0</v>
      </c>
      <c r="AA24" s="21">
        <f t="shared" si="21"/>
        <v>0</v>
      </c>
      <c r="AB24" s="21">
        <f t="shared" si="22"/>
        <v>0</v>
      </c>
      <c r="AC24" s="21">
        <f t="shared" si="23"/>
        <v>0</v>
      </c>
      <c r="AD24" s="96">
        <f t="shared" si="24"/>
      </c>
      <c r="AE24" s="2">
        <f t="shared" si="28"/>
        <v>202603</v>
      </c>
      <c r="AF24" s="2">
        <f t="shared" si="29"/>
        <v>999912</v>
      </c>
      <c r="AG24" s="2">
        <f t="shared" si="30"/>
        <v>45658</v>
      </c>
      <c r="AZ24" s="2">
        <f>IF(19&gt;$BA$300,0,IFERROR(MATCH(19,$BA$1:$BA$300,0),0))</f>
        <v>59</v>
      </c>
      <c r="BA24" s="2">
        <f>SUM(CA1:CA24)</f>
        <v>0</v>
      </c>
      <c r="CA24" s="2">
        <f>IF(AND(OR(_余额!$B$26="管理人员",_余额!$B$26="工人"),OR(_余额!$J$26&lt;&gt;0,_余额!$K$26&lt;&gt;0,_余额!$E$26&lt;&gt;0,_余额!$L$26&lt;&gt;0,AND(_余额!$B$26="管理人员",COUNTIFS(工资标准!$B$4:$B$303,_余额!$A$26,工资标准!$E$4:$E$303,"&gt;0")&gt;0))),1,0)</f>
        <v>0</v>
      </c>
    </row>
    <row r="25">
      <c r="A25" s="94">
        <f>IF($AZ25=0,"",20)</f>
        <v>20</v>
      </c>
      <c r="B25" s="94" t="str">
        <f t="shared" si="0"/>
        <v>成峰</v>
      </c>
      <c r="C25" s="94" t="str">
        <f t="shared" si="25"/>
        <v>工人</v>
      </c>
      <c r="D25" s="119">
        <f t="shared" si="26"/>
        <v>370</v>
      </c>
      <c r="E25" s="21">
        <f t="shared" si="1"/>
        <v>0</v>
      </c>
      <c r="F25" s="118">
        <f t="shared" si="2"/>
        <v>27</v>
      </c>
      <c r="G25" s="21">
        <f t="shared" si="3"/>
        <v>9990</v>
      </c>
      <c r="H25" s="21">
        <f t="shared" si="4"/>
        <v>0</v>
      </c>
      <c r="I25" s="21">
        <f t="shared" si="5"/>
        <v>0</v>
      </c>
      <c r="J25" s="21">
        <f t="shared" si="6"/>
        <v>0</v>
      </c>
      <c r="K25" s="21">
        <f t="shared" si="7"/>
        <v>9990</v>
      </c>
      <c r="L25" s="21">
        <f t="shared" si="8"/>
        <v>4000</v>
      </c>
      <c r="M25" s="21">
        <f t="shared" si="9"/>
        <v>0</v>
      </c>
      <c r="N25" s="21">
        <f t="shared" si="10"/>
        <v>0</v>
      </c>
      <c r="O25" s="21">
        <f t="shared" si="11"/>
        <v>5990</v>
      </c>
      <c r="P25" s="96" t="str">
        <f t="shared" si="27"/>
        <v>公司还欠他</v>
      </c>
      <c r="R25" s="21">
        <f t="shared" si="12"/>
        <v>0</v>
      </c>
      <c r="S25" s="21">
        <f t="shared" si="13"/>
        <v>0</v>
      </c>
      <c r="T25" s="21">
        <f t="shared" si="14"/>
        <v>8880</v>
      </c>
      <c r="U25" s="21">
        <f t="shared" si="15"/>
        <v>1110</v>
      </c>
      <c r="V25" s="21">
        <f t="shared" si="16"/>
        <v>0</v>
      </c>
      <c r="W25" s="21">
        <f t="shared" si="17"/>
        <v>0</v>
      </c>
      <c r="X25" s="21">
        <f t="shared" si="18"/>
        <v>0</v>
      </c>
      <c r="Y25" s="21">
        <f t="shared" si="19"/>
        <v>0</v>
      </c>
      <c r="Z25" s="21">
        <f t="shared" si="20"/>
        <v>0</v>
      </c>
      <c r="AA25" s="21">
        <f t="shared" si="21"/>
        <v>0</v>
      </c>
      <c r="AB25" s="21">
        <f t="shared" si="22"/>
        <v>0</v>
      </c>
      <c r="AC25" s="21">
        <f t="shared" si="23"/>
        <v>0</v>
      </c>
      <c r="AD25" s="96">
        <f t="shared" si="24"/>
      </c>
      <c r="AE25" s="2">
        <f t="shared" si="28"/>
        <v>202603</v>
      </c>
      <c r="AF25" s="2">
        <f t="shared" si="29"/>
        <v>999912</v>
      </c>
      <c r="AG25" s="2">
        <f t="shared" si="30"/>
        <v>45658</v>
      </c>
      <c r="AZ25" s="2">
        <f>IF(20&gt;$BA$300,0,IFERROR(MATCH(20,$BA$1:$BA$300,0),0))</f>
        <v>60</v>
      </c>
      <c r="BA25" s="2">
        <f>SUM(CA1:CA25)</f>
        <v>0</v>
      </c>
      <c r="CA25" s="2">
        <f>IF(AND(OR(_余额!$B$27="管理人员",_余额!$B$27="工人"),OR(_余额!$J$27&lt;&gt;0,_余额!$K$27&lt;&gt;0,_余额!$E$27&lt;&gt;0,_余额!$L$27&lt;&gt;0,AND(_余额!$B$27="管理人员",COUNTIFS(工资标准!$B$4:$B$303,_余额!$A$27,工资标准!$E$4:$E$303,"&gt;0")&gt;0))),1,0)</f>
        <v>0</v>
      </c>
    </row>
    <row r="26">
      <c r="A26" s="94">
        <f>IF($AZ26=0,"",21)</f>
        <v>21</v>
      </c>
      <c r="B26" s="94" t="str">
        <f t="shared" si="0"/>
        <v>何正新</v>
      </c>
      <c r="C26" s="94" t="str">
        <f t="shared" si="25"/>
        <v>工人</v>
      </c>
      <c r="D26" s="119">
        <f t="shared" si="26"/>
        <v>320</v>
      </c>
      <c r="E26" s="21">
        <f t="shared" si="1"/>
        <v>0</v>
      </c>
      <c r="F26" s="118">
        <f t="shared" si="2"/>
        <v>26</v>
      </c>
      <c r="G26" s="21">
        <f t="shared" si="3"/>
        <v>8320</v>
      </c>
      <c r="H26" s="21">
        <f t="shared" si="4"/>
        <v>0</v>
      </c>
      <c r="I26" s="21">
        <f t="shared" si="5"/>
        <v>0</v>
      </c>
      <c r="J26" s="21">
        <f t="shared" si="6"/>
        <v>0</v>
      </c>
      <c r="K26" s="21">
        <f t="shared" si="7"/>
        <v>8320</v>
      </c>
      <c r="L26" s="21">
        <f t="shared" si="8"/>
        <v>0</v>
      </c>
      <c r="M26" s="21">
        <f t="shared" si="9"/>
        <v>0</v>
      </c>
      <c r="N26" s="21">
        <f t="shared" si="10"/>
        <v>0</v>
      </c>
      <c r="O26" s="21">
        <f t="shared" si="11"/>
        <v>8320</v>
      </c>
      <c r="P26" s="96" t="str">
        <f t="shared" si="27"/>
        <v>公司还欠他</v>
      </c>
      <c r="R26" s="21">
        <f t="shared" si="12"/>
        <v>0</v>
      </c>
      <c r="S26" s="21">
        <f t="shared" si="13"/>
        <v>0</v>
      </c>
      <c r="T26" s="21">
        <f t="shared" si="14"/>
        <v>7360</v>
      </c>
      <c r="U26" s="21">
        <f t="shared" si="15"/>
        <v>960</v>
      </c>
      <c r="V26" s="21">
        <f t="shared" si="16"/>
        <v>0</v>
      </c>
      <c r="W26" s="21">
        <f t="shared" si="17"/>
        <v>0</v>
      </c>
      <c r="X26" s="21">
        <f t="shared" si="18"/>
        <v>0</v>
      </c>
      <c r="Y26" s="21">
        <f t="shared" si="19"/>
        <v>0</v>
      </c>
      <c r="Z26" s="21">
        <f t="shared" si="20"/>
        <v>0</v>
      </c>
      <c r="AA26" s="21">
        <f t="shared" si="21"/>
        <v>0</v>
      </c>
      <c r="AB26" s="21">
        <f t="shared" si="22"/>
        <v>0</v>
      </c>
      <c r="AC26" s="21">
        <f t="shared" si="23"/>
        <v>0</v>
      </c>
      <c r="AD26" s="96">
        <f t="shared" si="24"/>
      </c>
      <c r="AE26" s="2">
        <f t="shared" si="28"/>
        <v>202603</v>
      </c>
      <c r="AF26" s="2">
        <f t="shared" si="29"/>
        <v>999912</v>
      </c>
      <c r="AG26" s="2">
        <f t="shared" si="30"/>
        <v>45658</v>
      </c>
      <c r="AZ26" s="2">
        <f>IF(21&gt;$BA$300,0,IFERROR(MATCH(21,$BA$1:$BA$300,0),0))</f>
        <v>61</v>
      </c>
      <c r="BA26" s="2">
        <f>SUM(CA1:CA26)</f>
        <v>0</v>
      </c>
      <c r="CA26" s="2">
        <f>IF(AND(OR(_余额!$B$28="管理人员",_余额!$B$28="工人"),OR(_余额!$J$28&lt;&gt;0,_余额!$K$28&lt;&gt;0,_余额!$E$28&lt;&gt;0,_余额!$L$28&lt;&gt;0,AND(_余额!$B$28="管理人员",COUNTIFS(工资标准!$B$4:$B$303,_余额!$A$28,工资标准!$E$4:$E$303,"&gt;0")&gt;0))),1,0)</f>
        <v>0</v>
      </c>
    </row>
    <row r="27">
      <c r="A27" s="94">
        <f>IF($AZ27=0,"",22)</f>
        <v>22</v>
      </c>
      <c r="B27" s="94" t="str">
        <f t="shared" si="0"/>
        <v>吴志刚</v>
      </c>
      <c r="C27" s="94" t="str">
        <f t="shared" si="25"/>
        <v>工人</v>
      </c>
      <c r="D27" s="119">
        <f t="shared" si="26"/>
        <v>350</v>
      </c>
      <c r="E27" s="21">
        <f t="shared" si="1"/>
        <v>0</v>
      </c>
      <c r="F27" s="118">
        <f t="shared" si="2"/>
        <v>26.28</v>
      </c>
      <c r="G27" s="21">
        <f t="shared" si="3"/>
        <v>9198</v>
      </c>
      <c r="H27" s="21">
        <f t="shared" si="4"/>
        <v>0</v>
      </c>
      <c r="I27" s="21">
        <f t="shared" si="5"/>
        <v>0</v>
      </c>
      <c r="J27" s="21">
        <f t="shared" si="6"/>
        <v>0</v>
      </c>
      <c r="K27" s="21">
        <f t="shared" si="7"/>
        <v>9198</v>
      </c>
      <c r="L27" s="21">
        <f t="shared" si="8"/>
        <v>13000</v>
      </c>
      <c r="M27" s="21">
        <f t="shared" si="9"/>
        <v>0</v>
      </c>
      <c r="N27" s="21">
        <f t="shared" si="10"/>
        <v>0</v>
      </c>
      <c r="O27" s="21">
        <f t="shared" si="11"/>
        <v>-3802</v>
      </c>
      <c r="P27" s="96" t="str">
        <f t="shared" si="27"/>
        <v>多发了，他欠公司</v>
      </c>
      <c r="R27" s="21">
        <f t="shared" si="12"/>
        <v>0</v>
      </c>
      <c r="S27" s="21">
        <f t="shared" si="13"/>
        <v>0</v>
      </c>
      <c r="T27" s="21">
        <f t="shared" si="14"/>
        <v>0</v>
      </c>
      <c r="U27" s="21">
        <f t="shared" si="15"/>
        <v>9198</v>
      </c>
      <c r="V27" s="21">
        <f t="shared" si="16"/>
        <v>0</v>
      </c>
      <c r="W27" s="21">
        <f t="shared" si="17"/>
        <v>0</v>
      </c>
      <c r="X27" s="21">
        <f t="shared" si="18"/>
        <v>0</v>
      </c>
      <c r="Y27" s="21">
        <f t="shared" si="19"/>
        <v>0</v>
      </c>
      <c r="Z27" s="21">
        <f t="shared" si="20"/>
        <v>0</v>
      </c>
      <c r="AA27" s="21">
        <f t="shared" si="21"/>
        <v>0</v>
      </c>
      <c r="AB27" s="21">
        <f t="shared" si="22"/>
        <v>0</v>
      </c>
      <c r="AC27" s="21">
        <f t="shared" si="23"/>
        <v>0</v>
      </c>
      <c r="AD27" s="96">
        <f t="shared" si="24"/>
      </c>
      <c r="AE27" s="2">
        <f t="shared" si="28"/>
        <v>202603</v>
      </c>
      <c r="AF27" s="2">
        <f t="shared" si="29"/>
        <v>999912</v>
      </c>
      <c r="AG27" s="2">
        <f t="shared" si="30"/>
        <v>45658</v>
      </c>
      <c r="AZ27" s="2">
        <f>IF(22&gt;$BA$300,0,IFERROR(MATCH(22,$BA$1:$BA$300,0),0))</f>
        <v>62</v>
      </c>
      <c r="BA27" s="2">
        <f>SUM(CA1:CA27)</f>
        <v>0</v>
      </c>
      <c r="CA27" s="2">
        <f>IF(AND(OR(_余额!$B$29="管理人员",_余额!$B$29="工人"),OR(_余额!$J$29&lt;&gt;0,_余额!$K$29&lt;&gt;0,_余额!$E$29&lt;&gt;0,_余额!$L$29&lt;&gt;0,AND(_余额!$B$29="管理人员",COUNTIFS(工资标准!$B$4:$B$303,_余额!$A$29,工资标准!$E$4:$E$303,"&gt;0")&gt;0))),1,0)</f>
        <v>0</v>
      </c>
    </row>
    <row r="28">
      <c r="A28" s="94">
        <f>IF($AZ28=0,"",23)</f>
        <v>23</v>
      </c>
      <c r="B28" s="94" t="str">
        <f t="shared" si="0"/>
        <v>张小友</v>
      </c>
      <c r="C28" s="94" t="str">
        <f t="shared" si="25"/>
        <v>工人</v>
      </c>
      <c r="D28" s="119">
        <f t="shared" si="26"/>
        <v>370</v>
      </c>
      <c r="E28" s="21">
        <f t="shared" si="1"/>
        <v>0</v>
      </c>
      <c r="F28" s="118">
        <f t="shared" si="2"/>
        <v>14</v>
      </c>
      <c r="G28" s="21">
        <f t="shared" si="3"/>
        <v>5180</v>
      </c>
      <c r="H28" s="21">
        <f t="shared" si="4"/>
        <v>0</v>
      </c>
      <c r="I28" s="21">
        <f t="shared" si="5"/>
        <v>0</v>
      </c>
      <c r="J28" s="21">
        <f t="shared" si="6"/>
        <v>0</v>
      </c>
      <c r="K28" s="21">
        <f t="shared" si="7"/>
        <v>5180</v>
      </c>
      <c r="L28" s="21">
        <f t="shared" si="8"/>
        <v>0</v>
      </c>
      <c r="M28" s="21">
        <f t="shared" si="9"/>
        <v>0</v>
      </c>
      <c r="N28" s="21">
        <f t="shared" si="10"/>
        <v>0</v>
      </c>
      <c r="O28" s="21">
        <f t="shared" si="11"/>
        <v>5180</v>
      </c>
      <c r="P28" s="96" t="str">
        <f t="shared" si="27"/>
        <v>公司还欠他</v>
      </c>
      <c r="R28" s="21">
        <f t="shared" si="12"/>
        <v>0</v>
      </c>
      <c r="S28" s="21">
        <f t="shared" si="13"/>
        <v>0</v>
      </c>
      <c r="T28" s="21">
        <f t="shared" si="14"/>
        <v>0</v>
      </c>
      <c r="U28" s="21">
        <f t="shared" si="15"/>
        <v>5180</v>
      </c>
      <c r="V28" s="21">
        <f t="shared" si="16"/>
        <v>0</v>
      </c>
      <c r="W28" s="21">
        <f t="shared" si="17"/>
        <v>0</v>
      </c>
      <c r="X28" s="21">
        <f t="shared" si="18"/>
        <v>0</v>
      </c>
      <c r="Y28" s="21">
        <f t="shared" si="19"/>
        <v>0</v>
      </c>
      <c r="Z28" s="21">
        <f t="shared" si="20"/>
        <v>0</v>
      </c>
      <c r="AA28" s="21">
        <f t="shared" si="21"/>
        <v>0</v>
      </c>
      <c r="AB28" s="21">
        <f t="shared" si="22"/>
        <v>0</v>
      </c>
      <c r="AC28" s="21">
        <f t="shared" si="23"/>
        <v>0</v>
      </c>
      <c r="AD28" s="96">
        <f t="shared" si="24"/>
      </c>
      <c r="AE28" s="2">
        <f t="shared" si="28"/>
        <v>202603</v>
      </c>
      <c r="AF28" s="2">
        <f t="shared" si="29"/>
        <v>999912</v>
      </c>
      <c r="AG28" s="2">
        <f t="shared" si="30"/>
        <v>45658</v>
      </c>
      <c r="AZ28" s="2">
        <f>IF(23&gt;$BA$300,0,IFERROR(MATCH(23,$BA$1:$BA$300,0),0))</f>
        <v>63</v>
      </c>
      <c r="BA28" s="2">
        <f>SUM(CA1:CA28)</f>
        <v>0</v>
      </c>
      <c r="CA28" s="2">
        <f>IF(AND(OR(_余额!$B$30="管理人员",_余额!$B$30="工人"),OR(_余额!$J$30&lt;&gt;0,_余额!$K$30&lt;&gt;0,_余额!$E$30&lt;&gt;0,_余额!$L$30&lt;&gt;0,AND(_余额!$B$30="管理人员",COUNTIFS(工资标准!$B$4:$B$303,_余额!$A$30,工资标准!$E$4:$E$303,"&gt;0")&gt;0))),1,0)</f>
        <v>0</v>
      </c>
    </row>
    <row r="29">
      <c r="A29" s="94">
        <f>IF($AZ29=0,"",24)</f>
        <v>24</v>
      </c>
      <c r="B29" s="94" t="str">
        <f t="shared" si="0"/>
        <v>曹买生</v>
      </c>
      <c r="C29" s="94" t="str">
        <f t="shared" si="25"/>
        <v>工人</v>
      </c>
      <c r="D29" s="119">
        <f t="shared" si="26"/>
        <v>360</v>
      </c>
      <c r="E29" s="21">
        <f t="shared" si="1"/>
        <v>0</v>
      </c>
      <c r="F29" s="118">
        <f t="shared" si="2"/>
        <v>3</v>
      </c>
      <c r="G29" s="21">
        <f t="shared" si="3"/>
        <v>1080</v>
      </c>
      <c r="H29" s="21">
        <f t="shared" si="4"/>
        <v>0</v>
      </c>
      <c r="I29" s="21">
        <f t="shared" si="5"/>
        <v>0</v>
      </c>
      <c r="J29" s="21">
        <f t="shared" si="6"/>
        <v>0</v>
      </c>
      <c r="K29" s="21">
        <f t="shared" si="7"/>
        <v>1080</v>
      </c>
      <c r="L29" s="21">
        <f t="shared" si="8"/>
        <v>0</v>
      </c>
      <c r="M29" s="21">
        <f t="shared" si="9"/>
        <v>0</v>
      </c>
      <c r="N29" s="21">
        <f t="shared" si="10"/>
        <v>0</v>
      </c>
      <c r="O29" s="21">
        <f t="shared" si="11"/>
        <v>1080</v>
      </c>
      <c r="P29" s="96" t="str">
        <f t="shared" si="27"/>
        <v>公司还欠他</v>
      </c>
      <c r="R29" s="21">
        <f t="shared" si="12"/>
        <v>0</v>
      </c>
      <c r="S29" s="21">
        <f t="shared" si="13"/>
        <v>0</v>
      </c>
      <c r="T29" s="21">
        <f t="shared" si="14"/>
        <v>0</v>
      </c>
      <c r="U29" s="21">
        <f t="shared" si="15"/>
        <v>1080</v>
      </c>
      <c r="V29" s="21">
        <f t="shared" si="16"/>
        <v>0</v>
      </c>
      <c r="W29" s="21">
        <f t="shared" si="17"/>
        <v>0</v>
      </c>
      <c r="X29" s="21">
        <f t="shared" si="18"/>
        <v>0</v>
      </c>
      <c r="Y29" s="21">
        <f t="shared" si="19"/>
        <v>0</v>
      </c>
      <c r="Z29" s="21">
        <f t="shared" si="20"/>
        <v>0</v>
      </c>
      <c r="AA29" s="21">
        <f t="shared" si="21"/>
        <v>0</v>
      </c>
      <c r="AB29" s="21">
        <f t="shared" si="22"/>
        <v>0</v>
      </c>
      <c r="AC29" s="21">
        <f t="shared" si="23"/>
        <v>0</v>
      </c>
      <c r="AD29" s="96">
        <f t="shared" si="24"/>
      </c>
      <c r="AE29" s="2">
        <f t="shared" si="28"/>
        <v>202603</v>
      </c>
      <c r="AF29" s="2">
        <f t="shared" si="29"/>
        <v>999912</v>
      </c>
      <c r="AG29" s="2">
        <f t="shared" si="30"/>
        <v>45658</v>
      </c>
      <c r="AZ29" s="2">
        <f>IF(24&gt;$BA$300,0,IFERROR(MATCH(24,$BA$1:$BA$300,0),0))</f>
        <v>64</v>
      </c>
      <c r="BA29" s="2">
        <f>SUM(CA1:CA29)</f>
        <v>0</v>
      </c>
      <c r="CA29" s="2">
        <f>IF(AND(OR(_余额!$B$31="管理人员",_余额!$B$31="工人"),OR(_余额!$J$31&lt;&gt;0,_余额!$K$31&lt;&gt;0,_余额!$E$31&lt;&gt;0,_余额!$L$31&lt;&gt;0,AND(_余额!$B$31="管理人员",COUNTIFS(工资标准!$B$4:$B$303,_余额!$A$31,工资标准!$E$4:$E$303,"&gt;0")&gt;0))),1,0)</f>
        <v>0</v>
      </c>
    </row>
    <row r="30">
      <c r="A30" s="94">
        <f>IF($AZ30=0,"",25)</f>
        <v>25</v>
      </c>
      <c r="B30" s="94" t="str">
        <f t="shared" si="0"/>
        <v>刘桂水</v>
      </c>
      <c r="C30" s="94" t="str">
        <f t="shared" si="25"/>
        <v>工人</v>
      </c>
      <c r="D30" s="119">
        <f t="shared" si="26"/>
        <v>270</v>
      </c>
      <c r="E30" s="21">
        <f t="shared" si="1"/>
        <v>0</v>
      </c>
      <c r="F30" s="118">
        <f t="shared" si="2"/>
        <v>3</v>
      </c>
      <c r="G30" s="21">
        <f t="shared" si="3"/>
        <v>810</v>
      </c>
      <c r="H30" s="21">
        <f t="shared" si="4"/>
        <v>0</v>
      </c>
      <c r="I30" s="21">
        <f t="shared" si="5"/>
        <v>0</v>
      </c>
      <c r="J30" s="21">
        <f t="shared" si="6"/>
        <v>0</v>
      </c>
      <c r="K30" s="21">
        <f t="shared" si="7"/>
        <v>810</v>
      </c>
      <c r="L30" s="21">
        <f t="shared" si="8"/>
        <v>0</v>
      </c>
      <c r="M30" s="21">
        <f t="shared" si="9"/>
        <v>0</v>
      </c>
      <c r="N30" s="21">
        <f t="shared" si="10"/>
        <v>0</v>
      </c>
      <c r="O30" s="21">
        <f t="shared" si="11"/>
        <v>810</v>
      </c>
      <c r="P30" s="96" t="str">
        <f t="shared" si="27"/>
        <v>公司还欠他</v>
      </c>
      <c r="R30" s="21">
        <f t="shared" si="12"/>
        <v>0</v>
      </c>
      <c r="S30" s="21">
        <f t="shared" si="13"/>
        <v>0</v>
      </c>
      <c r="T30" s="21">
        <f t="shared" si="14"/>
        <v>0</v>
      </c>
      <c r="U30" s="21">
        <f t="shared" si="15"/>
        <v>810</v>
      </c>
      <c r="V30" s="21">
        <f t="shared" si="16"/>
        <v>0</v>
      </c>
      <c r="W30" s="21">
        <f t="shared" si="17"/>
        <v>0</v>
      </c>
      <c r="X30" s="21">
        <f t="shared" si="18"/>
        <v>0</v>
      </c>
      <c r="Y30" s="21">
        <f t="shared" si="19"/>
        <v>0</v>
      </c>
      <c r="Z30" s="21">
        <f t="shared" si="20"/>
        <v>0</v>
      </c>
      <c r="AA30" s="21">
        <f t="shared" si="21"/>
        <v>0</v>
      </c>
      <c r="AB30" s="21">
        <f t="shared" si="22"/>
        <v>0</v>
      </c>
      <c r="AC30" s="21">
        <f t="shared" si="23"/>
        <v>0</v>
      </c>
      <c r="AD30" s="96">
        <f t="shared" si="24"/>
      </c>
      <c r="AE30" s="2">
        <f t="shared" si="28"/>
        <v>202603</v>
      </c>
      <c r="AF30" s="2">
        <f t="shared" si="29"/>
        <v>999912</v>
      </c>
      <c r="AG30" s="2">
        <f t="shared" si="30"/>
        <v>45658</v>
      </c>
      <c r="AZ30" s="2">
        <f>IF(25&gt;$BA$300,0,IFERROR(MATCH(25,$BA$1:$BA$300,0),0))</f>
        <v>65</v>
      </c>
      <c r="BA30" s="2">
        <f>SUM(CA1:CA30)</f>
        <v>0</v>
      </c>
      <c r="CA30" s="2">
        <f>IF(AND(OR(_余额!$B$32="管理人员",_余额!$B$32="工人"),OR(_余额!$J$32&lt;&gt;0,_余额!$K$32&lt;&gt;0,_余额!$E$32&lt;&gt;0,_余额!$L$32&lt;&gt;0,AND(_余额!$B$32="管理人员",COUNTIFS(工资标准!$B$4:$B$303,_余额!$A$32,工资标准!$E$4:$E$303,"&gt;0")&gt;0))),1,0)</f>
        <v>0</v>
      </c>
    </row>
    <row r="31">
      <c r="A31" s="94">
        <f>IF($AZ31=0,"",26)</f>
        <v>26</v>
      </c>
      <c r="B31" s="94" t="str">
        <f t="shared" si="0"/>
        <v>张小朋</v>
      </c>
      <c r="C31" s="94" t="str">
        <f t="shared" si="25"/>
        <v>工人</v>
      </c>
      <c r="D31" s="119">
        <f t="shared" si="26"/>
        <v>400</v>
      </c>
      <c r="E31" s="21">
        <f t="shared" si="1"/>
        <v>0</v>
      </c>
      <c r="F31" s="118">
        <f t="shared" si="2"/>
        <v>11</v>
      </c>
      <c r="G31" s="21">
        <f t="shared" si="3"/>
        <v>4400</v>
      </c>
      <c r="H31" s="21">
        <f t="shared" si="4"/>
        <v>0</v>
      </c>
      <c r="I31" s="21">
        <f t="shared" si="5"/>
        <v>0</v>
      </c>
      <c r="J31" s="21">
        <f t="shared" si="6"/>
        <v>0</v>
      </c>
      <c r="K31" s="21">
        <f t="shared" si="7"/>
        <v>4400</v>
      </c>
      <c r="L31" s="21">
        <f t="shared" si="8"/>
        <v>0</v>
      </c>
      <c r="M31" s="21">
        <f t="shared" si="9"/>
        <v>0</v>
      </c>
      <c r="N31" s="21">
        <f t="shared" si="10"/>
        <v>0</v>
      </c>
      <c r="O31" s="21">
        <f t="shared" si="11"/>
        <v>4400</v>
      </c>
      <c r="P31" s="96" t="str">
        <f t="shared" si="27"/>
        <v>公司还欠他</v>
      </c>
      <c r="R31" s="21">
        <f t="shared" si="12"/>
        <v>0</v>
      </c>
      <c r="S31" s="21">
        <f t="shared" si="13"/>
        <v>0</v>
      </c>
      <c r="T31" s="21">
        <f t="shared" si="14"/>
        <v>0</v>
      </c>
      <c r="U31" s="21">
        <f t="shared" si="15"/>
        <v>4400</v>
      </c>
      <c r="V31" s="21">
        <f t="shared" si="16"/>
        <v>0</v>
      </c>
      <c r="W31" s="21">
        <f t="shared" si="17"/>
        <v>0</v>
      </c>
      <c r="X31" s="21">
        <f t="shared" si="18"/>
        <v>0</v>
      </c>
      <c r="Y31" s="21">
        <f t="shared" si="19"/>
        <v>0</v>
      </c>
      <c r="Z31" s="21">
        <f t="shared" si="20"/>
        <v>0</v>
      </c>
      <c r="AA31" s="21">
        <f t="shared" si="21"/>
        <v>0</v>
      </c>
      <c r="AB31" s="21">
        <f t="shared" si="22"/>
        <v>0</v>
      </c>
      <c r="AC31" s="21">
        <f t="shared" si="23"/>
        <v>0</v>
      </c>
      <c r="AD31" s="96">
        <f t="shared" si="24"/>
      </c>
      <c r="AE31" s="2">
        <f t="shared" si="28"/>
        <v>202603</v>
      </c>
      <c r="AF31" s="2">
        <f t="shared" si="29"/>
        <v>999912</v>
      </c>
      <c r="AG31" s="2">
        <f t="shared" si="30"/>
        <v>45658</v>
      </c>
      <c r="AZ31" s="2">
        <f>IF(26&gt;$BA$300,0,IFERROR(MATCH(26,$BA$1:$BA$300,0),0))</f>
        <v>66</v>
      </c>
      <c r="BA31" s="2">
        <f>SUM(CA1:CA31)</f>
        <v>0</v>
      </c>
      <c r="CA31" s="2">
        <f>IF(AND(OR(_余额!$B$33="管理人员",_余额!$B$33="工人"),OR(_余额!$J$33&lt;&gt;0,_余额!$K$33&lt;&gt;0,_余额!$E$33&lt;&gt;0,_余额!$L$33&lt;&gt;0,AND(_余额!$B$33="管理人员",COUNTIFS(工资标准!$B$4:$B$303,_余额!$A$33,工资标准!$E$4:$E$303,"&gt;0")&gt;0))),1,0)</f>
        <v>0</v>
      </c>
    </row>
    <row r="32">
      <c r="A32" s="94">
        <f>IF($AZ32=0,"",27)</f>
        <v>27</v>
      </c>
      <c r="B32" s="94" t="str">
        <f t="shared" si="0"/>
        <v>叶焰平</v>
      </c>
      <c r="C32" s="94" t="str">
        <f t="shared" si="25"/>
        <v>工人</v>
      </c>
      <c r="D32" s="119">
        <f t="shared" si="26"/>
        <v>500</v>
      </c>
      <c r="E32" s="21">
        <f t="shared" si="1"/>
        <v>0</v>
      </c>
      <c r="F32" s="118">
        <f t="shared" si="2"/>
        <v>29</v>
      </c>
      <c r="G32" s="21">
        <f t="shared" si="3"/>
        <v>14500</v>
      </c>
      <c r="H32" s="21">
        <f t="shared" si="4"/>
        <v>0</v>
      </c>
      <c r="I32" s="21">
        <f t="shared" si="5"/>
        <v>0</v>
      </c>
      <c r="J32" s="21">
        <f t="shared" si="6"/>
        <v>0</v>
      </c>
      <c r="K32" s="21">
        <f t="shared" si="7"/>
        <v>14500</v>
      </c>
      <c r="L32" s="21">
        <f t="shared" si="8"/>
        <v>25000</v>
      </c>
      <c r="M32" s="21">
        <f t="shared" si="9"/>
        <v>0</v>
      </c>
      <c r="N32" s="21">
        <f t="shared" si="10"/>
        <v>0</v>
      </c>
      <c r="O32" s="21">
        <f t="shared" si="11"/>
        <v>-10500</v>
      </c>
      <c r="P32" s="96" t="str">
        <f t="shared" si="27"/>
        <v>多发了，他欠公司</v>
      </c>
      <c r="R32" s="21">
        <f t="shared" si="12"/>
        <v>0</v>
      </c>
      <c r="S32" s="21">
        <f t="shared" si="13"/>
        <v>0</v>
      </c>
      <c r="T32" s="21">
        <f t="shared" si="14"/>
        <v>0</v>
      </c>
      <c r="U32" s="21">
        <f t="shared" si="15"/>
        <v>14500</v>
      </c>
      <c r="V32" s="21">
        <f t="shared" si="16"/>
        <v>0</v>
      </c>
      <c r="W32" s="21">
        <f t="shared" si="17"/>
        <v>0</v>
      </c>
      <c r="X32" s="21">
        <f t="shared" si="18"/>
        <v>0</v>
      </c>
      <c r="Y32" s="21">
        <f t="shared" si="19"/>
        <v>0</v>
      </c>
      <c r="Z32" s="21">
        <f t="shared" si="20"/>
        <v>0</v>
      </c>
      <c r="AA32" s="21">
        <f t="shared" si="21"/>
        <v>0</v>
      </c>
      <c r="AB32" s="21">
        <f t="shared" si="22"/>
        <v>0</v>
      </c>
      <c r="AC32" s="21">
        <f t="shared" si="23"/>
        <v>0</v>
      </c>
      <c r="AD32" s="96">
        <f t="shared" si="24"/>
      </c>
      <c r="AE32" s="2">
        <f t="shared" si="28"/>
        <v>202603</v>
      </c>
      <c r="AF32" s="2">
        <f t="shared" si="29"/>
        <v>999912</v>
      </c>
      <c r="AG32" s="2">
        <f t="shared" si="30"/>
        <v>45658</v>
      </c>
      <c r="AZ32" s="2">
        <f>IF(27&gt;$BA$300,0,IFERROR(MATCH(27,$BA$1:$BA$300,0),0))</f>
        <v>67</v>
      </c>
      <c r="BA32" s="2">
        <f>SUM(CA1:CA32)</f>
        <v>0</v>
      </c>
      <c r="CA32" s="2">
        <f>IF(AND(OR(_余额!$B$34="管理人员",_余额!$B$34="工人"),OR(_余额!$J$34&lt;&gt;0,_余额!$K$34&lt;&gt;0,_余额!$E$34&lt;&gt;0,_余额!$L$34&lt;&gt;0,AND(_余额!$B$34="管理人员",COUNTIFS(工资标准!$B$4:$B$303,_余额!$A$34,工资标准!$E$4:$E$303,"&gt;0")&gt;0))),1,0)</f>
        <v>0</v>
      </c>
    </row>
    <row r="33">
      <c r="A33" s="94">
        <f>IF($AZ33=0,"",28)</f>
        <v>28</v>
      </c>
      <c r="B33" s="94" t="str">
        <f t="shared" si="0"/>
        <v>张滨</v>
      </c>
      <c r="C33" s="94" t="str">
        <f t="shared" si="25"/>
        <v>管理人员</v>
      </c>
      <c r="D33" s="119">
        <f t="shared" si="26"/>
        <v>8000</v>
      </c>
      <c r="E33" s="21">
        <f t="shared" si="1"/>
        <v>0</v>
      </c>
      <c r="F33" s="118">
        <f t="shared" si="2"/>
        <v>0</v>
      </c>
      <c r="G33" s="21">
        <f t="shared" si="3"/>
        <v>8000</v>
      </c>
      <c r="H33" s="21">
        <f t="shared" si="4"/>
        <v>0</v>
      </c>
      <c r="I33" s="21">
        <f t="shared" si="5"/>
        <v>0</v>
      </c>
      <c r="J33" s="21">
        <f t="shared" si="6"/>
        <v>0</v>
      </c>
      <c r="K33" s="21">
        <f t="shared" si="7"/>
        <v>8000</v>
      </c>
      <c r="L33" s="21">
        <f t="shared" si="8"/>
        <v>20000</v>
      </c>
      <c r="M33" s="21">
        <f t="shared" si="9"/>
        <v>0</v>
      </c>
      <c r="N33" s="21">
        <f t="shared" si="10"/>
        <v>0</v>
      </c>
      <c r="O33" s="21">
        <f t="shared" si="11"/>
        <v>-12000</v>
      </c>
      <c r="P33" s="96" t="str">
        <f t="shared" si="27"/>
        <v>多发了，他欠公司</v>
      </c>
      <c r="R33" s="21">
        <f t="shared" si="12"/>
        <v>0</v>
      </c>
      <c r="S33" s="21">
        <f t="shared" si="13"/>
        <v>0</v>
      </c>
      <c r="T33" s="21">
        <f t="shared" si="14"/>
        <v>0</v>
      </c>
      <c r="U33" s="21">
        <f t="shared" si="15"/>
        <v>8000</v>
      </c>
      <c r="V33" s="21">
        <f t="shared" si="16"/>
        <v>0</v>
      </c>
      <c r="W33" s="21">
        <f t="shared" si="17"/>
        <v>0</v>
      </c>
      <c r="X33" s="21">
        <f t="shared" si="18"/>
        <v>0</v>
      </c>
      <c r="Y33" s="21">
        <f t="shared" si="19"/>
        <v>0</v>
      </c>
      <c r="Z33" s="21">
        <f t="shared" si="20"/>
        <v>0</v>
      </c>
      <c r="AA33" s="21">
        <f t="shared" si="21"/>
        <v>0</v>
      </c>
      <c r="AB33" s="21">
        <f t="shared" si="22"/>
        <v>0</v>
      </c>
      <c r="AC33" s="21">
        <f t="shared" si="23"/>
        <v>0</v>
      </c>
      <c r="AD33" s="96" t="str">
        <f t="shared" si="24"/>
        <v>⚠ 有5个月没录考勤</v>
      </c>
      <c r="AE33" s="2">
        <f t="shared" si="28"/>
        <v>202603</v>
      </c>
      <c r="AF33" s="2">
        <f t="shared" si="29"/>
        <v>999912</v>
      </c>
      <c r="AG33" s="2">
        <f t="shared" si="30"/>
        <v>45658</v>
      </c>
      <c r="AZ33" s="2">
        <f>IF(28&gt;$BA$300,0,IFERROR(MATCH(28,$BA$1:$BA$300,0),0))</f>
        <v>68</v>
      </c>
      <c r="BA33" s="2">
        <f>SUM(CA1:CA33)</f>
        <v>0</v>
      </c>
      <c r="CA33" s="2">
        <f>IF(AND(OR(_余额!$B$35="管理人员",_余额!$B$35="工人"),OR(_余额!$J$35&lt;&gt;0,_余额!$K$35&lt;&gt;0,_余额!$E$35&lt;&gt;0,_余额!$L$35&lt;&gt;0,AND(_余额!$B$35="管理人员",COUNTIFS(工资标准!$B$4:$B$303,_余额!$A$35,工资标准!$E$4:$E$303,"&gt;0")&gt;0))),1,0)</f>
        <v>0</v>
      </c>
    </row>
    <row r="34">
      <c r="A34" s="94">
        <f>IF($AZ34=0,"",29)</f>
        <v>29</v>
      </c>
      <c r="B34" s="94" t="str">
        <f t="shared" si="0"/>
        <v>张淑平</v>
      </c>
      <c r="C34" s="94" t="str">
        <f t="shared" si="25"/>
        <v>管理人员</v>
      </c>
      <c r="D34" s="119">
        <f t="shared" si="26"/>
        <v>5000</v>
      </c>
      <c r="E34" s="21">
        <f t="shared" si="1"/>
        <v>0</v>
      </c>
      <c r="F34" s="118">
        <f t="shared" si="2"/>
        <v>0</v>
      </c>
      <c r="G34" s="21">
        <f t="shared" si="3"/>
        <v>5000</v>
      </c>
      <c r="H34" s="21">
        <f t="shared" si="4"/>
        <v>0</v>
      </c>
      <c r="I34" s="21">
        <f t="shared" si="5"/>
        <v>0</v>
      </c>
      <c r="J34" s="21">
        <f t="shared" si="6"/>
        <v>0</v>
      </c>
      <c r="K34" s="21">
        <f t="shared" si="7"/>
        <v>5000</v>
      </c>
      <c r="L34" s="21">
        <f t="shared" si="8"/>
        <v>0</v>
      </c>
      <c r="M34" s="21">
        <f t="shared" si="9"/>
        <v>0</v>
      </c>
      <c r="N34" s="21">
        <f t="shared" si="10"/>
        <v>0</v>
      </c>
      <c r="O34" s="21">
        <f t="shared" si="11"/>
        <v>5000</v>
      </c>
      <c r="P34" s="96" t="str">
        <f t="shared" si="27"/>
        <v>公司还欠他</v>
      </c>
      <c r="R34" s="21">
        <f t="shared" si="12"/>
        <v>0</v>
      </c>
      <c r="S34" s="21">
        <f t="shared" si="13"/>
        <v>0</v>
      </c>
      <c r="T34" s="21">
        <f t="shared" si="14"/>
        <v>0</v>
      </c>
      <c r="U34" s="21">
        <f t="shared" si="15"/>
        <v>5000</v>
      </c>
      <c r="V34" s="21">
        <f t="shared" si="16"/>
        <v>0</v>
      </c>
      <c r="W34" s="21">
        <f t="shared" si="17"/>
        <v>0</v>
      </c>
      <c r="X34" s="21">
        <f t="shared" si="18"/>
        <v>0</v>
      </c>
      <c r="Y34" s="21">
        <f t="shared" si="19"/>
        <v>0</v>
      </c>
      <c r="Z34" s="21">
        <f t="shared" si="20"/>
        <v>0</v>
      </c>
      <c r="AA34" s="21">
        <f t="shared" si="21"/>
        <v>0</v>
      </c>
      <c r="AB34" s="21">
        <f t="shared" si="22"/>
        <v>0</v>
      </c>
      <c r="AC34" s="21">
        <f t="shared" si="23"/>
        <v>0</v>
      </c>
      <c r="AD34" s="96" t="str">
        <f t="shared" si="24"/>
        <v>⚠ 有5个月没录考勤</v>
      </c>
      <c r="AE34" s="2">
        <f t="shared" si="28"/>
        <v>202603</v>
      </c>
      <c r="AF34" s="2">
        <f t="shared" si="29"/>
        <v>999912</v>
      </c>
      <c r="AG34" s="2">
        <f t="shared" si="30"/>
        <v>45658</v>
      </c>
      <c r="AZ34" s="2">
        <f>IF(29&gt;$BA$300,0,IFERROR(MATCH(29,$BA$1:$BA$300,0),0))</f>
        <v>69</v>
      </c>
      <c r="BA34" s="2">
        <f>SUM(CA1:CA34)</f>
        <v>0</v>
      </c>
      <c r="CA34" s="2">
        <f>IF(AND(OR(_余额!$B$36="管理人员",_余额!$B$36="工人"),OR(_余额!$J$36&lt;&gt;0,_余额!$K$36&lt;&gt;0,_余额!$E$36&lt;&gt;0,_余额!$L$36&lt;&gt;0,AND(_余额!$B$36="管理人员",COUNTIFS(工资标准!$B$4:$B$303,_余额!$A$36,工资标准!$E$4:$E$303,"&gt;0")&gt;0))),1,0)</f>
        <v>0</v>
      </c>
    </row>
    <row r="35">
      <c r="A35" s="94">
        <f>IF($AZ35=0,"",30)</f>
        <v>30</v>
      </c>
      <c r="B35" s="94" t="str">
        <f t="shared" si="0"/>
        <v>聂辉</v>
      </c>
      <c r="C35" s="94" t="str">
        <f t="shared" si="25"/>
        <v>管理人员</v>
      </c>
      <c r="D35" s="119">
        <f t="shared" si="26"/>
        <v>10000</v>
      </c>
      <c r="E35" s="21">
        <f t="shared" si="1"/>
        <v>0</v>
      </c>
      <c r="F35" s="118">
        <f t="shared" si="2"/>
        <v>0</v>
      </c>
      <c r="G35" s="21">
        <f t="shared" si="3"/>
        <v>10000</v>
      </c>
      <c r="H35" s="21">
        <f t="shared" si="4"/>
        <v>0</v>
      </c>
      <c r="I35" s="21">
        <f t="shared" si="5"/>
        <v>0</v>
      </c>
      <c r="J35" s="21">
        <f t="shared" si="6"/>
        <v>0</v>
      </c>
      <c r="K35" s="21">
        <f t="shared" si="7"/>
        <v>10000</v>
      </c>
      <c r="L35" s="21">
        <f t="shared" si="8"/>
        <v>0</v>
      </c>
      <c r="M35" s="21">
        <f t="shared" si="9"/>
        <v>0</v>
      </c>
      <c r="N35" s="21">
        <f t="shared" si="10"/>
        <v>0</v>
      </c>
      <c r="O35" s="21">
        <f t="shared" si="11"/>
        <v>10000</v>
      </c>
      <c r="P35" s="96" t="str">
        <f t="shared" si="27"/>
        <v>公司还欠他</v>
      </c>
      <c r="R35" s="21">
        <f t="shared" si="12"/>
        <v>0</v>
      </c>
      <c r="S35" s="21">
        <f t="shared" si="13"/>
        <v>0</v>
      </c>
      <c r="T35" s="21">
        <f t="shared" si="14"/>
        <v>0</v>
      </c>
      <c r="U35" s="21">
        <f t="shared" si="15"/>
        <v>10000</v>
      </c>
      <c r="V35" s="21">
        <f t="shared" si="16"/>
        <v>0</v>
      </c>
      <c r="W35" s="21">
        <f t="shared" si="17"/>
        <v>0</v>
      </c>
      <c r="X35" s="21">
        <f t="shared" si="18"/>
        <v>0</v>
      </c>
      <c r="Y35" s="21">
        <f t="shared" si="19"/>
        <v>0</v>
      </c>
      <c r="Z35" s="21">
        <f t="shared" si="20"/>
        <v>0</v>
      </c>
      <c r="AA35" s="21">
        <f t="shared" si="21"/>
        <v>0</v>
      </c>
      <c r="AB35" s="21">
        <f t="shared" si="22"/>
        <v>0</v>
      </c>
      <c r="AC35" s="21">
        <f t="shared" si="23"/>
        <v>0</v>
      </c>
      <c r="AD35" s="96" t="str">
        <f t="shared" si="24"/>
        <v>⚠ 有5个月没录考勤</v>
      </c>
      <c r="AE35" s="2">
        <f t="shared" si="28"/>
        <v>202603</v>
      </c>
      <c r="AF35" s="2">
        <f t="shared" si="29"/>
        <v>999912</v>
      </c>
      <c r="AG35" s="2">
        <f t="shared" si="30"/>
        <v>45658</v>
      </c>
      <c r="AZ35" s="2">
        <f>IF(30&gt;$BA$300,0,IFERROR(MATCH(30,$BA$1:$BA$300,0),0))</f>
        <v>70</v>
      </c>
      <c r="BA35" s="2">
        <f>SUM(CA1:CA35)</f>
        <v>0</v>
      </c>
      <c r="CA35" s="2">
        <f>IF(AND(OR(_余额!$B$37="管理人员",_余额!$B$37="工人"),OR(_余额!$J$37&lt;&gt;0,_余额!$K$37&lt;&gt;0,_余额!$E$37&lt;&gt;0,_余额!$L$37&lt;&gt;0,AND(_余额!$B$37="管理人员",COUNTIFS(工资标准!$B$4:$B$303,_余额!$A$37,工资标准!$E$4:$E$303,"&gt;0")&gt;0))),1,0)</f>
        <v>0</v>
      </c>
    </row>
    <row r="36">
      <c r="A36" s="94">
        <f>IF($AZ36=0,"",31)</f>
        <v>31</v>
      </c>
      <c r="B36" s="94" t="str">
        <f t="shared" si="0"/>
        <v>王伟</v>
      </c>
      <c r="C36" s="94" t="str">
        <f t="shared" si="25"/>
        <v>管理人员</v>
      </c>
      <c r="D36" s="119">
        <f t="shared" si="26"/>
        <v>10000</v>
      </c>
      <c r="E36" s="21">
        <f t="shared" si="1"/>
        <v>0</v>
      </c>
      <c r="F36" s="118">
        <f t="shared" si="2"/>
        <v>0</v>
      </c>
      <c r="G36" s="21">
        <f t="shared" si="3"/>
        <v>10000</v>
      </c>
      <c r="H36" s="21">
        <f t="shared" si="4"/>
        <v>0</v>
      </c>
      <c r="I36" s="21">
        <f t="shared" si="5"/>
        <v>0</v>
      </c>
      <c r="J36" s="21">
        <f t="shared" si="6"/>
        <v>0</v>
      </c>
      <c r="K36" s="21">
        <f t="shared" si="7"/>
        <v>10000</v>
      </c>
      <c r="L36" s="21">
        <f t="shared" si="8"/>
        <v>5000</v>
      </c>
      <c r="M36" s="21">
        <f t="shared" si="9"/>
        <v>0</v>
      </c>
      <c r="N36" s="21">
        <f t="shared" si="10"/>
        <v>0</v>
      </c>
      <c r="O36" s="21">
        <f t="shared" si="11"/>
        <v>5000</v>
      </c>
      <c r="P36" s="96" t="str">
        <f t="shared" si="27"/>
        <v>公司还欠他</v>
      </c>
      <c r="R36" s="21">
        <f t="shared" si="12"/>
        <v>0</v>
      </c>
      <c r="S36" s="21">
        <f t="shared" si="13"/>
        <v>0</v>
      </c>
      <c r="T36" s="21">
        <f t="shared" si="14"/>
        <v>0</v>
      </c>
      <c r="U36" s="21">
        <f t="shared" si="15"/>
        <v>10000</v>
      </c>
      <c r="V36" s="21">
        <f t="shared" si="16"/>
        <v>0</v>
      </c>
      <c r="W36" s="21">
        <f t="shared" si="17"/>
        <v>0</v>
      </c>
      <c r="X36" s="21">
        <f t="shared" si="18"/>
        <v>0</v>
      </c>
      <c r="Y36" s="21">
        <f t="shared" si="19"/>
        <v>0</v>
      </c>
      <c r="Z36" s="21">
        <f t="shared" si="20"/>
        <v>0</v>
      </c>
      <c r="AA36" s="21">
        <f t="shared" si="21"/>
        <v>0</v>
      </c>
      <c r="AB36" s="21">
        <f t="shared" si="22"/>
        <v>0</v>
      </c>
      <c r="AC36" s="21">
        <f t="shared" si="23"/>
        <v>0</v>
      </c>
      <c r="AD36" s="96" t="str">
        <f t="shared" si="24"/>
        <v>⚠ 有5个月没录考勤</v>
      </c>
      <c r="AE36" s="2">
        <f t="shared" si="28"/>
        <v>202603</v>
      </c>
      <c r="AF36" s="2">
        <f t="shared" si="29"/>
        <v>999912</v>
      </c>
      <c r="AG36" s="2">
        <f t="shared" si="30"/>
        <v>45658</v>
      </c>
      <c r="AZ36" s="2">
        <f>IF(31&gt;$BA$300,0,IFERROR(MATCH(31,$BA$1:$BA$300,0),0))</f>
        <v>71</v>
      </c>
      <c r="BA36" s="2">
        <f>SUM(CA1:CA36)</f>
        <v>0</v>
      </c>
      <c r="CA36" s="2">
        <f>IF(AND(OR(_余额!$B$38="管理人员",_余额!$B$38="工人"),OR(_余额!$J$38&lt;&gt;0,_余额!$K$38&lt;&gt;0,_余额!$E$38&lt;&gt;0,_余额!$L$38&lt;&gt;0,AND(_余额!$B$38="管理人员",COUNTIFS(工资标准!$B$4:$B$303,_余额!$A$38,工资标准!$E$4:$E$303,"&gt;0")&gt;0))),1,0)</f>
        <v>0</v>
      </c>
    </row>
    <row r="37">
      <c r="A37" s="94">
        <f>IF($AZ37=0,"",32)</f>
        <v>32</v>
      </c>
      <c r="B37" s="94" t="str">
        <f t="shared" si="0"/>
        <v>姚俊强</v>
      </c>
      <c r="C37" s="94" t="str">
        <f t="shared" si="25"/>
        <v>管理人员</v>
      </c>
      <c r="D37" s="119">
        <f t="shared" si="26"/>
        <v>4500</v>
      </c>
      <c r="E37" s="21">
        <f t="shared" si="1"/>
        <v>0</v>
      </c>
      <c r="F37" s="118">
        <f t="shared" si="2"/>
        <v>0</v>
      </c>
      <c r="G37" s="21">
        <f t="shared" si="3"/>
        <v>4500</v>
      </c>
      <c r="H37" s="21">
        <f t="shared" si="4"/>
        <v>0</v>
      </c>
      <c r="I37" s="21">
        <f t="shared" si="5"/>
        <v>0</v>
      </c>
      <c r="J37" s="21">
        <f t="shared" si="6"/>
        <v>0</v>
      </c>
      <c r="K37" s="21">
        <f t="shared" si="7"/>
        <v>4500</v>
      </c>
      <c r="L37" s="21">
        <f t="shared" si="8"/>
        <v>0</v>
      </c>
      <c r="M37" s="21">
        <f t="shared" si="9"/>
        <v>0</v>
      </c>
      <c r="N37" s="21">
        <f t="shared" si="10"/>
        <v>0</v>
      </c>
      <c r="O37" s="21">
        <f t="shared" si="11"/>
        <v>4500</v>
      </c>
      <c r="P37" s="96" t="str">
        <f t="shared" si="27"/>
        <v>公司还欠他</v>
      </c>
      <c r="R37" s="21">
        <f t="shared" si="12"/>
        <v>0</v>
      </c>
      <c r="S37" s="21">
        <f t="shared" si="13"/>
        <v>0</v>
      </c>
      <c r="T37" s="21">
        <f t="shared" si="14"/>
        <v>0</v>
      </c>
      <c r="U37" s="21">
        <f t="shared" si="15"/>
        <v>4500</v>
      </c>
      <c r="V37" s="21">
        <f t="shared" si="16"/>
        <v>0</v>
      </c>
      <c r="W37" s="21">
        <f t="shared" si="17"/>
        <v>0</v>
      </c>
      <c r="X37" s="21">
        <f t="shared" si="18"/>
        <v>0</v>
      </c>
      <c r="Y37" s="21">
        <f t="shared" si="19"/>
        <v>0</v>
      </c>
      <c r="Z37" s="21">
        <f t="shared" si="20"/>
        <v>0</v>
      </c>
      <c r="AA37" s="21">
        <f t="shared" si="21"/>
        <v>0</v>
      </c>
      <c r="AB37" s="21">
        <f t="shared" si="22"/>
        <v>0</v>
      </c>
      <c r="AC37" s="21">
        <f t="shared" si="23"/>
        <v>0</v>
      </c>
      <c r="AD37" s="96" t="str">
        <f t="shared" si="24"/>
        <v>⚠ 有5个月没录考勤</v>
      </c>
      <c r="AE37" s="2">
        <f t="shared" si="28"/>
        <v>202603</v>
      </c>
      <c r="AF37" s="2">
        <f t="shared" si="29"/>
        <v>999912</v>
      </c>
      <c r="AG37" s="2">
        <f t="shared" si="30"/>
        <v>45658</v>
      </c>
      <c r="AZ37" s="2">
        <f>IF(32&gt;$BA$300,0,IFERROR(MATCH(32,$BA$1:$BA$300,0),0))</f>
        <v>72</v>
      </c>
      <c r="BA37" s="2">
        <f>SUM(CA1:CA37)</f>
        <v>0</v>
      </c>
      <c r="CA37" s="2">
        <f>IF(AND(OR(_余额!$B$39="管理人员",_余额!$B$39="工人"),OR(_余额!$J$39&lt;&gt;0,_余额!$K$39&lt;&gt;0,_余额!$E$39&lt;&gt;0,_余额!$L$39&lt;&gt;0,AND(_余额!$B$39="管理人员",COUNTIFS(工资标准!$B$4:$B$303,_余额!$A$39,工资标准!$E$4:$E$303,"&gt;0")&gt;0))),1,0)</f>
        <v>0</v>
      </c>
    </row>
    <row r="38">
      <c r="A38" s="94">
        <f>IF($AZ38=0,"",33)</f>
        <v>33</v>
      </c>
      <c r="B38" s="94" t="str">
        <f t="shared" si="0"/>
        <v>陈德银</v>
      </c>
      <c r="C38" s="94" t="str">
        <f t="shared" si="25"/>
        <v>工人</v>
      </c>
      <c r="D38" s="119">
        <f t="shared" si="26"/>
        <v>260</v>
      </c>
      <c r="E38" s="21">
        <f t="shared" si="1"/>
        <v>0</v>
      </c>
      <c r="F38" s="118">
        <f t="shared" si="2"/>
        <v>0</v>
      </c>
      <c r="G38" s="21">
        <f t="shared" si="3"/>
        <v>0</v>
      </c>
      <c r="H38" s="21">
        <f t="shared" si="4"/>
        <v>0</v>
      </c>
      <c r="I38" s="21">
        <f t="shared" si="5"/>
        <v>0</v>
      </c>
      <c r="J38" s="21">
        <f t="shared" si="6"/>
        <v>0</v>
      </c>
      <c r="K38" s="21">
        <f t="shared" si="7"/>
        <v>0</v>
      </c>
      <c r="L38" s="21">
        <f t="shared" si="8"/>
        <v>1040</v>
      </c>
      <c r="M38" s="21">
        <f t="shared" si="9"/>
        <v>0</v>
      </c>
      <c r="N38" s="21">
        <f t="shared" si="10"/>
        <v>0</v>
      </c>
      <c r="O38" s="21">
        <f t="shared" si="11"/>
        <v>-1040</v>
      </c>
      <c r="P38" s="96" t="str">
        <f t="shared" si="27"/>
        <v>多发了，他欠公司</v>
      </c>
      <c r="R38" s="21">
        <f t="shared" si="12"/>
        <v>0</v>
      </c>
      <c r="S38" s="21">
        <f t="shared" si="13"/>
        <v>0</v>
      </c>
      <c r="T38" s="21">
        <f t="shared" si="14"/>
        <v>0</v>
      </c>
      <c r="U38" s="21">
        <f t="shared" si="15"/>
        <v>0</v>
      </c>
      <c r="V38" s="21">
        <f t="shared" si="16"/>
        <v>0</v>
      </c>
      <c r="W38" s="21">
        <f t="shared" si="17"/>
        <v>0</v>
      </c>
      <c r="X38" s="21">
        <f t="shared" si="18"/>
        <v>0</v>
      </c>
      <c r="Y38" s="21">
        <f t="shared" si="19"/>
        <v>0</v>
      </c>
      <c r="Z38" s="21">
        <f t="shared" si="20"/>
        <v>0</v>
      </c>
      <c r="AA38" s="21">
        <f t="shared" si="21"/>
        <v>0</v>
      </c>
      <c r="AB38" s="21">
        <f t="shared" si="22"/>
        <v>0</v>
      </c>
      <c r="AC38" s="21">
        <f t="shared" si="23"/>
        <v>0</v>
      </c>
      <c r="AD38" s="96">
        <f t="shared" si="24"/>
      </c>
      <c r="AE38" s="2">
        <f t="shared" si="28"/>
        <v>202603</v>
      </c>
      <c r="AF38" s="2">
        <f t="shared" si="29"/>
        <v>999912</v>
      </c>
      <c r="AG38" s="2">
        <f t="shared" si="30"/>
        <v>45658</v>
      </c>
      <c r="AZ38" s="2">
        <f>IF(33&gt;$BA$300,0,IFERROR(MATCH(33,$BA$1:$BA$300,0),0))</f>
        <v>73</v>
      </c>
      <c r="BA38" s="2">
        <f>SUM(CA1:CA38)</f>
        <v>0</v>
      </c>
      <c r="CA38" s="2">
        <f>IF(AND(OR(_余额!$B$40="管理人员",_余额!$B$40="工人"),OR(_余额!$J$40&lt;&gt;0,_余额!$K$40&lt;&gt;0,_余额!$E$40&lt;&gt;0,_余额!$L$40&lt;&gt;0,AND(_余额!$B$40="管理人员",COUNTIFS(工资标准!$B$4:$B$303,_余额!$A$40,工资标准!$E$4:$E$303,"&gt;0")&gt;0))),1,0)</f>
        <v>0</v>
      </c>
    </row>
    <row r="39">
      <c r="A39" s="94">
        <f>IF($AZ39=0,"",34)</f>
        <v>34</v>
      </c>
      <c r="B39" s="94" t="str">
        <f t="shared" si="0"/>
        <v>邓付贞</v>
      </c>
      <c r="C39" s="94" t="str">
        <f t="shared" si="25"/>
        <v>工人</v>
      </c>
      <c r="D39" s="119">
        <f t="shared" si="26"/>
        <v>400</v>
      </c>
      <c r="E39" s="21">
        <f t="shared" si="1"/>
        <v>0</v>
      </c>
      <c r="F39" s="118">
        <f t="shared" si="2"/>
        <v>0</v>
      </c>
      <c r="G39" s="21">
        <f t="shared" si="3"/>
        <v>0</v>
      </c>
      <c r="H39" s="21">
        <f t="shared" si="4"/>
        <v>0</v>
      </c>
      <c r="I39" s="21">
        <f t="shared" si="5"/>
        <v>0</v>
      </c>
      <c r="J39" s="21">
        <f t="shared" si="6"/>
        <v>0</v>
      </c>
      <c r="K39" s="21">
        <f t="shared" si="7"/>
        <v>0</v>
      </c>
      <c r="L39" s="21">
        <f t="shared" si="8"/>
        <v>5000</v>
      </c>
      <c r="M39" s="21">
        <f t="shared" si="9"/>
        <v>0</v>
      </c>
      <c r="N39" s="21">
        <f t="shared" si="10"/>
        <v>0</v>
      </c>
      <c r="O39" s="21">
        <f t="shared" si="11"/>
        <v>-5000</v>
      </c>
      <c r="P39" s="96" t="str">
        <f t="shared" si="27"/>
        <v>多发了，他欠公司</v>
      </c>
      <c r="R39" s="21">
        <f t="shared" si="12"/>
        <v>0</v>
      </c>
      <c r="S39" s="21">
        <f t="shared" si="13"/>
        <v>0</v>
      </c>
      <c r="T39" s="21">
        <f t="shared" si="14"/>
        <v>0</v>
      </c>
      <c r="U39" s="21">
        <f t="shared" si="15"/>
        <v>0</v>
      </c>
      <c r="V39" s="21">
        <f t="shared" si="16"/>
        <v>0</v>
      </c>
      <c r="W39" s="21">
        <f t="shared" si="17"/>
        <v>0</v>
      </c>
      <c r="X39" s="21">
        <f t="shared" si="18"/>
        <v>0</v>
      </c>
      <c r="Y39" s="21">
        <f t="shared" si="19"/>
        <v>0</v>
      </c>
      <c r="Z39" s="21">
        <f t="shared" si="20"/>
        <v>0</v>
      </c>
      <c r="AA39" s="21">
        <f t="shared" si="21"/>
        <v>0</v>
      </c>
      <c r="AB39" s="21">
        <f t="shared" si="22"/>
        <v>0</v>
      </c>
      <c r="AC39" s="21">
        <f t="shared" si="23"/>
        <v>0</v>
      </c>
      <c r="AD39" s="96">
        <f t="shared" si="24"/>
      </c>
      <c r="AE39" s="2">
        <f t="shared" si="28"/>
        <v>202603</v>
      </c>
      <c r="AF39" s="2">
        <f t="shared" si="29"/>
        <v>999912</v>
      </c>
      <c r="AG39" s="2">
        <f t="shared" si="30"/>
        <v>45658</v>
      </c>
      <c r="AZ39" s="2">
        <f>IF(34&gt;$BA$300,0,IFERROR(MATCH(34,$BA$1:$BA$300,0),0))</f>
        <v>74</v>
      </c>
      <c r="BA39" s="2">
        <f>SUM(CA1:CA39)</f>
        <v>0</v>
      </c>
      <c r="CA39" s="2">
        <f>IF(AND(OR(_余额!$B$41="管理人员",_余额!$B$41="工人"),OR(_余额!$J$41&lt;&gt;0,_余额!$K$41&lt;&gt;0,_余额!$E$41&lt;&gt;0,_余额!$L$41&lt;&gt;0,AND(_余额!$B$41="管理人员",COUNTIFS(工资标准!$B$4:$B$303,_余额!$A$41,工资标准!$E$4:$E$303,"&gt;0")&gt;0))),1,0)</f>
        <v>0</v>
      </c>
    </row>
    <row r="40">
      <c r="A40" s="94">
        <f>IF($AZ40=0,"",35)</f>
        <v>35</v>
      </c>
      <c r="B40" s="94" t="str">
        <f t="shared" si="0"/>
        <v>徐平</v>
      </c>
      <c r="C40" s="94" t="str">
        <f t="shared" si="25"/>
        <v>工人</v>
      </c>
      <c r="D40" s="119">
        <f t="shared" si="26"/>
        <v>350</v>
      </c>
      <c r="E40" s="21">
        <f t="shared" si="1"/>
        <v>0</v>
      </c>
      <c r="F40" s="118">
        <f t="shared" si="2"/>
        <v>5.5</v>
      </c>
      <c r="G40" s="21">
        <f t="shared" si="3"/>
        <v>1925</v>
      </c>
      <c r="H40" s="21">
        <f t="shared" si="4"/>
        <v>0</v>
      </c>
      <c r="I40" s="21">
        <f t="shared" si="5"/>
        <v>0</v>
      </c>
      <c r="J40" s="21">
        <f t="shared" si="6"/>
        <v>0</v>
      </c>
      <c r="K40" s="21">
        <f t="shared" si="7"/>
        <v>1925</v>
      </c>
      <c r="L40" s="21">
        <f t="shared" si="8"/>
        <v>0</v>
      </c>
      <c r="M40" s="21">
        <f t="shared" si="9"/>
        <v>0</v>
      </c>
      <c r="N40" s="21">
        <f t="shared" si="10"/>
        <v>0</v>
      </c>
      <c r="O40" s="21">
        <f t="shared" si="11"/>
        <v>1925</v>
      </c>
      <c r="P40" s="96" t="str">
        <f t="shared" si="27"/>
        <v>公司还欠他</v>
      </c>
      <c r="R40" s="21">
        <f t="shared" si="12"/>
        <v>0</v>
      </c>
      <c r="S40" s="21">
        <f t="shared" si="13"/>
        <v>0</v>
      </c>
      <c r="T40" s="21">
        <f t="shared" si="14"/>
        <v>1925</v>
      </c>
      <c r="U40" s="21">
        <f t="shared" si="15"/>
        <v>0</v>
      </c>
      <c r="V40" s="21">
        <f t="shared" si="16"/>
        <v>0</v>
      </c>
      <c r="W40" s="21">
        <f t="shared" si="17"/>
        <v>0</v>
      </c>
      <c r="X40" s="21">
        <f t="shared" si="18"/>
        <v>0</v>
      </c>
      <c r="Y40" s="21">
        <f t="shared" si="19"/>
        <v>0</v>
      </c>
      <c r="Z40" s="21">
        <f t="shared" si="20"/>
        <v>0</v>
      </c>
      <c r="AA40" s="21">
        <f t="shared" si="21"/>
        <v>0</v>
      </c>
      <c r="AB40" s="21">
        <f t="shared" si="22"/>
        <v>0</v>
      </c>
      <c r="AC40" s="21">
        <f t="shared" si="23"/>
        <v>0</v>
      </c>
      <c r="AD40" s="96">
        <f t="shared" si="24"/>
      </c>
      <c r="AE40" s="2">
        <f t="shared" si="28"/>
        <v>202603</v>
      </c>
      <c r="AF40" s="2">
        <f t="shared" si="29"/>
        <v>999912</v>
      </c>
      <c r="AG40" s="2">
        <f t="shared" si="30"/>
        <v>45658</v>
      </c>
      <c r="AZ40" s="2">
        <f>IF(35&gt;$BA$300,0,IFERROR(MATCH(35,$BA$1:$BA$300,0),0))</f>
        <v>76</v>
      </c>
      <c r="BA40" s="2">
        <f>SUM(CA1:CA40)</f>
        <v>0</v>
      </c>
      <c r="CA40" s="2">
        <f>IF(AND(OR(_余额!$B$42="管理人员",_余额!$B$42="工人"),OR(_余额!$J$42&lt;&gt;0,_余额!$K$42&lt;&gt;0,_余额!$E$42&lt;&gt;0,_余额!$L$42&lt;&gt;0,AND(_余额!$B$42="管理人员",COUNTIFS(工资标准!$B$4:$B$303,_余额!$A$42,工资标准!$E$4:$E$303,"&gt;0")&gt;0))),1,0)</f>
        <v>0</v>
      </c>
    </row>
    <row r="41">
      <c r="A41" s="94">
        <f>IF($AZ41=0,"",36)</f>
        <v>36</v>
      </c>
      <c r="B41" s="94" t="str">
        <f t="shared" si="0"/>
        <v>朱俊英</v>
      </c>
      <c r="C41" s="94" t="str">
        <f t="shared" si="25"/>
        <v>工人</v>
      </c>
      <c r="D41" s="119">
        <f t="shared" si="26"/>
        <v>240</v>
      </c>
      <c r="E41" s="21">
        <f t="shared" si="1"/>
        <v>0</v>
      </c>
      <c r="F41" s="118">
        <f t="shared" si="2"/>
        <v>5.5</v>
      </c>
      <c r="G41" s="21">
        <f t="shared" si="3"/>
        <v>1320</v>
      </c>
      <c r="H41" s="21">
        <f t="shared" si="4"/>
        <v>0</v>
      </c>
      <c r="I41" s="21">
        <f t="shared" si="5"/>
        <v>0</v>
      </c>
      <c r="J41" s="21">
        <f t="shared" si="6"/>
        <v>0</v>
      </c>
      <c r="K41" s="21">
        <f t="shared" si="7"/>
        <v>1320</v>
      </c>
      <c r="L41" s="21">
        <f t="shared" si="8"/>
        <v>0</v>
      </c>
      <c r="M41" s="21">
        <f t="shared" si="9"/>
        <v>0</v>
      </c>
      <c r="N41" s="21">
        <f t="shared" si="10"/>
        <v>0</v>
      </c>
      <c r="O41" s="21">
        <f t="shared" si="11"/>
        <v>1320</v>
      </c>
      <c r="P41" s="96" t="str">
        <f t="shared" si="27"/>
        <v>公司还欠他</v>
      </c>
      <c r="R41" s="21">
        <f t="shared" si="12"/>
        <v>0</v>
      </c>
      <c r="S41" s="21">
        <f t="shared" si="13"/>
        <v>0</v>
      </c>
      <c r="T41" s="21">
        <f t="shared" si="14"/>
        <v>1320</v>
      </c>
      <c r="U41" s="21">
        <f t="shared" si="15"/>
        <v>0</v>
      </c>
      <c r="V41" s="21">
        <f t="shared" si="16"/>
        <v>0</v>
      </c>
      <c r="W41" s="21">
        <f t="shared" si="17"/>
        <v>0</v>
      </c>
      <c r="X41" s="21">
        <f t="shared" si="18"/>
        <v>0</v>
      </c>
      <c r="Y41" s="21">
        <f t="shared" si="19"/>
        <v>0</v>
      </c>
      <c r="Z41" s="21">
        <f t="shared" si="20"/>
        <v>0</v>
      </c>
      <c r="AA41" s="21">
        <f t="shared" si="21"/>
        <v>0</v>
      </c>
      <c r="AB41" s="21">
        <f t="shared" si="22"/>
        <v>0</v>
      </c>
      <c r="AC41" s="21">
        <f t="shared" si="23"/>
        <v>0</v>
      </c>
      <c r="AD41" s="96">
        <f t="shared" si="24"/>
      </c>
      <c r="AE41" s="2">
        <f t="shared" si="28"/>
        <v>202603</v>
      </c>
      <c r="AF41" s="2">
        <f t="shared" si="29"/>
        <v>999912</v>
      </c>
      <c r="AG41" s="2">
        <f t="shared" si="30"/>
        <v>45658</v>
      </c>
      <c r="AZ41" s="2">
        <f>IF(36&gt;$BA$300,0,IFERROR(MATCH(36,$BA$1:$BA$300,0),0))</f>
        <v>77</v>
      </c>
      <c r="BA41" s="2">
        <f>SUM(CA1:CA41)</f>
        <v>1</v>
      </c>
      <c r="CA41" s="2">
        <f>IF(AND(OR(_余额!$B$43="管理人员",_余额!$B$43="工人"),OR(_余额!$J$43&lt;&gt;0,_余额!$K$43&lt;&gt;0,_余额!$E$43&lt;&gt;0,_余额!$L$43&lt;&gt;0,AND(_余额!$B$43="管理人员",COUNTIFS(工资标准!$B$4:$B$303,_余额!$A$43,工资标准!$E$4:$E$303,"&gt;0")&gt;0))),1,0)</f>
        <v>1</v>
      </c>
    </row>
    <row r="42">
      <c r="A42" s="94">
        <f>IF($AZ42=0,"",37)</f>
        <v>37</v>
      </c>
      <c r="B42" s="94" t="str">
        <f t="shared" si="0"/>
        <v>彭海飞</v>
      </c>
      <c r="C42" s="94" t="str">
        <f t="shared" si="25"/>
        <v>工人</v>
      </c>
      <c r="D42" s="119">
        <f t="shared" si="26"/>
        <v>350</v>
      </c>
      <c r="E42" s="21">
        <f t="shared" si="1"/>
        <v>0</v>
      </c>
      <c r="F42" s="118">
        <f t="shared" si="2"/>
        <v>5.5</v>
      </c>
      <c r="G42" s="21">
        <f t="shared" si="3"/>
        <v>1925</v>
      </c>
      <c r="H42" s="21">
        <f t="shared" si="4"/>
        <v>0</v>
      </c>
      <c r="I42" s="21">
        <f t="shared" si="5"/>
        <v>0</v>
      </c>
      <c r="J42" s="21">
        <f t="shared" si="6"/>
        <v>0</v>
      </c>
      <c r="K42" s="21">
        <f t="shared" si="7"/>
        <v>1925</v>
      </c>
      <c r="L42" s="21">
        <f t="shared" si="8"/>
        <v>0</v>
      </c>
      <c r="M42" s="21">
        <f t="shared" si="9"/>
        <v>0</v>
      </c>
      <c r="N42" s="21">
        <f t="shared" si="10"/>
        <v>0</v>
      </c>
      <c r="O42" s="21">
        <f t="shared" si="11"/>
        <v>1925</v>
      </c>
      <c r="P42" s="96" t="str">
        <f t="shared" si="27"/>
        <v>公司还欠他</v>
      </c>
      <c r="R42" s="21">
        <f t="shared" si="12"/>
        <v>0</v>
      </c>
      <c r="S42" s="21">
        <f t="shared" si="13"/>
        <v>0</v>
      </c>
      <c r="T42" s="21">
        <f t="shared" si="14"/>
        <v>1925</v>
      </c>
      <c r="U42" s="21">
        <f t="shared" si="15"/>
        <v>0</v>
      </c>
      <c r="V42" s="21">
        <f t="shared" si="16"/>
        <v>0</v>
      </c>
      <c r="W42" s="21">
        <f t="shared" si="17"/>
        <v>0</v>
      </c>
      <c r="X42" s="21">
        <f t="shared" si="18"/>
        <v>0</v>
      </c>
      <c r="Y42" s="21">
        <f t="shared" si="19"/>
        <v>0</v>
      </c>
      <c r="Z42" s="21">
        <f t="shared" si="20"/>
        <v>0</v>
      </c>
      <c r="AA42" s="21">
        <f t="shared" si="21"/>
        <v>0</v>
      </c>
      <c r="AB42" s="21">
        <f t="shared" si="22"/>
        <v>0</v>
      </c>
      <c r="AC42" s="21">
        <f t="shared" si="23"/>
        <v>0</v>
      </c>
      <c r="AD42" s="96">
        <f t="shared" si="24"/>
      </c>
      <c r="AE42" s="2">
        <f t="shared" si="28"/>
        <v>202603</v>
      </c>
      <c r="AF42" s="2">
        <f t="shared" si="29"/>
        <v>999912</v>
      </c>
      <c r="AG42" s="2">
        <f t="shared" si="30"/>
        <v>45658</v>
      </c>
      <c r="AZ42" s="2">
        <f>IF(37&gt;$BA$300,0,IFERROR(MATCH(37,$BA$1:$BA$300,0),0))</f>
        <v>78</v>
      </c>
      <c r="BA42" s="2">
        <f>SUM(CA1:CA42)</f>
        <v>2</v>
      </c>
      <c r="CA42" s="2">
        <f>IF(AND(OR(_余额!$B$44="管理人员",_余额!$B$44="工人"),OR(_余额!$J$44&lt;&gt;0,_余额!$K$44&lt;&gt;0,_余额!$E$44&lt;&gt;0,_余额!$L$44&lt;&gt;0,AND(_余额!$B$44="管理人员",COUNTIFS(工资标准!$B$4:$B$303,_余额!$A$44,工资标准!$E$4:$E$303,"&gt;0")&gt;0))),1,0)</f>
        <v>1</v>
      </c>
    </row>
    <row r="43">
      <c r="A43" s="94">
        <f>IF($AZ43=0,"",38)</f>
        <v>38</v>
      </c>
      <c r="B43" s="94" t="str">
        <f t="shared" si="0"/>
        <v>钟磊</v>
      </c>
      <c r="C43" s="94" t="str">
        <f t="shared" si="25"/>
        <v>工人</v>
      </c>
      <c r="D43" s="119">
        <f t="shared" si="26"/>
        <v>300</v>
      </c>
      <c r="E43" s="21">
        <f t="shared" si="1"/>
        <v>0</v>
      </c>
      <c r="F43" s="118">
        <f t="shared" si="2"/>
        <v>5.5</v>
      </c>
      <c r="G43" s="21">
        <f t="shared" si="3"/>
        <v>1650</v>
      </c>
      <c r="H43" s="21">
        <f t="shared" si="4"/>
        <v>0</v>
      </c>
      <c r="I43" s="21">
        <f t="shared" si="5"/>
        <v>0</v>
      </c>
      <c r="J43" s="21">
        <f t="shared" si="6"/>
        <v>0</v>
      </c>
      <c r="K43" s="21">
        <f t="shared" si="7"/>
        <v>1650</v>
      </c>
      <c r="L43" s="21">
        <f t="shared" si="8"/>
        <v>0</v>
      </c>
      <c r="M43" s="21">
        <f t="shared" si="9"/>
        <v>0</v>
      </c>
      <c r="N43" s="21">
        <f t="shared" si="10"/>
        <v>0</v>
      </c>
      <c r="O43" s="21">
        <f t="shared" si="11"/>
        <v>1650</v>
      </c>
      <c r="P43" s="96" t="str">
        <f t="shared" si="27"/>
        <v>公司还欠他</v>
      </c>
      <c r="R43" s="21">
        <f t="shared" si="12"/>
        <v>0</v>
      </c>
      <c r="S43" s="21">
        <f t="shared" si="13"/>
        <v>0</v>
      </c>
      <c r="T43" s="21">
        <f t="shared" si="14"/>
        <v>1650</v>
      </c>
      <c r="U43" s="21">
        <f t="shared" si="15"/>
        <v>0</v>
      </c>
      <c r="V43" s="21">
        <f t="shared" si="16"/>
        <v>0</v>
      </c>
      <c r="W43" s="21">
        <f t="shared" si="17"/>
        <v>0</v>
      </c>
      <c r="X43" s="21">
        <f t="shared" si="18"/>
        <v>0</v>
      </c>
      <c r="Y43" s="21">
        <f t="shared" si="19"/>
        <v>0</v>
      </c>
      <c r="Z43" s="21">
        <f t="shared" si="20"/>
        <v>0</v>
      </c>
      <c r="AA43" s="21">
        <f t="shared" si="21"/>
        <v>0</v>
      </c>
      <c r="AB43" s="21">
        <f t="shared" si="22"/>
        <v>0</v>
      </c>
      <c r="AC43" s="21">
        <f t="shared" si="23"/>
        <v>0</v>
      </c>
      <c r="AD43" s="96">
        <f t="shared" si="24"/>
      </c>
      <c r="AE43" s="2">
        <f t="shared" si="28"/>
        <v>202603</v>
      </c>
      <c r="AF43" s="2">
        <f t="shared" si="29"/>
        <v>999912</v>
      </c>
      <c r="AG43" s="2">
        <f t="shared" si="30"/>
        <v>45658</v>
      </c>
      <c r="AZ43" s="2">
        <f>IF(38&gt;$BA$300,0,IFERROR(MATCH(38,$BA$1:$BA$300,0),0))</f>
        <v>79</v>
      </c>
      <c r="BA43" s="2">
        <f>SUM(CA1:CA43)</f>
        <v>3</v>
      </c>
      <c r="CA43" s="2">
        <f>IF(AND(OR(_余额!$B$45="管理人员",_余额!$B$45="工人"),OR(_余额!$J$45&lt;&gt;0,_余额!$K$45&lt;&gt;0,_余额!$E$45&lt;&gt;0,_余额!$L$45&lt;&gt;0,AND(_余额!$B$45="管理人员",COUNTIFS(工资标准!$B$4:$B$303,_余额!$A$45,工资标准!$E$4:$E$303,"&gt;0")&gt;0))),1,0)</f>
        <v>1</v>
      </c>
    </row>
    <row r="44">
      <c r="A44" s="94">
        <f>IF($AZ44=0,"",39)</f>
        <v>39</v>
      </c>
      <c r="B44" s="94" t="str">
        <f t="shared" si="0"/>
        <v>朱博文</v>
      </c>
      <c r="C44" s="94" t="str">
        <f t="shared" si="25"/>
        <v>管理人员</v>
      </c>
      <c r="D44" s="119">
        <f t="shared" si="26"/>
      </c>
      <c r="E44" s="21">
        <f t="shared" si="1"/>
        <v>0</v>
      </c>
      <c r="F44" s="118">
        <f t="shared" si="2"/>
        <v>0</v>
      </c>
      <c r="G44" s="21">
        <f t="shared" si="3"/>
        <v>0</v>
      </c>
      <c r="H44" s="21">
        <f t="shared" si="4"/>
        <v>0</v>
      </c>
      <c r="I44" s="21">
        <f t="shared" si="5"/>
        <v>0</v>
      </c>
      <c r="J44" s="21">
        <f t="shared" si="6"/>
        <v>0</v>
      </c>
      <c r="K44" s="21">
        <f t="shared" si="7"/>
        <v>0</v>
      </c>
      <c r="L44" s="21">
        <f t="shared" si="8"/>
        <v>5500</v>
      </c>
      <c r="M44" s="21">
        <f t="shared" si="9"/>
        <v>0</v>
      </c>
      <c r="N44" s="21">
        <f t="shared" si="10"/>
        <v>0</v>
      </c>
      <c r="O44" s="21">
        <f t="shared" si="11"/>
        <v>-5500</v>
      </c>
      <c r="P44" s="96" t="str">
        <f t="shared" si="27"/>
        <v>多发了，他欠公司</v>
      </c>
      <c r="R44" s="21">
        <f t="shared" si="12"/>
        <v>0</v>
      </c>
      <c r="S44" s="21">
        <f t="shared" si="13"/>
        <v>0</v>
      </c>
      <c r="T44" s="21">
        <f t="shared" si="14"/>
        <v>0</v>
      </c>
      <c r="U44" s="21">
        <f t="shared" si="15"/>
        <v>0</v>
      </c>
      <c r="V44" s="21">
        <f t="shared" si="16"/>
        <v>0</v>
      </c>
      <c r="W44" s="21">
        <f t="shared" si="17"/>
        <v>0</v>
      </c>
      <c r="X44" s="21">
        <f t="shared" si="18"/>
        <v>0</v>
      </c>
      <c r="Y44" s="21">
        <f t="shared" si="19"/>
        <v>0</v>
      </c>
      <c r="Z44" s="21">
        <f t="shared" si="20"/>
        <v>0</v>
      </c>
      <c r="AA44" s="21">
        <f t="shared" si="21"/>
        <v>0</v>
      </c>
      <c r="AB44" s="21">
        <f t="shared" si="22"/>
        <v>0</v>
      </c>
      <c r="AC44" s="21">
        <f t="shared" si="23"/>
        <v>0</v>
      </c>
      <c r="AD44" s="96">
        <f t="shared" si="24"/>
      </c>
      <c r="AE44" s="2">
        <f t="shared" si="28"/>
        <v>202603</v>
      </c>
      <c r="AF44" s="2">
        <f t="shared" si="29"/>
        <v>999912</v>
      </c>
      <c r="AG44" s="2">
        <f t="shared" si="30"/>
        <v>0</v>
      </c>
      <c r="AZ44" s="2">
        <f>IF(39&gt;$BA$300,0,IFERROR(MATCH(39,$BA$1:$BA$300,0),0))</f>
        <v>80</v>
      </c>
      <c r="BA44" s="2">
        <f>SUM(CA1:CA44)</f>
        <v>4</v>
      </c>
      <c r="CA44" s="2">
        <f>IF(AND(OR(_余额!$B$46="管理人员",_余额!$B$46="工人"),OR(_余额!$J$46&lt;&gt;0,_余额!$K$46&lt;&gt;0,_余额!$E$46&lt;&gt;0,_余额!$L$46&lt;&gt;0,AND(_余额!$B$46="管理人员",COUNTIFS(工资标准!$B$4:$B$303,_余额!$A$46,工资标准!$E$4:$E$303,"&gt;0")&gt;0))),1,0)</f>
        <v>1</v>
      </c>
    </row>
    <row r="45">
      <c r="A45" s="94">
        <f>IF($AZ45=0,"",40)</f>
        <v>40</v>
      </c>
      <c r="B45" s="94" t="str">
        <f t="shared" si="0"/>
        <v>雷友才</v>
      </c>
      <c r="C45" s="94" t="str">
        <f t="shared" si="25"/>
        <v>工人</v>
      </c>
      <c r="D45" s="119">
        <f t="shared" si="26"/>
      </c>
      <c r="E45" s="21">
        <f t="shared" si="1"/>
        <v>0</v>
      </c>
      <c r="F45" s="118">
        <f t="shared" si="2"/>
        <v>0</v>
      </c>
      <c r="G45" s="21">
        <f t="shared" si="3"/>
        <v>0</v>
      </c>
      <c r="H45" s="21">
        <f t="shared" si="4"/>
        <v>0</v>
      </c>
      <c r="I45" s="21">
        <f t="shared" si="5"/>
        <v>0</v>
      </c>
      <c r="J45" s="21">
        <f t="shared" si="6"/>
        <v>0</v>
      </c>
      <c r="K45" s="21">
        <f t="shared" si="7"/>
        <v>0</v>
      </c>
      <c r="L45" s="21">
        <f t="shared" si="8"/>
        <v>2000</v>
      </c>
      <c r="M45" s="21">
        <f t="shared" si="9"/>
        <v>0</v>
      </c>
      <c r="N45" s="21">
        <f t="shared" si="10"/>
        <v>0</v>
      </c>
      <c r="O45" s="21">
        <f t="shared" si="11"/>
        <v>-2000</v>
      </c>
      <c r="P45" s="96" t="str">
        <f t="shared" si="27"/>
        <v>多发了，他欠公司</v>
      </c>
      <c r="R45" s="21">
        <f t="shared" si="12"/>
        <v>0</v>
      </c>
      <c r="S45" s="21">
        <f t="shared" si="13"/>
        <v>0</v>
      </c>
      <c r="T45" s="21">
        <f t="shared" si="14"/>
        <v>0</v>
      </c>
      <c r="U45" s="21">
        <f t="shared" si="15"/>
        <v>0</v>
      </c>
      <c r="V45" s="21">
        <f t="shared" si="16"/>
        <v>0</v>
      </c>
      <c r="W45" s="21">
        <f t="shared" si="17"/>
        <v>0</v>
      </c>
      <c r="X45" s="21">
        <f t="shared" si="18"/>
        <v>0</v>
      </c>
      <c r="Y45" s="21">
        <f t="shared" si="19"/>
        <v>0</v>
      </c>
      <c r="Z45" s="21">
        <f t="shared" si="20"/>
        <v>0</v>
      </c>
      <c r="AA45" s="21">
        <f t="shared" si="21"/>
        <v>0</v>
      </c>
      <c r="AB45" s="21">
        <f t="shared" si="22"/>
        <v>0</v>
      </c>
      <c r="AC45" s="21">
        <f t="shared" si="23"/>
        <v>0</v>
      </c>
      <c r="AD45" s="96">
        <f t="shared" si="24"/>
      </c>
      <c r="AE45" s="2">
        <f t="shared" si="28"/>
        <v>202603</v>
      </c>
      <c r="AF45" s="2">
        <f t="shared" si="29"/>
        <v>999912</v>
      </c>
      <c r="AG45" s="2">
        <f t="shared" si="30"/>
        <v>0</v>
      </c>
      <c r="AZ45" s="2">
        <f>IF(40&gt;$BA$300,0,IFERROR(MATCH(40,$BA$1:$BA$300,0),0))</f>
        <v>81</v>
      </c>
      <c r="BA45" s="2">
        <f>SUM(CA1:CA45)</f>
        <v>5</v>
      </c>
      <c r="CA45" s="2">
        <f>IF(AND(OR(_余额!$B$47="管理人员",_余额!$B$47="工人"),OR(_余额!$J$47&lt;&gt;0,_余额!$K$47&lt;&gt;0,_余额!$E$47&lt;&gt;0,_余额!$L$47&lt;&gt;0,AND(_余额!$B$47="管理人员",COUNTIFS(工资标准!$B$4:$B$303,_余额!$A$47,工资标准!$E$4:$E$303,"&gt;0")&gt;0))),1,0)</f>
        <v>1</v>
      </c>
    </row>
    <row r="46">
      <c r="A46" s="94">
        <f>IF($AZ46=0,"",41)</f>
        <v>41</v>
      </c>
      <c r="B46" s="94" t="str">
        <f t="shared" si="0"/>
        <v>占善庆</v>
      </c>
      <c r="C46" s="94" t="str">
        <f t="shared" si="25"/>
        <v>工人</v>
      </c>
      <c r="D46" s="119">
        <f t="shared" si="26"/>
      </c>
      <c r="E46" s="21">
        <f t="shared" si="1"/>
        <v>0</v>
      </c>
      <c r="F46" s="118">
        <f t="shared" si="2"/>
        <v>0</v>
      </c>
      <c r="G46" s="21">
        <f t="shared" si="3"/>
        <v>0</v>
      </c>
      <c r="H46" s="21">
        <f t="shared" si="4"/>
        <v>0</v>
      </c>
      <c r="I46" s="21">
        <f t="shared" si="5"/>
        <v>0</v>
      </c>
      <c r="J46" s="21">
        <f t="shared" si="6"/>
        <v>0</v>
      </c>
      <c r="K46" s="21">
        <f t="shared" si="7"/>
        <v>0</v>
      </c>
      <c r="L46" s="21">
        <f t="shared" si="8"/>
        <v>1600</v>
      </c>
      <c r="M46" s="21">
        <f t="shared" si="9"/>
        <v>0</v>
      </c>
      <c r="N46" s="21">
        <f t="shared" si="10"/>
        <v>0</v>
      </c>
      <c r="O46" s="21">
        <f t="shared" si="11"/>
        <v>-1600</v>
      </c>
      <c r="P46" s="96" t="str">
        <f t="shared" si="27"/>
        <v>多发了，他欠公司</v>
      </c>
      <c r="R46" s="21">
        <f t="shared" si="12"/>
        <v>0</v>
      </c>
      <c r="S46" s="21">
        <f t="shared" si="13"/>
        <v>0</v>
      </c>
      <c r="T46" s="21">
        <f t="shared" si="14"/>
        <v>0</v>
      </c>
      <c r="U46" s="21">
        <f t="shared" si="15"/>
        <v>0</v>
      </c>
      <c r="V46" s="21">
        <f t="shared" si="16"/>
        <v>0</v>
      </c>
      <c r="W46" s="21">
        <f t="shared" si="17"/>
        <v>0</v>
      </c>
      <c r="X46" s="21">
        <f t="shared" si="18"/>
        <v>0</v>
      </c>
      <c r="Y46" s="21">
        <f t="shared" si="19"/>
        <v>0</v>
      </c>
      <c r="Z46" s="21">
        <f t="shared" si="20"/>
        <v>0</v>
      </c>
      <c r="AA46" s="21">
        <f t="shared" si="21"/>
        <v>0</v>
      </c>
      <c r="AB46" s="21">
        <f t="shared" si="22"/>
        <v>0</v>
      </c>
      <c r="AC46" s="21">
        <f t="shared" si="23"/>
        <v>0</v>
      </c>
      <c r="AD46" s="96">
        <f t="shared" si="24"/>
      </c>
      <c r="AE46" s="2">
        <f t="shared" si="28"/>
        <v>202603</v>
      </c>
      <c r="AF46" s="2">
        <f t="shared" si="29"/>
        <v>999912</v>
      </c>
      <c r="AG46" s="2">
        <f t="shared" si="30"/>
        <v>0</v>
      </c>
      <c r="AZ46" s="2">
        <f>IF(41&gt;$BA$300,0,IFERROR(MATCH(41,$BA$1:$BA$300,0),0))</f>
        <v>82</v>
      </c>
      <c r="BA46" s="2">
        <f>SUM(CA1:CA46)</f>
        <v>6</v>
      </c>
      <c r="CA46" s="2">
        <f>IF(AND(OR(_余额!$B$48="管理人员",_余额!$B$48="工人"),OR(_余额!$J$48&lt;&gt;0,_余额!$K$48&lt;&gt;0,_余额!$E$48&lt;&gt;0,_余额!$L$48&lt;&gt;0,AND(_余额!$B$48="管理人员",COUNTIFS(工资标准!$B$4:$B$303,_余额!$A$48,工资标准!$E$4:$E$303,"&gt;0")&gt;0))),1,0)</f>
        <v>1</v>
      </c>
    </row>
    <row r="47">
      <c r="A47" s="94">
        <f>IF($AZ47=0,"",42)</f>
        <v>42</v>
      </c>
      <c r="B47" s="94" t="str">
        <f t="shared" si="0"/>
        <v>张洪林</v>
      </c>
      <c r="C47" s="94" t="str">
        <f t="shared" si="25"/>
        <v>工人</v>
      </c>
      <c r="D47" s="119">
        <f t="shared" si="26"/>
      </c>
      <c r="E47" s="21">
        <f t="shared" si="1"/>
        <v>0</v>
      </c>
      <c r="F47" s="118">
        <f t="shared" si="2"/>
        <v>1</v>
      </c>
      <c r="G47" s="21">
        <f t="shared" si="3"/>
        <v>1200</v>
      </c>
      <c r="H47" s="21">
        <f t="shared" si="4"/>
        <v>0</v>
      </c>
      <c r="I47" s="21">
        <f t="shared" si="5"/>
        <v>80</v>
      </c>
      <c r="J47" s="21">
        <f t="shared" si="6"/>
        <v>0</v>
      </c>
      <c r="K47" s="21">
        <f t="shared" si="7"/>
        <v>1120</v>
      </c>
      <c r="L47" s="21">
        <f t="shared" si="8"/>
        <v>1120</v>
      </c>
      <c r="M47" s="21">
        <f t="shared" si="9"/>
        <v>0</v>
      </c>
      <c r="N47" s="21">
        <f t="shared" si="10"/>
        <v>0</v>
      </c>
      <c r="O47" s="21">
        <f t="shared" si="11"/>
        <v>0</v>
      </c>
      <c r="P47" s="96">
        <f t="shared" si="27"/>
      </c>
      <c r="R47" s="21">
        <f t="shared" si="12"/>
        <v>0</v>
      </c>
      <c r="S47" s="21">
        <f t="shared" si="13"/>
        <v>0</v>
      </c>
      <c r="T47" s="21">
        <f t="shared" si="14"/>
        <v>0</v>
      </c>
      <c r="U47" s="21">
        <f t="shared" si="15"/>
        <v>0</v>
      </c>
      <c r="V47" s="21">
        <f t="shared" si="16"/>
        <v>0</v>
      </c>
      <c r="W47" s="21">
        <f t="shared" si="17"/>
        <v>0</v>
      </c>
      <c r="X47" s="21">
        <f t="shared" si="18"/>
        <v>1200</v>
      </c>
      <c r="Y47" s="21">
        <f t="shared" si="19"/>
        <v>0</v>
      </c>
      <c r="Z47" s="21">
        <f t="shared" si="20"/>
        <v>0</v>
      </c>
      <c r="AA47" s="21">
        <f t="shared" si="21"/>
        <v>0</v>
      </c>
      <c r="AB47" s="21">
        <f t="shared" si="22"/>
        <v>0</v>
      </c>
      <c r="AC47" s="21">
        <f t="shared" si="23"/>
        <v>0</v>
      </c>
      <c r="AD47" s="96">
        <f t="shared" si="24"/>
      </c>
      <c r="AE47" s="2">
        <f t="shared" si="28"/>
        <v>202603</v>
      </c>
      <c r="AF47" s="2">
        <f t="shared" si="29"/>
        <v>999912</v>
      </c>
      <c r="AG47" s="2">
        <f t="shared" si="30"/>
        <v>0</v>
      </c>
      <c r="AZ47" s="2">
        <f>IF(42&gt;$BA$300,0,IFERROR(MATCH(42,$BA$1:$BA$300,0),0))</f>
        <v>83</v>
      </c>
      <c r="BA47" s="2">
        <f>SUM(CA1:CA47)</f>
        <v>7</v>
      </c>
      <c r="CA47" s="2">
        <f>IF(AND(OR(_余额!$B$49="管理人员",_余额!$B$49="工人"),OR(_余额!$J$49&lt;&gt;0,_余额!$K$49&lt;&gt;0,_余额!$E$49&lt;&gt;0,_余额!$L$49&lt;&gt;0,AND(_余额!$B$49="管理人员",COUNTIFS(工资标准!$B$4:$B$303,_余额!$A$49,工资标准!$E$4:$E$303,"&gt;0")&gt;0))),1,0)</f>
        <v>1</v>
      </c>
    </row>
    <row r="48">
      <c r="A48" s="94">
        <f>IF($AZ48=0,"",43)</f>
      </c>
      <c r="B48" s="94">
        <f t="shared" si="0"/>
      </c>
      <c r="C48" s="94">
        <f t="shared" si="25"/>
      </c>
      <c r="D48" s="119">
        <f t="shared" si="26"/>
      </c>
      <c r="E48" s="21">
        <f t="shared" si="1"/>
      </c>
      <c r="F48" s="118">
        <f t="shared" si="2"/>
      </c>
      <c r="G48" s="21">
        <f t="shared" si="3"/>
      </c>
      <c r="H48" s="21">
        <f t="shared" si="4"/>
      </c>
      <c r="I48" s="21">
        <f t="shared" si="5"/>
      </c>
      <c r="J48" s="21">
        <f t="shared" si="6"/>
      </c>
      <c r="K48" s="21">
        <f t="shared" si="7"/>
      </c>
      <c r="L48" s="21">
        <f t="shared" si="8"/>
      </c>
      <c r="M48" s="21">
        <f t="shared" si="9"/>
      </c>
      <c r="N48" s="21">
        <f t="shared" si="10"/>
      </c>
      <c r="O48" s="21">
        <f t="shared" si="11"/>
      </c>
      <c r="P48" s="96">
        <f t="shared" si="27"/>
      </c>
      <c r="R48" s="21">
        <f t="shared" si="12"/>
      </c>
      <c r="S48" s="21">
        <f t="shared" si="13"/>
      </c>
      <c r="T48" s="21">
        <f t="shared" si="14"/>
      </c>
      <c r="U48" s="21">
        <f t="shared" si="15"/>
      </c>
      <c r="V48" s="21">
        <f t="shared" si="16"/>
      </c>
      <c r="W48" s="21">
        <f t="shared" si="17"/>
      </c>
      <c r="X48" s="21">
        <f t="shared" si="18"/>
      </c>
      <c r="Y48" s="21">
        <f t="shared" si="19"/>
      </c>
      <c r="Z48" s="21">
        <f t="shared" si="20"/>
      </c>
      <c r="AA48" s="21">
        <f t="shared" si="21"/>
      </c>
      <c r="AB48" s="21">
        <f t="shared" si="22"/>
      </c>
      <c r="AC48" s="21">
        <f t="shared" si="23"/>
      </c>
      <c r="AD48" s="96">
        <f t="shared" si="24"/>
      </c>
      <c r="AE48" s="2">
        <f t="shared" si="28"/>
        <v>0</v>
      </c>
      <c r="AF48" s="2">
        <f t="shared" si="29"/>
        <v>999912</v>
      </c>
      <c r="AG48" s="2">
        <f t="shared" si="30"/>
        <v>0</v>
      </c>
      <c r="AZ48" s="2">
        <f>IF(43&gt;$BA$300,0,IFERROR(MATCH(43,$BA$1:$BA$300,0),0))</f>
        <v>0</v>
      </c>
      <c r="BA48" s="2">
        <f>SUM(CA1:CA48)</f>
        <v>8</v>
      </c>
      <c r="CA48" s="2">
        <f>IF(AND(OR(_余额!$B$50="管理人员",_余额!$B$50="工人"),OR(_余额!$J$50&lt;&gt;0,_余额!$K$50&lt;&gt;0,_余额!$E$50&lt;&gt;0,_余额!$L$50&lt;&gt;0,AND(_余额!$B$50="管理人员",COUNTIFS(工资标准!$B$4:$B$303,_余额!$A$50,工资标准!$E$4:$E$303,"&gt;0")&gt;0))),1,0)</f>
        <v>1</v>
      </c>
    </row>
    <row r="49">
      <c r="A49" s="94">
        <f>IF($AZ49=0,"",44)</f>
      </c>
      <c r="B49" s="94">
        <f t="shared" si="0"/>
      </c>
      <c r="C49" s="94">
        <f t="shared" si="25"/>
      </c>
      <c r="D49" s="119">
        <f t="shared" si="26"/>
      </c>
      <c r="E49" s="21">
        <f t="shared" si="1"/>
      </c>
      <c r="F49" s="118">
        <f t="shared" si="2"/>
      </c>
      <c r="G49" s="21">
        <f t="shared" si="3"/>
      </c>
      <c r="H49" s="21">
        <f t="shared" si="4"/>
      </c>
      <c r="I49" s="21">
        <f t="shared" si="5"/>
      </c>
      <c r="J49" s="21">
        <f t="shared" si="6"/>
      </c>
      <c r="K49" s="21">
        <f t="shared" si="7"/>
      </c>
      <c r="L49" s="21">
        <f t="shared" si="8"/>
      </c>
      <c r="M49" s="21">
        <f t="shared" si="9"/>
      </c>
      <c r="N49" s="21">
        <f t="shared" si="10"/>
      </c>
      <c r="O49" s="21">
        <f t="shared" si="11"/>
      </c>
      <c r="P49" s="96">
        <f t="shared" si="27"/>
      </c>
      <c r="R49" s="21">
        <f t="shared" si="12"/>
      </c>
      <c r="S49" s="21">
        <f t="shared" si="13"/>
      </c>
      <c r="T49" s="21">
        <f t="shared" si="14"/>
      </c>
      <c r="U49" s="21">
        <f t="shared" si="15"/>
      </c>
      <c r="V49" s="21">
        <f t="shared" si="16"/>
      </c>
      <c r="W49" s="21">
        <f t="shared" si="17"/>
      </c>
      <c r="X49" s="21">
        <f t="shared" si="18"/>
      </c>
      <c r="Y49" s="21">
        <f t="shared" si="19"/>
      </c>
      <c r="Z49" s="21">
        <f t="shared" si="20"/>
      </c>
      <c r="AA49" s="21">
        <f t="shared" si="21"/>
      </c>
      <c r="AB49" s="21">
        <f t="shared" si="22"/>
      </c>
      <c r="AC49" s="21">
        <f t="shared" si="23"/>
      </c>
      <c r="AD49" s="96">
        <f t="shared" si="24"/>
      </c>
      <c r="AE49" s="2">
        <f t="shared" si="28"/>
        <v>0</v>
      </c>
      <c r="AF49" s="2">
        <f t="shared" si="29"/>
        <v>999912</v>
      </c>
      <c r="AG49" s="2">
        <f t="shared" si="30"/>
        <v>0</v>
      </c>
      <c r="AZ49" s="2">
        <f>IF(44&gt;$BA$300,0,IFERROR(MATCH(44,$BA$1:$BA$300,0),0))</f>
        <v>0</v>
      </c>
      <c r="BA49" s="2">
        <f>SUM(CA1:CA49)</f>
        <v>9</v>
      </c>
      <c r="CA49" s="2">
        <f>IF(AND(OR(_余额!$B$51="管理人员",_余额!$B$51="工人"),OR(_余额!$J$51&lt;&gt;0,_余额!$K$51&lt;&gt;0,_余额!$E$51&lt;&gt;0,_余额!$L$51&lt;&gt;0,AND(_余额!$B$51="管理人员",COUNTIFS(工资标准!$B$4:$B$303,_余额!$A$51,工资标准!$E$4:$E$303,"&gt;0")&gt;0))),1,0)</f>
        <v>1</v>
      </c>
    </row>
    <row r="50">
      <c r="A50" s="94">
        <f>IF($AZ50=0,"",45)</f>
      </c>
      <c r="B50" s="94">
        <f t="shared" si="0"/>
      </c>
      <c r="C50" s="94">
        <f t="shared" si="25"/>
      </c>
      <c r="D50" s="119">
        <f t="shared" si="26"/>
      </c>
      <c r="E50" s="21">
        <f t="shared" si="1"/>
      </c>
      <c r="F50" s="118">
        <f t="shared" si="2"/>
      </c>
      <c r="G50" s="21">
        <f t="shared" si="3"/>
      </c>
      <c r="H50" s="21">
        <f t="shared" si="4"/>
      </c>
      <c r="I50" s="21">
        <f t="shared" si="5"/>
      </c>
      <c r="J50" s="21">
        <f t="shared" si="6"/>
      </c>
      <c r="K50" s="21">
        <f t="shared" si="7"/>
      </c>
      <c r="L50" s="21">
        <f t="shared" si="8"/>
      </c>
      <c r="M50" s="21">
        <f t="shared" si="9"/>
      </c>
      <c r="N50" s="21">
        <f t="shared" si="10"/>
      </c>
      <c r="O50" s="21">
        <f t="shared" si="11"/>
      </c>
      <c r="P50" s="96">
        <f t="shared" si="27"/>
      </c>
      <c r="R50" s="21">
        <f t="shared" si="12"/>
      </c>
      <c r="S50" s="21">
        <f t="shared" si="13"/>
      </c>
      <c r="T50" s="21">
        <f t="shared" si="14"/>
      </c>
      <c r="U50" s="21">
        <f t="shared" si="15"/>
      </c>
      <c r="V50" s="21">
        <f t="shared" si="16"/>
      </c>
      <c r="W50" s="21">
        <f t="shared" si="17"/>
      </c>
      <c r="X50" s="21">
        <f t="shared" si="18"/>
      </c>
      <c r="Y50" s="21">
        <f t="shared" si="19"/>
      </c>
      <c r="Z50" s="21">
        <f t="shared" si="20"/>
      </c>
      <c r="AA50" s="21">
        <f t="shared" si="21"/>
      </c>
      <c r="AB50" s="21">
        <f t="shared" si="22"/>
      </c>
      <c r="AC50" s="21">
        <f t="shared" si="23"/>
      </c>
      <c r="AD50" s="96">
        <f t="shared" si="24"/>
      </c>
      <c r="AE50" s="2">
        <f t="shared" si="28"/>
        <v>0</v>
      </c>
      <c r="AF50" s="2">
        <f t="shared" si="29"/>
        <v>999912</v>
      </c>
      <c r="AG50" s="2">
        <f t="shared" si="30"/>
        <v>0</v>
      </c>
      <c r="AZ50" s="2">
        <f>IF(45&gt;$BA$300,0,IFERROR(MATCH(45,$BA$1:$BA$300,0),0))</f>
        <v>0</v>
      </c>
      <c r="BA50" s="2">
        <f>SUM(CA1:CA50)</f>
        <v>10</v>
      </c>
      <c r="CA50" s="2">
        <f>IF(AND(OR(_余额!$B$52="管理人员",_余额!$B$52="工人"),OR(_余额!$J$52&lt;&gt;0,_余额!$K$52&lt;&gt;0,_余额!$E$52&lt;&gt;0,_余额!$L$52&lt;&gt;0,AND(_余额!$B$52="管理人员",COUNTIFS(工资标准!$B$4:$B$303,_余额!$A$52,工资标准!$E$4:$E$303,"&gt;0")&gt;0))),1,0)</f>
        <v>1</v>
      </c>
    </row>
    <row r="51">
      <c r="A51" s="94">
        <f>IF($AZ51=0,"",46)</f>
      </c>
      <c r="B51" s="94">
        <f t="shared" si="0"/>
      </c>
      <c r="C51" s="94">
        <f t="shared" si="25"/>
      </c>
      <c r="D51" s="119">
        <f t="shared" si="26"/>
      </c>
      <c r="E51" s="21">
        <f t="shared" si="1"/>
      </c>
      <c r="F51" s="118">
        <f t="shared" si="2"/>
      </c>
      <c r="G51" s="21">
        <f t="shared" si="3"/>
      </c>
      <c r="H51" s="21">
        <f t="shared" si="4"/>
      </c>
      <c r="I51" s="21">
        <f t="shared" si="5"/>
      </c>
      <c r="J51" s="21">
        <f t="shared" si="6"/>
      </c>
      <c r="K51" s="21">
        <f t="shared" si="7"/>
      </c>
      <c r="L51" s="21">
        <f t="shared" si="8"/>
      </c>
      <c r="M51" s="21">
        <f t="shared" si="9"/>
      </c>
      <c r="N51" s="21">
        <f t="shared" si="10"/>
      </c>
      <c r="O51" s="21">
        <f t="shared" si="11"/>
      </c>
      <c r="P51" s="96">
        <f t="shared" si="27"/>
      </c>
      <c r="R51" s="21">
        <f t="shared" si="12"/>
      </c>
      <c r="S51" s="21">
        <f t="shared" si="13"/>
      </c>
      <c r="T51" s="21">
        <f t="shared" si="14"/>
      </c>
      <c r="U51" s="21">
        <f t="shared" si="15"/>
      </c>
      <c r="V51" s="21">
        <f t="shared" si="16"/>
      </c>
      <c r="W51" s="21">
        <f t="shared" si="17"/>
      </c>
      <c r="X51" s="21">
        <f t="shared" si="18"/>
      </c>
      <c r="Y51" s="21">
        <f t="shared" si="19"/>
      </c>
      <c r="Z51" s="21">
        <f t="shared" si="20"/>
      </c>
      <c r="AA51" s="21">
        <f t="shared" si="21"/>
      </c>
      <c r="AB51" s="21">
        <f t="shared" si="22"/>
      </c>
      <c r="AC51" s="21">
        <f t="shared" si="23"/>
      </c>
      <c r="AD51" s="96">
        <f t="shared" si="24"/>
      </c>
      <c r="AE51" s="2">
        <f t="shared" si="28"/>
        <v>0</v>
      </c>
      <c r="AF51" s="2">
        <f t="shared" si="29"/>
        <v>999912</v>
      </c>
      <c r="AG51" s="2">
        <f t="shared" si="30"/>
        <v>0</v>
      </c>
      <c r="AZ51" s="2">
        <f>IF(46&gt;$BA$300,0,IFERROR(MATCH(46,$BA$1:$BA$300,0),0))</f>
        <v>0</v>
      </c>
      <c r="BA51" s="2">
        <f>BA50+SUM(CA51:CA51)</f>
        <v>11</v>
      </c>
      <c r="CA51" s="2">
        <f>IF(AND(OR(_余额!$B$53="管理人员",_余额!$B$53="工人"),OR(_余额!$J$53&lt;&gt;0,_余额!$K$53&lt;&gt;0,_余额!$E$53&lt;&gt;0,_余额!$L$53&lt;&gt;0,AND(_余额!$B$53="管理人员",COUNTIFS(工资标准!$B$4:$B$303,_余额!$A$53,工资标准!$E$4:$E$303,"&gt;0")&gt;0))),1,0)</f>
        <v>1</v>
      </c>
    </row>
    <row r="52">
      <c r="A52" s="94">
        <f>IF($AZ52=0,"",47)</f>
      </c>
      <c r="B52" s="94">
        <f t="shared" si="0"/>
      </c>
      <c r="C52" s="94">
        <f t="shared" si="25"/>
      </c>
      <c r="D52" s="119">
        <f t="shared" si="26"/>
      </c>
      <c r="E52" s="21">
        <f t="shared" si="1"/>
      </c>
      <c r="F52" s="118">
        <f t="shared" si="2"/>
      </c>
      <c r="G52" s="21">
        <f t="shared" si="3"/>
      </c>
      <c r="H52" s="21">
        <f t="shared" si="4"/>
      </c>
      <c r="I52" s="21">
        <f t="shared" si="5"/>
      </c>
      <c r="J52" s="21">
        <f t="shared" si="6"/>
      </c>
      <c r="K52" s="21">
        <f t="shared" si="7"/>
      </c>
      <c r="L52" s="21">
        <f t="shared" si="8"/>
      </c>
      <c r="M52" s="21">
        <f t="shared" si="9"/>
      </c>
      <c r="N52" s="21">
        <f t="shared" si="10"/>
      </c>
      <c r="O52" s="21">
        <f t="shared" si="11"/>
      </c>
      <c r="P52" s="96">
        <f t="shared" si="27"/>
      </c>
      <c r="R52" s="21">
        <f t="shared" si="12"/>
      </c>
      <c r="S52" s="21">
        <f t="shared" si="13"/>
      </c>
      <c r="T52" s="21">
        <f t="shared" si="14"/>
      </c>
      <c r="U52" s="21">
        <f t="shared" si="15"/>
      </c>
      <c r="V52" s="21">
        <f t="shared" si="16"/>
      </c>
      <c r="W52" s="21">
        <f t="shared" si="17"/>
      </c>
      <c r="X52" s="21">
        <f t="shared" si="18"/>
      </c>
      <c r="Y52" s="21">
        <f t="shared" si="19"/>
      </c>
      <c r="Z52" s="21">
        <f t="shared" si="20"/>
      </c>
      <c r="AA52" s="21">
        <f t="shared" si="21"/>
      </c>
      <c r="AB52" s="21">
        <f t="shared" si="22"/>
      </c>
      <c r="AC52" s="21">
        <f t="shared" si="23"/>
      </c>
      <c r="AD52" s="96">
        <f t="shared" si="24"/>
      </c>
      <c r="AE52" s="2">
        <f t="shared" si="28"/>
        <v>0</v>
      </c>
      <c r="AF52" s="2">
        <f t="shared" si="29"/>
        <v>999912</v>
      </c>
      <c r="AG52" s="2">
        <f t="shared" si="30"/>
        <v>0</v>
      </c>
      <c r="AZ52" s="2">
        <f>IF(47&gt;$BA$300,0,IFERROR(MATCH(47,$BA$1:$BA$300,0),0))</f>
        <v>0</v>
      </c>
      <c r="BA52" s="2">
        <f>BA50+SUM(CA51:CA52)</f>
        <v>12</v>
      </c>
      <c r="CA52" s="2">
        <f>IF(AND(OR(_余额!$B$54="管理人员",_余额!$B$54="工人"),OR(_余额!$J$54&lt;&gt;0,_余额!$K$54&lt;&gt;0,_余额!$E$54&lt;&gt;0,_余额!$L$54&lt;&gt;0,AND(_余额!$B$54="管理人员",COUNTIFS(工资标准!$B$4:$B$303,_余额!$A$54,工资标准!$E$4:$E$303,"&gt;0")&gt;0))),1,0)</f>
        <v>1</v>
      </c>
    </row>
    <row r="53">
      <c r="A53" s="94">
        <f>IF($AZ53=0,"",48)</f>
      </c>
      <c r="B53" s="94">
        <f t="shared" si="0"/>
      </c>
      <c r="C53" s="94">
        <f t="shared" si="25"/>
      </c>
      <c r="D53" s="119">
        <f t="shared" si="26"/>
      </c>
      <c r="E53" s="21">
        <f t="shared" si="1"/>
      </c>
      <c r="F53" s="118">
        <f t="shared" si="2"/>
      </c>
      <c r="G53" s="21">
        <f t="shared" si="3"/>
      </c>
      <c r="H53" s="21">
        <f t="shared" si="4"/>
      </c>
      <c r="I53" s="21">
        <f t="shared" si="5"/>
      </c>
      <c r="J53" s="21">
        <f t="shared" si="6"/>
      </c>
      <c r="K53" s="21">
        <f t="shared" si="7"/>
      </c>
      <c r="L53" s="21">
        <f t="shared" si="8"/>
      </c>
      <c r="M53" s="21">
        <f t="shared" si="9"/>
      </c>
      <c r="N53" s="21">
        <f t="shared" si="10"/>
      </c>
      <c r="O53" s="21">
        <f t="shared" si="11"/>
      </c>
      <c r="P53" s="96">
        <f t="shared" si="27"/>
      </c>
      <c r="R53" s="21">
        <f t="shared" si="12"/>
      </c>
      <c r="S53" s="21">
        <f t="shared" si="13"/>
      </c>
      <c r="T53" s="21">
        <f t="shared" si="14"/>
      </c>
      <c r="U53" s="21">
        <f t="shared" si="15"/>
      </c>
      <c r="V53" s="21">
        <f t="shared" si="16"/>
      </c>
      <c r="W53" s="21">
        <f t="shared" si="17"/>
      </c>
      <c r="X53" s="21">
        <f t="shared" si="18"/>
      </c>
      <c r="Y53" s="21">
        <f t="shared" si="19"/>
      </c>
      <c r="Z53" s="21">
        <f t="shared" si="20"/>
      </c>
      <c r="AA53" s="21">
        <f t="shared" si="21"/>
      </c>
      <c r="AB53" s="21">
        <f t="shared" si="22"/>
      </c>
      <c r="AC53" s="21">
        <f t="shared" si="23"/>
      </c>
      <c r="AD53" s="96">
        <f t="shared" si="24"/>
      </c>
      <c r="AE53" s="2">
        <f t="shared" si="28"/>
        <v>0</v>
      </c>
      <c r="AF53" s="2">
        <f t="shared" si="29"/>
        <v>999912</v>
      </c>
      <c r="AG53" s="2">
        <f t="shared" si="30"/>
        <v>0</v>
      </c>
      <c r="AZ53" s="2">
        <f>IF(48&gt;$BA$300,0,IFERROR(MATCH(48,$BA$1:$BA$300,0),0))</f>
        <v>0</v>
      </c>
      <c r="BA53" s="2">
        <f>BA50+SUM(CA51:CA53)</f>
        <v>13</v>
      </c>
      <c r="CA53" s="2">
        <f>IF(AND(OR(_余额!$B$55="管理人员",_余额!$B$55="工人"),OR(_余额!$J$55&lt;&gt;0,_余额!$K$55&lt;&gt;0,_余额!$E$55&lt;&gt;0,_余额!$L$55&lt;&gt;0,AND(_余额!$B$55="管理人员",COUNTIFS(工资标准!$B$4:$B$303,_余额!$A$55,工资标准!$E$4:$E$303,"&gt;0")&gt;0))),1,0)</f>
        <v>1</v>
      </c>
    </row>
    <row r="54">
      <c r="A54" s="94">
        <f>IF($AZ54=0,"",49)</f>
      </c>
      <c r="B54" s="94">
        <f t="shared" si="0"/>
      </c>
      <c r="C54" s="94">
        <f t="shared" si="25"/>
      </c>
      <c r="D54" s="119">
        <f t="shared" si="26"/>
      </c>
      <c r="E54" s="21">
        <f t="shared" si="1"/>
      </c>
      <c r="F54" s="118">
        <f t="shared" si="2"/>
      </c>
      <c r="G54" s="21">
        <f t="shared" si="3"/>
      </c>
      <c r="H54" s="21">
        <f t="shared" si="4"/>
      </c>
      <c r="I54" s="21">
        <f t="shared" si="5"/>
      </c>
      <c r="J54" s="21">
        <f t="shared" si="6"/>
      </c>
      <c r="K54" s="21">
        <f t="shared" si="7"/>
      </c>
      <c r="L54" s="21">
        <f t="shared" si="8"/>
      </c>
      <c r="M54" s="21">
        <f t="shared" si="9"/>
      </c>
      <c r="N54" s="21">
        <f t="shared" si="10"/>
      </c>
      <c r="O54" s="21">
        <f t="shared" si="11"/>
      </c>
      <c r="P54" s="96">
        <f t="shared" si="27"/>
      </c>
      <c r="R54" s="21">
        <f t="shared" si="12"/>
      </c>
      <c r="S54" s="21">
        <f t="shared" si="13"/>
      </c>
      <c r="T54" s="21">
        <f t="shared" si="14"/>
      </c>
      <c r="U54" s="21">
        <f t="shared" si="15"/>
      </c>
      <c r="V54" s="21">
        <f t="shared" si="16"/>
      </c>
      <c r="W54" s="21">
        <f t="shared" si="17"/>
      </c>
      <c r="X54" s="21">
        <f t="shared" si="18"/>
      </c>
      <c r="Y54" s="21">
        <f t="shared" si="19"/>
      </c>
      <c r="Z54" s="21">
        <f t="shared" si="20"/>
      </c>
      <c r="AA54" s="21">
        <f t="shared" si="21"/>
      </c>
      <c r="AB54" s="21">
        <f t="shared" si="22"/>
      </c>
      <c r="AC54" s="21">
        <f t="shared" si="23"/>
      </c>
      <c r="AD54" s="96">
        <f t="shared" si="24"/>
      </c>
      <c r="AE54" s="2">
        <f t="shared" si="28"/>
        <v>0</v>
      </c>
      <c r="AF54" s="2">
        <f t="shared" si="29"/>
        <v>999912</v>
      </c>
      <c r="AG54" s="2">
        <f t="shared" si="30"/>
        <v>0</v>
      </c>
      <c r="AZ54" s="2">
        <f>IF(49&gt;$BA$300,0,IFERROR(MATCH(49,$BA$1:$BA$300,0),0))</f>
        <v>0</v>
      </c>
      <c r="BA54" s="2">
        <f>BA50+SUM(CA51:CA54)</f>
        <v>14</v>
      </c>
      <c r="CA54" s="2">
        <f>IF(AND(OR(_余额!$B$56="管理人员",_余额!$B$56="工人"),OR(_余额!$J$56&lt;&gt;0,_余额!$K$56&lt;&gt;0,_余额!$E$56&lt;&gt;0,_余额!$L$56&lt;&gt;0,AND(_余额!$B$56="管理人员",COUNTIFS(工资标准!$B$4:$B$303,_余额!$A$56,工资标准!$E$4:$E$303,"&gt;0")&gt;0))),1,0)</f>
        <v>1</v>
      </c>
    </row>
    <row r="55">
      <c r="A55" s="94">
        <f>IF($AZ55=0,"",50)</f>
      </c>
      <c r="B55" s="94">
        <f t="shared" si="0"/>
      </c>
      <c r="C55" s="94">
        <f t="shared" si="25"/>
      </c>
      <c r="D55" s="119">
        <f t="shared" si="26"/>
      </c>
      <c r="E55" s="21">
        <f t="shared" si="1"/>
      </c>
      <c r="F55" s="118">
        <f t="shared" si="2"/>
      </c>
      <c r="G55" s="21">
        <f t="shared" si="3"/>
      </c>
      <c r="H55" s="21">
        <f t="shared" si="4"/>
      </c>
      <c r="I55" s="21">
        <f t="shared" si="5"/>
      </c>
      <c r="J55" s="21">
        <f t="shared" si="6"/>
      </c>
      <c r="K55" s="21">
        <f t="shared" si="7"/>
      </c>
      <c r="L55" s="21">
        <f t="shared" si="8"/>
      </c>
      <c r="M55" s="21">
        <f t="shared" si="9"/>
      </c>
      <c r="N55" s="21">
        <f t="shared" si="10"/>
      </c>
      <c r="O55" s="21">
        <f t="shared" si="11"/>
      </c>
      <c r="P55" s="96">
        <f t="shared" si="27"/>
      </c>
      <c r="R55" s="21">
        <f t="shared" si="12"/>
      </c>
      <c r="S55" s="21">
        <f t="shared" si="13"/>
      </c>
      <c r="T55" s="21">
        <f t="shared" si="14"/>
      </c>
      <c r="U55" s="21">
        <f t="shared" si="15"/>
      </c>
      <c r="V55" s="21">
        <f t="shared" si="16"/>
      </c>
      <c r="W55" s="21">
        <f t="shared" si="17"/>
      </c>
      <c r="X55" s="21">
        <f t="shared" si="18"/>
      </c>
      <c r="Y55" s="21">
        <f t="shared" si="19"/>
      </c>
      <c r="Z55" s="21">
        <f t="shared" si="20"/>
      </c>
      <c r="AA55" s="21">
        <f t="shared" si="21"/>
      </c>
      <c r="AB55" s="21">
        <f t="shared" si="22"/>
      </c>
      <c r="AC55" s="21">
        <f t="shared" si="23"/>
      </c>
      <c r="AD55" s="96">
        <f t="shared" si="24"/>
      </c>
      <c r="AE55" s="2">
        <f t="shared" si="28"/>
        <v>0</v>
      </c>
      <c r="AF55" s="2">
        <f t="shared" si="29"/>
        <v>999912</v>
      </c>
      <c r="AG55" s="2">
        <f t="shared" si="30"/>
        <v>0</v>
      </c>
      <c r="AZ55" s="2">
        <f>IF(50&gt;$BA$300,0,IFERROR(MATCH(50,$BA$1:$BA$300,0),0))</f>
        <v>0</v>
      </c>
      <c r="BA55" s="2">
        <f>BA50+SUM(CA51:CA55)</f>
        <v>15</v>
      </c>
      <c r="CA55" s="2">
        <f>IF(AND(OR(_余额!$B$57="管理人员",_余额!$B$57="工人"),OR(_余额!$J$57&lt;&gt;0,_余额!$K$57&lt;&gt;0,_余额!$E$57&lt;&gt;0,_余额!$L$57&lt;&gt;0,AND(_余额!$B$57="管理人员",COUNTIFS(工资标准!$B$4:$B$303,_余额!$A$57,工资标准!$E$4:$E$303,"&gt;0")&gt;0))),1,0)</f>
        <v>1</v>
      </c>
    </row>
    <row r="56">
      <c r="A56" s="94">
        <f>IF($AZ56=0,"",51)</f>
      </c>
      <c r="B56" s="94">
        <f t="shared" si="0"/>
      </c>
      <c r="C56" s="94">
        <f t="shared" si="25"/>
      </c>
      <c r="D56" s="119">
        <f t="shared" si="26"/>
      </c>
      <c r="E56" s="21">
        <f t="shared" si="1"/>
      </c>
      <c r="F56" s="118">
        <f t="shared" si="2"/>
      </c>
      <c r="G56" s="21">
        <f t="shared" si="3"/>
      </c>
      <c r="H56" s="21">
        <f t="shared" si="4"/>
      </c>
      <c r="I56" s="21">
        <f t="shared" si="5"/>
      </c>
      <c r="J56" s="21">
        <f t="shared" si="6"/>
      </c>
      <c r="K56" s="21">
        <f t="shared" si="7"/>
      </c>
      <c r="L56" s="21">
        <f t="shared" si="8"/>
      </c>
      <c r="M56" s="21">
        <f t="shared" si="9"/>
      </c>
      <c r="N56" s="21">
        <f t="shared" si="10"/>
      </c>
      <c r="O56" s="21">
        <f t="shared" si="11"/>
      </c>
      <c r="P56" s="96">
        <f t="shared" si="27"/>
      </c>
      <c r="R56" s="21">
        <f t="shared" si="12"/>
      </c>
      <c r="S56" s="21">
        <f t="shared" si="13"/>
      </c>
      <c r="T56" s="21">
        <f t="shared" si="14"/>
      </c>
      <c r="U56" s="21">
        <f t="shared" si="15"/>
      </c>
      <c r="V56" s="21">
        <f t="shared" si="16"/>
      </c>
      <c r="W56" s="21">
        <f t="shared" si="17"/>
      </c>
      <c r="X56" s="21">
        <f t="shared" si="18"/>
      </c>
      <c r="Y56" s="21">
        <f t="shared" si="19"/>
      </c>
      <c r="Z56" s="21">
        <f t="shared" si="20"/>
      </c>
      <c r="AA56" s="21">
        <f t="shared" si="21"/>
      </c>
      <c r="AB56" s="21">
        <f t="shared" si="22"/>
      </c>
      <c r="AC56" s="21">
        <f t="shared" si="23"/>
      </c>
      <c r="AD56" s="96">
        <f t="shared" si="24"/>
      </c>
      <c r="AE56" s="2">
        <f t="shared" si="28"/>
        <v>0</v>
      </c>
      <c r="AF56" s="2">
        <f t="shared" si="29"/>
        <v>999912</v>
      </c>
      <c r="AG56" s="2">
        <f t="shared" si="30"/>
        <v>0</v>
      </c>
      <c r="AZ56" s="2">
        <f>IF(51&gt;$BA$300,0,IFERROR(MATCH(51,$BA$1:$BA$300,0),0))</f>
        <v>0</v>
      </c>
      <c r="BA56" s="2">
        <f>BA50+SUM(CA51:CA56)</f>
        <v>16</v>
      </c>
      <c r="CA56" s="2">
        <f>IF(AND(OR(_余额!$B$58="管理人员",_余额!$B$58="工人"),OR(_余额!$J$58&lt;&gt;0,_余额!$K$58&lt;&gt;0,_余额!$E$58&lt;&gt;0,_余额!$L$58&lt;&gt;0,AND(_余额!$B$58="管理人员",COUNTIFS(工资标准!$B$4:$B$303,_余额!$A$58,工资标准!$E$4:$E$303,"&gt;0")&gt;0))),1,0)</f>
        <v>1</v>
      </c>
    </row>
    <row r="57">
      <c r="A57" s="94">
        <f>IF($AZ57=0,"",52)</f>
      </c>
      <c r="B57" s="94">
        <f t="shared" si="0"/>
      </c>
      <c r="C57" s="94">
        <f t="shared" si="25"/>
      </c>
      <c r="D57" s="119">
        <f t="shared" si="26"/>
      </c>
      <c r="E57" s="21">
        <f t="shared" si="1"/>
      </c>
      <c r="F57" s="118">
        <f t="shared" si="2"/>
      </c>
      <c r="G57" s="21">
        <f t="shared" si="3"/>
      </c>
      <c r="H57" s="21">
        <f t="shared" si="4"/>
      </c>
      <c r="I57" s="21">
        <f t="shared" si="5"/>
      </c>
      <c r="J57" s="21">
        <f t="shared" si="6"/>
      </c>
      <c r="K57" s="21">
        <f t="shared" si="7"/>
      </c>
      <c r="L57" s="21">
        <f t="shared" si="8"/>
      </c>
      <c r="M57" s="21">
        <f t="shared" si="9"/>
      </c>
      <c r="N57" s="21">
        <f t="shared" si="10"/>
      </c>
      <c r="O57" s="21">
        <f t="shared" si="11"/>
      </c>
      <c r="P57" s="96">
        <f t="shared" si="27"/>
      </c>
      <c r="R57" s="21">
        <f t="shared" si="12"/>
      </c>
      <c r="S57" s="21">
        <f t="shared" si="13"/>
      </c>
      <c r="T57" s="21">
        <f t="shared" si="14"/>
      </c>
      <c r="U57" s="21">
        <f t="shared" si="15"/>
      </c>
      <c r="V57" s="21">
        <f t="shared" si="16"/>
      </c>
      <c r="W57" s="21">
        <f t="shared" si="17"/>
      </c>
      <c r="X57" s="21">
        <f t="shared" si="18"/>
      </c>
      <c r="Y57" s="21">
        <f t="shared" si="19"/>
      </c>
      <c r="Z57" s="21">
        <f t="shared" si="20"/>
      </c>
      <c r="AA57" s="21">
        <f t="shared" si="21"/>
      </c>
      <c r="AB57" s="21">
        <f t="shared" si="22"/>
      </c>
      <c r="AC57" s="21">
        <f t="shared" si="23"/>
      </c>
      <c r="AD57" s="96">
        <f t="shared" si="24"/>
      </c>
      <c r="AE57" s="2">
        <f t="shared" si="28"/>
        <v>0</v>
      </c>
      <c r="AF57" s="2">
        <f t="shared" si="29"/>
        <v>999912</v>
      </c>
      <c r="AG57" s="2">
        <f t="shared" si="30"/>
        <v>0</v>
      </c>
      <c r="AZ57" s="2">
        <f>IF(52&gt;$BA$300,0,IFERROR(MATCH(52,$BA$1:$BA$300,0),0))</f>
        <v>0</v>
      </c>
      <c r="BA57" s="2">
        <f>BA50+SUM(CA51:CA57)</f>
        <v>17</v>
      </c>
      <c r="CA57" s="2">
        <f>IF(AND(OR(_余额!$B$59="管理人员",_余额!$B$59="工人"),OR(_余额!$J$59&lt;&gt;0,_余额!$K$59&lt;&gt;0,_余额!$E$59&lt;&gt;0,_余额!$L$59&lt;&gt;0,AND(_余额!$B$59="管理人员",COUNTIFS(工资标准!$B$4:$B$303,_余额!$A$59,工资标准!$E$4:$E$303,"&gt;0")&gt;0))),1,0)</f>
        <v>1</v>
      </c>
    </row>
    <row r="58">
      <c r="A58" s="94">
        <f>IF($AZ58=0,"",53)</f>
      </c>
      <c r="B58" s="94">
        <f t="shared" si="0"/>
      </c>
      <c r="C58" s="94">
        <f t="shared" si="25"/>
      </c>
      <c r="D58" s="119">
        <f t="shared" si="26"/>
      </c>
      <c r="E58" s="21">
        <f t="shared" si="1"/>
      </c>
      <c r="F58" s="118">
        <f t="shared" si="2"/>
      </c>
      <c r="G58" s="21">
        <f t="shared" si="3"/>
      </c>
      <c r="H58" s="21">
        <f t="shared" si="4"/>
      </c>
      <c r="I58" s="21">
        <f t="shared" si="5"/>
      </c>
      <c r="J58" s="21">
        <f t="shared" si="6"/>
      </c>
      <c r="K58" s="21">
        <f t="shared" si="7"/>
      </c>
      <c r="L58" s="21">
        <f t="shared" si="8"/>
      </c>
      <c r="M58" s="21">
        <f t="shared" si="9"/>
      </c>
      <c r="N58" s="21">
        <f t="shared" si="10"/>
      </c>
      <c r="O58" s="21">
        <f t="shared" si="11"/>
      </c>
      <c r="P58" s="96">
        <f t="shared" si="27"/>
      </c>
      <c r="R58" s="21">
        <f t="shared" si="12"/>
      </c>
      <c r="S58" s="21">
        <f t="shared" si="13"/>
      </c>
      <c r="T58" s="21">
        <f t="shared" si="14"/>
      </c>
      <c r="U58" s="21">
        <f t="shared" si="15"/>
      </c>
      <c r="V58" s="21">
        <f t="shared" si="16"/>
      </c>
      <c r="W58" s="21">
        <f t="shared" si="17"/>
      </c>
      <c r="X58" s="21">
        <f t="shared" si="18"/>
      </c>
      <c r="Y58" s="21">
        <f t="shared" si="19"/>
      </c>
      <c r="Z58" s="21">
        <f t="shared" si="20"/>
      </c>
      <c r="AA58" s="21">
        <f t="shared" si="21"/>
      </c>
      <c r="AB58" s="21">
        <f t="shared" si="22"/>
      </c>
      <c r="AC58" s="21">
        <f t="shared" si="23"/>
      </c>
      <c r="AD58" s="96">
        <f t="shared" si="24"/>
      </c>
      <c r="AE58" s="2">
        <f t="shared" si="28"/>
        <v>0</v>
      </c>
      <c r="AF58" s="2">
        <f t="shared" si="29"/>
        <v>999912</v>
      </c>
      <c r="AG58" s="2">
        <f t="shared" si="30"/>
        <v>0</v>
      </c>
      <c r="AZ58" s="2">
        <f>IF(53&gt;$BA$300,0,IFERROR(MATCH(53,$BA$1:$BA$300,0),0))</f>
        <v>0</v>
      </c>
      <c r="BA58" s="2">
        <f>BA50+SUM(CA51:CA58)</f>
        <v>18</v>
      </c>
      <c r="CA58" s="2">
        <f>IF(AND(OR(_余额!$B$60="管理人员",_余额!$B$60="工人"),OR(_余额!$J$60&lt;&gt;0,_余额!$K$60&lt;&gt;0,_余额!$E$60&lt;&gt;0,_余额!$L$60&lt;&gt;0,AND(_余额!$B$60="管理人员",COUNTIFS(工资标准!$B$4:$B$303,_余额!$A$60,工资标准!$E$4:$E$303,"&gt;0")&gt;0))),1,0)</f>
        <v>1</v>
      </c>
    </row>
    <row r="59">
      <c r="A59" s="94">
        <f>IF($AZ59=0,"",54)</f>
      </c>
      <c r="B59" s="94">
        <f t="shared" si="0"/>
      </c>
      <c r="C59" s="94">
        <f t="shared" si="25"/>
      </c>
      <c r="D59" s="119">
        <f t="shared" si="26"/>
      </c>
      <c r="E59" s="21">
        <f t="shared" si="1"/>
      </c>
      <c r="F59" s="118">
        <f t="shared" si="2"/>
      </c>
      <c r="G59" s="21">
        <f t="shared" si="3"/>
      </c>
      <c r="H59" s="21">
        <f t="shared" si="4"/>
      </c>
      <c r="I59" s="21">
        <f t="shared" si="5"/>
      </c>
      <c r="J59" s="21">
        <f t="shared" si="6"/>
      </c>
      <c r="K59" s="21">
        <f t="shared" si="7"/>
      </c>
      <c r="L59" s="21">
        <f t="shared" si="8"/>
      </c>
      <c r="M59" s="21">
        <f t="shared" si="9"/>
      </c>
      <c r="N59" s="21">
        <f t="shared" si="10"/>
      </c>
      <c r="O59" s="21">
        <f t="shared" si="11"/>
      </c>
      <c r="P59" s="96">
        <f t="shared" si="27"/>
      </c>
      <c r="R59" s="21">
        <f t="shared" si="12"/>
      </c>
      <c r="S59" s="21">
        <f t="shared" si="13"/>
      </c>
      <c r="T59" s="21">
        <f t="shared" si="14"/>
      </c>
      <c r="U59" s="21">
        <f t="shared" si="15"/>
      </c>
      <c r="V59" s="21">
        <f t="shared" si="16"/>
      </c>
      <c r="W59" s="21">
        <f t="shared" si="17"/>
      </c>
      <c r="X59" s="21">
        <f t="shared" si="18"/>
      </c>
      <c r="Y59" s="21">
        <f t="shared" si="19"/>
      </c>
      <c r="Z59" s="21">
        <f t="shared" si="20"/>
      </c>
      <c r="AA59" s="21">
        <f t="shared" si="21"/>
      </c>
      <c r="AB59" s="21">
        <f t="shared" si="22"/>
      </c>
      <c r="AC59" s="21">
        <f t="shared" si="23"/>
      </c>
      <c r="AD59" s="96">
        <f t="shared" si="24"/>
      </c>
      <c r="AE59" s="2">
        <f t="shared" si="28"/>
        <v>0</v>
      </c>
      <c r="AF59" s="2">
        <f t="shared" si="29"/>
        <v>999912</v>
      </c>
      <c r="AG59" s="2">
        <f t="shared" si="30"/>
        <v>0</v>
      </c>
      <c r="AZ59" s="2">
        <f>IF(54&gt;$BA$300,0,IFERROR(MATCH(54,$BA$1:$BA$300,0),0))</f>
        <v>0</v>
      </c>
      <c r="BA59" s="2">
        <f>BA50+SUM(CA51:CA59)</f>
        <v>19</v>
      </c>
      <c r="CA59" s="2">
        <f>IF(AND(OR(_余额!$B$61="管理人员",_余额!$B$61="工人"),OR(_余额!$J$61&lt;&gt;0,_余额!$K$61&lt;&gt;0,_余额!$E$61&lt;&gt;0,_余额!$L$61&lt;&gt;0,AND(_余额!$B$61="管理人员",COUNTIFS(工资标准!$B$4:$B$303,_余额!$A$61,工资标准!$E$4:$E$303,"&gt;0")&gt;0))),1,0)</f>
        <v>1</v>
      </c>
    </row>
    <row r="60">
      <c r="A60" s="94">
        <f>IF($AZ60=0,"",55)</f>
      </c>
      <c r="B60" s="94">
        <f t="shared" si="0"/>
      </c>
      <c r="C60" s="94">
        <f t="shared" si="25"/>
      </c>
      <c r="D60" s="119">
        <f t="shared" si="26"/>
      </c>
      <c r="E60" s="21">
        <f t="shared" si="1"/>
      </c>
      <c r="F60" s="118">
        <f t="shared" si="2"/>
      </c>
      <c r="G60" s="21">
        <f t="shared" si="3"/>
      </c>
      <c r="H60" s="21">
        <f t="shared" si="4"/>
      </c>
      <c r="I60" s="21">
        <f t="shared" si="5"/>
      </c>
      <c r="J60" s="21">
        <f t="shared" si="6"/>
      </c>
      <c r="K60" s="21">
        <f t="shared" si="7"/>
      </c>
      <c r="L60" s="21">
        <f t="shared" si="8"/>
      </c>
      <c r="M60" s="21">
        <f t="shared" si="9"/>
      </c>
      <c r="N60" s="21">
        <f t="shared" si="10"/>
      </c>
      <c r="O60" s="21">
        <f t="shared" si="11"/>
      </c>
      <c r="P60" s="96">
        <f t="shared" si="27"/>
      </c>
      <c r="R60" s="21">
        <f t="shared" si="12"/>
      </c>
      <c r="S60" s="21">
        <f t="shared" si="13"/>
      </c>
      <c r="T60" s="21">
        <f t="shared" si="14"/>
      </c>
      <c r="U60" s="21">
        <f t="shared" si="15"/>
      </c>
      <c r="V60" s="21">
        <f t="shared" si="16"/>
      </c>
      <c r="W60" s="21">
        <f t="shared" si="17"/>
      </c>
      <c r="X60" s="21">
        <f t="shared" si="18"/>
      </c>
      <c r="Y60" s="21">
        <f t="shared" si="19"/>
      </c>
      <c r="Z60" s="21">
        <f t="shared" si="20"/>
      </c>
      <c r="AA60" s="21">
        <f t="shared" si="21"/>
      </c>
      <c r="AB60" s="21">
        <f t="shared" si="22"/>
      </c>
      <c r="AC60" s="21">
        <f t="shared" si="23"/>
      </c>
      <c r="AD60" s="96">
        <f t="shared" si="24"/>
      </c>
      <c r="AE60" s="2">
        <f t="shared" si="28"/>
        <v>0</v>
      </c>
      <c r="AF60" s="2">
        <f t="shared" si="29"/>
        <v>999912</v>
      </c>
      <c r="AG60" s="2">
        <f t="shared" si="30"/>
        <v>0</v>
      </c>
      <c r="AZ60" s="2">
        <f>IF(55&gt;$BA$300,0,IFERROR(MATCH(55,$BA$1:$BA$300,0),0))</f>
        <v>0</v>
      </c>
      <c r="BA60" s="2">
        <f>BA50+SUM(CA51:CA60)</f>
        <v>20</v>
      </c>
      <c r="CA60" s="2">
        <f>IF(AND(OR(_余额!$B$62="管理人员",_余额!$B$62="工人"),OR(_余额!$J$62&lt;&gt;0,_余额!$K$62&lt;&gt;0,_余额!$E$62&lt;&gt;0,_余额!$L$62&lt;&gt;0,AND(_余额!$B$62="管理人员",COUNTIFS(工资标准!$B$4:$B$303,_余额!$A$62,工资标准!$E$4:$E$303,"&gt;0")&gt;0))),1,0)</f>
        <v>1</v>
      </c>
    </row>
    <row r="61">
      <c r="A61" s="94">
        <f>IF($AZ61=0,"",56)</f>
      </c>
      <c r="B61" s="94">
        <f t="shared" si="0"/>
      </c>
      <c r="C61" s="94">
        <f t="shared" si="25"/>
      </c>
      <c r="D61" s="119">
        <f t="shared" si="26"/>
      </c>
      <c r="E61" s="21">
        <f t="shared" si="1"/>
      </c>
      <c r="F61" s="118">
        <f t="shared" si="2"/>
      </c>
      <c r="G61" s="21">
        <f t="shared" si="3"/>
      </c>
      <c r="H61" s="21">
        <f t="shared" si="4"/>
      </c>
      <c r="I61" s="21">
        <f t="shared" si="5"/>
      </c>
      <c r="J61" s="21">
        <f t="shared" si="6"/>
      </c>
      <c r="K61" s="21">
        <f t="shared" si="7"/>
      </c>
      <c r="L61" s="21">
        <f t="shared" si="8"/>
      </c>
      <c r="M61" s="21">
        <f t="shared" si="9"/>
      </c>
      <c r="N61" s="21">
        <f t="shared" si="10"/>
      </c>
      <c r="O61" s="21">
        <f t="shared" si="11"/>
      </c>
      <c r="P61" s="96">
        <f t="shared" si="27"/>
      </c>
      <c r="R61" s="21">
        <f t="shared" si="12"/>
      </c>
      <c r="S61" s="21">
        <f t="shared" si="13"/>
      </c>
      <c r="T61" s="21">
        <f t="shared" si="14"/>
      </c>
      <c r="U61" s="21">
        <f t="shared" si="15"/>
      </c>
      <c r="V61" s="21">
        <f t="shared" si="16"/>
      </c>
      <c r="W61" s="21">
        <f t="shared" si="17"/>
      </c>
      <c r="X61" s="21">
        <f t="shared" si="18"/>
      </c>
      <c r="Y61" s="21">
        <f t="shared" si="19"/>
      </c>
      <c r="Z61" s="21">
        <f t="shared" si="20"/>
      </c>
      <c r="AA61" s="21">
        <f t="shared" si="21"/>
      </c>
      <c r="AB61" s="21">
        <f t="shared" si="22"/>
      </c>
      <c r="AC61" s="21">
        <f t="shared" si="23"/>
      </c>
      <c r="AD61" s="96">
        <f t="shared" si="24"/>
      </c>
      <c r="AE61" s="2">
        <f t="shared" si="28"/>
        <v>0</v>
      </c>
      <c r="AF61" s="2">
        <f t="shared" si="29"/>
        <v>999912</v>
      </c>
      <c r="AG61" s="2">
        <f t="shared" si="30"/>
        <v>0</v>
      </c>
      <c r="AZ61" s="2">
        <f>IF(56&gt;$BA$300,0,IFERROR(MATCH(56,$BA$1:$BA$300,0),0))</f>
        <v>0</v>
      </c>
      <c r="BA61" s="2">
        <f>BA50+SUM(CA51:CA61)</f>
        <v>21</v>
      </c>
      <c r="CA61" s="2">
        <f>IF(AND(OR(_余额!$B$63="管理人员",_余额!$B$63="工人"),OR(_余额!$J$63&lt;&gt;0,_余额!$K$63&lt;&gt;0,_余额!$E$63&lt;&gt;0,_余额!$L$63&lt;&gt;0,AND(_余额!$B$63="管理人员",COUNTIFS(工资标准!$B$4:$B$303,_余额!$A$63,工资标准!$E$4:$E$303,"&gt;0")&gt;0))),1,0)</f>
        <v>1</v>
      </c>
    </row>
    <row r="62">
      <c r="A62" s="94">
        <f>IF($AZ62=0,"",57)</f>
      </c>
      <c r="B62" s="94">
        <f t="shared" si="0"/>
      </c>
      <c r="C62" s="94">
        <f t="shared" si="25"/>
      </c>
      <c r="D62" s="119">
        <f t="shared" si="26"/>
      </c>
      <c r="E62" s="21">
        <f t="shared" si="1"/>
      </c>
      <c r="F62" s="118">
        <f t="shared" si="2"/>
      </c>
      <c r="G62" s="21">
        <f t="shared" si="3"/>
      </c>
      <c r="H62" s="21">
        <f t="shared" si="4"/>
      </c>
      <c r="I62" s="21">
        <f t="shared" si="5"/>
      </c>
      <c r="J62" s="21">
        <f t="shared" si="6"/>
      </c>
      <c r="K62" s="21">
        <f t="shared" si="7"/>
      </c>
      <c r="L62" s="21">
        <f t="shared" si="8"/>
      </c>
      <c r="M62" s="21">
        <f t="shared" si="9"/>
      </c>
      <c r="N62" s="21">
        <f t="shared" si="10"/>
      </c>
      <c r="O62" s="21">
        <f t="shared" si="11"/>
      </c>
      <c r="P62" s="96">
        <f t="shared" si="27"/>
      </c>
      <c r="R62" s="21">
        <f t="shared" si="12"/>
      </c>
      <c r="S62" s="21">
        <f t="shared" si="13"/>
      </c>
      <c r="T62" s="21">
        <f t="shared" si="14"/>
      </c>
      <c r="U62" s="21">
        <f t="shared" si="15"/>
      </c>
      <c r="V62" s="21">
        <f t="shared" si="16"/>
      </c>
      <c r="W62" s="21">
        <f t="shared" si="17"/>
      </c>
      <c r="X62" s="21">
        <f t="shared" si="18"/>
      </c>
      <c r="Y62" s="21">
        <f t="shared" si="19"/>
      </c>
      <c r="Z62" s="21">
        <f t="shared" si="20"/>
      </c>
      <c r="AA62" s="21">
        <f t="shared" si="21"/>
      </c>
      <c r="AB62" s="21">
        <f t="shared" si="22"/>
      </c>
      <c r="AC62" s="21">
        <f t="shared" si="23"/>
      </c>
      <c r="AD62" s="96">
        <f t="shared" si="24"/>
      </c>
      <c r="AE62" s="2">
        <f t="shared" si="28"/>
        <v>0</v>
      </c>
      <c r="AF62" s="2">
        <f t="shared" si="29"/>
        <v>999912</v>
      </c>
      <c r="AG62" s="2">
        <f t="shared" si="30"/>
        <v>0</v>
      </c>
      <c r="AZ62" s="2">
        <f>IF(57&gt;$BA$300,0,IFERROR(MATCH(57,$BA$1:$BA$300,0),0))</f>
        <v>0</v>
      </c>
      <c r="BA62" s="2">
        <f>BA50+SUM(CA51:CA62)</f>
        <v>22</v>
      </c>
      <c r="CA62" s="2">
        <f>IF(AND(OR(_余额!$B$64="管理人员",_余额!$B$64="工人"),OR(_余额!$J$64&lt;&gt;0,_余额!$K$64&lt;&gt;0,_余额!$E$64&lt;&gt;0,_余额!$L$64&lt;&gt;0,AND(_余额!$B$64="管理人员",COUNTIFS(工资标准!$B$4:$B$303,_余额!$A$64,工资标准!$E$4:$E$303,"&gt;0")&gt;0))),1,0)</f>
        <v>1</v>
      </c>
    </row>
    <row r="63">
      <c r="A63" s="94">
        <f>IF($AZ63=0,"",58)</f>
      </c>
      <c r="B63" s="94">
        <f t="shared" si="0"/>
      </c>
      <c r="C63" s="94">
        <f t="shared" si="25"/>
      </c>
      <c r="D63" s="119">
        <f t="shared" si="26"/>
      </c>
      <c r="E63" s="21">
        <f t="shared" si="1"/>
      </c>
      <c r="F63" s="118">
        <f t="shared" si="2"/>
      </c>
      <c r="G63" s="21">
        <f t="shared" si="3"/>
      </c>
      <c r="H63" s="21">
        <f t="shared" si="4"/>
      </c>
      <c r="I63" s="21">
        <f t="shared" si="5"/>
      </c>
      <c r="J63" s="21">
        <f t="shared" si="6"/>
      </c>
      <c r="K63" s="21">
        <f t="shared" si="7"/>
      </c>
      <c r="L63" s="21">
        <f t="shared" si="8"/>
      </c>
      <c r="M63" s="21">
        <f t="shared" si="9"/>
      </c>
      <c r="N63" s="21">
        <f t="shared" si="10"/>
      </c>
      <c r="O63" s="21">
        <f t="shared" si="11"/>
      </c>
      <c r="P63" s="96">
        <f t="shared" si="27"/>
      </c>
      <c r="R63" s="21">
        <f t="shared" si="12"/>
      </c>
      <c r="S63" s="21">
        <f t="shared" si="13"/>
      </c>
      <c r="T63" s="21">
        <f t="shared" si="14"/>
      </c>
      <c r="U63" s="21">
        <f t="shared" si="15"/>
      </c>
      <c r="V63" s="21">
        <f t="shared" si="16"/>
      </c>
      <c r="W63" s="21">
        <f t="shared" si="17"/>
      </c>
      <c r="X63" s="21">
        <f t="shared" si="18"/>
      </c>
      <c r="Y63" s="21">
        <f t="shared" si="19"/>
      </c>
      <c r="Z63" s="21">
        <f t="shared" si="20"/>
      </c>
      <c r="AA63" s="21">
        <f t="shared" si="21"/>
      </c>
      <c r="AB63" s="21">
        <f t="shared" si="22"/>
      </c>
      <c r="AC63" s="21">
        <f t="shared" si="23"/>
      </c>
      <c r="AD63" s="96">
        <f t="shared" si="24"/>
      </c>
      <c r="AE63" s="2">
        <f t="shared" si="28"/>
        <v>0</v>
      </c>
      <c r="AF63" s="2">
        <f t="shared" si="29"/>
        <v>999912</v>
      </c>
      <c r="AG63" s="2">
        <f t="shared" si="30"/>
        <v>0</v>
      </c>
      <c r="AZ63" s="2">
        <f>IF(58&gt;$BA$300,0,IFERROR(MATCH(58,$BA$1:$BA$300,0),0))</f>
        <v>0</v>
      </c>
      <c r="BA63" s="2">
        <f>BA50+SUM(CA51:CA63)</f>
        <v>23</v>
      </c>
      <c r="CA63" s="2">
        <f>IF(AND(OR(_余额!$B$65="管理人员",_余额!$B$65="工人"),OR(_余额!$J$65&lt;&gt;0,_余额!$K$65&lt;&gt;0,_余额!$E$65&lt;&gt;0,_余额!$L$65&lt;&gt;0,AND(_余额!$B$65="管理人员",COUNTIFS(工资标准!$B$4:$B$303,_余额!$A$65,工资标准!$E$4:$E$303,"&gt;0")&gt;0))),1,0)</f>
        <v>1</v>
      </c>
    </row>
    <row r="64">
      <c r="A64" s="94">
        <f>IF($AZ64=0,"",59)</f>
      </c>
      <c r="B64" s="94">
        <f t="shared" si="0"/>
      </c>
      <c r="C64" s="94">
        <f t="shared" si="25"/>
      </c>
      <c r="D64" s="119">
        <f t="shared" si="26"/>
      </c>
      <c r="E64" s="21">
        <f t="shared" si="1"/>
      </c>
      <c r="F64" s="118">
        <f t="shared" si="2"/>
      </c>
      <c r="G64" s="21">
        <f t="shared" si="3"/>
      </c>
      <c r="H64" s="21">
        <f t="shared" si="4"/>
      </c>
      <c r="I64" s="21">
        <f t="shared" si="5"/>
      </c>
      <c r="J64" s="21">
        <f t="shared" si="6"/>
      </c>
      <c r="K64" s="21">
        <f t="shared" si="7"/>
      </c>
      <c r="L64" s="21">
        <f t="shared" si="8"/>
      </c>
      <c r="M64" s="21">
        <f t="shared" si="9"/>
      </c>
      <c r="N64" s="21">
        <f t="shared" si="10"/>
      </c>
      <c r="O64" s="21">
        <f t="shared" si="11"/>
      </c>
      <c r="P64" s="96">
        <f t="shared" si="27"/>
      </c>
      <c r="R64" s="21">
        <f t="shared" si="12"/>
      </c>
      <c r="S64" s="21">
        <f t="shared" si="13"/>
      </c>
      <c r="T64" s="21">
        <f t="shared" si="14"/>
      </c>
      <c r="U64" s="21">
        <f t="shared" si="15"/>
      </c>
      <c r="V64" s="21">
        <f t="shared" si="16"/>
      </c>
      <c r="W64" s="21">
        <f t="shared" si="17"/>
      </c>
      <c r="X64" s="21">
        <f t="shared" si="18"/>
      </c>
      <c r="Y64" s="21">
        <f t="shared" si="19"/>
      </c>
      <c r="Z64" s="21">
        <f t="shared" si="20"/>
      </c>
      <c r="AA64" s="21">
        <f t="shared" si="21"/>
      </c>
      <c r="AB64" s="21">
        <f t="shared" si="22"/>
      </c>
      <c r="AC64" s="21">
        <f t="shared" si="23"/>
      </c>
      <c r="AD64" s="96">
        <f t="shared" si="24"/>
      </c>
      <c r="AE64" s="2">
        <f t="shared" si="28"/>
        <v>0</v>
      </c>
      <c r="AF64" s="2">
        <f t="shared" si="29"/>
        <v>999912</v>
      </c>
      <c r="AG64" s="2">
        <f t="shared" si="30"/>
        <v>0</v>
      </c>
      <c r="AZ64" s="2">
        <f>IF(59&gt;$BA$300,0,IFERROR(MATCH(59,$BA$1:$BA$300,0),0))</f>
        <v>0</v>
      </c>
      <c r="BA64" s="2">
        <f>BA50+SUM(CA51:CA64)</f>
        <v>24</v>
      </c>
      <c r="CA64" s="2">
        <f>IF(AND(OR(_余额!$B$66="管理人员",_余额!$B$66="工人"),OR(_余额!$J$66&lt;&gt;0,_余额!$K$66&lt;&gt;0,_余额!$E$66&lt;&gt;0,_余额!$L$66&lt;&gt;0,AND(_余额!$B$66="管理人员",COUNTIFS(工资标准!$B$4:$B$303,_余额!$A$66,工资标准!$E$4:$E$303,"&gt;0")&gt;0))),1,0)</f>
        <v>1</v>
      </c>
    </row>
    <row r="65">
      <c r="A65" s="94">
        <f>IF($AZ65=0,"",60)</f>
      </c>
      <c r="B65" s="94">
        <f t="shared" si="0"/>
      </c>
      <c r="C65" s="94">
        <f t="shared" si="25"/>
      </c>
      <c r="D65" s="119">
        <f t="shared" si="26"/>
      </c>
      <c r="E65" s="21">
        <f t="shared" si="1"/>
      </c>
      <c r="F65" s="118">
        <f t="shared" si="2"/>
      </c>
      <c r="G65" s="21">
        <f t="shared" si="3"/>
      </c>
      <c r="H65" s="21">
        <f t="shared" si="4"/>
      </c>
      <c r="I65" s="21">
        <f t="shared" si="5"/>
      </c>
      <c r="J65" s="21">
        <f t="shared" si="6"/>
      </c>
      <c r="K65" s="21">
        <f t="shared" si="7"/>
      </c>
      <c r="L65" s="21">
        <f t="shared" si="8"/>
      </c>
      <c r="M65" s="21">
        <f t="shared" si="9"/>
      </c>
      <c r="N65" s="21">
        <f t="shared" si="10"/>
      </c>
      <c r="O65" s="21">
        <f t="shared" si="11"/>
      </c>
      <c r="P65" s="96">
        <f t="shared" si="27"/>
      </c>
      <c r="R65" s="21">
        <f t="shared" si="12"/>
      </c>
      <c r="S65" s="21">
        <f t="shared" si="13"/>
      </c>
      <c r="T65" s="21">
        <f t="shared" si="14"/>
      </c>
      <c r="U65" s="21">
        <f t="shared" si="15"/>
      </c>
      <c r="V65" s="21">
        <f t="shared" si="16"/>
      </c>
      <c r="W65" s="21">
        <f t="shared" si="17"/>
      </c>
      <c r="X65" s="21">
        <f t="shared" si="18"/>
      </c>
      <c r="Y65" s="21">
        <f t="shared" si="19"/>
      </c>
      <c r="Z65" s="21">
        <f t="shared" si="20"/>
      </c>
      <c r="AA65" s="21">
        <f t="shared" si="21"/>
      </c>
      <c r="AB65" s="21">
        <f t="shared" si="22"/>
      </c>
      <c r="AC65" s="21">
        <f t="shared" si="23"/>
      </c>
      <c r="AD65" s="96">
        <f t="shared" si="24"/>
      </c>
      <c r="AE65" s="2">
        <f t="shared" si="28"/>
        <v>0</v>
      </c>
      <c r="AF65" s="2">
        <f t="shared" si="29"/>
        <v>999912</v>
      </c>
      <c r="AG65" s="2">
        <f t="shared" si="30"/>
        <v>0</v>
      </c>
      <c r="AZ65" s="2">
        <f>IF(60&gt;$BA$300,0,IFERROR(MATCH(60,$BA$1:$BA$300,0),0))</f>
        <v>0</v>
      </c>
      <c r="BA65" s="2">
        <f>BA50+SUM(CA51:CA65)</f>
        <v>25</v>
      </c>
      <c r="CA65" s="2">
        <f>IF(AND(OR(_余额!$B$67="管理人员",_余额!$B$67="工人"),OR(_余额!$J$67&lt;&gt;0,_余额!$K$67&lt;&gt;0,_余额!$E$67&lt;&gt;0,_余额!$L$67&lt;&gt;0,AND(_余额!$B$67="管理人员",COUNTIFS(工资标准!$B$4:$B$303,_余额!$A$67,工资标准!$E$4:$E$303,"&gt;0")&gt;0))),1,0)</f>
        <v>1</v>
      </c>
    </row>
    <row r="66">
      <c r="A66" s="94">
        <f>IF($AZ66=0,"",61)</f>
      </c>
      <c r="B66" s="94">
        <f t="shared" si="0"/>
      </c>
      <c r="C66" s="94">
        <f t="shared" si="25"/>
      </c>
      <c r="D66" s="119">
        <f t="shared" si="26"/>
      </c>
      <c r="E66" s="21">
        <f t="shared" si="1"/>
      </c>
      <c r="F66" s="118">
        <f t="shared" si="2"/>
      </c>
      <c r="G66" s="21">
        <f t="shared" si="3"/>
      </c>
      <c r="H66" s="21">
        <f t="shared" si="4"/>
      </c>
      <c r="I66" s="21">
        <f t="shared" si="5"/>
      </c>
      <c r="J66" s="21">
        <f t="shared" si="6"/>
      </c>
      <c r="K66" s="21">
        <f t="shared" si="7"/>
      </c>
      <c r="L66" s="21">
        <f t="shared" si="8"/>
      </c>
      <c r="M66" s="21">
        <f t="shared" si="9"/>
      </c>
      <c r="N66" s="21">
        <f t="shared" si="10"/>
      </c>
      <c r="O66" s="21">
        <f t="shared" si="11"/>
      </c>
      <c r="P66" s="96">
        <f t="shared" si="27"/>
      </c>
      <c r="R66" s="21">
        <f t="shared" si="12"/>
      </c>
      <c r="S66" s="21">
        <f t="shared" si="13"/>
      </c>
      <c r="T66" s="21">
        <f t="shared" si="14"/>
      </c>
      <c r="U66" s="21">
        <f t="shared" si="15"/>
      </c>
      <c r="V66" s="21">
        <f t="shared" si="16"/>
      </c>
      <c r="W66" s="21">
        <f t="shared" si="17"/>
      </c>
      <c r="X66" s="21">
        <f t="shared" si="18"/>
      </c>
      <c r="Y66" s="21">
        <f t="shared" si="19"/>
      </c>
      <c r="Z66" s="21">
        <f t="shared" si="20"/>
      </c>
      <c r="AA66" s="21">
        <f t="shared" si="21"/>
      </c>
      <c r="AB66" s="21">
        <f t="shared" si="22"/>
      </c>
      <c r="AC66" s="21">
        <f t="shared" si="23"/>
      </c>
      <c r="AD66" s="96">
        <f t="shared" si="24"/>
      </c>
      <c r="AE66" s="2">
        <f t="shared" si="28"/>
        <v>0</v>
      </c>
      <c r="AF66" s="2">
        <f t="shared" si="29"/>
        <v>999912</v>
      </c>
      <c r="AG66" s="2">
        <f t="shared" si="30"/>
        <v>0</v>
      </c>
      <c r="AZ66" s="2">
        <f>IF(61&gt;$BA$300,0,IFERROR(MATCH(61,$BA$1:$BA$300,0),0))</f>
        <v>0</v>
      </c>
      <c r="BA66" s="2">
        <f>BA50+SUM(CA51:CA66)</f>
        <v>26</v>
      </c>
      <c r="CA66" s="2">
        <f>IF(AND(OR(_余额!$B$68="管理人员",_余额!$B$68="工人"),OR(_余额!$J$68&lt;&gt;0,_余额!$K$68&lt;&gt;0,_余额!$E$68&lt;&gt;0,_余额!$L$68&lt;&gt;0,AND(_余额!$B$68="管理人员",COUNTIFS(工资标准!$B$4:$B$303,_余额!$A$68,工资标准!$E$4:$E$303,"&gt;0")&gt;0))),1,0)</f>
        <v>1</v>
      </c>
    </row>
    <row r="67">
      <c r="A67" s="94">
        <f>IF($AZ67=0,"",62)</f>
      </c>
      <c r="B67" s="94">
        <f t="shared" si="0"/>
      </c>
      <c r="C67" s="94">
        <f t="shared" si="25"/>
      </c>
      <c r="D67" s="119">
        <f t="shared" si="26"/>
      </c>
      <c r="E67" s="21">
        <f t="shared" si="1"/>
      </c>
      <c r="F67" s="118">
        <f t="shared" si="2"/>
      </c>
      <c r="G67" s="21">
        <f t="shared" si="3"/>
      </c>
      <c r="H67" s="21">
        <f t="shared" si="4"/>
      </c>
      <c r="I67" s="21">
        <f t="shared" si="5"/>
      </c>
      <c r="J67" s="21">
        <f t="shared" si="6"/>
      </c>
      <c r="K67" s="21">
        <f t="shared" si="7"/>
      </c>
      <c r="L67" s="21">
        <f t="shared" si="8"/>
      </c>
      <c r="M67" s="21">
        <f t="shared" si="9"/>
      </c>
      <c r="N67" s="21">
        <f t="shared" si="10"/>
      </c>
      <c r="O67" s="21">
        <f t="shared" si="11"/>
      </c>
      <c r="P67" s="96">
        <f t="shared" si="27"/>
      </c>
      <c r="R67" s="21">
        <f t="shared" si="12"/>
      </c>
      <c r="S67" s="21">
        <f t="shared" si="13"/>
      </c>
      <c r="T67" s="21">
        <f t="shared" si="14"/>
      </c>
      <c r="U67" s="21">
        <f t="shared" si="15"/>
      </c>
      <c r="V67" s="21">
        <f t="shared" si="16"/>
      </c>
      <c r="W67" s="21">
        <f t="shared" si="17"/>
      </c>
      <c r="X67" s="21">
        <f t="shared" si="18"/>
      </c>
      <c r="Y67" s="21">
        <f t="shared" si="19"/>
      </c>
      <c r="Z67" s="21">
        <f t="shared" si="20"/>
      </c>
      <c r="AA67" s="21">
        <f t="shared" si="21"/>
      </c>
      <c r="AB67" s="21">
        <f t="shared" si="22"/>
      </c>
      <c r="AC67" s="21">
        <f t="shared" si="23"/>
      </c>
      <c r="AD67" s="96">
        <f t="shared" si="24"/>
      </c>
      <c r="AE67" s="2">
        <f t="shared" si="28"/>
        <v>0</v>
      </c>
      <c r="AF67" s="2">
        <f t="shared" si="29"/>
        <v>999912</v>
      </c>
      <c r="AG67" s="2">
        <f t="shared" si="30"/>
        <v>0</v>
      </c>
      <c r="AZ67" s="2">
        <f>IF(62&gt;$BA$300,0,IFERROR(MATCH(62,$BA$1:$BA$300,0),0))</f>
        <v>0</v>
      </c>
      <c r="BA67" s="2">
        <f>BA50+SUM(CA51:CA67)</f>
        <v>27</v>
      </c>
      <c r="CA67" s="2">
        <f>IF(AND(OR(_余额!$B$69="管理人员",_余额!$B$69="工人"),OR(_余额!$J$69&lt;&gt;0,_余额!$K$69&lt;&gt;0,_余额!$E$69&lt;&gt;0,_余额!$L$69&lt;&gt;0,AND(_余额!$B$69="管理人员",COUNTIFS(工资标准!$B$4:$B$303,_余额!$A$69,工资标准!$E$4:$E$303,"&gt;0")&gt;0))),1,0)</f>
        <v>1</v>
      </c>
    </row>
    <row r="68">
      <c r="A68" s="94">
        <f>IF($AZ68=0,"",63)</f>
      </c>
      <c r="B68" s="94">
        <f t="shared" si="0"/>
      </c>
      <c r="C68" s="94">
        <f t="shared" si="25"/>
      </c>
      <c r="D68" s="119">
        <f t="shared" si="26"/>
      </c>
      <c r="E68" s="21">
        <f t="shared" si="1"/>
      </c>
      <c r="F68" s="118">
        <f t="shared" si="2"/>
      </c>
      <c r="G68" s="21">
        <f t="shared" si="3"/>
      </c>
      <c r="H68" s="21">
        <f t="shared" si="4"/>
      </c>
      <c r="I68" s="21">
        <f t="shared" si="5"/>
      </c>
      <c r="J68" s="21">
        <f t="shared" si="6"/>
      </c>
      <c r="K68" s="21">
        <f t="shared" si="7"/>
      </c>
      <c r="L68" s="21">
        <f t="shared" si="8"/>
      </c>
      <c r="M68" s="21">
        <f t="shared" si="9"/>
      </c>
      <c r="N68" s="21">
        <f t="shared" si="10"/>
      </c>
      <c r="O68" s="21">
        <f t="shared" si="11"/>
      </c>
      <c r="P68" s="96">
        <f t="shared" si="27"/>
      </c>
      <c r="R68" s="21">
        <f t="shared" si="12"/>
      </c>
      <c r="S68" s="21">
        <f t="shared" si="13"/>
      </c>
      <c r="T68" s="21">
        <f t="shared" si="14"/>
      </c>
      <c r="U68" s="21">
        <f t="shared" si="15"/>
      </c>
      <c r="V68" s="21">
        <f t="shared" si="16"/>
      </c>
      <c r="W68" s="21">
        <f t="shared" si="17"/>
      </c>
      <c r="X68" s="21">
        <f t="shared" si="18"/>
      </c>
      <c r="Y68" s="21">
        <f t="shared" si="19"/>
      </c>
      <c r="Z68" s="21">
        <f t="shared" si="20"/>
      </c>
      <c r="AA68" s="21">
        <f t="shared" si="21"/>
      </c>
      <c r="AB68" s="21">
        <f t="shared" si="22"/>
      </c>
      <c r="AC68" s="21">
        <f t="shared" si="23"/>
      </c>
      <c r="AD68" s="96">
        <f t="shared" si="24"/>
      </c>
      <c r="AE68" s="2">
        <f t="shared" si="28"/>
        <v>0</v>
      </c>
      <c r="AF68" s="2">
        <f t="shared" si="29"/>
        <v>999912</v>
      </c>
      <c r="AG68" s="2">
        <f t="shared" si="30"/>
        <v>0</v>
      </c>
      <c r="AZ68" s="2">
        <f>IF(63&gt;$BA$300,0,IFERROR(MATCH(63,$BA$1:$BA$300,0),0))</f>
        <v>0</v>
      </c>
      <c r="BA68" s="2">
        <f>BA50+SUM(CA51:CA68)</f>
        <v>28</v>
      </c>
      <c r="CA68" s="2">
        <f>IF(AND(OR(_余额!$B$70="管理人员",_余额!$B$70="工人"),OR(_余额!$J$70&lt;&gt;0,_余额!$K$70&lt;&gt;0,_余额!$E$70&lt;&gt;0,_余额!$L$70&lt;&gt;0,AND(_余额!$B$70="管理人员",COUNTIFS(工资标准!$B$4:$B$303,_余额!$A$70,工资标准!$E$4:$E$303,"&gt;0")&gt;0))),1,0)</f>
        <v>1</v>
      </c>
    </row>
    <row r="69">
      <c r="A69" s="94">
        <f>IF($AZ69=0,"",64)</f>
      </c>
      <c r="B69" s="94">
        <f t="shared" si="0"/>
      </c>
      <c r="C69" s="94">
        <f t="shared" si="25"/>
      </c>
      <c r="D69" s="119">
        <f t="shared" si="26"/>
      </c>
      <c r="E69" s="21">
        <f t="shared" si="1"/>
      </c>
      <c r="F69" s="118">
        <f t="shared" si="2"/>
      </c>
      <c r="G69" s="21">
        <f t="shared" si="3"/>
      </c>
      <c r="H69" s="21">
        <f t="shared" si="4"/>
      </c>
      <c r="I69" s="21">
        <f t="shared" si="5"/>
      </c>
      <c r="J69" s="21">
        <f t="shared" si="6"/>
      </c>
      <c r="K69" s="21">
        <f t="shared" si="7"/>
      </c>
      <c r="L69" s="21">
        <f t="shared" si="8"/>
      </c>
      <c r="M69" s="21">
        <f t="shared" si="9"/>
      </c>
      <c r="N69" s="21">
        <f t="shared" si="10"/>
      </c>
      <c r="O69" s="21">
        <f t="shared" si="11"/>
      </c>
      <c r="P69" s="96">
        <f t="shared" si="27"/>
      </c>
      <c r="R69" s="21">
        <f t="shared" si="12"/>
      </c>
      <c r="S69" s="21">
        <f t="shared" si="13"/>
      </c>
      <c r="T69" s="21">
        <f t="shared" si="14"/>
      </c>
      <c r="U69" s="21">
        <f t="shared" si="15"/>
      </c>
      <c r="V69" s="21">
        <f t="shared" si="16"/>
      </c>
      <c r="W69" s="21">
        <f t="shared" si="17"/>
      </c>
      <c r="X69" s="21">
        <f t="shared" si="18"/>
      </c>
      <c r="Y69" s="21">
        <f t="shared" si="19"/>
      </c>
      <c r="Z69" s="21">
        <f t="shared" si="20"/>
      </c>
      <c r="AA69" s="21">
        <f t="shared" si="21"/>
      </c>
      <c r="AB69" s="21">
        <f t="shared" si="22"/>
      </c>
      <c r="AC69" s="21">
        <f t="shared" si="23"/>
      </c>
      <c r="AD69" s="96">
        <f t="shared" si="24"/>
      </c>
      <c r="AE69" s="2">
        <f t="shared" si="28"/>
        <v>0</v>
      </c>
      <c r="AF69" s="2">
        <f t="shared" si="29"/>
        <v>999912</v>
      </c>
      <c r="AG69" s="2">
        <f t="shared" si="30"/>
        <v>0</v>
      </c>
      <c r="AZ69" s="2">
        <f>IF(64&gt;$BA$300,0,IFERROR(MATCH(64,$BA$1:$BA$300,0),0))</f>
        <v>0</v>
      </c>
      <c r="BA69" s="2">
        <f>BA50+SUM(CA51:CA69)</f>
        <v>29</v>
      </c>
      <c r="CA69" s="2">
        <f>IF(AND(OR(_余额!$B$71="管理人员",_余额!$B$71="工人"),OR(_余额!$J$71&lt;&gt;0,_余额!$K$71&lt;&gt;0,_余额!$E$71&lt;&gt;0,_余额!$L$71&lt;&gt;0,AND(_余额!$B$71="管理人员",COUNTIFS(工资标准!$B$4:$B$303,_余额!$A$71,工资标准!$E$4:$E$303,"&gt;0")&gt;0))),1,0)</f>
        <v>1</v>
      </c>
    </row>
    <row r="70">
      <c r="A70" s="94">
        <f>IF($AZ70=0,"",65)</f>
      </c>
      <c r="B70" s="94">
        <f t="shared" si="0"/>
      </c>
      <c r="C70" s="94">
        <f t="shared" si="25"/>
      </c>
      <c r="D70" s="119">
        <f t="shared" si="26"/>
      </c>
      <c r="E70" s="21">
        <f t="shared" si="1"/>
      </c>
      <c r="F70" s="118">
        <f t="shared" si="2"/>
      </c>
      <c r="G70" s="21">
        <f t="shared" si="3"/>
      </c>
      <c r="H70" s="21">
        <f t="shared" si="4"/>
      </c>
      <c r="I70" s="21">
        <f t="shared" si="5"/>
      </c>
      <c r="J70" s="21">
        <f t="shared" si="6"/>
      </c>
      <c r="K70" s="21">
        <f t="shared" si="7"/>
      </c>
      <c r="L70" s="21">
        <f t="shared" si="8"/>
      </c>
      <c r="M70" s="21">
        <f t="shared" si="9"/>
      </c>
      <c r="N70" s="21">
        <f t="shared" si="10"/>
      </c>
      <c r="O70" s="21">
        <f t="shared" si="11"/>
      </c>
      <c r="P70" s="96">
        <f t="shared" si="27"/>
      </c>
      <c r="R70" s="21">
        <f t="shared" si="12"/>
      </c>
      <c r="S70" s="21">
        <f t="shared" si="13"/>
      </c>
      <c r="T70" s="21">
        <f t="shared" si="14"/>
      </c>
      <c r="U70" s="21">
        <f t="shared" si="15"/>
      </c>
      <c r="V70" s="21">
        <f t="shared" si="16"/>
      </c>
      <c r="W70" s="21">
        <f t="shared" si="17"/>
      </c>
      <c r="X70" s="21">
        <f t="shared" si="18"/>
      </c>
      <c r="Y70" s="21">
        <f t="shared" si="19"/>
      </c>
      <c r="Z70" s="21">
        <f t="shared" si="20"/>
      </c>
      <c r="AA70" s="21">
        <f t="shared" si="21"/>
      </c>
      <c r="AB70" s="21">
        <f t="shared" si="22"/>
      </c>
      <c r="AC70" s="21">
        <f t="shared" si="23"/>
      </c>
      <c r="AD70" s="96">
        <f t="shared" si="24"/>
      </c>
      <c r="AE70" s="2">
        <f t="shared" si="28"/>
        <v>0</v>
      </c>
      <c r="AF70" s="2">
        <f t="shared" si="29"/>
        <v>999912</v>
      </c>
      <c r="AG70" s="2">
        <f t="shared" si="30"/>
        <v>0</v>
      </c>
      <c r="AZ70" s="2">
        <f>IF(65&gt;$BA$300,0,IFERROR(MATCH(65,$BA$1:$BA$300,0),0))</f>
        <v>0</v>
      </c>
      <c r="BA70" s="2">
        <f>BA50+SUM(CA51:CA70)</f>
        <v>30</v>
      </c>
      <c r="CA70" s="2">
        <f>IF(AND(OR(_余额!$B$72="管理人员",_余额!$B$72="工人"),OR(_余额!$J$72&lt;&gt;0,_余额!$K$72&lt;&gt;0,_余额!$E$72&lt;&gt;0,_余额!$L$72&lt;&gt;0,AND(_余额!$B$72="管理人员",COUNTIFS(工资标准!$B$4:$B$303,_余额!$A$72,工资标准!$E$4:$E$303,"&gt;0")&gt;0))),1,0)</f>
        <v>1</v>
      </c>
    </row>
    <row r="71">
      <c r="A71" s="94">
        <f>IF($AZ71=0,"",66)</f>
      </c>
      <c r="B71" s="94">
        <f t="shared" si="0"/>
      </c>
      <c r="C71" s="94">
        <f t="shared" si="25"/>
      </c>
      <c r="D71" s="119">
        <f t="shared" si="26"/>
      </c>
      <c r="E71" s="21">
        <f t="shared" si="1"/>
      </c>
      <c r="F71" s="118">
        <f t="shared" si="2"/>
      </c>
      <c r="G71" s="21">
        <f t="shared" si="3"/>
      </c>
      <c r="H71" s="21">
        <f t="shared" si="4"/>
      </c>
      <c r="I71" s="21">
        <f t="shared" si="5"/>
      </c>
      <c r="J71" s="21">
        <f t="shared" si="6"/>
      </c>
      <c r="K71" s="21">
        <f t="shared" si="7"/>
      </c>
      <c r="L71" s="21">
        <f t="shared" si="8"/>
      </c>
      <c r="M71" s="21">
        <f t="shared" si="9"/>
      </c>
      <c r="N71" s="21">
        <f t="shared" si="10"/>
      </c>
      <c r="O71" s="21">
        <f t="shared" si="11"/>
      </c>
      <c r="P71" s="96">
        <f t="shared" si="27"/>
      </c>
      <c r="R71" s="21">
        <f t="shared" si="12"/>
      </c>
      <c r="S71" s="21">
        <f t="shared" si="13"/>
      </c>
      <c r="T71" s="21">
        <f t="shared" si="14"/>
      </c>
      <c r="U71" s="21">
        <f t="shared" si="15"/>
      </c>
      <c r="V71" s="21">
        <f t="shared" si="16"/>
      </c>
      <c r="W71" s="21">
        <f t="shared" si="17"/>
      </c>
      <c r="X71" s="21">
        <f t="shared" si="18"/>
      </c>
      <c r="Y71" s="21">
        <f t="shared" si="19"/>
      </c>
      <c r="Z71" s="21">
        <f t="shared" si="20"/>
      </c>
      <c r="AA71" s="21">
        <f t="shared" si="21"/>
      </c>
      <c r="AB71" s="21">
        <f t="shared" si="22"/>
      </c>
      <c r="AC71" s="21">
        <f t="shared" si="23"/>
      </c>
      <c r="AD71" s="96">
        <f t="shared" si="24"/>
      </c>
      <c r="AE71" s="2">
        <f t="shared" si="28"/>
        <v>0</v>
      </c>
      <c r="AF71" s="2">
        <f t="shared" si="29"/>
        <v>999912</v>
      </c>
      <c r="AG71" s="2">
        <f t="shared" si="30"/>
        <v>0</v>
      </c>
      <c r="AZ71" s="2">
        <f>IF(66&gt;$BA$300,0,IFERROR(MATCH(66,$BA$1:$BA$300,0),0))</f>
        <v>0</v>
      </c>
      <c r="BA71" s="2">
        <f>BA50+SUM(CA51:CA71)</f>
        <v>31</v>
      </c>
      <c r="CA71" s="2">
        <f>IF(AND(OR(_余额!$B$73="管理人员",_余额!$B$73="工人"),OR(_余额!$J$73&lt;&gt;0,_余额!$K$73&lt;&gt;0,_余额!$E$73&lt;&gt;0,_余额!$L$73&lt;&gt;0,AND(_余额!$B$73="管理人员",COUNTIFS(工资标准!$B$4:$B$303,_余额!$A$73,工资标准!$E$4:$E$303,"&gt;0")&gt;0))),1,0)</f>
        <v>1</v>
      </c>
    </row>
    <row r="72">
      <c r="A72" s="94">
        <f>IF($AZ72=0,"",67)</f>
      </c>
      <c r="B72" s="94">
        <f t="shared" si="0"/>
      </c>
      <c r="C72" s="94">
        <f t="shared" si="25"/>
      </c>
      <c r="D72" s="119">
        <f t="shared" si="26"/>
      </c>
      <c r="E72" s="21">
        <f t="shared" si="1"/>
      </c>
      <c r="F72" s="118">
        <f t="shared" si="2"/>
      </c>
      <c r="G72" s="21">
        <f t="shared" si="3"/>
      </c>
      <c r="H72" s="21">
        <f t="shared" si="4"/>
      </c>
      <c r="I72" s="21">
        <f t="shared" si="5"/>
      </c>
      <c r="J72" s="21">
        <f t="shared" si="6"/>
      </c>
      <c r="K72" s="21">
        <f t="shared" si="7"/>
      </c>
      <c r="L72" s="21">
        <f t="shared" si="8"/>
      </c>
      <c r="M72" s="21">
        <f t="shared" si="9"/>
      </c>
      <c r="N72" s="21">
        <f t="shared" si="10"/>
      </c>
      <c r="O72" s="21">
        <f t="shared" si="11"/>
      </c>
      <c r="P72" s="96">
        <f t="shared" si="27"/>
      </c>
      <c r="R72" s="21">
        <f t="shared" si="12"/>
      </c>
      <c r="S72" s="21">
        <f t="shared" si="13"/>
      </c>
      <c r="T72" s="21">
        <f t="shared" si="14"/>
      </c>
      <c r="U72" s="21">
        <f t="shared" si="15"/>
      </c>
      <c r="V72" s="21">
        <f t="shared" si="16"/>
      </c>
      <c r="W72" s="21">
        <f t="shared" si="17"/>
      </c>
      <c r="X72" s="21">
        <f t="shared" si="18"/>
      </c>
      <c r="Y72" s="21">
        <f t="shared" si="19"/>
      </c>
      <c r="Z72" s="21">
        <f t="shared" si="20"/>
      </c>
      <c r="AA72" s="21">
        <f t="shared" si="21"/>
      </c>
      <c r="AB72" s="21">
        <f t="shared" si="22"/>
      </c>
      <c r="AC72" s="21">
        <f t="shared" si="23"/>
      </c>
      <c r="AD72" s="96">
        <f t="shared" si="24"/>
      </c>
      <c r="AE72" s="2">
        <f t="shared" si="28"/>
        <v>0</v>
      </c>
      <c r="AF72" s="2">
        <f t="shared" si="29"/>
        <v>999912</v>
      </c>
      <c r="AG72" s="2">
        <f t="shared" si="30"/>
        <v>0</v>
      </c>
      <c r="AZ72" s="2">
        <f>IF(67&gt;$BA$300,0,IFERROR(MATCH(67,$BA$1:$BA$300,0),0))</f>
        <v>0</v>
      </c>
      <c r="BA72" s="2">
        <f>BA50+SUM(CA51:CA72)</f>
        <v>32</v>
      </c>
      <c r="CA72" s="2">
        <f>IF(AND(OR(_余额!$B$74="管理人员",_余额!$B$74="工人"),OR(_余额!$J$74&lt;&gt;0,_余额!$K$74&lt;&gt;0,_余额!$E$74&lt;&gt;0,_余额!$L$74&lt;&gt;0,AND(_余额!$B$74="管理人员",COUNTIFS(工资标准!$B$4:$B$303,_余额!$A$74,工资标准!$E$4:$E$303,"&gt;0")&gt;0))),1,0)</f>
        <v>1</v>
      </c>
    </row>
    <row r="73">
      <c r="A73" s="94">
        <f>IF($AZ73=0,"",68)</f>
      </c>
      <c r="B73" s="94">
        <f t="shared" si="0"/>
      </c>
      <c r="C73" s="94">
        <f t="shared" si="25"/>
      </c>
      <c r="D73" s="119">
        <f t="shared" si="26"/>
      </c>
      <c r="E73" s="21">
        <f t="shared" si="1"/>
      </c>
      <c r="F73" s="118">
        <f t="shared" si="2"/>
      </c>
      <c r="G73" s="21">
        <f t="shared" si="3"/>
      </c>
      <c r="H73" s="21">
        <f t="shared" si="4"/>
      </c>
      <c r="I73" s="21">
        <f t="shared" si="5"/>
      </c>
      <c r="J73" s="21">
        <f t="shared" si="6"/>
      </c>
      <c r="K73" s="21">
        <f t="shared" si="7"/>
      </c>
      <c r="L73" s="21">
        <f t="shared" si="8"/>
      </c>
      <c r="M73" s="21">
        <f t="shared" si="9"/>
      </c>
      <c r="N73" s="21">
        <f t="shared" si="10"/>
      </c>
      <c r="O73" s="21">
        <f t="shared" si="11"/>
      </c>
      <c r="P73" s="96">
        <f t="shared" si="27"/>
      </c>
      <c r="R73" s="21">
        <f t="shared" si="12"/>
      </c>
      <c r="S73" s="21">
        <f t="shared" si="13"/>
      </c>
      <c r="T73" s="21">
        <f t="shared" si="14"/>
      </c>
      <c r="U73" s="21">
        <f t="shared" si="15"/>
      </c>
      <c r="V73" s="21">
        <f t="shared" si="16"/>
      </c>
      <c r="W73" s="21">
        <f t="shared" si="17"/>
      </c>
      <c r="X73" s="21">
        <f t="shared" si="18"/>
      </c>
      <c r="Y73" s="21">
        <f t="shared" si="19"/>
      </c>
      <c r="Z73" s="21">
        <f t="shared" si="20"/>
      </c>
      <c r="AA73" s="21">
        <f t="shared" si="21"/>
      </c>
      <c r="AB73" s="21">
        <f t="shared" si="22"/>
      </c>
      <c r="AC73" s="21">
        <f t="shared" si="23"/>
      </c>
      <c r="AD73" s="96">
        <f t="shared" si="24"/>
      </c>
      <c r="AE73" s="2">
        <f t="shared" si="28"/>
        <v>0</v>
      </c>
      <c r="AF73" s="2">
        <f t="shared" si="29"/>
        <v>999912</v>
      </c>
      <c r="AG73" s="2">
        <f t="shared" si="30"/>
        <v>0</v>
      </c>
      <c r="AZ73" s="2">
        <f>IF(68&gt;$BA$300,0,IFERROR(MATCH(68,$BA$1:$BA$300,0),0))</f>
        <v>0</v>
      </c>
      <c r="BA73" s="2">
        <f>BA50+SUM(CA51:CA73)</f>
        <v>33</v>
      </c>
      <c r="CA73" s="2">
        <f>IF(AND(OR(_余额!$B$75="管理人员",_余额!$B$75="工人"),OR(_余额!$J$75&lt;&gt;0,_余额!$K$75&lt;&gt;0,_余额!$E$75&lt;&gt;0,_余额!$L$75&lt;&gt;0,AND(_余额!$B$75="管理人员",COUNTIFS(工资标准!$B$4:$B$303,_余额!$A$75,工资标准!$E$4:$E$303,"&gt;0")&gt;0))),1,0)</f>
        <v>1</v>
      </c>
    </row>
    <row r="74">
      <c r="A74" s="94">
        <f>IF($AZ74=0,"",69)</f>
      </c>
      <c r="B74" s="94">
        <f t="shared" si="0"/>
      </c>
      <c r="C74" s="94">
        <f t="shared" si="25"/>
      </c>
      <c r="D74" s="119">
        <f t="shared" si="26"/>
      </c>
      <c r="E74" s="21">
        <f t="shared" si="1"/>
      </c>
      <c r="F74" s="118">
        <f t="shared" si="2"/>
      </c>
      <c r="G74" s="21">
        <f t="shared" si="3"/>
      </c>
      <c r="H74" s="21">
        <f t="shared" si="4"/>
      </c>
      <c r="I74" s="21">
        <f t="shared" si="5"/>
      </c>
      <c r="J74" s="21">
        <f t="shared" si="6"/>
      </c>
      <c r="K74" s="21">
        <f t="shared" si="7"/>
      </c>
      <c r="L74" s="21">
        <f t="shared" si="8"/>
      </c>
      <c r="M74" s="21">
        <f t="shared" si="9"/>
      </c>
      <c r="N74" s="21">
        <f t="shared" si="10"/>
      </c>
      <c r="O74" s="21">
        <f t="shared" si="11"/>
      </c>
      <c r="P74" s="96">
        <f t="shared" si="27"/>
      </c>
      <c r="R74" s="21">
        <f t="shared" si="12"/>
      </c>
      <c r="S74" s="21">
        <f t="shared" si="13"/>
      </c>
      <c r="T74" s="21">
        <f t="shared" si="14"/>
      </c>
      <c r="U74" s="21">
        <f t="shared" si="15"/>
      </c>
      <c r="V74" s="21">
        <f t="shared" si="16"/>
      </c>
      <c r="W74" s="21">
        <f t="shared" si="17"/>
      </c>
      <c r="X74" s="21">
        <f t="shared" si="18"/>
      </c>
      <c r="Y74" s="21">
        <f t="shared" si="19"/>
      </c>
      <c r="Z74" s="21">
        <f t="shared" si="20"/>
      </c>
      <c r="AA74" s="21">
        <f t="shared" si="21"/>
      </c>
      <c r="AB74" s="21">
        <f t="shared" si="22"/>
      </c>
      <c r="AC74" s="21">
        <f t="shared" si="23"/>
      </c>
      <c r="AD74" s="96">
        <f t="shared" si="24"/>
      </c>
      <c r="AE74" s="2">
        <f t="shared" si="28"/>
        <v>0</v>
      </c>
      <c r="AF74" s="2">
        <f t="shared" si="29"/>
        <v>999912</v>
      </c>
      <c r="AG74" s="2">
        <f t="shared" si="30"/>
        <v>0</v>
      </c>
      <c r="AZ74" s="2">
        <f>IF(69&gt;$BA$300,0,IFERROR(MATCH(69,$BA$1:$BA$300,0),0))</f>
        <v>0</v>
      </c>
      <c r="BA74" s="2">
        <f>BA50+SUM(CA51:CA74)</f>
        <v>34</v>
      </c>
      <c r="CA74" s="2">
        <f>IF(AND(OR(_余额!$B$76="管理人员",_余额!$B$76="工人"),OR(_余额!$J$76&lt;&gt;0,_余额!$K$76&lt;&gt;0,_余额!$E$76&lt;&gt;0,_余额!$L$76&lt;&gt;0,AND(_余额!$B$76="管理人员",COUNTIFS(工资标准!$B$4:$B$303,_余额!$A$76,工资标准!$E$4:$E$303,"&gt;0")&gt;0))),1,0)</f>
        <v>1</v>
      </c>
    </row>
    <row r="75">
      <c r="A75" s="94">
        <f>IF($AZ75=0,"",70)</f>
      </c>
      <c r="B75" s="94">
        <f t="shared" si="0"/>
      </c>
      <c r="C75" s="94">
        <f t="shared" si="25"/>
      </c>
      <c r="D75" s="119">
        <f t="shared" si="26"/>
      </c>
      <c r="E75" s="21">
        <f t="shared" si="1"/>
      </c>
      <c r="F75" s="118">
        <f t="shared" si="2"/>
      </c>
      <c r="G75" s="21">
        <f t="shared" si="3"/>
      </c>
      <c r="H75" s="21">
        <f t="shared" si="4"/>
      </c>
      <c r="I75" s="21">
        <f t="shared" si="5"/>
      </c>
      <c r="J75" s="21">
        <f t="shared" si="6"/>
      </c>
      <c r="K75" s="21">
        <f t="shared" si="7"/>
      </c>
      <c r="L75" s="21">
        <f t="shared" si="8"/>
      </c>
      <c r="M75" s="21">
        <f t="shared" si="9"/>
      </c>
      <c r="N75" s="21">
        <f t="shared" si="10"/>
      </c>
      <c r="O75" s="21">
        <f t="shared" si="11"/>
      </c>
      <c r="P75" s="96">
        <f t="shared" si="27"/>
      </c>
      <c r="R75" s="21">
        <f t="shared" si="12"/>
      </c>
      <c r="S75" s="21">
        <f t="shared" si="13"/>
      </c>
      <c r="T75" s="21">
        <f t="shared" si="14"/>
      </c>
      <c r="U75" s="21">
        <f t="shared" si="15"/>
      </c>
      <c r="V75" s="21">
        <f t="shared" si="16"/>
      </c>
      <c r="W75" s="21">
        <f t="shared" si="17"/>
      </c>
      <c r="X75" s="21">
        <f t="shared" si="18"/>
      </c>
      <c r="Y75" s="21">
        <f t="shared" si="19"/>
      </c>
      <c r="Z75" s="21">
        <f t="shared" si="20"/>
      </c>
      <c r="AA75" s="21">
        <f t="shared" si="21"/>
      </c>
      <c r="AB75" s="21">
        <f t="shared" si="22"/>
      </c>
      <c r="AC75" s="21">
        <f t="shared" si="23"/>
      </c>
      <c r="AD75" s="96">
        <f t="shared" si="24"/>
      </c>
      <c r="AE75" s="2">
        <f t="shared" si="28"/>
        <v>0</v>
      </c>
      <c r="AF75" s="2">
        <f t="shared" si="29"/>
        <v>999912</v>
      </c>
      <c r="AG75" s="2">
        <f t="shared" si="30"/>
        <v>0</v>
      </c>
      <c r="AZ75" s="2">
        <f>IF(70&gt;$BA$300,0,IFERROR(MATCH(70,$BA$1:$BA$300,0),0))</f>
        <v>0</v>
      </c>
      <c r="BA75" s="2">
        <f>BA50+SUM(CA51:CA75)</f>
        <v>34</v>
      </c>
      <c r="CA75" s="2">
        <f>IF(AND(OR(_余额!$B$77="管理人员",_余额!$B$77="工人"),OR(_余额!$J$77&lt;&gt;0,_余额!$K$77&lt;&gt;0,_余额!$E$77&lt;&gt;0,_余额!$L$77&lt;&gt;0,AND(_余额!$B$77="管理人员",COUNTIFS(工资标准!$B$4:$B$303,_余额!$A$77,工资标准!$E$4:$E$303,"&gt;0")&gt;0))),1,0)</f>
        <v>0</v>
      </c>
    </row>
    <row r="76">
      <c r="A76" s="94">
        <f>IF($AZ76=0,"",71)</f>
      </c>
      <c r="B76" s="94">
        <f t="shared" si="0"/>
      </c>
      <c r="C76" s="94">
        <f t="shared" si="25"/>
      </c>
      <c r="D76" s="119">
        <f t="shared" si="26"/>
      </c>
      <c r="E76" s="21">
        <f t="shared" si="1"/>
      </c>
      <c r="F76" s="118">
        <f t="shared" si="2"/>
      </c>
      <c r="G76" s="21">
        <f t="shared" si="3"/>
      </c>
      <c r="H76" s="21">
        <f t="shared" si="4"/>
      </c>
      <c r="I76" s="21">
        <f t="shared" si="5"/>
      </c>
      <c r="J76" s="21">
        <f t="shared" si="6"/>
      </c>
      <c r="K76" s="21">
        <f t="shared" si="7"/>
      </c>
      <c r="L76" s="21">
        <f t="shared" si="8"/>
      </c>
      <c r="M76" s="21">
        <f t="shared" si="9"/>
      </c>
      <c r="N76" s="21">
        <f t="shared" si="10"/>
      </c>
      <c r="O76" s="21">
        <f t="shared" si="11"/>
      </c>
      <c r="P76" s="96">
        <f t="shared" si="27"/>
      </c>
      <c r="R76" s="21">
        <f t="shared" si="12"/>
      </c>
      <c r="S76" s="21">
        <f t="shared" si="13"/>
      </c>
      <c r="T76" s="21">
        <f t="shared" si="14"/>
      </c>
      <c r="U76" s="21">
        <f t="shared" si="15"/>
      </c>
      <c r="V76" s="21">
        <f t="shared" si="16"/>
      </c>
      <c r="W76" s="21">
        <f t="shared" si="17"/>
      </c>
      <c r="X76" s="21">
        <f t="shared" si="18"/>
      </c>
      <c r="Y76" s="21">
        <f t="shared" si="19"/>
      </c>
      <c r="Z76" s="21">
        <f t="shared" si="20"/>
      </c>
      <c r="AA76" s="21">
        <f t="shared" si="21"/>
      </c>
      <c r="AB76" s="21">
        <f t="shared" si="22"/>
      </c>
      <c r="AC76" s="21">
        <f t="shared" si="23"/>
      </c>
      <c r="AD76" s="96">
        <f t="shared" si="24"/>
      </c>
      <c r="AE76" s="2">
        <f t="shared" si="28"/>
        <v>0</v>
      </c>
      <c r="AF76" s="2">
        <f t="shared" si="29"/>
        <v>999912</v>
      </c>
      <c r="AG76" s="2">
        <f t="shared" si="30"/>
        <v>0</v>
      </c>
      <c r="AZ76" s="2">
        <f>IF(71&gt;$BA$300,0,IFERROR(MATCH(71,$BA$1:$BA$300,0),0))</f>
        <v>0</v>
      </c>
      <c r="BA76" s="2">
        <f>BA50+SUM(CA51:CA76)</f>
        <v>35</v>
      </c>
      <c r="CA76" s="2">
        <f>IF(AND(OR(_余额!$B$78="管理人员",_余额!$B$78="工人"),OR(_余额!$J$78&lt;&gt;0,_余额!$K$78&lt;&gt;0,_余额!$E$78&lt;&gt;0,_余额!$L$78&lt;&gt;0,AND(_余额!$B$78="管理人员",COUNTIFS(工资标准!$B$4:$B$303,_余额!$A$78,工资标准!$E$4:$E$303,"&gt;0")&gt;0))),1,0)</f>
        <v>1</v>
      </c>
    </row>
    <row r="77">
      <c r="A77" s="94">
        <f>IF($AZ77=0,"",72)</f>
      </c>
      <c r="B77" s="94">
        <f t="shared" si="0"/>
      </c>
      <c r="C77" s="94">
        <f t="shared" si="25"/>
      </c>
      <c r="D77" s="119">
        <f t="shared" si="26"/>
      </c>
      <c r="E77" s="21">
        <f t="shared" si="1"/>
      </c>
      <c r="F77" s="118">
        <f t="shared" si="2"/>
      </c>
      <c r="G77" s="21">
        <f t="shared" si="3"/>
      </c>
      <c r="H77" s="21">
        <f t="shared" si="4"/>
      </c>
      <c r="I77" s="21">
        <f t="shared" si="5"/>
      </c>
      <c r="J77" s="21">
        <f t="shared" si="6"/>
      </c>
      <c r="K77" s="21">
        <f t="shared" si="7"/>
      </c>
      <c r="L77" s="21">
        <f t="shared" si="8"/>
      </c>
      <c r="M77" s="21">
        <f t="shared" si="9"/>
      </c>
      <c r="N77" s="21">
        <f t="shared" si="10"/>
      </c>
      <c r="O77" s="21">
        <f t="shared" si="11"/>
      </c>
      <c r="P77" s="96">
        <f t="shared" si="27"/>
      </c>
      <c r="R77" s="21">
        <f t="shared" si="12"/>
      </c>
      <c r="S77" s="21">
        <f t="shared" si="13"/>
      </c>
      <c r="T77" s="21">
        <f t="shared" si="14"/>
      </c>
      <c r="U77" s="21">
        <f t="shared" si="15"/>
      </c>
      <c r="V77" s="21">
        <f t="shared" si="16"/>
      </c>
      <c r="W77" s="21">
        <f t="shared" si="17"/>
      </c>
      <c r="X77" s="21">
        <f t="shared" si="18"/>
      </c>
      <c r="Y77" s="21">
        <f t="shared" si="19"/>
      </c>
      <c r="Z77" s="21">
        <f t="shared" si="20"/>
      </c>
      <c r="AA77" s="21">
        <f t="shared" si="21"/>
      </c>
      <c r="AB77" s="21">
        <f t="shared" si="22"/>
      </c>
      <c r="AC77" s="21">
        <f t="shared" si="23"/>
      </c>
      <c r="AD77" s="96">
        <f t="shared" si="24"/>
      </c>
      <c r="AE77" s="2">
        <f t="shared" si="28"/>
        <v>0</v>
      </c>
      <c r="AF77" s="2">
        <f t="shared" si="29"/>
        <v>999912</v>
      </c>
      <c r="AG77" s="2">
        <f t="shared" si="30"/>
        <v>0</v>
      </c>
      <c r="AZ77" s="2">
        <f>IF(72&gt;$BA$300,0,IFERROR(MATCH(72,$BA$1:$BA$300,0),0))</f>
        <v>0</v>
      </c>
      <c r="BA77" s="2">
        <f>BA50+SUM(CA51:CA77)</f>
        <v>36</v>
      </c>
      <c r="CA77" s="2">
        <f>IF(AND(OR(_余额!$B$79="管理人员",_余额!$B$79="工人"),OR(_余额!$J$79&lt;&gt;0,_余额!$K$79&lt;&gt;0,_余额!$E$79&lt;&gt;0,_余额!$L$79&lt;&gt;0,AND(_余额!$B$79="管理人员",COUNTIFS(工资标准!$B$4:$B$303,_余额!$A$79,工资标准!$E$4:$E$303,"&gt;0")&gt;0))),1,0)</f>
        <v>1</v>
      </c>
    </row>
    <row r="78">
      <c r="A78" s="94">
        <f>IF($AZ78=0,"",73)</f>
      </c>
      <c r="B78" s="94">
        <f t="shared" si="0"/>
      </c>
      <c r="C78" s="94">
        <f t="shared" si="25"/>
      </c>
      <c r="D78" s="119">
        <f t="shared" si="26"/>
      </c>
      <c r="E78" s="21">
        <f t="shared" si="1"/>
      </c>
      <c r="F78" s="118">
        <f t="shared" si="2"/>
      </c>
      <c r="G78" s="21">
        <f t="shared" si="3"/>
      </c>
      <c r="H78" s="21">
        <f t="shared" si="4"/>
      </c>
      <c r="I78" s="21">
        <f t="shared" si="5"/>
      </c>
      <c r="J78" s="21">
        <f t="shared" si="6"/>
      </c>
      <c r="K78" s="21">
        <f t="shared" si="7"/>
      </c>
      <c r="L78" s="21">
        <f t="shared" si="8"/>
      </c>
      <c r="M78" s="21">
        <f t="shared" si="9"/>
      </c>
      <c r="N78" s="21">
        <f t="shared" si="10"/>
      </c>
      <c r="O78" s="21">
        <f t="shared" si="11"/>
      </c>
      <c r="P78" s="96">
        <f t="shared" si="27"/>
      </c>
      <c r="R78" s="21">
        <f t="shared" si="12"/>
      </c>
      <c r="S78" s="21">
        <f t="shared" si="13"/>
      </c>
      <c r="T78" s="21">
        <f t="shared" si="14"/>
      </c>
      <c r="U78" s="21">
        <f t="shared" si="15"/>
      </c>
      <c r="V78" s="21">
        <f t="shared" si="16"/>
      </c>
      <c r="W78" s="21">
        <f t="shared" si="17"/>
      </c>
      <c r="X78" s="21">
        <f t="shared" si="18"/>
      </c>
      <c r="Y78" s="21">
        <f t="shared" si="19"/>
      </c>
      <c r="Z78" s="21">
        <f t="shared" si="20"/>
      </c>
      <c r="AA78" s="21">
        <f t="shared" si="21"/>
      </c>
      <c r="AB78" s="21">
        <f t="shared" si="22"/>
      </c>
      <c r="AC78" s="21">
        <f t="shared" si="23"/>
      </c>
      <c r="AD78" s="96">
        <f t="shared" si="24"/>
      </c>
      <c r="AE78" s="2">
        <f t="shared" si="28"/>
        <v>0</v>
      </c>
      <c r="AF78" s="2">
        <f t="shared" si="29"/>
        <v>999912</v>
      </c>
      <c r="AG78" s="2">
        <f t="shared" si="30"/>
        <v>0</v>
      </c>
      <c r="AZ78" s="2">
        <f>IF(73&gt;$BA$300,0,IFERROR(MATCH(73,$BA$1:$BA$300,0),0))</f>
        <v>0</v>
      </c>
      <c r="BA78" s="2">
        <f>BA50+SUM(CA51:CA78)</f>
        <v>37</v>
      </c>
      <c r="CA78" s="2">
        <f>IF(AND(OR(_余额!$B$80="管理人员",_余额!$B$80="工人"),OR(_余额!$J$80&lt;&gt;0,_余额!$K$80&lt;&gt;0,_余额!$E$80&lt;&gt;0,_余额!$L$80&lt;&gt;0,AND(_余额!$B$80="管理人员",COUNTIFS(工资标准!$B$4:$B$303,_余额!$A$80,工资标准!$E$4:$E$303,"&gt;0")&gt;0))),1,0)</f>
        <v>1</v>
      </c>
    </row>
    <row r="79">
      <c r="A79" s="94">
        <f>IF($AZ79=0,"",74)</f>
      </c>
      <c r="B79" s="94">
        <f t="shared" si="0"/>
      </c>
      <c r="C79" s="94">
        <f t="shared" si="25"/>
      </c>
      <c r="D79" s="119">
        <f t="shared" si="26"/>
      </c>
      <c r="E79" s="21">
        <f t="shared" si="1"/>
      </c>
      <c r="F79" s="118">
        <f t="shared" si="2"/>
      </c>
      <c r="G79" s="21">
        <f t="shared" si="3"/>
      </c>
      <c r="H79" s="21">
        <f t="shared" si="4"/>
      </c>
      <c r="I79" s="21">
        <f t="shared" si="5"/>
      </c>
      <c r="J79" s="21">
        <f t="shared" si="6"/>
      </c>
      <c r="K79" s="21">
        <f t="shared" si="7"/>
      </c>
      <c r="L79" s="21">
        <f t="shared" si="8"/>
      </c>
      <c r="M79" s="21">
        <f t="shared" si="9"/>
      </c>
      <c r="N79" s="21">
        <f t="shared" si="10"/>
      </c>
      <c r="O79" s="21">
        <f t="shared" si="11"/>
      </c>
      <c r="P79" s="96">
        <f t="shared" si="27"/>
      </c>
      <c r="R79" s="21">
        <f t="shared" si="12"/>
      </c>
      <c r="S79" s="21">
        <f t="shared" si="13"/>
      </c>
      <c r="T79" s="21">
        <f t="shared" si="14"/>
      </c>
      <c r="U79" s="21">
        <f t="shared" si="15"/>
      </c>
      <c r="V79" s="21">
        <f t="shared" si="16"/>
      </c>
      <c r="W79" s="21">
        <f t="shared" si="17"/>
      </c>
      <c r="X79" s="21">
        <f t="shared" si="18"/>
      </c>
      <c r="Y79" s="21">
        <f t="shared" si="19"/>
      </c>
      <c r="Z79" s="21">
        <f t="shared" si="20"/>
      </c>
      <c r="AA79" s="21">
        <f t="shared" si="21"/>
      </c>
      <c r="AB79" s="21">
        <f t="shared" si="22"/>
      </c>
      <c r="AC79" s="21">
        <f t="shared" si="23"/>
      </c>
      <c r="AD79" s="96">
        <f t="shared" si="24"/>
      </c>
      <c r="AE79" s="2">
        <f t="shared" si="28"/>
        <v>0</v>
      </c>
      <c r="AF79" s="2">
        <f t="shared" si="29"/>
        <v>999912</v>
      </c>
      <c r="AG79" s="2">
        <f t="shared" si="30"/>
        <v>0</v>
      </c>
      <c r="AZ79" s="2">
        <f>IF(74&gt;$BA$300,0,IFERROR(MATCH(74,$BA$1:$BA$300,0),0))</f>
        <v>0</v>
      </c>
      <c r="BA79" s="2">
        <f>BA50+SUM(CA51:CA79)</f>
        <v>38</v>
      </c>
      <c r="CA79" s="2">
        <f>IF(AND(OR(_余额!$B$81="管理人员",_余额!$B$81="工人"),OR(_余额!$J$81&lt;&gt;0,_余额!$K$81&lt;&gt;0,_余额!$E$81&lt;&gt;0,_余额!$L$81&lt;&gt;0,AND(_余额!$B$81="管理人员",COUNTIFS(工资标准!$B$4:$B$303,_余额!$A$81,工资标准!$E$4:$E$303,"&gt;0")&gt;0))),1,0)</f>
        <v>1</v>
      </c>
    </row>
    <row r="80">
      <c r="A80" s="94">
        <f>IF($AZ80=0,"",75)</f>
      </c>
      <c r="B80" s="94">
        <f t="shared" si="0"/>
      </c>
      <c r="C80" s="94">
        <f t="shared" si="25"/>
      </c>
      <c r="D80" s="119">
        <f t="shared" si="26"/>
      </c>
      <c r="E80" s="21">
        <f t="shared" si="1"/>
      </c>
      <c r="F80" s="118">
        <f t="shared" si="2"/>
      </c>
      <c r="G80" s="21">
        <f t="shared" si="3"/>
      </c>
      <c r="H80" s="21">
        <f t="shared" si="4"/>
      </c>
      <c r="I80" s="21">
        <f t="shared" si="5"/>
      </c>
      <c r="J80" s="21">
        <f t="shared" si="6"/>
      </c>
      <c r="K80" s="21">
        <f t="shared" si="7"/>
      </c>
      <c r="L80" s="21">
        <f t="shared" si="8"/>
      </c>
      <c r="M80" s="21">
        <f t="shared" si="9"/>
      </c>
      <c r="N80" s="21">
        <f t="shared" si="10"/>
      </c>
      <c r="O80" s="21">
        <f t="shared" si="11"/>
      </c>
      <c r="P80" s="96">
        <f t="shared" si="27"/>
      </c>
      <c r="R80" s="21">
        <f t="shared" si="12"/>
      </c>
      <c r="S80" s="21">
        <f t="shared" si="13"/>
      </c>
      <c r="T80" s="21">
        <f t="shared" si="14"/>
      </c>
      <c r="U80" s="21">
        <f t="shared" si="15"/>
      </c>
      <c r="V80" s="21">
        <f t="shared" si="16"/>
      </c>
      <c r="W80" s="21">
        <f t="shared" si="17"/>
      </c>
      <c r="X80" s="21">
        <f t="shared" si="18"/>
      </c>
      <c r="Y80" s="21">
        <f t="shared" si="19"/>
      </c>
      <c r="Z80" s="21">
        <f t="shared" si="20"/>
      </c>
      <c r="AA80" s="21">
        <f t="shared" si="21"/>
      </c>
      <c r="AB80" s="21">
        <f t="shared" si="22"/>
      </c>
      <c r="AC80" s="21">
        <f t="shared" si="23"/>
      </c>
      <c r="AD80" s="96">
        <f t="shared" si="24"/>
      </c>
      <c r="AE80" s="2">
        <f t="shared" si="28"/>
        <v>0</v>
      </c>
      <c r="AF80" s="2">
        <f t="shared" si="29"/>
        <v>999912</v>
      </c>
      <c r="AG80" s="2">
        <f t="shared" si="30"/>
        <v>0</v>
      </c>
      <c r="AZ80" s="2">
        <f>IF(75&gt;$BA$300,0,IFERROR(MATCH(75,$BA$1:$BA$300,0),0))</f>
        <v>0</v>
      </c>
      <c r="BA80" s="2">
        <f>BA50+SUM(CA51:CA80)</f>
        <v>39</v>
      </c>
      <c r="CA80" s="2">
        <f>IF(AND(OR(_余额!$B$82="管理人员",_余额!$B$82="工人"),OR(_余额!$J$82&lt;&gt;0,_余额!$K$82&lt;&gt;0,_余额!$E$82&lt;&gt;0,_余额!$L$82&lt;&gt;0,AND(_余额!$B$82="管理人员",COUNTIFS(工资标准!$B$4:$B$303,_余额!$A$82,工资标准!$E$4:$E$303,"&gt;0")&gt;0))),1,0)</f>
        <v>1</v>
      </c>
    </row>
    <row r="81">
      <c r="A81" s="94">
        <f>IF($AZ81=0,"",76)</f>
      </c>
      <c r="B81" s="94">
        <f t="shared" si="0"/>
      </c>
      <c r="C81" s="94">
        <f t="shared" si="25"/>
      </c>
      <c r="D81" s="119">
        <f t="shared" si="26"/>
      </c>
      <c r="E81" s="21">
        <f t="shared" si="1"/>
      </c>
      <c r="F81" s="118">
        <f t="shared" si="2"/>
      </c>
      <c r="G81" s="21">
        <f t="shared" si="3"/>
      </c>
      <c r="H81" s="21">
        <f t="shared" si="4"/>
      </c>
      <c r="I81" s="21">
        <f t="shared" si="5"/>
      </c>
      <c r="J81" s="21">
        <f t="shared" si="6"/>
      </c>
      <c r="K81" s="21">
        <f t="shared" si="7"/>
      </c>
      <c r="L81" s="21">
        <f t="shared" si="8"/>
      </c>
      <c r="M81" s="21">
        <f t="shared" si="9"/>
      </c>
      <c r="N81" s="21">
        <f t="shared" si="10"/>
      </c>
      <c r="O81" s="21">
        <f t="shared" si="11"/>
      </c>
      <c r="P81" s="96">
        <f t="shared" si="27"/>
      </c>
      <c r="R81" s="21">
        <f t="shared" si="12"/>
      </c>
      <c r="S81" s="21">
        <f t="shared" si="13"/>
      </c>
      <c r="T81" s="21">
        <f t="shared" si="14"/>
      </c>
      <c r="U81" s="21">
        <f t="shared" si="15"/>
      </c>
      <c r="V81" s="21">
        <f t="shared" si="16"/>
      </c>
      <c r="W81" s="21">
        <f t="shared" si="17"/>
      </c>
      <c r="X81" s="21">
        <f t="shared" si="18"/>
      </c>
      <c r="Y81" s="21">
        <f t="shared" si="19"/>
      </c>
      <c r="Z81" s="21">
        <f t="shared" si="20"/>
      </c>
      <c r="AA81" s="21">
        <f t="shared" si="21"/>
      </c>
      <c r="AB81" s="21">
        <f t="shared" si="22"/>
      </c>
      <c r="AC81" s="21">
        <f t="shared" si="23"/>
      </c>
      <c r="AD81" s="96">
        <f t="shared" si="24"/>
      </c>
      <c r="AE81" s="2">
        <f t="shared" si="28"/>
        <v>0</v>
      </c>
      <c r="AF81" s="2">
        <f t="shared" si="29"/>
        <v>999912</v>
      </c>
      <c r="AG81" s="2">
        <f t="shared" si="30"/>
        <v>0</v>
      </c>
      <c r="AZ81" s="2">
        <f>IF(76&gt;$BA$300,0,IFERROR(MATCH(76,$BA$1:$BA$300,0),0))</f>
        <v>0</v>
      </c>
      <c r="BA81" s="2">
        <f>BA50+SUM(CA51:CA81)</f>
        <v>40</v>
      </c>
      <c r="CA81" s="2">
        <f>IF(AND(OR(_余额!$B$83="管理人员",_余额!$B$83="工人"),OR(_余额!$J$83&lt;&gt;0,_余额!$K$83&lt;&gt;0,_余额!$E$83&lt;&gt;0,_余额!$L$83&lt;&gt;0,AND(_余额!$B$83="管理人员",COUNTIFS(工资标准!$B$4:$B$303,_余额!$A$83,工资标准!$E$4:$E$303,"&gt;0")&gt;0))),1,0)</f>
        <v>1</v>
      </c>
    </row>
    <row r="82">
      <c r="A82" s="94">
        <f>IF($AZ82=0,"",77)</f>
      </c>
      <c r="B82" s="94">
        <f t="shared" si="0"/>
      </c>
      <c r="C82" s="94">
        <f t="shared" si="25"/>
      </c>
      <c r="D82" s="119">
        <f t="shared" si="26"/>
      </c>
      <c r="E82" s="21">
        <f t="shared" si="1"/>
      </c>
      <c r="F82" s="118">
        <f t="shared" si="2"/>
      </c>
      <c r="G82" s="21">
        <f t="shared" si="3"/>
      </c>
      <c r="H82" s="21">
        <f t="shared" si="4"/>
      </c>
      <c r="I82" s="21">
        <f t="shared" si="5"/>
      </c>
      <c r="J82" s="21">
        <f t="shared" si="6"/>
      </c>
      <c r="K82" s="21">
        <f t="shared" si="7"/>
      </c>
      <c r="L82" s="21">
        <f t="shared" si="8"/>
      </c>
      <c r="M82" s="21">
        <f t="shared" si="9"/>
      </c>
      <c r="N82" s="21">
        <f t="shared" si="10"/>
      </c>
      <c r="O82" s="21">
        <f t="shared" si="11"/>
      </c>
      <c r="P82" s="96">
        <f t="shared" si="27"/>
      </c>
      <c r="R82" s="21">
        <f t="shared" si="12"/>
      </c>
      <c r="S82" s="21">
        <f t="shared" si="13"/>
      </c>
      <c r="T82" s="21">
        <f t="shared" si="14"/>
      </c>
      <c r="U82" s="21">
        <f t="shared" si="15"/>
      </c>
      <c r="V82" s="21">
        <f t="shared" si="16"/>
      </c>
      <c r="W82" s="21">
        <f t="shared" si="17"/>
      </c>
      <c r="X82" s="21">
        <f t="shared" si="18"/>
      </c>
      <c r="Y82" s="21">
        <f t="shared" si="19"/>
      </c>
      <c r="Z82" s="21">
        <f t="shared" si="20"/>
      </c>
      <c r="AA82" s="21">
        <f t="shared" si="21"/>
      </c>
      <c r="AB82" s="21">
        <f t="shared" si="22"/>
      </c>
      <c r="AC82" s="21">
        <f t="shared" si="23"/>
      </c>
      <c r="AD82" s="96">
        <f t="shared" si="24"/>
      </c>
      <c r="AE82" s="2">
        <f t="shared" si="28"/>
        <v>0</v>
      </c>
      <c r="AF82" s="2">
        <f t="shared" si="29"/>
        <v>999912</v>
      </c>
      <c r="AG82" s="2">
        <f t="shared" si="30"/>
        <v>0</v>
      </c>
      <c r="AZ82" s="2">
        <f>IF(77&gt;$BA$300,0,IFERROR(MATCH(77,$BA$1:$BA$300,0),0))</f>
        <v>0</v>
      </c>
      <c r="BA82" s="2">
        <f>BA50+SUM(CA51:CA82)</f>
        <v>41</v>
      </c>
      <c r="CA82" s="2">
        <f>IF(AND(OR(_余额!$B$84="管理人员",_余额!$B$84="工人"),OR(_余额!$J$84&lt;&gt;0,_余额!$K$84&lt;&gt;0,_余额!$E$84&lt;&gt;0,_余额!$L$84&lt;&gt;0,AND(_余额!$B$84="管理人员",COUNTIFS(工资标准!$B$4:$B$303,_余额!$A$84,工资标准!$E$4:$E$303,"&gt;0")&gt;0))),1,0)</f>
        <v>1</v>
      </c>
    </row>
    <row r="83">
      <c r="A83" s="94">
        <f>IF($AZ83=0,"",78)</f>
      </c>
      <c r="B83" s="94">
        <f t="shared" si="0"/>
      </c>
      <c r="C83" s="94">
        <f t="shared" si="25"/>
      </c>
      <c r="D83" s="119">
        <f t="shared" si="26"/>
      </c>
      <c r="E83" s="21">
        <f t="shared" si="1"/>
      </c>
      <c r="F83" s="118">
        <f t="shared" si="2"/>
      </c>
      <c r="G83" s="21">
        <f t="shared" si="3"/>
      </c>
      <c r="H83" s="21">
        <f t="shared" si="4"/>
      </c>
      <c r="I83" s="21">
        <f t="shared" si="5"/>
      </c>
      <c r="J83" s="21">
        <f t="shared" si="6"/>
      </c>
      <c r="K83" s="21">
        <f t="shared" si="7"/>
      </c>
      <c r="L83" s="21">
        <f t="shared" si="8"/>
      </c>
      <c r="M83" s="21">
        <f t="shared" si="9"/>
      </c>
      <c r="N83" s="21">
        <f t="shared" si="10"/>
      </c>
      <c r="O83" s="21">
        <f t="shared" si="11"/>
      </c>
      <c r="P83" s="96">
        <f t="shared" si="27"/>
      </c>
      <c r="R83" s="21">
        <f t="shared" si="12"/>
      </c>
      <c r="S83" s="21">
        <f t="shared" si="13"/>
      </c>
      <c r="T83" s="21">
        <f t="shared" si="14"/>
      </c>
      <c r="U83" s="21">
        <f t="shared" si="15"/>
      </c>
      <c r="V83" s="21">
        <f t="shared" si="16"/>
      </c>
      <c r="W83" s="21">
        <f t="shared" si="17"/>
      </c>
      <c r="X83" s="21">
        <f t="shared" si="18"/>
      </c>
      <c r="Y83" s="21">
        <f t="shared" si="19"/>
      </c>
      <c r="Z83" s="21">
        <f t="shared" si="20"/>
      </c>
      <c r="AA83" s="21">
        <f t="shared" si="21"/>
      </c>
      <c r="AB83" s="21">
        <f t="shared" si="22"/>
      </c>
      <c r="AC83" s="21">
        <f t="shared" si="23"/>
      </c>
      <c r="AD83" s="96">
        <f t="shared" si="24"/>
      </c>
      <c r="AE83" s="2">
        <f t="shared" si="28"/>
        <v>0</v>
      </c>
      <c r="AF83" s="2">
        <f t="shared" si="29"/>
        <v>999912</v>
      </c>
      <c r="AG83" s="2">
        <f t="shared" si="30"/>
        <v>0</v>
      </c>
      <c r="AZ83" s="2">
        <f>IF(78&gt;$BA$300,0,IFERROR(MATCH(78,$BA$1:$BA$300,0),0))</f>
        <v>0</v>
      </c>
      <c r="BA83" s="2">
        <f>BA50+SUM(CA51:CA83)</f>
        <v>42</v>
      </c>
      <c r="CA83" s="2">
        <f>IF(AND(OR(_余额!$B$85="管理人员",_余额!$B$85="工人"),OR(_余额!$J$85&lt;&gt;0,_余额!$K$85&lt;&gt;0,_余额!$E$85&lt;&gt;0,_余额!$L$85&lt;&gt;0,AND(_余额!$B$85="管理人员",COUNTIFS(工资标准!$B$4:$B$303,_余额!$A$85,工资标准!$E$4:$E$303,"&gt;0")&gt;0))),1,0)</f>
        <v>1</v>
      </c>
    </row>
    <row r="84">
      <c r="A84" s="94">
        <f>IF($AZ84=0,"",79)</f>
      </c>
      <c r="B84" s="94">
        <f t="shared" si="0"/>
      </c>
      <c r="C84" s="94">
        <f t="shared" si="25"/>
      </c>
      <c r="D84" s="119">
        <f t="shared" si="26"/>
      </c>
      <c r="E84" s="21">
        <f t="shared" si="1"/>
      </c>
      <c r="F84" s="118">
        <f t="shared" si="2"/>
      </c>
      <c r="G84" s="21">
        <f t="shared" si="3"/>
      </c>
      <c r="H84" s="21">
        <f t="shared" si="4"/>
      </c>
      <c r="I84" s="21">
        <f t="shared" si="5"/>
      </c>
      <c r="J84" s="21">
        <f t="shared" si="6"/>
      </c>
      <c r="K84" s="21">
        <f t="shared" si="7"/>
      </c>
      <c r="L84" s="21">
        <f t="shared" si="8"/>
      </c>
      <c r="M84" s="21">
        <f t="shared" si="9"/>
      </c>
      <c r="N84" s="21">
        <f t="shared" si="10"/>
      </c>
      <c r="O84" s="21">
        <f t="shared" si="11"/>
      </c>
      <c r="P84" s="96">
        <f t="shared" si="27"/>
      </c>
      <c r="R84" s="21">
        <f t="shared" si="12"/>
      </c>
      <c r="S84" s="21">
        <f t="shared" si="13"/>
      </c>
      <c r="T84" s="21">
        <f t="shared" si="14"/>
      </c>
      <c r="U84" s="21">
        <f t="shared" si="15"/>
      </c>
      <c r="V84" s="21">
        <f t="shared" si="16"/>
      </c>
      <c r="W84" s="21">
        <f t="shared" si="17"/>
      </c>
      <c r="X84" s="21">
        <f t="shared" si="18"/>
      </c>
      <c r="Y84" s="21">
        <f t="shared" si="19"/>
      </c>
      <c r="Z84" s="21">
        <f t="shared" si="20"/>
      </c>
      <c r="AA84" s="21">
        <f t="shared" si="21"/>
      </c>
      <c r="AB84" s="21">
        <f t="shared" si="22"/>
      </c>
      <c r="AC84" s="21">
        <f t="shared" si="23"/>
      </c>
      <c r="AD84" s="96">
        <f t="shared" si="24"/>
      </c>
      <c r="AE84" s="2">
        <f t="shared" si="28"/>
        <v>0</v>
      </c>
      <c r="AF84" s="2">
        <f t="shared" si="29"/>
        <v>999912</v>
      </c>
      <c r="AG84" s="2">
        <f t="shared" si="30"/>
        <v>0</v>
      </c>
      <c r="AZ84" s="2">
        <f>IF(79&gt;$BA$300,0,IFERROR(MATCH(79,$BA$1:$BA$300,0),0))</f>
        <v>0</v>
      </c>
      <c r="BA84" s="2">
        <f>BA50+SUM(CA51:CA84)</f>
        <v>42</v>
      </c>
      <c r="CA84" s="2">
        <f>IF(AND(OR(_余额!$B$86="管理人员",_余额!$B$86="工人"),OR(_余额!$J$86&lt;&gt;0,_余额!$K$86&lt;&gt;0,_余额!$E$86&lt;&gt;0,_余额!$L$86&lt;&gt;0,AND(_余额!$B$86="管理人员",COUNTIFS(工资标准!$B$4:$B$303,_余额!$A$86,工资标准!$E$4:$E$303,"&gt;0")&gt;0))),1,0)</f>
        <v>0</v>
      </c>
    </row>
    <row r="85">
      <c r="A85" s="94">
        <f>IF($AZ85=0,"",80)</f>
      </c>
      <c r="B85" s="94">
        <f t="shared" si="0"/>
      </c>
      <c r="C85" s="94">
        <f t="shared" si="25"/>
      </c>
      <c r="D85" s="119">
        <f t="shared" si="26"/>
      </c>
      <c r="E85" s="21">
        <f t="shared" si="1"/>
      </c>
      <c r="F85" s="118">
        <f t="shared" si="2"/>
      </c>
      <c r="G85" s="21">
        <f t="shared" si="3"/>
      </c>
      <c r="H85" s="21">
        <f t="shared" si="4"/>
      </c>
      <c r="I85" s="21">
        <f t="shared" si="5"/>
      </c>
      <c r="J85" s="21">
        <f t="shared" si="6"/>
      </c>
      <c r="K85" s="21">
        <f t="shared" si="7"/>
      </c>
      <c r="L85" s="21">
        <f t="shared" si="8"/>
      </c>
      <c r="M85" s="21">
        <f t="shared" si="9"/>
      </c>
      <c r="N85" s="21">
        <f t="shared" si="10"/>
      </c>
      <c r="O85" s="21">
        <f t="shared" si="11"/>
      </c>
      <c r="P85" s="96">
        <f t="shared" si="27"/>
      </c>
      <c r="R85" s="21">
        <f t="shared" si="12"/>
      </c>
      <c r="S85" s="21">
        <f t="shared" si="13"/>
      </c>
      <c r="T85" s="21">
        <f t="shared" si="14"/>
      </c>
      <c r="U85" s="21">
        <f t="shared" si="15"/>
      </c>
      <c r="V85" s="21">
        <f t="shared" si="16"/>
      </c>
      <c r="W85" s="21">
        <f t="shared" si="17"/>
      </c>
      <c r="X85" s="21">
        <f t="shared" si="18"/>
      </c>
      <c r="Y85" s="21">
        <f t="shared" si="19"/>
      </c>
      <c r="Z85" s="21">
        <f t="shared" si="20"/>
      </c>
      <c r="AA85" s="21">
        <f t="shared" si="21"/>
      </c>
      <c r="AB85" s="21">
        <f t="shared" si="22"/>
      </c>
      <c r="AC85" s="21">
        <f t="shared" si="23"/>
      </c>
      <c r="AD85" s="96">
        <f t="shared" si="24"/>
      </c>
      <c r="AE85" s="2">
        <f t="shared" si="28"/>
        <v>0</v>
      </c>
      <c r="AF85" s="2">
        <f t="shared" si="29"/>
        <v>999912</v>
      </c>
      <c r="AG85" s="2">
        <f t="shared" si="30"/>
        <v>0</v>
      </c>
      <c r="AZ85" s="2">
        <f>IF(80&gt;$BA$300,0,IFERROR(MATCH(80,$BA$1:$BA$300,0),0))</f>
        <v>0</v>
      </c>
      <c r="BA85" s="2">
        <f>BA50+SUM(CA51:CA85)</f>
        <v>42</v>
      </c>
      <c r="CA85" s="2">
        <f>IF(AND(OR(_余额!$B$87="管理人员",_余额!$B$87="工人"),OR(_余额!$J$87&lt;&gt;0,_余额!$K$87&lt;&gt;0,_余额!$E$87&lt;&gt;0,_余额!$L$87&lt;&gt;0,AND(_余额!$B$87="管理人员",COUNTIFS(工资标准!$B$4:$B$303,_余额!$A$87,工资标准!$E$4:$E$303,"&gt;0")&gt;0))),1,0)</f>
        <v>0</v>
      </c>
    </row>
    <row r="86">
      <c r="A86" s="94">
        <f>IF($AZ86=0,"",81)</f>
      </c>
      <c r="B86" s="94">
        <f t="shared" si="0"/>
      </c>
      <c r="C86" s="94">
        <f t="shared" si="25"/>
      </c>
      <c r="D86" s="119">
        <f t="shared" si="26"/>
      </c>
      <c r="E86" s="21">
        <f t="shared" si="1"/>
      </c>
      <c r="F86" s="118">
        <f t="shared" si="2"/>
      </c>
      <c r="G86" s="21">
        <f t="shared" si="3"/>
      </c>
      <c r="H86" s="21">
        <f t="shared" si="4"/>
      </c>
      <c r="I86" s="21">
        <f t="shared" si="5"/>
      </c>
      <c r="J86" s="21">
        <f t="shared" si="6"/>
      </c>
      <c r="K86" s="21">
        <f t="shared" si="7"/>
      </c>
      <c r="L86" s="21">
        <f t="shared" si="8"/>
      </c>
      <c r="M86" s="21">
        <f t="shared" si="9"/>
      </c>
      <c r="N86" s="21">
        <f t="shared" si="10"/>
      </c>
      <c r="O86" s="21">
        <f t="shared" si="11"/>
      </c>
      <c r="P86" s="96">
        <f t="shared" si="27"/>
      </c>
      <c r="R86" s="21">
        <f t="shared" si="12"/>
      </c>
      <c r="S86" s="21">
        <f t="shared" si="13"/>
      </c>
      <c r="T86" s="21">
        <f t="shared" si="14"/>
      </c>
      <c r="U86" s="21">
        <f t="shared" si="15"/>
      </c>
      <c r="V86" s="21">
        <f t="shared" si="16"/>
      </c>
      <c r="W86" s="21">
        <f t="shared" si="17"/>
      </c>
      <c r="X86" s="21">
        <f t="shared" si="18"/>
      </c>
      <c r="Y86" s="21">
        <f t="shared" si="19"/>
      </c>
      <c r="Z86" s="21">
        <f t="shared" si="20"/>
      </c>
      <c r="AA86" s="21">
        <f t="shared" si="21"/>
      </c>
      <c r="AB86" s="21">
        <f t="shared" si="22"/>
      </c>
      <c r="AC86" s="21">
        <f t="shared" si="23"/>
      </c>
      <c r="AD86" s="96">
        <f t="shared" si="24"/>
      </c>
      <c r="AE86" s="2">
        <f t="shared" si="28"/>
        <v>0</v>
      </c>
      <c r="AF86" s="2">
        <f t="shared" si="29"/>
        <v>999912</v>
      </c>
      <c r="AG86" s="2">
        <f t="shared" si="30"/>
        <v>0</v>
      </c>
      <c r="AZ86" s="2">
        <f>IF(81&gt;$BA$300,0,IFERROR(MATCH(81,$BA$1:$BA$300,0),0))</f>
        <v>0</v>
      </c>
      <c r="BA86" s="2">
        <f>BA50+SUM(CA51:CA86)</f>
        <v>42</v>
      </c>
      <c r="CA86" s="2">
        <f>IF(AND(OR(_余额!$B$88="管理人员",_余额!$B$88="工人"),OR(_余额!$J$88&lt;&gt;0,_余额!$K$88&lt;&gt;0,_余额!$E$88&lt;&gt;0,_余额!$L$88&lt;&gt;0,AND(_余额!$B$88="管理人员",COUNTIFS(工资标准!$B$4:$B$303,_余额!$A$88,工资标准!$E$4:$E$303,"&gt;0")&gt;0))),1,0)</f>
        <v>0</v>
      </c>
    </row>
    <row r="87">
      <c r="A87" s="94">
        <f>IF($AZ87=0,"",82)</f>
      </c>
      <c r="B87" s="94">
        <f t="shared" si="0"/>
      </c>
      <c r="C87" s="94">
        <f t="shared" si="25"/>
      </c>
      <c r="D87" s="119">
        <f t="shared" si="26"/>
      </c>
      <c r="E87" s="21">
        <f t="shared" si="1"/>
      </c>
      <c r="F87" s="118">
        <f t="shared" si="2"/>
      </c>
      <c r="G87" s="21">
        <f t="shared" si="3"/>
      </c>
      <c r="H87" s="21">
        <f t="shared" si="4"/>
      </c>
      <c r="I87" s="21">
        <f t="shared" si="5"/>
      </c>
      <c r="J87" s="21">
        <f t="shared" si="6"/>
      </c>
      <c r="K87" s="21">
        <f t="shared" si="7"/>
      </c>
      <c r="L87" s="21">
        <f t="shared" si="8"/>
      </c>
      <c r="M87" s="21">
        <f t="shared" si="9"/>
      </c>
      <c r="N87" s="21">
        <f t="shared" si="10"/>
      </c>
      <c r="O87" s="21">
        <f t="shared" si="11"/>
      </c>
      <c r="P87" s="96">
        <f t="shared" si="27"/>
      </c>
      <c r="R87" s="21">
        <f t="shared" si="12"/>
      </c>
      <c r="S87" s="21">
        <f t="shared" si="13"/>
      </c>
      <c r="T87" s="21">
        <f t="shared" si="14"/>
      </c>
      <c r="U87" s="21">
        <f t="shared" si="15"/>
      </c>
      <c r="V87" s="21">
        <f t="shared" si="16"/>
      </c>
      <c r="W87" s="21">
        <f t="shared" si="17"/>
      </c>
      <c r="X87" s="21">
        <f t="shared" si="18"/>
      </c>
      <c r="Y87" s="21">
        <f t="shared" si="19"/>
      </c>
      <c r="Z87" s="21">
        <f t="shared" si="20"/>
      </c>
      <c r="AA87" s="21">
        <f t="shared" si="21"/>
      </c>
      <c r="AB87" s="21">
        <f t="shared" si="22"/>
      </c>
      <c r="AC87" s="21">
        <f t="shared" si="23"/>
      </c>
      <c r="AD87" s="96">
        <f t="shared" si="24"/>
      </c>
      <c r="AE87" s="2">
        <f t="shared" si="28"/>
        <v>0</v>
      </c>
      <c r="AF87" s="2">
        <f t="shared" si="29"/>
        <v>999912</v>
      </c>
      <c r="AG87" s="2">
        <f t="shared" si="30"/>
        <v>0</v>
      </c>
      <c r="AZ87" s="2">
        <f>IF(82&gt;$BA$300,0,IFERROR(MATCH(82,$BA$1:$BA$300,0),0))</f>
        <v>0</v>
      </c>
      <c r="BA87" s="2">
        <f>BA50+SUM(CA51:CA87)</f>
        <v>42</v>
      </c>
      <c r="CA87" s="2">
        <f>IF(AND(OR(_余额!$B$89="管理人员",_余额!$B$89="工人"),OR(_余额!$J$89&lt;&gt;0,_余额!$K$89&lt;&gt;0,_余额!$E$89&lt;&gt;0,_余额!$L$89&lt;&gt;0,AND(_余额!$B$89="管理人员",COUNTIFS(工资标准!$B$4:$B$303,_余额!$A$89,工资标准!$E$4:$E$303,"&gt;0")&gt;0))),1,0)</f>
        <v>0</v>
      </c>
    </row>
    <row r="88">
      <c r="A88" s="94">
        <f>IF($AZ88=0,"",83)</f>
      </c>
      <c r="B88" s="94">
        <f t="shared" si="0"/>
      </c>
      <c r="C88" s="94">
        <f t="shared" si="25"/>
      </c>
      <c r="D88" s="119">
        <f t="shared" si="26"/>
      </c>
      <c r="E88" s="21">
        <f t="shared" si="1"/>
      </c>
      <c r="F88" s="118">
        <f t="shared" si="2"/>
      </c>
      <c r="G88" s="21">
        <f t="shared" si="3"/>
      </c>
      <c r="H88" s="21">
        <f t="shared" si="4"/>
      </c>
      <c r="I88" s="21">
        <f t="shared" si="5"/>
      </c>
      <c r="J88" s="21">
        <f t="shared" si="6"/>
      </c>
      <c r="K88" s="21">
        <f t="shared" si="7"/>
      </c>
      <c r="L88" s="21">
        <f t="shared" si="8"/>
      </c>
      <c r="M88" s="21">
        <f t="shared" si="9"/>
      </c>
      <c r="N88" s="21">
        <f t="shared" si="10"/>
      </c>
      <c r="O88" s="21">
        <f t="shared" si="11"/>
      </c>
      <c r="P88" s="96">
        <f t="shared" si="27"/>
      </c>
      <c r="R88" s="21">
        <f t="shared" si="12"/>
      </c>
      <c r="S88" s="21">
        <f t="shared" si="13"/>
      </c>
      <c r="T88" s="21">
        <f t="shared" si="14"/>
      </c>
      <c r="U88" s="21">
        <f t="shared" si="15"/>
      </c>
      <c r="V88" s="21">
        <f t="shared" si="16"/>
      </c>
      <c r="W88" s="21">
        <f t="shared" si="17"/>
      </c>
      <c r="X88" s="21">
        <f t="shared" si="18"/>
      </c>
      <c r="Y88" s="21">
        <f t="shared" si="19"/>
      </c>
      <c r="Z88" s="21">
        <f t="shared" si="20"/>
      </c>
      <c r="AA88" s="21">
        <f t="shared" si="21"/>
      </c>
      <c r="AB88" s="21">
        <f t="shared" si="22"/>
      </c>
      <c r="AC88" s="21">
        <f t="shared" si="23"/>
      </c>
      <c r="AD88" s="96">
        <f t="shared" si="24"/>
      </c>
      <c r="AE88" s="2">
        <f t="shared" si="28"/>
        <v>0</v>
      </c>
      <c r="AF88" s="2">
        <f t="shared" si="29"/>
        <v>999912</v>
      </c>
      <c r="AG88" s="2">
        <f t="shared" si="30"/>
        <v>0</v>
      </c>
      <c r="AZ88" s="2">
        <f>IF(83&gt;$BA$300,0,IFERROR(MATCH(83,$BA$1:$BA$300,0),0))</f>
        <v>0</v>
      </c>
      <c r="BA88" s="2">
        <f>BA50+SUM(CA51:CA88)</f>
        <v>42</v>
      </c>
      <c r="CA88" s="2">
        <f>IF(AND(OR(_余额!$B$90="管理人员",_余额!$B$90="工人"),OR(_余额!$J$90&lt;&gt;0,_余额!$K$90&lt;&gt;0,_余额!$E$90&lt;&gt;0,_余额!$L$90&lt;&gt;0,AND(_余额!$B$90="管理人员",COUNTIFS(工资标准!$B$4:$B$303,_余额!$A$90,工资标准!$E$4:$E$303,"&gt;0")&gt;0))),1,0)</f>
        <v>0</v>
      </c>
    </row>
    <row r="89">
      <c r="A89" s="94">
        <f>IF($AZ89=0,"",84)</f>
      </c>
      <c r="B89" s="94">
        <f t="shared" si="0"/>
      </c>
      <c r="C89" s="94">
        <f t="shared" si="25"/>
      </c>
      <c r="D89" s="119">
        <f t="shared" si="26"/>
      </c>
      <c r="E89" s="21">
        <f t="shared" si="1"/>
      </c>
      <c r="F89" s="118">
        <f t="shared" si="2"/>
      </c>
      <c r="G89" s="21">
        <f t="shared" si="3"/>
      </c>
      <c r="H89" s="21">
        <f t="shared" si="4"/>
      </c>
      <c r="I89" s="21">
        <f t="shared" si="5"/>
      </c>
      <c r="J89" s="21">
        <f t="shared" si="6"/>
      </c>
      <c r="K89" s="21">
        <f t="shared" si="7"/>
      </c>
      <c r="L89" s="21">
        <f t="shared" si="8"/>
      </c>
      <c r="M89" s="21">
        <f t="shared" si="9"/>
      </c>
      <c r="N89" s="21">
        <f t="shared" si="10"/>
      </c>
      <c r="O89" s="21">
        <f t="shared" si="11"/>
      </c>
      <c r="P89" s="96">
        <f t="shared" si="27"/>
      </c>
      <c r="R89" s="21">
        <f t="shared" si="12"/>
      </c>
      <c r="S89" s="21">
        <f t="shared" si="13"/>
      </c>
      <c r="T89" s="21">
        <f t="shared" si="14"/>
      </c>
      <c r="U89" s="21">
        <f t="shared" si="15"/>
      </c>
      <c r="V89" s="21">
        <f t="shared" si="16"/>
      </c>
      <c r="W89" s="21">
        <f t="shared" si="17"/>
      </c>
      <c r="X89" s="21">
        <f t="shared" si="18"/>
      </c>
      <c r="Y89" s="21">
        <f t="shared" si="19"/>
      </c>
      <c r="Z89" s="21">
        <f t="shared" si="20"/>
      </c>
      <c r="AA89" s="21">
        <f t="shared" si="21"/>
      </c>
      <c r="AB89" s="21">
        <f t="shared" si="22"/>
      </c>
      <c r="AC89" s="21">
        <f t="shared" si="23"/>
      </c>
      <c r="AD89" s="96">
        <f t="shared" si="24"/>
      </c>
      <c r="AE89" s="2">
        <f t="shared" si="28"/>
        <v>0</v>
      </c>
      <c r="AF89" s="2">
        <f t="shared" si="29"/>
        <v>999912</v>
      </c>
      <c r="AG89" s="2">
        <f t="shared" si="30"/>
        <v>0</v>
      </c>
      <c r="AZ89" s="2">
        <f>IF(84&gt;$BA$300,0,IFERROR(MATCH(84,$BA$1:$BA$300,0),0))</f>
        <v>0</v>
      </c>
      <c r="BA89" s="2">
        <f>BA50+SUM(CA51:CA89)</f>
        <v>42</v>
      </c>
      <c r="CA89" s="2">
        <f>IF(AND(OR(_余额!$B$91="管理人员",_余额!$B$91="工人"),OR(_余额!$J$91&lt;&gt;0,_余额!$K$91&lt;&gt;0,_余额!$E$91&lt;&gt;0,_余额!$L$91&lt;&gt;0,AND(_余额!$B$91="管理人员",COUNTIFS(工资标准!$B$4:$B$303,_余额!$A$91,工资标准!$E$4:$E$303,"&gt;0")&gt;0))),1,0)</f>
        <v>0</v>
      </c>
    </row>
    <row r="90">
      <c r="A90" s="94">
        <f>IF($AZ90=0,"",85)</f>
      </c>
      <c r="B90" s="94">
        <f t="shared" si="0"/>
      </c>
      <c r="C90" s="94">
        <f t="shared" si="25"/>
      </c>
      <c r="D90" s="119">
        <f t="shared" si="26"/>
      </c>
      <c r="E90" s="21">
        <f t="shared" si="1"/>
      </c>
      <c r="F90" s="118">
        <f t="shared" si="2"/>
      </c>
      <c r="G90" s="21">
        <f t="shared" si="3"/>
      </c>
      <c r="H90" s="21">
        <f t="shared" si="4"/>
      </c>
      <c r="I90" s="21">
        <f t="shared" si="5"/>
      </c>
      <c r="J90" s="21">
        <f t="shared" si="6"/>
      </c>
      <c r="K90" s="21">
        <f t="shared" si="7"/>
      </c>
      <c r="L90" s="21">
        <f t="shared" si="8"/>
      </c>
      <c r="M90" s="21">
        <f t="shared" si="9"/>
      </c>
      <c r="N90" s="21">
        <f t="shared" si="10"/>
      </c>
      <c r="O90" s="21">
        <f t="shared" si="11"/>
      </c>
      <c r="P90" s="96">
        <f t="shared" si="27"/>
      </c>
      <c r="R90" s="21">
        <f t="shared" si="12"/>
      </c>
      <c r="S90" s="21">
        <f t="shared" si="13"/>
      </c>
      <c r="T90" s="21">
        <f t="shared" si="14"/>
      </c>
      <c r="U90" s="21">
        <f t="shared" si="15"/>
      </c>
      <c r="V90" s="21">
        <f t="shared" si="16"/>
      </c>
      <c r="W90" s="21">
        <f t="shared" si="17"/>
      </c>
      <c r="X90" s="21">
        <f t="shared" si="18"/>
      </c>
      <c r="Y90" s="21">
        <f t="shared" si="19"/>
      </c>
      <c r="Z90" s="21">
        <f t="shared" si="20"/>
      </c>
      <c r="AA90" s="21">
        <f t="shared" si="21"/>
      </c>
      <c r="AB90" s="21">
        <f t="shared" si="22"/>
      </c>
      <c r="AC90" s="21">
        <f t="shared" si="23"/>
      </c>
      <c r="AD90" s="96">
        <f t="shared" si="24"/>
      </c>
      <c r="AE90" s="2">
        <f t="shared" si="28"/>
        <v>0</v>
      </c>
      <c r="AF90" s="2">
        <f t="shared" si="29"/>
        <v>999912</v>
      </c>
      <c r="AG90" s="2">
        <f t="shared" si="30"/>
        <v>0</v>
      </c>
      <c r="AZ90" s="2">
        <f>IF(85&gt;$BA$300,0,IFERROR(MATCH(85,$BA$1:$BA$300,0),0))</f>
        <v>0</v>
      </c>
      <c r="BA90" s="2">
        <f>BA50+SUM(CA51:CA90)</f>
        <v>42</v>
      </c>
      <c r="CA90" s="2">
        <f>IF(AND(OR(_余额!$B$92="管理人员",_余额!$B$92="工人"),OR(_余额!$J$92&lt;&gt;0,_余额!$K$92&lt;&gt;0,_余额!$E$92&lt;&gt;0,_余额!$L$92&lt;&gt;0,AND(_余额!$B$92="管理人员",COUNTIFS(工资标准!$B$4:$B$303,_余额!$A$92,工资标准!$E$4:$E$303,"&gt;0")&gt;0))),1,0)</f>
        <v>0</v>
      </c>
    </row>
    <row r="91">
      <c r="A91" s="94">
        <f>IF($AZ91=0,"",86)</f>
      </c>
      <c r="B91" s="94">
        <f t="shared" si="0"/>
      </c>
      <c r="C91" s="94">
        <f t="shared" si="25"/>
      </c>
      <c r="D91" s="119">
        <f t="shared" si="26"/>
      </c>
      <c r="E91" s="21">
        <f t="shared" si="1"/>
      </c>
      <c r="F91" s="118">
        <f t="shared" si="2"/>
      </c>
      <c r="G91" s="21">
        <f t="shared" si="3"/>
      </c>
      <c r="H91" s="21">
        <f t="shared" si="4"/>
      </c>
      <c r="I91" s="21">
        <f t="shared" si="5"/>
      </c>
      <c r="J91" s="21">
        <f t="shared" si="6"/>
      </c>
      <c r="K91" s="21">
        <f t="shared" si="7"/>
      </c>
      <c r="L91" s="21">
        <f t="shared" si="8"/>
      </c>
      <c r="M91" s="21">
        <f t="shared" si="9"/>
      </c>
      <c r="N91" s="21">
        <f t="shared" si="10"/>
      </c>
      <c r="O91" s="21">
        <f t="shared" si="11"/>
      </c>
      <c r="P91" s="96">
        <f t="shared" si="27"/>
      </c>
      <c r="R91" s="21">
        <f t="shared" si="12"/>
      </c>
      <c r="S91" s="21">
        <f t="shared" si="13"/>
      </c>
      <c r="T91" s="21">
        <f t="shared" si="14"/>
      </c>
      <c r="U91" s="21">
        <f t="shared" si="15"/>
      </c>
      <c r="V91" s="21">
        <f t="shared" si="16"/>
      </c>
      <c r="W91" s="21">
        <f t="shared" si="17"/>
      </c>
      <c r="X91" s="21">
        <f t="shared" si="18"/>
      </c>
      <c r="Y91" s="21">
        <f t="shared" si="19"/>
      </c>
      <c r="Z91" s="21">
        <f t="shared" si="20"/>
      </c>
      <c r="AA91" s="21">
        <f t="shared" si="21"/>
      </c>
      <c r="AB91" s="21">
        <f t="shared" si="22"/>
      </c>
      <c r="AC91" s="21">
        <f t="shared" si="23"/>
      </c>
      <c r="AD91" s="96">
        <f t="shared" si="24"/>
      </c>
      <c r="AE91" s="2">
        <f t="shared" si="28"/>
        <v>0</v>
      </c>
      <c r="AF91" s="2">
        <f t="shared" si="29"/>
        <v>999912</v>
      </c>
      <c r="AG91" s="2">
        <f t="shared" si="30"/>
        <v>0</v>
      </c>
      <c r="AZ91" s="2">
        <f>IF(86&gt;$BA$300,0,IFERROR(MATCH(86,$BA$1:$BA$300,0),0))</f>
        <v>0</v>
      </c>
      <c r="BA91" s="2">
        <f>BA50+SUM(CA51:CA91)</f>
        <v>42</v>
      </c>
      <c r="CA91" s="2">
        <f>IF(AND(OR(_余额!$B$93="管理人员",_余额!$B$93="工人"),OR(_余额!$J$93&lt;&gt;0,_余额!$K$93&lt;&gt;0,_余额!$E$93&lt;&gt;0,_余额!$L$93&lt;&gt;0,AND(_余额!$B$93="管理人员",COUNTIFS(工资标准!$B$4:$B$303,_余额!$A$93,工资标准!$E$4:$E$303,"&gt;0")&gt;0))),1,0)</f>
        <v>0</v>
      </c>
    </row>
    <row r="92">
      <c r="A92" s="94">
        <f>IF($AZ92=0,"",87)</f>
      </c>
      <c r="B92" s="94">
        <f t="shared" si="0"/>
      </c>
      <c r="C92" s="94">
        <f t="shared" si="25"/>
      </c>
      <c r="D92" s="119">
        <f t="shared" si="26"/>
      </c>
      <c r="E92" s="21">
        <f t="shared" si="1"/>
      </c>
      <c r="F92" s="118">
        <f t="shared" si="2"/>
      </c>
      <c r="G92" s="21">
        <f t="shared" si="3"/>
      </c>
      <c r="H92" s="21">
        <f t="shared" si="4"/>
      </c>
      <c r="I92" s="21">
        <f t="shared" si="5"/>
      </c>
      <c r="J92" s="21">
        <f t="shared" si="6"/>
      </c>
      <c r="K92" s="21">
        <f t="shared" si="7"/>
      </c>
      <c r="L92" s="21">
        <f t="shared" si="8"/>
      </c>
      <c r="M92" s="21">
        <f t="shared" si="9"/>
      </c>
      <c r="N92" s="21">
        <f t="shared" si="10"/>
      </c>
      <c r="O92" s="21">
        <f t="shared" si="11"/>
      </c>
      <c r="P92" s="96">
        <f t="shared" si="27"/>
      </c>
      <c r="R92" s="21">
        <f t="shared" si="12"/>
      </c>
      <c r="S92" s="21">
        <f t="shared" si="13"/>
      </c>
      <c r="T92" s="21">
        <f t="shared" si="14"/>
      </c>
      <c r="U92" s="21">
        <f t="shared" si="15"/>
      </c>
      <c r="V92" s="21">
        <f t="shared" si="16"/>
      </c>
      <c r="W92" s="21">
        <f t="shared" si="17"/>
      </c>
      <c r="X92" s="21">
        <f t="shared" si="18"/>
      </c>
      <c r="Y92" s="21">
        <f t="shared" si="19"/>
      </c>
      <c r="Z92" s="21">
        <f t="shared" si="20"/>
      </c>
      <c r="AA92" s="21">
        <f t="shared" si="21"/>
      </c>
      <c r="AB92" s="21">
        <f t="shared" si="22"/>
      </c>
      <c r="AC92" s="21">
        <f t="shared" si="23"/>
      </c>
      <c r="AD92" s="96">
        <f t="shared" si="24"/>
      </c>
      <c r="AE92" s="2">
        <f t="shared" si="28"/>
        <v>0</v>
      </c>
      <c r="AF92" s="2">
        <f t="shared" si="29"/>
        <v>999912</v>
      </c>
      <c r="AG92" s="2">
        <f t="shared" si="30"/>
        <v>0</v>
      </c>
      <c r="AZ92" s="2">
        <f>IF(87&gt;$BA$300,0,IFERROR(MATCH(87,$BA$1:$BA$300,0),0))</f>
        <v>0</v>
      </c>
      <c r="BA92" s="2">
        <f>BA50+SUM(CA51:CA92)</f>
        <v>42</v>
      </c>
      <c r="CA92" s="2">
        <f>IF(AND(OR(_余额!$B$94="管理人员",_余额!$B$94="工人"),OR(_余额!$J$94&lt;&gt;0,_余额!$K$94&lt;&gt;0,_余额!$E$94&lt;&gt;0,_余额!$L$94&lt;&gt;0,AND(_余额!$B$94="管理人员",COUNTIFS(工资标准!$B$4:$B$303,_余额!$A$94,工资标准!$E$4:$E$303,"&gt;0")&gt;0))),1,0)</f>
        <v>0</v>
      </c>
    </row>
    <row r="93">
      <c r="A93" s="94">
        <f>IF($AZ93=0,"",88)</f>
      </c>
      <c r="B93" s="94">
        <f t="shared" si="0"/>
      </c>
      <c r="C93" s="94">
        <f t="shared" si="25"/>
      </c>
      <c r="D93" s="119">
        <f t="shared" si="26"/>
      </c>
      <c r="E93" s="21">
        <f t="shared" si="1"/>
      </c>
      <c r="F93" s="118">
        <f t="shared" si="2"/>
      </c>
      <c r="G93" s="21">
        <f t="shared" si="3"/>
      </c>
      <c r="H93" s="21">
        <f t="shared" si="4"/>
      </c>
      <c r="I93" s="21">
        <f t="shared" si="5"/>
      </c>
      <c r="J93" s="21">
        <f t="shared" si="6"/>
      </c>
      <c r="K93" s="21">
        <f t="shared" si="7"/>
      </c>
      <c r="L93" s="21">
        <f t="shared" si="8"/>
      </c>
      <c r="M93" s="21">
        <f t="shared" si="9"/>
      </c>
      <c r="N93" s="21">
        <f t="shared" si="10"/>
      </c>
      <c r="O93" s="21">
        <f t="shared" si="11"/>
      </c>
      <c r="P93" s="96">
        <f t="shared" si="27"/>
      </c>
      <c r="R93" s="21">
        <f t="shared" si="12"/>
      </c>
      <c r="S93" s="21">
        <f t="shared" si="13"/>
      </c>
      <c r="T93" s="21">
        <f t="shared" si="14"/>
      </c>
      <c r="U93" s="21">
        <f t="shared" si="15"/>
      </c>
      <c r="V93" s="21">
        <f t="shared" si="16"/>
      </c>
      <c r="W93" s="21">
        <f t="shared" si="17"/>
      </c>
      <c r="X93" s="21">
        <f t="shared" si="18"/>
      </c>
      <c r="Y93" s="21">
        <f t="shared" si="19"/>
      </c>
      <c r="Z93" s="21">
        <f t="shared" si="20"/>
      </c>
      <c r="AA93" s="21">
        <f t="shared" si="21"/>
      </c>
      <c r="AB93" s="21">
        <f t="shared" si="22"/>
      </c>
      <c r="AC93" s="21">
        <f t="shared" si="23"/>
      </c>
      <c r="AD93" s="96">
        <f t="shared" si="24"/>
      </c>
      <c r="AE93" s="2">
        <f t="shared" si="28"/>
        <v>0</v>
      </c>
      <c r="AF93" s="2">
        <f t="shared" si="29"/>
        <v>999912</v>
      </c>
      <c r="AG93" s="2">
        <f t="shared" si="30"/>
        <v>0</v>
      </c>
      <c r="AZ93" s="2">
        <f>IF(88&gt;$BA$300,0,IFERROR(MATCH(88,$BA$1:$BA$300,0),0))</f>
        <v>0</v>
      </c>
      <c r="BA93" s="2">
        <f>BA50+SUM(CA51:CA93)</f>
        <v>42</v>
      </c>
      <c r="CA93" s="2">
        <f>IF(AND(OR(_余额!$B$95="管理人员",_余额!$B$95="工人"),OR(_余额!$J$95&lt;&gt;0,_余额!$K$95&lt;&gt;0,_余额!$E$95&lt;&gt;0,_余额!$L$95&lt;&gt;0,AND(_余额!$B$95="管理人员",COUNTIFS(工资标准!$B$4:$B$303,_余额!$A$95,工资标准!$E$4:$E$303,"&gt;0")&gt;0))),1,0)</f>
        <v>0</v>
      </c>
    </row>
    <row r="94">
      <c r="A94" s="94">
        <f>IF($AZ94=0,"",89)</f>
      </c>
      <c r="B94" s="94">
        <f t="shared" si="0"/>
      </c>
      <c r="C94" s="94">
        <f t="shared" si="25"/>
      </c>
      <c r="D94" s="119">
        <f t="shared" si="26"/>
      </c>
      <c r="E94" s="21">
        <f t="shared" si="1"/>
      </c>
      <c r="F94" s="118">
        <f t="shared" si="2"/>
      </c>
      <c r="G94" s="21">
        <f t="shared" si="3"/>
      </c>
      <c r="H94" s="21">
        <f t="shared" si="4"/>
      </c>
      <c r="I94" s="21">
        <f t="shared" si="5"/>
      </c>
      <c r="J94" s="21">
        <f t="shared" si="6"/>
      </c>
      <c r="K94" s="21">
        <f t="shared" si="7"/>
      </c>
      <c r="L94" s="21">
        <f t="shared" si="8"/>
      </c>
      <c r="M94" s="21">
        <f t="shared" si="9"/>
      </c>
      <c r="N94" s="21">
        <f t="shared" si="10"/>
      </c>
      <c r="O94" s="21">
        <f t="shared" si="11"/>
      </c>
      <c r="P94" s="96">
        <f t="shared" si="27"/>
      </c>
      <c r="R94" s="21">
        <f t="shared" si="12"/>
      </c>
      <c r="S94" s="21">
        <f t="shared" si="13"/>
      </c>
      <c r="T94" s="21">
        <f t="shared" si="14"/>
      </c>
      <c r="U94" s="21">
        <f t="shared" si="15"/>
      </c>
      <c r="V94" s="21">
        <f t="shared" si="16"/>
      </c>
      <c r="W94" s="21">
        <f t="shared" si="17"/>
      </c>
      <c r="X94" s="21">
        <f t="shared" si="18"/>
      </c>
      <c r="Y94" s="21">
        <f t="shared" si="19"/>
      </c>
      <c r="Z94" s="21">
        <f t="shared" si="20"/>
      </c>
      <c r="AA94" s="21">
        <f t="shared" si="21"/>
      </c>
      <c r="AB94" s="21">
        <f t="shared" si="22"/>
      </c>
      <c r="AC94" s="21">
        <f t="shared" si="23"/>
      </c>
      <c r="AD94" s="96">
        <f t="shared" si="24"/>
      </c>
      <c r="AE94" s="2">
        <f t="shared" si="28"/>
        <v>0</v>
      </c>
      <c r="AF94" s="2">
        <f t="shared" si="29"/>
        <v>999912</v>
      </c>
      <c r="AG94" s="2">
        <f t="shared" si="30"/>
        <v>0</v>
      </c>
      <c r="AZ94" s="2">
        <f>IF(89&gt;$BA$300,0,IFERROR(MATCH(89,$BA$1:$BA$300,0),0))</f>
        <v>0</v>
      </c>
      <c r="BA94" s="2">
        <f>BA50+SUM(CA51:CA94)</f>
        <v>42</v>
      </c>
      <c r="CA94" s="2">
        <f>IF(AND(OR(_余额!$B$96="管理人员",_余额!$B$96="工人"),OR(_余额!$J$96&lt;&gt;0,_余额!$K$96&lt;&gt;0,_余额!$E$96&lt;&gt;0,_余额!$L$96&lt;&gt;0,AND(_余额!$B$96="管理人员",COUNTIFS(工资标准!$B$4:$B$303,_余额!$A$96,工资标准!$E$4:$E$303,"&gt;0")&gt;0))),1,0)</f>
        <v>0</v>
      </c>
    </row>
    <row r="95">
      <c r="A95" s="94">
        <f>IF($AZ95=0,"",90)</f>
      </c>
      <c r="B95" s="94">
        <f t="shared" si="0"/>
      </c>
      <c r="C95" s="94">
        <f t="shared" si="25"/>
      </c>
      <c r="D95" s="119">
        <f t="shared" si="26"/>
      </c>
      <c r="E95" s="21">
        <f t="shared" si="1"/>
      </c>
      <c r="F95" s="118">
        <f t="shared" si="2"/>
      </c>
      <c r="G95" s="21">
        <f t="shared" si="3"/>
      </c>
      <c r="H95" s="21">
        <f t="shared" si="4"/>
      </c>
      <c r="I95" s="21">
        <f t="shared" si="5"/>
      </c>
      <c r="J95" s="21">
        <f t="shared" si="6"/>
      </c>
      <c r="K95" s="21">
        <f t="shared" si="7"/>
      </c>
      <c r="L95" s="21">
        <f t="shared" si="8"/>
      </c>
      <c r="M95" s="21">
        <f t="shared" si="9"/>
      </c>
      <c r="N95" s="21">
        <f t="shared" si="10"/>
      </c>
      <c r="O95" s="21">
        <f t="shared" si="11"/>
      </c>
      <c r="P95" s="96">
        <f t="shared" si="27"/>
      </c>
      <c r="R95" s="21">
        <f t="shared" si="12"/>
      </c>
      <c r="S95" s="21">
        <f t="shared" si="13"/>
      </c>
      <c r="T95" s="21">
        <f t="shared" si="14"/>
      </c>
      <c r="U95" s="21">
        <f t="shared" si="15"/>
      </c>
      <c r="V95" s="21">
        <f t="shared" si="16"/>
      </c>
      <c r="W95" s="21">
        <f t="shared" si="17"/>
      </c>
      <c r="X95" s="21">
        <f t="shared" si="18"/>
      </c>
      <c r="Y95" s="21">
        <f t="shared" si="19"/>
      </c>
      <c r="Z95" s="21">
        <f t="shared" si="20"/>
      </c>
      <c r="AA95" s="21">
        <f t="shared" si="21"/>
      </c>
      <c r="AB95" s="21">
        <f t="shared" si="22"/>
      </c>
      <c r="AC95" s="21">
        <f t="shared" si="23"/>
      </c>
      <c r="AD95" s="96">
        <f t="shared" si="24"/>
      </c>
      <c r="AE95" s="2">
        <f t="shared" si="28"/>
        <v>0</v>
      </c>
      <c r="AF95" s="2">
        <f t="shared" si="29"/>
        <v>999912</v>
      </c>
      <c r="AG95" s="2">
        <f t="shared" si="30"/>
        <v>0</v>
      </c>
      <c r="AZ95" s="2">
        <f>IF(90&gt;$BA$300,0,IFERROR(MATCH(90,$BA$1:$BA$300,0),0))</f>
        <v>0</v>
      </c>
      <c r="BA95" s="2">
        <f>BA50+SUM(CA51:CA95)</f>
        <v>42</v>
      </c>
      <c r="CA95" s="2">
        <f>IF(AND(OR(_余额!$B$97="管理人员",_余额!$B$97="工人"),OR(_余额!$J$97&lt;&gt;0,_余额!$K$97&lt;&gt;0,_余额!$E$97&lt;&gt;0,_余额!$L$97&lt;&gt;0,AND(_余额!$B$97="管理人员",COUNTIFS(工资标准!$B$4:$B$303,_余额!$A$97,工资标准!$E$4:$E$303,"&gt;0")&gt;0))),1,0)</f>
        <v>0</v>
      </c>
    </row>
    <row r="96">
      <c r="A96" s="94">
        <f>IF($AZ96=0,"",91)</f>
      </c>
      <c r="B96" s="94">
        <f t="shared" si="0"/>
      </c>
      <c r="C96" s="94">
        <f t="shared" si="25"/>
      </c>
      <c r="D96" s="119">
        <f t="shared" si="26"/>
      </c>
      <c r="E96" s="21">
        <f t="shared" si="1"/>
      </c>
      <c r="F96" s="118">
        <f t="shared" si="2"/>
      </c>
      <c r="G96" s="21">
        <f t="shared" si="3"/>
      </c>
      <c r="H96" s="21">
        <f t="shared" si="4"/>
      </c>
      <c r="I96" s="21">
        <f t="shared" si="5"/>
      </c>
      <c r="J96" s="21">
        <f t="shared" si="6"/>
      </c>
      <c r="K96" s="21">
        <f t="shared" si="7"/>
      </c>
      <c r="L96" s="21">
        <f t="shared" si="8"/>
      </c>
      <c r="M96" s="21">
        <f t="shared" si="9"/>
      </c>
      <c r="N96" s="21">
        <f t="shared" si="10"/>
      </c>
      <c r="O96" s="21">
        <f t="shared" si="11"/>
      </c>
      <c r="P96" s="96">
        <f t="shared" si="27"/>
      </c>
      <c r="R96" s="21">
        <f t="shared" si="12"/>
      </c>
      <c r="S96" s="21">
        <f t="shared" si="13"/>
      </c>
      <c r="T96" s="21">
        <f t="shared" si="14"/>
      </c>
      <c r="U96" s="21">
        <f t="shared" si="15"/>
      </c>
      <c r="V96" s="21">
        <f t="shared" si="16"/>
      </c>
      <c r="W96" s="21">
        <f t="shared" si="17"/>
      </c>
      <c r="X96" s="21">
        <f t="shared" si="18"/>
      </c>
      <c r="Y96" s="21">
        <f t="shared" si="19"/>
      </c>
      <c r="Z96" s="21">
        <f t="shared" si="20"/>
      </c>
      <c r="AA96" s="21">
        <f t="shared" si="21"/>
      </c>
      <c r="AB96" s="21">
        <f t="shared" si="22"/>
      </c>
      <c r="AC96" s="21">
        <f t="shared" si="23"/>
      </c>
      <c r="AD96" s="96">
        <f t="shared" si="24"/>
      </c>
      <c r="AE96" s="2">
        <f t="shared" si="28"/>
        <v>0</v>
      </c>
      <c r="AF96" s="2">
        <f t="shared" si="29"/>
        <v>999912</v>
      </c>
      <c r="AG96" s="2">
        <f t="shared" si="30"/>
        <v>0</v>
      </c>
      <c r="AZ96" s="2">
        <f>IF(91&gt;$BA$300,0,IFERROR(MATCH(91,$BA$1:$BA$300,0),0))</f>
        <v>0</v>
      </c>
      <c r="BA96" s="2">
        <f>BA50+SUM(CA51:CA96)</f>
        <v>42</v>
      </c>
      <c r="CA96" s="2">
        <f>IF(AND(OR(_余额!$B$98="管理人员",_余额!$B$98="工人"),OR(_余额!$J$98&lt;&gt;0,_余额!$K$98&lt;&gt;0,_余额!$E$98&lt;&gt;0,_余额!$L$98&lt;&gt;0,AND(_余额!$B$98="管理人员",COUNTIFS(工资标准!$B$4:$B$303,_余额!$A$98,工资标准!$E$4:$E$303,"&gt;0")&gt;0))),1,0)</f>
        <v>0</v>
      </c>
    </row>
    <row r="97">
      <c r="A97" s="94">
        <f>IF($AZ97=0,"",92)</f>
      </c>
      <c r="B97" s="94">
        <f t="shared" si="0"/>
      </c>
      <c r="C97" s="94">
        <f t="shared" si="25"/>
      </c>
      <c r="D97" s="119">
        <f t="shared" si="26"/>
      </c>
      <c r="E97" s="21">
        <f t="shared" si="1"/>
      </c>
      <c r="F97" s="118">
        <f t="shared" si="2"/>
      </c>
      <c r="G97" s="21">
        <f t="shared" si="3"/>
      </c>
      <c r="H97" s="21">
        <f t="shared" si="4"/>
      </c>
      <c r="I97" s="21">
        <f t="shared" si="5"/>
      </c>
      <c r="J97" s="21">
        <f t="shared" si="6"/>
      </c>
      <c r="K97" s="21">
        <f t="shared" si="7"/>
      </c>
      <c r="L97" s="21">
        <f t="shared" si="8"/>
      </c>
      <c r="M97" s="21">
        <f t="shared" si="9"/>
      </c>
      <c r="N97" s="21">
        <f t="shared" si="10"/>
      </c>
      <c r="O97" s="21">
        <f t="shared" si="11"/>
      </c>
      <c r="P97" s="96">
        <f t="shared" si="27"/>
      </c>
      <c r="R97" s="21">
        <f t="shared" si="12"/>
      </c>
      <c r="S97" s="21">
        <f t="shared" si="13"/>
      </c>
      <c r="T97" s="21">
        <f t="shared" si="14"/>
      </c>
      <c r="U97" s="21">
        <f t="shared" si="15"/>
      </c>
      <c r="V97" s="21">
        <f t="shared" si="16"/>
      </c>
      <c r="W97" s="21">
        <f t="shared" si="17"/>
      </c>
      <c r="X97" s="21">
        <f t="shared" si="18"/>
      </c>
      <c r="Y97" s="21">
        <f t="shared" si="19"/>
      </c>
      <c r="Z97" s="21">
        <f t="shared" si="20"/>
      </c>
      <c r="AA97" s="21">
        <f t="shared" si="21"/>
      </c>
      <c r="AB97" s="21">
        <f t="shared" si="22"/>
      </c>
      <c r="AC97" s="21">
        <f t="shared" si="23"/>
      </c>
      <c r="AD97" s="96">
        <f t="shared" si="24"/>
      </c>
      <c r="AE97" s="2">
        <f t="shared" si="28"/>
        <v>0</v>
      </c>
      <c r="AF97" s="2">
        <f t="shared" si="29"/>
        <v>999912</v>
      </c>
      <c r="AG97" s="2">
        <f t="shared" si="30"/>
        <v>0</v>
      </c>
      <c r="AZ97" s="2">
        <f>IF(92&gt;$BA$300,0,IFERROR(MATCH(92,$BA$1:$BA$300,0),0))</f>
        <v>0</v>
      </c>
      <c r="BA97" s="2">
        <f>BA50+SUM(CA51:CA97)</f>
        <v>42</v>
      </c>
      <c r="CA97" s="2">
        <f>IF(AND(OR(_余额!$B$99="管理人员",_余额!$B$99="工人"),OR(_余额!$J$99&lt;&gt;0,_余额!$K$99&lt;&gt;0,_余额!$E$99&lt;&gt;0,_余额!$L$99&lt;&gt;0,AND(_余额!$B$99="管理人员",COUNTIFS(工资标准!$B$4:$B$303,_余额!$A$99,工资标准!$E$4:$E$303,"&gt;0")&gt;0))),1,0)</f>
        <v>0</v>
      </c>
    </row>
    <row r="98">
      <c r="A98" s="94">
        <f>IF($AZ98=0,"",93)</f>
      </c>
      <c r="B98" s="94">
        <f t="shared" si="0"/>
      </c>
      <c r="C98" s="94">
        <f t="shared" si="25"/>
      </c>
      <c r="D98" s="119">
        <f t="shared" si="26"/>
      </c>
      <c r="E98" s="21">
        <f t="shared" si="1"/>
      </c>
      <c r="F98" s="118">
        <f t="shared" si="2"/>
      </c>
      <c r="G98" s="21">
        <f t="shared" si="3"/>
      </c>
      <c r="H98" s="21">
        <f t="shared" si="4"/>
      </c>
      <c r="I98" s="21">
        <f t="shared" si="5"/>
      </c>
      <c r="J98" s="21">
        <f t="shared" si="6"/>
      </c>
      <c r="K98" s="21">
        <f t="shared" si="7"/>
      </c>
      <c r="L98" s="21">
        <f t="shared" si="8"/>
      </c>
      <c r="M98" s="21">
        <f t="shared" si="9"/>
      </c>
      <c r="N98" s="21">
        <f t="shared" si="10"/>
      </c>
      <c r="O98" s="21">
        <f t="shared" si="11"/>
      </c>
      <c r="P98" s="96">
        <f t="shared" si="27"/>
      </c>
      <c r="R98" s="21">
        <f t="shared" si="12"/>
      </c>
      <c r="S98" s="21">
        <f t="shared" si="13"/>
      </c>
      <c r="T98" s="21">
        <f t="shared" si="14"/>
      </c>
      <c r="U98" s="21">
        <f t="shared" si="15"/>
      </c>
      <c r="V98" s="21">
        <f t="shared" si="16"/>
      </c>
      <c r="W98" s="21">
        <f t="shared" si="17"/>
      </c>
      <c r="X98" s="21">
        <f t="shared" si="18"/>
      </c>
      <c r="Y98" s="21">
        <f t="shared" si="19"/>
      </c>
      <c r="Z98" s="21">
        <f t="shared" si="20"/>
      </c>
      <c r="AA98" s="21">
        <f t="shared" si="21"/>
      </c>
      <c r="AB98" s="21">
        <f t="shared" si="22"/>
      </c>
      <c r="AC98" s="21">
        <f t="shared" si="23"/>
      </c>
      <c r="AD98" s="96">
        <f t="shared" si="24"/>
      </c>
      <c r="AE98" s="2">
        <f t="shared" si="28"/>
        <v>0</v>
      </c>
      <c r="AF98" s="2">
        <f t="shared" si="29"/>
        <v>999912</v>
      </c>
      <c r="AG98" s="2">
        <f t="shared" si="30"/>
        <v>0</v>
      </c>
      <c r="AZ98" s="2">
        <f>IF(93&gt;$BA$300,0,IFERROR(MATCH(93,$BA$1:$BA$300,0),0))</f>
        <v>0</v>
      </c>
      <c r="BA98" s="2">
        <f>BA50+SUM(CA51:CA98)</f>
        <v>42</v>
      </c>
      <c r="CA98" s="2">
        <f>IF(AND(OR(_余额!$B$100="管理人员",_余额!$B$100="工人"),OR(_余额!$J$100&lt;&gt;0,_余额!$K$100&lt;&gt;0,_余额!$E$100&lt;&gt;0,_余额!$L$100&lt;&gt;0,AND(_余额!$B$100="管理人员",COUNTIFS(工资标准!$B$4:$B$303,_余额!$A$100,工资标准!$E$4:$E$303,"&gt;0")&gt;0))),1,0)</f>
        <v>0</v>
      </c>
    </row>
    <row r="99">
      <c r="A99" s="94">
        <f>IF($AZ99=0,"",94)</f>
      </c>
      <c r="B99" s="94">
        <f t="shared" si="0"/>
      </c>
      <c r="C99" s="94">
        <f t="shared" si="25"/>
      </c>
      <c r="D99" s="119">
        <f t="shared" si="26"/>
      </c>
      <c r="E99" s="21">
        <f t="shared" si="1"/>
      </c>
      <c r="F99" s="118">
        <f t="shared" si="2"/>
      </c>
      <c r="G99" s="21">
        <f t="shared" si="3"/>
      </c>
      <c r="H99" s="21">
        <f t="shared" si="4"/>
      </c>
      <c r="I99" s="21">
        <f t="shared" si="5"/>
      </c>
      <c r="J99" s="21">
        <f t="shared" si="6"/>
      </c>
      <c r="K99" s="21">
        <f t="shared" si="7"/>
      </c>
      <c r="L99" s="21">
        <f t="shared" si="8"/>
      </c>
      <c r="M99" s="21">
        <f t="shared" si="9"/>
      </c>
      <c r="N99" s="21">
        <f t="shared" si="10"/>
      </c>
      <c r="O99" s="21">
        <f t="shared" si="11"/>
      </c>
      <c r="P99" s="96">
        <f t="shared" si="27"/>
      </c>
      <c r="R99" s="21">
        <f t="shared" si="12"/>
      </c>
      <c r="S99" s="21">
        <f t="shared" si="13"/>
      </c>
      <c r="T99" s="21">
        <f t="shared" si="14"/>
      </c>
      <c r="U99" s="21">
        <f t="shared" si="15"/>
      </c>
      <c r="V99" s="21">
        <f t="shared" si="16"/>
      </c>
      <c r="W99" s="21">
        <f t="shared" si="17"/>
      </c>
      <c r="X99" s="21">
        <f t="shared" si="18"/>
      </c>
      <c r="Y99" s="21">
        <f t="shared" si="19"/>
      </c>
      <c r="Z99" s="21">
        <f t="shared" si="20"/>
      </c>
      <c r="AA99" s="21">
        <f t="shared" si="21"/>
      </c>
      <c r="AB99" s="21">
        <f t="shared" si="22"/>
      </c>
      <c r="AC99" s="21">
        <f t="shared" si="23"/>
      </c>
      <c r="AD99" s="96">
        <f t="shared" si="24"/>
      </c>
      <c r="AE99" s="2">
        <f t="shared" si="28"/>
        <v>0</v>
      </c>
      <c r="AF99" s="2">
        <f t="shared" si="29"/>
        <v>999912</v>
      </c>
      <c r="AG99" s="2">
        <f t="shared" si="30"/>
        <v>0</v>
      </c>
      <c r="AZ99" s="2">
        <f>IF(94&gt;$BA$300,0,IFERROR(MATCH(94,$BA$1:$BA$300,0),0))</f>
        <v>0</v>
      </c>
      <c r="BA99" s="2">
        <f>BA50+SUM(CA51:CA99)</f>
        <v>42</v>
      </c>
      <c r="CA99" s="2">
        <f>IF(AND(OR(_余额!$B$101="管理人员",_余额!$B$101="工人"),OR(_余额!$J$101&lt;&gt;0,_余额!$K$101&lt;&gt;0,_余额!$E$101&lt;&gt;0,_余额!$L$101&lt;&gt;0,AND(_余额!$B$101="管理人员",COUNTIFS(工资标准!$B$4:$B$303,_余额!$A$101,工资标准!$E$4:$E$303,"&gt;0")&gt;0))),1,0)</f>
        <v>0</v>
      </c>
    </row>
    <row r="100">
      <c r="A100" s="94">
        <f>IF($AZ100=0,"",95)</f>
      </c>
      <c r="B100" s="94">
        <f t="shared" si="0"/>
      </c>
      <c r="C100" s="94">
        <f t="shared" si="25"/>
      </c>
      <c r="D100" s="119">
        <f t="shared" si="26"/>
      </c>
      <c r="E100" s="21">
        <f t="shared" si="1"/>
      </c>
      <c r="F100" s="118">
        <f t="shared" si="2"/>
      </c>
      <c r="G100" s="21">
        <f t="shared" si="3"/>
      </c>
      <c r="H100" s="21">
        <f t="shared" si="4"/>
      </c>
      <c r="I100" s="21">
        <f t="shared" si="5"/>
      </c>
      <c r="J100" s="21">
        <f t="shared" si="6"/>
      </c>
      <c r="K100" s="21">
        <f t="shared" si="7"/>
      </c>
      <c r="L100" s="21">
        <f t="shared" si="8"/>
      </c>
      <c r="M100" s="21">
        <f t="shared" si="9"/>
      </c>
      <c r="N100" s="21">
        <f t="shared" si="10"/>
      </c>
      <c r="O100" s="21">
        <f t="shared" si="11"/>
      </c>
      <c r="P100" s="96">
        <f t="shared" si="27"/>
      </c>
      <c r="R100" s="21">
        <f t="shared" si="12"/>
      </c>
      <c r="S100" s="21">
        <f t="shared" si="13"/>
      </c>
      <c r="T100" s="21">
        <f t="shared" si="14"/>
      </c>
      <c r="U100" s="21">
        <f t="shared" si="15"/>
      </c>
      <c r="V100" s="21">
        <f t="shared" si="16"/>
      </c>
      <c r="W100" s="21">
        <f t="shared" si="17"/>
      </c>
      <c r="X100" s="21">
        <f t="shared" si="18"/>
      </c>
      <c r="Y100" s="21">
        <f t="shared" si="19"/>
      </c>
      <c r="Z100" s="21">
        <f t="shared" si="20"/>
      </c>
      <c r="AA100" s="21">
        <f t="shared" si="21"/>
      </c>
      <c r="AB100" s="21">
        <f t="shared" si="22"/>
      </c>
      <c r="AC100" s="21">
        <f t="shared" si="23"/>
      </c>
      <c r="AD100" s="96">
        <f t="shared" si="24"/>
      </c>
      <c r="AE100" s="2">
        <f t="shared" si="28"/>
        <v>0</v>
      </c>
      <c r="AF100" s="2">
        <f t="shared" si="29"/>
        <v>999912</v>
      </c>
      <c r="AG100" s="2">
        <f t="shared" si="30"/>
        <v>0</v>
      </c>
      <c r="AZ100" s="2">
        <f>IF(95&gt;$BA$300,0,IFERROR(MATCH(95,$BA$1:$BA$300,0),0))</f>
        <v>0</v>
      </c>
      <c r="BA100" s="2">
        <f>BA50+SUM(CA51:CA100)</f>
        <v>42</v>
      </c>
      <c r="CA100" s="2">
        <f>IF(AND(OR(_余额!$B$102="管理人员",_余额!$B$102="工人"),OR(_余额!$J$102&lt;&gt;0,_余额!$K$102&lt;&gt;0,_余额!$E$102&lt;&gt;0,_余额!$L$102&lt;&gt;0,AND(_余额!$B$102="管理人员",COUNTIFS(工资标准!$B$4:$B$303,_余额!$A$102,工资标准!$E$4:$E$303,"&gt;0")&gt;0))),1,0)</f>
        <v>0</v>
      </c>
    </row>
    <row r="101">
      <c r="A101" s="94">
        <f>IF($AZ101=0,"",96)</f>
      </c>
      <c r="B101" s="94">
        <f t="shared" si="0"/>
      </c>
      <c r="C101" s="94">
        <f t="shared" si="25"/>
      </c>
      <c r="D101" s="119">
        <f t="shared" si="26"/>
      </c>
      <c r="E101" s="21">
        <f t="shared" si="1"/>
      </c>
      <c r="F101" s="118">
        <f t="shared" si="2"/>
      </c>
      <c r="G101" s="21">
        <f t="shared" si="3"/>
      </c>
      <c r="H101" s="21">
        <f t="shared" si="4"/>
      </c>
      <c r="I101" s="21">
        <f t="shared" si="5"/>
      </c>
      <c r="J101" s="21">
        <f t="shared" si="6"/>
      </c>
      <c r="K101" s="21">
        <f t="shared" si="7"/>
      </c>
      <c r="L101" s="21">
        <f t="shared" si="8"/>
      </c>
      <c r="M101" s="21">
        <f t="shared" si="9"/>
      </c>
      <c r="N101" s="21">
        <f t="shared" si="10"/>
      </c>
      <c r="O101" s="21">
        <f t="shared" si="11"/>
      </c>
      <c r="P101" s="96">
        <f t="shared" si="27"/>
      </c>
      <c r="R101" s="21">
        <f t="shared" si="12"/>
      </c>
      <c r="S101" s="21">
        <f t="shared" si="13"/>
      </c>
      <c r="T101" s="21">
        <f t="shared" si="14"/>
      </c>
      <c r="U101" s="21">
        <f t="shared" si="15"/>
      </c>
      <c r="V101" s="21">
        <f t="shared" si="16"/>
      </c>
      <c r="W101" s="21">
        <f t="shared" si="17"/>
      </c>
      <c r="X101" s="21">
        <f t="shared" si="18"/>
      </c>
      <c r="Y101" s="21">
        <f t="shared" si="19"/>
      </c>
      <c r="Z101" s="21">
        <f t="shared" si="20"/>
      </c>
      <c r="AA101" s="21">
        <f t="shared" si="21"/>
      </c>
      <c r="AB101" s="21">
        <f t="shared" si="22"/>
      </c>
      <c r="AC101" s="21">
        <f t="shared" si="23"/>
      </c>
      <c r="AD101" s="96">
        <f t="shared" si="24"/>
      </c>
      <c r="AE101" s="2">
        <f t="shared" si="28"/>
        <v>0</v>
      </c>
      <c r="AF101" s="2">
        <f t="shared" si="29"/>
        <v>999912</v>
      </c>
      <c r="AG101" s="2">
        <f t="shared" si="30"/>
        <v>0</v>
      </c>
      <c r="AZ101" s="2">
        <f>IF(96&gt;$BA$300,0,IFERROR(MATCH(96,$BA$1:$BA$300,0),0))</f>
        <v>0</v>
      </c>
      <c r="BA101" s="2">
        <f>BA100+SUM(CA101:CA101)</f>
        <v>42</v>
      </c>
      <c r="CA101" s="2">
        <f>IF(AND(OR(_余额!$B$103="管理人员",_余额!$B$103="工人"),OR(_余额!$J$103&lt;&gt;0,_余额!$K$103&lt;&gt;0,_余额!$E$103&lt;&gt;0,_余额!$L$103&lt;&gt;0,AND(_余额!$B$103="管理人员",COUNTIFS(工资标准!$B$4:$B$303,_余额!$A$103,工资标准!$E$4:$E$303,"&gt;0")&gt;0))),1,0)</f>
        <v>0</v>
      </c>
    </row>
    <row r="102">
      <c r="A102" s="94">
        <f>IF($AZ102=0,"",97)</f>
      </c>
      <c r="B102" s="94">
        <f t="shared" si="0"/>
      </c>
      <c r="C102" s="94">
        <f t="shared" si="25"/>
      </c>
      <c r="D102" s="119">
        <f t="shared" si="26"/>
      </c>
      <c r="E102" s="21">
        <f t="shared" si="1"/>
      </c>
      <c r="F102" s="118">
        <f t="shared" si="2"/>
      </c>
      <c r="G102" s="21">
        <f t="shared" si="3"/>
      </c>
      <c r="H102" s="21">
        <f t="shared" si="4"/>
      </c>
      <c r="I102" s="21">
        <f t="shared" si="5"/>
      </c>
      <c r="J102" s="21">
        <f t="shared" si="6"/>
      </c>
      <c r="K102" s="21">
        <f t="shared" si="7"/>
      </c>
      <c r="L102" s="21">
        <f t="shared" si="8"/>
      </c>
      <c r="M102" s="21">
        <f t="shared" si="9"/>
      </c>
      <c r="N102" s="21">
        <f t="shared" si="10"/>
      </c>
      <c r="O102" s="21">
        <f t="shared" si="11"/>
      </c>
      <c r="P102" s="96">
        <f t="shared" si="27"/>
      </c>
      <c r="R102" s="21">
        <f t="shared" si="12"/>
      </c>
      <c r="S102" s="21">
        <f t="shared" si="13"/>
      </c>
      <c r="T102" s="21">
        <f t="shared" si="14"/>
      </c>
      <c r="U102" s="21">
        <f t="shared" si="15"/>
      </c>
      <c r="V102" s="21">
        <f t="shared" si="16"/>
      </c>
      <c r="W102" s="21">
        <f t="shared" si="17"/>
      </c>
      <c r="X102" s="21">
        <f t="shared" si="18"/>
      </c>
      <c r="Y102" s="21">
        <f t="shared" si="19"/>
      </c>
      <c r="Z102" s="21">
        <f t="shared" si="20"/>
      </c>
      <c r="AA102" s="21">
        <f t="shared" si="21"/>
      </c>
      <c r="AB102" s="21">
        <f t="shared" si="22"/>
      </c>
      <c r="AC102" s="21">
        <f t="shared" si="23"/>
      </c>
      <c r="AD102" s="96">
        <f t="shared" si="24"/>
      </c>
      <c r="AE102" s="2">
        <f t="shared" si="28"/>
        <v>0</v>
      </c>
      <c r="AF102" s="2">
        <f t="shared" si="29"/>
        <v>999912</v>
      </c>
      <c r="AG102" s="2">
        <f t="shared" si="30"/>
        <v>0</v>
      </c>
      <c r="AZ102" s="2">
        <f>IF(97&gt;$BA$300,0,IFERROR(MATCH(97,$BA$1:$BA$300,0),0))</f>
        <v>0</v>
      </c>
      <c r="BA102" s="2">
        <f>BA100+SUM(CA101:CA102)</f>
        <v>42</v>
      </c>
      <c r="CA102" s="2">
        <f>IF(AND(OR(_余额!$B$104="管理人员",_余额!$B$104="工人"),OR(_余额!$J$104&lt;&gt;0,_余额!$K$104&lt;&gt;0,_余额!$E$104&lt;&gt;0,_余额!$L$104&lt;&gt;0,AND(_余额!$B$104="管理人员",COUNTIFS(工资标准!$B$4:$B$303,_余额!$A$104,工资标准!$E$4:$E$303,"&gt;0")&gt;0))),1,0)</f>
        <v>0</v>
      </c>
    </row>
    <row r="103">
      <c r="A103" s="94">
        <f>IF($AZ103=0,"",98)</f>
      </c>
      <c r="B103" s="94">
        <f t="shared" si="0"/>
      </c>
      <c r="C103" s="94">
        <f t="shared" si="25"/>
      </c>
      <c r="D103" s="119">
        <f t="shared" si="26"/>
      </c>
      <c r="E103" s="21">
        <f t="shared" si="1"/>
      </c>
      <c r="F103" s="118">
        <f t="shared" si="2"/>
      </c>
      <c r="G103" s="21">
        <f t="shared" si="3"/>
      </c>
      <c r="H103" s="21">
        <f t="shared" si="4"/>
      </c>
      <c r="I103" s="21">
        <f t="shared" si="5"/>
      </c>
      <c r="J103" s="21">
        <f t="shared" si="6"/>
      </c>
      <c r="K103" s="21">
        <f t="shared" si="7"/>
      </c>
      <c r="L103" s="21">
        <f t="shared" si="8"/>
      </c>
      <c r="M103" s="21">
        <f t="shared" si="9"/>
      </c>
      <c r="N103" s="21">
        <f t="shared" si="10"/>
      </c>
      <c r="O103" s="21">
        <f t="shared" si="11"/>
      </c>
      <c r="P103" s="96">
        <f t="shared" si="27"/>
      </c>
      <c r="R103" s="21">
        <f t="shared" si="12"/>
      </c>
      <c r="S103" s="21">
        <f t="shared" si="13"/>
      </c>
      <c r="T103" s="21">
        <f t="shared" si="14"/>
      </c>
      <c r="U103" s="21">
        <f t="shared" si="15"/>
      </c>
      <c r="V103" s="21">
        <f t="shared" si="16"/>
      </c>
      <c r="W103" s="21">
        <f t="shared" si="17"/>
      </c>
      <c r="X103" s="21">
        <f t="shared" si="18"/>
      </c>
      <c r="Y103" s="21">
        <f t="shared" si="19"/>
      </c>
      <c r="Z103" s="21">
        <f t="shared" si="20"/>
      </c>
      <c r="AA103" s="21">
        <f t="shared" si="21"/>
      </c>
      <c r="AB103" s="21">
        <f t="shared" si="22"/>
      </c>
      <c r="AC103" s="21">
        <f t="shared" si="23"/>
      </c>
      <c r="AD103" s="96">
        <f t="shared" si="24"/>
      </c>
      <c r="AE103" s="2">
        <f t="shared" si="28"/>
        <v>0</v>
      </c>
      <c r="AF103" s="2">
        <f t="shared" si="29"/>
        <v>999912</v>
      </c>
      <c r="AG103" s="2">
        <f t="shared" si="30"/>
        <v>0</v>
      </c>
      <c r="AZ103" s="2">
        <f>IF(98&gt;$BA$300,0,IFERROR(MATCH(98,$BA$1:$BA$300,0),0))</f>
        <v>0</v>
      </c>
      <c r="BA103" s="2">
        <f>BA100+SUM(CA101:CA103)</f>
        <v>42</v>
      </c>
      <c r="CA103" s="2">
        <f>IF(AND(OR(_余额!$B$105="管理人员",_余额!$B$105="工人"),OR(_余额!$J$105&lt;&gt;0,_余额!$K$105&lt;&gt;0,_余额!$E$105&lt;&gt;0,_余额!$L$105&lt;&gt;0,AND(_余额!$B$105="管理人员",COUNTIFS(工资标准!$B$4:$B$303,_余额!$A$105,工资标准!$E$4:$E$303,"&gt;0")&gt;0))),1,0)</f>
        <v>0</v>
      </c>
    </row>
    <row r="104">
      <c r="A104" s="94">
        <f>IF($AZ104=0,"",99)</f>
      </c>
      <c r="B104" s="94">
        <f t="shared" si="0"/>
      </c>
      <c r="C104" s="94">
        <f t="shared" si="25"/>
      </c>
      <c r="D104" s="119">
        <f t="shared" si="26"/>
      </c>
      <c r="E104" s="21">
        <f t="shared" si="1"/>
      </c>
      <c r="F104" s="118">
        <f t="shared" si="2"/>
      </c>
      <c r="G104" s="21">
        <f t="shared" si="3"/>
      </c>
      <c r="H104" s="21">
        <f t="shared" si="4"/>
      </c>
      <c r="I104" s="21">
        <f t="shared" si="5"/>
      </c>
      <c r="J104" s="21">
        <f t="shared" si="6"/>
      </c>
      <c r="K104" s="21">
        <f t="shared" si="7"/>
      </c>
      <c r="L104" s="21">
        <f t="shared" si="8"/>
      </c>
      <c r="M104" s="21">
        <f t="shared" si="9"/>
      </c>
      <c r="N104" s="21">
        <f t="shared" si="10"/>
      </c>
      <c r="O104" s="21">
        <f t="shared" si="11"/>
      </c>
      <c r="P104" s="96">
        <f t="shared" si="27"/>
      </c>
      <c r="R104" s="21">
        <f t="shared" si="12"/>
      </c>
      <c r="S104" s="21">
        <f t="shared" si="13"/>
      </c>
      <c r="T104" s="21">
        <f t="shared" si="14"/>
      </c>
      <c r="U104" s="21">
        <f t="shared" si="15"/>
      </c>
      <c r="V104" s="21">
        <f t="shared" si="16"/>
      </c>
      <c r="W104" s="21">
        <f t="shared" si="17"/>
      </c>
      <c r="X104" s="21">
        <f t="shared" si="18"/>
      </c>
      <c r="Y104" s="21">
        <f t="shared" si="19"/>
      </c>
      <c r="Z104" s="21">
        <f t="shared" si="20"/>
      </c>
      <c r="AA104" s="21">
        <f t="shared" si="21"/>
      </c>
      <c r="AB104" s="21">
        <f t="shared" si="22"/>
      </c>
      <c r="AC104" s="21">
        <f t="shared" si="23"/>
      </c>
      <c r="AD104" s="96">
        <f t="shared" si="24"/>
      </c>
      <c r="AE104" s="2">
        <f t="shared" si="28"/>
        <v>0</v>
      </c>
      <c r="AF104" s="2">
        <f t="shared" si="29"/>
        <v>999912</v>
      </c>
      <c r="AG104" s="2">
        <f t="shared" si="30"/>
        <v>0</v>
      </c>
      <c r="AZ104" s="2">
        <f>IF(99&gt;$BA$300,0,IFERROR(MATCH(99,$BA$1:$BA$300,0),0))</f>
        <v>0</v>
      </c>
      <c r="BA104" s="2">
        <f>BA100+SUM(CA101:CA104)</f>
        <v>42</v>
      </c>
      <c r="CA104" s="2">
        <f>IF(AND(OR(_余额!$B$106="管理人员",_余额!$B$106="工人"),OR(_余额!$J$106&lt;&gt;0,_余额!$K$106&lt;&gt;0,_余额!$E$106&lt;&gt;0,_余额!$L$106&lt;&gt;0,AND(_余额!$B$106="管理人员",COUNTIFS(工资标准!$B$4:$B$303,_余额!$A$106,工资标准!$E$4:$E$303,"&gt;0")&gt;0))),1,0)</f>
        <v>0</v>
      </c>
    </row>
    <row r="105">
      <c r="A105" s="94">
        <f>IF($AZ105=0,"",100)</f>
      </c>
      <c r="B105" s="94">
        <f t="shared" si="0"/>
      </c>
      <c r="C105" s="94">
        <f t="shared" si="25"/>
      </c>
      <c r="D105" s="119">
        <f t="shared" si="26"/>
      </c>
      <c r="E105" s="21">
        <f t="shared" si="1"/>
      </c>
      <c r="F105" s="118">
        <f t="shared" si="2"/>
      </c>
      <c r="G105" s="21">
        <f t="shared" si="3"/>
      </c>
      <c r="H105" s="21">
        <f t="shared" si="4"/>
      </c>
      <c r="I105" s="21">
        <f t="shared" si="5"/>
      </c>
      <c r="J105" s="21">
        <f t="shared" si="6"/>
      </c>
      <c r="K105" s="21">
        <f t="shared" si="7"/>
      </c>
      <c r="L105" s="21">
        <f t="shared" si="8"/>
      </c>
      <c r="M105" s="21">
        <f t="shared" si="9"/>
      </c>
      <c r="N105" s="21">
        <f t="shared" si="10"/>
      </c>
      <c r="O105" s="21">
        <f t="shared" si="11"/>
      </c>
      <c r="P105" s="96">
        <f t="shared" si="27"/>
      </c>
      <c r="R105" s="21">
        <f t="shared" si="12"/>
      </c>
      <c r="S105" s="21">
        <f t="shared" si="13"/>
      </c>
      <c r="T105" s="21">
        <f t="shared" si="14"/>
      </c>
      <c r="U105" s="21">
        <f t="shared" si="15"/>
      </c>
      <c r="V105" s="21">
        <f t="shared" si="16"/>
      </c>
      <c r="W105" s="21">
        <f t="shared" si="17"/>
      </c>
      <c r="X105" s="21">
        <f t="shared" si="18"/>
      </c>
      <c r="Y105" s="21">
        <f t="shared" si="19"/>
      </c>
      <c r="Z105" s="21">
        <f t="shared" si="20"/>
      </c>
      <c r="AA105" s="21">
        <f t="shared" si="21"/>
      </c>
      <c r="AB105" s="21">
        <f t="shared" si="22"/>
      </c>
      <c r="AC105" s="21">
        <f t="shared" si="23"/>
      </c>
      <c r="AD105" s="96">
        <f t="shared" si="24"/>
      </c>
      <c r="AE105" s="2">
        <f t="shared" si="28"/>
        <v>0</v>
      </c>
      <c r="AF105" s="2">
        <f t="shared" si="29"/>
        <v>999912</v>
      </c>
      <c r="AG105" s="2">
        <f t="shared" si="30"/>
        <v>0</v>
      </c>
      <c r="AZ105" s="2">
        <f>IF(100&gt;$BA$300,0,IFERROR(MATCH(100,$BA$1:$BA$300,0),0))</f>
        <v>0</v>
      </c>
      <c r="BA105" s="2">
        <f>BA100+SUM(CA101:CA105)</f>
        <v>42</v>
      </c>
      <c r="CA105" s="2">
        <f>IF(AND(OR(_余额!$B$107="管理人员",_余额!$B$107="工人"),OR(_余额!$J$107&lt;&gt;0,_余额!$K$107&lt;&gt;0,_余额!$E$107&lt;&gt;0,_余额!$L$107&lt;&gt;0,AND(_余额!$B$107="管理人员",COUNTIFS(工资标准!$B$4:$B$303,_余额!$A$107,工资标准!$E$4:$E$303,"&gt;0")&gt;0))),1,0)</f>
        <v>0</v>
      </c>
    </row>
    <row r="106">
      <c r="A106" s="94">
        <f>IF($AZ106=0,"",101)</f>
      </c>
      <c r="B106" s="94">
        <f t="shared" si="0"/>
      </c>
      <c r="C106" s="94">
        <f t="shared" si="25"/>
      </c>
      <c r="D106" s="119">
        <f t="shared" si="26"/>
      </c>
      <c r="E106" s="21">
        <f t="shared" si="1"/>
      </c>
      <c r="F106" s="118">
        <f t="shared" si="2"/>
      </c>
      <c r="G106" s="21">
        <f t="shared" si="3"/>
      </c>
      <c r="H106" s="21">
        <f t="shared" si="4"/>
      </c>
      <c r="I106" s="21">
        <f t="shared" si="5"/>
      </c>
      <c r="J106" s="21">
        <f t="shared" si="6"/>
      </c>
      <c r="K106" s="21">
        <f t="shared" si="7"/>
      </c>
      <c r="L106" s="21">
        <f t="shared" si="8"/>
      </c>
      <c r="M106" s="21">
        <f t="shared" si="9"/>
      </c>
      <c r="N106" s="21">
        <f t="shared" si="10"/>
      </c>
      <c r="O106" s="21">
        <f t="shared" si="11"/>
      </c>
      <c r="P106" s="96">
        <f t="shared" si="27"/>
      </c>
      <c r="R106" s="21">
        <f t="shared" si="12"/>
      </c>
      <c r="S106" s="21">
        <f t="shared" si="13"/>
      </c>
      <c r="T106" s="21">
        <f t="shared" si="14"/>
      </c>
      <c r="U106" s="21">
        <f t="shared" si="15"/>
      </c>
      <c r="V106" s="21">
        <f t="shared" si="16"/>
      </c>
      <c r="W106" s="21">
        <f t="shared" si="17"/>
      </c>
      <c r="X106" s="21">
        <f t="shared" si="18"/>
      </c>
      <c r="Y106" s="21">
        <f t="shared" si="19"/>
      </c>
      <c r="Z106" s="21">
        <f t="shared" si="20"/>
      </c>
      <c r="AA106" s="21">
        <f t="shared" si="21"/>
      </c>
      <c r="AB106" s="21">
        <f t="shared" si="22"/>
      </c>
      <c r="AC106" s="21">
        <f t="shared" si="23"/>
      </c>
      <c r="AD106" s="96">
        <f t="shared" si="24"/>
      </c>
      <c r="AE106" s="2">
        <f t="shared" si="28"/>
        <v>0</v>
      </c>
      <c r="AF106" s="2">
        <f t="shared" si="29"/>
        <v>999912</v>
      </c>
      <c r="AG106" s="2">
        <f t="shared" si="30"/>
        <v>0</v>
      </c>
      <c r="AZ106" s="2">
        <f>IF(101&gt;$BA$300,0,IFERROR(MATCH(101,$BA$1:$BA$300,0),0))</f>
        <v>0</v>
      </c>
      <c r="BA106" s="2">
        <f>BA100+SUM(CA101:CA106)</f>
        <v>42</v>
      </c>
      <c r="CA106" s="2">
        <f>IF(AND(OR(_余额!$B$108="管理人员",_余额!$B$108="工人"),OR(_余额!$J$108&lt;&gt;0,_余额!$K$108&lt;&gt;0,_余额!$E$108&lt;&gt;0,_余额!$L$108&lt;&gt;0,AND(_余额!$B$108="管理人员",COUNTIFS(工资标准!$B$4:$B$303,_余额!$A$108,工资标准!$E$4:$E$303,"&gt;0")&gt;0))),1,0)</f>
        <v>0</v>
      </c>
    </row>
    <row r="107">
      <c r="A107" s="94">
        <f>IF($AZ107=0,"",102)</f>
      </c>
      <c r="B107" s="94">
        <f t="shared" si="0"/>
      </c>
      <c r="C107" s="94">
        <f t="shared" si="25"/>
      </c>
      <c r="D107" s="119">
        <f t="shared" si="26"/>
      </c>
      <c r="E107" s="21">
        <f t="shared" si="1"/>
      </c>
      <c r="F107" s="118">
        <f t="shared" si="2"/>
      </c>
      <c r="G107" s="21">
        <f t="shared" si="3"/>
      </c>
      <c r="H107" s="21">
        <f t="shared" si="4"/>
      </c>
      <c r="I107" s="21">
        <f t="shared" si="5"/>
      </c>
      <c r="J107" s="21">
        <f t="shared" si="6"/>
      </c>
      <c r="K107" s="21">
        <f t="shared" si="7"/>
      </c>
      <c r="L107" s="21">
        <f t="shared" si="8"/>
      </c>
      <c r="M107" s="21">
        <f t="shared" si="9"/>
      </c>
      <c r="N107" s="21">
        <f t="shared" si="10"/>
      </c>
      <c r="O107" s="21">
        <f t="shared" si="11"/>
      </c>
      <c r="P107" s="96">
        <f t="shared" si="27"/>
      </c>
      <c r="R107" s="21">
        <f t="shared" si="12"/>
      </c>
      <c r="S107" s="21">
        <f t="shared" si="13"/>
      </c>
      <c r="T107" s="21">
        <f t="shared" si="14"/>
      </c>
      <c r="U107" s="21">
        <f t="shared" si="15"/>
      </c>
      <c r="V107" s="21">
        <f t="shared" si="16"/>
      </c>
      <c r="W107" s="21">
        <f t="shared" si="17"/>
      </c>
      <c r="X107" s="21">
        <f t="shared" si="18"/>
      </c>
      <c r="Y107" s="21">
        <f t="shared" si="19"/>
      </c>
      <c r="Z107" s="21">
        <f t="shared" si="20"/>
      </c>
      <c r="AA107" s="21">
        <f t="shared" si="21"/>
      </c>
      <c r="AB107" s="21">
        <f t="shared" si="22"/>
      </c>
      <c r="AC107" s="21">
        <f t="shared" si="23"/>
      </c>
      <c r="AD107" s="96">
        <f t="shared" si="24"/>
      </c>
      <c r="AE107" s="2">
        <f t="shared" si="28"/>
        <v>0</v>
      </c>
      <c r="AF107" s="2">
        <f t="shared" si="29"/>
        <v>999912</v>
      </c>
      <c r="AG107" s="2">
        <f t="shared" si="30"/>
        <v>0</v>
      </c>
      <c r="AZ107" s="2">
        <f>IF(102&gt;$BA$300,0,IFERROR(MATCH(102,$BA$1:$BA$300,0),0))</f>
        <v>0</v>
      </c>
      <c r="BA107" s="2">
        <f>BA100+SUM(CA101:CA107)</f>
        <v>42</v>
      </c>
      <c r="CA107" s="2">
        <f>IF(AND(OR(_余额!$B$109="管理人员",_余额!$B$109="工人"),OR(_余额!$J$109&lt;&gt;0,_余额!$K$109&lt;&gt;0,_余额!$E$109&lt;&gt;0,_余额!$L$109&lt;&gt;0,AND(_余额!$B$109="管理人员",COUNTIFS(工资标准!$B$4:$B$303,_余额!$A$109,工资标准!$E$4:$E$303,"&gt;0")&gt;0))),1,0)</f>
        <v>0</v>
      </c>
    </row>
    <row r="108">
      <c r="A108" s="94">
        <f>IF($AZ108=0,"",103)</f>
      </c>
      <c r="B108" s="94">
        <f t="shared" si="0"/>
      </c>
      <c r="C108" s="94">
        <f t="shared" si="25"/>
      </c>
      <c r="D108" s="119">
        <f t="shared" si="26"/>
      </c>
      <c r="E108" s="21">
        <f t="shared" si="1"/>
      </c>
      <c r="F108" s="118">
        <f t="shared" si="2"/>
      </c>
      <c r="G108" s="21">
        <f t="shared" si="3"/>
      </c>
      <c r="H108" s="21">
        <f t="shared" si="4"/>
      </c>
      <c r="I108" s="21">
        <f t="shared" si="5"/>
      </c>
      <c r="J108" s="21">
        <f t="shared" si="6"/>
      </c>
      <c r="K108" s="21">
        <f t="shared" si="7"/>
      </c>
      <c r="L108" s="21">
        <f t="shared" si="8"/>
      </c>
      <c r="M108" s="21">
        <f t="shared" si="9"/>
      </c>
      <c r="N108" s="21">
        <f t="shared" si="10"/>
      </c>
      <c r="O108" s="21">
        <f t="shared" si="11"/>
      </c>
      <c r="P108" s="96">
        <f t="shared" si="27"/>
      </c>
      <c r="R108" s="21">
        <f t="shared" si="12"/>
      </c>
      <c r="S108" s="21">
        <f t="shared" si="13"/>
      </c>
      <c r="T108" s="21">
        <f t="shared" si="14"/>
      </c>
      <c r="U108" s="21">
        <f t="shared" si="15"/>
      </c>
      <c r="V108" s="21">
        <f t="shared" si="16"/>
      </c>
      <c r="W108" s="21">
        <f t="shared" si="17"/>
      </c>
      <c r="X108" s="21">
        <f t="shared" si="18"/>
      </c>
      <c r="Y108" s="21">
        <f t="shared" si="19"/>
      </c>
      <c r="Z108" s="21">
        <f t="shared" si="20"/>
      </c>
      <c r="AA108" s="21">
        <f t="shared" si="21"/>
      </c>
      <c r="AB108" s="21">
        <f t="shared" si="22"/>
      </c>
      <c r="AC108" s="21">
        <f t="shared" si="23"/>
      </c>
      <c r="AD108" s="96">
        <f t="shared" si="24"/>
      </c>
      <c r="AE108" s="2">
        <f t="shared" si="28"/>
        <v>0</v>
      </c>
      <c r="AF108" s="2">
        <f t="shared" si="29"/>
        <v>999912</v>
      </c>
      <c r="AG108" s="2">
        <f t="shared" si="30"/>
        <v>0</v>
      </c>
      <c r="AZ108" s="2">
        <f>IF(103&gt;$BA$300,0,IFERROR(MATCH(103,$BA$1:$BA$300,0),0))</f>
        <v>0</v>
      </c>
      <c r="BA108" s="2">
        <f>BA100+SUM(CA101:CA108)</f>
        <v>42</v>
      </c>
      <c r="CA108" s="2">
        <f>IF(AND(OR(_余额!$B$110="管理人员",_余额!$B$110="工人"),OR(_余额!$J$110&lt;&gt;0,_余额!$K$110&lt;&gt;0,_余额!$E$110&lt;&gt;0,_余额!$L$110&lt;&gt;0,AND(_余额!$B$110="管理人员",COUNTIFS(工资标准!$B$4:$B$303,_余额!$A$110,工资标准!$E$4:$E$303,"&gt;0")&gt;0))),1,0)</f>
        <v>0</v>
      </c>
    </row>
    <row r="109">
      <c r="A109" s="94">
        <f>IF($AZ109=0,"",104)</f>
      </c>
      <c r="B109" s="94">
        <f t="shared" si="0"/>
      </c>
      <c r="C109" s="94">
        <f t="shared" si="25"/>
      </c>
      <c r="D109" s="119">
        <f t="shared" si="26"/>
      </c>
      <c r="E109" s="21">
        <f t="shared" si="1"/>
      </c>
      <c r="F109" s="118">
        <f t="shared" si="2"/>
      </c>
      <c r="G109" s="21">
        <f t="shared" si="3"/>
      </c>
      <c r="H109" s="21">
        <f t="shared" si="4"/>
      </c>
      <c r="I109" s="21">
        <f t="shared" si="5"/>
      </c>
      <c r="J109" s="21">
        <f t="shared" si="6"/>
      </c>
      <c r="K109" s="21">
        <f t="shared" si="7"/>
      </c>
      <c r="L109" s="21">
        <f t="shared" si="8"/>
      </c>
      <c r="M109" s="21">
        <f t="shared" si="9"/>
      </c>
      <c r="N109" s="21">
        <f t="shared" si="10"/>
      </c>
      <c r="O109" s="21">
        <f t="shared" si="11"/>
      </c>
      <c r="P109" s="96">
        <f t="shared" si="27"/>
      </c>
      <c r="R109" s="21">
        <f t="shared" si="12"/>
      </c>
      <c r="S109" s="21">
        <f t="shared" si="13"/>
      </c>
      <c r="T109" s="21">
        <f t="shared" si="14"/>
      </c>
      <c r="U109" s="21">
        <f t="shared" si="15"/>
      </c>
      <c r="V109" s="21">
        <f t="shared" si="16"/>
      </c>
      <c r="W109" s="21">
        <f t="shared" si="17"/>
      </c>
      <c r="X109" s="21">
        <f t="shared" si="18"/>
      </c>
      <c r="Y109" s="21">
        <f t="shared" si="19"/>
      </c>
      <c r="Z109" s="21">
        <f t="shared" si="20"/>
      </c>
      <c r="AA109" s="21">
        <f t="shared" si="21"/>
      </c>
      <c r="AB109" s="21">
        <f t="shared" si="22"/>
      </c>
      <c r="AC109" s="21">
        <f t="shared" si="23"/>
      </c>
      <c r="AD109" s="96">
        <f t="shared" si="24"/>
      </c>
      <c r="AE109" s="2">
        <f t="shared" si="28"/>
        <v>0</v>
      </c>
      <c r="AF109" s="2">
        <f t="shared" si="29"/>
        <v>999912</v>
      </c>
      <c r="AG109" s="2">
        <f t="shared" si="30"/>
        <v>0</v>
      </c>
      <c r="AZ109" s="2">
        <f>IF(104&gt;$BA$300,0,IFERROR(MATCH(104,$BA$1:$BA$300,0),0))</f>
        <v>0</v>
      </c>
      <c r="BA109" s="2">
        <f>BA100+SUM(CA101:CA109)</f>
        <v>42</v>
      </c>
      <c r="CA109" s="2">
        <f>IF(AND(OR(_余额!$B$111="管理人员",_余额!$B$111="工人"),OR(_余额!$J$111&lt;&gt;0,_余额!$K$111&lt;&gt;0,_余额!$E$111&lt;&gt;0,_余额!$L$111&lt;&gt;0,AND(_余额!$B$111="管理人员",COUNTIFS(工资标准!$B$4:$B$303,_余额!$A$111,工资标准!$E$4:$E$303,"&gt;0")&gt;0))),1,0)</f>
        <v>0</v>
      </c>
    </row>
    <row r="110">
      <c r="A110" s="94">
        <f>IF($AZ110=0,"",105)</f>
      </c>
      <c r="B110" s="94">
        <f t="shared" si="0"/>
      </c>
      <c r="C110" s="94">
        <f t="shared" si="25"/>
      </c>
      <c r="D110" s="119">
        <f t="shared" si="26"/>
      </c>
      <c r="E110" s="21">
        <f t="shared" si="1"/>
      </c>
      <c r="F110" s="118">
        <f t="shared" si="2"/>
      </c>
      <c r="G110" s="21">
        <f t="shared" si="3"/>
      </c>
      <c r="H110" s="21">
        <f t="shared" si="4"/>
      </c>
      <c r="I110" s="21">
        <f t="shared" si="5"/>
      </c>
      <c r="J110" s="21">
        <f t="shared" si="6"/>
      </c>
      <c r="K110" s="21">
        <f t="shared" si="7"/>
      </c>
      <c r="L110" s="21">
        <f t="shared" si="8"/>
      </c>
      <c r="M110" s="21">
        <f t="shared" si="9"/>
      </c>
      <c r="N110" s="21">
        <f t="shared" si="10"/>
      </c>
      <c r="O110" s="21">
        <f t="shared" si="11"/>
      </c>
      <c r="P110" s="96">
        <f t="shared" si="27"/>
      </c>
      <c r="R110" s="21">
        <f t="shared" si="12"/>
      </c>
      <c r="S110" s="21">
        <f t="shared" si="13"/>
      </c>
      <c r="T110" s="21">
        <f t="shared" si="14"/>
      </c>
      <c r="U110" s="21">
        <f t="shared" si="15"/>
      </c>
      <c r="V110" s="21">
        <f t="shared" si="16"/>
      </c>
      <c r="W110" s="21">
        <f t="shared" si="17"/>
      </c>
      <c r="X110" s="21">
        <f t="shared" si="18"/>
      </c>
      <c r="Y110" s="21">
        <f t="shared" si="19"/>
      </c>
      <c r="Z110" s="21">
        <f t="shared" si="20"/>
      </c>
      <c r="AA110" s="21">
        <f t="shared" si="21"/>
      </c>
      <c r="AB110" s="21">
        <f t="shared" si="22"/>
      </c>
      <c r="AC110" s="21">
        <f t="shared" si="23"/>
      </c>
      <c r="AD110" s="96">
        <f t="shared" si="24"/>
      </c>
      <c r="AE110" s="2">
        <f t="shared" si="28"/>
        <v>0</v>
      </c>
      <c r="AF110" s="2">
        <f t="shared" si="29"/>
        <v>999912</v>
      </c>
      <c r="AG110" s="2">
        <f t="shared" si="30"/>
        <v>0</v>
      </c>
      <c r="AZ110" s="2">
        <f>IF(105&gt;$BA$300,0,IFERROR(MATCH(105,$BA$1:$BA$300,0),0))</f>
        <v>0</v>
      </c>
      <c r="BA110" s="2">
        <f>BA100+SUM(CA101:CA110)</f>
        <v>42</v>
      </c>
      <c r="CA110" s="2">
        <f>IF(AND(OR(_余额!$B$112="管理人员",_余额!$B$112="工人"),OR(_余额!$J$112&lt;&gt;0,_余额!$K$112&lt;&gt;0,_余额!$E$112&lt;&gt;0,_余额!$L$112&lt;&gt;0,AND(_余额!$B$112="管理人员",COUNTIFS(工资标准!$B$4:$B$303,_余额!$A$112,工资标准!$E$4:$E$303,"&gt;0")&gt;0))),1,0)</f>
        <v>0</v>
      </c>
    </row>
    <row r="111">
      <c r="A111" s="94">
        <f>IF($AZ111=0,"",106)</f>
      </c>
      <c r="B111" s="94">
        <f t="shared" si="0"/>
      </c>
      <c r="C111" s="94">
        <f t="shared" si="25"/>
      </c>
      <c r="D111" s="119">
        <f t="shared" si="26"/>
      </c>
      <c r="E111" s="21">
        <f t="shared" si="1"/>
      </c>
      <c r="F111" s="118">
        <f t="shared" si="2"/>
      </c>
      <c r="G111" s="21">
        <f t="shared" si="3"/>
      </c>
      <c r="H111" s="21">
        <f t="shared" si="4"/>
      </c>
      <c r="I111" s="21">
        <f t="shared" si="5"/>
      </c>
      <c r="J111" s="21">
        <f t="shared" si="6"/>
      </c>
      <c r="K111" s="21">
        <f t="shared" si="7"/>
      </c>
      <c r="L111" s="21">
        <f t="shared" si="8"/>
      </c>
      <c r="M111" s="21">
        <f t="shared" si="9"/>
      </c>
      <c r="N111" s="21">
        <f t="shared" si="10"/>
      </c>
      <c r="O111" s="21">
        <f t="shared" si="11"/>
      </c>
      <c r="P111" s="96">
        <f t="shared" si="27"/>
      </c>
      <c r="R111" s="21">
        <f t="shared" si="12"/>
      </c>
      <c r="S111" s="21">
        <f t="shared" si="13"/>
      </c>
      <c r="T111" s="21">
        <f t="shared" si="14"/>
      </c>
      <c r="U111" s="21">
        <f t="shared" si="15"/>
      </c>
      <c r="V111" s="21">
        <f t="shared" si="16"/>
      </c>
      <c r="W111" s="21">
        <f t="shared" si="17"/>
      </c>
      <c r="X111" s="21">
        <f t="shared" si="18"/>
      </c>
      <c r="Y111" s="21">
        <f t="shared" si="19"/>
      </c>
      <c r="Z111" s="21">
        <f t="shared" si="20"/>
      </c>
      <c r="AA111" s="21">
        <f t="shared" si="21"/>
      </c>
      <c r="AB111" s="21">
        <f t="shared" si="22"/>
      </c>
      <c r="AC111" s="21">
        <f t="shared" si="23"/>
      </c>
      <c r="AD111" s="96">
        <f t="shared" si="24"/>
      </c>
      <c r="AE111" s="2">
        <f t="shared" si="28"/>
        <v>0</v>
      </c>
      <c r="AF111" s="2">
        <f t="shared" si="29"/>
        <v>999912</v>
      </c>
      <c r="AG111" s="2">
        <f t="shared" si="30"/>
        <v>0</v>
      </c>
      <c r="AZ111" s="2">
        <f>IF(106&gt;$BA$300,0,IFERROR(MATCH(106,$BA$1:$BA$300,0),0))</f>
        <v>0</v>
      </c>
      <c r="BA111" s="2">
        <f>BA100+SUM(CA101:CA111)</f>
        <v>42</v>
      </c>
      <c r="CA111" s="2">
        <f>IF(AND(OR(_余额!$B$113="管理人员",_余额!$B$113="工人"),OR(_余额!$J$113&lt;&gt;0,_余额!$K$113&lt;&gt;0,_余额!$E$113&lt;&gt;0,_余额!$L$113&lt;&gt;0,AND(_余额!$B$113="管理人员",COUNTIFS(工资标准!$B$4:$B$303,_余额!$A$113,工资标准!$E$4:$E$303,"&gt;0")&gt;0))),1,0)</f>
        <v>0</v>
      </c>
    </row>
    <row r="112">
      <c r="A112" s="94">
        <f>IF($AZ112=0,"",107)</f>
      </c>
      <c r="B112" s="94">
        <f t="shared" si="0"/>
      </c>
      <c r="C112" s="94">
        <f t="shared" si="25"/>
      </c>
      <c r="D112" s="119">
        <f t="shared" si="26"/>
      </c>
      <c r="E112" s="21">
        <f t="shared" si="1"/>
      </c>
      <c r="F112" s="118">
        <f t="shared" si="2"/>
      </c>
      <c r="G112" s="21">
        <f t="shared" si="3"/>
      </c>
      <c r="H112" s="21">
        <f t="shared" si="4"/>
      </c>
      <c r="I112" s="21">
        <f t="shared" si="5"/>
      </c>
      <c r="J112" s="21">
        <f t="shared" si="6"/>
      </c>
      <c r="K112" s="21">
        <f t="shared" si="7"/>
      </c>
      <c r="L112" s="21">
        <f t="shared" si="8"/>
      </c>
      <c r="M112" s="21">
        <f t="shared" si="9"/>
      </c>
      <c r="N112" s="21">
        <f t="shared" si="10"/>
      </c>
      <c r="O112" s="21">
        <f t="shared" si="11"/>
      </c>
      <c r="P112" s="96">
        <f t="shared" si="27"/>
      </c>
      <c r="R112" s="21">
        <f t="shared" si="12"/>
      </c>
      <c r="S112" s="21">
        <f t="shared" si="13"/>
      </c>
      <c r="T112" s="21">
        <f t="shared" si="14"/>
      </c>
      <c r="U112" s="21">
        <f t="shared" si="15"/>
      </c>
      <c r="V112" s="21">
        <f t="shared" si="16"/>
      </c>
      <c r="W112" s="21">
        <f t="shared" si="17"/>
      </c>
      <c r="X112" s="21">
        <f t="shared" si="18"/>
      </c>
      <c r="Y112" s="21">
        <f t="shared" si="19"/>
      </c>
      <c r="Z112" s="21">
        <f t="shared" si="20"/>
      </c>
      <c r="AA112" s="21">
        <f t="shared" si="21"/>
      </c>
      <c r="AB112" s="21">
        <f t="shared" si="22"/>
      </c>
      <c r="AC112" s="21">
        <f t="shared" si="23"/>
      </c>
      <c r="AD112" s="96">
        <f t="shared" si="24"/>
      </c>
      <c r="AE112" s="2">
        <f t="shared" si="28"/>
        <v>0</v>
      </c>
      <c r="AF112" s="2">
        <f t="shared" si="29"/>
        <v>999912</v>
      </c>
      <c r="AG112" s="2">
        <f t="shared" si="30"/>
        <v>0</v>
      </c>
      <c r="AZ112" s="2">
        <f>IF(107&gt;$BA$300,0,IFERROR(MATCH(107,$BA$1:$BA$300,0),0))</f>
        <v>0</v>
      </c>
      <c r="BA112" s="2">
        <f>BA100+SUM(CA101:CA112)</f>
        <v>42</v>
      </c>
      <c r="CA112" s="2">
        <f>IF(AND(OR(_余额!$B$114="管理人员",_余额!$B$114="工人"),OR(_余额!$J$114&lt;&gt;0,_余额!$K$114&lt;&gt;0,_余额!$E$114&lt;&gt;0,_余额!$L$114&lt;&gt;0,AND(_余额!$B$114="管理人员",COUNTIFS(工资标准!$B$4:$B$303,_余额!$A$114,工资标准!$E$4:$E$303,"&gt;0")&gt;0))),1,0)</f>
        <v>0</v>
      </c>
    </row>
    <row r="113">
      <c r="A113" s="94">
        <f>IF($AZ113=0,"",108)</f>
      </c>
      <c r="B113" s="94">
        <f t="shared" si="0"/>
      </c>
      <c r="C113" s="94">
        <f t="shared" si="25"/>
      </c>
      <c r="D113" s="119">
        <f t="shared" si="26"/>
      </c>
      <c r="E113" s="21">
        <f t="shared" si="1"/>
      </c>
      <c r="F113" s="118">
        <f t="shared" si="2"/>
      </c>
      <c r="G113" s="21">
        <f t="shared" si="3"/>
      </c>
      <c r="H113" s="21">
        <f t="shared" si="4"/>
      </c>
      <c r="I113" s="21">
        <f t="shared" si="5"/>
      </c>
      <c r="J113" s="21">
        <f t="shared" si="6"/>
      </c>
      <c r="K113" s="21">
        <f t="shared" si="7"/>
      </c>
      <c r="L113" s="21">
        <f t="shared" si="8"/>
      </c>
      <c r="M113" s="21">
        <f t="shared" si="9"/>
      </c>
      <c r="N113" s="21">
        <f t="shared" si="10"/>
      </c>
      <c r="O113" s="21">
        <f t="shared" si="11"/>
      </c>
      <c r="P113" s="96">
        <f t="shared" si="27"/>
      </c>
      <c r="R113" s="21">
        <f t="shared" si="12"/>
      </c>
      <c r="S113" s="21">
        <f t="shared" si="13"/>
      </c>
      <c r="T113" s="21">
        <f t="shared" si="14"/>
      </c>
      <c r="U113" s="21">
        <f t="shared" si="15"/>
      </c>
      <c r="V113" s="21">
        <f t="shared" si="16"/>
      </c>
      <c r="W113" s="21">
        <f t="shared" si="17"/>
      </c>
      <c r="X113" s="21">
        <f t="shared" si="18"/>
      </c>
      <c r="Y113" s="21">
        <f t="shared" si="19"/>
      </c>
      <c r="Z113" s="21">
        <f t="shared" si="20"/>
      </c>
      <c r="AA113" s="21">
        <f t="shared" si="21"/>
      </c>
      <c r="AB113" s="21">
        <f t="shared" si="22"/>
      </c>
      <c r="AC113" s="21">
        <f t="shared" si="23"/>
      </c>
      <c r="AD113" s="96">
        <f t="shared" si="24"/>
      </c>
      <c r="AE113" s="2">
        <f t="shared" si="28"/>
        <v>0</v>
      </c>
      <c r="AF113" s="2">
        <f t="shared" si="29"/>
        <v>999912</v>
      </c>
      <c r="AG113" s="2">
        <f t="shared" si="30"/>
        <v>0</v>
      </c>
      <c r="AZ113" s="2">
        <f>IF(108&gt;$BA$300,0,IFERROR(MATCH(108,$BA$1:$BA$300,0),0))</f>
        <v>0</v>
      </c>
      <c r="BA113" s="2">
        <f>BA100+SUM(CA101:CA113)</f>
        <v>42</v>
      </c>
      <c r="CA113" s="2">
        <f>IF(AND(OR(_余额!$B$115="管理人员",_余额!$B$115="工人"),OR(_余额!$J$115&lt;&gt;0,_余额!$K$115&lt;&gt;0,_余额!$E$115&lt;&gt;0,_余额!$L$115&lt;&gt;0,AND(_余额!$B$115="管理人员",COUNTIFS(工资标准!$B$4:$B$303,_余额!$A$115,工资标准!$E$4:$E$303,"&gt;0")&gt;0))),1,0)</f>
        <v>0</v>
      </c>
    </row>
    <row r="114">
      <c r="A114" s="94">
        <f>IF($AZ114=0,"",109)</f>
      </c>
      <c r="B114" s="94">
        <f t="shared" si="0"/>
      </c>
      <c r="C114" s="94">
        <f t="shared" si="25"/>
      </c>
      <c r="D114" s="119">
        <f t="shared" si="26"/>
      </c>
      <c r="E114" s="21">
        <f t="shared" si="1"/>
      </c>
      <c r="F114" s="118">
        <f t="shared" si="2"/>
      </c>
      <c r="G114" s="21">
        <f t="shared" si="3"/>
      </c>
      <c r="H114" s="21">
        <f t="shared" si="4"/>
      </c>
      <c r="I114" s="21">
        <f t="shared" si="5"/>
      </c>
      <c r="J114" s="21">
        <f t="shared" si="6"/>
      </c>
      <c r="K114" s="21">
        <f t="shared" si="7"/>
      </c>
      <c r="L114" s="21">
        <f t="shared" si="8"/>
      </c>
      <c r="M114" s="21">
        <f t="shared" si="9"/>
      </c>
      <c r="N114" s="21">
        <f t="shared" si="10"/>
      </c>
      <c r="O114" s="21">
        <f t="shared" si="11"/>
      </c>
      <c r="P114" s="96">
        <f t="shared" si="27"/>
      </c>
      <c r="R114" s="21">
        <f t="shared" si="12"/>
      </c>
      <c r="S114" s="21">
        <f t="shared" si="13"/>
      </c>
      <c r="T114" s="21">
        <f t="shared" si="14"/>
      </c>
      <c r="U114" s="21">
        <f t="shared" si="15"/>
      </c>
      <c r="V114" s="21">
        <f t="shared" si="16"/>
      </c>
      <c r="W114" s="21">
        <f t="shared" si="17"/>
      </c>
      <c r="X114" s="21">
        <f t="shared" si="18"/>
      </c>
      <c r="Y114" s="21">
        <f t="shared" si="19"/>
      </c>
      <c r="Z114" s="21">
        <f t="shared" si="20"/>
      </c>
      <c r="AA114" s="21">
        <f t="shared" si="21"/>
      </c>
      <c r="AB114" s="21">
        <f t="shared" si="22"/>
      </c>
      <c r="AC114" s="21">
        <f t="shared" si="23"/>
      </c>
      <c r="AD114" s="96">
        <f t="shared" si="24"/>
      </c>
      <c r="AE114" s="2">
        <f t="shared" si="28"/>
        <v>0</v>
      </c>
      <c r="AF114" s="2">
        <f t="shared" si="29"/>
        <v>999912</v>
      </c>
      <c r="AG114" s="2">
        <f t="shared" si="30"/>
        <v>0</v>
      </c>
      <c r="AZ114" s="2">
        <f>IF(109&gt;$BA$300,0,IFERROR(MATCH(109,$BA$1:$BA$300,0),0))</f>
        <v>0</v>
      </c>
      <c r="BA114" s="2">
        <f>BA100+SUM(CA101:CA114)</f>
        <v>42</v>
      </c>
      <c r="CA114" s="2">
        <f>IF(AND(OR(_余额!$B$116="管理人员",_余额!$B$116="工人"),OR(_余额!$J$116&lt;&gt;0,_余额!$K$116&lt;&gt;0,_余额!$E$116&lt;&gt;0,_余额!$L$116&lt;&gt;0,AND(_余额!$B$116="管理人员",COUNTIFS(工资标准!$B$4:$B$303,_余额!$A$116,工资标准!$E$4:$E$303,"&gt;0")&gt;0))),1,0)</f>
        <v>0</v>
      </c>
    </row>
    <row r="115">
      <c r="A115" s="94">
        <f>IF($AZ115=0,"",110)</f>
      </c>
      <c r="B115" s="94">
        <f t="shared" si="0"/>
      </c>
      <c r="C115" s="94">
        <f t="shared" si="25"/>
      </c>
      <c r="D115" s="119">
        <f t="shared" si="26"/>
      </c>
      <c r="E115" s="21">
        <f t="shared" si="1"/>
      </c>
      <c r="F115" s="118">
        <f t="shared" si="2"/>
      </c>
      <c r="G115" s="21">
        <f t="shared" si="3"/>
      </c>
      <c r="H115" s="21">
        <f t="shared" si="4"/>
      </c>
      <c r="I115" s="21">
        <f t="shared" si="5"/>
      </c>
      <c r="J115" s="21">
        <f t="shared" si="6"/>
      </c>
      <c r="K115" s="21">
        <f t="shared" si="7"/>
      </c>
      <c r="L115" s="21">
        <f t="shared" si="8"/>
      </c>
      <c r="M115" s="21">
        <f t="shared" si="9"/>
      </c>
      <c r="N115" s="21">
        <f t="shared" si="10"/>
      </c>
      <c r="O115" s="21">
        <f t="shared" si="11"/>
      </c>
      <c r="P115" s="96">
        <f t="shared" si="27"/>
      </c>
      <c r="R115" s="21">
        <f t="shared" si="12"/>
      </c>
      <c r="S115" s="21">
        <f t="shared" si="13"/>
      </c>
      <c r="T115" s="21">
        <f t="shared" si="14"/>
      </c>
      <c r="U115" s="21">
        <f t="shared" si="15"/>
      </c>
      <c r="V115" s="21">
        <f t="shared" si="16"/>
      </c>
      <c r="W115" s="21">
        <f t="shared" si="17"/>
      </c>
      <c r="X115" s="21">
        <f t="shared" si="18"/>
      </c>
      <c r="Y115" s="21">
        <f t="shared" si="19"/>
      </c>
      <c r="Z115" s="21">
        <f t="shared" si="20"/>
      </c>
      <c r="AA115" s="21">
        <f t="shared" si="21"/>
      </c>
      <c r="AB115" s="21">
        <f t="shared" si="22"/>
      </c>
      <c r="AC115" s="21">
        <f t="shared" si="23"/>
      </c>
      <c r="AD115" s="96">
        <f t="shared" si="24"/>
      </c>
      <c r="AE115" s="2">
        <f t="shared" si="28"/>
        <v>0</v>
      </c>
      <c r="AF115" s="2">
        <f t="shared" si="29"/>
        <v>999912</v>
      </c>
      <c r="AG115" s="2">
        <f t="shared" si="30"/>
        <v>0</v>
      </c>
      <c r="AZ115" s="2">
        <f>IF(110&gt;$BA$300,0,IFERROR(MATCH(110,$BA$1:$BA$300,0),0))</f>
        <v>0</v>
      </c>
      <c r="BA115" s="2">
        <f>BA100+SUM(CA101:CA115)</f>
        <v>42</v>
      </c>
      <c r="CA115" s="2">
        <f>IF(AND(OR(_余额!$B$117="管理人员",_余额!$B$117="工人"),OR(_余额!$J$117&lt;&gt;0,_余额!$K$117&lt;&gt;0,_余额!$E$117&lt;&gt;0,_余额!$L$117&lt;&gt;0,AND(_余额!$B$117="管理人员",COUNTIFS(工资标准!$B$4:$B$303,_余额!$A$117,工资标准!$E$4:$E$303,"&gt;0")&gt;0))),1,0)</f>
        <v>0</v>
      </c>
    </row>
    <row r="116">
      <c r="A116" s="94">
        <f>IF($AZ116=0,"",111)</f>
      </c>
      <c r="B116" s="94">
        <f t="shared" si="0"/>
      </c>
      <c r="C116" s="94">
        <f t="shared" si="25"/>
      </c>
      <c r="D116" s="119">
        <f t="shared" si="26"/>
      </c>
      <c r="E116" s="21">
        <f t="shared" si="1"/>
      </c>
      <c r="F116" s="118">
        <f t="shared" si="2"/>
      </c>
      <c r="G116" s="21">
        <f t="shared" si="3"/>
      </c>
      <c r="H116" s="21">
        <f t="shared" si="4"/>
      </c>
      <c r="I116" s="21">
        <f t="shared" si="5"/>
      </c>
      <c r="J116" s="21">
        <f t="shared" si="6"/>
      </c>
      <c r="K116" s="21">
        <f t="shared" si="7"/>
      </c>
      <c r="L116" s="21">
        <f t="shared" si="8"/>
      </c>
      <c r="M116" s="21">
        <f t="shared" si="9"/>
      </c>
      <c r="N116" s="21">
        <f t="shared" si="10"/>
      </c>
      <c r="O116" s="21">
        <f t="shared" si="11"/>
      </c>
      <c r="P116" s="96">
        <f t="shared" si="27"/>
      </c>
      <c r="R116" s="21">
        <f t="shared" si="12"/>
      </c>
      <c r="S116" s="21">
        <f t="shared" si="13"/>
      </c>
      <c r="T116" s="21">
        <f t="shared" si="14"/>
      </c>
      <c r="U116" s="21">
        <f t="shared" si="15"/>
      </c>
      <c r="V116" s="21">
        <f t="shared" si="16"/>
      </c>
      <c r="W116" s="21">
        <f t="shared" si="17"/>
      </c>
      <c r="X116" s="21">
        <f t="shared" si="18"/>
      </c>
      <c r="Y116" s="21">
        <f t="shared" si="19"/>
      </c>
      <c r="Z116" s="21">
        <f t="shared" si="20"/>
      </c>
      <c r="AA116" s="21">
        <f t="shared" si="21"/>
      </c>
      <c r="AB116" s="21">
        <f t="shared" si="22"/>
      </c>
      <c r="AC116" s="21">
        <f t="shared" si="23"/>
      </c>
      <c r="AD116" s="96">
        <f t="shared" si="24"/>
      </c>
      <c r="AE116" s="2">
        <f t="shared" si="28"/>
        <v>0</v>
      </c>
      <c r="AF116" s="2">
        <f t="shared" si="29"/>
        <v>999912</v>
      </c>
      <c r="AG116" s="2">
        <f t="shared" si="30"/>
        <v>0</v>
      </c>
      <c r="AZ116" s="2">
        <f>IF(111&gt;$BA$300,0,IFERROR(MATCH(111,$BA$1:$BA$300,0),0))</f>
        <v>0</v>
      </c>
      <c r="BA116" s="2">
        <f>BA100+SUM(CA101:CA116)</f>
        <v>42</v>
      </c>
      <c r="CA116" s="2">
        <f>IF(AND(OR(_余额!$B$118="管理人员",_余额!$B$118="工人"),OR(_余额!$J$118&lt;&gt;0,_余额!$K$118&lt;&gt;0,_余额!$E$118&lt;&gt;0,_余额!$L$118&lt;&gt;0,AND(_余额!$B$118="管理人员",COUNTIFS(工资标准!$B$4:$B$303,_余额!$A$118,工资标准!$E$4:$E$303,"&gt;0")&gt;0))),1,0)</f>
        <v>0</v>
      </c>
    </row>
    <row r="117">
      <c r="A117" s="94">
        <f>IF($AZ117=0,"",112)</f>
      </c>
      <c r="B117" s="94">
        <f t="shared" si="0"/>
      </c>
      <c r="C117" s="94">
        <f t="shared" si="25"/>
      </c>
      <c r="D117" s="119">
        <f t="shared" si="26"/>
      </c>
      <c r="E117" s="21">
        <f t="shared" si="1"/>
      </c>
      <c r="F117" s="118">
        <f t="shared" si="2"/>
      </c>
      <c r="G117" s="21">
        <f t="shared" si="3"/>
      </c>
      <c r="H117" s="21">
        <f t="shared" si="4"/>
      </c>
      <c r="I117" s="21">
        <f t="shared" si="5"/>
      </c>
      <c r="J117" s="21">
        <f t="shared" si="6"/>
      </c>
      <c r="K117" s="21">
        <f t="shared" si="7"/>
      </c>
      <c r="L117" s="21">
        <f t="shared" si="8"/>
      </c>
      <c r="M117" s="21">
        <f t="shared" si="9"/>
      </c>
      <c r="N117" s="21">
        <f t="shared" si="10"/>
      </c>
      <c r="O117" s="21">
        <f t="shared" si="11"/>
      </c>
      <c r="P117" s="96">
        <f t="shared" si="27"/>
      </c>
      <c r="R117" s="21">
        <f t="shared" si="12"/>
      </c>
      <c r="S117" s="21">
        <f t="shared" si="13"/>
      </c>
      <c r="T117" s="21">
        <f t="shared" si="14"/>
      </c>
      <c r="U117" s="21">
        <f t="shared" si="15"/>
      </c>
      <c r="V117" s="21">
        <f t="shared" si="16"/>
      </c>
      <c r="W117" s="21">
        <f t="shared" si="17"/>
      </c>
      <c r="X117" s="21">
        <f t="shared" si="18"/>
      </c>
      <c r="Y117" s="21">
        <f t="shared" si="19"/>
      </c>
      <c r="Z117" s="21">
        <f t="shared" si="20"/>
      </c>
      <c r="AA117" s="21">
        <f t="shared" si="21"/>
      </c>
      <c r="AB117" s="21">
        <f t="shared" si="22"/>
      </c>
      <c r="AC117" s="21">
        <f t="shared" si="23"/>
      </c>
      <c r="AD117" s="96">
        <f t="shared" si="24"/>
      </c>
      <c r="AE117" s="2">
        <f t="shared" si="28"/>
        <v>0</v>
      </c>
      <c r="AF117" s="2">
        <f t="shared" si="29"/>
        <v>999912</v>
      </c>
      <c r="AG117" s="2">
        <f t="shared" si="30"/>
        <v>0</v>
      </c>
      <c r="AZ117" s="2">
        <f>IF(112&gt;$BA$300,0,IFERROR(MATCH(112,$BA$1:$BA$300,0),0))</f>
        <v>0</v>
      </c>
      <c r="BA117" s="2">
        <f>BA100+SUM(CA101:CA117)</f>
        <v>42</v>
      </c>
      <c r="CA117" s="2">
        <f>IF(AND(OR(_余额!$B$119="管理人员",_余额!$B$119="工人"),OR(_余额!$J$119&lt;&gt;0,_余额!$K$119&lt;&gt;0,_余额!$E$119&lt;&gt;0,_余额!$L$119&lt;&gt;0,AND(_余额!$B$119="管理人员",COUNTIFS(工资标准!$B$4:$B$303,_余额!$A$119,工资标准!$E$4:$E$303,"&gt;0")&gt;0))),1,0)</f>
        <v>0</v>
      </c>
    </row>
    <row r="118">
      <c r="A118" s="94">
        <f>IF($AZ118=0,"",113)</f>
      </c>
      <c r="B118" s="94">
        <f t="shared" si="0"/>
      </c>
      <c r="C118" s="94">
        <f t="shared" si="25"/>
      </c>
      <c r="D118" s="119">
        <f t="shared" si="26"/>
      </c>
      <c r="E118" s="21">
        <f t="shared" si="1"/>
      </c>
      <c r="F118" s="118">
        <f t="shared" si="2"/>
      </c>
      <c r="G118" s="21">
        <f t="shared" si="3"/>
      </c>
      <c r="H118" s="21">
        <f t="shared" si="4"/>
      </c>
      <c r="I118" s="21">
        <f t="shared" si="5"/>
      </c>
      <c r="J118" s="21">
        <f t="shared" si="6"/>
      </c>
      <c r="K118" s="21">
        <f t="shared" si="7"/>
      </c>
      <c r="L118" s="21">
        <f t="shared" si="8"/>
      </c>
      <c r="M118" s="21">
        <f t="shared" si="9"/>
      </c>
      <c r="N118" s="21">
        <f t="shared" si="10"/>
      </c>
      <c r="O118" s="21">
        <f t="shared" si="11"/>
      </c>
      <c r="P118" s="96">
        <f t="shared" si="27"/>
      </c>
      <c r="R118" s="21">
        <f t="shared" si="12"/>
      </c>
      <c r="S118" s="21">
        <f t="shared" si="13"/>
      </c>
      <c r="T118" s="21">
        <f t="shared" si="14"/>
      </c>
      <c r="U118" s="21">
        <f t="shared" si="15"/>
      </c>
      <c r="V118" s="21">
        <f t="shared" si="16"/>
      </c>
      <c r="W118" s="21">
        <f t="shared" si="17"/>
      </c>
      <c r="X118" s="21">
        <f t="shared" si="18"/>
      </c>
      <c r="Y118" s="21">
        <f t="shared" si="19"/>
      </c>
      <c r="Z118" s="21">
        <f t="shared" si="20"/>
      </c>
      <c r="AA118" s="21">
        <f t="shared" si="21"/>
      </c>
      <c r="AB118" s="21">
        <f t="shared" si="22"/>
      </c>
      <c r="AC118" s="21">
        <f t="shared" si="23"/>
      </c>
      <c r="AD118" s="96">
        <f t="shared" si="24"/>
      </c>
      <c r="AE118" s="2">
        <f t="shared" si="28"/>
        <v>0</v>
      </c>
      <c r="AF118" s="2">
        <f t="shared" si="29"/>
        <v>999912</v>
      </c>
      <c r="AG118" s="2">
        <f t="shared" si="30"/>
        <v>0</v>
      </c>
      <c r="AZ118" s="2">
        <f>IF(113&gt;$BA$300,0,IFERROR(MATCH(113,$BA$1:$BA$300,0),0))</f>
        <v>0</v>
      </c>
      <c r="BA118" s="2">
        <f>BA100+SUM(CA101:CA118)</f>
        <v>42</v>
      </c>
      <c r="CA118" s="2">
        <f>IF(AND(OR(_余额!$B$120="管理人员",_余额!$B$120="工人"),OR(_余额!$J$120&lt;&gt;0,_余额!$K$120&lt;&gt;0,_余额!$E$120&lt;&gt;0,_余额!$L$120&lt;&gt;0,AND(_余额!$B$120="管理人员",COUNTIFS(工资标准!$B$4:$B$303,_余额!$A$120,工资标准!$E$4:$E$303,"&gt;0")&gt;0))),1,0)</f>
        <v>0</v>
      </c>
    </row>
    <row r="119">
      <c r="A119" s="94">
        <f>IF($AZ119=0,"",114)</f>
      </c>
      <c r="B119" s="94">
        <f t="shared" si="0"/>
      </c>
      <c r="C119" s="94">
        <f t="shared" si="25"/>
      </c>
      <c r="D119" s="119">
        <f t="shared" si="26"/>
      </c>
      <c r="E119" s="21">
        <f t="shared" si="1"/>
      </c>
      <c r="F119" s="118">
        <f t="shared" si="2"/>
      </c>
      <c r="G119" s="21">
        <f t="shared" si="3"/>
      </c>
      <c r="H119" s="21">
        <f t="shared" si="4"/>
      </c>
      <c r="I119" s="21">
        <f t="shared" si="5"/>
      </c>
      <c r="J119" s="21">
        <f t="shared" si="6"/>
      </c>
      <c r="K119" s="21">
        <f t="shared" si="7"/>
      </c>
      <c r="L119" s="21">
        <f t="shared" si="8"/>
      </c>
      <c r="M119" s="21">
        <f t="shared" si="9"/>
      </c>
      <c r="N119" s="21">
        <f t="shared" si="10"/>
      </c>
      <c r="O119" s="21">
        <f t="shared" si="11"/>
      </c>
      <c r="P119" s="96">
        <f t="shared" si="27"/>
      </c>
      <c r="R119" s="21">
        <f t="shared" si="12"/>
      </c>
      <c r="S119" s="21">
        <f t="shared" si="13"/>
      </c>
      <c r="T119" s="21">
        <f t="shared" si="14"/>
      </c>
      <c r="U119" s="21">
        <f t="shared" si="15"/>
      </c>
      <c r="V119" s="21">
        <f t="shared" si="16"/>
      </c>
      <c r="W119" s="21">
        <f t="shared" si="17"/>
      </c>
      <c r="X119" s="21">
        <f t="shared" si="18"/>
      </c>
      <c r="Y119" s="21">
        <f t="shared" si="19"/>
      </c>
      <c r="Z119" s="21">
        <f t="shared" si="20"/>
      </c>
      <c r="AA119" s="21">
        <f t="shared" si="21"/>
      </c>
      <c r="AB119" s="21">
        <f t="shared" si="22"/>
      </c>
      <c r="AC119" s="21">
        <f t="shared" si="23"/>
      </c>
      <c r="AD119" s="96">
        <f t="shared" si="24"/>
      </c>
      <c r="AE119" s="2">
        <f t="shared" si="28"/>
        <v>0</v>
      </c>
      <c r="AF119" s="2">
        <f t="shared" si="29"/>
        <v>999912</v>
      </c>
      <c r="AG119" s="2">
        <f t="shared" si="30"/>
        <v>0</v>
      </c>
      <c r="AZ119" s="2">
        <f>IF(114&gt;$BA$300,0,IFERROR(MATCH(114,$BA$1:$BA$300,0),0))</f>
        <v>0</v>
      </c>
      <c r="BA119" s="2">
        <f>BA100+SUM(CA101:CA119)</f>
        <v>42</v>
      </c>
      <c r="CA119" s="2">
        <f>IF(AND(OR(_余额!$B$121="管理人员",_余额!$B$121="工人"),OR(_余额!$J$121&lt;&gt;0,_余额!$K$121&lt;&gt;0,_余额!$E$121&lt;&gt;0,_余额!$L$121&lt;&gt;0,AND(_余额!$B$121="管理人员",COUNTIFS(工资标准!$B$4:$B$303,_余额!$A$121,工资标准!$E$4:$E$303,"&gt;0")&gt;0))),1,0)</f>
        <v>0</v>
      </c>
    </row>
    <row r="120">
      <c r="A120" s="94">
        <f>IF($AZ120=0,"",115)</f>
      </c>
      <c r="B120" s="94">
        <f t="shared" si="0"/>
      </c>
      <c r="C120" s="94">
        <f t="shared" si="25"/>
      </c>
      <c r="D120" s="119">
        <f t="shared" si="26"/>
      </c>
      <c r="E120" s="21">
        <f t="shared" si="1"/>
      </c>
      <c r="F120" s="118">
        <f t="shared" si="2"/>
      </c>
      <c r="G120" s="21">
        <f t="shared" si="3"/>
      </c>
      <c r="H120" s="21">
        <f t="shared" si="4"/>
      </c>
      <c r="I120" s="21">
        <f t="shared" si="5"/>
      </c>
      <c r="J120" s="21">
        <f t="shared" si="6"/>
      </c>
      <c r="K120" s="21">
        <f t="shared" si="7"/>
      </c>
      <c r="L120" s="21">
        <f t="shared" si="8"/>
      </c>
      <c r="M120" s="21">
        <f t="shared" si="9"/>
      </c>
      <c r="N120" s="21">
        <f t="shared" si="10"/>
      </c>
      <c r="O120" s="21">
        <f t="shared" si="11"/>
      </c>
      <c r="P120" s="96">
        <f t="shared" si="27"/>
      </c>
      <c r="R120" s="21">
        <f t="shared" si="12"/>
      </c>
      <c r="S120" s="21">
        <f t="shared" si="13"/>
      </c>
      <c r="T120" s="21">
        <f t="shared" si="14"/>
      </c>
      <c r="U120" s="21">
        <f t="shared" si="15"/>
      </c>
      <c r="V120" s="21">
        <f t="shared" si="16"/>
      </c>
      <c r="W120" s="21">
        <f t="shared" si="17"/>
      </c>
      <c r="X120" s="21">
        <f t="shared" si="18"/>
      </c>
      <c r="Y120" s="21">
        <f t="shared" si="19"/>
      </c>
      <c r="Z120" s="21">
        <f t="shared" si="20"/>
      </c>
      <c r="AA120" s="21">
        <f t="shared" si="21"/>
      </c>
      <c r="AB120" s="21">
        <f t="shared" si="22"/>
      </c>
      <c r="AC120" s="21">
        <f t="shared" si="23"/>
      </c>
      <c r="AD120" s="96">
        <f t="shared" si="24"/>
      </c>
      <c r="AE120" s="2">
        <f t="shared" si="28"/>
        <v>0</v>
      </c>
      <c r="AF120" s="2">
        <f t="shared" si="29"/>
        <v>999912</v>
      </c>
      <c r="AG120" s="2">
        <f t="shared" si="30"/>
        <v>0</v>
      </c>
      <c r="AZ120" s="2">
        <f>IF(115&gt;$BA$300,0,IFERROR(MATCH(115,$BA$1:$BA$300,0),0))</f>
        <v>0</v>
      </c>
      <c r="BA120" s="2">
        <f>BA100+SUM(CA101:CA120)</f>
        <v>42</v>
      </c>
      <c r="CA120" s="2">
        <f>IF(AND(OR(_余额!$B$122="管理人员",_余额!$B$122="工人"),OR(_余额!$J$122&lt;&gt;0,_余额!$K$122&lt;&gt;0,_余额!$E$122&lt;&gt;0,_余额!$L$122&lt;&gt;0,AND(_余额!$B$122="管理人员",COUNTIFS(工资标准!$B$4:$B$303,_余额!$A$122,工资标准!$E$4:$E$303,"&gt;0")&gt;0))),1,0)</f>
        <v>0</v>
      </c>
    </row>
    <row r="121">
      <c r="A121" s="94">
        <f>IF($AZ121=0,"",116)</f>
      </c>
      <c r="B121" s="94">
        <f t="shared" si="0"/>
      </c>
      <c r="C121" s="94">
        <f t="shared" si="25"/>
      </c>
      <c r="D121" s="119">
        <f t="shared" si="26"/>
      </c>
      <c r="E121" s="21">
        <f t="shared" si="1"/>
      </c>
      <c r="F121" s="118">
        <f t="shared" si="2"/>
      </c>
      <c r="G121" s="21">
        <f t="shared" si="3"/>
      </c>
      <c r="H121" s="21">
        <f t="shared" si="4"/>
      </c>
      <c r="I121" s="21">
        <f t="shared" si="5"/>
      </c>
      <c r="J121" s="21">
        <f t="shared" si="6"/>
      </c>
      <c r="K121" s="21">
        <f t="shared" si="7"/>
      </c>
      <c r="L121" s="21">
        <f t="shared" si="8"/>
      </c>
      <c r="M121" s="21">
        <f t="shared" si="9"/>
      </c>
      <c r="N121" s="21">
        <f t="shared" si="10"/>
      </c>
      <c r="O121" s="21">
        <f t="shared" si="11"/>
      </c>
      <c r="P121" s="96">
        <f t="shared" si="27"/>
      </c>
      <c r="R121" s="21">
        <f t="shared" si="12"/>
      </c>
      <c r="S121" s="21">
        <f t="shared" si="13"/>
      </c>
      <c r="T121" s="21">
        <f t="shared" si="14"/>
      </c>
      <c r="U121" s="21">
        <f t="shared" si="15"/>
      </c>
      <c r="V121" s="21">
        <f t="shared" si="16"/>
      </c>
      <c r="W121" s="21">
        <f t="shared" si="17"/>
      </c>
      <c r="X121" s="21">
        <f t="shared" si="18"/>
      </c>
      <c r="Y121" s="21">
        <f t="shared" si="19"/>
      </c>
      <c r="Z121" s="21">
        <f t="shared" si="20"/>
      </c>
      <c r="AA121" s="21">
        <f t="shared" si="21"/>
      </c>
      <c r="AB121" s="21">
        <f t="shared" si="22"/>
      </c>
      <c r="AC121" s="21">
        <f t="shared" si="23"/>
      </c>
      <c r="AD121" s="96">
        <f t="shared" si="24"/>
      </c>
      <c r="AE121" s="2">
        <f t="shared" si="28"/>
        <v>0</v>
      </c>
      <c r="AF121" s="2">
        <f t="shared" si="29"/>
        <v>999912</v>
      </c>
      <c r="AG121" s="2">
        <f t="shared" si="30"/>
        <v>0</v>
      </c>
      <c r="AZ121" s="2">
        <f>IF(116&gt;$BA$300,0,IFERROR(MATCH(116,$BA$1:$BA$300,0),0))</f>
        <v>0</v>
      </c>
      <c r="BA121" s="2">
        <f>BA100+SUM(CA101:CA121)</f>
        <v>42</v>
      </c>
      <c r="CA121" s="2">
        <f>IF(AND(OR(_余额!$B$123="管理人员",_余额!$B$123="工人"),OR(_余额!$J$123&lt;&gt;0,_余额!$K$123&lt;&gt;0,_余额!$E$123&lt;&gt;0,_余额!$L$123&lt;&gt;0,AND(_余额!$B$123="管理人员",COUNTIFS(工资标准!$B$4:$B$303,_余额!$A$123,工资标准!$E$4:$E$303,"&gt;0")&gt;0))),1,0)</f>
        <v>0</v>
      </c>
    </row>
    <row r="122">
      <c r="A122" s="94">
        <f>IF($AZ122=0,"",117)</f>
      </c>
      <c r="B122" s="94">
        <f t="shared" si="0"/>
      </c>
      <c r="C122" s="94">
        <f t="shared" si="25"/>
      </c>
      <c r="D122" s="119">
        <f t="shared" si="26"/>
      </c>
      <c r="E122" s="21">
        <f t="shared" si="1"/>
      </c>
      <c r="F122" s="118">
        <f t="shared" si="2"/>
      </c>
      <c r="G122" s="21">
        <f t="shared" si="3"/>
      </c>
      <c r="H122" s="21">
        <f t="shared" si="4"/>
      </c>
      <c r="I122" s="21">
        <f t="shared" si="5"/>
      </c>
      <c r="J122" s="21">
        <f t="shared" si="6"/>
      </c>
      <c r="K122" s="21">
        <f t="shared" si="7"/>
      </c>
      <c r="L122" s="21">
        <f t="shared" si="8"/>
      </c>
      <c r="M122" s="21">
        <f t="shared" si="9"/>
      </c>
      <c r="N122" s="21">
        <f t="shared" si="10"/>
      </c>
      <c r="O122" s="21">
        <f t="shared" si="11"/>
      </c>
      <c r="P122" s="96">
        <f t="shared" si="27"/>
      </c>
      <c r="R122" s="21">
        <f t="shared" si="12"/>
      </c>
      <c r="S122" s="21">
        <f t="shared" si="13"/>
      </c>
      <c r="T122" s="21">
        <f t="shared" si="14"/>
      </c>
      <c r="U122" s="21">
        <f t="shared" si="15"/>
      </c>
      <c r="V122" s="21">
        <f t="shared" si="16"/>
      </c>
      <c r="W122" s="21">
        <f t="shared" si="17"/>
      </c>
      <c r="X122" s="21">
        <f t="shared" si="18"/>
      </c>
      <c r="Y122" s="21">
        <f t="shared" si="19"/>
      </c>
      <c r="Z122" s="21">
        <f t="shared" si="20"/>
      </c>
      <c r="AA122" s="21">
        <f t="shared" si="21"/>
      </c>
      <c r="AB122" s="21">
        <f t="shared" si="22"/>
      </c>
      <c r="AC122" s="21">
        <f t="shared" si="23"/>
      </c>
      <c r="AD122" s="96">
        <f t="shared" si="24"/>
      </c>
      <c r="AE122" s="2">
        <f t="shared" si="28"/>
        <v>0</v>
      </c>
      <c r="AF122" s="2">
        <f t="shared" si="29"/>
        <v>999912</v>
      </c>
      <c r="AG122" s="2">
        <f t="shared" si="30"/>
        <v>0</v>
      </c>
      <c r="AZ122" s="2">
        <f>IF(117&gt;$BA$300,0,IFERROR(MATCH(117,$BA$1:$BA$300,0),0))</f>
        <v>0</v>
      </c>
      <c r="BA122" s="2">
        <f>BA100+SUM(CA101:CA122)</f>
        <v>42</v>
      </c>
      <c r="CA122" s="2">
        <f>IF(AND(OR(_余额!$B$124="管理人员",_余额!$B$124="工人"),OR(_余额!$J$124&lt;&gt;0,_余额!$K$124&lt;&gt;0,_余额!$E$124&lt;&gt;0,_余额!$L$124&lt;&gt;0,AND(_余额!$B$124="管理人员",COUNTIFS(工资标准!$B$4:$B$303,_余额!$A$124,工资标准!$E$4:$E$303,"&gt;0")&gt;0))),1,0)</f>
        <v>0</v>
      </c>
    </row>
    <row r="123">
      <c r="A123" s="94">
        <f>IF($AZ123=0,"",118)</f>
      </c>
      <c r="B123" s="94">
        <f t="shared" si="0"/>
      </c>
      <c r="C123" s="94">
        <f t="shared" si="25"/>
      </c>
      <c r="D123" s="119">
        <f t="shared" si="26"/>
      </c>
      <c r="E123" s="21">
        <f t="shared" si="1"/>
      </c>
      <c r="F123" s="118">
        <f t="shared" si="2"/>
      </c>
      <c r="G123" s="21">
        <f t="shared" si="3"/>
      </c>
      <c r="H123" s="21">
        <f t="shared" si="4"/>
      </c>
      <c r="I123" s="21">
        <f t="shared" si="5"/>
      </c>
      <c r="J123" s="21">
        <f t="shared" si="6"/>
      </c>
      <c r="K123" s="21">
        <f t="shared" si="7"/>
      </c>
      <c r="L123" s="21">
        <f t="shared" si="8"/>
      </c>
      <c r="M123" s="21">
        <f t="shared" si="9"/>
      </c>
      <c r="N123" s="21">
        <f t="shared" si="10"/>
      </c>
      <c r="O123" s="21">
        <f t="shared" si="11"/>
      </c>
      <c r="P123" s="96">
        <f t="shared" si="27"/>
      </c>
      <c r="R123" s="21">
        <f t="shared" si="12"/>
      </c>
      <c r="S123" s="21">
        <f t="shared" si="13"/>
      </c>
      <c r="T123" s="21">
        <f t="shared" si="14"/>
      </c>
      <c r="U123" s="21">
        <f t="shared" si="15"/>
      </c>
      <c r="V123" s="21">
        <f t="shared" si="16"/>
      </c>
      <c r="W123" s="21">
        <f t="shared" si="17"/>
      </c>
      <c r="X123" s="21">
        <f t="shared" si="18"/>
      </c>
      <c r="Y123" s="21">
        <f t="shared" si="19"/>
      </c>
      <c r="Z123" s="21">
        <f t="shared" si="20"/>
      </c>
      <c r="AA123" s="21">
        <f t="shared" si="21"/>
      </c>
      <c r="AB123" s="21">
        <f t="shared" si="22"/>
      </c>
      <c r="AC123" s="21">
        <f t="shared" si="23"/>
      </c>
      <c r="AD123" s="96">
        <f t="shared" si="24"/>
      </c>
      <c r="AE123" s="2">
        <f t="shared" si="28"/>
        <v>0</v>
      </c>
      <c r="AF123" s="2">
        <f t="shared" si="29"/>
        <v>999912</v>
      </c>
      <c r="AG123" s="2">
        <f t="shared" si="30"/>
        <v>0</v>
      </c>
      <c r="AZ123" s="2">
        <f>IF(118&gt;$BA$300,0,IFERROR(MATCH(118,$BA$1:$BA$300,0),0))</f>
        <v>0</v>
      </c>
      <c r="BA123" s="2">
        <f>BA100+SUM(CA101:CA123)</f>
        <v>42</v>
      </c>
      <c r="CA123" s="2">
        <f>IF(AND(OR(_余额!$B$125="管理人员",_余额!$B$125="工人"),OR(_余额!$J$125&lt;&gt;0,_余额!$K$125&lt;&gt;0,_余额!$E$125&lt;&gt;0,_余额!$L$125&lt;&gt;0,AND(_余额!$B$125="管理人员",COUNTIFS(工资标准!$B$4:$B$303,_余额!$A$125,工资标准!$E$4:$E$303,"&gt;0")&gt;0))),1,0)</f>
        <v>0</v>
      </c>
    </row>
    <row r="124">
      <c r="A124" s="94">
        <f>IF($AZ124=0,"",119)</f>
      </c>
      <c r="B124" s="94">
        <f t="shared" si="0"/>
      </c>
      <c r="C124" s="94">
        <f t="shared" si="25"/>
      </c>
      <c r="D124" s="119">
        <f t="shared" si="26"/>
      </c>
      <c r="E124" s="21">
        <f t="shared" si="1"/>
      </c>
      <c r="F124" s="118">
        <f t="shared" si="2"/>
      </c>
      <c r="G124" s="21">
        <f t="shared" si="3"/>
      </c>
      <c r="H124" s="21">
        <f t="shared" si="4"/>
      </c>
      <c r="I124" s="21">
        <f t="shared" si="5"/>
      </c>
      <c r="J124" s="21">
        <f t="shared" si="6"/>
      </c>
      <c r="K124" s="21">
        <f t="shared" si="7"/>
      </c>
      <c r="L124" s="21">
        <f t="shared" si="8"/>
      </c>
      <c r="M124" s="21">
        <f t="shared" si="9"/>
      </c>
      <c r="N124" s="21">
        <f t="shared" si="10"/>
      </c>
      <c r="O124" s="21">
        <f t="shared" si="11"/>
      </c>
      <c r="P124" s="96">
        <f t="shared" si="27"/>
      </c>
      <c r="R124" s="21">
        <f t="shared" si="12"/>
      </c>
      <c r="S124" s="21">
        <f t="shared" si="13"/>
      </c>
      <c r="T124" s="21">
        <f t="shared" si="14"/>
      </c>
      <c r="U124" s="21">
        <f t="shared" si="15"/>
      </c>
      <c r="V124" s="21">
        <f t="shared" si="16"/>
      </c>
      <c r="W124" s="21">
        <f t="shared" si="17"/>
      </c>
      <c r="X124" s="21">
        <f t="shared" si="18"/>
      </c>
      <c r="Y124" s="21">
        <f t="shared" si="19"/>
      </c>
      <c r="Z124" s="21">
        <f t="shared" si="20"/>
      </c>
      <c r="AA124" s="21">
        <f t="shared" si="21"/>
      </c>
      <c r="AB124" s="21">
        <f t="shared" si="22"/>
      </c>
      <c r="AC124" s="21">
        <f t="shared" si="23"/>
      </c>
      <c r="AD124" s="96">
        <f t="shared" si="24"/>
      </c>
      <c r="AE124" s="2">
        <f t="shared" si="28"/>
        <v>0</v>
      </c>
      <c r="AF124" s="2">
        <f t="shared" si="29"/>
        <v>999912</v>
      </c>
      <c r="AG124" s="2">
        <f t="shared" si="30"/>
        <v>0</v>
      </c>
      <c r="AZ124" s="2">
        <f>IF(119&gt;$BA$300,0,IFERROR(MATCH(119,$BA$1:$BA$300,0),0))</f>
        <v>0</v>
      </c>
      <c r="BA124" s="2">
        <f>BA100+SUM(CA101:CA124)</f>
        <v>42</v>
      </c>
      <c r="CA124" s="2">
        <f>IF(AND(OR(_余额!$B$126="管理人员",_余额!$B$126="工人"),OR(_余额!$J$126&lt;&gt;0,_余额!$K$126&lt;&gt;0,_余额!$E$126&lt;&gt;0,_余额!$L$126&lt;&gt;0,AND(_余额!$B$126="管理人员",COUNTIFS(工资标准!$B$4:$B$303,_余额!$A$126,工资标准!$E$4:$E$303,"&gt;0")&gt;0))),1,0)</f>
        <v>0</v>
      </c>
    </row>
    <row r="125">
      <c r="A125" s="94">
        <f>IF($AZ125=0,"",120)</f>
      </c>
      <c r="B125" s="94">
        <f t="shared" si="0"/>
      </c>
      <c r="C125" s="94">
        <f t="shared" si="25"/>
      </c>
      <c r="D125" s="119">
        <f t="shared" si="26"/>
      </c>
      <c r="E125" s="21">
        <f t="shared" si="1"/>
      </c>
      <c r="F125" s="118">
        <f t="shared" si="2"/>
      </c>
      <c r="G125" s="21">
        <f t="shared" si="3"/>
      </c>
      <c r="H125" s="21">
        <f t="shared" si="4"/>
      </c>
      <c r="I125" s="21">
        <f t="shared" si="5"/>
      </c>
      <c r="J125" s="21">
        <f t="shared" si="6"/>
      </c>
      <c r="K125" s="21">
        <f t="shared" si="7"/>
      </c>
      <c r="L125" s="21">
        <f t="shared" si="8"/>
      </c>
      <c r="M125" s="21">
        <f t="shared" si="9"/>
      </c>
      <c r="N125" s="21">
        <f t="shared" si="10"/>
      </c>
      <c r="O125" s="21">
        <f t="shared" si="11"/>
      </c>
      <c r="P125" s="96">
        <f t="shared" si="27"/>
      </c>
      <c r="R125" s="21">
        <f t="shared" si="12"/>
      </c>
      <c r="S125" s="21">
        <f t="shared" si="13"/>
      </c>
      <c r="T125" s="21">
        <f t="shared" si="14"/>
      </c>
      <c r="U125" s="21">
        <f t="shared" si="15"/>
      </c>
      <c r="V125" s="21">
        <f t="shared" si="16"/>
      </c>
      <c r="W125" s="21">
        <f t="shared" si="17"/>
      </c>
      <c r="X125" s="21">
        <f t="shared" si="18"/>
      </c>
      <c r="Y125" s="21">
        <f t="shared" si="19"/>
      </c>
      <c r="Z125" s="21">
        <f t="shared" si="20"/>
      </c>
      <c r="AA125" s="21">
        <f t="shared" si="21"/>
      </c>
      <c r="AB125" s="21">
        <f t="shared" si="22"/>
      </c>
      <c r="AC125" s="21">
        <f t="shared" si="23"/>
      </c>
      <c r="AD125" s="96">
        <f t="shared" si="24"/>
      </c>
      <c r="AE125" s="2">
        <f t="shared" si="28"/>
        <v>0</v>
      </c>
      <c r="AF125" s="2">
        <f t="shared" si="29"/>
        <v>999912</v>
      </c>
      <c r="AG125" s="2">
        <f t="shared" si="30"/>
        <v>0</v>
      </c>
      <c r="AZ125" s="2">
        <f>IF(120&gt;$BA$300,0,IFERROR(MATCH(120,$BA$1:$BA$300,0),0))</f>
        <v>0</v>
      </c>
      <c r="BA125" s="2">
        <f>BA100+SUM(CA101:CA125)</f>
        <v>42</v>
      </c>
      <c r="CA125" s="2">
        <f>IF(AND(OR(_余额!$B$127="管理人员",_余额!$B$127="工人"),OR(_余额!$J$127&lt;&gt;0,_余额!$K$127&lt;&gt;0,_余额!$E$127&lt;&gt;0,_余额!$L$127&lt;&gt;0,AND(_余额!$B$127="管理人员",COUNTIFS(工资标准!$B$4:$B$303,_余额!$A$127,工资标准!$E$4:$E$303,"&gt;0")&gt;0))),1,0)</f>
        <v>0</v>
      </c>
    </row>
    <row r="126">
      <c r="A126" s="94">
        <f>IF($AZ126=0,"",121)</f>
      </c>
      <c r="B126" s="94">
        <f t="shared" si="0"/>
      </c>
      <c r="C126" s="94">
        <f t="shared" si="25"/>
      </c>
      <c r="D126" s="119">
        <f t="shared" si="26"/>
      </c>
      <c r="E126" s="21">
        <f t="shared" si="1"/>
      </c>
      <c r="F126" s="118">
        <f t="shared" si="2"/>
      </c>
      <c r="G126" s="21">
        <f t="shared" si="3"/>
      </c>
      <c r="H126" s="21">
        <f t="shared" si="4"/>
      </c>
      <c r="I126" s="21">
        <f t="shared" si="5"/>
      </c>
      <c r="J126" s="21">
        <f t="shared" si="6"/>
      </c>
      <c r="K126" s="21">
        <f t="shared" si="7"/>
      </c>
      <c r="L126" s="21">
        <f t="shared" si="8"/>
      </c>
      <c r="M126" s="21">
        <f t="shared" si="9"/>
      </c>
      <c r="N126" s="21">
        <f t="shared" si="10"/>
      </c>
      <c r="O126" s="21">
        <f t="shared" si="11"/>
      </c>
      <c r="P126" s="96">
        <f t="shared" si="27"/>
      </c>
      <c r="R126" s="21">
        <f t="shared" si="12"/>
      </c>
      <c r="S126" s="21">
        <f t="shared" si="13"/>
      </c>
      <c r="T126" s="21">
        <f t="shared" si="14"/>
      </c>
      <c r="U126" s="21">
        <f t="shared" si="15"/>
      </c>
      <c r="V126" s="21">
        <f t="shared" si="16"/>
      </c>
      <c r="W126" s="21">
        <f t="shared" si="17"/>
      </c>
      <c r="X126" s="21">
        <f t="shared" si="18"/>
      </c>
      <c r="Y126" s="21">
        <f t="shared" si="19"/>
      </c>
      <c r="Z126" s="21">
        <f t="shared" si="20"/>
      </c>
      <c r="AA126" s="21">
        <f t="shared" si="21"/>
      </c>
      <c r="AB126" s="21">
        <f t="shared" si="22"/>
      </c>
      <c r="AC126" s="21">
        <f t="shared" si="23"/>
      </c>
      <c r="AD126" s="96">
        <f t="shared" si="24"/>
      </c>
      <c r="AE126" s="2">
        <f t="shared" si="28"/>
        <v>0</v>
      </c>
      <c r="AF126" s="2">
        <f t="shared" si="29"/>
        <v>999912</v>
      </c>
      <c r="AG126" s="2">
        <f t="shared" si="30"/>
        <v>0</v>
      </c>
      <c r="AZ126" s="2">
        <f>IF(121&gt;$BA$300,0,IFERROR(MATCH(121,$BA$1:$BA$300,0),0))</f>
        <v>0</v>
      </c>
      <c r="BA126" s="2">
        <f>BA100+SUM(CA101:CA126)</f>
        <v>42</v>
      </c>
      <c r="CA126" s="2">
        <f>IF(AND(OR(_余额!$B$128="管理人员",_余额!$B$128="工人"),OR(_余额!$J$128&lt;&gt;0,_余额!$K$128&lt;&gt;0,_余额!$E$128&lt;&gt;0,_余额!$L$128&lt;&gt;0,AND(_余额!$B$128="管理人员",COUNTIFS(工资标准!$B$4:$B$303,_余额!$A$128,工资标准!$E$4:$E$303,"&gt;0")&gt;0))),1,0)</f>
        <v>0</v>
      </c>
    </row>
    <row r="127">
      <c r="A127" s="94">
        <f>IF($AZ127=0,"",122)</f>
      </c>
      <c r="B127" s="94">
        <f t="shared" si="0"/>
      </c>
      <c r="C127" s="94">
        <f t="shared" si="25"/>
      </c>
      <c r="D127" s="119">
        <f t="shared" si="26"/>
      </c>
      <c r="E127" s="21">
        <f t="shared" si="1"/>
      </c>
      <c r="F127" s="118">
        <f t="shared" si="2"/>
      </c>
      <c r="G127" s="21">
        <f t="shared" si="3"/>
      </c>
      <c r="H127" s="21">
        <f t="shared" si="4"/>
      </c>
      <c r="I127" s="21">
        <f t="shared" si="5"/>
      </c>
      <c r="J127" s="21">
        <f t="shared" si="6"/>
      </c>
      <c r="K127" s="21">
        <f t="shared" si="7"/>
      </c>
      <c r="L127" s="21">
        <f t="shared" si="8"/>
      </c>
      <c r="M127" s="21">
        <f t="shared" si="9"/>
      </c>
      <c r="N127" s="21">
        <f t="shared" si="10"/>
      </c>
      <c r="O127" s="21">
        <f t="shared" si="11"/>
      </c>
      <c r="P127" s="96">
        <f t="shared" si="27"/>
      </c>
      <c r="R127" s="21">
        <f t="shared" si="12"/>
      </c>
      <c r="S127" s="21">
        <f t="shared" si="13"/>
      </c>
      <c r="T127" s="21">
        <f t="shared" si="14"/>
      </c>
      <c r="U127" s="21">
        <f t="shared" si="15"/>
      </c>
      <c r="V127" s="21">
        <f t="shared" si="16"/>
      </c>
      <c r="W127" s="21">
        <f t="shared" si="17"/>
      </c>
      <c r="X127" s="21">
        <f t="shared" si="18"/>
      </c>
      <c r="Y127" s="21">
        <f t="shared" si="19"/>
      </c>
      <c r="Z127" s="21">
        <f t="shared" si="20"/>
      </c>
      <c r="AA127" s="21">
        <f t="shared" si="21"/>
      </c>
      <c r="AB127" s="21">
        <f t="shared" si="22"/>
      </c>
      <c r="AC127" s="21">
        <f t="shared" si="23"/>
      </c>
      <c r="AD127" s="96">
        <f t="shared" si="24"/>
      </c>
      <c r="AE127" s="2">
        <f t="shared" si="28"/>
        <v>0</v>
      </c>
      <c r="AF127" s="2">
        <f t="shared" si="29"/>
        <v>999912</v>
      </c>
      <c r="AG127" s="2">
        <f t="shared" si="30"/>
        <v>0</v>
      </c>
      <c r="AZ127" s="2">
        <f>IF(122&gt;$BA$300,0,IFERROR(MATCH(122,$BA$1:$BA$300,0),0))</f>
        <v>0</v>
      </c>
      <c r="BA127" s="2">
        <f>BA100+SUM(CA101:CA127)</f>
        <v>42</v>
      </c>
      <c r="CA127" s="2">
        <f>IF(AND(OR(_余额!$B$129="管理人员",_余额!$B$129="工人"),OR(_余额!$J$129&lt;&gt;0,_余额!$K$129&lt;&gt;0,_余额!$E$129&lt;&gt;0,_余额!$L$129&lt;&gt;0,AND(_余额!$B$129="管理人员",COUNTIFS(工资标准!$B$4:$B$303,_余额!$A$129,工资标准!$E$4:$E$303,"&gt;0")&gt;0))),1,0)</f>
        <v>0</v>
      </c>
    </row>
    <row r="128">
      <c r="A128" s="94">
        <f>IF($AZ128=0,"",123)</f>
      </c>
      <c r="B128" s="94">
        <f t="shared" si="0"/>
      </c>
      <c r="C128" s="94">
        <f t="shared" si="25"/>
      </c>
      <c r="D128" s="119">
        <f t="shared" si="26"/>
      </c>
      <c r="E128" s="21">
        <f t="shared" si="1"/>
      </c>
      <c r="F128" s="118">
        <f t="shared" si="2"/>
      </c>
      <c r="G128" s="21">
        <f t="shared" si="3"/>
      </c>
      <c r="H128" s="21">
        <f t="shared" si="4"/>
      </c>
      <c r="I128" s="21">
        <f t="shared" si="5"/>
      </c>
      <c r="J128" s="21">
        <f t="shared" si="6"/>
      </c>
      <c r="K128" s="21">
        <f t="shared" si="7"/>
      </c>
      <c r="L128" s="21">
        <f t="shared" si="8"/>
      </c>
      <c r="M128" s="21">
        <f t="shared" si="9"/>
      </c>
      <c r="N128" s="21">
        <f t="shared" si="10"/>
      </c>
      <c r="O128" s="21">
        <f t="shared" si="11"/>
      </c>
      <c r="P128" s="96">
        <f t="shared" si="27"/>
      </c>
      <c r="R128" s="21">
        <f t="shared" si="12"/>
      </c>
      <c r="S128" s="21">
        <f t="shared" si="13"/>
      </c>
      <c r="T128" s="21">
        <f t="shared" si="14"/>
      </c>
      <c r="U128" s="21">
        <f t="shared" si="15"/>
      </c>
      <c r="V128" s="21">
        <f t="shared" si="16"/>
      </c>
      <c r="W128" s="21">
        <f t="shared" si="17"/>
      </c>
      <c r="X128" s="21">
        <f t="shared" si="18"/>
      </c>
      <c r="Y128" s="21">
        <f t="shared" si="19"/>
      </c>
      <c r="Z128" s="21">
        <f t="shared" si="20"/>
      </c>
      <c r="AA128" s="21">
        <f t="shared" si="21"/>
      </c>
      <c r="AB128" s="21">
        <f t="shared" si="22"/>
      </c>
      <c r="AC128" s="21">
        <f t="shared" si="23"/>
      </c>
      <c r="AD128" s="96">
        <f t="shared" si="24"/>
      </c>
      <c r="AE128" s="2">
        <f t="shared" si="28"/>
        <v>0</v>
      </c>
      <c r="AF128" s="2">
        <f t="shared" si="29"/>
        <v>999912</v>
      </c>
      <c r="AG128" s="2">
        <f t="shared" si="30"/>
        <v>0</v>
      </c>
      <c r="AZ128" s="2">
        <f>IF(123&gt;$BA$300,0,IFERROR(MATCH(123,$BA$1:$BA$300,0),0))</f>
        <v>0</v>
      </c>
      <c r="BA128" s="2">
        <f>BA100+SUM(CA101:CA128)</f>
        <v>42</v>
      </c>
      <c r="CA128" s="2">
        <f>IF(AND(OR(_余额!$B$130="管理人员",_余额!$B$130="工人"),OR(_余额!$J$130&lt;&gt;0,_余额!$K$130&lt;&gt;0,_余额!$E$130&lt;&gt;0,_余额!$L$130&lt;&gt;0,AND(_余额!$B$130="管理人员",COUNTIFS(工资标准!$B$4:$B$303,_余额!$A$130,工资标准!$E$4:$E$303,"&gt;0")&gt;0))),1,0)</f>
        <v>0</v>
      </c>
    </row>
    <row r="129">
      <c r="A129" s="94">
        <f>IF($AZ129=0,"",124)</f>
      </c>
      <c r="B129" s="94">
        <f t="shared" si="0"/>
      </c>
      <c r="C129" s="94">
        <f t="shared" si="25"/>
      </c>
      <c r="D129" s="119">
        <f t="shared" si="26"/>
      </c>
      <c r="E129" s="21">
        <f t="shared" si="1"/>
      </c>
      <c r="F129" s="118">
        <f t="shared" si="2"/>
      </c>
      <c r="G129" s="21">
        <f t="shared" si="3"/>
      </c>
      <c r="H129" s="21">
        <f t="shared" si="4"/>
      </c>
      <c r="I129" s="21">
        <f t="shared" si="5"/>
      </c>
      <c r="J129" s="21">
        <f t="shared" si="6"/>
      </c>
      <c r="K129" s="21">
        <f t="shared" si="7"/>
      </c>
      <c r="L129" s="21">
        <f t="shared" si="8"/>
      </c>
      <c r="M129" s="21">
        <f t="shared" si="9"/>
      </c>
      <c r="N129" s="21">
        <f t="shared" si="10"/>
      </c>
      <c r="O129" s="21">
        <f t="shared" si="11"/>
      </c>
      <c r="P129" s="96">
        <f t="shared" si="27"/>
      </c>
      <c r="R129" s="21">
        <f t="shared" si="12"/>
      </c>
      <c r="S129" s="21">
        <f t="shared" si="13"/>
      </c>
      <c r="T129" s="21">
        <f t="shared" si="14"/>
      </c>
      <c r="U129" s="21">
        <f t="shared" si="15"/>
      </c>
      <c r="V129" s="21">
        <f t="shared" si="16"/>
      </c>
      <c r="W129" s="21">
        <f t="shared" si="17"/>
      </c>
      <c r="X129" s="21">
        <f t="shared" si="18"/>
      </c>
      <c r="Y129" s="21">
        <f t="shared" si="19"/>
      </c>
      <c r="Z129" s="21">
        <f t="shared" si="20"/>
      </c>
      <c r="AA129" s="21">
        <f t="shared" si="21"/>
      </c>
      <c r="AB129" s="21">
        <f t="shared" si="22"/>
      </c>
      <c r="AC129" s="21">
        <f t="shared" si="23"/>
      </c>
      <c r="AD129" s="96">
        <f t="shared" si="24"/>
      </c>
      <c r="AE129" s="2">
        <f t="shared" si="28"/>
        <v>0</v>
      </c>
      <c r="AF129" s="2">
        <f t="shared" si="29"/>
        <v>999912</v>
      </c>
      <c r="AG129" s="2">
        <f t="shared" si="30"/>
        <v>0</v>
      </c>
      <c r="AZ129" s="2">
        <f>IF(124&gt;$BA$300,0,IFERROR(MATCH(124,$BA$1:$BA$300,0),0))</f>
        <v>0</v>
      </c>
      <c r="BA129" s="2">
        <f>BA100+SUM(CA101:CA129)</f>
        <v>42</v>
      </c>
      <c r="CA129" s="2">
        <f>IF(AND(OR(_余额!$B$131="管理人员",_余额!$B$131="工人"),OR(_余额!$J$131&lt;&gt;0,_余额!$K$131&lt;&gt;0,_余额!$E$131&lt;&gt;0,_余额!$L$131&lt;&gt;0,AND(_余额!$B$131="管理人员",COUNTIFS(工资标准!$B$4:$B$303,_余额!$A$131,工资标准!$E$4:$E$303,"&gt;0")&gt;0))),1,0)</f>
        <v>0</v>
      </c>
    </row>
    <row r="130">
      <c r="A130" s="94">
        <f>IF($AZ130=0,"",125)</f>
      </c>
      <c r="B130" s="94">
        <f t="shared" si="0"/>
      </c>
      <c r="C130" s="94">
        <f t="shared" si="25"/>
      </c>
      <c r="D130" s="119">
        <f t="shared" si="26"/>
      </c>
      <c r="E130" s="21">
        <f t="shared" si="1"/>
      </c>
      <c r="F130" s="118">
        <f t="shared" si="2"/>
      </c>
      <c r="G130" s="21">
        <f t="shared" si="3"/>
      </c>
      <c r="H130" s="21">
        <f t="shared" si="4"/>
      </c>
      <c r="I130" s="21">
        <f t="shared" si="5"/>
      </c>
      <c r="J130" s="21">
        <f t="shared" si="6"/>
      </c>
      <c r="K130" s="21">
        <f t="shared" si="7"/>
      </c>
      <c r="L130" s="21">
        <f t="shared" si="8"/>
      </c>
      <c r="M130" s="21">
        <f t="shared" si="9"/>
      </c>
      <c r="N130" s="21">
        <f t="shared" si="10"/>
      </c>
      <c r="O130" s="21">
        <f t="shared" si="11"/>
      </c>
      <c r="P130" s="96">
        <f t="shared" si="27"/>
      </c>
      <c r="R130" s="21">
        <f t="shared" si="12"/>
      </c>
      <c r="S130" s="21">
        <f t="shared" si="13"/>
      </c>
      <c r="T130" s="21">
        <f t="shared" si="14"/>
      </c>
      <c r="U130" s="21">
        <f t="shared" si="15"/>
      </c>
      <c r="V130" s="21">
        <f t="shared" si="16"/>
      </c>
      <c r="W130" s="21">
        <f t="shared" si="17"/>
      </c>
      <c r="X130" s="21">
        <f t="shared" si="18"/>
      </c>
      <c r="Y130" s="21">
        <f t="shared" si="19"/>
      </c>
      <c r="Z130" s="21">
        <f t="shared" si="20"/>
      </c>
      <c r="AA130" s="21">
        <f t="shared" si="21"/>
      </c>
      <c r="AB130" s="21">
        <f t="shared" si="22"/>
      </c>
      <c r="AC130" s="21">
        <f t="shared" si="23"/>
      </c>
      <c r="AD130" s="96">
        <f t="shared" si="24"/>
      </c>
      <c r="AE130" s="2">
        <f t="shared" si="28"/>
        <v>0</v>
      </c>
      <c r="AF130" s="2">
        <f t="shared" si="29"/>
        <v>999912</v>
      </c>
      <c r="AG130" s="2">
        <f t="shared" si="30"/>
        <v>0</v>
      </c>
      <c r="AZ130" s="2">
        <f>IF(125&gt;$BA$300,0,IFERROR(MATCH(125,$BA$1:$BA$300,0),0))</f>
        <v>0</v>
      </c>
      <c r="BA130" s="2">
        <f>BA100+SUM(CA101:CA130)</f>
        <v>42</v>
      </c>
      <c r="CA130" s="2">
        <f>IF(AND(OR(_余额!$B$132="管理人员",_余额!$B$132="工人"),OR(_余额!$J$132&lt;&gt;0,_余额!$K$132&lt;&gt;0,_余额!$E$132&lt;&gt;0,_余额!$L$132&lt;&gt;0,AND(_余额!$B$132="管理人员",COUNTIFS(工资标准!$B$4:$B$303,_余额!$A$132,工资标准!$E$4:$E$303,"&gt;0")&gt;0))),1,0)</f>
        <v>0</v>
      </c>
    </row>
    <row r="131">
      <c r="A131" s="94">
        <f>IF($AZ131=0,"",126)</f>
      </c>
      <c r="B131" s="94">
        <f t="shared" si="0"/>
      </c>
      <c r="C131" s="94">
        <f t="shared" si="25"/>
      </c>
      <c r="D131" s="119">
        <f t="shared" si="26"/>
      </c>
      <c r="E131" s="21">
        <f t="shared" si="1"/>
      </c>
      <c r="F131" s="118">
        <f t="shared" si="2"/>
      </c>
      <c r="G131" s="21">
        <f t="shared" si="3"/>
      </c>
      <c r="H131" s="21">
        <f t="shared" si="4"/>
      </c>
      <c r="I131" s="21">
        <f t="shared" si="5"/>
      </c>
      <c r="J131" s="21">
        <f t="shared" si="6"/>
      </c>
      <c r="K131" s="21">
        <f t="shared" si="7"/>
      </c>
      <c r="L131" s="21">
        <f t="shared" si="8"/>
      </c>
      <c r="M131" s="21">
        <f t="shared" si="9"/>
      </c>
      <c r="N131" s="21">
        <f t="shared" si="10"/>
      </c>
      <c r="O131" s="21">
        <f t="shared" si="11"/>
      </c>
      <c r="P131" s="96">
        <f t="shared" si="27"/>
      </c>
      <c r="R131" s="21">
        <f t="shared" si="12"/>
      </c>
      <c r="S131" s="21">
        <f t="shared" si="13"/>
      </c>
      <c r="T131" s="21">
        <f t="shared" si="14"/>
      </c>
      <c r="U131" s="21">
        <f t="shared" si="15"/>
      </c>
      <c r="V131" s="21">
        <f t="shared" si="16"/>
      </c>
      <c r="W131" s="21">
        <f t="shared" si="17"/>
      </c>
      <c r="X131" s="21">
        <f t="shared" si="18"/>
      </c>
      <c r="Y131" s="21">
        <f t="shared" si="19"/>
      </c>
      <c r="Z131" s="21">
        <f t="shared" si="20"/>
      </c>
      <c r="AA131" s="21">
        <f t="shared" si="21"/>
      </c>
      <c r="AB131" s="21">
        <f t="shared" si="22"/>
      </c>
      <c r="AC131" s="21">
        <f t="shared" si="23"/>
      </c>
      <c r="AD131" s="96">
        <f t="shared" si="24"/>
      </c>
      <c r="AE131" s="2">
        <f t="shared" si="28"/>
        <v>0</v>
      </c>
      <c r="AF131" s="2">
        <f t="shared" si="29"/>
        <v>999912</v>
      </c>
      <c r="AG131" s="2">
        <f t="shared" si="30"/>
        <v>0</v>
      </c>
      <c r="AZ131" s="2">
        <f>IF(126&gt;$BA$300,0,IFERROR(MATCH(126,$BA$1:$BA$300,0),0))</f>
        <v>0</v>
      </c>
      <c r="BA131" s="2">
        <f>BA100+SUM(CA101:CA131)</f>
        <v>42</v>
      </c>
      <c r="CA131" s="2">
        <f>IF(AND(OR(_余额!$B$133="管理人员",_余额!$B$133="工人"),OR(_余额!$J$133&lt;&gt;0,_余额!$K$133&lt;&gt;0,_余额!$E$133&lt;&gt;0,_余额!$L$133&lt;&gt;0,AND(_余额!$B$133="管理人员",COUNTIFS(工资标准!$B$4:$B$303,_余额!$A$133,工资标准!$E$4:$E$303,"&gt;0")&gt;0))),1,0)</f>
        <v>0</v>
      </c>
    </row>
    <row r="132">
      <c r="A132" s="94">
        <f>IF($AZ132=0,"",127)</f>
      </c>
      <c r="B132" s="94">
        <f t="shared" si="0"/>
      </c>
      <c r="C132" s="94">
        <f t="shared" si="25"/>
      </c>
      <c r="D132" s="119">
        <f t="shared" si="26"/>
      </c>
      <c r="E132" s="21">
        <f t="shared" si="1"/>
      </c>
      <c r="F132" s="118">
        <f t="shared" si="2"/>
      </c>
      <c r="G132" s="21">
        <f t="shared" si="3"/>
      </c>
      <c r="H132" s="21">
        <f t="shared" si="4"/>
      </c>
      <c r="I132" s="21">
        <f t="shared" si="5"/>
      </c>
      <c r="J132" s="21">
        <f t="shared" si="6"/>
      </c>
      <c r="K132" s="21">
        <f t="shared" si="7"/>
      </c>
      <c r="L132" s="21">
        <f t="shared" si="8"/>
      </c>
      <c r="M132" s="21">
        <f t="shared" si="9"/>
      </c>
      <c r="N132" s="21">
        <f t="shared" si="10"/>
      </c>
      <c r="O132" s="21">
        <f t="shared" si="11"/>
      </c>
      <c r="P132" s="96">
        <f t="shared" si="27"/>
      </c>
      <c r="R132" s="21">
        <f t="shared" si="12"/>
      </c>
      <c r="S132" s="21">
        <f t="shared" si="13"/>
      </c>
      <c r="T132" s="21">
        <f t="shared" si="14"/>
      </c>
      <c r="U132" s="21">
        <f t="shared" si="15"/>
      </c>
      <c r="V132" s="21">
        <f t="shared" si="16"/>
      </c>
      <c r="W132" s="21">
        <f t="shared" si="17"/>
      </c>
      <c r="X132" s="21">
        <f t="shared" si="18"/>
      </c>
      <c r="Y132" s="21">
        <f t="shared" si="19"/>
      </c>
      <c r="Z132" s="21">
        <f t="shared" si="20"/>
      </c>
      <c r="AA132" s="21">
        <f t="shared" si="21"/>
      </c>
      <c r="AB132" s="21">
        <f t="shared" si="22"/>
      </c>
      <c r="AC132" s="21">
        <f t="shared" si="23"/>
      </c>
      <c r="AD132" s="96">
        <f t="shared" si="24"/>
      </c>
      <c r="AE132" s="2">
        <f t="shared" si="28"/>
        <v>0</v>
      </c>
      <c r="AF132" s="2">
        <f t="shared" si="29"/>
        <v>999912</v>
      </c>
      <c r="AG132" s="2">
        <f t="shared" si="30"/>
        <v>0</v>
      </c>
      <c r="AZ132" s="2">
        <f>IF(127&gt;$BA$300,0,IFERROR(MATCH(127,$BA$1:$BA$300,0),0))</f>
        <v>0</v>
      </c>
      <c r="BA132" s="2">
        <f>BA100+SUM(CA101:CA132)</f>
        <v>42</v>
      </c>
      <c r="CA132" s="2">
        <f>IF(AND(OR(_余额!$B$134="管理人员",_余额!$B$134="工人"),OR(_余额!$J$134&lt;&gt;0,_余额!$K$134&lt;&gt;0,_余额!$E$134&lt;&gt;0,_余额!$L$134&lt;&gt;0,AND(_余额!$B$134="管理人员",COUNTIFS(工资标准!$B$4:$B$303,_余额!$A$134,工资标准!$E$4:$E$303,"&gt;0")&gt;0))),1,0)</f>
        <v>0</v>
      </c>
    </row>
    <row r="133">
      <c r="A133" s="94">
        <f>IF($AZ133=0,"",128)</f>
      </c>
      <c r="B133" s="94">
        <f t="shared" si="0"/>
      </c>
      <c r="C133" s="94">
        <f t="shared" si="25"/>
      </c>
      <c r="D133" s="119">
        <f t="shared" si="26"/>
      </c>
      <c r="E133" s="21">
        <f t="shared" si="1"/>
      </c>
      <c r="F133" s="118">
        <f t="shared" si="2"/>
      </c>
      <c r="G133" s="21">
        <f t="shared" si="3"/>
      </c>
      <c r="H133" s="21">
        <f t="shared" si="4"/>
      </c>
      <c r="I133" s="21">
        <f t="shared" si="5"/>
      </c>
      <c r="J133" s="21">
        <f t="shared" si="6"/>
      </c>
      <c r="K133" s="21">
        <f t="shared" si="7"/>
      </c>
      <c r="L133" s="21">
        <f t="shared" si="8"/>
      </c>
      <c r="M133" s="21">
        <f t="shared" si="9"/>
      </c>
      <c r="N133" s="21">
        <f t="shared" si="10"/>
      </c>
      <c r="O133" s="21">
        <f t="shared" si="11"/>
      </c>
      <c r="P133" s="96">
        <f t="shared" si="27"/>
      </c>
      <c r="R133" s="21">
        <f t="shared" si="12"/>
      </c>
      <c r="S133" s="21">
        <f t="shared" si="13"/>
      </c>
      <c r="T133" s="21">
        <f t="shared" si="14"/>
      </c>
      <c r="U133" s="21">
        <f t="shared" si="15"/>
      </c>
      <c r="V133" s="21">
        <f t="shared" si="16"/>
      </c>
      <c r="W133" s="21">
        <f t="shared" si="17"/>
      </c>
      <c r="X133" s="21">
        <f t="shared" si="18"/>
      </c>
      <c r="Y133" s="21">
        <f t="shared" si="19"/>
      </c>
      <c r="Z133" s="21">
        <f t="shared" si="20"/>
      </c>
      <c r="AA133" s="21">
        <f t="shared" si="21"/>
      </c>
      <c r="AB133" s="21">
        <f t="shared" si="22"/>
      </c>
      <c r="AC133" s="21">
        <f t="shared" si="23"/>
      </c>
      <c r="AD133" s="96">
        <f t="shared" si="24"/>
      </c>
      <c r="AE133" s="2">
        <f t="shared" si="28"/>
        <v>0</v>
      </c>
      <c r="AF133" s="2">
        <f t="shared" si="29"/>
        <v>999912</v>
      </c>
      <c r="AG133" s="2">
        <f t="shared" si="30"/>
        <v>0</v>
      </c>
      <c r="AZ133" s="2">
        <f>IF(128&gt;$BA$300,0,IFERROR(MATCH(128,$BA$1:$BA$300,0),0))</f>
        <v>0</v>
      </c>
      <c r="BA133" s="2">
        <f>BA100+SUM(CA101:CA133)</f>
        <v>42</v>
      </c>
      <c r="CA133" s="2">
        <f>IF(AND(OR(_余额!$B$135="管理人员",_余额!$B$135="工人"),OR(_余额!$J$135&lt;&gt;0,_余额!$K$135&lt;&gt;0,_余额!$E$135&lt;&gt;0,_余额!$L$135&lt;&gt;0,AND(_余额!$B$135="管理人员",COUNTIFS(工资标准!$B$4:$B$303,_余额!$A$135,工资标准!$E$4:$E$303,"&gt;0")&gt;0))),1,0)</f>
        <v>0</v>
      </c>
    </row>
    <row r="134">
      <c r="A134" s="94">
        <f>IF($AZ134=0,"",129)</f>
      </c>
      <c r="B134" s="94">
        <f t="shared" si="0"/>
      </c>
      <c r="C134" s="94">
        <f t="shared" si="25"/>
      </c>
      <c r="D134" s="119">
        <f t="shared" si="26"/>
      </c>
      <c r="E134" s="21">
        <f t="shared" si="1"/>
      </c>
      <c r="F134" s="118">
        <f t="shared" si="2"/>
      </c>
      <c r="G134" s="21">
        <f t="shared" si="3"/>
      </c>
      <c r="H134" s="21">
        <f t="shared" si="4"/>
      </c>
      <c r="I134" s="21">
        <f t="shared" si="5"/>
      </c>
      <c r="J134" s="21">
        <f t="shared" si="6"/>
      </c>
      <c r="K134" s="21">
        <f t="shared" si="7"/>
      </c>
      <c r="L134" s="21">
        <f t="shared" si="8"/>
      </c>
      <c r="M134" s="21">
        <f t="shared" si="9"/>
      </c>
      <c r="N134" s="21">
        <f t="shared" si="10"/>
      </c>
      <c r="O134" s="21">
        <f t="shared" si="11"/>
      </c>
      <c r="P134" s="96">
        <f t="shared" si="27"/>
      </c>
      <c r="R134" s="21">
        <f t="shared" si="12"/>
      </c>
      <c r="S134" s="21">
        <f t="shared" si="13"/>
      </c>
      <c r="T134" s="21">
        <f t="shared" si="14"/>
      </c>
      <c r="U134" s="21">
        <f t="shared" si="15"/>
      </c>
      <c r="V134" s="21">
        <f t="shared" si="16"/>
      </c>
      <c r="W134" s="21">
        <f t="shared" si="17"/>
      </c>
      <c r="X134" s="21">
        <f t="shared" si="18"/>
      </c>
      <c r="Y134" s="21">
        <f t="shared" si="19"/>
      </c>
      <c r="Z134" s="21">
        <f t="shared" si="20"/>
      </c>
      <c r="AA134" s="21">
        <f t="shared" si="21"/>
      </c>
      <c r="AB134" s="21">
        <f t="shared" si="22"/>
      </c>
      <c r="AC134" s="21">
        <f t="shared" si="23"/>
      </c>
      <c r="AD134" s="96">
        <f t="shared" si="24"/>
      </c>
      <c r="AE134" s="2">
        <f t="shared" si="28"/>
        <v>0</v>
      </c>
      <c r="AF134" s="2">
        <f t="shared" si="29"/>
        <v>999912</v>
      </c>
      <c r="AG134" s="2">
        <f t="shared" si="30"/>
        <v>0</v>
      </c>
      <c r="AZ134" s="2">
        <f>IF(129&gt;$BA$300,0,IFERROR(MATCH(129,$BA$1:$BA$300,0),0))</f>
        <v>0</v>
      </c>
      <c r="BA134" s="2">
        <f>BA100+SUM(CA101:CA134)</f>
        <v>42</v>
      </c>
      <c r="CA134" s="2">
        <f>IF(AND(OR(_余额!$B$136="管理人员",_余额!$B$136="工人"),OR(_余额!$J$136&lt;&gt;0,_余额!$K$136&lt;&gt;0,_余额!$E$136&lt;&gt;0,_余额!$L$136&lt;&gt;0,AND(_余额!$B$136="管理人员",COUNTIFS(工资标准!$B$4:$B$303,_余额!$A$136,工资标准!$E$4:$E$303,"&gt;0")&gt;0))),1,0)</f>
        <v>0</v>
      </c>
    </row>
    <row r="135">
      <c r="A135" s="94">
        <f>IF($AZ135=0,"",130)</f>
      </c>
      <c r="B135" s="94">
        <f t="shared" si="0"/>
      </c>
      <c r="C135" s="94">
        <f t="shared" si="25"/>
      </c>
      <c r="D135" s="119">
        <f t="shared" si="26"/>
      </c>
      <c r="E135" s="21">
        <f t="shared" si="1"/>
      </c>
      <c r="F135" s="118">
        <f t="shared" si="2"/>
      </c>
      <c r="G135" s="21">
        <f t="shared" si="3"/>
      </c>
      <c r="H135" s="21">
        <f t="shared" si="4"/>
      </c>
      <c r="I135" s="21">
        <f t="shared" si="5"/>
      </c>
      <c r="J135" s="21">
        <f t="shared" si="6"/>
      </c>
      <c r="K135" s="21">
        <f t="shared" si="7"/>
      </c>
      <c r="L135" s="21">
        <f t="shared" si="8"/>
      </c>
      <c r="M135" s="21">
        <f t="shared" si="9"/>
      </c>
      <c r="N135" s="21">
        <f t="shared" si="10"/>
      </c>
      <c r="O135" s="21">
        <f t="shared" si="11"/>
      </c>
      <c r="P135" s="96">
        <f t="shared" si="27"/>
      </c>
      <c r="R135" s="21">
        <f t="shared" si="12"/>
      </c>
      <c r="S135" s="21">
        <f t="shared" si="13"/>
      </c>
      <c r="T135" s="21">
        <f t="shared" si="14"/>
      </c>
      <c r="U135" s="21">
        <f t="shared" si="15"/>
      </c>
      <c r="V135" s="21">
        <f t="shared" si="16"/>
      </c>
      <c r="W135" s="21">
        <f t="shared" si="17"/>
      </c>
      <c r="X135" s="21">
        <f t="shared" si="18"/>
      </c>
      <c r="Y135" s="21">
        <f t="shared" si="19"/>
      </c>
      <c r="Z135" s="21">
        <f t="shared" si="20"/>
      </c>
      <c r="AA135" s="21">
        <f t="shared" si="21"/>
      </c>
      <c r="AB135" s="21">
        <f t="shared" si="22"/>
      </c>
      <c r="AC135" s="21">
        <f t="shared" si="23"/>
      </c>
      <c r="AD135" s="96">
        <f t="shared" si="24"/>
      </c>
      <c r="AE135" s="2">
        <f t="shared" si="28"/>
        <v>0</v>
      </c>
      <c r="AF135" s="2">
        <f t="shared" si="29"/>
        <v>999912</v>
      </c>
      <c r="AG135" s="2">
        <f t="shared" si="30"/>
        <v>0</v>
      </c>
      <c r="AZ135" s="2">
        <f>IF(130&gt;$BA$300,0,IFERROR(MATCH(130,$BA$1:$BA$300,0),0))</f>
        <v>0</v>
      </c>
      <c r="BA135" s="2">
        <f>BA100+SUM(CA101:CA135)</f>
        <v>42</v>
      </c>
      <c r="CA135" s="2">
        <f>IF(AND(OR(_余额!$B$137="管理人员",_余额!$B$137="工人"),OR(_余额!$J$137&lt;&gt;0,_余额!$K$137&lt;&gt;0,_余额!$E$137&lt;&gt;0,_余额!$L$137&lt;&gt;0,AND(_余额!$B$137="管理人员",COUNTIFS(工资标准!$B$4:$B$303,_余额!$A$137,工资标准!$E$4:$E$303,"&gt;0")&gt;0))),1,0)</f>
        <v>0</v>
      </c>
    </row>
    <row r="136">
      <c r="A136" s="94">
        <f>IF($AZ136=0,"",131)</f>
      </c>
      <c r="B136" s="94">
        <f t="shared" si="0"/>
      </c>
      <c r="C136" s="94">
        <f t="shared" si="25"/>
      </c>
      <c r="D136" s="119">
        <f t="shared" si="26"/>
      </c>
      <c r="E136" s="21">
        <f t="shared" si="1"/>
      </c>
      <c r="F136" s="118">
        <f t="shared" si="2"/>
      </c>
      <c r="G136" s="21">
        <f t="shared" si="3"/>
      </c>
      <c r="H136" s="21">
        <f t="shared" si="4"/>
      </c>
      <c r="I136" s="21">
        <f t="shared" si="5"/>
      </c>
      <c r="J136" s="21">
        <f t="shared" si="6"/>
      </c>
      <c r="K136" s="21">
        <f t="shared" si="7"/>
      </c>
      <c r="L136" s="21">
        <f t="shared" si="8"/>
      </c>
      <c r="M136" s="21">
        <f t="shared" si="9"/>
      </c>
      <c r="N136" s="21">
        <f t="shared" si="10"/>
      </c>
      <c r="O136" s="21">
        <f t="shared" si="11"/>
      </c>
      <c r="P136" s="96">
        <f t="shared" si="27"/>
      </c>
      <c r="R136" s="21">
        <f t="shared" si="12"/>
      </c>
      <c r="S136" s="21">
        <f t="shared" si="13"/>
      </c>
      <c r="T136" s="21">
        <f t="shared" si="14"/>
      </c>
      <c r="U136" s="21">
        <f t="shared" si="15"/>
      </c>
      <c r="V136" s="21">
        <f t="shared" si="16"/>
      </c>
      <c r="W136" s="21">
        <f t="shared" si="17"/>
      </c>
      <c r="X136" s="21">
        <f t="shared" si="18"/>
      </c>
      <c r="Y136" s="21">
        <f t="shared" si="19"/>
      </c>
      <c r="Z136" s="21">
        <f t="shared" si="20"/>
      </c>
      <c r="AA136" s="21">
        <f t="shared" si="21"/>
      </c>
      <c r="AB136" s="21">
        <f t="shared" si="22"/>
      </c>
      <c r="AC136" s="21">
        <f t="shared" si="23"/>
      </c>
      <c r="AD136" s="96">
        <f t="shared" si="24"/>
      </c>
      <c r="AE136" s="2">
        <f t="shared" si="28"/>
        <v>0</v>
      </c>
      <c r="AF136" s="2">
        <f t="shared" si="29"/>
        <v>999912</v>
      </c>
      <c r="AG136" s="2">
        <f t="shared" si="30"/>
        <v>0</v>
      </c>
      <c r="AZ136" s="2">
        <f>IF(131&gt;$BA$300,0,IFERROR(MATCH(131,$BA$1:$BA$300,0),0))</f>
        <v>0</v>
      </c>
      <c r="BA136" s="2">
        <f>BA100+SUM(CA101:CA136)</f>
        <v>42</v>
      </c>
      <c r="CA136" s="2">
        <f>IF(AND(OR(_余额!$B$138="管理人员",_余额!$B$138="工人"),OR(_余额!$J$138&lt;&gt;0,_余额!$K$138&lt;&gt;0,_余额!$E$138&lt;&gt;0,_余额!$L$138&lt;&gt;0,AND(_余额!$B$138="管理人员",COUNTIFS(工资标准!$B$4:$B$303,_余额!$A$138,工资标准!$E$4:$E$303,"&gt;0")&gt;0))),1,0)</f>
        <v>0</v>
      </c>
    </row>
    <row r="137">
      <c r="A137" s="94">
        <f>IF($AZ137=0,"",132)</f>
      </c>
      <c r="B137" s="94">
        <f t="shared" si="0"/>
      </c>
      <c r="C137" s="94">
        <f t="shared" si="25"/>
      </c>
      <c r="D137" s="119">
        <f t="shared" si="26"/>
      </c>
      <c r="E137" s="21">
        <f t="shared" si="1"/>
      </c>
      <c r="F137" s="118">
        <f t="shared" si="2"/>
      </c>
      <c r="G137" s="21">
        <f t="shared" si="3"/>
      </c>
      <c r="H137" s="21">
        <f t="shared" si="4"/>
      </c>
      <c r="I137" s="21">
        <f t="shared" si="5"/>
      </c>
      <c r="J137" s="21">
        <f t="shared" si="6"/>
      </c>
      <c r="K137" s="21">
        <f t="shared" si="7"/>
      </c>
      <c r="L137" s="21">
        <f t="shared" si="8"/>
      </c>
      <c r="M137" s="21">
        <f t="shared" si="9"/>
      </c>
      <c r="N137" s="21">
        <f t="shared" si="10"/>
      </c>
      <c r="O137" s="21">
        <f t="shared" si="11"/>
      </c>
      <c r="P137" s="96">
        <f t="shared" si="27"/>
      </c>
      <c r="R137" s="21">
        <f t="shared" si="12"/>
      </c>
      <c r="S137" s="21">
        <f t="shared" si="13"/>
      </c>
      <c r="T137" s="21">
        <f t="shared" si="14"/>
      </c>
      <c r="U137" s="21">
        <f t="shared" si="15"/>
      </c>
      <c r="V137" s="21">
        <f t="shared" si="16"/>
      </c>
      <c r="W137" s="21">
        <f t="shared" si="17"/>
      </c>
      <c r="X137" s="21">
        <f t="shared" si="18"/>
      </c>
      <c r="Y137" s="21">
        <f t="shared" si="19"/>
      </c>
      <c r="Z137" s="21">
        <f t="shared" si="20"/>
      </c>
      <c r="AA137" s="21">
        <f t="shared" si="21"/>
      </c>
      <c r="AB137" s="21">
        <f t="shared" si="22"/>
      </c>
      <c r="AC137" s="21">
        <f t="shared" si="23"/>
      </c>
      <c r="AD137" s="96">
        <f t="shared" si="24"/>
      </c>
      <c r="AE137" s="2">
        <f t="shared" si="28"/>
        <v>0</v>
      </c>
      <c r="AF137" s="2">
        <f t="shared" si="29"/>
        <v>999912</v>
      </c>
      <c r="AG137" s="2">
        <f t="shared" si="30"/>
        <v>0</v>
      </c>
      <c r="AZ137" s="2">
        <f>IF(132&gt;$BA$300,0,IFERROR(MATCH(132,$BA$1:$BA$300,0),0))</f>
        <v>0</v>
      </c>
      <c r="BA137" s="2">
        <f>BA100+SUM(CA101:CA137)</f>
        <v>42</v>
      </c>
      <c r="CA137" s="2">
        <f>IF(AND(OR(_余额!$B$139="管理人员",_余额!$B$139="工人"),OR(_余额!$J$139&lt;&gt;0,_余额!$K$139&lt;&gt;0,_余额!$E$139&lt;&gt;0,_余额!$L$139&lt;&gt;0,AND(_余额!$B$139="管理人员",COUNTIFS(工资标准!$B$4:$B$303,_余额!$A$139,工资标准!$E$4:$E$303,"&gt;0")&gt;0))),1,0)</f>
        <v>0</v>
      </c>
    </row>
    <row r="138">
      <c r="A138" s="94">
        <f>IF($AZ138=0,"",133)</f>
      </c>
      <c r="B138" s="94">
        <f t="shared" si="0"/>
      </c>
      <c r="C138" s="94">
        <f t="shared" si="25"/>
      </c>
      <c r="D138" s="119">
        <f t="shared" si="26"/>
      </c>
      <c r="E138" s="21">
        <f t="shared" si="1"/>
      </c>
      <c r="F138" s="118">
        <f t="shared" si="2"/>
      </c>
      <c r="G138" s="21">
        <f t="shared" si="3"/>
      </c>
      <c r="H138" s="21">
        <f t="shared" si="4"/>
      </c>
      <c r="I138" s="21">
        <f t="shared" si="5"/>
      </c>
      <c r="J138" s="21">
        <f t="shared" si="6"/>
      </c>
      <c r="K138" s="21">
        <f t="shared" si="7"/>
      </c>
      <c r="L138" s="21">
        <f t="shared" si="8"/>
      </c>
      <c r="M138" s="21">
        <f t="shared" si="9"/>
      </c>
      <c r="N138" s="21">
        <f t="shared" si="10"/>
      </c>
      <c r="O138" s="21">
        <f t="shared" si="11"/>
      </c>
      <c r="P138" s="96">
        <f t="shared" si="27"/>
      </c>
      <c r="R138" s="21">
        <f t="shared" si="12"/>
      </c>
      <c r="S138" s="21">
        <f t="shared" si="13"/>
      </c>
      <c r="T138" s="21">
        <f t="shared" si="14"/>
      </c>
      <c r="U138" s="21">
        <f t="shared" si="15"/>
      </c>
      <c r="V138" s="21">
        <f t="shared" si="16"/>
      </c>
      <c r="W138" s="21">
        <f t="shared" si="17"/>
      </c>
      <c r="X138" s="21">
        <f t="shared" si="18"/>
      </c>
      <c r="Y138" s="21">
        <f t="shared" si="19"/>
      </c>
      <c r="Z138" s="21">
        <f t="shared" si="20"/>
      </c>
      <c r="AA138" s="21">
        <f t="shared" si="21"/>
      </c>
      <c r="AB138" s="21">
        <f t="shared" si="22"/>
      </c>
      <c r="AC138" s="21">
        <f t="shared" si="23"/>
      </c>
      <c r="AD138" s="96">
        <f t="shared" si="24"/>
      </c>
      <c r="AE138" s="2">
        <f t="shared" si="28"/>
        <v>0</v>
      </c>
      <c r="AF138" s="2">
        <f t="shared" si="29"/>
        <v>999912</v>
      </c>
      <c r="AG138" s="2">
        <f t="shared" si="30"/>
        <v>0</v>
      </c>
      <c r="AZ138" s="2">
        <f>IF(133&gt;$BA$300,0,IFERROR(MATCH(133,$BA$1:$BA$300,0),0))</f>
        <v>0</v>
      </c>
      <c r="BA138" s="2">
        <f>BA100+SUM(CA101:CA138)</f>
        <v>42</v>
      </c>
      <c r="CA138" s="2">
        <f>IF(AND(OR(_余额!$B$140="管理人员",_余额!$B$140="工人"),OR(_余额!$J$140&lt;&gt;0,_余额!$K$140&lt;&gt;0,_余额!$E$140&lt;&gt;0,_余额!$L$140&lt;&gt;0,AND(_余额!$B$140="管理人员",COUNTIFS(工资标准!$B$4:$B$303,_余额!$A$140,工资标准!$E$4:$E$303,"&gt;0")&gt;0))),1,0)</f>
        <v>0</v>
      </c>
    </row>
    <row r="139">
      <c r="A139" s="94">
        <f>IF($AZ139=0,"",134)</f>
      </c>
      <c r="B139" s="94">
        <f t="shared" si="0"/>
      </c>
      <c r="C139" s="94">
        <f t="shared" si="25"/>
      </c>
      <c r="D139" s="119">
        <f t="shared" si="26"/>
      </c>
      <c r="E139" s="21">
        <f t="shared" si="1"/>
      </c>
      <c r="F139" s="118">
        <f t="shared" si="2"/>
      </c>
      <c r="G139" s="21">
        <f t="shared" si="3"/>
      </c>
      <c r="H139" s="21">
        <f t="shared" si="4"/>
      </c>
      <c r="I139" s="21">
        <f t="shared" si="5"/>
      </c>
      <c r="J139" s="21">
        <f t="shared" si="6"/>
      </c>
      <c r="K139" s="21">
        <f t="shared" si="7"/>
      </c>
      <c r="L139" s="21">
        <f t="shared" si="8"/>
      </c>
      <c r="M139" s="21">
        <f t="shared" si="9"/>
      </c>
      <c r="N139" s="21">
        <f t="shared" si="10"/>
      </c>
      <c r="O139" s="21">
        <f t="shared" si="11"/>
      </c>
      <c r="P139" s="96">
        <f t="shared" si="27"/>
      </c>
      <c r="R139" s="21">
        <f t="shared" si="12"/>
      </c>
      <c r="S139" s="21">
        <f t="shared" si="13"/>
      </c>
      <c r="T139" s="21">
        <f t="shared" si="14"/>
      </c>
      <c r="U139" s="21">
        <f t="shared" si="15"/>
      </c>
      <c r="V139" s="21">
        <f t="shared" si="16"/>
      </c>
      <c r="W139" s="21">
        <f t="shared" si="17"/>
      </c>
      <c r="X139" s="21">
        <f t="shared" si="18"/>
      </c>
      <c r="Y139" s="21">
        <f t="shared" si="19"/>
      </c>
      <c r="Z139" s="21">
        <f t="shared" si="20"/>
      </c>
      <c r="AA139" s="21">
        <f t="shared" si="21"/>
      </c>
      <c r="AB139" s="21">
        <f t="shared" si="22"/>
      </c>
      <c r="AC139" s="21">
        <f t="shared" si="23"/>
      </c>
      <c r="AD139" s="96">
        <f t="shared" si="24"/>
      </c>
      <c r="AE139" s="2">
        <f t="shared" si="28"/>
        <v>0</v>
      </c>
      <c r="AF139" s="2">
        <f t="shared" si="29"/>
        <v>999912</v>
      </c>
      <c r="AG139" s="2">
        <f t="shared" si="30"/>
        <v>0</v>
      </c>
      <c r="AZ139" s="2">
        <f>IF(134&gt;$BA$300,0,IFERROR(MATCH(134,$BA$1:$BA$300,0),0))</f>
        <v>0</v>
      </c>
      <c r="BA139" s="2">
        <f>BA100+SUM(CA101:CA139)</f>
        <v>42</v>
      </c>
      <c r="CA139" s="2">
        <f>IF(AND(OR(_余额!$B$141="管理人员",_余额!$B$141="工人"),OR(_余额!$J$141&lt;&gt;0,_余额!$K$141&lt;&gt;0,_余额!$E$141&lt;&gt;0,_余额!$L$141&lt;&gt;0,AND(_余额!$B$141="管理人员",COUNTIFS(工资标准!$B$4:$B$303,_余额!$A$141,工资标准!$E$4:$E$303,"&gt;0")&gt;0))),1,0)</f>
        <v>0</v>
      </c>
    </row>
    <row r="140">
      <c r="A140" s="94">
        <f>IF($AZ140=0,"",135)</f>
      </c>
      <c r="B140" s="94">
        <f t="shared" si="0"/>
      </c>
      <c r="C140" s="94">
        <f t="shared" si="25"/>
      </c>
      <c r="D140" s="119">
        <f t="shared" si="26"/>
      </c>
      <c r="E140" s="21">
        <f t="shared" si="1"/>
      </c>
      <c r="F140" s="118">
        <f t="shared" si="2"/>
      </c>
      <c r="G140" s="21">
        <f t="shared" si="3"/>
      </c>
      <c r="H140" s="21">
        <f t="shared" si="4"/>
      </c>
      <c r="I140" s="21">
        <f t="shared" si="5"/>
      </c>
      <c r="J140" s="21">
        <f t="shared" si="6"/>
      </c>
      <c r="K140" s="21">
        <f t="shared" si="7"/>
      </c>
      <c r="L140" s="21">
        <f t="shared" si="8"/>
      </c>
      <c r="M140" s="21">
        <f t="shared" si="9"/>
      </c>
      <c r="N140" s="21">
        <f t="shared" si="10"/>
      </c>
      <c r="O140" s="21">
        <f t="shared" si="11"/>
      </c>
      <c r="P140" s="96">
        <f t="shared" si="27"/>
      </c>
      <c r="R140" s="21">
        <f t="shared" si="12"/>
      </c>
      <c r="S140" s="21">
        <f t="shared" si="13"/>
      </c>
      <c r="T140" s="21">
        <f t="shared" si="14"/>
      </c>
      <c r="U140" s="21">
        <f t="shared" si="15"/>
      </c>
      <c r="V140" s="21">
        <f t="shared" si="16"/>
      </c>
      <c r="W140" s="21">
        <f t="shared" si="17"/>
      </c>
      <c r="X140" s="21">
        <f t="shared" si="18"/>
      </c>
      <c r="Y140" s="21">
        <f t="shared" si="19"/>
      </c>
      <c r="Z140" s="21">
        <f t="shared" si="20"/>
      </c>
      <c r="AA140" s="21">
        <f t="shared" si="21"/>
      </c>
      <c r="AB140" s="21">
        <f t="shared" si="22"/>
      </c>
      <c r="AC140" s="21">
        <f t="shared" si="23"/>
      </c>
      <c r="AD140" s="96">
        <f t="shared" si="24"/>
      </c>
      <c r="AE140" s="2">
        <f t="shared" si="28"/>
        <v>0</v>
      </c>
      <c r="AF140" s="2">
        <f t="shared" si="29"/>
        <v>999912</v>
      </c>
      <c r="AG140" s="2">
        <f t="shared" si="30"/>
        <v>0</v>
      </c>
      <c r="AZ140" s="2">
        <f>IF(135&gt;$BA$300,0,IFERROR(MATCH(135,$BA$1:$BA$300,0),0))</f>
        <v>0</v>
      </c>
      <c r="BA140" s="2">
        <f>BA100+SUM(CA101:CA140)</f>
        <v>42</v>
      </c>
      <c r="CA140" s="2">
        <f>IF(AND(OR(_余额!$B$142="管理人员",_余额!$B$142="工人"),OR(_余额!$J$142&lt;&gt;0,_余额!$K$142&lt;&gt;0,_余额!$E$142&lt;&gt;0,_余额!$L$142&lt;&gt;0,AND(_余额!$B$142="管理人员",COUNTIFS(工资标准!$B$4:$B$303,_余额!$A$142,工资标准!$E$4:$E$303,"&gt;0")&gt;0))),1,0)</f>
        <v>0</v>
      </c>
    </row>
    <row r="141">
      <c r="A141" s="94">
        <f>IF($AZ141=0,"",136)</f>
      </c>
      <c r="B141" s="94">
        <f t="shared" si="0"/>
      </c>
      <c r="C141" s="94">
        <f t="shared" si="25"/>
      </c>
      <c r="D141" s="119">
        <f t="shared" si="26"/>
      </c>
      <c r="E141" s="21">
        <f t="shared" si="1"/>
      </c>
      <c r="F141" s="118">
        <f t="shared" si="2"/>
      </c>
      <c r="G141" s="21">
        <f t="shared" si="3"/>
      </c>
      <c r="H141" s="21">
        <f t="shared" si="4"/>
      </c>
      <c r="I141" s="21">
        <f t="shared" si="5"/>
      </c>
      <c r="J141" s="21">
        <f t="shared" si="6"/>
      </c>
      <c r="K141" s="21">
        <f t="shared" si="7"/>
      </c>
      <c r="L141" s="21">
        <f t="shared" si="8"/>
      </c>
      <c r="M141" s="21">
        <f t="shared" si="9"/>
      </c>
      <c r="N141" s="21">
        <f t="shared" si="10"/>
      </c>
      <c r="O141" s="21">
        <f t="shared" si="11"/>
      </c>
      <c r="P141" s="96">
        <f t="shared" si="27"/>
      </c>
      <c r="R141" s="21">
        <f t="shared" si="12"/>
      </c>
      <c r="S141" s="21">
        <f t="shared" si="13"/>
      </c>
      <c r="T141" s="21">
        <f t="shared" si="14"/>
      </c>
      <c r="U141" s="21">
        <f t="shared" si="15"/>
      </c>
      <c r="V141" s="21">
        <f t="shared" si="16"/>
      </c>
      <c r="W141" s="21">
        <f t="shared" si="17"/>
      </c>
      <c r="X141" s="21">
        <f t="shared" si="18"/>
      </c>
      <c r="Y141" s="21">
        <f t="shared" si="19"/>
      </c>
      <c r="Z141" s="21">
        <f t="shared" si="20"/>
      </c>
      <c r="AA141" s="21">
        <f t="shared" si="21"/>
      </c>
      <c r="AB141" s="21">
        <f t="shared" si="22"/>
      </c>
      <c r="AC141" s="21">
        <f t="shared" si="23"/>
      </c>
      <c r="AD141" s="96">
        <f t="shared" si="24"/>
      </c>
      <c r="AE141" s="2">
        <f t="shared" si="28"/>
        <v>0</v>
      </c>
      <c r="AF141" s="2">
        <f t="shared" si="29"/>
        <v>999912</v>
      </c>
      <c r="AG141" s="2">
        <f t="shared" si="30"/>
        <v>0</v>
      </c>
      <c r="AZ141" s="2">
        <f>IF(136&gt;$BA$300,0,IFERROR(MATCH(136,$BA$1:$BA$300,0),0))</f>
        <v>0</v>
      </c>
      <c r="BA141" s="2">
        <f>BA100+SUM(CA101:CA141)</f>
        <v>42</v>
      </c>
      <c r="CA141" s="2">
        <f>IF(AND(OR(_余额!$B$143="管理人员",_余额!$B$143="工人"),OR(_余额!$J$143&lt;&gt;0,_余额!$K$143&lt;&gt;0,_余额!$E$143&lt;&gt;0,_余额!$L$143&lt;&gt;0,AND(_余额!$B$143="管理人员",COUNTIFS(工资标准!$B$4:$B$303,_余额!$A$143,工资标准!$E$4:$E$303,"&gt;0")&gt;0))),1,0)</f>
        <v>0</v>
      </c>
    </row>
    <row r="142">
      <c r="A142" s="94">
        <f>IF($AZ142=0,"",137)</f>
      </c>
      <c r="B142" s="94">
        <f t="shared" si="0"/>
      </c>
      <c r="C142" s="94">
        <f t="shared" si="25"/>
      </c>
      <c r="D142" s="119">
        <f t="shared" si="26"/>
      </c>
      <c r="E142" s="21">
        <f t="shared" si="1"/>
      </c>
      <c r="F142" s="118">
        <f t="shared" si="2"/>
      </c>
      <c r="G142" s="21">
        <f t="shared" si="3"/>
      </c>
      <c r="H142" s="21">
        <f t="shared" si="4"/>
      </c>
      <c r="I142" s="21">
        <f t="shared" si="5"/>
      </c>
      <c r="J142" s="21">
        <f t="shared" si="6"/>
      </c>
      <c r="K142" s="21">
        <f t="shared" si="7"/>
      </c>
      <c r="L142" s="21">
        <f t="shared" si="8"/>
      </c>
      <c r="M142" s="21">
        <f t="shared" si="9"/>
      </c>
      <c r="N142" s="21">
        <f t="shared" si="10"/>
      </c>
      <c r="O142" s="21">
        <f t="shared" si="11"/>
      </c>
      <c r="P142" s="96">
        <f t="shared" si="27"/>
      </c>
      <c r="R142" s="21">
        <f t="shared" si="12"/>
      </c>
      <c r="S142" s="21">
        <f t="shared" si="13"/>
      </c>
      <c r="T142" s="21">
        <f t="shared" si="14"/>
      </c>
      <c r="U142" s="21">
        <f t="shared" si="15"/>
      </c>
      <c r="V142" s="21">
        <f t="shared" si="16"/>
      </c>
      <c r="W142" s="21">
        <f t="shared" si="17"/>
      </c>
      <c r="X142" s="21">
        <f t="shared" si="18"/>
      </c>
      <c r="Y142" s="21">
        <f t="shared" si="19"/>
      </c>
      <c r="Z142" s="21">
        <f t="shared" si="20"/>
      </c>
      <c r="AA142" s="21">
        <f t="shared" si="21"/>
      </c>
      <c r="AB142" s="21">
        <f t="shared" si="22"/>
      </c>
      <c r="AC142" s="21">
        <f t="shared" si="23"/>
      </c>
      <c r="AD142" s="96">
        <f t="shared" si="24"/>
      </c>
      <c r="AE142" s="2">
        <f t="shared" si="28"/>
        <v>0</v>
      </c>
      <c r="AF142" s="2">
        <f t="shared" si="29"/>
        <v>999912</v>
      </c>
      <c r="AG142" s="2">
        <f t="shared" si="30"/>
        <v>0</v>
      </c>
      <c r="AZ142" s="2">
        <f>IF(137&gt;$BA$300,0,IFERROR(MATCH(137,$BA$1:$BA$300,0),0))</f>
        <v>0</v>
      </c>
      <c r="BA142" s="2">
        <f>BA100+SUM(CA101:CA142)</f>
        <v>42</v>
      </c>
      <c r="CA142" s="2">
        <f>IF(AND(OR(_余额!$B$144="管理人员",_余额!$B$144="工人"),OR(_余额!$J$144&lt;&gt;0,_余额!$K$144&lt;&gt;0,_余额!$E$144&lt;&gt;0,_余额!$L$144&lt;&gt;0,AND(_余额!$B$144="管理人员",COUNTIFS(工资标准!$B$4:$B$303,_余额!$A$144,工资标准!$E$4:$E$303,"&gt;0")&gt;0))),1,0)</f>
        <v>0</v>
      </c>
    </row>
    <row r="143">
      <c r="A143" s="94">
        <f>IF($AZ143=0,"",138)</f>
      </c>
      <c r="B143" s="94">
        <f t="shared" si="0"/>
      </c>
      <c r="C143" s="94">
        <f t="shared" si="25"/>
      </c>
      <c r="D143" s="119">
        <f t="shared" si="26"/>
      </c>
      <c r="E143" s="21">
        <f t="shared" si="1"/>
      </c>
      <c r="F143" s="118">
        <f t="shared" si="2"/>
      </c>
      <c r="G143" s="21">
        <f t="shared" si="3"/>
      </c>
      <c r="H143" s="21">
        <f t="shared" si="4"/>
      </c>
      <c r="I143" s="21">
        <f t="shared" si="5"/>
      </c>
      <c r="J143" s="21">
        <f t="shared" si="6"/>
      </c>
      <c r="K143" s="21">
        <f t="shared" si="7"/>
      </c>
      <c r="L143" s="21">
        <f t="shared" si="8"/>
      </c>
      <c r="M143" s="21">
        <f t="shared" si="9"/>
      </c>
      <c r="N143" s="21">
        <f t="shared" si="10"/>
      </c>
      <c r="O143" s="21">
        <f t="shared" si="11"/>
      </c>
      <c r="P143" s="96">
        <f t="shared" si="27"/>
      </c>
      <c r="R143" s="21">
        <f t="shared" si="12"/>
      </c>
      <c r="S143" s="21">
        <f t="shared" si="13"/>
      </c>
      <c r="T143" s="21">
        <f t="shared" si="14"/>
      </c>
      <c r="U143" s="21">
        <f t="shared" si="15"/>
      </c>
      <c r="V143" s="21">
        <f t="shared" si="16"/>
      </c>
      <c r="W143" s="21">
        <f t="shared" si="17"/>
      </c>
      <c r="X143" s="21">
        <f t="shared" si="18"/>
      </c>
      <c r="Y143" s="21">
        <f t="shared" si="19"/>
      </c>
      <c r="Z143" s="21">
        <f t="shared" si="20"/>
      </c>
      <c r="AA143" s="21">
        <f t="shared" si="21"/>
      </c>
      <c r="AB143" s="21">
        <f t="shared" si="22"/>
      </c>
      <c r="AC143" s="21">
        <f t="shared" si="23"/>
      </c>
      <c r="AD143" s="96">
        <f t="shared" si="24"/>
      </c>
      <c r="AE143" s="2">
        <f t="shared" si="28"/>
        <v>0</v>
      </c>
      <c r="AF143" s="2">
        <f t="shared" si="29"/>
        <v>999912</v>
      </c>
      <c r="AG143" s="2">
        <f t="shared" si="30"/>
        <v>0</v>
      </c>
      <c r="AZ143" s="2">
        <f>IF(138&gt;$BA$300,0,IFERROR(MATCH(138,$BA$1:$BA$300,0),0))</f>
        <v>0</v>
      </c>
      <c r="BA143" s="2">
        <f>BA100+SUM(CA101:CA143)</f>
        <v>42</v>
      </c>
      <c r="CA143" s="2">
        <f>IF(AND(OR(_余额!$B$145="管理人员",_余额!$B$145="工人"),OR(_余额!$J$145&lt;&gt;0,_余额!$K$145&lt;&gt;0,_余额!$E$145&lt;&gt;0,_余额!$L$145&lt;&gt;0,AND(_余额!$B$145="管理人员",COUNTIFS(工资标准!$B$4:$B$303,_余额!$A$145,工资标准!$E$4:$E$303,"&gt;0")&gt;0))),1,0)</f>
        <v>0</v>
      </c>
    </row>
    <row r="144">
      <c r="A144" s="94">
        <f>IF($AZ144=0,"",139)</f>
      </c>
      <c r="B144" s="94">
        <f t="shared" si="0"/>
      </c>
      <c r="C144" s="94">
        <f t="shared" si="25"/>
      </c>
      <c r="D144" s="119">
        <f t="shared" si="26"/>
      </c>
      <c r="E144" s="21">
        <f t="shared" si="1"/>
      </c>
      <c r="F144" s="118">
        <f t="shared" si="2"/>
      </c>
      <c r="G144" s="21">
        <f t="shared" si="3"/>
      </c>
      <c r="H144" s="21">
        <f t="shared" si="4"/>
      </c>
      <c r="I144" s="21">
        <f t="shared" si="5"/>
      </c>
      <c r="J144" s="21">
        <f t="shared" si="6"/>
      </c>
      <c r="K144" s="21">
        <f t="shared" si="7"/>
      </c>
      <c r="L144" s="21">
        <f t="shared" si="8"/>
      </c>
      <c r="M144" s="21">
        <f t="shared" si="9"/>
      </c>
      <c r="N144" s="21">
        <f t="shared" si="10"/>
      </c>
      <c r="O144" s="21">
        <f t="shared" si="11"/>
      </c>
      <c r="P144" s="96">
        <f t="shared" si="27"/>
      </c>
      <c r="R144" s="21">
        <f t="shared" si="12"/>
      </c>
      <c r="S144" s="21">
        <f t="shared" si="13"/>
      </c>
      <c r="T144" s="21">
        <f t="shared" si="14"/>
      </c>
      <c r="U144" s="21">
        <f t="shared" si="15"/>
      </c>
      <c r="V144" s="21">
        <f t="shared" si="16"/>
      </c>
      <c r="W144" s="21">
        <f t="shared" si="17"/>
      </c>
      <c r="X144" s="21">
        <f t="shared" si="18"/>
      </c>
      <c r="Y144" s="21">
        <f t="shared" si="19"/>
      </c>
      <c r="Z144" s="21">
        <f t="shared" si="20"/>
      </c>
      <c r="AA144" s="21">
        <f t="shared" si="21"/>
      </c>
      <c r="AB144" s="21">
        <f t="shared" si="22"/>
      </c>
      <c r="AC144" s="21">
        <f t="shared" si="23"/>
      </c>
      <c r="AD144" s="96">
        <f t="shared" si="24"/>
      </c>
      <c r="AE144" s="2">
        <f t="shared" si="28"/>
        <v>0</v>
      </c>
      <c r="AF144" s="2">
        <f t="shared" si="29"/>
        <v>999912</v>
      </c>
      <c r="AG144" s="2">
        <f t="shared" si="30"/>
        <v>0</v>
      </c>
      <c r="AZ144" s="2">
        <f>IF(139&gt;$BA$300,0,IFERROR(MATCH(139,$BA$1:$BA$300,0),0))</f>
        <v>0</v>
      </c>
      <c r="BA144" s="2">
        <f>BA100+SUM(CA101:CA144)</f>
        <v>42</v>
      </c>
      <c r="CA144" s="2">
        <f>IF(AND(OR(_余额!$B$146="管理人员",_余额!$B$146="工人"),OR(_余额!$J$146&lt;&gt;0,_余额!$K$146&lt;&gt;0,_余额!$E$146&lt;&gt;0,_余额!$L$146&lt;&gt;0,AND(_余额!$B$146="管理人员",COUNTIFS(工资标准!$B$4:$B$303,_余额!$A$146,工资标准!$E$4:$E$303,"&gt;0")&gt;0))),1,0)</f>
        <v>0</v>
      </c>
    </row>
    <row r="145">
      <c r="A145" s="94">
        <f>IF($AZ145=0,"",140)</f>
      </c>
      <c r="B145" s="94">
        <f t="shared" si="0"/>
      </c>
      <c r="C145" s="94">
        <f t="shared" si="25"/>
      </c>
      <c r="D145" s="119">
        <f t="shared" si="26"/>
      </c>
      <c r="E145" s="21">
        <f t="shared" si="1"/>
      </c>
      <c r="F145" s="118">
        <f t="shared" si="2"/>
      </c>
      <c r="G145" s="21">
        <f t="shared" si="3"/>
      </c>
      <c r="H145" s="21">
        <f t="shared" si="4"/>
      </c>
      <c r="I145" s="21">
        <f t="shared" si="5"/>
      </c>
      <c r="J145" s="21">
        <f t="shared" si="6"/>
      </c>
      <c r="K145" s="21">
        <f t="shared" si="7"/>
      </c>
      <c r="L145" s="21">
        <f t="shared" si="8"/>
      </c>
      <c r="M145" s="21">
        <f t="shared" si="9"/>
      </c>
      <c r="N145" s="21">
        <f t="shared" si="10"/>
      </c>
      <c r="O145" s="21">
        <f t="shared" si="11"/>
      </c>
      <c r="P145" s="96">
        <f t="shared" si="27"/>
      </c>
      <c r="R145" s="21">
        <f t="shared" si="12"/>
      </c>
      <c r="S145" s="21">
        <f t="shared" si="13"/>
      </c>
      <c r="T145" s="21">
        <f t="shared" si="14"/>
      </c>
      <c r="U145" s="21">
        <f t="shared" si="15"/>
      </c>
      <c r="V145" s="21">
        <f t="shared" si="16"/>
      </c>
      <c r="W145" s="21">
        <f t="shared" si="17"/>
      </c>
      <c r="X145" s="21">
        <f t="shared" si="18"/>
      </c>
      <c r="Y145" s="21">
        <f t="shared" si="19"/>
      </c>
      <c r="Z145" s="21">
        <f t="shared" si="20"/>
      </c>
      <c r="AA145" s="21">
        <f t="shared" si="21"/>
      </c>
      <c r="AB145" s="21">
        <f t="shared" si="22"/>
      </c>
      <c r="AC145" s="21">
        <f t="shared" si="23"/>
      </c>
      <c r="AD145" s="96">
        <f t="shared" si="24"/>
      </c>
      <c r="AE145" s="2">
        <f t="shared" si="28"/>
        <v>0</v>
      </c>
      <c r="AF145" s="2">
        <f t="shared" si="29"/>
        <v>999912</v>
      </c>
      <c r="AG145" s="2">
        <f t="shared" si="30"/>
        <v>0</v>
      </c>
      <c r="AZ145" s="2">
        <f>IF(140&gt;$BA$300,0,IFERROR(MATCH(140,$BA$1:$BA$300,0),0))</f>
        <v>0</v>
      </c>
      <c r="BA145" s="2">
        <f>BA100+SUM(CA101:CA145)</f>
        <v>42</v>
      </c>
      <c r="CA145" s="2">
        <f>IF(AND(OR(_余额!$B$147="管理人员",_余额!$B$147="工人"),OR(_余额!$J$147&lt;&gt;0,_余额!$K$147&lt;&gt;0,_余额!$E$147&lt;&gt;0,_余额!$L$147&lt;&gt;0,AND(_余额!$B$147="管理人员",COUNTIFS(工资标准!$B$4:$B$303,_余额!$A$147,工资标准!$E$4:$E$303,"&gt;0")&gt;0))),1,0)</f>
        <v>0</v>
      </c>
    </row>
    <row r="146">
      <c r="A146" s="94">
        <f>IF($AZ146=0,"",141)</f>
      </c>
      <c r="B146" s="94">
        <f t="shared" si="0"/>
      </c>
      <c r="C146" s="94">
        <f t="shared" si="25"/>
      </c>
      <c r="D146" s="119">
        <f t="shared" si="26"/>
      </c>
      <c r="E146" s="21">
        <f t="shared" si="1"/>
      </c>
      <c r="F146" s="118">
        <f t="shared" si="2"/>
      </c>
      <c r="G146" s="21">
        <f t="shared" si="3"/>
      </c>
      <c r="H146" s="21">
        <f t="shared" si="4"/>
      </c>
      <c r="I146" s="21">
        <f t="shared" si="5"/>
      </c>
      <c r="J146" s="21">
        <f t="shared" si="6"/>
      </c>
      <c r="K146" s="21">
        <f t="shared" si="7"/>
      </c>
      <c r="L146" s="21">
        <f t="shared" si="8"/>
      </c>
      <c r="M146" s="21">
        <f t="shared" si="9"/>
      </c>
      <c r="N146" s="21">
        <f t="shared" si="10"/>
      </c>
      <c r="O146" s="21">
        <f t="shared" si="11"/>
      </c>
      <c r="P146" s="96">
        <f t="shared" si="27"/>
      </c>
      <c r="R146" s="21">
        <f t="shared" si="12"/>
      </c>
      <c r="S146" s="21">
        <f t="shared" si="13"/>
      </c>
      <c r="T146" s="21">
        <f t="shared" si="14"/>
      </c>
      <c r="U146" s="21">
        <f t="shared" si="15"/>
      </c>
      <c r="V146" s="21">
        <f t="shared" si="16"/>
      </c>
      <c r="W146" s="21">
        <f t="shared" si="17"/>
      </c>
      <c r="X146" s="21">
        <f t="shared" si="18"/>
      </c>
      <c r="Y146" s="21">
        <f t="shared" si="19"/>
      </c>
      <c r="Z146" s="21">
        <f t="shared" si="20"/>
      </c>
      <c r="AA146" s="21">
        <f t="shared" si="21"/>
      </c>
      <c r="AB146" s="21">
        <f t="shared" si="22"/>
      </c>
      <c r="AC146" s="21">
        <f t="shared" si="23"/>
      </c>
      <c r="AD146" s="96">
        <f t="shared" si="24"/>
      </c>
      <c r="AE146" s="2">
        <f t="shared" si="28"/>
        <v>0</v>
      </c>
      <c r="AF146" s="2">
        <f t="shared" si="29"/>
        <v>999912</v>
      </c>
      <c r="AG146" s="2">
        <f t="shared" si="30"/>
        <v>0</v>
      </c>
      <c r="AZ146" s="2">
        <f>IF(141&gt;$BA$300,0,IFERROR(MATCH(141,$BA$1:$BA$300,0),0))</f>
        <v>0</v>
      </c>
      <c r="BA146" s="2">
        <f>BA100+SUM(CA101:CA146)</f>
        <v>42</v>
      </c>
      <c r="CA146" s="2">
        <f>IF(AND(OR(_余额!$B$148="管理人员",_余额!$B$148="工人"),OR(_余额!$J$148&lt;&gt;0,_余额!$K$148&lt;&gt;0,_余额!$E$148&lt;&gt;0,_余额!$L$148&lt;&gt;0,AND(_余额!$B$148="管理人员",COUNTIFS(工资标准!$B$4:$B$303,_余额!$A$148,工资标准!$E$4:$E$303,"&gt;0")&gt;0))),1,0)</f>
        <v>0</v>
      </c>
    </row>
    <row r="147">
      <c r="A147" s="94">
        <f>IF($AZ147=0,"",142)</f>
      </c>
      <c r="B147" s="94">
        <f t="shared" si="0"/>
      </c>
      <c r="C147" s="94">
        <f t="shared" si="25"/>
      </c>
      <c r="D147" s="119">
        <f t="shared" si="26"/>
      </c>
      <c r="E147" s="21">
        <f t="shared" si="1"/>
      </c>
      <c r="F147" s="118">
        <f t="shared" si="2"/>
      </c>
      <c r="G147" s="21">
        <f t="shared" si="3"/>
      </c>
      <c r="H147" s="21">
        <f t="shared" si="4"/>
      </c>
      <c r="I147" s="21">
        <f t="shared" si="5"/>
      </c>
      <c r="J147" s="21">
        <f t="shared" si="6"/>
      </c>
      <c r="K147" s="21">
        <f t="shared" si="7"/>
      </c>
      <c r="L147" s="21">
        <f t="shared" si="8"/>
      </c>
      <c r="M147" s="21">
        <f t="shared" si="9"/>
      </c>
      <c r="N147" s="21">
        <f t="shared" si="10"/>
      </c>
      <c r="O147" s="21">
        <f t="shared" si="11"/>
      </c>
      <c r="P147" s="96">
        <f t="shared" si="27"/>
      </c>
      <c r="R147" s="21">
        <f t="shared" si="12"/>
      </c>
      <c r="S147" s="21">
        <f t="shared" si="13"/>
      </c>
      <c r="T147" s="21">
        <f t="shared" si="14"/>
      </c>
      <c r="U147" s="21">
        <f t="shared" si="15"/>
      </c>
      <c r="V147" s="21">
        <f t="shared" si="16"/>
      </c>
      <c r="W147" s="21">
        <f t="shared" si="17"/>
      </c>
      <c r="X147" s="21">
        <f t="shared" si="18"/>
      </c>
      <c r="Y147" s="21">
        <f t="shared" si="19"/>
      </c>
      <c r="Z147" s="21">
        <f t="shared" si="20"/>
      </c>
      <c r="AA147" s="21">
        <f t="shared" si="21"/>
      </c>
      <c r="AB147" s="21">
        <f t="shared" si="22"/>
      </c>
      <c r="AC147" s="21">
        <f t="shared" si="23"/>
      </c>
      <c r="AD147" s="96">
        <f t="shared" si="24"/>
      </c>
      <c r="AE147" s="2">
        <f t="shared" si="28"/>
        <v>0</v>
      </c>
      <c r="AF147" s="2">
        <f t="shared" si="29"/>
        <v>999912</v>
      </c>
      <c r="AG147" s="2">
        <f t="shared" si="30"/>
        <v>0</v>
      </c>
      <c r="AZ147" s="2">
        <f>IF(142&gt;$BA$300,0,IFERROR(MATCH(142,$BA$1:$BA$300,0),0))</f>
        <v>0</v>
      </c>
      <c r="BA147" s="2">
        <f>BA100+SUM(CA101:CA147)</f>
        <v>42</v>
      </c>
      <c r="CA147" s="2">
        <f>IF(AND(OR(_余额!$B$149="管理人员",_余额!$B$149="工人"),OR(_余额!$J$149&lt;&gt;0,_余额!$K$149&lt;&gt;0,_余额!$E$149&lt;&gt;0,_余额!$L$149&lt;&gt;0,AND(_余额!$B$149="管理人员",COUNTIFS(工资标准!$B$4:$B$303,_余额!$A$149,工资标准!$E$4:$E$303,"&gt;0")&gt;0))),1,0)</f>
        <v>0</v>
      </c>
    </row>
    <row r="148">
      <c r="A148" s="94">
        <f>IF($AZ148=0,"",143)</f>
      </c>
      <c r="B148" s="94">
        <f t="shared" si="0"/>
      </c>
      <c r="C148" s="94">
        <f t="shared" si="25"/>
      </c>
      <c r="D148" s="119">
        <f t="shared" si="26"/>
      </c>
      <c r="E148" s="21">
        <f t="shared" si="1"/>
      </c>
      <c r="F148" s="118">
        <f t="shared" si="2"/>
      </c>
      <c r="G148" s="21">
        <f t="shared" si="3"/>
      </c>
      <c r="H148" s="21">
        <f t="shared" si="4"/>
      </c>
      <c r="I148" s="21">
        <f t="shared" si="5"/>
      </c>
      <c r="J148" s="21">
        <f t="shared" si="6"/>
      </c>
      <c r="K148" s="21">
        <f t="shared" si="7"/>
      </c>
      <c r="L148" s="21">
        <f t="shared" si="8"/>
      </c>
      <c r="M148" s="21">
        <f t="shared" si="9"/>
      </c>
      <c r="N148" s="21">
        <f t="shared" si="10"/>
      </c>
      <c r="O148" s="21">
        <f t="shared" si="11"/>
      </c>
      <c r="P148" s="96">
        <f t="shared" si="27"/>
      </c>
      <c r="R148" s="21">
        <f t="shared" si="12"/>
      </c>
      <c r="S148" s="21">
        <f t="shared" si="13"/>
      </c>
      <c r="T148" s="21">
        <f t="shared" si="14"/>
      </c>
      <c r="U148" s="21">
        <f t="shared" si="15"/>
      </c>
      <c r="V148" s="21">
        <f t="shared" si="16"/>
      </c>
      <c r="W148" s="21">
        <f t="shared" si="17"/>
      </c>
      <c r="X148" s="21">
        <f t="shared" si="18"/>
      </c>
      <c r="Y148" s="21">
        <f t="shared" si="19"/>
      </c>
      <c r="Z148" s="21">
        <f t="shared" si="20"/>
      </c>
      <c r="AA148" s="21">
        <f t="shared" si="21"/>
      </c>
      <c r="AB148" s="21">
        <f t="shared" si="22"/>
      </c>
      <c r="AC148" s="21">
        <f t="shared" si="23"/>
      </c>
      <c r="AD148" s="96">
        <f t="shared" si="24"/>
      </c>
      <c r="AE148" s="2">
        <f t="shared" si="28"/>
        <v>0</v>
      </c>
      <c r="AF148" s="2">
        <f t="shared" si="29"/>
        <v>999912</v>
      </c>
      <c r="AG148" s="2">
        <f t="shared" si="30"/>
        <v>0</v>
      </c>
      <c r="AZ148" s="2">
        <f>IF(143&gt;$BA$300,0,IFERROR(MATCH(143,$BA$1:$BA$300,0),0))</f>
        <v>0</v>
      </c>
      <c r="BA148" s="2">
        <f>BA100+SUM(CA101:CA148)</f>
        <v>42</v>
      </c>
      <c r="CA148" s="2">
        <f>IF(AND(OR(_余额!$B$150="管理人员",_余额!$B$150="工人"),OR(_余额!$J$150&lt;&gt;0,_余额!$K$150&lt;&gt;0,_余额!$E$150&lt;&gt;0,_余额!$L$150&lt;&gt;0,AND(_余额!$B$150="管理人员",COUNTIFS(工资标准!$B$4:$B$303,_余额!$A$150,工资标准!$E$4:$E$303,"&gt;0")&gt;0))),1,0)</f>
        <v>0</v>
      </c>
    </row>
    <row r="149">
      <c r="A149" s="94">
        <f>IF($AZ149=0,"",144)</f>
      </c>
      <c r="B149" s="94">
        <f t="shared" si="0"/>
      </c>
      <c r="C149" s="94">
        <f t="shared" si="25"/>
      </c>
      <c r="D149" s="119">
        <f t="shared" si="26"/>
      </c>
      <c r="E149" s="21">
        <f t="shared" si="1"/>
      </c>
      <c r="F149" s="118">
        <f t="shared" si="2"/>
      </c>
      <c r="G149" s="21">
        <f t="shared" si="3"/>
      </c>
      <c r="H149" s="21">
        <f t="shared" si="4"/>
      </c>
      <c r="I149" s="21">
        <f t="shared" si="5"/>
      </c>
      <c r="J149" s="21">
        <f t="shared" si="6"/>
      </c>
      <c r="K149" s="21">
        <f t="shared" si="7"/>
      </c>
      <c r="L149" s="21">
        <f t="shared" si="8"/>
      </c>
      <c r="M149" s="21">
        <f t="shared" si="9"/>
      </c>
      <c r="N149" s="21">
        <f t="shared" si="10"/>
      </c>
      <c r="O149" s="21">
        <f t="shared" si="11"/>
      </c>
      <c r="P149" s="96">
        <f t="shared" si="27"/>
      </c>
      <c r="R149" s="21">
        <f t="shared" si="12"/>
      </c>
      <c r="S149" s="21">
        <f t="shared" si="13"/>
      </c>
      <c r="T149" s="21">
        <f t="shared" si="14"/>
      </c>
      <c r="U149" s="21">
        <f t="shared" si="15"/>
      </c>
      <c r="V149" s="21">
        <f t="shared" si="16"/>
      </c>
      <c r="W149" s="21">
        <f t="shared" si="17"/>
      </c>
      <c r="X149" s="21">
        <f t="shared" si="18"/>
      </c>
      <c r="Y149" s="21">
        <f t="shared" si="19"/>
      </c>
      <c r="Z149" s="21">
        <f t="shared" si="20"/>
      </c>
      <c r="AA149" s="21">
        <f t="shared" si="21"/>
      </c>
      <c r="AB149" s="21">
        <f t="shared" si="22"/>
      </c>
      <c r="AC149" s="21">
        <f t="shared" si="23"/>
      </c>
      <c r="AD149" s="96">
        <f t="shared" si="24"/>
      </c>
      <c r="AE149" s="2">
        <f t="shared" si="28"/>
        <v>0</v>
      </c>
      <c r="AF149" s="2">
        <f t="shared" si="29"/>
        <v>999912</v>
      </c>
      <c r="AG149" s="2">
        <f t="shared" si="30"/>
        <v>0</v>
      </c>
      <c r="AZ149" s="2">
        <f>IF(144&gt;$BA$300,0,IFERROR(MATCH(144,$BA$1:$BA$300,0),0))</f>
        <v>0</v>
      </c>
      <c r="BA149" s="2">
        <f>BA100+SUM(CA101:CA149)</f>
        <v>42</v>
      </c>
      <c r="CA149" s="2">
        <f>IF(AND(OR(_余额!$B$151="管理人员",_余额!$B$151="工人"),OR(_余额!$J$151&lt;&gt;0,_余额!$K$151&lt;&gt;0,_余额!$E$151&lt;&gt;0,_余额!$L$151&lt;&gt;0,AND(_余额!$B$151="管理人员",COUNTIFS(工资标准!$B$4:$B$303,_余额!$A$151,工资标准!$E$4:$E$303,"&gt;0")&gt;0))),1,0)</f>
        <v>0</v>
      </c>
    </row>
    <row r="150">
      <c r="A150" s="94">
        <f>IF($AZ150=0,"",145)</f>
      </c>
      <c r="B150" s="94">
        <f t="shared" si="0"/>
      </c>
      <c r="C150" s="94">
        <f t="shared" si="25"/>
      </c>
      <c r="D150" s="119">
        <f t="shared" si="26"/>
      </c>
      <c r="E150" s="21">
        <f t="shared" si="1"/>
      </c>
      <c r="F150" s="118">
        <f t="shared" si="2"/>
      </c>
      <c r="G150" s="21">
        <f t="shared" si="3"/>
      </c>
      <c r="H150" s="21">
        <f t="shared" si="4"/>
      </c>
      <c r="I150" s="21">
        <f t="shared" si="5"/>
      </c>
      <c r="J150" s="21">
        <f t="shared" si="6"/>
      </c>
      <c r="K150" s="21">
        <f t="shared" si="7"/>
      </c>
      <c r="L150" s="21">
        <f t="shared" si="8"/>
      </c>
      <c r="M150" s="21">
        <f t="shared" si="9"/>
      </c>
      <c r="N150" s="21">
        <f t="shared" si="10"/>
      </c>
      <c r="O150" s="21">
        <f t="shared" si="11"/>
      </c>
      <c r="P150" s="96">
        <f t="shared" si="27"/>
      </c>
      <c r="R150" s="21">
        <f t="shared" si="12"/>
      </c>
      <c r="S150" s="21">
        <f t="shared" si="13"/>
      </c>
      <c r="T150" s="21">
        <f t="shared" si="14"/>
      </c>
      <c r="U150" s="21">
        <f t="shared" si="15"/>
      </c>
      <c r="V150" s="21">
        <f t="shared" si="16"/>
      </c>
      <c r="W150" s="21">
        <f t="shared" si="17"/>
      </c>
      <c r="X150" s="21">
        <f t="shared" si="18"/>
      </c>
      <c r="Y150" s="21">
        <f t="shared" si="19"/>
      </c>
      <c r="Z150" s="21">
        <f t="shared" si="20"/>
      </c>
      <c r="AA150" s="21">
        <f t="shared" si="21"/>
      </c>
      <c r="AB150" s="21">
        <f t="shared" si="22"/>
      </c>
      <c r="AC150" s="21">
        <f t="shared" si="23"/>
      </c>
      <c r="AD150" s="96">
        <f t="shared" si="24"/>
      </c>
      <c r="AE150" s="2">
        <f t="shared" si="28"/>
        <v>0</v>
      </c>
      <c r="AF150" s="2">
        <f t="shared" si="29"/>
        <v>999912</v>
      </c>
      <c r="AG150" s="2">
        <f t="shared" si="30"/>
        <v>0</v>
      </c>
      <c r="AZ150" s="2">
        <f>IF(145&gt;$BA$300,0,IFERROR(MATCH(145,$BA$1:$BA$300,0),0))</f>
        <v>0</v>
      </c>
      <c r="BA150" s="2">
        <f>BA100+SUM(CA101:CA150)</f>
        <v>42</v>
      </c>
      <c r="CA150" s="2">
        <f>IF(AND(OR(_余额!$B$152="管理人员",_余额!$B$152="工人"),OR(_余额!$J$152&lt;&gt;0,_余额!$K$152&lt;&gt;0,_余额!$E$152&lt;&gt;0,_余额!$L$152&lt;&gt;0,AND(_余额!$B$152="管理人员",COUNTIFS(工资标准!$B$4:$B$303,_余额!$A$152,工资标准!$E$4:$E$303,"&gt;0")&gt;0))),1,0)</f>
        <v>0</v>
      </c>
    </row>
    <row r="151">
      <c r="A151" s="94">
        <f>IF($AZ151=0,"",146)</f>
      </c>
      <c r="B151" s="94">
        <f t="shared" si="0"/>
      </c>
      <c r="C151" s="94">
        <f t="shared" si="25"/>
      </c>
      <c r="D151" s="119">
        <f t="shared" si="26"/>
      </c>
      <c r="E151" s="21">
        <f t="shared" si="1"/>
      </c>
      <c r="F151" s="118">
        <f t="shared" si="2"/>
      </c>
      <c r="G151" s="21">
        <f t="shared" si="3"/>
      </c>
      <c r="H151" s="21">
        <f t="shared" si="4"/>
      </c>
      <c r="I151" s="21">
        <f t="shared" si="5"/>
      </c>
      <c r="J151" s="21">
        <f t="shared" si="6"/>
      </c>
      <c r="K151" s="21">
        <f t="shared" si="7"/>
      </c>
      <c r="L151" s="21">
        <f t="shared" si="8"/>
      </c>
      <c r="M151" s="21">
        <f t="shared" si="9"/>
      </c>
      <c r="N151" s="21">
        <f t="shared" si="10"/>
      </c>
      <c r="O151" s="21">
        <f t="shared" si="11"/>
      </c>
      <c r="P151" s="96">
        <f t="shared" si="27"/>
      </c>
      <c r="R151" s="21">
        <f t="shared" si="12"/>
      </c>
      <c r="S151" s="21">
        <f t="shared" si="13"/>
      </c>
      <c r="T151" s="21">
        <f t="shared" si="14"/>
      </c>
      <c r="U151" s="21">
        <f t="shared" si="15"/>
      </c>
      <c r="V151" s="21">
        <f t="shared" si="16"/>
      </c>
      <c r="W151" s="21">
        <f t="shared" si="17"/>
      </c>
      <c r="X151" s="21">
        <f t="shared" si="18"/>
      </c>
      <c r="Y151" s="21">
        <f t="shared" si="19"/>
      </c>
      <c r="Z151" s="21">
        <f t="shared" si="20"/>
      </c>
      <c r="AA151" s="21">
        <f t="shared" si="21"/>
      </c>
      <c r="AB151" s="21">
        <f t="shared" si="22"/>
      </c>
      <c r="AC151" s="21">
        <f t="shared" si="23"/>
      </c>
      <c r="AD151" s="96">
        <f t="shared" si="24"/>
      </c>
      <c r="AE151" s="2">
        <f t="shared" si="28"/>
        <v>0</v>
      </c>
      <c r="AF151" s="2">
        <f t="shared" si="29"/>
        <v>999912</v>
      </c>
      <c r="AG151" s="2">
        <f t="shared" si="30"/>
        <v>0</v>
      </c>
      <c r="AZ151" s="2">
        <f>IF(146&gt;$BA$300,0,IFERROR(MATCH(146,$BA$1:$BA$300,0),0))</f>
        <v>0</v>
      </c>
      <c r="BA151" s="2">
        <f>BA150+SUM(CA151:CA151)</f>
        <v>42</v>
      </c>
      <c r="CA151" s="2">
        <f>IF(AND(OR(_余额!$B$153="管理人员",_余额!$B$153="工人"),OR(_余额!$J$153&lt;&gt;0,_余额!$K$153&lt;&gt;0,_余额!$E$153&lt;&gt;0,_余额!$L$153&lt;&gt;0,AND(_余额!$B$153="管理人员",COUNTIFS(工资标准!$B$4:$B$303,_余额!$A$153,工资标准!$E$4:$E$303,"&gt;0")&gt;0))),1,0)</f>
        <v>0</v>
      </c>
    </row>
    <row r="152">
      <c r="A152" s="94">
        <f>IF($AZ152=0,"",147)</f>
      </c>
      <c r="B152" s="94">
        <f t="shared" si="0"/>
      </c>
      <c r="C152" s="94">
        <f t="shared" si="25"/>
      </c>
      <c r="D152" s="119">
        <f t="shared" si="26"/>
      </c>
      <c r="E152" s="21">
        <f t="shared" si="1"/>
      </c>
      <c r="F152" s="118">
        <f t="shared" si="2"/>
      </c>
      <c r="G152" s="21">
        <f t="shared" si="3"/>
      </c>
      <c r="H152" s="21">
        <f t="shared" si="4"/>
      </c>
      <c r="I152" s="21">
        <f t="shared" si="5"/>
      </c>
      <c r="J152" s="21">
        <f t="shared" si="6"/>
      </c>
      <c r="K152" s="21">
        <f t="shared" si="7"/>
      </c>
      <c r="L152" s="21">
        <f t="shared" si="8"/>
      </c>
      <c r="M152" s="21">
        <f t="shared" si="9"/>
      </c>
      <c r="N152" s="21">
        <f t="shared" si="10"/>
      </c>
      <c r="O152" s="21">
        <f t="shared" si="11"/>
      </c>
      <c r="P152" s="96">
        <f t="shared" si="27"/>
      </c>
      <c r="R152" s="21">
        <f t="shared" si="12"/>
      </c>
      <c r="S152" s="21">
        <f t="shared" si="13"/>
      </c>
      <c r="T152" s="21">
        <f t="shared" si="14"/>
      </c>
      <c r="U152" s="21">
        <f t="shared" si="15"/>
      </c>
      <c r="V152" s="21">
        <f t="shared" si="16"/>
      </c>
      <c r="W152" s="21">
        <f t="shared" si="17"/>
      </c>
      <c r="X152" s="21">
        <f t="shared" si="18"/>
      </c>
      <c r="Y152" s="21">
        <f t="shared" si="19"/>
      </c>
      <c r="Z152" s="21">
        <f t="shared" si="20"/>
      </c>
      <c r="AA152" s="21">
        <f t="shared" si="21"/>
      </c>
      <c r="AB152" s="21">
        <f t="shared" si="22"/>
      </c>
      <c r="AC152" s="21">
        <f t="shared" si="23"/>
      </c>
      <c r="AD152" s="96">
        <f t="shared" si="24"/>
      </c>
      <c r="AE152" s="2">
        <f t="shared" si="28"/>
        <v>0</v>
      </c>
      <c r="AF152" s="2">
        <f t="shared" si="29"/>
        <v>999912</v>
      </c>
      <c r="AG152" s="2">
        <f t="shared" si="30"/>
        <v>0</v>
      </c>
      <c r="AZ152" s="2">
        <f>IF(147&gt;$BA$300,0,IFERROR(MATCH(147,$BA$1:$BA$300,0),0))</f>
        <v>0</v>
      </c>
      <c r="BA152" s="2">
        <f>BA150+SUM(CA151:CA152)</f>
        <v>42</v>
      </c>
      <c r="CA152" s="2">
        <f>IF(AND(OR(_余额!$B$154="管理人员",_余额!$B$154="工人"),OR(_余额!$J$154&lt;&gt;0,_余额!$K$154&lt;&gt;0,_余额!$E$154&lt;&gt;0,_余额!$L$154&lt;&gt;0,AND(_余额!$B$154="管理人员",COUNTIFS(工资标准!$B$4:$B$303,_余额!$A$154,工资标准!$E$4:$E$303,"&gt;0")&gt;0))),1,0)</f>
        <v>0</v>
      </c>
    </row>
    <row r="153">
      <c r="A153" s="94">
        <f>IF($AZ153=0,"",148)</f>
      </c>
      <c r="B153" s="94">
        <f t="shared" si="0"/>
      </c>
      <c r="C153" s="94">
        <f t="shared" si="25"/>
      </c>
      <c r="D153" s="119">
        <f t="shared" si="26"/>
      </c>
      <c r="E153" s="21">
        <f t="shared" si="1"/>
      </c>
      <c r="F153" s="118">
        <f t="shared" si="2"/>
      </c>
      <c r="G153" s="21">
        <f t="shared" si="3"/>
      </c>
      <c r="H153" s="21">
        <f t="shared" si="4"/>
      </c>
      <c r="I153" s="21">
        <f t="shared" si="5"/>
      </c>
      <c r="J153" s="21">
        <f t="shared" si="6"/>
      </c>
      <c r="K153" s="21">
        <f t="shared" si="7"/>
      </c>
      <c r="L153" s="21">
        <f t="shared" si="8"/>
      </c>
      <c r="M153" s="21">
        <f t="shared" si="9"/>
      </c>
      <c r="N153" s="21">
        <f t="shared" si="10"/>
      </c>
      <c r="O153" s="21">
        <f t="shared" si="11"/>
      </c>
      <c r="P153" s="96">
        <f t="shared" si="27"/>
      </c>
      <c r="R153" s="21">
        <f t="shared" si="12"/>
      </c>
      <c r="S153" s="21">
        <f t="shared" si="13"/>
      </c>
      <c r="T153" s="21">
        <f t="shared" si="14"/>
      </c>
      <c r="U153" s="21">
        <f t="shared" si="15"/>
      </c>
      <c r="V153" s="21">
        <f t="shared" si="16"/>
      </c>
      <c r="W153" s="21">
        <f t="shared" si="17"/>
      </c>
      <c r="X153" s="21">
        <f t="shared" si="18"/>
      </c>
      <c r="Y153" s="21">
        <f t="shared" si="19"/>
      </c>
      <c r="Z153" s="21">
        <f t="shared" si="20"/>
      </c>
      <c r="AA153" s="21">
        <f t="shared" si="21"/>
      </c>
      <c r="AB153" s="21">
        <f t="shared" si="22"/>
      </c>
      <c r="AC153" s="21">
        <f t="shared" si="23"/>
      </c>
      <c r="AD153" s="96">
        <f t="shared" si="24"/>
      </c>
      <c r="AE153" s="2">
        <f t="shared" si="28"/>
        <v>0</v>
      </c>
      <c r="AF153" s="2">
        <f t="shared" si="29"/>
        <v>999912</v>
      </c>
      <c r="AG153" s="2">
        <f t="shared" si="30"/>
        <v>0</v>
      </c>
      <c r="AZ153" s="2">
        <f>IF(148&gt;$BA$300,0,IFERROR(MATCH(148,$BA$1:$BA$300,0),0))</f>
        <v>0</v>
      </c>
      <c r="BA153" s="2">
        <f>BA150+SUM(CA151:CA153)</f>
        <v>42</v>
      </c>
      <c r="CA153" s="2">
        <f>IF(AND(OR(_余额!$B$155="管理人员",_余额!$B$155="工人"),OR(_余额!$J$155&lt;&gt;0,_余额!$K$155&lt;&gt;0,_余额!$E$155&lt;&gt;0,_余额!$L$155&lt;&gt;0,AND(_余额!$B$155="管理人员",COUNTIFS(工资标准!$B$4:$B$303,_余额!$A$155,工资标准!$E$4:$E$303,"&gt;0")&gt;0))),1,0)</f>
        <v>0</v>
      </c>
    </row>
    <row r="154">
      <c r="A154" s="94">
        <f>IF($AZ154=0,"",149)</f>
      </c>
      <c r="B154" s="94">
        <f t="shared" si="0"/>
      </c>
      <c r="C154" s="94">
        <f t="shared" si="25"/>
      </c>
      <c r="D154" s="119">
        <f t="shared" si="26"/>
      </c>
      <c r="E154" s="21">
        <f t="shared" si="1"/>
      </c>
      <c r="F154" s="118">
        <f t="shared" si="2"/>
      </c>
      <c r="G154" s="21">
        <f t="shared" si="3"/>
      </c>
      <c r="H154" s="21">
        <f t="shared" si="4"/>
      </c>
      <c r="I154" s="21">
        <f t="shared" si="5"/>
      </c>
      <c r="J154" s="21">
        <f t="shared" si="6"/>
      </c>
      <c r="K154" s="21">
        <f t="shared" si="7"/>
      </c>
      <c r="L154" s="21">
        <f t="shared" si="8"/>
      </c>
      <c r="M154" s="21">
        <f t="shared" si="9"/>
      </c>
      <c r="N154" s="21">
        <f t="shared" si="10"/>
      </c>
      <c r="O154" s="21">
        <f t="shared" si="11"/>
      </c>
      <c r="P154" s="96">
        <f t="shared" si="27"/>
      </c>
      <c r="R154" s="21">
        <f t="shared" si="12"/>
      </c>
      <c r="S154" s="21">
        <f t="shared" si="13"/>
      </c>
      <c r="T154" s="21">
        <f t="shared" si="14"/>
      </c>
      <c r="U154" s="21">
        <f t="shared" si="15"/>
      </c>
      <c r="V154" s="21">
        <f t="shared" si="16"/>
      </c>
      <c r="W154" s="21">
        <f t="shared" si="17"/>
      </c>
      <c r="X154" s="21">
        <f t="shared" si="18"/>
      </c>
      <c r="Y154" s="21">
        <f t="shared" si="19"/>
      </c>
      <c r="Z154" s="21">
        <f t="shared" si="20"/>
      </c>
      <c r="AA154" s="21">
        <f t="shared" si="21"/>
      </c>
      <c r="AB154" s="21">
        <f t="shared" si="22"/>
      </c>
      <c r="AC154" s="21">
        <f t="shared" si="23"/>
      </c>
      <c r="AD154" s="96">
        <f t="shared" si="24"/>
      </c>
      <c r="AE154" s="2">
        <f t="shared" si="28"/>
        <v>0</v>
      </c>
      <c r="AF154" s="2">
        <f t="shared" si="29"/>
        <v>999912</v>
      </c>
      <c r="AG154" s="2">
        <f t="shared" si="30"/>
        <v>0</v>
      </c>
      <c r="AZ154" s="2">
        <f>IF(149&gt;$BA$300,0,IFERROR(MATCH(149,$BA$1:$BA$300,0),0))</f>
        <v>0</v>
      </c>
      <c r="BA154" s="2">
        <f>BA150+SUM(CA151:CA154)</f>
        <v>42</v>
      </c>
      <c r="CA154" s="2">
        <f>IF(AND(OR(_余额!$B$156="管理人员",_余额!$B$156="工人"),OR(_余额!$J$156&lt;&gt;0,_余额!$K$156&lt;&gt;0,_余额!$E$156&lt;&gt;0,_余额!$L$156&lt;&gt;0,AND(_余额!$B$156="管理人员",COUNTIFS(工资标准!$B$4:$B$303,_余额!$A$156,工资标准!$E$4:$E$303,"&gt;0")&gt;0))),1,0)</f>
        <v>0</v>
      </c>
    </row>
    <row r="155">
      <c r="A155" s="94">
        <f>IF($AZ155=0,"",150)</f>
      </c>
      <c r="B155" s="94">
        <f t="shared" si="0"/>
      </c>
      <c r="C155" s="94">
        <f t="shared" si="25"/>
      </c>
      <c r="D155" s="119">
        <f t="shared" si="26"/>
      </c>
      <c r="E155" s="21">
        <f t="shared" si="1"/>
      </c>
      <c r="F155" s="118">
        <f t="shared" si="2"/>
      </c>
      <c r="G155" s="21">
        <f t="shared" si="3"/>
      </c>
      <c r="H155" s="21">
        <f t="shared" si="4"/>
      </c>
      <c r="I155" s="21">
        <f t="shared" si="5"/>
      </c>
      <c r="J155" s="21">
        <f t="shared" si="6"/>
      </c>
      <c r="K155" s="21">
        <f t="shared" si="7"/>
      </c>
      <c r="L155" s="21">
        <f t="shared" si="8"/>
      </c>
      <c r="M155" s="21">
        <f t="shared" si="9"/>
      </c>
      <c r="N155" s="21">
        <f t="shared" si="10"/>
      </c>
      <c r="O155" s="21">
        <f t="shared" si="11"/>
      </c>
      <c r="P155" s="96">
        <f t="shared" si="27"/>
      </c>
      <c r="R155" s="21">
        <f t="shared" si="12"/>
      </c>
      <c r="S155" s="21">
        <f t="shared" si="13"/>
      </c>
      <c r="T155" s="21">
        <f t="shared" si="14"/>
      </c>
      <c r="U155" s="21">
        <f t="shared" si="15"/>
      </c>
      <c r="V155" s="21">
        <f t="shared" si="16"/>
      </c>
      <c r="W155" s="21">
        <f t="shared" si="17"/>
      </c>
      <c r="X155" s="21">
        <f t="shared" si="18"/>
      </c>
      <c r="Y155" s="21">
        <f t="shared" si="19"/>
      </c>
      <c r="Z155" s="21">
        <f t="shared" si="20"/>
      </c>
      <c r="AA155" s="21">
        <f t="shared" si="21"/>
      </c>
      <c r="AB155" s="21">
        <f t="shared" si="22"/>
      </c>
      <c r="AC155" s="21">
        <f t="shared" si="23"/>
      </c>
      <c r="AD155" s="96">
        <f t="shared" si="24"/>
      </c>
      <c r="AE155" s="2">
        <f t="shared" si="28"/>
        <v>0</v>
      </c>
      <c r="AF155" s="2">
        <f t="shared" si="29"/>
        <v>999912</v>
      </c>
      <c r="AG155" s="2">
        <f t="shared" si="30"/>
        <v>0</v>
      </c>
      <c r="AZ155" s="2">
        <f>IF(150&gt;$BA$300,0,IFERROR(MATCH(150,$BA$1:$BA$300,0),0))</f>
        <v>0</v>
      </c>
      <c r="BA155" s="2">
        <f>BA150+SUM(CA151:CA155)</f>
        <v>42</v>
      </c>
      <c r="CA155" s="2">
        <f>IF(AND(OR(_余额!$B$157="管理人员",_余额!$B$157="工人"),OR(_余额!$J$157&lt;&gt;0,_余额!$K$157&lt;&gt;0,_余额!$E$157&lt;&gt;0,_余额!$L$157&lt;&gt;0,AND(_余额!$B$157="管理人员",COUNTIFS(工资标准!$B$4:$B$303,_余额!$A$157,工资标准!$E$4:$E$303,"&gt;0")&gt;0))),1,0)</f>
        <v>0</v>
      </c>
    </row>
    <row r="156">
      <c r="A156" s="94">
        <f>IF($AZ156=0,"",151)</f>
      </c>
      <c r="B156" s="94">
        <f t="shared" si="0"/>
      </c>
      <c r="C156" s="94">
        <f t="shared" si="25"/>
      </c>
      <c r="D156" s="119">
        <f t="shared" si="26"/>
      </c>
      <c r="E156" s="21">
        <f t="shared" si="1"/>
      </c>
      <c r="F156" s="118">
        <f t="shared" si="2"/>
      </c>
      <c r="G156" s="21">
        <f t="shared" si="3"/>
      </c>
      <c r="H156" s="21">
        <f t="shared" si="4"/>
      </c>
      <c r="I156" s="21">
        <f t="shared" si="5"/>
      </c>
      <c r="J156" s="21">
        <f t="shared" si="6"/>
      </c>
      <c r="K156" s="21">
        <f t="shared" si="7"/>
      </c>
      <c r="L156" s="21">
        <f t="shared" si="8"/>
      </c>
      <c r="M156" s="21">
        <f t="shared" si="9"/>
      </c>
      <c r="N156" s="21">
        <f t="shared" si="10"/>
      </c>
      <c r="O156" s="21">
        <f t="shared" si="11"/>
      </c>
      <c r="P156" s="96">
        <f t="shared" si="27"/>
      </c>
      <c r="R156" s="21">
        <f t="shared" si="12"/>
      </c>
      <c r="S156" s="21">
        <f t="shared" si="13"/>
      </c>
      <c r="T156" s="21">
        <f t="shared" si="14"/>
      </c>
      <c r="U156" s="21">
        <f t="shared" si="15"/>
      </c>
      <c r="V156" s="21">
        <f t="shared" si="16"/>
      </c>
      <c r="W156" s="21">
        <f t="shared" si="17"/>
      </c>
      <c r="X156" s="21">
        <f t="shared" si="18"/>
      </c>
      <c r="Y156" s="21">
        <f t="shared" si="19"/>
      </c>
      <c r="Z156" s="21">
        <f t="shared" si="20"/>
      </c>
      <c r="AA156" s="21">
        <f t="shared" si="21"/>
      </c>
      <c r="AB156" s="21">
        <f t="shared" si="22"/>
      </c>
      <c r="AC156" s="21">
        <f t="shared" si="23"/>
      </c>
      <c r="AD156" s="96">
        <f t="shared" si="24"/>
      </c>
      <c r="AE156" s="2">
        <f t="shared" si="28"/>
        <v>0</v>
      </c>
      <c r="AF156" s="2">
        <f t="shared" si="29"/>
        <v>999912</v>
      </c>
      <c r="AG156" s="2">
        <f t="shared" si="30"/>
        <v>0</v>
      </c>
      <c r="AZ156" s="2">
        <f>IF(151&gt;$BA$300,0,IFERROR(MATCH(151,$BA$1:$BA$300,0),0))</f>
        <v>0</v>
      </c>
      <c r="BA156" s="2">
        <f>BA150+SUM(CA151:CA156)</f>
        <v>42</v>
      </c>
      <c r="CA156" s="2">
        <f>IF(AND(OR(_余额!$B$158="管理人员",_余额!$B$158="工人"),OR(_余额!$J$158&lt;&gt;0,_余额!$K$158&lt;&gt;0,_余额!$E$158&lt;&gt;0,_余额!$L$158&lt;&gt;0,AND(_余额!$B$158="管理人员",COUNTIFS(工资标准!$B$4:$B$303,_余额!$A$158,工资标准!$E$4:$E$303,"&gt;0")&gt;0))),1,0)</f>
        <v>0</v>
      </c>
    </row>
    <row r="157">
      <c r="A157" s="94">
        <f>IF($AZ157=0,"",152)</f>
      </c>
      <c r="B157" s="94">
        <f t="shared" si="0"/>
      </c>
      <c r="C157" s="94">
        <f t="shared" si="25"/>
      </c>
      <c r="D157" s="119">
        <f t="shared" si="26"/>
      </c>
      <c r="E157" s="21">
        <f t="shared" si="1"/>
      </c>
      <c r="F157" s="118">
        <f t="shared" si="2"/>
      </c>
      <c r="G157" s="21">
        <f t="shared" si="3"/>
      </c>
      <c r="H157" s="21">
        <f t="shared" si="4"/>
      </c>
      <c r="I157" s="21">
        <f t="shared" si="5"/>
      </c>
      <c r="J157" s="21">
        <f t="shared" si="6"/>
      </c>
      <c r="K157" s="21">
        <f t="shared" si="7"/>
      </c>
      <c r="L157" s="21">
        <f t="shared" si="8"/>
      </c>
      <c r="M157" s="21">
        <f t="shared" si="9"/>
      </c>
      <c r="N157" s="21">
        <f t="shared" si="10"/>
      </c>
      <c r="O157" s="21">
        <f t="shared" si="11"/>
      </c>
      <c r="P157" s="96">
        <f t="shared" si="27"/>
      </c>
      <c r="R157" s="21">
        <f t="shared" si="12"/>
      </c>
      <c r="S157" s="21">
        <f t="shared" si="13"/>
      </c>
      <c r="T157" s="21">
        <f t="shared" si="14"/>
      </c>
      <c r="U157" s="21">
        <f t="shared" si="15"/>
      </c>
      <c r="V157" s="21">
        <f t="shared" si="16"/>
      </c>
      <c r="W157" s="21">
        <f t="shared" si="17"/>
      </c>
      <c r="X157" s="21">
        <f t="shared" si="18"/>
      </c>
      <c r="Y157" s="21">
        <f t="shared" si="19"/>
      </c>
      <c r="Z157" s="21">
        <f t="shared" si="20"/>
      </c>
      <c r="AA157" s="21">
        <f t="shared" si="21"/>
      </c>
      <c r="AB157" s="21">
        <f t="shared" si="22"/>
      </c>
      <c r="AC157" s="21">
        <f t="shared" si="23"/>
      </c>
      <c r="AD157" s="96">
        <f t="shared" si="24"/>
      </c>
      <c r="AE157" s="2">
        <f t="shared" si="28"/>
        <v>0</v>
      </c>
      <c r="AF157" s="2">
        <f t="shared" si="29"/>
        <v>999912</v>
      </c>
      <c r="AG157" s="2">
        <f t="shared" si="30"/>
        <v>0</v>
      </c>
      <c r="AZ157" s="2">
        <f>IF(152&gt;$BA$300,0,IFERROR(MATCH(152,$BA$1:$BA$300,0),0))</f>
        <v>0</v>
      </c>
      <c r="BA157" s="2">
        <f>BA150+SUM(CA151:CA157)</f>
        <v>42</v>
      </c>
      <c r="CA157" s="2">
        <f>IF(AND(OR(_余额!$B$159="管理人员",_余额!$B$159="工人"),OR(_余额!$J$159&lt;&gt;0,_余额!$K$159&lt;&gt;0,_余额!$E$159&lt;&gt;0,_余额!$L$159&lt;&gt;0,AND(_余额!$B$159="管理人员",COUNTIFS(工资标准!$B$4:$B$303,_余额!$A$159,工资标准!$E$4:$E$303,"&gt;0")&gt;0))),1,0)</f>
        <v>0</v>
      </c>
    </row>
    <row r="158">
      <c r="A158" s="94">
        <f>IF($AZ158=0,"",153)</f>
      </c>
      <c r="B158" s="94">
        <f t="shared" si="0"/>
      </c>
      <c r="C158" s="94">
        <f t="shared" si="25"/>
      </c>
      <c r="D158" s="119">
        <f t="shared" si="26"/>
      </c>
      <c r="E158" s="21">
        <f t="shared" si="1"/>
      </c>
      <c r="F158" s="118">
        <f t="shared" si="2"/>
      </c>
      <c r="G158" s="21">
        <f t="shared" si="3"/>
      </c>
      <c r="H158" s="21">
        <f t="shared" si="4"/>
      </c>
      <c r="I158" s="21">
        <f t="shared" si="5"/>
      </c>
      <c r="J158" s="21">
        <f t="shared" si="6"/>
      </c>
      <c r="K158" s="21">
        <f t="shared" si="7"/>
      </c>
      <c r="L158" s="21">
        <f t="shared" si="8"/>
      </c>
      <c r="M158" s="21">
        <f t="shared" si="9"/>
      </c>
      <c r="N158" s="21">
        <f t="shared" si="10"/>
      </c>
      <c r="O158" s="21">
        <f t="shared" si="11"/>
      </c>
      <c r="P158" s="96">
        <f t="shared" si="27"/>
      </c>
      <c r="R158" s="21">
        <f t="shared" si="12"/>
      </c>
      <c r="S158" s="21">
        <f t="shared" si="13"/>
      </c>
      <c r="T158" s="21">
        <f t="shared" si="14"/>
      </c>
      <c r="U158" s="21">
        <f t="shared" si="15"/>
      </c>
      <c r="V158" s="21">
        <f t="shared" si="16"/>
      </c>
      <c r="W158" s="21">
        <f t="shared" si="17"/>
      </c>
      <c r="X158" s="21">
        <f t="shared" si="18"/>
      </c>
      <c r="Y158" s="21">
        <f t="shared" si="19"/>
      </c>
      <c r="Z158" s="21">
        <f t="shared" si="20"/>
      </c>
      <c r="AA158" s="21">
        <f t="shared" si="21"/>
      </c>
      <c r="AB158" s="21">
        <f t="shared" si="22"/>
      </c>
      <c r="AC158" s="21">
        <f t="shared" si="23"/>
      </c>
      <c r="AD158" s="96">
        <f t="shared" si="24"/>
      </c>
      <c r="AE158" s="2">
        <f t="shared" si="28"/>
        <v>0</v>
      </c>
      <c r="AF158" s="2">
        <f t="shared" si="29"/>
        <v>999912</v>
      </c>
      <c r="AG158" s="2">
        <f t="shared" si="30"/>
        <v>0</v>
      </c>
      <c r="AZ158" s="2">
        <f>IF(153&gt;$BA$300,0,IFERROR(MATCH(153,$BA$1:$BA$300,0),0))</f>
        <v>0</v>
      </c>
      <c r="BA158" s="2">
        <f>BA150+SUM(CA151:CA158)</f>
        <v>42</v>
      </c>
      <c r="CA158" s="2">
        <f>IF(AND(OR(_余额!$B$160="管理人员",_余额!$B$160="工人"),OR(_余额!$J$160&lt;&gt;0,_余额!$K$160&lt;&gt;0,_余额!$E$160&lt;&gt;0,_余额!$L$160&lt;&gt;0,AND(_余额!$B$160="管理人员",COUNTIFS(工资标准!$B$4:$B$303,_余额!$A$160,工资标准!$E$4:$E$303,"&gt;0")&gt;0))),1,0)</f>
        <v>0</v>
      </c>
    </row>
    <row r="159">
      <c r="A159" s="94">
        <f>IF($AZ159=0,"",154)</f>
      </c>
      <c r="B159" s="94">
        <f t="shared" si="0"/>
      </c>
      <c r="C159" s="94">
        <f t="shared" si="25"/>
      </c>
      <c r="D159" s="119">
        <f t="shared" si="26"/>
      </c>
      <c r="E159" s="21">
        <f t="shared" si="1"/>
      </c>
      <c r="F159" s="118">
        <f t="shared" si="2"/>
      </c>
      <c r="G159" s="21">
        <f t="shared" si="3"/>
      </c>
      <c r="H159" s="21">
        <f t="shared" si="4"/>
      </c>
      <c r="I159" s="21">
        <f t="shared" si="5"/>
      </c>
      <c r="J159" s="21">
        <f t="shared" si="6"/>
      </c>
      <c r="K159" s="21">
        <f t="shared" si="7"/>
      </c>
      <c r="L159" s="21">
        <f t="shared" si="8"/>
      </c>
      <c r="M159" s="21">
        <f t="shared" si="9"/>
      </c>
      <c r="N159" s="21">
        <f t="shared" si="10"/>
      </c>
      <c r="O159" s="21">
        <f t="shared" si="11"/>
      </c>
      <c r="P159" s="96">
        <f t="shared" si="27"/>
      </c>
      <c r="R159" s="21">
        <f t="shared" si="12"/>
      </c>
      <c r="S159" s="21">
        <f t="shared" si="13"/>
      </c>
      <c r="T159" s="21">
        <f t="shared" si="14"/>
      </c>
      <c r="U159" s="21">
        <f t="shared" si="15"/>
      </c>
      <c r="V159" s="21">
        <f t="shared" si="16"/>
      </c>
      <c r="W159" s="21">
        <f t="shared" si="17"/>
      </c>
      <c r="X159" s="21">
        <f t="shared" si="18"/>
      </c>
      <c r="Y159" s="21">
        <f t="shared" si="19"/>
      </c>
      <c r="Z159" s="21">
        <f t="shared" si="20"/>
      </c>
      <c r="AA159" s="21">
        <f t="shared" si="21"/>
      </c>
      <c r="AB159" s="21">
        <f t="shared" si="22"/>
      </c>
      <c r="AC159" s="21">
        <f t="shared" si="23"/>
      </c>
      <c r="AD159" s="96">
        <f t="shared" si="24"/>
      </c>
      <c r="AE159" s="2">
        <f t="shared" si="28"/>
        <v>0</v>
      </c>
      <c r="AF159" s="2">
        <f t="shared" si="29"/>
        <v>999912</v>
      </c>
      <c r="AG159" s="2">
        <f t="shared" si="30"/>
        <v>0</v>
      </c>
      <c r="AZ159" s="2">
        <f>IF(154&gt;$BA$300,0,IFERROR(MATCH(154,$BA$1:$BA$300,0),0))</f>
        <v>0</v>
      </c>
      <c r="BA159" s="2">
        <f>BA150+SUM(CA151:CA159)</f>
        <v>42</v>
      </c>
      <c r="CA159" s="2">
        <f>IF(AND(OR(_余额!$B$161="管理人员",_余额!$B$161="工人"),OR(_余额!$J$161&lt;&gt;0,_余额!$K$161&lt;&gt;0,_余额!$E$161&lt;&gt;0,_余额!$L$161&lt;&gt;0,AND(_余额!$B$161="管理人员",COUNTIFS(工资标准!$B$4:$B$303,_余额!$A$161,工资标准!$E$4:$E$303,"&gt;0")&gt;0))),1,0)</f>
        <v>0</v>
      </c>
    </row>
    <row r="160">
      <c r="A160" s="94">
        <f>IF($AZ160=0,"",155)</f>
      </c>
      <c r="B160" s="94">
        <f t="shared" si="0"/>
      </c>
      <c r="C160" s="94">
        <f t="shared" si="25"/>
      </c>
      <c r="D160" s="119">
        <f t="shared" si="26"/>
      </c>
      <c r="E160" s="21">
        <f t="shared" si="1"/>
      </c>
      <c r="F160" s="118">
        <f t="shared" si="2"/>
      </c>
      <c r="G160" s="21">
        <f t="shared" si="3"/>
      </c>
      <c r="H160" s="21">
        <f t="shared" si="4"/>
      </c>
      <c r="I160" s="21">
        <f t="shared" si="5"/>
      </c>
      <c r="J160" s="21">
        <f t="shared" si="6"/>
      </c>
      <c r="K160" s="21">
        <f t="shared" si="7"/>
      </c>
      <c r="L160" s="21">
        <f t="shared" si="8"/>
      </c>
      <c r="M160" s="21">
        <f t="shared" si="9"/>
      </c>
      <c r="N160" s="21">
        <f t="shared" si="10"/>
      </c>
      <c r="O160" s="21">
        <f t="shared" si="11"/>
      </c>
      <c r="P160" s="96">
        <f t="shared" si="27"/>
      </c>
      <c r="R160" s="21">
        <f t="shared" si="12"/>
      </c>
      <c r="S160" s="21">
        <f t="shared" si="13"/>
      </c>
      <c r="T160" s="21">
        <f t="shared" si="14"/>
      </c>
      <c r="U160" s="21">
        <f t="shared" si="15"/>
      </c>
      <c r="V160" s="21">
        <f t="shared" si="16"/>
      </c>
      <c r="W160" s="21">
        <f t="shared" si="17"/>
      </c>
      <c r="X160" s="21">
        <f t="shared" si="18"/>
      </c>
      <c r="Y160" s="21">
        <f t="shared" si="19"/>
      </c>
      <c r="Z160" s="21">
        <f t="shared" si="20"/>
      </c>
      <c r="AA160" s="21">
        <f t="shared" si="21"/>
      </c>
      <c r="AB160" s="21">
        <f t="shared" si="22"/>
      </c>
      <c r="AC160" s="21">
        <f t="shared" si="23"/>
      </c>
      <c r="AD160" s="96">
        <f t="shared" si="24"/>
      </c>
      <c r="AE160" s="2">
        <f t="shared" si="28"/>
        <v>0</v>
      </c>
      <c r="AF160" s="2">
        <f t="shared" si="29"/>
        <v>999912</v>
      </c>
      <c r="AG160" s="2">
        <f t="shared" si="30"/>
        <v>0</v>
      </c>
      <c r="AZ160" s="2">
        <f>IF(155&gt;$BA$300,0,IFERROR(MATCH(155,$BA$1:$BA$300,0),0))</f>
        <v>0</v>
      </c>
      <c r="BA160" s="2">
        <f>BA150+SUM(CA151:CA160)</f>
        <v>42</v>
      </c>
      <c r="CA160" s="2">
        <f>IF(AND(OR(_余额!$B$162="管理人员",_余额!$B$162="工人"),OR(_余额!$J$162&lt;&gt;0,_余额!$K$162&lt;&gt;0,_余额!$E$162&lt;&gt;0,_余额!$L$162&lt;&gt;0,AND(_余额!$B$162="管理人员",COUNTIFS(工资标准!$B$4:$B$303,_余额!$A$162,工资标准!$E$4:$E$303,"&gt;0")&gt;0))),1,0)</f>
        <v>0</v>
      </c>
    </row>
    <row r="161">
      <c r="A161" s="94">
        <f>IF($AZ161=0,"",156)</f>
      </c>
      <c r="B161" s="94">
        <f t="shared" si="0"/>
      </c>
      <c r="C161" s="94">
        <f t="shared" si="25"/>
      </c>
      <c r="D161" s="119">
        <f t="shared" si="26"/>
      </c>
      <c r="E161" s="21">
        <f t="shared" si="1"/>
      </c>
      <c r="F161" s="118">
        <f t="shared" si="2"/>
      </c>
      <c r="G161" s="21">
        <f t="shared" si="3"/>
      </c>
      <c r="H161" s="21">
        <f t="shared" si="4"/>
      </c>
      <c r="I161" s="21">
        <f t="shared" si="5"/>
      </c>
      <c r="J161" s="21">
        <f t="shared" si="6"/>
      </c>
      <c r="K161" s="21">
        <f t="shared" si="7"/>
      </c>
      <c r="L161" s="21">
        <f t="shared" si="8"/>
      </c>
      <c r="M161" s="21">
        <f t="shared" si="9"/>
      </c>
      <c r="N161" s="21">
        <f t="shared" si="10"/>
      </c>
      <c r="O161" s="21">
        <f t="shared" si="11"/>
      </c>
      <c r="P161" s="96">
        <f t="shared" si="27"/>
      </c>
      <c r="R161" s="21">
        <f t="shared" si="12"/>
      </c>
      <c r="S161" s="21">
        <f t="shared" si="13"/>
      </c>
      <c r="T161" s="21">
        <f t="shared" si="14"/>
      </c>
      <c r="U161" s="21">
        <f t="shared" si="15"/>
      </c>
      <c r="V161" s="21">
        <f t="shared" si="16"/>
      </c>
      <c r="W161" s="21">
        <f t="shared" si="17"/>
      </c>
      <c r="X161" s="21">
        <f t="shared" si="18"/>
      </c>
      <c r="Y161" s="21">
        <f t="shared" si="19"/>
      </c>
      <c r="Z161" s="21">
        <f t="shared" si="20"/>
      </c>
      <c r="AA161" s="21">
        <f t="shared" si="21"/>
      </c>
      <c r="AB161" s="21">
        <f t="shared" si="22"/>
      </c>
      <c r="AC161" s="21">
        <f t="shared" si="23"/>
      </c>
      <c r="AD161" s="96">
        <f t="shared" si="24"/>
      </c>
      <c r="AE161" s="2">
        <f t="shared" si="28"/>
        <v>0</v>
      </c>
      <c r="AF161" s="2">
        <f t="shared" si="29"/>
        <v>999912</v>
      </c>
      <c r="AG161" s="2">
        <f t="shared" si="30"/>
        <v>0</v>
      </c>
      <c r="AZ161" s="2">
        <f>IF(156&gt;$BA$300,0,IFERROR(MATCH(156,$BA$1:$BA$300,0),0))</f>
        <v>0</v>
      </c>
      <c r="BA161" s="2">
        <f>BA150+SUM(CA151:CA161)</f>
        <v>42</v>
      </c>
      <c r="CA161" s="2">
        <f>IF(AND(OR(_余额!$B$163="管理人员",_余额!$B$163="工人"),OR(_余额!$J$163&lt;&gt;0,_余额!$K$163&lt;&gt;0,_余额!$E$163&lt;&gt;0,_余额!$L$163&lt;&gt;0,AND(_余额!$B$163="管理人员",COUNTIFS(工资标准!$B$4:$B$303,_余额!$A$163,工资标准!$E$4:$E$303,"&gt;0")&gt;0))),1,0)</f>
        <v>0</v>
      </c>
    </row>
    <row r="162">
      <c r="A162" s="94">
        <f>IF($AZ162=0,"",157)</f>
      </c>
      <c r="B162" s="94">
        <f t="shared" si="0"/>
      </c>
      <c r="C162" s="94">
        <f t="shared" si="25"/>
      </c>
      <c r="D162" s="119">
        <f t="shared" si="26"/>
      </c>
      <c r="E162" s="21">
        <f t="shared" si="1"/>
      </c>
      <c r="F162" s="118">
        <f t="shared" si="2"/>
      </c>
      <c r="G162" s="21">
        <f t="shared" si="3"/>
      </c>
      <c r="H162" s="21">
        <f t="shared" si="4"/>
      </c>
      <c r="I162" s="21">
        <f t="shared" si="5"/>
      </c>
      <c r="J162" s="21">
        <f t="shared" si="6"/>
      </c>
      <c r="K162" s="21">
        <f t="shared" si="7"/>
      </c>
      <c r="L162" s="21">
        <f t="shared" si="8"/>
      </c>
      <c r="M162" s="21">
        <f t="shared" si="9"/>
      </c>
      <c r="N162" s="21">
        <f t="shared" si="10"/>
      </c>
      <c r="O162" s="21">
        <f t="shared" si="11"/>
      </c>
      <c r="P162" s="96">
        <f t="shared" si="27"/>
      </c>
      <c r="R162" s="21">
        <f t="shared" si="12"/>
      </c>
      <c r="S162" s="21">
        <f t="shared" si="13"/>
      </c>
      <c r="T162" s="21">
        <f t="shared" si="14"/>
      </c>
      <c r="U162" s="21">
        <f t="shared" si="15"/>
      </c>
      <c r="V162" s="21">
        <f t="shared" si="16"/>
      </c>
      <c r="W162" s="21">
        <f t="shared" si="17"/>
      </c>
      <c r="X162" s="21">
        <f t="shared" si="18"/>
      </c>
      <c r="Y162" s="21">
        <f t="shared" si="19"/>
      </c>
      <c r="Z162" s="21">
        <f t="shared" si="20"/>
      </c>
      <c r="AA162" s="21">
        <f t="shared" si="21"/>
      </c>
      <c r="AB162" s="21">
        <f t="shared" si="22"/>
      </c>
      <c r="AC162" s="21">
        <f t="shared" si="23"/>
      </c>
      <c r="AD162" s="96">
        <f t="shared" si="24"/>
      </c>
      <c r="AE162" s="2">
        <f t="shared" si="28"/>
        <v>0</v>
      </c>
      <c r="AF162" s="2">
        <f t="shared" si="29"/>
        <v>999912</v>
      </c>
      <c r="AG162" s="2">
        <f t="shared" si="30"/>
        <v>0</v>
      </c>
      <c r="AZ162" s="2">
        <f>IF(157&gt;$BA$300,0,IFERROR(MATCH(157,$BA$1:$BA$300,0),0))</f>
        <v>0</v>
      </c>
      <c r="BA162" s="2">
        <f>BA150+SUM(CA151:CA162)</f>
        <v>42</v>
      </c>
      <c r="CA162" s="2">
        <f>IF(AND(OR(_余额!$B$164="管理人员",_余额!$B$164="工人"),OR(_余额!$J$164&lt;&gt;0,_余额!$K$164&lt;&gt;0,_余额!$E$164&lt;&gt;0,_余额!$L$164&lt;&gt;0,AND(_余额!$B$164="管理人员",COUNTIFS(工资标准!$B$4:$B$303,_余额!$A$164,工资标准!$E$4:$E$303,"&gt;0")&gt;0))),1,0)</f>
        <v>0</v>
      </c>
    </row>
    <row r="163">
      <c r="A163" s="94">
        <f>IF($AZ163=0,"",158)</f>
      </c>
      <c r="B163" s="94">
        <f t="shared" si="0"/>
      </c>
      <c r="C163" s="94">
        <f t="shared" si="25"/>
      </c>
      <c r="D163" s="119">
        <f t="shared" si="26"/>
      </c>
      <c r="E163" s="21">
        <f t="shared" si="1"/>
      </c>
      <c r="F163" s="118">
        <f t="shared" si="2"/>
      </c>
      <c r="G163" s="21">
        <f t="shared" si="3"/>
      </c>
      <c r="H163" s="21">
        <f t="shared" si="4"/>
      </c>
      <c r="I163" s="21">
        <f t="shared" si="5"/>
      </c>
      <c r="J163" s="21">
        <f t="shared" si="6"/>
      </c>
      <c r="K163" s="21">
        <f t="shared" si="7"/>
      </c>
      <c r="L163" s="21">
        <f t="shared" si="8"/>
      </c>
      <c r="M163" s="21">
        <f t="shared" si="9"/>
      </c>
      <c r="N163" s="21">
        <f t="shared" si="10"/>
      </c>
      <c r="O163" s="21">
        <f t="shared" si="11"/>
      </c>
      <c r="P163" s="96">
        <f t="shared" si="27"/>
      </c>
      <c r="R163" s="21">
        <f t="shared" si="12"/>
      </c>
      <c r="S163" s="21">
        <f t="shared" si="13"/>
      </c>
      <c r="T163" s="21">
        <f t="shared" si="14"/>
      </c>
      <c r="U163" s="21">
        <f t="shared" si="15"/>
      </c>
      <c r="V163" s="21">
        <f t="shared" si="16"/>
      </c>
      <c r="W163" s="21">
        <f t="shared" si="17"/>
      </c>
      <c r="X163" s="21">
        <f t="shared" si="18"/>
      </c>
      <c r="Y163" s="21">
        <f t="shared" si="19"/>
      </c>
      <c r="Z163" s="21">
        <f t="shared" si="20"/>
      </c>
      <c r="AA163" s="21">
        <f t="shared" si="21"/>
      </c>
      <c r="AB163" s="21">
        <f t="shared" si="22"/>
      </c>
      <c r="AC163" s="21">
        <f t="shared" si="23"/>
      </c>
      <c r="AD163" s="96">
        <f t="shared" si="24"/>
      </c>
      <c r="AE163" s="2">
        <f t="shared" si="28"/>
        <v>0</v>
      </c>
      <c r="AF163" s="2">
        <f t="shared" si="29"/>
        <v>999912</v>
      </c>
      <c r="AG163" s="2">
        <f t="shared" si="30"/>
        <v>0</v>
      </c>
      <c r="AZ163" s="2">
        <f>IF(158&gt;$BA$300,0,IFERROR(MATCH(158,$BA$1:$BA$300,0),0))</f>
        <v>0</v>
      </c>
      <c r="BA163" s="2">
        <f>BA150+SUM(CA151:CA163)</f>
        <v>42</v>
      </c>
      <c r="CA163" s="2">
        <f>IF(AND(OR(_余额!$B$165="管理人员",_余额!$B$165="工人"),OR(_余额!$J$165&lt;&gt;0,_余额!$K$165&lt;&gt;0,_余额!$E$165&lt;&gt;0,_余额!$L$165&lt;&gt;0,AND(_余额!$B$165="管理人员",COUNTIFS(工资标准!$B$4:$B$303,_余额!$A$165,工资标准!$E$4:$E$303,"&gt;0")&gt;0))),1,0)</f>
        <v>0</v>
      </c>
    </row>
    <row r="164">
      <c r="A164" s="94">
        <f>IF($AZ164=0,"",159)</f>
      </c>
      <c r="B164" s="94">
        <f t="shared" si="0"/>
      </c>
      <c r="C164" s="94">
        <f t="shared" si="25"/>
      </c>
      <c r="D164" s="119">
        <f t="shared" si="26"/>
      </c>
      <c r="E164" s="21">
        <f t="shared" si="1"/>
      </c>
      <c r="F164" s="118">
        <f t="shared" si="2"/>
      </c>
      <c r="G164" s="21">
        <f t="shared" si="3"/>
      </c>
      <c r="H164" s="21">
        <f t="shared" si="4"/>
      </c>
      <c r="I164" s="21">
        <f t="shared" si="5"/>
      </c>
      <c r="J164" s="21">
        <f t="shared" si="6"/>
      </c>
      <c r="K164" s="21">
        <f t="shared" si="7"/>
      </c>
      <c r="L164" s="21">
        <f t="shared" si="8"/>
      </c>
      <c r="M164" s="21">
        <f t="shared" si="9"/>
      </c>
      <c r="N164" s="21">
        <f t="shared" si="10"/>
      </c>
      <c r="O164" s="21">
        <f t="shared" si="11"/>
      </c>
      <c r="P164" s="96">
        <f t="shared" si="27"/>
      </c>
      <c r="R164" s="21">
        <f t="shared" si="12"/>
      </c>
      <c r="S164" s="21">
        <f t="shared" si="13"/>
      </c>
      <c r="T164" s="21">
        <f t="shared" si="14"/>
      </c>
      <c r="U164" s="21">
        <f t="shared" si="15"/>
      </c>
      <c r="V164" s="21">
        <f t="shared" si="16"/>
      </c>
      <c r="W164" s="21">
        <f t="shared" si="17"/>
      </c>
      <c r="X164" s="21">
        <f t="shared" si="18"/>
      </c>
      <c r="Y164" s="21">
        <f t="shared" si="19"/>
      </c>
      <c r="Z164" s="21">
        <f t="shared" si="20"/>
      </c>
      <c r="AA164" s="21">
        <f t="shared" si="21"/>
      </c>
      <c r="AB164" s="21">
        <f t="shared" si="22"/>
      </c>
      <c r="AC164" s="21">
        <f t="shared" si="23"/>
      </c>
      <c r="AD164" s="96">
        <f t="shared" si="24"/>
      </c>
      <c r="AE164" s="2">
        <f t="shared" si="28"/>
        <v>0</v>
      </c>
      <c r="AF164" s="2">
        <f t="shared" si="29"/>
        <v>999912</v>
      </c>
      <c r="AG164" s="2">
        <f t="shared" si="30"/>
        <v>0</v>
      </c>
      <c r="AZ164" s="2">
        <f>IF(159&gt;$BA$300,0,IFERROR(MATCH(159,$BA$1:$BA$300,0),0))</f>
        <v>0</v>
      </c>
      <c r="BA164" s="2">
        <f>BA150+SUM(CA151:CA164)</f>
        <v>42</v>
      </c>
      <c r="CA164" s="2">
        <f>IF(AND(OR(_余额!$B$166="管理人员",_余额!$B$166="工人"),OR(_余额!$J$166&lt;&gt;0,_余额!$K$166&lt;&gt;0,_余额!$E$166&lt;&gt;0,_余额!$L$166&lt;&gt;0,AND(_余额!$B$166="管理人员",COUNTIFS(工资标准!$B$4:$B$303,_余额!$A$166,工资标准!$E$4:$E$303,"&gt;0")&gt;0))),1,0)</f>
        <v>0</v>
      </c>
    </row>
    <row r="165">
      <c r="A165" s="94">
        <f>IF($AZ165=0,"",160)</f>
      </c>
      <c r="B165" s="94">
        <f t="shared" si="0"/>
      </c>
      <c r="C165" s="94">
        <f t="shared" si="25"/>
      </c>
      <c r="D165" s="119">
        <f t="shared" si="26"/>
      </c>
      <c r="E165" s="21">
        <f t="shared" si="1"/>
      </c>
      <c r="F165" s="118">
        <f t="shared" si="2"/>
      </c>
      <c r="G165" s="21">
        <f t="shared" si="3"/>
      </c>
      <c r="H165" s="21">
        <f t="shared" si="4"/>
      </c>
      <c r="I165" s="21">
        <f t="shared" si="5"/>
      </c>
      <c r="J165" s="21">
        <f t="shared" si="6"/>
      </c>
      <c r="K165" s="21">
        <f t="shared" si="7"/>
      </c>
      <c r="L165" s="21">
        <f t="shared" si="8"/>
      </c>
      <c r="M165" s="21">
        <f t="shared" si="9"/>
      </c>
      <c r="N165" s="21">
        <f t="shared" si="10"/>
      </c>
      <c r="O165" s="21">
        <f t="shared" si="11"/>
      </c>
      <c r="P165" s="96">
        <f t="shared" si="27"/>
      </c>
      <c r="R165" s="21">
        <f t="shared" si="12"/>
      </c>
      <c r="S165" s="21">
        <f t="shared" si="13"/>
      </c>
      <c r="T165" s="21">
        <f t="shared" si="14"/>
      </c>
      <c r="U165" s="21">
        <f t="shared" si="15"/>
      </c>
      <c r="V165" s="21">
        <f t="shared" si="16"/>
      </c>
      <c r="W165" s="21">
        <f t="shared" si="17"/>
      </c>
      <c r="X165" s="21">
        <f t="shared" si="18"/>
      </c>
      <c r="Y165" s="21">
        <f t="shared" si="19"/>
      </c>
      <c r="Z165" s="21">
        <f t="shared" si="20"/>
      </c>
      <c r="AA165" s="21">
        <f t="shared" si="21"/>
      </c>
      <c r="AB165" s="21">
        <f t="shared" si="22"/>
      </c>
      <c r="AC165" s="21">
        <f t="shared" si="23"/>
      </c>
      <c r="AD165" s="96">
        <f t="shared" si="24"/>
      </c>
      <c r="AE165" s="2">
        <f t="shared" si="28"/>
        <v>0</v>
      </c>
      <c r="AF165" s="2">
        <f t="shared" si="29"/>
        <v>999912</v>
      </c>
      <c r="AG165" s="2">
        <f t="shared" si="30"/>
        <v>0</v>
      </c>
      <c r="AZ165" s="2">
        <f>IF(160&gt;$BA$300,0,IFERROR(MATCH(160,$BA$1:$BA$300,0),0))</f>
        <v>0</v>
      </c>
      <c r="BA165" s="2">
        <f>BA150+SUM(CA151:CA165)</f>
        <v>42</v>
      </c>
      <c r="CA165" s="2">
        <f>IF(AND(OR(_余额!$B$167="管理人员",_余额!$B$167="工人"),OR(_余额!$J$167&lt;&gt;0,_余额!$K$167&lt;&gt;0,_余额!$E$167&lt;&gt;0,_余额!$L$167&lt;&gt;0,AND(_余额!$B$167="管理人员",COUNTIFS(工资标准!$B$4:$B$303,_余额!$A$167,工资标准!$E$4:$E$303,"&gt;0")&gt;0))),1,0)</f>
        <v>0</v>
      </c>
    </row>
    <row r="166">
      <c r="A166" s="94">
        <f>IF($AZ166=0,"",161)</f>
      </c>
      <c r="B166" s="94">
        <f t="shared" si="0"/>
      </c>
      <c r="C166" s="94">
        <f t="shared" si="25"/>
      </c>
      <c r="D166" s="119">
        <f t="shared" si="26"/>
      </c>
      <c r="E166" s="21">
        <f t="shared" si="1"/>
      </c>
      <c r="F166" s="118">
        <f t="shared" si="2"/>
      </c>
      <c r="G166" s="21">
        <f t="shared" si="3"/>
      </c>
      <c r="H166" s="21">
        <f t="shared" si="4"/>
      </c>
      <c r="I166" s="21">
        <f t="shared" si="5"/>
      </c>
      <c r="J166" s="21">
        <f t="shared" si="6"/>
      </c>
      <c r="K166" s="21">
        <f t="shared" si="7"/>
      </c>
      <c r="L166" s="21">
        <f t="shared" si="8"/>
      </c>
      <c r="M166" s="21">
        <f t="shared" si="9"/>
      </c>
      <c r="N166" s="21">
        <f t="shared" si="10"/>
      </c>
      <c r="O166" s="21">
        <f t="shared" si="11"/>
      </c>
      <c r="P166" s="96">
        <f t="shared" si="27"/>
      </c>
      <c r="R166" s="21">
        <f t="shared" si="12"/>
      </c>
      <c r="S166" s="21">
        <f t="shared" si="13"/>
      </c>
      <c r="T166" s="21">
        <f t="shared" si="14"/>
      </c>
      <c r="U166" s="21">
        <f t="shared" si="15"/>
      </c>
      <c r="V166" s="21">
        <f t="shared" si="16"/>
      </c>
      <c r="W166" s="21">
        <f t="shared" si="17"/>
      </c>
      <c r="X166" s="21">
        <f t="shared" si="18"/>
      </c>
      <c r="Y166" s="21">
        <f t="shared" si="19"/>
      </c>
      <c r="Z166" s="21">
        <f t="shared" si="20"/>
      </c>
      <c r="AA166" s="21">
        <f t="shared" si="21"/>
      </c>
      <c r="AB166" s="21">
        <f t="shared" si="22"/>
      </c>
      <c r="AC166" s="21">
        <f t="shared" si="23"/>
      </c>
      <c r="AD166" s="96">
        <f t="shared" si="24"/>
      </c>
      <c r="AE166" s="2">
        <f t="shared" si="28"/>
        <v>0</v>
      </c>
      <c r="AF166" s="2">
        <f t="shared" si="29"/>
        <v>999912</v>
      </c>
      <c r="AG166" s="2">
        <f t="shared" si="30"/>
        <v>0</v>
      </c>
      <c r="AZ166" s="2">
        <f>IF(161&gt;$BA$300,0,IFERROR(MATCH(161,$BA$1:$BA$300,0),0))</f>
        <v>0</v>
      </c>
      <c r="BA166" s="2">
        <f>BA150+SUM(CA151:CA166)</f>
        <v>42</v>
      </c>
      <c r="CA166" s="2">
        <f>IF(AND(OR(_余额!$B$168="管理人员",_余额!$B$168="工人"),OR(_余额!$J$168&lt;&gt;0,_余额!$K$168&lt;&gt;0,_余额!$E$168&lt;&gt;0,_余额!$L$168&lt;&gt;0,AND(_余额!$B$168="管理人员",COUNTIFS(工资标准!$B$4:$B$303,_余额!$A$168,工资标准!$E$4:$E$303,"&gt;0")&gt;0))),1,0)</f>
        <v>0</v>
      </c>
    </row>
    <row r="167">
      <c r="A167" s="94">
        <f>IF($AZ167=0,"",162)</f>
      </c>
      <c r="B167" s="94">
        <f t="shared" si="0"/>
      </c>
      <c r="C167" s="94">
        <f t="shared" si="25"/>
      </c>
      <c r="D167" s="119">
        <f t="shared" si="26"/>
      </c>
      <c r="E167" s="21">
        <f t="shared" si="1"/>
      </c>
      <c r="F167" s="118">
        <f t="shared" si="2"/>
      </c>
      <c r="G167" s="21">
        <f t="shared" si="3"/>
      </c>
      <c r="H167" s="21">
        <f t="shared" si="4"/>
      </c>
      <c r="I167" s="21">
        <f t="shared" si="5"/>
      </c>
      <c r="J167" s="21">
        <f t="shared" si="6"/>
      </c>
      <c r="K167" s="21">
        <f t="shared" si="7"/>
      </c>
      <c r="L167" s="21">
        <f t="shared" si="8"/>
      </c>
      <c r="M167" s="21">
        <f t="shared" si="9"/>
      </c>
      <c r="N167" s="21">
        <f t="shared" si="10"/>
      </c>
      <c r="O167" s="21">
        <f t="shared" si="11"/>
      </c>
      <c r="P167" s="96">
        <f t="shared" si="27"/>
      </c>
      <c r="R167" s="21">
        <f t="shared" si="12"/>
      </c>
      <c r="S167" s="21">
        <f t="shared" si="13"/>
      </c>
      <c r="T167" s="21">
        <f t="shared" si="14"/>
      </c>
      <c r="U167" s="21">
        <f t="shared" si="15"/>
      </c>
      <c r="V167" s="21">
        <f t="shared" si="16"/>
      </c>
      <c r="W167" s="21">
        <f t="shared" si="17"/>
      </c>
      <c r="X167" s="21">
        <f t="shared" si="18"/>
      </c>
      <c r="Y167" s="21">
        <f t="shared" si="19"/>
      </c>
      <c r="Z167" s="21">
        <f t="shared" si="20"/>
      </c>
      <c r="AA167" s="21">
        <f t="shared" si="21"/>
      </c>
      <c r="AB167" s="21">
        <f t="shared" si="22"/>
      </c>
      <c r="AC167" s="21">
        <f t="shared" si="23"/>
      </c>
      <c r="AD167" s="96">
        <f t="shared" si="24"/>
      </c>
      <c r="AE167" s="2">
        <f t="shared" si="28"/>
        <v>0</v>
      </c>
      <c r="AF167" s="2">
        <f t="shared" si="29"/>
        <v>999912</v>
      </c>
      <c r="AG167" s="2">
        <f t="shared" si="30"/>
        <v>0</v>
      </c>
      <c r="AZ167" s="2">
        <f>IF(162&gt;$BA$300,0,IFERROR(MATCH(162,$BA$1:$BA$300,0),0))</f>
        <v>0</v>
      </c>
      <c r="BA167" s="2">
        <f>BA150+SUM(CA151:CA167)</f>
        <v>42</v>
      </c>
      <c r="CA167" s="2">
        <f>IF(AND(OR(_余额!$B$169="管理人员",_余额!$B$169="工人"),OR(_余额!$J$169&lt;&gt;0,_余额!$K$169&lt;&gt;0,_余额!$E$169&lt;&gt;0,_余额!$L$169&lt;&gt;0,AND(_余额!$B$169="管理人员",COUNTIFS(工资标准!$B$4:$B$303,_余额!$A$169,工资标准!$E$4:$E$303,"&gt;0")&gt;0))),1,0)</f>
        <v>0</v>
      </c>
    </row>
    <row r="168">
      <c r="A168" s="94">
        <f>IF($AZ168=0,"",163)</f>
      </c>
      <c r="B168" s="94">
        <f t="shared" si="0"/>
      </c>
      <c r="C168" s="94">
        <f t="shared" si="25"/>
      </c>
      <c r="D168" s="119">
        <f t="shared" si="26"/>
      </c>
      <c r="E168" s="21">
        <f t="shared" si="1"/>
      </c>
      <c r="F168" s="118">
        <f t="shared" si="2"/>
      </c>
      <c r="G168" s="21">
        <f t="shared" si="3"/>
      </c>
      <c r="H168" s="21">
        <f t="shared" si="4"/>
      </c>
      <c r="I168" s="21">
        <f t="shared" si="5"/>
      </c>
      <c r="J168" s="21">
        <f t="shared" si="6"/>
      </c>
      <c r="K168" s="21">
        <f t="shared" si="7"/>
      </c>
      <c r="L168" s="21">
        <f t="shared" si="8"/>
      </c>
      <c r="M168" s="21">
        <f t="shared" si="9"/>
      </c>
      <c r="N168" s="21">
        <f t="shared" si="10"/>
      </c>
      <c r="O168" s="21">
        <f t="shared" si="11"/>
      </c>
      <c r="P168" s="96">
        <f t="shared" si="27"/>
      </c>
      <c r="R168" s="21">
        <f t="shared" si="12"/>
      </c>
      <c r="S168" s="21">
        <f t="shared" si="13"/>
      </c>
      <c r="T168" s="21">
        <f t="shared" si="14"/>
      </c>
      <c r="U168" s="21">
        <f t="shared" si="15"/>
      </c>
      <c r="V168" s="21">
        <f t="shared" si="16"/>
      </c>
      <c r="W168" s="21">
        <f t="shared" si="17"/>
      </c>
      <c r="X168" s="21">
        <f t="shared" si="18"/>
      </c>
      <c r="Y168" s="21">
        <f t="shared" si="19"/>
      </c>
      <c r="Z168" s="21">
        <f t="shared" si="20"/>
      </c>
      <c r="AA168" s="21">
        <f t="shared" si="21"/>
      </c>
      <c r="AB168" s="21">
        <f t="shared" si="22"/>
      </c>
      <c r="AC168" s="21">
        <f t="shared" si="23"/>
      </c>
      <c r="AD168" s="96">
        <f t="shared" si="24"/>
      </c>
      <c r="AE168" s="2">
        <f t="shared" si="28"/>
        <v>0</v>
      </c>
      <c r="AF168" s="2">
        <f t="shared" si="29"/>
        <v>999912</v>
      </c>
      <c r="AG168" s="2">
        <f t="shared" si="30"/>
        <v>0</v>
      </c>
      <c r="AZ168" s="2">
        <f>IF(163&gt;$BA$300,0,IFERROR(MATCH(163,$BA$1:$BA$300,0),0))</f>
        <v>0</v>
      </c>
      <c r="BA168" s="2">
        <f>BA150+SUM(CA151:CA168)</f>
        <v>42</v>
      </c>
      <c r="CA168" s="2">
        <f>IF(AND(OR(_余额!$B$170="管理人员",_余额!$B$170="工人"),OR(_余额!$J$170&lt;&gt;0,_余额!$K$170&lt;&gt;0,_余额!$E$170&lt;&gt;0,_余额!$L$170&lt;&gt;0,AND(_余额!$B$170="管理人员",COUNTIFS(工资标准!$B$4:$B$303,_余额!$A$170,工资标准!$E$4:$E$303,"&gt;0")&gt;0))),1,0)</f>
        <v>0</v>
      </c>
    </row>
    <row r="169">
      <c r="A169" s="94">
        <f>IF($AZ169=0,"",164)</f>
      </c>
      <c r="B169" s="94">
        <f t="shared" si="0"/>
      </c>
      <c r="C169" s="94">
        <f t="shared" si="25"/>
      </c>
      <c r="D169" s="119">
        <f t="shared" si="26"/>
      </c>
      <c r="E169" s="21">
        <f t="shared" si="1"/>
      </c>
      <c r="F169" s="118">
        <f t="shared" si="2"/>
      </c>
      <c r="G169" s="21">
        <f t="shared" si="3"/>
      </c>
      <c r="H169" s="21">
        <f t="shared" si="4"/>
      </c>
      <c r="I169" s="21">
        <f t="shared" si="5"/>
      </c>
      <c r="J169" s="21">
        <f t="shared" si="6"/>
      </c>
      <c r="K169" s="21">
        <f t="shared" si="7"/>
      </c>
      <c r="L169" s="21">
        <f t="shared" si="8"/>
      </c>
      <c r="M169" s="21">
        <f t="shared" si="9"/>
      </c>
      <c r="N169" s="21">
        <f t="shared" si="10"/>
      </c>
      <c r="O169" s="21">
        <f t="shared" si="11"/>
      </c>
      <c r="P169" s="96">
        <f t="shared" si="27"/>
      </c>
      <c r="R169" s="21">
        <f t="shared" si="12"/>
      </c>
      <c r="S169" s="21">
        <f t="shared" si="13"/>
      </c>
      <c r="T169" s="21">
        <f t="shared" si="14"/>
      </c>
      <c r="U169" s="21">
        <f t="shared" si="15"/>
      </c>
      <c r="V169" s="21">
        <f t="shared" si="16"/>
      </c>
      <c r="W169" s="21">
        <f t="shared" si="17"/>
      </c>
      <c r="X169" s="21">
        <f t="shared" si="18"/>
      </c>
      <c r="Y169" s="21">
        <f t="shared" si="19"/>
      </c>
      <c r="Z169" s="21">
        <f t="shared" si="20"/>
      </c>
      <c r="AA169" s="21">
        <f t="shared" si="21"/>
      </c>
      <c r="AB169" s="21">
        <f t="shared" si="22"/>
      </c>
      <c r="AC169" s="21">
        <f t="shared" si="23"/>
      </c>
      <c r="AD169" s="96">
        <f t="shared" si="24"/>
      </c>
      <c r="AE169" s="2">
        <f t="shared" si="28"/>
        <v>0</v>
      </c>
      <c r="AF169" s="2">
        <f t="shared" si="29"/>
        <v>999912</v>
      </c>
      <c r="AG169" s="2">
        <f t="shared" si="30"/>
        <v>0</v>
      </c>
      <c r="AZ169" s="2">
        <f>IF(164&gt;$BA$300,0,IFERROR(MATCH(164,$BA$1:$BA$300,0),0))</f>
        <v>0</v>
      </c>
      <c r="BA169" s="2">
        <f>BA150+SUM(CA151:CA169)</f>
        <v>42</v>
      </c>
      <c r="CA169" s="2">
        <f>IF(AND(OR(_余额!$B$171="管理人员",_余额!$B$171="工人"),OR(_余额!$J$171&lt;&gt;0,_余额!$K$171&lt;&gt;0,_余额!$E$171&lt;&gt;0,_余额!$L$171&lt;&gt;0,AND(_余额!$B$171="管理人员",COUNTIFS(工资标准!$B$4:$B$303,_余额!$A$171,工资标准!$E$4:$E$303,"&gt;0")&gt;0))),1,0)</f>
        <v>0</v>
      </c>
    </row>
    <row r="170">
      <c r="A170" s="94">
        <f>IF($AZ170=0,"",165)</f>
      </c>
      <c r="B170" s="94">
        <f t="shared" si="0"/>
      </c>
      <c r="C170" s="94">
        <f t="shared" si="25"/>
      </c>
      <c r="D170" s="119">
        <f t="shared" si="26"/>
      </c>
      <c r="E170" s="21">
        <f t="shared" si="1"/>
      </c>
      <c r="F170" s="118">
        <f t="shared" si="2"/>
      </c>
      <c r="G170" s="21">
        <f t="shared" si="3"/>
      </c>
      <c r="H170" s="21">
        <f t="shared" si="4"/>
      </c>
      <c r="I170" s="21">
        <f t="shared" si="5"/>
      </c>
      <c r="J170" s="21">
        <f t="shared" si="6"/>
      </c>
      <c r="K170" s="21">
        <f t="shared" si="7"/>
      </c>
      <c r="L170" s="21">
        <f t="shared" si="8"/>
      </c>
      <c r="M170" s="21">
        <f t="shared" si="9"/>
      </c>
      <c r="N170" s="21">
        <f t="shared" si="10"/>
      </c>
      <c r="O170" s="21">
        <f t="shared" si="11"/>
      </c>
      <c r="P170" s="96">
        <f t="shared" si="27"/>
      </c>
      <c r="R170" s="21">
        <f t="shared" si="12"/>
      </c>
      <c r="S170" s="21">
        <f t="shared" si="13"/>
      </c>
      <c r="T170" s="21">
        <f t="shared" si="14"/>
      </c>
      <c r="U170" s="21">
        <f t="shared" si="15"/>
      </c>
      <c r="V170" s="21">
        <f t="shared" si="16"/>
      </c>
      <c r="W170" s="21">
        <f t="shared" si="17"/>
      </c>
      <c r="X170" s="21">
        <f t="shared" si="18"/>
      </c>
      <c r="Y170" s="21">
        <f t="shared" si="19"/>
      </c>
      <c r="Z170" s="21">
        <f t="shared" si="20"/>
      </c>
      <c r="AA170" s="21">
        <f t="shared" si="21"/>
      </c>
      <c r="AB170" s="21">
        <f t="shared" si="22"/>
      </c>
      <c r="AC170" s="21">
        <f t="shared" si="23"/>
      </c>
      <c r="AD170" s="96">
        <f t="shared" si="24"/>
      </c>
      <c r="AE170" s="2">
        <f t="shared" si="28"/>
        <v>0</v>
      </c>
      <c r="AF170" s="2">
        <f t="shared" si="29"/>
        <v>999912</v>
      </c>
      <c r="AG170" s="2">
        <f t="shared" si="30"/>
        <v>0</v>
      </c>
      <c r="AZ170" s="2">
        <f>IF(165&gt;$BA$300,0,IFERROR(MATCH(165,$BA$1:$BA$300,0),0))</f>
        <v>0</v>
      </c>
      <c r="BA170" s="2">
        <f>BA150+SUM(CA151:CA170)</f>
        <v>42</v>
      </c>
      <c r="CA170" s="2">
        <f>IF(AND(OR(_余额!$B$172="管理人员",_余额!$B$172="工人"),OR(_余额!$J$172&lt;&gt;0,_余额!$K$172&lt;&gt;0,_余额!$E$172&lt;&gt;0,_余额!$L$172&lt;&gt;0,AND(_余额!$B$172="管理人员",COUNTIFS(工资标准!$B$4:$B$303,_余额!$A$172,工资标准!$E$4:$E$303,"&gt;0")&gt;0))),1,0)</f>
        <v>0</v>
      </c>
    </row>
    <row r="171">
      <c r="A171" s="94">
        <f>IF($AZ171=0,"",166)</f>
      </c>
      <c r="B171" s="94">
        <f t="shared" si="0"/>
      </c>
      <c r="C171" s="94">
        <f t="shared" si="25"/>
      </c>
      <c r="D171" s="119">
        <f t="shared" si="26"/>
      </c>
      <c r="E171" s="21">
        <f t="shared" si="1"/>
      </c>
      <c r="F171" s="118">
        <f t="shared" si="2"/>
      </c>
      <c r="G171" s="21">
        <f t="shared" si="3"/>
      </c>
      <c r="H171" s="21">
        <f t="shared" si="4"/>
      </c>
      <c r="I171" s="21">
        <f t="shared" si="5"/>
      </c>
      <c r="J171" s="21">
        <f t="shared" si="6"/>
      </c>
      <c r="K171" s="21">
        <f t="shared" si="7"/>
      </c>
      <c r="L171" s="21">
        <f t="shared" si="8"/>
      </c>
      <c r="M171" s="21">
        <f t="shared" si="9"/>
      </c>
      <c r="N171" s="21">
        <f t="shared" si="10"/>
      </c>
      <c r="O171" s="21">
        <f t="shared" si="11"/>
      </c>
      <c r="P171" s="96">
        <f t="shared" si="27"/>
      </c>
      <c r="R171" s="21">
        <f t="shared" si="12"/>
      </c>
      <c r="S171" s="21">
        <f t="shared" si="13"/>
      </c>
      <c r="T171" s="21">
        <f t="shared" si="14"/>
      </c>
      <c r="U171" s="21">
        <f t="shared" si="15"/>
      </c>
      <c r="V171" s="21">
        <f t="shared" si="16"/>
      </c>
      <c r="W171" s="21">
        <f t="shared" si="17"/>
      </c>
      <c r="X171" s="21">
        <f t="shared" si="18"/>
      </c>
      <c r="Y171" s="21">
        <f t="shared" si="19"/>
      </c>
      <c r="Z171" s="21">
        <f t="shared" si="20"/>
      </c>
      <c r="AA171" s="21">
        <f t="shared" si="21"/>
      </c>
      <c r="AB171" s="21">
        <f t="shared" si="22"/>
      </c>
      <c r="AC171" s="21">
        <f t="shared" si="23"/>
      </c>
      <c r="AD171" s="96">
        <f t="shared" si="24"/>
      </c>
      <c r="AE171" s="2">
        <f t="shared" si="28"/>
        <v>0</v>
      </c>
      <c r="AF171" s="2">
        <f t="shared" si="29"/>
        <v>999912</v>
      </c>
      <c r="AG171" s="2">
        <f t="shared" si="30"/>
        <v>0</v>
      </c>
      <c r="AZ171" s="2">
        <f>IF(166&gt;$BA$300,0,IFERROR(MATCH(166,$BA$1:$BA$300,0),0))</f>
        <v>0</v>
      </c>
      <c r="BA171" s="2">
        <f>BA150+SUM(CA151:CA171)</f>
        <v>42</v>
      </c>
      <c r="CA171" s="2">
        <f>IF(AND(OR(_余额!$B$173="管理人员",_余额!$B$173="工人"),OR(_余额!$J$173&lt;&gt;0,_余额!$K$173&lt;&gt;0,_余额!$E$173&lt;&gt;0,_余额!$L$173&lt;&gt;0,AND(_余额!$B$173="管理人员",COUNTIFS(工资标准!$B$4:$B$303,_余额!$A$173,工资标准!$E$4:$E$303,"&gt;0")&gt;0))),1,0)</f>
        <v>0</v>
      </c>
    </row>
    <row r="172">
      <c r="A172" s="94">
        <f>IF($AZ172=0,"",167)</f>
      </c>
      <c r="B172" s="94">
        <f t="shared" si="0"/>
      </c>
      <c r="C172" s="94">
        <f t="shared" si="25"/>
      </c>
      <c r="D172" s="119">
        <f t="shared" si="26"/>
      </c>
      <c r="E172" s="21">
        <f t="shared" si="1"/>
      </c>
      <c r="F172" s="118">
        <f t="shared" si="2"/>
      </c>
      <c r="G172" s="21">
        <f t="shared" si="3"/>
      </c>
      <c r="H172" s="21">
        <f t="shared" si="4"/>
      </c>
      <c r="I172" s="21">
        <f t="shared" si="5"/>
      </c>
      <c r="J172" s="21">
        <f t="shared" si="6"/>
      </c>
      <c r="K172" s="21">
        <f t="shared" si="7"/>
      </c>
      <c r="L172" s="21">
        <f t="shared" si="8"/>
      </c>
      <c r="M172" s="21">
        <f t="shared" si="9"/>
      </c>
      <c r="N172" s="21">
        <f t="shared" si="10"/>
      </c>
      <c r="O172" s="21">
        <f t="shared" si="11"/>
      </c>
      <c r="P172" s="96">
        <f t="shared" si="27"/>
      </c>
      <c r="R172" s="21">
        <f t="shared" si="12"/>
      </c>
      <c r="S172" s="21">
        <f t="shared" si="13"/>
      </c>
      <c r="T172" s="21">
        <f t="shared" si="14"/>
      </c>
      <c r="U172" s="21">
        <f t="shared" si="15"/>
      </c>
      <c r="V172" s="21">
        <f t="shared" si="16"/>
      </c>
      <c r="W172" s="21">
        <f t="shared" si="17"/>
      </c>
      <c r="X172" s="21">
        <f t="shared" si="18"/>
      </c>
      <c r="Y172" s="21">
        <f t="shared" si="19"/>
      </c>
      <c r="Z172" s="21">
        <f t="shared" si="20"/>
      </c>
      <c r="AA172" s="21">
        <f t="shared" si="21"/>
      </c>
      <c r="AB172" s="21">
        <f t="shared" si="22"/>
      </c>
      <c r="AC172" s="21">
        <f t="shared" si="23"/>
      </c>
      <c r="AD172" s="96">
        <f t="shared" si="24"/>
      </c>
      <c r="AE172" s="2">
        <f t="shared" si="28"/>
        <v>0</v>
      </c>
      <c r="AF172" s="2">
        <f t="shared" si="29"/>
        <v>999912</v>
      </c>
      <c r="AG172" s="2">
        <f t="shared" si="30"/>
        <v>0</v>
      </c>
      <c r="AZ172" s="2">
        <f>IF(167&gt;$BA$300,0,IFERROR(MATCH(167,$BA$1:$BA$300,0),0))</f>
        <v>0</v>
      </c>
      <c r="BA172" s="2">
        <f>BA150+SUM(CA151:CA172)</f>
        <v>42</v>
      </c>
      <c r="CA172" s="2">
        <f>IF(AND(OR(_余额!$B$174="管理人员",_余额!$B$174="工人"),OR(_余额!$J$174&lt;&gt;0,_余额!$K$174&lt;&gt;0,_余额!$E$174&lt;&gt;0,_余额!$L$174&lt;&gt;0,AND(_余额!$B$174="管理人员",COUNTIFS(工资标准!$B$4:$B$303,_余额!$A$174,工资标准!$E$4:$E$303,"&gt;0")&gt;0))),1,0)</f>
        <v>0</v>
      </c>
    </row>
    <row r="173">
      <c r="A173" s="94">
        <f>IF($AZ173=0,"",168)</f>
      </c>
      <c r="B173" s="94">
        <f t="shared" si="0"/>
      </c>
      <c r="C173" s="94">
        <f t="shared" si="25"/>
      </c>
      <c r="D173" s="119">
        <f t="shared" si="26"/>
      </c>
      <c r="E173" s="21">
        <f t="shared" si="1"/>
      </c>
      <c r="F173" s="118">
        <f t="shared" si="2"/>
      </c>
      <c r="G173" s="21">
        <f t="shared" si="3"/>
      </c>
      <c r="H173" s="21">
        <f t="shared" si="4"/>
      </c>
      <c r="I173" s="21">
        <f t="shared" si="5"/>
      </c>
      <c r="J173" s="21">
        <f t="shared" si="6"/>
      </c>
      <c r="K173" s="21">
        <f t="shared" si="7"/>
      </c>
      <c r="L173" s="21">
        <f t="shared" si="8"/>
      </c>
      <c r="M173" s="21">
        <f t="shared" si="9"/>
      </c>
      <c r="N173" s="21">
        <f t="shared" si="10"/>
      </c>
      <c r="O173" s="21">
        <f t="shared" si="11"/>
      </c>
      <c r="P173" s="96">
        <f t="shared" si="27"/>
      </c>
      <c r="R173" s="21">
        <f t="shared" si="12"/>
      </c>
      <c r="S173" s="21">
        <f t="shared" si="13"/>
      </c>
      <c r="T173" s="21">
        <f t="shared" si="14"/>
      </c>
      <c r="U173" s="21">
        <f t="shared" si="15"/>
      </c>
      <c r="V173" s="21">
        <f t="shared" si="16"/>
      </c>
      <c r="W173" s="21">
        <f t="shared" si="17"/>
      </c>
      <c r="X173" s="21">
        <f t="shared" si="18"/>
      </c>
      <c r="Y173" s="21">
        <f t="shared" si="19"/>
      </c>
      <c r="Z173" s="21">
        <f t="shared" si="20"/>
      </c>
      <c r="AA173" s="21">
        <f t="shared" si="21"/>
      </c>
      <c r="AB173" s="21">
        <f t="shared" si="22"/>
      </c>
      <c r="AC173" s="21">
        <f t="shared" si="23"/>
      </c>
      <c r="AD173" s="96">
        <f t="shared" si="24"/>
      </c>
      <c r="AE173" s="2">
        <f t="shared" si="28"/>
        <v>0</v>
      </c>
      <c r="AF173" s="2">
        <f t="shared" si="29"/>
        <v>999912</v>
      </c>
      <c r="AG173" s="2">
        <f t="shared" si="30"/>
        <v>0</v>
      </c>
      <c r="AZ173" s="2">
        <f>IF(168&gt;$BA$300,0,IFERROR(MATCH(168,$BA$1:$BA$300,0),0))</f>
        <v>0</v>
      </c>
      <c r="BA173" s="2">
        <f>BA150+SUM(CA151:CA173)</f>
        <v>42</v>
      </c>
      <c r="CA173" s="2">
        <f>IF(AND(OR(_余额!$B$175="管理人员",_余额!$B$175="工人"),OR(_余额!$J$175&lt;&gt;0,_余额!$K$175&lt;&gt;0,_余额!$E$175&lt;&gt;0,_余额!$L$175&lt;&gt;0,AND(_余额!$B$175="管理人员",COUNTIFS(工资标准!$B$4:$B$303,_余额!$A$175,工资标准!$E$4:$E$303,"&gt;0")&gt;0))),1,0)</f>
        <v>0</v>
      </c>
    </row>
    <row r="174">
      <c r="A174" s="94">
        <f>IF($AZ174=0,"",169)</f>
      </c>
      <c r="B174" s="94">
        <f t="shared" si="0"/>
      </c>
      <c r="C174" s="94">
        <f t="shared" si="25"/>
      </c>
      <c r="D174" s="119">
        <f t="shared" si="26"/>
      </c>
      <c r="E174" s="21">
        <f t="shared" si="1"/>
      </c>
      <c r="F174" s="118">
        <f t="shared" si="2"/>
      </c>
      <c r="G174" s="21">
        <f t="shared" si="3"/>
      </c>
      <c r="H174" s="21">
        <f t="shared" si="4"/>
      </c>
      <c r="I174" s="21">
        <f t="shared" si="5"/>
      </c>
      <c r="J174" s="21">
        <f t="shared" si="6"/>
      </c>
      <c r="K174" s="21">
        <f t="shared" si="7"/>
      </c>
      <c r="L174" s="21">
        <f t="shared" si="8"/>
      </c>
      <c r="M174" s="21">
        <f t="shared" si="9"/>
      </c>
      <c r="N174" s="21">
        <f t="shared" si="10"/>
      </c>
      <c r="O174" s="21">
        <f t="shared" si="11"/>
      </c>
      <c r="P174" s="96">
        <f t="shared" si="27"/>
      </c>
      <c r="R174" s="21">
        <f t="shared" si="12"/>
      </c>
      <c r="S174" s="21">
        <f t="shared" si="13"/>
      </c>
      <c r="T174" s="21">
        <f t="shared" si="14"/>
      </c>
      <c r="U174" s="21">
        <f t="shared" si="15"/>
      </c>
      <c r="V174" s="21">
        <f t="shared" si="16"/>
      </c>
      <c r="W174" s="21">
        <f t="shared" si="17"/>
      </c>
      <c r="X174" s="21">
        <f t="shared" si="18"/>
      </c>
      <c r="Y174" s="21">
        <f t="shared" si="19"/>
      </c>
      <c r="Z174" s="21">
        <f t="shared" si="20"/>
      </c>
      <c r="AA174" s="21">
        <f t="shared" si="21"/>
      </c>
      <c r="AB174" s="21">
        <f t="shared" si="22"/>
      </c>
      <c r="AC174" s="21">
        <f t="shared" si="23"/>
      </c>
      <c r="AD174" s="96">
        <f t="shared" si="24"/>
      </c>
      <c r="AE174" s="2">
        <f t="shared" si="28"/>
        <v>0</v>
      </c>
      <c r="AF174" s="2">
        <f t="shared" si="29"/>
        <v>999912</v>
      </c>
      <c r="AG174" s="2">
        <f t="shared" si="30"/>
        <v>0</v>
      </c>
      <c r="AZ174" s="2">
        <f>IF(169&gt;$BA$300,0,IFERROR(MATCH(169,$BA$1:$BA$300,0),0))</f>
        <v>0</v>
      </c>
      <c r="BA174" s="2">
        <f>BA150+SUM(CA151:CA174)</f>
        <v>42</v>
      </c>
      <c r="CA174" s="2">
        <f>IF(AND(OR(_余额!$B$176="管理人员",_余额!$B$176="工人"),OR(_余额!$J$176&lt;&gt;0,_余额!$K$176&lt;&gt;0,_余额!$E$176&lt;&gt;0,_余额!$L$176&lt;&gt;0,AND(_余额!$B$176="管理人员",COUNTIFS(工资标准!$B$4:$B$303,_余额!$A$176,工资标准!$E$4:$E$303,"&gt;0")&gt;0))),1,0)</f>
        <v>0</v>
      </c>
    </row>
    <row r="175">
      <c r="A175" s="94">
        <f>IF($AZ175=0,"",170)</f>
      </c>
      <c r="B175" s="94">
        <f t="shared" si="0"/>
      </c>
      <c r="C175" s="94">
        <f t="shared" si="25"/>
      </c>
      <c r="D175" s="119">
        <f t="shared" si="26"/>
      </c>
      <c r="E175" s="21">
        <f t="shared" si="1"/>
      </c>
      <c r="F175" s="118">
        <f t="shared" si="2"/>
      </c>
      <c r="G175" s="21">
        <f t="shared" si="3"/>
      </c>
      <c r="H175" s="21">
        <f t="shared" si="4"/>
      </c>
      <c r="I175" s="21">
        <f t="shared" si="5"/>
      </c>
      <c r="J175" s="21">
        <f t="shared" si="6"/>
      </c>
      <c r="K175" s="21">
        <f t="shared" si="7"/>
      </c>
      <c r="L175" s="21">
        <f t="shared" si="8"/>
      </c>
      <c r="M175" s="21">
        <f t="shared" si="9"/>
      </c>
      <c r="N175" s="21">
        <f t="shared" si="10"/>
      </c>
      <c r="O175" s="21">
        <f t="shared" si="11"/>
      </c>
      <c r="P175" s="96">
        <f t="shared" si="27"/>
      </c>
      <c r="R175" s="21">
        <f t="shared" si="12"/>
      </c>
      <c r="S175" s="21">
        <f t="shared" si="13"/>
      </c>
      <c r="T175" s="21">
        <f t="shared" si="14"/>
      </c>
      <c r="U175" s="21">
        <f t="shared" si="15"/>
      </c>
      <c r="V175" s="21">
        <f t="shared" si="16"/>
      </c>
      <c r="W175" s="21">
        <f t="shared" si="17"/>
      </c>
      <c r="X175" s="21">
        <f t="shared" si="18"/>
      </c>
      <c r="Y175" s="21">
        <f t="shared" si="19"/>
      </c>
      <c r="Z175" s="21">
        <f t="shared" si="20"/>
      </c>
      <c r="AA175" s="21">
        <f t="shared" si="21"/>
      </c>
      <c r="AB175" s="21">
        <f t="shared" si="22"/>
      </c>
      <c r="AC175" s="21">
        <f t="shared" si="23"/>
      </c>
      <c r="AD175" s="96">
        <f t="shared" si="24"/>
      </c>
      <c r="AE175" s="2">
        <f t="shared" si="28"/>
        <v>0</v>
      </c>
      <c r="AF175" s="2">
        <f t="shared" si="29"/>
        <v>999912</v>
      </c>
      <c r="AG175" s="2">
        <f t="shared" si="30"/>
        <v>0</v>
      </c>
      <c r="AZ175" s="2">
        <f>IF(170&gt;$BA$300,0,IFERROR(MATCH(170,$BA$1:$BA$300,0),0))</f>
        <v>0</v>
      </c>
      <c r="BA175" s="2">
        <f>BA150+SUM(CA151:CA175)</f>
        <v>42</v>
      </c>
      <c r="CA175" s="2">
        <f>IF(AND(OR(_余额!$B$177="管理人员",_余额!$B$177="工人"),OR(_余额!$J$177&lt;&gt;0,_余额!$K$177&lt;&gt;0,_余额!$E$177&lt;&gt;0,_余额!$L$177&lt;&gt;0,AND(_余额!$B$177="管理人员",COUNTIFS(工资标准!$B$4:$B$303,_余额!$A$177,工资标准!$E$4:$E$303,"&gt;0")&gt;0))),1,0)</f>
        <v>0</v>
      </c>
    </row>
    <row r="176">
      <c r="A176" s="94">
        <f>IF($AZ176=0,"",171)</f>
      </c>
      <c r="B176" s="94">
        <f t="shared" si="0"/>
      </c>
      <c r="C176" s="94">
        <f t="shared" si="25"/>
      </c>
      <c r="D176" s="119">
        <f t="shared" si="26"/>
      </c>
      <c r="E176" s="21">
        <f t="shared" si="1"/>
      </c>
      <c r="F176" s="118">
        <f t="shared" si="2"/>
      </c>
      <c r="G176" s="21">
        <f t="shared" si="3"/>
      </c>
      <c r="H176" s="21">
        <f t="shared" si="4"/>
      </c>
      <c r="I176" s="21">
        <f t="shared" si="5"/>
      </c>
      <c r="J176" s="21">
        <f t="shared" si="6"/>
      </c>
      <c r="K176" s="21">
        <f t="shared" si="7"/>
      </c>
      <c r="L176" s="21">
        <f t="shared" si="8"/>
      </c>
      <c r="M176" s="21">
        <f t="shared" si="9"/>
      </c>
      <c r="N176" s="21">
        <f t="shared" si="10"/>
      </c>
      <c r="O176" s="21">
        <f t="shared" si="11"/>
      </c>
      <c r="P176" s="96">
        <f t="shared" si="27"/>
      </c>
      <c r="R176" s="21">
        <f t="shared" si="12"/>
      </c>
      <c r="S176" s="21">
        <f t="shared" si="13"/>
      </c>
      <c r="T176" s="21">
        <f t="shared" si="14"/>
      </c>
      <c r="U176" s="21">
        <f t="shared" si="15"/>
      </c>
      <c r="V176" s="21">
        <f t="shared" si="16"/>
      </c>
      <c r="W176" s="21">
        <f t="shared" si="17"/>
      </c>
      <c r="X176" s="21">
        <f t="shared" si="18"/>
      </c>
      <c r="Y176" s="21">
        <f t="shared" si="19"/>
      </c>
      <c r="Z176" s="21">
        <f t="shared" si="20"/>
      </c>
      <c r="AA176" s="21">
        <f t="shared" si="21"/>
      </c>
      <c r="AB176" s="21">
        <f t="shared" si="22"/>
      </c>
      <c r="AC176" s="21">
        <f t="shared" si="23"/>
      </c>
      <c r="AD176" s="96">
        <f t="shared" si="24"/>
      </c>
      <c r="AE176" s="2">
        <f t="shared" si="28"/>
        <v>0</v>
      </c>
      <c r="AF176" s="2">
        <f t="shared" si="29"/>
        <v>999912</v>
      </c>
      <c r="AG176" s="2">
        <f t="shared" si="30"/>
        <v>0</v>
      </c>
      <c r="AZ176" s="2">
        <f>IF(171&gt;$BA$300,0,IFERROR(MATCH(171,$BA$1:$BA$300,0),0))</f>
        <v>0</v>
      </c>
      <c r="BA176" s="2">
        <f>BA150+SUM(CA151:CA176)</f>
        <v>42</v>
      </c>
      <c r="CA176" s="2">
        <f>IF(AND(OR(_余额!$B$178="管理人员",_余额!$B$178="工人"),OR(_余额!$J$178&lt;&gt;0,_余额!$K$178&lt;&gt;0,_余额!$E$178&lt;&gt;0,_余额!$L$178&lt;&gt;0,AND(_余额!$B$178="管理人员",COUNTIFS(工资标准!$B$4:$B$303,_余额!$A$178,工资标准!$E$4:$E$303,"&gt;0")&gt;0))),1,0)</f>
        <v>0</v>
      </c>
    </row>
    <row r="177">
      <c r="A177" s="94">
        <f>IF($AZ177=0,"",172)</f>
      </c>
      <c r="B177" s="94">
        <f t="shared" si="0"/>
      </c>
      <c r="C177" s="94">
        <f t="shared" si="25"/>
      </c>
      <c r="D177" s="119">
        <f t="shared" si="26"/>
      </c>
      <c r="E177" s="21">
        <f t="shared" si="1"/>
      </c>
      <c r="F177" s="118">
        <f t="shared" si="2"/>
      </c>
      <c r="G177" s="21">
        <f t="shared" si="3"/>
      </c>
      <c r="H177" s="21">
        <f t="shared" si="4"/>
      </c>
      <c r="I177" s="21">
        <f t="shared" si="5"/>
      </c>
      <c r="J177" s="21">
        <f t="shared" si="6"/>
      </c>
      <c r="K177" s="21">
        <f t="shared" si="7"/>
      </c>
      <c r="L177" s="21">
        <f t="shared" si="8"/>
      </c>
      <c r="M177" s="21">
        <f t="shared" si="9"/>
      </c>
      <c r="N177" s="21">
        <f t="shared" si="10"/>
      </c>
      <c r="O177" s="21">
        <f t="shared" si="11"/>
      </c>
      <c r="P177" s="96">
        <f t="shared" si="27"/>
      </c>
      <c r="R177" s="21">
        <f t="shared" si="12"/>
      </c>
      <c r="S177" s="21">
        <f t="shared" si="13"/>
      </c>
      <c r="T177" s="21">
        <f t="shared" si="14"/>
      </c>
      <c r="U177" s="21">
        <f t="shared" si="15"/>
      </c>
      <c r="V177" s="21">
        <f t="shared" si="16"/>
      </c>
      <c r="W177" s="21">
        <f t="shared" si="17"/>
      </c>
      <c r="X177" s="21">
        <f t="shared" si="18"/>
      </c>
      <c r="Y177" s="21">
        <f t="shared" si="19"/>
      </c>
      <c r="Z177" s="21">
        <f t="shared" si="20"/>
      </c>
      <c r="AA177" s="21">
        <f t="shared" si="21"/>
      </c>
      <c r="AB177" s="21">
        <f t="shared" si="22"/>
      </c>
      <c r="AC177" s="21">
        <f t="shared" si="23"/>
      </c>
      <c r="AD177" s="96">
        <f t="shared" si="24"/>
      </c>
      <c r="AE177" s="2">
        <f t="shared" si="28"/>
        <v>0</v>
      </c>
      <c r="AF177" s="2">
        <f t="shared" si="29"/>
        <v>999912</v>
      </c>
      <c r="AG177" s="2">
        <f t="shared" si="30"/>
        <v>0</v>
      </c>
      <c r="AZ177" s="2">
        <f>IF(172&gt;$BA$300,0,IFERROR(MATCH(172,$BA$1:$BA$300,0),0))</f>
        <v>0</v>
      </c>
      <c r="BA177" s="2">
        <f>BA150+SUM(CA151:CA177)</f>
        <v>42</v>
      </c>
      <c r="CA177" s="2">
        <f>IF(AND(OR(_余额!$B$179="管理人员",_余额!$B$179="工人"),OR(_余额!$J$179&lt;&gt;0,_余额!$K$179&lt;&gt;0,_余额!$E$179&lt;&gt;0,_余额!$L$179&lt;&gt;0,AND(_余额!$B$179="管理人员",COUNTIFS(工资标准!$B$4:$B$303,_余额!$A$179,工资标准!$E$4:$E$303,"&gt;0")&gt;0))),1,0)</f>
        <v>0</v>
      </c>
    </row>
    <row r="178">
      <c r="A178" s="94">
        <f>IF($AZ178=0,"",173)</f>
      </c>
      <c r="B178" s="94">
        <f t="shared" si="0"/>
      </c>
      <c r="C178" s="94">
        <f t="shared" si="25"/>
      </c>
      <c r="D178" s="119">
        <f t="shared" si="26"/>
      </c>
      <c r="E178" s="21">
        <f t="shared" si="1"/>
      </c>
      <c r="F178" s="118">
        <f t="shared" si="2"/>
      </c>
      <c r="G178" s="21">
        <f t="shared" si="3"/>
      </c>
      <c r="H178" s="21">
        <f t="shared" si="4"/>
      </c>
      <c r="I178" s="21">
        <f t="shared" si="5"/>
      </c>
      <c r="J178" s="21">
        <f t="shared" si="6"/>
      </c>
      <c r="K178" s="21">
        <f t="shared" si="7"/>
      </c>
      <c r="L178" s="21">
        <f t="shared" si="8"/>
      </c>
      <c r="M178" s="21">
        <f t="shared" si="9"/>
      </c>
      <c r="N178" s="21">
        <f t="shared" si="10"/>
      </c>
      <c r="O178" s="21">
        <f t="shared" si="11"/>
      </c>
      <c r="P178" s="96">
        <f t="shared" si="27"/>
      </c>
      <c r="R178" s="21">
        <f t="shared" si="12"/>
      </c>
      <c r="S178" s="21">
        <f t="shared" si="13"/>
      </c>
      <c r="T178" s="21">
        <f t="shared" si="14"/>
      </c>
      <c r="U178" s="21">
        <f t="shared" si="15"/>
      </c>
      <c r="V178" s="21">
        <f t="shared" si="16"/>
      </c>
      <c r="W178" s="21">
        <f t="shared" si="17"/>
      </c>
      <c r="X178" s="21">
        <f t="shared" si="18"/>
      </c>
      <c r="Y178" s="21">
        <f t="shared" si="19"/>
      </c>
      <c r="Z178" s="21">
        <f t="shared" si="20"/>
      </c>
      <c r="AA178" s="21">
        <f t="shared" si="21"/>
      </c>
      <c r="AB178" s="21">
        <f t="shared" si="22"/>
      </c>
      <c r="AC178" s="21">
        <f t="shared" si="23"/>
      </c>
      <c r="AD178" s="96">
        <f t="shared" si="24"/>
      </c>
      <c r="AE178" s="2">
        <f t="shared" si="28"/>
        <v>0</v>
      </c>
      <c r="AF178" s="2">
        <f t="shared" si="29"/>
        <v>999912</v>
      </c>
      <c r="AG178" s="2">
        <f t="shared" si="30"/>
        <v>0</v>
      </c>
      <c r="AZ178" s="2">
        <f>IF(173&gt;$BA$300,0,IFERROR(MATCH(173,$BA$1:$BA$300,0),0))</f>
        <v>0</v>
      </c>
      <c r="BA178" s="2">
        <f>BA150+SUM(CA151:CA178)</f>
        <v>42</v>
      </c>
      <c r="CA178" s="2">
        <f>IF(AND(OR(_余额!$B$180="管理人员",_余额!$B$180="工人"),OR(_余额!$J$180&lt;&gt;0,_余额!$K$180&lt;&gt;0,_余额!$E$180&lt;&gt;0,_余额!$L$180&lt;&gt;0,AND(_余额!$B$180="管理人员",COUNTIFS(工资标准!$B$4:$B$303,_余额!$A$180,工资标准!$E$4:$E$303,"&gt;0")&gt;0))),1,0)</f>
        <v>0</v>
      </c>
    </row>
    <row r="179">
      <c r="A179" s="94">
        <f>IF($AZ179=0,"",174)</f>
      </c>
      <c r="B179" s="94">
        <f t="shared" si="0"/>
      </c>
      <c r="C179" s="94">
        <f t="shared" si="25"/>
      </c>
      <c r="D179" s="119">
        <f t="shared" si="26"/>
      </c>
      <c r="E179" s="21">
        <f t="shared" si="1"/>
      </c>
      <c r="F179" s="118">
        <f t="shared" si="2"/>
      </c>
      <c r="G179" s="21">
        <f t="shared" si="3"/>
      </c>
      <c r="H179" s="21">
        <f t="shared" si="4"/>
      </c>
      <c r="I179" s="21">
        <f t="shared" si="5"/>
      </c>
      <c r="J179" s="21">
        <f t="shared" si="6"/>
      </c>
      <c r="K179" s="21">
        <f t="shared" si="7"/>
      </c>
      <c r="L179" s="21">
        <f t="shared" si="8"/>
      </c>
      <c r="M179" s="21">
        <f t="shared" si="9"/>
      </c>
      <c r="N179" s="21">
        <f t="shared" si="10"/>
      </c>
      <c r="O179" s="21">
        <f t="shared" si="11"/>
      </c>
      <c r="P179" s="96">
        <f t="shared" si="27"/>
      </c>
      <c r="R179" s="21">
        <f t="shared" si="12"/>
      </c>
      <c r="S179" s="21">
        <f t="shared" si="13"/>
      </c>
      <c r="T179" s="21">
        <f t="shared" si="14"/>
      </c>
      <c r="U179" s="21">
        <f t="shared" si="15"/>
      </c>
      <c r="V179" s="21">
        <f t="shared" si="16"/>
      </c>
      <c r="W179" s="21">
        <f t="shared" si="17"/>
      </c>
      <c r="X179" s="21">
        <f t="shared" si="18"/>
      </c>
      <c r="Y179" s="21">
        <f t="shared" si="19"/>
      </c>
      <c r="Z179" s="21">
        <f t="shared" si="20"/>
      </c>
      <c r="AA179" s="21">
        <f t="shared" si="21"/>
      </c>
      <c r="AB179" s="21">
        <f t="shared" si="22"/>
      </c>
      <c r="AC179" s="21">
        <f t="shared" si="23"/>
      </c>
      <c r="AD179" s="96">
        <f t="shared" si="24"/>
      </c>
      <c r="AE179" s="2">
        <f t="shared" si="28"/>
        <v>0</v>
      </c>
      <c r="AF179" s="2">
        <f t="shared" si="29"/>
        <v>999912</v>
      </c>
      <c r="AG179" s="2">
        <f t="shared" si="30"/>
        <v>0</v>
      </c>
      <c r="AZ179" s="2">
        <f>IF(174&gt;$BA$300,0,IFERROR(MATCH(174,$BA$1:$BA$300,0),0))</f>
        <v>0</v>
      </c>
      <c r="BA179" s="2">
        <f>BA150+SUM(CA151:CA179)</f>
        <v>42</v>
      </c>
      <c r="CA179" s="2">
        <f>IF(AND(OR(_余额!$B$181="管理人员",_余额!$B$181="工人"),OR(_余额!$J$181&lt;&gt;0,_余额!$K$181&lt;&gt;0,_余额!$E$181&lt;&gt;0,_余额!$L$181&lt;&gt;0,AND(_余额!$B$181="管理人员",COUNTIFS(工资标准!$B$4:$B$303,_余额!$A$181,工资标准!$E$4:$E$303,"&gt;0")&gt;0))),1,0)</f>
        <v>0</v>
      </c>
    </row>
    <row r="180">
      <c r="A180" s="94">
        <f>IF($AZ180=0,"",175)</f>
      </c>
      <c r="B180" s="94">
        <f t="shared" si="0"/>
      </c>
      <c r="C180" s="94">
        <f t="shared" si="25"/>
      </c>
      <c r="D180" s="119">
        <f t="shared" si="26"/>
      </c>
      <c r="E180" s="21">
        <f t="shared" si="1"/>
      </c>
      <c r="F180" s="118">
        <f t="shared" si="2"/>
      </c>
      <c r="G180" s="21">
        <f t="shared" si="3"/>
      </c>
      <c r="H180" s="21">
        <f t="shared" si="4"/>
      </c>
      <c r="I180" s="21">
        <f t="shared" si="5"/>
      </c>
      <c r="J180" s="21">
        <f t="shared" si="6"/>
      </c>
      <c r="K180" s="21">
        <f t="shared" si="7"/>
      </c>
      <c r="L180" s="21">
        <f t="shared" si="8"/>
      </c>
      <c r="M180" s="21">
        <f t="shared" si="9"/>
      </c>
      <c r="N180" s="21">
        <f t="shared" si="10"/>
      </c>
      <c r="O180" s="21">
        <f t="shared" si="11"/>
      </c>
      <c r="P180" s="96">
        <f t="shared" si="27"/>
      </c>
      <c r="R180" s="21">
        <f t="shared" si="12"/>
      </c>
      <c r="S180" s="21">
        <f t="shared" si="13"/>
      </c>
      <c r="T180" s="21">
        <f t="shared" si="14"/>
      </c>
      <c r="U180" s="21">
        <f t="shared" si="15"/>
      </c>
      <c r="V180" s="21">
        <f t="shared" si="16"/>
      </c>
      <c r="W180" s="21">
        <f t="shared" si="17"/>
      </c>
      <c r="X180" s="21">
        <f t="shared" si="18"/>
      </c>
      <c r="Y180" s="21">
        <f t="shared" si="19"/>
      </c>
      <c r="Z180" s="21">
        <f t="shared" si="20"/>
      </c>
      <c r="AA180" s="21">
        <f t="shared" si="21"/>
      </c>
      <c r="AB180" s="21">
        <f t="shared" si="22"/>
      </c>
      <c r="AC180" s="21">
        <f t="shared" si="23"/>
      </c>
      <c r="AD180" s="96">
        <f t="shared" si="24"/>
      </c>
      <c r="AE180" s="2">
        <f t="shared" si="28"/>
        <v>0</v>
      </c>
      <c r="AF180" s="2">
        <f t="shared" si="29"/>
        <v>999912</v>
      </c>
      <c r="AG180" s="2">
        <f t="shared" si="30"/>
        <v>0</v>
      </c>
      <c r="AZ180" s="2">
        <f>IF(175&gt;$BA$300,0,IFERROR(MATCH(175,$BA$1:$BA$300,0),0))</f>
        <v>0</v>
      </c>
      <c r="BA180" s="2">
        <f>BA150+SUM(CA151:CA180)</f>
        <v>42</v>
      </c>
      <c r="CA180" s="2">
        <f>IF(AND(OR(_余额!$B$182="管理人员",_余额!$B$182="工人"),OR(_余额!$J$182&lt;&gt;0,_余额!$K$182&lt;&gt;0,_余额!$E$182&lt;&gt;0,_余额!$L$182&lt;&gt;0,AND(_余额!$B$182="管理人员",COUNTIFS(工资标准!$B$4:$B$303,_余额!$A$182,工资标准!$E$4:$E$303,"&gt;0")&gt;0))),1,0)</f>
        <v>0</v>
      </c>
    </row>
    <row r="181">
      <c r="A181" s="94">
        <f>IF($AZ181=0,"",176)</f>
      </c>
      <c r="B181" s="94">
        <f t="shared" si="0"/>
      </c>
      <c r="C181" s="94">
        <f t="shared" si="25"/>
      </c>
      <c r="D181" s="119">
        <f t="shared" si="26"/>
      </c>
      <c r="E181" s="21">
        <f t="shared" si="1"/>
      </c>
      <c r="F181" s="118">
        <f t="shared" si="2"/>
      </c>
      <c r="G181" s="21">
        <f t="shared" si="3"/>
      </c>
      <c r="H181" s="21">
        <f t="shared" si="4"/>
      </c>
      <c r="I181" s="21">
        <f t="shared" si="5"/>
      </c>
      <c r="J181" s="21">
        <f t="shared" si="6"/>
      </c>
      <c r="K181" s="21">
        <f t="shared" si="7"/>
      </c>
      <c r="L181" s="21">
        <f t="shared" si="8"/>
      </c>
      <c r="M181" s="21">
        <f t="shared" si="9"/>
      </c>
      <c r="N181" s="21">
        <f t="shared" si="10"/>
      </c>
      <c r="O181" s="21">
        <f t="shared" si="11"/>
      </c>
      <c r="P181" s="96">
        <f t="shared" si="27"/>
      </c>
      <c r="R181" s="21">
        <f t="shared" si="12"/>
      </c>
      <c r="S181" s="21">
        <f t="shared" si="13"/>
      </c>
      <c r="T181" s="21">
        <f t="shared" si="14"/>
      </c>
      <c r="U181" s="21">
        <f t="shared" si="15"/>
      </c>
      <c r="V181" s="21">
        <f t="shared" si="16"/>
      </c>
      <c r="W181" s="21">
        <f t="shared" si="17"/>
      </c>
      <c r="X181" s="21">
        <f t="shared" si="18"/>
      </c>
      <c r="Y181" s="21">
        <f t="shared" si="19"/>
      </c>
      <c r="Z181" s="21">
        <f t="shared" si="20"/>
      </c>
      <c r="AA181" s="21">
        <f t="shared" si="21"/>
      </c>
      <c r="AB181" s="21">
        <f t="shared" si="22"/>
      </c>
      <c r="AC181" s="21">
        <f t="shared" si="23"/>
      </c>
      <c r="AD181" s="96">
        <f t="shared" si="24"/>
      </c>
      <c r="AE181" s="2">
        <f t="shared" si="28"/>
        <v>0</v>
      </c>
      <c r="AF181" s="2">
        <f t="shared" si="29"/>
        <v>999912</v>
      </c>
      <c r="AG181" s="2">
        <f t="shared" si="30"/>
        <v>0</v>
      </c>
      <c r="AZ181" s="2">
        <f>IF(176&gt;$BA$300,0,IFERROR(MATCH(176,$BA$1:$BA$300,0),0))</f>
        <v>0</v>
      </c>
      <c r="BA181" s="2">
        <f>BA150+SUM(CA151:CA181)</f>
        <v>42</v>
      </c>
      <c r="CA181" s="2">
        <f>IF(AND(OR(_余额!$B$183="管理人员",_余额!$B$183="工人"),OR(_余额!$J$183&lt;&gt;0,_余额!$K$183&lt;&gt;0,_余额!$E$183&lt;&gt;0,_余额!$L$183&lt;&gt;0,AND(_余额!$B$183="管理人员",COUNTIFS(工资标准!$B$4:$B$303,_余额!$A$183,工资标准!$E$4:$E$303,"&gt;0")&gt;0))),1,0)</f>
        <v>0</v>
      </c>
    </row>
    <row r="182">
      <c r="A182" s="94">
        <f>IF($AZ182=0,"",177)</f>
      </c>
      <c r="B182" s="94">
        <f t="shared" si="0"/>
      </c>
      <c r="C182" s="94">
        <f t="shared" si="25"/>
      </c>
      <c r="D182" s="119">
        <f t="shared" si="26"/>
      </c>
      <c r="E182" s="21">
        <f t="shared" si="1"/>
      </c>
      <c r="F182" s="118">
        <f t="shared" si="2"/>
      </c>
      <c r="G182" s="21">
        <f t="shared" si="3"/>
      </c>
      <c r="H182" s="21">
        <f t="shared" si="4"/>
      </c>
      <c r="I182" s="21">
        <f t="shared" si="5"/>
      </c>
      <c r="J182" s="21">
        <f t="shared" si="6"/>
      </c>
      <c r="K182" s="21">
        <f t="shared" si="7"/>
      </c>
      <c r="L182" s="21">
        <f t="shared" si="8"/>
      </c>
      <c r="M182" s="21">
        <f t="shared" si="9"/>
      </c>
      <c r="N182" s="21">
        <f t="shared" si="10"/>
      </c>
      <c r="O182" s="21">
        <f t="shared" si="11"/>
      </c>
      <c r="P182" s="96">
        <f t="shared" si="27"/>
      </c>
      <c r="R182" s="21">
        <f t="shared" si="12"/>
      </c>
      <c r="S182" s="21">
        <f t="shared" si="13"/>
      </c>
      <c r="T182" s="21">
        <f t="shared" si="14"/>
      </c>
      <c r="U182" s="21">
        <f t="shared" si="15"/>
      </c>
      <c r="V182" s="21">
        <f t="shared" si="16"/>
      </c>
      <c r="W182" s="21">
        <f t="shared" si="17"/>
      </c>
      <c r="X182" s="21">
        <f t="shared" si="18"/>
      </c>
      <c r="Y182" s="21">
        <f t="shared" si="19"/>
      </c>
      <c r="Z182" s="21">
        <f t="shared" si="20"/>
      </c>
      <c r="AA182" s="21">
        <f t="shared" si="21"/>
      </c>
      <c r="AB182" s="21">
        <f t="shared" si="22"/>
      </c>
      <c r="AC182" s="21">
        <f t="shared" si="23"/>
      </c>
      <c r="AD182" s="96">
        <f t="shared" si="24"/>
      </c>
      <c r="AE182" s="2">
        <f t="shared" si="28"/>
        <v>0</v>
      </c>
      <c r="AF182" s="2">
        <f t="shared" si="29"/>
        <v>999912</v>
      </c>
      <c r="AG182" s="2">
        <f t="shared" si="30"/>
        <v>0</v>
      </c>
      <c r="AZ182" s="2">
        <f>IF(177&gt;$BA$300,0,IFERROR(MATCH(177,$BA$1:$BA$300,0),0))</f>
        <v>0</v>
      </c>
      <c r="BA182" s="2">
        <f>BA150+SUM(CA151:CA182)</f>
        <v>42</v>
      </c>
      <c r="CA182" s="2">
        <f>IF(AND(OR(_余额!$B$184="管理人员",_余额!$B$184="工人"),OR(_余额!$J$184&lt;&gt;0,_余额!$K$184&lt;&gt;0,_余额!$E$184&lt;&gt;0,_余额!$L$184&lt;&gt;0,AND(_余额!$B$184="管理人员",COUNTIFS(工资标准!$B$4:$B$303,_余额!$A$184,工资标准!$E$4:$E$303,"&gt;0")&gt;0))),1,0)</f>
        <v>0</v>
      </c>
    </row>
    <row r="183">
      <c r="A183" s="94">
        <f>IF($AZ183=0,"",178)</f>
      </c>
      <c r="B183" s="94">
        <f t="shared" si="0"/>
      </c>
      <c r="C183" s="94">
        <f t="shared" si="25"/>
      </c>
      <c r="D183" s="119">
        <f t="shared" si="26"/>
      </c>
      <c r="E183" s="21">
        <f t="shared" si="1"/>
      </c>
      <c r="F183" s="118">
        <f t="shared" si="2"/>
      </c>
      <c r="G183" s="21">
        <f t="shared" si="3"/>
      </c>
      <c r="H183" s="21">
        <f t="shared" si="4"/>
      </c>
      <c r="I183" s="21">
        <f t="shared" si="5"/>
      </c>
      <c r="J183" s="21">
        <f t="shared" si="6"/>
      </c>
      <c r="K183" s="21">
        <f t="shared" si="7"/>
      </c>
      <c r="L183" s="21">
        <f t="shared" si="8"/>
      </c>
      <c r="M183" s="21">
        <f t="shared" si="9"/>
      </c>
      <c r="N183" s="21">
        <f t="shared" si="10"/>
      </c>
      <c r="O183" s="21">
        <f t="shared" si="11"/>
      </c>
      <c r="P183" s="96">
        <f t="shared" si="27"/>
      </c>
      <c r="R183" s="21">
        <f t="shared" si="12"/>
      </c>
      <c r="S183" s="21">
        <f t="shared" si="13"/>
      </c>
      <c r="T183" s="21">
        <f t="shared" si="14"/>
      </c>
      <c r="U183" s="21">
        <f t="shared" si="15"/>
      </c>
      <c r="V183" s="21">
        <f t="shared" si="16"/>
      </c>
      <c r="W183" s="21">
        <f t="shared" si="17"/>
      </c>
      <c r="X183" s="21">
        <f t="shared" si="18"/>
      </c>
      <c r="Y183" s="21">
        <f t="shared" si="19"/>
      </c>
      <c r="Z183" s="21">
        <f t="shared" si="20"/>
      </c>
      <c r="AA183" s="21">
        <f t="shared" si="21"/>
      </c>
      <c r="AB183" s="21">
        <f t="shared" si="22"/>
      </c>
      <c r="AC183" s="21">
        <f t="shared" si="23"/>
      </c>
      <c r="AD183" s="96">
        <f t="shared" si="24"/>
      </c>
      <c r="AE183" s="2">
        <f t="shared" si="28"/>
        <v>0</v>
      </c>
      <c r="AF183" s="2">
        <f t="shared" si="29"/>
        <v>999912</v>
      </c>
      <c r="AG183" s="2">
        <f t="shared" si="30"/>
        <v>0</v>
      </c>
      <c r="AZ183" s="2">
        <f>IF(178&gt;$BA$300,0,IFERROR(MATCH(178,$BA$1:$BA$300,0),0))</f>
        <v>0</v>
      </c>
      <c r="BA183" s="2">
        <f>BA150+SUM(CA151:CA183)</f>
        <v>42</v>
      </c>
      <c r="CA183" s="2">
        <f>IF(AND(OR(_余额!$B$185="管理人员",_余额!$B$185="工人"),OR(_余额!$J$185&lt;&gt;0,_余额!$K$185&lt;&gt;0,_余额!$E$185&lt;&gt;0,_余额!$L$185&lt;&gt;0,AND(_余额!$B$185="管理人员",COUNTIFS(工资标准!$B$4:$B$303,_余额!$A$185,工资标准!$E$4:$E$303,"&gt;0")&gt;0))),1,0)</f>
        <v>0</v>
      </c>
    </row>
    <row r="184">
      <c r="A184" s="94">
        <f>IF($AZ184=0,"",179)</f>
      </c>
      <c r="B184" s="94">
        <f t="shared" si="0"/>
      </c>
      <c r="C184" s="94">
        <f t="shared" si="25"/>
      </c>
      <c r="D184" s="119">
        <f t="shared" si="26"/>
      </c>
      <c r="E184" s="21">
        <f t="shared" si="1"/>
      </c>
      <c r="F184" s="118">
        <f t="shared" si="2"/>
      </c>
      <c r="G184" s="21">
        <f t="shared" si="3"/>
      </c>
      <c r="H184" s="21">
        <f t="shared" si="4"/>
      </c>
      <c r="I184" s="21">
        <f t="shared" si="5"/>
      </c>
      <c r="J184" s="21">
        <f t="shared" si="6"/>
      </c>
      <c r="K184" s="21">
        <f t="shared" si="7"/>
      </c>
      <c r="L184" s="21">
        <f t="shared" si="8"/>
      </c>
      <c r="M184" s="21">
        <f t="shared" si="9"/>
      </c>
      <c r="N184" s="21">
        <f t="shared" si="10"/>
      </c>
      <c r="O184" s="21">
        <f t="shared" si="11"/>
      </c>
      <c r="P184" s="96">
        <f t="shared" si="27"/>
      </c>
      <c r="R184" s="21">
        <f t="shared" si="12"/>
      </c>
      <c r="S184" s="21">
        <f t="shared" si="13"/>
      </c>
      <c r="T184" s="21">
        <f t="shared" si="14"/>
      </c>
      <c r="U184" s="21">
        <f t="shared" si="15"/>
      </c>
      <c r="V184" s="21">
        <f t="shared" si="16"/>
      </c>
      <c r="W184" s="21">
        <f t="shared" si="17"/>
      </c>
      <c r="X184" s="21">
        <f t="shared" si="18"/>
      </c>
      <c r="Y184" s="21">
        <f t="shared" si="19"/>
      </c>
      <c r="Z184" s="21">
        <f t="shared" si="20"/>
      </c>
      <c r="AA184" s="21">
        <f t="shared" si="21"/>
      </c>
      <c r="AB184" s="21">
        <f t="shared" si="22"/>
      </c>
      <c r="AC184" s="21">
        <f t="shared" si="23"/>
      </c>
      <c r="AD184" s="96">
        <f t="shared" si="24"/>
      </c>
      <c r="AE184" s="2">
        <f t="shared" si="28"/>
        <v>0</v>
      </c>
      <c r="AF184" s="2">
        <f t="shared" si="29"/>
        <v>999912</v>
      </c>
      <c r="AG184" s="2">
        <f t="shared" si="30"/>
        <v>0</v>
      </c>
      <c r="AZ184" s="2">
        <f>IF(179&gt;$BA$300,0,IFERROR(MATCH(179,$BA$1:$BA$300,0),0))</f>
        <v>0</v>
      </c>
      <c r="BA184" s="2">
        <f>BA150+SUM(CA151:CA184)</f>
        <v>42</v>
      </c>
      <c r="CA184" s="2">
        <f>IF(AND(OR(_余额!$B$186="管理人员",_余额!$B$186="工人"),OR(_余额!$J$186&lt;&gt;0,_余额!$K$186&lt;&gt;0,_余额!$E$186&lt;&gt;0,_余额!$L$186&lt;&gt;0,AND(_余额!$B$186="管理人员",COUNTIFS(工资标准!$B$4:$B$303,_余额!$A$186,工资标准!$E$4:$E$303,"&gt;0")&gt;0))),1,0)</f>
        <v>0</v>
      </c>
    </row>
    <row r="185">
      <c r="A185" s="94">
        <f>IF($AZ185=0,"",180)</f>
      </c>
      <c r="B185" s="94">
        <f t="shared" si="0"/>
      </c>
      <c r="C185" s="94">
        <f t="shared" si="25"/>
      </c>
      <c r="D185" s="119">
        <f t="shared" si="26"/>
      </c>
      <c r="E185" s="21">
        <f t="shared" si="1"/>
      </c>
      <c r="F185" s="118">
        <f t="shared" si="2"/>
      </c>
      <c r="G185" s="21">
        <f t="shared" si="3"/>
      </c>
      <c r="H185" s="21">
        <f t="shared" si="4"/>
      </c>
      <c r="I185" s="21">
        <f t="shared" si="5"/>
      </c>
      <c r="J185" s="21">
        <f t="shared" si="6"/>
      </c>
      <c r="K185" s="21">
        <f t="shared" si="7"/>
      </c>
      <c r="L185" s="21">
        <f t="shared" si="8"/>
      </c>
      <c r="M185" s="21">
        <f t="shared" si="9"/>
      </c>
      <c r="N185" s="21">
        <f t="shared" si="10"/>
      </c>
      <c r="O185" s="21">
        <f t="shared" si="11"/>
      </c>
      <c r="P185" s="96">
        <f t="shared" si="27"/>
      </c>
      <c r="R185" s="21">
        <f t="shared" si="12"/>
      </c>
      <c r="S185" s="21">
        <f t="shared" si="13"/>
      </c>
      <c r="T185" s="21">
        <f t="shared" si="14"/>
      </c>
      <c r="U185" s="21">
        <f t="shared" si="15"/>
      </c>
      <c r="V185" s="21">
        <f t="shared" si="16"/>
      </c>
      <c r="W185" s="21">
        <f t="shared" si="17"/>
      </c>
      <c r="X185" s="21">
        <f t="shared" si="18"/>
      </c>
      <c r="Y185" s="21">
        <f t="shared" si="19"/>
      </c>
      <c r="Z185" s="21">
        <f t="shared" si="20"/>
      </c>
      <c r="AA185" s="21">
        <f t="shared" si="21"/>
      </c>
      <c r="AB185" s="21">
        <f t="shared" si="22"/>
      </c>
      <c r="AC185" s="21">
        <f t="shared" si="23"/>
      </c>
      <c r="AD185" s="96">
        <f t="shared" si="24"/>
      </c>
      <c r="AE185" s="2">
        <f t="shared" si="28"/>
        <v>0</v>
      </c>
      <c r="AF185" s="2">
        <f t="shared" si="29"/>
        <v>999912</v>
      </c>
      <c r="AG185" s="2">
        <f t="shared" si="30"/>
        <v>0</v>
      </c>
      <c r="AZ185" s="2">
        <f>IF(180&gt;$BA$300,0,IFERROR(MATCH(180,$BA$1:$BA$300,0),0))</f>
        <v>0</v>
      </c>
      <c r="BA185" s="2">
        <f>BA150+SUM(CA151:CA185)</f>
        <v>42</v>
      </c>
      <c r="CA185" s="2">
        <f>IF(AND(OR(_余额!$B$187="管理人员",_余额!$B$187="工人"),OR(_余额!$J$187&lt;&gt;0,_余额!$K$187&lt;&gt;0,_余额!$E$187&lt;&gt;0,_余额!$L$187&lt;&gt;0,AND(_余额!$B$187="管理人员",COUNTIFS(工资标准!$B$4:$B$303,_余额!$A$187,工资标准!$E$4:$E$303,"&gt;0")&gt;0))),1,0)</f>
        <v>0</v>
      </c>
    </row>
    <row r="186">
      <c r="A186" s="94">
        <f>IF($AZ186=0,"",181)</f>
      </c>
      <c r="B186" s="94">
        <f t="shared" si="0"/>
      </c>
      <c r="C186" s="94">
        <f t="shared" si="25"/>
      </c>
      <c r="D186" s="119">
        <f t="shared" si="26"/>
      </c>
      <c r="E186" s="21">
        <f t="shared" si="1"/>
      </c>
      <c r="F186" s="118">
        <f t="shared" si="2"/>
      </c>
      <c r="G186" s="21">
        <f t="shared" si="3"/>
      </c>
      <c r="H186" s="21">
        <f t="shared" si="4"/>
      </c>
      <c r="I186" s="21">
        <f t="shared" si="5"/>
      </c>
      <c r="J186" s="21">
        <f t="shared" si="6"/>
      </c>
      <c r="K186" s="21">
        <f t="shared" si="7"/>
      </c>
      <c r="L186" s="21">
        <f t="shared" si="8"/>
      </c>
      <c r="M186" s="21">
        <f t="shared" si="9"/>
      </c>
      <c r="N186" s="21">
        <f t="shared" si="10"/>
      </c>
      <c r="O186" s="21">
        <f t="shared" si="11"/>
      </c>
      <c r="P186" s="96">
        <f t="shared" si="27"/>
      </c>
      <c r="R186" s="21">
        <f t="shared" si="12"/>
      </c>
      <c r="S186" s="21">
        <f t="shared" si="13"/>
      </c>
      <c r="T186" s="21">
        <f t="shared" si="14"/>
      </c>
      <c r="U186" s="21">
        <f t="shared" si="15"/>
      </c>
      <c r="V186" s="21">
        <f t="shared" si="16"/>
      </c>
      <c r="W186" s="21">
        <f t="shared" si="17"/>
      </c>
      <c r="X186" s="21">
        <f t="shared" si="18"/>
      </c>
      <c r="Y186" s="21">
        <f t="shared" si="19"/>
      </c>
      <c r="Z186" s="21">
        <f t="shared" si="20"/>
      </c>
      <c r="AA186" s="21">
        <f t="shared" si="21"/>
      </c>
      <c r="AB186" s="21">
        <f t="shared" si="22"/>
      </c>
      <c r="AC186" s="21">
        <f t="shared" si="23"/>
      </c>
      <c r="AD186" s="96">
        <f t="shared" si="24"/>
      </c>
      <c r="AE186" s="2">
        <f t="shared" si="28"/>
        <v>0</v>
      </c>
      <c r="AF186" s="2">
        <f t="shared" si="29"/>
        <v>999912</v>
      </c>
      <c r="AG186" s="2">
        <f t="shared" si="30"/>
        <v>0</v>
      </c>
      <c r="AZ186" s="2">
        <f>IF(181&gt;$BA$300,0,IFERROR(MATCH(181,$BA$1:$BA$300,0),0))</f>
        <v>0</v>
      </c>
      <c r="BA186" s="2">
        <f>BA150+SUM(CA151:CA186)</f>
        <v>42</v>
      </c>
      <c r="CA186" s="2">
        <f>IF(AND(OR(_余额!$B$188="管理人员",_余额!$B$188="工人"),OR(_余额!$J$188&lt;&gt;0,_余额!$K$188&lt;&gt;0,_余额!$E$188&lt;&gt;0,_余额!$L$188&lt;&gt;0,AND(_余额!$B$188="管理人员",COUNTIFS(工资标准!$B$4:$B$303,_余额!$A$188,工资标准!$E$4:$E$303,"&gt;0")&gt;0))),1,0)</f>
        <v>0</v>
      </c>
    </row>
    <row r="187">
      <c r="A187" s="94">
        <f>IF($AZ187=0,"",182)</f>
      </c>
      <c r="B187" s="94">
        <f t="shared" si="0"/>
      </c>
      <c r="C187" s="94">
        <f t="shared" si="25"/>
      </c>
      <c r="D187" s="119">
        <f t="shared" si="26"/>
      </c>
      <c r="E187" s="21">
        <f t="shared" si="1"/>
      </c>
      <c r="F187" s="118">
        <f t="shared" si="2"/>
      </c>
      <c r="G187" s="21">
        <f t="shared" si="3"/>
      </c>
      <c r="H187" s="21">
        <f t="shared" si="4"/>
      </c>
      <c r="I187" s="21">
        <f t="shared" si="5"/>
      </c>
      <c r="J187" s="21">
        <f t="shared" si="6"/>
      </c>
      <c r="K187" s="21">
        <f t="shared" si="7"/>
      </c>
      <c r="L187" s="21">
        <f t="shared" si="8"/>
      </c>
      <c r="M187" s="21">
        <f t="shared" si="9"/>
      </c>
      <c r="N187" s="21">
        <f t="shared" si="10"/>
      </c>
      <c r="O187" s="21">
        <f t="shared" si="11"/>
      </c>
      <c r="P187" s="96">
        <f t="shared" si="27"/>
      </c>
      <c r="R187" s="21">
        <f t="shared" si="12"/>
      </c>
      <c r="S187" s="21">
        <f t="shared" si="13"/>
      </c>
      <c r="T187" s="21">
        <f t="shared" si="14"/>
      </c>
      <c r="U187" s="21">
        <f t="shared" si="15"/>
      </c>
      <c r="V187" s="21">
        <f t="shared" si="16"/>
      </c>
      <c r="W187" s="21">
        <f t="shared" si="17"/>
      </c>
      <c r="X187" s="21">
        <f t="shared" si="18"/>
      </c>
      <c r="Y187" s="21">
        <f t="shared" si="19"/>
      </c>
      <c r="Z187" s="21">
        <f t="shared" si="20"/>
      </c>
      <c r="AA187" s="21">
        <f t="shared" si="21"/>
      </c>
      <c r="AB187" s="21">
        <f t="shared" si="22"/>
      </c>
      <c r="AC187" s="21">
        <f t="shared" si="23"/>
      </c>
      <c r="AD187" s="96">
        <f t="shared" si="24"/>
      </c>
      <c r="AE187" s="2">
        <f t="shared" si="28"/>
        <v>0</v>
      </c>
      <c r="AF187" s="2">
        <f t="shared" si="29"/>
        <v>999912</v>
      </c>
      <c r="AG187" s="2">
        <f t="shared" si="30"/>
        <v>0</v>
      </c>
      <c r="AZ187" s="2">
        <f>IF(182&gt;$BA$300,0,IFERROR(MATCH(182,$BA$1:$BA$300,0),0))</f>
        <v>0</v>
      </c>
      <c r="BA187" s="2">
        <f>BA150+SUM(CA151:CA187)</f>
        <v>42</v>
      </c>
      <c r="CA187" s="2">
        <f>IF(AND(OR(_余额!$B$189="管理人员",_余额!$B$189="工人"),OR(_余额!$J$189&lt;&gt;0,_余额!$K$189&lt;&gt;0,_余额!$E$189&lt;&gt;0,_余额!$L$189&lt;&gt;0,AND(_余额!$B$189="管理人员",COUNTIFS(工资标准!$B$4:$B$303,_余额!$A$189,工资标准!$E$4:$E$303,"&gt;0")&gt;0))),1,0)</f>
        <v>0</v>
      </c>
    </row>
    <row r="188">
      <c r="A188" s="94">
        <f>IF($AZ188=0,"",183)</f>
      </c>
      <c r="B188" s="94">
        <f t="shared" si="0"/>
      </c>
      <c r="C188" s="94">
        <f t="shared" si="25"/>
      </c>
      <c r="D188" s="119">
        <f t="shared" si="26"/>
      </c>
      <c r="E188" s="21">
        <f t="shared" si="1"/>
      </c>
      <c r="F188" s="118">
        <f t="shared" si="2"/>
      </c>
      <c r="G188" s="21">
        <f t="shared" si="3"/>
      </c>
      <c r="H188" s="21">
        <f t="shared" si="4"/>
      </c>
      <c r="I188" s="21">
        <f t="shared" si="5"/>
      </c>
      <c r="J188" s="21">
        <f t="shared" si="6"/>
      </c>
      <c r="K188" s="21">
        <f t="shared" si="7"/>
      </c>
      <c r="L188" s="21">
        <f t="shared" si="8"/>
      </c>
      <c r="M188" s="21">
        <f t="shared" si="9"/>
      </c>
      <c r="N188" s="21">
        <f t="shared" si="10"/>
      </c>
      <c r="O188" s="21">
        <f t="shared" si="11"/>
      </c>
      <c r="P188" s="96">
        <f t="shared" si="27"/>
      </c>
      <c r="R188" s="21">
        <f t="shared" si="12"/>
      </c>
      <c r="S188" s="21">
        <f t="shared" si="13"/>
      </c>
      <c r="T188" s="21">
        <f t="shared" si="14"/>
      </c>
      <c r="U188" s="21">
        <f t="shared" si="15"/>
      </c>
      <c r="V188" s="21">
        <f t="shared" si="16"/>
      </c>
      <c r="W188" s="21">
        <f t="shared" si="17"/>
      </c>
      <c r="X188" s="21">
        <f t="shared" si="18"/>
      </c>
      <c r="Y188" s="21">
        <f t="shared" si="19"/>
      </c>
      <c r="Z188" s="21">
        <f t="shared" si="20"/>
      </c>
      <c r="AA188" s="21">
        <f t="shared" si="21"/>
      </c>
      <c r="AB188" s="21">
        <f t="shared" si="22"/>
      </c>
      <c r="AC188" s="21">
        <f t="shared" si="23"/>
      </c>
      <c r="AD188" s="96">
        <f t="shared" si="24"/>
      </c>
      <c r="AE188" s="2">
        <f t="shared" si="28"/>
        <v>0</v>
      </c>
      <c r="AF188" s="2">
        <f t="shared" si="29"/>
        <v>999912</v>
      </c>
      <c r="AG188" s="2">
        <f t="shared" si="30"/>
        <v>0</v>
      </c>
      <c r="AZ188" s="2">
        <f>IF(183&gt;$BA$300,0,IFERROR(MATCH(183,$BA$1:$BA$300,0),0))</f>
        <v>0</v>
      </c>
      <c r="BA188" s="2">
        <f>BA150+SUM(CA151:CA188)</f>
        <v>42</v>
      </c>
      <c r="CA188" s="2">
        <f>IF(AND(OR(_余额!$B$190="管理人员",_余额!$B$190="工人"),OR(_余额!$J$190&lt;&gt;0,_余额!$K$190&lt;&gt;0,_余额!$E$190&lt;&gt;0,_余额!$L$190&lt;&gt;0,AND(_余额!$B$190="管理人员",COUNTIFS(工资标准!$B$4:$B$303,_余额!$A$190,工资标准!$E$4:$E$303,"&gt;0")&gt;0))),1,0)</f>
        <v>0</v>
      </c>
    </row>
    <row r="189">
      <c r="A189" s="94">
        <f>IF($AZ189=0,"",184)</f>
      </c>
      <c r="B189" s="94">
        <f t="shared" si="0"/>
      </c>
      <c r="C189" s="94">
        <f t="shared" si="25"/>
      </c>
      <c r="D189" s="119">
        <f t="shared" si="26"/>
      </c>
      <c r="E189" s="21">
        <f t="shared" si="1"/>
      </c>
      <c r="F189" s="118">
        <f t="shared" si="2"/>
      </c>
      <c r="G189" s="21">
        <f t="shared" si="3"/>
      </c>
      <c r="H189" s="21">
        <f t="shared" si="4"/>
      </c>
      <c r="I189" s="21">
        <f t="shared" si="5"/>
      </c>
      <c r="J189" s="21">
        <f t="shared" si="6"/>
      </c>
      <c r="K189" s="21">
        <f t="shared" si="7"/>
      </c>
      <c r="L189" s="21">
        <f t="shared" si="8"/>
      </c>
      <c r="M189" s="21">
        <f t="shared" si="9"/>
      </c>
      <c r="N189" s="21">
        <f t="shared" si="10"/>
      </c>
      <c r="O189" s="21">
        <f t="shared" si="11"/>
      </c>
      <c r="P189" s="96">
        <f t="shared" si="27"/>
      </c>
      <c r="R189" s="21">
        <f t="shared" si="12"/>
      </c>
      <c r="S189" s="21">
        <f t="shared" si="13"/>
      </c>
      <c r="T189" s="21">
        <f t="shared" si="14"/>
      </c>
      <c r="U189" s="21">
        <f t="shared" si="15"/>
      </c>
      <c r="V189" s="21">
        <f t="shared" si="16"/>
      </c>
      <c r="W189" s="21">
        <f t="shared" si="17"/>
      </c>
      <c r="X189" s="21">
        <f t="shared" si="18"/>
      </c>
      <c r="Y189" s="21">
        <f t="shared" si="19"/>
      </c>
      <c r="Z189" s="21">
        <f t="shared" si="20"/>
      </c>
      <c r="AA189" s="21">
        <f t="shared" si="21"/>
      </c>
      <c r="AB189" s="21">
        <f t="shared" si="22"/>
      </c>
      <c r="AC189" s="21">
        <f t="shared" si="23"/>
      </c>
      <c r="AD189" s="96">
        <f t="shared" si="24"/>
      </c>
      <c r="AE189" s="2">
        <f t="shared" si="28"/>
        <v>0</v>
      </c>
      <c r="AF189" s="2">
        <f t="shared" si="29"/>
        <v>999912</v>
      </c>
      <c r="AG189" s="2">
        <f t="shared" si="30"/>
        <v>0</v>
      </c>
      <c r="AZ189" s="2">
        <f>IF(184&gt;$BA$300,0,IFERROR(MATCH(184,$BA$1:$BA$300,0),0))</f>
        <v>0</v>
      </c>
      <c r="BA189" s="2">
        <f>BA150+SUM(CA151:CA189)</f>
        <v>42</v>
      </c>
      <c r="CA189" s="2">
        <f>IF(AND(OR(_余额!$B$191="管理人员",_余额!$B$191="工人"),OR(_余额!$J$191&lt;&gt;0,_余额!$K$191&lt;&gt;0,_余额!$E$191&lt;&gt;0,_余额!$L$191&lt;&gt;0,AND(_余额!$B$191="管理人员",COUNTIFS(工资标准!$B$4:$B$303,_余额!$A$191,工资标准!$E$4:$E$303,"&gt;0")&gt;0))),1,0)</f>
        <v>0</v>
      </c>
    </row>
    <row r="190">
      <c r="A190" s="94">
        <f>IF($AZ190=0,"",185)</f>
      </c>
      <c r="B190" s="94">
        <f t="shared" si="0"/>
      </c>
      <c r="C190" s="94">
        <f t="shared" si="25"/>
      </c>
      <c r="D190" s="119">
        <f t="shared" si="26"/>
      </c>
      <c r="E190" s="21">
        <f t="shared" si="1"/>
      </c>
      <c r="F190" s="118">
        <f t="shared" si="2"/>
      </c>
      <c r="G190" s="21">
        <f t="shared" si="3"/>
      </c>
      <c r="H190" s="21">
        <f t="shared" si="4"/>
      </c>
      <c r="I190" s="21">
        <f t="shared" si="5"/>
      </c>
      <c r="J190" s="21">
        <f t="shared" si="6"/>
      </c>
      <c r="K190" s="21">
        <f t="shared" si="7"/>
      </c>
      <c r="L190" s="21">
        <f t="shared" si="8"/>
      </c>
      <c r="M190" s="21">
        <f t="shared" si="9"/>
      </c>
      <c r="N190" s="21">
        <f t="shared" si="10"/>
      </c>
      <c r="O190" s="21">
        <f t="shared" si="11"/>
      </c>
      <c r="P190" s="96">
        <f t="shared" si="27"/>
      </c>
      <c r="R190" s="21">
        <f t="shared" si="12"/>
      </c>
      <c r="S190" s="21">
        <f t="shared" si="13"/>
      </c>
      <c r="T190" s="21">
        <f t="shared" si="14"/>
      </c>
      <c r="U190" s="21">
        <f t="shared" si="15"/>
      </c>
      <c r="V190" s="21">
        <f t="shared" si="16"/>
      </c>
      <c r="W190" s="21">
        <f t="shared" si="17"/>
      </c>
      <c r="X190" s="21">
        <f t="shared" si="18"/>
      </c>
      <c r="Y190" s="21">
        <f t="shared" si="19"/>
      </c>
      <c r="Z190" s="21">
        <f t="shared" si="20"/>
      </c>
      <c r="AA190" s="21">
        <f t="shared" si="21"/>
      </c>
      <c r="AB190" s="21">
        <f t="shared" si="22"/>
      </c>
      <c r="AC190" s="21">
        <f t="shared" si="23"/>
      </c>
      <c r="AD190" s="96">
        <f t="shared" si="24"/>
      </c>
      <c r="AE190" s="2">
        <f t="shared" si="28"/>
        <v>0</v>
      </c>
      <c r="AF190" s="2">
        <f t="shared" si="29"/>
        <v>999912</v>
      </c>
      <c r="AG190" s="2">
        <f t="shared" si="30"/>
        <v>0</v>
      </c>
      <c r="AZ190" s="2">
        <f>IF(185&gt;$BA$300,0,IFERROR(MATCH(185,$BA$1:$BA$300,0),0))</f>
        <v>0</v>
      </c>
      <c r="BA190" s="2">
        <f>BA150+SUM(CA151:CA190)</f>
        <v>42</v>
      </c>
      <c r="CA190" s="2">
        <f>IF(AND(OR(_余额!$B$192="管理人员",_余额!$B$192="工人"),OR(_余额!$J$192&lt;&gt;0,_余额!$K$192&lt;&gt;0,_余额!$E$192&lt;&gt;0,_余额!$L$192&lt;&gt;0,AND(_余额!$B$192="管理人员",COUNTIFS(工资标准!$B$4:$B$303,_余额!$A$192,工资标准!$E$4:$E$303,"&gt;0")&gt;0))),1,0)</f>
        <v>0</v>
      </c>
    </row>
    <row r="191">
      <c r="A191" s="94">
        <f>IF($AZ191=0,"",186)</f>
      </c>
      <c r="B191" s="94">
        <f t="shared" si="0"/>
      </c>
      <c r="C191" s="94">
        <f t="shared" si="25"/>
      </c>
      <c r="D191" s="119">
        <f t="shared" si="26"/>
      </c>
      <c r="E191" s="21">
        <f t="shared" si="1"/>
      </c>
      <c r="F191" s="118">
        <f t="shared" si="2"/>
      </c>
      <c r="G191" s="21">
        <f t="shared" si="3"/>
      </c>
      <c r="H191" s="21">
        <f t="shared" si="4"/>
      </c>
      <c r="I191" s="21">
        <f t="shared" si="5"/>
      </c>
      <c r="J191" s="21">
        <f t="shared" si="6"/>
      </c>
      <c r="K191" s="21">
        <f t="shared" si="7"/>
      </c>
      <c r="L191" s="21">
        <f t="shared" si="8"/>
      </c>
      <c r="M191" s="21">
        <f t="shared" si="9"/>
      </c>
      <c r="N191" s="21">
        <f t="shared" si="10"/>
      </c>
      <c r="O191" s="21">
        <f t="shared" si="11"/>
      </c>
      <c r="P191" s="96">
        <f t="shared" si="27"/>
      </c>
      <c r="R191" s="21">
        <f t="shared" si="12"/>
      </c>
      <c r="S191" s="21">
        <f t="shared" si="13"/>
      </c>
      <c r="T191" s="21">
        <f t="shared" si="14"/>
      </c>
      <c r="U191" s="21">
        <f t="shared" si="15"/>
      </c>
      <c r="V191" s="21">
        <f t="shared" si="16"/>
      </c>
      <c r="W191" s="21">
        <f t="shared" si="17"/>
      </c>
      <c r="X191" s="21">
        <f t="shared" si="18"/>
      </c>
      <c r="Y191" s="21">
        <f t="shared" si="19"/>
      </c>
      <c r="Z191" s="21">
        <f t="shared" si="20"/>
      </c>
      <c r="AA191" s="21">
        <f t="shared" si="21"/>
      </c>
      <c r="AB191" s="21">
        <f t="shared" si="22"/>
      </c>
      <c r="AC191" s="21">
        <f t="shared" si="23"/>
      </c>
      <c r="AD191" s="96">
        <f t="shared" si="24"/>
      </c>
      <c r="AE191" s="2">
        <f t="shared" si="28"/>
        <v>0</v>
      </c>
      <c r="AF191" s="2">
        <f t="shared" si="29"/>
        <v>999912</v>
      </c>
      <c r="AG191" s="2">
        <f t="shared" si="30"/>
        <v>0</v>
      </c>
      <c r="AZ191" s="2">
        <f>IF(186&gt;$BA$300,0,IFERROR(MATCH(186,$BA$1:$BA$300,0),0))</f>
        <v>0</v>
      </c>
      <c r="BA191" s="2">
        <f>BA150+SUM(CA151:CA191)</f>
        <v>42</v>
      </c>
      <c r="CA191" s="2">
        <f>IF(AND(OR(_余额!$B$193="管理人员",_余额!$B$193="工人"),OR(_余额!$J$193&lt;&gt;0,_余额!$K$193&lt;&gt;0,_余额!$E$193&lt;&gt;0,_余额!$L$193&lt;&gt;0,AND(_余额!$B$193="管理人员",COUNTIFS(工资标准!$B$4:$B$303,_余额!$A$193,工资标准!$E$4:$E$303,"&gt;0")&gt;0))),1,0)</f>
        <v>0</v>
      </c>
    </row>
    <row r="192">
      <c r="A192" s="94">
        <f>IF($AZ192=0,"",187)</f>
      </c>
      <c r="B192" s="94">
        <f t="shared" si="0"/>
      </c>
      <c r="C192" s="94">
        <f t="shared" si="25"/>
      </c>
      <c r="D192" s="119">
        <f t="shared" si="26"/>
      </c>
      <c r="E192" s="21">
        <f t="shared" si="1"/>
      </c>
      <c r="F192" s="118">
        <f t="shared" si="2"/>
      </c>
      <c r="G192" s="21">
        <f t="shared" si="3"/>
      </c>
      <c r="H192" s="21">
        <f t="shared" si="4"/>
      </c>
      <c r="I192" s="21">
        <f t="shared" si="5"/>
      </c>
      <c r="J192" s="21">
        <f t="shared" si="6"/>
      </c>
      <c r="K192" s="21">
        <f t="shared" si="7"/>
      </c>
      <c r="L192" s="21">
        <f t="shared" si="8"/>
      </c>
      <c r="M192" s="21">
        <f t="shared" si="9"/>
      </c>
      <c r="N192" s="21">
        <f t="shared" si="10"/>
      </c>
      <c r="O192" s="21">
        <f t="shared" si="11"/>
      </c>
      <c r="P192" s="96">
        <f t="shared" si="27"/>
      </c>
      <c r="R192" s="21">
        <f t="shared" si="12"/>
      </c>
      <c r="S192" s="21">
        <f t="shared" si="13"/>
      </c>
      <c r="T192" s="21">
        <f t="shared" si="14"/>
      </c>
      <c r="U192" s="21">
        <f t="shared" si="15"/>
      </c>
      <c r="V192" s="21">
        <f t="shared" si="16"/>
      </c>
      <c r="W192" s="21">
        <f t="shared" si="17"/>
      </c>
      <c r="X192" s="21">
        <f t="shared" si="18"/>
      </c>
      <c r="Y192" s="21">
        <f t="shared" si="19"/>
      </c>
      <c r="Z192" s="21">
        <f t="shared" si="20"/>
      </c>
      <c r="AA192" s="21">
        <f t="shared" si="21"/>
      </c>
      <c r="AB192" s="21">
        <f t="shared" si="22"/>
      </c>
      <c r="AC192" s="21">
        <f t="shared" si="23"/>
      </c>
      <c r="AD192" s="96">
        <f t="shared" si="24"/>
      </c>
      <c r="AE192" s="2">
        <f t="shared" si="28"/>
        <v>0</v>
      </c>
      <c r="AF192" s="2">
        <f t="shared" si="29"/>
        <v>999912</v>
      </c>
      <c r="AG192" s="2">
        <f t="shared" si="30"/>
        <v>0</v>
      </c>
      <c r="AZ192" s="2">
        <f>IF(187&gt;$BA$300,0,IFERROR(MATCH(187,$BA$1:$BA$300,0),0))</f>
        <v>0</v>
      </c>
      <c r="BA192" s="2">
        <f>BA150+SUM(CA151:CA192)</f>
        <v>42</v>
      </c>
      <c r="CA192" s="2">
        <f>IF(AND(OR(_余额!$B$194="管理人员",_余额!$B$194="工人"),OR(_余额!$J$194&lt;&gt;0,_余额!$K$194&lt;&gt;0,_余额!$E$194&lt;&gt;0,_余额!$L$194&lt;&gt;0,AND(_余额!$B$194="管理人员",COUNTIFS(工资标准!$B$4:$B$303,_余额!$A$194,工资标准!$E$4:$E$303,"&gt;0")&gt;0))),1,0)</f>
        <v>0</v>
      </c>
    </row>
    <row r="193">
      <c r="A193" s="94">
        <f>IF($AZ193=0,"",188)</f>
      </c>
      <c r="B193" s="94">
        <f t="shared" si="0"/>
      </c>
      <c r="C193" s="94">
        <f t="shared" si="25"/>
      </c>
      <c r="D193" s="119">
        <f t="shared" si="26"/>
      </c>
      <c r="E193" s="21">
        <f t="shared" si="1"/>
      </c>
      <c r="F193" s="118">
        <f t="shared" si="2"/>
      </c>
      <c r="G193" s="21">
        <f t="shared" si="3"/>
      </c>
      <c r="H193" s="21">
        <f t="shared" si="4"/>
      </c>
      <c r="I193" s="21">
        <f t="shared" si="5"/>
      </c>
      <c r="J193" s="21">
        <f t="shared" si="6"/>
      </c>
      <c r="K193" s="21">
        <f t="shared" si="7"/>
      </c>
      <c r="L193" s="21">
        <f t="shared" si="8"/>
      </c>
      <c r="M193" s="21">
        <f t="shared" si="9"/>
      </c>
      <c r="N193" s="21">
        <f t="shared" si="10"/>
      </c>
      <c r="O193" s="21">
        <f t="shared" si="11"/>
      </c>
      <c r="P193" s="96">
        <f t="shared" si="27"/>
      </c>
      <c r="R193" s="21">
        <f t="shared" si="12"/>
      </c>
      <c r="S193" s="21">
        <f t="shared" si="13"/>
      </c>
      <c r="T193" s="21">
        <f t="shared" si="14"/>
      </c>
      <c r="U193" s="21">
        <f t="shared" si="15"/>
      </c>
      <c r="V193" s="21">
        <f t="shared" si="16"/>
      </c>
      <c r="W193" s="21">
        <f t="shared" si="17"/>
      </c>
      <c r="X193" s="21">
        <f t="shared" si="18"/>
      </c>
      <c r="Y193" s="21">
        <f t="shared" si="19"/>
      </c>
      <c r="Z193" s="21">
        <f t="shared" si="20"/>
      </c>
      <c r="AA193" s="21">
        <f t="shared" si="21"/>
      </c>
      <c r="AB193" s="21">
        <f t="shared" si="22"/>
      </c>
      <c r="AC193" s="21">
        <f t="shared" si="23"/>
      </c>
      <c r="AD193" s="96">
        <f t="shared" si="24"/>
      </c>
      <c r="AE193" s="2">
        <f t="shared" si="28"/>
        <v>0</v>
      </c>
      <c r="AF193" s="2">
        <f t="shared" si="29"/>
        <v>999912</v>
      </c>
      <c r="AG193" s="2">
        <f t="shared" si="30"/>
        <v>0</v>
      </c>
      <c r="AZ193" s="2">
        <f>IF(188&gt;$BA$300,0,IFERROR(MATCH(188,$BA$1:$BA$300,0),0))</f>
        <v>0</v>
      </c>
      <c r="BA193" s="2">
        <f>BA150+SUM(CA151:CA193)</f>
        <v>42</v>
      </c>
      <c r="CA193" s="2">
        <f>IF(AND(OR(_余额!$B$195="管理人员",_余额!$B$195="工人"),OR(_余额!$J$195&lt;&gt;0,_余额!$K$195&lt;&gt;0,_余额!$E$195&lt;&gt;0,_余额!$L$195&lt;&gt;0,AND(_余额!$B$195="管理人员",COUNTIFS(工资标准!$B$4:$B$303,_余额!$A$195,工资标准!$E$4:$E$303,"&gt;0")&gt;0))),1,0)</f>
        <v>0</v>
      </c>
    </row>
    <row r="194">
      <c r="A194" s="94">
        <f>IF($AZ194=0,"",189)</f>
      </c>
      <c r="B194" s="94">
        <f t="shared" si="0"/>
      </c>
      <c r="C194" s="94">
        <f t="shared" si="25"/>
      </c>
      <c r="D194" s="119">
        <f t="shared" si="26"/>
      </c>
      <c r="E194" s="21">
        <f t="shared" si="1"/>
      </c>
      <c r="F194" s="118">
        <f t="shared" si="2"/>
      </c>
      <c r="G194" s="21">
        <f t="shared" si="3"/>
      </c>
      <c r="H194" s="21">
        <f t="shared" si="4"/>
      </c>
      <c r="I194" s="21">
        <f t="shared" si="5"/>
      </c>
      <c r="J194" s="21">
        <f t="shared" si="6"/>
      </c>
      <c r="K194" s="21">
        <f t="shared" si="7"/>
      </c>
      <c r="L194" s="21">
        <f t="shared" si="8"/>
      </c>
      <c r="M194" s="21">
        <f t="shared" si="9"/>
      </c>
      <c r="N194" s="21">
        <f t="shared" si="10"/>
      </c>
      <c r="O194" s="21">
        <f t="shared" si="11"/>
      </c>
      <c r="P194" s="96">
        <f t="shared" si="27"/>
      </c>
      <c r="R194" s="21">
        <f t="shared" si="12"/>
      </c>
      <c r="S194" s="21">
        <f t="shared" si="13"/>
      </c>
      <c r="T194" s="21">
        <f t="shared" si="14"/>
      </c>
      <c r="U194" s="21">
        <f t="shared" si="15"/>
      </c>
      <c r="V194" s="21">
        <f t="shared" si="16"/>
      </c>
      <c r="W194" s="21">
        <f t="shared" si="17"/>
      </c>
      <c r="X194" s="21">
        <f t="shared" si="18"/>
      </c>
      <c r="Y194" s="21">
        <f t="shared" si="19"/>
      </c>
      <c r="Z194" s="21">
        <f t="shared" si="20"/>
      </c>
      <c r="AA194" s="21">
        <f t="shared" si="21"/>
      </c>
      <c r="AB194" s="21">
        <f t="shared" si="22"/>
      </c>
      <c r="AC194" s="21">
        <f t="shared" si="23"/>
      </c>
      <c r="AD194" s="96">
        <f t="shared" si="24"/>
      </c>
      <c r="AE194" s="2">
        <f t="shared" si="28"/>
        <v>0</v>
      </c>
      <c r="AF194" s="2">
        <f t="shared" si="29"/>
        <v>999912</v>
      </c>
      <c r="AG194" s="2">
        <f t="shared" si="30"/>
        <v>0</v>
      </c>
      <c r="AZ194" s="2">
        <f>IF(189&gt;$BA$300,0,IFERROR(MATCH(189,$BA$1:$BA$300,0),0))</f>
        <v>0</v>
      </c>
      <c r="BA194" s="2">
        <f>BA150+SUM(CA151:CA194)</f>
        <v>42</v>
      </c>
      <c r="CA194" s="2">
        <f>IF(AND(OR(_余额!$B$196="管理人员",_余额!$B$196="工人"),OR(_余额!$J$196&lt;&gt;0,_余额!$K$196&lt;&gt;0,_余额!$E$196&lt;&gt;0,_余额!$L$196&lt;&gt;0,AND(_余额!$B$196="管理人员",COUNTIFS(工资标准!$B$4:$B$303,_余额!$A$196,工资标准!$E$4:$E$303,"&gt;0")&gt;0))),1,0)</f>
        <v>0</v>
      </c>
    </row>
    <row r="195">
      <c r="A195" s="94">
        <f>IF($AZ195=0,"",190)</f>
      </c>
      <c r="B195" s="94">
        <f t="shared" si="0"/>
      </c>
      <c r="C195" s="94">
        <f t="shared" si="25"/>
      </c>
      <c r="D195" s="119">
        <f t="shared" si="26"/>
      </c>
      <c r="E195" s="21">
        <f t="shared" si="1"/>
      </c>
      <c r="F195" s="118">
        <f t="shared" si="2"/>
      </c>
      <c r="G195" s="21">
        <f t="shared" si="3"/>
      </c>
      <c r="H195" s="21">
        <f t="shared" si="4"/>
      </c>
      <c r="I195" s="21">
        <f t="shared" si="5"/>
      </c>
      <c r="J195" s="21">
        <f t="shared" si="6"/>
      </c>
      <c r="K195" s="21">
        <f t="shared" si="7"/>
      </c>
      <c r="L195" s="21">
        <f t="shared" si="8"/>
      </c>
      <c r="M195" s="21">
        <f t="shared" si="9"/>
      </c>
      <c r="N195" s="21">
        <f t="shared" si="10"/>
      </c>
      <c r="O195" s="21">
        <f t="shared" si="11"/>
      </c>
      <c r="P195" s="96">
        <f t="shared" si="27"/>
      </c>
      <c r="R195" s="21">
        <f t="shared" si="12"/>
      </c>
      <c r="S195" s="21">
        <f t="shared" si="13"/>
      </c>
      <c r="T195" s="21">
        <f t="shared" si="14"/>
      </c>
      <c r="U195" s="21">
        <f t="shared" si="15"/>
      </c>
      <c r="V195" s="21">
        <f t="shared" si="16"/>
      </c>
      <c r="W195" s="21">
        <f t="shared" si="17"/>
      </c>
      <c r="X195" s="21">
        <f t="shared" si="18"/>
      </c>
      <c r="Y195" s="21">
        <f t="shared" si="19"/>
      </c>
      <c r="Z195" s="21">
        <f t="shared" si="20"/>
      </c>
      <c r="AA195" s="21">
        <f t="shared" si="21"/>
      </c>
      <c r="AB195" s="21">
        <f t="shared" si="22"/>
      </c>
      <c r="AC195" s="21">
        <f t="shared" si="23"/>
      </c>
      <c r="AD195" s="96">
        <f t="shared" si="24"/>
      </c>
      <c r="AE195" s="2">
        <f t="shared" si="28"/>
        <v>0</v>
      </c>
      <c r="AF195" s="2">
        <f t="shared" si="29"/>
        <v>999912</v>
      </c>
      <c r="AG195" s="2">
        <f t="shared" si="30"/>
        <v>0</v>
      </c>
      <c r="AZ195" s="2">
        <f>IF(190&gt;$BA$300,0,IFERROR(MATCH(190,$BA$1:$BA$300,0),0))</f>
        <v>0</v>
      </c>
      <c r="BA195" s="2">
        <f>BA150+SUM(CA151:CA195)</f>
        <v>42</v>
      </c>
      <c r="CA195" s="2">
        <f>IF(AND(OR(_余额!$B$197="管理人员",_余额!$B$197="工人"),OR(_余额!$J$197&lt;&gt;0,_余额!$K$197&lt;&gt;0,_余额!$E$197&lt;&gt;0,_余额!$L$197&lt;&gt;0,AND(_余额!$B$197="管理人员",COUNTIFS(工资标准!$B$4:$B$303,_余额!$A$197,工资标准!$E$4:$E$303,"&gt;0")&gt;0))),1,0)</f>
        <v>0</v>
      </c>
    </row>
    <row r="196">
      <c r="A196" s="94">
        <f>IF($AZ196=0,"",191)</f>
      </c>
      <c r="B196" s="94">
        <f t="shared" si="0"/>
      </c>
      <c r="C196" s="94">
        <f t="shared" si="25"/>
      </c>
      <c r="D196" s="119">
        <f t="shared" si="26"/>
      </c>
      <c r="E196" s="21">
        <f t="shared" si="1"/>
      </c>
      <c r="F196" s="118">
        <f t="shared" si="2"/>
      </c>
      <c r="G196" s="21">
        <f t="shared" si="3"/>
      </c>
      <c r="H196" s="21">
        <f t="shared" si="4"/>
      </c>
      <c r="I196" s="21">
        <f t="shared" si="5"/>
      </c>
      <c r="J196" s="21">
        <f t="shared" si="6"/>
      </c>
      <c r="K196" s="21">
        <f t="shared" si="7"/>
      </c>
      <c r="L196" s="21">
        <f t="shared" si="8"/>
      </c>
      <c r="M196" s="21">
        <f t="shared" si="9"/>
      </c>
      <c r="N196" s="21">
        <f t="shared" si="10"/>
      </c>
      <c r="O196" s="21">
        <f t="shared" si="11"/>
      </c>
      <c r="P196" s="96">
        <f t="shared" si="27"/>
      </c>
      <c r="R196" s="21">
        <f t="shared" si="12"/>
      </c>
      <c r="S196" s="21">
        <f t="shared" si="13"/>
      </c>
      <c r="T196" s="21">
        <f t="shared" si="14"/>
      </c>
      <c r="U196" s="21">
        <f t="shared" si="15"/>
      </c>
      <c r="V196" s="21">
        <f t="shared" si="16"/>
      </c>
      <c r="W196" s="21">
        <f t="shared" si="17"/>
      </c>
      <c r="X196" s="21">
        <f t="shared" si="18"/>
      </c>
      <c r="Y196" s="21">
        <f t="shared" si="19"/>
      </c>
      <c r="Z196" s="21">
        <f t="shared" si="20"/>
      </c>
      <c r="AA196" s="21">
        <f t="shared" si="21"/>
      </c>
      <c r="AB196" s="21">
        <f t="shared" si="22"/>
      </c>
      <c r="AC196" s="21">
        <f t="shared" si="23"/>
      </c>
      <c r="AD196" s="96">
        <f t="shared" si="24"/>
      </c>
      <c r="AE196" s="2">
        <f t="shared" si="28"/>
        <v>0</v>
      </c>
      <c r="AF196" s="2">
        <f t="shared" si="29"/>
        <v>999912</v>
      </c>
      <c r="AG196" s="2">
        <f t="shared" si="30"/>
        <v>0</v>
      </c>
      <c r="AZ196" s="2">
        <f>IF(191&gt;$BA$300,0,IFERROR(MATCH(191,$BA$1:$BA$300,0),0))</f>
        <v>0</v>
      </c>
      <c r="BA196" s="2">
        <f>BA150+SUM(CA151:CA196)</f>
        <v>42</v>
      </c>
      <c r="CA196" s="2">
        <f>IF(AND(OR(_余额!$B$198="管理人员",_余额!$B$198="工人"),OR(_余额!$J$198&lt;&gt;0,_余额!$K$198&lt;&gt;0,_余额!$E$198&lt;&gt;0,_余额!$L$198&lt;&gt;0,AND(_余额!$B$198="管理人员",COUNTIFS(工资标准!$B$4:$B$303,_余额!$A$198,工资标准!$E$4:$E$303,"&gt;0")&gt;0))),1,0)</f>
        <v>0</v>
      </c>
    </row>
    <row r="197">
      <c r="A197" s="94">
        <f>IF($AZ197=0,"",192)</f>
      </c>
      <c r="B197" s="94">
        <f t="shared" si="0"/>
      </c>
      <c r="C197" s="94">
        <f t="shared" si="25"/>
      </c>
      <c r="D197" s="119">
        <f t="shared" si="26"/>
      </c>
      <c r="E197" s="21">
        <f t="shared" si="1"/>
      </c>
      <c r="F197" s="118">
        <f t="shared" si="2"/>
      </c>
      <c r="G197" s="21">
        <f t="shared" si="3"/>
      </c>
      <c r="H197" s="21">
        <f t="shared" si="4"/>
      </c>
      <c r="I197" s="21">
        <f t="shared" si="5"/>
      </c>
      <c r="J197" s="21">
        <f t="shared" si="6"/>
      </c>
      <c r="K197" s="21">
        <f t="shared" si="7"/>
      </c>
      <c r="L197" s="21">
        <f t="shared" si="8"/>
      </c>
      <c r="M197" s="21">
        <f t="shared" si="9"/>
      </c>
      <c r="N197" s="21">
        <f t="shared" si="10"/>
      </c>
      <c r="O197" s="21">
        <f t="shared" si="11"/>
      </c>
      <c r="P197" s="96">
        <f t="shared" si="27"/>
      </c>
      <c r="R197" s="21">
        <f t="shared" si="12"/>
      </c>
      <c r="S197" s="21">
        <f t="shared" si="13"/>
      </c>
      <c r="T197" s="21">
        <f t="shared" si="14"/>
      </c>
      <c r="U197" s="21">
        <f t="shared" si="15"/>
      </c>
      <c r="V197" s="21">
        <f t="shared" si="16"/>
      </c>
      <c r="W197" s="21">
        <f t="shared" si="17"/>
      </c>
      <c r="X197" s="21">
        <f t="shared" si="18"/>
      </c>
      <c r="Y197" s="21">
        <f t="shared" si="19"/>
      </c>
      <c r="Z197" s="21">
        <f t="shared" si="20"/>
      </c>
      <c r="AA197" s="21">
        <f t="shared" si="21"/>
      </c>
      <c r="AB197" s="21">
        <f t="shared" si="22"/>
      </c>
      <c r="AC197" s="21">
        <f t="shared" si="23"/>
      </c>
      <c r="AD197" s="96">
        <f t="shared" si="24"/>
      </c>
      <c r="AE197" s="2">
        <f t="shared" si="28"/>
        <v>0</v>
      </c>
      <c r="AF197" s="2">
        <f t="shared" si="29"/>
        <v>999912</v>
      </c>
      <c r="AG197" s="2">
        <f t="shared" si="30"/>
        <v>0</v>
      </c>
      <c r="AZ197" s="2">
        <f>IF(192&gt;$BA$300,0,IFERROR(MATCH(192,$BA$1:$BA$300,0),0))</f>
        <v>0</v>
      </c>
      <c r="BA197" s="2">
        <f>BA150+SUM(CA151:CA197)</f>
        <v>42</v>
      </c>
      <c r="CA197" s="2">
        <f>IF(AND(OR(_余额!$B$199="管理人员",_余额!$B$199="工人"),OR(_余额!$J$199&lt;&gt;0,_余额!$K$199&lt;&gt;0,_余额!$E$199&lt;&gt;0,_余额!$L$199&lt;&gt;0,AND(_余额!$B$199="管理人员",COUNTIFS(工资标准!$B$4:$B$303,_余额!$A$199,工资标准!$E$4:$E$303,"&gt;0")&gt;0))),1,0)</f>
        <v>0</v>
      </c>
    </row>
    <row r="198">
      <c r="A198" s="94">
        <f>IF($AZ198=0,"",193)</f>
      </c>
      <c r="B198" s="94">
        <f t="shared" si="0"/>
      </c>
      <c r="C198" s="94">
        <f t="shared" si="25"/>
      </c>
      <c r="D198" s="119">
        <f t="shared" si="26"/>
      </c>
      <c r="E198" s="21">
        <f t="shared" si="1"/>
      </c>
      <c r="F198" s="118">
        <f t="shared" si="2"/>
      </c>
      <c r="G198" s="21">
        <f t="shared" si="3"/>
      </c>
      <c r="H198" s="21">
        <f t="shared" si="4"/>
      </c>
      <c r="I198" s="21">
        <f t="shared" si="5"/>
      </c>
      <c r="J198" s="21">
        <f t="shared" si="6"/>
      </c>
      <c r="K198" s="21">
        <f t="shared" si="7"/>
      </c>
      <c r="L198" s="21">
        <f t="shared" si="8"/>
      </c>
      <c r="M198" s="21">
        <f t="shared" si="9"/>
      </c>
      <c r="N198" s="21">
        <f t="shared" si="10"/>
      </c>
      <c r="O198" s="21">
        <f t="shared" si="11"/>
      </c>
      <c r="P198" s="96">
        <f t="shared" si="27"/>
      </c>
      <c r="R198" s="21">
        <f t="shared" si="12"/>
      </c>
      <c r="S198" s="21">
        <f t="shared" si="13"/>
      </c>
      <c r="T198" s="21">
        <f t="shared" si="14"/>
      </c>
      <c r="U198" s="21">
        <f t="shared" si="15"/>
      </c>
      <c r="V198" s="21">
        <f t="shared" si="16"/>
      </c>
      <c r="W198" s="21">
        <f t="shared" si="17"/>
      </c>
      <c r="X198" s="21">
        <f t="shared" si="18"/>
      </c>
      <c r="Y198" s="21">
        <f t="shared" si="19"/>
      </c>
      <c r="Z198" s="21">
        <f t="shared" si="20"/>
      </c>
      <c r="AA198" s="21">
        <f t="shared" si="21"/>
      </c>
      <c r="AB198" s="21">
        <f t="shared" si="22"/>
      </c>
      <c r="AC198" s="21">
        <f t="shared" si="23"/>
      </c>
      <c r="AD198" s="96">
        <f t="shared" si="24"/>
      </c>
      <c r="AE198" s="2">
        <f t="shared" si="28"/>
        <v>0</v>
      </c>
      <c r="AF198" s="2">
        <f t="shared" si="29"/>
        <v>999912</v>
      </c>
      <c r="AG198" s="2">
        <f t="shared" si="30"/>
        <v>0</v>
      </c>
      <c r="AZ198" s="2">
        <f>IF(193&gt;$BA$300,0,IFERROR(MATCH(193,$BA$1:$BA$300,0),0))</f>
        <v>0</v>
      </c>
      <c r="BA198" s="2">
        <f>BA150+SUM(CA151:CA198)</f>
        <v>42</v>
      </c>
      <c r="CA198" s="2">
        <f>IF(AND(OR(_余额!$B$200="管理人员",_余额!$B$200="工人"),OR(_余额!$J$200&lt;&gt;0,_余额!$K$200&lt;&gt;0,_余额!$E$200&lt;&gt;0,_余额!$L$200&lt;&gt;0,AND(_余额!$B$200="管理人员",COUNTIFS(工资标准!$B$4:$B$303,_余额!$A$200,工资标准!$E$4:$E$303,"&gt;0")&gt;0))),1,0)</f>
        <v>0</v>
      </c>
    </row>
    <row r="199">
      <c r="A199" s="94">
        <f>IF($AZ199=0,"",194)</f>
      </c>
      <c r="B199" s="94">
        <f t="shared" si="0"/>
      </c>
      <c r="C199" s="94">
        <f t="shared" si="25"/>
      </c>
      <c r="D199" s="119">
        <f t="shared" si="26"/>
      </c>
      <c r="E199" s="21">
        <f t="shared" si="1"/>
      </c>
      <c r="F199" s="118">
        <f t="shared" si="2"/>
      </c>
      <c r="G199" s="21">
        <f t="shared" si="3"/>
      </c>
      <c r="H199" s="21">
        <f t="shared" si="4"/>
      </c>
      <c r="I199" s="21">
        <f t="shared" si="5"/>
      </c>
      <c r="J199" s="21">
        <f t="shared" si="6"/>
      </c>
      <c r="K199" s="21">
        <f t="shared" si="7"/>
      </c>
      <c r="L199" s="21">
        <f t="shared" si="8"/>
      </c>
      <c r="M199" s="21">
        <f t="shared" si="9"/>
      </c>
      <c r="N199" s="21">
        <f t="shared" si="10"/>
      </c>
      <c r="O199" s="21">
        <f t="shared" si="11"/>
      </c>
      <c r="P199" s="96">
        <f t="shared" si="27"/>
      </c>
      <c r="R199" s="21">
        <f t="shared" si="12"/>
      </c>
      <c r="S199" s="21">
        <f t="shared" si="13"/>
      </c>
      <c r="T199" s="21">
        <f t="shared" si="14"/>
      </c>
      <c r="U199" s="21">
        <f t="shared" si="15"/>
      </c>
      <c r="V199" s="21">
        <f t="shared" si="16"/>
      </c>
      <c r="W199" s="21">
        <f t="shared" si="17"/>
      </c>
      <c r="X199" s="21">
        <f t="shared" si="18"/>
      </c>
      <c r="Y199" s="21">
        <f t="shared" si="19"/>
      </c>
      <c r="Z199" s="21">
        <f t="shared" si="20"/>
      </c>
      <c r="AA199" s="21">
        <f t="shared" si="21"/>
      </c>
      <c r="AB199" s="21">
        <f t="shared" si="22"/>
      </c>
      <c r="AC199" s="21">
        <f t="shared" si="23"/>
      </c>
      <c r="AD199" s="96">
        <f t="shared" si="24"/>
      </c>
      <c r="AE199" s="2">
        <f t="shared" si="28"/>
        <v>0</v>
      </c>
      <c r="AF199" s="2">
        <f t="shared" si="29"/>
        <v>999912</v>
      </c>
      <c r="AG199" s="2">
        <f t="shared" si="30"/>
        <v>0</v>
      </c>
      <c r="AZ199" s="2">
        <f>IF(194&gt;$BA$300,0,IFERROR(MATCH(194,$BA$1:$BA$300,0),0))</f>
        <v>0</v>
      </c>
      <c r="BA199" s="2">
        <f>BA150+SUM(CA151:CA199)</f>
        <v>42</v>
      </c>
      <c r="CA199" s="2">
        <f>IF(AND(OR(_余额!$B$201="管理人员",_余额!$B$201="工人"),OR(_余额!$J$201&lt;&gt;0,_余额!$K$201&lt;&gt;0,_余额!$E$201&lt;&gt;0,_余额!$L$201&lt;&gt;0,AND(_余额!$B$201="管理人员",COUNTIFS(工资标准!$B$4:$B$303,_余额!$A$201,工资标准!$E$4:$E$303,"&gt;0")&gt;0))),1,0)</f>
        <v>0</v>
      </c>
    </row>
    <row r="200">
      <c r="A200" s="94">
        <f>IF($AZ200=0,"",195)</f>
      </c>
      <c r="B200" s="94">
        <f t="shared" si="0"/>
      </c>
      <c r="C200" s="94">
        <f t="shared" si="25"/>
      </c>
      <c r="D200" s="119">
        <f t="shared" si="26"/>
      </c>
      <c r="E200" s="21">
        <f t="shared" si="1"/>
      </c>
      <c r="F200" s="118">
        <f t="shared" si="2"/>
      </c>
      <c r="G200" s="21">
        <f t="shared" si="3"/>
      </c>
      <c r="H200" s="21">
        <f t="shared" si="4"/>
      </c>
      <c r="I200" s="21">
        <f t="shared" si="5"/>
      </c>
      <c r="J200" s="21">
        <f t="shared" si="6"/>
      </c>
      <c r="K200" s="21">
        <f t="shared" si="7"/>
      </c>
      <c r="L200" s="21">
        <f t="shared" si="8"/>
      </c>
      <c r="M200" s="21">
        <f t="shared" si="9"/>
      </c>
      <c r="N200" s="21">
        <f t="shared" si="10"/>
      </c>
      <c r="O200" s="21">
        <f t="shared" si="11"/>
      </c>
      <c r="P200" s="96">
        <f t="shared" si="27"/>
      </c>
      <c r="R200" s="21">
        <f t="shared" si="12"/>
      </c>
      <c r="S200" s="21">
        <f t="shared" si="13"/>
      </c>
      <c r="T200" s="21">
        <f t="shared" si="14"/>
      </c>
      <c r="U200" s="21">
        <f t="shared" si="15"/>
      </c>
      <c r="V200" s="21">
        <f t="shared" si="16"/>
      </c>
      <c r="W200" s="21">
        <f t="shared" si="17"/>
      </c>
      <c r="X200" s="21">
        <f t="shared" si="18"/>
      </c>
      <c r="Y200" s="21">
        <f t="shared" si="19"/>
      </c>
      <c r="Z200" s="21">
        <f t="shared" si="20"/>
      </c>
      <c r="AA200" s="21">
        <f t="shared" si="21"/>
      </c>
      <c r="AB200" s="21">
        <f t="shared" si="22"/>
      </c>
      <c r="AC200" s="21">
        <f t="shared" si="23"/>
      </c>
      <c r="AD200" s="96">
        <f t="shared" si="24"/>
      </c>
      <c r="AE200" s="2">
        <f t="shared" si="28"/>
        <v>0</v>
      </c>
      <c r="AF200" s="2">
        <f t="shared" si="29"/>
        <v>999912</v>
      </c>
      <c r="AG200" s="2">
        <f t="shared" si="30"/>
        <v>0</v>
      </c>
      <c r="AZ200" s="2">
        <f>IF(195&gt;$BA$300,0,IFERROR(MATCH(195,$BA$1:$BA$300,0),0))</f>
        <v>0</v>
      </c>
      <c r="BA200" s="2">
        <f>BA150+SUM(CA151:CA200)</f>
        <v>42</v>
      </c>
      <c r="CA200" s="2">
        <f>IF(AND(OR(_余额!$B$202="管理人员",_余额!$B$202="工人"),OR(_余额!$J$202&lt;&gt;0,_余额!$K$202&lt;&gt;0,_余额!$E$202&lt;&gt;0,_余额!$L$202&lt;&gt;0,AND(_余额!$B$202="管理人员",COUNTIFS(工资标准!$B$4:$B$303,_余额!$A$202,工资标准!$E$4:$E$303,"&gt;0")&gt;0))),1,0)</f>
        <v>0</v>
      </c>
    </row>
    <row r="201">
      <c r="A201" s="94">
        <f>IF($AZ201=0,"",196)</f>
      </c>
      <c r="B201" s="94">
        <f t="shared" si="0"/>
      </c>
      <c r="C201" s="94">
        <f t="shared" si="25"/>
      </c>
      <c r="D201" s="119">
        <f t="shared" si="26"/>
      </c>
      <c r="E201" s="21">
        <f t="shared" si="1"/>
      </c>
      <c r="F201" s="118">
        <f t="shared" si="2"/>
      </c>
      <c r="G201" s="21">
        <f t="shared" si="3"/>
      </c>
      <c r="H201" s="21">
        <f t="shared" si="4"/>
      </c>
      <c r="I201" s="21">
        <f t="shared" si="5"/>
      </c>
      <c r="J201" s="21">
        <f t="shared" si="6"/>
      </c>
      <c r="K201" s="21">
        <f t="shared" si="7"/>
      </c>
      <c r="L201" s="21">
        <f t="shared" si="8"/>
      </c>
      <c r="M201" s="21">
        <f t="shared" si="9"/>
      </c>
      <c r="N201" s="21">
        <f t="shared" si="10"/>
      </c>
      <c r="O201" s="21">
        <f t="shared" si="11"/>
      </c>
      <c r="P201" s="96">
        <f t="shared" si="27"/>
      </c>
      <c r="R201" s="21">
        <f t="shared" si="12"/>
      </c>
      <c r="S201" s="21">
        <f t="shared" si="13"/>
      </c>
      <c r="T201" s="21">
        <f t="shared" si="14"/>
      </c>
      <c r="U201" s="21">
        <f t="shared" si="15"/>
      </c>
      <c r="V201" s="21">
        <f t="shared" si="16"/>
      </c>
      <c r="W201" s="21">
        <f t="shared" si="17"/>
      </c>
      <c r="X201" s="21">
        <f t="shared" si="18"/>
      </c>
      <c r="Y201" s="21">
        <f t="shared" si="19"/>
      </c>
      <c r="Z201" s="21">
        <f t="shared" si="20"/>
      </c>
      <c r="AA201" s="21">
        <f t="shared" si="21"/>
      </c>
      <c r="AB201" s="21">
        <f t="shared" si="22"/>
      </c>
      <c r="AC201" s="21">
        <f t="shared" si="23"/>
      </c>
      <c r="AD201" s="96">
        <f t="shared" si="24"/>
      </c>
      <c r="AE201" s="2">
        <f t="shared" si="28"/>
        <v>0</v>
      </c>
      <c r="AF201" s="2">
        <f t="shared" si="29"/>
        <v>999912</v>
      </c>
      <c r="AG201" s="2">
        <f t="shared" si="30"/>
        <v>0</v>
      </c>
      <c r="AZ201" s="2">
        <f>IF(196&gt;$BA$300,0,IFERROR(MATCH(196,$BA$1:$BA$300,0),0))</f>
        <v>0</v>
      </c>
      <c r="BA201" s="2">
        <f>BA200+SUM(CA201:CA201)</f>
        <v>42</v>
      </c>
      <c r="CA201" s="2">
        <f>IF(AND(OR(_余额!$B$203="管理人员",_余额!$B$203="工人"),OR(_余额!$J$203&lt;&gt;0,_余额!$K$203&lt;&gt;0,_余额!$E$203&lt;&gt;0,_余额!$L$203&lt;&gt;0,AND(_余额!$B$203="管理人员",COUNTIFS(工资标准!$B$4:$B$303,_余额!$A$203,工资标准!$E$4:$E$303,"&gt;0")&gt;0))),1,0)</f>
        <v>0</v>
      </c>
    </row>
    <row r="202">
      <c r="A202" s="94">
        <f>IF($AZ202=0,"",197)</f>
      </c>
      <c r="B202" s="94">
        <f t="shared" si="0"/>
      </c>
      <c r="C202" s="94">
        <f t="shared" si="25"/>
      </c>
      <c r="D202" s="119">
        <f t="shared" si="26"/>
      </c>
      <c r="E202" s="21">
        <f t="shared" si="1"/>
      </c>
      <c r="F202" s="118">
        <f t="shared" si="2"/>
      </c>
      <c r="G202" s="21">
        <f t="shared" si="3"/>
      </c>
      <c r="H202" s="21">
        <f t="shared" si="4"/>
      </c>
      <c r="I202" s="21">
        <f t="shared" si="5"/>
      </c>
      <c r="J202" s="21">
        <f t="shared" si="6"/>
      </c>
      <c r="K202" s="21">
        <f t="shared" si="7"/>
      </c>
      <c r="L202" s="21">
        <f t="shared" si="8"/>
      </c>
      <c r="M202" s="21">
        <f t="shared" si="9"/>
      </c>
      <c r="N202" s="21">
        <f t="shared" si="10"/>
      </c>
      <c r="O202" s="21">
        <f t="shared" si="11"/>
      </c>
      <c r="P202" s="96">
        <f t="shared" si="27"/>
      </c>
      <c r="R202" s="21">
        <f t="shared" si="12"/>
      </c>
      <c r="S202" s="21">
        <f t="shared" si="13"/>
      </c>
      <c r="T202" s="21">
        <f t="shared" si="14"/>
      </c>
      <c r="U202" s="21">
        <f t="shared" si="15"/>
      </c>
      <c r="V202" s="21">
        <f t="shared" si="16"/>
      </c>
      <c r="W202" s="21">
        <f t="shared" si="17"/>
      </c>
      <c r="X202" s="21">
        <f t="shared" si="18"/>
      </c>
      <c r="Y202" s="21">
        <f t="shared" si="19"/>
      </c>
      <c r="Z202" s="21">
        <f t="shared" si="20"/>
      </c>
      <c r="AA202" s="21">
        <f t="shared" si="21"/>
      </c>
      <c r="AB202" s="21">
        <f t="shared" si="22"/>
      </c>
      <c r="AC202" s="21">
        <f t="shared" si="23"/>
      </c>
      <c r="AD202" s="96">
        <f t="shared" si="24"/>
      </c>
      <c r="AE202" s="2">
        <f t="shared" si="28"/>
        <v>0</v>
      </c>
      <c r="AF202" s="2">
        <f t="shared" si="29"/>
        <v>999912</v>
      </c>
      <c r="AG202" s="2">
        <f t="shared" si="30"/>
        <v>0</v>
      </c>
      <c r="AZ202" s="2">
        <f>IF(197&gt;$BA$300,0,IFERROR(MATCH(197,$BA$1:$BA$300,0),0))</f>
        <v>0</v>
      </c>
      <c r="BA202" s="2">
        <f>BA200+SUM(CA201:CA202)</f>
        <v>42</v>
      </c>
      <c r="CA202" s="2">
        <f>IF(AND(OR(_余额!$B$204="管理人员",_余额!$B$204="工人"),OR(_余额!$J$204&lt;&gt;0,_余额!$K$204&lt;&gt;0,_余额!$E$204&lt;&gt;0,_余额!$L$204&lt;&gt;0,AND(_余额!$B$204="管理人员",COUNTIFS(工资标准!$B$4:$B$303,_余额!$A$204,工资标准!$E$4:$E$303,"&gt;0")&gt;0))),1,0)</f>
        <v>0</v>
      </c>
    </row>
    <row r="203">
      <c r="A203" s="94">
        <f>IF($AZ203=0,"",198)</f>
      </c>
      <c r="B203" s="94">
        <f t="shared" si="0"/>
      </c>
      <c r="C203" s="94">
        <f t="shared" si="25"/>
      </c>
      <c r="D203" s="119">
        <f t="shared" si="26"/>
      </c>
      <c r="E203" s="21">
        <f t="shared" si="1"/>
      </c>
      <c r="F203" s="118">
        <f t="shared" si="2"/>
      </c>
      <c r="G203" s="21">
        <f t="shared" si="3"/>
      </c>
      <c r="H203" s="21">
        <f t="shared" si="4"/>
      </c>
      <c r="I203" s="21">
        <f t="shared" si="5"/>
      </c>
      <c r="J203" s="21">
        <f t="shared" si="6"/>
      </c>
      <c r="K203" s="21">
        <f t="shared" si="7"/>
      </c>
      <c r="L203" s="21">
        <f t="shared" si="8"/>
      </c>
      <c r="M203" s="21">
        <f t="shared" si="9"/>
      </c>
      <c r="N203" s="21">
        <f t="shared" si="10"/>
      </c>
      <c r="O203" s="21">
        <f t="shared" si="11"/>
      </c>
      <c r="P203" s="96">
        <f t="shared" si="27"/>
      </c>
      <c r="R203" s="21">
        <f t="shared" si="12"/>
      </c>
      <c r="S203" s="21">
        <f t="shared" si="13"/>
      </c>
      <c r="T203" s="21">
        <f t="shared" si="14"/>
      </c>
      <c r="U203" s="21">
        <f t="shared" si="15"/>
      </c>
      <c r="V203" s="21">
        <f t="shared" si="16"/>
      </c>
      <c r="W203" s="21">
        <f t="shared" si="17"/>
      </c>
      <c r="X203" s="21">
        <f t="shared" si="18"/>
      </c>
      <c r="Y203" s="21">
        <f t="shared" si="19"/>
      </c>
      <c r="Z203" s="21">
        <f t="shared" si="20"/>
      </c>
      <c r="AA203" s="21">
        <f t="shared" si="21"/>
      </c>
      <c r="AB203" s="21">
        <f t="shared" si="22"/>
      </c>
      <c r="AC203" s="21">
        <f t="shared" si="23"/>
      </c>
      <c r="AD203" s="96">
        <f t="shared" si="24"/>
      </c>
      <c r="AE203" s="2">
        <f t="shared" si="28"/>
        <v>0</v>
      </c>
      <c r="AF203" s="2">
        <f t="shared" si="29"/>
        <v>999912</v>
      </c>
      <c r="AG203" s="2">
        <f t="shared" si="30"/>
        <v>0</v>
      </c>
      <c r="AZ203" s="2">
        <f>IF(198&gt;$BA$300,0,IFERROR(MATCH(198,$BA$1:$BA$300,0),0))</f>
        <v>0</v>
      </c>
      <c r="BA203" s="2">
        <f>BA200+SUM(CA201:CA203)</f>
        <v>42</v>
      </c>
      <c r="CA203" s="2">
        <f>IF(AND(OR(_余额!$B$205="管理人员",_余额!$B$205="工人"),OR(_余额!$J$205&lt;&gt;0,_余额!$K$205&lt;&gt;0,_余额!$E$205&lt;&gt;0,_余额!$L$205&lt;&gt;0,AND(_余额!$B$205="管理人员",COUNTIFS(工资标准!$B$4:$B$303,_余额!$A$205,工资标准!$E$4:$E$303,"&gt;0")&gt;0))),1,0)</f>
        <v>0</v>
      </c>
    </row>
    <row r="204">
      <c r="A204" s="94">
        <f>IF($AZ204=0,"",199)</f>
      </c>
      <c r="B204" s="94">
        <f t="shared" si="0"/>
      </c>
      <c r="C204" s="94">
        <f t="shared" si="25"/>
      </c>
      <c r="D204" s="119">
        <f t="shared" si="26"/>
      </c>
      <c r="E204" s="21">
        <f t="shared" si="1"/>
      </c>
      <c r="F204" s="118">
        <f t="shared" si="2"/>
      </c>
      <c r="G204" s="21">
        <f t="shared" si="3"/>
      </c>
      <c r="H204" s="21">
        <f t="shared" si="4"/>
      </c>
      <c r="I204" s="21">
        <f t="shared" si="5"/>
      </c>
      <c r="J204" s="21">
        <f t="shared" si="6"/>
      </c>
      <c r="K204" s="21">
        <f t="shared" si="7"/>
      </c>
      <c r="L204" s="21">
        <f t="shared" si="8"/>
      </c>
      <c r="M204" s="21">
        <f t="shared" si="9"/>
      </c>
      <c r="N204" s="21">
        <f t="shared" si="10"/>
      </c>
      <c r="O204" s="21">
        <f t="shared" si="11"/>
      </c>
      <c r="P204" s="96">
        <f t="shared" si="27"/>
      </c>
      <c r="R204" s="21">
        <f t="shared" si="12"/>
      </c>
      <c r="S204" s="21">
        <f t="shared" si="13"/>
      </c>
      <c r="T204" s="21">
        <f t="shared" si="14"/>
      </c>
      <c r="U204" s="21">
        <f t="shared" si="15"/>
      </c>
      <c r="V204" s="21">
        <f t="shared" si="16"/>
      </c>
      <c r="W204" s="21">
        <f t="shared" si="17"/>
      </c>
      <c r="X204" s="21">
        <f t="shared" si="18"/>
      </c>
      <c r="Y204" s="21">
        <f t="shared" si="19"/>
      </c>
      <c r="Z204" s="21">
        <f t="shared" si="20"/>
      </c>
      <c r="AA204" s="21">
        <f t="shared" si="21"/>
      </c>
      <c r="AB204" s="21">
        <f t="shared" si="22"/>
      </c>
      <c r="AC204" s="21">
        <f t="shared" si="23"/>
      </c>
      <c r="AD204" s="96">
        <f t="shared" si="24"/>
      </c>
      <c r="AE204" s="2">
        <f t="shared" si="28"/>
        <v>0</v>
      </c>
      <c r="AF204" s="2">
        <f t="shared" si="29"/>
        <v>999912</v>
      </c>
      <c r="AG204" s="2">
        <f t="shared" si="30"/>
        <v>0</v>
      </c>
      <c r="AZ204" s="2">
        <f>IF(199&gt;$BA$300,0,IFERROR(MATCH(199,$BA$1:$BA$300,0),0))</f>
        <v>0</v>
      </c>
      <c r="BA204" s="2">
        <f>BA200+SUM(CA201:CA204)</f>
        <v>42</v>
      </c>
      <c r="CA204" s="2">
        <f>IF(AND(OR(_余额!$B$206="管理人员",_余额!$B$206="工人"),OR(_余额!$J$206&lt;&gt;0,_余额!$K$206&lt;&gt;0,_余额!$E$206&lt;&gt;0,_余额!$L$206&lt;&gt;0,AND(_余额!$B$206="管理人员",COUNTIFS(工资标准!$B$4:$B$303,_余额!$A$206,工资标准!$E$4:$E$303,"&gt;0")&gt;0))),1,0)</f>
        <v>0</v>
      </c>
    </row>
    <row r="205">
      <c r="A205" s="94">
        <f>IF($AZ205=0,"",200)</f>
      </c>
      <c r="B205" s="94">
        <f t="shared" si="0"/>
      </c>
      <c r="C205" s="94">
        <f t="shared" si="25"/>
      </c>
      <c r="D205" s="119">
        <f t="shared" si="26"/>
      </c>
      <c r="E205" s="21">
        <f t="shared" si="1"/>
      </c>
      <c r="F205" s="118">
        <f t="shared" si="2"/>
      </c>
      <c r="G205" s="21">
        <f t="shared" si="3"/>
      </c>
      <c r="H205" s="21">
        <f t="shared" si="4"/>
      </c>
      <c r="I205" s="21">
        <f t="shared" si="5"/>
      </c>
      <c r="J205" s="21">
        <f t="shared" si="6"/>
      </c>
      <c r="K205" s="21">
        <f t="shared" si="7"/>
      </c>
      <c r="L205" s="21">
        <f t="shared" si="8"/>
      </c>
      <c r="M205" s="21">
        <f t="shared" si="9"/>
      </c>
      <c r="N205" s="21">
        <f t="shared" si="10"/>
      </c>
      <c r="O205" s="21">
        <f t="shared" si="11"/>
      </c>
      <c r="P205" s="96">
        <f t="shared" si="27"/>
      </c>
      <c r="R205" s="21">
        <f t="shared" si="12"/>
      </c>
      <c r="S205" s="21">
        <f t="shared" si="13"/>
      </c>
      <c r="T205" s="21">
        <f t="shared" si="14"/>
      </c>
      <c r="U205" s="21">
        <f t="shared" si="15"/>
      </c>
      <c r="V205" s="21">
        <f t="shared" si="16"/>
      </c>
      <c r="W205" s="21">
        <f t="shared" si="17"/>
      </c>
      <c r="X205" s="21">
        <f t="shared" si="18"/>
      </c>
      <c r="Y205" s="21">
        <f t="shared" si="19"/>
      </c>
      <c r="Z205" s="21">
        <f t="shared" si="20"/>
      </c>
      <c r="AA205" s="21">
        <f t="shared" si="21"/>
      </c>
      <c r="AB205" s="21">
        <f t="shared" si="22"/>
      </c>
      <c r="AC205" s="21">
        <f t="shared" si="23"/>
      </c>
      <c r="AD205" s="96">
        <f t="shared" si="24"/>
      </c>
      <c r="AE205" s="2">
        <f t="shared" si="28"/>
        <v>0</v>
      </c>
      <c r="AF205" s="2">
        <f t="shared" si="29"/>
        <v>999912</v>
      </c>
      <c r="AG205" s="2">
        <f t="shared" si="30"/>
        <v>0</v>
      </c>
      <c r="AZ205" s="2">
        <f>IF(200&gt;$BA$300,0,IFERROR(MATCH(200,$BA$1:$BA$300,0),0))</f>
        <v>0</v>
      </c>
      <c r="BA205" s="2">
        <f>BA200+SUM(CA201:CA205)</f>
        <v>42</v>
      </c>
      <c r="CA205" s="2">
        <f>IF(AND(OR(_余额!$B$207="管理人员",_余额!$B$207="工人"),OR(_余额!$J$207&lt;&gt;0,_余额!$K$207&lt;&gt;0,_余额!$E$207&lt;&gt;0,_余额!$L$207&lt;&gt;0,AND(_余额!$B$207="管理人员",COUNTIFS(工资标准!$B$4:$B$303,_余额!$A$207,工资标准!$E$4:$E$303,"&gt;0")&gt;0))),1,0)</f>
        <v>0</v>
      </c>
    </row>
    <row r="206">
      <c r="BA206" s="2">
        <f>BA200+SUM(CA201:CA206)</f>
        <v>42</v>
      </c>
      <c r="CA206" s="2">
        <f>IF(AND(OR(_余额!$B$208="管理人员",_余额!$B$208="工人"),OR(_余额!$J$208&lt;&gt;0,_余额!$K$208&lt;&gt;0,_余额!$E$208&lt;&gt;0,_余额!$L$208&lt;&gt;0,AND(_余额!$B$208="管理人员",COUNTIFS(工资标准!$B$4:$B$303,_余额!$A$208,工资标准!$E$4:$E$303,"&gt;0")&gt;0))),1,0)</f>
        <v>0</v>
      </c>
    </row>
    <row r="207">
      <c r="BA207" s="2">
        <f>BA200+SUM(CA201:CA207)</f>
        <v>42</v>
      </c>
      <c r="CA207" s="2">
        <f>IF(AND(OR(_余额!$B$209="管理人员",_余额!$B$209="工人"),OR(_余额!$J$209&lt;&gt;0,_余额!$K$209&lt;&gt;0,_余额!$E$209&lt;&gt;0,_余额!$L$209&lt;&gt;0,AND(_余额!$B$209="管理人员",COUNTIFS(工资标准!$B$4:$B$303,_余额!$A$209,工资标准!$E$4:$E$303,"&gt;0")&gt;0))),1,0)</f>
        <v>0</v>
      </c>
    </row>
    <row r="208">
      <c r="BA208" s="2">
        <f>BA200+SUM(CA201:CA208)</f>
        <v>42</v>
      </c>
      <c r="CA208" s="2">
        <f>IF(AND(OR(_余额!$B$210="管理人员",_余额!$B$210="工人"),OR(_余额!$J$210&lt;&gt;0,_余额!$K$210&lt;&gt;0,_余额!$E$210&lt;&gt;0,_余额!$L$210&lt;&gt;0,AND(_余额!$B$210="管理人员",COUNTIFS(工资标准!$B$4:$B$303,_余额!$A$210,工资标准!$E$4:$E$303,"&gt;0")&gt;0))),1,0)</f>
        <v>0</v>
      </c>
    </row>
    <row r="209">
      <c r="BA209" s="2">
        <f>BA200+SUM(CA201:CA209)</f>
        <v>42</v>
      </c>
      <c r="CA209" s="2">
        <f>IF(AND(OR(_余额!$B$211="管理人员",_余额!$B$211="工人"),OR(_余额!$J$211&lt;&gt;0,_余额!$K$211&lt;&gt;0,_余额!$E$211&lt;&gt;0,_余额!$L$211&lt;&gt;0,AND(_余额!$B$211="管理人员",COUNTIFS(工资标准!$B$4:$B$303,_余额!$A$211,工资标准!$E$4:$E$303,"&gt;0")&gt;0))),1,0)</f>
        <v>0</v>
      </c>
    </row>
    <row r="210">
      <c r="BA210" s="2">
        <f>BA200+SUM(CA201:CA210)</f>
        <v>42</v>
      </c>
      <c r="CA210" s="2">
        <f>IF(AND(OR(_余额!$B$212="管理人员",_余额!$B$212="工人"),OR(_余额!$J$212&lt;&gt;0,_余额!$K$212&lt;&gt;0,_余额!$E$212&lt;&gt;0,_余额!$L$212&lt;&gt;0,AND(_余额!$B$212="管理人员",COUNTIFS(工资标准!$B$4:$B$303,_余额!$A$212,工资标准!$E$4:$E$303,"&gt;0")&gt;0))),1,0)</f>
        <v>0</v>
      </c>
    </row>
    <row r="211">
      <c r="BA211" s="2">
        <f>BA200+SUM(CA201:CA211)</f>
        <v>42</v>
      </c>
      <c r="CA211" s="2">
        <f>IF(AND(OR(_余额!$B$213="管理人员",_余额!$B$213="工人"),OR(_余额!$J$213&lt;&gt;0,_余额!$K$213&lt;&gt;0,_余额!$E$213&lt;&gt;0,_余额!$L$213&lt;&gt;0,AND(_余额!$B$213="管理人员",COUNTIFS(工资标准!$B$4:$B$303,_余额!$A$213,工资标准!$E$4:$E$303,"&gt;0")&gt;0))),1,0)</f>
        <v>0</v>
      </c>
    </row>
    <row r="212">
      <c r="BA212" s="2">
        <f>BA200+SUM(CA201:CA212)</f>
        <v>42</v>
      </c>
      <c r="CA212" s="2">
        <f>IF(AND(OR(_余额!$B$214="管理人员",_余额!$B$214="工人"),OR(_余额!$J$214&lt;&gt;0,_余额!$K$214&lt;&gt;0,_余额!$E$214&lt;&gt;0,_余额!$L$214&lt;&gt;0,AND(_余额!$B$214="管理人员",COUNTIFS(工资标准!$B$4:$B$303,_余额!$A$214,工资标准!$E$4:$E$303,"&gt;0")&gt;0))),1,0)</f>
        <v>0</v>
      </c>
    </row>
    <row r="213">
      <c r="BA213" s="2">
        <f>BA200+SUM(CA201:CA213)</f>
        <v>42</v>
      </c>
      <c r="CA213" s="2">
        <f>IF(AND(OR(_余额!$B$215="管理人员",_余额!$B$215="工人"),OR(_余额!$J$215&lt;&gt;0,_余额!$K$215&lt;&gt;0,_余额!$E$215&lt;&gt;0,_余额!$L$215&lt;&gt;0,AND(_余额!$B$215="管理人员",COUNTIFS(工资标准!$B$4:$B$303,_余额!$A$215,工资标准!$E$4:$E$303,"&gt;0")&gt;0))),1,0)</f>
        <v>0</v>
      </c>
    </row>
    <row r="214">
      <c r="BA214" s="2">
        <f>BA200+SUM(CA201:CA214)</f>
        <v>42</v>
      </c>
      <c r="CA214" s="2">
        <f>IF(AND(OR(_余额!$B$216="管理人员",_余额!$B$216="工人"),OR(_余额!$J$216&lt;&gt;0,_余额!$K$216&lt;&gt;0,_余额!$E$216&lt;&gt;0,_余额!$L$216&lt;&gt;0,AND(_余额!$B$216="管理人员",COUNTIFS(工资标准!$B$4:$B$303,_余额!$A$216,工资标准!$E$4:$E$303,"&gt;0")&gt;0))),1,0)</f>
        <v>0</v>
      </c>
    </row>
    <row r="215">
      <c r="BA215" s="2">
        <f>BA200+SUM(CA201:CA215)</f>
        <v>42</v>
      </c>
      <c r="CA215" s="2">
        <f>IF(AND(OR(_余额!$B$217="管理人员",_余额!$B$217="工人"),OR(_余额!$J$217&lt;&gt;0,_余额!$K$217&lt;&gt;0,_余额!$E$217&lt;&gt;0,_余额!$L$217&lt;&gt;0,AND(_余额!$B$217="管理人员",COUNTIFS(工资标准!$B$4:$B$303,_余额!$A$217,工资标准!$E$4:$E$303,"&gt;0")&gt;0))),1,0)</f>
        <v>0</v>
      </c>
    </row>
    <row r="216">
      <c r="BA216" s="2">
        <f>BA200+SUM(CA201:CA216)</f>
        <v>42</v>
      </c>
      <c r="CA216" s="2">
        <f>IF(AND(OR(_余额!$B$218="管理人员",_余额!$B$218="工人"),OR(_余额!$J$218&lt;&gt;0,_余额!$K$218&lt;&gt;0,_余额!$E$218&lt;&gt;0,_余额!$L$218&lt;&gt;0,AND(_余额!$B$218="管理人员",COUNTIFS(工资标准!$B$4:$B$303,_余额!$A$218,工资标准!$E$4:$E$303,"&gt;0")&gt;0))),1,0)</f>
        <v>0</v>
      </c>
    </row>
    <row r="217">
      <c r="BA217" s="2">
        <f>BA200+SUM(CA201:CA217)</f>
        <v>42</v>
      </c>
      <c r="CA217" s="2">
        <f>IF(AND(OR(_余额!$B$219="管理人员",_余额!$B$219="工人"),OR(_余额!$J$219&lt;&gt;0,_余额!$K$219&lt;&gt;0,_余额!$E$219&lt;&gt;0,_余额!$L$219&lt;&gt;0,AND(_余额!$B$219="管理人员",COUNTIFS(工资标准!$B$4:$B$303,_余额!$A$219,工资标准!$E$4:$E$303,"&gt;0")&gt;0))),1,0)</f>
        <v>0</v>
      </c>
    </row>
    <row r="218">
      <c r="BA218" s="2">
        <f>BA200+SUM(CA201:CA218)</f>
        <v>42</v>
      </c>
      <c r="CA218" s="2">
        <f>IF(AND(OR(_余额!$B$220="管理人员",_余额!$B$220="工人"),OR(_余额!$J$220&lt;&gt;0,_余额!$K$220&lt;&gt;0,_余额!$E$220&lt;&gt;0,_余额!$L$220&lt;&gt;0,AND(_余额!$B$220="管理人员",COUNTIFS(工资标准!$B$4:$B$303,_余额!$A$220,工资标准!$E$4:$E$303,"&gt;0")&gt;0))),1,0)</f>
        <v>0</v>
      </c>
    </row>
    <row r="219">
      <c r="BA219" s="2">
        <f>BA200+SUM(CA201:CA219)</f>
        <v>42</v>
      </c>
      <c r="CA219" s="2">
        <f>IF(AND(OR(_余额!$B$221="管理人员",_余额!$B$221="工人"),OR(_余额!$J$221&lt;&gt;0,_余额!$K$221&lt;&gt;0,_余额!$E$221&lt;&gt;0,_余额!$L$221&lt;&gt;0,AND(_余额!$B$221="管理人员",COUNTIFS(工资标准!$B$4:$B$303,_余额!$A$221,工资标准!$E$4:$E$303,"&gt;0")&gt;0))),1,0)</f>
        <v>0</v>
      </c>
    </row>
    <row r="220">
      <c r="BA220" s="2">
        <f>BA200+SUM(CA201:CA220)</f>
        <v>42</v>
      </c>
      <c r="CA220" s="2">
        <f>IF(AND(OR(_余额!$B$222="管理人员",_余额!$B$222="工人"),OR(_余额!$J$222&lt;&gt;0,_余额!$K$222&lt;&gt;0,_余额!$E$222&lt;&gt;0,_余额!$L$222&lt;&gt;0,AND(_余额!$B$222="管理人员",COUNTIFS(工资标准!$B$4:$B$303,_余额!$A$222,工资标准!$E$4:$E$303,"&gt;0")&gt;0))),1,0)</f>
        <v>0</v>
      </c>
    </row>
    <row r="221">
      <c r="BA221" s="2">
        <f>BA200+SUM(CA201:CA221)</f>
        <v>42</v>
      </c>
      <c r="CA221" s="2">
        <f>IF(AND(OR(_余额!$B$223="管理人员",_余额!$B$223="工人"),OR(_余额!$J$223&lt;&gt;0,_余额!$K$223&lt;&gt;0,_余额!$E$223&lt;&gt;0,_余额!$L$223&lt;&gt;0,AND(_余额!$B$223="管理人员",COUNTIFS(工资标准!$B$4:$B$303,_余额!$A$223,工资标准!$E$4:$E$303,"&gt;0")&gt;0))),1,0)</f>
        <v>0</v>
      </c>
    </row>
    <row r="222">
      <c r="BA222" s="2">
        <f>BA200+SUM(CA201:CA222)</f>
        <v>42</v>
      </c>
      <c r="CA222" s="2">
        <f>IF(AND(OR(_余额!$B$224="管理人员",_余额!$B$224="工人"),OR(_余额!$J$224&lt;&gt;0,_余额!$K$224&lt;&gt;0,_余额!$E$224&lt;&gt;0,_余额!$L$224&lt;&gt;0,AND(_余额!$B$224="管理人员",COUNTIFS(工资标准!$B$4:$B$303,_余额!$A$224,工资标准!$E$4:$E$303,"&gt;0")&gt;0))),1,0)</f>
        <v>0</v>
      </c>
    </row>
    <row r="223">
      <c r="BA223" s="2">
        <f>BA200+SUM(CA201:CA223)</f>
        <v>42</v>
      </c>
      <c r="CA223" s="2">
        <f>IF(AND(OR(_余额!$B$225="管理人员",_余额!$B$225="工人"),OR(_余额!$J$225&lt;&gt;0,_余额!$K$225&lt;&gt;0,_余额!$E$225&lt;&gt;0,_余额!$L$225&lt;&gt;0,AND(_余额!$B$225="管理人员",COUNTIFS(工资标准!$B$4:$B$303,_余额!$A$225,工资标准!$E$4:$E$303,"&gt;0")&gt;0))),1,0)</f>
        <v>0</v>
      </c>
    </row>
    <row r="224">
      <c r="BA224" s="2">
        <f>BA200+SUM(CA201:CA224)</f>
        <v>42</v>
      </c>
      <c r="CA224" s="2">
        <f>IF(AND(OR(_余额!$B$226="管理人员",_余额!$B$226="工人"),OR(_余额!$J$226&lt;&gt;0,_余额!$K$226&lt;&gt;0,_余额!$E$226&lt;&gt;0,_余额!$L$226&lt;&gt;0,AND(_余额!$B$226="管理人员",COUNTIFS(工资标准!$B$4:$B$303,_余额!$A$226,工资标准!$E$4:$E$303,"&gt;0")&gt;0))),1,0)</f>
        <v>0</v>
      </c>
    </row>
    <row r="225">
      <c r="BA225" s="2">
        <f>BA200+SUM(CA201:CA225)</f>
        <v>42</v>
      </c>
      <c r="CA225" s="2">
        <f>IF(AND(OR(_余额!$B$227="管理人员",_余额!$B$227="工人"),OR(_余额!$J$227&lt;&gt;0,_余额!$K$227&lt;&gt;0,_余额!$E$227&lt;&gt;0,_余额!$L$227&lt;&gt;0,AND(_余额!$B$227="管理人员",COUNTIFS(工资标准!$B$4:$B$303,_余额!$A$227,工资标准!$E$4:$E$303,"&gt;0")&gt;0))),1,0)</f>
        <v>0</v>
      </c>
    </row>
    <row r="226">
      <c r="BA226" s="2">
        <f>BA200+SUM(CA201:CA226)</f>
        <v>42</v>
      </c>
      <c r="CA226" s="2">
        <f>IF(AND(OR(_余额!$B$228="管理人员",_余额!$B$228="工人"),OR(_余额!$J$228&lt;&gt;0,_余额!$K$228&lt;&gt;0,_余额!$E$228&lt;&gt;0,_余额!$L$228&lt;&gt;0,AND(_余额!$B$228="管理人员",COUNTIFS(工资标准!$B$4:$B$303,_余额!$A$228,工资标准!$E$4:$E$303,"&gt;0")&gt;0))),1,0)</f>
        <v>0</v>
      </c>
    </row>
    <row r="227">
      <c r="BA227" s="2">
        <f>BA200+SUM(CA201:CA227)</f>
        <v>42</v>
      </c>
      <c r="CA227" s="2">
        <f>IF(AND(OR(_余额!$B$229="管理人员",_余额!$B$229="工人"),OR(_余额!$J$229&lt;&gt;0,_余额!$K$229&lt;&gt;0,_余额!$E$229&lt;&gt;0,_余额!$L$229&lt;&gt;0,AND(_余额!$B$229="管理人员",COUNTIFS(工资标准!$B$4:$B$303,_余额!$A$229,工资标准!$E$4:$E$303,"&gt;0")&gt;0))),1,0)</f>
        <v>0</v>
      </c>
    </row>
    <row r="228">
      <c r="BA228" s="2">
        <f>BA200+SUM(CA201:CA228)</f>
        <v>42</v>
      </c>
      <c r="CA228" s="2">
        <f>IF(AND(OR(_余额!$B$230="管理人员",_余额!$B$230="工人"),OR(_余额!$J$230&lt;&gt;0,_余额!$K$230&lt;&gt;0,_余额!$E$230&lt;&gt;0,_余额!$L$230&lt;&gt;0,AND(_余额!$B$230="管理人员",COUNTIFS(工资标准!$B$4:$B$303,_余额!$A$230,工资标准!$E$4:$E$303,"&gt;0")&gt;0))),1,0)</f>
        <v>0</v>
      </c>
    </row>
    <row r="229">
      <c r="BA229" s="2">
        <f>BA200+SUM(CA201:CA229)</f>
        <v>42</v>
      </c>
      <c r="CA229" s="2">
        <f>IF(AND(OR(_余额!$B$231="管理人员",_余额!$B$231="工人"),OR(_余额!$J$231&lt;&gt;0,_余额!$K$231&lt;&gt;0,_余额!$E$231&lt;&gt;0,_余额!$L$231&lt;&gt;0,AND(_余额!$B$231="管理人员",COUNTIFS(工资标准!$B$4:$B$303,_余额!$A$231,工资标准!$E$4:$E$303,"&gt;0")&gt;0))),1,0)</f>
        <v>0</v>
      </c>
    </row>
    <row r="230">
      <c r="BA230" s="2">
        <f>BA200+SUM(CA201:CA230)</f>
        <v>42</v>
      </c>
      <c r="CA230" s="2">
        <f>IF(AND(OR(_余额!$B$232="管理人员",_余额!$B$232="工人"),OR(_余额!$J$232&lt;&gt;0,_余额!$K$232&lt;&gt;0,_余额!$E$232&lt;&gt;0,_余额!$L$232&lt;&gt;0,AND(_余额!$B$232="管理人员",COUNTIFS(工资标准!$B$4:$B$303,_余额!$A$232,工资标准!$E$4:$E$303,"&gt;0")&gt;0))),1,0)</f>
        <v>0</v>
      </c>
    </row>
    <row r="231">
      <c r="BA231" s="2">
        <f>BA200+SUM(CA201:CA231)</f>
        <v>42</v>
      </c>
      <c r="CA231" s="2">
        <f>IF(AND(OR(_余额!$B$233="管理人员",_余额!$B$233="工人"),OR(_余额!$J$233&lt;&gt;0,_余额!$K$233&lt;&gt;0,_余额!$E$233&lt;&gt;0,_余额!$L$233&lt;&gt;0,AND(_余额!$B$233="管理人员",COUNTIFS(工资标准!$B$4:$B$303,_余额!$A$233,工资标准!$E$4:$E$303,"&gt;0")&gt;0))),1,0)</f>
        <v>0</v>
      </c>
    </row>
    <row r="232">
      <c r="BA232" s="2">
        <f>BA200+SUM(CA201:CA232)</f>
        <v>42</v>
      </c>
      <c r="CA232" s="2">
        <f>IF(AND(OR(_余额!$B$234="管理人员",_余额!$B$234="工人"),OR(_余额!$J$234&lt;&gt;0,_余额!$K$234&lt;&gt;0,_余额!$E$234&lt;&gt;0,_余额!$L$234&lt;&gt;0,AND(_余额!$B$234="管理人员",COUNTIFS(工资标准!$B$4:$B$303,_余额!$A$234,工资标准!$E$4:$E$303,"&gt;0")&gt;0))),1,0)</f>
        <v>0</v>
      </c>
    </row>
    <row r="233">
      <c r="BA233" s="2">
        <f>BA200+SUM(CA201:CA233)</f>
        <v>42</v>
      </c>
      <c r="CA233" s="2">
        <f>IF(AND(OR(_余额!$B$235="管理人员",_余额!$B$235="工人"),OR(_余额!$J$235&lt;&gt;0,_余额!$K$235&lt;&gt;0,_余额!$E$235&lt;&gt;0,_余额!$L$235&lt;&gt;0,AND(_余额!$B$235="管理人员",COUNTIFS(工资标准!$B$4:$B$303,_余额!$A$235,工资标准!$E$4:$E$303,"&gt;0")&gt;0))),1,0)</f>
        <v>0</v>
      </c>
    </row>
    <row r="234">
      <c r="BA234" s="2">
        <f>BA200+SUM(CA201:CA234)</f>
        <v>42</v>
      </c>
      <c r="CA234" s="2">
        <f>IF(AND(OR(_余额!$B$236="管理人员",_余额!$B$236="工人"),OR(_余额!$J$236&lt;&gt;0,_余额!$K$236&lt;&gt;0,_余额!$E$236&lt;&gt;0,_余额!$L$236&lt;&gt;0,AND(_余额!$B$236="管理人员",COUNTIFS(工资标准!$B$4:$B$303,_余额!$A$236,工资标准!$E$4:$E$303,"&gt;0")&gt;0))),1,0)</f>
        <v>0</v>
      </c>
    </row>
    <row r="235">
      <c r="BA235" s="2">
        <f>BA200+SUM(CA201:CA235)</f>
        <v>42</v>
      </c>
      <c r="CA235" s="2">
        <f>IF(AND(OR(_余额!$B$237="管理人员",_余额!$B$237="工人"),OR(_余额!$J$237&lt;&gt;0,_余额!$K$237&lt;&gt;0,_余额!$E$237&lt;&gt;0,_余额!$L$237&lt;&gt;0,AND(_余额!$B$237="管理人员",COUNTIFS(工资标准!$B$4:$B$303,_余额!$A$237,工资标准!$E$4:$E$303,"&gt;0")&gt;0))),1,0)</f>
        <v>0</v>
      </c>
    </row>
    <row r="236">
      <c r="BA236" s="2">
        <f>BA200+SUM(CA201:CA236)</f>
        <v>42</v>
      </c>
      <c r="CA236" s="2">
        <f>IF(AND(OR(_余额!$B$238="管理人员",_余额!$B$238="工人"),OR(_余额!$J$238&lt;&gt;0,_余额!$K$238&lt;&gt;0,_余额!$E$238&lt;&gt;0,_余额!$L$238&lt;&gt;0,AND(_余额!$B$238="管理人员",COUNTIFS(工资标准!$B$4:$B$303,_余额!$A$238,工资标准!$E$4:$E$303,"&gt;0")&gt;0))),1,0)</f>
        <v>0</v>
      </c>
    </row>
    <row r="237">
      <c r="BA237" s="2">
        <f>BA200+SUM(CA201:CA237)</f>
        <v>42</v>
      </c>
      <c r="CA237" s="2">
        <f>IF(AND(OR(_余额!$B$239="管理人员",_余额!$B$239="工人"),OR(_余额!$J$239&lt;&gt;0,_余额!$K$239&lt;&gt;0,_余额!$E$239&lt;&gt;0,_余额!$L$239&lt;&gt;0,AND(_余额!$B$239="管理人员",COUNTIFS(工资标准!$B$4:$B$303,_余额!$A$239,工资标准!$E$4:$E$303,"&gt;0")&gt;0))),1,0)</f>
        <v>0</v>
      </c>
    </row>
    <row r="238">
      <c r="BA238" s="2">
        <f>BA200+SUM(CA201:CA238)</f>
        <v>42</v>
      </c>
      <c r="CA238" s="2">
        <f>IF(AND(OR(_余额!$B$240="管理人员",_余额!$B$240="工人"),OR(_余额!$J$240&lt;&gt;0,_余额!$K$240&lt;&gt;0,_余额!$E$240&lt;&gt;0,_余额!$L$240&lt;&gt;0,AND(_余额!$B$240="管理人员",COUNTIFS(工资标准!$B$4:$B$303,_余额!$A$240,工资标准!$E$4:$E$303,"&gt;0")&gt;0))),1,0)</f>
        <v>0</v>
      </c>
    </row>
    <row r="239">
      <c r="BA239" s="2">
        <f>BA200+SUM(CA201:CA239)</f>
        <v>42</v>
      </c>
      <c r="CA239" s="2">
        <f>IF(AND(OR(_余额!$B$241="管理人员",_余额!$B$241="工人"),OR(_余额!$J$241&lt;&gt;0,_余额!$K$241&lt;&gt;0,_余额!$E$241&lt;&gt;0,_余额!$L$241&lt;&gt;0,AND(_余额!$B$241="管理人员",COUNTIFS(工资标准!$B$4:$B$303,_余额!$A$241,工资标准!$E$4:$E$303,"&gt;0")&gt;0))),1,0)</f>
        <v>0</v>
      </c>
    </row>
    <row r="240">
      <c r="BA240" s="2">
        <f>BA200+SUM(CA201:CA240)</f>
        <v>42</v>
      </c>
      <c r="CA240" s="2">
        <f>IF(AND(OR(_余额!$B$242="管理人员",_余额!$B$242="工人"),OR(_余额!$J$242&lt;&gt;0,_余额!$K$242&lt;&gt;0,_余额!$E$242&lt;&gt;0,_余额!$L$242&lt;&gt;0,AND(_余额!$B$242="管理人员",COUNTIFS(工资标准!$B$4:$B$303,_余额!$A$242,工资标准!$E$4:$E$303,"&gt;0")&gt;0))),1,0)</f>
        <v>0</v>
      </c>
    </row>
    <row r="241">
      <c r="BA241" s="2">
        <f>BA200+SUM(CA201:CA241)</f>
        <v>42</v>
      </c>
      <c r="CA241" s="2">
        <f>IF(AND(OR(_余额!$B$243="管理人员",_余额!$B$243="工人"),OR(_余额!$J$243&lt;&gt;0,_余额!$K$243&lt;&gt;0,_余额!$E$243&lt;&gt;0,_余额!$L$243&lt;&gt;0,AND(_余额!$B$243="管理人员",COUNTIFS(工资标准!$B$4:$B$303,_余额!$A$243,工资标准!$E$4:$E$303,"&gt;0")&gt;0))),1,0)</f>
        <v>0</v>
      </c>
    </row>
    <row r="242">
      <c r="BA242" s="2">
        <f>BA200+SUM(CA201:CA242)</f>
        <v>42</v>
      </c>
      <c r="CA242" s="2">
        <f>IF(AND(OR(_余额!$B$244="管理人员",_余额!$B$244="工人"),OR(_余额!$J$244&lt;&gt;0,_余额!$K$244&lt;&gt;0,_余额!$E$244&lt;&gt;0,_余额!$L$244&lt;&gt;0,AND(_余额!$B$244="管理人员",COUNTIFS(工资标准!$B$4:$B$303,_余额!$A$244,工资标准!$E$4:$E$303,"&gt;0")&gt;0))),1,0)</f>
        <v>0</v>
      </c>
    </row>
    <row r="243">
      <c r="BA243" s="2">
        <f>BA200+SUM(CA201:CA243)</f>
        <v>42</v>
      </c>
      <c r="CA243" s="2">
        <f>IF(AND(OR(_余额!$B$245="管理人员",_余额!$B$245="工人"),OR(_余额!$J$245&lt;&gt;0,_余额!$K$245&lt;&gt;0,_余额!$E$245&lt;&gt;0,_余额!$L$245&lt;&gt;0,AND(_余额!$B$245="管理人员",COUNTIFS(工资标准!$B$4:$B$303,_余额!$A$245,工资标准!$E$4:$E$303,"&gt;0")&gt;0))),1,0)</f>
        <v>0</v>
      </c>
    </row>
    <row r="244">
      <c r="BA244" s="2">
        <f>BA200+SUM(CA201:CA244)</f>
        <v>42</v>
      </c>
      <c r="CA244" s="2">
        <f>IF(AND(OR(_余额!$B$246="管理人员",_余额!$B$246="工人"),OR(_余额!$J$246&lt;&gt;0,_余额!$K$246&lt;&gt;0,_余额!$E$246&lt;&gt;0,_余额!$L$246&lt;&gt;0,AND(_余额!$B$246="管理人员",COUNTIFS(工资标准!$B$4:$B$303,_余额!$A$246,工资标准!$E$4:$E$303,"&gt;0")&gt;0))),1,0)</f>
        <v>0</v>
      </c>
    </row>
    <row r="245">
      <c r="BA245" s="2">
        <f>BA200+SUM(CA201:CA245)</f>
        <v>42</v>
      </c>
      <c r="CA245" s="2">
        <f>IF(AND(OR(_余额!$B$247="管理人员",_余额!$B$247="工人"),OR(_余额!$J$247&lt;&gt;0,_余额!$K$247&lt;&gt;0,_余额!$E$247&lt;&gt;0,_余额!$L$247&lt;&gt;0,AND(_余额!$B$247="管理人员",COUNTIFS(工资标准!$B$4:$B$303,_余额!$A$247,工资标准!$E$4:$E$303,"&gt;0")&gt;0))),1,0)</f>
        <v>0</v>
      </c>
    </row>
    <row r="246">
      <c r="BA246" s="2">
        <f>BA200+SUM(CA201:CA246)</f>
        <v>42</v>
      </c>
      <c r="CA246" s="2">
        <f>IF(AND(OR(_余额!$B$248="管理人员",_余额!$B$248="工人"),OR(_余额!$J$248&lt;&gt;0,_余额!$K$248&lt;&gt;0,_余额!$E$248&lt;&gt;0,_余额!$L$248&lt;&gt;0,AND(_余额!$B$248="管理人员",COUNTIFS(工资标准!$B$4:$B$303,_余额!$A$248,工资标准!$E$4:$E$303,"&gt;0")&gt;0))),1,0)</f>
        <v>0</v>
      </c>
    </row>
    <row r="247">
      <c r="BA247" s="2">
        <f>BA200+SUM(CA201:CA247)</f>
        <v>42</v>
      </c>
      <c r="CA247" s="2">
        <f>IF(AND(OR(_余额!$B$249="管理人员",_余额!$B$249="工人"),OR(_余额!$J$249&lt;&gt;0,_余额!$K$249&lt;&gt;0,_余额!$E$249&lt;&gt;0,_余额!$L$249&lt;&gt;0,AND(_余额!$B$249="管理人员",COUNTIFS(工资标准!$B$4:$B$303,_余额!$A$249,工资标准!$E$4:$E$303,"&gt;0")&gt;0))),1,0)</f>
        <v>0</v>
      </c>
    </row>
    <row r="248">
      <c r="BA248" s="2">
        <f>BA200+SUM(CA201:CA248)</f>
        <v>42</v>
      </c>
      <c r="CA248" s="2">
        <f>IF(AND(OR(_余额!$B$250="管理人员",_余额!$B$250="工人"),OR(_余额!$J$250&lt;&gt;0,_余额!$K$250&lt;&gt;0,_余额!$E$250&lt;&gt;0,_余额!$L$250&lt;&gt;0,AND(_余额!$B$250="管理人员",COUNTIFS(工资标准!$B$4:$B$303,_余额!$A$250,工资标准!$E$4:$E$303,"&gt;0")&gt;0))),1,0)</f>
        <v>0</v>
      </c>
    </row>
    <row r="249">
      <c r="BA249" s="2">
        <f>BA200+SUM(CA201:CA249)</f>
        <v>42</v>
      </c>
      <c r="CA249" s="2">
        <f>IF(AND(OR(_余额!$B$251="管理人员",_余额!$B$251="工人"),OR(_余额!$J$251&lt;&gt;0,_余额!$K$251&lt;&gt;0,_余额!$E$251&lt;&gt;0,_余额!$L$251&lt;&gt;0,AND(_余额!$B$251="管理人员",COUNTIFS(工资标准!$B$4:$B$303,_余额!$A$251,工资标准!$E$4:$E$303,"&gt;0")&gt;0))),1,0)</f>
        <v>0</v>
      </c>
    </row>
    <row r="250">
      <c r="BA250" s="2">
        <f>BA200+SUM(CA201:CA250)</f>
        <v>42</v>
      </c>
      <c r="CA250" s="2">
        <f>IF(AND(OR(_余额!$B$252="管理人员",_余额!$B$252="工人"),OR(_余额!$J$252&lt;&gt;0,_余额!$K$252&lt;&gt;0,_余额!$E$252&lt;&gt;0,_余额!$L$252&lt;&gt;0,AND(_余额!$B$252="管理人员",COUNTIFS(工资标准!$B$4:$B$303,_余额!$A$252,工资标准!$E$4:$E$303,"&gt;0")&gt;0))),1,0)</f>
        <v>0</v>
      </c>
    </row>
    <row r="251">
      <c r="BA251" s="2">
        <f>BA250+SUM(CA251:CA251)</f>
        <v>42</v>
      </c>
      <c r="CA251" s="2">
        <f>IF(AND(OR(_余额!$B$253="管理人员",_余额!$B$253="工人"),OR(_余额!$J$253&lt;&gt;0,_余额!$K$253&lt;&gt;0,_余额!$E$253&lt;&gt;0,_余额!$L$253&lt;&gt;0,AND(_余额!$B$253="管理人员",COUNTIFS(工资标准!$B$4:$B$303,_余额!$A$253,工资标准!$E$4:$E$303,"&gt;0")&gt;0))),1,0)</f>
        <v>0</v>
      </c>
    </row>
    <row r="252">
      <c r="BA252" s="2">
        <f>BA250+SUM(CA251:CA252)</f>
        <v>42</v>
      </c>
      <c r="CA252" s="2">
        <f>IF(AND(OR(_余额!$B$254="管理人员",_余额!$B$254="工人"),OR(_余额!$J$254&lt;&gt;0,_余额!$K$254&lt;&gt;0,_余额!$E$254&lt;&gt;0,_余额!$L$254&lt;&gt;0,AND(_余额!$B$254="管理人员",COUNTIFS(工资标准!$B$4:$B$303,_余额!$A$254,工资标准!$E$4:$E$303,"&gt;0")&gt;0))),1,0)</f>
        <v>0</v>
      </c>
    </row>
    <row r="253">
      <c r="BA253" s="2">
        <f>BA250+SUM(CA251:CA253)</f>
        <v>42</v>
      </c>
      <c r="CA253" s="2">
        <f>IF(AND(OR(_余额!$B$255="管理人员",_余额!$B$255="工人"),OR(_余额!$J$255&lt;&gt;0,_余额!$K$255&lt;&gt;0,_余额!$E$255&lt;&gt;0,_余额!$L$255&lt;&gt;0,AND(_余额!$B$255="管理人员",COUNTIFS(工资标准!$B$4:$B$303,_余额!$A$255,工资标准!$E$4:$E$303,"&gt;0")&gt;0))),1,0)</f>
        <v>0</v>
      </c>
    </row>
    <row r="254">
      <c r="BA254" s="2">
        <f>BA250+SUM(CA251:CA254)</f>
        <v>42</v>
      </c>
      <c r="CA254" s="2">
        <f>IF(AND(OR(_余额!$B$256="管理人员",_余额!$B$256="工人"),OR(_余额!$J$256&lt;&gt;0,_余额!$K$256&lt;&gt;0,_余额!$E$256&lt;&gt;0,_余额!$L$256&lt;&gt;0,AND(_余额!$B$256="管理人员",COUNTIFS(工资标准!$B$4:$B$303,_余额!$A$256,工资标准!$E$4:$E$303,"&gt;0")&gt;0))),1,0)</f>
        <v>0</v>
      </c>
    </row>
    <row r="255">
      <c r="BA255" s="2">
        <f>BA250+SUM(CA251:CA255)</f>
        <v>42</v>
      </c>
      <c r="CA255" s="2">
        <f>IF(AND(OR(_余额!$B$257="管理人员",_余额!$B$257="工人"),OR(_余额!$J$257&lt;&gt;0,_余额!$K$257&lt;&gt;0,_余额!$E$257&lt;&gt;0,_余额!$L$257&lt;&gt;0,AND(_余额!$B$257="管理人员",COUNTIFS(工资标准!$B$4:$B$303,_余额!$A$257,工资标准!$E$4:$E$303,"&gt;0")&gt;0))),1,0)</f>
        <v>0</v>
      </c>
    </row>
    <row r="256">
      <c r="BA256" s="2">
        <f>BA250+SUM(CA251:CA256)</f>
        <v>42</v>
      </c>
      <c r="CA256" s="2">
        <f>IF(AND(OR(_余额!$B$258="管理人员",_余额!$B$258="工人"),OR(_余额!$J$258&lt;&gt;0,_余额!$K$258&lt;&gt;0,_余额!$E$258&lt;&gt;0,_余额!$L$258&lt;&gt;0,AND(_余额!$B$258="管理人员",COUNTIFS(工资标准!$B$4:$B$303,_余额!$A$258,工资标准!$E$4:$E$303,"&gt;0")&gt;0))),1,0)</f>
        <v>0</v>
      </c>
    </row>
    <row r="257">
      <c r="BA257" s="2">
        <f>BA250+SUM(CA251:CA257)</f>
        <v>42</v>
      </c>
      <c r="CA257" s="2">
        <f>IF(AND(OR(_余额!$B$259="管理人员",_余额!$B$259="工人"),OR(_余额!$J$259&lt;&gt;0,_余额!$K$259&lt;&gt;0,_余额!$E$259&lt;&gt;0,_余额!$L$259&lt;&gt;0,AND(_余额!$B$259="管理人员",COUNTIFS(工资标准!$B$4:$B$303,_余额!$A$259,工资标准!$E$4:$E$303,"&gt;0")&gt;0))),1,0)</f>
        <v>0</v>
      </c>
    </row>
    <row r="258">
      <c r="BA258" s="2">
        <f>BA250+SUM(CA251:CA258)</f>
        <v>42</v>
      </c>
      <c r="CA258" s="2">
        <f>IF(AND(OR(_余额!$B$260="管理人员",_余额!$B$260="工人"),OR(_余额!$J$260&lt;&gt;0,_余额!$K$260&lt;&gt;0,_余额!$E$260&lt;&gt;0,_余额!$L$260&lt;&gt;0,AND(_余额!$B$260="管理人员",COUNTIFS(工资标准!$B$4:$B$303,_余额!$A$260,工资标准!$E$4:$E$303,"&gt;0")&gt;0))),1,0)</f>
        <v>0</v>
      </c>
    </row>
    <row r="259">
      <c r="BA259" s="2">
        <f>BA250+SUM(CA251:CA259)</f>
        <v>42</v>
      </c>
      <c r="CA259" s="2">
        <f>IF(AND(OR(_余额!$B$261="管理人员",_余额!$B$261="工人"),OR(_余额!$J$261&lt;&gt;0,_余额!$K$261&lt;&gt;0,_余额!$E$261&lt;&gt;0,_余额!$L$261&lt;&gt;0,AND(_余额!$B$261="管理人员",COUNTIFS(工资标准!$B$4:$B$303,_余额!$A$261,工资标准!$E$4:$E$303,"&gt;0")&gt;0))),1,0)</f>
        <v>0</v>
      </c>
    </row>
    <row r="260">
      <c r="BA260" s="2">
        <f>BA250+SUM(CA251:CA260)</f>
        <v>42</v>
      </c>
      <c r="CA260" s="2">
        <f>IF(AND(OR(_余额!$B$262="管理人员",_余额!$B$262="工人"),OR(_余额!$J$262&lt;&gt;0,_余额!$K$262&lt;&gt;0,_余额!$E$262&lt;&gt;0,_余额!$L$262&lt;&gt;0,AND(_余额!$B$262="管理人员",COUNTIFS(工资标准!$B$4:$B$303,_余额!$A$262,工资标准!$E$4:$E$303,"&gt;0")&gt;0))),1,0)</f>
        <v>0</v>
      </c>
    </row>
    <row r="261">
      <c r="BA261" s="2">
        <f>BA250+SUM(CA251:CA261)</f>
        <v>42</v>
      </c>
      <c r="CA261" s="2">
        <f>IF(AND(OR(_余额!$B$263="管理人员",_余额!$B$263="工人"),OR(_余额!$J$263&lt;&gt;0,_余额!$K$263&lt;&gt;0,_余额!$E$263&lt;&gt;0,_余额!$L$263&lt;&gt;0,AND(_余额!$B$263="管理人员",COUNTIFS(工资标准!$B$4:$B$303,_余额!$A$263,工资标准!$E$4:$E$303,"&gt;0")&gt;0))),1,0)</f>
        <v>0</v>
      </c>
    </row>
    <row r="262">
      <c r="BA262" s="2">
        <f>BA250+SUM(CA251:CA262)</f>
        <v>42</v>
      </c>
      <c r="CA262" s="2">
        <f>IF(AND(OR(_余额!$B$264="管理人员",_余额!$B$264="工人"),OR(_余额!$J$264&lt;&gt;0,_余额!$K$264&lt;&gt;0,_余额!$E$264&lt;&gt;0,_余额!$L$264&lt;&gt;0,AND(_余额!$B$264="管理人员",COUNTIFS(工资标准!$B$4:$B$303,_余额!$A$264,工资标准!$E$4:$E$303,"&gt;0")&gt;0))),1,0)</f>
        <v>0</v>
      </c>
    </row>
    <row r="263">
      <c r="BA263" s="2">
        <f>BA250+SUM(CA251:CA263)</f>
        <v>42</v>
      </c>
      <c r="CA263" s="2">
        <f>IF(AND(OR(_余额!$B$265="管理人员",_余额!$B$265="工人"),OR(_余额!$J$265&lt;&gt;0,_余额!$K$265&lt;&gt;0,_余额!$E$265&lt;&gt;0,_余额!$L$265&lt;&gt;0,AND(_余额!$B$265="管理人员",COUNTIFS(工资标准!$B$4:$B$303,_余额!$A$265,工资标准!$E$4:$E$303,"&gt;0")&gt;0))),1,0)</f>
        <v>0</v>
      </c>
    </row>
    <row r="264">
      <c r="BA264" s="2">
        <f>BA250+SUM(CA251:CA264)</f>
        <v>42</v>
      </c>
      <c r="CA264" s="2">
        <f>IF(AND(OR(_余额!$B$266="管理人员",_余额!$B$266="工人"),OR(_余额!$J$266&lt;&gt;0,_余额!$K$266&lt;&gt;0,_余额!$E$266&lt;&gt;0,_余额!$L$266&lt;&gt;0,AND(_余额!$B$266="管理人员",COUNTIFS(工资标准!$B$4:$B$303,_余额!$A$266,工资标准!$E$4:$E$303,"&gt;0")&gt;0))),1,0)</f>
        <v>0</v>
      </c>
    </row>
    <row r="265">
      <c r="BA265" s="2">
        <f>BA250+SUM(CA251:CA265)</f>
        <v>42</v>
      </c>
      <c r="CA265" s="2">
        <f>IF(AND(OR(_余额!$B$267="管理人员",_余额!$B$267="工人"),OR(_余额!$J$267&lt;&gt;0,_余额!$K$267&lt;&gt;0,_余额!$E$267&lt;&gt;0,_余额!$L$267&lt;&gt;0,AND(_余额!$B$267="管理人员",COUNTIFS(工资标准!$B$4:$B$303,_余额!$A$267,工资标准!$E$4:$E$303,"&gt;0")&gt;0))),1,0)</f>
        <v>0</v>
      </c>
    </row>
    <row r="266">
      <c r="BA266" s="2">
        <f>BA250+SUM(CA251:CA266)</f>
        <v>42</v>
      </c>
      <c r="CA266" s="2">
        <f>IF(AND(OR(_余额!$B$268="管理人员",_余额!$B$268="工人"),OR(_余额!$J$268&lt;&gt;0,_余额!$K$268&lt;&gt;0,_余额!$E$268&lt;&gt;0,_余额!$L$268&lt;&gt;0,AND(_余额!$B$268="管理人员",COUNTIFS(工资标准!$B$4:$B$303,_余额!$A$268,工资标准!$E$4:$E$303,"&gt;0")&gt;0))),1,0)</f>
        <v>0</v>
      </c>
    </row>
    <row r="267">
      <c r="BA267" s="2">
        <f>BA250+SUM(CA251:CA267)</f>
        <v>42</v>
      </c>
      <c r="CA267" s="2">
        <f>IF(AND(OR(_余额!$B$269="管理人员",_余额!$B$269="工人"),OR(_余额!$J$269&lt;&gt;0,_余额!$K$269&lt;&gt;0,_余额!$E$269&lt;&gt;0,_余额!$L$269&lt;&gt;0,AND(_余额!$B$269="管理人员",COUNTIFS(工资标准!$B$4:$B$303,_余额!$A$269,工资标准!$E$4:$E$303,"&gt;0")&gt;0))),1,0)</f>
        <v>0</v>
      </c>
    </row>
    <row r="268">
      <c r="BA268" s="2">
        <f>BA250+SUM(CA251:CA268)</f>
        <v>42</v>
      </c>
      <c r="CA268" s="2">
        <f>IF(AND(OR(_余额!$B$270="管理人员",_余额!$B$270="工人"),OR(_余额!$J$270&lt;&gt;0,_余额!$K$270&lt;&gt;0,_余额!$E$270&lt;&gt;0,_余额!$L$270&lt;&gt;0,AND(_余额!$B$270="管理人员",COUNTIFS(工资标准!$B$4:$B$303,_余额!$A$270,工资标准!$E$4:$E$303,"&gt;0")&gt;0))),1,0)</f>
        <v>0</v>
      </c>
    </row>
    <row r="269">
      <c r="BA269" s="2">
        <f>BA250+SUM(CA251:CA269)</f>
        <v>42</v>
      </c>
      <c r="CA269" s="2">
        <f>IF(AND(OR(_余额!$B$271="管理人员",_余额!$B$271="工人"),OR(_余额!$J$271&lt;&gt;0,_余额!$K$271&lt;&gt;0,_余额!$E$271&lt;&gt;0,_余额!$L$271&lt;&gt;0,AND(_余额!$B$271="管理人员",COUNTIFS(工资标准!$B$4:$B$303,_余额!$A$271,工资标准!$E$4:$E$303,"&gt;0")&gt;0))),1,0)</f>
        <v>0</v>
      </c>
    </row>
    <row r="270">
      <c r="BA270" s="2">
        <f>BA250+SUM(CA251:CA270)</f>
        <v>42</v>
      </c>
      <c r="CA270" s="2">
        <f>IF(AND(OR(_余额!$B$272="管理人员",_余额!$B$272="工人"),OR(_余额!$J$272&lt;&gt;0,_余额!$K$272&lt;&gt;0,_余额!$E$272&lt;&gt;0,_余额!$L$272&lt;&gt;0,AND(_余额!$B$272="管理人员",COUNTIFS(工资标准!$B$4:$B$303,_余额!$A$272,工资标准!$E$4:$E$303,"&gt;0")&gt;0))),1,0)</f>
        <v>0</v>
      </c>
    </row>
    <row r="271">
      <c r="BA271" s="2">
        <f>BA250+SUM(CA251:CA271)</f>
        <v>42</v>
      </c>
      <c r="CA271" s="2">
        <f>IF(AND(OR(_余额!$B$273="管理人员",_余额!$B$273="工人"),OR(_余额!$J$273&lt;&gt;0,_余额!$K$273&lt;&gt;0,_余额!$E$273&lt;&gt;0,_余额!$L$273&lt;&gt;0,AND(_余额!$B$273="管理人员",COUNTIFS(工资标准!$B$4:$B$303,_余额!$A$273,工资标准!$E$4:$E$303,"&gt;0")&gt;0))),1,0)</f>
        <v>0</v>
      </c>
    </row>
    <row r="272">
      <c r="BA272" s="2">
        <f>BA250+SUM(CA251:CA272)</f>
        <v>42</v>
      </c>
      <c r="CA272" s="2">
        <f>IF(AND(OR(_余额!$B$274="管理人员",_余额!$B$274="工人"),OR(_余额!$J$274&lt;&gt;0,_余额!$K$274&lt;&gt;0,_余额!$E$274&lt;&gt;0,_余额!$L$274&lt;&gt;0,AND(_余额!$B$274="管理人员",COUNTIFS(工资标准!$B$4:$B$303,_余额!$A$274,工资标准!$E$4:$E$303,"&gt;0")&gt;0))),1,0)</f>
        <v>0</v>
      </c>
    </row>
    <row r="273">
      <c r="BA273" s="2">
        <f>BA250+SUM(CA251:CA273)</f>
        <v>42</v>
      </c>
      <c r="CA273" s="2">
        <f>IF(AND(OR(_余额!$B$275="管理人员",_余额!$B$275="工人"),OR(_余额!$J$275&lt;&gt;0,_余额!$K$275&lt;&gt;0,_余额!$E$275&lt;&gt;0,_余额!$L$275&lt;&gt;0,AND(_余额!$B$275="管理人员",COUNTIFS(工资标准!$B$4:$B$303,_余额!$A$275,工资标准!$E$4:$E$303,"&gt;0")&gt;0))),1,0)</f>
        <v>0</v>
      </c>
    </row>
    <row r="274">
      <c r="BA274" s="2">
        <f>BA250+SUM(CA251:CA274)</f>
        <v>42</v>
      </c>
      <c r="CA274" s="2">
        <f>IF(AND(OR(_余额!$B$276="管理人员",_余额!$B$276="工人"),OR(_余额!$J$276&lt;&gt;0,_余额!$K$276&lt;&gt;0,_余额!$E$276&lt;&gt;0,_余额!$L$276&lt;&gt;0,AND(_余额!$B$276="管理人员",COUNTIFS(工资标准!$B$4:$B$303,_余额!$A$276,工资标准!$E$4:$E$303,"&gt;0")&gt;0))),1,0)</f>
        <v>0</v>
      </c>
    </row>
    <row r="275">
      <c r="BA275" s="2">
        <f>BA250+SUM(CA251:CA275)</f>
        <v>42</v>
      </c>
      <c r="CA275" s="2">
        <f>IF(AND(OR(_余额!$B$277="管理人员",_余额!$B$277="工人"),OR(_余额!$J$277&lt;&gt;0,_余额!$K$277&lt;&gt;0,_余额!$E$277&lt;&gt;0,_余额!$L$277&lt;&gt;0,AND(_余额!$B$277="管理人员",COUNTIFS(工资标准!$B$4:$B$303,_余额!$A$277,工资标准!$E$4:$E$303,"&gt;0")&gt;0))),1,0)</f>
        <v>0</v>
      </c>
    </row>
    <row r="276">
      <c r="BA276" s="2">
        <f>BA250+SUM(CA251:CA276)</f>
        <v>42</v>
      </c>
      <c r="CA276" s="2">
        <f>IF(AND(OR(_余额!$B$278="管理人员",_余额!$B$278="工人"),OR(_余额!$J$278&lt;&gt;0,_余额!$K$278&lt;&gt;0,_余额!$E$278&lt;&gt;0,_余额!$L$278&lt;&gt;0,AND(_余额!$B$278="管理人员",COUNTIFS(工资标准!$B$4:$B$303,_余额!$A$278,工资标准!$E$4:$E$303,"&gt;0")&gt;0))),1,0)</f>
        <v>0</v>
      </c>
    </row>
    <row r="277">
      <c r="BA277" s="2">
        <f>BA250+SUM(CA251:CA277)</f>
        <v>42</v>
      </c>
      <c r="CA277" s="2">
        <f>IF(AND(OR(_余额!$B$279="管理人员",_余额!$B$279="工人"),OR(_余额!$J$279&lt;&gt;0,_余额!$K$279&lt;&gt;0,_余额!$E$279&lt;&gt;0,_余额!$L$279&lt;&gt;0,AND(_余额!$B$279="管理人员",COUNTIFS(工资标准!$B$4:$B$303,_余额!$A$279,工资标准!$E$4:$E$303,"&gt;0")&gt;0))),1,0)</f>
        <v>0</v>
      </c>
    </row>
    <row r="278">
      <c r="BA278" s="2">
        <f>BA250+SUM(CA251:CA278)</f>
        <v>42</v>
      </c>
      <c r="CA278" s="2">
        <f>IF(AND(OR(_余额!$B$280="管理人员",_余额!$B$280="工人"),OR(_余额!$J$280&lt;&gt;0,_余额!$K$280&lt;&gt;0,_余额!$E$280&lt;&gt;0,_余额!$L$280&lt;&gt;0,AND(_余额!$B$280="管理人员",COUNTIFS(工资标准!$B$4:$B$303,_余额!$A$280,工资标准!$E$4:$E$303,"&gt;0")&gt;0))),1,0)</f>
        <v>0</v>
      </c>
    </row>
    <row r="279">
      <c r="BA279" s="2">
        <f>BA250+SUM(CA251:CA279)</f>
        <v>42</v>
      </c>
      <c r="CA279" s="2">
        <f>IF(AND(OR(_余额!$B$281="管理人员",_余额!$B$281="工人"),OR(_余额!$J$281&lt;&gt;0,_余额!$K$281&lt;&gt;0,_余额!$E$281&lt;&gt;0,_余额!$L$281&lt;&gt;0,AND(_余额!$B$281="管理人员",COUNTIFS(工资标准!$B$4:$B$303,_余额!$A$281,工资标准!$E$4:$E$303,"&gt;0")&gt;0))),1,0)</f>
        <v>0</v>
      </c>
    </row>
    <row r="280">
      <c r="BA280" s="2">
        <f>BA250+SUM(CA251:CA280)</f>
        <v>42</v>
      </c>
      <c r="CA280" s="2">
        <f>IF(AND(OR(_余额!$B$282="管理人员",_余额!$B$282="工人"),OR(_余额!$J$282&lt;&gt;0,_余额!$K$282&lt;&gt;0,_余额!$E$282&lt;&gt;0,_余额!$L$282&lt;&gt;0,AND(_余额!$B$282="管理人员",COUNTIFS(工资标准!$B$4:$B$303,_余额!$A$282,工资标准!$E$4:$E$303,"&gt;0")&gt;0))),1,0)</f>
        <v>0</v>
      </c>
    </row>
    <row r="281">
      <c r="BA281" s="2">
        <f>BA250+SUM(CA251:CA281)</f>
        <v>42</v>
      </c>
      <c r="CA281" s="2">
        <f>IF(AND(OR(_余额!$B$283="管理人员",_余额!$B$283="工人"),OR(_余额!$J$283&lt;&gt;0,_余额!$K$283&lt;&gt;0,_余额!$E$283&lt;&gt;0,_余额!$L$283&lt;&gt;0,AND(_余额!$B$283="管理人员",COUNTIFS(工资标准!$B$4:$B$303,_余额!$A$283,工资标准!$E$4:$E$303,"&gt;0")&gt;0))),1,0)</f>
        <v>0</v>
      </c>
    </row>
    <row r="282">
      <c r="BA282" s="2">
        <f>BA250+SUM(CA251:CA282)</f>
        <v>42</v>
      </c>
      <c r="CA282" s="2">
        <f>IF(AND(OR(_余额!$B$284="管理人员",_余额!$B$284="工人"),OR(_余额!$J$284&lt;&gt;0,_余额!$K$284&lt;&gt;0,_余额!$E$284&lt;&gt;0,_余额!$L$284&lt;&gt;0,AND(_余额!$B$284="管理人员",COUNTIFS(工资标准!$B$4:$B$303,_余额!$A$284,工资标准!$E$4:$E$303,"&gt;0")&gt;0))),1,0)</f>
        <v>0</v>
      </c>
    </row>
    <row r="283">
      <c r="BA283" s="2">
        <f>BA250+SUM(CA251:CA283)</f>
        <v>42</v>
      </c>
      <c r="CA283" s="2">
        <f>IF(AND(OR(_余额!$B$285="管理人员",_余额!$B$285="工人"),OR(_余额!$J$285&lt;&gt;0,_余额!$K$285&lt;&gt;0,_余额!$E$285&lt;&gt;0,_余额!$L$285&lt;&gt;0,AND(_余额!$B$285="管理人员",COUNTIFS(工资标准!$B$4:$B$303,_余额!$A$285,工资标准!$E$4:$E$303,"&gt;0")&gt;0))),1,0)</f>
        <v>0</v>
      </c>
    </row>
    <row r="284">
      <c r="BA284" s="2">
        <f>BA250+SUM(CA251:CA284)</f>
        <v>42</v>
      </c>
      <c r="CA284" s="2">
        <f>IF(AND(OR(_余额!$B$286="管理人员",_余额!$B$286="工人"),OR(_余额!$J$286&lt;&gt;0,_余额!$K$286&lt;&gt;0,_余额!$E$286&lt;&gt;0,_余额!$L$286&lt;&gt;0,AND(_余额!$B$286="管理人员",COUNTIFS(工资标准!$B$4:$B$303,_余额!$A$286,工资标准!$E$4:$E$303,"&gt;0")&gt;0))),1,0)</f>
        <v>0</v>
      </c>
    </row>
    <row r="285">
      <c r="BA285" s="2">
        <f>BA250+SUM(CA251:CA285)</f>
        <v>42</v>
      </c>
      <c r="CA285" s="2">
        <f>IF(AND(OR(_余额!$B$287="管理人员",_余额!$B$287="工人"),OR(_余额!$J$287&lt;&gt;0,_余额!$K$287&lt;&gt;0,_余额!$E$287&lt;&gt;0,_余额!$L$287&lt;&gt;0,AND(_余额!$B$287="管理人员",COUNTIFS(工资标准!$B$4:$B$303,_余额!$A$287,工资标准!$E$4:$E$303,"&gt;0")&gt;0))),1,0)</f>
        <v>0</v>
      </c>
    </row>
    <row r="286">
      <c r="BA286" s="2">
        <f>BA250+SUM(CA251:CA286)</f>
        <v>42</v>
      </c>
      <c r="CA286" s="2">
        <f>IF(AND(OR(_余额!$B$288="管理人员",_余额!$B$288="工人"),OR(_余额!$J$288&lt;&gt;0,_余额!$K$288&lt;&gt;0,_余额!$E$288&lt;&gt;0,_余额!$L$288&lt;&gt;0,AND(_余额!$B$288="管理人员",COUNTIFS(工资标准!$B$4:$B$303,_余额!$A$288,工资标准!$E$4:$E$303,"&gt;0")&gt;0))),1,0)</f>
        <v>0</v>
      </c>
    </row>
    <row r="287">
      <c r="BA287" s="2">
        <f>BA250+SUM(CA251:CA287)</f>
        <v>42</v>
      </c>
      <c r="CA287" s="2">
        <f>IF(AND(OR(_余额!$B$289="管理人员",_余额!$B$289="工人"),OR(_余额!$J$289&lt;&gt;0,_余额!$K$289&lt;&gt;0,_余额!$E$289&lt;&gt;0,_余额!$L$289&lt;&gt;0,AND(_余额!$B$289="管理人员",COUNTIFS(工资标准!$B$4:$B$303,_余额!$A$289,工资标准!$E$4:$E$303,"&gt;0")&gt;0))),1,0)</f>
        <v>0</v>
      </c>
    </row>
    <row r="288">
      <c r="BA288" s="2">
        <f>BA250+SUM(CA251:CA288)</f>
        <v>42</v>
      </c>
      <c r="CA288" s="2">
        <f>IF(AND(OR(_余额!$B$290="管理人员",_余额!$B$290="工人"),OR(_余额!$J$290&lt;&gt;0,_余额!$K$290&lt;&gt;0,_余额!$E$290&lt;&gt;0,_余额!$L$290&lt;&gt;0,AND(_余额!$B$290="管理人员",COUNTIFS(工资标准!$B$4:$B$303,_余额!$A$290,工资标准!$E$4:$E$303,"&gt;0")&gt;0))),1,0)</f>
        <v>0</v>
      </c>
    </row>
    <row r="289">
      <c r="BA289" s="2">
        <f>BA250+SUM(CA251:CA289)</f>
        <v>42</v>
      </c>
      <c r="CA289" s="2">
        <f>IF(AND(OR(_余额!$B$291="管理人员",_余额!$B$291="工人"),OR(_余额!$J$291&lt;&gt;0,_余额!$K$291&lt;&gt;0,_余额!$E$291&lt;&gt;0,_余额!$L$291&lt;&gt;0,AND(_余额!$B$291="管理人员",COUNTIFS(工资标准!$B$4:$B$303,_余额!$A$291,工资标准!$E$4:$E$303,"&gt;0")&gt;0))),1,0)</f>
        <v>0</v>
      </c>
    </row>
    <row r="290">
      <c r="BA290" s="2">
        <f>BA250+SUM(CA251:CA290)</f>
        <v>42</v>
      </c>
      <c r="CA290" s="2">
        <f>IF(AND(OR(_余额!$B$292="管理人员",_余额!$B$292="工人"),OR(_余额!$J$292&lt;&gt;0,_余额!$K$292&lt;&gt;0,_余额!$E$292&lt;&gt;0,_余额!$L$292&lt;&gt;0,AND(_余额!$B$292="管理人员",COUNTIFS(工资标准!$B$4:$B$303,_余额!$A$292,工资标准!$E$4:$E$303,"&gt;0")&gt;0))),1,0)</f>
        <v>0</v>
      </c>
    </row>
    <row r="291">
      <c r="BA291" s="2">
        <f>BA250+SUM(CA251:CA291)</f>
        <v>42</v>
      </c>
      <c r="CA291" s="2">
        <f>IF(AND(OR(_余额!$B$293="管理人员",_余额!$B$293="工人"),OR(_余额!$J$293&lt;&gt;0,_余额!$K$293&lt;&gt;0,_余额!$E$293&lt;&gt;0,_余额!$L$293&lt;&gt;0,AND(_余额!$B$293="管理人员",COUNTIFS(工资标准!$B$4:$B$303,_余额!$A$293,工资标准!$E$4:$E$303,"&gt;0")&gt;0))),1,0)</f>
        <v>0</v>
      </c>
    </row>
    <row r="292">
      <c r="BA292" s="2">
        <f>BA250+SUM(CA251:CA292)</f>
        <v>42</v>
      </c>
      <c r="CA292" s="2">
        <f>IF(AND(OR(_余额!$B$294="管理人员",_余额!$B$294="工人"),OR(_余额!$J$294&lt;&gt;0,_余额!$K$294&lt;&gt;0,_余额!$E$294&lt;&gt;0,_余额!$L$294&lt;&gt;0,AND(_余额!$B$294="管理人员",COUNTIFS(工资标准!$B$4:$B$303,_余额!$A$294,工资标准!$E$4:$E$303,"&gt;0")&gt;0))),1,0)</f>
        <v>0</v>
      </c>
    </row>
    <row r="293">
      <c r="BA293" s="2">
        <f>BA250+SUM(CA251:CA293)</f>
        <v>42</v>
      </c>
      <c r="CA293" s="2">
        <f>IF(AND(OR(_余额!$B$295="管理人员",_余额!$B$295="工人"),OR(_余额!$J$295&lt;&gt;0,_余额!$K$295&lt;&gt;0,_余额!$E$295&lt;&gt;0,_余额!$L$295&lt;&gt;0,AND(_余额!$B$295="管理人员",COUNTIFS(工资标准!$B$4:$B$303,_余额!$A$295,工资标准!$E$4:$E$303,"&gt;0")&gt;0))),1,0)</f>
        <v>0</v>
      </c>
    </row>
    <row r="294">
      <c r="BA294" s="2">
        <f>BA250+SUM(CA251:CA294)</f>
        <v>42</v>
      </c>
      <c r="CA294" s="2">
        <f>IF(AND(OR(_余额!$B$296="管理人员",_余额!$B$296="工人"),OR(_余额!$J$296&lt;&gt;0,_余额!$K$296&lt;&gt;0,_余额!$E$296&lt;&gt;0,_余额!$L$296&lt;&gt;0,AND(_余额!$B$296="管理人员",COUNTIFS(工资标准!$B$4:$B$303,_余额!$A$296,工资标准!$E$4:$E$303,"&gt;0")&gt;0))),1,0)</f>
        <v>0</v>
      </c>
    </row>
    <row r="295">
      <c r="BA295" s="2">
        <f>BA250+SUM(CA251:CA295)</f>
        <v>42</v>
      </c>
      <c r="CA295" s="2">
        <f>IF(AND(OR(_余额!$B$297="管理人员",_余额!$B$297="工人"),OR(_余额!$J$297&lt;&gt;0,_余额!$K$297&lt;&gt;0,_余额!$E$297&lt;&gt;0,_余额!$L$297&lt;&gt;0,AND(_余额!$B$297="管理人员",COUNTIFS(工资标准!$B$4:$B$303,_余额!$A$297,工资标准!$E$4:$E$303,"&gt;0")&gt;0))),1,0)</f>
        <v>0</v>
      </c>
    </row>
    <row r="296">
      <c r="BA296" s="2">
        <f>BA250+SUM(CA251:CA296)</f>
        <v>42</v>
      </c>
      <c r="CA296" s="2">
        <f>IF(AND(OR(_余额!$B$298="管理人员",_余额!$B$298="工人"),OR(_余额!$J$298&lt;&gt;0,_余额!$K$298&lt;&gt;0,_余额!$E$298&lt;&gt;0,_余额!$L$298&lt;&gt;0,AND(_余额!$B$298="管理人员",COUNTIFS(工资标准!$B$4:$B$303,_余额!$A$298,工资标准!$E$4:$E$303,"&gt;0")&gt;0))),1,0)</f>
        <v>0</v>
      </c>
    </row>
    <row r="297">
      <c r="BA297" s="2">
        <f>BA250+SUM(CA251:CA297)</f>
        <v>42</v>
      </c>
      <c r="CA297" s="2">
        <f>IF(AND(OR(_余额!$B$299="管理人员",_余额!$B$299="工人"),OR(_余额!$J$299&lt;&gt;0,_余额!$K$299&lt;&gt;0,_余额!$E$299&lt;&gt;0,_余额!$L$299&lt;&gt;0,AND(_余额!$B$299="管理人员",COUNTIFS(工资标准!$B$4:$B$303,_余额!$A$299,工资标准!$E$4:$E$303,"&gt;0")&gt;0))),1,0)</f>
        <v>0</v>
      </c>
    </row>
    <row r="298">
      <c r="BA298" s="2">
        <f>BA250+SUM(CA251:CA298)</f>
        <v>42</v>
      </c>
      <c r="CA298" s="2">
        <f>IF(AND(OR(_余额!$B$300="管理人员",_余额!$B$300="工人"),OR(_余额!$J$300&lt;&gt;0,_余额!$K$300&lt;&gt;0,_余额!$E$300&lt;&gt;0,_余额!$L$300&lt;&gt;0,AND(_余额!$B$300="管理人员",COUNTIFS(工资标准!$B$4:$B$303,_余额!$A$300,工资标准!$E$4:$E$303,"&gt;0")&gt;0))),1,0)</f>
        <v>0</v>
      </c>
    </row>
    <row r="299">
      <c r="BA299" s="2">
        <f>BA250+SUM(CA251:CA299)</f>
        <v>42</v>
      </c>
      <c r="CA299" s="2">
        <f>IF(AND(OR(_余额!$B$301="管理人员",_余额!$B$301="工人"),OR(_余额!$J$301&lt;&gt;0,_余额!$K$301&lt;&gt;0,_余额!$E$301&lt;&gt;0,_余额!$L$301&lt;&gt;0,AND(_余额!$B$301="管理人员",COUNTIFS(工资标准!$B$4:$B$303,_余额!$A$301,工资标准!$E$4:$E$303,"&gt;0")&gt;0))),1,0)</f>
        <v>0</v>
      </c>
    </row>
    <row r="300">
      <c r="BA300" s="2">
        <f>BA250+SUM(CA251:CA300)</f>
        <v>42</v>
      </c>
      <c r="CA300" s="2">
        <f>IF(AND(OR(_余额!$B$302="管理人员",_余额!$B$302="工人"),OR(_余额!$J$302&lt;&gt;0,_余额!$K$302&lt;&gt;0,_余额!$E$302&lt;&gt;0,_余额!$L$302&lt;&gt;0,AND(_余额!$B$302="管理人员",COUNTIFS(工资标准!$B$4:$B$303,_余额!$A$302,工资标准!$E$4:$E$303,"&gt;0")&gt;0))),1,0)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5:AD205"/>
  <mergeCells count="3">
    <mergeCell ref="A2:AD2"/>
    <mergeCell ref="A1:AD1"/>
    <mergeCell ref="B3:D3"/>
  </mergeCells>
  <conditionalFormatting sqref="O6:O205">
    <cfRule type="expression" priority="1" dxfId="3">
      <formula>N($O6)&lt;0</formula>
    </cfRule>
  </conditionalFormatting>
  <conditionalFormatting sqref="P6:P205">
    <cfRule type="expression" priority="2" dxfId="10">
      <formula>LEFT($P6,1)="✗"</formula>
    </cfRule>
  </conditionalFormatting>
  <conditionalFormatting sqref="AD6:AD205">
    <cfRule type="expression" priority="3" dxfId="1">
      <formula>$AD6&lt;&gt;""</formula>
    </cfRule>
  </conditionalFormatting>
  <hyperlinks>
    <hyperlink ref="AE1" location="'首页'!A1" display="← 回首页"/>
  </hyperlinks>
  <pageMargins left="0.3" right="0.3" top="0.5" bottom="0.5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CA60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3" customWidth="1" min="21" max="21"/>
    <col hidden="1" width="13" customWidth="1" min="53" max="53"/>
    <col hidden="1" width="13" customWidth="1" min="79" max="79"/>
  </cols>
  <sheetData>
    <row r="1" ht="33" customHeight="1">
      <c r="A1" s="1" t="inlineStr">
        <is>
          <t>用 工 成 本 表（各项目每月人工 · 不含分包）</t>
        </is>
      </c>
      <c r="U1" s="33" t="inlineStr">
        <is>
          <t>← 回首页</t>
        </is>
      </c>
      <c r="BA1" s="2">
        <f>SUM(CA1:CA1)</f>
        <v>1</v>
      </c>
      <c r="CA1" s="2">
        <f>IF(AND(_项目汇总!$A$3&lt;&gt;"",SUMIFS(期初余额!$F$5:$F$64,期初余额!$B$5:$B$64,_项目汇总!$A$3)+_项目汇总!$P$3+_项目汇总!$Q$3&lt;&gt;0),1,0)</f>
        <v>1</v>
      </c>
    </row>
    <row r="2" ht="38" customHeight="1">
      <c r="A2" s="3" t="inlineStr">
        <is>
          <t>💡 全自动：每个项目每个月的人工＝【考勤工资】按天数拆到这个项目的应发工资＋现结的临时工（流水类别「临时工工资」）。「以前累计」＝建账前（【期初余额】①人工）＋以前年度。「公司管理」＝管理人员在公司那部分工资（算管理费，年底按比例摊到项目）。跟你原来的用工成本表一样看：一行一个月，一列一个项目。</t>
        </is>
      </c>
      <c r="BA2" s="2">
        <f>SUM(CA1:CA2)</f>
        <v>2</v>
      </c>
      <c r="CA2" s="2">
        <f>IF(AND(_项目汇总!$A$4&lt;&gt;"",SUMIFS(期初余额!$F$5:$F$64,期初余额!$B$5:$B$64,_项目汇总!$A$4)+_项目汇总!$P$4+_项目汇总!$Q$4&lt;&gt;0),1,0)</f>
        <v>1</v>
      </c>
    </row>
    <row r="3">
      <c r="B3" s="98" t="str">
        <f>_辅助!$J$7&amp;"年  截止 "&amp;TEXT(_辅助!$J$9,"m月d日")</f>
        <v>2026年  截止 8月31日</v>
      </c>
      <c r="D3" s="90">
        <f>IF($BA$60&gt;14,"⚠ 有"&amp;$BA$60&amp;"个项目有人工，前14个单列","")</f>
      </c>
      <c r="BA3" s="2">
        <f>SUM(CA1:CA3)</f>
        <v>3</v>
      </c>
      <c r="CA3" s="2">
        <f>IF(AND(_项目汇总!$A$5&lt;&gt;"",SUMIFS(期初余额!$F$5:$F$64,期初余额!$B$5:$B$64,_项目汇总!$A$5)+_项目汇总!$P$5+_项目汇总!$Q$5&lt;&gt;0),1,0)</f>
        <v>1</v>
      </c>
    </row>
    <row r="4">
      <c r="BA4" s="2">
        <f>SUM(CA1:CA4)</f>
        <v>3</v>
      </c>
      <c r="CA4" s="2">
        <f>IF(AND(_项目汇总!$A$6&lt;&gt;"",SUMIFS(期初余额!$F$5:$F$64,期初余额!$B$5:$B$64,_项目汇总!$A$6)+_项目汇总!$P$6+_项目汇总!$Q$6&lt;&gt;0),1,0)</f>
        <v>0</v>
      </c>
    </row>
    <row r="5" ht="40" customHeight="1">
      <c r="A5" s="116" t="inlineStr">
        <is>
          <t>序号</t>
        </is>
      </c>
      <c r="B5" s="116" t="inlineStr">
        <is>
          <t>项目名称
月份</t>
        </is>
      </c>
      <c r="C5" s="116" t="str">
        <f>IFERROR(INDEX(_项目汇总!$A$3:$A$62,MATCH(1,$BA$1:$BA$60,0)),"")</f>
        <v>德安养老中心</v>
      </c>
      <c r="D5" s="116" t="str">
        <f>IFERROR(INDEX(_项目汇总!$A$3:$A$62,MATCH(2,$BA$1:$BA$60,0)),"")</f>
        <v>科创中心</v>
      </c>
      <c r="E5" s="116" t="str">
        <f>IFERROR(INDEX(_项目汇总!$A$3:$A$62,MATCH(3,$BA$1:$BA$60,0)),"")</f>
        <v>九安架空层</v>
      </c>
      <c r="F5" s="116" t="str">
        <f>IFERROR(INDEX(_项目汇总!$A$3:$A$62,MATCH(4,$BA$1:$BA$60,0)),"")</f>
        <v>邹桥派出所</v>
      </c>
      <c r="G5" s="116" t="str">
        <f>IFERROR(INDEX(_项目汇总!$A$3:$A$62,MATCH(5,$BA$1:$BA$60,0)),"")</f>
        <v>德安农商行总部</v>
      </c>
      <c r="H5" s="116" t="str">
        <f>IFERROR(INDEX(_项目汇总!$A$3:$A$62,MATCH(6,$BA$1:$BA$60,0)),"")</f>
        <v>示范园</v>
      </c>
      <c r="I5" s="116">
        <f>IFERROR(INDEX(_项目汇总!$A$3:$A$62,MATCH(7,$BA$1:$BA$60,0)),"")</f>
      </c>
      <c r="J5" s="116">
        <f>IFERROR(INDEX(_项目汇总!$A$3:$A$62,MATCH(8,$BA$1:$BA$60,0)),"")</f>
      </c>
      <c r="K5" s="116">
        <f>IFERROR(INDEX(_项目汇总!$A$3:$A$62,MATCH(9,$BA$1:$BA$60,0)),"")</f>
      </c>
      <c r="L5" s="116">
        <f>IFERROR(INDEX(_项目汇总!$A$3:$A$62,MATCH(10,$BA$1:$BA$60,0)),"")</f>
      </c>
      <c r="M5" s="116">
        <f>IFERROR(INDEX(_项目汇总!$A$3:$A$62,MATCH(11,$BA$1:$BA$60,0)),"")</f>
      </c>
      <c r="N5" s="116">
        <f>IFERROR(INDEX(_项目汇总!$A$3:$A$62,MATCH(12,$BA$1:$BA$60,0)),"")</f>
      </c>
      <c r="O5" s="116">
        <f>IFERROR(INDEX(_项目汇总!$A$3:$A$62,MATCH(13,$BA$1:$BA$60,0)),"")</f>
      </c>
      <c r="P5" s="116">
        <f>IFERROR(INDEX(_项目汇总!$A$3:$A$62,MATCH(14,$BA$1:$BA$60,0)),"")</f>
      </c>
      <c r="Q5" s="116" t="inlineStr">
        <is>
          <t>其他项目
/没选项目</t>
        </is>
      </c>
      <c r="R5" s="116" t="inlineStr">
        <is>
          <t>项目合计</t>
        </is>
      </c>
      <c r="S5" s="116" t="inlineStr">
        <is>
          <t>公司管理
(管理人员)</t>
        </is>
      </c>
      <c r="T5" s="116" t="inlineStr">
        <is>
          <t>总计</t>
        </is>
      </c>
      <c r="BA5" s="2">
        <f>SUM(CA1:CA5)</f>
        <v>4</v>
      </c>
      <c r="CA5" s="2">
        <f>IF(AND(_项目汇总!$A$7&lt;&gt;"",SUMIFS(期初余额!$F$5:$F$64,期初余额!$B$5:$B$64,_项目汇总!$A$7)+_项目汇总!$P$7+_项目汇总!$Q$7&lt;&gt;0),1,0)</f>
        <v>1</v>
      </c>
    </row>
    <row r="6">
      <c r="A6" s="94" t="n">
        <v>1</v>
      </c>
      <c r="B6" s="123" t="inlineStr">
        <is>
          <t>以前累计</t>
        </is>
      </c>
      <c r="C6" s="21">
        <f>IF(C$5="","",SUMIFS(期初余额!$F$5:$F$64,期初余额!$B$5:$B$64,C$5)+INDEX(_项目汇总!$P$3:$P$62,IFERROR(MATCH(C$5,_项目汇总!$A$3:$A$62,0),0)))</f>
        <v>1073656.4</v>
      </c>
      <c r="D6" s="21">
        <f>IF(D$5="","",SUMIFS(期初余额!$F$5:$F$64,期初余额!$B$5:$B$64,D$5)+INDEX(_项目汇总!$P$3:$P$62,IFERROR(MATCH(D$5,_项目汇总!$A$3:$A$62,0),0)))</f>
        <v>402775</v>
      </c>
      <c r="E6" s="21">
        <f>IF(E$5="","",SUMIFS(期初余额!$F$5:$F$64,期初余额!$B$5:$B$64,E$5)+INDEX(_项目汇总!$P$3:$P$62,IFERROR(MATCH(E$5,_项目汇总!$A$3:$A$62,0),0)))</f>
        <v>96985</v>
      </c>
      <c r="F6" s="21">
        <f>IF(F$5="","",SUMIFS(期初余额!$F$5:$F$64,期初余额!$B$5:$B$64,F$5)+INDEX(_项目汇总!$P$3:$P$62,IFERROR(MATCH(F$5,_项目汇总!$A$3:$A$62,0),0)))</f>
        <v>0</v>
      </c>
      <c r="G6" s="21">
        <f>IF(G$5="","",SUMIFS(期初余额!$F$5:$F$64,期初余额!$B$5:$B$64,G$5)+INDEX(_项目汇总!$P$3:$P$62,IFERROR(MATCH(G$5,_项目汇总!$A$3:$A$62,0),0)))</f>
        <v>0</v>
      </c>
      <c r="H6" s="21">
        <f>IF(H$5="","",SUMIFS(期初余额!$F$5:$F$64,期初余额!$B$5:$B$64,H$5)+INDEX(_项目汇总!$P$3:$P$62,IFERROR(MATCH(H$5,_项目汇总!$A$3:$A$62,0),0)))</f>
        <v>0</v>
      </c>
      <c r="I6" s="21">
        <f>IF(I$5="","",SUMIFS(期初余额!$F$5:$F$64,期初余额!$B$5:$B$64,I$5)+INDEX(_项目汇总!$P$3:$P$62,IFERROR(MATCH(I$5,_项目汇总!$A$3:$A$62,0),0)))</f>
      </c>
      <c r="J6" s="21">
        <f>IF(J$5="","",SUMIFS(期初余额!$F$5:$F$64,期初余额!$B$5:$B$64,J$5)+INDEX(_项目汇总!$P$3:$P$62,IFERROR(MATCH(J$5,_项目汇总!$A$3:$A$62,0),0)))</f>
      </c>
      <c r="K6" s="21">
        <f>IF(K$5="","",SUMIFS(期初余额!$F$5:$F$64,期初余额!$B$5:$B$64,K$5)+INDEX(_项目汇总!$P$3:$P$62,IFERROR(MATCH(K$5,_项目汇总!$A$3:$A$62,0),0)))</f>
      </c>
      <c r="L6" s="21">
        <f>IF(L$5="","",SUMIFS(期初余额!$F$5:$F$64,期初余额!$B$5:$B$64,L$5)+INDEX(_项目汇总!$P$3:$P$62,IFERROR(MATCH(L$5,_项目汇总!$A$3:$A$62,0),0)))</f>
      </c>
      <c r="M6" s="21">
        <f>IF(M$5="","",SUMIFS(期初余额!$F$5:$F$64,期初余额!$B$5:$B$64,M$5)+INDEX(_项目汇总!$P$3:$P$62,IFERROR(MATCH(M$5,_项目汇总!$A$3:$A$62,0),0)))</f>
      </c>
      <c r="N6" s="21">
        <f>IF(N$5="","",SUMIFS(期初余额!$F$5:$F$64,期初余额!$B$5:$B$64,N$5)+INDEX(_项目汇总!$P$3:$P$62,IFERROR(MATCH(N$5,_项目汇总!$A$3:$A$62,0),0)))</f>
      </c>
      <c r="O6" s="21">
        <f>IF(O$5="","",SUMIFS(期初余额!$F$5:$F$64,期初余额!$B$5:$B$64,O$5)+INDEX(_项目汇总!$P$3:$P$62,IFERROR(MATCH(O$5,_项目汇总!$A$3:$A$62,0),0)))</f>
      </c>
      <c r="P6" s="21">
        <f>IF(P$5="","",SUMIFS(期初余额!$F$5:$F$64,期初余额!$B$5:$B$64,P$5)+INDEX(_项目汇总!$P$3:$P$62,IFERROR(MATCH(P$5,_项目汇总!$A$3:$A$62,0),0)))</f>
      </c>
      <c r="Q6" s="21">
        <f>ROUND(SUM(期初余额!$F$5:$F$64)+_月汇总!$B$5-(N(C6)+N(D6)+N(E6)+N(F6)+N(G6)+N(H6)+N(I6)+N(J6)+N(K6)+N(L6)+N(M6)+N(N6)+N(O6)+N(P6)),2)</f>
        <v>0</v>
      </c>
      <c r="R6" s="20">
        <f t="shared" ref="R6:R18" si="0">N(C6)+N(D6)+N(E6)+N(F6)+N(G6)+N(H6)+N(I6)+N(J6)+N(K6)+N(L6)+N(M6)+N(N6)+N(O6)+N(P6)+N(Q6)</f>
        <v>1573416.4</v>
      </c>
      <c r="S6" s="21">
        <f>_月汇总!$B$11</f>
        <v>0</v>
      </c>
      <c r="T6" s="20">
        <f t="shared" ref="T6:T18" si="1">R6+S6</f>
        <v>1573416.4</v>
      </c>
      <c r="BA6" s="2">
        <f>SUM(CA1:CA6)</f>
        <v>4</v>
      </c>
      <c r="CA6" s="2">
        <f>IF(AND(_项目汇总!$A$8&lt;&gt;"",SUMIFS(期初余额!$F$5:$F$64,期初余额!$B$5:$B$64,_项目汇总!$A$8)+_项目汇总!$P$8+_项目汇总!$Q$8&lt;&gt;0),1,0)</f>
        <v>0</v>
      </c>
    </row>
    <row r="7">
      <c r="A7" s="94" t="n">
        <v>2</v>
      </c>
      <c r="B7" s="92" t="str">
        <f>_辅助!$J$7&amp;"年1月"</f>
        <v>2026年1月</v>
      </c>
      <c r="C7" s="21">
        <f>IF(C$5="","",INDEX(_项目汇总!$AB$3:$AB$62,IFERROR(MATCH(C$5,_项目汇总!$A$3:$A$62,0),0)))</f>
        <v>0</v>
      </c>
      <c r="D7" s="21">
        <f>IF(D$5="","",INDEX(_项目汇总!$AB$3:$AB$62,IFERROR(MATCH(D$5,_项目汇总!$A$3:$A$62,0),0)))</f>
        <v>0</v>
      </c>
      <c r="E7" s="21">
        <f>IF(E$5="","",INDEX(_项目汇总!$AB$3:$AB$62,IFERROR(MATCH(E$5,_项目汇总!$A$3:$A$62,0),0)))</f>
        <v>0</v>
      </c>
      <c r="F7" s="21">
        <f>IF(F$5="","",INDEX(_项目汇总!$AB$3:$AB$62,IFERROR(MATCH(F$5,_项目汇总!$A$3:$A$62,0),0)))</f>
        <v>0</v>
      </c>
      <c r="G7" s="21">
        <f>IF(G$5="","",INDEX(_项目汇总!$AB$3:$AB$62,IFERROR(MATCH(G$5,_项目汇总!$A$3:$A$62,0),0)))</f>
        <v>0</v>
      </c>
      <c r="H7" s="21">
        <f>IF(H$5="","",INDEX(_项目汇总!$AB$3:$AB$62,IFERROR(MATCH(H$5,_项目汇总!$A$3:$A$62,0),0)))</f>
        <v>0</v>
      </c>
      <c r="I7" s="21">
        <f>IF(I$5="","",INDEX(_项目汇总!$AB$3:$AB$62,IFERROR(MATCH(I$5,_项目汇总!$A$3:$A$62,0),0)))</f>
      </c>
      <c r="J7" s="21">
        <f>IF(J$5="","",INDEX(_项目汇总!$AB$3:$AB$62,IFERROR(MATCH(J$5,_项目汇总!$A$3:$A$62,0),0)))</f>
      </c>
      <c r="K7" s="21">
        <f>IF(K$5="","",INDEX(_项目汇总!$AB$3:$AB$62,IFERROR(MATCH(K$5,_项目汇总!$A$3:$A$62,0),0)))</f>
      </c>
      <c r="L7" s="21">
        <f>IF(L$5="","",INDEX(_项目汇总!$AB$3:$AB$62,IFERROR(MATCH(L$5,_项目汇总!$A$3:$A$62,0),0)))</f>
      </c>
      <c r="M7" s="21">
        <f>IF(M$5="","",INDEX(_项目汇总!$AB$3:$AB$62,IFERROR(MATCH(M$5,_项目汇总!$A$3:$A$62,0),0)))</f>
      </c>
      <c r="N7" s="21">
        <f>IF(N$5="","",INDEX(_项目汇总!$AB$3:$AB$62,IFERROR(MATCH(N$5,_项目汇总!$A$3:$A$62,0),0)))</f>
      </c>
      <c r="O7" s="21">
        <f>IF(O$5="","",INDEX(_项目汇总!$AB$3:$AB$62,IFERROR(MATCH(O$5,_项目汇总!$A$3:$A$62,0),0)))</f>
      </c>
      <c r="P7" s="21">
        <f>IF(P$5="","",INDEX(_项目汇总!$AB$3:$AB$62,IFERROR(MATCH(P$5,_项目汇总!$A$3:$A$62,0),0)))</f>
      </c>
      <c r="Q7" s="21">
        <f>ROUND(IF(_辅助!$J$7*100+1&gt;_辅助!$J$2,0,_月汇总!$C$5)-(N(C7)+N(D7)+N(E7)+N(F7)+N(G7)+N(H7)+N(I7)+N(J7)+N(K7)+N(L7)+N(M7)+N(N7)+N(O7)+N(P7)),2)</f>
        <v>0</v>
      </c>
      <c r="R7" s="20">
        <f t="shared" si="0"/>
        <v>0</v>
      </c>
      <c r="S7" s="21">
        <f>IF(_辅助!$J$7*100+1&gt;_辅助!$J$2,0,_月汇总!$C$11)</f>
        <v>0</v>
      </c>
      <c r="T7" s="20">
        <f t="shared" si="1"/>
        <v>0</v>
      </c>
      <c r="BA7" s="2">
        <f>SUM(CA1:CA7)</f>
        <v>4</v>
      </c>
      <c r="CA7" s="2">
        <f>IF(AND(_项目汇总!$A$9&lt;&gt;"",SUMIFS(期初余额!$F$5:$F$64,期初余额!$B$5:$B$64,_项目汇总!$A$9)+_项目汇总!$P$9+_项目汇总!$Q$9&lt;&gt;0),1,0)</f>
        <v>0</v>
      </c>
    </row>
    <row r="8">
      <c r="A8" s="94" t="n">
        <v>3</v>
      </c>
      <c r="B8" s="92" t="str">
        <f>_辅助!$J$7&amp;"年2月"</f>
        <v>2026年2月</v>
      </c>
      <c r="C8" s="21">
        <f>IF(C$5="","",INDEX(_项目汇总!$AC$3:$AC$62,IFERROR(MATCH(C$5,_项目汇总!$A$3:$A$62,0),0)))</f>
        <v>0</v>
      </c>
      <c r="D8" s="21">
        <f>IF(D$5="","",INDEX(_项目汇总!$AC$3:$AC$62,IFERROR(MATCH(D$5,_项目汇总!$A$3:$A$62,0),0)))</f>
        <v>0</v>
      </c>
      <c r="E8" s="21">
        <f>IF(E$5="","",INDEX(_项目汇总!$AC$3:$AC$62,IFERROR(MATCH(E$5,_项目汇总!$A$3:$A$62,0),0)))</f>
        <v>0</v>
      </c>
      <c r="F8" s="21">
        <f>IF(F$5="","",INDEX(_项目汇总!$AC$3:$AC$62,IFERROR(MATCH(F$5,_项目汇总!$A$3:$A$62,0),0)))</f>
        <v>0</v>
      </c>
      <c r="G8" s="21">
        <f>IF(G$5="","",INDEX(_项目汇总!$AC$3:$AC$62,IFERROR(MATCH(G$5,_项目汇总!$A$3:$A$62,0),0)))</f>
        <v>0</v>
      </c>
      <c r="H8" s="21">
        <f>IF(H$5="","",INDEX(_项目汇总!$AC$3:$AC$62,IFERROR(MATCH(H$5,_项目汇总!$A$3:$A$62,0),0)))</f>
        <v>0</v>
      </c>
      <c r="I8" s="21">
        <f>IF(I$5="","",INDEX(_项目汇总!$AC$3:$AC$62,IFERROR(MATCH(I$5,_项目汇总!$A$3:$A$62,0),0)))</f>
      </c>
      <c r="J8" s="21">
        <f>IF(J$5="","",INDEX(_项目汇总!$AC$3:$AC$62,IFERROR(MATCH(J$5,_项目汇总!$A$3:$A$62,0),0)))</f>
      </c>
      <c r="K8" s="21">
        <f>IF(K$5="","",INDEX(_项目汇总!$AC$3:$AC$62,IFERROR(MATCH(K$5,_项目汇总!$A$3:$A$62,0),0)))</f>
      </c>
      <c r="L8" s="21">
        <f>IF(L$5="","",INDEX(_项目汇总!$AC$3:$AC$62,IFERROR(MATCH(L$5,_项目汇总!$A$3:$A$62,0),0)))</f>
      </c>
      <c r="M8" s="21">
        <f>IF(M$5="","",INDEX(_项目汇总!$AC$3:$AC$62,IFERROR(MATCH(M$5,_项目汇总!$A$3:$A$62,0),0)))</f>
      </c>
      <c r="N8" s="21">
        <f>IF(N$5="","",INDEX(_项目汇总!$AC$3:$AC$62,IFERROR(MATCH(N$5,_项目汇总!$A$3:$A$62,0),0)))</f>
      </c>
      <c r="O8" s="21">
        <f>IF(O$5="","",INDEX(_项目汇总!$AC$3:$AC$62,IFERROR(MATCH(O$5,_项目汇总!$A$3:$A$62,0),0)))</f>
      </c>
      <c r="P8" s="21">
        <f>IF(P$5="","",INDEX(_项目汇总!$AC$3:$AC$62,IFERROR(MATCH(P$5,_项目汇总!$A$3:$A$62,0),0)))</f>
      </c>
      <c r="Q8" s="21">
        <f>ROUND(IF(_辅助!$J$7*100+2&gt;_辅助!$J$2,0,_月汇总!$D$5)-(N(C8)+N(D8)+N(E8)+N(F8)+N(G8)+N(H8)+N(I8)+N(J8)+N(K8)+N(L8)+N(M8)+N(N8)+N(O8)+N(P8)),2)</f>
        <v>0</v>
      </c>
      <c r="R8" s="20">
        <f t="shared" si="0"/>
        <v>0</v>
      </c>
      <c r="S8" s="21">
        <f>IF(_辅助!$J$7*100+2&gt;_辅助!$J$2,0,_月汇总!$D$11)</f>
        <v>0</v>
      </c>
      <c r="T8" s="20">
        <f t="shared" si="1"/>
        <v>0</v>
      </c>
      <c r="BA8" s="2">
        <f>SUM(CA1:CA8)</f>
        <v>4</v>
      </c>
      <c r="CA8" s="2">
        <f>IF(AND(_项目汇总!$A$10&lt;&gt;"",SUMIFS(期初余额!$F$5:$F$64,期初余额!$B$5:$B$64,_项目汇总!$A$10)+_项目汇总!$P$10+_项目汇总!$Q$10&lt;&gt;0),1,0)</f>
        <v>0</v>
      </c>
    </row>
    <row r="9">
      <c r="A9" s="94" t="n">
        <v>4</v>
      </c>
      <c r="B9" s="92" t="str">
        <f>_辅助!$J$7&amp;"年3月"</f>
        <v>2026年3月</v>
      </c>
      <c r="C9" s="21">
        <f>IF(C$5="","",INDEX(_项目汇总!$AD$3:$AD$62,IFERROR(MATCH(C$5,_项目汇总!$A$3:$A$62,0),0)))</f>
        <v>43845</v>
      </c>
      <c r="D9" s="21">
        <f>IF(D$5="","",INDEX(_项目汇总!$AD$3:$AD$62,IFERROR(MATCH(D$5,_项目汇总!$A$3:$A$62,0),0)))</f>
        <v>18050</v>
      </c>
      <c r="E9" s="21">
        <f>IF(E$5="","",INDEX(_项目汇总!$AD$3:$AD$62,IFERROR(MATCH(E$5,_项目汇总!$A$3:$A$62,0),0)))</f>
        <v>0</v>
      </c>
      <c r="F9" s="21">
        <f>IF(F$5="","",INDEX(_项目汇总!$AD$3:$AD$62,IFERROR(MATCH(F$5,_项目汇总!$A$3:$A$62,0),0)))</f>
        <v>12370</v>
      </c>
      <c r="G9" s="21">
        <f>IF(G$5="","",INDEX(_项目汇总!$AD$3:$AD$62,IFERROR(MATCH(G$5,_项目汇总!$A$3:$A$62,0),0)))</f>
        <v>0</v>
      </c>
      <c r="H9" s="21">
        <f>IF(H$5="","",INDEX(_项目汇总!$AD$3:$AD$62,IFERROR(MATCH(H$5,_项目汇总!$A$3:$A$62,0),0)))</f>
        <v>6900</v>
      </c>
      <c r="I9" s="21">
        <f>IF(I$5="","",INDEX(_项目汇总!$AD$3:$AD$62,IFERROR(MATCH(I$5,_项目汇总!$A$3:$A$62,0),0)))</f>
      </c>
      <c r="J9" s="21">
        <f>IF(J$5="","",INDEX(_项目汇总!$AD$3:$AD$62,IFERROR(MATCH(J$5,_项目汇总!$A$3:$A$62,0),0)))</f>
      </c>
      <c r="K9" s="21">
        <f>IF(K$5="","",INDEX(_项目汇总!$AD$3:$AD$62,IFERROR(MATCH(K$5,_项目汇总!$A$3:$A$62,0),0)))</f>
      </c>
      <c r="L9" s="21">
        <f>IF(L$5="","",INDEX(_项目汇总!$AD$3:$AD$62,IFERROR(MATCH(L$5,_项目汇总!$A$3:$A$62,0),0)))</f>
      </c>
      <c r="M9" s="21">
        <f>IF(M$5="","",INDEX(_项目汇总!$AD$3:$AD$62,IFERROR(MATCH(M$5,_项目汇总!$A$3:$A$62,0),0)))</f>
      </c>
      <c r="N9" s="21">
        <f>IF(N$5="","",INDEX(_项目汇总!$AD$3:$AD$62,IFERROR(MATCH(N$5,_项目汇总!$A$3:$A$62,0),0)))</f>
      </c>
      <c r="O9" s="21">
        <f>IF(O$5="","",INDEX(_项目汇总!$AD$3:$AD$62,IFERROR(MATCH(O$5,_项目汇总!$A$3:$A$62,0),0)))</f>
      </c>
      <c r="P9" s="21">
        <f>IF(P$5="","",INDEX(_项目汇总!$AD$3:$AD$62,IFERROR(MATCH(P$5,_项目汇总!$A$3:$A$62,0),0)))</f>
      </c>
      <c r="Q9" s="21">
        <f>ROUND(IF(_辅助!$J$7*100+3&gt;_辅助!$J$2,0,_月汇总!$E$5)-(N(C9)+N(D9)+N(E9)+N(F9)+N(G9)+N(H9)+N(I9)+N(J9)+N(K9)+N(L9)+N(M9)+N(N9)+N(O9)+N(P9)),2)</f>
        <v>0</v>
      </c>
      <c r="R9" s="20">
        <f t="shared" si="0"/>
        <v>81165</v>
      </c>
      <c r="S9" s="21">
        <f>IF(_辅助!$J$7*100+3&gt;_辅助!$J$2,0,_月汇总!$E$11)</f>
        <v>0</v>
      </c>
      <c r="T9" s="20">
        <f t="shared" si="1"/>
        <v>81165</v>
      </c>
      <c r="BA9" s="2">
        <f>SUM(CA1:CA9)</f>
        <v>4</v>
      </c>
      <c r="CA9" s="2">
        <f>IF(AND(_项目汇总!$A$11&lt;&gt;"",SUMIFS(期初余额!$F$5:$F$64,期初余额!$B$5:$B$64,_项目汇总!$A$11)+_项目汇总!$P$11+_项目汇总!$Q$11&lt;&gt;0),1,0)</f>
        <v>0</v>
      </c>
    </row>
    <row r="10">
      <c r="A10" s="94" t="n">
        <v>5</v>
      </c>
      <c r="B10" s="92" t="str">
        <f>_辅助!$J$7&amp;"年4月"</f>
        <v>2026年4月</v>
      </c>
      <c r="C10" s="21">
        <f>IF(C$5="","",INDEX(_项目汇总!$AE$3:$AE$62,IFERROR(MATCH(C$5,_项目汇总!$A$3:$A$62,0),0)))</f>
        <v>103438.9</v>
      </c>
      <c r="D10" s="21">
        <f>IF(D$5="","",INDEX(_项目汇总!$AE$3:$AE$62,IFERROR(MATCH(D$5,_项目汇总!$A$3:$A$62,0),0)))</f>
        <v>3275</v>
      </c>
      <c r="E10" s="21">
        <f>IF(E$5="","",INDEX(_项目汇总!$AE$3:$AE$62,IFERROR(MATCH(E$5,_项目汇总!$A$3:$A$62,0),0)))</f>
        <v>5610</v>
      </c>
      <c r="F10" s="21">
        <f>IF(F$5="","",INDEX(_项目汇总!$AE$3:$AE$62,IFERROR(MATCH(F$5,_项目汇总!$A$3:$A$62,0),0)))</f>
        <v>24235</v>
      </c>
      <c r="G10" s="21">
        <f>IF(G$5="","",INDEX(_项目汇总!$AE$3:$AE$62,IFERROR(MATCH(G$5,_项目汇总!$A$3:$A$62,0),0)))</f>
        <v>0</v>
      </c>
      <c r="H10" s="21">
        <f>IF(H$5="","",INDEX(_项目汇总!$AE$3:$AE$62,IFERROR(MATCH(H$5,_项目汇总!$A$3:$A$62,0),0)))</f>
        <v>0</v>
      </c>
      <c r="I10" s="21">
        <f>IF(I$5="","",INDEX(_项目汇总!$AE$3:$AE$62,IFERROR(MATCH(I$5,_项目汇总!$A$3:$A$62,0),0)))</f>
      </c>
      <c r="J10" s="21">
        <f>IF(J$5="","",INDEX(_项目汇总!$AE$3:$AE$62,IFERROR(MATCH(J$5,_项目汇总!$A$3:$A$62,0),0)))</f>
      </c>
      <c r="K10" s="21">
        <f>IF(K$5="","",INDEX(_项目汇总!$AE$3:$AE$62,IFERROR(MATCH(K$5,_项目汇总!$A$3:$A$62,0),0)))</f>
      </c>
      <c r="L10" s="21">
        <f>IF(L$5="","",INDEX(_项目汇总!$AE$3:$AE$62,IFERROR(MATCH(L$5,_项目汇总!$A$3:$A$62,0),0)))</f>
      </c>
      <c r="M10" s="21">
        <f>IF(M$5="","",INDEX(_项目汇总!$AE$3:$AE$62,IFERROR(MATCH(M$5,_项目汇总!$A$3:$A$62,0),0)))</f>
      </c>
      <c r="N10" s="21">
        <f>IF(N$5="","",INDEX(_项目汇总!$AE$3:$AE$62,IFERROR(MATCH(N$5,_项目汇总!$A$3:$A$62,0),0)))</f>
      </c>
      <c r="O10" s="21">
        <f>IF(O$5="","",INDEX(_项目汇总!$AE$3:$AE$62,IFERROR(MATCH(O$5,_项目汇总!$A$3:$A$62,0),0)))</f>
      </c>
      <c r="P10" s="21">
        <f>IF(P$5="","",INDEX(_项目汇总!$AE$3:$AE$62,IFERROR(MATCH(P$5,_项目汇总!$A$3:$A$62,0),0)))</f>
      </c>
      <c r="Q10" s="21">
        <f>ROUND(IF(_辅助!$J$7*100+4&gt;_辅助!$J$2,0,_月汇总!$F$5)-(N(C10)+N(D10)+N(E10)+N(F10)+N(G10)+N(H10)+N(I10)+N(J10)+N(K10)+N(L10)+N(M10)+N(N10)+N(O10)+N(P10)),2)</f>
        <v>0</v>
      </c>
      <c r="R10" s="20">
        <f t="shared" si="0"/>
        <v>136558.9</v>
      </c>
      <c r="S10" s="21">
        <f>IF(_辅助!$J$7*100+4&gt;_辅助!$J$2,0,_月汇总!$F$11)</f>
        <v>37500</v>
      </c>
      <c r="T10" s="20">
        <f t="shared" si="1"/>
        <v>174058.9</v>
      </c>
      <c r="BA10" s="2">
        <f>SUM(CA1:CA10)</f>
        <v>5</v>
      </c>
      <c r="CA10" s="2">
        <f>IF(AND(_项目汇总!$A$12&lt;&gt;"",SUMIFS(期初余额!$F$5:$F$64,期初余额!$B$5:$B$64,_项目汇总!$A$12)+_项目汇总!$P$12+_项目汇总!$Q$12&lt;&gt;0),1,0)</f>
        <v>1</v>
      </c>
    </row>
    <row r="11">
      <c r="A11" s="94" t="n">
        <v>6</v>
      </c>
      <c r="B11" s="92" t="str">
        <f>_辅助!$J$7&amp;"年5月"</f>
        <v>2026年5月</v>
      </c>
      <c r="C11" s="21">
        <f>IF(C$5="","",INDEX(_项目汇总!$AF$3:$AF$62,IFERROR(MATCH(C$5,_项目汇总!$A$3:$A$62,0),0)))</f>
        <v>0</v>
      </c>
      <c r="D11" s="21">
        <f>IF(D$5="","",INDEX(_项目汇总!$AF$3:$AF$62,IFERROR(MATCH(D$5,_项目汇总!$A$3:$A$62,0),0)))</f>
        <v>0</v>
      </c>
      <c r="E11" s="21">
        <f>IF(E$5="","",INDEX(_项目汇总!$AF$3:$AF$62,IFERROR(MATCH(E$5,_项目汇总!$A$3:$A$62,0),0)))</f>
        <v>0</v>
      </c>
      <c r="F11" s="21">
        <f>IF(F$5="","",INDEX(_项目汇总!$AF$3:$AF$62,IFERROR(MATCH(F$5,_项目汇总!$A$3:$A$62,0),0)))</f>
        <v>0</v>
      </c>
      <c r="G11" s="21">
        <f>IF(G$5="","",INDEX(_项目汇总!$AF$3:$AF$62,IFERROR(MATCH(G$5,_项目汇总!$A$3:$A$62,0),0)))</f>
        <v>360</v>
      </c>
      <c r="H11" s="21">
        <f>IF(H$5="","",INDEX(_项目汇总!$AF$3:$AF$62,IFERROR(MATCH(H$5,_项目汇总!$A$3:$A$62,0),0)))</f>
        <v>0</v>
      </c>
      <c r="I11" s="21">
        <f>IF(I$5="","",INDEX(_项目汇总!$AF$3:$AF$62,IFERROR(MATCH(I$5,_项目汇总!$A$3:$A$62,0),0)))</f>
      </c>
      <c r="J11" s="21">
        <f>IF(J$5="","",INDEX(_项目汇总!$AF$3:$AF$62,IFERROR(MATCH(J$5,_项目汇总!$A$3:$A$62,0),0)))</f>
      </c>
      <c r="K11" s="21">
        <f>IF(K$5="","",INDEX(_项目汇总!$AF$3:$AF$62,IFERROR(MATCH(K$5,_项目汇总!$A$3:$A$62,0),0)))</f>
      </c>
      <c r="L11" s="21">
        <f>IF(L$5="","",INDEX(_项目汇总!$AF$3:$AF$62,IFERROR(MATCH(L$5,_项目汇总!$A$3:$A$62,0),0)))</f>
      </c>
      <c r="M11" s="21">
        <f>IF(M$5="","",INDEX(_项目汇总!$AF$3:$AF$62,IFERROR(MATCH(M$5,_项目汇总!$A$3:$A$62,0),0)))</f>
      </c>
      <c r="N11" s="21">
        <f>IF(N$5="","",INDEX(_项目汇总!$AF$3:$AF$62,IFERROR(MATCH(N$5,_项目汇总!$A$3:$A$62,0),0)))</f>
      </c>
      <c r="O11" s="21">
        <f>IF(O$5="","",INDEX(_项目汇总!$AF$3:$AF$62,IFERROR(MATCH(O$5,_项目汇总!$A$3:$A$62,0),0)))</f>
      </c>
      <c r="P11" s="21">
        <f>IF(P$5="","",INDEX(_项目汇总!$AF$3:$AF$62,IFERROR(MATCH(P$5,_项目汇总!$A$3:$A$62,0),0)))</f>
      </c>
      <c r="Q11" s="21">
        <f>ROUND(IF(_辅助!$J$7*100+5&gt;_辅助!$J$2,0,_月汇总!$G$5)-(N(C11)+N(D11)+N(E11)+N(F11)+N(G11)+N(H11)+N(I11)+N(J11)+N(K11)+N(L11)+N(M11)+N(N11)+N(O11)+N(P11)),2)</f>
        <v>0</v>
      </c>
      <c r="R11" s="20">
        <f t="shared" si="0"/>
        <v>360</v>
      </c>
      <c r="S11" s="21">
        <f>IF(_辅助!$J$7*100+5&gt;_辅助!$J$2,0,_月汇总!$G$11)</f>
        <v>0</v>
      </c>
      <c r="T11" s="20">
        <f t="shared" si="1"/>
        <v>360</v>
      </c>
      <c r="BA11" s="2">
        <f>SUM(CA1:CA11)</f>
        <v>6</v>
      </c>
      <c r="CA11" s="2">
        <f>IF(AND(_项目汇总!$A$13&lt;&gt;"",SUMIFS(期初余额!$F$5:$F$64,期初余额!$B$5:$B$64,_项目汇总!$A$13)+_项目汇总!$P$13+_项目汇总!$Q$13&lt;&gt;0),1,0)</f>
        <v>1</v>
      </c>
    </row>
    <row r="12">
      <c r="A12" s="94" t="n">
        <v>7</v>
      </c>
      <c r="B12" s="92" t="str">
        <f>_辅助!$J$7&amp;"年6月"</f>
        <v>2026年6月</v>
      </c>
      <c r="C12" s="21">
        <f>IF(C$5="","",INDEX(_项目汇总!$AG$3:$AG$62,IFERROR(MATCH(C$5,_项目汇总!$A$3:$A$62,0),0)))</f>
        <v>0</v>
      </c>
      <c r="D12" s="21">
        <f>IF(D$5="","",INDEX(_项目汇总!$AG$3:$AG$62,IFERROR(MATCH(D$5,_项目汇总!$A$3:$A$62,0),0)))</f>
        <v>0</v>
      </c>
      <c r="E12" s="21">
        <f>IF(E$5="","",INDEX(_项目汇总!$AG$3:$AG$62,IFERROR(MATCH(E$5,_项目汇总!$A$3:$A$62,0),0)))</f>
        <v>0</v>
      </c>
      <c r="F12" s="21">
        <f>IF(F$5="","",INDEX(_项目汇总!$AG$3:$AG$62,IFERROR(MATCH(F$5,_项目汇总!$A$3:$A$62,0),0)))</f>
        <v>0</v>
      </c>
      <c r="G12" s="21">
        <f>IF(G$5="","",INDEX(_项目汇总!$AG$3:$AG$62,IFERROR(MATCH(G$5,_项目汇总!$A$3:$A$62,0),0)))</f>
        <v>0</v>
      </c>
      <c r="H12" s="21">
        <f>IF(H$5="","",INDEX(_项目汇总!$AG$3:$AG$62,IFERROR(MATCH(H$5,_项目汇总!$A$3:$A$62,0),0)))</f>
        <v>0</v>
      </c>
      <c r="I12" s="21">
        <f>IF(I$5="","",INDEX(_项目汇总!$AG$3:$AG$62,IFERROR(MATCH(I$5,_项目汇总!$A$3:$A$62,0),0)))</f>
      </c>
      <c r="J12" s="21">
        <f>IF(J$5="","",INDEX(_项目汇总!$AG$3:$AG$62,IFERROR(MATCH(J$5,_项目汇总!$A$3:$A$62,0),0)))</f>
      </c>
      <c r="K12" s="21">
        <f>IF(K$5="","",INDEX(_项目汇总!$AG$3:$AG$62,IFERROR(MATCH(K$5,_项目汇总!$A$3:$A$62,0),0)))</f>
      </c>
      <c r="L12" s="21">
        <f>IF(L$5="","",INDEX(_项目汇总!$AG$3:$AG$62,IFERROR(MATCH(L$5,_项目汇总!$A$3:$A$62,0),0)))</f>
      </c>
      <c r="M12" s="21">
        <f>IF(M$5="","",INDEX(_项目汇总!$AG$3:$AG$62,IFERROR(MATCH(M$5,_项目汇总!$A$3:$A$62,0),0)))</f>
      </c>
      <c r="N12" s="21">
        <f>IF(N$5="","",INDEX(_项目汇总!$AG$3:$AG$62,IFERROR(MATCH(N$5,_项目汇总!$A$3:$A$62,0),0)))</f>
      </c>
      <c r="O12" s="21">
        <f>IF(O$5="","",INDEX(_项目汇总!$AG$3:$AG$62,IFERROR(MATCH(O$5,_项目汇总!$A$3:$A$62,0),0)))</f>
      </c>
      <c r="P12" s="21">
        <f>IF(P$5="","",INDEX(_项目汇总!$AG$3:$AG$62,IFERROR(MATCH(P$5,_项目汇总!$A$3:$A$62,0),0)))</f>
      </c>
      <c r="Q12" s="21">
        <f>ROUND(IF(_辅助!$J$7*100+6&gt;_辅助!$J$2,0,_月汇总!$H$5)-(N(C12)+N(D12)+N(E12)+N(F12)+N(G12)+N(H12)+N(I12)+N(J12)+N(K12)+N(L12)+N(M12)+N(N12)+N(O12)+N(P12)),2)</f>
        <v>0</v>
      </c>
      <c r="R12" s="20">
        <f t="shared" si="0"/>
        <v>0</v>
      </c>
      <c r="S12" s="21">
        <f>IF(_辅助!$J$7*100+6&gt;_辅助!$J$2,0,_月汇总!$H$11)</f>
        <v>0</v>
      </c>
      <c r="T12" s="20">
        <f t="shared" si="1"/>
        <v>0</v>
      </c>
      <c r="BA12" s="2">
        <f>SUM(CA1:CA12)</f>
        <v>6</v>
      </c>
      <c r="CA12" s="2">
        <f>IF(AND(_项目汇总!$A$14&lt;&gt;"",SUMIFS(期初余额!$F$5:$F$64,期初余额!$B$5:$B$64,_项目汇总!$A$14)+_项目汇总!$P$14+_项目汇总!$Q$14&lt;&gt;0),1,0)</f>
        <v>0</v>
      </c>
    </row>
    <row r="13">
      <c r="A13" s="94" t="n">
        <v>8</v>
      </c>
      <c r="B13" s="92" t="str">
        <f>_辅助!$J$7&amp;"年7月"</f>
        <v>2026年7月</v>
      </c>
      <c r="C13" s="21">
        <f>IF(C$5="","",INDEX(_项目汇总!$AH$3:$AH$62,IFERROR(MATCH(C$5,_项目汇总!$A$3:$A$62,0),0)))</f>
        <v>0</v>
      </c>
      <c r="D13" s="21">
        <f>IF(D$5="","",INDEX(_项目汇总!$AH$3:$AH$62,IFERROR(MATCH(D$5,_项目汇总!$A$3:$A$62,0),0)))</f>
        <v>0</v>
      </c>
      <c r="E13" s="21">
        <f>IF(E$5="","",INDEX(_项目汇总!$AH$3:$AH$62,IFERROR(MATCH(E$5,_项目汇总!$A$3:$A$62,0),0)))</f>
        <v>0</v>
      </c>
      <c r="F13" s="21">
        <f>IF(F$5="","",INDEX(_项目汇总!$AH$3:$AH$62,IFERROR(MATCH(F$5,_项目汇总!$A$3:$A$62,0),0)))</f>
        <v>1200</v>
      </c>
      <c r="G13" s="21">
        <f>IF(G$5="","",INDEX(_项目汇总!$AH$3:$AH$62,IFERROR(MATCH(G$5,_项目汇总!$A$3:$A$62,0),0)))</f>
        <v>0</v>
      </c>
      <c r="H13" s="21">
        <f>IF(H$5="","",INDEX(_项目汇总!$AH$3:$AH$62,IFERROR(MATCH(H$5,_项目汇总!$A$3:$A$62,0),0)))</f>
        <v>0</v>
      </c>
      <c r="I13" s="21">
        <f>IF(I$5="","",INDEX(_项目汇总!$AH$3:$AH$62,IFERROR(MATCH(I$5,_项目汇总!$A$3:$A$62,0),0)))</f>
      </c>
      <c r="J13" s="21">
        <f>IF(J$5="","",INDEX(_项目汇总!$AH$3:$AH$62,IFERROR(MATCH(J$5,_项目汇总!$A$3:$A$62,0),0)))</f>
      </c>
      <c r="K13" s="21">
        <f>IF(K$5="","",INDEX(_项目汇总!$AH$3:$AH$62,IFERROR(MATCH(K$5,_项目汇总!$A$3:$A$62,0),0)))</f>
      </c>
      <c r="L13" s="21">
        <f>IF(L$5="","",INDEX(_项目汇总!$AH$3:$AH$62,IFERROR(MATCH(L$5,_项目汇总!$A$3:$A$62,0),0)))</f>
      </c>
      <c r="M13" s="21">
        <f>IF(M$5="","",INDEX(_项目汇总!$AH$3:$AH$62,IFERROR(MATCH(M$5,_项目汇总!$A$3:$A$62,0),0)))</f>
      </c>
      <c r="N13" s="21">
        <f>IF(N$5="","",INDEX(_项目汇总!$AH$3:$AH$62,IFERROR(MATCH(N$5,_项目汇总!$A$3:$A$62,0),0)))</f>
      </c>
      <c r="O13" s="21">
        <f>IF(O$5="","",INDEX(_项目汇总!$AH$3:$AH$62,IFERROR(MATCH(O$5,_项目汇总!$A$3:$A$62,0),0)))</f>
      </c>
      <c r="P13" s="21">
        <f>IF(P$5="","",INDEX(_项目汇总!$AH$3:$AH$62,IFERROR(MATCH(P$5,_项目汇总!$A$3:$A$62,0),0)))</f>
      </c>
      <c r="Q13" s="21">
        <f>ROUND(IF(_辅助!$J$7*100+7&gt;_辅助!$J$2,0,_月汇总!$I$5)-(N(C13)+N(D13)+N(E13)+N(F13)+N(G13)+N(H13)+N(I13)+N(J13)+N(K13)+N(L13)+N(M13)+N(N13)+N(O13)+N(P13)),2)</f>
        <v>0</v>
      </c>
      <c r="R13" s="20">
        <f t="shared" si="0"/>
        <v>1200</v>
      </c>
      <c r="S13" s="21">
        <f>IF(_辅助!$J$7*100+7&gt;_辅助!$J$2,0,_月汇总!$I$11)</f>
        <v>0</v>
      </c>
      <c r="T13" s="20">
        <f t="shared" si="1"/>
        <v>1200</v>
      </c>
      <c r="BA13" s="2">
        <f>SUM(CA1:CA13)</f>
        <v>6</v>
      </c>
      <c r="CA13" s="2">
        <f>IF(AND(_项目汇总!$A$15&lt;&gt;"",SUMIFS(期初余额!$F$5:$F$64,期初余额!$B$5:$B$64,_项目汇总!$A$15)+_项目汇总!$P$15+_项目汇总!$Q$15&lt;&gt;0),1,0)</f>
        <v>0</v>
      </c>
    </row>
    <row r="14">
      <c r="A14" s="94" t="n">
        <v>9</v>
      </c>
      <c r="B14" s="92" t="str">
        <f>_辅助!$J$7&amp;"年8月"</f>
        <v>2026年8月</v>
      </c>
      <c r="C14" s="21">
        <f>IF(C$5="","",INDEX(_项目汇总!$AI$3:$AI$62,IFERROR(MATCH(C$5,_项目汇总!$A$3:$A$62,0),0)))</f>
        <v>0</v>
      </c>
      <c r="D14" s="21">
        <f>IF(D$5="","",INDEX(_项目汇总!$AI$3:$AI$62,IFERROR(MATCH(D$5,_项目汇总!$A$3:$A$62,0),0)))</f>
        <v>0</v>
      </c>
      <c r="E14" s="21">
        <f>IF(E$5="","",INDEX(_项目汇总!$AI$3:$AI$62,IFERROR(MATCH(E$5,_项目汇总!$A$3:$A$62,0),0)))</f>
        <v>0</v>
      </c>
      <c r="F14" s="21">
        <f>IF(F$5="","",INDEX(_项目汇总!$AI$3:$AI$62,IFERROR(MATCH(F$5,_项目汇总!$A$3:$A$62,0),0)))</f>
        <v>0</v>
      </c>
      <c r="G14" s="21">
        <f>IF(G$5="","",INDEX(_项目汇总!$AI$3:$AI$62,IFERROR(MATCH(G$5,_项目汇总!$A$3:$A$62,0),0)))</f>
        <v>0</v>
      </c>
      <c r="H14" s="21">
        <f>IF(H$5="","",INDEX(_项目汇总!$AI$3:$AI$62,IFERROR(MATCH(H$5,_项目汇总!$A$3:$A$62,0),0)))</f>
        <v>0</v>
      </c>
      <c r="I14" s="21">
        <f>IF(I$5="","",INDEX(_项目汇总!$AI$3:$AI$62,IFERROR(MATCH(I$5,_项目汇总!$A$3:$A$62,0),0)))</f>
      </c>
      <c r="J14" s="21">
        <f>IF(J$5="","",INDEX(_项目汇总!$AI$3:$AI$62,IFERROR(MATCH(J$5,_项目汇总!$A$3:$A$62,0),0)))</f>
      </c>
      <c r="K14" s="21">
        <f>IF(K$5="","",INDEX(_项目汇总!$AI$3:$AI$62,IFERROR(MATCH(K$5,_项目汇总!$A$3:$A$62,0),0)))</f>
      </c>
      <c r="L14" s="21">
        <f>IF(L$5="","",INDEX(_项目汇总!$AI$3:$AI$62,IFERROR(MATCH(L$5,_项目汇总!$A$3:$A$62,0),0)))</f>
      </c>
      <c r="M14" s="21">
        <f>IF(M$5="","",INDEX(_项目汇总!$AI$3:$AI$62,IFERROR(MATCH(M$5,_项目汇总!$A$3:$A$62,0),0)))</f>
      </c>
      <c r="N14" s="21">
        <f>IF(N$5="","",INDEX(_项目汇总!$AI$3:$AI$62,IFERROR(MATCH(N$5,_项目汇总!$A$3:$A$62,0),0)))</f>
      </c>
      <c r="O14" s="21">
        <f>IF(O$5="","",INDEX(_项目汇总!$AI$3:$AI$62,IFERROR(MATCH(O$5,_项目汇总!$A$3:$A$62,0),0)))</f>
      </c>
      <c r="P14" s="21">
        <f>IF(P$5="","",INDEX(_项目汇总!$AI$3:$AI$62,IFERROR(MATCH(P$5,_项目汇总!$A$3:$A$62,0),0)))</f>
      </c>
      <c r="Q14" s="21">
        <f>ROUND(IF(_辅助!$J$7*100+8&gt;_辅助!$J$2,0,_月汇总!$J$5)-(N(C14)+N(D14)+N(E14)+N(F14)+N(G14)+N(H14)+N(I14)+N(J14)+N(K14)+N(L14)+N(M14)+N(N14)+N(O14)+N(P14)),2)</f>
        <v>0</v>
      </c>
      <c r="R14" s="20">
        <f t="shared" si="0"/>
        <v>0</v>
      </c>
      <c r="S14" s="21">
        <f>IF(_辅助!$J$7*100+8&gt;_辅助!$J$2,0,_月汇总!$J$11)</f>
        <v>0</v>
      </c>
      <c r="T14" s="20">
        <f t="shared" si="1"/>
        <v>0</v>
      </c>
      <c r="BA14" s="2">
        <f>SUM(CA1:CA14)</f>
        <v>6</v>
      </c>
      <c r="CA14" s="2">
        <f>IF(AND(_项目汇总!$A$16&lt;&gt;"",SUMIFS(期初余额!$F$5:$F$64,期初余额!$B$5:$B$64,_项目汇总!$A$16)+_项目汇总!$P$16+_项目汇总!$Q$16&lt;&gt;0),1,0)</f>
        <v>0</v>
      </c>
    </row>
    <row r="15">
      <c r="A15" s="94" t="n">
        <v>10</v>
      </c>
      <c r="B15" s="92" t="str">
        <f>_辅助!$J$7&amp;"年9月"</f>
        <v>2026年9月</v>
      </c>
      <c r="C15" s="21">
        <f>IF(C$5="","",INDEX(_项目汇总!$AJ$3:$AJ$62,IFERROR(MATCH(C$5,_项目汇总!$A$3:$A$62,0),0)))</f>
        <v>0</v>
      </c>
      <c r="D15" s="21">
        <f>IF(D$5="","",INDEX(_项目汇总!$AJ$3:$AJ$62,IFERROR(MATCH(D$5,_项目汇总!$A$3:$A$62,0),0)))</f>
        <v>0</v>
      </c>
      <c r="E15" s="21">
        <f>IF(E$5="","",INDEX(_项目汇总!$AJ$3:$AJ$62,IFERROR(MATCH(E$5,_项目汇总!$A$3:$A$62,0),0)))</f>
        <v>0</v>
      </c>
      <c r="F15" s="21">
        <f>IF(F$5="","",INDEX(_项目汇总!$AJ$3:$AJ$62,IFERROR(MATCH(F$5,_项目汇总!$A$3:$A$62,0),0)))</f>
        <v>0</v>
      </c>
      <c r="G15" s="21">
        <f>IF(G$5="","",INDEX(_项目汇总!$AJ$3:$AJ$62,IFERROR(MATCH(G$5,_项目汇总!$A$3:$A$62,0),0)))</f>
        <v>0</v>
      </c>
      <c r="H15" s="21">
        <f>IF(H$5="","",INDEX(_项目汇总!$AJ$3:$AJ$62,IFERROR(MATCH(H$5,_项目汇总!$A$3:$A$62,0),0)))</f>
        <v>0</v>
      </c>
      <c r="I15" s="21">
        <f>IF(I$5="","",INDEX(_项目汇总!$AJ$3:$AJ$62,IFERROR(MATCH(I$5,_项目汇总!$A$3:$A$62,0),0)))</f>
      </c>
      <c r="J15" s="21">
        <f>IF(J$5="","",INDEX(_项目汇总!$AJ$3:$AJ$62,IFERROR(MATCH(J$5,_项目汇总!$A$3:$A$62,0),0)))</f>
      </c>
      <c r="K15" s="21">
        <f>IF(K$5="","",INDEX(_项目汇总!$AJ$3:$AJ$62,IFERROR(MATCH(K$5,_项目汇总!$A$3:$A$62,0),0)))</f>
      </c>
      <c r="L15" s="21">
        <f>IF(L$5="","",INDEX(_项目汇总!$AJ$3:$AJ$62,IFERROR(MATCH(L$5,_项目汇总!$A$3:$A$62,0),0)))</f>
      </c>
      <c r="M15" s="21">
        <f>IF(M$5="","",INDEX(_项目汇总!$AJ$3:$AJ$62,IFERROR(MATCH(M$5,_项目汇总!$A$3:$A$62,0),0)))</f>
      </c>
      <c r="N15" s="21">
        <f>IF(N$5="","",INDEX(_项目汇总!$AJ$3:$AJ$62,IFERROR(MATCH(N$5,_项目汇总!$A$3:$A$62,0),0)))</f>
      </c>
      <c r="O15" s="21">
        <f>IF(O$5="","",INDEX(_项目汇总!$AJ$3:$AJ$62,IFERROR(MATCH(O$5,_项目汇总!$A$3:$A$62,0),0)))</f>
      </c>
      <c r="P15" s="21">
        <f>IF(P$5="","",INDEX(_项目汇总!$AJ$3:$AJ$62,IFERROR(MATCH(P$5,_项目汇总!$A$3:$A$62,0),0)))</f>
      </c>
      <c r="Q15" s="21">
        <f>ROUND(IF(_辅助!$J$7*100+9&gt;_辅助!$J$2,0,_月汇总!$K$5)-(N(C15)+N(D15)+N(E15)+N(F15)+N(G15)+N(H15)+N(I15)+N(J15)+N(K15)+N(L15)+N(M15)+N(N15)+N(O15)+N(P15)),2)</f>
        <v>0</v>
      </c>
      <c r="R15" s="20">
        <f t="shared" si="0"/>
        <v>0</v>
      </c>
      <c r="S15" s="21">
        <f>IF(_辅助!$J$7*100+9&gt;_辅助!$J$2,0,_月汇总!$K$11)</f>
        <v>0</v>
      </c>
      <c r="T15" s="20">
        <f t="shared" si="1"/>
        <v>0</v>
      </c>
      <c r="BA15" s="2">
        <f>SUM(CA1:CA15)</f>
        <v>6</v>
      </c>
      <c r="CA15" s="2">
        <f>IF(AND(_项目汇总!$A$17&lt;&gt;"",SUMIFS(期初余额!$F$5:$F$64,期初余额!$B$5:$B$64,_项目汇总!$A$17)+_项目汇总!$P$17+_项目汇总!$Q$17&lt;&gt;0),1,0)</f>
        <v>0</v>
      </c>
    </row>
    <row r="16">
      <c r="A16" s="94" t="n">
        <v>11</v>
      </c>
      <c r="B16" s="92" t="str">
        <f>_辅助!$J$7&amp;"年10月"</f>
        <v>2026年10月</v>
      </c>
      <c r="C16" s="21">
        <f>IF(C$5="","",INDEX(_项目汇总!$AK$3:$AK$62,IFERROR(MATCH(C$5,_项目汇总!$A$3:$A$62,0),0)))</f>
        <v>0</v>
      </c>
      <c r="D16" s="21">
        <f>IF(D$5="","",INDEX(_项目汇总!$AK$3:$AK$62,IFERROR(MATCH(D$5,_项目汇总!$A$3:$A$62,0),0)))</f>
        <v>0</v>
      </c>
      <c r="E16" s="21">
        <f>IF(E$5="","",INDEX(_项目汇总!$AK$3:$AK$62,IFERROR(MATCH(E$5,_项目汇总!$A$3:$A$62,0),0)))</f>
        <v>0</v>
      </c>
      <c r="F16" s="21">
        <f>IF(F$5="","",INDEX(_项目汇总!$AK$3:$AK$62,IFERROR(MATCH(F$5,_项目汇总!$A$3:$A$62,0),0)))</f>
        <v>0</v>
      </c>
      <c r="G16" s="21">
        <f>IF(G$5="","",INDEX(_项目汇总!$AK$3:$AK$62,IFERROR(MATCH(G$5,_项目汇总!$A$3:$A$62,0),0)))</f>
        <v>0</v>
      </c>
      <c r="H16" s="21">
        <f>IF(H$5="","",INDEX(_项目汇总!$AK$3:$AK$62,IFERROR(MATCH(H$5,_项目汇总!$A$3:$A$62,0),0)))</f>
        <v>0</v>
      </c>
      <c r="I16" s="21">
        <f>IF(I$5="","",INDEX(_项目汇总!$AK$3:$AK$62,IFERROR(MATCH(I$5,_项目汇总!$A$3:$A$62,0),0)))</f>
      </c>
      <c r="J16" s="21">
        <f>IF(J$5="","",INDEX(_项目汇总!$AK$3:$AK$62,IFERROR(MATCH(J$5,_项目汇总!$A$3:$A$62,0),0)))</f>
      </c>
      <c r="K16" s="21">
        <f>IF(K$5="","",INDEX(_项目汇总!$AK$3:$AK$62,IFERROR(MATCH(K$5,_项目汇总!$A$3:$A$62,0),0)))</f>
      </c>
      <c r="L16" s="21">
        <f>IF(L$5="","",INDEX(_项目汇总!$AK$3:$AK$62,IFERROR(MATCH(L$5,_项目汇总!$A$3:$A$62,0),0)))</f>
      </c>
      <c r="M16" s="21">
        <f>IF(M$5="","",INDEX(_项目汇总!$AK$3:$AK$62,IFERROR(MATCH(M$5,_项目汇总!$A$3:$A$62,0),0)))</f>
      </c>
      <c r="N16" s="21">
        <f>IF(N$5="","",INDEX(_项目汇总!$AK$3:$AK$62,IFERROR(MATCH(N$5,_项目汇总!$A$3:$A$62,0),0)))</f>
      </c>
      <c r="O16" s="21">
        <f>IF(O$5="","",INDEX(_项目汇总!$AK$3:$AK$62,IFERROR(MATCH(O$5,_项目汇总!$A$3:$A$62,0),0)))</f>
      </c>
      <c r="P16" s="21">
        <f>IF(P$5="","",INDEX(_项目汇总!$AK$3:$AK$62,IFERROR(MATCH(P$5,_项目汇总!$A$3:$A$62,0),0)))</f>
      </c>
      <c r="Q16" s="21">
        <f>ROUND(IF(_辅助!$J$7*100+10&gt;_辅助!$J$2,0,_月汇总!$L$5)-(N(C16)+N(D16)+N(E16)+N(F16)+N(G16)+N(H16)+N(I16)+N(J16)+N(K16)+N(L16)+N(M16)+N(N16)+N(O16)+N(P16)),2)</f>
        <v>0</v>
      </c>
      <c r="R16" s="20">
        <f t="shared" si="0"/>
        <v>0</v>
      </c>
      <c r="S16" s="21">
        <f>IF(_辅助!$J$7*100+10&gt;_辅助!$J$2,0,_月汇总!$L$11)</f>
        <v>0</v>
      </c>
      <c r="T16" s="20">
        <f t="shared" si="1"/>
        <v>0</v>
      </c>
      <c r="BA16" s="2">
        <f>SUM(CA1:CA16)</f>
        <v>6</v>
      </c>
      <c r="CA16" s="2">
        <f>IF(AND(_项目汇总!$A$18&lt;&gt;"",SUMIFS(期初余额!$F$5:$F$64,期初余额!$B$5:$B$64,_项目汇总!$A$18)+_项目汇总!$P$18+_项目汇总!$Q$18&lt;&gt;0),1,0)</f>
        <v>0</v>
      </c>
    </row>
    <row r="17">
      <c r="A17" s="94" t="n">
        <v>12</v>
      </c>
      <c r="B17" s="92" t="str">
        <f>_辅助!$J$7&amp;"年11月"</f>
        <v>2026年11月</v>
      </c>
      <c r="C17" s="21">
        <f>IF(C$5="","",INDEX(_项目汇总!$AL$3:$AL$62,IFERROR(MATCH(C$5,_项目汇总!$A$3:$A$62,0),0)))</f>
        <v>0</v>
      </c>
      <c r="D17" s="21">
        <f>IF(D$5="","",INDEX(_项目汇总!$AL$3:$AL$62,IFERROR(MATCH(D$5,_项目汇总!$A$3:$A$62,0),0)))</f>
        <v>0</v>
      </c>
      <c r="E17" s="21">
        <f>IF(E$5="","",INDEX(_项目汇总!$AL$3:$AL$62,IFERROR(MATCH(E$5,_项目汇总!$A$3:$A$62,0),0)))</f>
        <v>0</v>
      </c>
      <c r="F17" s="21">
        <f>IF(F$5="","",INDEX(_项目汇总!$AL$3:$AL$62,IFERROR(MATCH(F$5,_项目汇总!$A$3:$A$62,0),0)))</f>
        <v>0</v>
      </c>
      <c r="G17" s="21">
        <f>IF(G$5="","",INDEX(_项目汇总!$AL$3:$AL$62,IFERROR(MATCH(G$5,_项目汇总!$A$3:$A$62,0),0)))</f>
        <v>0</v>
      </c>
      <c r="H17" s="21">
        <f>IF(H$5="","",INDEX(_项目汇总!$AL$3:$AL$62,IFERROR(MATCH(H$5,_项目汇总!$A$3:$A$62,0),0)))</f>
        <v>0</v>
      </c>
      <c r="I17" s="21">
        <f>IF(I$5="","",INDEX(_项目汇总!$AL$3:$AL$62,IFERROR(MATCH(I$5,_项目汇总!$A$3:$A$62,0),0)))</f>
      </c>
      <c r="J17" s="21">
        <f>IF(J$5="","",INDEX(_项目汇总!$AL$3:$AL$62,IFERROR(MATCH(J$5,_项目汇总!$A$3:$A$62,0),0)))</f>
      </c>
      <c r="K17" s="21">
        <f>IF(K$5="","",INDEX(_项目汇总!$AL$3:$AL$62,IFERROR(MATCH(K$5,_项目汇总!$A$3:$A$62,0),0)))</f>
      </c>
      <c r="L17" s="21">
        <f>IF(L$5="","",INDEX(_项目汇总!$AL$3:$AL$62,IFERROR(MATCH(L$5,_项目汇总!$A$3:$A$62,0),0)))</f>
      </c>
      <c r="M17" s="21">
        <f>IF(M$5="","",INDEX(_项目汇总!$AL$3:$AL$62,IFERROR(MATCH(M$5,_项目汇总!$A$3:$A$62,0),0)))</f>
      </c>
      <c r="N17" s="21">
        <f>IF(N$5="","",INDEX(_项目汇总!$AL$3:$AL$62,IFERROR(MATCH(N$5,_项目汇总!$A$3:$A$62,0),0)))</f>
      </c>
      <c r="O17" s="21">
        <f>IF(O$5="","",INDEX(_项目汇总!$AL$3:$AL$62,IFERROR(MATCH(O$5,_项目汇总!$A$3:$A$62,0),0)))</f>
      </c>
      <c r="P17" s="21">
        <f>IF(P$5="","",INDEX(_项目汇总!$AL$3:$AL$62,IFERROR(MATCH(P$5,_项目汇总!$A$3:$A$62,0),0)))</f>
      </c>
      <c r="Q17" s="21">
        <f>ROUND(IF(_辅助!$J$7*100+11&gt;_辅助!$J$2,0,_月汇总!$M$5)-(N(C17)+N(D17)+N(E17)+N(F17)+N(G17)+N(H17)+N(I17)+N(J17)+N(K17)+N(L17)+N(M17)+N(N17)+N(O17)+N(P17)),2)</f>
        <v>0</v>
      </c>
      <c r="R17" s="20">
        <f t="shared" si="0"/>
        <v>0</v>
      </c>
      <c r="S17" s="21">
        <f>IF(_辅助!$J$7*100+11&gt;_辅助!$J$2,0,_月汇总!$M$11)</f>
        <v>0</v>
      </c>
      <c r="T17" s="20">
        <f t="shared" si="1"/>
        <v>0</v>
      </c>
      <c r="BA17" s="2">
        <f>SUM(CA1:CA17)</f>
        <v>6</v>
      </c>
      <c r="CA17" s="2">
        <f>IF(AND(_项目汇总!$A$19&lt;&gt;"",SUMIFS(期初余额!$F$5:$F$64,期初余额!$B$5:$B$64,_项目汇总!$A$19)+_项目汇总!$P$19+_项目汇总!$Q$19&lt;&gt;0),1,0)</f>
        <v>0</v>
      </c>
    </row>
    <row r="18">
      <c r="A18" s="94" t="n">
        <v>13</v>
      </c>
      <c r="B18" s="92" t="str">
        <f>_辅助!$J$7&amp;"年12月"</f>
        <v>2026年12月</v>
      </c>
      <c r="C18" s="21">
        <f>IF(C$5="","",INDEX(_项目汇总!$AM$3:$AM$62,IFERROR(MATCH(C$5,_项目汇总!$A$3:$A$62,0),0)))</f>
        <v>0</v>
      </c>
      <c r="D18" s="21">
        <f>IF(D$5="","",INDEX(_项目汇总!$AM$3:$AM$62,IFERROR(MATCH(D$5,_项目汇总!$A$3:$A$62,0),0)))</f>
        <v>0</v>
      </c>
      <c r="E18" s="21">
        <f>IF(E$5="","",INDEX(_项目汇总!$AM$3:$AM$62,IFERROR(MATCH(E$5,_项目汇总!$A$3:$A$62,0),0)))</f>
        <v>0</v>
      </c>
      <c r="F18" s="21">
        <f>IF(F$5="","",INDEX(_项目汇总!$AM$3:$AM$62,IFERROR(MATCH(F$5,_项目汇总!$A$3:$A$62,0),0)))</f>
        <v>0</v>
      </c>
      <c r="G18" s="21">
        <f>IF(G$5="","",INDEX(_项目汇总!$AM$3:$AM$62,IFERROR(MATCH(G$5,_项目汇总!$A$3:$A$62,0),0)))</f>
        <v>0</v>
      </c>
      <c r="H18" s="21">
        <f>IF(H$5="","",INDEX(_项目汇总!$AM$3:$AM$62,IFERROR(MATCH(H$5,_项目汇总!$A$3:$A$62,0),0)))</f>
        <v>0</v>
      </c>
      <c r="I18" s="21">
        <f>IF(I$5="","",INDEX(_项目汇总!$AM$3:$AM$62,IFERROR(MATCH(I$5,_项目汇总!$A$3:$A$62,0),0)))</f>
      </c>
      <c r="J18" s="21">
        <f>IF(J$5="","",INDEX(_项目汇总!$AM$3:$AM$62,IFERROR(MATCH(J$5,_项目汇总!$A$3:$A$62,0),0)))</f>
      </c>
      <c r="K18" s="21">
        <f>IF(K$5="","",INDEX(_项目汇总!$AM$3:$AM$62,IFERROR(MATCH(K$5,_项目汇总!$A$3:$A$62,0),0)))</f>
      </c>
      <c r="L18" s="21">
        <f>IF(L$5="","",INDEX(_项目汇总!$AM$3:$AM$62,IFERROR(MATCH(L$5,_项目汇总!$A$3:$A$62,0),0)))</f>
      </c>
      <c r="M18" s="21">
        <f>IF(M$5="","",INDEX(_项目汇总!$AM$3:$AM$62,IFERROR(MATCH(M$5,_项目汇总!$A$3:$A$62,0),0)))</f>
      </c>
      <c r="N18" s="21">
        <f>IF(N$5="","",INDEX(_项目汇总!$AM$3:$AM$62,IFERROR(MATCH(N$5,_项目汇总!$A$3:$A$62,0),0)))</f>
      </c>
      <c r="O18" s="21">
        <f>IF(O$5="","",INDEX(_项目汇总!$AM$3:$AM$62,IFERROR(MATCH(O$5,_项目汇总!$A$3:$A$62,0),0)))</f>
      </c>
      <c r="P18" s="21">
        <f>IF(P$5="","",INDEX(_项目汇总!$AM$3:$AM$62,IFERROR(MATCH(P$5,_项目汇总!$A$3:$A$62,0),0)))</f>
      </c>
      <c r="Q18" s="21">
        <f>ROUND(IF(_辅助!$J$7*100+12&gt;_辅助!$J$2,0,_月汇总!$N$5)-(N(C18)+N(D18)+N(E18)+N(F18)+N(G18)+N(H18)+N(I18)+N(J18)+N(K18)+N(L18)+N(M18)+N(N18)+N(O18)+N(P18)),2)</f>
        <v>0</v>
      </c>
      <c r="R18" s="20">
        <f t="shared" si="0"/>
        <v>0</v>
      </c>
      <c r="S18" s="21">
        <f>IF(_辅助!$J$7*100+12&gt;_辅助!$J$2,0,_月汇总!$N$11)</f>
        <v>0</v>
      </c>
      <c r="T18" s="20">
        <f t="shared" si="1"/>
        <v>0</v>
      </c>
      <c r="BA18" s="2">
        <f>SUM(CA1:CA18)</f>
        <v>6</v>
      </c>
      <c r="CA18" s="2">
        <f>IF(AND(_项目汇总!$A$20&lt;&gt;"",SUMIFS(期初余额!$F$5:$F$64,期初余额!$B$5:$B$64,_项目汇总!$A$20)+_项目汇总!$P$20+_项目汇总!$Q$20&lt;&gt;0),1,0)</f>
        <v>0</v>
      </c>
    </row>
    <row r="19">
      <c r="A19" s="105" t="n"/>
      <c r="B19" s="76" t="inlineStr">
        <is>
          <t>本年小计</t>
        </is>
      </c>
      <c r="C19" s="77">
        <f>SUM(C7:C18)</f>
        <v>147283.9</v>
      </c>
      <c r="D19" s="77">
        <f>SUM(D7:D18)</f>
        <v>21325</v>
      </c>
      <c r="E19" s="77">
        <f>SUM(E7:E18)</f>
        <v>5610</v>
      </c>
      <c r="F19" s="77">
        <f>SUM(F7:F18)</f>
        <v>37805</v>
      </c>
      <c r="G19" s="77">
        <f>SUM(G7:G18)</f>
        <v>360</v>
      </c>
      <c r="H19" s="77">
        <f>SUM(H7:H18)</f>
        <v>6900</v>
      </c>
      <c r="I19" s="77">
        <f>SUM(I7:I18)</f>
        <v>0</v>
      </c>
      <c r="J19" s="77">
        <f>SUM(J7:J18)</f>
        <v>0</v>
      </c>
      <c r="K19" s="77">
        <f>SUM(K7:K18)</f>
        <v>0</v>
      </c>
      <c r="L19" s="77">
        <f>SUM(L7:L18)</f>
        <v>0</v>
      </c>
      <c r="M19" s="77">
        <f>SUM(M7:M18)</f>
        <v>0</v>
      </c>
      <c r="N19" s="77">
        <f>SUM(N7:N18)</f>
        <v>0</v>
      </c>
      <c r="O19" s="77">
        <f>SUM(O7:O18)</f>
        <v>0</v>
      </c>
      <c r="P19" s="77">
        <f>SUM(P7:P18)</f>
        <v>0</v>
      </c>
      <c r="Q19" s="77">
        <f>SUM(Q7:Q18)</f>
        <v>0</v>
      </c>
      <c r="R19" s="77">
        <f>SUM(R7:R18)</f>
        <v>219283.9</v>
      </c>
      <c r="S19" s="77">
        <f>SUM(S7:S18)</f>
        <v>37500</v>
      </c>
      <c r="T19" s="77">
        <f>SUM(T7:T18)</f>
        <v>256783.9</v>
      </c>
      <c r="BA19" s="2">
        <f>SUM(CA1:CA19)</f>
        <v>6</v>
      </c>
      <c r="CA19" s="2">
        <f>IF(AND(_项目汇总!$A$21&lt;&gt;"",SUMIFS(期初余额!$F$5:$F$64,期初余额!$B$5:$B$64,_项目汇总!$A$21)+_项目汇总!$P$21+_项目汇总!$Q$21&lt;&gt;0),1,0)</f>
        <v>0</v>
      </c>
    </row>
    <row r="20">
      <c r="A20" s="105" t="n"/>
      <c r="B20" s="76" t="inlineStr">
        <is>
          <t>建账以来合计</t>
        </is>
      </c>
      <c r="C20" s="77">
        <f>SUM(C6:C18)</f>
        <v>1220940.3</v>
      </c>
      <c r="D20" s="77">
        <f>SUM(D6:D18)</f>
        <v>424100</v>
      </c>
      <c r="E20" s="77">
        <f>SUM(E6:E18)</f>
        <v>102595</v>
      </c>
      <c r="F20" s="77">
        <f>SUM(F6:F18)</f>
        <v>37805</v>
      </c>
      <c r="G20" s="77">
        <f>SUM(G6:G18)</f>
        <v>360</v>
      </c>
      <c r="H20" s="77">
        <f>SUM(H6:H18)</f>
        <v>6900</v>
      </c>
      <c r="I20" s="77">
        <f>SUM(I6:I18)</f>
        <v>0</v>
      </c>
      <c r="J20" s="77">
        <f>SUM(J6:J18)</f>
        <v>0</v>
      </c>
      <c r="K20" s="77">
        <f>SUM(K6:K18)</f>
        <v>0</v>
      </c>
      <c r="L20" s="77">
        <f>SUM(L6:L18)</f>
        <v>0</v>
      </c>
      <c r="M20" s="77">
        <f>SUM(M6:M18)</f>
        <v>0</v>
      </c>
      <c r="N20" s="77">
        <f>SUM(N6:N18)</f>
        <v>0</v>
      </c>
      <c r="O20" s="77">
        <f>SUM(O6:O18)</f>
        <v>0</v>
      </c>
      <c r="P20" s="77">
        <f>SUM(P6:P18)</f>
        <v>0</v>
      </c>
      <c r="Q20" s="77">
        <f>SUM(Q6:Q18)</f>
        <v>0</v>
      </c>
      <c r="R20" s="77">
        <f>SUM(R6:R18)</f>
        <v>1792700.3</v>
      </c>
      <c r="S20" s="77">
        <f>SUM(S6:S18)</f>
        <v>37500</v>
      </c>
      <c r="T20" s="77">
        <f>SUM(T6:T18)</f>
        <v>1830200.3</v>
      </c>
      <c r="BA20" s="2">
        <f>SUM(CA1:CA20)</f>
        <v>6</v>
      </c>
      <c r="CA20" s="2">
        <f>IF(AND(_项目汇总!$A$22&lt;&gt;"",SUMIFS(期初余额!$F$5:$F$64,期初余额!$B$5:$B$64,_项目汇总!$A$22)+_项目汇总!$P$22+_项目汇总!$Q$22&lt;&gt;0),1,0)</f>
        <v>0</v>
      </c>
    </row>
    <row r="21">
      <c r="BA21" s="2">
        <f>SUM(CA1:CA21)</f>
        <v>6</v>
      </c>
      <c r="CA21" s="2">
        <f>IF(AND(_项目汇总!$A$23&lt;&gt;"",SUMIFS(期初余额!$F$5:$F$64,期初余额!$B$5:$B$64,_项目汇总!$A$23)+_项目汇总!$P$23+_项目汇总!$Q$23&lt;&gt;0),1,0)</f>
        <v>0</v>
      </c>
    </row>
    <row r="22">
      <c r="B22" s="89" t="inlineStr">
        <is>
          <t>「其他项目/没选项目」：超过 14 个项目的放这里，还有流水里临时工工资没选项目的（去【资金流水】看 ✗）。</t>
        </is>
      </c>
      <c r="BA22" s="2">
        <f>SUM(CA1:CA22)</f>
        <v>6</v>
      </c>
      <c r="CA22" s="2">
        <f>IF(AND(_项目汇总!$A$24&lt;&gt;"",SUMIFS(期初余额!$F$5:$F$64,期初余额!$B$5:$B$64,_项目汇总!$A$24)+_项目汇总!$P$24+_项目汇总!$Q$24&lt;&gt;0),1,0)</f>
        <v>0</v>
      </c>
    </row>
    <row r="23">
      <c r="BA23" s="2">
        <f>SUM(CA1:CA23)</f>
        <v>6</v>
      </c>
      <c r="CA23" s="2">
        <f>IF(AND(_项目汇总!$A$25&lt;&gt;"",SUMIFS(期初余额!$F$5:$F$64,期初余额!$B$5:$B$64,_项目汇总!$A$25)+_项目汇总!$P$25+_项目汇总!$Q$25&lt;&gt;0),1,0)</f>
        <v>0</v>
      </c>
    </row>
    <row r="24">
      <c r="BA24" s="2">
        <f>SUM(CA1:CA24)</f>
        <v>6</v>
      </c>
      <c r="CA24" s="2">
        <f>IF(AND(_项目汇总!$A$26&lt;&gt;"",SUMIFS(期初余额!$F$5:$F$64,期初余额!$B$5:$B$64,_项目汇总!$A$26)+_项目汇总!$P$26+_项目汇总!$Q$26&lt;&gt;0),1,0)</f>
        <v>0</v>
      </c>
    </row>
    <row r="25">
      <c r="BA25" s="2">
        <f>SUM(CA1:CA25)</f>
        <v>6</v>
      </c>
      <c r="CA25" s="2">
        <f>IF(AND(_项目汇总!$A$27&lt;&gt;"",SUMIFS(期初余额!$F$5:$F$64,期初余额!$B$5:$B$64,_项目汇总!$A$27)+_项目汇总!$P$27+_项目汇总!$Q$27&lt;&gt;0),1,0)</f>
        <v>0</v>
      </c>
    </row>
    <row r="26">
      <c r="BA26" s="2">
        <f>SUM(CA1:CA26)</f>
        <v>6</v>
      </c>
      <c r="CA26" s="2">
        <f>IF(AND(_项目汇总!$A$28&lt;&gt;"",SUMIFS(期初余额!$F$5:$F$64,期初余额!$B$5:$B$64,_项目汇总!$A$28)+_项目汇总!$P$28+_项目汇总!$Q$28&lt;&gt;0),1,0)</f>
        <v>0</v>
      </c>
    </row>
    <row r="27">
      <c r="BA27" s="2">
        <f>SUM(CA1:CA27)</f>
        <v>6</v>
      </c>
      <c r="CA27" s="2">
        <f>IF(AND(_项目汇总!$A$29&lt;&gt;"",SUMIFS(期初余额!$F$5:$F$64,期初余额!$B$5:$B$64,_项目汇总!$A$29)+_项目汇总!$P$29+_项目汇总!$Q$29&lt;&gt;0),1,0)</f>
        <v>0</v>
      </c>
    </row>
    <row r="28">
      <c r="BA28" s="2">
        <f>SUM(CA1:CA28)</f>
        <v>6</v>
      </c>
      <c r="CA28" s="2">
        <f>IF(AND(_项目汇总!$A$30&lt;&gt;"",SUMIFS(期初余额!$F$5:$F$64,期初余额!$B$5:$B$64,_项目汇总!$A$30)+_项目汇总!$P$30+_项目汇总!$Q$30&lt;&gt;0),1,0)</f>
        <v>0</v>
      </c>
    </row>
    <row r="29">
      <c r="BA29" s="2">
        <f>SUM(CA1:CA29)</f>
        <v>6</v>
      </c>
      <c r="CA29" s="2">
        <f>IF(AND(_项目汇总!$A$31&lt;&gt;"",SUMIFS(期初余额!$F$5:$F$64,期初余额!$B$5:$B$64,_项目汇总!$A$31)+_项目汇总!$P$31+_项目汇总!$Q$31&lt;&gt;0),1,0)</f>
        <v>0</v>
      </c>
    </row>
    <row r="30">
      <c r="BA30" s="2">
        <f>SUM(CA1:CA30)</f>
        <v>6</v>
      </c>
      <c r="CA30" s="2">
        <f>IF(AND(_项目汇总!$A$32&lt;&gt;"",SUMIFS(期初余额!$F$5:$F$64,期初余额!$B$5:$B$64,_项目汇总!$A$32)+_项目汇总!$P$32+_项目汇总!$Q$32&lt;&gt;0),1,0)</f>
        <v>0</v>
      </c>
    </row>
    <row r="31">
      <c r="BA31" s="2">
        <f>SUM(CA1:CA31)</f>
        <v>6</v>
      </c>
      <c r="CA31" s="2">
        <f>IF(AND(_项目汇总!$A$33&lt;&gt;"",SUMIFS(期初余额!$F$5:$F$64,期初余额!$B$5:$B$64,_项目汇总!$A$33)+_项目汇总!$P$33+_项目汇总!$Q$33&lt;&gt;0),1,0)</f>
        <v>0</v>
      </c>
    </row>
    <row r="32">
      <c r="BA32" s="2">
        <f>SUM(CA1:CA32)</f>
        <v>6</v>
      </c>
      <c r="CA32" s="2">
        <f>IF(AND(_项目汇总!$A$34&lt;&gt;"",SUMIFS(期初余额!$F$5:$F$64,期初余额!$B$5:$B$64,_项目汇总!$A$34)+_项目汇总!$P$34+_项目汇总!$Q$34&lt;&gt;0),1,0)</f>
        <v>0</v>
      </c>
    </row>
    <row r="33">
      <c r="BA33" s="2">
        <f>SUM(CA1:CA33)</f>
        <v>6</v>
      </c>
      <c r="CA33" s="2">
        <f>IF(AND(_项目汇总!$A$35&lt;&gt;"",SUMIFS(期初余额!$F$5:$F$64,期初余额!$B$5:$B$64,_项目汇总!$A$35)+_项目汇总!$P$35+_项目汇总!$Q$35&lt;&gt;0),1,0)</f>
        <v>0</v>
      </c>
    </row>
    <row r="34">
      <c r="BA34" s="2">
        <f>SUM(CA1:CA34)</f>
        <v>6</v>
      </c>
      <c r="CA34" s="2">
        <f>IF(AND(_项目汇总!$A$36&lt;&gt;"",SUMIFS(期初余额!$F$5:$F$64,期初余额!$B$5:$B$64,_项目汇总!$A$36)+_项目汇总!$P$36+_项目汇总!$Q$36&lt;&gt;0),1,0)</f>
        <v>0</v>
      </c>
    </row>
    <row r="35">
      <c r="BA35" s="2">
        <f>SUM(CA1:CA35)</f>
        <v>6</v>
      </c>
      <c r="CA35" s="2">
        <f>IF(AND(_项目汇总!$A$37&lt;&gt;"",SUMIFS(期初余额!$F$5:$F$64,期初余额!$B$5:$B$64,_项目汇总!$A$37)+_项目汇总!$P$37+_项目汇总!$Q$37&lt;&gt;0),1,0)</f>
        <v>0</v>
      </c>
    </row>
    <row r="36">
      <c r="BA36" s="2">
        <f>SUM(CA1:CA36)</f>
        <v>6</v>
      </c>
      <c r="CA36" s="2">
        <f>IF(AND(_项目汇总!$A$38&lt;&gt;"",SUMIFS(期初余额!$F$5:$F$64,期初余额!$B$5:$B$64,_项目汇总!$A$38)+_项目汇总!$P$38+_项目汇总!$Q$38&lt;&gt;0),1,0)</f>
        <v>0</v>
      </c>
    </row>
    <row r="37">
      <c r="BA37" s="2">
        <f>SUM(CA1:CA37)</f>
        <v>6</v>
      </c>
      <c r="CA37" s="2">
        <f>IF(AND(_项目汇总!$A$39&lt;&gt;"",SUMIFS(期初余额!$F$5:$F$64,期初余额!$B$5:$B$64,_项目汇总!$A$39)+_项目汇总!$P$39+_项目汇总!$Q$39&lt;&gt;0),1,0)</f>
        <v>0</v>
      </c>
    </row>
    <row r="38">
      <c r="BA38" s="2">
        <f>SUM(CA1:CA38)</f>
        <v>6</v>
      </c>
      <c r="CA38" s="2">
        <f>IF(AND(_项目汇总!$A$40&lt;&gt;"",SUMIFS(期初余额!$F$5:$F$64,期初余额!$B$5:$B$64,_项目汇总!$A$40)+_项目汇总!$P$40+_项目汇总!$Q$40&lt;&gt;0),1,0)</f>
        <v>0</v>
      </c>
    </row>
    <row r="39">
      <c r="BA39" s="2">
        <f>SUM(CA1:CA39)</f>
        <v>6</v>
      </c>
      <c r="CA39" s="2">
        <f>IF(AND(_项目汇总!$A$41&lt;&gt;"",SUMIFS(期初余额!$F$5:$F$64,期初余额!$B$5:$B$64,_项目汇总!$A$41)+_项目汇总!$P$41+_项目汇总!$Q$41&lt;&gt;0),1,0)</f>
        <v>0</v>
      </c>
    </row>
    <row r="40">
      <c r="BA40" s="2">
        <f>SUM(CA1:CA40)</f>
        <v>6</v>
      </c>
      <c r="CA40" s="2">
        <f>IF(AND(_项目汇总!$A$42&lt;&gt;"",SUMIFS(期初余额!$F$5:$F$64,期初余额!$B$5:$B$64,_项目汇总!$A$42)+_项目汇总!$P$42+_项目汇总!$Q$42&lt;&gt;0),1,0)</f>
        <v>0</v>
      </c>
    </row>
    <row r="41">
      <c r="BA41" s="2">
        <f>SUM(CA1:CA41)</f>
        <v>6</v>
      </c>
      <c r="CA41" s="2">
        <f>IF(AND(_项目汇总!$A$43&lt;&gt;"",SUMIFS(期初余额!$F$5:$F$64,期初余额!$B$5:$B$64,_项目汇总!$A$43)+_项目汇总!$P$43+_项目汇总!$Q$43&lt;&gt;0),1,0)</f>
        <v>0</v>
      </c>
    </row>
    <row r="42">
      <c r="BA42" s="2">
        <f>SUM(CA1:CA42)</f>
        <v>6</v>
      </c>
      <c r="CA42" s="2">
        <f>IF(AND(_项目汇总!$A$44&lt;&gt;"",SUMIFS(期初余额!$F$5:$F$64,期初余额!$B$5:$B$64,_项目汇总!$A$44)+_项目汇总!$P$44+_项目汇总!$Q$44&lt;&gt;0),1,0)</f>
        <v>0</v>
      </c>
    </row>
    <row r="43">
      <c r="BA43" s="2">
        <f>SUM(CA1:CA43)</f>
        <v>6</v>
      </c>
      <c r="CA43" s="2">
        <f>IF(AND(_项目汇总!$A$45&lt;&gt;"",SUMIFS(期初余额!$F$5:$F$64,期初余额!$B$5:$B$64,_项目汇总!$A$45)+_项目汇总!$P$45+_项目汇总!$Q$45&lt;&gt;0),1,0)</f>
        <v>0</v>
      </c>
    </row>
    <row r="44">
      <c r="BA44" s="2">
        <f>SUM(CA1:CA44)</f>
        <v>6</v>
      </c>
      <c r="CA44" s="2">
        <f>IF(AND(_项目汇总!$A$46&lt;&gt;"",SUMIFS(期初余额!$F$5:$F$64,期初余额!$B$5:$B$64,_项目汇总!$A$46)+_项目汇总!$P$46+_项目汇总!$Q$46&lt;&gt;0),1,0)</f>
        <v>0</v>
      </c>
    </row>
    <row r="45">
      <c r="BA45" s="2">
        <f>SUM(CA1:CA45)</f>
        <v>6</v>
      </c>
      <c r="CA45" s="2">
        <f>IF(AND(_项目汇总!$A$47&lt;&gt;"",SUMIFS(期初余额!$F$5:$F$64,期初余额!$B$5:$B$64,_项目汇总!$A$47)+_项目汇总!$P$47+_项目汇总!$Q$47&lt;&gt;0),1,0)</f>
        <v>0</v>
      </c>
    </row>
    <row r="46">
      <c r="BA46" s="2">
        <f>SUM(CA1:CA46)</f>
        <v>6</v>
      </c>
      <c r="CA46" s="2">
        <f>IF(AND(_项目汇总!$A$48&lt;&gt;"",SUMIFS(期初余额!$F$5:$F$64,期初余额!$B$5:$B$64,_项目汇总!$A$48)+_项目汇总!$P$48+_项目汇总!$Q$48&lt;&gt;0),1,0)</f>
        <v>0</v>
      </c>
    </row>
    <row r="47">
      <c r="BA47" s="2">
        <f>SUM(CA1:CA47)</f>
        <v>6</v>
      </c>
      <c r="CA47" s="2">
        <f>IF(AND(_项目汇总!$A$49&lt;&gt;"",SUMIFS(期初余额!$F$5:$F$64,期初余额!$B$5:$B$64,_项目汇总!$A$49)+_项目汇总!$P$49+_项目汇总!$Q$49&lt;&gt;0),1,0)</f>
        <v>0</v>
      </c>
    </row>
    <row r="48">
      <c r="BA48" s="2">
        <f>SUM(CA1:CA48)</f>
        <v>6</v>
      </c>
      <c r="CA48" s="2">
        <f>IF(AND(_项目汇总!$A$50&lt;&gt;"",SUMIFS(期初余额!$F$5:$F$64,期初余额!$B$5:$B$64,_项目汇总!$A$50)+_项目汇总!$P$50+_项目汇总!$Q$50&lt;&gt;0),1,0)</f>
        <v>0</v>
      </c>
    </row>
    <row r="49">
      <c r="BA49" s="2">
        <f>SUM(CA1:CA49)</f>
        <v>6</v>
      </c>
      <c r="CA49" s="2">
        <f>IF(AND(_项目汇总!$A$51&lt;&gt;"",SUMIFS(期初余额!$F$5:$F$64,期初余额!$B$5:$B$64,_项目汇总!$A$51)+_项目汇总!$P$51+_项目汇总!$Q$51&lt;&gt;0),1,0)</f>
        <v>0</v>
      </c>
    </row>
    <row r="50">
      <c r="BA50" s="2">
        <f>SUM(CA1:CA50)</f>
        <v>6</v>
      </c>
      <c r="CA50" s="2">
        <f>IF(AND(_项目汇总!$A$52&lt;&gt;"",SUMIFS(期初余额!$F$5:$F$64,期初余额!$B$5:$B$64,_项目汇总!$A$52)+_项目汇总!$P$52+_项目汇总!$Q$52&lt;&gt;0),1,0)</f>
        <v>0</v>
      </c>
    </row>
    <row r="51">
      <c r="BA51" s="2">
        <f>BA50+SUM(CA51:CA51)</f>
        <v>6</v>
      </c>
      <c r="CA51" s="2">
        <f>IF(AND(_项目汇总!$A$53&lt;&gt;"",SUMIFS(期初余额!$F$5:$F$64,期初余额!$B$5:$B$64,_项目汇总!$A$53)+_项目汇总!$P$53+_项目汇总!$Q$53&lt;&gt;0),1,0)</f>
        <v>0</v>
      </c>
    </row>
    <row r="52">
      <c r="BA52" s="2">
        <f>BA50+SUM(CA51:CA52)</f>
        <v>6</v>
      </c>
      <c r="CA52" s="2">
        <f>IF(AND(_项目汇总!$A$54&lt;&gt;"",SUMIFS(期初余额!$F$5:$F$64,期初余额!$B$5:$B$64,_项目汇总!$A$54)+_项目汇总!$P$54+_项目汇总!$Q$54&lt;&gt;0),1,0)</f>
        <v>0</v>
      </c>
    </row>
    <row r="53">
      <c r="BA53" s="2">
        <f>BA50+SUM(CA51:CA53)</f>
        <v>6</v>
      </c>
      <c r="CA53" s="2">
        <f>IF(AND(_项目汇总!$A$55&lt;&gt;"",SUMIFS(期初余额!$F$5:$F$64,期初余额!$B$5:$B$64,_项目汇总!$A$55)+_项目汇总!$P$55+_项目汇总!$Q$55&lt;&gt;0),1,0)</f>
        <v>0</v>
      </c>
    </row>
    <row r="54">
      <c r="BA54" s="2">
        <f>BA50+SUM(CA51:CA54)</f>
        <v>6</v>
      </c>
      <c r="CA54" s="2">
        <f>IF(AND(_项目汇总!$A$56&lt;&gt;"",SUMIFS(期初余额!$F$5:$F$64,期初余额!$B$5:$B$64,_项目汇总!$A$56)+_项目汇总!$P$56+_项目汇总!$Q$56&lt;&gt;0),1,0)</f>
        <v>0</v>
      </c>
    </row>
    <row r="55">
      <c r="BA55" s="2">
        <f>BA50+SUM(CA51:CA55)</f>
        <v>6</v>
      </c>
      <c r="CA55" s="2">
        <f>IF(AND(_项目汇总!$A$57&lt;&gt;"",SUMIFS(期初余额!$F$5:$F$64,期初余额!$B$5:$B$64,_项目汇总!$A$57)+_项目汇总!$P$57+_项目汇总!$Q$57&lt;&gt;0),1,0)</f>
        <v>0</v>
      </c>
    </row>
    <row r="56">
      <c r="BA56" s="2">
        <f>BA50+SUM(CA51:CA56)</f>
        <v>6</v>
      </c>
      <c r="CA56" s="2">
        <f>IF(AND(_项目汇总!$A$58&lt;&gt;"",SUMIFS(期初余额!$F$5:$F$64,期初余额!$B$5:$B$64,_项目汇总!$A$58)+_项目汇总!$P$58+_项目汇总!$Q$58&lt;&gt;0),1,0)</f>
        <v>0</v>
      </c>
    </row>
    <row r="57">
      <c r="BA57" s="2">
        <f>BA50+SUM(CA51:CA57)</f>
        <v>6</v>
      </c>
      <c r="CA57" s="2">
        <f>IF(AND(_项目汇总!$A$59&lt;&gt;"",SUMIFS(期初余额!$F$5:$F$64,期初余额!$B$5:$B$64,_项目汇总!$A$59)+_项目汇总!$P$59+_项目汇总!$Q$59&lt;&gt;0),1,0)</f>
        <v>0</v>
      </c>
    </row>
    <row r="58">
      <c r="BA58" s="2">
        <f>BA50+SUM(CA51:CA58)</f>
        <v>6</v>
      </c>
      <c r="CA58" s="2">
        <f>IF(AND(_项目汇总!$A$60&lt;&gt;"",SUMIFS(期初余额!$F$5:$F$64,期初余额!$B$5:$B$64,_项目汇总!$A$60)+_项目汇总!$P$60+_项目汇总!$Q$60&lt;&gt;0),1,0)</f>
        <v>0</v>
      </c>
    </row>
    <row r="59">
      <c r="BA59" s="2">
        <f>BA50+SUM(CA51:CA59)</f>
        <v>6</v>
      </c>
      <c r="CA59" s="2">
        <f>IF(AND(_项目汇总!$A$61&lt;&gt;"",SUMIFS(期初余额!$F$5:$F$64,期初余额!$B$5:$B$64,_项目汇总!$A$61)+_项目汇总!$P$61+_项目汇总!$Q$61&lt;&gt;0),1,0)</f>
        <v>0</v>
      </c>
    </row>
    <row r="60">
      <c r="BA60" s="2">
        <f>BA50+SUM(CA51:CA60)</f>
        <v>6</v>
      </c>
      <c r="CA60" s="2">
        <f>IF(AND(_项目汇总!$A$62&lt;&gt;"",SUMIFS(期初余额!$F$5:$F$64,期初余额!$B$5:$B$64,_项目汇总!$A$62)+_项目汇总!$P$62+_项目汇总!$Q$62&lt;&gt;0),1,0)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2">
    <mergeCell ref="A1:T1"/>
    <mergeCell ref="A2:T2"/>
  </mergeCells>
  <conditionalFormatting sqref="A7:T18">
    <cfRule type="expression" priority="1" dxfId="8">
      <formula>_辅助!$J$7*100+ROW()-6&gt;_辅助!$J$2</formula>
    </cfRule>
  </conditionalFormatting>
  <hyperlinks>
    <hyperlink ref="U1" location="'首页'!A1" display="← 回首页"/>
  </hyperlinks>
  <pageMargins left="0.3" right="0.3" top="0.5" bottom="0.5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CA300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9" customWidth="1" min="15" max="15"/>
    <col width="20" customWidth="1" min="16" max="16"/>
    <col width="13" customWidth="1" min="17" max="17"/>
    <col hidden="1" width="13" customWidth="1" min="52" max="52"/>
    <col hidden="1" width="13" customWidth="1" min="53" max="53"/>
    <col hidden="1" width="13" customWidth="1" min="79" max="79"/>
  </cols>
  <sheetData>
    <row r="1" ht="33" customHeight="1">
      <c r="A1" s="61" t="inlineStr">
        <is>
          <t>发 票 统 计（按项目 · 按月 · 按单位：开了多少、收了多少、还差多少票）</t>
        </is>
      </c>
      <c r="Q1" s="33" t="inlineStr">
        <is>
          <t>← 回首页</t>
        </is>
      </c>
      <c r="BA1" s="2">
        <f>SUM(CA1:CA1)</f>
        <v>0</v>
      </c>
      <c r="CA1" s="2">
        <f>IF(OR(_余额!$G$3&lt;&gt;0,_余额!$I$3&lt;&gt;0),1,0)</f>
        <v>0</v>
      </c>
    </row>
    <row r="2" ht="38" customHeight="1">
      <c r="A2" s="3" t="inlineStr">
        <is>
          <t>💡 全自动，从【发票登记】来（电子税务局导出粘进去就行），年度跟首页走。① 按项目：确认的产值开了多少票、还没开多少；材料分包机械的成本收了多少票、还差多少票（差票多了，增值税和所得税都要多交）。② 按月：销项、进项、增值税估算。③ 按单位：每家应付多少、收了多少票、欠多少票，找他们要票用。</t>
        </is>
      </c>
      <c r="BA2" s="2">
        <f>SUM(CA1:CA2)</f>
        <v>0</v>
      </c>
      <c r="CA2" s="2">
        <f>IF(OR(_余额!$G$4&lt;&gt;0,_余额!$I$4&lt;&gt;0),1,0)</f>
        <v>0</v>
      </c>
    </row>
    <row r="3">
      <c r="B3" s="98" t="str">
        <f>_辅助!$J$7&amp;"年  截止 "&amp;TEXT(_辅助!$J$9,"m月d日")</f>
        <v>2026年  截止 8月31日</v>
      </c>
      <c r="BA3" s="2">
        <f>SUM(CA1:CA3)</f>
        <v>0</v>
      </c>
      <c r="CA3" s="2">
        <f>IF(OR(_余额!$G$5&lt;&gt;0,_余额!$I$5&lt;&gt;0),1,0)</f>
        <v>0</v>
      </c>
    </row>
    <row r="4">
      <c r="A4" s="79" t="inlineStr">
        <is>
          <t>① 按项目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BA4" s="2">
        <f>SUM(CA1:CA4)</f>
        <v>0</v>
      </c>
      <c r="CA4" s="2">
        <f>IF(OR(_余额!$G$6&lt;&gt;0,_余额!$I$6&lt;&gt;0),1,0)</f>
        <v>0</v>
      </c>
    </row>
    <row r="5" ht="44" customHeight="1">
      <c r="A5" s="62" t="inlineStr">
        <is>
          <t>序号</t>
        </is>
      </c>
      <c r="B5" s="62" t="inlineStr">
        <is>
          <t>项目</t>
        </is>
      </c>
      <c r="C5" s="62" t="inlineStr">
        <is>
          <t>甲方 / 总包</t>
        </is>
      </c>
      <c r="D5" s="62" t="inlineStr">
        <is>
          <t>累计确认产值</t>
        </is>
      </c>
      <c r="E5" s="62" t="inlineStr">
        <is>
          <t>累计开票</t>
        </is>
      </c>
      <c r="F5" s="62" t="inlineStr">
        <is>
          <t>还没开票
（确认−开票）</t>
        </is>
      </c>
      <c r="G5" s="62" t="inlineStr">
        <is>
          <t>本年开票
（价税合计）</t>
        </is>
      </c>
      <c r="H5" s="62" t="inlineStr">
        <is>
          <t>本年销项税</t>
        </is>
      </c>
      <c r="I5" s="62" t="inlineStr">
        <is>
          <t>本年收票
（进项）</t>
        </is>
      </c>
      <c r="J5" s="62" t="inlineStr">
        <is>
          <t>本年可抵扣
进项税</t>
        </is>
      </c>
      <c r="K5" s="62" t="inlineStr">
        <is>
          <t>本年增值税
估算</t>
        </is>
      </c>
      <c r="L5" s="62" t="inlineStr">
        <is>
          <t>累计该有票的成本
（材料分包机械其他）</t>
        </is>
      </c>
      <c r="M5" s="62" t="inlineStr">
        <is>
          <t>累计收票</t>
        </is>
      </c>
      <c r="N5" s="62" t="inlineStr">
        <is>
          <t>还差多少票</t>
        </is>
      </c>
      <c r="O5" s="62" t="inlineStr">
        <is>
          <t>收票
比例</t>
        </is>
      </c>
      <c r="P5" s="62" t="inlineStr">
        <is>
          <t>提示</t>
        </is>
      </c>
      <c r="BA5" s="2">
        <f>SUM(CA1:CA5)</f>
        <v>0</v>
      </c>
      <c r="CA5" s="2">
        <f>IF(OR(_余额!$G$7&lt;&gt;0,_余额!$I$7&lt;&gt;0),1,0)</f>
        <v>0</v>
      </c>
    </row>
    <row r="6">
      <c r="A6" s="105" t="n"/>
      <c r="B6" s="76" t="inlineStr">
        <is>
          <t>合计</t>
        </is>
      </c>
      <c r="C6" s="105" t="n"/>
      <c r="D6" s="77">
        <f>SUM(D7:D66)</f>
        <v>10164681.91</v>
      </c>
      <c r="E6" s="77">
        <f>SUM(E7:E66)</f>
        <v>5290383.34</v>
      </c>
      <c r="F6" s="77">
        <f>SUM(F7:F66)</f>
        <v>4874298.57</v>
      </c>
      <c r="G6" s="77">
        <f>SUM(G7:G66)</f>
        <v>8992</v>
      </c>
      <c r="H6" s="77">
        <f>SUM(H7:H66)</f>
        <v>742.46</v>
      </c>
      <c r="I6" s="77">
        <f>SUM(I7:I66)</f>
        <v>1346.94</v>
      </c>
      <c r="J6" s="77">
        <f>SUM(J7:J66)</f>
        <v>62.92</v>
      </c>
      <c r="K6" s="77">
        <f>SUM(K7:K66)</f>
        <v>679.54</v>
      </c>
      <c r="L6" s="77">
        <f>SUM(L7:L66)</f>
        <v>4807097.47</v>
      </c>
      <c r="M6" s="77">
        <f>SUM(M7:M66)</f>
        <v>6346.94</v>
      </c>
      <c r="N6" s="77">
        <f>SUM(N7:N66)</f>
        <v>4800750.53</v>
      </c>
      <c r="O6" s="109">
        <f>IF(N(L6)=0,"",M6/L6)</f>
        <v>0.00132032687908032</v>
      </c>
      <c r="P6" s="105" t="n"/>
      <c r="BA6" s="2">
        <f>SUM(CA1:CA6)</f>
        <v>0</v>
      </c>
      <c r="CA6" s="2">
        <f>IF(OR(_余额!$G$8&lt;&gt;0,_余额!$I$8&lt;&gt;0),1,0)</f>
        <v>0</v>
      </c>
    </row>
    <row r="7">
      <c r="A7" s="94">
        <f>IF($B7="","",1)</f>
        <v>1</v>
      </c>
      <c r="B7" s="96" t="str">
        <f>项目档案!$B$4&amp;""</f>
        <v>德安养老中心</v>
      </c>
      <c r="C7" s="96" t="str">
        <f>项目档案!$D$4&amp;""</f>
        <v>九江浔辉建筑工程有限公司</v>
      </c>
      <c r="D7" s="21">
        <f>IF($B7="","",应收账款总表!$F$6)</f>
        <v>4362576.49</v>
      </c>
      <c r="E7" s="21">
        <f>IF($B7="","",应收账款总表!$J$6)</f>
        <v>2658453.36</v>
      </c>
      <c r="F7" s="21">
        <f t="shared" ref="F7:F66" si="3">IF($B7="","",D7-E7)</f>
        <v>1704123.13</v>
      </c>
      <c r="G7" s="21">
        <f>IF($B7="","",_项目汇总!$I$3)</f>
        <v>0</v>
      </c>
      <c r="H7" s="21">
        <f t="shared" ref="H7:H66" si="6">IF($B7="","",SUMIFS(发票登记!$AA$5:$AA$1004,发票登记!$U$5:$U$1004,"销项",发票登记!$T$5:$T$1004,$B7,发票登记!$Y$5:$Y$1004,"&gt;="&amp;MAX(_辅助!$J$1,_辅助!$J$4),发票登记!$Y$5:$Y$1004,"&lt;="&amp;_辅助!$J$2))</f>
        <v>0</v>
      </c>
      <c r="I7" s="21">
        <f t="shared" ref="I7:I66" si="8">IF($B7="","",SUMIFS(发票登记!$AB$5:$AB$1004,发票登记!$U$5:$U$1004,"进项",发票登记!$T$5:$T$1004,$B7,发票登记!$Y$5:$Y$1004,"&gt;="&amp;MAX(_辅助!$J$1,_辅助!$J$4),发票登记!$Y$5:$Y$1004,"&lt;="&amp;_辅助!$J$2))</f>
        <v>0</v>
      </c>
      <c r="J7" s="21">
        <f>IF($B7="","",_项目汇总!$M$3)</f>
        <v>0</v>
      </c>
      <c r="K7" s="21">
        <f t="shared" ref="K7:K66" si="13">IF($B7="","",H7-J7)</f>
        <v>0</v>
      </c>
      <c r="L7" s="21">
        <f>IF($B7="","",SUMIFS(期初余额!$J$5:$J$64,期初余额!$B$5:$B$64,$B7)+SUMIFS(期初余额!$K$5:$K$64,期初余额!$B$5:$B$64,$B7)+SUMIFS(期初余额!$L$5:$L$64,期初余额!$B$5:$B$64,$B7)+SUMIFS(期初余额!$G$5:$G$64,期初余额!$B$5:$B$64,$B7)+_项目汇总!$N$3+_项目汇总!$O$3+_项目汇总!$R$3+_项目汇总!$S$3+_项目汇总!$T$3+_项目汇总!$U$3+_项目汇总!$V$3+_项目汇总!$W$3-(SUMIFS(代发抵账!$F$5:$F$304,代发抵账!$D$5:$D$304,"甲供材扣款",代发抵账!$H$5:$H$304,"&gt;="&amp;_辅助!$J$4,代发抵账!$H$5:$H$304,"&lt;="&amp;_辅助!$J$2,代发抵账!$C$5:$C$304,$B7)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7))))</f>
        <v>2457226.32</v>
      </c>
      <c r="M7" s="21">
        <f t="shared" ref="M7:M66" si="15">IF($B7="","",SUMIFS(期初余额!$T$5:$T$204,期初余额!$Q$5:$Q$204,$B7)+SUMIFS(发票登记!$AB$5:$AB$1004,发票登记!$U$5:$U$1004,"进项",发票登记!$T$5:$T$1004,$B7,发票登记!$Y$5:$Y$1004,"&gt;="&amp;_辅助!$J$4,发票登记!$Y$5:$Y$1004,"&lt;="&amp;_辅助!$J$2))</f>
        <v>0</v>
      </c>
      <c r="N7" s="21">
        <f t="shared" ref="N7:N66" si="17">IF($B7="","",L7-M7)</f>
        <v>2457226.32</v>
      </c>
      <c r="O7" s="22">
        <f t="shared" ref="O7:O66" si="18">IF(OR($B7="",N(L7)=0),"",M7/L7)</f>
        <v>0</v>
      </c>
      <c r="P7" s="96" t="str">
        <f t="shared" ref="P7:P66" si="21">IF($B7="","",IF(N(F7)&lt;0,"开票比确认的多（补确认产值？）",IF(N(O7)&lt;0.5,IF(N(L7)&gt;0,"收票不到一半",""),"")))</f>
        <v>收票不到一半</v>
      </c>
      <c r="BA7" s="2">
        <f>SUM(CA1:CA7)</f>
        <v>0</v>
      </c>
      <c r="CA7" s="2">
        <f>IF(OR(_余额!$G$9&lt;&gt;0,_余额!$I$9&lt;&gt;0),1,0)</f>
        <v>0</v>
      </c>
    </row>
    <row r="8">
      <c r="A8" s="94">
        <f>IF($B8="","",2)</f>
        <v>2</v>
      </c>
      <c r="B8" s="96" t="str">
        <f>项目档案!$B$5&amp;""</f>
        <v>科创中心</v>
      </c>
      <c r="C8" s="96" t="str">
        <f>项目档案!$D$5&amp;""</f>
        <v>德安县市政工程公司</v>
      </c>
      <c r="D8" s="21">
        <f>IF($B8="","",应收账款总表!$F$7)</f>
        <v>1641809</v>
      </c>
      <c r="E8" s="21">
        <f>IF($B8="","",应收账款总表!$J$7)</f>
        <v>1148361.8</v>
      </c>
      <c r="F8" s="21">
        <f t="shared" si="3"/>
        <v>493447.2</v>
      </c>
      <c r="G8" s="21">
        <f>IF($B8="","",_项目汇总!$I$4)</f>
        <v>0</v>
      </c>
      <c r="H8" s="21">
        <f t="shared" si="6"/>
        <v>0</v>
      </c>
      <c r="I8" s="21">
        <f t="shared" si="8"/>
        <v>0</v>
      </c>
      <c r="J8" s="21">
        <f>IF($B8="","",_项目汇总!$M$4)</f>
        <v>0</v>
      </c>
      <c r="K8" s="21">
        <f t="shared" si="13"/>
        <v>0</v>
      </c>
      <c r="L8" s="21">
        <f>IF($B8="","",SUMIFS(期初余额!$J$5:$J$64,期初余额!$B$5:$B$64,$B8)+SUMIFS(期初余额!$K$5:$K$64,期初余额!$B$5:$B$64,$B8)+SUMIFS(期初余额!$L$5:$L$64,期初余额!$B$5:$B$64,$B8)+SUMIFS(期初余额!$G$5:$G$64,期初余额!$B$5:$B$64,$B8)+_项目汇总!$N$4+_项目汇总!$O$4+_项目汇总!$R$4+_项目汇总!$S$4+_项目汇总!$T$4+_项目汇总!$U$4+_项目汇总!$V$4+_项目汇总!$W$4-(SUMIFS(代发抵账!$F$5:$F$304,代发抵账!$D$5:$D$304,"甲供材扣款",代发抵账!$H$5:$H$304,"&gt;="&amp;_辅助!$J$4,代发抵账!$H$5:$H$304,"&lt;="&amp;_辅助!$J$2,代发抵账!$C$5:$C$304,$B8)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8))))</f>
        <v>637042.88</v>
      </c>
      <c r="M8" s="21">
        <f t="shared" si="15"/>
        <v>5000</v>
      </c>
      <c r="N8" s="21">
        <f t="shared" si="17"/>
        <v>632042.88</v>
      </c>
      <c r="O8" s="22">
        <f t="shared" si="18"/>
        <v>0.00784876521969761</v>
      </c>
      <c r="P8" s="96" t="str">
        <f t="shared" si="21"/>
        <v>收票不到一半</v>
      </c>
      <c r="BA8" s="2">
        <f>SUM(CA1:CA8)</f>
        <v>1</v>
      </c>
      <c r="CA8" s="2">
        <f>IF(OR(_余额!$G$10&lt;&gt;0,_余额!$I$10&lt;&gt;0),1,0)</f>
        <v>1</v>
      </c>
    </row>
    <row r="9">
      <c r="A9" s="94">
        <f>IF($B9="","",3)</f>
        <v>3</v>
      </c>
      <c r="B9" s="96" t="str">
        <f>项目档案!$B$6&amp;""</f>
        <v>九安架空层</v>
      </c>
      <c r="C9" s="96" t="str">
        <f>项目档案!$D$6&amp;""</f>
        <v>九江浔辉建筑工程有限公司</v>
      </c>
      <c r="D9" s="21">
        <f>IF($B9="","",应收账款总表!$F$8)</f>
        <v>1500000</v>
      </c>
      <c r="E9" s="21">
        <f>IF($B9="","",应收账款总表!$J$8)</f>
        <v>0</v>
      </c>
      <c r="F9" s="21">
        <f t="shared" si="3"/>
        <v>1500000</v>
      </c>
      <c r="G9" s="21">
        <f>IF($B9="","",_项目汇总!$I$5)</f>
        <v>0</v>
      </c>
      <c r="H9" s="21">
        <f t="shared" si="6"/>
        <v>0</v>
      </c>
      <c r="I9" s="21">
        <f t="shared" si="8"/>
        <v>0</v>
      </c>
      <c r="J9" s="21">
        <f>IF($B9="","",_项目汇总!$M$5)</f>
        <v>0</v>
      </c>
      <c r="K9" s="21">
        <f t="shared" si="13"/>
        <v>0</v>
      </c>
      <c r="L9" s="21">
        <f>IF($B9="","",SUMIFS(期初余额!$J$5:$J$64,期初余额!$B$5:$B$64,$B9)+SUMIFS(期初余额!$K$5:$K$64,期初余额!$B$5:$B$64,$B9)+SUMIFS(期初余额!$L$5:$L$64,期初余额!$B$5:$B$64,$B9)+SUMIFS(期初余额!$G$5:$G$64,期初余额!$B$5:$B$64,$B9)+_项目汇总!$N$5+_项目汇总!$O$5+_项目汇总!$R$5+_项目汇总!$S$5+_项目汇总!$T$5+_项目汇总!$U$5+_项目汇总!$V$5+_项目汇总!$W$5-(SUMIFS(代发抵账!$F$5:$F$304,代发抵账!$D$5:$D$304,"甲供材扣款",代发抵账!$H$5:$H$304,"&gt;="&amp;_辅助!$J$4,代发抵账!$H$5:$H$304,"&lt;="&amp;_辅助!$J$2,代发抵账!$C$5:$C$304,$B9)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9))))</f>
        <v>253035.97</v>
      </c>
      <c r="M9" s="21">
        <f t="shared" si="15"/>
        <v>0</v>
      </c>
      <c r="N9" s="21">
        <f t="shared" si="17"/>
        <v>253035.97</v>
      </c>
      <c r="O9" s="22">
        <f t="shared" si="18"/>
        <v>0</v>
      </c>
      <c r="P9" s="96" t="str">
        <f t="shared" si="21"/>
        <v>收票不到一半</v>
      </c>
      <c r="BA9" s="2">
        <f>SUM(CA1:CA9)</f>
        <v>2</v>
      </c>
      <c r="CA9" s="2">
        <f>IF(OR(_余额!$G$11&lt;&gt;0,_余额!$I$11&lt;&gt;0),1,0)</f>
        <v>1</v>
      </c>
    </row>
    <row r="10">
      <c r="A10" s="94">
        <f>IF($B10="","",4)</f>
        <v>4</v>
      </c>
      <c r="B10" s="96" t="str">
        <f>项目档案!$B$7&amp;""</f>
        <v>数字产业园</v>
      </c>
      <c r="C10" s="96">
        <f>项目档案!$D$7&amp;""</f>
      </c>
      <c r="D10" s="21">
        <f>IF($B10="","",应收账款总表!$F$9)</f>
        <v>325612.18</v>
      </c>
      <c r="E10" s="21">
        <f>IF($B10="","",应收账款总表!$J$9)</f>
        <v>0</v>
      </c>
      <c r="F10" s="21">
        <f t="shared" si="3"/>
        <v>325612.18</v>
      </c>
      <c r="G10" s="21">
        <f>IF($B10="","",_项目汇总!$I$6)</f>
        <v>0</v>
      </c>
      <c r="H10" s="21">
        <f t="shared" si="6"/>
        <v>0</v>
      </c>
      <c r="I10" s="21">
        <f t="shared" si="8"/>
        <v>0</v>
      </c>
      <c r="J10" s="21">
        <f>IF($B10="","",_项目汇总!$M$6)</f>
        <v>0</v>
      </c>
      <c r="K10" s="21">
        <f t="shared" si="13"/>
        <v>0</v>
      </c>
      <c r="L10" s="21">
        <f>IF($B10="","",SUMIFS(期初余额!$J$5:$J$64,期初余额!$B$5:$B$64,$B10)+SUMIFS(期初余额!$K$5:$K$64,期初余额!$B$5:$B$64,$B10)+SUMIFS(期初余额!$L$5:$L$64,期初余额!$B$5:$B$64,$B10)+SUMIFS(期初余额!$G$5:$G$64,期初余额!$B$5:$B$64,$B10)+_项目汇总!$N$6+_项目汇总!$O$6+_项目汇总!$R$6+_项目汇总!$S$6+_项目汇总!$T$6+_项目汇总!$U$6+_项目汇总!$V$6+_项目汇总!$W$6-(SUMIFS(代发抵账!$F$5:$F$304,代发抵账!$D$5:$D$304,"甲供材扣款",代发抵账!$H$5:$H$304,"&gt;="&amp;_辅助!$J$4,代发抵账!$H$5:$H$304,"&lt;="&amp;_辅助!$J$2,代发抵账!$C$5:$C$304,$B10)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10))))</f>
        <v>105285.01</v>
      </c>
      <c r="M10" s="21">
        <f t="shared" si="15"/>
        <v>0</v>
      </c>
      <c r="N10" s="21">
        <f t="shared" si="17"/>
        <v>105285.01</v>
      </c>
      <c r="O10" s="22">
        <f t="shared" si="18"/>
        <v>0</v>
      </c>
      <c r="P10" s="96" t="str">
        <f t="shared" si="21"/>
        <v>收票不到一半</v>
      </c>
      <c r="BA10" s="2">
        <f>SUM(CA1:CA10)</f>
        <v>3</v>
      </c>
      <c r="CA10" s="2">
        <f>IF(OR(_余额!$G$12&lt;&gt;0,_余额!$I$12&lt;&gt;0),1,0)</f>
        <v>1</v>
      </c>
    </row>
    <row r="11">
      <c r="A11" s="94">
        <f>IF($B11="","",5)</f>
        <v>5</v>
      </c>
      <c r="B11" s="96" t="str">
        <f>项目档案!$B$8&amp;""</f>
        <v>邹桥派出所</v>
      </c>
      <c r="C11" s="96" t="str">
        <f>项目档案!$D$8&amp;""</f>
        <v>德安县水利水电建筑工程公司</v>
      </c>
      <c r="D11" s="21">
        <f>IF($B11="","",应收账款总表!$F$10)</f>
        <v>95560.56</v>
      </c>
      <c r="E11" s="21">
        <f>IF($B11="","",应收账款总表!$J$10)</f>
        <v>88334.56</v>
      </c>
      <c r="F11" s="21">
        <f t="shared" si="3"/>
        <v>7226</v>
      </c>
      <c r="G11" s="21">
        <f>IF($B11="","",_项目汇总!$I$7)</f>
        <v>0</v>
      </c>
      <c r="H11" s="21">
        <f t="shared" si="6"/>
        <v>0</v>
      </c>
      <c r="I11" s="21">
        <f t="shared" si="8"/>
        <v>0</v>
      </c>
      <c r="J11" s="21">
        <f>IF($B11="","",_项目汇总!$M$7)</f>
        <v>0</v>
      </c>
      <c r="K11" s="21">
        <f t="shared" si="13"/>
        <v>0</v>
      </c>
      <c r="L11" s="21">
        <f>IF($B11="","",SUMIFS(期初余额!$J$5:$J$64,期初余额!$B$5:$B$64,$B11)+SUMIFS(期初余额!$K$5:$K$64,期初余额!$B$5:$B$64,$B11)+SUMIFS(期初余额!$L$5:$L$64,期初余额!$B$5:$B$64,$B11)+SUMIFS(期初余额!$G$5:$G$64,期初余额!$B$5:$B$64,$B11)+_项目汇总!$N$7+_项目汇总!$O$7+_项目汇总!$R$7+_项目汇总!$S$7+_项目汇总!$T$7+_项目汇总!$U$7+_项目汇总!$V$7+_项目汇总!$W$7-(SUMIFS(代发抵账!$F$5:$F$304,代发抵账!$D$5:$D$304,"甲供材扣款",代发抵账!$H$5:$H$304,"&gt;="&amp;_辅助!$J$4,代发抵账!$H$5:$H$304,"&lt;="&amp;_辅助!$J$2,代发抵账!$C$5:$C$304,$B11)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11))))</f>
        <v>39383.2</v>
      </c>
      <c r="M11" s="21">
        <f t="shared" si="15"/>
        <v>0</v>
      </c>
      <c r="N11" s="21">
        <f t="shared" si="17"/>
        <v>39383.2</v>
      </c>
      <c r="O11" s="22">
        <f t="shared" si="18"/>
        <v>0</v>
      </c>
      <c r="P11" s="96" t="str">
        <f t="shared" si="21"/>
        <v>收票不到一半</v>
      </c>
      <c r="BA11" s="2">
        <f>SUM(CA1:CA11)</f>
        <v>4</v>
      </c>
      <c r="CA11" s="2">
        <f>IF(OR(_余额!$G$13&lt;&gt;0,_余额!$I$13&lt;&gt;0),1,0)</f>
        <v>1</v>
      </c>
    </row>
    <row r="12">
      <c r="A12" s="94">
        <f>IF($B12="","",6)</f>
        <v>6</v>
      </c>
      <c r="B12" s="96" t="str">
        <f>项目档案!$B$9&amp;""</f>
        <v>抚州1号楼</v>
      </c>
      <c r="C12" s="96" t="str">
        <f>项目档案!$D$9&amp;""</f>
        <v>江西揽之建设工程有限公司</v>
      </c>
      <c r="D12" s="21">
        <f>IF($B12="","",应收账款总表!$F$11)</f>
        <v>695372.72</v>
      </c>
      <c r="E12" s="21">
        <f>IF($B12="","",应收账款总表!$J$11)</f>
        <v>562296</v>
      </c>
      <c r="F12" s="21">
        <f t="shared" si="3"/>
        <v>133076.72</v>
      </c>
      <c r="G12" s="21">
        <f>IF($B12="","",_项目汇总!$I$8)</f>
        <v>0</v>
      </c>
      <c r="H12" s="21">
        <f t="shared" si="6"/>
        <v>0</v>
      </c>
      <c r="I12" s="21">
        <f t="shared" si="8"/>
        <v>0</v>
      </c>
      <c r="J12" s="21">
        <f>IF($B12="","",_项目汇总!$M$8)</f>
        <v>0</v>
      </c>
      <c r="K12" s="21">
        <f t="shared" si="13"/>
        <v>0</v>
      </c>
      <c r="L12" s="21">
        <f>IF($B12="","",SUMIFS(期初余额!$J$5:$J$64,期初余额!$B$5:$B$64,$B12)+SUMIFS(期初余额!$K$5:$K$64,期初余额!$B$5:$B$64,$B12)+SUMIFS(期初余额!$L$5:$L$64,期初余额!$B$5:$B$64,$B12)+SUMIFS(期初余额!$G$5:$G$64,期初余额!$B$5:$B$64,$B12)+_项目汇总!$N$8+_项目汇总!$O$8+_项目汇总!$R$8+_项目汇总!$S$8+_项目汇总!$T$8+_项目汇总!$U$8+_项目汇总!$V$8+_项目汇总!$W$8-(SUMIFS(代发抵账!$F$5:$F$304,代发抵账!$D$5:$D$304,"甲供材扣款",代发抵账!$H$5:$H$304,"&gt;="&amp;_辅助!$J$4,代发抵账!$H$5:$H$304,"&lt;="&amp;_辅助!$J$2,代发抵账!$C$5:$C$304,$B12)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12))))</f>
        <v>563762.17</v>
      </c>
      <c r="M12" s="21">
        <f t="shared" si="15"/>
        <v>0</v>
      </c>
      <c r="N12" s="21">
        <f t="shared" si="17"/>
        <v>563762.17</v>
      </c>
      <c r="O12" s="22">
        <f t="shared" si="18"/>
        <v>0</v>
      </c>
      <c r="P12" s="96" t="str">
        <f t="shared" si="21"/>
        <v>收票不到一半</v>
      </c>
      <c r="BA12" s="2">
        <f>SUM(CA1:CA12)</f>
        <v>5</v>
      </c>
      <c r="CA12" s="2">
        <f>IF(OR(_余额!$G$14&lt;&gt;0,_余额!$I$14&lt;&gt;0),1,0)</f>
        <v>1</v>
      </c>
    </row>
    <row r="13">
      <c r="A13" s="94">
        <f>IF($B13="","",7)</f>
        <v>7</v>
      </c>
      <c r="B13" s="96" t="str">
        <f>项目档案!$B$10&amp;""</f>
        <v>抚州8号楼</v>
      </c>
      <c r="C13" s="96" t="str">
        <f>项目档案!$D$10&amp;""</f>
        <v>江西揽之建设工程有限公司</v>
      </c>
      <c r="D13" s="21">
        <f>IF($B13="","",应收账款总表!$F$12)</f>
        <v>960000</v>
      </c>
      <c r="E13" s="21">
        <f>IF($B13="","",应收账款总表!$J$12)</f>
        <v>670593.83</v>
      </c>
      <c r="F13" s="21">
        <f t="shared" si="3"/>
        <v>289406.17</v>
      </c>
      <c r="G13" s="21">
        <f>IF($B13="","",_项目汇总!$I$9)</f>
        <v>0</v>
      </c>
      <c r="H13" s="21">
        <f t="shared" si="6"/>
        <v>0</v>
      </c>
      <c r="I13" s="21">
        <f t="shared" si="8"/>
        <v>0</v>
      </c>
      <c r="J13" s="21">
        <f>IF($B13="","",_项目汇总!$M$9)</f>
        <v>0</v>
      </c>
      <c r="K13" s="21">
        <f t="shared" si="13"/>
        <v>0</v>
      </c>
      <c r="L13" s="21">
        <f>IF($B13="","",SUMIFS(期初余额!$J$5:$J$64,期初余额!$B$5:$B$64,$B13)+SUMIFS(期初余额!$K$5:$K$64,期初余额!$B$5:$B$64,$B13)+SUMIFS(期初余额!$L$5:$L$64,期初余额!$B$5:$B$64,$B13)+SUMIFS(期初余额!$G$5:$G$64,期初余额!$B$5:$B$64,$B13)+_项目汇总!$N$9+_项目汇总!$O$9+_项目汇总!$R$9+_项目汇总!$S$9+_项目汇总!$T$9+_项目汇总!$U$9+_项目汇总!$V$9+_项目汇总!$W$9-(SUMIFS(代发抵账!$F$5:$F$304,代发抵账!$D$5:$D$304,"甲供材扣款",代发抵账!$H$5:$H$304,"&gt;="&amp;_辅助!$J$4,代发抵账!$H$5:$H$304,"&lt;="&amp;_辅助!$J$2,代发抵账!$C$5:$C$304,$B13)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13))))</f>
        <v>691293.94</v>
      </c>
      <c r="M13" s="21">
        <f t="shared" si="15"/>
        <v>0</v>
      </c>
      <c r="N13" s="21">
        <f t="shared" si="17"/>
        <v>691293.94</v>
      </c>
      <c r="O13" s="22">
        <f t="shared" si="18"/>
        <v>0</v>
      </c>
      <c r="P13" s="96" t="str">
        <f t="shared" si="21"/>
        <v>收票不到一半</v>
      </c>
      <c r="BA13" s="2">
        <f>SUM(CA1:CA13)</f>
        <v>6</v>
      </c>
      <c r="CA13" s="2">
        <f>IF(OR(_余额!$G$15&lt;&gt;0,_余额!$I$15&lt;&gt;0),1,0)</f>
        <v>1</v>
      </c>
    </row>
    <row r="14">
      <c r="A14" s="94">
        <f>IF($B14="","",8)</f>
        <v>8</v>
      </c>
      <c r="B14" s="96" t="str">
        <f>项目档案!$B$11&amp;""</f>
        <v>抚州2号楼</v>
      </c>
      <c r="C14" s="96" t="str">
        <f>项目档案!$D$11&amp;""</f>
        <v>江西揽之建设工程有限公司</v>
      </c>
      <c r="D14" s="21">
        <f>IF($B14="","",应收账款总表!$F$13)</f>
        <v>64000</v>
      </c>
      <c r="E14" s="21">
        <f>IF($B14="","",应收账款总表!$J$13)</f>
        <v>51200</v>
      </c>
      <c r="F14" s="21">
        <f t="shared" si="3"/>
        <v>12800</v>
      </c>
      <c r="G14" s="21">
        <f>IF($B14="","",_项目汇总!$I$10)</f>
        <v>0</v>
      </c>
      <c r="H14" s="21">
        <f t="shared" si="6"/>
        <v>0</v>
      </c>
      <c r="I14" s="21">
        <f t="shared" si="8"/>
        <v>0</v>
      </c>
      <c r="J14" s="21">
        <f>IF($B14="","",_项目汇总!$M$10)</f>
        <v>0</v>
      </c>
      <c r="K14" s="21">
        <f t="shared" si="13"/>
        <v>0</v>
      </c>
      <c r="L14" s="21">
        <f>IF($B14="","",SUMIFS(期初余额!$J$5:$J$64,期初余额!$B$5:$B$64,$B14)+SUMIFS(期初余额!$K$5:$K$64,期初余额!$B$5:$B$64,$B14)+SUMIFS(期初余额!$L$5:$L$64,期初余额!$B$5:$B$64,$B14)+SUMIFS(期初余额!$G$5:$G$64,期初余额!$B$5:$B$64,$B14)+_项目汇总!$N$10+_项目汇总!$O$10+_项目汇总!$R$10+_项目汇总!$S$10+_项目汇总!$T$10+_项目汇总!$U$10+_项目汇总!$V$10+_项目汇总!$W$10-(SUMIFS(代发抵账!$F$5:$F$304,代发抵账!$D$5:$D$304,"甲供材扣款",代发抵账!$H$5:$H$304,"&gt;="&amp;_辅助!$J$4,代发抵账!$H$5:$H$304,"&lt;="&amp;_辅助!$J$2,代发抵账!$C$5:$C$304,$B14)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14))))</f>
        <v>0</v>
      </c>
      <c r="M14" s="21">
        <f t="shared" si="15"/>
        <v>0</v>
      </c>
      <c r="N14" s="21">
        <f t="shared" si="17"/>
        <v>0</v>
      </c>
      <c r="O14" s="22">
        <f t="shared" si="18"/>
      </c>
      <c r="P14" s="96">
        <f t="shared" si="21"/>
      </c>
      <c r="BA14" s="2">
        <f>SUM(CA1:CA14)</f>
        <v>7</v>
      </c>
      <c r="CA14" s="2">
        <f>IF(OR(_余额!$G$16&lt;&gt;0,_余额!$I$16&lt;&gt;0),1,0)</f>
        <v>1</v>
      </c>
    </row>
    <row r="15">
      <c r="A15" s="94">
        <f>IF($B15="","",9)</f>
        <v>9</v>
      </c>
      <c r="B15" s="96" t="str">
        <f>项目档案!$B$12&amp;""</f>
        <v>博河科创中心</v>
      </c>
      <c r="C15" s="96" t="str">
        <f>项目档案!$D$12&amp;""</f>
        <v>德安县博河产业控股集团有限公司</v>
      </c>
      <c r="D15" s="21">
        <f>IF($B15="","",应收账款总表!$F$14)</f>
        <v>510758.96</v>
      </c>
      <c r="E15" s="21">
        <f>IF($B15="","",应收账款总表!$J$14)</f>
        <v>102151.79</v>
      </c>
      <c r="F15" s="21">
        <f t="shared" si="3"/>
        <v>408607.17</v>
      </c>
      <c r="G15" s="21">
        <f>IF($B15="","",_项目汇总!$I$11)</f>
        <v>0</v>
      </c>
      <c r="H15" s="21">
        <f t="shared" si="6"/>
        <v>0</v>
      </c>
      <c r="I15" s="21">
        <f t="shared" si="8"/>
        <v>0</v>
      </c>
      <c r="J15" s="21">
        <f>IF($B15="","",_项目汇总!$M$11)</f>
        <v>0</v>
      </c>
      <c r="K15" s="21">
        <f t="shared" si="13"/>
        <v>0</v>
      </c>
      <c r="L15" s="21">
        <f>IF($B15="","",SUMIFS(期初余额!$J$5:$J$64,期初余额!$B$5:$B$64,$B15)+SUMIFS(期初余额!$K$5:$K$64,期初余额!$B$5:$B$64,$B15)+SUMIFS(期初余额!$L$5:$L$64,期初余额!$B$5:$B$64,$B15)+SUMIFS(期初余额!$G$5:$G$64,期初余额!$B$5:$B$64,$B15)+_项目汇总!$N$11+_项目汇总!$O$11+_项目汇总!$R$11+_项目汇总!$S$11+_项目汇总!$T$11+_项目汇总!$U$11+_项目汇总!$V$11+_项目汇总!$W$11-(SUMIFS(代发抵账!$F$5:$F$304,代发抵账!$D$5:$D$304,"甲供材扣款",代发抵账!$H$5:$H$304,"&gt;="&amp;_辅助!$J$4,代发抵账!$H$5:$H$304,"&lt;="&amp;_辅助!$J$2,代发抵账!$C$5:$C$304,$B15)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15))))</f>
        <v>0</v>
      </c>
      <c r="M15" s="21">
        <f t="shared" si="15"/>
        <v>0</v>
      </c>
      <c r="N15" s="21">
        <f t="shared" si="17"/>
        <v>0</v>
      </c>
      <c r="O15" s="22">
        <f t="shared" si="18"/>
      </c>
      <c r="P15" s="96">
        <f t="shared" si="21"/>
      </c>
      <c r="BA15" s="2">
        <f>SUM(CA1:CA15)</f>
        <v>8</v>
      </c>
      <c r="CA15" s="2">
        <f>IF(OR(_余额!$G$17&lt;&gt;0,_余额!$I$17&lt;&gt;0),1,0)</f>
        <v>1</v>
      </c>
    </row>
    <row r="16">
      <c r="A16" s="94">
        <f>IF($B16="","",10)</f>
        <v>10</v>
      </c>
      <c r="B16" s="96" t="str">
        <f>项目档案!$B$13&amp;""</f>
        <v>德安农商行总部</v>
      </c>
      <c r="C16" s="96" t="str">
        <f>项目档案!$D$13&amp;""</f>
        <v>德安农商银行</v>
      </c>
      <c r="D16" s="21">
        <f>IF($B16="","",应收账款总表!$F$15)</f>
        <v>8992</v>
      </c>
      <c r="E16" s="21">
        <f>IF($B16="","",应收账款总表!$J$15)</f>
        <v>8992</v>
      </c>
      <c r="F16" s="21">
        <f t="shared" si="3"/>
        <v>0</v>
      </c>
      <c r="G16" s="21">
        <f>IF($B16="","",_项目汇总!$I$12)</f>
        <v>8992</v>
      </c>
      <c r="H16" s="21">
        <f t="shared" si="6"/>
        <v>742.46</v>
      </c>
      <c r="I16" s="21">
        <f t="shared" si="8"/>
        <v>1346.94</v>
      </c>
      <c r="J16" s="21">
        <f>IF($B16="","",_项目汇总!$M$12)</f>
        <v>62.92</v>
      </c>
      <c r="K16" s="21">
        <f t="shared" si="13"/>
        <v>679.54</v>
      </c>
      <c r="L16" s="21">
        <f>IF($B16="","",SUMIFS(期初余额!$J$5:$J$64,期初余额!$B$5:$B$64,$B16)+SUMIFS(期初余额!$K$5:$K$64,期初余额!$B$5:$B$64,$B16)+SUMIFS(期初余额!$L$5:$L$64,期初余额!$B$5:$B$64,$B16)+SUMIFS(期初余额!$G$5:$G$64,期初余额!$B$5:$B$64,$B16)+_项目汇总!$N$12+_项目汇总!$O$12+_项目汇总!$R$12+_项目汇总!$S$12+_项目汇总!$T$12+_项目汇总!$U$12+_项目汇总!$V$12+_项目汇总!$W$12-(SUMIFS(代发抵账!$F$5:$F$304,代发抵账!$D$5:$D$304,"甲供材扣款",代发抵账!$H$5:$H$304,"&gt;="&amp;_辅助!$J$4,代发抵账!$H$5:$H$304,"&lt;="&amp;_辅助!$J$2,代发抵账!$C$5:$C$304,$B16)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16))))</f>
        <v>920</v>
      </c>
      <c r="M16" s="21">
        <f t="shared" si="15"/>
        <v>1346.94</v>
      </c>
      <c r="N16" s="21">
        <f t="shared" si="17"/>
        <v>-426.94</v>
      </c>
      <c r="O16" s="22">
        <f t="shared" si="18"/>
        <v>1.4640652173913</v>
      </c>
      <c r="P16" s="96">
        <f t="shared" si="21"/>
      </c>
      <c r="BA16" s="2">
        <f>SUM(CA1:CA16)</f>
        <v>9</v>
      </c>
      <c r="CA16" s="2">
        <f>IF(OR(_余额!$G$18&lt;&gt;0,_余额!$I$18&lt;&gt;0),1,0)</f>
        <v>1</v>
      </c>
    </row>
    <row r="17">
      <c r="A17" s="94">
        <f>IF($B17="","",11)</f>
        <v>11</v>
      </c>
      <c r="B17" s="96" t="str">
        <f>项目档案!$B$14&amp;""</f>
        <v>示范园</v>
      </c>
      <c r="C17" s="96">
        <f>项目档案!$D$14&amp;""</f>
      </c>
      <c r="D17" s="21">
        <f>IF($B17="","",应收账款总表!$F$16)</f>
        <v>0</v>
      </c>
      <c r="E17" s="21">
        <f>IF($B17="","",应收账款总表!$J$16)</f>
        <v>0</v>
      </c>
      <c r="F17" s="21">
        <f t="shared" si="3"/>
        <v>0</v>
      </c>
      <c r="G17" s="21">
        <f>IF($B17="","",_项目汇总!$I$13)</f>
        <v>0</v>
      </c>
      <c r="H17" s="21">
        <f t="shared" si="6"/>
        <v>0</v>
      </c>
      <c r="I17" s="21">
        <f t="shared" si="8"/>
        <v>0</v>
      </c>
      <c r="J17" s="21">
        <f>IF($B17="","",_项目汇总!$M$13)</f>
        <v>0</v>
      </c>
      <c r="K17" s="21">
        <f t="shared" si="13"/>
        <v>0</v>
      </c>
      <c r="L17" s="21">
        <f>IF($B17="","",SUMIFS(期初余额!$J$5:$J$64,期初余额!$B$5:$B$64,$B17)+SUMIFS(期初余额!$K$5:$K$64,期初余额!$B$5:$B$64,$B17)+SUMIFS(期初余额!$L$5:$L$64,期初余额!$B$5:$B$64,$B17)+SUMIFS(期初余额!$G$5:$G$64,期初余额!$B$5:$B$64,$B17)+_项目汇总!$N$13+_项目汇总!$O$13+_项目汇总!$R$13+_项目汇总!$S$13+_项目汇总!$T$13+_项目汇总!$U$13+_项目汇总!$V$13+_项目汇总!$W$13-(SUMIFS(代发抵账!$F$5:$F$304,代发抵账!$D$5:$D$304,"甲供材扣款",代发抵账!$H$5:$H$304,"&gt;="&amp;_辅助!$J$4,代发抵账!$H$5:$H$304,"&lt;="&amp;_辅助!$J$2,代发抵账!$C$5:$C$304,$B17)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17))))</f>
        <v>0</v>
      </c>
      <c r="M17" s="21">
        <f t="shared" si="15"/>
        <v>0</v>
      </c>
      <c r="N17" s="21">
        <f t="shared" si="17"/>
        <v>0</v>
      </c>
      <c r="O17" s="22">
        <f t="shared" si="18"/>
      </c>
      <c r="P17" s="96">
        <f t="shared" si="21"/>
      </c>
      <c r="BA17" s="2">
        <f>SUM(CA1:CA17)</f>
        <v>10</v>
      </c>
      <c r="CA17" s="2">
        <f>IF(OR(_余额!$G$19&lt;&gt;0,_余额!$I$19&lt;&gt;0),1,0)</f>
        <v>1</v>
      </c>
    </row>
    <row r="18">
      <c r="A18" s="94">
        <f>IF($B18="","",12)</f>
        <v>12</v>
      </c>
      <c r="B18" s="96" t="str">
        <f>项目档案!$B$15&amp;""</f>
        <v>恒科华府</v>
      </c>
      <c r="C18" s="96">
        <f>项目档案!$D$15&amp;""</f>
      </c>
      <c r="D18" s="21">
        <f>IF($B18="","",应收账款总表!$F$17)</f>
        <v>0</v>
      </c>
      <c r="E18" s="21">
        <f>IF($B18="","",应收账款总表!$J$17)</f>
        <v>0</v>
      </c>
      <c r="F18" s="21">
        <f t="shared" si="3"/>
        <v>0</v>
      </c>
      <c r="G18" s="21">
        <f>IF($B18="","",_项目汇总!$I$14)</f>
        <v>0</v>
      </c>
      <c r="H18" s="21">
        <f t="shared" si="6"/>
        <v>0</v>
      </c>
      <c r="I18" s="21">
        <f t="shared" si="8"/>
        <v>0</v>
      </c>
      <c r="J18" s="21">
        <f>IF($B18="","",_项目汇总!$M$14)</f>
        <v>0</v>
      </c>
      <c r="K18" s="21">
        <f t="shared" si="13"/>
        <v>0</v>
      </c>
      <c r="L18" s="21">
        <f>IF($B18="","",SUMIFS(期初余额!$J$5:$J$64,期初余额!$B$5:$B$64,$B18)+SUMIFS(期初余额!$K$5:$K$64,期初余额!$B$5:$B$64,$B18)+SUMIFS(期初余额!$L$5:$L$64,期初余额!$B$5:$B$64,$B18)+SUMIFS(期初余额!$G$5:$G$64,期初余额!$B$5:$B$64,$B18)+_项目汇总!$N$14+_项目汇总!$O$14+_项目汇总!$R$14+_项目汇总!$S$14+_项目汇总!$T$14+_项目汇总!$U$14+_项目汇总!$V$14+_项目汇总!$W$14-(SUMIFS(代发抵账!$F$5:$F$304,代发抵账!$D$5:$D$304,"甲供材扣款",代发抵账!$H$5:$H$304,"&gt;="&amp;_辅助!$J$4,代发抵账!$H$5:$H$304,"&lt;="&amp;_辅助!$J$2,代发抵账!$C$5:$C$304,$B18)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18))))</f>
        <v>0</v>
      </c>
      <c r="M18" s="21">
        <f t="shared" si="15"/>
        <v>0</v>
      </c>
      <c r="N18" s="21">
        <f t="shared" si="17"/>
        <v>0</v>
      </c>
      <c r="O18" s="22">
        <f t="shared" si="18"/>
      </c>
      <c r="P18" s="96">
        <f t="shared" si="21"/>
      </c>
      <c r="BA18" s="2">
        <f>SUM(CA1:CA18)</f>
        <v>11</v>
      </c>
      <c r="CA18" s="2">
        <f>IF(OR(_余额!$G$20&lt;&gt;0,_余额!$I$20&lt;&gt;0),1,0)</f>
        <v>1</v>
      </c>
    </row>
    <row r="19">
      <c r="A19" s="94">
        <f>IF($B19="","",13)</f>
        <v>13</v>
      </c>
      <c r="B19" s="96" t="str">
        <f>项目档案!$B$16&amp;""</f>
        <v>赣粤高速</v>
      </c>
      <c r="C19" s="96" t="str">
        <f>项目档案!$D$16&amp;""</f>
        <v>江西赣粤高速公路</v>
      </c>
      <c r="D19" s="21">
        <f>IF($B19="","",应收账款总表!$F$18)</f>
        <v>0</v>
      </c>
      <c r="E19" s="21">
        <f>IF($B19="","",应收账款总表!$J$18)</f>
        <v>0</v>
      </c>
      <c r="F19" s="21">
        <f t="shared" si="3"/>
        <v>0</v>
      </c>
      <c r="G19" s="21">
        <f>IF($B19="","",_项目汇总!$I$15)</f>
        <v>0</v>
      </c>
      <c r="H19" s="21">
        <f t="shared" si="6"/>
        <v>0</v>
      </c>
      <c r="I19" s="21">
        <f t="shared" si="8"/>
        <v>0</v>
      </c>
      <c r="J19" s="21">
        <f>IF($B19="","",_项目汇总!$M$15)</f>
        <v>0</v>
      </c>
      <c r="K19" s="21">
        <f t="shared" si="13"/>
        <v>0</v>
      </c>
      <c r="L19" s="21">
        <f>IF($B19="","",SUMIFS(期初余额!$J$5:$J$64,期初余额!$B$5:$B$64,$B19)+SUMIFS(期初余额!$K$5:$K$64,期初余额!$B$5:$B$64,$B19)+SUMIFS(期初余额!$L$5:$L$64,期初余额!$B$5:$B$64,$B19)+SUMIFS(期初余额!$G$5:$G$64,期初余额!$B$5:$B$64,$B19)+_项目汇总!$N$15+_项目汇总!$O$15+_项目汇总!$R$15+_项目汇总!$S$15+_项目汇总!$T$15+_项目汇总!$U$15+_项目汇总!$V$15+_项目汇总!$W$15-(SUMIFS(代发抵账!$F$5:$F$304,代发抵账!$D$5:$D$304,"甲供材扣款",代发抵账!$H$5:$H$304,"&gt;="&amp;_辅助!$J$4,代发抵账!$H$5:$H$304,"&lt;="&amp;_辅助!$J$2,代发抵账!$C$5:$C$304,$B19)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19))))</f>
        <v>0</v>
      </c>
      <c r="M19" s="21">
        <f t="shared" si="15"/>
        <v>0</v>
      </c>
      <c r="N19" s="21">
        <f t="shared" si="17"/>
        <v>0</v>
      </c>
      <c r="O19" s="22">
        <f t="shared" si="18"/>
      </c>
      <c r="P19" s="96">
        <f t="shared" si="21"/>
      </c>
      <c r="BA19" s="2">
        <f>SUM(CA1:CA19)</f>
        <v>12</v>
      </c>
      <c r="CA19" s="2">
        <f>IF(OR(_余额!$G$21&lt;&gt;0,_余额!$I$21&lt;&gt;0),1,0)</f>
        <v>1</v>
      </c>
    </row>
    <row r="20">
      <c r="A20" s="94">
        <f>IF($B20="","",14)</f>
        <v>14</v>
      </c>
      <c r="B20" s="96" t="str">
        <f>项目档案!$B$17&amp;""</f>
        <v>隆世光伏</v>
      </c>
      <c r="C20" s="96">
        <f>项目档案!$D$17&amp;""</f>
      </c>
      <c r="D20" s="21">
        <f>IF($B20="","",应收账款总表!$F$19)</f>
        <v>0</v>
      </c>
      <c r="E20" s="21">
        <f>IF($B20="","",应收账款总表!$J$19)</f>
        <v>0</v>
      </c>
      <c r="F20" s="21">
        <f t="shared" si="3"/>
        <v>0</v>
      </c>
      <c r="G20" s="21">
        <f>IF($B20="","",_项目汇总!$I$16)</f>
        <v>0</v>
      </c>
      <c r="H20" s="21">
        <f t="shared" si="6"/>
        <v>0</v>
      </c>
      <c r="I20" s="21">
        <f t="shared" si="8"/>
        <v>0</v>
      </c>
      <c r="J20" s="21">
        <f>IF($B20="","",_项目汇总!$M$16)</f>
        <v>0</v>
      </c>
      <c r="K20" s="21">
        <f t="shared" si="13"/>
        <v>0</v>
      </c>
      <c r="L20" s="21">
        <f>IF($B20="","",SUMIFS(期初余额!$J$5:$J$64,期初余额!$B$5:$B$64,$B20)+SUMIFS(期初余额!$K$5:$K$64,期初余额!$B$5:$B$64,$B20)+SUMIFS(期初余额!$L$5:$L$64,期初余额!$B$5:$B$64,$B20)+SUMIFS(期初余额!$G$5:$G$64,期初余额!$B$5:$B$64,$B20)+_项目汇总!$N$16+_项目汇总!$O$16+_项目汇总!$R$16+_项目汇总!$S$16+_项目汇总!$T$16+_项目汇总!$U$16+_项目汇总!$V$16+_项目汇总!$W$16-(SUMIFS(代发抵账!$F$5:$F$304,代发抵账!$D$5:$D$304,"甲供材扣款",代发抵账!$H$5:$H$304,"&gt;="&amp;_辅助!$J$4,代发抵账!$H$5:$H$304,"&lt;="&amp;_辅助!$J$2,代发抵账!$C$5:$C$304,$B20)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20))))</f>
        <v>2500</v>
      </c>
      <c r="M20" s="21">
        <f t="shared" si="15"/>
        <v>0</v>
      </c>
      <c r="N20" s="21">
        <f t="shared" si="17"/>
        <v>2500</v>
      </c>
      <c r="O20" s="22">
        <f t="shared" si="18"/>
        <v>0</v>
      </c>
      <c r="P20" s="96" t="str">
        <f t="shared" si="21"/>
        <v>收票不到一半</v>
      </c>
      <c r="BA20" s="2">
        <f>SUM(CA1:CA20)</f>
        <v>13</v>
      </c>
      <c r="CA20" s="2">
        <f>IF(OR(_余额!$G$22&lt;&gt;0,_余额!$I$22&lt;&gt;0),1,0)</f>
        <v>1</v>
      </c>
    </row>
    <row r="21">
      <c r="A21" s="94">
        <f>IF($B21="","",15)</f>
        <v>15</v>
      </c>
      <c r="B21" s="96" t="str">
        <f>项目档案!$B$18&amp;""</f>
        <v>中国联项目</v>
      </c>
      <c r="C21" s="96">
        <f>项目档案!$D$18&amp;""</f>
      </c>
      <c r="D21" s="21">
        <f>IF($B21="","",应收账款总表!$F$20)</f>
        <v>0</v>
      </c>
      <c r="E21" s="21">
        <f>IF($B21="","",应收账款总表!$J$20)</f>
        <v>0</v>
      </c>
      <c r="F21" s="21">
        <f t="shared" si="3"/>
        <v>0</v>
      </c>
      <c r="G21" s="21">
        <f>IF($B21="","",_项目汇总!$I$17)</f>
        <v>0</v>
      </c>
      <c r="H21" s="21">
        <f t="shared" si="6"/>
        <v>0</v>
      </c>
      <c r="I21" s="21">
        <f t="shared" si="8"/>
        <v>0</v>
      </c>
      <c r="J21" s="21">
        <f>IF($B21="","",_项目汇总!$M$17)</f>
        <v>0</v>
      </c>
      <c r="K21" s="21">
        <f t="shared" si="13"/>
        <v>0</v>
      </c>
      <c r="L21" s="21">
        <f>IF($B21="","",SUMIFS(期初余额!$J$5:$J$64,期初余额!$B$5:$B$64,$B21)+SUMIFS(期初余额!$K$5:$K$64,期初余额!$B$5:$B$64,$B21)+SUMIFS(期初余额!$L$5:$L$64,期初余额!$B$5:$B$64,$B21)+SUMIFS(期初余额!$G$5:$G$64,期初余额!$B$5:$B$64,$B21)+_项目汇总!$N$17+_项目汇总!$O$17+_项目汇总!$R$17+_项目汇总!$S$17+_项目汇总!$T$17+_项目汇总!$U$17+_项目汇总!$V$17+_项目汇总!$W$17-(SUMIFS(代发抵账!$F$5:$F$304,代发抵账!$D$5:$D$304,"甲供材扣款",代发抵账!$H$5:$H$304,"&gt;="&amp;_辅助!$J$4,代发抵账!$H$5:$H$304,"&lt;="&amp;_辅助!$J$2,代发抵账!$C$5:$C$304,$B21)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21))))</f>
        <v>0</v>
      </c>
      <c r="M21" s="21">
        <f t="shared" si="15"/>
        <v>0</v>
      </c>
      <c r="N21" s="21">
        <f t="shared" si="17"/>
        <v>0</v>
      </c>
      <c r="O21" s="22">
        <f t="shared" si="18"/>
      </c>
      <c r="P21" s="96">
        <f t="shared" si="21"/>
      </c>
      <c r="BA21" s="2">
        <f>SUM(CA1:CA21)</f>
        <v>13</v>
      </c>
      <c r="CA21" s="2">
        <f>IF(OR(_余额!$G$23&lt;&gt;0,_余额!$I$23&lt;&gt;0),1,0)</f>
        <v>0</v>
      </c>
    </row>
    <row r="22">
      <c r="A22" s="94">
        <f>IF($B22="","",16)</f>
        <v>16</v>
      </c>
      <c r="B22" s="96" t="str">
        <f>项目档案!$B$19&amp;""</f>
        <v>吴山政府项目</v>
      </c>
      <c r="C22" s="96">
        <f>项目档案!$D$19&amp;""</f>
      </c>
      <c r="D22" s="21">
        <f>IF($B22="","",应收账款总表!$F$21)</f>
        <v>0</v>
      </c>
      <c r="E22" s="21">
        <f>IF($B22="","",应收账款总表!$J$21)</f>
        <v>0</v>
      </c>
      <c r="F22" s="21">
        <f t="shared" si="3"/>
        <v>0</v>
      </c>
      <c r="G22" s="21">
        <f>IF($B22="","",_项目汇总!$I$18)</f>
        <v>0</v>
      </c>
      <c r="H22" s="21">
        <f t="shared" si="6"/>
        <v>0</v>
      </c>
      <c r="I22" s="21">
        <f t="shared" si="8"/>
        <v>0</v>
      </c>
      <c r="J22" s="21">
        <f>IF($B22="","",_项目汇总!$M$18)</f>
        <v>0</v>
      </c>
      <c r="K22" s="21">
        <f t="shared" si="13"/>
        <v>0</v>
      </c>
      <c r="L22" s="21">
        <f>IF($B22="","",SUMIFS(期初余额!$J$5:$J$64,期初余额!$B$5:$B$64,$B22)+SUMIFS(期初余额!$K$5:$K$64,期初余额!$B$5:$B$64,$B22)+SUMIFS(期初余额!$L$5:$L$64,期初余额!$B$5:$B$64,$B22)+SUMIFS(期初余额!$G$5:$G$64,期初余额!$B$5:$B$64,$B22)+_项目汇总!$N$18+_项目汇总!$O$18+_项目汇总!$R$18+_项目汇总!$S$18+_项目汇总!$T$18+_项目汇总!$U$18+_项目汇总!$V$18+_项目汇总!$W$18-(SUMIFS(代发抵账!$F$5:$F$304,代发抵账!$D$5:$D$304,"甲供材扣款",代发抵账!$H$5:$H$304,"&gt;="&amp;_辅助!$J$4,代发抵账!$H$5:$H$304,"&lt;="&amp;_辅助!$J$2,代发抵账!$C$5:$C$304,$B22)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22))))</f>
        <v>56647.98</v>
      </c>
      <c r="M22" s="21">
        <f t="shared" si="15"/>
        <v>0</v>
      </c>
      <c r="N22" s="21">
        <f t="shared" si="17"/>
        <v>56647.98</v>
      </c>
      <c r="O22" s="22">
        <f t="shared" si="18"/>
        <v>0</v>
      </c>
      <c r="P22" s="96" t="str">
        <f t="shared" si="21"/>
        <v>收票不到一半</v>
      </c>
      <c r="BA22" s="2">
        <f>SUM(CA1:CA22)</f>
        <v>13</v>
      </c>
      <c r="CA22" s="2">
        <f>IF(OR(_余额!$G$24&lt;&gt;0,_余额!$I$24&lt;&gt;0),1,0)</f>
        <v>0</v>
      </c>
    </row>
    <row r="23">
      <c r="A23" s="94">
        <f>IF($B23="","",17)</f>
      </c>
      <c r="B23" s="96">
        <f>项目档案!$B$20&amp;""</f>
      </c>
      <c r="C23" s="96">
        <f>项目档案!$D$20&amp;""</f>
      </c>
      <c r="D23" s="21">
        <f>IF($B23="","",应收账款总表!$F$22)</f>
      </c>
      <c r="E23" s="21">
        <f>IF($B23="","",应收账款总表!$J$22)</f>
      </c>
      <c r="F23" s="21">
        <f t="shared" si="3"/>
      </c>
      <c r="G23" s="21">
        <f>IF($B23="","",_项目汇总!$I$19)</f>
      </c>
      <c r="H23" s="21">
        <f t="shared" si="6"/>
      </c>
      <c r="I23" s="21">
        <f t="shared" si="8"/>
      </c>
      <c r="J23" s="21">
        <f>IF($B23="","",_项目汇总!$M$19)</f>
      </c>
      <c r="K23" s="21">
        <f t="shared" si="13"/>
      </c>
      <c r="L23" s="21">
        <f>IF($B23="","",SUMIFS(期初余额!$J$5:$J$64,期初余额!$B$5:$B$64,$B23)+SUMIFS(期初余额!$K$5:$K$64,期初余额!$B$5:$B$64,$B23)+SUMIFS(期初余额!$L$5:$L$64,期初余额!$B$5:$B$64,$B23)+SUMIFS(期初余额!$G$5:$G$64,期初余额!$B$5:$B$64,$B23)+_项目汇总!$N$19+_项目汇总!$O$19+_项目汇总!$R$19+_项目汇总!$S$19+_项目汇总!$T$19+_项目汇总!$U$19+_项目汇总!$V$19+_项目汇总!$W$19-(SUMIFS(代发抵账!$F$5:$F$304,代发抵账!$D$5:$D$304,"甲供材扣款",代发抵账!$H$5:$H$304,"&gt;="&amp;_辅助!$J$4,代发抵账!$H$5:$H$304,"&lt;="&amp;_辅助!$J$2,代发抵账!$C$5:$C$304,$B23)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23))))</f>
      </c>
      <c r="M23" s="21">
        <f t="shared" si="15"/>
      </c>
      <c r="N23" s="21">
        <f t="shared" si="17"/>
      </c>
      <c r="O23" s="22">
        <f t="shared" si="18"/>
      </c>
      <c r="P23" s="96">
        <f t="shared" si="21"/>
      </c>
      <c r="BA23" s="2">
        <f>SUM(CA1:CA23)</f>
        <v>13</v>
      </c>
      <c r="CA23" s="2">
        <f>IF(OR(_余额!$G$25&lt;&gt;0,_余额!$I$25&lt;&gt;0),1,0)</f>
        <v>0</v>
      </c>
    </row>
    <row r="24">
      <c r="A24" s="94">
        <f>IF($B24="","",18)</f>
      </c>
      <c r="B24" s="96">
        <f>项目档案!$B$21&amp;""</f>
      </c>
      <c r="C24" s="96">
        <f>项目档案!$D$21&amp;""</f>
      </c>
      <c r="D24" s="21">
        <f>IF($B24="","",应收账款总表!$F$23)</f>
      </c>
      <c r="E24" s="21">
        <f>IF($B24="","",应收账款总表!$J$23)</f>
      </c>
      <c r="F24" s="21">
        <f t="shared" si="3"/>
      </c>
      <c r="G24" s="21">
        <f>IF($B24="","",_项目汇总!$I$20)</f>
      </c>
      <c r="H24" s="21">
        <f t="shared" si="6"/>
      </c>
      <c r="I24" s="21">
        <f t="shared" si="8"/>
      </c>
      <c r="J24" s="21">
        <f>IF($B24="","",_项目汇总!$M$20)</f>
      </c>
      <c r="K24" s="21">
        <f t="shared" si="13"/>
      </c>
      <c r="L24" s="21">
        <f>IF($B24="","",SUMIFS(期初余额!$J$5:$J$64,期初余额!$B$5:$B$64,$B24)+SUMIFS(期初余额!$K$5:$K$64,期初余额!$B$5:$B$64,$B24)+SUMIFS(期初余额!$L$5:$L$64,期初余额!$B$5:$B$64,$B24)+SUMIFS(期初余额!$G$5:$G$64,期初余额!$B$5:$B$64,$B24)+_项目汇总!$N$20+_项目汇总!$O$20+_项目汇总!$R$20+_项目汇总!$S$20+_项目汇总!$T$20+_项目汇总!$U$20+_项目汇总!$V$20+_项目汇总!$W$20-(SUMIFS(代发抵账!$F$5:$F$304,代发抵账!$D$5:$D$304,"甲供材扣款",代发抵账!$H$5:$H$304,"&gt;="&amp;_辅助!$J$4,代发抵账!$H$5:$H$304,"&lt;="&amp;_辅助!$J$2,代发抵账!$C$5:$C$304,$B24)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24))))</f>
      </c>
      <c r="M24" s="21">
        <f t="shared" si="15"/>
      </c>
      <c r="N24" s="21">
        <f t="shared" si="17"/>
      </c>
      <c r="O24" s="22">
        <f t="shared" si="18"/>
      </c>
      <c r="P24" s="96">
        <f t="shared" si="21"/>
      </c>
      <c r="BA24" s="2">
        <f>SUM(CA1:CA24)</f>
        <v>13</v>
      </c>
      <c r="CA24" s="2">
        <f>IF(OR(_余额!$G$26&lt;&gt;0,_余额!$I$26&lt;&gt;0),1,0)</f>
        <v>0</v>
      </c>
    </row>
    <row r="25">
      <c r="A25" s="94">
        <f>IF($B25="","",19)</f>
      </c>
      <c r="B25" s="96">
        <f>项目档案!$B$22&amp;""</f>
      </c>
      <c r="C25" s="96">
        <f>项目档案!$D$22&amp;""</f>
      </c>
      <c r="D25" s="21">
        <f>IF($B25="","",应收账款总表!$F$24)</f>
      </c>
      <c r="E25" s="21">
        <f>IF($B25="","",应收账款总表!$J$24)</f>
      </c>
      <c r="F25" s="21">
        <f t="shared" si="3"/>
      </c>
      <c r="G25" s="21">
        <f>IF($B25="","",_项目汇总!$I$21)</f>
      </c>
      <c r="H25" s="21">
        <f t="shared" si="6"/>
      </c>
      <c r="I25" s="21">
        <f t="shared" si="8"/>
      </c>
      <c r="J25" s="21">
        <f>IF($B25="","",_项目汇总!$M$21)</f>
      </c>
      <c r="K25" s="21">
        <f t="shared" si="13"/>
      </c>
      <c r="L25" s="21">
        <f>IF($B25="","",SUMIFS(期初余额!$J$5:$J$64,期初余额!$B$5:$B$64,$B25)+SUMIFS(期初余额!$K$5:$K$64,期初余额!$B$5:$B$64,$B25)+SUMIFS(期初余额!$L$5:$L$64,期初余额!$B$5:$B$64,$B25)+SUMIFS(期初余额!$G$5:$G$64,期初余额!$B$5:$B$64,$B25)+_项目汇总!$N$21+_项目汇总!$O$21+_项目汇总!$R$21+_项目汇总!$S$21+_项目汇总!$T$21+_项目汇总!$U$21+_项目汇总!$V$21+_项目汇总!$W$21-(SUMIFS(代发抵账!$F$5:$F$304,代发抵账!$D$5:$D$304,"甲供材扣款",代发抵账!$H$5:$H$304,"&gt;="&amp;_辅助!$J$4,代发抵账!$H$5:$H$304,"&lt;="&amp;_辅助!$J$2,代发抵账!$C$5:$C$304,$B25)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25))))</f>
      </c>
      <c r="M25" s="21">
        <f t="shared" si="15"/>
      </c>
      <c r="N25" s="21">
        <f t="shared" si="17"/>
      </c>
      <c r="O25" s="22">
        <f t="shared" si="18"/>
      </c>
      <c r="P25" s="96">
        <f t="shared" si="21"/>
      </c>
      <c r="BA25" s="2">
        <f>SUM(CA1:CA25)</f>
        <v>14</v>
      </c>
      <c r="CA25" s="2">
        <f>IF(OR(_余额!$G$27&lt;&gt;0,_余额!$I$27&lt;&gt;0),1,0)</f>
        <v>1</v>
      </c>
    </row>
    <row r="26">
      <c r="A26" s="94">
        <f>IF($B26="","",20)</f>
      </c>
      <c r="B26" s="96">
        <f>项目档案!$B$23&amp;""</f>
      </c>
      <c r="C26" s="96">
        <f>项目档案!$D$23&amp;""</f>
      </c>
      <c r="D26" s="21">
        <f>IF($B26="","",应收账款总表!$F$25)</f>
      </c>
      <c r="E26" s="21">
        <f>IF($B26="","",应收账款总表!$J$25)</f>
      </c>
      <c r="F26" s="21">
        <f t="shared" si="3"/>
      </c>
      <c r="G26" s="21">
        <f>IF($B26="","",_项目汇总!$I$22)</f>
      </c>
      <c r="H26" s="21">
        <f t="shared" si="6"/>
      </c>
      <c r="I26" s="21">
        <f t="shared" si="8"/>
      </c>
      <c r="J26" s="21">
        <f>IF($B26="","",_项目汇总!$M$22)</f>
      </c>
      <c r="K26" s="21">
        <f t="shared" si="13"/>
      </c>
      <c r="L26" s="21">
        <f>IF($B26="","",SUMIFS(期初余额!$J$5:$J$64,期初余额!$B$5:$B$64,$B26)+SUMIFS(期初余额!$K$5:$K$64,期初余额!$B$5:$B$64,$B26)+SUMIFS(期初余额!$L$5:$L$64,期初余额!$B$5:$B$64,$B26)+SUMIFS(期初余额!$G$5:$G$64,期初余额!$B$5:$B$64,$B26)+_项目汇总!$N$22+_项目汇总!$O$22+_项目汇总!$R$22+_项目汇总!$S$22+_项目汇总!$T$22+_项目汇总!$U$22+_项目汇总!$V$22+_项目汇总!$W$22-(SUMIFS(代发抵账!$F$5:$F$304,代发抵账!$D$5:$D$304,"甲供材扣款",代发抵账!$H$5:$H$304,"&gt;="&amp;_辅助!$J$4,代发抵账!$H$5:$H$304,"&lt;="&amp;_辅助!$J$2,代发抵账!$C$5:$C$304,$B26)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26))))</f>
      </c>
      <c r="M26" s="21">
        <f t="shared" si="15"/>
      </c>
      <c r="N26" s="21">
        <f t="shared" si="17"/>
      </c>
      <c r="O26" s="22">
        <f t="shared" si="18"/>
      </c>
      <c r="P26" s="96">
        <f t="shared" si="21"/>
      </c>
      <c r="BA26" s="2">
        <f>SUM(CA1:CA26)</f>
        <v>15</v>
      </c>
      <c r="CA26" s="2">
        <f>IF(OR(_余额!$G$28&lt;&gt;0,_余额!$I$28&lt;&gt;0),1,0)</f>
        <v>1</v>
      </c>
    </row>
    <row r="27">
      <c r="A27" s="94">
        <f>IF($B27="","",21)</f>
      </c>
      <c r="B27" s="96">
        <f>项目档案!$B$24&amp;""</f>
      </c>
      <c r="C27" s="96">
        <f>项目档案!$D$24&amp;""</f>
      </c>
      <c r="D27" s="21">
        <f>IF($B27="","",应收账款总表!$F$26)</f>
      </c>
      <c r="E27" s="21">
        <f>IF($B27="","",应收账款总表!$J$26)</f>
      </c>
      <c r="F27" s="21">
        <f t="shared" si="3"/>
      </c>
      <c r="G27" s="21">
        <f>IF($B27="","",_项目汇总!$I$23)</f>
      </c>
      <c r="H27" s="21">
        <f t="shared" si="6"/>
      </c>
      <c r="I27" s="21">
        <f t="shared" si="8"/>
      </c>
      <c r="J27" s="21">
        <f>IF($B27="","",_项目汇总!$M$23)</f>
      </c>
      <c r="K27" s="21">
        <f t="shared" si="13"/>
      </c>
      <c r="L27" s="21">
        <f>IF($B27="","",SUMIFS(期初余额!$J$5:$J$64,期初余额!$B$5:$B$64,$B27)+SUMIFS(期初余额!$K$5:$K$64,期初余额!$B$5:$B$64,$B27)+SUMIFS(期初余额!$L$5:$L$64,期初余额!$B$5:$B$64,$B27)+SUMIFS(期初余额!$G$5:$G$64,期初余额!$B$5:$B$64,$B27)+_项目汇总!$N$23+_项目汇总!$O$23+_项目汇总!$R$23+_项目汇总!$S$23+_项目汇总!$T$23+_项目汇总!$U$23+_项目汇总!$V$23+_项目汇总!$W$23-(SUMIFS(代发抵账!$F$5:$F$304,代发抵账!$D$5:$D$304,"甲供材扣款",代发抵账!$H$5:$H$304,"&gt;="&amp;_辅助!$J$4,代发抵账!$H$5:$H$304,"&lt;="&amp;_辅助!$J$2,代发抵账!$C$5:$C$304,$B27)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27))))</f>
      </c>
      <c r="M27" s="21">
        <f t="shared" si="15"/>
      </c>
      <c r="N27" s="21">
        <f t="shared" si="17"/>
      </c>
      <c r="O27" s="22">
        <f t="shared" si="18"/>
      </c>
      <c r="P27" s="96">
        <f t="shared" si="21"/>
      </c>
      <c r="BA27" s="2">
        <f>SUM(CA1:CA27)</f>
        <v>16</v>
      </c>
      <c r="CA27" s="2">
        <f>IF(OR(_余额!$G$29&lt;&gt;0,_余额!$I$29&lt;&gt;0),1,0)</f>
        <v>1</v>
      </c>
    </row>
    <row r="28">
      <c r="A28" s="94">
        <f>IF($B28="","",22)</f>
      </c>
      <c r="B28" s="96">
        <f>项目档案!$B$25&amp;""</f>
      </c>
      <c r="C28" s="96">
        <f>项目档案!$D$25&amp;""</f>
      </c>
      <c r="D28" s="21">
        <f>IF($B28="","",应收账款总表!$F$27)</f>
      </c>
      <c r="E28" s="21">
        <f>IF($B28="","",应收账款总表!$J$27)</f>
      </c>
      <c r="F28" s="21">
        <f t="shared" si="3"/>
      </c>
      <c r="G28" s="21">
        <f>IF($B28="","",_项目汇总!$I$24)</f>
      </c>
      <c r="H28" s="21">
        <f t="shared" si="6"/>
      </c>
      <c r="I28" s="21">
        <f t="shared" si="8"/>
      </c>
      <c r="J28" s="21">
        <f>IF($B28="","",_项目汇总!$M$24)</f>
      </c>
      <c r="K28" s="21">
        <f t="shared" si="13"/>
      </c>
      <c r="L28" s="21">
        <f>IF($B28="","",SUMIFS(期初余额!$J$5:$J$64,期初余额!$B$5:$B$64,$B28)+SUMIFS(期初余额!$K$5:$K$64,期初余额!$B$5:$B$64,$B28)+SUMIFS(期初余额!$L$5:$L$64,期初余额!$B$5:$B$64,$B28)+SUMIFS(期初余额!$G$5:$G$64,期初余额!$B$5:$B$64,$B28)+_项目汇总!$N$24+_项目汇总!$O$24+_项目汇总!$R$24+_项目汇总!$S$24+_项目汇总!$T$24+_项目汇总!$U$24+_项目汇总!$V$24+_项目汇总!$W$24-(SUMIFS(代发抵账!$F$5:$F$304,代发抵账!$D$5:$D$304,"甲供材扣款",代发抵账!$H$5:$H$304,"&gt;="&amp;_辅助!$J$4,代发抵账!$H$5:$H$304,"&lt;="&amp;_辅助!$J$2,代发抵账!$C$5:$C$304,$B28)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28))))</f>
      </c>
      <c r="M28" s="21">
        <f t="shared" si="15"/>
      </c>
      <c r="N28" s="21">
        <f t="shared" si="17"/>
      </c>
      <c r="O28" s="22">
        <f t="shared" si="18"/>
      </c>
      <c r="P28" s="96">
        <f t="shared" si="21"/>
      </c>
      <c r="BA28" s="2">
        <f>SUM(CA1:CA28)</f>
        <v>17</v>
      </c>
      <c r="CA28" s="2">
        <f>IF(OR(_余额!$G$30&lt;&gt;0,_余额!$I$30&lt;&gt;0),1,0)</f>
        <v>1</v>
      </c>
    </row>
    <row r="29">
      <c r="A29" s="94">
        <f>IF($B29="","",23)</f>
      </c>
      <c r="B29" s="96">
        <f>项目档案!$B$26&amp;""</f>
      </c>
      <c r="C29" s="96">
        <f>项目档案!$D$26&amp;""</f>
      </c>
      <c r="D29" s="21">
        <f>IF($B29="","",应收账款总表!$F$28)</f>
      </c>
      <c r="E29" s="21">
        <f>IF($B29="","",应收账款总表!$J$28)</f>
      </c>
      <c r="F29" s="21">
        <f t="shared" si="3"/>
      </c>
      <c r="G29" s="21">
        <f>IF($B29="","",_项目汇总!$I$25)</f>
      </c>
      <c r="H29" s="21">
        <f t="shared" si="6"/>
      </c>
      <c r="I29" s="21">
        <f t="shared" si="8"/>
      </c>
      <c r="J29" s="21">
        <f>IF($B29="","",_项目汇总!$M$25)</f>
      </c>
      <c r="K29" s="21">
        <f t="shared" si="13"/>
      </c>
      <c r="L29" s="21">
        <f>IF($B29="","",SUMIFS(期初余额!$J$5:$J$64,期初余额!$B$5:$B$64,$B29)+SUMIFS(期初余额!$K$5:$K$64,期初余额!$B$5:$B$64,$B29)+SUMIFS(期初余额!$L$5:$L$64,期初余额!$B$5:$B$64,$B29)+SUMIFS(期初余额!$G$5:$G$64,期初余额!$B$5:$B$64,$B29)+_项目汇总!$N$25+_项目汇总!$O$25+_项目汇总!$R$25+_项目汇总!$S$25+_项目汇总!$T$25+_项目汇总!$U$25+_项目汇总!$V$25+_项目汇总!$W$25-(SUMIFS(代发抵账!$F$5:$F$304,代发抵账!$D$5:$D$304,"甲供材扣款",代发抵账!$H$5:$H$304,"&gt;="&amp;_辅助!$J$4,代发抵账!$H$5:$H$304,"&lt;="&amp;_辅助!$J$2,代发抵账!$C$5:$C$304,$B29)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29))))</f>
      </c>
      <c r="M29" s="21">
        <f t="shared" si="15"/>
      </c>
      <c r="N29" s="21">
        <f t="shared" si="17"/>
      </c>
      <c r="O29" s="22">
        <f t="shared" si="18"/>
      </c>
      <c r="P29" s="96">
        <f t="shared" si="21"/>
      </c>
      <c r="BA29" s="2">
        <f>SUM(CA1:CA29)</f>
        <v>18</v>
      </c>
      <c r="CA29" s="2">
        <f>IF(OR(_余额!$G$31&lt;&gt;0,_余额!$I$31&lt;&gt;0),1,0)</f>
        <v>1</v>
      </c>
    </row>
    <row r="30">
      <c r="A30" s="94">
        <f>IF($B30="","",24)</f>
      </c>
      <c r="B30" s="96">
        <f>项目档案!$B$27&amp;""</f>
      </c>
      <c r="C30" s="96">
        <f>项目档案!$D$27&amp;""</f>
      </c>
      <c r="D30" s="21">
        <f>IF($B30="","",应收账款总表!$F$29)</f>
      </c>
      <c r="E30" s="21">
        <f>IF($B30="","",应收账款总表!$J$29)</f>
      </c>
      <c r="F30" s="21">
        <f t="shared" si="3"/>
      </c>
      <c r="G30" s="21">
        <f>IF($B30="","",_项目汇总!$I$26)</f>
      </c>
      <c r="H30" s="21">
        <f t="shared" si="6"/>
      </c>
      <c r="I30" s="21">
        <f t="shared" si="8"/>
      </c>
      <c r="J30" s="21">
        <f>IF($B30="","",_项目汇总!$M$26)</f>
      </c>
      <c r="K30" s="21">
        <f t="shared" si="13"/>
      </c>
      <c r="L30" s="21">
        <f>IF($B30="","",SUMIFS(期初余额!$J$5:$J$64,期初余额!$B$5:$B$64,$B30)+SUMIFS(期初余额!$K$5:$K$64,期初余额!$B$5:$B$64,$B30)+SUMIFS(期初余额!$L$5:$L$64,期初余额!$B$5:$B$64,$B30)+SUMIFS(期初余额!$G$5:$G$64,期初余额!$B$5:$B$64,$B30)+_项目汇总!$N$26+_项目汇总!$O$26+_项目汇总!$R$26+_项目汇总!$S$26+_项目汇总!$T$26+_项目汇总!$U$26+_项目汇总!$V$26+_项目汇总!$W$26-(SUMIFS(代发抵账!$F$5:$F$304,代发抵账!$D$5:$D$304,"甲供材扣款",代发抵账!$H$5:$H$304,"&gt;="&amp;_辅助!$J$4,代发抵账!$H$5:$H$304,"&lt;="&amp;_辅助!$J$2,代发抵账!$C$5:$C$304,$B30)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30))))</f>
      </c>
      <c r="M30" s="21">
        <f t="shared" si="15"/>
      </c>
      <c r="N30" s="21">
        <f t="shared" si="17"/>
      </c>
      <c r="O30" s="22">
        <f t="shared" si="18"/>
      </c>
      <c r="P30" s="96">
        <f t="shared" si="21"/>
      </c>
      <c r="BA30" s="2">
        <f>SUM(CA1:CA30)</f>
        <v>19</v>
      </c>
      <c r="CA30" s="2">
        <f>IF(OR(_余额!$G$32&lt;&gt;0,_余额!$I$32&lt;&gt;0),1,0)</f>
        <v>1</v>
      </c>
    </row>
    <row r="31">
      <c r="A31" s="94">
        <f>IF($B31="","",25)</f>
      </c>
      <c r="B31" s="96">
        <f>项目档案!$B$28&amp;""</f>
      </c>
      <c r="C31" s="96">
        <f>项目档案!$D$28&amp;""</f>
      </c>
      <c r="D31" s="21">
        <f>IF($B31="","",应收账款总表!$F$30)</f>
      </c>
      <c r="E31" s="21">
        <f>IF($B31="","",应收账款总表!$J$30)</f>
      </c>
      <c r="F31" s="21">
        <f t="shared" si="3"/>
      </c>
      <c r="G31" s="21">
        <f>IF($B31="","",_项目汇总!$I$27)</f>
      </c>
      <c r="H31" s="21">
        <f t="shared" si="6"/>
      </c>
      <c r="I31" s="21">
        <f t="shared" si="8"/>
      </c>
      <c r="J31" s="21">
        <f>IF($B31="","",_项目汇总!$M$27)</f>
      </c>
      <c r="K31" s="21">
        <f t="shared" si="13"/>
      </c>
      <c r="L31" s="21">
        <f>IF($B31="","",SUMIFS(期初余额!$J$5:$J$64,期初余额!$B$5:$B$64,$B31)+SUMIFS(期初余额!$K$5:$K$64,期初余额!$B$5:$B$64,$B31)+SUMIFS(期初余额!$L$5:$L$64,期初余额!$B$5:$B$64,$B31)+SUMIFS(期初余额!$G$5:$G$64,期初余额!$B$5:$B$64,$B31)+_项目汇总!$N$27+_项目汇总!$O$27+_项目汇总!$R$27+_项目汇总!$S$27+_项目汇总!$T$27+_项目汇总!$U$27+_项目汇总!$V$27+_项目汇总!$W$27-(SUMIFS(代发抵账!$F$5:$F$304,代发抵账!$D$5:$D$304,"甲供材扣款",代发抵账!$H$5:$H$304,"&gt;="&amp;_辅助!$J$4,代发抵账!$H$5:$H$304,"&lt;="&amp;_辅助!$J$2,代发抵账!$C$5:$C$304,$B31)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31))))</f>
      </c>
      <c r="M31" s="21">
        <f t="shared" si="15"/>
      </c>
      <c r="N31" s="21">
        <f t="shared" si="17"/>
      </c>
      <c r="O31" s="22">
        <f t="shared" si="18"/>
      </c>
      <c r="P31" s="96">
        <f t="shared" si="21"/>
      </c>
      <c r="BA31" s="2">
        <f>SUM(CA1:CA31)</f>
        <v>20</v>
      </c>
      <c r="CA31" s="2">
        <f>IF(OR(_余额!$G$33&lt;&gt;0,_余额!$I$33&lt;&gt;0),1,0)</f>
        <v>1</v>
      </c>
    </row>
    <row r="32">
      <c r="A32" s="94">
        <f>IF($B32="","",26)</f>
      </c>
      <c r="B32" s="96">
        <f>项目档案!$B$29&amp;""</f>
      </c>
      <c r="C32" s="96">
        <f>项目档案!$D$29&amp;""</f>
      </c>
      <c r="D32" s="21">
        <f>IF($B32="","",应收账款总表!$F$31)</f>
      </c>
      <c r="E32" s="21">
        <f>IF($B32="","",应收账款总表!$J$31)</f>
      </c>
      <c r="F32" s="21">
        <f t="shared" si="3"/>
      </c>
      <c r="G32" s="21">
        <f>IF($B32="","",_项目汇总!$I$28)</f>
      </c>
      <c r="H32" s="21">
        <f t="shared" si="6"/>
      </c>
      <c r="I32" s="21">
        <f t="shared" si="8"/>
      </c>
      <c r="J32" s="21">
        <f>IF($B32="","",_项目汇总!$M$28)</f>
      </c>
      <c r="K32" s="21">
        <f t="shared" si="13"/>
      </c>
      <c r="L32" s="21">
        <f>IF($B32="","",SUMIFS(期初余额!$J$5:$J$64,期初余额!$B$5:$B$64,$B32)+SUMIFS(期初余额!$K$5:$K$64,期初余额!$B$5:$B$64,$B32)+SUMIFS(期初余额!$L$5:$L$64,期初余额!$B$5:$B$64,$B32)+SUMIFS(期初余额!$G$5:$G$64,期初余额!$B$5:$B$64,$B32)+_项目汇总!$N$28+_项目汇总!$O$28+_项目汇总!$R$28+_项目汇总!$S$28+_项目汇总!$T$28+_项目汇总!$U$28+_项目汇总!$V$28+_项目汇总!$W$28-(SUMIFS(代发抵账!$F$5:$F$304,代发抵账!$D$5:$D$304,"甲供材扣款",代发抵账!$H$5:$H$304,"&gt;="&amp;_辅助!$J$4,代发抵账!$H$5:$H$304,"&lt;="&amp;_辅助!$J$2,代发抵账!$C$5:$C$304,$B32)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32))))</f>
      </c>
      <c r="M32" s="21">
        <f t="shared" si="15"/>
      </c>
      <c r="N32" s="21">
        <f t="shared" si="17"/>
      </c>
      <c r="O32" s="22">
        <f t="shared" si="18"/>
      </c>
      <c r="P32" s="96">
        <f t="shared" si="21"/>
      </c>
      <c r="BA32" s="2">
        <f>SUM(CA1:CA32)</f>
        <v>21</v>
      </c>
      <c r="CA32" s="2">
        <f>IF(OR(_余额!$G$34&lt;&gt;0,_余额!$I$34&lt;&gt;0),1,0)</f>
        <v>1</v>
      </c>
    </row>
    <row r="33">
      <c r="A33" s="94">
        <f>IF($B33="","",27)</f>
      </c>
      <c r="B33" s="96">
        <f>项目档案!$B$30&amp;""</f>
      </c>
      <c r="C33" s="96">
        <f>项目档案!$D$30&amp;""</f>
      </c>
      <c r="D33" s="21">
        <f>IF($B33="","",应收账款总表!$F$32)</f>
      </c>
      <c r="E33" s="21">
        <f>IF($B33="","",应收账款总表!$J$32)</f>
      </c>
      <c r="F33" s="21">
        <f t="shared" si="3"/>
      </c>
      <c r="G33" s="21">
        <f>IF($B33="","",_项目汇总!$I$29)</f>
      </c>
      <c r="H33" s="21">
        <f t="shared" si="6"/>
      </c>
      <c r="I33" s="21">
        <f t="shared" si="8"/>
      </c>
      <c r="J33" s="21">
        <f>IF($B33="","",_项目汇总!$M$29)</f>
      </c>
      <c r="K33" s="21">
        <f t="shared" si="13"/>
      </c>
      <c r="L33" s="21">
        <f>IF($B33="","",SUMIFS(期初余额!$J$5:$J$64,期初余额!$B$5:$B$64,$B33)+SUMIFS(期初余额!$K$5:$K$64,期初余额!$B$5:$B$64,$B33)+SUMIFS(期初余额!$L$5:$L$64,期初余额!$B$5:$B$64,$B33)+SUMIFS(期初余额!$G$5:$G$64,期初余额!$B$5:$B$64,$B33)+_项目汇总!$N$29+_项目汇总!$O$29+_项目汇总!$R$29+_项目汇总!$S$29+_项目汇总!$T$29+_项目汇总!$U$29+_项目汇总!$V$29+_项目汇总!$W$29-(SUMIFS(代发抵账!$F$5:$F$304,代发抵账!$D$5:$D$304,"甲供材扣款",代发抵账!$H$5:$H$304,"&gt;="&amp;_辅助!$J$4,代发抵账!$H$5:$H$304,"&lt;="&amp;_辅助!$J$2,代发抵账!$C$5:$C$304,$B33)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33))))</f>
      </c>
      <c r="M33" s="21">
        <f t="shared" si="15"/>
      </c>
      <c r="N33" s="21">
        <f t="shared" si="17"/>
      </c>
      <c r="O33" s="22">
        <f t="shared" si="18"/>
      </c>
      <c r="P33" s="96">
        <f t="shared" si="21"/>
      </c>
      <c r="BA33" s="2">
        <f>SUM(CA1:CA33)</f>
        <v>22</v>
      </c>
      <c r="CA33" s="2">
        <f>IF(OR(_余额!$G$35&lt;&gt;0,_余额!$I$35&lt;&gt;0),1,0)</f>
        <v>1</v>
      </c>
    </row>
    <row r="34">
      <c r="A34" s="94">
        <f>IF($B34="","",28)</f>
      </c>
      <c r="B34" s="96">
        <f>项目档案!$B$31&amp;""</f>
      </c>
      <c r="C34" s="96">
        <f>项目档案!$D$31&amp;""</f>
      </c>
      <c r="D34" s="21">
        <f>IF($B34="","",应收账款总表!$F$33)</f>
      </c>
      <c r="E34" s="21">
        <f>IF($B34="","",应收账款总表!$J$33)</f>
      </c>
      <c r="F34" s="21">
        <f t="shared" si="3"/>
      </c>
      <c r="G34" s="21">
        <f>IF($B34="","",_项目汇总!$I$30)</f>
      </c>
      <c r="H34" s="21">
        <f t="shared" si="6"/>
      </c>
      <c r="I34" s="21">
        <f t="shared" si="8"/>
      </c>
      <c r="J34" s="21">
        <f>IF($B34="","",_项目汇总!$M$30)</f>
      </c>
      <c r="K34" s="21">
        <f t="shared" si="13"/>
      </c>
      <c r="L34" s="21">
        <f>IF($B34="","",SUMIFS(期初余额!$J$5:$J$64,期初余额!$B$5:$B$64,$B34)+SUMIFS(期初余额!$K$5:$K$64,期初余额!$B$5:$B$64,$B34)+SUMIFS(期初余额!$L$5:$L$64,期初余额!$B$5:$B$64,$B34)+SUMIFS(期初余额!$G$5:$G$64,期初余额!$B$5:$B$64,$B34)+_项目汇总!$N$30+_项目汇总!$O$30+_项目汇总!$R$30+_项目汇总!$S$30+_项目汇总!$T$30+_项目汇总!$U$30+_项目汇总!$V$30+_项目汇总!$W$30-(SUMIFS(代发抵账!$F$5:$F$304,代发抵账!$D$5:$D$304,"甲供材扣款",代发抵账!$H$5:$H$304,"&gt;="&amp;_辅助!$J$4,代发抵账!$H$5:$H$304,"&lt;="&amp;_辅助!$J$2,代发抵账!$C$5:$C$304,$B34)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34))))</f>
      </c>
      <c r="M34" s="21">
        <f t="shared" si="15"/>
      </c>
      <c r="N34" s="21">
        <f t="shared" si="17"/>
      </c>
      <c r="O34" s="22">
        <f t="shared" si="18"/>
      </c>
      <c r="P34" s="96">
        <f t="shared" si="21"/>
      </c>
      <c r="BA34" s="2">
        <f>SUM(CA1:CA34)</f>
        <v>23</v>
      </c>
      <c r="CA34" s="2">
        <f>IF(OR(_余额!$G$36&lt;&gt;0,_余额!$I$36&lt;&gt;0),1,0)</f>
        <v>1</v>
      </c>
    </row>
    <row r="35">
      <c r="A35" s="94">
        <f>IF($B35="","",29)</f>
      </c>
      <c r="B35" s="96">
        <f>项目档案!$B$32&amp;""</f>
      </c>
      <c r="C35" s="96">
        <f>项目档案!$D$32&amp;""</f>
      </c>
      <c r="D35" s="21">
        <f>IF($B35="","",应收账款总表!$F$34)</f>
      </c>
      <c r="E35" s="21">
        <f>IF($B35="","",应收账款总表!$J$34)</f>
      </c>
      <c r="F35" s="21">
        <f t="shared" si="3"/>
      </c>
      <c r="G35" s="21">
        <f>IF($B35="","",_项目汇总!$I$31)</f>
      </c>
      <c r="H35" s="21">
        <f t="shared" si="6"/>
      </c>
      <c r="I35" s="21">
        <f t="shared" si="8"/>
      </c>
      <c r="J35" s="21">
        <f>IF($B35="","",_项目汇总!$M$31)</f>
      </c>
      <c r="K35" s="21">
        <f t="shared" si="13"/>
      </c>
      <c r="L35" s="21">
        <f>IF($B35="","",SUMIFS(期初余额!$J$5:$J$64,期初余额!$B$5:$B$64,$B35)+SUMIFS(期初余额!$K$5:$K$64,期初余额!$B$5:$B$64,$B35)+SUMIFS(期初余额!$L$5:$L$64,期初余额!$B$5:$B$64,$B35)+SUMIFS(期初余额!$G$5:$G$64,期初余额!$B$5:$B$64,$B35)+_项目汇总!$N$31+_项目汇总!$O$31+_项目汇总!$R$31+_项目汇总!$S$31+_项目汇总!$T$31+_项目汇总!$U$31+_项目汇总!$V$31+_项目汇总!$W$31-(SUMIFS(代发抵账!$F$5:$F$304,代发抵账!$D$5:$D$304,"甲供材扣款",代发抵账!$H$5:$H$304,"&gt;="&amp;_辅助!$J$4,代发抵账!$H$5:$H$304,"&lt;="&amp;_辅助!$J$2,代发抵账!$C$5:$C$304,$B35)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35))))</f>
      </c>
      <c r="M35" s="21">
        <f t="shared" si="15"/>
      </c>
      <c r="N35" s="21">
        <f t="shared" si="17"/>
      </c>
      <c r="O35" s="22">
        <f t="shared" si="18"/>
      </c>
      <c r="P35" s="96">
        <f t="shared" si="21"/>
      </c>
      <c r="BA35" s="2">
        <f>SUM(CA1:CA35)</f>
        <v>24</v>
      </c>
      <c r="CA35" s="2">
        <f>IF(OR(_余额!$G$37&lt;&gt;0,_余额!$I$37&lt;&gt;0),1,0)</f>
        <v>1</v>
      </c>
    </row>
    <row r="36">
      <c r="A36" s="94">
        <f>IF($B36="","",30)</f>
      </c>
      <c r="B36" s="96">
        <f>项目档案!$B$33&amp;""</f>
      </c>
      <c r="C36" s="96">
        <f>项目档案!$D$33&amp;""</f>
      </c>
      <c r="D36" s="21">
        <f>IF($B36="","",应收账款总表!$F$35)</f>
      </c>
      <c r="E36" s="21">
        <f>IF($B36="","",应收账款总表!$J$35)</f>
      </c>
      <c r="F36" s="21">
        <f t="shared" si="3"/>
      </c>
      <c r="G36" s="21">
        <f>IF($B36="","",_项目汇总!$I$32)</f>
      </c>
      <c r="H36" s="21">
        <f t="shared" si="6"/>
      </c>
      <c r="I36" s="21">
        <f t="shared" si="8"/>
      </c>
      <c r="J36" s="21">
        <f>IF($B36="","",_项目汇总!$M$32)</f>
      </c>
      <c r="K36" s="21">
        <f t="shared" si="13"/>
      </c>
      <c r="L36" s="21">
        <f>IF($B36="","",SUMIFS(期初余额!$J$5:$J$64,期初余额!$B$5:$B$64,$B36)+SUMIFS(期初余额!$K$5:$K$64,期初余额!$B$5:$B$64,$B36)+SUMIFS(期初余额!$L$5:$L$64,期初余额!$B$5:$B$64,$B36)+SUMIFS(期初余额!$G$5:$G$64,期初余额!$B$5:$B$64,$B36)+_项目汇总!$N$32+_项目汇总!$O$32+_项目汇总!$R$32+_项目汇总!$S$32+_项目汇总!$T$32+_项目汇总!$U$32+_项目汇总!$V$32+_项目汇总!$W$32-(SUMIFS(代发抵账!$F$5:$F$304,代发抵账!$D$5:$D$304,"甲供材扣款",代发抵账!$H$5:$H$304,"&gt;="&amp;_辅助!$J$4,代发抵账!$H$5:$H$304,"&lt;="&amp;_辅助!$J$2,代发抵账!$C$5:$C$304,$B36)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36))))</f>
      </c>
      <c r="M36" s="21">
        <f t="shared" si="15"/>
      </c>
      <c r="N36" s="21">
        <f t="shared" si="17"/>
      </c>
      <c r="O36" s="22">
        <f t="shared" si="18"/>
      </c>
      <c r="P36" s="96">
        <f t="shared" si="21"/>
      </c>
      <c r="BA36" s="2">
        <f>SUM(CA1:CA36)</f>
        <v>25</v>
      </c>
      <c r="CA36" s="2">
        <f>IF(OR(_余额!$G$38&lt;&gt;0,_余额!$I$38&lt;&gt;0),1,0)</f>
        <v>1</v>
      </c>
    </row>
    <row r="37">
      <c r="A37" s="94">
        <f>IF($B37="","",31)</f>
      </c>
      <c r="B37" s="96">
        <f>项目档案!$B$34&amp;""</f>
      </c>
      <c r="C37" s="96">
        <f>项目档案!$D$34&amp;""</f>
      </c>
      <c r="D37" s="21">
        <f>IF($B37="","",应收账款总表!$F$36)</f>
      </c>
      <c r="E37" s="21">
        <f>IF($B37="","",应收账款总表!$J$36)</f>
      </c>
      <c r="F37" s="21">
        <f t="shared" si="3"/>
      </c>
      <c r="G37" s="21">
        <f>IF($B37="","",_项目汇总!$I$33)</f>
      </c>
      <c r="H37" s="21">
        <f t="shared" si="6"/>
      </c>
      <c r="I37" s="21">
        <f t="shared" si="8"/>
      </c>
      <c r="J37" s="21">
        <f>IF($B37="","",_项目汇总!$M$33)</f>
      </c>
      <c r="K37" s="21">
        <f t="shared" si="13"/>
      </c>
      <c r="L37" s="21">
        <f>IF($B37="","",SUMIFS(期初余额!$J$5:$J$64,期初余额!$B$5:$B$64,$B37)+SUMIFS(期初余额!$K$5:$K$64,期初余额!$B$5:$B$64,$B37)+SUMIFS(期初余额!$L$5:$L$64,期初余额!$B$5:$B$64,$B37)+SUMIFS(期初余额!$G$5:$G$64,期初余额!$B$5:$B$64,$B37)+_项目汇总!$N$33+_项目汇总!$O$33+_项目汇总!$R$33+_项目汇总!$S$33+_项目汇总!$T$33+_项目汇总!$U$33+_项目汇总!$V$33+_项目汇总!$W$33-(SUMIFS(代发抵账!$F$5:$F$304,代发抵账!$D$5:$D$304,"甲供材扣款",代发抵账!$H$5:$H$304,"&gt;="&amp;_辅助!$J$4,代发抵账!$H$5:$H$304,"&lt;="&amp;_辅助!$J$2,代发抵账!$C$5:$C$304,$B37)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37))))</f>
      </c>
      <c r="M37" s="21">
        <f t="shared" si="15"/>
      </c>
      <c r="N37" s="21">
        <f t="shared" si="17"/>
      </c>
      <c r="O37" s="22">
        <f t="shared" si="18"/>
      </c>
      <c r="P37" s="96">
        <f t="shared" si="21"/>
      </c>
      <c r="BA37" s="2">
        <f>SUM(CA1:CA37)</f>
        <v>26</v>
      </c>
      <c r="CA37" s="2">
        <f>IF(OR(_余额!$G$39&lt;&gt;0,_余额!$I$39&lt;&gt;0),1,0)</f>
        <v>1</v>
      </c>
    </row>
    <row r="38">
      <c r="A38" s="94">
        <f>IF($B38="","",32)</f>
      </c>
      <c r="B38" s="96">
        <f>项目档案!$B$35&amp;""</f>
      </c>
      <c r="C38" s="96">
        <f>项目档案!$D$35&amp;""</f>
      </c>
      <c r="D38" s="21">
        <f>IF($B38="","",应收账款总表!$F$37)</f>
      </c>
      <c r="E38" s="21">
        <f>IF($B38="","",应收账款总表!$J$37)</f>
      </c>
      <c r="F38" s="21">
        <f t="shared" si="3"/>
      </c>
      <c r="G38" s="21">
        <f>IF($B38="","",_项目汇总!$I$34)</f>
      </c>
      <c r="H38" s="21">
        <f t="shared" si="6"/>
      </c>
      <c r="I38" s="21">
        <f t="shared" si="8"/>
      </c>
      <c r="J38" s="21">
        <f>IF($B38="","",_项目汇总!$M$34)</f>
      </c>
      <c r="K38" s="21">
        <f t="shared" si="13"/>
      </c>
      <c r="L38" s="21">
        <f>IF($B38="","",SUMIFS(期初余额!$J$5:$J$64,期初余额!$B$5:$B$64,$B38)+SUMIFS(期初余额!$K$5:$K$64,期初余额!$B$5:$B$64,$B38)+SUMIFS(期初余额!$L$5:$L$64,期初余额!$B$5:$B$64,$B38)+SUMIFS(期初余额!$G$5:$G$64,期初余额!$B$5:$B$64,$B38)+_项目汇总!$N$34+_项目汇总!$O$34+_项目汇总!$R$34+_项目汇总!$S$34+_项目汇总!$T$34+_项目汇总!$U$34+_项目汇总!$V$34+_项目汇总!$W$34-(SUMIFS(代发抵账!$F$5:$F$304,代发抵账!$D$5:$D$304,"甲供材扣款",代发抵账!$H$5:$H$304,"&gt;="&amp;_辅助!$J$4,代发抵账!$H$5:$H$304,"&lt;="&amp;_辅助!$J$2,代发抵账!$C$5:$C$304,$B38)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38))))</f>
      </c>
      <c r="M38" s="21">
        <f t="shared" si="15"/>
      </c>
      <c r="N38" s="21">
        <f t="shared" si="17"/>
      </c>
      <c r="O38" s="22">
        <f t="shared" si="18"/>
      </c>
      <c r="P38" s="96">
        <f t="shared" si="21"/>
      </c>
      <c r="BA38" s="2">
        <f>SUM(CA1:CA38)</f>
        <v>27</v>
      </c>
      <c r="CA38" s="2">
        <f>IF(OR(_余额!$G$40&lt;&gt;0,_余额!$I$40&lt;&gt;0),1,0)</f>
        <v>1</v>
      </c>
    </row>
    <row r="39">
      <c r="A39" s="94">
        <f>IF($B39="","",33)</f>
      </c>
      <c r="B39" s="96">
        <f>项目档案!$B$36&amp;""</f>
      </c>
      <c r="C39" s="96">
        <f>项目档案!$D$36&amp;""</f>
      </c>
      <c r="D39" s="21">
        <f>IF($B39="","",应收账款总表!$F$38)</f>
      </c>
      <c r="E39" s="21">
        <f>IF($B39="","",应收账款总表!$J$38)</f>
      </c>
      <c r="F39" s="21">
        <f t="shared" si="3"/>
      </c>
      <c r="G39" s="21">
        <f>IF($B39="","",_项目汇总!$I$35)</f>
      </c>
      <c r="H39" s="21">
        <f t="shared" si="6"/>
      </c>
      <c r="I39" s="21">
        <f t="shared" si="8"/>
      </c>
      <c r="J39" s="21">
        <f>IF($B39="","",_项目汇总!$M$35)</f>
      </c>
      <c r="K39" s="21">
        <f t="shared" si="13"/>
      </c>
      <c r="L39" s="21">
        <f>IF($B39="","",SUMIFS(期初余额!$J$5:$J$64,期初余额!$B$5:$B$64,$B39)+SUMIFS(期初余额!$K$5:$K$64,期初余额!$B$5:$B$64,$B39)+SUMIFS(期初余额!$L$5:$L$64,期初余额!$B$5:$B$64,$B39)+SUMIFS(期初余额!$G$5:$G$64,期初余额!$B$5:$B$64,$B39)+_项目汇总!$N$35+_项目汇总!$O$35+_项目汇总!$R$35+_项目汇总!$S$35+_项目汇总!$T$35+_项目汇总!$U$35+_项目汇总!$V$35+_项目汇总!$W$35-(SUMIFS(代发抵账!$F$5:$F$304,代发抵账!$D$5:$D$304,"甲供材扣款",代发抵账!$H$5:$H$304,"&gt;="&amp;_辅助!$J$4,代发抵账!$H$5:$H$304,"&lt;="&amp;_辅助!$J$2,代发抵账!$C$5:$C$304,$B39)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39))))</f>
      </c>
      <c r="M39" s="21">
        <f t="shared" si="15"/>
      </c>
      <c r="N39" s="21">
        <f t="shared" si="17"/>
      </c>
      <c r="O39" s="22">
        <f t="shared" si="18"/>
      </c>
      <c r="P39" s="96">
        <f t="shared" si="21"/>
      </c>
      <c r="BA39" s="2">
        <f>SUM(CA1:CA39)</f>
        <v>28</v>
      </c>
      <c r="CA39" s="2">
        <f>IF(OR(_余额!$G$41&lt;&gt;0,_余额!$I$41&lt;&gt;0),1,0)</f>
        <v>1</v>
      </c>
    </row>
    <row r="40">
      <c r="A40" s="94">
        <f>IF($B40="","",34)</f>
      </c>
      <c r="B40" s="96">
        <f>项目档案!$B$37&amp;""</f>
      </c>
      <c r="C40" s="96">
        <f>项目档案!$D$37&amp;""</f>
      </c>
      <c r="D40" s="21">
        <f>IF($B40="","",应收账款总表!$F$39)</f>
      </c>
      <c r="E40" s="21">
        <f>IF($B40="","",应收账款总表!$J$39)</f>
      </c>
      <c r="F40" s="21">
        <f t="shared" si="3"/>
      </c>
      <c r="G40" s="21">
        <f>IF($B40="","",_项目汇总!$I$36)</f>
      </c>
      <c r="H40" s="21">
        <f t="shared" si="6"/>
      </c>
      <c r="I40" s="21">
        <f t="shared" si="8"/>
      </c>
      <c r="J40" s="21">
        <f>IF($B40="","",_项目汇总!$M$36)</f>
      </c>
      <c r="K40" s="21">
        <f t="shared" si="13"/>
      </c>
      <c r="L40" s="21">
        <f>IF($B40="","",SUMIFS(期初余额!$J$5:$J$64,期初余额!$B$5:$B$64,$B40)+SUMIFS(期初余额!$K$5:$K$64,期初余额!$B$5:$B$64,$B40)+SUMIFS(期初余额!$L$5:$L$64,期初余额!$B$5:$B$64,$B40)+SUMIFS(期初余额!$G$5:$G$64,期初余额!$B$5:$B$64,$B40)+_项目汇总!$N$36+_项目汇总!$O$36+_项目汇总!$R$36+_项目汇总!$S$36+_项目汇总!$T$36+_项目汇总!$U$36+_项目汇总!$V$36+_项目汇总!$W$36-(SUMIFS(代发抵账!$F$5:$F$304,代发抵账!$D$5:$D$304,"甲供材扣款",代发抵账!$H$5:$H$304,"&gt;="&amp;_辅助!$J$4,代发抵账!$H$5:$H$304,"&lt;="&amp;_辅助!$J$2,代发抵账!$C$5:$C$304,$B40)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40))))</f>
      </c>
      <c r="M40" s="21">
        <f t="shared" si="15"/>
      </c>
      <c r="N40" s="21">
        <f t="shared" si="17"/>
      </c>
      <c r="O40" s="22">
        <f t="shared" si="18"/>
      </c>
      <c r="P40" s="96">
        <f t="shared" si="21"/>
      </c>
      <c r="BA40" s="2">
        <f>SUM(CA1:CA40)</f>
        <v>29</v>
      </c>
      <c r="CA40" s="2">
        <f>IF(OR(_余额!$G$42&lt;&gt;0,_余额!$I$42&lt;&gt;0),1,0)</f>
        <v>1</v>
      </c>
    </row>
    <row r="41">
      <c r="A41" s="94">
        <f>IF($B41="","",35)</f>
      </c>
      <c r="B41" s="96">
        <f>项目档案!$B$38&amp;""</f>
      </c>
      <c r="C41" s="96">
        <f>项目档案!$D$38&amp;""</f>
      </c>
      <c r="D41" s="21">
        <f>IF($B41="","",应收账款总表!$F$40)</f>
      </c>
      <c r="E41" s="21">
        <f>IF($B41="","",应收账款总表!$J$40)</f>
      </c>
      <c r="F41" s="21">
        <f t="shared" si="3"/>
      </c>
      <c r="G41" s="21">
        <f>IF($B41="","",_项目汇总!$I$37)</f>
      </c>
      <c r="H41" s="21">
        <f t="shared" si="6"/>
      </c>
      <c r="I41" s="21">
        <f t="shared" si="8"/>
      </c>
      <c r="J41" s="21">
        <f>IF($B41="","",_项目汇总!$M$37)</f>
      </c>
      <c r="K41" s="21">
        <f t="shared" si="13"/>
      </c>
      <c r="L41" s="21">
        <f>IF($B41="","",SUMIFS(期初余额!$J$5:$J$64,期初余额!$B$5:$B$64,$B41)+SUMIFS(期初余额!$K$5:$K$64,期初余额!$B$5:$B$64,$B41)+SUMIFS(期初余额!$L$5:$L$64,期初余额!$B$5:$B$64,$B41)+SUMIFS(期初余额!$G$5:$G$64,期初余额!$B$5:$B$64,$B41)+_项目汇总!$N$37+_项目汇总!$O$37+_项目汇总!$R$37+_项目汇总!$S$37+_项目汇总!$T$37+_项目汇总!$U$37+_项目汇总!$V$37+_项目汇总!$W$37-(SUMIFS(代发抵账!$F$5:$F$304,代发抵账!$D$5:$D$304,"甲供材扣款",代发抵账!$H$5:$H$304,"&gt;="&amp;_辅助!$J$4,代发抵账!$H$5:$H$304,"&lt;="&amp;_辅助!$J$2,代发抵账!$C$5:$C$304,$B41)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41))))</f>
      </c>
      <c r="M41" s="21">
        <f t="shared" si="15"/>
      </c>
      <c r="N41" s="21">
        <f t="shared" si="17"/>
      </c>
      <c r="O41" s="22">
        <f t="shared" si="18"/>
      </c>
      <c r="P41" s="96">
        <f t="shared" si="21"/>
      </c>
      <c r="BA41" s="2">
        <f>SUM(CA1:CA41)</f>
        <v>29</v>
      </c>
      <c r="CA41" s="2">
        <f>IF(OR(_余额!$G$43&lt;&gt;0,_余额!$I$43&lt;&gt;0),1,0)</f>
        <v>0</v>
      </c>
    </row>
    <row r="42">
      <c r="A42" s="94">
        <f>IF($B42="","",36)</f>
      </c>
      <c r="B42" s="96">
        <f>项目档案!$B$39&amp;""</f>
      </c>
      <c r="C42" s="96">
        <f>项目档案!$D$39&amp;""</f>
      </c>
      <c r="D42" s="21">
        <f>IF($B42="","",应收账款总表!$F$41)</f>
      </c>
      <c r="E42" s="21">
        <f>IF($B42="","",应收账款总表!$J$41)</f>
      </c>
      <c r="F42" s="21">
        <f t="shared" si="3"/>
      </c>
      <c r="G42" s="21">
        <f>IF($B42="","",_项目汇总!$I$38)</f>
      </c>
      <c r="H42" s="21">
        <f t="shared" si="6"/>
      </c>
      <c r="I42" s="21">
        <f t="shared" si="8"/>
      </c>
      <c r="J42" s="21">
        <f>IF($B42="","",_项目汇总!$M$38)</f>
      </c>
      <c r="K42" s="21">
        <f t="shared" si="13"/>
      </c>
      <c r="L42" s="21">
        <f>IF($B42="","",SUMIFS(期初余额!$J$5:$J$64,期初余额!$B$5:$B$64,$B42)+SUMIFS(期初余额!$K$5:$K$64,期初余额!$B$5:$B$64,$B42)+SUMIFS(期初余额!$L$5:$L$64,期初余额!$B$5:$B$64,$B42)+SUMIFS(期初余额!$G$5:$G$64,期初余额!$B$5:$B$64,$B42)+_项目汇总!$N$38+_项目汇总!$O$38+_项目汇总!$R$38+_项目汇总!$S$38+_项目汇总!$T$38+_项目汇总!$U$38+_项目汇总!$V$38+_项目汇总!$W$38-(SUMIFS(代发抵账!$F$5:$F$304,代发抵账!$D$5:$D$304,"甲供材扣款",代发抵账!$H$5:$H$304,"&gt;="&amp;_辅助!$J$4,代发抵账!$H$5:$H$304,"&lt;="&amp;_辅助!$J$2,代发抵账!$C$5:$C$304,$B42)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42))))</f>
      </c>
      <c r="M42" s="21">
        <f t="shared" si="15"/>
      </c>
      <c r="N42" s="21">
        <f t="shared" si="17"/>
      </c>
      <c r="O42" s="22">
        <f t="shared" si="18"/>
      </c>
      <c r="P42" s="96">
        <f t="shared" si="21"/>
      </c>
      <c r="BA42" s="2">
        <f>SUM(CA1:CA42)</f>
        <v>29</v>
      </c>
      <c r="CA42" s="2">
        <f>IF(OR(_余额!$G$44&lt;&gt;0,_余额!$I$44&lt;&gt;0),1,0)</f>
        <v>0</v>
      </c>
    </row>
    <row r="43">
      <c r="A43" s="94">
        <f>IF($B43="","",37)</f>
      </c>
      <c r="B43" s="96">
        <f>项目档案!$B$40&amp;""</f>
      </c>
      <c r="C43" s="96">
        <f>项目档案!$D$40&amp;""</f>
      </c>
      <c r="D43" s="21">
        <f>IF($B43="","",应收账款总表!$F$42)</f>
      </c>
      <c r="E43" s="21">
        <f>IF($B43="","",应收账款总表!$J$42)</f>
      </c>
      <c r="F43" s="21">
        <f t="shared" si="3"/>
      </c>
      <c r="G43" s="21">
        <f>IF($B43="","",_项目汇总!$I$39)</f>
      </c>
      <c r="H43" s="21">
        <f t="shared" si="6"/>
      </c>
      <c r="I43" s="21">
        <f t="shared" si="8"/>
      </c>
      <c r="J43" s="21">
        <f>IF($B43="","",_项目汇总!$M$39)</f>
      </c>
      <c r="K43" s="21">
        <f t="shared" si="13"/>
      </c>
      <c r="L43" s="21">
        <f>IF($B43="","",SUMIFS(期初余额!$J$5:$J$64,期初余额!$B$5:$B$64,$B43)+SUMIFS(期初余额!$K$5:$K$64,期初余额!$B$5:$B$64,$B43)+SUMIFS(期初余额!$L$5:$L$64,期初余额!$B$5:$B$64,$B43)+SUMIFS(期初余额!$G$5:$G$64,期初余额!$B$5:$B$64,$B43)+_项目汇总!$N$39+_项目汇总!$O$39+_项目汇总!$R$39+_项目汇总!$S$39+_项目汇总!$T$39+_项目汇总!$U$39+_项目汇总!$V$39+_项目汇总!$W$39-(SUMIFS(代发抵账!$F$5:$F$304,代发抵账!$D$5:$D$304,"甲供材扣款",代发抵账!$H$5:$H$304,"&gt;="&amp;_辅助!$J$4,代发抵账!$H$5:$H$304,"&lt;="&amp;_辅助!$J$2,代发抵账!$C$5:$C$304,$B43)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43))))</f>
      </c>
      <c r="M43" s="21">
        <f t="shared" si="15"/>
      </c>
      <c r="N43" s="21">
        <f t="shared" si="17"/>
      </c>
      <c r="O43" s="22">
        <f t="shared" si="18"/>
      </c>
      <c r="P43" s="96">
        <f t="shared" si="21"/>
      </c>
      <c r="BA43" s="2">
        <f>SUM(CA1:CA43)</f>
        <v>29</v>
      </c>
      <c r="CA43" s="2">
        <f>IF(OR(_余额!$G$45&lt;&gt;0,_余额!$I$45&lt;&gt;0),1,0)</f>
        <v>0</v>
      </c>
    </row>
    <row r="44">
      <c r="A44" s="94">
        <f>IF($B44="","",38)</f>
      </c>
      <c r="B44" s="96">
        <f>项目档案!$B$41&amp;""</f>
      </c>
      <c r="C44" s="96">
        <f>项目档案!$D$41&amp;""</f>
      </c>
      <c r="D44" s="21">
        <f>IF($B44="","",应收账款总表!$F$43)</f>
      </c>
      <c r="E44" s="21">
        <f>IF($B44="","",应收账款总表!$J$43)</f>
      </c>
      <c r="F44" s="21">
        <f t="shared" si="3"/>
      </c>
      <c r="G44" s="21">
        <f>IF($B44="","",_项目汇总!$I$40)</f>
      </c>
      <c r="H44" s="21">
        <f t="shared" si="6"/>
      </c>
      <c r="I44" s="21">
        <f t="shared" si="8"/>
      </c>
      <c r="J44" s="21">
        <f>IF($B44="","",_项目汇总!$M$40)</f>
      </c>
      <c r="K44" s="21">
        <f t="shared" si="13"/>
      </c>
      <c r="L44" s="21">
        <f>IF($B44="","",SUMIFS(期初余额!$J$5:$J$64,期初余额!$B$5:$B$64,$B44)+SUMIFS(期初余额!$K$5:$K$64,期初余额!$B$5:$B$64,$B44)+SUMIFS(期初余额!$L$5:$L$64,期初余额!$B$5:$B$64,$B44)+SUMIFS(期初余额!$G$5:$G$64,期初余额!$B$5:$B$64,$B44)+_项目汇总!$N$40+_项目汇总!$O$40+_项目汇总!$R$40+_项目汇总!$S$40+_项目汇总!$T$40+_项目汇总!$U$40+_项目汇总!$V$40+_项目汇总!$W$40-(SUMIFS(代发抵账!$F$5:$F$304,代发抵账!$D$5:$D$304,"甲供材扣款",代发抵账!$H$5:$H$304,"&gt;="&amp;_辅助!$J$4,代发抵账!$H$5:$H$304,"&lt;="&amp;_辅助!$J$2,代发抵账!$C$5:$C$304,$B44)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44))))</f>
      </c>
      <c r="M44" s="21">
        <f t="shared" si="15"/>
      </c>
      <c r="N44" s="21">
        <f t="shared" si="17"/>
      </c>
      <c r="O44" s="22">
        <f t="shared" si="18"/>
      </c>
      <c r="P44" s="96">
        <f t="shared" si="21"/>
      </c>
      <c r="BA44" s="2">
        <f>SUM(CA1:CA44)</f>
        <v>29</v>
      </c>
      <c r="CA44" s="2">
        <f>IF(OR(_余额!$G$46&lt;&gt;0,_余额!$I$46&lt;&gt;0),1,0)</f>
        <v>0</v>
      </c>
    </row>
    <row r="45">
      <c r="A45" s="94">
        <f>IF($B45="","",39)</f>
      </c>
      <c r="B45" s="96">
        <f>项目档案!$B$42&amp;""</f>
      </c>
      <c r="C45" s="96">
        <f>项目档案!$D$42&amp;""</f>
      </c>
      <c r="D45" s="21">
        <f>IF($B45="","",应收账款总表!$F$44)</f>
      </c>
      <c r="E45" s="21">
        <f>IF($B45="","",应收账款总表!$J$44)</f>
      </c>
      <c r="F45" s="21">
        <f t="shared" si="3"/>
      </c>
      <c r="G45" s="21">
        <f>IF($B45="","",_项目汇总!$I$41)</f>
      </c>
      <c r="H45" s="21">
        <f t="shared" si="6"/>
      </c>
      <c r="I45" s="21">
        <f t="shared" si="8"/>
      </c>
      <c r="J45" s="21">
        <f>IF($B45="","",_项目汇总!$M$41)</f>
      </c>
      <c r="K45" s="21">
        <f t="shared" si="13"/>
      </c>
      <c r="L45" s="21">
        <f>IF($B45="","",SUMIFS(期初余额!$J$5:$J$64,期初余额!$B$5:$B$64,$B45)+SUMIFS(期初余额!$K$5:$K$64,期初余额!$B$5:$B$64,$B45)+SUMIFS(期初余额!$L$5:$L$64,期初余额!$B$5:$B$64,$B45)+SUMIFS(期初余额!$G$5:$G$64,期初余额!$B$5:$B$64,$B45)+_项目汇总!$N$41+_项目汇总!$O$41+_项目汇总!$R$41+_项目汇总!$S$41+_项目汇总!$T$41+_项目汇总!$U$41+_项目汇总!$V$41+_项目汇总!$W$41-(SUMIFS(代发抵账!$F$5:$F$304,代发抵账!$D$5:$D$304,"甲供材扣款",代发抵账!$H$5:$H$304,"&gt;="&amp;_辅助!$J$4,代发抵账!$H$5:$H$304,"&lt;="&amp;_辅助!$J$2,代发抵账!$C$5:$C$304,$B45)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45))))</f>
      </c>
      <c r="M45" s="21">
        <f t="shared" si="15"/>
      </c>
      <c r="N45" s="21">
        <f t="shared" si="17"/>
      </c>
      <c r="O45" s="22">
        <f t="shared" si="18"/>
      </c>
      <c r="P45" s="96">
        <f t="shared" si="21"/>
      </c>
      <c r="BA45" s="2">
        <f>SUM(CA1:CA45)</f>
        <v>29</v>
      </c>
      <c r="CA45" s="2">
        <f>IF(OR(_余额!$G$47&lt;&gt;0,_余额!$I$47&lt;&gt;0),1,0)</f>
        <v>0</v>
      </c>
    </row>
    <row r="46">
      <c r="A46" s="94">
        <f>IF($B46="","",40)</f>
      </c>
      <c r="B46" s="96">
        <f>项目档案!$B$43&amp;""</f>
      </c>
      <c r="C46" s="96">
        <f>项目档案!$D$43&amp;""</f>
      </c>
      <c r="D46" s="21">
        <f>IF($B46="","",应收账款总表!$F$45)</f>
      </c>
      <c r="E46" s="21">
        <f>IF($B46="","",应收账款总表!$J$45)</f>
      </c>
      <c r="F46" s="21">
        <f t="shared" si="3"/>
      </c>
      <c r="G46" s="21">
        <f>IF($B46="","",_项目汇总!$I$42)</f>
      </c>
      <c r="H46" s="21">
        <f t="shared" si="6"/>
      </c>
      <c r="I46" s="21">
        <f t="shared" si="8"/>
      </c>
      <c r="J46" s="21">
        <f>IF($B46="","",_项目汇总!$M$42)</f>
      </c>
      <c r="K46" s="21">
        <f t="shared" si="13"/>
      </c>
      <c r="L46" s="21">
        <f>IF($B46="","",SUMIFS(期初余额!$J$5:$J$64,期初余额!$B$5:$B$64,$B46)+SUMIFS(期初余额!$K$5:$K$64,期初余额!$B$5:$B$64,$B46)+SUMIFS(期初余额!$L$5:$L$64,期初余额!$B$5:$B$64,$B46)+SUMIFS(期初余额!$G$5:$G$64,期初余额!$B$5:$B$64,$B46)+_项目汇总!$N$42+_项目汇总!$O$42+_项目汇总!$R$42+_项目汇总!$S$42+_项目汇总!$T$42+_项目汇总!$U$42+_项目汇总!$V$42+_项目汇总!$W$42-(SUMIFS(代发抵账!$F$5:$F$304,代发抵账!$D$5:$D$304,"甲供材扣款",代发抵账!$H$5:$H$304,"&gt;="&amp;_辅助!$J$4,代发抵账!$H$5:$H$304,"&lt;="&amp;_辅助!$J$2,代发抵账!$C$5:$C$304,$B46)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46))))</f>
      </c>
      <c r="M46" s="21">
        <f t="shared" si="15"/>
      </c>
      <c r="N46" s="21">
        <f t="shared" si="17"/>
      </c>
      <c r="O46" s="22">
        <f t="shared" si="18"/>
      </c>
      <c r="P46" s="96">
        <f t="shared" si="21"/>
      </c>
      <c r="BA46" s="2">
        <f>SUM(CA1:CA46)</f>
        <v>29</v>
      </c>
      <c r="CA46" s="2">
        <f>IF(OR(_余额!$G$48&lt;&gt;0,_余额!$I$48&lt;&gt;0),1,0)</f>
        <v>0</v>
      </c>
    </row>
    <row r="47">
      <c r="A47" s="94">
        <f>IF($B47="","",41)</f>
      </c>
      <c r="B47" s="96">
        <f>项目档案!$B$44&amp;""</f>
      </c>
      <c r="C47" s="96">
        <f>项目档案!$D$44&amp;""</f>
      </c>
      <c r="D47" s="21">
        <f>IF($B47="","",应收账款总表!$F$46)</f>
      </c>
      <c r="E47" s="21">
        <f>IF($B47="","",应收账款总表!$J$46)</f>
      </c>
      <c r="F47" s="21">
        <f t="shared" si="3"/>
      </c>
      <c r="G47" s="21">
        <f>IF($B47="","",_项目汇总!$I$43)</f>
      </c>
      <c r="H47" s="21">
        <f t="shared" si="6"/>
      </c>
      <c r="I47" s="21">
        <f t="shared" si="8"/>
      </c>
      <c r="J47" s="21">
        <f>IF($B47="","",_项目汇总!$M$43)</f>
      </c>
      <c r="K47" s="21">
        <f t="shared" si="13"/>
      </c>
      <c r="L47" s="21">
        <f>IF($B47="","",SUMIFS(期初余额!$J$5:$J$64,期初余额!$B$5:$B$64,$B47)+SUMIFS(期初余额!$K$5:$K$64,期初余额!$B$5:$B$64,$B47)+SUMIFS(期初余额!$L$5:$L$64,期初余额!$B$5:$B$64,$B47)+SUMIFS(期初余额!$G$5:$G$64,期初余额!$B$5:$B$64,$B47)+_项目汇总!$N$43+_项目汇总!$O$43+_项目汇总!$R$43+_项目汇总!$S$43+_项目汇总!$T$43+_项目汇总!$U$43+_项目汇总!$V$43+_项目汇总!$W$43-(SUMIFS(代发抵账!$F$5:$F$304,代发抵账!$D$5:$D$304,"甲供材扣款",代发抵账!$H$5:$H$304,"&gt;="&amp;_辅助!$J$4,代发抵账!$H$5:$H$304,"&lt;="&amp;_辅助!$J$2,代发抵账!$C$5:$C$304,$B47)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47))))</f>
      </c>
      <c r="M47" s="21">
        <f t="shared" si="15"/>
      </c>
      <c r="N47" s="21">
        <f t="shared" si="17"/>
      </c>
      <c r="O47" s="22">
        <f t="shared" si="18"/>
      </c>
      <c r="P47" s="96">
        <f t="shared" si="21"/>
      </c>
      <c r="BA47" s="2">
        <f>SUM(CA1:CA47)</f>
        <v>29</v>
      </c>
      <c r="CA47" s="2">
        <f>IF(OR(_余额!$G$49&lt;&gt;0,_余额!$I$49&lt;&gt;0),1,0)</f>
        <v>0</v>
      </c>
    </row>
    <row r="48">
      <c r="A48" s="94">
        <f>IF($B48="","",42)</f>
      </c>
      <c r="B48" s="96">
        <f>项目档案!$B$45&amp;""</f>
      </c>
      <c r="C48" s="96">
        <f>项目档案!$D$45&amp;""</f>
      </c>
      <c r="D48" s="21">
        <f>IF($B48="","",应收账款总表!$F$47)</f>
      </c>
      <c r="E48" s="21">
        <f>IF($B48="","",应收账款总表!$J$47)</f>
      </c>
      <c r="F48" s="21">
        <f t="shared" si="3"/>
      </c>
      <c r="G48" s="21">
        <f>IF($B48="","",_项目汇总!$I$44)</f>
      </c>
      <c r="H48" s="21">
        <f t="shared" si="6"/>
      </c>
      <c r="I48" s="21">
        <f t="shared" si="8"/>
      </c>
      <c r="J48" s="21">
        <f>IF($B48="","",_项目汇总!$M$44)</f>
      </c>
      <c r="K48" s="21">
        <f t="shared" si="13"/>
      </c>
      <c r="L48" s="21">
        <f>IF($B48="","",SUMIFS(期初余额!$J$5:$J$64,期初余额!$B$5:$B$64,$B48)+SUMIFS(期初余额!$K$5:$K$64,期初余额!$B$5:$B$64,$B48)+SUMIFS(期初余额!$L$5:$L$64,期初余额!$B$5:$B$64,$B48)+SUMIFS(期初余额!$G$5:$G$64,期初余额!$B$5:$B$64,$B48)+_项目汇总!$N$44+_项目汇总!$O$44+_项目汇总!$R$44+_项目汇总!$S$44+_项目汇总!$T$44+_项目汇总!$U$44+_项目汇总!$V$44+_项目汇总!$W$44-(SUMIFS(代发抵账!$F$5:$F$304,代发抵账!$D$5:$D$304,"甲供材扣款",代发抵账!$H$5:$H$304,"&gt;="&amp;_辅助!$J$4,代发抵账!$H$5:$H$304,"&lt;="&amp;_辅助!$J$2,代发抵账!$C$5:$C$304,$B48)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48))))</f>
      </c>
      <c r="M48" s="21">
        <f t="shared" si="15"/>
      </c>
      <c r="N48" s="21">
        <f t="shared" si="17"/>
      </c>
      <c r="O48" s="22">
        <f t="shared" si="18"/>
      </c>
      <c r="P48" s="96">
        <f t="shared" si="21"/>
      </c>
      <c r="BA48" s="2">
        <f>SUM(CA1:CA48)</f>
        <v>29</v>
      </c>
      <c r="CA48" s="2">
        <f>IF(OR(_余额!$G$50&lt;&gt;0,_余额!$I$50&lt;&gt;0),1,0)</f>
        <v>0</v>
      </c>
    </row>
    <row r="49">
      <c r="A49" s="94">
        <f>IF($B49="","",43)</f>
      </c>
      <c r="B49" s="96">
        <f>项目档案!$B$46&amp;""</f>
      </c>
      <c r="C49" s="96">
        <f>项目档案!$D$46&amp;""</f>
      </c>
      <c r="D49" s="21">
        <f>IF($B49="","",应收账款总表!$F$48)</f>
      </c>
      <c r="E49" s="21">
        <f>IF($B49="","",应收账款总表!$J$48)</f>
      </c>
      <c r="F49" s="21">
        <f t="shared" si="3"/>
      </c>
      <c r="G49" s="21">
        <f>IF($B49="","",_项目汇总!$I$45)</f>
      </c>
      <c r="H49" s="21">
        <f t="shared" si="6"/>
      </c>
      <c r="I49" s="21">
        <f t="shared" si="8"/>
      </c>
      <c r="J49" s="21">
        <f>IF($B49="","",_项目汇总!$M$45)</f>
      </c>
      <c r="K49" s="21">
        <f t="shared" si="13"/>
      </c>
      <c r="L49" s="21">
        <f>IF($B49="","",SUMIFS(期初余额!$J$5:$J$64,期初余额!$B$5:$B$64,$B49)+SUMIFS(期初余额!$K$5:$K$64,期初余额!$B$5:$B$64,$B49)+SUMIFS(期初余额!$L$5:$L$64,期初余额!$B$5:$B$64,$B49)+SUMIFS(期初余额!$G$5:$G$64,期初余额!$B$5:$B$64,$B49)+_项目汇总!$N$45+_项目汇总!$O$45+_项目汇总!$R$45+_项目汇总!$S$45+_项目汇总!$T$45+_项目汇总!$U$45+_项目汇总!$V$45+_项目汇总!$W$45-(SUMIFS(代发抵账!$F$5:$F$304,代发抵账!$D$5:$D$304,"甲供材扣款",代发抵账!$H$5:$H$304,"&gt;="&amp;_辅助!$J$4,代发抵账!$H$5:$H$304,"&lt;="&amp;_辅助!$J$2,代发抵账!$C$5:$C$304,$B49)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49))))</f>
      </c>
      <c r="M49" s="21">
        <f t="shared" si="15"/>
      </c>
      <c r="N49" s="21">
        <f t="shared" si="17"/>
      </c>
      <c r="O49" s="22">
        <f t="shared" si="18"/>
      </c>
      <c r="P49" s="96">
        <f t="shared" si="21"/>
      </c>
      <c r="BA49" s="2">
        <f>SUM(CA1:CA49)</f>
        <v>29</v>
      </c>
      <c r="CA49" s="2">
        <f>IF(OR(_余额!$G$51&lt;&gt;0,_余额!$I$51&lt;&gt;0),1,0)</f>
        <v>0</v>
      </c>
    </row>
    <row r="50">
      <c r="A50" s="94">
        <f>IF($B50="","",44)</f>
      </c>
      <c r="B50" s="96">
        <f>项目档案!$B$47&amp;""</f>
      </c>
      <c r="C50" s="96">
        <f>项目档案!$D$47&amp;""</f>
      </c>
      <c r="D50" s="21">
        <f>IF($B50="","",应收账款总表!$F$49)</f>
      </c>
      <c r="E50" s="21">
        <f>IF($B50="","",应收账款总表!$J$49)</f>
      </c>
      <c r="F50" s="21">
        <f t="shared" si="3"/>
      </c>
      <c r="G50" s="21">
        <f>IF($B50="","",_项目汇总!$I$46)</f>
      </c>
      <c r="H50" s="21">
        <f t="shared" si="6"/>
      </c>
      <c r="I50" s="21">
        <f t="shared" si="8"/>
      </c>
      <c r="J50" s="21">
        <f>IF($B50="","",_项目汇总!$M$46)</f>
      </c>
      <c r="K50" s="21">
        <f t="shared" si="13"/>
      </c>
      <c r="L50" s="21">
        <f>IF($B50="","",SUMIFS(期初余额!$J$5:$J$64,期初余额!$B$5:$B$64,$B50)+SUMIFS(期初余额!$K$5:$K$64,期初余额!$B$5:$B$64,$B50)+SUMIFS(期初余额!$L$5:$L$64,期初余额!$B$5:$B$64,$B50)+SUMIFS(期初余额!$G$5:$G$64,期初余额!$B$5:$B$64,$B50)+_项目汇总!$N$46+_项目汇总!$O$46+_项目汇总!$R$46+_项目汇总!$S$46+_项目汇总!$T$46+_项目汇总!$U$46+_项目汇总!$V$46+_项目汇总!$W$46-(SUMIFS(代发抵账!$F$5:$F$304,代发抵账!$D$5:$D$304,"甲供材扣款",代发抵账!$H$5:$H$304,"&gt;="&amp;_辅助!$J$4,代发抵账!$H$5:$H$304,"&lt;="&amp;_辅助!$J$2,代发抵账!$C$5:$C$304,$B50)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50))))</f>
      </c>
      <c r="M50" s="21">
        <f t="shared" si="15"/>
      </c>
      <c r="N50" s="21">
        <f t="shared" si="17"/>
      </c>
      <c r="O50" s="22">
        <f t="shared" si="18"/>
      </c>
      <c r="P50" s="96">
        <f t="shared" si="21"/>
      </c>
      <c r="BA50" s="2">
        <f>SUM(CA1:CA50)</f>
        <v>29</v>
      </c>
      <c r="CA50" s="2">
        <f>IF(OR(_余额!$G$52&lt;&gt;0,_余额!$I$52&lt;&gt;0),1,0)</f>
        <v>0</v>
      </c>
    </row>
    <row r="51">
      <c r="A51" s="94">
        <f>IF($B51="","",45)</f>
      </c>
      <c r="B51" s="96">
        <f>项目档案!$B$48&amp;""</f>
      </c>
      <c r="C51" s="96">
        <f>项目档案!$D$48&amp;""</f>
      </c>
      <c r="D51" s="21">
        <f>IF($B51="","",应收账款总表!$F$50)</f>
      </c>
      <c r="E51" s="21">
        <f>IF($B51="","",应收账款总表!$J$50)</f>
      </c>
      <c r="F51" s="21">
        <f t="shared" si="3"/>
      </c>
      <c r="G51" s="21">
        <f>IF($B51="","",_项目汇总!$I$47)</f>
      </c>
      <c r="H51" s="21">
        <f t="shared" si="6"/>
      </c>
      <c r="I51" s="21">
        <f t="shared" si="8"/>
      </c>
      <c r="J51" s="21">
        <f>IF($B51="","",_项目汇总!$M$47)</f>
      </c>
      <c r="K51" s="21">
        <f t="shared" si="13"/>
      </c>
      <c r="L51" s="21">
        <f>IF($B51="","",SUMIFS(期初余额!$J$5:$J$64,期初余额!$B$5:$B$64,$B51)+SUMIFS(期初余额!$K$5:$K$64,期初余额!$B$5:$B$64,$B51)+SUMIFS(期初余额!$L$5:$L$64,期初余额!$B$5:$B$64,$B51)+SUMIFS(期初余额!$G$5:$G$64,期初余额!$B$5:$B$64,$B51)+_项目汇总!$N$47+_项目汇总!$O$47+_项目汇总!$R$47+_项目汇总!$S$47+_项目汇总!$T$47+_项目汇总!$U$47+_项目汇总!$V$47+_项目汇总!$W$47-(SUMIFS(代发抵账!$F$5:$F$304,代发抵账!$D$5:$D$304,"甲供材扣款",代发抵账!$H$5:$H$304,"&gt;="&amp;_辅助!$J$4,代发抵账!$H$5:$H$304,"&lt;="&amp;_辅助!$J$2,代发抵账!$C$5:$C$304,$B51)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51))))</f>
      </c>
      <c r="M51" s="21">
        <f t="shared" si="15"/>
      </c>
      <c r="N51" s="21">
        <f t="shared" si="17"/>
      </c>
      <c r="O51" s="22">
        <f t="shared" si="18"/>
      </c>
      <c r="P51" s="96">
        <f t="shared" si="21"/>
      </c>
      <c r="BA51" s="2">
        <f>BA50+SUM(CA51:CA51)</f>
        <v>29</v>
      </c>
      <c r="CA51" s="2">
        <f>IF(OR(_余额!$G$53&lt;&gt;0,_余额!$I$53&lt;&gt;0),1,0)</f>
        <v>0</v>
      </c>
    </row>
    <row r="52">
      <c r="A52" s="94">
        <f>IF($B52="","",46)</f>
      </c>
      <c r="B52" s="96">
        <f>项目档案!$B$49&amp;""</f>
      </c>
      <c r="C52" s="96">
        <f>项目档案!$D$49&amp;""</f>
      </c>
      <c r="D52" s="21">
        <f>IF($B52="","",应收账款总表!$F$51)</f>
      </c>
      <c r="E52" s="21">
        <f>IF($B52="","",应收账款总表!$J$51)</f>
      </c>
      <c r="F52" s="21">
        <f t="shared" si="3"/>
      </c>
      <c r="G52" s="21">
        <f>IF($B52="","",_项目汇总!$I$48)</f>
      </c>
      <c r="H52" s="21">
        <f t="shared" si="6"/>
      </c>
      <c r="I52" s="21">
        <f t="shared" si="8"/>
      </c>
      <c r="J52" s="21">
        <f>IF($B52="","",_项目汇总!$M$48)</f>
      </c>
      <c r="K52" s="21">
        <f t="shared" si="13"/>
      </c>
      <c r="L52" s="21">
        <f>IF($B52="","",SUMIFS(期初余额!$J$5:$J$64,期初余额!$B$5:$B$64,$B52)+SUMIFS(期初余额!$K$5:$K$64,期初余额!$B$5:$B$64,$B52)+SUMIFS(期初余额!$L$5:$L$64,期初余额!$B$5:$B$64,$B52)+SUMIFS(期初余额!$G$5:$G$64,期初余额!$B$5:$B$64,$B52)+_项目汇总!$N$48+_项目汇总!$O$48+_项目汇总!$R$48+_项目汇总!$S$48+_项目汇总!$T$48+_项目汇总!$U$48+_项目汇总!$V$48+_项目汇总!$W$48-(SUMIFS(代发抵账!$F$5:$F$304,代发抵账!$D$5:$D$304,"甲供材扣款",代发抵账!$H$5:$H$304,"&gt;="&amp;_辅助!$J$4,代发抵账!$H$5:$H$304,"&lt;="&amp;_辅助!$J$2,代发抵账!$C$5:$C$304,$B52)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52))))</f>
      </c>
      <c r="M52" s="21">
        <f t="shared" si="15"/>
      </c>
      <c r="N52" s="21">
        <f t="shared" si="17"/>
      </c>
      <c r="O52" s="22">
        <f t="shared" si="18"/>
      </c>
      <c r="P52" s="96">
        <f t="shared" si="21"/>
      </c>
      <c r="BA52" s="2">
        <f>BA50+SUM(CA51:CA52)</f>
        <v>29</v>
      </c>
      <c r="CA52" s="2">
        <f>IF(OR(_余额!$G$54&lt;&gt;0,_余额!$I$54&lt;&gt;0),1,0)</f>
        <v>0</v>
      </c>
    </row>
    <row r="53">
      <c r="A53" s="94">
        <f>IF($B53="","",47)</f>
      </c>
      <c r="B53" s="96">
        <f>项目档案!$B$50&amp;""</f>
      </c>
      <c r="C53" s="96">
        <f>项目档案!$D$50&amp;""</f>
      </c>
      <c r="D53" s="21">
        <f>IF($B53="","",应收账款总表!$F$52)</f>
      </c>
      <c r="E53" s="21">
        <f>IF($B53="","",应收账款总表!$J$52)</f>
      </c>
      <c r="F53" s="21">
        <f t="shared" si="3"/>
      </c>
      <c r="G53" s="21">
        <f>IF($B53="","",_项目汇总!$I$49)</f>
      </c>
      <c r="H53" s="21">
        <f t="shared" si="6"/>
      </c>
      <c r="I53" s="21">
        <f t="shared" si="8"/>
      </c>
      <c r="J53" s="21">
        <f>IF($B53="","",_项目汇总!$M$49)</f>
      </c>
      <c r="K53" s="21">
        <f t="shared" si="13"/>
      </c>
      <c r="L53" s="21">
        <f>IF($B53="","",SUMIFS(期初余额!$J$5:$J$64,期初余额!$B$5:$B$64,$B53)+SUMIFS(期初余额!$K$5:$K$64,期初余额!$B$5:$B$64,$B53)+SUMIFS(期初余额!$L$5:$L$64,期初余额!$B$5:$B$64,$B53)+SUMIFS(期初余额!$G$5:$G$64,期初余额!$B$5:$B$64,$B53)+_项目汇总!$N$49+_项目汇总!$O$49+_项目汇总!$R$49+_项目汇总!$S$49+_项目汇总!$T$49+_项目汇总!$U$49+_项目汇总!$V$49+_项目汇总!$W$49-(SUMIFS(代发抵账!$F$5:$F$304,代发抵账!$D$5:$D$304,"甲供材扣款",代发抵账!$H$5:$H$304,"&gt;="&amp;_辅助!$J$4,代发抵账!$H$5:$H$304,"&lt;="&amp;_辅助!$J$2,代发抵账!$C$5:$C$304,$B53)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53))))</f>
      </c>
      <c r="M53" s="21">
        <f t="shared" si="15"/>
      </c>
      <c r="N53" s="21">
        <f t="shared" si="17"/>
      </c>
      <c r="O53" s="22">
        <f t="shared" si="18"/>
      </c>
      <c r="P53" s="96">
        <f t="shared" si="21"/>
      </c>
      <c r="BA53" s="2">
        <f>BA50+SUM(CA51:CA53)</f>
        <v>29</v>
      </c>
      <c r="CA53" s="2">
        <f>IF(OR(_余额!$G$55&lt;&gt;0,_余额!$I$55&lt;&gt;0),1,0)</f>
        <v>0</v>
      </c>
    </row>
    <row r="54">
      <c r="A54" s="94">
        <f>IF($B54="","",48)</f>
      </c>
      <c r="B54" s="96">
        <f>项目档案!$B$51&amp;""</f>
      </c>
      <c r="C54" s="96">
        <f>项目档案!$D$51&amp;""</f>
      </c>
      <c r="D54" s="21">
        <f>IF($B54="","",应收账款总表!$F$53)</f>
      </c>
      <c r="E54" s="21">
        <f>IF($B54="","",应收账款总表!$J$53)</f>
      </c>
      <c r="F54" s="21">
        <f t="shared" si="3"/>
      </c>
      <c r="G54" s="21">
        <f>IF($B54="","",_项目汇总!$I$50)</f>
      </c>
      <c r="H54" s="21">
        <f t="shared" si="6"/>
      </c>
      <c r="I54" s="21">
        <f t="shared" si="8"/>
      </c>
      <c r="J54" s="21">
        <f>IF($B54="","",_项目汇总!$M$50)</f>
      </c>
      <c r="K54" s="21">
        <f t="shared" si="13"/>
      </c>
      <c r="L54" s="21">
        <f>IF($B54="","",SUMIFS(期初余额!$J$5:$J$64,期初余额!$B$5:$B$64,$B54)+SUMIFS(期初余额!$K$5:$K$64,期初余额!$B$5:$B$64,$B54)+SUMIFS(期初余额!$L$5:$L$64,期初余额!$B$5:$B$64,$B54)+SUMIFS(期初余额!$G$5:$G$64,期初余额!$B$5:$B$64,$B54)+_项目汇总!$N$50+_项目汇总!$O$50+_项目汇总!$R$50+_项目汇总!$S$50+_项目汇总!$T$50+_项目汇总!$U$50+_项目汇总!$V$50+_项目汇总!$W$50-(SUMIFS(代发抵账!$F$5:$F$304,代发抵账!$D$5:$D$304,"甲供材扣款",代发抵账!$H$5:$H$304,"&gt;="&amp;_辅助!$J$4,代发抵账!$H$5:$H$304,"&lt;="&amp;_辅助!$J$2,代发抵账!$C$5:$C$304,$B54)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54))))</f>
      </c>
      <c r="M54" s="21">
        <f t="shared" si="15"/>
      </c>
      <c r="N54" s="21">
        <f t="shared" si="17"/>
      </c>
      <c r="O54" s="22">
        <f t="shared" si="18"/>
      </c>
      <c r="P54" s="96">
        <f t="shared" si="21"/>
      </c>
      <c r="BA54" s="2">
        <f>BA50+SUM(CA51:CA54)</f>
        <v>29</v>
      </c>
      <c r="CA54" s="2">
        <f>IF(OR(_余额!$G$56&lt;&gt;0,_余额!$I$56&lt;&gt;0),1,0)</f>
        <v>0</v>
      </c>
    </row>
    <row r="55">
      <c r="A55" s="94">
        <f>IF($B55="","",49)</f>
      </c>
      <c r="B55" s="96">
        <f>项目档案!$B$52&amp;""</f>
      </c>
      <c r="C55" s="96">
        <f>项目档案!$D$52&amp;""</f>
      </c>
      <c r="D55" s="21">
        <f>IF($B55="","",应收账款总表!$F$54)</f>
      </c>
      <c r="E55" s="21">
        <f>IF($B55="","",应收账款总表!$J$54)</f>
      </c>
      <c r="F55" s="21">
        <f t="shared" si="3"/>
      </c>
      <c r="G55" s="21">
        <f>IF($B55="","",_项目汇总!$I$51)</f>
      </c>
      <c r="H55" s="21">
        <f t="shared" si="6"/>
      </c>
      <c r="I55" s="21">
        <f t="shared" si="8"/>
      </c>
      <c r="J55" s="21">
        <f>IF($B55="","",_项目汇总!$M$51)</f>
      </c>
      <c r="K55" s="21">
        <f t="shared" si="13"/>
      </c>
      <c r="L55" s="21">
        <f>IF($B55="","",SUMIFS(期初余额!$J$5:$J$64,期初余额!$B$5:$B$64,$B55)+SUMIFS(期初余额!$K$5:$K$64,期初余额!$B$5:$B$64,$B55)+SUMIFS(期初余额!$L$5:$L$64,期初余额!$B$5:$B$64,$B55)+SUMIFS(期初余额!$G$5:$G$64,期初余额!$B$5:$B$64,$B55)+_项目汇总!$N$51+_项目汇总!$O$51+_项目汇总!$R$51+_项目汇总!$S$51+_项目汇总!$T$51+_项目汇总!$U$51+_项目汇总!$V$51+_项目汇总!$W$51-(SUMIFS(代发抵账!$F$5:$F$304,代发抵账!$D$5:$D$304,"甲供材扣款",代发抵账!$H$5:$H$304,"&gt;="&amp;_辅助!$J$4,代发抵账!$H$5:$H$304,"&lt;="&amp;_辅助!$J$2,代发抵账!$C$5:$C$304,$B55)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55))))</f>
      </c>
      <c r="M55" s="21">
        <f t="shared" si="15"/>
      </c>
      <c r="N55" s="21">
        <f t="shared" si="17"/>
      </c>
      <c r="O55" s="22">
        <f t="shared" si="18"/>
      </c>
      <c r="P55" s="96">
        <f t="shared" si="21"/>
      </c>
      <c r="BA55" s="2">
        <f>BA50+SUM(CA51:CA55)</f>
        <v>29</v>
      </c>
      <c r="CA55" s="2">
        <f>IF(OR(_余额!$G$57&lt;&gt;0,_余额!$I$57&lt;&gt;0),1,0)</f>
        <v>0</v>
      </c>
    </row>
    <row r="56">
      <c r="A56" s="94">
        <f>IF($B56="","",50)</f>
      </c>
      <c r="B56" s="96">
        <f>项目档案!$B$53&amp;""</f>
      </c>
      <c r="C56" s="96">
        <f>项目档案!$D$53&amp;""</f>
      </c>
      <c r="D56" s="21">
        <f>IF($B56="","",应收账款总表!$F$55)</f>
      </c>
      <c r="E56" s="21">
        <f>IF($B56="","",应收账款总表!$J$55)</f>
      </c>
      <c r="F56" s="21">
        <f t="shared" si="3"/>
      </c>
      <c r="G56" s="21">
        <f>IF($B56="","",_项目汇总!$I$52)</f>
      </c>
      <c r="H56" s="21">
        <f t="shared" si="6"/>
      </c>
      <c r="I56" s="21">
        <f t="shared" si="8"/>
      </c>
      <c r="J56" s="21">
        <f>IF($B56="","",_项目汇总!$M$52)</f>
      </c>
      <c r="K56" s="21">
        <f t="shared" si="13"/>
      </c>
      <c r="L56" s="21">
        <f>IF($B56="","",SUMIFS(期初余额!$J$5:$J$64,期初余额!$B$5:$B$64,$B56)+SUMIFS(期初余额!$K$5:$K$64,期初余额!$B$5:$B$64,$B56)+SUMIFS(期初余额!$L$5:$L$64,期初余额!$B$5:$B$64,$B56)+SUMIFS(期初余额!$G$5:$G$64,期初余额!$B$5:$B$64,$B56)+_项目汇总!$N$52+_项目汇总!$O$52+_项目汇总!$R$52+_项目汇总!$S$52+_项目汇总!$T$52+_项目汇总!$U$52+_项目汇总!$V$52+_项目汇总!$W$52-(SUMIFS(代发抵账!$F$5:$F$304,代发抵账!$D$5:$D$304,"甲供材扣款",代发抵账!$H$5:$H$304,"&gt;="&amp;_辅助!$J$4,代发抵账!$H$5:$H$304,"&lt;="&amp;_辅助!$J$2,代发抵账!$C$5:$C$304,$B56)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56))))</f>
      </c>
      <c r="M56" s="21">
        <f t="shared" si="15"/>
      </c>
      <c r="N56" s="21">
        <f t="shared" si="17"/>
      </c>
      <c r="O56" s="22">
        <f t="shared" si="18"/>
      </c>
      <c r="P56" s="96">
        <f t="shared" si="21"/>
      </c>
      <c r="BA56" s="2">
        <f>BA50+SUM(CA51:CA56)</f>
        <v>29</v>
      </c>
      <c r="CA56" s="2">
        <f>IF(OR(_余额!$G$58&lt;&gt;0,_余额!$I$58&lt;&gt;0),1,0)</f>
        <v>0</v>
      </c>
    </row>
    <row r="57">
      <c r="A57" s="94">
        <f>IF($B57="","",51)</f>
      </c>
      <c r="B57" s="96">
        <f>项目档案!$B$54&amp;""</f>
      </c>
      <c r="C57" s="96">
        <f>项目档案!$D$54&amp;""</f>
      </c>
      <c r="D57" s="21">
        <f>IF($B57="","",应收账款总表!$F$56)</f>
      </c>
      <c r="E57" s="21">
        <f>IF($B57="","",应收账款总表!$J$56)</f>
      </c>
      <c r="F57" s="21">
        <f t="shared" si="3"/>
      </c>
      <c r="G57" s="21">
        <f>IF($B57="","",_项目汇总!$I$53)</f>
      </c>
      <c r="H57" s="21">
        <f t="shared" si="6"/>
      </c>
      <c r="I57" s="21">
        <f t="shared" si="8"/>
      </c>
      <c r="J57" s="21">
        <f>IF($B57="","",_项目汇总!$M$53)</f>
      </c>
      <c r="K57" s="21">
        <f t="shared" si="13"/>
      </c>
      <c r="L57" s="21">
        <f>IF($B57="","",SUMIFS(期初余额!$J$5:$J$64,期初余额!$B$5:$B$64,$B57)+SUMIFS(期初余额!$K$5:$K$64,期初余额!$B$5:$B$64,$B57)+SUMIFS(期初余额!$L$5:$L$64,期初余额!$B$5:$B$64,$B57)+SUMIFS(期初余额!$G$5:$G$64,期初余额!$B$5:$B$64,$B57)+_项目汇总!$N$53+_项目汇总!$O$53+_项目汇总!$R$53+_项目汇总!$S$53+_项目汇总!$T$53+_项目汇总!$U$53+_项目汇总!$V$53+_项目汇总!$W$53-(SUMIFS(代发抵账!$F$5:$F$304,代发抵账!$D$5:$D$304,"甲供材扣款",代发抵账!$H$5:$H$304,"&gt;="&amp;_辅助!$J$4,代发抵账!$H$5:$H$304,"&lt;="&amp;_辅助!$J$2,代发抵账!$C$5:$C$304,$B57)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57))))</f>
      </c>
      <c r="M57" s="21">
        <f t="shared" si="15"/>
      </c>
      <c r="N57" s="21">
        <f t="shared" si="17"/>
      </c>
      <c r="O57" s="22">
        <f t="shared" si="18"/>
      </c>
      <c r="P57" s="96">
        <f t="shared" si="21"/>
      </c>
      <c r="BA57" s="2">
        <f>BA50+SUM(CA51:CA57)</f>
        <v>29</v>
      </c>
      <c r="CA57" s="2">
        <f>IF(OR(_余额!$G$59&lt;&gt;0,_余额!$I$59&lt;&gt;0),1,0)</f>
        <v>0</v>
      </c>
    </row>
    <row r="58">
      <c r="A58" s="94">
        <f>IF($B58="","",52)</f>
      </c>
      <c r="B58" s="96">
        <f>项目档案!$B$55&amp;""</f>
      </c>
      <c r="C58" s="96">
        <f>项目档案!$D$55&amp;""</f>
      </c>
      <c r="D58" s="21">
        <f>IF($B58="","",应收账款总表!$F$57)</f>
      </c>
      <c r="E58" s="21">
        <f>IF($B58="","",应收账款总表!$J$57)</f>
      </c>
      <c r="F58" s="21">
        <f t="shared" si="3"/>
      </c>
      <c r="G58" s="21">
        <f>IF($B58="","",_项目汇总!$I$54)</f>
      </c>
      <c r="H58" s="21">
        <f t="shared" si="6"/>
      </c>
      <c r="I58" s="21">
        <f t="shared" si="8"/>
      </c>
      <c r="J58" s="21">
        <f>IF($B58="","",_项目汇总!$M$54)</f>
      </c>
      <c r="K58" s="21">
        <f t="shared" si="13"/>
      </c>
      <c r="L58" s="21">
        <f>IF($B58="","",SUMIFS(期初余额!$J$5:$J$64,期初余额!$B$5:$B$64,$B58)+SUMIFS(期初余额!$K$5:$K$64,期初余额!$B$5:$B$64,$B58)+SUMIFS(期初余额!$L$5:$L$64,期初余额!$B$5:$B$64,$B58)+SUMIFS(期初余额!$G$5:$G$64,期初余额!$B$5:$B$64,$B58)+_项目汇总!$N$54+_项目汇总!$O$54+_项目汇总!$R$54+_项目汇总!$S$54+_项目汇总!$T$54+_项目汇总!$U$54+_项目汇总!$V$54+_项目汇总!$W$54-(SUMIFS(代发抵账!$F$5:$F$304,代发抵账!$D$5:$D$304,"甲供材扣款",代发抵账!$H$5:$H$304,"&gt;="&amp;_辅助!$J$4,代发抵账!$H$5:$H$304,"&lt;="&amp;_辅助!$J$2,代发抵账!$C$5:$C$304,$B58)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58))))</f>
      </c>
      <c r="M58" s="21">
        <f t="shared" si="15"/>
      </c>
      <c r="N58" s="21">
        <f t="shared" si="17"/>
      </c>
      <c r="O58" s="22">
        <f t="shared" si="18"/>
      </c>
      <c r="P58" s="96">
        <f t="shared" si="21"/>
      </c>
      <c r="BA58" s="2">
        <f>BA50+SUM(CA51:CA58)</f>
        <v>29</v>
      </c>
      <c r="CA58" s="2">
        <f>IF(OR(_余额!$G$60&lt;&gt;0,_余额!$I$60&lt;&gt;0),1,0)</f>
        <v>0</v>
      </c>
    </row>
    <row r="59">
      <c r="A59" s="94">
        <f>IF($B59="","",53)</f>
      </c>
      <c r="B59" s="96">
        <f>项目档案!$B$56&amp;""</f>
      </c>
      <c r="C59" s="96">
        <f>项目档案!$D$56&amp;""</f>
      </c>
      <c r="D59" s="21">
        <f>IF($B59="","",应收账款总表!$F$58)</f>
      </c>
      <c r="E59" s="21">
        <f>IF($B59="","",应收账款总表!$J$58)</f>
      </c>
      <c r="F59" s="21">
        <f t="shared" si="3"/>
      </c>
      <c r="G59" s="21">
        <f>IF($B59="","",_项目汇总!$I$55)</f>
      </c>
      <c r="H59" s="21">
        <f t="shared" si="6"/>
      </c>
      <c r="I59" s="21">
        <f t="shared" si="8"/>
      </c>
      <c r="J59" s="21">
        <f>IF($B59="","",_项目汇总!$M$55)</f>
      </c>
      <c r="K59" s="21">
        <f t="shared" si="13"/>
      </c>
      <c r="L59" s="21">
        <f>IF($B59="","",SUMIFS(期初余额!$J$5:$J$64,期初余额!$B$5:$B$64,$B59)+SUMIFS(期初余额!$K$5:$K$64,期初余额!$B$5:$B$64,$B59)+SUMIFS(期初余额!$L$5:$L$64,期初余额!$B$5:$B$64,$B59)+SUMIFS(期初余额!$G$5:$G$64,期初余额!$B$5:$B$64,$B59)+_项目汇总!$N$55+_项目汇总!$O$55+_项目汇总!$R$55+_项目汇总!$S$55+_项目汇总!$T$55+_项目汇总!$U$55+_项目汇总!$V$55+_项目汇总!$W$55-(SUMIFS(代发抵账!$F$5:$F$304,代发抵账!$D$5:$D$304,"甲供材扣款",代发抵账!$H$5:$H$304,"&gt;="&amp;_辅助!$J$4,代发抵账!$H$5:$H$304,"&lt;="&amp;_辅助!$J$2,代发抵账!$C$5:$C$304,$B59)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59))))</f>
      </c>
      <c r="M59" s="21">
        <f t="shared" si="15"/>
      </c>
      <c r="N59" s="21">
        <f t="shared" si="17"/>
      </c>
      <c r="O59" s="22">
        <f t="shared" si="18"/>
      </c>
      <c r="P59" s="96">
        <f t="shared" si="21"/>
      </c>
      <c r="BA59" s="2">
        <f>BA50+SUM(CA51:CA59)</f>
        <v>29</v>
      </c>
      <c r="CA59" s="2">
        <f>IF(OR(_余额!$G$61&lt;&gt;0,_余额!$I$61&lt;&gt;0),1,0)</f>
        <v>0</v>
      </c>
    </row>
    <row r="60">
      <c r="A60" s="94">
        <f>IF($B60="","",54)</f>
      </c>
      <c r="B60" s="96">
        <f>项目档案!$B$57&amp;""</f>
      </c>
      <c r="C60" s="96">
        <f>项目档案!$D$57&amp;""</f>
      </c>
      <c r="D60" s="21">
        <f>IF($B60="","",应收账款总表!$F$59)</f>
      </c>
      <c r="E60" s="21">
        <f>IF($B60="","",应收账款总表!$J$59)</f>
      </c>
      <c r="F60" s="21">
        <f t="shared" si="3"/>
      </c>
      <c r="G60" s="21">
        <f>IF($B60="","",_项目汇总!$I$56)</f>
      </c>
      <c r="H60" s="21">
        <f t="shared" si="6"/>
      </c>
      <c r="I60" s="21">
        <f t="shared" si="8"/>
      </c>
      <c r="J60" s="21">
        <f>IF($B60="","",_项目汇总!$M$56)</f>
      </c>
      <c r="K60" s="21">
        <f t="shared" si="13"/>
      </c>
      <c r="L60" s="21">
        <f>IF($B60="","",SUMIFS(期初余额!$J$5:$J$64,期初余额!$B$5:$B$64,$B60)+SUMIFS(期初余额!$K$5:$K$64,期初余额!$B$5:$B$64,$B60)+SUMIFS(期初余额!$L$5:$L$64,期初余额!$B$5:$B$64,$B60)+SUMIFS(期初余额!$G$5:$G$64,期初余额!$B$5:$B$64,$B60)+_项目汇总!$N$56+_项目汇总!$O$56+_项目汇总!$R$56+_项目汇总!$S$56+_项目汇总!$T$56+_项目汇总!$U$56+_项目汇总!$V$56+_项目汇总!$W$56-(SUMIFS(代发抵账!$F$5:$F$304,代发抵账!$D$5:$D$304,"甲供材扣款",代发抵账!$H$5:$H$304,"&gt;="&amp;_辅助!$J$4,代发抵账!$H$5:$H$304,"&lt;="&amp;_辅助!$J$2,代发抵账!$C$5:$C$304,$B60)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60))))</f>
      </c>
      <c r="M60" s="21">
        <f t="shared" si="15"/>
      </c>
      <c r="N60" s="21">
        <f t="shared" si="17"/>
      </c>
      <c r="O60" s="22">
        <f t="shared" si="18"/>
      </c>
      <c r="P60" s="96">
        <f t="shared" si="21"/>
      </c>
      <c r="BA60" s="2">
        <f>BA50+SUM(CA51:CA60)</f>
        <v>29</v>
      </c>
      <c r="CA60" s="2">
        <f>IF(OR(_余额!$G$62&lt;&gt;0,_余额!$I$62&lt;&gt;0),1,0)</f>
        <v>0</v>
      </c>
    </row>
    <row r="61">
      <c r="A61" s="94">
        <f>IF($B61="","",55)</f>
      </c>
      <c r="B61" s="96">
        <f>项目档案!$B$58&amp;""</f>
      </c>
      <c r="C61" s="96">
        <f>项目档案!$D$58&amp;""</f>
      </c>
      <c r="D61" s="21">
        <f>IF($B61="","",应收账款总表!$F$60)</f>
      </c>
      <c r="E61" s="21">
        <f>IF($B61="","",应收账款总表!$J$60)</f>
      </c>
      <c r="F61" s="21">
        <f t="shared" si="3"/>
      </c>
      <c r="G61" s="21">
        <f>IF($B61="","",_项目汇总!$I$57)</f>
      </c>
      <c r="H61" s="21">
        <f t="shared" si="6"/>
      </c>
      <c r="I61" s="21">
        <f t="shared" si="8"/>
      </c>
      <c r="J61" s="21">
        <f>IF($B61="","",_项目汇总!$M$57)</f>
      </c>
      <c r="K61" s="21">
        <f t="shared" si="13"/>
      </c>
      <c r="L61" s="21">
        <f>IF($B61="","",SUMIFS(期初余额!$J$5:$J$64,期初余额!$B$5:$B$64,$B61)+SUMIFS(期初余额!$K$5:$K$64,期初余额!$B$5:$B$64,$B61)+SUMIFS(期初余额!$L$5:$L$64,期初余额!$B$5:$B$64,$B61)+SUMIFS(期初余额!$G$5:$G$64,期初余额!$B$5:$B$64,$B61)+_项目汇总!$N$57+_项目汇总!$O$57+_项目汇总!$R$57+_项目汇总!$S$57+_项目汇总!$T$57+_项目汇总!$U$57+_项目汇总!$V$57+_项目汇总!$W$57-(SUMIFS(代发抵账!$F$5:$F$304,代发抵账!$D$5:$D$304,"甲供材扣款",代发抵账!$H$5:$H$304,"&gt;="&amp;_辅助!$J$4,代发抵账!$H$5:$H$304,"&lt;="&amp;_辅助!$J$2,代发抵账!$C$5:$C$304,$B61)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61))))</f>
      </c>
      <c r="M61" s="21">
        <f t="shared" si="15"/>
      </c>
      <c r="N61" s="21">
        <f t="shared" si="17"/>
      </c>
      <c r="O61" s="22">
        <f t="shared" si="18"/>
      </c>
      <c r="P61" s="96">
        <f t="shared" si="21"/>
      </c>
      <c r="BA61" s="2">
        <f>BA50+SUM(CA51:CA61)</f>
        <v>29</v>
      </c>
      <c r="CA61" s="2">
        <f>IF(OR(_余额!$G$63&lt;&gt;0,_余额!$I$63&lt;&gt;0),1,0)</f>
        <v>0</v>
      </c>
    </row>
    <row r="62">
      <c r="A62" s="94">
        <f>IF($B62="","",56)</f>
      </c>
      <c r="B62" s="96">
        <f>项目档案!$B$59&amp;""</f>
      </c>
      <c r="C62" s="96">
        <f>项目档案!$D$59&amp;""</f>
      </c>
      <c r="D62" s="21">
        <f>IF($B62="","",应收账款总表!$F$61)</f>
      </c>
      <c r="E62" s="21">
        <f>IF($B62="","",应收账款总表!$J$61)</f>
      </c>
      <c r="F62" s="21">
        <f t="shared" si="3"/>
      </c>
      <c r="G62" s="21">
        <f>IF($B62="","",_项目汇总!$I$58)</f>
      </c>
      <c r="H62" s="21">
        <f t="shared" si="6"/>
      </c>
      <c r="I62" s="21">
        <f t="shared" si="8"/>
      </c>
      <c r="J62" s="21">
        <f>IF($B62="","",_项目汇总!$M$58)</f>
      </c>
      <c r="K62" s="21">
        <f t="shared" si="13"/>
      </c>
      <c r="L62" s="21">
        <f>IF($B62="","",SUMIFS(期初余额!$J$5:$J$64,期初余额!$B$5:$B$64,$B62)+SUMIFS(期初余额!$K$5:$K$64,期初余额!$B$5:$B$64,$B62)+SUMIFS(期初余额!$L$5:$L$64,期初余额!$B$5:$B$64,$B62)+SUMIFS(期初余额!$G$5:$G$64,期初余额!$B$5:$B$64,$B62)+_项目汇总!$N$58+_项目汇总!$O$58+_项目汇总!$R$58+_项目汇总!$S$58+_项目汇总!$T$58+_项目汇总!$U$58+_项目汇总!$V$58+_项目汇总!$W$58-(SUMIFS(代发抵账!$F$5:$F$304,代发抵账!$D$5:$D$304,"甲供材扣款",代发抵账!$H$5:$H$304,"&gt;="&amp;_辅助!$J$4,代发抵账!$H$5:$H$304,"&lt;="&amp;_辅助!$J$2,代发抵账!$C$5:$C$304,$B62)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62))))</f>
      </c>
      <c r="M62" s="21">
        <f t="shared" si="15"/>
      </c>
      <c r="N62" s="21">
        <f t="shared" si="17"/>
      </c>
      <c r="O62" s="22">
        <f t="shared" si="18"/>
      </c>
      <c r="P62" s="96">
        <f t="shared" si="21"/>
      </c>
      <c r="BA62" s="2">
        <f>BA50+SUM(CA51:CA62)</f>
        <v>29</v>
      </c>
      <c r="CA62" s="2">
        <f>IF(OR(_余额!$G$64&lt;&gt;0,_余额!$I$64&lt;&gt;0),1,0)</f>
        <v>0</v>
      </c>
    </row>
    <row r="63">
      <c r="A63" s="94">
        <f>IF($B63="","",57)</f>
      </c>
      <c r="B63" s="96">
        <f>项目档案!$B$60&amp;""</f>
      </c>
      <c r="C63" s="96">
        <f>项目档案!$D$60&amp;""</f>
      </c>
      <c r="D63" s="21">
        <f>IF($B63="","",应收账款总表!$F$62)</f>
      </c>
      <c r="E63" s="21">
        <f>IF($B63="","",应收账款总表!$J$62)</f>
      </c>
      <c r="F63" s="21">
        <f t="shared" si="3"/>
      </c>
      <c r="G63" s="21">
        <f>IF($B63="","",_项目汇总!$I$59)</f>
      </c>
      <c r="H63" s="21">
        <f t="shared" si="6"/>
      </c>
      <c r="I63" s="21">
        <f t="shared" si="8"/>
      </c>
      <c r="J63" s="21">
        <f>IF($B63="","",_项目汇总!$M$59)</f>
      </c>
      <c r="K63" s="21">
        <f t="shared" si="13"/>
      </c>
      <c r="L63" s="21">
        <f>IF($B63="","",SUMIFS(期初余额!$J$5:$J$64,期初余额!$B$5:$B$64,$B63)+SUMIFS(期初余额!$K$5:$K$64,期初余额!$B$5:$B$64,$B63)+SUMIFS(期初余额!$L$5:$L$64,期初余额!$B$5:$B$64,$B63)+SUMIFS(期初余额!$G$5:$G$64,期初余额!$B$5:$B$64,$B63)+_项目汇总!$N$59+_项目汇总!$O$59+_项目汇总!$R$59+_项目汇总!$S$59+_项目汇总!$T$59+_项目汇总!$U$59+_项目汇总!$V$59+_项目汇总!$W$59-(SUMIFS(代发抵账!$F$5:$F$304,代发抵账!$D$5:$D$304,"甲供材扣款",代发抵账!$H$5:$H$304,"&gt;="&amp;_辅助!$J$4,代发抵账!$H$5:$H$304,"&lt;="&amp;_辅助!$J$2,代发抵账!$C$5:$C$304,$B63)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63))))</f>
      </c>
      <c r="M63" s="21">
        <f t="shared" si="15"/>
      </c>
      <c r="N63" s="21">
        <f t="shared" si="17"/>
      </c>
      <c r="O63" s="22">
        <f t="shared" si="18"/>
      </c>
      <c r="P63" s="96">
        <f t="shared" si="21"/>
      </c>
      <c r="BA63" s="2">
        <f>BA50+SUM(CA51:CA63)</f>
        <v>29</v>
      </c>
      <c r="CA63" s="2">
        <f>IF(OR(_余额!$G$65&lt;&gt;0,_余额!$I$65&lt;&gt;0),1,0)</f>
        <v>0</v>
      </c>
    </row>
    <row r="64">
      <c r="A64" s="94">
        <f>IF($B64="","",58)</f>
      </c>
      <c r="B64" s="96">
        <f>项目档案!$B$61&amp;""</f>
      </c>
      <c r="C64" s="96">
        <f>项目档案!$D$61&amp;""</f>
      </c>
      <c r="D64" s="21">
        <f>IF($B64="","",应收账款总表!$F$63)</f>
      </c>
      <c r="E64" s="21">
        <f>IF($B64="","",应收账款总表!$J$63)</f>
      </c>
      <c r="F64" s="21">
        <f t="shared" si="3"/>
      </c>
      <c r="G64" s="21">
        <f>IF($B64="","",_项目汇总!$I$60)</f>
      </c>
      <c r="H64" s="21">
        <f t="shared" si="6"/>
      </c>
      <c r="I64" s="21">
        <f t="shared" si="8"/>
      </c>
      <c r="J64" s="21">
        <f>IF($B64="","",_项目汇总!$M$60)</f>
      </c>
      <c r="K64" s="21">
        <f t="shared" si="13"/>
      </c>
      <c r="L64" s="21">
        <f>IF($B64="","",SUMIFS(期初余额!$J$5:$J$64,期初余额!$B$5:$B$64,$B64)+SUMIFS(期初余额!$K$5:$K$64,期初余额!$B$5:$B$64,$B64)+SUMIFS(期初余额!$L$5:$L$64,期初余额!$B$5:$B$64,$B64)+SUMIFS(期初余额!$G$5:$G$64,期初余额!$B$5:$B$64,$B64)+_项目汇总!$N$60+_项目汇总!$O$60+_项目汇总!$R$60+_项目汇总!$S$60+_项目汇总!$T$60+_项目汇总!$U$60+_项目汇总!$V$60+_项目汇总!$W$60-(SUMIFS(代发抵账!$F$5:$F$304,代发抵账!$D$5:$D$304,"甲供材扣款",代发抵账!$H$5:$H$304,"&gt;="&amp;_辅助!$J$4,代发抵账!$H$5:$H$304,"&lt;="&amp;_辅助!$J$2,代发抵账!$C$5:$C$304,$B64)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64))))</f>
      </c>
      <c r="M64" s="21">
        <f t="shared" si="15"/>
      </c>
      <c r="N64" s="21">
        <f t="shared" si="17"/>
      </c>
      <c r="O64" s="22">
        <f t="shared" si="18"/>
      </c>
      <c r="P64" s="96">
        <f t="shared" si="21"/>
      </c>
      <c r="BA64" s="2">
        <f>BA50+SUM(CA51:CA64)</f>
        <v>29</v>
      </c>
      <c r="CA64" s="2">
        <f>IF(OR(_余额!$G$66&lt;&gt;0,_余额!$I$66&lt;&gt;0),1,0)</f>
        <v>0</v>
      </c>
    </row>
    <row r="65">
      <c r="A65" s="94">
        <f>IF($B65="","",59)</f>
      </c>
      <c r="B65" s="96">
        <f>项目档案!$B$62&amp;""</f>
      </c>
      <c r="C65" s="96">
        <f>项目档案!$D$62&amp;""</f>
      </c>
      <c r="D65" s="21">
        <f>IF($B65="","",应收账款总表!$F$64)</f>
      </c>
      <c r="E65" s="21">
        <f>IF($B65="","",应收账款总表!$J$64)</f>
      </c>
      <c r="F65" s="21">
        <f t="shared" si="3"/>
      </c>
      <c r="G65" s="21">
        <f>IF($B65="","",_项目汇总!$I$61)</f>
      </c>
      <c r="H65" s="21">
        <f t="shared" si="6"/>
      </c>
      <c r="I65" s="21">
        <f t="shared" si="8"/>
      </c>
      <c r="J65" s="21">
        <f>IF($B65="","",_项目汇总!$M$61)</f>
      </c>
      <c r="K65" s="21">
        <f t="shared" si="13"/>
      </c>
      <c r="L65" s="21">
        <f>IF($B65="","",SUMIFS(期初余额!$J$5:$J$64,期初余额!$B$5:$B$64,$B65)+SUMIFS(期初余额!$K$5:$K$64,期初余额!$B$5:$B$64,$B65)+SUMIFS(期初余额!$L$5:$L$64,期初余额!$B$5:$B$64,$B65)+SUMIFS(期初余额!$G$5:$G$64,期初余额!$B$5:$B$64,$B65)+_项目汇总!$N$61+_项目汇总!$O$61+_项目汇总!$R$61+_项目汇总!$S$61+_项目汇总!$T$61+_项目汇总!$U$61+_项目汇总!$V$61+_项目汇总!$W$61-(SUMIFS(代发抵账!$F$5:$F$304,代发抵账!$D$5:$D$304,"甲供材扣款",代发抵账!$H$5:$H$304,"&gt;="&amp;_辅助!$J$4,代发抵账!$H$5:$H$304,"&lt;="&amp;_辅助!$J$2,代发抵账!$C$5:$C$304,$B65)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65))))</f>
      </c>
      <c r="M65" s="21">
        <f t="shared" si="15"/>
      </c>
      <c r="N65" s="21">
        <f t="shared" si="17"/>
      </c>
      <c r="O65" s="22">
        <f t="shared" si="18"/>
      </c>
      <c r="P65" s="96">
        <f t="shared" si="21"/>
      </c>
      <c r="BA65" s="2">
        <f>BA50+SUM(CA51:CA65)</f>
        <v>29</v>
      </c>
      <c r="CA65" s="2">
        <f>IF(OR(_余额!$G$67&lt;&gt;0,_余额!$I$67&lt;&gt;0),1,0)</f>
        <v>0</v>
      </c>
    </row>
    <row r="66">
      <c r="A66" s="94">
        <f>IF($B66="","",60)</f>
      </c>
      <c r="B66" s="96">
        <f>项目档案!$B$63&amp;""</f>
      </c>
      <c r="C66" s="96">
        <f>项目档案!$D$63&amp;""</f>
      </c>
      <c r="D66" s="21">
        <f>IF($B66="","",应收账款总表!$F$65)</f>
      </c>
      <c r="E66" s="21">
        <f>IF($B66="","",应收账款总表!$J$65)</f>
      </c>
      <c r="F66" s="21">
        <f t="shared" si="3"/>
      </c>
      <c r="G66" s="21">
        <f>IF($B66="","",_项目汇总!$I$62)</f>
      </c>
      <c r="H66" s="21">
        <f t="shared" si="6"/>
      </c>
      <c r="I66" s="21">
        <f t="shared" si="8"/>
      </c>
      <c r="J66" s="21">
        <f>IF($B66="","",_项目汇总!$M$62)</f>
      </c>
      <c r="K66" s="21">
        <f t="shared" si="13"/>
      </c>
      <c r="L66" s="21">
        <f>IF($B66="","",SUMIFS(期初余额!$J$5:$J$64,期初余额!$B$5:$B$64,$B66)+SUMIFS(期初余额!$K$5:$K$64,期初余额!$B$5:$B$64,$B66)+SUMIFS(期初余额!$L$5:$L$64,期初余额!$B$5:$B$64,$B66)+SUMIFS(期初余额!$G$5:$G$64,期初余额!$B$5:$B$64,$B66)+_项目汇总!$N$62+_项目汇总!$O$62+_项目汇总!$R$62+_项目汇总!$S$62+_项目汇总!$T$62+_项目汇总!$U$62+_项目汇总!$V$62+_项目汇总!$W$62-(SUMIFS(代发抵账!$F$5:$F$304,代发抵账!$D$5:$D$304,"甲供材扣款",代发抵账!$H$5:$H$304,"&gt;="&amp;_辅助!$J$4,代发抵账!$H$5:$H$304,"&lt;="&amp;_辅助!$J$2,代发抵账!$C$5:$C$304,$B66)+SUMPRODUCT(基础资料!$AP$5:$AP$34*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*(((基础资料!$AS$5:$AS$34+((INT(_辅助!$J$2/100)*12+MOD(_辅助!$J$2,100))-基础资料!$AS$5:$AS$34)*((INT(_辅助!$J$2/100)*12+MOD(_辅助!$J$2,100))&lt;基础资料!$AS$5:$AS$34))-(基础资料!$AR$5:$AR$34+((INT(_辅助!$J$4/100)*12+MOD(_辅助!$J$4,100))-基础资料!$AR$5:$AR$34)*((INT(_辅助!$J$4/100)*12+MOD(_辅助!$J$4,100))&gt;基础资料!$AR$5:$AR$34))+1)&gt;0)*(基础资料!$AO$5:$AO$34=$B66))))</f>
      </c>
      <c r="M66" s="21">
        <f t="shared" si="15"/>
      </c>
      <c r="N66" s="21">
        <f t="shared" si="17"/>
      </c>
      <c r="O66" s="22">
        <f t="shared" si="18"/>
      </c>
      <c r="P66" s="96">
        <f t="shared" si="21"/>
      </c>
      <c r="BA66" s="2">
        <f>BA50+SUM(CA51:CA66)</f>
        <v>29</v>
      </c>
      <c r="CA66" s="2">
        <f>IF(OR(_余额!$G$68&lt;&gt;0,_余额!$I$68&lt;&gt;0),1,0)</f>
        <v>0</v>
      </c>
    </row>
    <row r="67">
      <c r="BA67" s="2">
        <f>BA50+SUM(CA51:CA67)</f>
        <v>29</v>
      </c>
      <c r="CA67" s="2">
        <f>IF(OR(_余额!$G$69&lt;&gt;0,_余额!$I$69&lt;&gt;0),1,0)</f>
        <v>0</v>
      </c>
    </row>
    <row r="68">
      <c r="BA68" s="2">
        <f>BA50+SUM(CA51:CA68)</f>
        <v>29</v>
      </c>
      <c r="CA68" s="2">
        <f>IF(OR(_余额!$G$70&lt;&gt;0,_余额!$I$70&lt;&gt;0),1,0)</f>
        <v>0</v>
      </c>
    </row>
    <row r="69">
      <c r="A69" s="79" t="inlineStr">
        <is>
          <t>② 按月（本年）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BA69" s="2">
        <f>BA50+SUM(CA51:CA69)</f>
        <v>29</v>
      </c>
      <c r="CA69" s="2">
        <f>IF(OR(_余额!$G$71&lt;&gt;0,_余额!$I$71&lt;&gt;0),1,0)</f>
        <v>0</v>
      </c>
    </row>
    <row r="70" ht="44" customHeight="1">
      <c r="A70" s="62" t="inlineStr">
        <is>
          <t>月</t>
        </is>
      </c>
      <c r="B70" s="62" t="inlineStr">
        <is>
          <t>开票张数</t>
        </is>
      </c>
      <c r="C70" s="62" t="inlineStr">
        <is>
          <t>销项金额
（不含税）</t>
        </is>
      </c>
      <c r="D70" s="62" t="inlineStr">
        <is>
          <t>销项税额</t>
        </is>
      </c>
      <c r="E70" s="62" t="inlineStr">
        <is>
          <t>销项价税合计</t>
        </is>
      </c>
      <c r="F70" s="62" t="inlineStr">
        <is>
          <t>收票张数</t>
        </is>
      </c>
      <c r="G70" s="62" t="inlineStr">
        <is>
          <t>进项价税合计</t>
        </is>
      </c>
      <c r="H70" s="62" t="inlineStr">
        <is>
          <t>可抵扣
进项税</t>
        </is>
      </c>
      <c r="I70" s="62" t="inlineStr">
        <is>
          <t>增值税估算
（销项−进项）</t>
        </is>
      </c>
      <c r="J70" s="62" t="inlineStr">
        <is>
          <t>附加税估算</t>
        </is>
      </c>
      <c r="K70" s="62" t="inlineStr">
        <is>
          <t>本年累计
增值税</t>
        </is>
      </c>
      <c r="L70" s="62" t="inlineStr">
        <is>
          <t>确认产值
（不含税）</t>
        </is>
      </c>
      <c r="M70" s="62" t="inlineStr">
        <is>
          <t>税负率
（增值税÷产值）</t>
        </is>
      </c>
      <c r="BA70" s="2">
        <f>BA50+SUM(CA51:CA70)</f>
        <v>29</v>
      </c>
      <c r="CA70" s="2">
        <f>IF(OR(_余额!$G$72&lt;&gt;0,_余额!$I$72&lt;&gt;0),1,0)</f>
        <v>0</v>
      </c>
    </row>
    <row r="71">
      <c r="A71" s="94" t="inlineStr">
        <is>
          <t>1月</t>
        </is>
      </c>
      <c r="B71" s="106">
        <f>COUNTIFS(发票登记!$U$5:$U$1004,"销项",发票登记!$Y$5:$Y$1004,_辅助!$J$7*100+1,发票登记!$Y$5:$Y$1004,"&gt;="&amp;_辅助!$J$4,发票登记!$AB$5:$AB$1004,"&lt;&gt;0")</f>
        <v>0</v>
      </c>
      <c r="C71" s="21">
        <f t="shared" ref="C71:C82" si="19">E71-D71</f>
        <v>0</v>
      </c>
      <c r="D71" s="21">
        <f>SUMIFS(发票登记!$AA$5:$AA$1004,发票登记!$U$5:$U$1004,"销项",发票登记!$Y$5:$Y$1004,_辅助!$J$7*100+1,发票登记!$Y$5:$Y$1004,"&gt;="&amp;_辅助!$J$4)</f>
        <v>0</v>
      </c>
      <c r="E71" s="21">
        <f>SUMIFS(发票登记!$AB$5:$AB$1004,发票登记!$U$5:$U$1004,"销项",发票登记!$Y$5:$Y$1004,_辅助!$J$7*100+1,发票登记!$Y$5:$Y$1004,"&gt;="&amp;_辅助!$J$4)</f>
        <v>0</v>
      </c>
      <c r="F71" s="106">
        <f>COUNTIFS(发票登记!$U$5:$U$1004,"进项",发票登记!$Y$5:$Y$1004,_辅助!$J$7*100+1,发票登记!$Y$5:$Y$1004,"&gt;="&amp;_辅助!$J$4,发票登记!$AB$5:$AB$1004,"&lt;&gt;0")</f>
        <v>0</v>
      </c>
      <c r="G71" s="21">
        <f>SUMIFS(发票登记!$AB$5:$AB$1004,发票登记!$U$5:$U$1004,"进项",发票登记!$Y$5:$Y$1004,_辅助!$J$7*100+1,发票登记!$Y$5:$Y$1004,"&gt;="&amp;_辅助!$J$4)</f>
        <v>0</v>
      </c>
      <c r="H71" s="21">
        <f>SUMIFS(发票登记!$AA$5:$AA$1004,发票登记!$U$5:$U$1004,"进项",发票登记!$Y$5:$Y$1004,_辅助!$J$7*100+1,发票登记!$Y$5:$Y$1004,"&gt;="&amp;_辅助!$J$4,发票登记!$Z$5:$Z$1004,1)</f>
        <v>0</v>
      </c>
      <c r="I71" s="21">
        <f t="shared" ref="I71:I82" si="9">D71-H71</f>
        <v>0</v>
      </c>
      <c r="J71" s="21">
        <f t="shared" ref="J71:J82" si="11">ROUND(MAX(I71,0)*基础资料!$AF$6,2)</f>
        <v>0</v>
      </c>
      <c r="K71" s="21">
        <f t="shared" ref="K71:K82" si="14">SUM(I$71:I71)</f>
        <v>0</v>
      </c>
      <c r="L71" s="21">
        <f>ROUND(_月汇总!$C$3-SUMIFS(收入确认!$J$5:$J$204,收入确认!$H$5:$H$204,_辅助!$J$7*100+1),2)</f>
        <v>0</v>
      </c>
      <c r="M71" s="22">
        <f t="shared" ref="M71:M83" si="16">IF(N(L71)=0,"",I71/L71)</f>
      </c>
      <c r="BA71" s="2">
        <f>BA50+SUM(CA51:CA71)</f>
        <v>29</v>
      </c>
      <c r="CA71" s="2">
        <f>IF(OR(_余额!$G$73&lt;&gt;0,_余额!$I$73&lt;&gt;0),1,0)</f>
        <v>0</v>
      </c>
    </row>
    <row r="72">
      <c r="A72" s="94" t="inlineStr">
        <is>
          <t>2月</t>
        </is>
      </c>
      <c r="B72" s="106">
        <f>COUNTIFS(发票登记!$U$5:$U$1004,"销项",发票登记!$Y$5:$Y$1004,_辅助!$J$7*100+2,发票登记!$Y$5:$Y$1004,"&gt;="&amp;_辅助!$J$4,发票登记!$AB$5:$AB$1004,"&lt;&gt;0")</f>
        <v>0</v>
      </c>
      <c r="C72" s="21">
        <f t="shared" si="19"/>
        <v>0</v>
      </c>
      <c r="D72" s="21">
        <f>SUMIFS(发票登记!$AA$5:$AA$1004,发票登记!$U$5:$U$1004,"销项",发票登记!$Y$5:$Y$1004,_辅助!$J$7*100+2,发票登记!$Y$5:$Y$1004,"&gt;="&amp;_辅助!$J$4)</f>
        <v>0</v>
      </c>
      <c r="E72" s="21">
        <f>SUMIFS(发票登记!$AB$5:$AB$1004,发票登记!$U$5:$U$1004,"销项",发票登记!$Y$5:$Y$1004,_辅助!$J$7*100+2,发票登记!$Y$5:$Y$1004,"&gt;="&amp;_辅助!$J$4)</f>
        <v>0</v>
      </c>
      <c r="F72" s="106">
        <f>COUNTIFS(发票登记!$U$5:$U$1004,"进项",发票登记!$Y$5:$Y$1004,_辅助!$J$7*100+2,发票登记!$Y$5:$Y$1004,"&gt;="&amp;_辅助!$J$4,发票登记!$AB$5:$AB$1004,"&lt;&gt;0")</f>
        <v>0</v>
      </c>
      <c r="G72" s="21">
        <f>SUMIFS(发票登记!$AB$5:$AB$1004,发票登记!$U$5:$U$1004,"进项",发票登记!$Y$5:$Y$1004,_辅助!$J$7*100+2,发票登记!$Y$5:$Y$1004,"&gt;="&amp;_辅助!$J$4)</f>
        <v>0</v>
      </c>
      <c r="H72" s="21">
        <f>SUMIFS(发票登记!$AA$5:$AA$1004,发票登记!$U$5:$U$1004,"进项",发票登记!$Y$5:$Y$1004,_辅助!$J$7*100+2,发票登记!$Y$5:$Y$1004,"&gt;="&amp;_辅助!$J$4,发票登记!$Z$5:$Z$1004,1)</f>
        <v>0</v>
      </c>
      <c r="I72" s="21">
        <f t="shared" si="9"/>
        <v>0</v>
      </c>
      <c r="J72" s="21">
        <f t="shared" si="11"/>
        <v>0</v>
      </c>
      <c r="K72" s="21">
        <f t="shared" si="14"/>
        <v>0</v>
      </c>
      <c r="L72" s="21">
        <f>ROUND(_月汇总!$D$3-SUMIFS(收入确认!$J$5:$J$204,收入确认!$H$5:$H$204,_辅助!$J$7*100+2),2)</f>
        <v>0</v>
      </c>
      <c r="M72" s="22">
        <f t="shared" si="16"/>
      </c>
      <c r="BA72" s="2">
        <f>BA50+SUM(CA51:CA72)</f>
        <v>29</v>
      </c>
      <c r="CA72" s="2">
        <f>IF(OR(_余额!$G$74&lt;&gt;0,_余额!$I$74&lt;&gt;0),1,0)</f>
        <v>0</v>
      </c>
    </row>
    <row r="73">
      <c r="A73" s="94" t="inlineStr">
        <is>
          <t>3月</t>
        </is>
      </c>
      <c r="B73" s="106">
        <f>COUNTIFS(发票登记!$U$5:$U$1004,"销项",发票登记!$Y$5:$Y$1004,_辅助!$J$7*100+3,发票登记!$Y$5:$Y$1004,"&gt;="&amp;_辅助!$J$4,发票登记!$AB$5:$AB$1004,"&lt;&gt;0")</f>
        <v>0</v>
      </c>
      <c r="C73" s="21">
        <f t="shared" si="19"/>
        <v>0</v>
      </c>
      <c r="D73" s="21">
        <f>SUMIFS(发票登记!$AA$5:$AA$1004,发票登记!$U$5:$U$1004,"销项",发票登记!$Y$5:$Y$1004,_辅助!$J$7*100+3,发票登记!$Y$5:$Y$1004,"&gt;="&amp;_辅助!$J$4)</f>
        <v>0</v>
      </c>
      <c r="E73" s="21">
        <f>SUMIFS(发票登记!$AB$5:$AB$1004,发票登记!$U$5:$U$1004,"销项",发票登记!$Y$5:$Y$1004,_辅助!$J$7*100+3,发票登记!$Y$5:$Y$1004,"&gt;="&amp;_辅助!$J$4)</f>
        <v>0</v>
      </c>
      <c r="F73" s="106">
        <f>COUNTIFS(发票登记!$U$5:$U$1004,"进项",发票登记!$Y$5:$Y$1004,_辅助!$J$7*100+3,发票登记!$Y$5:$Y$1004,"&gt;="&amp;_辅助!$J$4,发票登记!$AB$5:$AB$1004,"&lt;&gt;0")</f>
        <v>0</v>
      </c>
      <c r="G73" s="21">
        <f>SUMIFS(发票登记!$AB$5:$AB$1004,发票登记!$U$5:$U$1004,"进项",发票登记!$Y$5:$Y$1004,_辅助!$J$7*100+3,发票登记!$Y$5:$Y$1004,"&gt;="&amp;_辅助!$J$4)</f>
        <v>0</v>
      </c>
      <c r="H73" s="21">
        <f>SUMIFS(发票登记!$AA$5:$AA$1004,发票登记!$U$5:$U$1004,"进项",发票登记!$Y$5:$Y$1004,_辅助!$J$7*100+3,发票登记!$Y$5:$Y$1004,"&gt;="&amp;_辅助!$J$4,发票登记!$Z$5:$Z$1004,1)</f>
        <v>0</v>
      </c>
      <c r="I73" s="21">
        <f t="shared" si="9"/>
        <v>0</v>
      </c>
      <c r="J73" s="21">
        <f t="shared" si="11"/>
        <v>0</v>
      </c>
      <c r="K73" s="21">
        <f t="shared" si="14"/>
        <v>0</v>
      </c>
      <c r="L73" s="21">
        <f>ROUND(_月汇总!$E$3-SUMIFS(收入确认!$J$5:$J$204,收入确认!$H$5:$H$204,_辅助!$J$7*100+3),2)</f>
        <v>0</v>
      </c>
      <c r="M73" s="22">
        <f t="shared" si="16"/>
      </c>
      <c r="BA73" s="2">
        <f>BA50+SUM(CA51:CA73)</f>
        <v>29</v>
      </c>
      <c r="CA73" s="2">
        <f>IF(OR(_余额!$G$75&lt;&gt;0,_余额!$I$75&lt;&gt;0),1,0)</f>
        <v>0</v>
      </c>
    </row>
    <row r="74">
      <c r="A74" s="94" t="inlineStr">
        <is>
          <t>4月</t>
        </is>
      </c>
      <c r="B74" s="106">
        <f>COUNTIFS(发票登记!$U$5:$U$1004,"销项",发票登记!$Y$5:$Y$1004,_辅助!$J$7*100+4,发票登记!$Y$5:$Y$1004,"&gt;="&amp;_辅助!$J$4,发票登记!$AB$5:$AB$1004,"&lt;&gt;0")</f>
        <v>0</v>
      </c>
      <c r="C74" s="21">
        <f t="shared" si="19"/>
        <v>0</v>
      </c>
      <c r="D74" s="21">
        <f>SUMIFS(发票登记!$AA$5:$AA$1004,发票登记!$U$5:$U$1004,"销项",发票登记!$Y$5:$Y$1004,_辅助!$J$7*100+4,发票登记!$Y$5:$Y$1004,"&gt;="&amp;_辅助!$J$4)</f>
        <v>0</v>
      </c>
      <c r="E74" s="21">
        <f>SUMIFS(发票登记!$AB$5:$AB$1004,发票登记!$U$5:$U$1004,"销项",发票登记!$Y$5:$Y$1004,_辅助!$J$7*100+4,发票登记!$Y$5:$Y$1004,"&gt;="&amp;_辅助!$J$4)</f>
        <v>0</v>
      </c>
      <c r="F74" s="106">
        <f>COUNTIFS(发票登记!$U$5:$U$1004,"进项",发票登记!$Y$5:$Y$1004,_辅助!$J$7*100+4,发票登记!$Y$5:$Y$1004,"&gt;="&amp;_辅助!$J$4,发票登记!$AB$5:$AB$1004,"&lt;&gt;0")</f>
        <v>0</v>
      </c>
      <c r="G74" s="21">
        <f>SUMIFS(发票登记!$AB$5:$AB$1004,发票登记!$U$5:$U$1004,"进项",发票登记!$Y$5:$Y$1004,_辅助!$J$7*100+4,发票登记!$Y$5:$Y$1004,"&gt;="&amp;_辅助!$J$4)</f>
        <v>0</v>
      </c>
      <c r="H74" s="21">
        <f>SUMIFS(发票登记!$AA$5:$AA$1004,发票登记!$U$5:$U$1004,"进项",发票登记!$Y$5:$Y$1004,_辅助!$J$7*100+4,发票登记!$Y$5:$Y$1004,"&gt;="&amp;_辅助!$J$4,发票登记!$Z$5:$Z$1004,1)</f>
        <v>0</v>
      </c>
      <c r="I74" s="21">
        <f t="shared" si="9"/>
        <v>0</v>
      </c>
      <c r="J74" s="21">
        <f t="shared" si="11"/>
        <v>0</v>
      </c>
      <c r="K74" s="21">
        <f t="shared" si="14"/>
        <v>0</v>
      </c>
      <c r="L74" s="21">
        <f>ROUND(_月汇总!$F$3-SUMIFS(收入确认!$J$5:$J$204,收入确认!$H$5:$H$204,_辅助!$J$7*100+4),2)</f>
        <v>0</v>
      </c>
      <c r="M74" s="22">
        <f t="shared" si="16"/>
      </c>
      <c r="BA74" s="2">
        <f>BA50+SUM(CA51:CA74)</f>
        <v>29</v>
      </c>
      <c r="CA74" s="2">
        <f>IF(OR(_余额!$G$76&lt;&gt;0,_余额!$I$76&lt;&gt;0),1,0)</f>
        <v>0</v>
      </c>
    </row>
    <row r="75">
      <c r="A75" s="94" t="inlineStr">
        <is>
          <t>5月</t>
        </is>
      </c>
      <c r="B75" s="106">
        <f>COUNTIFS(发票登记!$U$5:$U$1004,"销项",发票登记!$Y$5:$Y$1004,_辅助!$J$7*100+5,发票登记!$Y$5:$Y$1004,"&gt;="&amp;_辅助!$J$4,发票登记!$AB$5:$AB$1004,"&lt;&gt;0")</f>
        <v>0</v>
      </c>
      <c r="C75" s="21">
        <f t="shared" si="19"/>
        <v>0</v>
      </c>
      <c r="D75" s="21">
        <f>SUMIFS(发票登记!$AA$5:$AA$1004,发票登记!$U$5:$U$1004,"销项",发票登记!$Y$5:$Y$1004,_辅助!$J$7*100+5,发票登记!$Y$5:$Y$1004,"&gt;="&amp;_辅助!$J$4)</f>
        <v>0</v>
      </c>
      <c r="E75" s="21">
        <f>SUMIFS(发票登记!$AB$5:$AB$1004,发票登记!$U$5:$U$1004,"销项",发票登记!$Y$5:$Y$1004,_辅助!$J$7*100+5,发票登记!$Y$5:$Y$1004,"&gt;="&amp;_辅助!$J$4)</f>
        <v>0</v>
      </c>
      <c r="F75" s="106">
        <f>COUNTIFS(发票登记!$U$5:$U$1004,"进项",发票登记!$Y$5:$Y$1004,_辅助!$J$7*100+5,发票登记!$Y$5:$Y$1004,"&gt;="&amp;_辅助!$J$4,发票登记!$AB$5:$AB$1004,"&lt;&gt;0")</f>
        <v>0</v>
      </c>
      <c r="G75" s="21">
        <f>SUMIFS(发票登记!$AB$5:$AB$1004,发票登记!$U$5:$U$1004,"进项",发票登记!$Y$5:$Y$1004,_辅助!$J$7*100+5,发票登记!$Y$5:$Y$1004,"&gt;="&amp;_辅助!$J$4)</f>
        <v>0</v>
      </c>
      <c r="H75" s="21">
        <f>SUMIFS(发票登记!$AA$5:$AA$1004,发票登记!$U$5:$U$1004,"进项",发票登记!$Y$5:$Y$1004,_辅助!$J$7*100+5,发票登记!$Y$5:$Y$1004,"&gt;="&amp;_辅助!$J$4,发票登记!$Z$5:$Z$1004,1)</f>
        <v>0</v>
      </c>
      <c r="I75" s="21">
        <f t="shared" si="9"/>
        <v>0</v>
      </c>
      <c r="J75" s="21">
        <f t="shared" si="11"/>
        <v>0</v>
      </c>
      <c r="K75" s="21">
        <f t="shared" si="14"/>
        <v>0</v>
      </c>
      <c r="L75" s="21">
        <f>ROUND(_月汇总!$G$3-SUMIFS(收入确认!$J$5:$J$204,收入确认!$H$5:$H$204,_辅助!$J$7*100+5),2)</f>
        <v>0</v>
      </c>
      <c r="M75" s="22">
        <f t="shared" si="16"/>
      </c>
      <c r="BA75" s="2">
        <f>BA50+SUM(CA51:CA75)</f>
        <v>29</v>
      </c>
      <c r="CA75" s="2">
        <f>IF(OR(_余额!$G$77&lt;&gt;0,_余额!$I$77&lt;&gt;0),1,0)</f>
        <v>0</v>
      </c>
    </row>
    <row r="76">
      <c r="A76" s="94" t="inlineStr">
        <is>
          <t>6月</t>
        </is>
      </c>
      <c r="B76" s="106">
        <f>COUNTIFS(发票登记!$U$5:$U$1004,"销项",发票登记!$Y$5:$Y$1004,_辅助!$J$7*100+6,发票登记!$Y$5:$Y$1004,"&gt;="&amp;_辅助!$J$4,发票登记!$AB$5:$AB$1004,"&lt;&gt;0")</f>
        <v>0</v>
      </c>
      <c r="C76" s="21">
        <f t="shared" si="19"/>
        <v>0</v>
      </c>
      <c r="D76" s="21">
        <f>SUMIFS(发票登记!$AA$5:$AA$1004,发票登记!$U$5:$U$1004,"销项",发票登记!$Y$5:$Y$1004,_辅助!$J$7*100+6,发票登记!$Y$5:$Y$1004,"&gt;="&amp;_辅助!$J$4)</f>
        <v>0</v>
      </c>
      <c r="E76" s="21">
        <f>SUMIFS(发票登记!$AB$5:$AB$1004,发票登记!$U$5:$U$1004,"销项",发票登记!$Y$5:$Y$1004,_辅助!$J$7*100+6,发票登记!$Y$5:$Y$1004,"&gt;="&amp;_辅助!$J$4)</f>
        <v>0</v>
      </c>
      <c r="F76" s="106">
        <f>COUNTIFS(发票登记!$U$5:$U$1004,"进项",发票登记!$Y$5:$Y$1004,_辅助!$J$7*100+6,发票登记!$Y$5:$Y$1004,"&gt;="&amp;_辅助!$J$4,发票登记!$AB$5:$AB$1004,"&lt;&gt;0")</f>
        <v>1</v>
      </c>
      <c r="G76" s="21">
        <f>SUMIFS(发票登记!$AB$5:$AB$1004,发票登记!$U$5:$U$1004,"进项",发票登记!$Y$5:$Y$1004,_辅助!$J$7*100+6,发票登记!$Y$5:$Y$1004,"&gt;="&amp;_辅助!$J$4)</f>
        <v>546.94</v>
      </c>
      <c r="H76" s="21">
        <f>SUMIFS(发票登记!$AA$5:$AA$1004,发票登记!$U$5:$U$1004,"进项",发票登记!$Y$5:$Y$1004,_辅助!$J$7*100+6,发票登记!$Y$5:$Y$1004,"&gt;="&amp;_辅助!$J$4,发票登记!$Z$5:$Z$1004,1)</f>
        <v>62.92</v>
      </c>
      <c r="I76" s="21">
        <f t="shared" si="9"/>
        <v>-62.92</v>
      </c>
      <c r="J76" s="21">
        <f t="shared" si="11"/>
        <v>0</v>
      </c>
      <c r="K76" s="21">
        <f t="shared" si="14"/>
        <v>-62.92</v>
      </c>
      <c r="L76" s="21">
        <f>ROUND(_月汇总!$H$3-SUMIFS(收入确认!$J$5:$J$204,收入确认!$H$5:$H$204,_辅助!$J$7*100+6),2)</f>
        <v>0</v>
      </c>
      <c r="M76" s="22">
        <f t="shared" si="16"/>
      </c>
      <c r="BA76" s="2">
        <f>BA50+SUM(CA51:CA76)</f>
        <v>29</v>
      </c>
      <c r="CA76" s="2">
        <f>IF(OR(_余额!$G$78&lt;&gt;0,_余额!$I$78&lt;&gt;0),1,0)</f>
        <v>0</v>
      </c>
    </row>
    <row r="77">
      <c r="A77" s="94" t="inlineStr">
        <is>
          <t>7月</t>
        </is>
      </c>
      <c r="B77" s="106">
        <f>COUNTIFS(发票登记!$U$5:$U$1004,"销项",发票登记!$Y$5:$Y$1004,_辅助!$J$7*100+7,发票登记!$Y$5:$Y$1004,"&gt;="&amp;_辅助!$J$4,发票登记!$AB$5:$AB$1004,"&lt;&gt;0")</f>
        <v>1</v>
      </c>
      <c r="C77" s="21">
        <f t="shared" si="19"/>
        <v>8249.54</v>
      </c>
      <c r="D77" s="21">
        <f>SUMIFS(发票登记!$AA$5:$AA$1004,发票登记!$U$5:$U$1004,"销项",发票登记!$Y$5:$Y$1004,_辅助!$J$7*100+7,发票登记!$Y$5:$Y$1004,"&gt;="&amp;_辅助!$J$4)</f>
        <v>742.46</v>
      </c>
      <c r="E77" s="21">
        <f>SUMIFS(发票登记!$AB$5:$AB$1004,发票登记!$U$5:$U$1004,"销项",发票登记!$Y$5:$Y$1004,_辅助!$J$7*100+7,发票登记!$Y$5:$Y$1004,"&gt;="&amp;_辅助!$J$4)</f>
        <v>8992</v>
      </c>
      <c r="F77" s="106">
        <f>COUNTIFS(发票登记!$U$5:$U$1004,"进项",发票登记!$Y$5:$Y$1004,_辅助!$J$7*100+7,发票登记!$Y$5:$Y$1004,"&gt;="&amp;_辅助!$J$4,发票登记!$AB$5:$AB$1004,"&lt;&gt;0")</f>
        <v>1</v>
      </c>
      <c r="G77" s="21">
        <f>SUMIFS(发票登记!$AB$5:$AB$1004,发票登记!$U$5:$U$1004,"进项",发票登记!$Y$5:$Y$1004,_辅助!$J$7*100+7,发票登记!$Y$5:$Y$1004,"&gt;="&amp;_辅助!$J$4)</f>
        <v>800</v>
      </c>
      <c r="H77" s="21">
        <f>SUMIFS(发票登记!$AA$5:$AA$1004,发票登记!$U$5:$U$1004,"进项",发票登记!$Y$5:$Y$1004,_辅助!$J$7*100+7,发票登记!$Y$5:$Y$1004,"&gt;="&amp;_辅助!$J$4,发票登记!$Z$5:$Z$1004,1)</f>
        <v>0</v>
      </c>
      <c r="I77" s="21">
        <f t="shared" si="9"/>
        <v>742.46</v>
      </c>
      <c r="J77" s="21">
        <f t="shared" si="11"/>
        <v>89.1</v>
      </c>
      <c r="K77" s="21">
        <f t="shared" si="14"/>
        <v>679.54</v>
      </c>
      <c r="L77" s="21">
        <f>ROUND(_月汇总!$I$3-SUMIFS(收入确认!$J$5:$J$204,收入确认!$H$5:$H$204,_辅助!$J$7*100+7),2)</f>
        <v>8249.54</v>
      </c>
      <c r="M77" s="22">
        <f t="shared" si="16"/>
        <v>0.0900001697064321</v>
      </c>
      <c r="BA77" s="2">
        <f>BA50+SUM(CA51:CA77)</f>
        <v>29</v>
      </c>
      <c r="CA77" s="2">
        <f>IF(OR(_余额!$G$79&lt;&gt;0,_余额!$I$79&lt;&gt;0),1,0)</f>
        <v>0</v>
      </c>
    </row>
    <row r="78">
      <c r="A78" s="94" t="inlineStr">
        <is>
          <t>8月</t>
        </is>
      </c>
      <c r="B78" s="106">
        <f>COUNTIFS(发票登记!$U$5:$U$1004,"销项",发票登记!$Y$5:$Y$1004,_辅助!$J$7*100+8,发票登记!$Y$5:$Y$1004,"&gt;="&amp;_辅助!$J$4,发票登记!$AB$5:$AB$1004,"&lt;&gt;0")</f>
        <v>0</v>
      </c>
      <c r="C78" s="21">
        <f t="shared" si="19"/>
        <v>0</v>
      </c>
      <c r="D78" s="21">
        <f>SUMIFS(发票登记!$AA$5:$AA$1004,发票登记!$U$5:$U$1004,"销项",发票登记!$Y$5:$Y$1004,_辅助!$J$7*100+8,发票登记!$Y$5:$Y$1004,"&gt;="&amp;_辅助!$J$4)</f>
        <v>0</v>
      </c>
      <c r="E78" s="21">
        <f>SUMIFS(发票登记!$AB$5:$AB$1004,发票登记!$U$5:$U$1004,"销项",发票登记!$Y$5:$Y$1004,_辅助!$J$7*100+8,发票登记!$Y$5:$Y$1004,"&gt;="&amp;_辅助!$J$4)</f>
        <v>0</v>
      </c>
      <c r="F78" s="106">
        <f>COUNTIFS(发票登记!$U$5:$U$1004,"进项",发票登记!$Y$5:$Y$1004,_辅助!$J$7*100+8,发票登记!$Y$5:$Y$1004,"&gt;="&amp;_辅助!$J$4,发票登记!$AB$5:$AB$1004,"&lt;&gt;0")</f>
        <v>0</v>
      </c>
      <c r="G78" s="21">
        <f>SUMIFS(发票登记!$AB$5:$AB$1004,发票登记!$U$5:$U$1004,"进项",发票登记!$Y$5:$Y$1004,_辅助!$J$7*100+8,发票登记!$Y$5:$Y$1004,"&gt;="&amp;_辅助!$J$4)</f>
        <v>0</v>
      </c>
      <c r="H78" s="21">
        <f>SUMIFS(发票登记!$AA$5:$AA$1004,发票登记!$U$5:$U$1004,"进项",发票登记!$Y$5:$Y$1004,_辅助!$J$7*100+8,发票登记!$Y$5:$Y$1004,"&gt;="&amp;_辅助!$J$4,发票登记!$Z$5:$Z$1004,1)</f>
        <v>0</v>
      </c>
      <c r="I78" s="21">
        <f t="shared" si="9"/>
        <v>0</v>
      </c>
      <c r="J78" s="21">
        <f t="shared" si="11"/>
        <v>0</v>
      </c>
      <c r="K78" s="21">
        <f t="shared" si="14"/>
        <v>679.54</v>
      </c>
      <c r="L78" s="21">
        <f>ROUND(_月汇总!$J$3-SUMIFS(收入确认!$J$5:$J$204,收入确认!$H$5:$H$204,_辅助!$J$7*100+8),2)</f>
        <v>0</v>
      </c>
      <c r="M78" s="22">
        <f t="shared" si="16"/>
      </c>
      <c r="BA78" s="2">
        <f>BA50+SUM(CA51:CA78)</f>
        <v>29</v>
      </c>
      <c r="CA78" s="2">
        <f>IF(OR(_余额!$G$80&lt;&gt;0,_余额!$I$80&lt;&gt;0),1,0)</f>
        <v>0</v>
      </c>
    </row>
    <row r="79">
      <c r="A79" s="94" t="inlineStr">
        <is>
          <t>9月</t>
        </is>
      </c>
      <c r="B79" s="106">
        <f>COUNTIFS(发票登记!$U$5:$U$1004,"销项",发票登记!$Y$5:$Y$1004,_辅助!$J$7*100+9,发票登记!$Y$5:$Y$1004,"&gt;="&amp;_辅助!$J$4,发票登记!$AB$5:$AB$1004,"&lt;&gt;0")</f>
        <v>0</v>
      </c>
      <c r="C79" s="21">
        <f t="shared" si="19"/>
        <v>0</v>
      </c>
      <c r="D79" s="21">
        <f>SUMIFS(发票登记!$AA$5:$AA$1004,发票登记!$U$5:$U$1004,"销项",发票登记!$Y$5:$Y$1004,_辅助!$J$7*100+9,发票登记!$Y$5:$Y$1004,"&gt;="&amp;_辅助!$J$4)</f>
        <v>0</v>
      </c>
      <c r="E79" s="21">
        <f>SUMIFS(发票登记!$AB$5:$AB$1004,发票登记!$U$5:$U$1004,"销项",发票登记!$Y$5:$Y$1004,_辅助!$J$7*100+9,发票登记!$Y$5:$Y$1004,"&gt;="&amp;_辅助!$J$4)</f>
        <v>0</v>
      </c>
      <c r="F79" s="106">
        <f>COUNTIFS(发票登记!$U$5:$U$1004,"进项",发票登记!$Y$5:$Y$1004,_辅助!$J$7*100+9,发票登记!$Y$5:$Y$1004,"&gt;="&amp;_辅助!$J$4,发票登记!$AB$5:$AB$1004,"&lt;&gt;0")</f>
        <v>0</v>
      </c>
      <c r="G79" s="21">
        <f>SUMIFS(发票登记!$AB$5:$AB$1004,发票登记!$U$5:$U$1004,"进项",发票登记!$Y$5:$Y$1004,_辅助!$J$7*100+9,发票登记!$Y$5:$Y$1004,"&gt;="&amp;_辅助!$J$4)</f>
        <v>0</v>
      </c>
      <c r="H79" s="21">
        <f>SUMIFS(发票登记!$AA$5:$AA$1004,发票登记!$U$5:$U$1004,"进项",发票登记!$Y$5:$Y$1004,_辅助!$J$7*100+9,发票登记!$Y$5:$Y$1004,"&gt;="&amp;_辅助!$J$4,发票登记!$Z$5:$Z$1004,1)</f>
        <v>0</v>
      </c>
      <c r="I79" s="21">
        <f t="shared" si="9"/>
        <v>0</v>
      </c>
      <c r="J79" s="21">
        <f t="shared" si="11"/>
        <v>0</v>
      </c>
      <c r="K79" s="21">
        <f t="shared" si="14"/>
        <v>679.54</v>
      </c>
      <c r="L79" s="21">
        <f>ROUND(_月汇总!$K$3-SUMIFS(收入确认!$J$5:$J$204,收入确认!$H$5:$H$204,_辅助!$J$7*100+9),2)</f>
        <v>0</v>
      </c>
      <c r="M79" s="22">
        <f t="shared" si="16"/>
      </c>
      <c r="BA79" s="2">
        <f>BA50+SUM(CA51:CA79)</f>
        <v>29</v>
      </c>
      <c r="CA79" s="2">
        <f>IF(OR(_余额!$G$81&lt;&gt;0,_余额!$I$81&lt;&gt;0),1,0)</f>
        <v>0</v>
      </c>
    </row>
    <row r="80">
      <c r="A80" s="94" t="inlineStr">
        <is>
          <t>10月</t>
        </is>
      </c>
      <c r="B80" s="106">
        <f>COUNTIFS(发票登记!$U$5:$U$1004,"销项",发票登记!$Y$5:$Y$1004,_辅助!$J$7*100+10,发票登记!$Y$5:$Y$1004,"&gt;="&amp;_辅助!$J$4,发票登记!$AB$5:$AB$1004,"&lt;&gt;0")</f>
        <v>0</v>
      </c>
      <c r="C80" s="21">
        <f t="shared" si="19"/>
        <v>0</v>
      </c>
      <c r="D80" s="21">
        <f>SUMIFS(发票登记!$AA$5:$AA$1004,发票登记!$U$5:$U$1004,"销项",发票登记!$Y$5:$Y$1004,_辅助!$J$7*100+10,发票登记!$Y$5:$Y$1004,"&gt;="&amp;_辅助!$J$4)</f>
        <v>0</v>
      </c>
      <c r="E80" s="21">
        <f>SUMIFS(发票登记!$AB$5:$AB$1004,发票登记!$U$5:$U$1004,"销项",发票登记!$Y$5:$Y$1004,_辅助!$J$7*100+10,发票登记!$Y$5:$Y$1004,"&gt;="&amp;_辅助!$J$4)</f>
        <v>0</v>
      </c>
      <c r="F80" s="106">
        <f>COUNTIFS(发票登记!$U$5:$U$1004,"进项",发票登记!$Y$5:$Y$1004,_辅助!$J$7*100+10,发票登记!$Y$5:$Y$1004,"&gt;="&amp;_辅助!$J$4,发票登记!$AB$5:$AB$1004,"&lt;&gt;0")</f>
        <v>0</v>
      </c>
      <c r="G80" s="21">
        <f>SUMIFS(发票登记!$AB$5:$AB$1004,发票登记!$U$5:$U$1004,"进项",发票登记!$Y$5:$Y$1004,_辅助!$J$7*100+10,发票登记!$Y$5:$Y$1004,"&gt;="&amp;_辅助!$J$4)</f>
        <v>0</v>
      </c>
      <c r="H80" s="21">
        <f>SUMIFS(发票登记!$AA$5:$AA$1004,发票登记!$U$5:$U$1004,"进项",发票登记!$Y$5:$Y$1004,_辅助!$J$7*100+10,发票登记!$Y$5:$Y$1004,"&gt;="&amp;_辅助!$J$4,发票登记!$Z$5:$Z$1004,1)</f>
        <v>0</v>
      </c>
      <c r="I80" s="21">
        <f t="shared" si="9"/>
        <v>0</v>
      </c>
      <c r="J80" s="21">
        <f t="shared" si="11"/>
        <v>0</v>
      </c>
      <c r="K80" s="21">
        <f t="shared" si="14"/>
        <v>679.54</v>
      </c>
      <c r="L80" s="21">
        <f>ROUND(_月汇总!$L$3-SUMIFS(收入确认!$J$5:$J$204,收入确认!$H$5:$H$204,_辅助!$J$7*100+10),2)</f>
        <v>0</v>
      </c>
      <c r="M80" s="22">
        <f t="shared" si="16"/>
      </c>
      <c r="BA80" s="2">
        <f>BA50+SUM(CA51:CA80)</f>
        <v>29</v>
      </c>
      <c r="CA80" s="2">
        <f>IF(OR(_余额!$G$82&lt;&gt;0,_余额!$I$82&lt;&gt;0),1,0)</f>
        <v>0</v>
      </c>
    </row>
    <row r="81">
      <c r="A81" s="94" t="inlineStr">
        <is>
          <t>11月</t>
        </is>
      </c>
      <c r="B81" s="106">
        <f>COUNTIFS(发票登记!$U$5:$U$1004,"销项",发票登记!$Y$5:$Y$1004,_辅助!$J$7*100+11,发票登记!$Y$5:$Y$1004,"&gt;="&amp;_辅助!$J$4,发票登记!$AB$5:$AB$1004,"&lt;&gt;0")</f>
        <v>0</v>
      </c>
      <c r="C81" s="21">
        <f t="shared" si="19"/>
        <v>0</v>
      </c>
      <c r="D81" s="21">
        <f>SUMIFS(发票登记!$AA$5:$AA$1004,发票登记!$U$5:$U$1004,"销项",发票登记!$Y$5:$Y$1004,_辅助!$J$7*100+11,发票登记!$Y$5:$Y$1004,"&gt;="&amp;_辅助!$J$4)</f>
        <v>0</v>
      </c>
      <c r="E81" s="21">
        <f>SUMIFS(发票登记!$AB$5:$AB$1004,发票登记!$U$5:$U$1004,"销项",发票登记!$Y$5:$Y$1004,_辅助!$J$7*100+11,发票登记!$Y$5:$Y$1004,"&gt;="&amp;_辅助!$J$4)</f>
        <v>0</v>
      </c>
      <c r="F81" s="106">
        <f>COUNTIFS(发票登记!$U$5:$U$1004,"进项",发票登记!$Y$5:$Y$1004,_辅助!$J$7*100+11,发票登记!$Y$5:$Y$1004,"&gt;="&amp;_辅助!$J$4,发票登记!$AB$5:$AB$1004,"&lt;&gt;0")</f>
        <v>0</v>
      </c>
      <c r="G81" s="21">
        <f>SUMIFS(发票登记!$AB$5:$AB$1004,发票登记!$U$5:$U$1004,"进项",发票登记!$Y$5:$Y$1004,_辅助!$J$7*100+11,发票登记!$Y$5:$Y$1004,"&gt;="&amp;_辅助!$J$4)</f>
        <v>0</v>
      </c>
      <c r="H81" s="21">
        <f>SUMIFS(发票登记!$AA$5:$AA$1004,发票登记!$U$5:$U$1004,"进项",发票登记!$Y$5:$Y$1004,_辅助!$J$7*100+11,发票登记!$Y$5:$Y$1004,"&gt;="&amp;_辅助!$J$4,发票登记!$Z$5:$Z$1004,1)</f>
        <v>0</v>
      </c>
      <c r="I81" s="21">
        <f t="shared" si="9"/>
        <v>0</v>
      </c>
      <c r="J81" s="21">
        <f t="shared" si="11"/>
        <v>0</v>
      </c>
      <c r="K81" s="21">
        <f t="shared" si="14"/>
        <v>679.54</v>
      </c>
      <c r="L81" s="21">
        <f>ROUND(_月汇总!$M$3-SUMIFS(收入确认!$J$5:$J$204,收入确认!$H$5:$H$204,_辅助!$J$7*100+11),2)</f>
        <v>0</v>
      </c>
      <c r="M81" s="22">
        <f t="shared" si="16"/>
      </c>
      <c r="BA81" s="2">
        <f>BA50+SUM(CA51:CA81)</f>
        <v>29</v>
      </c>
      <c r="CA81" s="2">
        <f>IF(OR(_余额!$G$83&lt;&gt;0,_余额!$I$83&lt;&gt;0),1,0)</f>
        <v>0</v>
      </c>
    </row>
    <row r="82">
      <c r="A82" s="94" t="inlineStr">
        <is>
          <t>12月</t>
        </is>
      </c>
      <c r="B82" s="106">
        <f>COUNTIFS(发票登记!$U$5:$U$1004,"销项",发票登记!$Y$5:$Y$1004,_辅助!$J$7*100+12,发票登记!$Y$5:$Y$1004,"&gt;="&amp;_辅助!$J$4,发票登记!$AB$5:$AB$1004,"&lt;&gt;0")</f>
        <v>0</v>
      </c>
      <c r="C82" s="21">
        <f t="shared" si="19"/>
        <v>0</v>
      </c>
      <c r="D82" s="21">
        <f>SUMIFS(发票登记!$AA$5:$AA$1004,发票登记!$U$5:$U$1004,"销项",发票登记!$Y$5:$Y$1004,_辅助!$J$7*100+12,发票登记!$Y$5:$Y$1004,"&gt;="&amp;_辅助!$J$4)</f>
        <v>0</v>
      </c>
      <c r="E82" s="21">
        <f>SUMIFS(发票登记!$AB$5:$AB$1004,发票登记!$U$5:$U$1004,"销项",发票登记!$Y$5:$Y$1004,_辅助!$J$7*100+12,发票登记!$Y$5:$Y$1004,"&gt;="&amp;_辅助!$J$4)</f>
        <v>0</v>
      </c>
      <c r="F82" s="106">
        <f>COUNTIFS(发票登记!$U$5:$U$1004,"进项",发票登记!$Y$5:$Y$1004,_辅助!$J$7*100+12,发票登记!$Y$5:$Y$1004,"&gt;="&amp;_辅助!$J$4,发票登记!$AB$5:$AB$1004,"&lt;&gt;0")</f>
        <v>0</v>
      </c>
      <c r="G82" s="21">
        <f>SUMIFS(发票登记!$AB$5:$AB$1004,发票登记!$U$5:$U$1004,"进项",发票登记!$Y$5:$Y$1004,_辅助!$J$7*100+12,发票登记!$Y$5:$Y$1004,"&gt;="&amp;_辅助!$J$4)</f>
        <v>0</v>
      </c>
      <c r="H82" s="21">
        <f>SUMIFS(发票登记!$AA$5:$AA$1004,发票登记!$U$5:$U$1004,"进项",发票登记!$Y$5:$Y$1004,_辅助!$J$7*100+12,发票登记!$Y$5:$Y$1004,"&gt;="&amp;_辅助!$J$4,发票登记!$Z$5:$Z$1004,1)</f>
        <v>0</v>
      </c>
      <c r="I82" s="21">
        <f t="shared" si="9"/>
        <v>0</v>
      </c>
      <c r="J82" s="21">
        <f t="shared" si="11"/>
        <v>0</v>
      </c>
      <c r="K82" s="21">
        <f t="shared" si="14"/>
        <v>679.54</v>
      </c>
      <c r="L82" s="21">
        <f>ROUND(_月汇总!$N$3-SUMIFS(收入确认!$J$5:$J$204,收入确认!$H$5:$H$204,_辅助!$J$7*100+12),2)</f>
        <v>0</v>
      </c>
      <c r="M82" s="22">
        <f t="shared" si="16"/>
      </c>
      <c r="BA82" s="2">
        <f>BA50+SUM(CA51:CA82)</f>
        <v>29</v>
      </c>
      <c r="CA82" s="2">
        <f>IF(OR(_余额!$G$84&lt;&gt;0,_余额!$I$84&lt;&gt;0),1,0)</f>
        <v>0</v>
      </c>
    </row>
    <row r="83">
      <c r="A83" s="76" t="inlineStr">
        <is>
          <t>合计</t>
        </is>
      </c>
      <c r="B83" s="124">
        <f>SUM(B71:B82)</f>
        <v>1</v>
      </c>
      <c r="C83" s="77">
        <f>SUM(C71:C82)</f>
        <v>8249.54</v>
      </c>
      <c r="D83" s="77">
        <f>SUM(D71:D82)</f>
        <v>742.46</v>
      </c>
      <c r="E83" s="77">
        <f>SUM(E71:E82)</f>
        <v>8992</v>
      </c>
      <c r="F83" s="124">
        <f>SUM(F71:F82)</f>
        <v>2</v>
      </c>
      <c r="G83" s="77">
        <f>SUM(G71:G82)</f>
        <v>1346.94</v>
      </c>
      <c r="H83" s="77">
        <f>SUM(H71:H82)</f>
        <v>62.92</v>
      </c>
      <c r="I83" s="77">
        <f>SUM(I71:I82)</f>
        <v>679.54</v>
      </c>
      <c r="J83" s="77">
        <f>SUM(J71:J82)</f>
        <v>89.1</v>
      </c>
      <c r="K83" s="105" t="n"/>
      <c r="L83" s="77">
        <f>SUM(L71:L82)</f>
        <v>8249.54</v>
      </c>
      <c r="M83" s="109">
        <f t="shared" si="16"/>
        <v>0.0823730777716091</v>
      </c>
      <c r="BA83" s="2">
        <f>BA50+SUM(CA51:CA83)</f>
        <v>29</v>
      </c>
      <c r="CA83" s="2">
        <f>IF(OR(_余额!$G$85&lt;&gt;0,_余额!$I$85&lt;&gt;0),1,0)</f>
        <v>0</v>
      </c>
    </row>
    <row r="84">
      <c r="BA84" s="2">
        <f>BA50+SUM(CA51:CA84)</f>
        <v>29</v>
      </c>
      <c r="CA84" s="2">
        <f>IF(OR(_余额!$G$86&lt;&gt;0,_余额!$I$86&lt;&gt;0),1,0)</f>
        <v>0</v>
      </c>
    </row>
    <row r="85">
      <c r="BA85" s="2">
        <f>BA50+SUM(CA51:CA85)</f>
        <v>29</v>
      </c>
      <c r="CA85" s="2">
        <f>IF(OR(_余额!$G$87&lt;&gt;0,_余额!$I$87&lt;&gt;0),1,0)</f>
        <v>0</v>
      </c>
    </row>
    <row r="86">
      <c r="A86" s="79" t="inlineStr">
        <is>
          <t>③ 按单位（材料商、分包、机械：应付、已付、收票、欠票）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BA86" s="2">
        <f>BA50+SUM(CA51:CA86)</f>
        <v>29</v>
      </c>
      <c r="CA86" s="2">
        <f>IF(OR(_余额!$G$88&lt;&gt;0,_余额!$I$88&lt;&gt;0),1,0)</f>
        <v>0</v>
      </c>
    </row>
    <row r="87" ht="44" customHeight="1">
      <c r="A87" s="62" t="inlineStr">
        <is>
          <t>序号</t>
        </is>
      </c>
      <c r="B87" s="62" t="inlineStr">
        <is>
          <t>单位</t>
        </is>
      </c>
      <c r="C87" s="62" t="inlineStr">
        <is>
          <t>类型</t>
        </is>
      </c>
      <c r="D87" s="62" t="inlineStr">
        <is>
          <t>累计应付</t>
        </is>
      </c>
      <c r="E87" s="62" t="inlineStr">
        <is>
          <t>累计已付</t>
        </is>
      </c>
      <c r="F87" s="62" t="inlineStr">
        <is>
          <t>累计收票</t>
        </is>
      </c>
      <c r="G87" s="62" t="inlineStr">
        <is>
          <t>欠票
（应付−收票）</t>
        </is>
      </c>
      <c r="H87" s="62" t="inlineStr">
        <is>
          <t>已付没给票
（已付−收票）</t>
        </is>
      </c>
      <c r="I87" s="62" t="inlineStr">
        <is>
          <t>收票比例</t>
        </is>
      </c>
      <c r="J87" s="62" t="inlineStr">
        <is>
          <t>本年收票</t>
        </is>
      </c>
      <c r="BA87" s="2">
        <f>BA50+SUM(CA51:CA87)</f>
        <v>29</v>
      </c>
      <c r="CA87" s="2">
        <f>IF(OR(_余额!$G$89&lt;&gt;0,_余额!$I$89&lt;&gt;0),1,0)</f>
        <v>0</v>
      </c>
    </row>
    <row r="88">
      <c r="A88" s="94">
        <f>IF($AZ88=0,"",1)</f>
        <v>1</v>
      </c>
      <c r="B88" s="96" t="str">
        <f t="shared" ref="B88:B207" si="0">IF($AZ88=0,"",INDEX(往来单位!$B$4:$B$303,$AZ88))</f>
        <v>筑强</v>
      </c>
      <c r="C88" s="94" t="str">
        <f t="shared" ref="C88:C207" si="20">IF($AZ88=0,"",INDEX(往来单位!$C$4:$C$303,$AZ88))</f>
        <v>材料供应商</v>
      </c>
      <c r="D88" s="21">
        <f t="shared" ref="D88:D207" si="1">IF($AZ88=0,"",INDEX(_余额!$G$3:$G$302,$AZ88))</f>
        <v>1532992.03</v>
      </c>
      <c r="E88" s="21">
        <f t="shared" ref="E88:E207" si="2">IF($AZ88=0,"",INDEX(_余额!$H$3:$H$302,$AZ88))</f>
        <v>1308939.18</v>
      </c>
      <c r="F88" s="21">
        <f t="shared" ref="F88:F207" si="4">IF($AZ88=0,"",INDEX(_余额!$I$3:$I$302,$AZ88))</f>
        <v>546.94</v>
      </c>
      <c r="G88" s="21">
        <f t="shared" ref="G88:G207" si="5">IF($AZ88=0,"",D88-F88)</f>
        <v>1532445.09</v>
      </c>
      <c r="H88" s="21">
        <f t="shared" ref="H88:H207" si="7">IF($AZ88=0,"",MAX(E88-F88,0))</f>
        <v>1308392.24</v>
      </c>
      <c r="I88" s="22">
        <f t="shared" ref="I88:I207" si="10">IF(OR($AZ88=0,N(D88)=0),"",F88/D88)</f>
        <v>0.000356779415219791</v>
      </c>
      <c r="J88" s="21">
        <f t="shared" ref="J88:J207" si="12">IF($AZ88=0,"",SUMIFS(发票登记!$AB$5:$AB$1004,发票登记!$U$5:$U$1004,"进项",发票登记!$V$5:$V$1004,$B88,发票登记!$Y$5:$Y$1004,"&gt;="&amp;MAX(_辅助!$J$1,_辅助!$J$4),发票登记!$Y$5:$Y$1004,"&lt;="&amp;_辅助!$J$2))</f>
        <v>546.94</v>
      </c>
      <c r="AZ88" s="2">
        <f>IF(1&gt;$BA$300,0,IFERROR(MATCH(1,$BA$1:$BA$300,0),0))</f>
        <v>8</v>
      </c>
      <c r="BA88" s="2">
        <f>BA50+SUM(CA51:CA88)</f>
        <v>29</v>
      </c>
      <c r="CA88" s="2">
        <f>IF(OR(_余额!$G$90&lt;&gt;0,_余额!$I$90&lt;&gt;0),1,0)</f>
        <v>0</v>
      </c>
    </row>
    <row r="89">
      <c r="A89" s="94">
        <f>IF($AZ89=0,"",2)</f>
        <v>2</v>
      </c>
      <c r="B89" s="96" t="str">
        <f t="shared" si="0"/>
        <v>九江安洋钢材熊总</v>
      </c>
      <c r="C89" s="94" t="str">
        <f t="shared" si="20"/>
        <v>材料供应商</v>
      </c>
      <c r="D89" s="21">
        <f t="shared" si="1"/>
        <v>331446.38</v>
      </c>
      <c r="E89" s="21">
        <f t="shared" si="2"/>
        <v>331446.38</v>
      </c>
      <c r="F89" s="21">
        <f t="shared" si="4"/>
        <v>0</v>
      </c>
      <c r="G89" s="21">
        <f t="shared" si="5"/>
        <v>331446.38</v>
      </c>
      <c r="H89" s="21">
        <f t="shared" si="7"/>
        <v>331446.38</v>
      </c>
      <c r="I89" s="22">
        <f t="shared" si="10"/>
        <v>0</v>
      </c>
      <c r="J89" s="21">
        <f t="shared" si="12"/>
        <v>0</v>
      </c>
      <c r="AZ89" s="2">
        <f>IF(2&gt;$BA$300,0,IFERROR(MATCH(2,$BA$1:$BA$300,0),0))</f>
        <v>9</v>
      </c>
      <c r="BA89" s="2">
        <f>BA50+SUM(CA51:CA89)</f>
        <v>29</v>
      </c>
      <c r="CA89" s="2">
        <f>IF(OR(_余额!$G$91&lt;&gt;0,_余额!$I$91&lt;&gt;0),1,0)</f>
        <v>0</v>
      </c>
    </row>
    <row r="90">
      <c r="A90" s="94">
        <f>IF($AZ90=0,"",3)</f>
        <v>3</v>
      </c>
      <c r="B90" s="96" t="str">
        <f t="shared" si="0"/>
        <v>鑫城五金庄总</v>
      </c>
      <c r="C90" s="94" t="str">
        <f t="shared" si="20"/>
        <v>材料供应商</v>
      </c>
      <c r="D90" s="21">
        <f t="shared" si="1"/>
        <v>256240</v>
      </c>
      <c r="E90" s="21">
        <f t="shared" si="2"/>
        <v>256240</v>
      </c>
      <c r="F90" s="21">
        <f t="shared" si="4"/>
        <v>0</v>
      </c>
      <c r="G90" s="21">
        <f t="shared" si="5"/>
        <v>256240</v>
      </c>
      <c r="H90" s="21">
        <f t="shared" si="7"/>
        <v>256240</v>
      </c>
      <c r="I90" s="22">
        <f t="shared" si="10"/>
        <v>0</v>
      </c>
      <c r="J90" s="21">
        <f t="shared" si="12"/>
        <v>0</v>
      </c>
      <c r="AZ90" s="2">
        <f>IF(3&gt;$BA$300,0,IFERROR(MATCH(3,$BA$1:$BA$300,0),0))</f>
        <v>10</v>
      </c>
      <c r="BA90" s="2">
        <f>BA50+SUM(CA51:CA90)</f>
        <v>29</v>
      </c>
      <c r="CA90" s="2">
        <f>IF(OR(_余额!$G$92&lt;&gt;0,_余额!$I$92&lt;&gt;0),1,0)</f>
        <v>0</v>
      </c>
    </row>
    <row r="91">
      <c r="A91" s="94">
        <f>IF($AZ91=0,"",4)</f>
        <v>4</v>
      </c>
      <c r="B91" s="96" t="str">
        <f t="shared" si="0"/>
        <v>浔阳楼电缆</v>
      </c>
      <c r="C91" s="94" t="str">
        <f t="shared" si="20"/>
        <v>材料供应商</v>
      </c>
      <c r="D91" s="21">
        <f t="shared" si="1"/>
        <v>222007</v>
      </c>
      <c r="E91" s="21">
        <f t="shared" si="2"/>
        <v>187470</v>
      </c>
      <c r="F91" s="21">
        <f t="shared" si="4"/>
        <v>0</v>
      </c>
      <c r="G91" s="21">
        <f t="shared" si="5"/>
        <v>222007</v>
      </c>
      <c r="H91" s="21">
        <f t="shared" si="7"/>
        <v>187470</v>
      </c>
      <c r="I91" s="22">
        <f t="shared" si="10"/>
        <v>0</v>
      </c>
      <c r="J91" s="21">
        <f t="shared" si="12"/>
        <v>0</v>
      </c>
      <c r="AZ91" s="2">
        <f>IF(4&gt;$BA$300,0,IFERROR(MATCH(4,$BA$1:$BA$300,0),0))</f>
        <v>11</v>
      </c>
      <c r="BA91" s="2">
        <f>BA50+SUM(CA51:CA91)</f>
        <v>29</v>
      </c>
      <c r="CA91" s="2">
        <f>IF(OR(_余额!$G$93&lt;&gt;0,_余额!$I$93&lt;&gt;0),1,0)</f>
        <v>0</v>
      </c>
    </row>
    <row r="92">
      <c r="A92" s="94">
        <f>IF($AZ92=0,"",5)</f>
        <v>5</v>
      </c>
      <c r="B92" s="96" t="str">
        <f t="shared" si="0"/>
        <v>启航五金</v>
      </c>
      <c r="C92" s="94" t="str">
        <f t="shared" si="20"/>
        <v>材料供应商</v>
      </c>
      <c r="D92" s="21">
        <f t="shared" si="1"/>
        <v>30949</v>
      </c>
      <c r="E92" s="21">
        <f t="shared" si="2"/>
        <v>22490</v>
      </c>
      <c r="F92" s="21">
        <f t="shared" si="4"/>
        <v>0</v>
      </c>
      <c r="G92" s="21">
        <f t="shared" si="5"/>
        <v>30949</v>
      </c>
      <c r="H92" s="21">
        <f t="shared" si="7"/>
        <v>22490</v>
      </c>
      <c r="I92" s="22">
        <f t="shared" si="10"/>
        <v>0</v>
      </c>
      <c r="J92" s="21">
        <f t="shared" si="12"/>
        <v>0</v>
      </c>
      <c r="AZ92" s="2">
        <f>IF(5&gt;$BA$300,0,IFERROR(MATCH(5,$BA$1:$BA$300,0),0))</f>
        <v>12</v>
      </c>
      <c r="BA92" s="2">
        <f>BA50+SUM(CA51:CA92)</f>
        <v>29</v>
      </c>
      <c r="CA92" s="2">
        <f>IF(OR(_余额!$G$94&lt;&gt;0,_余额!$I$94&lt;&gt;0),1,0)</f>
        <v>0</v>
      </c>
    </row>
    <row r="93">
      <c r="A93" s="94">
        <f>IF($AZ93=0,"",6)</f>
        <v>6</v>
      </c>
      <c r="B93" s="96" t="str">
        <f t="shared" si="0"/>
        <v>杭州行消物资贸易</v>
      </c>
      <c r="C93" s="94" t="str">
        <f t="shared" si="20"/>
        <v>材料供应商</v>
      </c>
      <c r="D93" s="21">
        <f t="shared" si="1"/>
        <v>36511</v>
      </c>
      <c r="E93" s="21">
        <f t="shared" si="2"/>
        <v>36511</v>
      </c>
      <c r="F93" s="21">
        <f t="shared" si="4"/>
        <v>0</v>
      </c>
      <c r="G93" s="21">
        <f t="shared" si="5"/>
        <v>36511</v>
      </c>
      <c r="H93" s="21">
        <f t="shared" si="7"/>
        <v>36511</v>
      </c>
      <c r="I93" s="22">
        <f t="shared" si="10"/>
        <v>0</v>
      </c>
      <c r="J93" s="21">
        <f t="shared" si="12"/>
        <v>0</v>
      </c>
      <c r="AZ93" s="2">
        <f>IF(6&gt;$BA$300,0,IFERROR(MATCH(6,$BA$1:$BA$300,0),0))</f>
        <v>13</v>
      </c>
      <c r="BA93" s="2">
        <f>BA50+SUM(CA51:CA93)</f>
        <v>29</v>
      </c>
      <c r="CA93" s="2">
        <f>IF(OR(_余额!$G$95&lt;&gt;0,_余额!$I$95&lt;&gt;0),1,0)</f>
        <v>0</v>
      </c>
    </row>
    <row r="94">
      <c r="A94" s="94">
        <f>IF($AZ94=0,"",7)</f>
        <v>7</v>
      </c>
      <c r="B94" s="96" t="str">
        <f t="shared" si="0"/>
        <v>南昌盈厚建材</v>
      </c>
      <c r="C94" s="94" t="str">
        <f t="shared" si="20"/>
        <v>材料供应商</v>
      </c>
      <c r="D94" s="21">
        <f t="shared" si="1"/>
        <v>34674</v>
      </c>
      <c r="E94" s="21">
        <f t="shared" si="2"/>
        <v>34674</v>
      </c>
      <c r="F94" s="21">
        <f t="shared" si="4"/>
        <v>0</v>
      </c>
      <c r="G94" s="21">
        <f t="shared" si="5"/>
        <v>34674</v>
      </c>
      <c r="H94" s="21">
        <f t="shared" si="7"/>
        <v>34674</v>
      </c>
      <c r="I94" s="22">
        <f t="shared" si="10"/>
        <v>0</v>
      </c>
      <c r="J94" s="21">
        <f t="shared" si="12"/>
        <v>0</v>
      </c>
      <c r="AZ94" s="2">
        <f>IF(7&gt;$BA$300,0,IFERROR(MATCH(7,$BA$1:$BA$300,0),0))</f>
        <v>14</v>
      </c>
      <c r="BA94" s="2">
        <f>BA50+SUM(CA51:CA94)</f>
        <v>29</v>
      </c>
      <c r="CA94" s="2">
        <f>IF(OR(_余额!$G$96&lt;&gt;0,_余额!$I$96&lt;&gt;0),1,0)</f>
        <v>0</v>
      </c>
    </row>
    <row r="95">
      <c r="A95" s="94">
        <f>IF($AZ95=0,"",8)</f>
        <v>8</v>
      </c>
      <c r="B95" s="96" t="str">
        <f t="shared" si="0"/>
        <v>浙缆元通电缆</v>
      </c>
      <c r="C95" s="94" t="str">
        <f t="shared" si="20"/>
        <v>材料供应商</v>
      </c>
      <c r="D95" s="21">
        <f t="shared" si="1"/>
        <v>74807.4</v>
      </c>
      <c r="E95" s="21">
        <f t="shared" si="2"/>
        <v>74807.4</v>
      </c>
      <c r="F95" s="21">
        <f t="shared" si="4"/>
        <v>0</v>
      </c>
      <c r="G95" s="21">
        <f t="shared" si="5"/>
        <v>74807.4</v>
      </c>
      <c r="H95" s="21">
        <f t="shared" si="7"/>
        <v>74807.4</v>
      </c>
      <c r="I95" s="22">
        <f t="shared" si="10"/>
        <v>0</v>
      </c>
      <c r="J95" s="21">
        <f t="shared" si="12"/>
        <v>0</v>
      </c>
      <c r="AZ95" s="2">
        <f>IF(8&gt;$BA$300,0,IFERROR(MATCH(8,$BA$1:$BA$300,0),0))</f>
        <v>15</v>
      </c>
      <c r="BA95" s="2">
        <f>BA50+SUM(CA51:CA95)</f>
        <v>29</v>
      </c>
      <c r="CA95" s="2">
        <f>IF(OR(_余额!$G$97&lt;&gt;0,_余额!$I$97&lt;&gt;0),1,0)</f>
        <v>0</v>
      </c>
    </row>
    <row r="96">
      <c r="A96" s="94">
        <f>IF($AZ96=0,"",9)</f>
        <v>9</v>
      </c>
      <c r="B96" s="96" t="str">
        <f t="shared" si="0"/>
        <v>江西允诺消防</v>
      </c>
      <c r="C96" s="94" t="str">
        <f t="shared" si="20"/>
        <v>材料供应商</v>
      </c>
      <c r="D96" s="21">
        <f t="shared" si="1"/>
        <v>45881</v>
      </c>
      <c r="E96" s="21">
        <f t="shared" si="2"/>
        <v>45881</v>
      </c>
      <c r="F96" s="21">
        <f t="shared" si="4"/>
        <v>0</v>
      </c>
      <c r="G96" s="21">
        <f t="shared" si="5"/>
        <v>45881</v>
      </c>
      <c r="H96" s="21">
        <f t="shared" si="7"/>
        <v>45881</v>
      </c>
      <c r="I96" s="22">
        <f t="shared" si="10"/>
        <v>0</v>
      </c>
      <c r="J96" s="21">
        <f t="shared" si="12"/>
        <v>0</v>
      </c>
      <c r="AZ96" s="2">
        <f>IF(9&gt;$BA$300,0,IFERROR(MATCH(9,$BA$1:$BA$300,0),0))</f>
        <v>16</v>
      </c>
      <c r="BA96" s="2">
        <f>BA50+SUM(CA51:CA96)</f>
        <v>29</v>
      </c>
      <c r="CA96" s="2">
        <f>IF(OR(_余额!$G$98&lt;&gt;0,_余额!$I$98&lt;&gt;0),1,0)</f>
        <v>0</v>
      </c>
    </row>
    <row r="97">
      <c r="A97" s="94">
        <f>IF($AZ97=0,"",10)</f>
        <v>10</v>
      </c>
      <c r="B97" s="96" t="str">
        <f t="shared" si="0"/>
        <v>江西沐丰水箱</v>
      </c>
      <c r="C97" s="94" t="str">
        <f t="shared" si="20"/>
        <v>材料供应商</v>
      </c>
      <c r="D97" s="21">
        <f t="shared" si="1"/>
        <v>55000</v>
      </c>
      <c r="E97" s="21">
        <f t="shared" si="2"/>
        <v>53500</v>
      </c>
      <c r="F97" s="21">
        <f t="shared" si="4"/>
        <v>0</v>
      </c>
      <c r="G97" s="21">
        <f t="shared" si="5"/>
        <v>55000</v>
      </c>
      <c r="H97" s="21">
        <f t="shared" si="7"/>
        <v>53500</v>
      </c>
      <c r="I97" s="22">
        <f t="shared" si="10"/>
        <v>0</v>
      </c>
      <c r="J97" s="21">
        <f t="shared" si="12"/>
        <v>0</v>
      </c>
      <c r="AZ97" s="2">
        <f>IF(10&gt;$BA$300,0,IFERROR(MATCH(10,$BA$1:$BA$300,0),0))</f>
        <v>17</v>
      </c>
      <c r="BA97" s="2">
        <f>BA50+SUM(CA51:CA97)</f>
        <v>29</v>
      </c>
      <c r="CA97" s="2">
        <f>IF(OR(_余额!$G$99&lt;&gt;0,_余额!$I$99&lt;&gt;0),1,0)</f>
        <v>0</v>
      </c>
    </row>
    <row r="98">
      <c r="A98" s="94">
        <f>IF($AZ98=0,"",11)</f>
        <v>11</v>
      </c>
      <c r="B98" s="96" t="str">
        <f t="shared" si="0"/>
        <v>上海诚果泵阀</v>
      </c>
      <c r="C98" s="94" t="str">
        <f t="shared" si="20"/>
        <v>材料供应商</v>
      </c>
      <c r="D98" s="21">
        <f t="shared" si="1"/>
        <v>90744</v>
      </c>
      <c r="E98" s="21">
        <f t="shared" si="2"/>
        <v>90744</v>
      </c>
      <c r="F98" s="21">
        <f t="shared" si="4"/>
        <v>0</v>
      </c>
      <c r="G98" s="21">
        <f t="shared" si="5"/>
        <v>90744</v>
      </c>
      <c r="H98" s="21">
        <f t="shared" si="7"/>
        <v>90744</v>
      </c>
      <c r="I98" s="22">
        <f t="shared" si="10"/>
        <v>0</v>
      </c>
      <c r="J98" s="21">
        <f t="shared" si="12"/>
        <v>0</v>
      </c>
      <c r="AZ98" s="2">
        <f>IF(11&gt;$BA$300,0,IFERROR(MATCH(11,$BA$1:$BA$300,0),0))</f>
        <v>18</v>
      </c>
      <c r="BA98" s="2">
        <f>BA50+SUM(CA51:CA98)</f>
        <v>29</v>
      </c>
      <c r="CA98" s="2">
        <f>IF(OR(_余额!$G$100&lt;&gt;0,_余额!$I$100&lt;&gt;0),1,0)</f>
        <v>0</v>
      </c>
    </row>
    <row r="99">
      <c r="A99" s="94">
        <f>IF($AZ99=0,"",12)</f>
        <v>12</v>
      </c>
      <c r="B99" s="96" t="str">
        <f t="shared" si="0"/>
        <v>佩力通风</v>
      </c>
      <c r="C99" s="94" t="str">
        <f t="shared" si="20"/>
        <v>材料供应商</v>
      </c>
      <c r="D99" s="21">
        <f t="shared" si="1"/>
        <v>112695</v>
      </c>
      <c r="E99" s="21">
        <f t="shared" si="2"/>
        <v>114368</v>
      </c>
      <c r="F99" s="21">
        <f t="shared" si="4"/>
        <v>0</v>
      </c>
      <c r="G99" s="21">
        <f t="shared" si="5"/>
        <v>112695</v>
      </c>
      <c r="H99" s="21">
        <f t="shared" si="7"/>
        <v>114368</v>
      </c>
      <c r="I99" s="22">
        <f t="shared" si="10"/>
        <v>0</v>
      </c>
      <c r="J99" s="21">
        <f t="shared" si="12"/>
        <v>0</v>
      </c>
      <c r="AZ99" s="2">
        <f>IF(12&gt;$BA$300,0,IFERROR(MATCH(12,$BA$1:$BA$300,0),0))</f>
        <v>19</v>
      </c>
      <c r="BA99" s="2">
        <f>BA50+SUM(CA51:CA99)</f>
        <v>29</v>
      </c>
      <c r="CA99" s="2">
        <f>IF(OR(_余额!$G$101&lt;&gt;0,_余额!$I$101&lt;&gt;0),1,0)</f>
        <v>0</v>
      </c>
    </row>
    <row r="100">
      <c r="A100" s="94">
        <f>IF($AZ100=0,"",13)</f>
        <v>13</v>
      </c>
      <c r="B100" s="96" t="str">
        <f t="shared" si="0"/>
        <v>浙江寅盾智能</v>
      </c>
      <c r="C100" s="94" t="str">
        <f t="shared" si="20"/>
        <v>材料供应商</v>
      </c>
      <c r="D100" s="21">
        <f t="shared" si="1"/>
        <v>42600</v>
      </c>
      <c r="E100" s="21">
        <f t="shared" si="2"/>
        <v>42600</v>
      </c>
      <c r="F100" s="21">
        <f t="shared" si="4"/>
        <v>0</v>
      </c>
      <c r="G100" s="21">
        <f t="shared" si="5"/>
        <v>42600</v>
      </c>
      <c r="H100" s="21">
        <f t="shared" si="7"/>
        <v>42600</v>
      </c>
      <c r="I100" s="22">
        <f t="shared" si="10"/>
        <v>0</v>
      </c>
      <c r="J100" s="21">
        <f t="shared" si="12"/>
        <v>0</v>
      </c>
      <c r="AZ100" s="2">
        <f>IF(13&gt;$BA$300,0,IFERROR(MATCH(13,$BA$1:$BA$300,0),0))</f>
        <v>20</v>
      </c>
      <c r="BA100" s="2">
        <f>BA50+SUM(CA51:CA100)</f>
        <v>29</v>
      </c>
      <c r="CA100" s="2">
        <f>IF(OR(_余额!$G$102&lt;&gt;0,_余额!$I$102&lt;&gt;0),1,0)</f>
        <v>0</v>
      </c>
    </row>
    <row r="101">
      <c r="A101" s="94">
        <f>IF($AZ101=0,"",14)</f>
        <v>14</v>
      </c>
      <c r="B101" s="96" t="str">
        <f t="shared" si="0"/>
        <v>恩旗老叶</v>
      </c>
      <c r="C101" s="94" t="str">
        <f t="shared" si="20"/>
        <v>分包</v>
      </c>
      <c r="D101" s="21">
        <f t="shared" si="1"/>
        <v>558437.5</v>
      </c>
      <c r="E101" s="21">
        <f t="shared" si="2"/>
        <v>558437.5</v>
      </c>
      <c r="F101" s="21">
        <f t="shared" si="4"/>
        <v>0</v>
      </c>
      <c r="G101" s="21">
        <f t="shared" si="5"/>
        <v>558437.5</v>
      </c>
      <c r="H101" s="21">
        <f t="shared" si="7"/>
        <v>558437.5</v>
      </c>
      <c r="I101" s="22">
        <f t="shared" si="10"/>
        <v>0</v>
      </c>
      <c r="J101" s="21">
        <f t="shared" si="12"/>
        <v>0</v>
      </c>
      <c r="AZ101" s="2">
        <f>IF(14&gt;$BA$300,0,IFERROR(MATCH(14,$BA$1:$BA$300,0),0))</f>
        <v>25</v>
      </c>
      <c r="BA101" s="2">
        <f>BA100+SUM(CA101:CA101)</f>
        <v>29</v>
      </c>
      <c r="CA101" s="2">
        <f>IF(OR(_余额!$G$103&lt;&gt;0,_余额!$I$103&lt;&gt;0),1,0)</f>
        <v>0</v>
      </c>
    </row>
    <row r="102">
      <c r="A102" s="94">
        <f>IF($AZ102=0,"",15)</f>
        <v>15</v>
      </c>
      <c r="B102" s="96" t="str">
        <f t="shared" si="0"/>
        <v>吴群</v>
      </c>
      <c r="C102" s="94" t="str">
        <f t="shared" si="20"/>
        <v>分包</v>
      </c>
      <c r="D102" s="21">
        <f t="shared" si="1"/>
        <v>78100</v>
      </c>
      <c r="E102" s="21">
        <f t="shared" si="2"/>
        <v>78100</v>
      </c>
      <c r="F102" s="21">
        <f t="shared" si="4"/>
        <v>0</v>
      </c>
      <c r="G102" s="21">
        <f t="shared" si="5"/>
        <v>78100</v>
      </c>
      <c r="H102" s="21">
        <f t="shared" si="7"/>
        <v>78100</v>
      </c>
      <c r="I102" s="22">
        <f t="shared" si="10"/>
        <v>0</v>
      </c>
      <c r="J102" s="21">
        <f t="shared" si="12"/>
        <v>0</v>
      </c>
      <c r="AZ102" s="2">
        <f>IF(15&gt;$BA$300,0,IFERROR(MATCH(15,$BA$1:$BA$300,0),0))</f>
        <v>26</v>
      </c>
      <c r="BA102" s="2">
        <f>BA100+SUM(CA101:CA102)</f>
        <v>29</v>
      </c>
      <c r="CA102" s="2">
        <f>IF(OR(_余额!$G$104&lt;&gt;0,_余额!$I$104&lt;&gt;0),1,0)</f>
        <v>0</v>
      </c>
    </row>
    <row r="103">
      <c r="A103" s="94">
        <f>IF($AZ103=0,"",16)</f>
        <v>16</v>
      </c>
      <c r="B103" s="96" t="str">
        <f t="shared" si="0"/>
        <v>吴聪</v>
      </c>
      <c r="C103" s="94" t="str">
        <f t="shared" si="20"/>
        <v>分包</v>
      </c>
      <c r="D103" s="21">
        <f t="shared" si="1"/>
        <v>28000</v>
      </c>
      <c r="E103" s="21">
        <f t="shared" si="2"/>
        <v>28000</v>
      </c>
      <c r="F103" s="21">
        <f t="shared" si="4"/>
        <v>0</v>
      </c>
      <c r="G103" s="21">
        <f t="shared" si="5"/>
        <v>28000</v>
      </c>
      <c r="H103" s="21">
        <f t="shared" si="7"/>
        <v>28000</v>
      </c>
      <c r="I103" s="22">
        <f t="shared" si="10"/>
        <v>0</v>
      </c>
      <c r="J103" s="21">
        <f t="shared" si="12"/>
        <v>0</v>
      </c>
      <c r="AZ103" s="2">
        <f>IF(16&gt;$BA$300,0,IFERROR(MATCH(16,$BA$1:$BA$300,0),0))</f>
        <v>27</v>
      </c>
      <c r="BA103" s="2">
        <f>BA100+SUM(CA101:CA103)</f>
        <v>29</v>
      </c>
      <c r="CA103" s="2">
        <f>IF(OR(_余额!$G$105&lt;&gt;0,_余额!$I$105&lt;&gt;0),1,0)</f>
        <v>0</v>
      </c>
    </row>
    <row r="104">
      <c r="A104" s="94">
        <f>IF($AZ104=0,"",17)</f>
        <v>17</v>
      </c>
      <c r="B104" s="96" t="str">
        <f t="shared" si="0"/>
        <v>九江朱总</v>
      </c>
      <c r="C104" s="94" t="str">
        <f t="shared" si="20"/>
        <v>分包</v>
      </c>
      <c r="D104" s="21">
        <f t="shared" si="1"/>
        <v>55000</v>
      </c>
      <c r="E104" s="21">
        <f t="shared" si="2"/>
        <v>55400</v>
      </c>
      <c r="F104" s="21">
        <f t="shared" si="4"/>
        <v>0</v>
      </c>
      <c r="G104" s="21">
        <f t="shared" si="5"/>
        <v>55000</v>
      </c>
      <c r="H104" s="21">
        <f t="shared" si="7"/>
        <v>55400</v>
      </c>
      <c r="I104" s="22">
        <f t="shared" si="10"/>
        <v>0</v>
      </c>
      <c r="J104" s="21">
        <f t="shared" si="12"/>
        <v>0</v>
      </c>
      <c r="AZ104" s="2">
        <f>IF(17&gt;$BA$300,0,IFERROR(MATCH(17,$BA$1:$BA$300,0),0))</f>
        <v>28</v>
      </c>
      <c r="BA104" s="2">
        <f>BA100+SUM(CA101:CA104)</f>
        <v>29</v>
      </c>
      <c r="CA104" s="2">
        <f>IF(OR(_余额!$G$106&lt;&gt;0,_余额!$I$106&lt;&gt;0),1,0)</f>
        <v>0</v>
      </c>
    </row>
    <row r="105">
      <c r="A105" s="94">
        <f>IF($AZ105=0,"",18)</f>
        <v>18</v>
      </c>
      <c r="B105" s="96" t="str">
        <f t="shared" si="0"/>
        <v>共安门业</v>
      </c>
      <c r="C105" s="94" t="str">
        <f t="shared" si="20"/>
        <v>分包</v>
      </c>
      <c r="D105" s="21">
        <f t="shared" si="1"/>
        <v>128922.53</v>
      </c>
      <c r="E105" s="21">
        <f t="shared" si="2"/>
        <v>128922</v>
      </c>
      <c r="F105" s="21">
        <f t="shared" si="4"/>
        <v>0</v>
      </c>
      <c r="G105" s="21">
        <f t="shared" si="5"/>
        <v>128922.53</v>
      </c>
      <c r="H105" s="21">
        <f t="shared" si="7"/>
        <v>128922</v>
      </c>
      <c r="I105" s="22">
        <f t="shared" si="10"/>
        <v>0</v>
      </c>
      <c r="J105" s="21">
        <f t="shared" si="12"/>
        <v>0</v>
      </c>
      <c r="AZ105" s="2">
        <f>IF(18&gt;$BA$300,0,IFERROR(MATCH(18,$BA$1:$BA$300,0),0))</f>
        <v>29</v>
      </c>
      <c r="BA105" s="2">
        <f>BA100+SUM(CA101:CA105)</f>
        <v>29</v>
      </c>
      <c r="CA105" s="2">
        <f>IF(OR(_余额!$G$107&lt;&gt;0,_余额!$I$107&lt;&gt;0),1,0)</f>
        <v>0</v>
      </c>
    </row>
    <row r="106">
      <c r="A106" s="94">
        <f>IF($AZ106=0,"",19)</f>
        <v>19</v>
      </c>
      <c r="B106" s="96" t="str">
        <f t="shared" si="0"/>
        <v>图揽成善</v>
      </c>
      <c r="C106" s="94" t="str">
        <f t="shared" si="20"/>
        <v>分包</v>
      </c>
      <c r="D106" s="21">
        <f t="shared" si="1"/>
        <v>155462</v>
      </c>
      <c r="E106" s="21">
        <f t="shared" si="2"/>
        <v>101245</v>
      </c>
      <c r="F106" s="21">
        <f t="shared" si="4"/>
        <v>0</v>
      </c>
      <c r="G106" s="21">
        <f t="shared" si="5"/>
        <v>155462</v>
      </c>
      <c r="H106" s="21">
        <f t="shared" si="7"/>
        <v>101245</v>
      </c>
      <c r="I106" s="22">
        <f t="shared" si="10"/>
        <v>0</v>
      </c>
      <c r="J106" s="21">
        <f t="shared" si="12"/>
        <v>0</v>
      </c>
      <c r="AZ106" s="2">
        <f>IF(19&gt;$BA$300,0,IFERROR(MATCH(19,$BA$1:$BA$300,0),0))</f>
        <v>30</v>
      </c>
      <c r="BA106" s="2">
        <f>BA100+SUM(CA101:CA106)</f>
        <v>29</v>
      </c>
      <c r="CA106" s="2">
        <f>IF(OR(_余额!$G$108&lt;&gt;0,_余额!$I$108&lt;&gt;0),1,0)</f>
        <v>0</v>
      </c>
    </row>
    <row r="107">
      <c r="A107" s="94">
        <f>IF($AZ107=0,"",20)</f>
        <v>20</v>
      </c>
      <c r="B107" s="96" t="str">
        <f t="shared" si="0"/>
        <v>祝冬冬</v>
      </c>
      <c r="C107" s="94" t="str">
        <f t="shared" si="20"/>
        <v>分包</v>
      </c>
      <c r="D107" s="21">
        <f t="shared" si="1"/>
        <v>140000</v>
      </c>
      <c r="E107" s="21">
        <f t="shared" si="2"/>
        <v>132000</v>
      </c>
      <c r="F107" s="21">
        <f t="shared" si="4"/>
        <v>0</v>
      </c>
      <c r="G107" s="21">
        <f t="shared" si="5"/>
        <v>140000</v>
      </c>
      <c r="H107" s="21">
        <f t="shared" si="7"/>
        <v>132000</v>
      </c>
      <c r="I107" s="22">
        <f t="shared" si="10"/>
        <v>0</v>
      </c>
      <c r="J107" s="21">
        <f t="shared" si="12"/>
        <v>0</v>
      </c>
      <c r="AZ107" s="2">
        <f>IF(20&gt;$BA$300,0,IFERROR(MATCH(20,$BA$1:$BA$300,0),0))</f>
        <v>31</v>
      </c>
      <c r="BA107" s="2">
        <f>BA100+SUM(CA101:CA107)</f>
        <v>29</v>
      </c>
      <c r="CA107" s="2">
        <f>IF(OR(_余额!$G$109&lt;&gt;0,_余额!$I$109&lt;&gt;0),1,0)</f>
        <v>0</v>
      </c>
    </row>
    <row r="108">
      <c r="A108" s="94">
        <f>IF($AZ108=0,"",21)</f>
        <v>21</v>
      </c>
      <c r="B108" s="96" t="str">
        <f t="shared" si="0"/>
        <v>张小朋（分包）</v>
      </c>
      <c r="C108" s="94" t="str">
        <f t="shared" si="20"/>
        <v>分包</v>
      </c>
      <c r="D108" s="21">
        <f t="shared" si="1"/>
        <v>52410</v>
      </c>
      <c r="E108" s="21">
        <f t="shared" si="2"/>
        <v>50260</v>
      </c>
      <c r="F108" s="21">
        <f t="shared" si="4"/>
        <v>0</v>
      </c>
      <c r="G108" s="21">
        <f t="shared" si="5"/>
        <v>52410</v>
      </c>
      <c r="H108" s="21">
        <f t="shared" si="7"/>
        <v>50260</v>
      </c>
      <c r="I108" s="22">
        <f t="shared" si="10"/>
        <v>0</v>
      </c>
      <c r="J108" s="21">
        <f t="shared" si="12"/>
        <v>0</v>
      </c>
      <c r="AZ108" s="2">
        <f>IF(21&gt;$BA$300,0,IFERROR(MATCH(21,$BA$1:$BA$300,0),0))</f>
        <v>32</v>
      </c>
      <c r="BA108" s="2">
        <f>BA100+SUM(CA101:CA108)</f>
        <v>29</v>
      </c>
      <c r="CA108" s="2">
        <f>IF(OR(_余额!$G$110&lt;&gt;0,_余额!$I$110&lt;&gt;0),1,0)</f>
        <v>0</v>
      </c>
    </row>
    <row r="109">
      <c r="A109" s="94">
        <f>IF($AZ109=0,"",22)</f>
        <v>22</v>
      </c>
      <c r="B109" s="96" t="str">
        <f t="shared" si="0"/>
        <v>徐怀生</v>
      </c>
      <c r="C109" s="94" t="str">
        <f t="shared" si="20"/>
        <v>分包</v>
      </c>
      <c r="D109" s="21">
        <f t="shared" si="1"/>
        <v>35960</v>
      </c>
      <c r="E109" s="21">
        <f t="shared" si="2"/>
        <v>35960</v>
      </c>
      <c r="F109" s="21">
        <f t="shared" si="4"/>
        <v>0</v>
      </c>
      <c r="G109" s="21">
        <f t="shared" si="5"/>
        <v>35960</v>
      </c>
      <c r="H109" s="21">
        <f t="shared" si="7"/>
        <v>35960</v>
      </c>
      <c r="I109" s="22">
        <f t="shared" si="10"/>
        <v>0</v>
      </c>
      <c r="J109" s="21">
        <f t="shared" si="12"/>
        <v>0</v>
      </c>
      <c r="AZ109" s="2">
        <f>IF(22&gt;$BA$300,0,IFERROR(MATCH(22,$BA$1:$BA$300,0),0))</f>
        <v>33</v>
      </c>
      <c r="BA109" s="2">
        <f>BA100+SUM(CA101:CA109)</f>
        <v>29</v>
      </c>
      <c r="CA109" s="2">
        <f>IF(OR(_余额!$G$111&lt;&gt;0,_余额!$I$111&lt;&gt;0),1,0)</f>
        <v>0</v>
      </c>
    </row>
    <row r="110">
      <c r="A110" s="94">
        <f>IF($AZ110=0,"",23)</f>
        <v>23</v>
      </c>
      <c r="B110" s="96" t="str">
        <f t="shared" si="0"/>
        <v>龚文坚</v>
      </c>
      <c r="C110" s="94" t="str">
        <f t="shared" si="20"/>
        <v>分包</v>
      </c>
      <c r="D110" s="21">
        <f t="shared" si="1"/>
        <v>541875</v>
      </c>
      <c r="E110" s="21">
        <f t="shared" si="2"/>
        <v>545720</v>
      </c>
      <c r="F110" s="21">
        <f t="shared" si="4"/>
        <v>0</v>
      </c>
      <c r="G110" s="21">
        <f t="shared" si="5"/>
        <v>541875</v>
      </c>
      <c r="H110" s="21">
        <f t="shared" si="7"/>
        <v>545720</v>
      </c>
      <c r="I110" s="22">
        <f t="shared" si="10"/>
        <v>0</v>
      </c>
      <c r="J110" s="21">
        <f t="shared" si="12"/>
        <v>0</v>
      </c>
      <c r="AZ110" s="2">
        <f>IF(23&gt;$BA$300,0,IFERROR(MATCH(23,$BA$1:$BA$300,0),0))</f>
        <v>34</v>
      </c>
      <c r="BA110" s="2">
        <f>BA100+SUM(CA101:CA110)</f>
        <v>29</v>
      </c>
      <c r="CA110" s="2">
        <f>IF(OR(_余额!$G$112&lt;&gt;0,_余额!$I$112&lt;&gt;0),1,0)</f>
        <v>0</v>
      </c>
    </row>
    <row r="111">
      <c r="A111" s="94">
        <f>IF($AZ111=0,"",24)</f>
        <v>24</v>
      </c>
      <c r="B111" s="96" t="str">
        <f t="shared" si="0"/>
        <v>程章赐（分包）</v>
      </c>
      <c r="C111" s="94" t="str">
        <f t="shared" si="20"/>
        <v>分包</v>
      </c>
      <c r="D111" s="21">
        <f t="shared" si="1"/>
        <v>18000</v>
      </c>
      <c r="E111" s="21">
        <f t="shared" si="2"/>
        <v>12000</v>
      </c>
      <c r="F111" s="21">
        <f t="shared" si="4"/>
        <v>0</v>
      </c>
      <c r="G111" s="21">
        <f t="shared" si="5"/>
        <v>18000</v>
      </c>
      <c r="H111" s="21">
        <f t="shared" si="7"/>
        <v>12000</v>
      </c>
      <c r="I111" s="22">
        <f t="shared" si="10"/>
        <v>0</v>
      </c>
      <c r="J111" s="21">
        <f t="shared" si="12"/>
        <v>0</v>
      </c>
      <c r="AZ111" s="2">
        <f>IF(24&gt;$BA$300,0,IFERROR(MATCH(24,$BA$1:$BA$300,0),0))</f>
        <v>35</v>
      </c>
      <c r="BA111" s="2">
        <f>BA100+SUM(CA101:CA111)</f>
        <v>29</v>
      </c>
      <c r="CA111" s="2">
        <f>IF(OR(_余额!$G$113&lt;&gt;0,_余额!$I$113&lt;&gt;0),1,0)</f>
        <v>0</v>
      </c>
    </row>
    <row r="112">
      <c r="A112" s="94">
        <f>IF($AZ112=0,"",25)</f>
        <v>25</v>
      </c>
      <c r="B112" s="96" t="str">
        <f t="shared" si="0"/>
        <v>杨工</v>
      </c>
      <c r="C112" s="94" t="str">
        <f t="shared" si="20"/>
        <v>机械运输</v>
      </c>
      <c r="D112" s="21">
        <f t="shared" si="1"/>
        <v>98875</v>
      </c>
      <c r="E112" s="21">
        <f t="shared" si="2"/>
        <v>30000</v>
      </c>
      <c r="F112" s="21">
        <f t="shared" si="4"/>
        <v>0</v>
      </c>
      <c r="G112" s="21">
        <f t="shared" si="5"/>
        <v>98875</v>
      </c>
      <c r="H112" s="21">
        <f t="shared" si="7"/>
        <v>30000</v>
      </c>
      <c r="I112" s="22">
        <f t="shared" si="10"/>
        <v>0</v>
      </c>
      <c r="J112" s="21">
        <f t="shared" si="12"/>
        <v>0</v>
      </c>
      <c r="AZ112" s="2">
        <f>IF(25&gt;$BA$300,0,IFERROR(MATCH(25,$BA$1:$BA$300,0),0))</f>
        <v>36</v>
      </c>
      <c r="BA112" s="2">
        <f>BA100+SUM(CA101:CA112)</f>
        <v>29</v>
      </c>
      <c r="CA112" s="2">
        <f>IF(OR(_余额!$G$114&lt;&gt;0,_余额!$I$114&lt;&gt;0),1,0)</f>
        <v>0</v>
      </c>
    </row>
    <row r="113">
      <c r="A113" s="94">
        <f>IF($AZ113=0,"",26)</f>
        <v>26</v>
      </c>
      <c r="B113" s="96" t="str">
        <f t="shared" si="0"/>
        <v>徐工</v>
      </c>
      <c r="C113" s="94" t="str">
        <f t="shared" si="20"/>
        <v>机械运输</v>
      </c>
      <c r="D113" s="21">
        <f t="shared" si="1"/>
        <v>6900</v>
      </c>
      <c r="E113" s="21">
        <f t="shared" si="2"/>
        <v>5000</v>
      </c>
      <c r="F113" s="21">
        <f t="shared" si="4"/>
        <v>5000</v>
      </c>
      <c r="G113" s="21">
        <f t="shared" si="5"/>
        <v>1900</v>
      </c>
      <c r="H113" s="21">
        <f t="shared" si="7"/>
        <v>0</v>
      </c>
      <c r="I113" s="22">
        <f t="shared" si="10"/>
        <v>0.72463768115942</v>
      </c>
      <c r="J113" s="21">
        <f t="shared" si="12"/>
        <v>0</v>
      </c>
      <c r="AZ113" s="2">
        <f>IF(26&gt;$BA$300,0,IFERROR(MATCH(26,$BA$1:$BA$300,0),0))</f>
        <v>37</v>
      </c>
      <c r="BA113" s="2">
        <f>BA100+SUM(CA101:CA113)</f>
        <v>29</v>
      </c>
      <c r="CA113" s="2">
        <f>IF(OR(_余额!$G$115&lt;&gt;0,_余额!$I$115&lt;&gt;0),1,0)</f>
        <v>0</v>
      </c>
    </row>
    <row r="114">
      <c r="A114" s="94">
        <f>IF($AZ114=0,"",27)</f>
        <v>27</v>
      </c>
      <c r="B114" s="96" t="str">
        <f t="shared" si="0"/>
        <v>德安县恒建工程部</v>
      </c>
      <c r="C114" s="94" t="str">
        <f t="shared" si="20"/>
        <v>机械运输</v>
      </c>
      <c r="D114" s="21">
        <f t="shared" si="1"/>
        <v>800</v>
      </c>
      <c r="E114" s="21">
        <f t="shared" si="2"/>
        <v>800</v>
      </c>
      <c r="F114" s="21">
        <f t="shared" si="4"/>
        <v>800</v>
      </c>
      <c r="G114" s="21">
        <f t="shared" si="5"/>
        <v>0</v>
      </c>
      <c r="H114" s="21">
        <f t="shared" si="7"/>
        <v>0</v>
      </c>
      <c r="I114" s="22">
        <f t="shared" si="10"/>
        <v>1</v>
      </c>
      <c r="J114" s="21">
        <f t="shared" si="12"/>
        <v>800</v>
      </c>
      <c r="AZ114" s="2">
        <f>IF(27&gt;$BA$300,0,IFERROR(MATCH(27,$BA$1:$BA$300,0),0))</f>
        <v>38</v>
      </c>
      <c r="BA114" s="2">
        <f>BA100+SUM(CA101:CA114)</f>
        <v>29</v>
      </c>
      <c r="CA114" s="2">
        <f>IF(OR(_余额!$G$116&lt;&gt;0,_余额!$I$116&lt;&gt;0),1,0)</f>
        <v>0</v>
      </c>
    </row>
    <row r="115">
      <c r="A115" s="94">
        <f>IF($AZ115=0,"",28)</f>
        <v>28</v>
      </c>
      <c r="B115" s="96" t="str">
        <f t="shared" si="0"/>
        <v>航帆增辉</v>
      </c>
      <c r="C115" s="94" t="str">
        <f t="shared" si="20"/>
        <v>机械运输</v>
      </c>
      <c r="D115" s="21">
        <f t="shared" si="1"/>
        <v>1000</v>
      </c>
      <c r="E115" s="21">
        <f t="shared" si="2"/>
        <v>1000</v>
      </c>
      <c r="F115" s="21">
        <f t="shared" si="4"/>
        <v>0</v>
      </c>
      <c r="G115" s="21">
        <f t="shared" si="5"/>
        <v>1000</v>
      </c>
      <c r="H115" s="21">
        <f t="shared" si="7"/>
        <v>1000</v>
      </c>
      <c r="I115" s="22">
        <f t="shared" si="10"/>
        <v>0</v>
      </c>
      <c r="J115" s="21">
        <f t="shared" si="12"/>
        <v>0</v>
      </c>
      <c r="AZ115" s="2">
        <f>IF(28&gt;$BA$300,0,IFERROR(MATCH(28,$BA$1:$BA$300,0),0))</f>
        <v>39</v>
      </c>
      <c r="BA115" s="2">
        <f>BA100+SUM(CA101:CA115)</f>
        <v>29</v>
      </c>
      <c r="CA115" s="2">
        <f>IF(OR(_余额!$G$117&lt;&gt;0,_余额!$I$117&lt;&gt;0),1,0)</f>
        <v>0</v>
      </c>
    </row>
    <row r="116">
      <c r="A116" s="94">
        <f>IF($AZ116=0,"",29)</f>
        <v>29</v>
      </c>
      <c r="B116" s="96" t="str">
        <f t="shared" si="0"/>
        <v>章德吉货运</v>
      </c>
      <c r="C116" s="94" t="str">
        <f t="shared" si="20"/>
        <v>机械运输</v>
      </c>
      <c r="D116" s="21">
        <f t="shared" si="1"/>
        <v>280</v>
      </c>
      <c r="E116" s="21">
        <f t="shared" si="2"/>
        <v>280</v>
      </c>
      <c r="F116" s="21">
        <f t="shared" si="4"/>
        <v>0</v>
      </c>
      <c r="G116" s="21">
        <f t="shared" si="5"/>
        <v>280</v>
      </c>
      <c r="H116" s="21">
        <f t="shared" si="7"/>
        <v>280</v>
      </c>
      <c r="I116" s="22">
        <f t="shared" si="10"/>
        <v>0</v>
      </c>
      <c r="J116" s="21">
        <f t="shared" si="12"/>
        <v>0</v>
      </c>
      <c r="AZ116" s="2">
        <f>IF(29&gt;$BA$300,0,IFERROR(MATCH(29,$BA$1:$BA$300,0),0))</f>
        <v>40</v>
      </c>
      <c r="BA116" s="2">
        <f>BA100+SUM(CA101:CA116)</f>
        <v>29</v>
      </c>
      <c r="CA116" s="2">
        <f>IF(OR(_余额!$G$118&lt;&gt;0,_余额!$I$118&lt;&gt;0),1,0)</f>
        <v>0</v>
      </c>
    </row>
    <row r="117">
      <c r="A117" s="94">
        <f>IF($AZ117=0,"",30)</f>
      </c>
      <c r="B117" s="96">
        <f t="shared" si="0"/>
      </c>
      <c r="C117" s="94">
        <f t="shared" si="20"/>
      </c>
      <c r="D117" s="21">
        <f t="shared" si="1"/>
      </c>
      <c r="E117" s="21">
        <f t="shared" si="2"/>
      </c>
      <c r="F117" s="21">
        <f t="shared" si="4"/>
      </c>
      <c r="G117" s="21">
        <f t="shared" si="5"/>
      </c>
      <c r="H117" s="21">
        <f t="shared" si="7"/>
      </c>
      <c r="I117" s="22">
        <f t="shared" si="10"/>
      </c>
      <c r="J117" s="21">
        <f t="shared" si="12"/>
      </c>
      <c r="AZ117" s="2">
        <f>IF(30&gt;$BA$300,0,IFERROR(MATCH(30,$BA$1:$BA$300,0),0))</f>
        <v>0</v>
      </c>
      <c r="BA117" s="2">
        <f>BA100+SUM(CA101:CA117)</f>
        <v>29</v>
      </c>
      <c r="CA117" s="2">
        <f>IF(OR(_余额!$G$119&lt;&gt;0,_余额!$I$119&lt;&gt;0),1,0)</f>
        <v>0</v>
      </c>
    </row>
    <row r="118">
      <c r="A118" s="94">
        <f>IF($AZ118=0,"",31)</f>
      </c>
      <c r="B118" s="96">
        <f t="shared" si="0"/>
      </c>
      <c r="C118" s="94">
        <f t="shared" si="20"/>
      </c>
      <c r="D118" s="21">
        <f t="shared" si="1"/>
      </c>
      <c r="E118" s="21">
        <f t="shared" si="2"/>
      </c>
      <c r="F118" s="21">
        <f t="shared" si="4"/>
      </c>
      <c r="G118" s="21">
        <f t="shared" si="5"/>
      </c>
      <c r="H118" s="21">
        <f t="shared" si="7"/>
      </c>
      <c r="I118" s="22">
        <f t="shared" si="10"/>
      </c>
      <c r="J118" s="21">
        <f t="shared" si="12"/>
      </c>
      <c r="AZ118" s="2">
        <f>IF(31&gt;$BA$300,0,IFERROR(MATCH(31,$BA$1:$BA$300,0),0))</f>
        <v>0</v>
      </c>
      <c r="BA118" s="2">
        <f>BA100+SUM(CA101:CA118)</f>
        <v>29</v>
      </c>
      <c r="CA118" s="2">
        <f>IF(OR(_余额!$G$120&lt;&gt;0,_余额!$I$120&lt;&gt;0),1,0)</f>
        <v>0</v>
      </c>
    </row>
    <row r="119">
      <c r="A119" s="94">
        <f>IF($AZ119=0,"",32)</f>
      </c>
      <c r="B119" s="96">
        <f t="shared" si="0"/>
      </c>
      <c r="C119" s="94">
        <f t="shared" si="20"/>
      </c>
      <c r="D119" s="21">
        <f t="shared" si="1"/>
      </c>
      <c r="E119" s="21">
        <f t="shared" si="2"/>
      </c>
      <c r="F119" s="21">
        <f t="shared" si="4"/>
      </c>
      <c r="G119" s="21">
        <f t="shared" si="5"/>
      </c>
      <c r="H119" s="21">
        <f t="shared" si="7"/>
      </c>
      <c r="I119" s="22">
        <f t="shared" si="10"/>
      </c>
      <c r="J119" s="21">
        <f t="shared" si="12"/>
      </c>
      <c r="AZ119" s="2">
        <f>IF(32&gt;$BA$300,0,IFERROR(MATCH(32,$BA$1:$BA$300,0),0))</f>
        <v>0</v>
      </c>
      <c r="BA119" s="2">
        <f>BA100+SUM(CA101:CA119)</f>
        <v>29</v>
      </c>
      <c r="CA119" s="2">
        <f>IF(OR(_余额!$G$121&lt;&gt;0,_余额!$I$121&lt;&gt;0),1,0)</f>
        <v>0</v>
      </c>
    </row>
    <row r="120">
      <c r="A120" s="94">
        <f>IF($AZ120=0,"",33)</f>
      </c>
      <c r="B120" s="96">
        <f t="shared" si="0"/>
      </c>
      <c r="C120" s="94">
        <f t="shared" si="20"/>
      </c>
      <c r="D120" s="21">
        <f t="shared" si="1"/>
      </c>
      <c r="E120" s="21">
        <f t="shared" si="2"/>
      </c>
      <c r="F120" s="21">
        <f t="shared" si="4"/>
      </c>
      <c r="G120" s="21">
        <f t="shared" si="5"/>
      </c>
      <c r="H120" s="21">
        <f t="shared" si="7"/>
      </c>
      <c r="I120" s="22">
        <f t="shared" si="10"/>
      </c>
      <c r="J120" s="21">
        <f t="shared" si="12"/>
      </c>
      <c r="AZ120" s="2">
        <f>IF(33&gt;$BA$300,0,IFERROR(MATCH(33,$BA$1:$BA$300,0),0))</f>
        <v>0</v>
      </c>
      <c r="BA120" s="2">
        <f>BA100+SUM(CA101:CA120)</f>
        <v>29</v>
      </c>
      <c r="CA120" s="2">
        <f>IF(OR(_余额!$G$122&lt;&gt;0,_余额!$I$122&lt;&gt;0),1,0)</f>
        <v>0</v>
      </c>
    </row>
    <row r="121">
      <c r="A121" s="94">
        <f>IF($AZ121=0,"",34)</f>
      </c>
      <c r="B121" s="96">
        <f t="shared" si="0"/>
      </c>
      <c r="C121" s="94">
        <f t="shared" si="20"/>
      </c>
      <c r="D121" s="21">
        <f t="shared" si="1"/>
      </c>
      <c r="E121" s="21">
        <f t="shared" si="2"/>
      </c>
      <c r="F121" s="21">
        <f t="shared" si="4"/>
      </c>
      <c r="G121" s="21">
        <f t="shared" si="5"/>
      </c>
      <c r="H121" s="21">
        <f t="shared" si="7"/>
      </c>
      <c r="I121" s="22">
        <f t="shared" si="10"/>
      </c>
      <c r="J121" s="21">
        <f t="shared" si="12"/>
      </c>
      <c r="AZ121" s="2">
        <f>IF(34&gt;$BA$300,0,IFERROR(MATCH(34,$BA$1:$BA$300,0),0))</f>
        <v>0</v>
      </c>
      <c r="BA121" s="2">
        <f>BA100+SUM(CA101:CA121)</f>
        <v>29</v>
      </c>
      <c r="CA121" s="2">
        <f>IF(OR(_余额!$G$123&lt;&gt;0,_余额!$I$123&lt;&gt;0),1,0)</f>
        <v>0</v>
      </c>
    </row>
    <row r="122">
      <c r="A122" s="94">
        <f>IF($AZ122=0,"",35)</f>
      </c>
      <c r="B122" s="96">
        <f t="shared" si="0"/>
      </c>
      <c r="C122" s="94">
        <f t="shared" si="20"/>
      </c>
      <c r="D122" s="21">
        <f t="shared" si="1"/>
      </c>
      <c r="E122" s="21">
        <f t="shared" si="2"/>
      </c>
      <c r="F122" s="21">
        <f t="shared" si="4"/>
      </c>
      <c r="G122" s="21">
        <f t="shared" si="5"/>
      </c>
      <c r="H122" s="21">
        <f t="shared" si="7"/>
      </c>
      <c r="I122" s="22">
        <f t="shared" si="10"/>
      </c>
      <c r="J122" s="21">
        <f t="shared" si="12"/>
      </c>
      <c r="AZ122" s="2">
        <f>IF(35&gt;$BA$300,0,IFERROR(MATCH(35,$BA$1:$BA$300,0),0))</f>
        <v>0</v>
      </c>
      <c r="BA122" s="2">
        <f>BA100+SUM(CA101:CA122)</f>
        <v>29</v>
      </c>
      <c r="CA122" s="2">
        <f>IF(OR(_余额!$G$124&lt;&gt;0,_余额!$I$124&lt;&gt;0),1,0)</f>
        <v>0</v>
      </c>
    </row>
    <row r="123">
      <c r="A123" s="94">
        <f>IF($AZ123=0,"",36)</f>
      </c>
      <c r="B123" s="96">
        <f t="shared" si="0"/>
      </c>
      <c r="C123" s="94">
        <f t="shared" si="20"/>
      </c>
      <c r="D123" s="21">
        <f t="shared" si="1"/>
      </c>
      <c r="E123" s="21">
        <f t="shared" si="2"/>
      </c>
      <c r="F123" s="21">
        <f t="shared" si="4"/>
      </c>
      <c r="G123" s="21">
        <f t="shared" si="5"/>
      </c>
      <c r="H123" s="21">
        <f t="shared" si="7"/>
      </c>
      <c r="I123" s="22">
        <f t="shared" si="10"/>
      </c>
      <c r="J123" s="21">
        <f t="shared" si="12"/>
      </c>
      <c r="AZ123" s="2">
        <f>IF(36&gt;$BA$300,0,IFERROR(MATCH(36,$BA$1:$BA$300,0),0))</f>
        <v>0</v>
      </c>
      <c r="BA123" s="2">
        <f>BA100+SUM(CA101:CA123)</f>
        <v>29</v>
      </c>
      <c r="CA123" s="2">
        <f>IF(OR(_余额!$G$125&lt;&gt;0,_余额!$I$125&lt;&gt;0),1,0)</f>
        <v>0</v>
      </c>
    </row>
    <row r="124">
      <c r="A124" s="94">
        <f>IF($AZ124=0,"",37)</f>
      </c>
      <c r="B124" s="96">
        <f t="shared" si="0"/>
      </c>
      <c r="C124" s="94">
        <f t="shared" si="20"/>
      </c>
      <c r="D124" s="21">
        <f t="shared" si="1"/>
      </c>
      <c r="E124" s="21">
        <f t="shared" si="2"/>
      </c>
      <c r="F124" s="21">
        <f t="shared" si="4"/>
      </c>
      <c r="G124" s="21">
        <f t="shared" si="5"/>
      </c>
      <c r="H124" s="21">
        <f t="shared" si="7"/>
      </c>
      <c r="I124" s="22">
        <f t="shared" si="10"/>
      </c>
      <c r="J124" s="21">
        <f t="shared" si="12"/>
      </c>
      <c r="AZ124" s="2">
        <f>IF(37&gt;$BA$300,0,IFERROR(MATCH(37,$BA$1:$BA$300,0),0))</f>
        <v>0</v>
      </c>
      <c r="BA124" s="2">
        <f>BA100+SUM(CA101:CA124)</f>
        <v>29</v>
      </c>
      <c r="CA124" s="2">
        <f>IF(OR(_余额!$G$126&lt;&gt;0,_余额!$I$126&lt;&gt;0),1,0)</f>
        <v>0</v>
      </c>
    </row>
    <row r="125">
      <c r="A125" s="94">
        <f>IF($AZ125=0,"",38)</f>
      </c>
      <c r="B125" s="96">
        <f t="shared" si="0"/>
      </c>
      <c r="C125" s="94">
        <f t="shared" si="20"/>
      </c>
      <c r="D125" s="21">
        <f t="shared" si="1"/>
      </c>
      <c r="E125" s="21">
        <f t="shared" si="2"/>
      </c>
      <c r="F125" s="21">
        <f t="shared" si="4"/>
      </c>
      <c r="G125" s="21">
        <f t="shared" si="5"/>
      </c>
      <c r="H125" s="21">
        <f t="shared" si="7"/>
      </c>
      <c r="I125" s="22">
        <f t="shared" si="10"/>
      </c>
      <c r="J125" s="21">
        <f t="shared" si="12"/>
      </c>
      <c r="AZ125" s="2">
        <f>IF(38&gt;$BA$300,0,IFERROR(MATCH(38,$BA$1:$BA$300,0),0))</f>
        <v>0</v>
      </c>
      <c r="BA125" s="2">
        <f>BA100+SUM(CA101:CA125)</f>
        <v>29</v>
      </c>
      <c r="CA125" s="2">
        <f>IF(OR(_余额!$G$127&lt;&gt;0,_余额!$I$127&lt;&gt;0),1,0)</f>
        <v>0</v>
      </c>
    </row>
    <row r="126">
      <c r="A126" s="94">
        <f>IF($AZ126=0,"",39)</f>
      </c>
      <c r="B126" s="96">
        <f t="shared" si="0"/>
      </c>
      <c r="C126" s="94">
        <f t="shared" si="20"/>
      </c>
      <c r="D126" s="21">
        <f t="shared" si="1"/>
      </c>
      <c r="E126" s="21">
        <f t="shared" si="2"/>
      </c>
      <c r="F126" s="21">
        <f t="shared" si="4"/>
      </c>
      <c r="G126" s="21">
        <f t="shared" si="5"/>
      </c>
      <c r="H126" s="21">
        <f t="shared" si="7"/>
      </c>
      <c r="I126" s="22">
        <f t="shared" si="10"/>
      </c>
      <c r="J126" s="21">
        <f t="shared" si="12"/>
      </c>
      <c r="AZ126" s="2">
        <f>IF(39&gt;$BA$300,0,IFERROR(MATCH(39,$BA$1:$BA$300,0),0))</f>
        <v>0</v>
      </c>
      <c r="BA126" s="2">
        <f>BA100+SUM(CA101:CA126)</f>
        <v>29</v>
      </c>
      <c r="CA126" s="2">
        <f>IF(OR(_余额!$G$128&lt;&gt;0,_余额!$I$128&lt;&gt;0),1,0)</f>
        <v>0</v>
      </c>
    </row>
    <row r="127">
      <c r="A127" s="94">
        <f>IF($AZ127=0,"",40)</f>
      </c>
      <c r="B127" s="96">
        <f t="shared" si="0"/>
      </c>
      <c r="C127" s="94">
        <f t="shared" si="20"/>
      </c>
      <c r="D127" s="21">
        <f t="shared" si="1"/>
      </c>
      <c r="E127" s="21">
        <f t="shared" si="2"/>
      </c>
      <c r="F127" s="21">
        <f t="shared" si="4"/>
      </c>
      <c r="G127" s="21">
        <f t="shared" si="5"/>
      </c>
      <c r="H127" s="21">
        <f t="shared" si="7"/>
      </c>
      <c r="I127" s="22">
        <f t="shared" si="10"/>
      </c>
      <c r="J127" s="21">
        <f t="shared" si="12"/>
      </c>
      <c r="AZ127" s="2">
        <f>IF(40&gt;$BA$300,0,IFERROR(MATCH(40,$BA$1:$BA$300,0),0))</f>
        <v>0</v>
      </c>
      <c r="BA127" s="2">
        <f>BA100+SUM(CA101:CA127)</f>
        <v>29</v>
      </c>
      <c r="CA127" s="2">
        <f>IF(OR(_余额!$G$129&lt;&gt;0,_余额!$I$129&lt;&gt;0),1,0)</f>
        <v>0</v>
      </c>
    </row>
    <row r="128">
      <c r="A128" s="94">
        <f>IF($AZ128=0,"",41)</f>
      </c>
      <c r="B128" s="96">
        <f t="shared" si="0"/>
      </c>
      <c r="C128" s="94">
        <f t="shared" si="20"/>
      </c>
      <c r="D128" s="21">
        <f t="shared" si="1"/>
      </c>
      <c r="E128" s="21">
        <f t="shared" si="2"/>
      </c>
      <c r="F128" s="21">
        <f t="shared" si="4"/>
      </c>
      <c r="G128" s="21">
        <f t="shared" si="5"/>
      </c>
      <c r="H128" s="21">
        <f t="shared" si="7"/>
      </c>
      <c r="I128" s="22">
        <f t="shared" si="10"/>
      </c>
      <c r="J128" s="21">
        <f t="shared" si="12"/>
      </c>
      <c r="AZ128" s="2">
        <f>IF(41&gt;$BA$300,0,IFERROR(MATCH(41,$BA$1:$BA$300,0),0))</f>
        <v>0</v>
      </c>
      <c r="BA128" s="2">
        <f>BA100+SUM(CA101:CA128)</f>
        <v>29</v>
      </c>
      <c r="CA128" s="2">
        <f>IF(OR(_余额!$G$130&lt;&gt;0,_余额!$I$130&lt;&gt;0),1,0)</f>
        <v>0</v>
      </c>
    </row>
    <row r="129">
      <c r="A129" s="94">
        <f>IF($AZ129=0,"",42)</f>
      </c>
      <c r="B129" s="96">
        <f t="shared" si="0"/>
      </c>
      <c r="C129" s="94">
        <f t="shared" si="20"/>
      </c>
      <c r="D129" s="21">
        <f t="shared" si="1"/>
      </c>
      <c r="E129" s="21">
        <f t="shared" si="2"/>
      </c>
      <c r="F129" s="21">
        <f t="shared" si="4"/>
      </c>
      <c r="G129" s="21">
        <f t="shared" si="5"/>
      </c>
      <c r="H129" s="21">
        <f t="shared" si="7"/>
      </c>
      <c r="I129" s="22">
        <f t="shared" si="10"/>
      </c>
      <c r="J129" s="21">
        <f t="shared" si="12"/>
      </c>
      <c r="AZ129" s="2">
        <f>IF(42&gt;$BA$300,0,IFERROR(MATCH(42,$BA$1:$BA$300,0),0))</f>
        <v>0</v>
      </c>
      <c r="BA129" s="2">
        <f>BA100+SUM(CA101:CA129)</f>
        <v>29</v>
      </c>
      <c r="CA129" s="2">
        <f>IF(OR(_余额!$G$131&lt;&gt;0,_余额!$I$131&lt;&gt;0),1,0)</f>
        <v>0</v>
      </c>
    </row>
    <row r="130">
      <c r="A130" s="94">
        <f>IF($AZ130=0,"",43)</f>
      </c>
      <c r="B130" s="96">
        <f t="shared" si="0"/>
      </c>
      <c r="C130" s="94">
        <f t="shared" si="20"/>
      </c>
      <c r="D130" s="21">
        <f t="shared" si="1"/>
      </c>
      <c r="E130" s="21">
        <f t="shared" si="2"/>
      </c>
      <c r="F130" s="21">
        <f t="shared" si="4"/>
      </c>
      <c r="G130" s="21">
        <f t="shared" si="5"/>
      </c>
      <c r="H130" s="21">
        <f t="shared" si="7"/>
      </c>
      <c r="I130" s="22">
        <f t="shared" si="10"/>
      </c>
      <c r="J130" s="21">
        <f t="shared" si="12"/>
      </c>
      <c r="AZ130" s="2">
        <f>IF(43&gt;$BA$300,0,IFERROR(MATCH(43,$BA$1:$BA$300,0),0))</f>
        <v>0</v>
      </c>
      <c r="BA130" s="2">
        <f>BA100+SUM(CA101:CA130)</f>
        <v>29</v>
      </c>
      <c r="CA130" s="2">
        <f>IF(OR(_余额!$G$132&lt;&gt;0,_余额!$I$132&lt;&gt;0),1,0)</f>
        <v>0</v>
      </c>
    </row>
    <row r="131">
      <c r="A131" s="94">
        <f>IF($AZ131=0,"",44)</f>
      </c>
      <c r="B131" s="96">
        <f t="shared" si="0"/>
      </c>
      <c r="C131" s="94">
        <f t="shared" si="20"/>
      </c>
      <c r="D131" s="21">
        <f t="shared" si="1"/>
      </c>
      <c r="E131" s="21">
        <f t="shared" si="2"/>
      </c>
      <c r="F131" s="21">
        <f t="shared" si="4"/>
      </c>
      <c r="G131" s="21">
        <f t="shared" si="5"/>
      </c>
      <c r="H131" s="21">
        <f t="shared" si="7"/>
      </c>
      <c r="I131" s="22">
        <f t="shared" si="10"/>
      </c>
      <c r="J131" s="21">
        <f t="shared" si="12"/>
      </c>
      <c r="AZ131" s="2">
        <f>IF(44&gt;$BA$300,0,IFERROR(MATCH(44,$BA$1:$BA$300,0),0))</f>
        <v>0</v>
      </c>
      <c r="BA131" s="2">
        <f>BA100+SUM(CA101:CA131)</f>
        <v>29</v>
      </c>
      <c r="CA131" s="2">
        <f>IF(OR(_余额!$G$133&lt;&gt;0,_余额!$I$133&lt;&gt;0),1,0)</f>
        <v>0</v>
      </c>
    </row>
    <row r="132">
      <c r="A132" s="94">
        <f>IF($AZ132=0,"",45)</f>
      </c>
      <c r="B132" s="96">
        <f t="shared" si="0"/>
      </c>
      <c r="C132" s="94">
        <f t="shared" si="20"/>
      </c>
      <c r="D132" s="21">
        <f t="shared" si="1"/>
      </c>
      <c r="E132" s="21">
        <f t="shared" si="2"/>
      </c>
      <c r="F132" s="21">
        <f t="shared" si="4"/>
      </c>
      <c r="G132" s="21">
        <f t="shared" si="5"/>
      </c>
      <c r="H132" s="21">
        <f t="shared" si="7"/>
      </c>
      <c r="I132" s="22">
        <f t="shared" si="10"/>
      </c>
      <c r="J132" s="21">
        <f t="shared" si="12"/>
      </c>
      <c r="AZ132" s="2">
        <f>IF(45&gt;$BA$300,0,IFERROR(MATCH(45,$BA$1:$BA$300,0),0))</f>
        <v>0</v>
      </c>
      <c r="BA132" s="2">
        <f>BA100+SUM(CA101:CA132)</f>
        <v>29</v>
      </c>
      <c r="CA132" s="2">
        <f>IF(OR(_余额!$G$134&lt;&gt;0,_余额!$I$134&lt;&gt;0),1,0)</f>
        <v>0</v>
      </c>
    </row>
    <row r="133">
      <c r="A133" s="94">
        <f>IF($AZ133=0,"",46)</f>
      </c>
      <c r="B133" s="96">
        <f t="shared" si="0"/>
      </c>
      <c r="C133" s="94">
        <f t="shared" si="20"/>
      </c>
      <c r="D133" s="21">
        <f t="shared" si="1"/>
      </c>
      <c r="E133" s="21">
        <f t="shared" si="2"/>
      </c>
      <c r="F133" s="21">
        <f t="shared" si="4"/>
      </c>
      <c r="G133" s="21">
        <f t="shared" si="5"/>
      </c>
      <c r="H133" s="21">
        <f t="shared" si="7"/>
      </c>
      <c r="I133" s="22">
        <f t="shared" si="10"/>
      </c>
      <c r="J133" s="21">
        <f t="shared" si="12"/>
      </c>
      <c r="AZ133" s="2">
        <f>IF(46&gt;$BA$300,0,IFERROR(MATCH(46,$BA$1:$BA$300,0),0))</f>
        <v>0</v>
      </c>
      <c r="BA133" s="2">
        <f>BA100+SUM(CA101:CA133)</f>
        <v>29</v>
      </c>
      <c r="CA133" s="2">
        <f>IF(OR(_余额!$G$135&lt;&gt;0,_余额!$I$135&lt;&gt;0),1,0)</f>
        <v>0</v>
      </c>
    </row>
    <row r="134">
      <c r="A134" s="94">
        <f>IF($AZ134=0,"",47)</f>
      </c>
      <c r="B134" s="96">
        <f t="shared" si="0"/>
      </c>
      <c r="C134" s="94">
        <f t="shared" si="20"/>
      </c>
      <c r="D134" s="21">
        <f t="shared" si="1"/>
      </c>
      <c r="E134" s="21">
        <f t="shared" si="2"/>
      </c>
      <c r="F134" s="21">
        <f t="shared" si="4"/>
      </c>
      <c r="G134" s="21">
        <f t="shared" si="5"/>
      </c>
      <c r="H134" s="21">
        <f t="shared" si="7"/>
      </c>
      <c r="I134" s="22">
        <f t="shared" si="10"/>
      </c>
      <c r="J134" s="21">
        <f t="shared" si="12"/>
      </c>
      <c r="AZ134" s="2">
        <f>IF(47&gt;$BA$300,0,IFERROR(MATCH(47,$BA$1:$BA$300,0),0))</f>
        <v>0</v>
      </c>
      <c r="BA134" s="2">
        <f>BA100+SUM(CA101:CA134)</f>
        <v>29</v>
      </c>
      <c r="CA134" s="2">
        <f>IF(OR(_余额!$G$136&lt;&gt;0,_余额!$I$136&lt;&gt;0),1,0)</f>
        <v>0</v>
      </c>
    </row>
    <row r="135">
      <c r="A135" s="94">
        <f>IF($AZ135=0,"",48)</f>
      </c>
      <c r="B135" s="96">
        <f t="shared" si="0"/>
      </c>
      <c r="C135" s="94">
        <f t="shared" si="20"/>
      </c>
      <c r="D135" s="21">
        <f t="shared" si="1"/>
      </c>
      <c r="E135" s="21">
        <f t="shared" si="2"/>
      </c>
      <c r="F135" s="21">
        <f t="shared" si="4"/>
      </c>
      <c r="G135" s="21">
        <f t="shared" si="5"/>
      </c>
      <c r="H135" s="21">
        <f t="shared" si="7"/>
      </c>
      <c r="I135" s="22">
        <f t="shared" si="10"/>
      </c>
      <c r="J135" s="21">
        <f t="shared" si="12"/>
      </c>
      <c r="AZ135" s="2">
        <f>IF(48&gt;$BA$300,0,IFERROR(MATCH(48,$BA$1:$BA$300,0),0))</f>
        <v>0</v>
      </c>
      <c r="BA135" s="2">
        <f>BA100+SUM(CA101:CA135)</f>
        <v>29</v>
      </c>
      <c r="CA135" s="2">
        <f>IF(OR(_余额!$G$137&lt;&gt;0,_余额!$I$137&lt;&gt;0),1,0)</f>
        <v>0</v>
      </c>
    </row>
    <row r="136">
      <c r="A136" s="94">
        <f>IF($AZ136=0,"",49)</f>
      </c>
      <c r="B136" s="96">
        <f t="shared" si="0"/>
      </c>
      <c r="C136" s="94">
        <f t="shared" si="20"/>
      </c>
      <c r="D136" s="21">
        <f t="shared" si="1"/>
      </c>
      <c r="E136" s="21">
        <f t="shared" si="2"/>
      </c>
      <c r="F136" s="21">
        <f t="shared" si="4"/>
      </c>
      <c r="G136" s="21">
        <f t="shared" si="5"/>
      </c>
      <c r="H136" s="21">
        <f t="shared" si="7"/>
      </c>
      <c r="I136" s="22">
        <f t="shared" si="10"/>
      </c>
      <c r="J136" s="21">
        <f t="shared" si="12"/>
      </c>
      <c r="AZ136" s="2">
        <f>IF(49&gt;$BA$300,0,IFERROR(MATCH(49,$BA$1:$BA$300,0),0))</f>
        <v>0</v>
      </c>
      <c r="BA136" s="2">
        <f>BA100+SUM(CA101:CA136)</f>
        <v>29</v>
      </c>
      <c r="CA136" s="2">
        <f>IF(OR(_余额!$G$138&lt;&gt;0,_余额!$I$138&lt;&gt;0),1,0)</f>
        <v>0</v>
      </c>
    </row>
    <row r="137">
      <c r="A137" s="94">
        <f>IF($AZ137=0,"",50)</f>
      </c>
      <c r="B137" s="96">
        <f t="shared" si="0"/>
      </c>
      <c r="C137" s="94">
        <f t="shared" si="20"/>
      </c>
      <c r="D137" s="21">
        <f t="shared" si="1"/>
      </c>
      <c r="E137" s="21">
        <f t="shared" si="2"/>
      </c>
      <c r="F137" s="21">
        <f t="shared" si="4"/>
      </c>
      <c r="G137" s="21">
        <f t="shared" si="5"/>
      </c>
      <c r="H137" s="21">
        <f t="shared" si="7"/>
      </c>
      <c r="I137" s="22">
        <f t="shared" si="10"/>
      </c>
      <c r="J137" s="21">
        <f t="shared" si="12"/>
      </c>
      <c r="AZ137" s="2">
        <f>IF(50&gt;$BA$300,0,IFERROR(MATCH(50,$BA$1:$BA$300,0),0))</f>
        <v>0</v>
      </c>
      <c r="BA137" s="2">
        <f>BA100+SUM(CA101:CA137)</f>
        <v>29</v>
      </c>
      <c r="CA137" s="2">
        <f>IF(OR(_余额!$G$139&lt;&gt;0,_余额!$I$139&lt;&gt;0),1,0)</f>
        <v>0</v>
      </c>
    </row>
    <row r="138">
      <c r="A138" s="94">
        <f>IF($AZ138=0,"",51)</f>
      </c>
      <c r="B138" s="96">
        <f t="shared" si="0"/>
      </c>
      <c r="C138" s="94">
        <f t="shared" si="20"/>
      </c>
      <c r="D138" s="21">
        <f t="shared" si="1"/>
      </c>
      <c r="E138" s="21">
        <f t="shared" si="2"/>
      </c>
      <c r="F138" s="21">
        <f t="shared" si="4"/>
      </c>
      <c r="G138" s="21">
        <f t="shared" si="5"/>
      </c>
      <c r="H138" s="21">
        <f t="shared" si="7"/>
      </c>
      <c r="I138" s="22">
        <f t="shared" si="10"/>
      </c>
      <c r="J138" s="21">
        <f t="shared" si="12"/>
      </c>
      <c r="AZ138" s="2">
        <f>IF(51&gt;$BA$300,0,IFERROR(MATCH(51,$BA$1:$BA$300,0),0))</f>
        <v>0</v>
      </c>
      <c r="BA138" s="2">
        <f>BA100+SUM(CA101:CA138)</f>
        <v>29</v>
      </c>
      <c r="CA138" s="2">
        <f>IF(OR(_余额!$G$140&lt;&gt;0,_余额!$I$140&lt;&gt;0),1,0)</f>
        <v>0</v>
      </c>
    </row>
    <row r="139">
      <c r="A139" s="94">
        <f>IF($AZ139=0,"",52)</f>
      </c>
      <c r="B139" s="96">
        <f t="shared" si="0"/>
      </c>
      <c r="C139" s="94">
        <f t="shared" si="20"/>
      </c>
      <c r="D139" s="21">
        <f t="shared" si="1"/>
      </c>
      <c r="E139" s="21">
        <f t="shared" si="2"/>
      </c>
      <c r="F139" s="21">
        <f t="shared" si="4"/>
      </c>
      <c r="G139" s="21">
        <f t="shared" si="5"/>
      </c>
      <c r="H139" s="21">
        <f t="shared" si="7"/>
      </c>
      <c r="I139" s="22">
        <f t="shared" si="10"/>
      </c>
      <c r="J139" s="21">
        <f t="shared" si="12"/>
      </c>
      <c r="AZ139" s="2">
        <f>IF(52&gt;$BA$300,0,IFERROR(MATCH(52,$BA$1:$BA$300,0),0))</f>
        <v>0</v>
      </c>
      <c r="BA139" s="2">
        <f>BA100+SUM(CA101:CA139)</f>
        <v>29</v>
      </c>
      <c r="CA139" s="2">
        <f>IF(OR(_余额!$G$141&lt;&gt;0,_余额!$I$141&lt;&gt;0),1,0)</f>
        <v>0</v>
      </c>
    </row>
    <row r="140">
      <c r="A140" s="94">
        <f>IF($AZ140=0,"",53)</f>
      </c>
      <c r="B140" s="96">
        <f t="shared" si="0"/>
      </c>
      <c r="C140" s="94">
        <f t="shared" si="20"/>
      </c>
      <c r="D140" s="21">
        <f t="shared" si="1"/>
      </c>
      <c r="E140" s="21">
        <f t="shared" si="2"/>
      </c>
      <c r="F140" s="21">
        <f t="shared" si="4"/>
      </c>
      <c r="G140" s="21">
        <f t="shared" si="5"/>
      </c>
      <c r="H140" s="21">
        <f t="shared" si="7"/>
      </c>
      <c r="I140" s="22">
        <f t="shared" si="10"/>
      </c>
      <c r="J140" s="21">
        <f t="shared" si="12"/>
      </c>
      <c r="AZ140" s="2">
        <f>IF(53&gt;$BA$300,0,IFERROR(MATCH(53,$BA$1:$BA$300,0),0))</f>
        <v>0</v>
      </c>
      <c r="BA140" s="2">
        <f>BA100+SUM(CA101:CA140)</f>
        <v>29</v>
      </c>
      <c r="CA140" s="2">
        <f>IF(OR(_余额!$G$142&lt;&gt;0,_余额!$I$142&lt;&gt;0),1,0)</f>
        <v>0</v>
      </c>
    </row>
    <row r="141">
      <c r="A141" s="94">
        <f>IF($AZ141=0,"",54)</f>
      </c>
      <c r="B141" s="96">
        <f t="shared" si="0"/>
      </c>
      <c r="C141" s="94">
        <f t="shared" si="20"/>
      </c>
      <c r="D141" s="21">
        <f t="shared" si="1"/>
      </c>
      <c r="E141" s="21">
        <f t="shared" si="2"/>
      </c>
      <c r="F141" s="21">
        <f t="shared" si="4"/>
      </c>
      <c r="G141" s="21">
        <f t="shared" si="5"/>
      </c>
      <c r="H141" s="21">
        <f t="shared" si="7"/>
      </c>
      <c r="I141" s="22">
        <f t="shared" si="10"/>
      </c>
      <c r="J141" s="21">
        <f t="shared" si="12"/>
      </c>
      <c r="AZ141" s="2">
        <f>IF(54&gt;$BA$300,0,IFERROR(MATCH(54,$BA$1:$BA$300,0),0))</f>
        <v>0</v>
      </c>
      <c r="BA141" s="2">
        <f>BA100+SUM(CA101:CA141)</f>
        <v>29</v>
      </c>
      <c r="CA141" s="2">
        <f>IF(OR(_余额!$G$143&lt;&gt;0,_余额!$I$143&lt;&gt;0),1,0)</f>
        <v>0</v>
      </c>
    </row>
    <row r="142">
      <c r="A142" s="94">
        <f>IF($AZ142=0,"",55)</f>
      </c>
      <c r="B142" s="96">
        <f t="shared" si="0"/>
      </c>
      <c r="C142" s="94">
        <f t="shared" si="20"/>
      </c>
      <c r="D142" s="21">
        <f t="shared" si="1"/>
      </c>
      <c r="E142" s="21">
        <f t="shared" si="2"/>
      </c>
      <c r="F142" s="21">
        <f t="shared" si="4"/>
      </c>
      <c r="G142" s="21">
        <f t="shared" si="5"/>
      </c>
      <c r="H142" s="21">
        <f t="shared" si="7"/>
      </c>
      <c r="I142" s="22">
        <f t="shared" si="10"/>
      </c>
      <c r="J142" s="21">
        <f t="shared" si="12"/>
      </c>
      <c r="AZ142" s="2">
        <f>IF(55&gt;$BA$300,0,IFERROR(MATCH(55,$BA$1:$BA$300,0),0))</f>
        <v>0</v>
      </c>
      <c r="BA142" s="2">
        <f>BA100+SUM(CA101:CA142)</f>
        <v>29</v>
      </c>
      <c r="CA142" s="2">
        <f>IF(OR(_余额!$G$144&lt;&gt;0,_余额!$I$144&lt;&gt;0),1,0)</f>
        <v>0</v>
      </c>
    </row>
    <row r="143">
      <c r="A143" s="94">
        <f>IF($AZ143=0,"",56)</f>
      </c>
      <c r="B143" s="96">
        <f t="shared" si="0"/>
      </c>
      <c r="C143" s="94">
        <f t="shared" si="20"/>
      </c>
      <c r="D143" s="21">
        <f t="shared" si="1"/>
      </c>
      <c r="E143" s="21">
        <f t="shared" si="2"/>
      </c>
      <c r="F143" s="21">
        <f t="shared" si="4"/>
      </c>
      <c r="G143" s="21">
        <f t="shared" si="5"/>
      </c>
      <c r="H143" s="21">
        <f t="shared" si="7"/>
      </c>
      <c r="I143" s="22">
        <f t="shared" si="10"/>
      </c>
      <c r="J143" s="21">
        <f t="shared" si="12"/>
      </c>
      <c r="AZ143" s="2">
        <f>IF(56&gt;$BA$300,0,IFERROR(MATCH(56,$BA$1:$BA$300,0),0))</f>
        <v>0</v>
      </c>
      <c r="BA143" s="2">
        <f>BA100+SUM(CA101:CA143)</f>
        <v>29</v>
      </c>
      <c r="CA143" s="2">
        <f>IF(OR(_余额!$G$145&lt;&gt;0,_余额!$I$145&lt;&gt;0),1,0)</f>
        <v>0</v>
      </c>
    </row>
    <row r="144">
      <c r="A144" s="94">
        <f>IF($AZ144=0,"",57)</f>
      </c>
      <c r="B144" s="96">
        <f t="shared" si="0"/>
      </c>
      <c r="C144" s="94">
        <f t="shared" si="20"/>
      </c>
      <c r="D144" s="21">
        <f t="shared" si="1"/>
      </c>
      <c r="E144" s="21">
        <f t="shared" si="2"/>
      </c>
      <c r="F144" s="21">
        <f t="shared" si="4"/>
      </c>
      <c r="G144" s="21">
        <f t="shared" si="5"/>
      </c>
      <c r="H144" s="21">
        <f t="shared" si="7"/>
      </c>
      <c r="I144" s="22">
        <f t="shared" si="10"/>
      </c>
      <c r="J144" s="21">
        <f t="shared" si="12"/>
      </c>
      <c r="AZ144" s="2">
        <f>IF(57&gt;$BA$300,0,IFERROR(MATCH(57,$BA$1:$BA$300,0),0))</f>
        <v>0</v>
      </c>
      <c r="BA144" s="2">
        <f>BA100+SUM(CA101:CA144)</f>
        <v>29</v>
      </c>
      <c r="CA144" s="2">
        <f>IF(OR(_余额!$G$146&lt;&gt;0,_余额!$I$146&lt;&gt;0),1,0)</f>
        <v>0</v>
      </c>
    </row>
    <row r="145">
      <c r="A145" s="94">
        <f>IF($AZ145=0,"",58)</f>
      </c>
      <c r="B145" s="96">
        <f t="shared" si="0"/>
      </c>
      <c r="C145" s="94">
        <f t="shared" si="20"/>
      </c>
      <c r="D145" s="21">
        <f t="shared" si="1"/>
      </c>
      <c r="E145" s="21">
        <f t="shared" si="2"/>
      </c>
      <c r="F145" s="21">
        <f t="shared" si="4"/>
      </c>
      <c r="G145" s="21">
        <f t="shared" si="5"/>
      </c>
      <c r="H145" s="21">
        <f t="shared" si="7"/>
      </c>
      <c r="I145" s="22">
        <f t="shared" si="10"/>
      </c>
      <c r="J145" s="21">
        <f t="shared" si="12"/>
      </c>
      <c r="AZ145" s="2">
        <f>IF(58&gt;$BA$300,0,IFERROR(MATCH(58,$BA$1:$BA$300,0),0))</f>
        <v>0</v>
      </c>
      <c r="BA145" s="2">
        <f>BA100+SUM(CA101:CA145)</f>
        <v>29</v>
      </c>
      <c r="CA145" s="2">
        <f>IF(OR(_余额!$G$147&lt;&gt;0,_余额!$I$147&lt;&gt;0),1,0)</f>
        <v>0</v>
      </c>
    </row>
    <row r="146">
      <c r="A146" s="94">
        <f>IF($AZ146=0,"",59)</f>
      </c>
      <c r="B146" s="96">
        <f t="shared" si="0"/>
      </c>
      <c r="C146" s="94">
        <f t="shared" si="20"/>
      </c>
      <c r="D146" s="21">
        <f t="shared" si="1"/>
      </c>
      <c r="E146" s="21">
        <f t="shared" si="2"/>
      </c>
      <c r="F146" s="21">
        <f t="shared" si="4"/>
      </c>
      <c r="G146" s="21">
        <f t="shared" si="5"/>
      </c>
      <c r="H146" s="21">
        <f t="shared" si="7"/>
      </c>
      <c r="I146" s="22">
        <f t="shared" si="10"/>
      </c>
      <c r="J146" s="21">
        <f t="shared" si="12"/>
      </c>
      <c r="AZ146" s="2">
        <f>IF(59&gt;$BA$300,0,IFERROR(MATCH(59,$BA$1:$BA$300,0),0))</f>
        <v>0</v>
      </c>
      <c r="BA146" s="2">
        <f>BA100+SUM(CA101:CA146)</f>
        <v>29</v>
      </c>
      <c r="CA146" s="2">
        <f>IF(OR(_余额!$G$148&lt;&gt;0,_余额!$I$148&lt;&gt;0),1,0)</f>
        <v>0</v>
      </c>
    </row>
    <row r="147">
      <c r="A147" s="94">
        <f>IF($AZ147=0,"",60)</f>
      </c>
      <c r="B147" s="96">
        <f t="shared" si="0"/>
      </c>
      <c r="C147" s="94">
        <f t="shared" si="20"/>
      </c>
      <c r="D147" s="21">
        <f t="shared" si="1"/>
      </c>
      <c r="E147" s="21">
        <f t="shared" si="2"/>
      </c>
      <c r="F147" s="21">
        <f t="shared" si="4"/>
      </c>
      <c r="G147" s="21">
        <f t="shared" si="5"/>
      </c>
      <c r="H147" s="21">
        <f t="shared" si="7"/>
      </c>
      <c r="I147" s="22">
        <f t="shared" si="10"/>
      </c>
      <c r="J147" s="21">
        <f t="shared" si="12"/>
      </c>
      <c r="AZ147" s="2">
        <f>IF(60&gt;$BA$300,0,IFERROR(MATCH(60,$BA$1:$BA$300,0),0))</f>
        <v>0</v>
      </c>
      <c r="BA147" s="2">
        <f>BA100+SUM(CA101:CA147)</f>
        <v>29</v>
      </c>
      <c r="CA147" s="2">
        <f>IF(OR(_余额!$G$149&lt;&gt;0,_余额!$I$149&lt;&gt;0),1,0)</f>
        <v>0</v>
      </c>
    </row>
    <row r="148">
      <c r="A148" s="94">
        <f>IF($AZ148=0,"",61)</f>
      </c>
      <c r="B148" s="96">
        <f t="shared" si="0"/>
      </c>
      <c r="C148" s="94">
        <f t="shared" si="20"/>
      </c>
      <c r="D148" s="21">
        <f t="shared" si="1"/>
      </c>
      <c r="E148" s="21">
        <f t="shared" si="2"/>
      </c>
      <c r="F148" s="21">
        <f t="shared" si="4"/>
      </c>
      <c r="G148" s="21">
        <f t="shared" si="5"/>
      </c>
      <c r="H148" s="21">
        <f t="shared" si="7"/>
      </c>
      <c r="I148" s="22">
        <f t="shared" si="10"/>
      </c>
      <c r="J148" s="21">
        <f t="shared" si="12"/>
      </c>
      <c r="AZ148" s="2">
        <f>IF(61&gt;$BA$300,0,IFERROR(MATCH(61,$BA$1:$BA$300,0),0))</f>
        <v>0</v>
      </c>
      <c r="BA148" s="2">
        <f>BA100+SUM(CA101:CA148)</f>
        <v>29</v>
      </c>
      <c r="CA148" s="2">
        <f>IF(OR(_余额!$G$150&lt;&gt;0,_余额!$I$150&lt;&gt;0),1,0)</f>
        <v>0</v>
      </c>
    </row>
    <row r="149">
      <c r="A149" s="94">
        <f>IF($AZ149=0,"",62)</f>
      </c>
      <c r="B149" s="96">
        <f t="shared" si="0"/>
      </c>
      <c r="C149" s="94">
        <f t="shared" si="20"/>
      </c>
      <c r="D149" s="21">
        <f t="shared" si="1"/>
      </c>
      <c r="E149" s="21">
        <f t="shared" si="2"/>
      </c>
      <c r="F149" s="21">
        <f t="shared" si="4"/>
      </c>
      <c r="G149" s="21">
        <f t="shared" si="5"/>
      </c>
      <c r="H149" s="21">
        <f t="shared" si="7"/>
      </c>
      <c r="I149" s="22">
        <f t="shared" si="10"/>
      </c>
      <c r="J149" s="21">
        <f t="shared" si="12"/>
      </c>
      <c r="AZ149" s="2">
        <f>IF(62&gt;$BA$300,0,IFERROR(MATCH(62,$BA$1:$BA$300,0),0))</f>
        <v>0</v>
      </c>
      <c r="BA149" s="2">
        <f>BA100+SUM(CA101:CA149)</f>
        <v>29</v>
      </c>
      <c r="CA149" s="2">
        <f>IF(OR(_余额!$G$151&lt;&gt;0,_余额!$I$151&lt;&gt;0),1,0)</f>
        <v>0</v>
      </c>
    </row>
    <row r="150">
      <c r="A150" s="94">
        <f>IF($AZ150=0,"",63)</f>
      </c>
      <c r="B150" s="96">
        <f t="shared" si="0"/>
      </c>
      <c r="C150" s="94">
        <f t="shared" si="20"/>
      </c>
      <c r="D150" s="21">
        <f t="shared" si="1"/>
      </c>
      <c r="E150" s="21">
        <f t="shared" si="2"/>
      </c>
      <c r="F150" s="21">
        <f t="shared" si="4"/>
      </c>
      <c r="G150" s="21">
        <f t="shared" si="5"/>
      </c>
      <c r="H150" s="21">
        <f t="shared" si="7"/>
      </c>
      <c r="I150" s="22">
        <f t="shared" si="10"/>
      </c>
      <c r="J150" s="21">
        <f t="shared" si="12"/>
      </c>
      <c r="AZ150" s="2">
        <f>IF(63&gt;$BA$300,0,IFERROR(MATCH(63,$BA$1:$BA$300,0),0))</f>
        <v>0</v>
      </c>
      <c r="BA150" s="2">
        <f>BA100+SUM(CA101:CA150)</f>
        <v>29</v>
      </c>
      <c r="CA150" s="2">
        <f>IF(OR(_余额!$G$152&lt;&gt;0,_余额!$I$152&lt;&gt;0),1,0)</f>
        <v>0</v>
      </c>
    </row>
    <row r="151">
      <c r="A151" s="94">
        <f>IF($AZ151=0,"",64)</f>
      </c>
      <c r="B151" s="96">
        <f t="shared" si="0"/>
      </c>
      <c r="C151" s="94">
        <f t="shared" si="20"/>
      </c>
      <c r="D151" s="21">
        <f t="shared" si="1"/>
      </c>
      <c r="E151" s="21">
        <f t="shared" si="2"/>
      </c>
      <c r="F151" s="21">
        <f t="shared" si="4"/>
      </c>
      <c r="G151" s="21">
        <f t="shared" si="5"/>
      </c>
      <c r="H151" s="21">
        <f t="shared" si="7"/>
      </c>
      <c r="I151" s="22">
        <f t="shared" si="10"/>
      </c>
      <c r="J151" s="21">
        <f t="shared" si="12"/>
      </c>
      <c r="AZ151" s="2">
        <f>IF(64&gt;$BA$300,0,IFERROR(MATCH(64,$BA$1:$BA$300,0),0))</f>
        <v>0</v>
      </c>
      <c r="BA151" s="2">
        <f>BA150+SUM(CA151:CA151)</f>
        <v>29</v>
      </c>
      <c r="CA151" s="2">
        <f>IF(OR(_余额!$G$153&lt;&gt;0,_余额!$I$153&lt;&gt;0),1,0)</f>
        <v>0</v>
      </c>
    </row>
    <row r="152">
      <c r="A152" s="94">
        <f>IF($AZ152=0,"",65)</f>
      </c>
      <c r="B152" s="96">
        <f t="shared" si="0"/>
      </c>
      <c r="C152" s="94">
        <f t="shared" si="20"/>
      </c>
      <c r="D152" s="21">
        <f t="shared" si="1"/>
      </c>
      <c r="E152" s="21">
        <f t="shared" si="2"/>
      </c>
      <c r="F152" s="21">
        <f t="shared" si="4"/>
      </c>
      <c r="G152" s="21">
        <f t="shared" si="5"/>
      </c>
      <c r="H152" s="21">
        <f t="shared" si="7"/>
      </c>
      <c r="I152" s="22">
        <f t="shared" si="10"/>
      </c>
      <c r="J152" s="21">
        <f t="shared" si="12"/>
      </c>
      <c r="AZ152" s="2">
        <f>IF(65&gt;$BA$300,0,IFERROR(MATCH(65,$BA$1:$BA$300,0),0))</f>
        <v>0</v>
      </c>
      <c r="BA152" s="2">
        <f>BA150+SUM(CA151:CA152)</f>
        <v>29</v>
      </c>
      <c r="CA152" s="2">
        <f>IF(OR(_余额!$G$154&lt;&gt;0,_余额!$I$154&lt;&gt;0),1,0)</f>
        <v>0</v>
      </c>
    </row>
    <row r="153">
      <c r="A153" s="94">
        <f>IF($AZ153=0,"",66)</f>
      </c>
      <c r="B153" s="96">
        <f t="shared" si="0"/>
      </c>
      <c r="C153" s="94">
        <f t="shared" si="20"/>
      </c>
      <c r="D153" s="21">
        <f t="shared" si="1"/>
      </c>
      <c r="E153" s="21">
        <f t="shared" si="2"/>
      </c>
      <c r="F153" s="21">
        <f t="shared" si="4"/>
      </c>
      <c r="G153" s="21">
        <f t="shared" si="5"/>
      </c>
      <c r="H153" s="21">
        <f t="shared" si="7"/>
      </c>
      <c r="I153" s="22">
        <f t="shared" si="10"/>
      </c>
      <c r="J153" s="21">
        <f t="shared" si="12"/>
      </c>
      <c r="AZ153" s="2">
        <f>IF(66&gt;$BA$300,0,IFERROR(MATCH(66,$BA$1:$BA$300,0),0))</f>
        <v>0</v>
      </c>
      <c r="BA153" s="2">
        <f>BA150+SUM(CA151:CA153)</f>
        <v>29</v>
      </c>
      <c r="CA153" s="2">
        <f>IF(OR(_余额!$G$155&lt;&gt;0,_余额!$I$155&lt;&gt;0),1,0)</f>
        <v>0</v>
      </c>
    </row>
    <row r="154">
      <c r="A154" s="94">
        <f>IF($AZ154=0,"",67)</f>
      </c>
      <c r="B154" s="96">
        <f t="shared" si="0"/>
      </c>
      <c r="C154" s="94">
        <f t="shared" si="20"/>
      </c>
      <c r="D154" s="21">
        <f t="shared" si="1"/>
      </c>
      <c r="E154" s="21">
        <f t="shared" si="2"/>
      </c>
      <c r="F154" s="21">
        <f t="shared" si="4"/>
      </c>
      <c r="G154" s="21">
        <f t="shared" si="5"/>
      </c>
      <c r="H154" s="21">
        <f t="shared" si="7"/>
      </c>
      <c r="I154" s="22">
        <f t="shared" si="10"/>
      </c>
      <c r="J154" s="21">
        <f t="shared" si="12"/>
      </c>
      <c r="AZ154" s="2">
        <f>IF(67&gt;$BA$300,0,IFERROR(MATCH(67,$BA$1:$BA$300,0),0))</f>
        <v>0</v>
      </c>
      <c r="BA154" s="2">
        <f>BA150+SUM(CA151:CA154)</f>
        <v>29</v>
      </c>
      <c r="CA154" s="2">
        <f>IF(OR(_余额!$G$156&lt;&gt;0,_余额!$I$156&lt;&gt;0),1,0)</f>
        <v>0</v>
      </c>
    </row>
    <row r="155">
      <c r="A155" s="94">
        <f>IF($AZ155=0,"",68)</f>
      </c>
      <c r="B155" s="96">
        <f t="shared" si="0"/>
      </c>
      <c r="C155" s="94">
        <f t="shared" si="20"/>
      </c>
      <c r="D155" s="21">
        <f t="shared" si="1"/>
      </c>
      <c r="E155" s="21">
        <f t="shared" si="2"/>
      </c>
      <c r="F155" s="21">
        <f t="shared" si="4"/>
      </c>
      <c r="G155" s="21">
        <f t="shared" si="5"/>
      </c>
      <c r="H155" s="21">
        <f t="shared" si="7"/>
      </c>
      <c r="I155" s="22">
        <f t="shared" si="10"/>
      </c>
      <c r="J155" s="21">
        <f t="shared" si="12"/>
      </c>
      <c r="AZ155" s="2">
        <f>IF(68&gt;$BA$300,0,IFERROR(MATCH(68,$BA$1:$BA$300,0),0))</f>
        <v>0</v>
      </c>
      <c r="BA155" s="2">
        <f>BA150+SUM(CA151:CA155)</f>
        <v>29</v>
      </c>
      <c r="CA155" s="2">
        <f>IF(OR(_余额!$G$157&lt;&gt;0,_余额!$I$157&lt;&gt;0),1,0)</f>
        <v>0</v>
      </c>
    </row>
    <row r="156">
      <c r="A156" s="94">
        <f>IF($AZ156=0,"",69)</f>
      </c>
      <c r="B156" s="96">
        <f t="shared" si="0"/>
      </c>
      <c r="C156" s="94">
        <f t="shared" si="20"/>
      </c>
      <c r="D156" s="21">
        <f t="shared" si="1"/>
      </c>
      <c r="E156" s="21">
        <f t="shared" si="2"/>
      </c>
      <c r="F156" s="21">
        <f t="shared" si="4"/>
      </c>
      <c r="G156" s="21">
        <f t="shared" si="5"/>
      </c>
      <c r="H156" s="21">
        <f t="shared" si="7"/>
      </c>
      <c r="I156" s="22">
        <f t="shared" si="10"/>
      </c>
      <c r="J156" s="21">
        <f t="shared" si="12"/>
      </c>
      <c r="AZ156" s="2">
        <f>IF(69&gt;$BA$300,0,IFERROR(MATCH(69,$BA$1:$BA$300,0),0))</f>
        <v>0</v>
      </c>
      <c r="BA156" s="2">
        <f>BA150+SUM(CA151:CA156)</f>
        <v>29</v>
      </c>
      <c r="CA156" s="2">
        <f>IF(OR(_余额!$G$158&lt;&gt;0,_余额!$I$158&lt;&gt;0),1,0)</f>
        <v>0</v>
      </c>
    </row>
    <row r="157">
      <c r="A157" s="94">
        <f>IF($AZ157=0,"",70)</f>
      </c>
      <c r="B157" s="96">
        <f t="shared" si="0"/>
      </c>
      <c r="C157" s="94">
        <f t="shared" si="20"/>
      </c>
      <c r="D157" s="21">
        <f t="shared" si="1"/>
      </c>
      <c r="E157" s="21">
        <f t="shared" si="2"/>
      </c>
      <c r="F157" s="21">
        <f t="shared" si="4"/>
      </c>
      <c r="G157" s="21">
        <f t="shared" si="5"/>
      </c>
      <c r="H157" s="21">
        <f t="shared" si="7"/>
      </c>
      <c r="I157" s="22">
        <f t="shared" si="10"/>
      </c>
      <c r="J157" s="21">
        <f t="shared" si="12"/>
      </c>
      <c r="AZ157" s="2">
        <f>IF(70&gt;$BA$300,0,IFERROR(MATCH(70,$BA$1:$BA$300,0),0))</f>
        <v>0</v>
      </c>
      <c r="BA157" s="2">
        <f>BA150+SUM(CA151:CA157)</f>
        <v>29</v>
      </c>
      <c r="CA157" s="2">
        <f>IF(OR(_余额!$G$159&lt;&gt;0,_余额!$I$159&lt;&gt;0),1,0)</f>
        <v>0</v>
      </c>
    </row>
    <row r="158">
      <c r="A158" s="94">
        <f>IF($AZ158=0,"",71)</f>
      </c>
      <c r="B158" s="96">
        <f t="shared" si="0"/>
      </c>
      <c r="C158" s="94">
        <f t="shared" si="20"/>
      </c>
      <c r="D158" s="21">
        <f t="shared" si="1"/>
      </c>
      <c r="E158" s="21">
        <f t="shared" si="2"/>
      </c>
      <c r="F158" s="21">
        <f t="shared" si="4"/>
      </c>
      <c r="G158" s="21">
        <f t="shared" si="5"/>
      </c>
      <c r="H158" s="21">
        <f t="shared" si="7"/>
      </c>
      <c r="I158" s="22">
        <f t="shared" si="10"/>
      </c>
      <c r="J158" s="21">
        <f t="shared" si="12"/>
      </c>
      <c r="AZ158" s="2">
        <f>IF(71&gt;$BA$300,0,IFERROR(MATCH(71,$BA$1:$BA$300,0),0))</f>
        <v>0</v>
      </c>
      <c r="BA158" s="2">
        <f>BA150+SUM(CA151:CA158)</f>
        <v>29</v>
      </c>
      <c r="CA158" s="2">
        <f>IF(OR(_余额!$G$160&lt;&gt;0,_余额!$I$160&lt;&gt;0),1,0)</f>
        <v>0</v>
      </c>
    </row>
    <row r="159">
      <c r="A159" s="94">
        <f>IF($AZ159=0,"",72)</f>
      </c>
      <c r="B159" s="96">
        <f t="shared" si="0"/>
      </c>
      <c r="C159" s="94">
        <f t="shared" si="20"/>
      </c>
      <c r="D159" s="21">
        <f t="shared" si="1"/>
      </c>
      <c r="E159" s="21">
        <f t="shared" si="2"/>
      </c>
      <c r="F159" s="21">
        <f t="shared" si="4"/>
      </c>
      <c r="G159" s="21">
        <f t="shared" si="5"/>
      </c>
      <c r="H159" s="21">
        <f t="shared" si="7"/>
      </c>
      <c r="I159" s="22">
        <f t="shared" si="10"/>
      </c>
      <c r="J159" s="21">
        <f t="shared" si="12"/>
      </c>
      <c r="AZ159" s="2">
        <f>IF(72&gt;$BA$300,0,IFERROR(MATCH(72,$BA$1:$BA$300,0),0))</f>
        <v>0</v>
      </c>
      <c r="BA159" s="2">
        <f>BA150+SUM(CA151:CA159)</f>
        <v>29</v>
      </c>
      <c r="CA159" s="2">
        <f>IF(OR(_余额!$G$161&lt;&gt;0,_余额!$I$161&lt;&gt;0),1,0)</f>
        <v>0</v>
      </c>
    </row>
    <row r="160">
      <c r="A160" s="94">
        <f>IF($AZ160=0,"",73)</f>
      </c>
      <c r="B160" s="96">
        <f t="shared" si="0"/>
      </c>
      <c r="C160" s="94">
        <f t="shared" si="20"/>
      </c>
      <c r="D160" s="21">
        <f t="shared" si="1"/>
      </c>
      <c r="E160" s="21">
        <f t="shared" si="2"/>
      </c>
      <c r="F160" s="21">
        <f t="shared" si="4"/>
      </c>
      <c r="G160" s="21">
        <f t="shared" si="5"/>
      </c>
      <c r="H160" s="21">
        <f t="shared" si="7"/>
      </c>
      <c r="I160" s="22">
        <f t="shared" si="10"/>
      </c>
      <c r="J160" s="21">
        <f t="shared" si="12"/>
      </c>
      <c r="AZ160" s="2">
        <f>IF(73&gt;$BA$300,0,IFERROR(MATCH(73,$BA$1:$BA$300,0),0))</f>
        <v>0</v>
      </c>
      <c r="BA160" s="2">
        <f>BA150+SUM(CA151:CA160)</f>
        <v>29</v>
      </c>
      <c r="CA160" s="2">
        <f>IF(OR(_余额!$G$162&lt;&gt;0,_余额!$I$162&lt;&gt;0),1,0)</f>
        <v>0</v>
      </c>
    </row>
    <row r="161">
      <c r="A161" s="94">
        <f>IF($AZ161=0,"",74)</f>
      </c>
      <c r="B161" s="96">
        <f t="shared" si="0"/>
      </c>
      <c r="C161" s="94">
        <f t="shared" si="20"/>
      </c>
      <c r="D161" s="21">
        <f t="shared" si="1"/>
      </c>
      <c r="E161" s="21">
        <f t="shared" si="2"/>
      </c>
      <c r="F161" s="21">
        <f t="shared" si="4"/>
      </c>
      <c r="G161" s="21">
        <f t="shared" si="5"/>
      </c>
      <c r="H161" s="21">
        <f t="shared" si="7"/>
      </c>
      <c r="I161" s="22">
        <f t="shared" si="10"/>
      </c>
      <c r="J161" s="21">
        <f t="shared" si="12"/>
      </c>
      <c r="AZ161" s="2">
        <f>IF(74&gt;$BA$300,0,IFERROR(MATCH(74,$BA$1:$BA$300,0),0))</f>
        <v>0</v>
      </c>
      <c r="BA161" s="2">
        <f>BA150+SUM(CA151:CA161)</f>
        <v>29</v>
      </c>
      <c r="CA161" s="2">
        <f>IF(OR(_余额!$G$163&lt;&gt;0,_余额!$I$163&lt;&gt;0),1,0)</f>
        <v>0</v>
      </c>
    </row>
    <row r="162">
      <c r="A162" s="94">
        <f>IF($AZ162=0,"",75)</f>
      </c>
      <c r="B162" s="96">
        <f t="shared" si="0"/>
      </c>
      <c r="C162" s="94">
        <f t="shared" si="20"/>
      </c>
      <c r="D162" s="21">
        <f t="shared" si="1"/>
      </c>
      <c r="E162" s="21">
        <f t="shared" si="2"/>
      </c>
      <c r="F162" s="21">
        <f t="shared" si="4"/>
      </c>
      <c r="G162" s="21">
        <f t="shared" si="5"/>
      </c>
      <c r="H162" s="21">
        <f t="shared" si="7"/>
      </c>
      <c r="I162" s="22">
        <f t="shared" si="10"/>
      </c>
      <c r="J162" s="21">
        <f t="shared" si="12"/>
      </c>
      <c r="AZ162" s="2">
        <f>IF(75&gt;$BA$300,0,IFERROR(MATCH(75,$BA$1:$BA$300,0),0))</f>
        <v>0</v>
      </c>
      <c r="BA162" s="2">
        <f>BA150+SUM(CA151:CA162)</f>
        <v>29</v>
      </c>
      <c r="CA162" s="2">
        <f>IF(OR(_余额!$G$164&lt;&gt;0,_余额!$I$164&lt;&gt;0),1,0)</f>
        <v>0</v>
      </c>
    </row>
    <row r="163">
      <c r="A163" s="94">
        <f>IF($AZ163=0,"",76)</f>
      </c>
      <c r="B163" s="96">
        <f t="shared" si="0"/>
      </c>
      <c r="C163" s="94">
        <f t="shared" si="20"/>
      </c>
      <c r="D163" s="21">
        <f t="shared" si="1"/>
      </c>
      <c r="E163" s="21">
        <f t="shared" si="2"/>
      </c>
      <c r="F163" s="21">
        <f t="shared" si="4"/>
      </c>
      <c r="G163" s="21">
        <f t="shared" si="5"/>
      </c>
      <c r="H163" s="21">
        <f t="shared" si="7"/>
      </c>
      <c r="I163" s="22">
        <f t="shared" si="10"/>
      </c>
      <c r="J163" s="21">
        <f t="shared" si="12"/>
      </c>
      <c r="AZ163" s="2">
        <f>IF(76&gt;$BA$300,0,IFERROR(MATCH(76,$BA$1:$BA$300,0),0))</f>
        <v>0</v>
      </c>
      <c r="BA163" s="2">
        <f>BA150+SUM(CA151:CA163)</f>
        <v>29</v>
      </c>
      <c r="CA163" s="2">
        <f>IF(OR(_余额!$G$165&lt;&gt;0,_余额!$I$165&lt;&gt;0),1,0)</f>
        <v>0</v>
      </c>
    </row>
    <row r="164">
      <c r="A164" s="94">
        <f>IF($AZ164=0,"",77)</f>
      </c>
      <c r="B164" s="96">
        <f t="shared" si="0"/>
      </c>
      <c r="C164" s="94">
        <f t="shared" si="20"/>
      </c>
      <c r="D164" s="21">
        <f t="shared" si="1"/>
      </c>
      <c r="E164" s="21">
        <f t="shared" si="2"/>
      </c>
      <c r="F164" s="21">
        <f t="shared" si="4"/>
      </c>
      <c r="G164" s="21">
        <f t="shared" si="5"/>
      </c>
      <c r="H164" s="21">
        <f t="shared" si="7"/>
      </c>
      <c r="I164" s="22">
        <f t="shared" si="10"/>
      </c>
      <c r="J164" s="21">
        <f t="shared" si="12"/>
      </c>
      <c r="AZ164" s="2">
        <f>IF(77&gt;$BA$300,0,IFERROR(MATCH(77,$BA$1:$BA$300,0),0))</f>
        <v>0</v>
      </c>
      <c r="BA164" s="2">
        <f>BA150+SUM(CA151:CA164)</f>
        <v>29</v>
      </c>
      <c r="CA164" s="2">
        <f>IF(OR(_余额!$G$166&lt;&gt;0,_余额!$I$166&lt;&gt;0),1,0)</f>
        <v>0</v>
      </c>
    </row>
    <row r="165">
      <c r="A165" s="94">
        <f>IF($AZ165=0,"",78)</f>
      </c>
      <c r="B165" s="96">
        <f t="shared" si="0"/>
      </c>
      <c r="C165" s="94">
        <f t="shared" si="20"/>
      </c>
      <c r="D165" s="21">
        <f t="shared" si="1"/>
      </c>
      <c r="E165" s="21">
        <f t="shared" si="2"/>
      </c>
      <c r="F165" s="21">
        <f t="shared" si="4"/>
      </c>
      <c r="G165" s="21">
        <f t="shared" si="5"/>
      </c>
      <c r="H165" s="21">
        <f t="shared" si="7"/>
      </c>
      <c r="I165" s="22">
        <f t="shared" si="10"/>
      </c>
      <c r="J165" s="21">
        <f t="shared" si="12"/>
      </c>
      <c r="AZ165" s="2">
        <f>IF(78&gt;$BA$300,0,IFERROR(MATCH(78,$BA$1:$BA$300,0),0))</f>
        <v>0</v>
      </c>
      <c r="BA165" s="2">
        <f>BA150+SUM(CA151:CA165)</f>
        <v>29</v>
      </c>
      <c r="CA165" s="2">
        <f>IF(OR(_余额!$G$167&lt;&gt;0,_余额!$I$167&lt;&gt;0),1,0)</f>
        <v>0</v>
      </c>
    </row>
    <row r="166">
      <c r="A166" s="94">
        <f>IF($AZ166=0,"",79)</f>
      </c>
      <c r="B166" s="96">
        <f t="shared" si="0"/>
      </c>
      <c r="C166" s="94">
        <f t="shared" si="20"/>
      </c>
      <c r="D166" s="21">
        <f t="shared" si="1"/>
      </c>
      <c r="E166" s="21">
        <f t="shared" si="2"/>
      </c>
      <c r="F166" s="21">
        <f t="shared" si="4"/>
      </c>
      <c r="G166" s="21">
        <f t="shared" si="5"/>
      </c>
      <c r="H166" s="21">
        <f t="shared" si="7"/>
      </c>
      <c r="I166" s="22">
        <f t="shared" si="10"/>
      </c>
      <c r="J166" s="21">
        <f t="shared" si="12"/>
      </c>
      <c r="AZ166" s="2">
        <f>IF(79&gt;$BA$300,0,IFERROR(MATCH(79,$BA$1:$BA$300,0),0))</f>
        <v>0</v>
      </c>
      <c r="BA166" s="2">
        <f>BA150+SUM(CA151:CA166)</f>
        <v>29</v>
      </c>
      <c r="CA166" s="2">
        <f>IF(OR(_余额!$G$168&lt;&gt;0,_余额!$I$168&lt;&gt;0),1,0)</f>
        <v>0</v>
      </c>
    </row>
    <row r="167">
      <c r="A167" s="94">
        <f>IF($AZ167=0,"",80)</f>
      </c>
      <c r="B167" s="96">
        <f t="shared" si="0"/>
      </c>
      <c r="C167" s="94">
        <f t="shared" si="20"/>
      </c>
      <c r="D167" s="21">
        <f t="shared" si="1"/>
      </c>
      <c r="E167" s="21">
        <f t="shared" si="2"/>
      </c>
      <c r="F167" s="21">
        <f t="shared" si="4"/>
      </c>
      <c r="G167" s="21">
        <f t="shared" si="5"/>
      </c>
      <c r="H167" s="21">
        <f t="shared" si="7"/>
      </c>
      <c r="I167" s="22">
        <f t="shared" si="10"/>
      </c>
      <c r="J167" s="21">
        <f t="shared" si="12"/>
      </c>
      <c r="AZ167" s="2">
        <f>IF(80&gt;$BA$300,0,IFERROR(MATCH(80,$BA$1:$BA$300,0),0))</f>
        <v>0</v>
      </c>
      <c r="BA167" s="2">
        <f>BA150+SUM(CA151:CA167)</f>
        <v>29</v>
      </c>
      <c r="CA167" s="2">
        <f>IF(OR(_余额!$G$169&lt;&gt;0,_余额!$I$169&lt;&gt;0),1,0)</f>
        <v>0</v>
      </c>
    </row>
    <row r="168">
      <c r="A168" s="94">
        <f>IF($AZ168=0,"",81)</f>
      </c>
      <c r="B168" s="96">
        <f t="shared" si="0"/>
      </c>
      <c r="C168" s="94">
        <f t="shared" si="20"/>
      </c>
      <c r="D168" s="21">
        <f t="shared" si="1"/>
      </c>
      <c r="E168" s="21">
        <f t="shared" si="2"/>
      </c>
      <c r="F168" s="21">
        <f t="shared" si="4"/>
      </c>
      <c r="G168" s="21">
        <f t="shared" si="5"/>
      </c>
      <c r="H168" s="21">
        <f t="shared" si="7"/>
      </c>
      <c r="I168" s="22">
        <f t="shared" si="10"/>
      </c>
      <c r="J168" s="21">
        <f t="shared" si="12"/>
      </c>
      <c r="AZ168" s="2">
        <f>IF(81&gt;$BA$300,0,IFERROR(MATCH(81,$BA$1:$BA$300,0),0))</f>
        <v>0</v>
      </c>
      <c r="BA168" s="2">
        <f>BA150+SUM(CA151:CA168)</f>
        <v>29</v>
      </c>
      <c r="CA168" s="2">
        <f>IF(OR(_余额!$G$170&lt;&gt;0,_余额!$I$170&lt;&gt;0),1,0)</f>
        <v>0</v>
      </c>
    </row>
    <row r="169">
      <c r="A169" s="94">
        <f>IF($AZ169=0,"",82)</f>
      </c>
      <c r="B169" s="96">
        <f t="shared" si="0"/>
      </c>
      <c r="C169" s="94">
        <f t="shared" si="20"/>
      </c>
      <c r="D169" s="21">
        <f t="shared" si="1"/>
      </c>
      <c r="E169" s="21">
        <f t="shared" si="2"/>
      </c>
      <c r="F169" s="21">
        <f t="shared" si="4"/>
      </c>
      <c r="G169" s="21">
        <f t="shared" si="5"/>
      </c>
      <c r="H169" s="21">
        <f t="shared" si="7"/>
      </c>
      <c r="I169" s="22">
        <f t="shared" si="10"/>
      </c>
      <c r="J169" s="21">
        <f t="shared" si="12"/>
      </c>
      <c r="AZ169" s="2">
        <f>IF(82&gt;$BA$300,0,IFERROR(MATCH(82,$BA$1:$BA$300,0),0))</f>
        <v>0</v>
      </c>
      <c r="BA169" s="2">
        <f>BA150+SUM(CA151:CA169)</f>
        <v>29</v>
      </c>
      <c r="CA169" s="2">
        <f>IF(OR(_余额!$G$171&lt;&gt;0,_余额!$I$171&lt;&gt;0),1,0)</f>
        <v>0</v>
      </c>
    </row>
    <row r="170">
      <c r="A170" s="94">
        <f>IF($AZ170=0,"",83)</f>
      </c>
      <c r="B170" s="96">
        <f t="shared" si="0"/>
      </c>
      <c r="C170" s="94">
        <f t="shared" si="20"/>
      </c>
      <c r="D170" s="21">
        <f t="shared" si="1"/>
      </c>
      <c r="E170" s="21">
        <f t="shared" si="2"/>
      </c>
      <c r="F170" s="21">
        <f t="shared" si="4"/>
      </c>
      <c r="G170" s="21">
        <f t="shared" si="5"/>
      </c>
      <c r="H170" s="21">
        <f t="shared" si="7"/>
      </c>
      <c r="I170" s="22">
        <f t="shared" si="10"/>
      </c>
      <c r="J170" s="21">
        <f t="shared" si="12"/>
      </c>
      <c r="AZ170" s="2">
        <f>IF(83&gt;$BA$300,0,IFERROR(MATCH(83,$BA$1:$BA$300,0),0))</f>
        <v>0</v>
      </c>
      <c r="BA170" s="2">
        <f>BA150+SUM(CA151:CA170)</f>
        <v>29</v>
      </c>
      <c r="CA170" s="2">
        <f>IF(OR(_余额!$G$172&lt;&gt;0,_余额!$I$172&lt;&gt;0),1,0)</f>
        <v>0</v>
      </c>
    </row>
    <row r="171">
      <c r="A171" s="94">
        <f>IF($AZ171=0,"",84)</f>
      </c>
      <c r="B171" s="96">
        <f t="shared" si="0"/>
      </c>
      <c r="C171" s="94">
        <f t="shared" si="20"/>
      </c>
      <c r="D171" s="21">
        <f t="shared" si="1"/>
      </c>
      <c r="E171" s="21">
        <f t="shared" si="2"/>
      </c>
      <c r="F171" s="21">
        <f t="shared" si="4"/>
      </c>
      <c r="G171" s="21">
        <f t="shared" si="5"/>
      </c>
      <c r="H171" s="21">
        <f t="shared" si="7"/>
      </c>
      <c r="I171" s="22">
        <f t="shared" si="10"/>
      </c>
      <c r="J171" s="21">
        <f t="shared" si="12"/>
      </c>
      <c r="AZ171" s="2">
        <f>IF(84&gt;$BA$300,0,IFERROR(MATCH(84,$BA$1:$BA$300,0),0))</f>
        <v>0</v>
      </c>
      <c r="BA171" s="2">
        <f>BA150+SUM(CA151:CA171)</f>
        <v>29</v>
      </c>
      <c r="CA171" s="2">
        <f>IF(OR(_余额!$G$173&lt;&gt;0,_余额!$I$173&lt;&gt;0),1,0)</f>
        <v>0</v>
      </c>
    </row>
    <row r="172">
      <c r="A172" s="94">
        <f>IF($AZ172=0,"",85)</f>
      </c>
      <c r="B172" s="96">
        <f t="shared" si="0"/>
      </c>
      <c r="C172" s="94">
        <f t="shared" si="20"/>
      </c>
      <c r="D172" s="21">
        <f t="shared" si="1"/>
      </c>
      <c r="E172" s="21">
        <f t="shared" si="2"/>
      </c>
      <c r="F172" s="21">
        <f t="shared" si="4"/>
      </c>
      <c r="G172" s="21">
        <f t="shared" si="5"/>
      </c>
      <c r="H172" s="21">
        <f t="shared" si="7"/>
      </c>
      <c r="I172" s="22">
        <f t="shared" si="10"/>
      </c>
      <c r="J172" s="21">
        <f t="shared" si="12"/>
      </c>
      <c r="AZ172" s="2">
        <f>IF(85&gt;$BA$300,0,IFERROR(MATCH(85,$BA$1:$BA$300,0),0))</f>
        <v>0</v>
      </c>
      <c r="BA172" s="2">
        <f>BA150+SUM(CA151:CA172)</f>
        <v>29</v>
      </c>
      <c r="CA172" s="2">
        <f>IF(OR(_余额!$G$174&lt;&gt;0,_余额!$I$174&lt;&gt;0),1,0)</f>
        <v>0</v>
      </c>
    </row>
    <row r="173">
      <c r="A173" s="94">
        <f>IF($AZ173=0,"",86)</f>
      </c>
      <c r="B173" s="96">
        <f t="shared" si="0"/>
      </c>
      <c r="C173" s="94">
        <f t="shared" si="20"/>
      </c>
      <c r="D173" s="21">
        <f t="shared" si="1"/>
      </c>
      <c r="E173" s="21">
        <f t="shared" si="2"/>
      </c>
      <c r="F173" s="21">
        <f t="shared" si="4"/>
      </c>
      <c r="G173" s="21">
        <f t="shared" si="5"/>
      </c>
      <c r="H173" s="21">
        <f t="shared" si="7"/>
      </c>
      <c r="I173" s="22">
        <f t="shared" si="10"/>
      </c>
      <c r="J173" s="21">
        <f t="shared" si="12"/>
      </c>
      <c r="AZ173" s="2">
        <f>IF(86&gt;$BA$300,0,IFERROR(MATCH(86,$BA$1:$BA$300,0),0))</f>
        <v>0</v>
      </c>
      <c r="BA173" s="2">
        <f>BA150+SUM(CA151:CA173)</f>
        <v>29</v>
      </c>
      <c r="CA173" s="2">
        <f>IF(OR(_余额!$G$175&lt;&gt;0,_余额!$I$175&lt;&gt;0),1,0)</f>
        <v>0</v>
      </c>
    </row>
    <row r="174">
      <c r="A174" s="94">
        <f>IF($AZ174=0,"",87)</f>
      </c>
      <c r="B174" s="96">
        <f t="shared" si="0"/>
      </c>
      <c r="C174" s="94">
        <f t="shared" si="20"/>
      </c>
      <c r="D174" s="21">
        <f t="shared" si="1"/>
      </c>
      <c r="E174" s="21">
        <f t="shared" si="2"/>
      </c>
      <c r="F174" s="21">
        <f t="shared" si="4"/>
      </c>
      <c r="G174" s="21">
        <f t="shared" si="5"/>
      </c>
      <c r="H174" s="21">
        <f t="shared" si="7"/>
      </c>
      <c r="I174" s="22">
        <f t="shared" si="10"/>
      </c>
      <c r="J174" s="21">
        <f t="shared" si="12"/>
      </c>
      <c r="AZ174" s="2">
        <f>IF(87&gt;$BA$300,0,IFERROR(MATCH(87,$BA$1:$BA$300,0),0))</f>
        <v>0</v>
      </c>
      <c r="BA174" s="2">
        <f>BA150+SUM(CA151:CA174)</f>
        <v>29</v>
      </c>
      <c r="CA174" s="2">
        <f>IF(OR(_余额!$G$176&lt;&gt;0,_余额!$I$176&lt;&gt;0),1,0)</f>
        <v>0</v>
      </c>
    </row>
    <row r="175">
      <c r="A175" s="94">
        <f>IF($AZ175=0,"",88)</f>
      </c>
      <c r="B175" s="96">
        <f t="shared" si="0"/>
      </c>
      <c r="C175" s="94">
        <f t="shared" si="20"/>
      </c>
      <c r="D175" s="21">
        <f t="shared" si="1"/>
      </c>
      <c r="E175" s="21">
        <f t="shared" si="2"/>
      </c>
      <c r="F175" s="21">
        <f t="shared" si="4"/>
      </c>
      <c r="G175" s="21">
        <f t="shared" si="5"/>
      </c>
      <c r="H175" s="21">
        <f t="shared" si="7"/>
      </c>
      <c r="I175" s="22">
        <f t="shared" si="10"/>
      </c>
      <c r="J175" s="21">
        <f t="shared" si="12"/>
      </c>
      <c r="AZ175" s="2">
        <f>IF(88&gt;$BA$300,0,IFERROR(MATCH(88,$BA$1:$BA$300,0),0))</f>
        <v>0</v>
      </c>
      <c r="BA175" s="2">
        <f>BA150+SUM(CA151:CA175)</f>
        <v>29</v>
      </c>
      <c r="CA175" s="2">
        <f>IF(OR(_余额!$G$177&lt;&gt;0,_余额!$I$177&lt;&gt;0),1,0)</f>
        <v>0</v>
      </c>
    </row>
    <row r="176">
      <c r="A176" s="94">
        <f>IF($AZ176=0,"",89)</f>
      </c>
      <c r="B176" s="96">
        <f t="shared" si="0"/>
      </c>
      <c r="C176" s="94">
        <f t="shared" si="20"/>
      </c>
      <c r="D176" s="21">
        <f t="shared" si="1"/>
      </c>
      <c r="E176" s="21">
        <f t="shared" si="2"/>
      </c>
      <c r="F176" s="21">
        <f t="shared" si="4"/>
      </c>
      <c r="G176" s="21">
        <f t="shared" si="5"/>
      </c>
      <c r="H176" s="21">
        <f t="shared" si="7"/>
      </c>
      <c r="I176" s="22">
        <f t="shared" si="10"/>
      </c>
      <c r="J176" s="21">
        <f t="shared" si="12"/>
      </c>
      <c r="AZ176" s="2">
        <f>IF(89&gt;$BA$300,0,IFERROR(MATCH(89,$BA$1:$BA$300,0),0))</f>
        <v>0</v>
      </c>
      <c r="BA176" s="2">
        <f>BA150+SUM(CA151:CA176)</f>
        <v>29</v>
      </c>
      <c r="CA176" s="2">
        <f>IF(OR(_余额!$G$178&lt;&gt;0,_余额!$I$178&lt;&gt;0),1,0)</f>
        <v>0</v>
      </c>
    </row>
    <row r="177">
      <c r="A177" s="94">
        <f>IF($AZ177=0,"",90)</f>
      </c>
      <c r="B177" s="96">
        <f t="shared" si="0"/>
      </c>
      <c r="C177" s="94">
        <f t="shared" si="20"/>
      </c>
      <c r="D177" s="21">
        <f t="shared" si="1"/>
      </c>
      <c r="E177" s="21">
        <f t="shared" si="2"/>
      </c>
      <c r="F177" s="21">
        <f t="shared" si="4"/>
      </c>
      <c r="G177" s="21">
        <f t="shared" si="5"/>
      </c>
      <c r="H177" s="21">
        <f t="shared" si="7"/>
      </c>
      <c r="I177" s="22">
        <f t="shared" si="10"/>
      </c>
      <c r="J177" s="21">
        <f t="shared" si="12"/>
      </c>
      <c r="AZ177" s="2">
        <f>IF(90&gt;$BA$300,0,IFERROR(MATCH(90,$BA$1:$BA$300,0),0))</f>
        <v>0</v>
      </c>
      <c r="BA177" s="2">
        <f>BA150+SUM(CA151:CA177)</f>
        <v>29</v>
      </c>
      <c r="CA177" s="2">
        <f>IF(OR(_余额!$G$179&lt;&gt;0,_余额!$I$179&lt;&gt;0),1,0)</f>
        <v>0</v>
      </c>
    </row>
    <row r="178">
      <c r="A178" s="94">
        <f>IF($AZ178=0,"",91)</f>
      </c>
      <c r="B178" s="96">
        <f t="shared" si="0"/>
      </c>
      <c r="C178" s="94">
        <f t="shared" si="20"/>
      </c>
      <c r="D178" s="21">
        <f t="shared" si="1"/>
      </c>
      <c r="E178" s="21">
        <f t="shared" si="2"/>
      </c>
      <c r="F178" s="21">
        <f t="shared" si="4"/>
      </c>
      <c r="G178" s="21">
        <f t="shared" si="5"/>
      </c>
      <c r="H178" s="21">
        <f t="shared" si="7"/>
      </c>
      <c r="I178" s="22">
        <f t="shared" si="10"/>
      </c>
      <c r="J178" s="21">
        <f t="shared" si="12"/>
      </c>
      <c r="AZ178" s="2">
        <f>IF(91&gt;$BA$300,0,IFERROR(MATCH(91,$BA$1:$BA$300,0),0))</f>
        <v>0</v>
      </c>
      <c r="BA178" s="2">
        <f>BA150+SUM(CA151:CA178)</f>
        <v>29</v>
      </c>
      <c r="CA178" s="2">
        <f>IF(OR(_余额!$G$180&lt;&gt;0,_余额!$I$180&lt;&gt;0),1,0)</f>
        <v>0</v>
      </c>
    </row>
    <row r="179">
      <c r="A179" s="94">
        <f>IF($AZ179=0,"",92)</f>
      </c>
      <c r="B179" s="96">
        <f t="shared" si="0"/>
      </c>
      <c r="C179" s="94">
        <f t="shared" si="20"/>
      </c>
      <c r="D179" s="21">
        <f t="shared" si="1"/>
      </c>
      <c r="E179" s="21">
        <f t="shared" si="2"/>
      </c>
      <c r="F179" s="21">
        <f t="shared" si="4"/>
      </c>
      <c r="G179" s="21">
        <f t="shared" si="5"/>
      </c>
      <c r="H179" s="21">
        <f t="shared" si="7"/>
      </c>
      <c r="I179" s="22">
        <f t="shared" si="10"/>
      </c>
      <c r="J179" s="21">
        <f t="shared" si="12"/>
      </c>
      <c r="AZ179" s="2">
        <f>IF(92&gt;$BA$300,0,IFERROR(MATCH(92,$BA$1:$BA$300,0),0))</f>
        <v>0</v>
      </c>
      <c r="BA179" s="2">
        <f>BA150+SUM(CA151:CA179)</f>
        <v>29</v>
      </c>
      <c r="CA179" s="2">
        <f>IF(OR(_余额!$G$181&lt;&gt;0,_余额!$I$181&lt;&gt;0),1,0)</f>
        <v>0</v>
      </c>
    </row>
    <row r="180">
      <c r="A180" s="94">
        <f>IF($AZ180=0,"",93)</f>
      </c>
      <c r="B180" s="96">
        <f t="shared" si="0"/>
      </c>
      <c r="C180" s="94">
        <f t="shared" si="20"/>
      </c>
      <c r="D180" s="21">
        <f t="shared" si="1"/>
      </c>
      <c r="E180" s="21">
        <f t="shared" si="2"/>
      </c>
      <c r="F180" s="21">
        <f t="shared" si="4"/>
      </c>
      <c r="G180" s="21">
        <f t="shared" si="5"/>
      </c>
      <c r="H180" s="21">
        <f t="shared" si="7"/>
      </c>
      <c r="I180" s="22">
        <f t="shared" si="10"/>
      </c>
      <c r="J180" s="21">
        <f t="shared" si="12"/>
      </c>
      <c r="AZ180" s="2">
        <f>IF(93&gt;$BA$300,0,IFERROR(MATCH(93,$BA$1:$BA$300,0),0))</f>
        <v>0</v>
      </c>
      <c r="BA180" s="2">
        <f>BA150+SUM(CA151:CA180)</f>
        <v>29</v>
      </c>
      <c r="CA180" s="2">
        <f>IF(OR(_余额!$G$182&lt;&gt;0,_余额!$I$182&lt;&gt;0),1,0)</f>
        <v>0</v>
      </c>
    </row>
    <row r="181">
      <c r="A181" s="94">
        <f>IF($AZ181=0,"",94)</f>
      </c>
      <c r="B181" s="96">
        <f t="shared" si="0"/>
      </c>
      <c r="C181" s="94">
        <f t="shared" si="20"/>
      </c>
      <c r="D181" s="21">
        <f t="shared" si="1"/>
      </c>
      <c r="E181" s="21">
        <f t="shared" si="2"/>
      </c>
      <c r="F181" s="21">
        <f t="shared" si="4"/>
      </c>
      <c r="G181" s="21">
        <f t="shared" si="5"/>
      </c>
      <c r="H181" s="21">
        <f t="shared" si="7"/>
      </c>
      <c r="I181" s="22">
        <f t="shared" si="10"/>
      </c>
      <c r="J181" s="21">
        <f t="shared" si="12"/>
      </c>
      <c r="AZ181" s="2">
        <f>IF(94&gt;$BA$300,0,IFERROR(MATCH(94,$BA$1:$BA$300,0),0))</f>
        <v>0</v>
      </c>
      <c r="BA181" s="2">
        <f>BA150+SUM(CA151:CA181)</f>
        <v>29</v>
      </c>
      <c r="CA181" s="2">
        <f>IF(OR(_余额!$G$183&lt;&gt;0,_余额!$I$183&lt;&gt;0),1,0)</f>
        <v>0</v>
      </c>
    </row>
    <row r="182">
      <c r="A182" s="94">
        <f>IF($AZ182=0,"",95)</f>
      </c>
      <c r="B182" s="96">
        <f t="shared" si="0"/>
      </c>
      <c r="C182" s="94">
        <f t="shared" si="20"/>
      </c>
      <c r="D182" s="21">
        <f t="shared" si="1"/>
      </c>
      <c r="E182" s="21">
        <f t="shared" si="2"/>
      </c>
      <c r="F182" s="21">
        <f t="shared" si="4"/>
      </c>
      <c r="G182" s="21">
        <f t="shared" si="5"/>
      </c>
      <c r="H182" s="21">
        <f t="shared" si="7"/>
      </c>
      <c r="I182" s="22">
        <f t="shared" si="10"/>
      </c>
      <c r="J182" s="21">
        <f t="shared" si="12"/>
      </c>
      <c r="AZ182" s="2">
        <f>IF(95&gt;$BA$300,0,IFERROR(MATCH(95,$BA$1:$BA$300,0),0))</f>
        <v>0</v>
      </c>
      <c r="BA182" s="2">
        <f>BA150+SUM(CA151:CA182)</f>
        <v>29</v>
      </c>
      <c r="CA182" s="2">
        <f>IF(OR(_余额!$G$184&lt;&gt;0,_余额!$I$184&lt;&gt;0),1,0)</f>
        <v>0</v>
      </c>
    </row>
    <row r="183">
      <c r="A183" s="94">
        <f>IF($AZ183=0,"",96)</f>
      </c>
      <c r="B183" s="96">
        <f t="shared" si="0"/>
      </c>
      <c r="C183" s="94">
        <f t="shared" si="20"/>
      </c>
      <c r="D183" s="21">
        <f t="shared" si="1"/>
      </c>
      <c r="E183" s="21">
        <f t="shared" si="2"/>
      </c>
      <c r="F183" s="21">
        <f t="shared" si="4"/>
      </c>
      <c r="G183" s="21">
        <f t="shared" si="5"/>
      </c>
      <c r="H183" s="21">
        <f t="shared" si="7"/>
      </c>
      <c r="I183" s="22">
        <f t="shared" si="10"/>
      </c>
      <c r="J183" s="21">
        <f t="shared" si="12"/>
      </c>
      <c r="AZ183" s="2">
        <f>IF(96&gt;$BA$300,0,IFERROR(MATCH(96,$BA$1:$BA$300,0),0))</f>
        <v>0</v>
      </c>
      <c r="BA183" s="2">
        <f>BA150+SUM(CA151:CA183)</f>
        <v>29</v>
      </c>
      <c r="CA183" s="2">
        <f>IF(OR(_余额!$G$185&lt;&gt;0,_余额!$I$185&lt;&gt;0),1,0)</f>
        <v>0</v>
      </c>
    </row>
    <row r="184">
      <c r="A184" s="94">
        <f>IF($AZ184=0,"",97)</f>
      </c>
      <c r="B184" s="96">
        <f t="shared" si="0"/>
      </c>
      <c r="C184" s="94">
        <f t="shared" si="20"/>
      </c>
      <c r="D184" s="21">
        <f t="shared" si="1"/>
      </c>
      <c r="E184" s="21">
        <f t="shared" si="2"/>
      </c>
      <c r="F184" s="21">
        <f t="shared" si="4"/>
      </c>
      <c r="G184" s="21">
        <f t="shared" si="5"/>
      </c>
      <c r="H184" s="21">
        <f t="shared" si="7"/>
      </c>
      <c r="I184" s="22">
        <f t="shared" si="10"/>
      </c>
      <c r="J184" s="21">
        <f t="shared" si="12"/>
      </c>
      <c r="AZ184" s="2">
        <f>IF(97&gt;$BA$300,0,IFERROR(MATCH(97,$BA$1:$BA$300,0),0))</f>
        <v>0</v>
      </c>
      <c r="BA184" s="2">
        <f>BA150+SUM(CA151:CA184)</f>
        <v>29</v>
      </c>
      <c r="CA184" s="2">
        <f>IF(OR(_余额!$G$186&lt;&gt;0,_余额!$I$186&lt;&gt;0),1,0)</f>
        <v>0</v>
      </c>
    </row>
    <row r="185">
      <c r="A185" s="94">
        <f>IF($AZ185=0,"",98)</f>
      </c>
      <c r="B185" s="96">
        <f t="shared" si="0"/>
      </c>
      <c r="C185" s="94">
        <f t="shared" si="20"/>
      </c>
      <c r="D185" s="21">
        <f t="shared" si="1"/>
      </c>
      <c r="E185" s="21">
        <f t="shared" si="2"/>
      </c>
      <c r="F185" s="21">
        <f t="shared" si="4"/>
      </c>
      <c r="G185" s="21">
        <f t="shared" si="5"/>
      </c>
      <c r="H185" s="21">
        <f t="shared" si="7"/>
      </c>
      <c r="I185" s="22">
        <f t="shared" si="10"/>
      </c>
      <c r="J185" s="21">
        <f t="shared" si="12"/>
      </c>
      <c r="AZ185" s="2">
        <f>IF(98&gt;$BA$300,0,IFERROR(MATCH(98,$BA$1:$BA$300,0),0))</f>
        <v>0</v>
      </c>
      <c r="BA185" s="2">
        <f>BA150+SUM(CA151:CA185)</f>
        <v>29</v>
      </c>
      <c r="CA185" s="2">
        <f>IF(OR(_余额!$G$187&lt;&gt;0,_余额!$I$187&lt;&gt;0),1,0)</f>
        <v>0</v>
      </c>
    </row>
    <row r="186">
      <c r="A186" s="94">
        <f>IF($AZ186=0,"",99)</f>
      </c>
      <c r="B186" s="96">
        <f t="shared" si="0"/>
      </c>
      <c r="C186" s="94">
        <f t="shared" si="20"/>
      </c>
      <c r="D186" s="21">
        <f t="shared" si="1"/>
      </c>
      <c r="E186" s="21">
        <f t="shared" si="2"/>
      </c>
      <c r="F186" s="21">
        <f t="shared" si="4"/>
      </c>
      <c r="G186" s="21">
        <f t="shared" si="5"/>
      </c>
      <c r="H186" s="21">
        <f t="shared" si="7"/>
      </c>
      <c r="I186" s="22">
        <f t="shared" si="10"/>
      </c>
      <c r="J186" s="21">
        <f t="shared" si="12"/>
      </c>
      <c r="AZ186" s="2">
        <f>IF(99&gt;$BA$300,0,IFERROR(MATCH(99,$BA$1:$BA$300,0),0))</f>
        <v>0</v>
      </c>
      <c r="BA186" s="2">
        <f>BA150+SUM(CA151:CA186)</f>
        <v>29</v>
      </c>
      <c r="CA186" s="2">
        <f>IF(OR(_余额!$G$188&lt;&gt;0,_余额!$I$188&lt;&gt;0),1,0)</f>
        <v>0</v>
      </c>
    </row>
    <row r="187">
      <c r="A187" s="94">
        <f>IF($AZ187=0,"",100)</f>
      </c>
      <c r="B187" s="96">
        <f t="shared" si="0"/>
      </c>
      <c r="C187" s="94">
        <f t="shared" si="20"/>
      </c>
      <c r="D187" s="21">
        <f t="shared" si="1"/>
      </c>
      <c r="E187" s="21">
        <f t="shared" si="2"/>
      </c>
      <c r="F187" s="21">
        <f t="shared" si="4"/>
      </c>
      <c r="G187" s="21">
        <f t="shared" si="5"/>
      </c>
      <c r="H187" s="21">
        <f t="shared" si="7"/>
      </c>
      <c r="I187" s="22">
        <f t="shared" si="10"/>
      </c>
      <c r="J187" s="21">
        <f t="shared" si="12"/>
      </c>
      <c r="AZ187" s="2">
        <f>IF(100&gt;$BA$300,0,IFERROR(MATCH(100,$BA$1:$BA$300,0),0))</f>
        <v>0</v>
      </c>
      <c r="BA187" s="2">
        <f>BA150+SUM(CA151:CA187)</f>
        <v>29</v>
      </c>
      <c r="CA187" s="2">
        <f>IF(OR(_余额!$G$189&lt;&gt;0,_余额!$I$189&lt;&gt;0),1,0)</f>
        <v>0</v>
      </c>
    </row>
    <row r="188">
      <c r="A188" s="94">
        <f>IF($AZ188=0,"",101)</f>
      </c>
      <c r="B188" s="96">
        <f t="shared" si="0"/>
      </c>
      <c r="C188" s="94">
        <f t="shared" si="20"/>
      </c>
      <c r="D188" s="21">
        <f t="shared" si="1"/>
      </c>
      <c r="E188" s="21">
        <f t="shared" si="2"/>
      </c>
      <c r="F188" s="21">
        <f t="shared" si="4"/>
      </c>
      <c r="G188" s="21">
        <f t="shared" si="5"/>
      </c>
      <c r="H188" s="21">
        <f t="shared" si="7"/>
      </c>
      <c r="I188" s="22">
        <f t="shared" si="10"/>
      </c>
      <c r="J188" s="21">
        <f t="shared" si="12"/>
      </c>
      <c r="AZ188" s="2">
        <f>IF(101&gt;$BA$300,0,IFERROR(MATCH(101,$BA$1:$BA$300,0),0))</f>
        <v>0</v>
      </c>
      <c r="BA188" s="2">
        <f>BA150+SUM(CA151:CA188)</f>
        <v>29</v>
      </c>
      <c r="CA188" s="2">
        <f>IF(OR(_余额!$G$190&lt;&gt;0,_余额!$I$190&lt;&gt;0),1,0)</f>
        <v>0</v>
      </c>
    </row>
    <row r="189">
      <c r="A189" s="94">
        <f>IF($AZ189=0,"",102)</f>
      </c>
      <c r="B189" s="96">
        <f t="shared" si="0"/>
      </c>
      <c r="C189" s="94">
        <f t="shared" si="20"/>
      </c>
      <c r="D189" s="21">
        <f t="shared" si="1"/>
      </c>
      <c r="E189" s="21">
        <f t="shared" si="2"/>
      </c>
      <c r="F189" s="21">
        <f t="shared" si="4"/>
      </c>
      <c r="G189" s="21">
        <f t="shared" si="5"/>
      </c>
      <c r="H189" s="21">
        <f t="shared" si="7"/>
      </c>
      <c r="I189" s="22">
        <f t="shared" si="10"/>
      </c>
      <c r="J189" s="21">
        <f t="shared" si="12"/>
      </c>
      <c r="AZ189" s="2">
        <f>IF(102&gt;$BA$300,0,IFERROR(MATCH(102,$BA$1:$BA$300,0),0))</f>
        <v>0</v>
      </c>
      <c r="BA189" s="2">
        <f>BA150+SUM(CA151:CA189)</f>
        <v>29</v>
      </c>
      <c r="CA189" s="2">
        <f>IF(OR(_余额!$G$191&lt;&gt;0,_余额!$I$191&lt;&gt;0),1,0)</f>
        <v>0</v>
      </c>
    </row>
    <row r="190">
      <c r="A190" s="94">
        <f>IF($AZ190=0,"",103)</f>
      </c>
      <c r="B190" s="96">
        <f t="shared" si="0"/>
      </c>
      <c r="C190" s="94">
        <f t="shared" si="20"/>
      </c>
      <c r="D190" s="21">
        <f t="shared" si="1"/>
      </c>
      <c r="E190" s="21">
        <f t="shared" si="2"/>
      </c>
      <c r="F190" s="21">
        <f t="shared" si="4"/>
      </c>
      <c r="G190" s="21">
        <f t="shared" si="5"/>
      </c>
      <c r="H190" s="21">
        <f t="shared" si="7"/>
      </c>
      <c r="I190" s="22">
        <f t="shared" si="10"/>
      </c>
      <c r="J190" s="21">
        <f t="shared" si="12"/>
      </c>
      <c r="AZ190" s="2">
        <f>IF(103&gt;$BA$300,0,IFERROR(MATCH(103,$BA$1:$BA$300,0),0))</f>
        <v>0</v>
      </c>
      <c r="BA190" s="2">
        <f>BA150+SUM(CA151:CA190)</f>
        <v>29</v>
      </c>
      <c r="CA190" s="2">
        <f>IF(OR(_余额!$G$192&lt;&gt;0,_余额!$I$192&lt;&gt;0),1,0)</f>
        <v>0</v>
      </c>
    </row>
    <row r="191">
      <c r="A191" s="94">
        <f>IF($AZ191=0,"",104)</f>
      </c>
      <c r="B191" s="96">
        <f t="shared" si="0"/>
      </c>
      <c r="C191" s="94">
        <f t="shared" si="20"/>
      </c>
      <c r="D191" s="21">
        <f t="shared" si="1"/>
      </c>
      <c r="E191" s="21">
        <f t="shared" si="2"/>
      </c>
      <c r="F191" s="21">
        <f t="shared" si="4"/>
      </c>
      <c r="G191" s="21">
        <f t="shared" si="5"/>
      </c>
      <c r="H191" s="21">
        <f t="shared" si="7"/>
      </c>
      <c r="I191" s="22">
        <f t="shared" si="10"/>
      </c>
      <c r="J191" s="21">
        <f t="shared" si="12"/>
      </c>
      <c r="AZ191" s="2">
        <f>IF(104&gt;$BA$300,0,IFERROR(MATCH(104,$BA$1:$BA$300,0),0))</f>
        <v>0</v>
      </c>
      <c r="BA191" s="2">
        <f>BA150+SUM(CA151:CA191)</f>
        <v>29</v>
      </c>
      <c r="CA191" s="2">
        <f>IF(OR(_余额!$G$193&lt;&gt;0,_余额!$I$193&lt;&gt;0),1,0)</f>
        <v>0</v>
      </c>
    </row>
    <row r="192">
      <c r="A192" s="94">
        <f>IF($AZ192=0,"",105)</f>
      </c>
      <c r="B192" s="96">
        <f t="shared" si="0"/>
      </c>
      <c r="C192" s="94">
        <f t="shared" si="20"/>
      </c>
      <c r="D192" s="21">
        <f t="shared" si="1"/>
      </c>
      <c r="E192" s="21">
        <f t="shared" si="2"/>
      </c>
      <c r="F192" s="21">
        <f t="shared" si="4"/>
      </c>
      <c r="G192" s="21">
        <f t="shared" si="5"/>
      </c>
      <c r="H192" s="21">
        <f t="shared" si="7"/>
      </c>
      <c r="I192" s="22">
        <f t="shared" si="10"/>
      </c>
      <c r="J192" s="21">
        <f t="shared" si="12"/>
      </c>
      <c r="AZ192" s="2">
        <f>IF(105&gt;$BA$300,0,IFERROR(MATCH(105,$BA$1:$BA$300,0),0))</f>
        <v>0</v>
      </c>
      <c r="BA192" s="2">
        <f>BA150+SUM(CA151:CA192)</f>
        <v>29</v>
      </c>
      <c r="CA192" s="2">
        <f>IF(OR(_余额!$G$194&lt;&gt;0,_余额!$I$194&lt;&gt;0),1,0)</f>
        <v>0</v>
      </c>
    </row>
    <row r="193">
      <c r="A193" s="94">
        <f>IF($AZ193=0,"",106)</f>
      </c>
      <c r="B193" s="96">
        <f t="shared" si="0"/>
      </c>
      <c r="C193" s="94">
        <f t="shared" si="20"/>
      </c>
      <c r="D193" s="21">
        <f t="shared" si="1"/>
      </c>
      <c r="E193" s="21">
        <f t="shared" si="2"/>
      </c>
      <c r="F193" s="21">
        <f t="shared" si="4"/>
      </c>
      <c r="G193" s="21">
        <f t="shared" si="5"/>
      </c>
      <c r="H193" s="21">
        <f t="shared" si="7"/>
      </c>
      <c r="I193" s="22">
        <f t="shared" si="10"/>
      </c>
      <c r="J193" s="21">
        <f t="shared" si="12"/>
      </c>
      <c r="AZ193" s="2">
        <f>IF(106&gt;$BA$300,0,IFERROR(MATCH(106,$BA$1:$BA$300,0),0))</f>
        <v>0</v>
      </c>
      <c r="BA193" s="2">
        <f>BA150+SUM(CA151:CA193)</f>
        <v>29</v>
      </c>
      <c r="CA193" s="2">
        <f>IF(OR(_余额!$G$195&lt;&gt;0,_余额!$I$195&lt;&gt;0),1,0)</f>
        <v>0</v>
      </c>
    </row>
    <row r="194">
      <c r="A194" s="94">
        <f>IF($AZ194=0,"",107)</f>
      </c>
      <c r="B194" s="96">
        <f t="shared" si="0"/>
      </c>
      <c r="C194" s="94">
        <f t="shared" si="20"/>
      </c>
      <c r="D194" s="21">
        <f t="shared" si="1"/>
      </c>
      <c r="E194" s="21">
        <f t="shared" si="2"/>
      </c>
      <c r="F194" s="21">
        <f t="shared" si="4"/>
      </c>
      <c r="G194" s="21">
        <f t="shared" si="5"/>
      </c>
      <c r="H194" s="21">
        <f t="shared" si="7"/>
      </c>
      <c r="I194" s="22">
        <f t="shared" si="10"/>
      </c>
      <c r="J194" s="21">
        <f t="shared" si="12"/>
      </c>
      <c r="AZ194" s="2">
        <f>IF(107&gt;$BA$300,0,IFERROR(MATCH(107,$BA$1:$BA$300,0),0))</f>
        <v>0</v>
      </c>
      <c r="BA194" s="2">
        <f>BA150+SUM(CA151:CA194)</f>
        <v>29</v>
      </c>
      <c r="CA194" s="2">
        <f>IF(OR(_余额!$G$196&lt;&gt;0,_余额!$I$196&lt;&gt;0),1,0)</f>
        <v>0</v>
      </c>
    </row>
    <row r="195">
      <c r="A195" s="94">
        <f>IF($AZ195=0,"",108)</f>
      </c>
      <c r="B195" s="96">
        <f t="shared" si="0"/>
      </c>
      <c r="C195" s="94">
        <f t="shared" si="20"/>
      </c>
      <c r="D195" s="21">
        <f t="shared" si="1"/>
      </c>
      <c r="E195" s="21">
        <f t="shared" si="2"/>
      </c>
      <c r="F195" s="21">
        <f t="shared" si="4"/>
      </c>
      <c r="G195" s="21">
        <f t="shared" si="5"/>
      </c>
      <c r="H195" s="21">
        <f t="shared" si="7"/>
      </c>
      <c r="I195" s="22">
        <f t="shared" si="10"/>
      </c>
      <c r="J195" s="21">
        <f t="shared" si="12"/>
      </c>
      <c r="AZ195" s="2">
        <f>IF(108&gt;$BA$300,0,IFERROR(MATCH(108,$BA$1:$BA$300,0),0))</f>
        <v>0</v>
      </c>
      <c r="BA195" s="2">
        <f>BA150+SUM(CA151:CA195)</f>
        <v>29</v>
      </c>
      <c r="CA195" s="2">
        <f>IF(OR(_余额!$G$197&lt;&gt;0,_余额!$I$197&lt;&gt;0),1,0)</f>
        <v>0</v>
      </c>
    </row>
    <row r="196">
      <c r="A196" s="94">
        <f>IF($AZ196=0,"",109)</f>
      </c>
      <c r="B196" s="96">
        <f t="shared" si="0"/>
      </c>
      <c r="C196" s="94">
        <f t="shared" si="20"/>
      </c>
      <c r="D196" s="21">
        <f t="shared" si="1"/>
      </c>
      <c r="E196" s="21">
        <f t="shared" si="2"/>
      </c>
      <c r="F196" s="21">
        <f t="shared" si="4"/>
      </c>
      <c r="G196" s="21">
        <f t="shared" si="5"/>
      </c>
      <c r="H196" s="21">
        <f t="shared" si="7"/>
      </c>
      <c r="I196" s="22">
        <f t="shared" si="10"/>
      </c>
      <c r="J196" s="21">
        <f t="shared" si="12"/>
      </c>
      <c r="AZ196" s="2">
        <f>IF(109&gt;$BA$300,0,IFERROR(MATCH(109,$BA$1:$BA$300,0),0))</f>
        <v>0</v>
      </c>
      <c r="BA196" s="2">
        <f>BA150+SUM(CA151:CA196)</f>
        <v>29</v>
      </c>
      <c r="CA196" s="2">
        <f>IF(OR(_余额!$G$198&lt;&gt;0,_余额!$I$198&lt;&gt;0),1,0)</f>
        <v>0</v>
      </c>
    </row>
    <row r="197">
      <c r="A197" s="94">
        <f>IF($AZ197=0,"",110)</f>
      </c>
      <c r="B197" s="96">
        <f t="shared" si="0"/>
      </c>
      <c r="C197" s="94">
        <f t="shared" si="20"/>
      </c>
      <c r="D197" s="21">
        <f t="shared" si="1"/>
      </c>
      <c r="E197" s="21">
        <f t="shared" si="2"/>
      </c>
      <c r="F197" s="21">
        <f t="shared" si="4"/>
      </c>
      <c r="G197" s="21">
        <f t="shared" si="5"/>
      </c>
      <c r="H197" s="21">
        <f t="shared" si="7"/>
      </c>
      <c r="I197" s="22">
        <f t="shared" si="10"/>
      </c>
      <c r="J197" s="21">
        <f t="shared" si="12"/>
      </c>
      <c r="AZ197" s="2">
        <f>IF(110&gt;$BA$300,0,IFERROR(MATCH(110,$BA$1:$BA$300,0),0))</f>
        <v>0</v>
      </c>
      <c r="BA197" s="2">
        <f>BA150+SUM(CA151:CA197)</f>
        <v>29</v>
      </c>
      <c r="CA197" s="2">
        <f>IF(OR(_余额!$G$199&lt;&gt;0,_余额!$I$199&lt;&gt;0),1,0)</f>
        <v>0</v>
      </c>
    </row>
    <row r="198">
      <c r="A198" s="94">
        <f>IF($AZ198=0,"",111)</f>
      </c>
      <c r="B198" s="96">
        <f t="shared" si="0"/>
      </c>
      <c r="C198" s="94">
        <f t="shared" si="20"/>
      </c>
      <c r="D198" s="21">
        <f t="shared" si="1"/>
      </c>
      <c r="E198" s="21">
        <f t="shared" si="2"/>
      </c>
      <c r="F198" s="21">
        <f t="shared" si="4"/>
      </c>
      <c r="G198" s="21">
        <f t="shared" si="5"/>
      </c>
      <c r="H198" s="21">
        <f t="shared" si="7"/>
      </c>
      <c r="I198" s="22">
        <f t="shared" si="10"/>
      </c>
      <c r="J198" s="21">
        <f t="shared" si="12"/>
      </c>
      <c r="AZ198" s="2">
        <f>IF(111&gt;$BA$300,0,IFERROR(MATCH(111,$BA$1:$BA$300,0),0))</f>
        <v>0</v>
      </c>
      <c r="BA198" s="2">
        <f>BA150+SUM(CA151:CA198)</f>
        <v>29</v>
      </c>
      <c r="CA198" s="2">
        <f>IF(OR(_余额!$G$200&lt;&gt;0,_余额!$I$200&lt;&gt;0),1,0)</f>
        <v>0</v>
      </c>
    </row>
    <row r="199">
      <c r="A199" s="94">
        <f>IF($AZ199=0,"",112)</f>
      </c>
      <c r="B199" s="96">
        <f t="shared" si="0"/>
      </c>
      <c r="C199" s="94">
        <f t="shared" si="20"/>
      </c>
      <c r="D199" s="21">
        <f t="shared" si="1"/>
      </c>
      <c r="E199" s="21">
        <f t="shared" si="2"/>
      </c>
      <c r="F199" s="21">
        <f t="shared" si="4"/>
      </c>
      <c r="G199" s="21">
        <f t="shared" si="5"/>
      </c>
      <c r="H199" s="21">
        <f t="shared" si="7"/>
      </c>
      <c r="I199" s="22">
        <f t="shared" si="10"/>
      </c>
      <c r="J199" s="21">
        <f t="shared" si="12"/>
      </c>
      <c r="AZ199" s="2">
        <f>IF(112&gt;$BA$300,0,IFERROR(MATCH(112,$BA$1:$BA$300,0),0))</f>
        <v>0</v>
      </c>
      <c r="BA199" s="2">
        <f>BA150+SUM(CA151:CA199)</f>
        <v>29</v>
      </c>
      <c r="CA199" s="2">
        <f>IF(OR(_余额!$G$201&lt;&gt;0,_余额!$I$201&lt;&gt;0),1,0)</f>
        <v>0</v>
      </c>
    </row>
    <row r="200">
      <c r="A200" s="94">
        <f>IF($AZ200=0,"",113)</f>
      </c>
      <c r="B200" s="96">
        <f t="shared" si="0"/>
      </c>
      <c r="C200" s="94">
        <f t="shared" si="20"/>
      </c>
      <c r="D200" s="21">
        <f t="shared" si="1"/>
      </c>
      <c r="E200" s="21">
        <f t="shared" si="2"/>
      </c>
      <c r="F200" s="21">
        <f t="shared" si="4"/>
      </c>
      <c r="G200" s="21">
        <f t="shared" si="5"/>
      </c>
      <c r="H200" s="21">
        <f t="shared" si="7"/>
      </c>
      <c r="I200" s="22">
        <f t="shared" si="10"/>
      </c>
      <c r="J200" s="21">
        <f t="shared" si="12"/>
      </c>
      <c r="AZ200" s="2">
        <f>IF(113&gt;$BA$300,0,IFERROR(MATCH(113,$BA$1:$BA$300,0),0))</f>
        <v>0</v>
      </c>
      <c r="BA200" s="2">
        <f>BA150+SUM(CA151:CA200)</f>
        <v>29</v>
      </c>
      <c r="CA200" s="2">
        <f>IF(OR(_余额!$G$202&lt;&gt;0,_余额!$I$202&lt;&gt;0),1,0)</f>
        <v>0</v>
      </c>
    </row>
    <row r="201">
      <c r="A201" s="94">
        <f>IF($AZ201=0,"",114)</f>
      </c>
      <c r="B201" s="96">
        <f t="shared" si="0"/>
      </c>
      <c r="C201" s="94">
        <f t="shared" si="20"/>
      </c>
      <c r="D201" s="21">
        <f t="shared" si="1"/>
      </c>
      <c r="E201" s="21">
        <f t="shared" si="2"/>
      </c>
      <c r="F201" s="21">
        <f t="shared" si="4"/>
      </c>
      <c r="G201" s="21">
        <f t="shared" si="5"/>
      </c>
      <c r="H201" s="21">
        <f t="shared" si="7"/>
      </c>
      <c r="I201" s="22">
        <f t="shared" si="10"/>
      </c>
      <c r="J201" s="21">
        <f t="shared" si="12"/>
      </c>
      <c r="AZ201" s="2">
        <f>IF(114&gt;$BA$300,0,IFERROR(MATCH(114,$BA$1:$BA$300,0),0))</f>
        <v>0</v>
      </c>
      <c r="BA201" s="2">
        <f>BA200+SUM(CA201:CA201)</f>
        <v>29</v>
      </c>
      <c r="CA201" s="2">
        <f>IF(OR(_余额!$G$203&lt;&gt;0,_余额!$I$203&lt;&gt;0),1,0)</f>
        <v>0</v>
      </c>
    </row>
    <row r="202">
      <c r="A202" s="94">
        <f>IF($AZ202=0,"",115)</f>
      </c>
      <c r="B202" s="96">
        <f t="shared" si="0"/>
      </c>
      <c r="C202" s="94">
        <f t="shared" si="20"/>
      </c>
      <c r="D202" s="21">
        <f t="shared" si="1"/>
      </c>
      <c r="E202" s="21">
        <f t="shared" si="2"/>
      </c>
      <c r="F202" s="21">
        <f t="shared" si="4"/>
      </c>
      <c r="G202" s="21">
        <f t="shared" si="5"/>
      </c>
      <c r="H202" s="21">
        <f t="shared" si="7"/>
      </c>
      <c r="I202" s="22">
        <f t="shared" si="10"/>
      </c>
      <c r="J202" s="21">
        <f t="shared" si="12"/>
      </c>
      <c r="AZ202" s="2">
        <f>IF(115&gt;$BA$300,0,IFERROR(MATCH(115,$BA$1:$BA$300,0),0))</f>
        <v>0</v>
      </c>
      <c r="BA202" s="2">
        <f>BA200+SUM(CA201:CA202)</f>
        <v>29</v>
      </c>
      <c r="CA202" s="2">
        <f>IF(OR(_余额!$G$204&lt;&gt;0,_余额!$I$204&lt;&gt;0),1,0)</f>
        <v>0</v>
      </c>
    </row>
    <row r="203">
      <c r="A203" s="94">
        <f>IF($AZ203=0,"",116)</f>
      </c>
      <c r="B203" s="96">
        <f t="shared" si="0"/>
      </c>
      <c r="C203" s="94">
        <f t="shared" si="20"/>
      </c>
      <c r="D203" s="21">
        <f t="shared" si="1"/>
      </c>
      <c r="E203" s="21">
        <f t="shared" si="2"/>
      </c>
      <c r="F203" s="21">
        <f t="shared" si="4"/>
      </c>
      <c r="G203" s="21">
        <f t="shared" si="5"/>
      </c>
      <c r="H203" s="21">
        <f t="shared" si="7"/>
      </c>
      <c r="I203" s="22">
        <f t="shared" si="10"/>
      </c>
      <c r="J203" s="21">
        <f t="shared" si="12"/>
      </c>
      <c r="AZ203" s="2">
        <f>IF(116&gt;$BA$300,0,IFERROR(MATCH(116,$BA$1:$BA$300,0),0))</f>
        <v>0</v>
      </c>
      <c r="BA203" s="2">
        <f>BA200+SUM(CA201:CA203)</f>
        <v>29</v>
      </c>
      <c r="CA203" s="2">
        <f>IF(OR(_余额!$G$205&lt;&gt;0,_余额!$I$205&lt;&gt;0),1,0)</f>
        <v>0</v>
      </c>
    </row>
    <row r="204">
      <c r="A204" s="94">
        <f>IF($AZ204=0,"",117)</f>
      </c>
      <c r="B204" s="96">
        <f t="shared" si="0"/>
      </c>
      <c r="C204" s="94">
        <f t="shared" si="20"/>
      </c>
      <c r="D204" s="21">
        <f t="shared" si="1"/>
      </c>
      <c r="E204" s="21">
        <f t="shared" si="2"/>
      </c>
      <c r="F204" s="21">
        <f t="shared" si="4"/>
      </c>
      <c r="G204" s="21">
        <f t="shared" si="5"/>
      </c>
      <c r="H204" s="21">
        <f t="shared" si="7"/>
      </c>
      <c r="I204" s="22">
        <f t="shared" si="10"/>
      </c>
      <c r="J204" s="21">
        <f t="shared" si="12"/>
      </c>
      <c r="AZ204" s="2">
        <f>IF(117&gt;$BA$300,0,IFERROR(MATCH(117,$BA$1:$BA$300,0),0))</f>
        <v>0</v>
      </c>
      <c r="BA204" s="2">
        <f>BA200+SUM(CA201:CA204)</f>
        <v>29</v>
      </c>
      <c r="CA204" s="2">
        <f>IF(OR(_余额!$G$206&lt;&gt;0,_余额!$I$206&lt;&gt;0),1,0)</f>
        <v>0</v>
      </c>
    </row>
    <row r="205">
      <c r="A205" s="94">
        <f>IF($AZ205=0,"",118)</f>
      </c>
      <c r="B205" s="96">
        <f t="shared" si="0"/>
      </c>
      <c r="C205" s="94">
        <f t="shared" si="20"/>
      </c>
      <c r="D205" s="21">
        <f t="shared" si="1"/>
      </c>
      <c r="E205" s="21">
        <f t="shared" si="2"/>
      </c>
      <c r="F205" s="21">
        <f t="shared" si="4"/>
      </c>
      <c r="G205" s="21">
        <f t="shared" si="5"/>
      </c>
      <c r="H205" s="21">
        <f t="shared" si="7"/>
      </c>
      <c r="I205" s="22">
        <f t="shared" si="10"/>
      </c>
      <c r="J205" s="21">
        <f t="shared" si="12"/>
      </c>
      <c r="AZ205" s="2">
        <f>IF(118&gt;$BA$300,0,IFERROR(MATCH(118,$BA$1:$BA$300,0),0))</f>
        <v>0</v>
      </c>
      <c r="BA205" s="2">
        <f>BA200+SUM(CA201:CA205)</f>
        <v>29</v>
      </c>
      <c r="CA205" s="2">
        <f>IF(OR(_余额!$G$207&lt;&gt;0,_余额!$I$207&lt;&gt;0),1,0)</f>
        <v>0</v>
      </c>
    </row>
    <row r="206">
      <c r="A206" s="94">
        <f>IF($AZ206=0,"",119)</f>
      </c>
      <c r="B206" s="96">
        <f t="shared" si="0"/>
      </c>
      <c r="C206" s="94">
        <f t="shared" si="20"/>
      </c>
      <c r="D206" s="21">
        <f t="shared" si="1"/>
      </c>
      <c r="E206" s="21">
        <f t="shared" si="2"/>
      </c>
      <c r="F206" s="21">
        <f t="shared" si="4"/>
      </c>
      <c r="G206" s="21">
        <f t="shared" si="5"/>
      </c>
      <c r="H206" s="21">
        <f t="shared" si="7"/>
      </c>
      <c r="I206" s="22">
        <f t="shared" si="10"/>
      </c>
      <c r="J206" s="21">
        <f t="shared" si="12"/>
      </c>
      <c r="AZ206" s="2">
        <f>IF(119&gt;$BA$300,0,IFERROR(MATCH(119,$BA$1:$BA$300,0),0))</f>
        <v>0</v>
      </c>
      <c r="BA206" s="2">
        <f>BA200+SUM(CA201:CA206)</f>
        <v>29</v>
      </c>
      <c r="CA206" s="2">
        <f>IF(OR(_余额!$G$208&lt;&gt;0,_余额!$I$208&lt;&gt;0),1,0)</f>
        <v>0</v>
      </c>
    </row>
    <row r="207">
      <c r="A207" s="94">
        <f>IF($AZ207=0,"",120)</f>
      </c>
      <c r="B207" s="96">
        <f t="shared" si="0"/>
      </c>
      <c r="C207" s="94">
        <f t="shared" si="20"/>
      </c>
      <c r="D207" s="21">
        <f t="shared" si="1"/>
      </c>
      <c r="E207" s="21">
        <f t="shared" si="2"/>
      </c>
      <c r="F207" s="21">
        <f t="shared" si="4"/>
      </c>
      <c r="G207" s="21">
        <f t="shared" si="5"/>
      </c>
      <c r="H207" s="21">
        <f t="shared" si="7"/>
      </c>
      <c r="I207" s="22">
        <f t="shared" si="10"/>
      </c>
      <c r="J207" s="21">
        <f t="shared" si="12"/>
      </c>
      <c r="AZ207" s="2">
        <f>IF(120&gt;$BA$300,0,IFERROR(MATCH(120,$BA$1:$BA$300,0),0))</f>
        <v>0</v>
      </c>
      <c r="BA207" s="2">
        <f>BA200+SUM(CA201:CA207)</f>
        <v>29</v>
      </c>
      <c r="CA207" s="2">
        <f>IF(OR(_余额!$G$209&lt;&gt;0,_余额!$I$209&lt;&gt;0),1,0)</f>
        <v>0</v>
      </c>
    </row>
    <row r="208">
      <c r="BA208" s="2">
        <f>BA200+SUM(CA201:CA208)</f>
        <v>29</v>
      </c>
      <c r="CA208" s="2">
        <f>IF(OR(_余额!$G$210&lt;&gt;0,_余额!$I$210&lt;&gt;0),1,0)</f>
        <v>0</v>
      </c>
    </row>
    <row r="209">
      <c r="BA209" s="2">
        <f>BA200+SUM(CA201:CA209)</f>
        <v>29</v>
      </c>
      <c r="CA209" s="2">
        <f>IF(OR(_余额!$G$211&lt;&gt;0,_余额!$I$211&lt;&gt;0),1,0)</f>
        <v>0</v>
      </c>
    </row>
    <row r="210">
      <c r="BA210" s="2">
        <f>BA200+SUM(CA201:CA210)</f>
        <v>29</v>
      </c>
      <c r="CA210" s="2">
        <f>IF(OR(_余额!$G$212&lt;&gt;0,_余额!$I$212&lt;&gt;0),1,0)</f>
        <v>0</v>
      </c>
    </row>
    <row r="211">
      <c r="BA211" s="2">
        <f>BA200+SUM(CA201:CA211)</f>
        <v>29</v>
      </c>
      <c r="CA211" s="2">
        <f>IF(OR(_余额!$G$213&lt;&gt;0,_余额!$I$213&lt;&gt;0),1,0)</f>
        <v>0</v>
      </c>
    </row>
    <row r="212">
      <c r="BA212" s="2">
        <f>BA200+SUM(CA201:CA212)</f>
        <v>29</v>
      </c>
      <c r="CA212" s="2">
        <f>IF(OR(_余额!$G$214&lt;&gt;0,_余额!$I$214&lt;&gt;0),1,0)</f>
        <v>0</v>
      </c>
    </row>
    <row r="213">
      <c r="BA213" s="2">
        <f>BA200+SUM(CA201:CA213)</f>
        <v>29</v>
      </c>
      <c r="CA213" s="2">
        <f>IF(OR(_余额!$G$215&lt;&gt;0,_余额!$I$215&lt;&gt;0),1,0)</f>
        <v>0</v>
      </c>
    </row>
    <row r="214">
      <c r="BA214" s="2">
        <f>BA200+SUM(CA201:CA214)</f>
        <v>29</v>
      </c>
      <c r="CA214" s="2">
        <f>IF(OR(_余额!$G$216&lt;&gt;0,_余额!$I$216&lt;&gt;0),1,0)</f>
        <v>0</v>
      </c>
    </row>
    <row r="215">
      <c r="BA215" s="2">
        <f>BA200+SUM(CA201:CA215)</f>
        <v>29</v>
      </c>
      <c r="CA215" s="2">
        <f>IF(OR(_余额!$G$217&lt;&gt;0,_余额!$I$217&lt;&gt;0),1,0)</f>
        <v>0</v>
      </c>
    </row>
    <row r="216">
      <c r="BA216" s="2">
        <f>BA200+SUM(CA201:CA216)</f>
        <v>29</v>
      </c>
      <c r="CA216" s="2">
        <f>IF(OR(_余额!$G$218&lt;&gt;0,_余额!$I$218&lt;&gt;0),1,0)</f>
        <v>0</v>
      </c>
    </row>
    <row r="217">
      <c r="BA217" s="2">
        <f>BA200+SUM(CA201:CA217)</f>
        <v>29</v>
      </c>
      <c r="CA217" s="2">
        <f>IF(OR(_余额!$G$219&lt;&gt;0,_余额!$I$219&lt;&gt;0),1,0)</f>
        <v>0</v>
      </c>
    </row>
    <row r="218">
      <c r="BA218" s="2">
        <f>BA200+SUM(CA201:CA218)</f>
        <v>29</v>
      </c>
      <c r="CA218" s="2">
        <f>IF(OR(_余额!$G$220&lt;&gt;0,_余额!$I$220&lt;&gt;0),1,0)</f>
        <v>0</v>
      </c>
    </row>
    <row r="219">
      <c r="BA219" s="2">
        <f>BA200+SUM(CA201:CA219)</f>
        <v>29</v>
      </c>
      <c r="CA219" s="2">
        <f>IF(OR(_余额!$G$221&lt;&gt;0,_余额!$I$221&lt;&gt;0),1,0)</f>
        <v>0</v>
      </c>
    </row>
    <row r="220">
      <c r="BA220" s="2">
        <f>BA200+SUM(CA201:CA220)</f>
        <v>29</v>
      </c>
      <c r="CA220" s="2">
        <f>IF(OR(_余额!$G$222&lt;&gt;0,_余额!$I$222&lt;&gt;0),1,0)</f>
        <v>0</v>
      </c>
    </row>
    <row r="221">
      <c r="BA221" s="2">
        <f>BA200+SUM(CA201:CA221)</f>
        <v>29</v>
      </c>
      <c r="CA221" s="2">
        <f>IF(OR(_余额!$G$223&lt;&gt;0,_余额!$I$223&lt;&gt;0),1,0)</f>
        <v>0</v>
      </c>
    </row>
    <row r="222">
      <c r="BA222" s="2">
        <f>BA200+SUM(CA201:CA222)</f>
        <v>29</v>
      </c>
      <c r="CA222" s="2">
        <f>IF(OR(_余额!$G$224&lt;&gt;0,_余额!$I$224&lt;&gt;0),1,0)</f>
        <v>0</v>
      </c>
    </row>
    <row r="223">
      <c r="BA223" s="2">
        <f>BA200+SUM(CA201:CA223)</f>
        <v>29</v>
      </c>
      <c r="CA223" s="2">
        <f>IF(OR(_余额!$G$225&lt;&gt;0,_余额!$I$225&lt;&gt;0),1,0)</f>
        <v>0</v>
      </c>
    </row>
    <row r="224">
      <c r="BA224" s="2">
        <f>BA200+SUM(CA201:CA224)</f>
        <v>29</v>
      </c>
      <c r="CA224" s="2">
        <f>IF(OR(_余额!$G$226&lt;&gt;0,_余额!$I$226&lt;&gt;0),1,0)</f>
        <v>0</v>
      </c>
    </row>
    <row r="225">
      <c r="BA225" s="2">
        <f>BA200+SUM(CA201:CA225)</f>
        <v>29</v>
      </c>
      <c r="CA225" s="2">
        <f>IF(OR(_余额!$G$227&lt;&gt;0,_余额!$I$227&lt;&gt;0),1,0)</f>
        <v>0</v>
      </c>
    </row>
    <row r="226">
      <c r="BA226" s="2">
        <f>BA200+SUM(CA201:CA226)</f>
        <v>29</v>
      </c>
      <c r="CA226" s="2">
        <f>IF(OR(_余额!$G$228&lt;&gt;0,_余额!$I$228&lt;&gt;0),1,0)</f>
        <v>0</v>
      </c>
    </row>
    <row r="227">
      <c r="BA227" s="2">
        <f>BA200+SUM(CA201:CA227)</f>
        <v>29</v>
      </c>
      <c r="CA227" s="2">
        <f>IF(OR(_余额!$G$229&lt;&gt;0,_余额!$I$229&lt;&gt;0),1,0)</f>
        <v>0</v>
      </c>
    </row>
    <row r="228">
      <c r="BA228" s="2">
        <f>BA200+SUM(CA201:CA228)</f>
        <v>29</v>
      </c>
      <c r="CA228" s="2">
        <f>IF(OR(_余额!$G$230&lt;&gt;0,_余额!$I$230&lt;&gt;0),1,0)</f>
        <v>0</v>
      </c>
    </row>
    <row r="229">
      <c r="BA229" s="2">
        <f>BA200+SUM(CA201:CA229)</f>
        <v>29</v>
      </c>
      <c r="CA229" s="2">
        <f>IF(OR(_余额!$G$231&lt;&gt;0,_余额!$I$231&lt;&gt;0),1,0)</f>
        <v>0</v>
      </c>
    </row>
    <row r="230">
      <c r="BA230" s="2">
        <f>BA200+SUM(CA201:CA230)</f>
        <v>29</v>
      </c>
      <c r="CA230" s="2">
        <f>IF(OR(_余额!$G$232&lt;&gt;0,_余额!$I$232&lt;&gt;0),1,0)</f>
        <v>0</v>
      </c>
    </row>
    <row r="231">
      <c r="BA231" s="2">
        <f>BA200+SUM(CA201:CA231)</f>
        <v>29</v>
      </c>
      <c r="CA231" s="2">
        <f>IF(OR(_余额!$G$233&lt;&gt;0,_余额!$I$233&lt;&gt;0),1,0)</f>
        <v>0</v>
      </c>
    </row>
    <row r="232">
      <c r="BA232" s="2">
        <f>BA200+SUM(CA201:CA232)</f>
        <v>29</v>
      </c>
      <c r="CA232" s="2">
        <f>IF(OR(_余额!$G$234&lt;&gt;0,_余额!$I$234&lt;&gt;0),1,0)</f>
        <v>0</v>
      </c>
    </row>
    <row r="233">
      <c r="BA233" s="2">
        <f>BA200+SUM(CA201:CA233)</f>
        <v>29</v>
      </c>
      <c r="CA233" s="2">
        <f>IF(OR(_余额!$G$235&lt;&gt;0,_余额!$I$235&lt;&gt;0),1,0)</f>
        <v>0</v>
      </c>
    </row>
    <row r="234">
      <c r="BA234" s="2">
        <f>BA200+SUM(CA201:CA234)</f>
        <v>29</v>
      </c>
      <c r="CA234" s="2">
        <f>IF(OR(_余额!$G$236&lt;&gt;0,_余额!$I$236&lt;&gt;0),1,0)</f>
        <v>0</v>
      </c>
    </row>
    <row r="235">
      <c r="BA235" s="2">
        <f>BA200+SUM(CA201:CA235)</f>
        <v>29</v>
      </c>
      <c r="CA235" s="2">
        <f>IF(OR(_余额!$G$237&lt;&gt;0,_余额!$I$237&lt;&gt;0),1,0)</f>
        <v>0</v>
      </c>
    </row>
    <row r="236">
      <c r="BA236" s="2">
        <f>BA200+SUM(CA201:CA236)</f>
        <v>29</v>
      </c>
      <c r="CA236" s="2">
        <f>IF(OR(_余额!$G$238&lt;&gt;0,_余额!$I$238&lt;&gt;0),1,0)</f>
        <v>0</v>
      </c>
    </row>
    <row r="237">
      <c r="BA237" s="2">
        <f>BA200+SUM(CA201:CA237)</f>
        <v>29</v>
      </c>
      <c r="CA237" s="2">
        <f>IF(OR(_余额!$G$239&lt;&gt;0,_余额!$I$239&lt;&gt;0),1,0)</f>
        <v>0</v>
      </c>
    </row>
    <row r="238">
      <c r="BA238" s="2">
        <f>BA200+SUM(CA201:CA238)</f>
        <v>29</v>
      </c>
      <c r="CA238" s="2">
        <f>IF(OR(_余额!$G$240&lt;&gt;0,_余额!$I$240&lt;&gt;0),1,0)</f>
        <v>0</v>
      </c>
    </row>
    <row r="239">
      <c r="BA239" s="2">
        <f>BA200+SUM(CA201:CA239)</f>
        <v>29</v>
      </c>
      <c r="CA239" s="2">
        <f>IF(OR(_余额!$G$241&lt;&gt;0,_余额!$I$241&lt;&gt;0),1,0)</f>
        <v>0</v>
      </c>
    </row>
    <row r="240">
      <c r="BA240" s="2">
        <f>BA200+SUM(CA201:CA240)</f>
        <v>29</v>
      </c>
      <c r="CA240" s="2">
        <f>IF(OR(_余额!$G$242&lt;&gt;0,_余额!$I$242&lt;&gt;0),1,0)</f>
        <v>0</v>
      </c>
    </row>
    <row r="241">
      <c r="BA241" s="2">
        <f>BA200+SUM(CA201:CA241)</f>
        <v>29</v>
      </c>
      <c r="CA241" s="2">
        <f>IF(OR(_余额!$G$243&lt;&gt;0,_余额!$I$243&lt;&gt;0),1,0)</f>
        <v>0</v>
      </c>
    </row>
    <row r="242">
      <c r="BA242" s="2">
        <f>BA200+SUM(CA201:CA242)</f>
        <v>29</v>
      </c>
      <c r="CA242" s="2">
        <f>IF(OR(_余额!$G$244&lt;&gt;0,_余额!$I$244&lt;&gt;0),1,0)</f>
        <v>0</v>
      </c>
    </row>
    <row r="243">
      <c r="BA243" s="2">
        <f>BA200+SUM(CA201:CA243)</f>
        <v>29</v>
      </c>
      <c r="CA243" s="2">
        <f>IF(OR(_余额!$G$245&lt;&gt;0,_余额!$I$245&lt;&gt;0),1,0)</f>
        <v>0</v>
      </c>
    </row>
    <row r="244">
      <c r="BA244" s="2">
        <f>BA200+SUM(CA201:CA244)</f>
        <v>29</v>
      </c>
      <c r="CA244" s="2">
        <f>IF(OR(_余额!$G$246&lt;&gt;0,_余额!$I$246&lt;&gt;0),1,0)</f>
        <v>0</v>
      </c>
    </row>
    <row r="245">
      <c r="BA245" s="2">
        <f>BA200+SUM(CA201:CA245)</f>
        <v>29</v>
      </c>
      <c r="CA245" s="2">
        <f>IF(OR(_余额!$G$247&lt;&gt;0,_余额!$I$247&lt;&gt;0),1,0)</f>
        <v>0</v>
      </c>
    </row>
    <row r="246">
      <c r="BA246" s="2">
        <f>BA200+SUM(CA201:CA246)</f>
        <v>29</v>
      </c>
      <c r="CA246" s="2">
        <f>IF(OR(_余额!$G$248&lt;&gt;0,_余额!$I$248&lt;&gt;0),1,0)</f>
        <v>0</v>
      </c>
    </row>
    <row r="247">
      <c r="BA247" s="2">
        <f>BA200+SUM(CA201:CA247)</f>
        <v>29</v>
      </c>
      <c r="CA247" s="2">
        <f>IF(OR(_余额!$G$249&lt;&gt;0,_余额!$I$249&lt;&gt;0),1,0)</f>
        <v>0</v>
      </c>
    </row>
    <row r="248">
      <c r="BA248" s="2">
        <f>BA200+SUM(CA201:CA248)</f>
        <v>29</v>
      </c>
      <c r="CA248" s="2">
        <f>IF(OR(_余额!$G$250&lt;&gt;0,_余额!$I$250&lt;&gt;0),1,0)</f>
        <v>0</v>
      </c>
    </row>
    <row r="249">
      <c r="BA249" s="2">
        <f>BA200+SUM(CA201:CA249)</f>
        <v>29</v>
      </c>
      <c r="CA249" s="2">
        <f>IF(OR(_余额!$G$251&lt;&gt;0,_余额!$I$251&lt;&gt;0),1,0)</f>
        <v>0</v>
      </c>
    </row>
    <row r="250">
      <c r="BA250" s="2">
        <f>BA200+SUM(CA201:CA250)</f>
        <v>29</v>
      </c>
      <c r="CA250" s="2">
        <f>IF(OR(_余额!$G$252&lt;&gt;0,_余额!$I$252&lt;&gt;0),1,0)</f>
        <v>0</v>
      </c>
    </row>
    <row r="251">
      <c r="BA251" s="2">
        <f>BA250+SUM(CA251:CA251)</f>
        <v>29</v>
      </c>
      <c r="CA251" s="2">
        <f>IF(OR(_余额!$G$253&lt;&gt;0,_余额!$I$253&lt;&gt;0),1,0)</f>
        <v>0</v>
      </c>
    </row>
    <row r="252">
      <c r="BA252" s="2">
        <f>BA250+SUM(CA251:CA252)</f>
        <v>29</v>
      </c>
      <c r="CA252" s="2">
        <f>IF(OR(_余额!$G$254&lt;&gt;0,_余额!$I$254&lt;&gt;0),1,0)</f>
        <v>0</v>
      </c>
    </row>
    <row r="253">
      <c r="BA253" s="2">
        <f>BA250+SUM(CA251:CA253)</f>
        <v>29</v>
      </c>
      <c r="CA253" s="2">
        <f>IF(OR(_余额!$G$255&lt;&gt;0,_余额!$I$255&lt;&gt;0),1,0)</f>
        <v>0</v>
      </c>
    </row>
    <row r="254">
      <c r="BA254" s="2">
        <f>BA250+SUM(CA251:CA254)</f>
        <v>29</v>
      </c>
      <c r="CA254" s="2">
        <f>IF(OR(_余额!$G$256&lt;&gt;0,_余额!$I$256&lt;&gt;0),1,0)</f>
        <v>0</v>
      </c>
    </row>
    <row r="255">
      <c r="BA255" s="2">
        <f>BA250+SUM(CA251:CA255)</f>
        <v>29</v>
      </c>
      <c r="CA255" s="2">
        <f>IF(OR(_余额!$G$257&lt;&gt;0,_余额!$I$257&lt;&gt;0),1,0)</f>
        <v>0</v>
      </c>
    </row>
    <row r="256">
      <c r="BA256" s="2">
        <f>BA250+SUM(CA251:CA256)</f>
        <v>29</v>
      </c>
      <c r="CA256" s="2">
        <f>IF(OR(_余额!$G$258&lt;&gt;0,_余额!$I$258&lt;&gt;0),1,0)</f>
        <v>0</v>
      </c>
    </row>
    <row r="257">
      <c r="BA257" s="2">
        <f>BA250+SUM(CA251:CA257)</f>
        <v>29</v>
      </c>
      <c r="CA257" s="2">
        <f>IF(OR(_余额!$G$259&lt;&gt;0,_余额!$I$259&lt;&gt;0),1,0)</f>
        <v>0</v>
      </c>
    </row>
    <row r="258">
      <c r="BA258" s="2">
        <f>BA250+SUM(CA251:CA258)</f>
        <v>29</v>
      </c>
      <c r="CA258" s="2">
        <f>IF(OR(_余额!$G$260&lt;&gt;0,_余额!$I$260&lt;&gt;0),1,0)</f>
        <v>0</v>
      </c>
    </row>
    <row r="259">
      <c r="BA259" s="2">
        <f>BA250+SUM(CA251:CA259)</f>
        <v>29</v>
      </c>
      <c r="CA259" s="2">
        <f>IF(OR(_余额!$G$261&lt;&gt;0,_余额!$I$261&lt;&gt;0),1,0)</f>
        <v>0</v>
      </c>
    </row>
    <row r="260">
      <c r="BA260" s="2">
        <f>BA250+SUM(CA251:CA260)</f>
        <v>29</v>
      </c>
      <c r="CA260" s="2">
        <f>IF(OR(_余额!$G$262&lt;&gt;0,_余额!$I$262&lt;&gt;0),1,0)</f>
        <v>0</v>
      </c>
    </row>
    <row r="261">
      <c r="BA261" s="2">
        <f>BA250+SUM(CA251:CA261)</f>
        <v>29</v>
      </c>
      <c r="CA261" s="2">
        <f>IF(OR(_余额!$G$263&lt;&gt;0,_余额!$I$263&lt;&gt;0),1,0)</f>
        <v>0</v>
      </c>
    </row>
    <row r="262">
      <c r="BA262" s="2">
        <f>BA250+SUM(CA251:CA262)</f>
        <v>29</v>
      </c>
      <c r="CA262" s="2">
        <f>IF(OR(_余额!$G$264&lt;&gt;0,_余额!$I$264&lt;&gt;0),1,0)</f>
        <v>0</v>
      </c>
    </row>
    <row r="263">
      <c r="BA263" s="2">
        <f>BA250+SUM(CA251:CA263)</f>
        <v>29</v>
      </c>
      <c r="CA263" s="2">
        <f>IF(OR(_余额!$G$265&lt;&gt;0,_余额!$I$265&lt;&gt;0),1,0)</f>
        <v>0</v>
      </c>
    </row>
    <row r="264">
      <c r="BA264" s="2">
        <f>BA250+SUM(CA251:CA264)</f>
        <v>29</v>
      </c>
      <c r="CA264" s="2">
        <f>IF(OR(_余额!$G$266&lt;&gt;0,_余额!$I$266&lt;&gt;0),1,0)</f>
        <v>0</v>
      </c>
    </row>
    <row r="265">
      <c r="BA265" s="2">
        <f>BA250+SUM(CA251:CA265)</f>
        <v>29</v>
      </c>
      <c r="CA265" s="2">
        <f>IF(OR(_余额!$G$267&lt;&gt;0,_余额!$I$267&lt;&gt;0),1,0)</f>
        <v>0</v>
      </c>
    </row>
    <row r="266">
      <c r="BA266" s="2">
        <f>BA250+SUM(CA251:CA266)</f>
        <v>29</v>
      </c>
      <c r="CA266" s="2">
        <f>IF(OR(_余额!$G$268&lt;&gt;0,_余额!$I$268&lt;&gt;0),1,0)</f>
        <v>0</v>
      </c>
    </row>
    <row r="267">
      <c r="BA267" s="2">
        <f>BA250+SUM(CA251:CA267)</f>
        <v>29</v>
      </c>
      <c r="CA267" s="2">
        <f>IF(OR(_余额!$G$269&lt;&gt;0,_余额!$I$269&lt;&gt;0),1,0)</f>
        <v>0</v>
      </c>
    </row>
    <row r="268">
      <c r="BA268" s="2">
        <f>BA250+SUM(CA251:CA268)</f>
        <v>29</v>
      </c>
      <c r="CA268" s="2">
        <f>IF(OR(_余额!$G$270&lt;&gt;0,_余额!$I$270&lt;&gt;0),1,0)</f>
        <v>0</v>
      </c>
    </row>
    <row r="269">
      <c r="BA269" s="2">
        <f>BA250+SUM(CA251:CA269)</f>
        <v>29</v>
      </c>
      <c r="CA269" s="2">
        <f>IF(OR(_余额!$G$271&lt;&gt;0,_余额!$I$271&lt;&gt;0),1,0)</f>
        <v>0</v>
      </c>
    </row>
    <row r="270">
      <c r="BA270" s="2">
        <f>BA250+SUM(CA251:CA270)</f>
        <v>29</v>
      </c>
      <c r="CA270" s="2">
        <f>IF(OR(_余额!$G$272&lt;&gt;0,_余额!$I$272&lt;&gt;0),1,0)</f>
        <v>0</v>
      </c>
    </row>
    <row r="271">
      <c r="BA271" s="2">
        <f>BA250+SUM(CA251:CA271)</f>
        <v>29</v>
      </c>
      <c r="CA271" s="2">
        <f>IF(OR(_余额!$G$273&lt;&gt;0,_余额!$I$273&lt;&gt;0),1,0)</f>
        <v>0</v>
      </c>
    </row>
    <row r="272">
      <c r="BA272" s="2">
        <f>BA250+SUM(CA251:CA272)</f>
        <v>29</v>
      </c>
      <c r="CA272" s="2">
        <f>IF(OR(_余额!$G$274&lt;&gt;0,_余额!$I$274&lt;&gt;0),1,0)</f>
        <v>0</v>
      </c>
    </row>
    <row r="273">
      <c r="BA273" s="2">
        <f>BA250+SUM(CA251:CA273)</f>
        <v>29</v>
      </c>
      <c r="CA273" s="2">
        <f>IF(OR(_余额!$G$275&lt;&gt;0,_余额!$I$275&lt;&gt;0),1,0)</f>
        <v>0</v>
      </c>
    </row>
    <row r="274">
      <c r="BA274" s="2">
        <f>BA250+SUM(CA251:CA274)</f>
        <v>29</v>
      </c>
      <c r="CA274" s="2">
        <f>IF(OR(_余额!$G$276&lt;&gt;0,_余额!$I$276&lt;&gt;0),1,0)</f>
        <v>0</v>
      </c>
    </row>
    <row r="275">
      <c r="BA275" s="2">
        <f>BA250+SUM(CA251:CA275)</f>
        <v>29</v>
      </c>
      <c r="CA275" s="2">
        <f>IF(OR(_余额!$G$277&lt;&gt;0,_余额!$I$277&lt;&gt;0),1,0)</f>
        <v>0</v>
      </c>
    </row>
    <row r="276">
      <c r="BA276" s="2">
        <f>BA250+SUM(CA251:CA276)</f>
        <v>29</v>
      </c>
      <c r="CA276" s="2">
        <f>IF(OR(_余额!$G$278&lt;&gt;0,_余额!$I$278&lt;&gt;0),1,0)</f>
        <v>0</v>
      </c>
    </row>
    <row r="277">
      <c r="BA277" s="2">
        <f>BA250+SUM(CA251:CA277)</f>
        <v>29</v>
      </c>
      <c r="CA277" s="2">
        <f>IF(OR(_余额!$G$279&lt;&gt;0,_余额!$I$279&lt;&gt;0),1,0)</f>
        <v>0</v>
      </c>
    </row>
    <row r="278">
      <c r="BA278" s="2">
        <f>BA250+SUM(CA251:CA278)</f>
        <v>29</v>
      </c>
      <c r="CA278" s="2">
        <f>IF(OR(_余额!$G$280&lt;&gt;0,_余额!$I$280&lt;&gt;0),1,0)</f>
        <v>0</v>
      </c>
    </row>
    <row r="279">
      <c r="BA279" s="2">
        <f>BA250+SUM(CA251:CA279)</f>
        <v>29</v>
      </c>
      <c r="CA279" s="2">
        <f>IF(OR(_余额!$G$281&lt;&gt;0,_余额!$I$281&lt;&gt;0),1,0)</f>
        <v>0</v>
      </c>
    </row>
    <row r="280">
      <c r="BA280" s="2">
        <f>BA250+SUM(CA251:CA280)</f>
        <v>29</v>
      </c>
      <c r="CA280" s="2">
        <f>IF(OR(_余额!$G$282&lt;&gt;0,_余额!$I$282&lt;&gt;0),1,0)</f>
        <v>0</v>
      </c>
    </row>
    <row r="281">
      <c r="BA281" s="2">
        <f>BA250+SUM(CA251:CA281)</f>
        <v>29</v>
      </c>
      <c r="CA281" s="2">
        <f>IF(OR(_余额!$G$283&lt;&gt;0,_余额!$I$283&lt;&gt;0),1,0)</f>
        <v>0</v>
      </c>
    </row>
    <row r="282">
      <c r="BA282" s="2">
        <f>BA250+SUM(CA251:CA282)</f>
        <v>29</v>
      </c>
      <c r="CA282" s="2">
        <f>IF(OR(_余额!$G$284&lt;&gt;0,_余额!$I$284&lt;&gt;0),1,0)</f>
        <v>0</v>
      </c>
    </row>
    <row r="283">
      <c r="BA283" s="2">
        <f>BA250+SUM(CA251:CA283)</f>
        <v>29</v>
      </c>
      <c r="CA283" s="2">
        <f>IF(OR(_余额!$G$285&lt;&gt;0,_余额!$I$285&lt;&gt;0),1,0)</f>
        <v>0</v>
      </c>
    </row>
    <row r="284">
      <c r="BA284" s="2">
        <f>BA250+SUM(CA251:CA284)</f>
        <v>29</v>
      </c>
      <c r="CA284" s="2">
        <f>IF(OR(_余额!$G$286&lt;&gt;0,_余额!$I$286&lt;&gt;0),1,0)</f>
        <v>0</v>
      </c>
    </row>
    <row r="285">
      <c r="BA285" s="2">
        <f>BA250+SUM(CA251:CA285)</f>
        <v>29</v>
      </c>
      <c r="CA285" s="2">
        <f>IF(OR(_余额!$G$287&lt;&gt;0,_余额!$I$287&lt;&gt;0),1,0)</f>
        <v>0</v>
      </c>
    </row>
    <row r="286">
      <c r="BA286" s="2">
        <f>BA250+SUM(CA251:CA286)</f>
        <v>29</v>
      </c>
      <c r="CA286" s="2">
        <f>IF(OR(_余额!$G$288&lt;&gt;0,_余额!$I$288&lt;&gt;0),1,0)</f>
        <v>0</v>
      </c>
    </row>
    <row r="287">
      <c r="BA287" s="2">
        <f>BA250+SUM(CA251:CA287)</f>
        <v>29</v>
      </c>
      <c r="CA287" s="2">
        <f>IF(OR(_余额!$G$289&lt;&gt;0,_余额!$I$289&lt;&gt;0),1,0)</f>
        <v>0</v>
      </c>
    </row>
    <row r="288">
      <c r="BA288" s="2">
        <f>BA250+SUM(CA251:CA288)</f>
        <v>29</v>
      </c>
      <c r="CA288" s="2">
        <f>IF(OR(_余额!$G$290&lt;&gt;0,_余额!$I$290&lt;&gt;0),1,0)</f>
        <v>0</v>
      </c>
    </row>
    <row r="289">
      <c r="BA289" s="2">
        <f>BA250+SUM(CA251:CA289)</f>
        <v>29</v>
      </c>
      <c r="CA289" s="2">
        <f>IF(OR(_余额!$G$291&lt;&gt;0,_余额!$I$291&lt;&gt;0),1,0)</f>
        <v>0</v>
      </c>
    </row>
    <row r="290">
      <c r="BA290" s="2">
        <f>BA250+SUM(CA251:CA290)</f>
        <v>29</v>
      </c>
      <c r="CA290" s="2">
        <f>IF(OR(_余额!$G$292&lt;&gt;0,_余额!$I$292&lt;&gt;0),1,0)</f>
        <v>0</v>
      </c>
    </row>
    <row r="291">
      <c r="BA291" s="2">
        <f>BA250+SUM(CA251:CA291)</f>
        <v>29</v>
      </c>
      <c r="CA291" s="2">
        <f>IF(OR(_余额!$G$293&lt;&gt;0,_余额!$I$293&lt;&gt;0),1,0)</f>
        <v>0</v>
      </c>
    </row>
    <row r="292">
      <c r="BA292" s="2">
        <f>BA250+SUM(CA251:CA292)</f>
        <v>29</v>
      </c>
      <c r="CA292" s="2">
        <f>IF(OR(_余额!$G$294&lt;&gt;0,_余额!$I$294&lt;&gt;0),1,0)</f>
        <v>0</v>
      </c>
    </row>
    <row r="293">
      <c r="BA293" s="2">
        <f>BA250+SUM(CA251:CA293)</f>
        <v>29</v>
      </c>
      <c r="CA293" s="2">
        <f>IF(OR(_余额!$G$295&lt;&gt;0,_余额!$I$295&lt;&gt;0),1,0)</f>
        <v>0</v>
      </c>
    </row>
    <row r="294">
      <c r="BA294" s="2">
        <f>BA250+SUM(CA251:CA294)</f>
        <v>29</v>
      </c>
      <c r="CA294" s="2">
        <f>IF(OR(_余额!$G$296&lt;&gt;0,_余额!$I$296&lt;&gt;0),1,0)</f>
        <v>0</v>
      </c>
    </row>
    <row r="295">
      <c r="BA295" s="2">
        <f>BA250+SUM(CA251:CA295)</f>
        <v>29</v>
      </c>
      <c r="CA295" s="2">
        <f>IF(OR(_余额!$G$297&lt;&gt;0,_余额!$I$297&lt;&gt;0),1,0)</f>
        <v>0</v>
      </c>
    </row>
    <row r="296">
      <c r="BA296" s="2">
        <f>BA250+SUM(CA251:CA296)</f>
        <v>29</v>
      </c>
      <c r="CA296" s="2">
        <f>IF(OR(_余额!$G$298&lt;&gt;0,_余额!$I$298&lt;&gt;0),1,0)</f>
        <v>0</v>
      </c>
    </row>
    <row r="297">
      <c r="BA297" s="2">
        <f>BA250+SUM(CA251:CA297)</f>
        <v>29</v>
      </c>
      <c r="CA297" s="2">
        <f>IF(OR(_余额!$G$299&lt;&gt;0,_余额!$I$299&lt;&gt;0),1,0)</f>
        <v>0</v>
      </c>
    </row>
    <row r="298">
      <c r="BA298" s="2">
        <f>BA250+SUM(CA251:CA298)</f>
        <v>29</v>
      </c>
      <c r="CA298" s="2">
        <f>IF(OR(_余额!$G$300&lt;&gt;0,_余额!$I$300&lt;&gt;0),1,0)</f>
        <v>0</v>
      </c>
    </row>
    <row r="299">
      <c r="BA299" s="2">
        <f>BA250+SUM(CA251:CA299)</f>
        <v>29</v>
      </c>
      <c r="CA299" s="2">
        <f>IF(OR(_余额!$G$301&lt;&gt;0,_余额!$I$301&lt;&gt;0),1,0)</f>
        <v>0</v>
      </c>
    </row>
    <row r="300">
      <c r="BA300" s="2">
        <f>BA250+SUM(CA251:CA300)</f>
        <v>29</v>
      </c>
      <c r="CA300" s="2">
        <f>IF(OR(_余额!$G$302&lt;&gt;0,_余额!$I$302&lt;&gt;0),1,0)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5">
    <mergeCell ref="A1:P1"/>
    <mergeCell ref="A69:P69"/>
    <mergeCell ref="A4:P4"/>
    <mergeCell ref="A86:P86"/>
    <mergeCell ref="A2:P2"/>
  </mergeCells>
  <conditionalFormatting sqref="A71:M82">
    <cfRule type="expression" priority="1" dxfId="8">
      <formula>_辅助!$J$7*100+ROW()-70&gt;_辅助!$J$2</formula>
    </cfRule>
  </conditionalFormatting>
  <conditionalFormatting sqref="H88:H207">
    <cfRule type="expression" priority="2" dxfId="1">
      <formula>N($H88)&gt;0</formula>
    </cfRule>
  </conditionalFormatting>
  <hyperlinks>
    <hyperlink ref="Q1" location="'首页'!A1" display="← 回首页"/>
  </hyperlinks>
  <pageMargins left="0.3" right="0.3" top="0.5" bottom="0.5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CB2001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24" customWidth="1" min="7" max="7"/>
    <col width="2" customWidth="1" min="8" max="8"/>
    <col width="30" customWidth="1" min="9" max="9"/>
    <col width="15" customWidth="1" min="10" max="10"/>
    <col width="2" customWidth="1" min="11" max="11"/>
    <col width="10" customWidth="1" min="12" max="12"/>
    <col width="15" customWidth="1" min="13" max="13"/>
    <col width="11" customWidth="1" min="14" max="14"/>
    <col width="15" customWidth="1" min="15" max="15"/>
    <col width="2" customWidth="1" min="16" max="16"/>
    <col width="12.5" customWidth="1" min="17" max="17"/>
    <col width="6" customWidth="1" min="18" max="18"/>
    <col width="20" customWidth="1" min="19" max="19"/>
    <col width="15" customWidth="1" min="20" max="20"/>
    <col width="13.5" customWidth="1" min="21" max="21"/>
    <col width="2" customWidth="1" min="22" max="22"/>
    <col width="12.5" customWidth="1" min="23" max="23"/>
    <col width="11" customWidth="1" min="24" max="24"/>
    <col width="30" customWidth="1" min="25" max="25"/>
    <col width="15" customWidth="1" min="26" max="26"/>
    <col width="15" customWidth="1" min="27" max="27"/>
    <col width="11" customWidth="1" min="28" max="28"/>
    <col width="14" customWidth="1" min="29" max="29"/>
    <col width="12" customWidth="1" min="30" max="30"/>
    <col width="13" customWidth="1" min="31" max="31"/>
    <col hidden="1" width="13" customWidth="1" min="32" max="32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79" max="79"/>
    <col hidden="1" width="13" customWidth="1" min="80" max="80"/>
  </cols>
  <sheetData>
    <row r="1" ht="33" customHeight="1">
      <c r="A1" s="125" t="inlineStr">
        <is>
          <t>项 目 账（选一个项目：收入、成本、利润、应付、人工、发票、流水全在这一张）</t>
        </is>
      </c>
      <c r="AE1" s="33" t="inlineStr">
        <is>
          <t>← 回首页</t>
        </is>
      </c>
      <c r="BA1" s="2">
        <f>IF(OR(往来单位!$B$4="",$AF$3=0),0,SUMIFS(期初余额!$R$5:$R$204,期初余额!$P$5:$P$204,往来单位!$B$4,期初余额!$Q$5:$Q$204,$C$3)+SUMIFS(应付登记!$G$5:$G$1004,应付登记!$D$5:$D$1004,往来单位!$B$4,应付登记!$E$5:$E$1004,$C$3,应付登记!$J$5:$J$1004,"&gt;="&amp;_辅助!$J$4,应付登记!$J$5:$J$1004,"&lt;="&amp;_辅助!$J$2))</f>
        <v>0</v>
      </c>
      <c r="BB1" s="2">
        <f>SUM(CA1:CA1)</f>
        <v>0</v>
      </c>
      <c r="BC1" s="2">
        <f>IF(OR(往来单位!$B$4="",$AF$3=0,NOT(OR(往来单位!$C$4="管理人员",往来单位!$C$4="工人"))),0,SUMIFS(考勤工资!$E$5:$E$1004,考勤工资!$C$5:$C$1004,往来单位!$B$4,考勤工资!$D$5:$D$1004,$C$3,考勤工资!$Y$5:$Y$1004,"&gt;="&amp;_辅助!$J$4,考勤工资!$Y$5:$Y$1004,"&lt;="&amp;_辅助!$J$2)+SUMIFS(考勤工资!$G$5:$G$1004,考勤工资!$C$5:$C$1004,往来单位!$B$4,考勤工资!$F$5:$F$1004,$C$3,考勤工资!$Y$5:$Y$1004,"&gt;="&amp;_辅助!$J$4,考勤工资!$Y$5:$Y$1004,"&lt;="&amp;_辅助!$J$2)+SUMIFS(考勤工资!$I$5:$I$1004,考勤工资!$C$5:$C$1004,往来单位!$B$4,考勤工资!$H$5:$H$1004,$C$3,考勤工资!$Y$5:$Y$1004,"&gt;="&amp;_辅助!$J$4,考勤工资!$Y$5:$Y$1004,"&lt;="&amp;_辅助!$J$2)+SUMIFS(考勤工资!$K$5:$K$1004,考勤工资!$C$5:$C$1004,往来单位!$B$4,考勤工资!$J$5:$J$1004,$C$3,考勤工资!$Y$5:$Y$1004,"&gt;="&amp;_辅助!$J$4,考勤工资!$Y$5:$Y$1004,"&lt;="&amp;_辅助!$J$2))</f>
        <v>0</v>
      </c>
      <c r="BD1" s="2">
        <f>IF(BC1=0,0,SUMIFS(考勤工资!$AC$5:$AC$1004,考勤工资!$C$5:$C$1004,往来单位!$B$4,考勤工资!$D$5:$D$1004,$C$3,考勤工资!$Y$5:$Y$1004,"&gt;="&amp;_辅助!$J$4,考勤工资!$Y$5:$Y$1004,"&lt;="&amp;_辅助!$J$2)+SUMIFS(考勤工资!$AD$5:$AD$1004,考勤工资!$C$5:$C$1004,往来单位!$B$4,考勤工资!$F$5:$F$1004,$C$3,考勤工资!$Y$5:$Y$1004,"&gt;="&amp;_辅助!$J$4,考勤工资!$Y$5:$Y$1004,"&lt;="&amp;_辅助!$J$2)+SUMIFS(考勤工资!$AE$5:$AE$1004,考勤工资!$C$5:$C$1004,往来单位!$B$4,考勤工资!$H$5:$H$1004,$C$3,考勤工资!$Y$5:$Y$1004,"&gt;="&amp;_辅助!$J$4,考勤工资!$Y$5:$Y$1004,"&lt;="&amp;_辅助!$J$2)+SUMIFS(考勤工资!$AF$5:$AF$1004,考勤工资!$C$5:$C$1004,往来单位!$B$4,考勤工资!$J$5:$J$1004,$C$3,考勤工资!$Y$5:$Y$1004,"&gt;="&amp;_辅助!$J$4,考勤工资!$Y$5:$Y$1004,"&lt;="&amp;_辅助!$J$2))</f>
        <v>0</v>
      </c>
      <c r="BE1" s="2">
        <f>SUM(CB1:CB1)</f>
        <v>0</v>
      </c>
      <c r="BF1" s="2">
        <f>COUNT(BF2:BF1001)</f>
        <v>3</v>
      </c>
      <c r="BG1" s="2">
        <f>COUNT(BG2:BG2001)</f>
        <v>4</v>
      </c>
      <c r="CA1" s="2">
        <f t="shared" ref="CA1:CA300" si="0">IF(BA1&lt;&gt;0,1,0)</f>
        <v>0</v>
      </c>
      <c r="CB1" s="2">
        <f t="shared" ref="CB1:CB300" si="1">IF(BC1&lt;&gt;0,1,0)</f>
        <v>0</v>
      </c>
    </row>
    <row r="2" ht="24" customHeight="1">
      <c r="A2" s="3" t="inlineStr">
        <is>
          <t>💡 黄格子选项目，全部自动，不用每个项目单独做一张表、也不会漏改：流水、应付、考勤、发票一录，这里就跟着变。「开工至今」含建账前（【期初余额】）；管理费按【费用分摊】的费率摊；税金按确认产值估算。下面几块清单：这个项目的材料商/分包/机械、干过活的工人、发票、每一笔收支。</t>
        </is>
      </c>
      <c r="BA2" s="2">
        <f>IF(OR(往来单位!$B$5="",$AF$3=0),0,SUMIFS(期初余额!$R$5:$R$204,期初余额!$P$5:$P$204,往来单位!$B$5,期初余额!$Q$5:$Q$204,$C$3)+SUMIFS(应付登记!$G$5:$G$1004,应付登记!$D$5:$D$1004,往来单位!$B$5,应付登记!$E$5:$E$1004,$C$3,应付登记!$J$5:$J$1004,"&gt;="&amp;_辅助!$J$4,应付登记!$J$5:$J$1004,"&lt;="&amp;_辅助!$J$2))</f>
        <v>0</v>
      </c>
      <c r="BB2" s="2">
        <f>SUM(CA1:CA2)</f>
        <v>0</v>
      </c>
      <c r="BC2" s="2">
        <f>IF(OR(往来单位!$B$5="",$AF$3=0,NOT(OR(往来单位!$C$5="管理人员",往来单位!$C$5="工人"))),0,SUMIFS(考勤工资!$E$5:$E$1004,考勤工资!$C$5:$C$1004,往来单位!$B$5,考勤工资!$D$5:$D$1004,$C$3,考勤工资!$Y$5:$Y$1004,"&gt;="&amp;_辅助!$J$4,考勤工资!$Y$5:$Y$1004,"&lt;="&amp;_辅助!$J$2)+SUMIFS(考勤工资!$G$5:$G$1004,考勤工资!$C$5:$C$1004,往来单位!$B$5,考勤工资!$F$5:$F$1004,$C$3,考勤工资!$Y$5:$Y$1004,"&gt;="&amp;_辅助!$J$4,考勤工资!$Y$5:$Y$1004,"&lt;="&amp;_辅助!$J$2)+SUMIFS(考勤工资!$I$5:$I$1004,考勤工资!$C$5:$C$1004,往来单位!$B$5,考勤工资!$H$5:$H$1004,$C$3,考勤工资!$Y$5:$Y$1004,"&gt;="&amp;_辅助!$J$4,考勤工资!$Y$5:$Y$1004,"&lt;="&amp;_辅助!$J$2)+SUMIFS(考勤工资!$K$5:$K$1004,考勤工资!$C$5:$C$1004,往来单位!$B$5,考勤工资!$J$5:$J$1004,$C$3,考勤工资!$Y$5:$Y$1004,"&gt;="&amp;_辅助!$J$4,考勤工资!$Y$5:$Y$1004,"&lt;="&amp;_辅助!$J$2))</f>
        <v>0</v>
      </c>
      <c r="BD2" s="2">
        <f>IF(BC2=0,0,SUMIFS(考勤工资!$AC$5:$AC$1004,考勤工资!$C$5:$C$1004,往来单位!$B$5,考勤工资!$D$5:$D$1004,$C$3,考勤工资!$Y$5:$Y$1004,"&gt;="&amp;_辅助!$J$4,考勤工资!$Y$5:$Y$1004,"&lt;="&amp;_辅助!$J$2)+SUMIFS(考勤工资!$AD$5:$AD$1004,考勤工资!$C$5:$C$1004,往来单位!$B$5,考勤工资!$F$5:$F$1004,$C$3,考勤工资!$Y$5:$Y$1004,"&gt;="&amp;_辅助!$J$4,考勤工资!$Y$5:$Y$1004,"&lt;="&amp;_辅助!$J$2)+SUMIFS(考勤工资!$AE$5:$AE$1004,考勤工资!$C$5:$C$1004,往来单位!$B$5,考勤工资!$H$5:$H$1004,$C$3,考勤工资!$Y$5:$Y$1004,"&gt;="&amp;_辅助!$J$4,考勤工资!$Y$5:$Y$1004,"&lt;="&amp;_辅助!$J$2)+SUMIFS(考勤工资!$AF$5:$AF$1004,考勤工资!$C$5:$C$1004,往来单位!$B$5,考勤工资!$J$5:$J$1004,$C$3,考勤工资!$Y$5:$Y$1004,"&gt;="&amp;_辅助!$J$4,考勤工资!$Y$5:$Y$1004,"&lt;="&amp;_辅助!$J$2))</f>
        <v>0</v>
      </c>
      <c r="BE2" s="2">
        <f>SUM(CB1:CB2)</f>
        <v>0</v>
      </c>
      <c r="BF2" s="2">
        <f>IF(AND($AF$3&gt;0,发票登记!$T$5=$C$3,ISNUMBER(发票登记!$X$5),发票登记!$AB$5&lt;&gt;0,发票登记!$Y$5&gt;=_辅助!$J$4,发票登记!$Y$5&lt;=_辅助!$J$2),INT(发票登记!$X$5)*10000+1,"")</f>
        <v>462340001</v>
      </c>
      <c r="BG2" s="2">
        <f>IF(AND($AF$3&gt;0,资金流水!$H$6=$C$3,ISNUMBER(资金流水!$B$6),ISNUMBER(资金流水!$S$6),资金流水!$S$6&gt;=_辅助!$J$4,资金流水!$S$6&lt;=_辅助!$J$2),INT(资金流水!$B$6)*10000+1,"")</f>
      </c>
      <c r="CA2" s="2">
        <f t="shared" si="0"/>
        <v>0</v>
      </c>
      <c r="CB2" s="2">
        <f t="shared" si="1"/>
        <v>0</v>
      </c>
    </row>
    <row r="3">
      <c r="B3" s="4" t="inlineStr">
        <is>
          <t>选项目</t>
        </is>
      </c>
      <c r="C3" s="88" t="inlineStr">
        <is>
          <t>德安农商行总部</t>
        </is>
      </c>
      <c r="D3" s="10" t="n"/>
      <c r="E3" s="98" t="str">
        <f>"截止 "&amp;TEXT(_辅助!$J$9,"yyyy年m月d日")&amp;"　本年＝"&amp;_辅助!$J$7&amp;"年"</f>
        <v>截止 2026年8月31日　本年＝2026年</v>
      </c>
      <c r="I3" s="90">
        <f>IF($AF$3=0,"⚠ 项目不在【项目档案】里","")</f>
      </c>
      <c r="AF3" s="2">
        <f>IFERROR(MATCH($C$3,项目档案!$B$4:$B$63,0),0)</f>
        <v>10</v>
      </c>
      <c r="BA3" s="2">
        <f>IF(OR(往来单位!$B$6="",$AF$3=0),0,SUMIFS(期初余额!$R$5:$R$204,期初余额!$P$5:$P$204,往来单位!$B$6,期初余额!$Q$5:$Q$204,$C$3)+SUMIFS(应付登记!$G$5:$G$1004,应付登记!$D$5:$D$1004,往来单位!$B$6,应付登记!$E$5:$E$1004,$C$3,应付登记!$J$5:$J$1004,"&gt;="&amp;_辅助!$J$4,应付登记!$J$5:$J$1004,"&lt;="&amp;_辅助!$J$2))</f>
        <v>0</v>
      </c>
      <c r="BB3" s="2">
        <f>SUM(CA1:CA3)</f>
        <v>0</v>
      </c>
      <c r="BC3" s="2">
        <f>IF(OR(往来单位!$B$6="",$AF$3=0,NOT(OR(往来单位!$C$6="管理人员",往来单位!$C$6="工人"))),0,SUMIFS(考勤工资!$E$5:$E$1004,考勤工资!$C$5:$C$1004,往来单位!$B$6,考勤工资!$D$5:$D$1004,$C$3,考勤工资!$Y$5:$Y$1004,"&gt;="&amp;_辅助!$J$4,考勤工资!$Y$5:$Y$1004,"&lt;="&amp;_辅助!$J$2)+SUMIFS(考勤工资!$G$5:$G$1004,考勤工资!$C$5:$C$1004,往来单位!$B$6,考勤工资!$F$5:$F$1004,$C$3,考勤工资!$Y$5:$Y$1004,"&gt;="&amp;_辅助!$J$4,考勤工资!$Y$5:$Y$1004,"&lt;="&amp;_辅助!$J$2)+SUMIFS(考勤工资!$I$5:$I$1004,考勤工资!$C$5:$C$1004,往来单位!$B$6,考勤工资!$H$5:$H$1004,$C$3,考勤工资!$Y$5:$Y$1004,"&gt;="&amp;_辅助!$J$4,考勤工资!$Y$5:$Y$1004,"&lt;="&amp;_辅助!$J$2)+SUMIFS(考勤工资!$K$5:$K$1004,考勤工资!$C$5:$C$1004,往来单位!$B$6,考勤工资!$J$5:$J$1004,$C$3,考勤工资!$Y$5:$Y$1004,"&gt;="&amp;_辅助!$J$4,考勤工资!$Y$5:$Y$1004,"&lt;="&amp;_辅助!$J$2))</f>
        <v>0</v>
      </c>
      <c r="BD3" s="2">
        <f>IF(BC3=0,0,SUMIFS(考勤工资!$AC$5:$AC$1004,考勤工资!$C$5:$C$1004,往来单位!$B$6,考勤工资!$D$5:$D$1004,$C$3,考勤工资!$Y$5:$Y$1004,"&gt;="&amp;_辅助!$J$4,考勤工资!$Y$5:$Y$1004,"&lt;="&amp;_辅助!$J$2)+SUMIFS(考勤工资!$AD$5:$AD$1004,考勤工资!$C$5:$C$1004,往来单位!$B$6,考勤工资!$F$5:$F$1004,$C$3,考勤工资!$Y$5:$Y$1004,"&gt;="&amp;_辅助!$J$4,考勤工资!$Y$5:$Y$1004,"&lt;="&amp;_辅助!$J$2)+SUMIFS(考勤工资!$AE$5:$AE$1004,考勤工资!$C$5:$C$1004,往来单位!$B$6,考勤工资!$H$5:$H$1004,$C$3,考勤工资!$Y$5:$Y$1004,"&gt;="&amp;_辅助!$J$4,考勤工资!$Y$5:$Y$1004,"&lt;="&amp;_辅助!$J$2)+SUMIFS(考勤工资!$AF$5:$AF$1004,考勤工资!$C$5:$C$1004,往来单位!$B$6,考勤工资!$J$5:$J$1004,$C$3,考勤工资!$Y$5:$Y$1004,"&gt;="&amp;_辅助!$J$4,考勤工资!$Y$5:$Y$1004,"&lt;="&amp;_辅助!$J$2))</f>
        <v>0</v>
      </c>
      <c r="BE3" s="2">
        <f>SUM(CB1:CB3)</f>
        <v>0</v>
      </c>
      <c r="BF3" s="2">
        <f>IF(AND($AF$3&gt;0,发票登记!$T$6=$C$3,ISNUMBER(发票登记!$X$6),发票登记!$AB$6&lt;&gt;0,发票登记!$Y$6&gt;=_辅助!$J$4,发票登记!$Y$6&lt;=_辅助!$J$2),INT(发票登记!$X$6)*10000+2,"")</f>
        <v>462050002</v>
      </c>
      <c r="BG3" s="2">
        <f>IF(AND($AF$3&gt;0,资金流水!$H$7=$C$3,ISNUMBER(资金流水!$B$7),ISNUMBER(资金流水!$S$7),资金流水!$S$7&gt;=_辅助!$J$4,资金流水!$S$7&lt;=_辅助!$J$2),INT(资金流水!$B$7)*10000+2,"")</f>
      </c>
      <c r="CA3" s="2">
        <f t="shared" si="0"/>
        <v>0</v>
      </c>
      <c r="CB3" s="2">
        <f t="shared" si="1"/>
        <v>0</v>
      </c>
    </row>
    <row r="4">
      <c r="BA4" s="2">
        <f>IF(OR(往来单位!$B$7="",$AF$3=0),0,SUMIFS(期初余额!$R$5:$R$204,期初余额!$P$5:$P$204,往来单位!$B$7,期初余额!$Q$5:$Q$204,$C$3)+SUMIFS(应付登记!$G$5:$G$1004,应付登记!$D$5:$D$1004,往来单位!$B$7,应付登记!$E$5:$E$1004,$C$3,应付登记!$J$5:$J$1004,"&gt;="&amp;_辅助!$J$4,应付登记!$J$5:$J$1004,"&lt;="&amp;_辅助!$J$2))</f>
        <v>0</v>
      </c>
      <c r="BB4" s="2">
        <f>SUM(CA1:CA4)</f>
        <v>0</v>
      </c>
      <c r="BC4" s="2">
        <f>IF(OR(往来单位!$B$7="",$AF$3=0,NOT(OR(往来单位!$C$7="管理人员",往来单位!$C$7="工人"))),0,SUMIFS(考勤工资!$E$5:$E$1004,考勤工资!$C$5:$C$1004,往来单位!$B$7,考勤工资!$D$5:$D$1004,$C$3,考勤工资!$Y$5:$Y$1004,"&gt;="&amp;_辅助!$J$4,考勤工资!$Y$5:$Y$1004,"&lt;="&amp;_辅助!$J$2)+SUMIFS(考勤工资!$G$5:$G$1004,考勤工资!$C$5:$C$1004,往来单位!$B$7,考勤工资!$F$5:$F$1004,$C$3,考勤工资!$Y$5:$Y$1004,"&gt;="&amp;_辅助!$J$4,考勤工资!$Y$5:$Y$1004,"&lt;="&amp;_辅助!$J$2)+SUMIFS(考勤工资!$I$5:$I$1004,考勤工资!$C$5:$C$1004,往来单位!$B$7,考勤工资!$H$5:$H$1004,$C$3,考勤工资!$Y$5:$Y$1004,"&gt;="&amp;_辅助!$J$4,考勤工资!$Y$5:$Y$1004,"&lt;="&amp;_辅助!$J$2)+SUMIFS(考勤工资!$K$5:$K$1004,考勤工资!$C$5:$C$1004,往来单位!$B$7,考勤工资!$J$5:$J$1004,$C$3,考勤工资!$Y$5:$Y$1004,"&gt;="&amp;_辅助!$J$4,考勤工资!$Y$5:$Y$1004,"&lt;="&amp;_辅助!$J$2))</f>
        <v>0</v>
      </c>
      <c r="BD4" s="2">
        <f>IF(BC4=0,0,SUMIFS(考勤工资!$AC$5:$AC$1004,考勤工资!$C$5:$C$1004,往来单位!$B$7,考勤工资!$D$5:$D$1004,$C$3,考勤工资!$Y$5:$Y$1004,"&gt;="&amp;_辅助!$J$4,考勤工资!$Y$5:$Y$1004,"&lt;="&amp;_辅助!$J$2)+SUMIFS(考勤工资!$AD$5:$AD$1004,考勤工资!$C$5:$C$1004,往来单位!$B$7,考勤工资!$F$5:$F$1004,$C$3,考勤工资!$Y$5:$Y$1004,"&gt;="&amp;_辅助!$J$4,考勤工资!$Y$5:$Y$1004,"&lt;="&amp;_辅助!$J$2)+SUMIFS(考勤工资!$AE$5:$AE$1004,考勤工资!$C$5:$C$1004,往来单位!$B$7,考勤工资!$H$5:$H$1004,$C$3,考勤工资!$Y$5:$Y$1004,"&gt;="&amp;_辅助!$J$4,考勤工资!$Y$5:$Y$1004,"&lt;="&amp;_辅助!$J$2)+SUMIFS(考勤工资!$AF$5:$AF$1004,考勤工资!$C$5:$C$1004,往来单位!$B$7,考勤工资!$J$5:$J$1004,$C$3,考勤工资!$Y$5:$Y$1004,"&gt;="&amp;_辅助!$J$4,考勤工资!$Y$5:$Y$1004,"&lt;="&amp;_辅助!$J$2))</f>
        <v>0</v>
      </c>
      <c r="BE4" s="2">
        <f>SUM(CB1:CB4)</f>
        <v>0</v>
      </c>
      <c r="BF4" s="2">
        <f>IF(AND($AF$3&gt;0,发票登记!$T$7=$C$3,ISNUMBER(发票登记!$X$7),发票登记!$AB$7&lt;&gt;0,发票登记!$Y$7&gt;=_辅助!$J$4,发票登记!$Y$7&lt;=_辅助!$J$2),INT(发票登记!$X$7)*10000+3,"")</f>
        <v>462030003</v>
      </c>
      <c r="BG4" s="2">
        <f>IF(AND($AF$3&gt;0,资金流水!$H$8=$C$3,ISNUMBER(资金流水!$B$8),ISNUMBER(资金流水!$S$8),资金流水!$S$8&gt;=_辅助!$J$4,资金流水!$S$8&lt;=_辅助!$J$2),INT(资金流水!$B$8)*10000+3,"")</f>
      </c>
      <c r="CA4" s="2">
        <f t="shared" si="0"/>
        <v>0</v>
      </c>
      <c r="CB4" s="2">
        <f t="shared" si="1"/>
        <v>0</v>
      </c>
    </row>
    <row r="5">
      <c r="A5" s="78" t="inlineStr">
        <is>
          <t>① 基本情况</t>
        </is>
      </c>
      <c r="B5" s="12" t="n"/>
      <c r="C5" s="12" t="n"/>
      <c r="D5" s="12" t="n"/>
      <c r="E5" s="12" t="n"/>
      <c r="F5" s="12" t="n"/>
      <c r="G5" s="12" t="n"/>
      <c r="I5" s="39" t="inlineStr">
        <is>
          <t>③ 收款和开票（到截止日）</t>
        </is>
      </c>
      <c r="J5" s="12" t="n"/>
      <c r="L5" s="30" t="inlineStr">
        <is>
          <t>⑤ 摊到的管理费（按年）</t>
        </is>
      </c>
      <c r="M5" s="12" t="n"/>
      <c r="N5" s="12" t="n"/>
      <c r="O5" s="12" t="n"/>
      <c r="Q5" s="11" t="inlineStr">
        <is>
          <t>⑥ 本年各月人工</t>
        </is>
      </c>
      <c r="R5" s="12" t="n"/>
      <c r="S5" s="12" t="n"/>
      <c r="T5" s="12" t="n"/>
      <c r="BA5" s="2">
        <f>IF(OR(往来单位!$B$8="",$AF$3=0),0,SUMIFS(期初余额!$R$5:$R$204,期初余额!$P$5:$P$204,往来单位!$B$8,期初余额!$Q$5:$Q$204,$C$3)+SUMIFS(应付登记!$G$5:$G$1004,应付登记!$D$5:$D$1004,往来单位!$B$8,应付登记!$E$5:$E$1004,$C$3,应付登记!$J$5:$J$1004,"&gt;="&amp;_辅助!$J$4,应付登记!$J$5:$J$1004,"&lt;="&amp;_辅助!$J$2))</f>
        <v>0</v>
      </c>
      <c r="BB5" s="2">
        <f>SUM(CA1:CA5)</f>
        <v>0</v>
      </c>
      <c r="BC5" s="2">
        <f>IF(OR(往来单位!$B$8="",$AF$3=0,NOT(OR(往来单位!$C$8="管理人员",往来单位!$C$8="工人"))),0,SUMIFS(考勤工资!$E$5:$E$1004,考勤工资!$C$5:$C$1004,往来单位!$B$8,考勤工资!$D$5:$D$1004,$C$3,考勤工资!$Y$5:$Y$1004,"&gt;="&amp;_辅助!$J$4,考勤工资!$Y$5:$Y$1004,"&lt;="&amp;_辅助!$J$2)+SUMIFS(考勤工资!$G$5:$G$1004,考勤工资!$C$5:$C$1004,往来单位!$B$8,考勤工资!$F$5:$F$1004,$C$3,考勤工资!$Y$5:$Y$1004,"&gt;="&amp;_辅助!$J$4,考勤工资!$Y$5:$Y$1004,"&lt;="&amp;_辅助!$J$2)+SUMIFS(考勤工资!$I$5:$I$1004,考勤工资!$C$5:$C$1004,往来单位!$B$8,考勤工资!$H$5:$H$1004,$C$3,考勤工资!$Y$5:$Y$1004,"&gt;="&amp;_辅助!$J$4,考勤工资!$Y$5:$Y$1004,"&lt;="&amp;_辅助!$J$2)+SUMIFS(考勤工资!$K$5:$K$1004,考勤工资!$C$5:$C$1004,往来单位!$B$8,考勤工资!$J$5:$J$1004,$C$3,考勤工资!$Y$5:$Y$1004,"&gt;="&amp;_辅助!$J$4,考勤工资!$Y$5:$Y$1004,"&lt;="&amp;_辅助!$J$2))</f>
        <v>0</v>
      </c>
      <c r="BD5" s="2">
        <f>IF(BC5=0,0,SUMIFS(考勤工资!$AC$5:$AC$1004,考勤工资!$C$5:$C$1004,往来单位!$B$8,考勤工资!$D$5:$D$1004,$C$3,考勤工资!$Y$5:$Y$1004,"&gt;="&amp;_辅助!$J$4,考勤工资!$Y$5:$Y$1004,"&lt;="&amp;_辅助!$J$2)+SUMIFS(考勤工资!$AD$5:$AD$1004,考勤工资!$C$5:$C$1004,往来单位!$B$8,考勤工资!$F$5:$F$1004,$C$3,考勤工资!$Y$5:$Y$1004,"&gt;="&amp;_辅助!$J$4,考勤工资!$Y$5:$Y$1004,"&lt;="&amp;_辅助!$J$2)+SUMIFS(考勤工资!$AE$5:$AE$1004,考勤工资!$C$5:$C$1004,往来单位!$B$8,考勤工资!$H$5:$H$1004,$C$3,考勤工资!$Y$5:$Y$1004,"&gt;="&amp;_辅助!$J$4,考勤工资!$Y$5:$Y$1004,"&lt;="&amp;_辅助!$J$2)+SUMIFS(考勤工资!$AF$5:$AF$1004,考勤工资!$C$5:$C$1004,往来单位!$B$8,考勤工资!$J$5:$J$1004,$C$3,考勤工资!$Y$5:$Y$1004,"&gt;="&amp;_辅助!$J$4,考勤工资!$Y$5:$Y$1004,"&lt;="&amp;_辅助!$J$2))</f>
        <v>0</v>
      </c>
      <c r="BE5" s="2">
        <f>SUM(CB1:CB5)</f>
        <v>0</v>
      </c>
      <c r="BF5" s="2">
        <f>IF(AND($AF$3&gt;0,发票登记!$T$8=$C$3,ISNUMBER(发票登记!$X$8),发票登记!$AB$8&lt;&gt;0,发票登记!$Y$8&gt;=_辅助!$J$4,发票登记!$Y$8&lt;=_辅助!$J$2),INT(发票登记!$X$8)*10000+4,"")</f>
      </c>
      <c r="BG5" s="2">
        <f>IF(AND($AF$3&gt;0,资金流水!$H$9=$C$3,ISNUMBER(资金流水!$B$9),ISNUMBER(资金流水!$S$9),资金流水!$S$9&gt;=_辅助!$J$4,资金流水!$S$9&lt;=_辅助!$J$2),INT(资金流水!$B$9)*10000+4,"")</f>
      </c>
      <c r="CA5" s="2">
        <f t="shared" si="0"/>
        <v>0</v>
      </c>
      <c r="CB5" s="2">
        <f t="shared" si="1"/>
        <v>0</v>
      </c>
    </row>
    <row r="6" ht="34" customHeight="1">
      <c r="B6" s="4" t="inlineStr">
        <is>
          <t>项目全称</t>
        </is>
      </c>
      <c r="C6" s="126" t="str">
        <f>IF($AF$3=0,"",INDEX(项目档案!$C$4:$C$63,$AF$3))&amp;""</f>
        <v>农村商业银行股份有限公司德安县总部室外消防栓改造</v>
      </c>
      <c r="D6" s="9" t="n"/>
      <c r="E6" s="9" t="n"/>
      <c r="F6" s="9" t="n"/>
      <c r="G6" s="10" t="n"/>
      <c r="I6" s="4" t="inlineStr">
        <is>
          <t>累计确认产值</t>
        </is>
      </c>
      <c r="J6" s="73">
        <f>IF($AF$3=0,"",IF(IF($AF$3=0,0,INDEX(应收账款总表!$F$6:$F$65,$AF$3))="","",IF($AF$3=0,0,INDEX(应收账款总表!$F$6:$F$65,$AF$3))))</f>
        <v>8992</v>
      </c>
      <c r="L6" s="127" t="inlineStr">
        <is>
          <t>年份</t>
        </is>
      </c>
      <c r="M6" s="127" t="inlineStr">
        <is>
          <t>分摊依据</t>
        </is>
      </c>
      <c r="N6" s="127" t="inlineStr">
        <is>
          <t>费率</t>
        </is>
      </c>
      <c r="O6" s="127" t="inlineStr">
        <is>
          <t>摊到</t>
        </is>
      </c>
      <c r="Q6" s="116" t="inlineStr">
        <is>
          <t>月份</t>
        </is>
      </c>
      <c r="R6" s="10" t="n"/>
      <c r="S6" s="116" t="inlineStr">
        <is>
          <t>人工</t>
        </is>
      </c>
      <c r="T6" s="116" t="inlineStr">
        <is>
          <t>累计</t>
        </is>
      </c>
      <c r="BA6" s="2">
        <f>IF(OR(往来单位!$B$9="",$AF$3=0),0,SUMIFS(期初余额!$R$5:$R$204,期初余额!$P$5:$P$204,往来单位!$B$9,期初余额!$Q$5:$Q$204,$C$3)+SUMIFS(应付登记!$G$5:$G$1004,应付登记!$D$5:$D$1004,往来单位!$B$9,应付登记!$E$5:$E$1004,$C$3,应付登记!$J$5:$J$1004,"&gt;="&amp;_辅助!$J$4,应付登记!$J$5:$J$1004,"&lt;="&amp;_辅助!$J$2))</f>
        <v>0</v>
      </c>
      <c r="BB6" s="2">
        <f>SUM(CA1:CA6)</f>
        <v>0</v>
      </c>
      <c r="BC6" s="2">
        <f>IF(OR(往来单位!$B$9="",$AF$3=0,NOT(OR(往来单位!$C$9="管理人员",往来单位!$C$9="工人"))),0,SUMIFS(考勤工资!$E$5:$E$1004,考勤工资!$C$5:$C$1004,往来单位!$B$9,考勤工资!$D$5:$D$1004,$C$3,考勤工资!$Y$5:$Y$1004,"&gt;="&amp;_辅助!$J$4,考勤工资!$Y$5:$Y$1004,"&lt;="&amp;_辅助!$J$2)+SUMIFS(考勤工资!$G$5:$G$1004,考勤工资!$C$5:$C$1004,往来单位!$B$9,考勤工资!$F$5:$F$1004,$C$3,考勤工资!$Y$5:$Y$1004,"&gt;="&amp;_辅助!$J$4,考勤工资!$Y$5:$Y$1004,"&lt;="&amp;_辅助!$J$2)+SUMIFS(考勤工资!$I$5:$I$1004,考勤工资!$C$5:$C$1004,往来单位!$B$9,考勤工资!$H$5:$H$1004,$C$3,考勤工资!$Y$5:$Y$1004,"&gt;="&amp;_辅助!$J$4,考勤工资!$Y$5:$Y$1004,"&lt;="&amp;_辅助!$J$2)+SUMIFS(考勤工资!$K$5:$K$1004,考勤工资!$C$5:$C$1004,往来单位!$B$9,考勤工资!$J$5:$J$1004,$C$3,考勤工资!$Y$5:$Y$1004,"&gt;="&amp;_辅助!$J$4,考勤工资!$Y$5:$Y$1004,"&lt;="&amp;_辅助!$J$2))</f>
        <v>0</v>
      </c>
      <c r="BD6" s="2">
        <f>IF(BC6=0,0,SUMIFS(考勤工资!$AC$5:$AC$1004,考勤工资!$C$5:$C$1004,往来单位!$B$9,考勤工资!$D$5:$D$1004,$C$3,考勤工资!$Y$5:$Y$1004,"&gt;="&amp;_辅助!$J$4,考勤工资!$Y$5:$Y$1004,"&lt;="&amp;_辅助!$J$2)+SUMIFS(考勤工资!$AD$5:$AD$1004,考勤工资!$C$5:$C$1004,往来单位!$B$9,考勤工资!$F$5:$F$1004,$C$3,考勤工资!$Y$5:$Y$1004,"&gt;="&amp;_辅助!$J$4,考勤工资!$Y$5:$Y$1004,"&lt;="&amp;_辅助!$J$2)+SUMIFS(考勤工资!$AE$5:$AE$1004,考勤工资!$C$5:$C$1004,往来单位!$B$9,考勤工资!$H$5:$H$1004,$C$3,考勤工资!$Y$5:$Y$1004,"&gt;="&amp;_辅助!$J$4,考勤工资!$Y$5:$Y$1004,"&lt;="&amp;_辅助!$J$2)+SUMIFS(考勤工资!$AF$5:$AF$1004,考勤工资!$C$5:$C$1004,往来单位!$B$9,考勤工资!$J$5:$J$1004,$C$3,考勤工资!$Y$5:$Y$1004,"&gt;="&amp;_辅助!$J$4,考勤工资!$Y$5:$Y$1004,"&lt;="&amp;_辅助!$J$2))</f>
        <v>0</v>
      </c>
      <c r="BE6" s="2">
        <f>SUM(CB1:CB6)</f>
        <v>0</v>
      </c>
      <c r="BF6" s="2">
        <f>IF(AND($AF$3&gt;0,发票登记!$T$9=$C$3,ISNUMBER(发票登记!$X$9),发票登记!$AB$9&lt;&gt;0,发票登记!$Y$9&gt;=_辅助!$J$4,发票登记!$Y$9&lt;=_辅助!$J$2),INT(发票登记!$X$9)*10000+5,"")</f>
      </c>
      <c r="BG6" s="2">
        <f>IF(AND($AF$3&gt;0,资金流水!$H$10=$C$3,ISNUMBER(资金流水!$B$10),ISNUMBER(资金流水!$S$10),资金流水!$S$10&gt;=_辅助!$J$4,资金流水!$S$10&lt;=_辅助!$J$2),INT(资金流水!$B$10)*10000+5,"")</f>
      </c>
      <c r="CA6" s="2">
        <f t="shared" si="0"/>
        <v>0</v>
      </c>
      <c r="CB6" s="2">
        <f t="shared" si="1"/>
        <v>0</v>
      </c>
    </row>
    <row r="7">
      <c r="B7" s="4" t="inlineStr">
        <is>
          <t>甲方/总包</t>
        </is>
      </c>
      <c r="C7" s="112" t="str">
        <f>IF($AF$3=0,"",INDEX(项目档案!$D$4:$D$63,$AF$3))&amp;""</f>
        <v>德安农商银行</v>
      </c>
      <c r="D7" s="4" t="inlineStr">
        <is>
          <t>状态</t>
        </is>
      </c>
      <c r="E7" s="112" t="str">
        <f>IF($AF$3=0,"",INDEX(项目档案!$M$4:$M$63,$AF$3))&amp;""</f>
        <v>在建</v>
      </c>
      <c r="F7" s="4" t="inlineStr">
        <is>
          <t>负责人</t>
        </is>
      </c>
      <c r="G7" s="112">
        <f>IF($AF$3=0,"",INDEX(项目档案!$N$4:$N$63,$AF$3))&amp;""</f>
      </c>
      <c r="I7" s="4" t="inlineStr">
        <is>
          <t>累计收款（含抵账）</t>
        </is>
      </c>
      <c r="J7" s="73">
        <f>IF($AF$3=0,"",IF(IF($AF$3=0,0,INDEX(应收账款总表!$G$6:$G$65,$AF$3))="","",IF($AF$3=0,0,INDEX(应收账款总表!$G$6:$G$65,$AF$3))))</f>
        <v>0</v>
      </c>
      <c r="L7" s="92" t="inlineStr">
        <is>
          <t>建账前</t>
        </is>
      </c>
      <c r="M7" s="12" t="n"/>
      <c r="N7" s="12" t="n"/>
      <c r="O7" s="21">
        <f>IF($AF$3=0,"",INDEX(费用分摊!$D$21:$D$80,$AF$3))</f>
        <v>0</v>
      </c>
      <c r="Q7" s="92" t="inlineStr">
        <is>
          <t>1月</t>
        </is>
      </c>
      <c r="R7" s="10" t="n"/>
      <c r="S7" s="21">
        <f>IF($AF$3=0,"",INDEX(_项目汇总!$AB$3:$AB$62,$AF$3))</f>
        <v>0</v>
      </c>
      <c r="T7" s="21">
        <f t="shared" ref="T7:T18" si="9">SUM(S$7:S7)</f>
        <v>0</v>
      </c>
      <c r="BA7" s="2">
        <f>IF(OR(往来单位!$B$10="",$AF$3=0),0,SUMIFS(期初余额!$R$5:$R$204,期初余额!$P$5:$P$204,往来单位!$B$10,期初余额!$Q$5:$Q$204,$C$3)+SUMIFS(应付登记!$G$5:$G$1004,应付登记!$D$5:$D$1004,往来单位!$B$10,应付登记!$E$5:$E$1004,$C$3,应付登记!$J$5:$J$1004,"&gt;="&amp;_辅助!$J$4,应付登记!$J$5:$J$1004,"&lt;="&amp;_辅助!$J$2))</f>
        <v>0</v>
      </c>
      <c r="BB7" s="2">
        <f>SUM(CA1:CA7)</f>
        <v>0</v>
      </c>
      <c r="BC7" s="2">
        <f>IF(OR(往来单位!$B$10="",$AF$3=0,NOT(OR(往来单位!$C$10="管理人员",往来单位!$C$10="工人"))),0,SUMIFS(考勤工资!$E$5:$E$1004,考勤工资!$C$5:$C$1004,往来单位!$B$10,考勤工资!$D$5:$D$1004,$C$3,考勤工资!$Y$5:$Y$1004,"&gt;="&amp;_辅助!$J$4,考勤工资!$Y$5:$Y$1004,"&lt;="&amp;_辅助!$J$2)+SUMIFS(考勤工资!$G$5:$G$1004,考勤工资!$C$5:$C$1004,往来单位!$B$10,考勤工资!$F$5:$F$1004,$C$3,考勤工资!$Y$5:$Y$1004,"&gt;="&amp;_辅助!$J$4,考勤工资!$Y$5:$Y$1004,"&lt;="&amp;_辅助!$J$2)+SUMIFS(考勤工资!$I$5:$I$1004,考勤工资!$C$5:$C$1004,往来单位!$B$10,考勤工资!$H$5:$H$1004,$C$3,考勤工资!$Y$5:$Y$1004,"&gt;="&amp;_辅助!$J$4,考勤工资!$Y$5:$Y$1004,"&lt;="&amp;_辅助!$J$2)+SUMIFS(考勤工资!$K$5:$K$1004,考勤工资!$C$5:$C$1004,往来单位!$B$10,考勤工资!$J$5:$J$1004,$C$3,考勤工资!$Y$5:$Y$1004,"&gt;="&amp;_辅助!$J$4,考勤工资!$Y$5:$Y$1004,"&lt;="&amp;_辅助!$J$2))</f>
        <v>0</v>
      </c>
      <c r="BD7" s="2">
        <f>IF(BC7=0,0,SUMIFS(考勤工资!$AC$5:$AC$1004,考勤工资!$C$5:$C$1004,往来单位!$B$10,考勤工资!$D$5:$D$1004,$C$3,考勤工资!$Y$5:$Y$1004,"&gt;="&amp;_辅助!$J$4,考勤工资!$Y$5:$Y$1004,"&lt;="&amp;_辅助!$J$2)+SUMIFS(考勤工资!$AD$5:$AD$1004,考勤工资!$C$5:$C$1004,往来单位!$B$10,考勤工资!$F$5:$F$1004,$C$3,考勤工资!$Y$5:$Y$1004,"&gt;="&amp;_辅助!$J$4,考勤工资!$Y$5:$Y$1004,"&lt;="&amp;_辅助!$J$2)+SUMIFS(考勤工资!$AE$5:$AE$1004,考勤工资!$C$5:$C$1004,往来单位!$B$10,考勤工资!$H$5:$H$1004,$C$3,考勤工资!$Y$5:$Y$1004,"&gt;="&amp;_辅助!$J$4,考勤工资!$Y$5:$Y$1004,"&lt;="&amp;_辅助!$J$2)+SUMIFS(考勤工资!$AF$5:$AF$1004,考勤工资!$C$5:$C$1004,往来单位!$B$10,考勤工资!$J$5:$J$1004,$C$3,考勤工资!$Y$5:$Y$1004,"&gt;="&amp;_辅助!$J$4,考勤工资!$Y$5:$Y$1004,"&lt;="&amp;_辅助!$J$2))</f>
        <v>0</v>
      </c>
      <c r="BE7" s="2">
        <f>SUM(CB1:CB7)</f>
        <v>0</v>
      </c>
      <c r="BF7" s="2">
        <f>IF(AND($AF$3&gt;0,发票登记!$T$10=$C$3,ISNUMBER(发票登记!$X$10),发票登记!$AB$10&lt;&gt;0,发票登记!$Y$10&gt;=_辅助!$J$4,发票登记!$Y$10&lt;=_辅助!$J$2),INT(发票登记!$X$10)*10000+6,"")</f>
      </c>
      <c r="BG7" s="2">
        <f>IF(AND($AF$3&gt;0,资金流水!$H$11=$C$3,ISNUMBER(资金流水!$B$11),ISNUMBER(资金流水!$S$11),资金流水!$S$11&gt;=_辅助!$J$4,资金流水!$S$11&lt;=_辅助!$J$2),INT(资金流水!$B$11)*10000+6,"")</f>
      </c>
      <c r="CA7" s="2">
        <f t="shared" si="0"/>
        <v>0</v>
      </c>
      <c r="CB7" s="2">
        <f t="shared" si="1"/>
        <v>0</v>
      </c>
    </row>
    <row r="8">
      <c r="B8" s="4" t="inlineStr">
        <is>
          <t>合同额</t>
        </is>
      </c>
      <c r="C8" s="73">
        <f>IF($AF$3=0,"",IF(IF($AF$3=0,"",INDEX(项目档案!$E$4:$E$63,$AF$3))="","",IF($AF$3=0,"",INDEX(项目档案!$E$4:$E$63,$AF$3))))</f>
        <v>8992</v>
      </c>
      <c r="D8" s="4" t="inlineStr">
        <is>
          <t>变更签证</t>
        </is>
      </c>
      <c r="E8" s="73">
        <f>IF($AF$3=0,"",IF(IF($AF$3=0,"",INDEX(项目档案!$F$4:$F$63,$AF$3))="","",IF($AF$3=0,"",INDEX(项目档案!$F$4:$F$63,$AF$3))))</f>
      </c>
      <c r="F8" s="4" t="inlineStr">
        <is>
          <t>结算额</t>
        </is>
      </c>
      <c r="G8" s="73">
        <f>IF($AF$3=0,"",IF(IF($AF$3=0,"",INDEX(项目档案!$G$4:$G$63,$AF$3))="","",IF($AF$3=0,"",INDEX(项目档案!$G$4:$G$63,$AF$3))))</f>
      </c>
      <c r="I8" s="4" t="inlineStr">
        <is>
          <t>其中总包代发、抵账</t>
        </is>
      </c>
      <c r="J8" s="73">
        <f>IF($AF$3=0,"",IF(IF($AF$3=0,0,SUMIFS(代发抵账!$F$5:$F$304,代发抵账!$C$5:$C$304,$C$3,代发抵账!$H$5:$H$304,"&gt;="&amp;_辅助!$J$4,代发抵账!$H$5:$H$304,"&lt;="&amp;_辅助!$J$2))="","",IF($AF$3=0,0,SUMIFS(代发抵账!$F$5:$F$304,代发抵账!$C$5:$C$304,$C$3,代发抵账!$H$5:$H$304,"&gt;="&amp;_辅助!$J$4,代发抵账!$H$5:$H$304,"&lt;="&amp;_辅助!$J$2))))</f>
        <v>0</v>
      </c>
      <c r="L8" s="92">
        <f>_辅助!$J$6+0</f>
        <v>2026</v>
      </c>
      <c r="M8" s="21">
        <f>IF($AF$3=0,"",INDEX(_项目汇总!$AN$3:$AN$62,$AF$3))</f>
        <v>1160</v>
      </c>
      <c r="N8" s="22">
        <f>费用分摊!$F$8</f>
        <v>0.375923325335853</v>
      </c>
      <c r="O8" s="21">
        <f>IF($AF$3=0,"",INDEX(费用分摊!$E$21:$E$80,$AF$3))</f>
        <v>436.07</v>
      </c>
      <c r="Q8" s="92" t="inlineStr">
        <is>
          <t>2月</t>
        </is>
      </c>
      <c r="R8" s="10" t="n"/>
      <c r="S8" s="21">
        <f>IF($AF$3=0,"",INDEX(_项目汇总!$AC$3:$AC$62,$AF$3))</f>
        <v>0</v>
      </c>
      <c r="T8" s="21">
        <f t="shared" si="9"/>
        <v>0</v>
      </c>
      <c r="BA8" s="2">
        <f>IF(OR(往来单位!$B$11="",$AF$3=0),0,SUMIFS(期初余额!$R$5:$R$204,期初余额!$P$5:$P$204,往来单位!$B$11,期初余额!$Q$5:$Q$204,$C$3)+SUMIFS(应付登记!$G$5:$G$1004,应付登记!$D$5:$D$1004,往来单位!$B$11,应付登记!$E$5:$E$1004,$C$3,应付登记!$J$5:$J$1004,"&gt;="&amp;_辅助!$J$4,应付登记!$J$5:$J$1004,"&lt;="&amp;_辅助!$J$2))</f>
        <v>546.94</v>
      </c>
      <c r="BB8" s="2">
        <f>SUM(CA1:CA8)</f>
        <v>1</v>
      </c>
      <c r="BC8" s="2">
        <f>IF(OR(往来单位!$B$11="",$AF$3=0,NOT(OR(往来单位!$C$11="管理人员",往来单位!$C$11="工人"))),0,SUMIFS(考勤工资!$E$5:$E$1004,考勤工资!$C$5:$C$1004,往来单位!$B$11,考勤工资!$D$5:$D$1004,$C$3,考勤工资!$Y$5:$Y$1004,"&gt;="&amp;_辅助!$J$4,考勤工资!$Y$5:$Y$1004,"&lt;="&amp;_辅助!$J$2)+SUMIFS(考勤工资!$G$5:$G$1004,考勤工资!$C$5:$C$1004,往来单位!$B$11,考勤工资!$F$5:$F$1004,$C$3,考勤工资!$Y$5:$Y$1004,"&gt;="&amp;_辅助!$J$4,考勤工资!$Y$5:$Y$1004,"&lt;="&amp;_辅助!$J$2)+SUMIFS(考勤工资!$I$5:$I$1004,考勤工资!$C$5:$C$1004,往来单位!$B$11,考勤工资!$H$5:$H$1004,$C$3,考勤工资!$Y$5:$Y$1004,"&gt;="&amp;_辅助!$J$4,考勤工资!$Y$5:$Y$1004,"&lt;="&amp;_辅助!$J$2)+SUMIFS(考勤工资!$K$5:$K$1004,考勤工资!$C$5:$C$1004,往来单位!$B$11,考勤工资!$J$5:$J$1004,$C$3,考勤工资!$Y$5:$Y$1004,"&gt;="&amp;_辅助!$J$4,考勤工资!$Y$5:$Y$1004,"&lt;="&amp;_辅助!$J$2))</f>
        <v>0</v>
      </c>
      <c r="BD8" s="2">
        <f>IF(BC8=0,0,SUMIFS(考勤工资!$AC$5:$AC$1004,考勤工资!$C$5:$C$1004,往来单位!$B$11,考勤工资!$D$5:$D$1004,$C$3,考勤工资!$Y$5:$Y$1004,"&gt;="&amp;_辅助!$J$4,考勤工资!$Y$5:$Y$1004,"&lt;="&amp;_辅助!$J$2)+SUMIFS(考勤工资!$AD$5:$AD$1004,考勤工资!$C$5:$C$1004,往来单位!$B$11,考勤工资!$F$5:$F$1004,$C$3,考勤工资!$Y$5:$Y$1004,"&gt;="&amp;_辅助!$J$4,考勤工资!$Y$5:$Y$1004,"&lt;="&amp;_辅助!$J$2)+SUMIFS(考勤工资!$AE$5:$AE$1004,考勤工资!$C$5:$C$1004,往来单位!$B$11,考勤工资!$H$5:$H$1004,$C$3,考勤工资!$Y$5:$Y$1004,"&gt;="&amp;_辅助!$J$4,考勤工资!$Y$5:$Y$1004,"&lt;="&amp;_辅助!$J$2)+SUMIFS(考勤工资!$AF$5:$AF$1004,考勤工资!$C$5:$C$1004,往来单位!$B$11,考勤工资!$J$5:$J$1004,$C$3,考勤工资!$Y$5:$Y$1004,"&gt;="&amp;_辅助!$J$4,考勤工资!$Y$5:$Y$1004,"&lt;="&amp;_辅助!$J$2))</f>
        <v>0</v>
      </c>
      <c r="BE8" s="2">
        <f>SUM(CB1:CB8)</f>
        <v>0</v>
      </c>
      <c r="BF8" s="2">
        <f>IF(AND($AF$3&gt;0,发票登记!$T$11=$C$3,ISNUMBER(发票登记!$X$11),发票登记!$AB$11&lt;&gt;0,发票登记!$Y$11&gt;=_辅助!$J$4,发票登记!$Y$11&lt;=_辅助!$J$2),INT(发票登记!$X$11)*10000+7,"")</f>
      </c>
      <c r="BG8" s="2">
        <f>IF(AND($AF$3&gt;0,资金流水!$H$12=$C$3,ISNUMBER(资金流水!$B$12),ISNUMBER(资金流水!$S$12),资金流水!$S$12&gt;=_辅助!$J$4,资金流水!$S$12&lt;=_辅助!$J$2),INT(资金流水!$B$12)*10000+7,"")</f>
      </c>
      <c r="CA8" s="2">
        <f t="shared" si="0"/>
        <v>1</v>
      </c>
      <c r="CB8" s="2">
        <f t="shared" si="1"/>
        <v>0</v>
      </c>
    </row>
    <row r="9">
      <c r="B9" s="4" t="inlineStr">
        <is>
          <t>总价</t>
        </is>
      </c>
      <c r="C9" s="73">
        <f>IF($AF$3=0,"",IF(IF($AF$3=0,"",INDEX(项目档案!$T$4:$T$63,$AF$3))="","",IF($AF$3=0,"",INDEX(项目档案!$T$4:$T$63,$AF$3))))</f>
        <v>8992</v>
      </c>
      <c r="D9" s="4" t="inlineStr">
        <is>
          <t>税率</t>
        </is>
      </c>
      <c r="E9" s="128">
        <f>IF($AF$3=0,"",IF(IF($AF$3=0,"",INDEX(项目档案!$J$4:$J$63,$AF$3))="","",IF($AF$3=0,"",INDEX(项目档案!$J$4:$J$63,$AF$3))))</f>
        <v>0.09</v>
      </c>
      <c r="F9" s="4" t="inlineStr">
        <is>
          <t>质保金比例</t>
        </is>
      </c>
      <c r="G9" s="128">
        <f>IF($AF$3=0,"",IF(IF($AF$3=0,"",INDEX(项目档案!$H$4:$H$63,$AF$3))="","",IF($AF$3=0,"",INDEX(项目档案!$H$4:$H$63,$AF$3))))</f>
      </c>
      <c r="I9" s="4" t="inlineStr">
        <is>
          <t>应收余额</t>
        </is>
      </c>
      <c r="J9" s="73">
        <f>IF($AF$3=0,"",IF(IF($AF$3=0,0,INDEX(应收账款总表!$I$6:$I$65,$AF$3))="","",IF($AF$3=0,0,INDEX(应收账款总表!$I$6:$I$65,$AF$3))))</f>
        <v>8992</v>
      </c>
      <c r="L9" s="92">
        <f>_辅助!$J$6+1</f>
        <v>2027</v>
      </c>
      <c r="M9" s="21">
        <f>IF($AF$3=0,"",INDEX(_项目汇总!$AO$3:$AO$62,$AF$3))</f>
        <v>0</v>
      </c>
      <c r="N9" s="22">
        <f>费用分摊!$F$9</f>
      </c>
      <c r="O9" s="21">
        <f>IF($AF$3=0,"",INDEX(费用分摊!$F$21:$F$80,$AF$3))</f>
        <v>0</v>
      </c>
      <c r="Q9" s="92" t="inlineStr">
        <is>
          <t>3月</t>
        </is>
      </c>
      <c r="R9" s="10" t="n"/>
      <c r="S9" s="21">
        <f>IF($AF$3=0,"",INDEX(_项目汇总!$AD$3:$AD$62,$AF$3))</f>
        <v>0</v>
      </c>
      <c r="T9" s="21">
        <f t="shared" si="9"/>
        <v>0</v>
      </c>
      <c r="BA9" s="2">
        <f>IF(OR(往来单位!$B$12="",$AF$3=0),0,SUMIFS(期初余额!$R$5:$R$204,期初余额!$P$5:$P$204,往来单位!$B$12,期初余额!$Q$5:$Q$204,$C$3)+SUMIFS(应付登记!$G$5:$G$1004,应付登记!$D$5:$D$1004,往来单位!$B$12,应付登记!$E$5:$E$1004,$C$3,应付登记!$J$5:$J$1004,"&gt;="&amp;_辅助!$J$4,应付登记!$J$5:$J$1004,"&lt;="&amp;_辅助!$J$2))</f>
        <v>0</v>
      </c>
      <c r="BB9" s="2">
        <f>SUM(CA1:CA9)</f>
        <v>1</v>
      </c>
      <c r="BC9" s="2">
        <f>IF(OR(往来单位!$B$12="",$AF$3=0,NOT(OR(往来单位!$C$12="管理人员",往来单位!$C$12="工人"))),0,SUMIFS(考勤工资!$E$5:$E$1004,考勤工资!$C$5:$C$1004,往来单位!$B$12,考勤工资!$D$5:$D$1004,$C$3,考勤工资!$Y$5:$Y$1004,"&gt;="&amp;_辅助!$J$4,考勤工资!$Y$5:$Y$1004,"&lt;="&amp;_辅助!$J$2)+SUMIFS(考勤工资!$G$5:$G$1004,考勤工资!$C$5:$C$1004,往来单位!$B$12,考勤工资!$F$5:$F$1004,$C$3,考勤工资!$Y$5:$Y$1004,"&gt;="&amp;_辅助!$J$4,考勤工资!$Y$5:$Y$1004,"&lt;="&amp;_辅助!$J$2)+SUMIFS(考勤工资!$I$5:$I$1004,考勤工资!$C$5:$C$1004,往来单位!$B$12,考勤工资!$H$5:$H$1004,$C$3,考勤工资!$Y$5:$Y$1004,"&gt;="&amp;_辅助!$J$4,考勤工资!$Y$5:$Y$1004,"&lt;="&amp;_辅助!$J$2)+SUMIFS(考勤工资!$K$5:$K$1004,考勤工资!$C$5:$C$1004,往来单位!$B$12,考勤工资!$J$5:$J$1004,$C$3,考勤工资!$Y$5:$Y$1004,"&gt;="&amp;_辅助!$J$4,考勤工资!$Y$5:$Y$1004,"&lt;="&amp;_辅助!$J$2))</f>
        <v>0</v>
      </c>
      <c r="BD9" s="2">
        <f>IF(BC9=0,0,SUMIFS(考勤工资!$AC$5:$AC$1004,考勤工资!$C$5:$C$1004,往来单位!$B$12,考勤工资!$D$5:$D$1004,$C$3,考勤工资!$Y$5:$Y$1004,"&gt;="&amp;_辅助!$J$4,考勤工资!$Y$5:$Y$1004,"&lt;="&amp;_辅助!$J$2)+SUMIFS(考勤工资!$AD$5:$AD$1004,考勤工资!$C$5:$C$1004,往来单位!$B$12,考勤工资!$F$5:$F$1004,$C$3,考勤工资!$Y$5:$Y$1004,"&gt;="&amp;_辅助!$J$4,考勤工资!$Y$5:$Y$1004,"&lt;="&amp;_辅助!$J$2)+SUMIFS(考勤工资!$AE$5:$AE$1004,考勤工资!$C$5:$C$1004,往来单位!$B$12,考勤工资!$H$5:$H$1004,$C$3,考勤工资!$Y$5:$Y$1004,"&gt;="&amp;_辅助!$J$4,考勤工资!$Y$5:$Y$1004,"&lt;="&amp;_辅助!$J$2)+SUMIFS(考勤工资!$AF$5:$AF$1004,考勤工资!$C$5:$C$1004,往来单位!$B$12,考勤工资!$J$5:$J$1004,$C$3,考勤工资!$Y$5:$Y$1004,"&gt;="&amp;_辅助!$J$4,考勤工资!$Y$5:$Y$1004,"&lt;="&amp;_辅助!$J$2))</f>
        <v>0</v>
      </c>
      <c r="BE9" s="2">
        <f>SUM(CB1:CB9)</f>
        <v>0</v>
      </c>
      <c r="BF9" s="2">
        <f>IF(AND($AF$3&gt;0,发票登记!$T$12=$C$3,ISNUMBER(发票登记!$X$12),发票登记!$AB$12&lt;&gt;0,发票登记!$Y$12&gt;=_辅助!$J$4,发票登记!$Y$12&lt;=_辅助!$J$2),INT(发票登记!$X$12)*10000+8,"")</f>
      </c>
      <c r="BG9" s="2">
        <f>IF(AND($AF$3&gt;0,资金流水!$H$13=$C$3,ISNUMBER(资金流水!$B$13),ISNUMBER(资金流水!$S$13),资金流水!$S$13&gt;=_辅助!$J$4,资金流水!$S$13&lt;=_辅助!$J$2),INT(资金流水!$B$13)*10000+8,"")</f>
      </c>
      <c r="CA9" s="2">
        <f t="shared" si="0"/>
        <v>0</v>
      </c>
      <c r="CB9" s="2">
        <f t="shared" si="1"/>
        <v>0</v>
      </c>
    </row>
    <row r="10">
      <c r="B10" s="4" t="inlineStr">
        <is>
          <t>开工日期</t>
        </is>
      </c>
      <c r="C10" s="97">
        <f>IF($AF$3=0,"",IF(IF($AF$3=0,"",INDEX(项目档案!$K$4:$K$63,$AF$3))="","",IF($AF$3=0,"",INDEX(项目档案!$K$4:$K$63,$AF$3))))</f>
      </c>
      <c r="D10" s="4" t="inlineStr">
        <is>
          <t>完工日期</t>
        </is>
      </c>
      <c r="E10" s="97">
        <f>IF($AF$3=0,"",IF(IF($AF$3=0,"",INDEX(项目档案!$L$4:$L$63,$AF$3))="","",IF($AF$3=0,"",INDEX(项目档案!$L$4:$L$63,$AF$3))))</f>
      </c>
      <c r="F10" s="4" t="inlineStr">
        <is>
          <t>质保到期</t>
        </is>
      </c>
      <c r="G10" s="97">
        <f>IF($AF$3=0,"",IF(IF($AF$3=0,"",INDEX(项目档案!$I$4:$I$63,$AF$3))="","",IF($AF$3=0,"",INDEX(项目档案!$I$4:$I$63,$AF$3))))</f>
      </c>
      <c r="I10" s="4" t="inlineStr">
        <is>
          <t>回款比例</t>
        </is>
      </c>
      <c r="J10" s="129">
        <f>IF($AF$3=0,"",IF(IF($AF$3=0,0,INDEX(应收账款总表!$H$6:$H$65,$AF$3))="","",IF($AF$3=0,0,INDEX(应收账款总表!$H$6:$H$65,$AF$3))))</f>
        <v>0</v>
      </c>
      <c r="L10" s="92">
        <f>_辅助!$J$6+2</f>
        <v>2028</v>
      </c>
      <c r="M10" s="21">
        <f>IF($AF$3=0,"",INDEX(_项目汇总!$AP$3:$AP$62,$AF$3))</f>
        <v>0</v>
      </c>
      <c r="N10" s="22">
        <f>费用分摊!$F$10</f>
      </c>
      <c r="O10" s="21">
        <f>IF($AF$3=0,"",INDEX(费用分摊!$G$21:$G$80,$AF$3))</f>
        <v>0</v>
      </c>
      <c r="Q10" s="92" t="inlineStr">
        <is>
          <t>4月</t>
        </is>
      </c>
      <c r="R10" s="10" t="n"/>
      <c r="S10" s="21">
        <f>IF($AF$3=0,"",INDEX(_项目汇总!$AE$3:$AE$62,$AF$3))</f>
        <v>0</v>
      </c>
      <c r="T10" s="21">
        <f t="shared" si="9"/>
        <v>0</v>
      </c>
      <c r="BA10" s="2">
        <f>IF(OR(往来单位!$B$13="",$AF$3=0),0,SUMIFS(期初余额!$R$5:$R$204,期初余额!$P$5:$P$204,往来单位!$B$13,期初余额!$Q$5:$Q$204,$C$3)+SUMIFS(应付登记!$G$5:$G$1004,应付登记!$D$5:$D$1004,往来单位!$B$13,应付登记!$E$5:$E$1004,$C$3,应付登记!$J$5:$J$1004,"&gt;="&amp;_辅助!$J$4,应付登记!$J$5:$J$1004,"&lt;="&amp;_辅助!$J$2))</f>
        <v>0</v>
      </c>
      <c r="BB10" s="2">
        <f>SUM(CA1:CA10)</f>
        <v>1</v>
      </c>
      <c r="BC10" s="2">
        <f>IF(OR(往来单位!$B$13="",$AF$3=0,NOT(OR(往来单位!$C$13="管理人员",往来单位!$C$13="工人"))),0,SUMIFS(考勤工资!$E$5:$E$1004,考勤工资!$C$5:$C$1004,往来单位!$B$13,考勤工资!$D$5:$D$1004,$C$3,考勤工资!$Y$5:$Y$1004,"&gt;="&amp;_辅助!$J$4,考勤工资!$Y$5:$Y$1004,"&lt;="&amp;_辅助!$J$2)+SUMIFS(考勤工资!$G$5:$G$1004,考勤工资!$C$5:$C$1004,往来单位!$B$13,考勤工资!$F$5:$F$1004,$C$3,考勤工资!$Y$5:$Y$1004,"&gt;="&amp;_辅助!$J$4,考勤工资!$Y$5:$Y$1004,"&lt;="&amp;_辅助!$J$2)+SUMIFS(考勤工资!$I$5:$I$1004,考勤工资!$C$5:$C$1004,往来单位!$B$13,考勤工资!$H$5:$H$1004,$C$3,考勤工资!$Y$5:$Y$1004,"&gt;="&amp;_辅助!$J$4,考勤工资!$Y$5:$Y$1004,"&lt;="&amp;_辅助!$J$2)+SUMIFS(考勤工资!$K$5:$K$1004,考勤工资!$C$5:$C$1004,往来单位!$B$13,考勤工资!$J$5:$J$1004,$C$3,考勤工资!$Y$5:$Y$1004,"&gt;="&amp;_辅助!$J$4,考勤工资!$Y$5:$Y$1004,"&lt;="&amp;_辅助!$J$2))</f>
        <v>0</v>
      </c>
      <c r="BD10" s="2">
        <f>IF(BC10=0,0,SUMIFS(考勤工资!$AC$5:$AC$1004,考勤工资!$C$5:$C$1004,往来单位!$B$13,考勤工资!$D$5:$D$1004,$C$3,考勤工资!$Y$5:$Y$1004,"&gt;="&amp;_辅助!$J$4,考勤工资!$Y$5:$Y$1004,"&lt;="&amp;_辅助!$J$2)+SUMIFS(考勤工资!$AD$5:$AD$1004,考勤工资!$C$5:$C$1004,往来单位!$B$13,考勤工资!$F$5:$F$1004,$C$3,考勤工资!$Y$5:$Y$1004,"&gt;="&amp;_辅助!$J$4,考勤工资!$Y$5:$Y$1004,"&lt;="&amp;_辅助!$J$2)+SUMIFS(考勤工资!$AE$5:$AE$1004,考勤工资!$C$5:$C$1004,往来单位!$B$13,考勤工资!$H$5:$H$1004,$C$3,考勤工资!$Y$5:$Y$1004,"&gt;="&amp;_辅助!$J$4,考勤工资!$Y$5:$Y$1004,"&lt;="&amp;_辅助!$J$2)+SUMIFS(考勤工资!$AF$5:$AF$1004,考勤工资!$C$5:$C$1004,往来单位!$B$13,考勤工资!$J$5:$J$1004,$C$3,考勤工资!$Y$5:$Y$1004,"&gt;="&amp;_辅助!$J$4,考勤工资!$Y$5:$Y$1004,"&lt;="&amp;_辅助!$J$2))</f>
        <v>0</v>
      </c>
      <c r="BE10" s="2">
        <f>SUM(CB1:CB10)</f>
        <v>0</v>
      </c>
      <c r="BF10" s="2">
        <f>IF(AND($AF$3&gt;0,发票登记!$T$13=$C$3,ISNUMBER(发票登记!$X$13),发票登记!$AB$13&lt;&gt;0,发票登记!$Y$13&gt;=_辅助!$J$4,发票登记!$Y$13&lt;=_辅助!$J$2),INT(发票登记!$X$13)*10000+9,"")</f>
      </c>
      <c r="BG10" s="2">
        <f>IF(AND($AF$3&gt;0,资金流水!$H$14=$C$3,ISNUMBER(资金流水!$B$14),ISNUMBER(资金流水!$S$14),资金流水!$S$14&gt;=_辅助!$J$4,资金流水!$S$14&lt;=_辅助!$J$2),INT(资金流水!$B$14)*10000+9,"")</f>
      </c>
      <c r="CA10" s="2">
        <f t="shared" si="0"/>
        <v>0</v>
      </c>
      <c r="CB10" s="2">
        <f t="shared" si="1"/>
        <v>0</v>
      </c>
    </row>
    <row r="11">
      <c r="I11" s="4" t="inlineStr">
        <is>
          <t>已开票</t>
        </is>
      </c>
      <c r="J11" s="73">
        <f>IF($AF$3=0,"",IF(IF($AF$3=0,0,INDEX(应收账款总表!$J$6:$J$65,$AF$3))="","",IF($AF$3=0,0,INDEX(应收账款总表!$J$6:$J$65,$AF$3))))</f>
        <v>8992</v>
      </c>
      <c r="L11" s="92">
        <f>_辅助!$J$6+3</f>
        <v>2029</v>
      </c>
      <c r="M11" s="21">
        <f>IF($AF$3=0,"",INDEX(_项目汇总!$AQ$3:$AQ$62,$AF$3))</f>
        <v>0</v>
      </c>
      <c r="N11" s="22">
        <f>费用分摊!$F$11</f>
      </c>
      <c r="O11" s="21">
        <f>IF($AF$3=0,"",INDEX(费用分摊!$H$21:$H$80,$AF$3))</f>
        <v>0</v>
      </c>
      <c r="Q11" s="92" t="inlineStr">
        <is>
          <t>5月</t>
        </is>
      </c>
      <c r="R11" s="10" t="n"/>
      <c r="S11" s="21">
        <f>IF($AF$3=0,"",INDEX(_项目汇总!$AF$3:$AF$62,$AF$3))</f>
        <v>360</v>
      </c>
      <c r="T11" s="21">
        <f t="shared" si="9"/>
        <v>360</v>
      </c>
      <c r="BA11" s="2">
        <f>IF(OR(往来单位!$B$14="",$AF$3=0),0,SUMIFS(期初余额!$R$5:$R$204,期初余额!$P$5:$P$204,往来单位!$B$14,期初余额!$Q$5:$Q$204,$C$3)+SUMIFS(应付登记!$G$5:$G$1004,应付登记!$D$5:$D$1004,往来单位!$B$14,应付登记!$E$5:$E$1004,$C$3,应付登记!$J$5:$J$1004,"&gt;="&amp;_辅助!$J$4,应付登记!$J$5:$J$1004,"&lt;="&amp;_辅助!$J$2))</f>
        <v>0</v>
      </c>
      <c r="BB11" s="2">
        <f>SUM(CA1:CA11)</f>
        <v>1</v>
      </c>
      <c r="BC11" s="2">
        <f>IF(OR(往来单位!$B$14="",$AF$3=0,NOT(OR(往来单位!$C$14="管理人员",往来单位!$C$14="工人"))),0,SUMIFS(考勤工资!$E$5:$E$1004,考勤工资!$C$5:$C$1004,往来单位!$B$14,考勤工资!$D$5:$D$1004,$C$3,考勤工资!$Y$5:$Y$1004,"&gt;="&amp;_辅助!$J$4,考勤工资!$Y$5:$Y$1004,"&lt;="&amp;_辅助!$J$2)+SUMIFS(考勤工资!$G$5:$G$1004,考勤工资!$C$5:$C$1004,往来单位!$B$14,考勤工资!$F$5:$F$1004,$C$3,考勤工资!$Y$5:$Y$1004,"&gt;="&amp;_辅助!$J$4,考勤工资!$Y$5:$Y$1004,"&lt;="&amp;_辅助!$J$2)+SUMIFS(考勤工资!$I$5:$I$1004,考勤工资!$C$5:$C$1004,往来单位!$B$14,考勤工资!$H$5:$H$1004,$C$3,考勤工资!$Y$5:$Y$1004,"&gt;="&amp;_辅助!$J$4,考勤工资!$Y$5:$Y$1004,"&lt;="&amp;_辅助!$J$2)+SUMIFS(考勤工资!$K$5:$K$1004,考勤工资!$C$5:$C$1004,往来单位!$B$14,考勤工资!$J$5:$J$1004,$C$3,考勤工资!$Y$5:$Y$1004,"&gt;="&amp;_辅助!$J$4,考勤工资!$Y$5:$Y$1004,"&lt;="&amp;_辅助!$J$2))</f>
        <v>0</v>
      </c>
      <c r="BD11" s="2">
        <f>IF(BC11=0,0,SUMIFS(考勤工资!$AC$5:$AC$1004,考勤工资!$C$5:$C$1004,往来单位!$B$14,考勤工资!$D$5:$D$1004,$C$3,考勤工资!$Y$5:$Y$1004,"&gt;="&amp;_辅助!$J$4,考勤工资!$Y$5:$Y$1004,"&lt;="&amp;_辅助!$J$2)+SUMIFS(考勤工资!$AD$5:$AD$1004,考勤工资!$C$5:$C$1004,往来单位!$B$14,考勤工资!$F$5:$F$1004,$C$3,考勤工资!$Y$5:$Y$1004,"&gt;="&amp;_辅助!$J$4,考勤工资!$Y$5:$Y$1004,"&lt;="&amp;_辅助!$J$2)+SUMIFS(考勤工资!$AE$5:$AE$1004,考勤工资!$C$5:$C$1004,往来单位!$B$14,考勤工资!$H$5:$H$1004,$C$3,考勤工资!$Y$5:$Y$1004,"&gt;="&amp;_辅助!$J$4,考勤工资!$Y$5:$Y$1004,"&lt;="&amp;_辅助!$J$2)+SUMIFS(考勤工资!$AF$5:$AF$1004,考勤工资!$C$5:$C$1004,往来单位!$B$14,考勤工资!$J$5:$J$1004,$C$3,考勤工资!$Y$5:$Y$1004,"&gt;="&amp;_辅助!$J$4,考勤工资!$Y$5:$Y$1004,"&lt;="&amp;_辅助!$J$2))</f>
        <v>0</v>
      </c>
      <c r="BE11" s="2">
        <f>SUM(CB1:CB11)</f>
        <v>0</v>
      </c>
      <c r="BF11" s="2">
        <f>IF(AND($AF$3&gt;0,发票登记!$T$14=$C$3,ISNUMBER(发票登记!$X$14),发票登记!$AB$14&lt;&gt;0,发票登记!$Y$14&gt;=_辅助!$J$4,发票登记!$Y$14&lt;=_辅助!$J$2),INT(发票登记!$X$14)*10000+10,"")</f>
      </c>
      <c r="BG11" s="2">
        <f>IF(AND($AF$3&gt;0,资金流水!$H$15=$C$3,ISNUMBER(资金流水!$B$15),ISNUMBER(资金流水!$S$15),资金流水!$S$15&gt;=_辅助!$J$4,资金流水!$S$15&lt;=_辅助!$J$2),INT(资金流水!$B$15)*10000+10,"")</f>
      </c>
      <c r="CA11" s="2">
        <f t="shared" si="0"/>
        <v>0</v>
      </c>
      <c r="CB11" s="2">
        <f t="shared" si="1"/>
        <v>0</v>
      </c>
    </row>
    <row r="12">
      <c r="A12" s="30" t="inlineStr">
        <is>
          <t>② 项目利润</t>
        </is>
      </c>
      <c r="B12" s="12" t="n"/>
      <c r="C12" s="12" t="n"/>
      <c r="D12" s="12" t="n"/>
      <c r="E12" s="12" t="n"/>
      <c r="F12" s="12" t="n"/>
      <c r="G12" s="12" t="n"/>
      <c r="I12" s="4" t="inlineStr">
        <is>
          <t>未开票</t>
        </is>
      </c>
      <c r="J12" s="73">
        <f>IF($AF$3=0,"",IF(IF($AF$3=0,0,INDEX(应收账款总表!$K$6:$K$65,$AF$3))="","",IF($AF$3=0,0,INDEX(应收账款总表!$K$6:$K$65,$AF$3))))</f>
        <v>0</v>
      </c>
      <c r="L12" s="92">
        <f>_辅助!$J$6+4</f>
        <v>2030</v>
      </c>
      <c r="M12" s="21">
        <f>IF($AF$3=0,"",INDEX(_项目汇总!$AR$3:$AR$62,$AF$3))</f>
        <v>0</v>
      </c>
      <c r="N12" s="22">
        <f>费用分摊!$F$12</f>
      </c>
      <c r="O12" s="21">
        <f>IF($AF$3=0,"",INDEX(费用分摊!$I$21:$I$80,$AF$3))</f>
        <v>0</v>
      </c>
      <c r="Q12" s="92" t="inlineStr">
        <is>
          <t>6月</t>
        </is>
      </c>
      <c r="R12" s="10" t="n"/>
      <c r="S12" s="21">
        <f>IF($AF$3=0,"",INDEX(_项目汇总!$AG$3:$AG$62,$AF$3))</f>
        <v>0</v>
      </c>
      <c r="T12" s="21">
        <f t="shared" si="9"/>
        <v>360</v>
      </c>
      <c r="BA12" s="2">
        <f>IF(OR(往来单位!$B$15="",$AF$3=0),0,SUMIFS(期初余额!$R$5:$R$204,期初余额!$P$5:$P$204,往来单位!$B$15,期初余额!$Q$5:$Q$204,$C$3)+SUMIFS(应付登记!$G$5:$G$1004,应付登记!$D$5:$D$1004,往来单位!$B$15,应付登记!$E$5:$E$1004,$C$3,应付登记!$J$5:$J$1004,"&gt;="&amp;_辅助!$J$4,应付登记!$J$5:$J$1004,"&lt;="&amp;_辅助!$J$2))</f>
        <v>0</v>
      </c>
      <c r="BB12" s="2">
        <f>SUM(CA1:CA12)</f>
        <v>1</v>
      </c>
      <c r="BC12" s="2">
        <f>IF(OR(往来单位!$B$15="",$AF$3=0,NOT(OR(往来单位!$C$15="管理人员",往来单位!$C$15="工人"))),0,SUMIFS(考勤工资!$E$5:$E$1004,考勤工资!$C$5:$C$1004,往来单位!$B$15,考勤工资!$D$5:$D$1004,$C$3,考勤工资!$Y$5:$Y$1004,"&gt;="&amp;_辅助!$J$4,考勤工资!$Y$5:$Y$1004,"&lt;="&amp;_辅助!$J$2)+SUMIFS(考勤工资!$G$5:$G$1004,考勤工资!$C$5:$C$1004,往来单位!$B$15,考勤工资!$F$5:$F$1004,$C$3,考勤工资!$Y$5:$Y$1004,"&gt;="&amp;_辅助!$J$4,考勤工资!$Y$5:$Y$1004,"&lt;="&amp;_辅助!$J$2)+SUMIFS(考勤工资!$I$5:$I$1004,考勤工资!$C$5:$C$1004,往来单位!$B$15,考勤工资!$H$5:$H$1004,$C$3,考勤工资!$Y$5:$Y$1004,"&gt;="&amp;_辅助!$J$4,考勤工资!$Y$5:$Y$1004,"&lt;="&amp;_辅助!$J$2)+SUMIFS(考勤工资!$K$5:$K$1004,考勤工资!$C$5:$C$1004,往来单位!$B$15,考勤工资!$J$5:$J$1004,$C$3,考勤工资!$Y$5:$Y$1004,"&gt;="&amp;_辅助!$J$4,考勤工资!$Y$5:$Y$1004,"&lt;="&amp;_辅助!$J$2))</f>
        <v>0</v>
      </c>
      <c r="BD12" s="2">
        <f>IF(BC12=0,0,SUMIFS(考勤工资!$AC$5:$AC$1004,考勤工资!$C$5:$C$1004,往来单位!$B$15,考勤工资!$D$5:$D$1004,$C$3,考勤工资!$Y$5:$Y$1004,"&gt;="&amp;_辅助!$J$4,考勤工资!$Y$5:$Y$1004,"&lt;="&amp;_辅助!$J$2)+SUMIFS(考勤工资!$AD$5:$AD$1004,考勤工资!$C$5:$C$1004,往来单位!$B$15,考勤工资!$F$5:$F$1004,$C$3,考勤工资!$Y$5:$Y$1004,"&gt;="&amp;_辅助!$J$4,考勤工资!$Y$5:$Y$1004,"&lt;="&amp;_辅助!$J$2)+SUMIFS(考勤工资!$AE$5:$AE$1004,考勤工资!$C$5:$C$1004,往来单位!$B$15,考勤工资!$H$5:$H$1004,$C$3,考勤工资!$Y$5:$Y$1004,"&gt;="&amp;_辅助!$J$4,考勤工资!$Y$5:$Y$1004,"&lt;="&amp;_辅助!$J$2)+SUMIFS(考勤工资!$AF$5:$AF$1004,考勤工资!$C$5:$C$1004,往来单位!$B$15,考勤工资!$J$5:$J$1004,$C$3,考勤工资!$Y$5:$Y$1004,"&gt;="&amp;_辅助!$J$4,考勤工资!$Y$5:$Y$1004,"&lt;="&amp;_辅助!$J$2))</f>
        <v>0</v>
      </c>
      <c r="BE12" s="2">
        <f>SUM(CB1:CB12)</f>
        <v>0</v>
      </c>
      <c r="BF12" s="2">
        <f>IF(AND($AF$3&gt;0,发票登记!$T$15=$C$3,ISNUMBER(发票登记!$X$15),发票登记!$AB$15&lt;&gt;0,发票登记!$Y$15&gt;=_辅助!$J$4,发票登记!$Y$15&lt;=_辅助!$J$2),INT(发票登记!$X$15)*10000+11,"")</f>
      </c>
      <c r="BG12" s="2">
        <f>IF(AND($AF$3&gt;0,资金流水!$H$16=$C$3,ISNUMBER(资金流水!$B$16),ISNUMBER(资金流水!$S$16),资金流水!$S$16&gt;=_辅助!$J$4,资金流水!$S$16&lt;=_辅助!$J$2),INT(资金流水!$B$16)*10000+11,"")</f>
      </c>
      <c r="CA12" s="2">
        <f t="shared" si="0"/>
        <v>0</v>
      </c>
      <c r="CB12" s="2">
        <f t="shared" si="1"/>
        <v>0</v>
      </c>
    </row>
    <row r="13" ht="34" customHeight="1">
      <c r="B13" s="127" t="inlineStr">
        <is>
          <t>项目</t>
        </is>
      </c>
      <c r="C13" s="127" t="inlineStr">
        <is>
          <t>开工至今</t>
        </is>
      </c>
      <c r="D13" s="127" t="inlineStr">
        <is>
          <t>占收入</t>
        </is>
      </c>
      <c r="E13" s="127" t="inlineStr">
        <is>
          <t>本年</t>
        </is>
      </c>
      <c r="F13" s="127" t="inlineStr">
        <is>
          <t>占收入</t>
        </is>
      </c>
      <c r="G13" s="127" t="inlineStr">
        <is>
          <t>说明</t>
        </is>
      </c>
      <c r="I13" s="4" t="inlineStr">
        <is>
          <t>开票未回款</t>
        </is>
      </c>
      <c r="J13" s="73">
        <f>IF($AF$3=0,"",IF(IF($AF$3=0,0,INDEX(应收账款总表!$L$6:$L$65,$AF$3))="","",IF($AF$3=0,0,INDEX(应收账款总表!$L$6:$L$65,$AF$3))))</f>
        <v>8992</v>
      </c>
      <c r="L13" s="92">
        <f>_辅助!$J$6+5</f>
        <v>2031</v>
      </c>
      <c r="M13" s="21">
        <f>IF($AF$3=0,"",INDEX(_项目汇总!$AS$3:$AS$62,$AF$3))</f>
        <v>0</v>
      </c>
      <c r="N13" s="22">
        <f>费用分摊!$F$13</f>
      </c>
      <c r="O13" s="21">
        <f>IF($AF$3=0,"",INDEX(费用分摊!$J$21:$J$80,$AF$3))</f>
        <v>0</v>
      </c>
      <c r="Q13" s="92" t="inlineStr">
        <is>
          <t>7月</t>
        </is>
      </c>
      <c r="R13" s="10" t="n"/>
      <c r="S13" s="21">
        <f>IF($AF$3=0,"",INDEX(_项目汇总!$AH$3:$AH$62,$AF$3))</f>
        <v>0</v>
      </c>
      <c r="T13" s="21">
        <f t="shared" si="9"/>
        <v>360</v>
      </c>
      <c r="BA13" s="2">
        <f>IF(OR(往来单位!$B$16="",$AF$3=0),0,SUMIFS(期初余额!$R$5:$R$204,期初余额!$P$5:$P$204,往来单位!$B$16,期初余额!$Q$5:$Q$204,$C$3)+SUMIFS(应付登记!$G$5:$G$1004,应付登记!$D$5:$D$1004,往来单位!$B$16,应付登记!$E$5:$E$1004,$C$3,应付登记!$J$5:$J$1004,"&gt;="&amp;_辅助!$J$4,应付登记!$J$5:$J$1004,"&lt;="&amp;_辅助!$J$2))</f>
        <v>0</v>
      </c>
      <c r="BB13" s="2">
        <f>SUM(CA1:CA13)</f>
        <v>1</v>
      </c>
      <c r="BC13" s="2">
        <f>IF(OR(往来单位!$B$16="",$AF$3=0,NOT(OR(往来单位!$C$16="管理人员",往来单位!$C$16="工人"))),0,SUMIFS(考勤工资!$E$5:$E$1004,考勤工资!$C$5:$C$1004,往来单位!$B$16,考勤工资!$D$5:$D$1004,$C$3,考勤工资!$Y$5:$Y$1004,"&gt;="&amp;_辅助!$J$4,考勤工资!$Y$5:$Y$1004,"&lt;="&amp;_辅助!$J$2)+SUMIFS(考勤工资!$G$5:$G$1004,考勤工资!$C$5:$C$1004,往来单位!$B$16,考勤工资!$F$5:$F$1004,$C$3,考勤工资!$Y$5:$Y$1004,"&gt;="&amp;_辅助!$J$4,考勤工资!$Y$5:$Y$1004,"&lt;="&amp;_辅助!$J$2)+SUMIFS(考勤工资!$I$5:$I$1004,考勤工资!$C$5:$C$1004,往来单位!$B$16,考勤工资!$H$5:$H$1004,$C$3,考勤工资!$Y$5:$Y$1004,"&gt;="&amp;_辅助!$J$4,考勤工资!$Y$5:$Y$1004,"&lt;="&amp;_辅助!$J$2)+SUMIFS(考勤工资!$K$5:$K$1004,考勤工资!$C$5:$C$1004,往来单位!$B$16,考勤工资!$J$5:$J$1004,$C$3,考勤工资!$Y$5:$Y$1004,"&gt;="&amp;_辅助!$J$4,考勤工资!$Y$5:$Y$1004,"&lt;="&amp;_辅助!$J$2))</f>
        <v>0</v>
      </c>
      <c r="BD13" s="2">
        <f>IF(BC13=0,0,SUMIFS(考勤工资!$AC$5:$AC$1004,考勤工资!$C$5:$C$1004,往来单位!$B$16,考勤工资!$D$5:$D$1004,$C$3,考勤工资!$Y$5:$Y$1004,"&gt;="&amp;_辅助!$J$4,考勤工资!$Y$5:$Y$1004,"&lt;="&amp;_辅助!$J$2)+SUMIFS(考勤工资!$AD$5:$AD$1004,考勤工资!$C$5:$C$1004,往来单位!$B$16,考勤工资!$F$5:$F$1004,$C$3,考勤工资!$Y$5:$Y$1004,"&gt;="&amp;_辅助!$J$4,考勤工资!$Y$5:$Y$1004,"&lt;="&amp;_辅助!$J$2)+SUMIFS(考勤工资!$AE$5:$AE$1004,考勤工资!$C$5:$C$1004,往来单位!$B$16,考勤工资!$H$5:$H$1004,$C$3,考勤工资!$Y$5:$Y$1004,"&gt;="&amp;_辅助!$J$4,考勤工资!$Y$5:$Y$1004,"&lt;="&amp;_辅助!$J$2)+SUMIFS(考勤工资!$AF$5:$AF$1004,考勤工资!$C$5:$C$1004,往来单位!$B$16,考勤工资!$J$5:$J$1004,$C$3,考勤工资!$Y$5:$Y$1004,"&gt;="&amp;_辅助!$J$4,考勤工资!$Y$5:$Y$1004,"&lt;="&amp;_辅助!$J$2))</f>
        <v>0</v>
      </c>
      <c r="BE13" s="2">
        <f>SUM(CB1:CB13)</f>
        <v>0</v>
      </c>
      <c r="BF13" s="2">
        <f>IF(AND($AF$3&gt;0,发票登记!$T$16=$C$3,ISNUMBER(发票登记!$X$16),发票登记!$AB$16&lt;&gt;0,发票登记!$Y$16&gt;=_辅助!$J$4,发票登记!$Y$16&lt;=_辅助!$J$2),INT(发票登记!$X$16)*10000+12,"")</f>
      </c>
      <c r="BG13" s="2">
        <f>IF(AND($AF$3&gt;0,资金流水!$H$17=$C$3,ISNUMBER(资金流水!$B$17),ISNUMBER(资金流水!$S$17),资金流水!$S$17&gt;=_辅助!$J$4,资金流水!$S$17&lt;=_辅助!$J$2),INT(资金流水!$B$17)*10000+12,"")</f>
      </c>
      <c r="CA13" s="2">
        <f t="shared" si="0"/>
        <v>0</v>
      </c>
      <c r="CB13" s="2">
        <f t="shared" si="1"/>
        <v>0</v>
      </c>
    </row>
    <row r="14">
      <c r="B14" s="19" t="inlineStr">
        <is>
          <t>确认产值（含税）</t>
        </is>
      </c>
      <c r="C14" s="21">
        <f>N(IF($AF$3=0,"",INDEX(项目利润表!$Q$7:$Q$66,$AF$3)))</f>
        <v>8992</v>
      </c>
      <c r="D14" s="130">
        <f t="shared" ref="D14:D25" si="14">IF(N(C$14)=0,"",C14/C$14)</f>
        <v>1</v>
      </c>
      <c r="E14" s="21">
        <f>N(IF($AF$3=0,"",INDEX(项目利润表!$E$7:$E$66,$AF$3)))</f>
        <v>8992</v>
      </c>
      <c r="F14" s="130">
        <f t="shared" ref="F14:F25" si="16">IF(N(E$14)=0,"",E14/E$14)</f>
        <v>1</v>
      </c>
      <c r="G14" s="28" t="inlineStr">
        <is>
          <t>甲方确认的产值（【收入确认】＋期初）</t>
        </is>
      </c>
      <c r="I14" s="4" t="inlineStr">
        <is>
          <t>质保金</t>
        </is>
      </c>
      <c r="J14" s="73">
        <f>IF($AF$3=0,"",IF(IF($AF$3=0,0,INDEX(应收账款总表!$M$6:$M$65,$AF$3))="","",IF($AF$3=0,0,INDEX(应收账款总表!$M$6:$M$65,$AF$3))))</f>
        <v>0</v>
      </c>
      <c r="L14" s="92">
        <f>_辅助!$J$6+6</f>
        <v>2032</v>
      </c>
      <c r="M14" s="21">
        <f>IF($AF$3=0,"",INDEX(_项目汇总!$AT$3:$AT$62,$AF$3))</f>
        <v>0</v>
      </c>
      <c r="N14" s="22">
        <f>费用分摊!$F$14</f>
      </c>
      <c r="O14" s="21">
        <f>IF($AF$3=0,"",INDEX(费用分摊!$K$21:$K$80,$AF$3))</f>
        <v>0</v>
      </c>
      <c r="Q14" s="92" t="inlineStr">
        <is>
          <t>8月</t>
        </is>
      </c>
      <c r="R14" s="10" t="n"/>
      <c r="S14" s="21">
        <f>IF($AF$3=0,"",INDEX(_项目汇总!$AI$3:$AI$62,$AF$3))</f>
        <v>0</v>
      </c>
      <c r="T14" s="21">
        <f t="shared" si="9"/>
        <v>360</v>
      </c>
      <c r="BA14" s="2">
        <f>IF(OR(往来单位!$B$17="",$AF$3=0),0,SUMIFS(期初余额!$R$5:$R$204,期初余额!$P$5:$P$204,往来单位!$B$17,期初余额!$Q$5:$Q$204,$C$3)+SUMIFS(应付登记!$G$5:$G$1004,应付登记!$D$5:$D$1004,往来单位!$B$17,应付登记!$E$5:$E$1004,$C$3,应付登记!$J$5:$J$1004,"&gt;="&amp;_辅助!$J$4,应付登记!$J$5:$J$1004,"&lt;="&amp;_辅助!$J$2))</f>
        <v>0</v>
      </c>
      <c r="BB14" s="2">
        <f>SUM(CA1:CA14)</f>
        <v>1</v>
      </c>
      <c r="BC14" s="2">
        <f>IF(OR(往来单位!$B$17="",$AF$3=0,NOT(OR(往来单位!$C$17="管理人员",往来单位!$C$17="工人"))),0,SUMIFS(考勤工资!$E$5:$E$1004,考勤工资!$C$5:$C$1004,往来单位!$B$17,考勤工资!$D$5:$D$1004,$C$3,考勤工资!$Y$5:$Y$1004,"&gt;="&amp;_辅助!$J$4,考勤工资!$Y$5:$Y$1004,"&lt;="&amp;_辅助!$J$2)+SUMIFS(考勤工资!$G$5:$G$1004,考勤工资!$C$5:$C$1004,往来单位!$B$17,考勤工资!$F$5:$F$1004,$C$3,考勤工资!$Y$5:$Y$1004,"&gt;="&amp;_辅助!$J$4,考勤工资!$Y$5:$Y$1004,"&lt;="&amp;_辅助!$J$2)+SUMIFS(考勤工资!$I$5:$I$1004,考勤工资!$C$5:$C$1004,往来单位!$B$17,考勤工资!$H$5:$H$1004,$C$3,考勤工资!$Y$5:$Y$1004,"&gt;="&amp;_辅助!$J$4,考勤工资!$Y$5:$Y$1004,"&lt;="&amp;_辅助!$J$2)+SUMIFS(考勤工资!$K$5:$K$1004,考勤工资!$C$5:$C$1004,往来单位!$B$17,考勤工资!$J$5:$J$1004,$C$3,考勤工资!$Y$5:$Y$1004,"&gt;="&amp;_辅助!$J$4,考勤工资!$Y$5:$Y$1004,"&lt;="&amp;_辅助!$J$2))</f>
        <v>0</v>
      </c>
      <c r="BD14" s="2">
        <f>IF(BC14=0,0,SUMIFS(考勤工资!$AC$5:$AC$1004,考勤工资!$C$5:$C$1004,往来单位!$B$17,考勤工资!$D$5:$D$1004,$C$3,考勤工资!$Y$5:$Y$1004,"&gt;="&amp;_辅助!$J$4,考勤工资!$Y$5:$Y$1004,"&lt;="&amp;_辅助!$J$2)+SUMIFS(考勤工资!$AD$5:$AD$1004,考勤工资!$C$5:$C$1004,往来单位!$B$17,考勤工资!$F$5:$F$1004,$C$3,考勤工资!$Y$5:$Y$1004,"&gt;="&amp;_辅助!$J$4,考勤工资!$Y$5:$Y$1004,"&lt;="&amp;_辅助!$J$2)+SUMIFS(考勤工资!$AE$5:$AE$1004,考勤工资!$C$5:$C$1004,往来单位!$B$17,考勤工资!$H$5:$H$1004,$C$3,考勤工资!$Y$5:$Y$1004,"&gt;="&amp;_辅助!$J$4,考勤工资!$Y$5:$Y$1004,"&lt;="&amp;_辅助!$J$2)+SUMIFS(考勤工资!$AF$5:$AF$1004,考勤工资!$C$5:$C$1004,往来单位!$B$17,考勤工资!$J$5:$J$1004,$C$3,考勤工资!$Y$5:$Y$1004,"&gt;="&amp;_辅助!$J$4,考勤工资!$Y$5:$Y$1004,"&lt;="&amp;_辅助!$J$2))</f>
        <v>0</v>
      </c>
      <c r="BE14" s="2">
        <f>SUM(CB1:CB14)</f>
        <v>0</v>
      </c>
      <c r="BF14" s="2">
        <f>IF(AND($AF$3&gt;0,发票登记!$T$17=$C$3,ISNUMBER(发票登记!$X$17),发票登记!$AB$17&lt;&gt;0,发票登记!$Y$17&gt;=_辅助!$J$4,发票登记!$Y$17&lt;=_辅助!$J$2),INT(发票登记!$X$17)*10000+13,"")</f>
      </c>
      <c r="BG14" s="2">
        <f>IF(AND($AF$3&gt;0,资金流水!$H$18=$C$3,ISNUMBER(资金流水!$B$18),ISNUMBER(资金流水!$S$18),资金流水!$S$18&gt;=_辅助!$J$4,资金流水!$S$18&lt;=_辅助!$J$2),INT(资金流水!$B$18)*10000+13,"")</f>
      </c>
      <c r="CA14" s="2">
        <f t="shared" si="0"/>
        <v>0</v>
      </c>
      <c r="CB14" s="2">
        <f t="shared" si="1"/>
        <v>0</v>
      </c>
    </row>
    <row r="15">
      <c r="B15" s="19" t="inlineStr">
        <is>
          <t>材料</t>
        </is>
      </c>
      <c r="C15" s="21">
        <f>N(IF($AF$3=0,"",INDEX(项目利润表!$R$7:$R$66,$AF$3)))</f>
        <v>666.94</v>
      </c>
      <c r="D15" s="130">
        <f t="shared" si="14"/>
        <v>0.0741703736654804</v>
      </c>
      <c r="E15" s="21">
        <f>N(IF($AF$3=0,"",INDEX(项目利润表!$F$7:$F$66,$AF$3)))</f>
        <v>120</v>
      </c>
      <c r="F15" s="130">
        <f t="shared" si="16"/>
        <v>0.0133451957295374</v>
      </c>
      <c r="G15" s="28" t="inlineStr">
        <is>
          <t>应付登记＋现买现付＋甲供材</t>
        </is>
      </c>
      <c r="I15" s="4" t="inlineStr">
        <is>
          <t>最后回款日</t>
        </is>
      </c>
      <c r="J15" s="97">
        <f>IF($AF$3=0,"",IF(IF($AF$3=0,0,INDEX(应收账款总表!$P$6:$P$65,$AF$3))="","",IF($AF$3=0,0,INDEX(应收账款总表!$P$6:$P$65,$AF$3))))</f>
      </c>
      <c r="L15" s="92">
        <f>_辅助!$J$6+7</f>
        <v>2033</v>
      </c>
      <c r="M15" s="21">
        <f>IF($AF$3=0,"",INDEX(_项目汇总!$AU$3:$AU$62,$AF$3))</f>
        <v>0</v>
      </c>
      <c r="N15" s="22">
        <f>费用分摊!$F$15</f>
      </c>
      <c r="O15" s="21">
        <f>IF($AF$3=0,"",INDEX(费用分摊!$L$21:$L$80,$AF$3))</f>
        <v>0</v>
      </c>
      <c r="Q15" s="92" t="inlineStr">
        <is>
          <t>9月</t>
        </is>
      </c>
      <c r="R15" s="10" t="n"/>
      <c r="S15" s="21">
        <f>IF($AF$3=0,"",INDEX(_项目汇总!$AJ$3:$AJ$62,$AF$3))</f>
        <v>0</v>
      </c>
      <c r="T15" s="21">
        <f t="shared" si="9"/>
        <v>360</v>
      </c>
      <c r="BA15" s="2">
        <f>IF(OR(往来单位!$B$18="",$AF$3=0),0,SUMIFS(期初余额!$R$5:$R$204,期初余额!$P$5:$P$204,往来单位!$B$18,期初余额!$Q$5:$Q$204,$C$3)+SUMIFS(应付登记!$G$5:$G$1004,应付登记!$D$5:$D$1004,往来单位!$B$18,应付登记!$E$5:$E$1004,$C$3,应付登记!$J$5:$J$1004,"&gt;="&amp;_辅助!$J$4,应付登记!$J$5:$J$1004,"&lt;="&amp;_辅助!$J$2))</f>
        <v>0</v>
      </c>
      <c r="BB15" s="2">
        <f>SUM(CA1:CA15)</f>
        <v>1</v>
      </c>
      <c r="BC15" s="2">
        <f>IF(OR(往来单位!$B$18="",$AF$3=0,NOT(OR(往来单位!$C$18="管理人员",往来单位!$C$18="工人"))),0,SUMIFS(考勤工资!$E$5:$E$1004,考勤工资!$C$5:$C$1004,往来单位!$B$18,考勤工资!$D$5:$D$1004,$C$3,考勤工资!$Y$5:$Y$1004,"&gt;="&amp;_辅助!$J$4,考勤工资!$Y$5:$Y$1004,"&lt;="&amp;_辅助!$J$2)+SUMIFS(考勤工资!$G$5:$G$1004,考勤工资!$C$5:$C$1004,往来单位!$B$18,考勤工资!$F$5:$F$1004,$C$3,考勤工资!$Y$5:$Y$1004,"&gt;="&amp;_辅助!$J$4,考勤工资!$Y$5:$Y$1004,"&lt;="&amp;_辅助!$J$2)+SUMIFS(考勤工资!$I$5:$I$1004,考勤工资!$C$5:$C$1004,往来单位!$B$18,考勤工资!$H$5:$H$1004,$C$3,考勤工资!$Y$5:$Y$1004,"&gt;="&amp;_辅助!$J$4,考勤工资!$Y$5:$Y$1004,"&lt;="&amp;_辅助!$J$2)+SUMIFS(考勤工资!$K$5:$K$1004,考勤工资!$C$5:$C$1004,往来单位!$B$18,考勤工资!$J$5:$J$1004,$C$3,考勤工资!$Y$5:$Y$1004,"&gt;="&amp;_辅助!$J$4,考勤工资!$Y$5:$Y$1004,"&lt;="&amp;_辅助!$J$2))</f>
        <v>0</v>
      </c>
      <c r="BD15" s="2">
        <f>IF(BC15=0,0,SUMIFS(考勤工资!$AC$5:$AC$1004,考勤工资!$C$5:$C$1004,往来单位!$B$18,考勤工资!$D$5:$D$1004,$C$3,考勤工资!$Y$5:$Y$1004,"&gt;="&amp;_辅助!$J$4,考勤工资!$Y$5:$Y$1004,"&lt;="&amp;_辅助!$J$2)+SUMIFS(考勤工资!$AD$5:$AD$1004,考勤工资!$C$5:$C$1004,往来单位!$B$18,考勤工资!$F$5:$F$1004,$C$3,考勤工资!$Y$5:$Y$1004,"&gt;="&amp;_辅助!$J$4,考勤工资!$Y$5:$Y$1004,"&lt;="&amp;_辅助!$J$2)+SUMIFS(考勤工资!$AE$5:$AE$1004,考勤工资!$C$5:$C$1004,往来单位!$B$18,考勤工资!$H$5:$H$1004,$C$3,考勤工资!$Y$5:$Y$1004,"&gt;="&amp;_辅助!$J$4,考勤工资!$Y$5:$Y$1004,"&lt;="&amp;_辅助!$J$2)+SUMIFS(考勤工资!$AF$5:$AF$1004,考勤工资!$C$5:$C$1004,往来单位!$B$18,考勤工资!$J$5:$J$1004,$C$3,考勤工资!$Y$5:$Y$1004,"&gt;="&amp;_辅助!$J$4,考勤工资!$Y$5:$Y$1004,"&lt;="&amp;_辅助!$J$2))</f>
        <v>0</v>
      </c>
      <c r="BE15" s="2">
        <f>SUM(CB1:CB15)</f>
        <v>0</v>
      </c>
      <c r="BF15" s="2">
        <f>IF(AND($AF$3&gt;0,发票登记!$T$18=$C$3,ISNUMBER(发票登记!$X$18),发票登记!$AB$18&lt;&gt;0,发票登记!$Y$18&gt;=_辅助!$J$4,发票登记!$Y$18&lt;=_辅助!$J$2),INT(发票登记!$X$18)*10000+14,"")</f>
      </c>
      <c r="BG15" s="2">
        <f>IF(AND($AF$3&gt;0,资金流水!$H$19=$C$3,ISNUMBER(资金流水!$B$19),ISNUMBER(资金流水!$S$19),资金流水!$S$19&gt;=_辅助!$J$4,资金流水!$S$19&lt;=_辅助!$J$2),INT(资金流水!$B$19)*10000+14,"")</f>
      </c>
      <c r="CA15" s="2">
        <f t="shared" si="0"/>
        <v>0</v>
      </c>
      <c r="CB15" s="2">
        <f t="shared" si="1"/>
        <v>0</v>
      </c>
    </row>
    <row r="16">
      <c r="B16" s="19" t="inlineStr">
        <is>
          <t>人工</t>
        </is>
      </c>
      <c r="C16" s="21">
        <f>N(IF($AF$3=0,"",INDEX(项目利润表!$S$7:$S$66,$AF$3)))</f>
        <v>360</v>
      </c>
      <c r="D16" s="130">
        <f t="shared" si="14"/>
        <v>0.0400355871886121</v>
      </c>
      <c r="E16" s="21">
        <f>N(IF($AF$3=0,"",INDEX(项目利润表!$G$7:$G$66,$AF$3)))</f>
        <v>360</v>
      </c>
      <c r="F16" s="130">
        <f t="shared" si="16"/>
        <v>0.0400355871886121</v>
      </c>
      <c r="G16" s="28" t="inlineStr">
        <is>
          <t>考勤拆到本项目的工资＋临时工</t>
        </is>
      </c>
      <c r="L16" s="76" t="inlineStr">
        <is>
          <t>合计</t>
        </is>
      </c>
      <c r="M16" s="77">
        <f>SUM(M8:M15)</f>
        <v>1160</v>
      </c>
      <c r="N16" s="105" t="n"/>
      <c r="O16" s="77">
        <f>SUM(O7:O15)</f>
        <v>436.07</v>
      </c>
      <c r="Q16" s="92" t="inlineStr">
        <is>
          <t>10月</t>
        </is>
      </c>
      <c r="R16" s="10" t="n"/>
      <c r="S16" s="21">
        <f>IF($AF$3=0,"",INDEX(_项目汇总!$AK$3:$AK$62,$AF$3))</f>
        <v>0</v>
      </c>
      <c r="T16" s="21">
        <f t="shared" si="9"/>
        <v>360</v>
      </c>
      <c r="BA16" s="2">
        <f>IF(OR(往来单位!$B$19="",$AF$3=0),0,SUMIFS(期初余额!$R$5:$R$204,期初余额!$P$5:$P$204,往来单位!$B$19,期初余额!$Q$5:$Q$204,$C$3)+SUMIFS(应付登记!$G$5:$G$1004,应付登记!$D$5:$D$1004,往来单位!$B$19,应付登记!$E$5:$E$1004,$C$3,应付登记!$J$5:$J$1004,"&gt;="&amp;_辅助!$J$4,应付登记!$J$5:$J$1004,"&lt;="&amp;_辅助!$J$2))</f>
        <v>0</v>
      </c>
      <c r="BB16" s="2">
        <f>SUM(CA1:CA16)</f>
        <v>1</v>
      </c>
      <c r="BC16" s="2">
        <f>IF(OR(往来单位!$B$19="",$AF$3=0,NOT(OR(往来单位!$C$19="管理人员",往来单位!$C$19="工人"))),0,SUMIFS(考勤工资!$E$5:$E$1004,考勤工资!$C$5:$C$1004,往来单位!$B$19,考勤工资!$D$5:$D$1004,$C$3,考勤工资!$Y$5:$Y$1004,"&gt;="&amp;_辅助!$J$4,考勤工资!$Y$5:$Y$1004,"&lt;="&amp;_辅助!$J$2)+SUMIFS(考勤工资!$G$5:$G$1004,考勤工资!$C$5:$C$1004,往来单位!$B$19,考勤工资!$F$5:$F$1004,$C$3,考勤工资!$Y$5:$Y$1004,"&gt;="&amp;_辅助!$J$4,考勤工资!$Y$5:$Y$1004,"&lt;="&amp;_辅助!$J$2)+SUMIFS(考勤工资!$I$5:$I$1004,考勤工资!$C$5:$C$1004,往来单位!$B$19,考勤工资!$H$5:$H$1004,$C$3,考勤工资!$Y$5:$Y$1004,"&gt;="&amp;_辅助!$J$4,考勤工资!$Y$5:$Y$1004,"&lt;="&amp;_辅助!$J$2)+SUMIFS(考勤工资!$K$5:$K$1004,考勤工资!$C$5:$C$1004,往来单位!$B$19,考勤工资!$J$5:$J$1004,$C$3,考勤工资!$Y$5:$Y$1004,"&gt;="&amp;_辅助!$J$4,考勤工资!$Y$5:$Y$1004,"&lt;="&amp;_辅助!$J$2))</f>
        <v>0</v>
      </c>
      <c r="BD16" s="2">
        <f>IF(BC16=0,0,SUMIFS(考勤工资!$AC$5:$AC$1004,考勤工资!$C$5:$C$1004,往来单位!$B$19,考勤工资!$D$5:$D$1004,$C$3,考勤工资!$Y$5:$Y$1004,"&gt;="&amp;_辅助!$J$4,考勤工资!$Y$5:$Y$1004,"&lt;="&amp;_辅助!$J$2)+SUMIFS(考勤工资!$AD$5:$AD$1004,考勤工资!$C$5:$C$1004,往来单位!$B$19,考勤工资!$F$5:$F$1004,$C$3,考勤工资!$Y$5:$Y$1004,"&gt;="&amp;_辅助!$J$4,考勤工资!$Y$5:$Y$1004,"&lt;="&amp;_辅助!$J$2)+SUMIFS(考勤工资!$AE$5:$AE$1004,考勤工资!$C$5:$C$1004,往来单位!$B$19,考勤工资!$H$5:$H$1004,$C$3,考勤工资!$Y$5:$Y$1004,"&gt;="&amp;_辅助!$J$4,考勤工资!$Y$5:$Y$1004,"&lt;="&amp;_辅助!$J$2)+SUMIFS(考勤工资!$AF$5:$AF$1004,考勤工资!$C$5:$C$1004,往来单位!$B$19,考勤工资!$J$5:$J$1004,$C$3,考勤工资!$Y$5:$Y$1004,"&gt;="&amp;_辅助!$J$4,考勤工资!$Y$5:$Y$1004,"&lt;="&amp;_辅助!$J$2))</f>
        <v>0</v>
      </c>
      <c r="BE16" s="2">
        <f>SUM(CB1:CB16)</f>
        <v>0</v>
      </c>
      <c r="BF16" s="2">
        <f>IF(AND($AF$3&gt;0,发票登记!$T$19=$C$3,ISNUMBER(发票登记!$X$19),发票登记!$AB$19&lt;&gt;0,发票登记!$Y$19&gt;=_辅助!$J$4,发票登记!$Y$19&lt;=_辅助!$J$2),INT(发票登记!$X$19)*10000+15,"")</f>
      </c>
      <c r="BG16" s="2">
        <f>IF(AND($AF$3&gt;0,资金流水!$H$20=$C$3,ISNUMBER(资金流水!$B$20),ISNUMBER(资金流水!$S$20),资金流水!$S$20&gt;=_辅助!$J$4,资金流水!$S$20&lt;=_辅助!$J$2),INT(资金流水!$B$20)*10000+15,"")</f>
      </c>
      <c r="CA16" s="2">
        <f t="shared" si="0"/>
        <v>0</v>
      </c>
      <c r="CB16" s="2">
        <f t="shared" si="1"/>
        <v>0</v>
      </c>
    </row>
    <row r="17">
      <c r="B17" s="19" t="inlineStr">
        <is>
          <t>分包</t>
        </is>
      </c>
      <c r="C17" s="21">
        <f>N(IF($AF$3=0,"",INDEX(项目利润表!$T$7:$T$66,$AF$3)))</f>
        <v>0</v>
      </c>
      <c r="D17" s="130">
        <f t="shared" si="14"/>
        <v>0</v>
      </c>
      <c r="E17" s="21">
        <f>N(IF($AF$3=0,"",INDEX(项目利润表!$H$7:$H$66,$AF$3)))</f>
        <v>0</v>
      </c>
      <c r="F17" s="130">
        <f t="shared" si="16"/>
        <v>0</v>
      </c>
      <c r="G17" s="28" t="inlineStr"/>
      <c r="I17" s="79" t="inlineStr">
        <is>
          <t>④ 税负测算（开工至今，估算）</t>
        </is>
      </c>
      <c r="J17" s="12" t="n"/>
      <c r="Q17" s="92" t="inlineStr">
        <is>
          <t>11月</t>
        </is>
      </c>
      <c r="R17" s="10" t="n"/>
      <c r="S17" s="21">
        <f>IF($AF$3=0,"",INDEX(_项目汇总!$AL$3:$AL$62,$AF$3))</f>
        <v>0</v>
      </c>
      <c r="T17" s="21">
        <f t="shared" si="9"/>
        <v>360</v>
      </c>
      <c r="BA17" s="2">
        <f>IF(OR(往来单位!$B$20="",$AF$3=0),0,SUMIFS(期初余额!$R$5:$R$204,期初余额!$P$5:$P$204,往来单位!$B$20,期初余额!$Q$5:$Q$204,$C$3)+SUMIFS(应付登记!$G$5:$G$1004,应付登记!$D$5:$D$1004,往来单位!$B$20,应付登记!$E$5:$E$1004,$C$3,应付登记!$J$5:$J$1004,"&gt;="&amp;_辅助!$J$4,应付登记!$J$5:$J$1004,"&lt;="&amp;_辅助!$J$2))</f>
        <v>0</v>
      </c>
      <c r="BB17" s="2">
        <f>SUM(CA1:CA17)</f>
        <v>1</v>
      </c>
      <c r="BC17" s="2">
        <f>IF(OR(往来单位!$B$20="",$AF$3=0,NOT(OR(往来单位!$C$20="管理人员",往来单位!$C$20="工人"))),0,SUMIFS(考勤工资!$E$5:$E$1004,考勤工资!$C$5:$C$1004,往来单位!$B$20,考勤工资!$D$5:$D$1004,$C$3,考勤工资!$Y$5:$Y$1004,"&gt;="&amp;_辅助!$J$4,考勤工资!$Y$5:$Y$1004,"&lt;="&amp;_辅助!$J$2)+SUMIFS(考勤工资!$G$5:$G$1004,考勤工资!$C$5:$C$1004,往来单位!$B$20,考勤工资!$F$5:$F$1004,$C$3,考勤工资!$Y$5:$Y$1004,"&gt;="&amp;_辅助!$J$4,考勤工资!$Y$5:$Y$1004,"&lt;="&amp;_辅助!$J$2)+SUMIFS(考勤工资!$I$5:$I$1004,考勤工资!$C$5:$C$1004,往来单位!$B$20,考勤工资!$H$5:$H$1004,$C$3,考勤工资!$Y$5:$Y$1004,"&gt;="&amp;_辅助!$J$4,考勤工资!$Y$5:$Y$1004,"&lt;="&amp;_辅助!$J$2)+SUMIFS(考勤工资!$K$5:$K$1004,考勤工资!$C$5:$C$1004,往来单位!$B$20,考勤工资!$J$5:$J$1004,$C$3,考勤工资!$Y$5:$Y$1004,"&gt;="&amp;_辅助!$J$4,考勤工资!$Y$5:$Y$1004,"&lt;="&amp;_辅助!$J$2))</f>
        <v>0</v>
      </c>
      <c r="BD17" s="2">
        <f>IF(BC17=0,0,SUMIFS(考勤工资!$AC$5:$AC$1004,考勤工资!$C$5:$C$1004,往来单位!$B$20,考勤工资!$D$5:$D$1004,$C$3,考勤工资!$Y$5:$Y$1004,"&gt;="&amp;_辅助!$J$4,考勤工资!$Y$5:$Y$1004,"&lt;="&amp;_辅助!$J$2)+SUMIFS(考勤工资!$AD$5:$AD$1004,考勤工资!$C$5:$C$1004,往来单位!$B$20,考勤工资!$F$5:$F$1004,$C$3,考勤工资!$Y$5:$Y$1004,"&gt;="&amp;_辅助!$J$4,考勤工资!$Y$5:$Y$1004,"&lt;="&amp;_辅助!$J$2)+SUMIFS(考勤工资!$AE$5:$AE$1004,考勤工资!$C$5:$C$1004,往来单位!$B$20,考勤工资!$H$5:$H$1004,$C$3,考勤工资!$Y$5:$Y$1004,"&gt;="&amp;_辅助!$J$4,考勤工资!$Y$5:$Y$1004,"&lt;="&amp;_辅助!$J$2)+SUMIFS(考勤工资!$AF$5:$AF$1004,考勤工资!$C$5:$C$1004,往来单位!$B$20,考勤工资!$J$5:$J$1004,$C$3,考勤工资!$Y$5:$Y$1004,"&gt;="&amp;_辅助!$J$4,考勤工资!$Y$5:$Y$1004,"&lt;="&amp;_辅助!$J$2))</f>
        <v>0</v>
      </c>
      <c r="BE17" s="2">
        <f>SUM(CB1:CB17)</f>
        <v>0</v>
      </c>
      <c r="BF17" s="2">
        <f>IF(AND($AF$3&gt;0,发票登记!$T$20=$C$3,ISNUMBER(发票登记!$X$20),发票登记!$AB$20&lt;&gt;0,发票登记!$Y$20&gt;=_辅助!$J$4,发票登记!$Y$20&lt;=_辅助!$J$2),INT(发票登记!$X$20)*10000+16,"")</f>
      </c>
      <c r="BG17" s="2">
        <f>IF(AND($AF$3&gt;0,资金流水!$H$21=$C$3,ISNUMBER(资金流水!$B$21),ISNUMBER(资金流水!$S$21),资金流水!$S$21&gt;=_辅助!$J$4,资金流水!$S$21&lt;=_辅助!$J$2),INT(资金流水!$B$21)*10000+16,"")</f>
      </c>
      <c r="CA17" s="2">
        <f t="shared" si="0"/>
        <v>0</v>
      </c>
      <c r="CB17" s="2">
        <f t="shared" si="1"/>
        <v>0</v>
      </c>
    </row>
    <row r="18">
      <c r="B18" s="19" t="inlineStr">
        <is>
          <t>机械运输</t>
        </is>
      </c>
      <c r="C18" s="21">
        <f>N(IF($AF$3=0,"",INDEX(项目利润表!$U$7:$U$66,$AF$3)))</f>
        <v>800</v>
      </c>
      <c r="D18" s="130">
        <f t="shared" si="14"/>
        <v>0.0889679715302491</v>
      </c>
      <c r="E18" s="21">
        <f>N(IF($AF$3=0,"",INDEX(项目利润表!$I$7:$I$66,$AF$3)))</f>
        <v>800</v>
      </c>
      <c r="F18" s="130">
        <f t="shared" si="16"/>
        <v>0.0889679715302491</v>
      </c>
      <c r="G18" s="28" t="inlineStr">
        <is>
          <t>含本项目用的设备折旧</t>
        </is>
      </c>
      <c r="I18" s="4" t="inlineStr">
        <is>
          <t>建账前的税金（期初填的）</t>
        </is>
      </c>
      <c r="J18" s="73">
        <f>IF($AF$3=0,"",SUMIFS(期初余额!$H$5:$H$64,期初余额!$B$5:$B$64,$C$3))</f>
        <v>0</v>
      </c>
      <c r="Q18" s="92" t="inlineStr">
        <is>
          <t>12月</t>
        </is>
      </c>
      <c r="R18" s="10" t="n"/>
      <c r="S18" s="21">
        <f>IF($AF$3=0,"",INDEX(_项目汇总!$AM$3:$AM$62,$AF$3))</f>
        <v>0</v>
      </c>
      <c r="T18" s="21">
        <f t="shared" si="9"/>
        <v>360</v>
      </c>
      <c r="BA18" s="2">
        <f>IF(OR(往来单位!$B$21="",$AF$3=0),0,SUMIFS(期初余额!$R$5:$R$204,期初余额!$P$5:$P$204,往来单位!$B$21,期初余额!$Q$5:$Q$204,$C$3)+SUMIFS(应付登记!$G$5:$G$1004,应付登记!$D$5:$D$1004,往来单位!$B$21,应付登记!$E$5:$E$1004,$C$3,应付登记!$J$5:$J$1004,"&gt;="&amp;_辅助!$J$4,应付登记!$J$5:$J$1004,"&lt;="&amp;_辅助!$J$2))</f>
        <v>0</v>
      </c>
      <c r="BB18" s="2">
        <f>SUM(CA1:CA18)</f>
        <v>1</v>
      </c>
      <c r="BC18" s="2">
        <f>IF(OR(往来单位!$B$21="",$AF$3=0,NOT(OR(往来单位!$C$21="管理人员",往来单位!$C$21="工人"))),0,SUMIFS(考勤工资!$E$5:$E$1004,考勤工资!$C$5:$C$1004,往来单位!$B$21,考勤工资!$D$5:$D$1004,$C$3,考勤工资!$Y$5:$Y$1004,"&gt;="&amp;_辅助!$J$4,考勤工资!$Y$5:$Y$1004,"&lt;="&amp;_辅助!$J$2)+SUMIFS(考勤工资!$G$5:$G$1004,考勤工资!$C$5:$C$1004,往来单位!$B$21,考勤工资!$F$5:$F$1004,$C$3,考勤工资!$Y$5:$Y$1004,"&gt;="&amp;_辅助!$J$4,考勤工资!$Y$5:$Y$1004,"&lt;="&amp;_辅助!$J$2)+SUMIFS(考勤工资!$I$5:$I$1004,考勤工资!$C$5:$C$1004,往来单位!$B$21,考勤工资!$H$5:$H$1004,$C$3,考勤工资!$Y$5:$Y$1004,"&gt;="&amp;_辅助!$J$4,考勤工资!$Y$5:$Y$1004,"&lt;="&amp;_辅助!$J$2)+SUMIFS(考勤工资!$K$5:$K$1004,考勤工资!$C$5:$C$1004,往来单位!$B$21,考勤工资!$J$5:$J$1004,$C$3,考勤工资!$Y$5:$Y$1004,"&gt;="&amp;_辅助!$J$4,考勤工资!$Y$5:$Y$1004,"&lt;="&amp;_辅助!$J$2))</f>
        <v>0</v>
      </c>
      <c r="BD18" s="2">
        <f>IF(BC18=0,0,SUMIFS(考勤工资!$AC$5:$AC$1004,考勤工资!$C$5:$C$1004,往来单位!$B$21,考勤工资!$D$5:$D$1004,$C$3,考勤工资!$Y$5:$Y$1004,"&gt;="&amp;_辅助!$J$4,考勤工资!$Y$5:$Y$1004,"&lt;="&amp;_辅助!$J$2)+SUMIFS(考勤工资!$AD$5:$AD$1004,考勤工资!$C$5:$C$1004,往来单位!$B$21,考勤工资!$F$5:$F$1004,$C$3,考勤工资!$Y$5:$Y$1004,"&gt;="&amp;_辅助!$J$4,考勤工资!$Y$5:$Y$1004,"&lt;="&amp;_辅助!$J$2)+SUMIFS(考勤工资!$AE$5:$AE$1004,考勤工资!$C$5:$C$1004,往来单位!$B$21,考勤工资!$H$5:$H$1004,$C$3,考勤工资!$Y$5:$Y$1004,"&gt;="&amp;_辅助!$J$4,考勤工资!$Y$5:$Y$1004,"&lt;="&amp;_辅助!$J$2)+SUMIFS(考勤工资!$AF$5:$AF$1004,考勤工资!$C$5:$C$1004,往来单位!$B$21,考勤工资!$J$5:$J$1004,$C$3,考勤工资!$Y$5:$Y$1004,"&gt;="&amp;_辅助!$J$4,考勤工资!$Y$5:$Y$1004,"&lt;="&amp;_辅助!$J$2))</f>
        <v>0</v>
      </c>
      <c r="BE18" s="2">
        <f>SUM(CB1:CB18)</f>
        <v>0</v>
      </c>
      <c r="BF18" s="2">
        <f>IF(AND($AF$3&gt;0,发票登记!$T$21=$C$3,ISNUMBER(发票登记!$X$21),发票登记!$AB$21&lt;&gt;0,发票登记!$Y$21&gt;=_辅助!$J$4,发票登记!$Y$21&lt;=_辅助!$J$2),INT(发票登记!$X$21)*10000+17,"")</f>
      </c>
      <c r="BG18" s="2">
        <f>IF(AND($AF$3&gt;0,资金流水!$H$22=$C$3,ISNUMBER(资金流水!$B$22),ISNUMBER(资金流水!$S$22),资金流水!$S$22&gt;=_辅助!$J$4,资金流水!$S$22&lt;=_辅助!$J$2),INT(资金流水!$B$22)*10000+17,"")</f>
      </c>
      <c r="CA18" s="2">
        <f t="shared" si="0"/>
        <v>0</v>
      </c>
      <c r="CB18" s="2">
        <f t="shared" si="1"/>
        <v>0</v>
      </c>
    </row>
    <row r="19">
      <c r="B19" s="19" t="inlineStr">
        <is>
          <t>其他直接费</t>
        </is>
      </c>
      <c r="C19" s="21">
        <f>N(IF($AF$3=0,"",INDEX(项目利润表!$V$7:$V$66,$AF$3)))</f>
        <v>0</v>
      </c>
      <c r="D19" s="130">
        <f t="shared" si="14"/>
        <v>0</v>
      </c>
      <c r="E19" s="21">
        <f>N(IF($AF$3=0,"",INDEX(项目利润表!$J$7:$J$66,$AF$3)))</f>
        <v>0</v>
      </c>
      <c r="F19" s="130">
        <f t="shared" si="16"/>
        <v>0</v>
      </c>
      <c r="G19" s="28" t="inlineStr">
        <is>
          <t>检测、期间费、甲方扣款等</t>
        </is>
      </c>
      <c r="I19" s="4" t="inlineStr">
        <is>
          <t>建账后确认产值（不含税）</t>
        </is>
      </c>
      <c r="J19" s="73">
        <f>IF($AF$3=0,"",IF($AF$3=0,0,INDEX(_项目汇总!$B$3:$B$62,$AF$3)+INDEX(_项目汇总!$C$3:$C$62,$AF$3))-(IF($AF$3=0,0,INDEX(_项目汇总!$J$3:$J$62,$AF$3)+INDEX(_项目汇总!$K$3:$K$62,$AF$3))))</f>
        <v>8249.54</v>
      </c>
      <c r="BA19" s="2">
        <f>IF(OR(往来单位!$B$22="",$AF$3=0),0,SUMIFS(期初余额!$R$5:$R$204,期初余额!$P$5:$P$204,往来单位!$B$22,期初余额!$Q$5:$Q$204,$C$3)+SUMIFS(应付登记!$G$5:$G$1004,应付登记!$D$5:$D$1004,往来单位!$B$22,应付登记!$E$5:$E$1004,$C$3,应付登记!$J$5:$J$1004,"&gt;="&amp;_辅助!$J$4,应付登记!$J$5:$J$1004,"&lt;="&amp;_辅助!$J$2))</f>
        <v>0</v>
      </c>
      <c r="BB19" s="2">
        <f>SUM(CA1:CA19)</f>
        <v>1</v>
      </c>
      <c r="BC19" s="2">
        <f>IF(OR(往来单位!$B$22="",$AF$3=0,NOT(OR(往来单位!$C$22="管理人员",往来单位!$C$22="工人"))),0,SUMIFS(考勤工资!$E$5:$E$1004,考勤工资!$C$5:$C$1004,往来单位!$B$22,考勤工资!$D$5:$D$1004,$C$3,考勤工资!$Y$5:$Y$1004,"&gt;="&amp;_辅助!$J$4,考勤工资!$Y$5:$Y$1004,"&lt;="&amp;_辅助!$J$2)+SUMIFS(考勤工资!$G$5:$G$1004,考勤工资!$C$5:$C$1004,往来单位!$B$22,考勤工资!$F$5:$F$1004,$C$3,考勤工资!$Y$5:$Y$1004,"&gt;="&amp;_辅助!$J$4,考勤工资!$Y$5:$Y$1004,"&lt;="&amp;_辅助!$J$2)+SUMIFS(考勤工资!$I$5:$I$1004,考勤工资!$C$5:$C$1004,往来单位!$B$22,考勤工资!$H$5:$H$1004,$C$3,考勤工资!$Y$5:$Y$1004,"&gt;="&amp;_辅助!$J$4,考勤工资!$Y$5:$Y$1004,"&lt;="&amp;_辅助!$J$2)+SUMIFS(考勤工资!$K$5:$K$1004,考勤工资!$C$5:$C$1004,往来单位!$B$22,考勤工资!$J$5:$J$1004,$C$3,考勤工资!$Y$5:$Y$1004,"&gt;="&amp;_辅助!$J$4,考勤工资!$Y$5:$Y$1004,"&lt;="&amp;_辅助!$J$2))</f>
        <v>0</v>
      </c>
      <c r="BD19" s="2">
        <f>IF(BC19=0,0,SUMIFS(考勤工资!$AC$5:$AC$1004,考勤工资!$C$5:$C$1004,往来单位!$B$22,考勤工资!$D$5:$D$1004,$C$3,考勤工资!$Y$5:$Y$1004,"&gt;="&amp;_辅助!$J$4,考勤工资!$Y$5:$Y$1004,"&lt;="&amp;_辅助!$J$2)+SUMIFS(考勤工资!$AD$5:$AD$1004,考勤工资!$C$5:$C$1004,往来单位!$B$22,考勤工资!$F$5:$F$1004,$C$3,考勤工资!$Y$5:$Y$1004,"&gt;="&amp;_辅助!$J$4,考勤工资!$Y$5:$Y$1004,"&lt;="&amp;_辅助!$J$2)+SUMIFS(考勤工资!$AE$5:$AE$1004,考勤工资!$C$5:$C$1004,往来单位!$B$22,考勤工资!$H$5:$H$1004,$C$3,考勤工资!$Y$5:$Y$1004,"&gt;="&amp;_辅助!$J$4,考勤工资!$Y$5:$Y$1004,"&lt;="&amp;_辅助!$J$2)+SUMIFS(考勤工资!$AF$5:$AF$1004,考勤工资!$C$5:$C$1004,往来单位!$B$22,考勤工资!$J$5:$J$1004,$C$3,考勤工资!$Y$5:$Y$1004,"&gt;="&amp;_辅助!$J$4,考勤工资!$Y$5:$Y$1004,"&lt;="&amp;_辅助!$J$2))</f>
        <v>0</v>
      </c>
      <c r="BE19" s="2">
        <f>SUM(CB1:CB19)</f>
        <v>0</v>
      </c>
      <c r="BF19" s="2">
        <f>IF(AND($AF$3&gt;0,发票登记!$T$22=$C$3,ISNUMBER(发票登记!$X$22),发票登记!$AB$22&lt;&gt;0,发票登记!$Y$22&gt;=_辅助!$J$4,发票登记!$Y$22&lt;=_辅助!$J$2),INT(发票登记!$X$22)*10000+18,"")</f>
      </c>
      <c r="BG19" s="2">
        <f>IF(AND($AF$3&gt;0,资金流水!$H$23=$C$3,ISNUMBER(资金流水!$B$23),ISNUMBER(资金流水!$S$23),资金流水!$S$23&gt;=_辅助!$J$4,资金流水!$S$23&lt;=_辅助!$J$2),INT(资金流水!$B$23)*10000+18,"")</f>
      </c>
      <c r="CA19" s="2">
        <f t="shared" si="0"/>
        <v>0</v>
      </c>
      <c r="CB19" s="2">
        <f t="shared" si="1"/>
        <v>0</v>
      </c>
    </row>
    <row r="20">
      <c r="B20" s="100" t="inlineStr">
        <is>
          <t>直接成本小计</t>
        </is>
      </c>
      <c r="C20" s="101">
        <f>SUM(C15:C19)</f>
        <v>1826.94</v>
      </c>
      <c r="D20" s="131">
        <f t="shared" si="14"/>
        <v>0.203173932384342</v>
      </c>
      <c r="E20" s="101">
        <f>SUM(E15:E19)</f>
        <v>1280</v>
      </c>
      <c r="F20" s="131">
        <f t="shared" si="16"/>
        <v>0.142348754448399</v>
      </c>
      <c r="G20" s="28" t="inlineStr"/>
      <c r="I20" s="4" t="inlineStr">
        <is>
          <t>销项税</t>
        </is>
      </c>
      <c r="J20" s="73">
        <f>IF($AF$3=0,"",IF($AF$3=0,0,INDEX(_项目汇总!$J$3:$J$62,$AF$3)+INDEX(_项目汇总!$K$3:$K$62,$AF$3)))</f>
        <v>742.46</v>
      </c>
      <c r="BA20" s="2">
        <f>IF(OR(往来单位!$B$23="",$AF$3=0),0,SUMIFS(期初余额!$R$5:$R$204,期初余额!$P$5:$P$204,往来单位!$B$23,期初余额!$Q$5:$Q$204,$C$3)+SUMIFS(应付登记!$G$5:$G$1004,应付登记!$D$5:$D$1004,往来单位!$B$23,应付登记!$E$5:$E$1004,$C$3,应付登记!$J$5:$J$1004,"&gt;="&amp;_辅助!$J$4,应付登记!$J$5:$J$1004,"&lt;="&amp;_辅助!$J$2))</f>
        <v>0</v>
      </c>
      <c r="BB20" s="2">
        <f>SUM(CA1:CA20)</f>
        <v>1</v>
      </c>
      <c r="BC20" s="2">
        <f>IF(OR(往来单位!$B$23="",$AF$3=0,NOT(OR(往来单位!$C$23="管理人员",往来单位!$C$23="工人"))),0,SUMIFS(考勤工资!$E$5:$E$1004,考勤工资!$C$5:$C$1004,往来单位!$B$23,考勤工资!$D$5:$D$1004,$C$3,考勤工资!$Y$5:$Y$1004,"&gt;="&amp;_辅助!$J$4,考勤工资!$Y$5:$Y$1004,"&lt;="&amp;_辅助!$J$2)+SUMIFS(考勤工资!$G$5:$G$1004,考勤工资!$C$5:$C$1004,往来单位!$B$23,考勤工资!$F$5:$F$1004,$C$3,考勤工资!$Y$5:$Y$1004,"&gt;="&amp;_辅助!$J$4,考勤工资!$Y$5:$Y$1004,"&lt;="&amp;_辅助!$J$2)+SUMIFS(考勤工资!$I$5:$I$1004,考勤工资!$C$5:$C$1004,往来单位!$B$23,考勤工资!$H$5:$H$1004,$C$3,考勤工资!$Y$5:$Y$1004,"&gt;="&amp;_辅助!$J$4,考勤工资!$Y$5:$Y$1004,"&lt;="&amp;_辅助!$J$2)+SUMIFS(考勤工资!$K$5:$K$1004,考勤工资!$C$5:$C$1004,往来单位!$B$23,考勤工资!$J$5:$J$1004,$C$3,考勤工资!$Y$5:$Y$1004,"&gt;="&amp;_辅助!$J$4,考勤工资!$Y$5:$Y$1004,"&lt;="&amp;_辅助!$J$2))</f>
        <v>0</v>
      </c>
      <c r="BD20" s="2">
        <f>IF(BC20=0,0,SUMIFS(考勤工资!$AC$5:$AC$1004,考勤工资!$C$5:$C$1004,往来单位!$B$23,考勤工资!$D$5:$D$1004,$C$3,考勤工资!$Y$5:$Y$1004,"&gt;="&amp;_辅助!$J$4,考勤工资!$Y$5:$Y$1004,"&lt;="&amp;_辅助!$J$2)+SUMIFS(考勤工资!$AD$5:$AD$1004,考勤工资!$C$5:$C$1004,往来单位!$B$23,考勤工资!$F$5:$F$1004,$C$3,考勤工资!$Y$5:$Y$1004,"&gt;="&amp;_辅助!$J$4,考勤工资!$Y$5:$Y$1004,"&lt;="&amp;_辅助!$J$2)+SUMIFS(考勤工资!$AE$5:$AE$1004,考勤工资!$C$5:$C$1004,往来单位!$B$23,考勤工资!$H$5:$H$1004,$C$3,考勤工资!$Y$5:$Y$1004,"&gt;="&amp;_辅助!$J$4,考勤工资!$Y$5:$Y$1004,"&lt;="&amp;_辅助!$J$2)+SUMIFS(考勤工资!$AF$5:$AF$1004,考勤工资!$C$5:$C$1004,往来单位!$B$23,考勤工资!$J$5:$J$1004,$C$3,考勤工资!$Y$5:$Y$1004,"&gt;="&amp;_辅助!$J$4,考勤工资!$Y$5:$Y$1004,"&lt;="&amp;_辅助!$J$2))</f>
        <v>0</v>
      </c>
      <c r="BE20" s="2">
        <f>SUM(CB1:CB20)</f>
        <v>0</v>
      </c>
      <c r="BF20" s="2">
        <f>IF(AND($AF$3&gt;0,发票登记!$T$23=$C$3,ISNUMBER(发票登记!$X$23),发票登记!$AB$23&lt;&gt;0,发票登记!$Y$23&gt;=_辅助!$J$4,发票登记!$Y$23&lt;=_辅助!$J$2),INT(发票登记!$X$23)*10000+19,"")</f>
      </c>
      <c r="BG20" s="2">
        <f>IF(AND($AF$3&gt;0,资金流水!$H$24=$C$3,ISNUMBER(资金流水!$B$24),ISNUMBER(资金流水!$S$24),资金流水!$S$24&gt;=_辅助!$J$4,资金流水!$S$24&lt;=_辅助!$J$2),INT(资金流水!$B$24)*10000+19,"")</f>
      </c>
      <c r="CA20" s="2">
        <f t="shared" si="0"/>
        <v>0</v>
      </c>
      <c r="CB20" s="2">
        <f t="shared" si="1"/>
        <v>0</v>
      </c>
    </row>
    <row r="21">
      <c r="B21" s="19" t="inlineStr">
        <is>
          <t>税金（估算）</t>
        </is>
      </c>
      <c r="C21" s="21">
        <f>N(IF($AF$3=0,"",INDEX(项目利润表!$W$7:$W$66,$AF$3)))</f>
        <v>763.78</v>
      </c>
      <c r="D21" s="130">
        <f t="shared" si="14"/>
        <v>0.0849399466192171</v>
      </c>
      <c r="E21" s="21">
        <f>N(IF($AF$3=0,"",INDEX(项目利润表!$K$7:$K$66,$AF$3)))</f>
        <v>763.78</v>
      </c>
      <c r="F21" s="130">
        <f t="shared" si="16"/>
        <v>0.0849399466192171</v>
      </c>
      <c r="G21" s="28" t="inlineStr">
        <is>
          <t>增值税（销项−进项专票）＋附加＋印花</t>
        </is>
      </c>
      <c r="I21" s="4" t="inlineStr">
        <is>
          <t>可抵扣进项税（专票）</t>
        </is>
      </c>
      <c r="J21" s="73">
        <f>IF($AF$3=0,"",IF($AF$3=0,0,INDEX(_项目汇总!$L$3:$L$62,$AF$3)+INDEX(_项目汇总!$M$3:$M$62,$AF$3)))</f>
        <v>62.92</v>
      </c>
      <c r="BA21" s="2">
        <f>IF(OR(往来单位!$B$24="",$AF$3=0),0,SUMIFS(期初余额!$R$5:$R$204,期初余额!$P$5:$P$204,往来单位!$B$24,期初余额!$Q$5:$Q$204,$C$3)+SUMIFS(应付登记!$G$5:$G$1004,应付登记!$D$5:$D$1004,往来单位!$B$24,应付登记!$E$5:$E$1004,$C$3,应付登记!$J$5:$J$1004,"&gt;="&amp;_辅助!$J$4,应付登记!$J$5:$J$1004,"&lt;="&amp;_辅助!$J$2))</f>
        <v>0</v>
      </c>
      <c r="BB21" s="2">
        <f>SUM(CA1:CA21)</f>
        <v>1</v>
      </c>
      <c r="BC21" s="2">
        <f>IF(OR(往来单位!$B$24="",$AF$3=0,NOT(OR(往来单位!$C$24="管理人员",往来单位!$C$24="工人"))),0,SUMIFS(考勤工资!$E$5:$E$1004,考勤工资!$C$5:$C$1004,往来单位!$B$24,考勤工资!$D$5:$D$1004,$C$3,考勤工资!$Y$5:$Y$1004,"&gt;="&amp;_辅助!$J$4,考勤工资!$Y$5:$Y$1004,"&lt;="&amp;_辅助!$J$2)+SUMIFS(考勤工资!$G$5:$G$1004,考勤工资!$C$5:$C$1004,往来单位!$B$24,考勤工资!$F$5:$F$1004,$C$3,考勤工资!$Y$5:$Y$1004,"&gt;="&amp;_辅助!$J$4,考勤工资!$Y$5:$Y$1004,"&lt;="&amp;_辅助!$J$2)+SUMIFS(考勤工资!$I$5:$I$1004,考勤工资!$C$5:$C$1004,往来单位!$B$24,考勤工资!$H$5:$H$1004,$C$3,考勤工资!$Y$5:$Y$1004,"&gt;="&amp;_辅助!$J$4,考勤工资!$Y$5:$Y$1004,"&lt;="&amp;_辅助!$J$2)+SUMIFS(考勤工资!$K$5:$K$1004,考勤工资!$C$5:$C$1004,往来单位!$B$24,考勤工资!$J$5:$J$1004,$C$3,考勤工资!$Y$5:$Y$1004,"&gt;="&amp;_辅助!$J$4,考勤工资!$Y$5:$Y$1004,"&lt;="&amp;_辅助!$J$2))</f>
        <v>0</v>
      </c>
      <c r="BD21" s="2">
        <f>IF(BC21=0,0,SUMIFS(考勤工资!$AC$5:$AC$1004,考勤工资!$C$5:$C$1004,往来单位!$B$24,考勤工资!$D$5:$D$1004,$C$3,考勤工资!$Y$5:$Y$1004,"&gt;="&amp;_辅助!$J$4,考勤工资!$Y$5:$Y$1004,"&lt;="&amp;_辅助!$J$2)+SUMIFS(考勤工资!$AD$5:$AD$1004,考勤工资!$C$5:$C$1004,往来单位!$B$24,考勤工资!$F$5:$F$1004,$C$3,考勤工资!$Y$5:$Y$1004,"&gt;="&amp;_辅助!$J$4,考勤工资!$Y$5:$Y$1004,"&lt;="&amp;_辅助!$J$2)+SUMIFS(考勤工资!$AE$5:$AE$1004,考勤工资!$C$5:$C$1004,往来单位!$B$24,考勤工资!$H$5:$H$1004,$C$3,考勤工资!$Y$5:$Y$1004,"&gt;="&amp;_辅助!$J$4,考勤工资!$Y$5:$Y$1004,"&lt;="&amp;_辅助!$J$2)+SUMIFS(考勤工资!$AF$5:$AF$1004,考勤工资!$C$5:$C$1004,往来单位!$B$24,考勤工资!$J$5:$J$1004,$C$3,考勤工资!$Y$5:$Y$1004,"&gt;="&amp;_辅助!$J$4,考勤工资!$Y$5:$Y$1004,"&lt;="&amp;_辅助!$J$2))</f>
        <v>0</v>
      </c>
      <c r="BE21" s="2">
        <f>SUM(CB1:CB21)</f>
        <v>0</v>
      </c>
      <c r="BF21" s="2">
        <f>IF(AND($AF$3&gt;0,发票登记!$T$24=$C$3,ISNUMBER(发票登记!$X$24),发票登记!$AB$24&lt;&gt;0,发票登记!$Y$24&gt;=_辅助!$J$4,发票登记!$Y$24&lt;=_辅助!$J$2),INT(发票登记!$X$24)*10000+20,"")</f>
      </c>
      <c r="BG21" s="2">
        <f>IF(AND($AF$3&gt;0,资金流水!$H$25=$C$3,ISNUMBER(资金流水!$B$25),ISNUMBER(资金流水!$S$25),资金流水!$S$25&gt;=_辅助!$J$4,资金流水!$S$25&lt;=_辅助!$J$2),INT(资金流水!$B$25)*10000+20,"")</f>
      </c>
      <c r="CA21" s="2">
        <f t="shared" si="0"/>
        <v>0</v>
      </c>
      <c r="CB21" s="2">
        <f t="shared" si="1"/>
        <v>0</v>
      </c>
    </row>
    <row r="22">
      <c r="B22" s="19" t="inlineStr">
        <is>
          <t>票据贴息</t>
        </is>
      </c>
      <c r="C22" s="21">
        <f>N(IF($AF$3=0,"",INDEX(项目利润表!$X$7:$X$66,$AF$3)))</f>
        <v>0</v>
      </c>
      <c r="D22" s="130">
        <f t="shared" si="14"/>
        <v>0</v>
      </c>
      <c r="E22" s="21">
        <f>N(IF($AF$3=0,"",INDEX(项目利润表!$L$7:$L$66,$AF$3)))</f>
        <v>0</v>
      </c>
      <c r="F22" s="130">
        <f t="shared" si="16"/>
        <v>0</v>
      </c>
      <c r="G22" s="28" t="inlineStr"/>
      <c r="I22" s="4" t="inlineStr">
        <is>
          <t>增值税（销项−进项）</t>
        </is>
      </c>
      <c r="J22" s="73">
        <f>IF($AF$3=0,"",J20-J21)</f>
        <v>679.54</v>
      </c>
      <c r="BA22" s="2">
        <f>IF(OR(往来单位!$B$25="",$AF$3=0),0,SUMIFS(期初余额!$R$5:$R$204,期初余额!$P$5:$P$204,往来单位!$B$25,期初余额!$Q$5:$Q$204,$C$3)+SUMIFS(应付登记!$G$5:$G$1004,应付登记!$D$5:$D$1004,往来单位!$B$25,应付登记!$E$5:$E$1004,$C$3,应付登记!$J$5:$J$1004,"&gt;="&amp;_辅助!$J$4,应付登记!$J$5:$J$1004,"&lt;="&amp;_辅助!$J$2))</f>
        <v>0</v>
      </c>
      <c r="BB22" s="2">
        <f>SUM(CA1:CA22)</f>
        <v>1</v>
      </c>
      <c r="BC22" s="2">
        <f>IF(OR(往来单位!$B$25="",$AF$3=0,NOT(OR(往来单位!$C$25="管理人员",往来单位!$C$25="工人"))),0,SUMIFS(考勤工资!$E$5:$E$1004,考勤工资!$C$5:$C$1004,往来单位!$B$25,考勤工资!$D$5:$D$1004,$C$3,考勤工资!$Y$5:$Y$1004,"&gt;="&amp;_辅助!$J$4,考勤工资!$Y$5:$Y$1004,"&lt;="&amp;_辅助!$J$2)+SUMIFS(考勤工资!$G$5:$G$1004,考勤工资!$C$5:$C$1004,往来单位!$B$25,考勤工资!$F$5:$F$1004,$C$3,考勤工资!$Y$5:$Y$1004,"&gt;="&amp;_辅助!$J$4,考勤工资!$Y$5:$Y$1004,"&lt;="&amp;_辅助!$J$2)+SUMIFS(考勤工资!$I$5:$I$1004,考勤工资!$C$5:$C$1004,往来单位!$B$25,考勤工资!$H$5:$H$1004,$C$3,考勤工资!$Y$5:$Y$1004,"&gt;="&amp;_辅助!$J$4,考勤工资!$Y$5:$Y$1004,"&lt;="&amp;_辅助!$J$2)+SUMIFS(考勤工资!$K$5:$K$1004,考勤工资!$C$5:$C$1004,往来单位!$B$25,考勤工资!$J$5:$J$1004,$C$3,考勤工资!$Y$5:$Y$1004,"&gt;="&amp;_辅助!$J$4,考勤工资!$Y$5:$Y$1004,"&lt;="&amp;_辅助!$J$2))</f>
        <v>0</v>
      </c>
      <c r="BD22" s="2">
        <f>IF(BC22=0,0,SUMIFS(考勤工资!$AC$5:$AC$1004,考勤工资!$C$5:$C$1004,往来单位!$B$25,考勤工资!$D$5:$D$1004,$C$3,考勤工资!$Y$5:$Y$1004,"&gt;="&amp;_辅助!$J$4,考勤工资!$Y$5:$Y$1004,"&lt;="&amp;_辅助!$J$2)+SUMIFS(考勤工资!$AD$5:$AD$1004,考勤工资!$C$5:$C$1004,往来单位!$B$25,考勤工资!$F$5:$F$1004,$C$3,考勤工资!$Y$5:$Y$1004,"&gt;="&amp;_辅助!$J$4,考勤工资!$Y$5:$Y$1004,"&lt;="&amp;_辅助!$J$2)+SUMIFS(考勤工资!$AE$5:$AE$1004,考勤工资!$C$5:$C$1004,往来单位!$B$25,考勤工资!$H$5:$H$1004,$C$3,考勤工资!$Y$5:$Y$1004,"&gt;="&amp;_辅助!$J$4,考勤工资!$Y$5:$Y$1004,"&lt;="&amp;_辅助!$J$2)+SUMIFS(考勤工资!$AF$5:$AF$1004,考勤工资!$C$5:$C$1004,往来单位!$B$25,考勤工资!$J$5:$J$1004,$C$3,考勤工资!$Y$5:$Y$1004,"&gt;="&amp;_辅助!$J$4,考勤工资!$Y$5:$Y$1004,"&lt;="&amp;_辅助!$J$2))</f>
        <v>0</v>
      </c>
      <c r="BE22" s="2">
        <f>SUM(CB1:CB22)</f>
        <v>0</v>
      </c>
      <c r="BF22" s="2">
        <f>IF(AND($AF$3&gt;0,发票登记!$T$25=$C$3,ISNUMBER(发票登记!$X$25),发票登记!$AB$25&lt;&gt;0,发票登记!$Y$25&gt;=_辅助!$J$4,发票登记!$Y$25&lt;=_辅助!$J$2),INT(发票登记!$X$25)*10000+21,"")</f>
      </c>
      <c r="BG22" s="2">
        <f>IF(AND($AF$3&gt;0,资金流水!$H$26=$C$3,ISNUMBER(资金流水!$B$26),ISNUMBER(资金流水!$S$26),资金流水!$S$26&gt;=_辅助!$J$4,资金流水!$S$26&lt;=_辅助!$J$2),INT(资金流水!$B$26)*10000+21,"")</f>
      </c>
      <c r="CA22" s="2">
        <f t="shared" si="0"/>
        <v>0</v>
      </c>
      <c r="CB22" s="2">
        <f t="shared" si="1"/>
        <v>0</v>
      </c>
    </row>
    <row r="23">
      <c r="B23" s="100" t="inlineStr">
        <is>
          <t>项目毛利</t>
        </is>
      </c>
      <c r="C23" s="101">
        <f>C14-C20-C21-C22</f>
        <v>6401.28</v>
      </c>
      <c r="D23" s="131">
        <f t="shared" si="14"/>
        <v>0.711886120996441</v>
      </c>
      <c r="E23" s="101">
        <f>E14-E20-E21-E22</f>
        <v>6948.22</v>
      </c>
      <c r="F23" s="131">
        <f t="shared" si="16"/>
        <v>0.772711298932384</v>
      </c>
      <c r="G23" s="28" t="inlineStr">
        <is>
          <t>产值 − 直接成本 − 税金 − 贴息</t>
        </is>
      </c>
      <c r="I23" s="4" t="inlineStr">
        <is>
          <t>附加税</t>
        </is>
      </c>
      <c r="J23" s="73">
        <f>IF($AF$3=0,"",ROUND(J22*基础资料!$AF$6,2))</f>
        <v>81.54</v>
      </c>
      <c r="BA23" s="2">
        <f>IF(OR(往来单位!$B$26="",$AF$3=0),0,SUMIFS(期初余额!$R$5:$R$204,期初余额!$P$5:$P$204,往来单位!$B$26,期初余额!$Q$5:$Q$204,$C$3)+SUMIFS(应付登记!$G$5:$G$1004,应付登记!$D$5:$D$1004,往来单位!$B$26,应付登记!$E$5:$E$1004,$C$3,应付登记!$J$5:$J$1004,"&gt;="&amp;_辅助!$J$4,应付登记!$J$5:$J$1004,"&lt;="&amp;_辅助!$J$2))</f>
        <v>0</v>
      </c>
      <c r="BB23" s="2">
        <f>SUM(CA1:CA23)</f>
        <v>1</v>
      </c>
      <c r="BC23" s="2">
        <f>IF(OR(往来单位!$B$26="",$AF$3=0,NOT(OR(往来单位!$C$26="管理人员",往来单位!$C$26="工人"))),0,SUMIFS(考勤工资!$E$5:$E$1004,考勤工资!$C$5:$C$1004,往来单位!$B$26,考勤工资!$D$5:$D$1004,$C$3,考勤工资!$Y$5:$Y$1004,"&gt;="&amp;_辅助!$J$4,考勤工资!$Y$5:$Y$1004,"&lt;="&amp;_辅助!$J$2)+SUMIFS(考勤工资!$G$5:$G$1004,考勤工资!$C$5:$C$1004,往来单位!$B$26,考勤工资!$F$5:$F$1004,$C$3,考勤工资!$Y$5:$Y$1004,"&gt;="&amp;_辅助!$J$4,考勤工资!$Y$5:$Y$1004,"&lt;="&amp;_辅助!$J$2)+SUMIFS(考勤工资!$I$5:$I$1004,考勤工资!$C$5:$C$1004,往来单位!$B$26,考勤工资!$H$5:$H$1004,$C$3,考勤工资!$Y$5:$Y$1004,"&gt;="&amp;_辅助!$J$4,考勤工资!$Y$5:$Y$1004,"&lt;="&amp;_辅助!$J$2)+SUMIFS(考勤工资!$K$5:$K$1004,考勤工资!$C$5:$C$1004,往来单位!$B$26,考勤工资!$J$5:$J$1004,$C$3,考勤工资!$Y$5:$Y$1004,"&gt;="&amp;_辅助!$J$4,考勤工资!$Y$5:$Y$1004,"&lt;="&amp;_辅助!$J$2))</f>
        <v>0</v>
      </c>
      <c r="BD23" s="2">
        <f>IF(BC23=0,0,SUMIFS(考勤工资!$AC$5:$AC$1004,考勤工资!$C$5:$C$1004,往来单位!$B$26,考勤工资!$D$5:$D$1004,$C$3,考勤工资!$Y$5:$Y$1004,"&gt;="&amp;_辅助!$J$4,考勤工资!$Y$5:$Y$1004,"&lt;="&amp;_辅助!$J$2)+SUMIFS(考勤工资!$AD$5:$AD$1004,考勤工资!$C$5:$C$1004,往来单位!$B$26,考勤工资!$F$5:$F$1004,$C$3,考勤工资!$Y$5:$Y$1004,"&gt;="&amp;_辅助!$J$4,考勤工资!$Y$5:$Y$1004,"&lt;="&amp;_辅助!$J$2)+SUMIFS(考勤工资!$AE$5:$AE$1004,考勤工资!$C$5:$C$1004,往来单位!$B$26,考勤工资!$H$5:$H$1004,$C$3,考勤工资!$Y$5:$Y$1004,"&gt;="&amp;_辅助!$J$4,考勤工资!$Y$5:$Y$1004,"&lt;="&amp;_辅助!$J$2)+SUMIFS(考勤工资!$AF$5:$AF$1004,考勤工资!$C$5:$C$1004,往来单位!$B$26,考勤工资!$J$5:$J$1004,$C$3,考勤工资!$Y$5:$Y$1004,"&gt;="&amp;_辅助!$J$4,考勤工资!$Y$5:$Y$1004,"&lt;="&amp;_辅助!$J$2))</f>
        <v>0</v>
      </c>
      <c r="BE23" s="2">
        <f>SUM(CB1:CB23)</f>
        <v>0</v>
      </c>
      <c r="BF23" s="2">
        <f>IF(AND($AF$3&gt;0,发票登记!$T$26=$C$3,ISNUMBER(发票登记!$X$26),发票登记!$AB$26&lt;&gt;0,发票登记!$Y$26&gt;=_辅助!$J$4,发票登记!$Y$26&lt;=_辅助!$J$2),INT(发票登记!$X$26)*10000+22,"")</f>
      </c>
      <c r="BG23" s="2">
        <f>IF(AND($AF$3&gt;0,资金流水!$H$27=$C$3,ISNUMBER(资金流水!$B$27),ISNUMBER(资金流水!$S$27),资金流水!$S$27&gt;=_辅助!$J$4,资金流水!$S$27&lt;=_辅助!$J$2),INT(资金流水!$B$27)*10000+22,"")</f>
      </c>
      <c r="CA23" s="2">
        <f t="shared" si="0"/>
        <v>0</v>
      </c>
      <c r="CB23" s="2">
        <f t="shared" si="1"/>
        <v>0</v>
      </c>
    </row>
    <row r="24">
      <c r="B24" s="19" t="inlineStr">
        <is>
          <t>摊管理费</t>
        </is>
      </c>
      <c r="C24" s="21">
        <f>N(IF($AF$3=0,"",INDEX(项目利润表!$Y$7:$Y$66,$AF$3)))</f>
        <v>436.07</v>
      </c>
      <c r="D24" s="130">
        <f t="shared" si="14"/>
        <v>0.0484953291814947</v>
      </c>
      <c r="E24" s="21">
        <f>N(IF($AF$3=0,"",INDEX(项目利润表!$N$7:$N$66,$AF$3)))</f>
        <v>436.07</v>
      </c>
      <c r="F24" s="130">
        <f t="shared" si="16"/>
        <v>0.0484953291814947</v>
      </c>
      <c r="G24" s="28" t="inlineStr">
        <is>
          <t>【费用分摊】按施工费摊的</t>
        </is>
      </c>
      <c r="I24" s="4" t="inlineStr">
        <is>
          <t>印花税</t>
        </is>
      </c>
      <c r="J24" s="73">
        <f>IF($AF$3=0,"",ROUND(IF($AF$3=0,0,INDEX(_项目汇总!$B$3:$B$62,$AF$3)+INDEX(_项目汇总!$C$3:$C$62,$AF$3))*基础资料!$AF$7,2))</f>
        <v>2.7</v>
      </c>
      <c r="BA24" s="2">
        <f>IF(OR(往来单位!$B$27="",$AF$3=0),0,SUMIFS(期初余额!$R$5:$R$204,期初余额!$P$5:$P$204,往来单位!$B$27,期初余额!$Q$5:$Q$204,$C$3)+SUMIFS(应付登记!$G$5:$G$1004,应付登记!$D$5:$D$1004,往来单位!$B$27,应付登记!$E$5:$E$1004,$C$3,应付登记!$J$5:$J$1004,"&gt;="&amp;_辅助!$J$4,应付登记!$J$5:$J$1004,"&lt;="&amp;_辅助!$J$2))</f>
        <v>0</v>
      </c>
      <c r="BB24" s="2">
        <f>SUM(CA1:CA24)</f>
        <v>1</v>
      </c>
      <c r="BC24" s="2">
        <f>IF(OR(往来单位!$B$27="",$AF$3=0,NOT(OR(往来单位!$C$27="管理人员",往来单位!$C$27="工人"))),0,SUMIFS(考勤工资!$E$5:$E$1004,考勤工资!$C$5:$C$1004,往来单位!$B$27,考勤工资!$D$5:$D$1004,$C$3,考勤工资!$Y$5:$Y$1004,"&gt;="&amp;_辅助!$J$4,考勤工资!$Y$5:$Y$1004,"&lt;="&amp;_辅助!$J$2)+SUMIFS(考勤工资!$G$5:$G$1004,考勤工资!$C$5:$C$1004,往来单位!$B$27,考勤工资!$F$5:$F$1004,$C$3,考勤工资!$Y$5:$Y$1004,"&gt;="&amp;_辅助!$J$4,考勤工资!$Y$5:$Y$1004,"&lt;="&amp;_辅助!$J$2)+SUMIFS(考勤工资!$I$5:$I$1004,考勤工资!$C$5:$C$1004,往来单位!$B$27,考勤工资!$H$5:$H$1004,$C$3,考勤工资!$Y$5:$Y$1004,"&gt;="&amp;_辅助!$J$4,考勤工资!$Y$5:$Y$1004,"&lt;="&amp;_辅助!$J$2)+SUMIFS(考勤工资!$K$5:$K$1004,考勤工资!$C$5:$C$1004,往来单位!$B$27,考勤工资!$J$5:$J$1004,$C$3,考勤工资!$Y$5:$Y$1004,"&gt;="&amp;_辅助!$J$4,考勤工资!$Y$5:$Y$1004,"&lt;="&amp;_辅助!$J$2))</f>
        <v>0</v>
      </c>
      <c r="BD24" s="2">
        <f>IF(BC24=0,0,SUMIFS(考勤工资!$AC$5:$AC$1004,考勤工资!$C$5:$C$1004,往来单位!$B$27,考勤工资!$D$5:$D$1004,$C$3,考勤工资!$Y$5:$Y$1004,"&gt;="&amp;_辅助!$J$4,考勤工资!$Y$5:$Y$1004,"&lt;="&amp;_辅助!$J$2)+SUMIFS(考勤工资!$AD$5:$AD$1004,考勤工资!$C$5:$C$1004,往来单位!$B$27,考勤工资!$F$5:$F$1004,$C$3,考勤工资!$Y$5:$Y$1004,"&gt;="&amp;_辅助!$J$4,考勤工资!$Y$5:$Y$1004,"&lt;="&amp;_辅助!$J$2)+SUMIFS(考勤工资!$AE$5:$AE$1004,考勤工资!$C$5:$C$1004,往来单位!$B$27,考勤工资!$H$5:$H$1004,$C$3,考勤工资!$Y$5:$Y$1004,"&gt;="&amp;_辅助!$J$4,考勤工资!$Y$5:$Y$1004,"&lt;="&amp;_辅助!$J$2)+SUMIFS(考勤工资!$AF$5:$AF$1004,考勤工资!$C$5:$C$1004,往来单位!$B$27,考勤工资!$J$5:$J$1004,$C$3,考勤工资!$Y$5:$Y$1004,"&gt;="&amp;_辅助!$J$4,考勤工资!$Y$5:$Y$1004,"&lt;="&amp;_辅助!$J$2))</f>
        <v>0</v>
      </c>
      <c r="BE24" s="2">
        <f>SUM(CB1:CB24)</f>
        <v>0</v>
      </c>
      <c r="BF24" s="2">
        <f>IF(AND($AF$3&gt;0,发票登记!$T$27=$C$3,ISNUMBER(发票登记!$X$27),发票登记!$AB$27&lt;&gt;0,发票登记!$Y$27&gt;=_辅助!$J$4,发票登记!$Y$27&lt;=_辅助!$J$2),INT(发票登记!$X$27)*10000+23,"")</f>
      </c>
      <c r="BG24" s="2">
        <f>IF(AND($AF$3&gt;0,资金流水!$H$28=$C$3,ISNUMBER(资金流水!$B$28),ISNUMBER(资金流水!$S$28),资金流水!$S$28&gt;=_辅助!$J$4,资金流水!$S$28&lt;=_辅助!$J$2),INT(资金流水!$B$28)*10000+23,"")</f>
      </c>
      <c r="CA24" s="2">
        <f t="shared" si="0"/>
        <v>0</v>
      </c>
      <c r="CB24" s="2">
        <f t="shared" si="1"/>
        <v>0</v>
      </c>
    </row>
    <row r="25">
      <c r="B25" s="100" t="inlineStr">
        <is>
          <t>项目净利</t>
        </is>
      </c>
      <c r="C25" s="101">
        <f>N(IF($AF$3=0,"",INDEX(项目利润表!$Z$7:$Z$66,$AF$3)))</f>
        <v>5965.21</v>
      </c>
      <c r="D25" s="131">
        <f t="shared" si="14"/>
        <v>0.663390791814947</v>
      </c>
      <c r="E25" s="101">
        <f>N(IF($AF$3=0,"",INDEX(项目利润表!$O$7:$O$66,$AF$3)))</f>
        <v>6512.15</v>
      </c>
      <c r="F25" s="131">
        <f t="shared" si="16"/>
        <v>0.72421596975089</v>
      </c>
      <c r="G25" s="28" t="inlineStr"/>
      <c r="I25" s="4" t="inlineStr">
        <is>
          <t>税金合计（＝上面②的税金）</t>
        </is>
      </c>
      <c r="J25" s="73">
        <f>IF($AF$3=0,"",J18+J22+J23+J24)</f>
        <v>763.78</v>
      </c>
      <c r="BA25" s="2">
        <f>IF(OR(往来单位!$B$28="",$AF$3=0),0,SUMIFS(期初余额!$R$5:$R$204,期初余额!$P$5:$P$204,往来单位!$B$28,期初余额!$Q$5:$Q$204,$C$3)+SUMIFS(应付登记!$G$5:$G$1004,应付登记!$D$5:$D$1004,往来单位!$B$28,应付登记!$E$5:$E$1004,$C$3,应付登记!$J$5:$J$1004,"&gt;="&amp;_辅助!$J$4,应付登记!$J$5:$J$1004,"&lt;="&amp;_辅助!$J$2))</f>
        <v>0</v>
      </c>
      <c r="BB25" s="2">
        <f>SUM(CA1:CA25)</f>
        <v>1</v>
      </c>
      <c r="BC25" s="2">
        <f>IF(OR(往来单位!$B$28="",$AF$3=0,NOT(OR(往来单位!$C$28="管理人员",往来单位!$C$28="工人"))),0,SUMIFS(考勤工资!$E$5:$E$1004,考勤工资!$C$5:$C$1004,往来单位!$B$28,考勤工资!$D$5:$D$1004,$C$3,考勤工资!$Y$5:$Y$1004,"&gt;="&amp;_辅助!$J$4,考勤工资!$Y$5:$Y$1004,"&lt;="&amp;_辅助!$J$2)+SUMIFS(考勤工资!$G$5:$G$1004,考勤工资!$C$5:$C$1004,往来单位!$B$28,考勤工资!$F$5:$F$1004,$C$3,考勤工资!$Y$5:$Y$1004,"&gt;="&amp;_辅助!$J$4,考勤工资!$Y$5:$Y$1004,"&lt;="&amp;_辅助!$J$2)+SUMIFS(考勤工资!$I$5:$I$1004,考勤工资!$C$5:$C$1004,往来单位!$B$28,考勤工资!$H$5:$H$1004,$C$3,考勤工资!$Y$5:$Y$1004,"&gt;="&amp;_辅助!$J$4,考勤工资!$Y$5:$Y$1004,"&lt;="&amp;_辅助!$J$2)+SUMIFS(考勤工资!$K$5:$K$1004,考勤工资!$C$5:$C$1004,往来单位!$B$28,考勤工资!$J$5:$J$1004,$C$3,考勤工资!$Y$5:$Y$1004,"&gt;="&amp;_辅助!$J$4,考勤工资!$Y$5:$Y$1004,"&lt;="&amp;_辅助!$J$2))</f>
        <v>0</v>
      </c>
      <c r="BD25" s="2">
        <f>IF(BC25=0,0,SUMIFS(考勤工资!$AC$5:$AC$1004,考勤工资!$C$5:$C$1004,往来单位!$B$28,考勤工资!$D$5:$D$1004,$C$3,考勤工资!$Y$5:$Y$1004,"&gt;="&amp;_辅助!$J$4,考勤工资!$Y$5:$Y$1004,"&lt;="&amp;_辅助!$J$2)+SUMIFS(考勤工资!$AD$5:$AD$1004,考勤工资!$C$5:$C$1004,往来单位!$B$28,考勤工资!$F$5:$F$1004,$C$3,考勤工资!$Y$5:$Y$1004,"&gt;="&amp;_辅助!$J$4,考勤工资!$Y$5:$Y$1004,"&lt;="&amp;_辅助!$J$2)+SUMIFS(考勤工资!$AE$5:$AE$1004,考勤工资!$C$5:$C$1004,往来单位!$B$28,考勤工资!$H$5:$H$1004,$C$3,考勤工资!$Y$5:$Y$1004,"&gt;="&amp;_辅助!$J$4,考勤工资!$Y$5:$Y$1004,"&lt;="&amp;_辅助!$J$2)+SUMIFS(考勤工资!$AF$5:$AF$1004,考勤工资!$C$5:$C$1004,往来单位!$B$28,考勤工资!$J$5:$J$1004,$C$3,考勤工资!$Y$5:$Y$1004,"&gt;="&amp;_辅助!$J$4,考勤工资!$Y$5:$Y$1004,"&lt;="&amp;_辅助!$J$2))</f>
        <v>0</v>
      </c>
      <c r="BE25" s="2">
        <f>SUM(CB1:CB25)</f>
        <v>0</v>
      </c>
      <c r="BF25" s="2">
        <f>IF(AND($AF$3&gt;0,发票登记!$T$28=$C$3,ISNUMBER(发票登记!$X$28),发票登记!$AB$28&lt;&gt;0,发票登记!$Y$28&gt;=_辅助!$J$4,发票登记!$Y$28&lt;=_辅助!$J$2),INT(发票登记!$X$28)*10000+24,"")</f>
      </c>
      <c r="BG25" s="2">
        <f>IF(AND($AF$3&gt;0,资金流水!$H$29=$C$3,ISNUMBER(资金流水!$B$29),ISNUMBER(资金流水!$S$29),资金流水!$S$29&gt;=_辅助!$J$4,资金流水!$S$29&lt;=_辅助!$J$2),INT(资金流水!$B$29)*10000+24,"")</f>
      </c>
      <c r="CA25" s="2">
        <f t="shared" si="0"/>
        <v>0</v>
      </c>
      <c r="CB25" s="2">
        <f t="shared" si="1"/>
        <v>0</v>
      </c>
    </row>
    <row r="26">
      <c r="B26" s="19" t="inlineStr">
        <is>
          <t>净利率</t>
        </is>
      </c>
      <c r="C26" s="132">
        <f>IF(N(C14)=0,"",C25/C14)</f>
        <v>0.663390791814947</v>
      </c>
      <c r="D26" s="12" t="n"/>
      <c r="E26" s="132">
        <f>IF(N(E14)=0,"",E25/E14)</f>
        <v>0.72421596975089</v>
      </c>
      <c r="F26" s="12" t="n"/>
      <c r="G26" s="28" t="inlineStr"/>
      <c r="I26" s="4" t="inlineStr">
        <is>
          <t>税负率（税金÷产值）</t>
        </is>
      </c>
      <c r="J26" s="129">
        <f>IF($AF$3=0,"",IF(N(C14)=0,"",J25/C14))</f>
        <v>0.0849399466192171</v>
      </c>
      <c r="BA26" s="2">
        <f>IF(OR(往来单位!$B$29="",$AF$3=0),0,SUMIFS(期初余额!$R$5:$R$204,期初余额!$P$5:$P$204,往来单位!$B$29,期初余额!$Q$5:$Q$204,$C$3)+SUMIFS(应付登记!$G$5:$G$1004,应付登记!$D$5:$D$1004,往来单位!$B$29,应付登记!$E$5:$E$1004,$C$3,应付登记!$J$5:$J$1004,"&gt;="&amp;_辅助!$J$4,应付登记!$J$5:$J$1004,"&lt;="&amp;_辅助!$J$2))</f>
        <v>0</v>
      </c>
      <c r="BB26" s="2">
        <f>SUM(CA1:CA26)</f>
        <v>1</v>
      </c>
      <c r="BC26" s="2">
        <f>IF(OR(往来单位!$B$29="",$AF$3=0,NOT(OR(往来单位!$C$29="管理人员",往来单位!$C$29="工人"))),0,SUMIFS(考勤工资!$E$5:$E$1004,考勤工资!$C$5:$C$1004,往来单位!$B$29,考勤工资!$D$5:$D$1004,$C$3,考勤工资!$Y$5:$Y$1004,"&gt;="&amp;_辅助!$J$4,考勤工资!$Y$5:$Y$1004,"&lt;="&amp;_辅助!$J$2)+SUMIFS(考勤工资!$G$5:$G$1004,考勤工资!$C$5:$C$1004,往来单位!$B$29,考勤工资!$F$5:$F$1004,$C$3,考勤工资!$Y$5:$Y$1004,"&gt;="&amp;_辅助!$J$4,考勤工资!$Y$5:$Y$1004,"&lt;="&amp;_辅助!$J$2)+SUMIFS(考勤工资!$I$5:$I$1004,考勤工资!$C$5:$C$1004,往来单位!$B$29,考勤工资!$H$5:$H$1004,$C$3,考勤工资!$Y$5:$Y$1004,"&gt;="&amp;_辅助!$J$4,考勤工资!$Y$5:$Y$1004,"&lt;="&amp;_辅助!$J$2)+SUMIFS(考勤工资!$K$5:$K$1004,考勤工资!$C$5:$C$1004,往来单位!$B$29,考勤工资!$J$5:$J$1004,$C$3,考勤工资!$Y$5:$Y$1004,"&gt;="&amp;_辅助!$J$4,考勤工资!$Y$5:$Y$1004,"&lt;="&amp;_辅助!$J$2))</f>
        <v>0</v>
      </c>
      <c r="BD26" s="2">
        <f>IF(BC26=0,0,SUMIFS(考勤工资!$AC$5:$AC$1004,考勤工资!$C$5:$C$1004,往来单位!$B$29,考勤工资!$D$5:$D$1004,$C$3,考勤工资!$Y$5:$Y$1004,"&gt;="&amp;_辅助!$J$4,考勤工资!$Y$5:$Y$1004,"&lt;="&amp;_辅助!$J$2)+SUMIFS(考勤工资!$AD$5:$AD$1004,考勤工资!$C$5:$C$1004,往来单位!$B$29,考勤工资!$F$5:$F$1004,$C$3,考勤工资!$Y$5:$Y$1004,"&gt;="&amp;_辅助!$J$4,考勤工资!$Y$5:$Y$1004,"&lt;="&amp;_辅助!$J$2)+SUMIFS(考勤工资!$AE$5:$AE$1004,考勤工资!$C$5:$C$1004,往来单位!$B$29,考勤工资!$H$5:$H$1004,$C$3,考勤工资!$Y$5:$Y$1004,"&gt;="&amp;_辅助!$J$4,考勤工资!$Y$5:$Y$1004,"&lt;="&amp;_辅助!$J$2)+SUMIFS(考勤工资!$AF$5:$AF$1004,考勤工资!$C$5:$C$1004,往来单位!$B$29,考勤工资!$J$5:$J$1004,$C$3,考勤工资!$Y$5:$Y$1004,"&gt;="&amp;_辅助!$J$4,考勤工资!$Y$5:$Y$1004,"&lt;="&amp;_辅助!$J$2))</f>
        <v>0</v>
      </c>
      <c r="BE26" s="2">
        <f>SUM(CB1:CB26)</f>
        <v>0</v>
      </c>
      <c r="BF26" s="2">
        <f>IF(AND($AF$3&gt;0,发票登记!$T$29=$C$3,ISNUMBER(发票登记!$X$29),发票登记!$AB$29&lt;&gt;0,发票登记!$Y$29&gt;=_辅助!$J$4,发票登记!$Y$29&lt;=_辅助!$J$2),INT(发票登记!$X$29)*10000+25,"")</f>
      </c>
      <c r="BG26" s="2">
        <f>IF(AND($AF$3&gt;0,资金流水!$H$30=$C$3,ISNUMBER(资金流水!$B$30),ISNUMBER(资金流水!$S$30),资金流水!$S$30&gt;=_辅助!$J$4,资金流水!$S$30&lt;=_辅助!$J$2),INT(资金流水!$B$30)*10000+25,"")</f>
      </c>
      <c r="CA26" s="2">
        <f t="shared" si="0"/>
        <v>0</v>
      </c>
      <c r="CB26" s="2">
        <f t="shared" si="1"/>
        <v>0</v>
      </c>
    </row>
    <row r="27">
      <c r="B27" s="133">
        <f>IF($AF$3=0,"",INDEX(项目利润表!$AF$7:$AF$66,$AF$3))</f>
      </c>
      <c r="I27" s="4" t="inlineStr">
        <is>
          <t>已交增值税及附加（流水里选了这个项目的）</t>
        </is>
      </c>
      <c r="J27" s="73">
        <f>IF($AF$3=0,"",-SUMIFS(资金流水!$R$6:$R$2005,资金流水!$H$6:$H$2005,$C$3,资金流水!$X$6:$X$2005,"应交税费",资金流水!$S$6:$S$2005,"&gt;="&amp;_辅助!$J$4,资金流水!$S$6:$S$2005,"&lt;="&amp;_辅助!$J$2))</f>
        <v>0</v>
      </c>
      <c r="BA27" s="2">
        <f>IF(OR(往来单位!$B$30="",$AF$3=0),0,SUMIFS(期初余额!$R$5:$R$204,期初余额!$P$5:$P$204,往来单位!$B$30,期初余额!$Q$5:$Q$204,$C$3)+SUMIFS(应付登记!$G$5:$G$1004,应付登记!$D$5:$D$1004,往来单位!$B$30,应付登记!$E$5:$E$1004,$C$3,应付登记!$J$5:$J$1004,"&gt;="&amp;_辅助!$J$4,应付登记!$J$5:$J$1004,"&lt;="&amp;_辅助!$J$2))</f>
        <v>0</v>
      </c>
      <c r="BB27" s="2">
        <f>SUM(CA1:CA27)</f>
        <v>1</v>
      </c>
      <c r="BC27" s="2">
        <f>IF(OR(往来单位!$B$30="",$AF$3=0,NOT(OR(往来单位!$C$30="管理人员",往来单位!$C$30="工人"))),0,SUMIFS(考勤工资!$E$5:$E$1004,考勤工资!$C$5:$C$1004,往来单位!$B$30,考勤工资!$D$5:$D$1004,$C$3,考勤工资!$Y$5:$Y$1004,"&gt;="&amp;_辅助!$J$4,考勤工资!$Y$5:$Y$1004,"&lt;="&amp;_辅助!$J$2)+SUMIFS(考勤工资!$G$5:$G$1004,考勤工资!$C$5:$C$1004,往来单位!$B$30,考勤工资!$F$5:$F$1004,$C$3,考勤工资!$Y$5:$Y$1004,"&gt;="&amp;_辅助!$J$4,考勤工资!$Y$5:$Y$1004,"&lt;="&amp;_辅助!$J$2)+SUMIFS(考勤工资!$I$5:$I$1004,考勤工资!$C$5:$C$1004,往来单位!$B$30,考勤工资!$H$5:$H$1004,$C$3,考勤工资!$Y$5:$Y$1004,"&gt;="&amp;_辅助!$J$4,考勤工资!$Y$5:$Y$1004,"&lt;="&amp;_辅助!$J$2)+SUMIFS(考勤工资!$K$5:$K$1004,考勤工资!$C$5:$C$1004,往来单位!$B$30,考勤工资!$J$5:$J$1004,$C$3,考勤工资!$Y$5:$Y$1004,"&gt;="&amp;_辅助!$J$4,考勤工资!$Y$5:$Y$1004,"&lt;="&amp;_辅助!$J$2))</f>
        <v>0</v>
      </c>
      <c r="BD27" s="2">
        <f>IF(BC27=0,0,SUMIFS(考勤工资!$AC$5:$AC$1004,考勤工资!$C$5:$C$1004,往来单位!$B$30,考勤工资!$D$5:$D$1004,$C$3,考勤工资!$Y$5:$Y$1004,"&gt;="&amp;_辅助!$J$4,考勤工资!$Y$5:$Y$1004,"&lt;="&amp;_辅助!$J$2)+SUMIFS(考勤工资!$AD$5:$AD$1004,考勤工资!$C$5:$C$1004,往来单位!$B$30,考勤工资!$F$5:$F$1004,$C$3,考勤工资!$Y$5:$Y$1004,"&gt;="&amp;_辅助!$J$4,考勤工资!$Y$5:$Y$1004,"&lt;="&amp;_辅助!$J$2)+SUMIFS(考勤工资!$AE$5:$AE$1004,考勤工资!$C$5:$C$1004,往来单位!$B$30,考勤工资!$H$5:$H$1004,$C$3,考勤工资!$Y$5:$Y$1004,"&gt;="&amp;_辅助!$J$4,考勤工资!$Y$5:$Y$1004,"&lt;="&amp;_辅助!$J$2)+SUMIFS(考勤工资!$AF$5:$AF$1004,考勤工资!$C$5:$C$1004,往来单位!$B$30,考勤工资!$J$5:$J$1004,$C$3,考勤工资!$Y$5:$Y$1004,"&gt;="&amp;_辅助!$J$4,考勤工资!$Y$5:$Y$1004,"&lt;="&amp;_辅助!$J$2))</f>
        <v>0</v>
      </c>
      <c r="BE27" s="2">
        <f>SUM(CB1:CB27)</f>
        <v>0</v>
      </c>
      <c r="BF27" s="2">
        <f>IF(AND($AF$3&gt;0,发票登记!$T$30=$C$3,ISNUMBER(发票登记!$X$30),发票登记!$AB$30&lt;&gt;0,发票登记!$Y$30&gt;=_辅助!$J$4,发票登记!$Y$30&lt;=_辅助!$J$2),INT(发票登记!$X$30)*10000+26,"")</f>
      </c>
      <c r="BG27" s="2">
        <f>IF(AND($AF$3&gt;0,资金流水!$H$31=$C$3,ISNUMBER(资金流水!$B$31),ISNUMBER(资金流水!$S$31),资金流水!$S$31&gt;=_辅助!$J$4,资金流水!$S$31&lt;=_辅助!$J$2),INT(资金流水!$B$31)*10000+26,"")</f>
      </c>
      <c r="CA27" s="2">
        <f t="shared" si="0"/>
        <v>0</v>
      </c>
      <c r="CB27" s="2">
        <f t="shared" si="1"/>
        <v>0</v>
      </c>
    </row>
    <row r="28">
      <c r="I28" s="4" t="inlineStr">
        <is>
          <t>异地预缴增值税（按累计收款估）</t>
        </is>
      </c>
      <c r="J28" s="73">
        <f>IF($AF$3=0,"",ROUND(IF($AF$3=0,0,INDEX(应收账款总表!$G$6:$G$65,$AF$3))/(1+IF(ISNUMBER(IF($AF$3=0,"",INDEX(项目档案!$J$4:$J$63,$AF$3))),IF($AF$3=0,"",INDEX(项目档案!$J$4:$J$63,$AF$3)),基础资料!$AF$5))*基础资料!$AF$8,2))</f>
        <v>0</v>
      </c>
      <c r="BA28" s="2">
        <f>IF(OR(往来单位!$B$31="",$AF$3=0),0,SUMIFS(期初余额!$R$5:$R$204,期初余额!$P$5:$P$204,往来单位!$B$31,期初余额!$Q$5:$Q$204,$C$3)+SUMIFS(应付登记!$G$5:$G$1004,应付登记!$D$5:$D$1004,往来单位!$B$31,应付登记!$E$5:$E$1004,$C$3,应付登记!$J$5:$J$1004,"&gt;="&amp;_辅助!$J$4,应付登记!$J$5:$J$1004,"&lt;="&amp;_辅助!$J$2))</f>
        <v>0</v>
      </c>
      <c r="BB28" s="2">
        <f>SUM(CA1:CA28)</f>
        <v>1</v>
      </c>
      <c r="BC28" s="2">
        <f>IF(OR(往来单位!$B$31="",$AF$3=0,NOT(OR(往来单位!$C$31="管理人员",往来单位!$C$31="工人"))),0,SUMIFS(考勤工资!$E$5:$E$1004,考勤工资!$C$5:$C$1004,往来单位!$B$31,考勤工资!$D$5:$D$1004,$C$3,考勤工资!$Y$5:$Y$1004,"&gt;="&amp;_辅助!$J$4,考勤工资!$Y$5:$Y$1004,"&lt;="&amp;_辅助!$J$2)+SUMIFS(考勤工资!$G$5:$G$1004,考勤工资!$C$5:$C$1004,往来单位!$B$31,考勤工资!$F$5:$F$1004,$C$3,考勤工资!$Y$5:$Y$1004,"&gt;="&amp;_辅助!$J$4,考勤工资!$Y$5:$Y$1004,"&lt;="&amp;_辅助!$J$2)+SUMIFS(考勤工资!$I$5:$I$1004,考勤工资!$C$5:$C$1004,往来单位!$B$31,考勤工资!$H$5:$H$1004,$C$3,考勤工资!$Y$5:$Y$1004,"&gt;="&amp;_辅助!$J$4,考勤工资!$Y$5:$Y$1004,"&lt;="&amp;_辅助!$J$2)+SUMIFS(考勤工资!$K$5:$K$1004,考勤工资!$C$5:$C$1004,往来单位!$B$31,考勤工资!$J$5:$J$1004,$C$3,考勤工资!$Y$5:$Y$1004,"&gt;="&amp;_辅助!$J$4,考勤工资!$Y$5:$Y$1004,"&lt;="&amp;_辅助!$J$2))</f>
        <v>0</v>
      </c>
      <c r="BD28" s="2">
        <f>IF(BC28=0,0,SUMIFS(考勤工资!$AC$5:$AC$1004,考勤工资!$C$5:$C$1004,往来单位!$B$31,考勤工资!$D$5:$D$1004,$C$3,考勤工资!$Y$5:$Y$1004,"&gt;="&amp;_辅助!$J$4,考勤工资!$Y$5:$Y$1004,"&lt;="&amp;_辅助!$J$2)+SUMIFS(考勤工资!$AD$5:$AD$1004,考勤工资!$C$5:$C$1004,往来单位!$B$31,考勤工资!$F$5:$F$1004,$C$3,考勤工资!$Y$5:$Y$1004,"&gt;="&amp;_辅助!$J$4,考勤工资!$Y$5:$Y$1004,"&lt;="&amp;_辅助!$J$2)+SUMIFS(考勤工资!$AE$5:$AE$1004,考勤工资!$C$5:$C$1004,往来单位!$B$31,考勤工资!$H$5:$H$1004,$C$3,考勤工资!$Y$5:$Y$1004,"&gt;="&amp;_辅助!$J$4,考勤工资!$Y$5:$Y$1004,"&lt;="&amp;_辅助!$J$2)+SUMIFS(考勤工资!$AF$5:$AF$1004,考勤工资!$C$5:$C$1004,往来单位!$B$31,考勤工资!$J$5:$J$1004,$C$3,考勤工资!$Y$5:$Y$1004,"&gt;="&amp;_辅助!$J$4,考勤工资!$Y$5:$Y$1004,"&lt;="&amp;_辅助!$J$2))</f>
        <v>0</v>
      </c>
      <c r="BE28" s="2">
        <f>SUM(CB1:CB28)</f>
        <v>0</v>
      </c>
      <c r="BF28" s="2">
        <f>IF(AND($AF$3&gt;0,发票登记!$T$31=$C$3,ISNUMBER(发票登记!$X$31),发票登记!$AB$31&lt;&gt;0,发票登记!$Y$31&gt;=_辅助!$J$4,发票登记!$Y$31&lt;=_辅助!$J$2),INT(发票登记!$X$31)*10000+27,"")</f>
      </c>
      <c r="BG28" s="2">
        <f>IF(AND($AF$3&gt;0,资金流水!$H$32=$C$3,ISNUMBER(资金流水!$B$32),ISNUMBER(资金流水!$S$32),资金流水!$S$32&gt;=_辅助!$J$4,资金流水!$S$32&lt;=_辅助!$J$2),INT(资金流水!$B$32)*10000+27,"")</f>
      </c>
      <c r="CA28" s="2">
        <f t="shared" si="0"/>
        <v>0</v>
      </c>
      <c r="CB28" s="2">
        <f t="shared" si="1"/>
        <v>0</v>
      </c>
    </row>
    <row r="29">
      <c r="BA29" s="2">
        <f>IF(OR(往来单位!$B$32="",$AF$3=0),0,SUMIFS(期初余额!$R$5:$R$204,期初余额!$P$5:$P$204,往来单位!$B$32,期初余额!$Q$5:$Q$204,$C$3)+SUMIFS(应付登记!$G$5:$G$1004,应付登记!$D$5:$D$1004,往来单位!$B$32,应付登记!$E$5:$E$1004,$C$3,应付登记!$J$5:$J$1004,"&gt;="&amp;_辅助!$J$4,应付登记!$J$5:$J$1004,"&lt;="&amp;_辅助!$J$2))</f>
        <v>0</v>
      </c>
      <c r="BB29" s="2">
        <f>SUM(CA1:CA29)</f>
        <v>1</v>
      </c>
      <c r="BC29" s="2">
        <f>IF(OR(往来单位!$B$32="",$AF$3=0,NOT(OR(往来单位!$C$32="管理人员",往来单位!$C$32="工人"))),0,SUMIFS(考勤工资!$E$5:$E$1004,考勤工资!$C$5:$C$1004,往来单位!$B$32,考勤工资!$D$5:$D$1004,$C$3,考勤工资!$Y$5:$Y$1004,"&gt;="&amp;_辅助!$J$4,考勤工资!$Y$5:$Y$1004,"&lt;="&amp;_辅助!$J$2)+SUMIFS(考勤工资!$G$5:$G$1004,考勤工资!$C$5:$C$1004,往来单位!$B$32,考勤工资!$F$5:$F$1004,$C$3,考勤工资!$Y$5:$Y$1004,"&gt;="&amp;_辅助!$J$4,考勤工资!$Y$5:$Y$1004,"&lt;="&amp;_辅助!$J$2)+SUMIFS(考勤工资!$I$5:$I$1004,考勤工资!$C$5:$C$1004,往来单位!$B$32,考勤工资!$H$5:$H$1004,$C$3,考勤工资!$Y$5:$Y$1004,"&gt;="&amp;_辅助!$J$4,考勤工资!$Y$5:$Y$1004,"&lt;="&amp;_辅助!$J$2)+SUMIFS(考勤工资!$K$5:$K$1004,考勤工资!$C$5:$C$1004,往来单位!$B$32,考勤工资!$J$5:$J$1004,$C$3,考勤工资!$Y$5:$Y$1004,"&gt;="&amp;_辅助!$J$4,考勤工资!$Y$5:$Y$1004,"&lt;="&amp;_辅助!$J$2))</f>
        <v>0</v>
      </c>
      <c r="BD29" s="2">
        <f>IF(BC29=0,0,SUMIFS(考勤工资!$AC$5:$AC$1004,考勤工资!$C$5:$C$1004,往来单位!$B$32,考勤工资!$D$5:$D$1004,$C$3,考勤工资!$Y$5:$Y$1004,"&gt;="&amp;_辅助!$J$4,考勤工资!$Y$5:$Y$1004,"&lt;="&amp;_辅助!$J$2)+SUMIFS(考勤工资!$AD$5:$AD$1004,考勤工资!$C$5:$C$1004,往来单位!$B$32,考勤工资!$F$5:$F$1004,$C$3,考勤工资!$Y$5:$Y$1004,"&gt;="&amp;_辅助!$J$4,考勤工资!$Y$5:$Y$1004,"&lt;="&amp;_辅助!$J$2)+SUMIFS(考勤工资!$AE$5:$AE$1004,考勤工资!$C$5:$C$1004,往来单位!$B$32,考勤工资!$H$5:$H$1004,$C$3,考勤工资!$Y$5:$Y$1004,"&gt;="&amp;_辅助!$J$4,考勤工资!$Y$5:$Y$1004,"&lt;="&amp;_辅助!$J$2)+SUMIFS(考勤工资!$AF$5:$AF$1004,考勤工资!$C$5:$C$1004,往来单位!$B$32,考勤工资!$J$5:$J$1004,$C$3,考勤工资!$Y$5:$Y$1004,"&gt;="&amp;_辅助!$J$4,考勤工资!$Y$5:$Y$1004,"&lt;="&amp;_辅助!$J$2))</f>
        <v>0</v>
      </c>
      <c r="BE29" s="2">
        <f>SUM(CB1:CB29)</f>
        <v>0</v>
      </c>
      <c r="BF29" s="2">
        <f>IF(AND($AF$3&gt;0,发票登记!$T$32=$C$3,ISNUMBER(发票登记!$X$32),发票登记!$AB$32&lt;&gt;0,发票登记!$Y$32&gt;=_辅助!$J$4,发票登记!$Y$32&lt;=_辅助!$J$2),INT(发票登记!$X$32)*10000+28,"")</f>
      </c>
      <c r="BG29" s="2">
        <f>IF(AND($AF$3&gt;0,资金流水!$H$33=$C$3,ISNUMBER(资金流水!$B$33),ISNUMBER(资金流水!$S$33),资金流水!$S$33&gt;=_辅助!$J$4,资金流水!$S$33&lt;=_辅助!$J$2),INT(资金流水!$B$33)*10000+28,"")</f>
      </c>
      <c r="CA29" s="2">
        <f t="shared" si="0"/>
        <v>0</v>
      </c>
      <c r="CB29" s="2">
        <f t="shared" si="1"/>
        <v>0</v>
      </c>
    </row>
    <row r="30">
      <c r="BA30" s="2">
        <f>IF(OR(往来单位!$B$33="",$AF$3=0),0,SUMIFS(期初余额!$R$5:$R$204,期初余额!$P$5:$P$204,往来单位!$B$33,期初余额!$Q$5:$Q$204,$C$3)+SUMIFS(应付登记!$G$5:$G$1004,应付登记!$D$5:$D$1004,往来单位!$B$33,应付登记!$E$5:$E$1004,$C$3,应付登记!$J$5:$J$1004,"&gt;="&amp;_辅助!$J$4,应付登记!$J$5:$J$1004,"&lt;="&amp;_辅助!$J$2))</f>
        <v>0</v>
      </c>
      <c r="BB30" s="2">
        <f>SUM(CA1:CA30)</f>
        <v>1</v>
      </c>
      <c r="BC30" s="2">
        <f>IF(OR(往来单位!$B$33="",$AF$3=0,NOT(OR(往来单位!$C$33="管理人员",往来单位!$C$33="工人"))),0,SUMIFS(考勤工资!$E$5:$E$1004,考勤工资!$C$5:$C$1004,往来单位!$B$33,考勤工资!$D$5:$D$1004,$C$3,考勤工资!$Y$5:$Y$1004,"&gt;="&amp;_辅助!$J$4,考勤工资!$Y$5:$Y$1004,"&lt;="&amp;_辅助!$J$2)+SUMIFS(考勤工资!$G$5:$G$1004,考勤工资!$C$5:$C$1004,往来单位!$B$33,考勤工资!$F$5:$F$1004,$C$3,考勤工资!$Y$5:$Y$1004,"&gt;="&amp;_辅助!$J$4,考勤工资!$Y$5:$Y$1004,"&lt;="&amp;_辅助!$J$2)+SUMIFS(考勤工资!$I$5:$I$1004,考勤工资!$C$5:$C$1004,往来单位!$B$33,考勤工资!$H$5:$H$1004,$C$3,考勤工资!$Y$5:$Y$1004,"&gt;="&amp;_辅助!$J$4,考勤工资!$Y$5:$Y$1004,"&lt;="&amp;_辅助!$J$2)+SUMIFS(考勤工资!$K$5:$K$1004,考勤工资!$C$5:$C$1004,往来单位!$B$33,考勤工资!$J$5:$J$1004,$C$3,考勤工资!$Y$5:$Y$1004,"&gt;="&amp;_辅助!$J$4,考勤工资!$Y$5:$Y$1004,"&lt;="&amp;_辅助!$J$2))</f>
        <v>0</v>
      </c>
      <c r="BD30" s="2">
        <f>IF(BC30=0,0,SUMIFS(考勤工资!$AC$5:$AC$1004,考勤工资!$C$5:$C$1004,往来单位!$B$33,考勤工资!$D$5:$D$1004,$C$3,考勤工资!$Y$5:$Y$1004,"&gt;="&amp;_辅助!$J$4,考勤工资!$Y$5:$Y$1004,"&lt;="&amp;_辅助!$J$2)+SUMIFS(考勤工资!$AD$5:$AD$1004,考勤工资!$C$5:$C$1004,往来单位!$B$33,考勤工资!$F$5:$F$1004,$C$3,考勤工资!$Y$5:$Y$1004,"&gt;="&amp;_辅助!$J$4,考勤工资!$Y$5:$Y$1004,"&lt;="&amp;_辅助!$J$2)+SUMIFS(考勤工资!$AE$5:$AE$1004,考勤工资!$C$5:$C$1004,往来单位!$B$33,考勤工资!$H$5:$H$1004,$C$3,考勤工资!$Y$5:$Y$1004,"&gt;="&amp;_辅助!$J$4,考勤工资!$Y$5:$Y$1004,"&lt;="&amp;_辅助!$J$2)+SUMIFS(考勤工资!$AF$5:$AF$1004,考勤工资!$C$5:$C$1004,往来单位!$B$33,考勤工资!$J$5:$J$1004,$C$3,考勤工资!$Y$5:$Y$1004,"&gt;="&amp;_辅助!$J$4,考勤工资!$Y$5:$Y$1004,"&lt;="&amp;_辅助!$J$2))</f>
        <v>0</v>
      </c>
      <c r="BE30" s="2">
        <f>SUM(CB1:CB30)</f>
        <v>0</v>
      </c>
      <c r="BF30" s="2">
        <f>IF(AND($AF$3&gt;0,发票登记!$T$33=$C$3,ISNUMBER(发票登记!$X$33),发票登记!$AB$33&lt;&gt;0,发票登记!$Y$33&gt;=_辅助!$J$4,发票登记!$Y$33&lt;=_辅助!$J$2),INT(发票登记!$X$33)*10000+29,"")</f>
      </c>
      <c r="BG30" s="2">
        <f>IF(AND($AF$3&gt;0,资金流水!$H$34=$C$3,ISNUMBER(资金流水!$B$34),ISNUMBER(资金流水!$S$34),资金流水!$S$34&gt;=_辅助!$J$4,资金流水!$S$34&lt;=_辅助!$J$2),INT(资金流水!$B$34)*10000+29,"")</f>
      </c>
      <c r="CA30" s="2">
        <f t="shared" si="0"/>
        <v>0</v>
      </c>
      <c r="CB30" s="2">
        <f t="shared" si="1"/>
        <v>0</v>
      </c>
    </row>
    <row r="31">
      <c r="BA31" s="2">
        <f>IF(OR(往来单位!$B$34="",$AF$3=0),0,SUMIFS(期初余额!$R$5:$R$204,期初余额!$P$5:$P$204,往来单位!$B$34,期初余额!$Q$5:$Q$204,$C$3)+SUMIFS(应付登记!$G$5:$G$1004,应付登记!$D$5:$D$1004,往来单位!$B$34,应付登记!$E$5:$E$1004,$C$3,应付登记!$J$5:$J$1004,"&gt;="&amp;_辅助!$J$4,应付登记!$J$5:$J$1004,"&lt;="&amp;_辅助!$J$2))</f>
        <v>0</v>
      </c>
      <c r="BB31" s="2">
        <f>SUM(CA1:CA31)</f>
        <v>1</v>
      </c>
      <c r="BC31" s="2">
        <f>IF(OR(往来单位!$B$34="",$AF$3=0,NOT(OR(往来单位!$C$34="管理人员",往来单位!$C$34="工人"))),0,SUMIFS(考勤工资!$E$5:$E$1004,考勤工资!$C$5:$C$1004,往来单位!$B$34,考勤工资!$D$5:$D$1004,$C$3,考勤工资!$Y$5:$Y$1004,"&gt;="&amp;_辅助!$J$4,考勤工资!$Y$5:$Y$1004,"&lt;="&amp;_辅助!$J$2)+SUMIFS(考勤工资!$G$5:$G$1004,考勤工资!$C$5:$C$1004,往来单位!$B$34,考勤工资!$F$5:$F$1004,$C$3,考勤工资!$Y$5:$Y$1004,"&gt;="&amp;_辅助!$J$4,考勤工资!$Y$5:$Y$1004,"&lt;="&amp;_辅助!$J$2)+SUMIFS(考勤工资!$I$5:$I$1004,考勤工资!$C$5:$C$1004,往来单位!$B$34,考勤工资!$H$5:$H$1004,$C$3,考勤工资!$Y$5:$Y$1004,"&gt;="&amp;_辅助!$J$4,考勤工资!$Y$5:$Y$1004,"&lt;="&amp;_辅助!$J$2)+SUMIFS(考勤工资!$K$5:$K$1004,考勤工资!$C$5:$C$1004,往来单位!$B$34,考勤工资!$J$5:$J$1004,$C$3,考勤工资!$Y$5:$Y$1004,"&gt;="&amp;_辅助!$J$4,考勤工资!$Y$5:$Y$1004,"&lt;="&amp;_辅助!$J$2))</f>
        <v>0</v>
      </c>
      <c r="BD31" s="2">
        <f>IF(BC31=0,0,SUMIFS(考勤工资!$AC$5:$AC$1004,考勤工资!$C$5:$C$1004,往来单位!$B$34,考勤工资!$D$5:$D$1004,$C$3,考勤工资!$Y$5:$Y$1004,"&gt;="&amp;_辅助!$J$4,考勤工资!$Y$5:$Y$1004,"&lt;="&amp;_辅助!$J$2)+SUMIFS(考勤工资!$AD$5:$AD$1004,考勤工资!$C$5:$C$1004,往来单位!$B$34,考勤工资!$F$5:$F$1004,$C$3,考勤工资!$Y$5:$Y$1004,"&gt;="&amp;_辅助!$J$4,考勤工资!$Y$5:$Y$1004,"&lt;="&amp;_辅助!$J$2)+SUMIFS(考勤工资!$AE$5:$AE$1004,考勤工资!$C$5:$C$1004,往来单位!$B$34,考勤工资!$H$5:$H$1004,$C$3,考勤工资!$Y$5:$Y$1004,"&gt;="&amp;_辅助!$J$4,考勤工资!$Y$5:$Y$1004,"&lt;="&amp;_辅助!$J$2)+SUMIFS(考勤工资!$AF$5:$AF$1004,考勤工资!$C$5:$C$1004,往来单位!$B$34,考勤工资!$J$5:$J$1004,$C$3,考勤工资!$Y$5:$Y$1004,"&gt;="&amp;_辅助!$J$4,考勤工资!$Y$5:$Y$1004,"&lt;="&amp;_辅助!$J$2))</f>
        <v>0</v>
      </c>
      <c r="BE31" s="2">
        <f>SUM(CB1:CB31)</f>
        <v>0</v>
      </c>
      <c r="BF31" s="2">
        <f>IF(AND($AF$3&gt;0,发票登记!$T$34=$C$3,ISNUMBER(发票登记!$X$34),发票登记!$AB$34&lt;&gt;0,发票登记!$Y$34&gt;=_辅助!$J$4,发票登记!$Y$34&lt;=_辅助!$J$2),INT(发票登记!$X$34)*10000+30,"")</f>
      </c>
      <c r="BG31" s="2">
        <f>IF(AND($AF$3&gt;0,资金流水!$H$35=$C$3,ISNUMBER(资金流水!$B$35),ISNUMBER(资金流水!$S$35),资金流水!$S$35&gt;=_辅助!$J$4,资金流水!$S$35&lt;=_辅助!$J$2),INT(资金流水!$B$35)*10000+30,"")</f>
      </c>
      <c r="CA31" s="2">
        <f t="shared" si="0"/>
        <v>0</v>
      </c>
      <c r="CB31" s="2">
        <f t="shared" si="1"/>
        <v>0</v>
      </c>
    </row>
    <row r="32">
      <c r="BA32" s="2">
        <f>IF(OR(往来单位!$B$35="",$AF$3=0),0,SUMIFS(期初余额!$R$5:$R$204,期初余额!$P$5:$P$204,往来单位!$B$35,期初余额!$Q$5:$Q$204,$C$3)+SUMIFS(应付登记!$G$5:$G$1004,应付登记!$D$5:$D$1004,往来单位!$B$35,应付登记!$E$5:$E$1004,$C$3,应付登记!$J$5:$J$1004,"&gt;="&amp;_辅助!$J$4,应付登记!$J$5:$J$1004,"&lt;="&amp;_辅助!$J$2))</f>
        <v>0</v>
      </c>
      <c r="BB32" s="2">
        <f>SUM(CA1:CA32)</f>
        <v>1</v>
      </c>
      <c r="BC32" s="2">
        <f>IF(OR(往来单位!$B$35="",$AF$3=0,NOT(OR(往来单位!$C$35="管理人员",往来单位!$C$35="工人"))),0,SUMIFS(考勤工资!$E$5:$E$1004,考勤工资!$C$5:$C$1004,往来单位!$B$35,考勤工资!$D$5:$D$1004,$C$3,考勤工资!$Y$5:$Y$1004,"&gt;="&amp;_辅助!$J$4,考勤工资!$Y$5:$Y$1004,"&lt;="&amp;_辅助!$J$2)+SUMIFS(考勤工资!$G$5:$G$1004,考勤工资!$C$5:$C$1004,往来单位!$B$35,考勤工资!$F$5:$F$1004,$C$3,考勤工资!$Y$5:$Y$1004,"&gt;="&amp;_辅助!$J$4,考勤工资!$Y$5:$Y$1004,"&lt;="&amp;_辅助!$J$2)+SUMIFS(考勤工资!$I$5:$I$1004,考勤工资!$C$5:$C$1004,往来单位!$B$35,考勤工资!$H$5:$H$1004,$C$3,考勤工资!$Y$5:$Y$1004,"&gt;="&amp;_辅助!$J$4,考勤工资!$Y$5:$Y$1004,"&lt;="&amp;_辅助!$J$2)+SUMIFS(考勤工资!$K$5:$K$1004,考勤工资!$C$5:$C$1004,往来单位!$B$35,考勤工资!$J$5:$J$1004,$C$3,考勤工资!$Y$5:$Y$1004,"&gt;="&amp;_辅助!$J$4,考勤工资!$Y$5:$Y$1004,"&lt;="&amp;_辅助!$J$2))</f>
        <v>0</v>
      </c>
      <c r="BD32" s="2">
        <f>IF(BC32=0,0,SUMIFS(考勤工资!$AC$5:$AC$1004,考勤工资!$C$5:$C$1004,往来单位!$B$35,考勤工资!$D$5:$D$1004,$C$3,考勤工资!$Y$5:$Y$1004,"&gt;="&amp;_辅助!$J$4,考勤工资!$Y$5:$Y$1004,"&lt;="&amp;_辅助!$J$2)+SUMIFS(考勤工资!$AD$5:$AD$1004,考勤工资!$C$5:$C$1004,往来单位!$B$35,考勤工资!$F$5:$F$1004,$C$3,考勤工资!$Y$5:$Y$1004,"&gt;="&amp;_辅助!$J$4,考勤工资!$Y$5:$Y$1004,"&lt;="&amp;_辅助!$J$2)+SUMIFS(考勤工资!$AE$5:$AE$1004,考勤工资!$C$5:$C$1004,往来单位!$B$35,考勤工资!$H$5:$H$1004,$C$3,考勤工资!$Y$5:$Y$1004,"&gt;="&amp;_辅助!$J$4,考勤工资!$Y$5:$Y$1004,"&lt;="&amp;_辅助!$J$2)+SUMIFS(考勤工资!$AF$5:$AF$1004,考勤工资!$C$5:$C$1004,往来单位!$B$35,考勤工资!$J$5:$J$1004,$C$3,考勤工资!$Y$5:$Y$1004,"&gt;="&amp;_辅助!$J$4,考勤工资!$Y$5:$Y$1004,"&lt;="&amp;_辅助!$J$2))</f>
        <v>0</v>
      </c>
      <c r="BE32" s="2">
        <f>SUM(CB1:CB32)</f>
        <v>0</v>
      </c>
      <c r="BF32" s="2">
        <f>IF(AND($AF$3&gt;0,发票登记!$T$35=$C$3,ISNUMBER(发票登记!$X$35),发票登记!$AB$35&lt;&gt;0,发票登记!$Y$35&gt;=_辅助!$J$4,发票登记!$Y$35&lt;=_辅助!$J$2),INT(发票登记!$X$35)*10000+31,"")</f>
      </c>
      <c r="BG32" s="2">
        <f>IF(AND($AF$3&gt;0,资金流水!$H$36=$C$3,ISNUMBER(资金流水!$B$36),ISNUMBER(资金流水!$S$36),资金流水!$S$36&gt;=_辅助!$J$4,资金流水!$S$36&lt;=_辅助!$J$2),INT(资金流水!$B$36)*10000+31,"")</f>
      </c>
      <c r="CA32" s="2">
        <f t="shared" si="0"/>
        <v>0</v>
      </c>
      <c r="CB32" s="2">
        <f t="shared" si="1"/>
        <v>0</v>
      </c>
    </row>
    <row r="33">
      <c r="B33" s="134" t="inlineStr">
        <is>
          <t>下面清单合计 →</t>
        </is>
      </c>
      <c r="C33" s="77">
        <f>SUM(C36:C95)</f>
        <v>1346.94</v>
      </c>
      <c r="D33" s="77">
        <f>SUM(D36:D95)</f>
        <v>1267</v>
      </c>
      <c r="E33" s="77">
        <f>SUM(E36:E95)</f>
        <v>79.9400000000001</v>
      </c>
      <c r="F33" s="77">
        <f>SUM(F36:F95)</f>
        <v>1346.94</v>
      </c>
      <c r="G33" s="77">
        <f>SUM(G36:G95)</f>
        <v>0</v>
      </c>
      <c r="J33" s="77">
        <f>SUM(J36:J115)</f>
        <v>0</v>
      </c>
      <c r="S33" s="77" t="str">
        <f>"销项 "&amp;TEXT(SUMIFS(T36:T115,R36:R115,"销项"),"#,##0.00")</f>
        <v>销项 8,992.00</v>
      </c>
      <c r="T33" s="77" t="str">
        <f>"进项 "&amp;TEXT(SUMIFS(T36:T115,R36:R115,"进项"),"#,##0.00")</f>
        <v>进项 1,346.94</v>
      </c>
      <c r="W33" s="90">
        <f>IF($BB$300&gt;60,"⚠ 单位超过60家 ","")&amp;IF($BE$300&gt;80,"⚠ 人超过80个 ","")&amp;IF($BF$1&gt;80,"⚠ 发票超过80张 ","")&amp;IF($BG$1&gt;300,"⚠ 流水超过300笔（只列前面的）","")</f>
      </c>
      <c r="Z33" s="77">
        <f>SUM(Z36:Z335)</f>
        <v>0</v>
      </c>
      <c r="AA33" s="77">
        <f>SUM(AA36:AA335)</f>
        <v>1280</v>
      </c>
      <c r="BA33" s="2">
        <f>IF(OR(往来单位!$B$36="",$AF$3=0),0,SUMIFS(期初余额!$R$5:$R$204,期初余额!$P$5:$P$204,往来单位!$B$36,期初余额!$Q$5:$Q$204,$C$3)+SUMIFS(应付登记!$G$5:$G$1004,应付登记!$D$5:$D$1004,往来单位!$B$36,应付登记!$E$5:$E$1004,$C$3,应付登记!$J$5:$J$1004,"&gt;="&amp;_辅助!$J$4,应付登记!$J$5:$J$1004,"&lt;="&amp;_辅助!$J$2))</f>
        <v>0</v>
      </c>
      <c r="BB33" s="2">
        <f>SUM(CA1:CA33)</f>
        <v>1</v>
      </c>
      <c r="BC33" s="2">
        <f>IF(OR(往来单位!$B$36="",$AF$3=0,NOT(OR(往来单位!$C$36="管理人员",往来单位!$C$36="工人"))),0,SUMIFS(考勤工资!$E$5:$E$1004,考勤工资!$C$5:$C$1004,往来单位!$B$36,考勤工资!$D$5:$D$1004,$C$3,考勤工资!$Y$5:$Y$1004,"&gt;="&amp;_辅助!$J$4,考勤工资!$Y$5:$Y$1004,"&lt;="&amp;_辅助!$J$2)+SUMIFS(考勤工资!$G$5:$G$1004,考勤工资!$C$5:$C$1004,往来单位!$B$36,考勤工资!$F$5:$F$1004,$C$3,考勤工资!$Y$5:$Y$1004,"&gt;="&amp;_辅助!$J$4,考勤工资!$Y$5:$Y$1004,"&lt;="&amp;_辅助!$J$2)+SUMIFS(考勤工资!$I$5:$I$1004,考勤工资!$C$5:$C$1004,往来单位!$B$36,考勤工资!$H$5:$H$1004,$C$3,考勤工资!$Y$5:$Y$1004,"&gt;="&amp;_辅助!$J$4,考勤工资!$Y$5:$Y$1004,"&lt;="&amp;_辅助!$J$2)+SUMIFS(考勤工资!$K$5:$K$1004,考勤工资!$C$5:$C$1004,往来单位!$B$36,考勤工资!$J$5:$J$1004,$C$3,考勤工资!$Y$5:$Y$1004,"&gt;="&amp;_辅助!$J$4,考勤工资!$Y$5:$Y$1004,"&lt;="&amp;_辅助!$J$2))</f>
        <v>0</v>
      </c>
      <c r="BD33" s="2">
        <f>IF(BC33=0,0,SUMIFS(考勤工资!$AC$5:$AC$1004,考勤工资!$C$5:$C$1004,往来单位!$B$36,考勤工资!$D$5:$D$1004,$C$3,考勤工资!$Y$5:$Y$1004,"&gt;="&amp;_辅助!$J$4,考勤工资!$Y$5:$Y$1004,"&lt;="&amp;_辅助!$J$2)+SUMIFS(考勤工资!$AD$5:$AD$1004,考勤工资!$C$5:$C$1004,往来单位!$B$36,考勤工资!$F$5:$F$1004,$C$3,考勤工资!$Y$5:$Y$1004,"&gt;="&amp;_辅助!$J$4,考勤工资!$Y$5:$Y$1004,"&lt;="&amp;_辅助!$J$2)+SUMIFS(考勤工资!$AE$5:$AE$1004,考勤工资!$C$5:$C$1004,往来单位!$B$36,考勤工资!$H$5:$H$1004,$C$3,考勤工资!$Y$5:$Y$1004,"&gt;="&amp;_辅助!$J$4,考勤工资!$Y$5:$Y$1004,"&lt;="&amp;_辅助!$J$2)+SUMIFS(考勤工资!$AF$5:$AF$1004,考勤工资!$C$5:$C$1004,往来单位!$B$36,考勤工资!$J$5:$J$1004,$C$3,考勤工资!$Y$5:$Y$1004,"&gt;="&amp;_辅助!$J$4,考勤工资!$Y$5:$Y$1004,"&lt;="&amp;_辅助!$J$2))</f>
        <v>0</v>
      </c>
      <c r="BE33" s="2">
        <f>SUM(CB1:CB33)</f>
        <v>0</v>
      </c>
      <c r="BF33" s="2">
        <f>IF(AND($AF$3&gt;0,发票登记!$T$36=$C$3,ISNUMBER(发票登记!$X$36),发票登记!$AB$36&lt;&gt;0,发票登记!$Y$36&gt;=_辅助!$J$4,发票登记!$Y$36&lt;=_辅助!$J$2),INT(发票登记!$X$36)*10000+32,"")</f>
      </c>
      <c r="BG33" s="2">
        <f>IF(AND($AF$3&gt;0,资金流水!$H$37=$C$3,ISNUMBER(资金流水!$B$37),ISNUMBER(资金流水!$S$37),资金流水!$S$37&gt;=_辅助!$J$4,资金流水!$S$37&lt;=_辅助!$J$2),INT(资金流水!$B$37)*10000+32,"")</f>
      </c>
      <c r="CA33" s="2">
        <f t="shared" si="0"/>
        <v>0</v>
      </c>
      <c r="CB33" s="2">
        <f t="shared" si="1"/>
        <v>0</v>
      </c>
    </row>
    <row r="34">
      <c r="A34" s="39" t="inlineStr">
        <is>
          <t>⑦ 这个项目的材料商、分包、机械（应付汇总）</t>
        </is>
      </c>
      <c r="B34" s="12" t="n"/>
      <c r="C34" s="12" t="n"/>
      <c r="D34" s="12" t="n"/>
      <c r="E34" s="12" t="n"/>
      <c r="F34" s="12" t="n"/>
      <c r="G34" s="12" t="n"/>
      <c r="I34" s="11" t="inlineStr">
        <is>
          <t>⑧ 在这个项目干过活的人（开工至今）</t>
        </is>
      </c>
      <c r="J34" s="12" t="n"/>
      <c r="K34" s="12" t="n"/>
      <c r="L34" s="12" t="n"/>
      <c r="M34" s="12" t="n"/>
      <c r="N34" s="12" t="n"/>
      <c r="O34" s="12" t="n"/>
      <c r="Q34" s="79" t="inlineStr">
        <is>
          <t>⑨ 这个项目的发票</t>
        </is>
      </c>
      <c r="R34" s="12" t="n"/>
      <c r="S34" s="12" t="n"/>
      <c r="T34" s="12" t="n"/>
      <c r="U34" s="12" t="n"/>
      <c r="W34" s="26" t="inlineStr">
        <is>
          <t>⑩ 这个项目的每一笔收支（资金流水里认成这个项目的）</t>
        </is>
      </c>
      <c r="X34" s="12" t="n"/>
      <c r="Y34" s="12" t="n"/>
      <c r="Z34" s="12" t="n"/>
      <c r="AA34" s="12" t="n"/>
      <c r="AB34" s="12" t="n"/>
      <c r="AC34" s="12" t="n"/>
      <c r="AD34" s="12" t="n"/>
      <c r="BA34" s="2">
        <f>IF(OR(往来单位!$B$37="",$AF$3=0),0,SUMIFS(期初余额!$R$5:$R$204,期初余额!$P$5:$P$204,往来单位!$B$37,期初余额!$Q$5:$Q$204,$C$3)+SUMIFS(应付登记!$G$5:$G$1004,应付登记!$D$5:$D$1004,往来单位!$B$37,应付登记!$E$5:$E$1004,$C$3,应付登记!$J$5:$J$1004,"&gt;="&amp;_辅助!$J$4,应付登记!$J$5:$J$1004,"&lt;="&amp;_辅助!$J$2))</f>
        <v>0</v>
      </c>
      <c r="BB34" s="2">
        <f>SUM(CA1:CA34)</f>
        <v>1</v>
      </c>
      <c r="BC34" s="2">
        <f>IF(OR(往来单位!$B$37="",$AF$3=0,NOT(OR(往来单位!$C$37="管理人员",往来单位!$C$37="工人"))),0,SUMIFS(考勤工资!$E$5:$E$1004,考勤工资!$C$5:$C$1004,往来单位!$B$37,考勤工资!$D$5:$D$1004,$C$3,考勤工资!$Y$5:$Y$1004,"&gt;="&amp;_辅助!$J$4,考勤工资!$Y$5:$Y$1004,"&lt;="&amp;_辅助!$J$2)+SUMIFS(考勤工资!$G$5:$G$1004,考勤工资!$C$5:$C$1004,往来单位!$B$37,考勤工资!$F$5:$F$1004,$C$3,考勤工资!$Y$5:$Y$1004,"&gt;="&amp;_辅助!$J$4,考勤工资!$Y$5:$Y$1004,"&lt;="&amp;_辅助!$J$2)+SUMIFS(考勤工资!$I$5:$I$1004,考勤工资!$C$5:$C$1004,往来单位!$B$37,考勤工资!$H$5:$H$1004,$C$3,考勤工资!$Y$5:$Y$1004,"&gt;="&amp;_辅助!$J$4,考勤工资!$Y$5:$Y$1004,"&lt;="&amp;_辅助!$J$2)+SUMIFS(考勤工资!$K$5:$K$1004,考勤工资!$C$5:$C$1004,往来单位!$B$37,考勤工资!$J$5:$J$1004,$C$3,考勤工资!$Y$5:$Y$1004,"&gt;="&amp;_辅助!$J$4,考勤工资!$Y$5:$Y$1004,"&lt;="&amp;_辅助!$J$2))</f>
        <v>0</v>
      </c>
      <c r="BD34" s="2">
        <f>IF(BC34=0,0,SUMIFS(考勤工资!$AC$5:$AC$1004,考勤工资!$C$5:$C$1004,往来单位!$B$37,考勤工资!$D$5:$D$1004,$C$3,考勤工资!$Y$5:$Y$1004,"&gt;="&amp;_辅助!$J$4,考勤工资!$Y$5:$Y$1004,"&lt;="&amp;_辅助!$J$2)+SUMIFS(考勤工资!$AD$5:$AD$1004,考勤工资!$C$5:$C$1004,往来单位!$B$37,考勤工资!$F$5:$F$1004,$C$3,考勤工资!$Y$5:$Y$1004,"&gt;="&amp;_辅助!$J$4,考勤工资!$Y$5:$Y$1004,"&lt;="&amp;_辅助!$J$2)+SUMIFS(考勤工资!$AE$5:$AE$1004,考勤工资!$C$5:$C$1004,往来单位!$B$37,考勤工资!$H$5:$H$1004,$C$3,考勤工资!$Y$5:$Y$1004,"&gt;="&amp;_辅助!$J$4,考勤工资!$Y$5:$Y$1004,"&lt;="&amp;_辅助!$J$2)+SUMIFS(考勤工资!$AF$5:$AF$1004,考勤工资!$C$5:$C$1004,往来单位!$B$37,考勤工资!$J$5:$J$1004,$C$3,考勤工资!$Y$5:$Y$1004,"&gt;="&amp;_辅助!$J$4,考勤工资!$Y$5:$Y$1004,"&lt;="&amp;_辅助!$J$2))</f>
        <v>0</v>
      </c>
      <c r="BE34" s="2">
        <f>SUM(CB1:CB34)</f>
        <v>0</v>
      </c>
      <c r="BF34" s="2">
        <f>IF(AND($AF$3&gt;0,发票登记!$T$37=$C$3,ISNUMBER(发票登记!$X$37),发票登记!$AB$37&lt;&gt;0,发票登记!$Y$37&gt;=_辅助!$J$4,发票登记!$Y$37&lt;=_辅助!$J$2),INT(发票登记!$X$37)*10000+33,"")</f>
      </c>
      <c r="BG34" s="2">
        <f>IF(AND($AF$3&gt;0,资金流水!$H$38=$C$3,ISNUMBER(资金流水!$B$38),ISNUMBER(资金流水!$S$38),资金流水!$S$38&gt;=_辅助!$J$4,资金流水!$S$38&lt;=_辅助!$J$2),INT(资金流水!$B$38)*10000+33,"")</f>
      </c>
      <c r="CA34" s="2">
        <f t="shared" si="0"/>
        <v>0</v>
      </c>
      <c r="CB34" s="2">
        <f t="shared" si="1"/>
        <v>0</v>
      </c>
    </row>
    <row r="35" ht="40" customHeight="1">
      <c r="A35" s="42" t="inlineStr">
        <is>
          <t>序号</t>
        </is>
      </c>
      <c r="B35" s="42" t="inlineStr">
        <is>
          <t>单位</t>
        </is>
      </c>
      <c r="C35" s="42" t="inlineStr">
        <is>
          <t>本项目应付</t>
        </is>
      </c>
      <c r="D35" s="42" t="inlineStr">
        <is>
          <t>本项目已付
（按比例分）</t>
        </is>
      </c>
      <c r="E35" s="42" t="inlineStr">
        <is>
          <t>本项目未付</t>
        </is>
      </c>
      <c r="F35" s="42" t="inlineStr">
        <is>
          <t>本项目收票</t>
        </is>
      </c>
      <c r="G35" s="42" t="inlineStr">
        <is>
          <t>欠票
（应付−收票）</t>
        </is>
      </c>
      <c r="I35" s="116" t="inlineStr">
        <is>
          <t>姓名</t>
        </is>
      </c>
      <c r="J35" s="116" t="inlineStr">
        <is>
          <t>工资</t>
        </is>
      </c>
      <c r="L35" s="116" t="inlineStr">
        <is>
          <t>天数</t>
        </is>
      </c>
      <c r="M35" s="116" t="inlineStr">
        <is>
          <t>平均日工资</t>
        </is>
      </c>
      <c r="N35" s="116" t="inlineStr">
        <is>
          <t>类型</t>
        </is>
      </c>
      <c r="O35" s="116" t="inlineStr">
        <is>
          <t>现在欠他</t>
        </is>
      </c>
      <c r="Q35" s="62" t="inlineStr">
        <is>
          <t>日期</t>
        </is>
      </c>
      <c r="R35" s="62" t="inlineStr">
        <is>
          <t>方向</t>
        </is>
      </c>
      <c r="S35" s="62" t="inlineStr">
        <is>
          <t>对方单位</t>
        </is>
      </c>
      <c r="T35" s="62" t="inlineStr">
        <is>
          <t>价税合计</t>
        </is>
      </c>
      <c r="U35" s="62" t="inlineStr">
        <is>
          <t>税额</t>
        </is>
      </c>
      <c r="W35" s="80" t="inlineStr">
        <is>
          <t>日期</t>
        </is>
      </c>
      <c r="X35" s="80" t="inlineStr">
        <is>
          <t>账户</t>
        </is>
      </c>
      <c r="Y35" s="80" t="inlineStr">
        <is>
          <t>摘要</t>
        </is>
      </c>
      <c r="Z35" s="80" t="inlineStr">
        <is>
          <t>收入</t>
        </is>
      </c>
      <c r="AA35" s="80" t="inlineStr">
        <is>
          <t>支出</t>
        </is>
      </c>
      <c r="AB35" s="80" t="inlineStr">
        <is>
          <t>收支类别</t>
        </is>
      </c>
      <c r="AC35" s="80" t="inlineStr">
        <is>
          <t>单位/人</t>
        </is>
      </c>
      <c r="AD35" s="80" t="inlineStr">
        <is>
          <t>流水序号</t>
        </is>
      </c>
      <c r="BA35" s="2">
        <f>IF(OR(往来单位!$B$38="",$AF$3=0),0,SUMIFS(期初余额!$R$5:$R$204,期初余额!$P$5:$P$204,往来单位!$B$38,期初余额!$Q$5:$Q$204,$C$3)+SUMIFS(应付登记!$G$5:$G$1004,应付登记!$D$5:$D$1004,往来单位!$B$38,应付登记!$E$5:$E$1004,$C$3,应付登记!$J$5:$J$1004,"&gt;="&amp;_辅助!$J$4,应付登记!$J$5:$J$1004,"&lt;="&amp;_辅助!$J$2))</f>
        <v>0</v>
      </c>
      <c r="BB35" s="2">
        <f>SUM(CA1:CA35)</f>
        <v>1</v>
      </c>
      <c r="BC35" s="2">
        <f>IF(OR(往来单位!$B$38="",$AF$3=0,NOT(OR(往来单位!$C$38="管理人员",往来单位!$C$38="工人"))),0,SUMIFS(考勤工资!$E$5:$E$1004,考勤工资!$C$5:$C$1004,往来单位!$B$38,考勤工资!$D$5:$D$1004,$C$3,考勤工资!$Y$5:$Y$1004,"&gt;="&amp;_辅助!$J$4,考勤工资!$Y$5:$Y$1004,"&lt;="&amp;_辅助!$J$2)+SUMIFS(考勤工资!$G$5:$G$1004,考勤工资!$C$5:$C$1004,往来单位!$B$38,考勤工资!$F$5:$F$1004,$C$3,考勤工资!$Y$5:$Y$1004,"&gt;="&amp;_辅助!$J$4,考勤工资!$Y$5:$Y$1004,"&lt;="&amp;_辅助!$J$2)+SUMIFS(考勤工资!$I$5:$I$1004,考勤工资!$C$5:$C$1004,往来单位!$B$38,考勤工资!$H$5:$H$1004,$C$3,考勤工资!$Y$5:$Y$1004,"&gt;="&amp;_辅助!$J$4,考勤工资!$Y$5:$Y$1004,"&lt;="&amp;_辅助!$J$2)+SUMIFS(考勤工资!$K$5:$K$1004,考勤工资!$C$5:$C$1004,往来单位!$B$38,考勤工资!$J$5:$J$1004,$C$3,考勤工资!$Y$5:$Y$1004,"&gt;="&amp;_辅助!$J$4,考勤工资!$Y$5:$Y$1004,"&lt;="&amp;_辅助!$J$2))</f>
        <v>0</v>
      </c>
      <c r="BD35" s="2">
        <f>IF(BC35=0,0,SUMIFS(考勤工资!$AC$5:$AC$1004,考勤工资!$C$5:$C$1004,往来单位!$B$38,考勤工资!$D$5:$D$1004,$C$3,考勤工资!$Y$5:$Y$1004,"&gt;="&amp;_辅助!$J$4,考勤工资!$Y$5:$Y$1004,"&lt;="&amp;_辅助!$J$2)+SUMIFS(考勤工资!$AD$5:$AD$1004,考勤工资!$C$5:$C$1004,往来单位!$B$38,考勤工资!$F$5:$F$1004,$C$3,考勤工资!$Y$5:$Y$1004,"&gt;="&amp;_辅助!$J$4,考勤工资!$Y$5:$Y$1004,"&lt;="&amp;_辅助!$J$2)+SUMIFS(考勤工资!$AE$5:$AE$1004,考勤工资!$C$5:$C$1004,往来单位!$B$38,考勤工资!$H$5:$H$1004,$C$3,考勤工资!$Y$5:$Y$1004,"&gt;="&amp;_辅助!$J$4,考勤工资!$Y$5:$Y$1004,"&lt;="&amp;_辅助!$J$2)+SUMIFS(考勤工资!$AF$5:$AF$1004,考勤工资!$C$5:$C$1004,往来单位!$B$38,考勤工资!$J$5:$J$1004,$C$3,考勤工资!$Y$5:$Y$1004,"&gt;="&amp;_辅助!$J$4,考勤工资!$Y$5:$Y$1004,"&lt;="&amp;_辅助!$J$2))</f>
        <v>0</v>
      </c>
      <c r="BE35" s="2">
        <f>SUM(CB1:CB35)</f>
        <v>0</v>
      </c>
      <c r="BF35" s="2">
        <f>IF(AND($AF$3&gt;0,发票登记!$T$38=$C$3,ISNUMBER(发票登记!$X$38),发票登记!$AB$38&lt;&gt;0,发票登记!$Y$38&gt;=_辅助!$J$4,发票登记!$Y$38&lt;=_辅助!$J$2),INT(发票登记!$X$38)*10000+34,"")</f>
      </c>
      <c r="BG35" s="2">
        <f>IF(AND($AF$3&gt;0,资金流水!$H$39=$C$3,ISNUMBER(资金流水!$B$39),ISNUMBER(资金流水!$S$39),资金流水!$S$39&gt;=_辅助!$J$4,资金流水!$S$39&lt;=_辅助!$J$2),INT(资金流水!$B$39)*10000+34,"")</f>
      </c>
      <c r="CA35" s="2">
        <f t="shared" si="0"/>
        <v>0</v>
      </c>
      <c r="CB35" s="2">
        <f t="shared" si="1"/>
        <v>0</v>
      </c>
    </row>
    <row r="36">
      <c r="A36" s="94">
        <f>IF($AZ36=0,"",1)</f>
        <v>1</v>
      </c>
      <c r="B36" s="96" t="str">
        <f t="shared" ref="B36:B95" si="18">IF($AZ36=0,"",INDEX(往来单位!$B$4:$B$303,$AZ36))</f>
        <v>筑强</v>
      </c>
      <c r="C36" s="21">
        <f t="shared" ref="C36:C95" si="4">IF($AZ36=0,"",INDEX($BA$1:$BA$300,$AZ36))</f>
        <v>546.94</v>
      </c>
      <c r="D36" s="21">
        <f t="shared" ref="D36:D95" si="15">IF($AZ36=0,"",IF(N(INDEX(_余额!$G$3:$G$302,$AZ36))=0,0,ROUND(C36*INDEX(_余额!$H$3:$H$302,$AZ36)/INDEX(_余额!$G$3:$G$302,$AZ36),2)))</f>
        <v>467</v>
      </c>
      <c r="E36" s="21">
        <f t="shared" ref="E36:E95" si="2">IF($AZ36=0,"",C36-D36)</f>
        <v>79.9400000000001</v>
      </c>
      <c r="F36" s="21">
        <f t="shared" ref="F36:F95" si="17">IF($AZ36=0,"",SUMIFS(期初余额!$T$5:$T$204,期初余额!$P$5:$P$204,$B36,期初余额!$Q$5:$Q$204,$C$3)+SUMIFS(发票登记!$AB$5:$AB$1004,发票登记!$U$5:$U$1004,"进项",发票登记!$V$5:$V$1004,$B36,发票登记!$T$5:$T$1004,$C$3,发票登记!$Y$5:$Y$1004,"&gt;="&amp;_辅助!$J$4,发票登记!$Y$5:$Y$1004,"&lt;="&amp;_辅助!$J$2))</f>
        <v>546.94</v>
      </c>
      <c r="G36" s="21">
        <f t="shared" ref="G36:G95" si="6">IF($AZ36=0,"",C36-F36)</f>
        <v>0</v>
      </c>
      <c r="I36" s="94">
        <f t="shared" ref="I36:I115" si="3">IF($BH36=0,"",INDEX(往来单位!$B$4:$B$303,$BH36))</f>
      </c>
      <c r="J36" s="21">
        <f t="shared" ref="J36:J115" si="5">IF($BH36=0,"",INDEX($BD$1:$BD$300,$BH36))</f>
      </c>
      <c r="K36" s="94" t="n"/>
      <c r="L36" s="135">
        <f t="shared" ref="L36:L115" si="11">IF($BH36=0,"",INDEX($BC$1:$BC$300,$BH36))</f>
      </c>
      <c r="M36" s="136">
        <f t="shared" ref="M36:M115" si="12">IF(OR($BH36=0,N(L36)=0),"",J36/L36)</f>
      </c>
      <c r="N36" s="94">
        <f t="shared" ref="N36:N115" si="13">IF($BH36=0,"",INDEX(往来单位!$C$4:$C$303,$BH36)&amp;"")</f>
      </c>
      <c r="O36" s="21">
        <f t="shared" ref="O36:O115" si="7">IF($BH36=0,"",INDEX(_余额!$E$3:$E$302,$BH36))</f>
      </c>
      <c r="Q36" s="95">
        <f t="shared" ref="Q36:Q115" si="22">IF($BI36=0,"",INDEX(发票登记!$X$5:$X$1004,$BI36))</f>
        <v>46203.0</v>
      </c>
      <c r="R36" s="94" t="str">
        <f t="shared" ref="R36:R115" si="23">IF($BI36=0,"",INDEX(发票登记!$U$5:$U$1004,$BI36)&amp;"")</f>
        <v>进项</v>
      </c>
      <c r="S36" s="96" t="str">
        <f t="shared" ref="S36:S115" si="8">IF($BI36=0,"",INDEX(发票登记!$V$5:$V$1004,$BI36)&amp;"")</f>
        <v>筑强</v>
      </c>
      <c r="T36" s="21">
        <f t="shared" ref="T36:T115" si="10">IF($BI36=0,"",INDEX(发票登记!$AB$5:$AB$1004,$BI36))</f>
        <v>546.94</v>
      </c>
      <c r="U36" s="21">
        <f t="shared" ref="U36:U115" si="24">IF($BI36=0,"",INDEX(发票登记!$AA$5:$AA$1004,$BI36))</f>
        <v>62.92</v>
      </c>
      <c r="W36" s="95">
        <f t="shared" ref="W36:W335" si="19">IF($BJ36=0,"",INDEX(资金流水!$B$6:$B$2005,$BJ36))</f>
        <v>46171.0</v>
      </c>
      <c r="X36" s="94" t="str">
        <f t="shared" ref="X36:X335" si="25">IF($BJ36=0,"",INDEX(资金流水!$C$6:$C$2005,$BJ36)&amp;"")</f>
        <v>王伟个人户</v>
      </c>
      <c r="Y36" s="96" t="str">
        <f t="shared" ref="Y36:Y335" si="26">IF($BJ36=0,"",INDEX(资金流水!$D$6:$D$2005,$BJ36)&amp;"")</f>
        <v>农商行草皮</v>
      </c>
      <c r="Z36" s="21">
        <f t="shared" ref="Z36:Z335" si="20">IF($BJ36=0,"",MAX(INDEX(资金流水!$R$6:$R$2005,$BJ36),0))</f>
        <v>0</v>
      </c>
      <c r="AA36" s="21">
        <f t="shared" ref="AA36:AA335" si="21">IF($BJ36=0,"",MAX(-INDEX(资金流水!$R$6:$R$2005,$BJ36),0))</f>
        <v>50</v>
      </c>
      <c r="AB36" s="94" t="str">
        <f t="shared" ref="AB36:AB335" si="27">IF($BJ36=0,"",INDEX(资金流水!$I$6:$I$2005,$BJ36)&amp;"")</f>
        <v>材料费</v>
      </c>
      <c r="AC36" s="96">
        <f t="shared" ref="AC36:AC335" si="28">IF($BJ36=0,"",INDEX(资金流水!$J$6:$J$2005,$BJ36)&amp;"")</f>
      </c>
      <c r="AD36" s="94">
        <f t="shared" ref="AD36:AD335" si="29">IF($BJ36=0,"",$BJ36)</f>
        <v>47</v>
      </c>
      <c r="AZ36" s="2">
        <f>IF(1&gt;$BB$300,0,IFERROR(MATCH(1,$BB$1:$BB$300,0),0))</f>
        <v>8</v>
      </c>
      <c r="BA36" s="2">
        <f>IF(OR(往来单位!$B$39="",$AF$3=0),0,SUMIFS(期初余额!$R$5:$R$204,期初余额!$P$5:$P$204,往来单位!$B$39,期初余额!$Q$5:$Q$204,$C$3)+SUMIFS(应付登记!$G$5:$G$1004,应付登记!$D$5:$D$1004,往来单位!$B$39,应付登记!$E$5:$E$1004,$C$3,应付登记!$J$5:$J$1004,"&gt;="&amp;_辅助!$J$4,应付登记!$J$5:$J$1004,"&lt;="&amp;_辅助!$J$2))</f>
        <v>0</v>
      </c>
      <c r="BB36" s="2">
        <f>SUM(CA1:CA36)</f>
        <v>1</v>
      </c>
      <c r="BC36" s="2">
        <f>IF(OR(往来单位!$B$39="",$AF$3=0,NOT(OR(往来单位!$C$39="管理人员",往来单位!$C$39="工人"))),0,SUMIFS(考勤工资!$E$5:$E$1004,考勤工资!$C$5:$C$1004,往来单位!$B$39,考勤工资!$D$5:$D$1004,$C$3,考勤工资!$Y$5:$Y$1004,"&gt;="&amp;_辅助!$J$4,考勤工资!$Y$5:$Y$1004,"&lt;="&amp;_辅助!$J$2)+SUMIFS(考勤工资!$G$5:$G$1004,考勤工资!$C$5:$C$1004,往来单位!$B$39,考勤工资!$F$5:$F$1004,$C$3,考勤工资!$Y$5:$Y$1004,"&gt;="&amp;_辅助!$J$4,考勤工资!$Y$5:$Y$1004,"&lt;="&amp;_辅助!$J$2)+SUMIFS(考勤工资!$I$5:$I$1004,考勤工资!$C$5:$C$1004,往来单位!$B$39,考勤工资!$H$5:$H$1004,$C$3,考勤工资!$Y$5:$Y$1004,"&gt;="&amp;_辅助!$J$4,考勤工资!$Y$5:$Y$1004,"&lt;="&amp;_辅助!$J$2)+SUMIFS(考勤工资!$K$5:$K$1004,考勤工资!$C$5:$C$1004,往来单位!$B$39,考勤工资!$J$5:$J$1004,$C$3,考勤工资!$Y$5:$Y$1004,"&gt;="&amp;_辅助!$J$4,考勤工资!$Y$5:$Y$1004,"&lt;="&amp;_辅助!$J$2))</f>
        <v>0</v>
      </c>
      <c r="BD36" s="2">
        <f>IF(BC36=0,0,SUMIFS(考勤工资!$AC$5:$AC$1004,考勤工资!$C$5:$C$1004,往来单位!$B$39,考勤工资!$D$5:$D$1004,$C$3,考勤工资!$Y$5:$Y$1004,"&gt;="&amp;_辅助!$J$4,考勤工资!$Y$5:$Y$1004,"&lt;="&amp;_辅助!$J$2)+SUMIFS(考勤工资!$AD$5:$AD$1004,考勤工资!$C$5:$C$1004,往来单位!$B$39,考勤工资!$F$5:$F$1004,$C$3,考勤工资!$Y$5:$Y$1004,"&gt;="&amp;_辅助!$J$4,考勤工资!$Y$5:$Y$1004,"&lt;="&amp;_辅助!$J$2)+SUMIFS(考勤工资!$AE$5:$AE$1004,考勤工资!$C$5:$C$1004,往来单位!$B$39,考勤工资!$H$5:$H$1004,$C$3,考勤工资!$Y$5:$Y$1004,"&gt;="&amp;_辅助!$J$4,考勤工资!$Y$5:$Y$1004,"&lt;="&amp;_辅助!$J$2)+SUMIFS(考勤工资!$AF$5:$AF$1004,考勤工资!$C$5:$C$1004,往来单位!$B$39,考勤工资!$J$5:$J$1004,$C$3,考勤工资!$Y$5:$Y$1004,"&gt;="&amp;_辅助!$J$4,考勤工资!$Y$5:$Y$1004,"&lt;="&amp;_辅助!$J$2))</f>
        <v>0</v>
      </c>
      <c r="BE36" s="2">
        <f>SUM(CB1:CB36)</f>
        <v>0</v>
      </c>
      <c r="BF36" s="2">
        <f>IF(AND($AF$3&gt;0,发票登记!$T$39=$C$3,ISNUMBER(发票登记!$X$39),发票登记!$AB$39&lt;&gt;0,发票登记!$Y$39&gt;=_辅助!$J$4,发票登记!$Y$39&lt;=_辅助!$J$2),INT(发票登记!$X$39)*10000+35,"")</f>
      </c>
      <c r="BG36" s="2">
        <f>IF(AND($AF$3&gt;0,资金流水!$H$40=$C$3,ISNUMBER(资金流水!$B$40),ISNUMBER(资金流水!$S$40),资金流水!$S$40&gt;=_辅助!$J$4,资金流水!$S$40&lt;=_辅助!$J$2),INT(资金流水!$B$40)*10000+35,"")</f>
      </c>
      <c r="BH36" s="2">
        <f>IF(1&gt;$BE$300,0,IFERROR(MATCH(1,$BE$1:$BE$300,0),0))</f>
        <v>0</v>
      </c>
      <c r="BI36" s="2">
        <f>IF(1&gt;$BF$1,0,MOD(SMALL($BF$2:$BF$1001,1),10000))</f>
        <v>3</v>
      </c>
      <c r="BJ36" s="2">
        <f>IF(1&gt;$BG$1,0,MOD(SMALL($BG$2:$BG$2001,1),10000))</f>
        <v>47</v>
      </c>
      <c r="CA36" s="2">
        <f t="shared" si="0"/>
        <v>0</v>
      </c>
      <c r="CB36" s="2">
        <f t="shared" si="1"/>
        <v>0</v>
      </c>
    </row>
    <row r="37">
      <c r="A37" s="94">
        <f>IF($AZ37=0,"",2)</f>
        <v>2</v>
      </c>
      <c r="B37" s="96" t="str">
        <f t="shared" si="18"/>
        <v>德安县恒建工程部</v>
      </c>
      <c r="C37" s="21">
        <f t="shared" si="4"/>
        <v>800</v>
      </c>
      <c r="D37" s="21">
        <f t="shared" si="15"/>
        <v>800</v>
      </c>
      <c r="E37" s="21">
        <f t="shared" si="2"/>
        <v>0</v>
      </c>
      <c r="F37" s="21">
        <f t="shared" si="17"/>
        <v>800</v>
      </c>
      <c r="G37" s="21">
        <f t="shared" si="6"/>
        <v>0</v>
      </c>
      <c r="I37" s="94">
        <f t="shared" si="3"/>
      </c>
      <c r="J37" s="21">
        <f t="shared" si="5"/>
      </c>
      <c r="K37" s="94" t="n"/>
      <c r="L37" s="135">
        <f t="shared" si="11"/>
      </c>
      <c r="M37" s="136">
        <f t="shared" si="12"/>
      </c>
      <c r="N37" s="94">
        <f t="shared" si="13"/>
      </c>
      <c r="O37" s="21">
        <f t="shared" si="7"/>
      </c>
      <c r="Q37" s="95">
        <f t="shared" si="22"/>
        <v>46205.0</v>
      </c>
      <c r="R37" s="94" t="str">
        <f t="shared" si="23"/>
        <v>进项</v>
      </c>
      <c r="S37" s="96" t="str">
        <f t="shared" si="8"/>
        <v>德安县恒建工程部</v>
      </c>
      <c r="T37" s="21">
        <f t="shared" si="10"/>
        <v>800</v>
      </c>
      <c r="U37" s="21">
        <f t="shared" si="24"/>
        <v>7.92</v>
      </c>
      <c r="W37" s="95">
        <f t="shared" si="19"/>
        <v>46171.0</v>
      </c>
      <c r="X37" s="94" t="str">
        <f t="shared" si="25"/>
        <v>王伟个人户</v>
      </c>
      <c r="Y37" s="96" t="str">
        <f t="shared" si="26"/>
        <v>农商行树苗</v>
      </c>
      <c r="Z37" s="21">
        <f t="shared" si="20"/>
        <v>0</v>
      </c>
      <c r="AA37" s="21">
        <f t="shared" si="21"/>
        <v>70</v>
      </c>
      <c r="AB37" s="94" t="str">
        <f t="shared" si="27"/>
        <v>材料费</v>
      </c>
      <c r="AC37" s="96">
        <f t="shared" si="28"/>
      </c>
      <c r="AD37" s="94">
        <f t="shared" si="29"/>
        <v>48</v>
      </c>
      <c r="AZ37" s="2">
        <f>IF(2&gt;$BB$300,0,IFERROR(MATCH(2,$BB$1:$BB$300,0),0))</f>
        <v>38</v>
      </c>
      <c r="BA37" s="2">
        <f>IF(OR(往来单位!$B$40="",$AF$3=0),0,SUMIFS(期初余额!$R$5:$R$204,期初余额!$P$5:$P$204,往来单位!$B$40,期初余额!$Q$5:$Q$204,$C$3)+SUMIFS(应付登记!$G$5:$G$1004,应付登记!$D$5:$D$1004,往来单位!$B$40,应付登记!$E$5:$E$1004,$C$3,应付登记!$J$5:$J$1004,"&gt;="&amp;_辅助!$J$4,应付登记!$J$5:$J$1004,"&lt;="&amp;_辅助!$J$2))</f>
        <v>0</v>
      </c>
      <c r="BB37" s="2">
        <f>SUM(CA1:CA37)</f>
        <v>1</v>
      </c>
      <c r="BC37" s="2">
        <f>IF(OR(往来单位!$B$40="",$AF$3=0,NOT(OR(往来单位!$C$40="管理人员",往来单位!$C$40="工人"))),0,SUMIFS(考勤工资!$E$5:$E$1004,考勤工资!$C$5:$C$1004,往来单位!$B$40,考勤工资!$D$5:$D$1004,$C$3,考勤工资!$Y$5:$Y$1004,"&gt;="&amp;_辅助!$J$4,考勤工资!$Y$5:$Y$1004,"&lt;="&amp;_辅助!$J$2)+SUMIFS(考勤工资!$G$5:$G$1004,考勤工资!$C$5:$C$1004,往来单位!$B$40,考勤工资!$F$5:$F$1004,$C$3,考勤工资!$Y$5:$Y$1004,"&gt;="&amp;_辅助!$J$4,考勤工资!$Y$5:$Y$1004,"&lt;="&amp;_辅助!$J$2)+SUMIFS(考勤工资!$I$5:$I$1004,考勤工资!$C$5:$C$1004,往来单位!$B$40,考勤工资!$H$5:$H$1004,$C$3,考勤工资!$Y$5:$Y$1004,"&gt;="&amp;_辅助!$J$4,考勤工资!$Y$5:$Y$1004,"&lt;="&amp;_辅助!$J$2)+SUMIFS(考勤工资!$K$5:$K$1004,考勤工资!$C$5:$C$1004,往来单位!$B$40,考勤工资!$J$5:$J$1004,$C$3,考勤工资!$Y$5:$Y$1004,"&gt;="&amp;_辅助!$J$4,考勤工资!$Y$5:$Y$1004,"&lt;="&amp;_辅助!$J$2))</f>
        <v>0</v>
      </c>
      <c r="BD37" s="2">
        <f>IF(BC37=0,0,SUMIFS(考勤工资!$AC$5:$AC$1004,考勤工资!$C$5:$C$1004,往来单位!$B$40,考勤工资!$D$5:$D$1004,$C$3,考勤工资!$Y$5:$Y$1004,"&gt;="&amp;_辅助!$J$4,考勤工资!$Y$5:$Y$1004,"&lt;="&amp;_辅助!$J$2)+SUMIFS(考勤工资!$AD$5:$AD$1004,考勤工资!$C$5:$C$1004,往来单位!$B$40,考勤工资!$F$5:$F$1004,$C$3,考勤工资!$Y$5:$Y$1004,"&gt;="&amp;_辅助!$J$4,考勤工资!$Y$5:$Y$1004,"&lt;="&amp;_辅助!$J$2)+SUMIFS(考勤工资!$AE$5:$AE$1004,考勤工资!$C$5:$C$1004,往来单位!$B$40,考勤工资!$H$5:$H$1004,$C$3,考勤工资!$Y$5:$Y$1004,"&gt;="&amp;_辅助!$J$4,考勤工资!$Y$5:$Y$1004,"&lt;="&amp;_辅助!$J$2)+SUMIFS(考勤工资!$AF$5:$AF$1004,考勤工资!$C$5:$C$1004,往来单位!$B$40,考勤工资!$J$5:$J$1004,$C$3,考勤工资!$Y$5:$Y$1004,"&gt;="&amp;_辅助!$J$4,考勤工资!$Y$5:$Y$1004,"&lt;="&amp;_辅助!$J$2))</f>
        <v>0</v>
      </c>
      <c r="BE37" s="2">
        <f>SUM(CB1:CB37)</f>
        <v>0</v>
      </c>
      <c r="BF37" s="2">
        <f>IF(AND($AF$3&gt;0,发票登记!$T$40=$C$3,ISNUMBER(发票登记!$X$40),发票登记!$AB$40&lt;&gt;0,发票登记!$Y$40&gt;=_辅助!$J$4,发票登记!$Y$40&lt;=_辅助!$J$2),INT(发票登记!$X$40)*10000+36,"")</f>
      </c>
      <c r="BG37" s="2">
        <f>IF(AND($AF$3&gt;0,资金流水!$H$41=$C$3,ISNUMBER(资金流水!$B$41),ISNUMBER(资金流水!$S$41),资金流水!$S$41&gt;=_辅助!$J$4,资金流水!$S$41&lt;=_辅助!$J$2),INT(资金流水!$B$41)*10000+36,"")</f>
      </c>
      <c r="BH37" s="2">
        <f>IF(2&gt;$BE$300,0,IFERROR(MATCH(2,$BE$1:$BE$300,0),0))</f>
        <v>0</v>
      </c>
      <c r="BI37" s="2">
        <f>IF(2&gt;$BF$1,0,MOD(SMALL($BF$2:$BF$1001,2),10000))</f>
        <v>2</v>
      </c>
      <c r="BJ37" s="2">
        <f>IF(2&gt;$BG$1,0,MOD(SMALL($BG$2:$BG$2001,2),10000))</f>
        <v>48</v>
      </c>
      <c r="CA37" s="2">
        <f t="shared" si="0"/>
        <v>0</v>
      </c>
      <c r="CB37" s="2">
        <f t="shared" si="1"/>
        <v>0</v>
      </c>
    </row>
    <row r="38">
      <c r="A38" s="94">
        <f>IF($AZ38=0,"",3)</f>
      </c>
      <c r="B38" s="96">
        <f t="shared" si="18"/>
      </c>
      <c r="C38" s="21">
        <f t="shared" si="4"/>
      </c>
      <c r="D38" s="21">
        <f t="shared" si="15"/>
      </c>
      <c r="E38" s="21">
        <f t="shared" si="2"/>
      </c>
      <c r="F38" s="21">
        <f t="shared" si="17"/>
      </c>
      <c r="G38" s="21">
        <f t="shared" si="6"/>
      </c>
      <c r="I38" s="94">
        <f t="shared" si="3"/>
      </c>
      <c r="J38" s="21">
        <f t="shared" si="5"/>
      </c>
      <c r="K38" s="94" t="n"/>
      <c r="L38" s="135">
        <f t="shared" si="11"/>
      </c>
      <c r="M38" s="136">
        <f t="shared" si="12"/>
      </c>
      <c r="N38" s="94">
        <f t="shared" si="13"/>
      </c>
      <c r="O38" s="21">
        <f t="shared" si="7"/>
      </c>
      <c r="Q38" s="95">
        <f t="shared" si="22"/>
        <v>46234.0</v>
      </c>
      <c r="R38" s="94" t="str">
        <f t="shared" si="23"/>
        <v>销项</v>
      </c>
      <c r="S38" s="96" t="str">
        <f t="shared" si="8"/>
        <v>德安农商银行</v>
      </c>
      <c r="T38" s="21">
        <f t="shared" si="10"/>
        <v>8992</v>
      </c>
      <c r="U38" s="21">
        <f t="shared" si="24"/>
        <v>742.46</v>
      </c>
      <c r="W38" s="95">
        <f t="shared" si="19"/>
        <v>46171.0</v>
      </c>
      <c r="X38" s="94" t="str">
        <f t="shared" si="25"/>
        <v>王伟个人户</v>
      </c>
      <c r="Y38" s="96" t="str">
        <f t="shared" si="26"/>
        <v>农商行临时工工资</v>
      </c>
      <c r="Z38" s="21">
        <f t="shared" si="20"/>
        <v>0</v>
      </c>
      <c r="AA38" s="21">
        <f t="shared" si="21"/>
        <v>360</v>
      </c>
      <c r="AB38" s="94" t="str">
        <f t="shared" si="27"/>
        <v>临时工工资</v>
      </c>
      <c r="AC38" s="96">
        <f t="shared" si="28"/>
      </c>
      <c r="AD38" s="94">
        <f t="shared" si="29"/>
        <v>49</v>
      </c>
      <c r="AZ38" s="2">
        <f>IF(3&gt;$BB$300,0,IFERROR(MATCH(3,$BB$1:$BB$300,0),0))</f>
        <v>0</v>
      </c>
      <c r="BA38" s="2">
        <f>IF(OR(往来单位!$B$41="",$AF$3=0),0,SUMIFS(期初余额!$R$5:$R$204,期初余额!$P$5:$P$204,往来单位!$B$41,期初余额!$Q$5:$Q$204,$C$3)+SUMIFS(应付登记!$G$5:$G$1004,应付登记!$D$5:$D$1004,往来单位!$B$41,应付登记!$E$5:$E$1004,$C$3,应付登记!$J$5:$J$1004,"&gt;="&amp;_辅助!$J$4,应付登记!$J$5:$J$1004,"&lt;="&amp;_辅助!$J$2))</f>
        <v>800</v>
      </c>
      <c r="BB38" s="2">
        <f>SUM(CA1:CA38)</f>
        <v>2</v>
      </c>
      <c r="BC38" s="2">
        <f>IF(OR(往来单位!$B$41="",$AF$3=0,NOT(OR(往来单位!$C$41="管理人员",往来单位!$C$41="工人"))),0,SUMIFS(考勤工资!$E$5:$E$1004,考勤工资!$C$5:$C$1004,往来单位!$B$41,考勤工资!$D$5:$D$1004,$C$3,考勤工资!$Y$5:$Y$1004,"&gt;="&amp;_辅助!$J$4,考勤工资!$Y$5:$Y$1004,"&lt;="&amp;_辅助!$J$2)+SUMIFS(考勤工资!$G$5:$G$1004,考勤工资!$C$5:$C$1004,往来单位!$B$41,考勤工资!$F$5:$F$1004,$C$3,考勤工资!$Y$5:$Y$1004,"&gt;="&amp;_辅助!$J$4,考勤工资!$Y$5:$Y$1004,"&lt;="&amp;_辅助!$J$2)+SUMIFS(考勤工资!$I$5:$I$1004,考勤工资!$C$5:$C$1004,往来单位!$B$41,考勤工资!$H$5:$H$1004,$C$3,考勤工资!$Y$5:$Y$1004,"&gt;="&amp;_辅助!$J$4,考勤工资!$Y$5:$Y$1004,"&lt;="&amp;_辅助!$J$2)+SUMIFS(考勤工资!$K$5:$K$1004,考勤工资!$C$5:$C$1004,往来单位!$B$41,考勤工资!$J$5:$J$1004,$C$3,考勤工资!$Y$5:$Y$1004,"&gt;="&amp;_辅助!$J$4,考勤工资!$Y$5:$Y$1004,"&lt;="&amp;_辅助!$J$2))</f>
        <v>0</v>
      </c>
      <c r="BD38" s="2">
        <f>IF(BC38=0,0,SUMIFS(考勤工资!$AC$5:$AC$1004,考勤工资!$C$5:$C$1004,往来单位!$B$41,考勤工资!$D$5:$D$1004,$C$3,考勤工资!$Y$5:$Y$1004,"&gt;="&amp;_辅助!$J$4,考勤工资!$Y$5:$Y$1004,"&lt;="&amp;_辅助!$J$2)+SUMIFS(考勤工资!$AD$5:$AD$1004,考勤工资!$C$5:$C$1004,往来单位!$B$41,考勤工资!$F$5:$F$1004,$C$3,考勤工资!$Y$5:$Y$1004,"&gt;="&amp;_辅助!$J$4,考勤工资!$Y$5:$Y$1004,"&lt;="&amp;_辅助!$J$2)+SUMIFS(考勤工资!$AE$5:$AE$1004,考勤工资!$C$5:$C$1004,往来单位!$B$41,考勤工资!$H$5:$H$1004,$C$3,考勤工资!$Y$5:$Y$1004,"&gt;="&amp;_辅助!$J$4,考勤工资!$Y$5:$Y$1004,"&lt;="&amp;_辅助!$J$2)+SUMIFS(考勤工资!$AF$5:$AF$1004,考勤工资!$C$5:$C$1004,往来单位!$B$41,考勤工资!$J$5:$J$1004,$C$3,考勤工资!$Y$5:$Y$1004,"&gt;="&amp;_辅助!$J$4,考勤工资!$Y$5:$Y$1004,"&lt;="&amp;_辅助!$J$2))</f>
        <v>0</v>
      </c>
      <c r="BE38" s="2">
        <f>SUM(CB1:CB38)</f>
        <v>0</v>
      </c>
      <c r="BF38" s="2">
        <f>IF(AND($AF$3&gt;0,发票登记!$T$41=$C$3,ISNUMBER(发票登记!$X$41),发票登记!$AB$41&lt;&gt;0,发票登记!$Y$41&gt;=_辅助!$J$4,发票登记!$Y$41&lt;=_辅助!$J$2),INT(发票登记!$X$41)*10000+37,"")</f>
      </c>
      <c r="BG38" s="2">
        <f>IF(AND($AF$3&gt;0,资金流水!$H$42=$C$3,ISNUMBER(资金流水!$B$42),ISNUMBER(资金流水!$S$42),资金流水!$S$42&gt;=_辅助!$J$4,资金流水!$S$42&lt;=_辅助!$J$2),INT(资金流水!$B$42)*10000+37,"")</f>
      </c>
      <c r="BH38" s="2">
        <f>IF(3&gt;$BE$300,0,IFERROR(MATCH(3,$BE$1:$BE$300,0),0))</f>
        <v>0</v>
      </c>
      <c r="BI38" s="2">
        <f>IF(3&gt;$BF$1,0,MOD(SMALL($BF$2:$BF$1001,3),10000))</f>
        <v>1</v>
      </c>
      <c r="BJ38" s="2">
        <f>IF(3&gt;$BG$1,0,MOD(SMALL($BG$2:$BG$2001,3),10000))</f>
        <v>49</v>
      </c>
      <c r="CA38" s="2">
        <f t="shared" si="0"/>
        <v>1</v>
      </c>
      <c r="CB38" s="2">
        <f t="shared" si="1"/>
        <v>0</v>
      </c>
    </row>
    <row r="39">
      <c r="A39" s="94">
        <f>IF($AZ39=0,"",4)</f>
      </c>
      <c r="B39" s="96">
        <f t="shared" si="18"/>
      </c>
      <c r="C39" s="21">
        <f t="shared" si="4"/>
      </c>
      <c r="D39" s="21">
        <f t="shared" si="15"/>
      </c>
      <c r="E39" s="21">
        <f t="shared" si="2"/>
      </c>
      <c r="F39" s="21">
        <f t="shared" si="17"/>
      </c>
      <c r="G39" s="21">
        <f t="shared" si="6"/>
      </c>
      <c r="I39" s="94">
        <f t="shared" si="3"/>
      </c>
      <c r="J39" s="21">
        <f t="shared" si="5"/>
      </c>
      <c r="K39" s="94" t="n"/>
      <c r="L39" s="135">
        <f t="shared" si="11"/>
      </c>
      <c r="M39" s="136">
        <f t="shared" si="12"/>
      </c>
      <c r="N39" s="94">
        <f t="shared" si="13"/>
      </c>
      <c r="O39" s="21">
        <f t="shared" si="7"/>
      </c>
      <c r="Q39" s="95">
        <f t="shared" si="22"/>
      </c>
      <c r="R39" s="94">
        <f t="shared" si="23"/>
      </c>
      <c r="S39" s="96">
        <f t="shared" si="8"/>
      </c>
      <c r="T39" s="21">
        <f t="shared" si="10"/>
      </c>
      <c r="U39" s="21">
        <f t="shared" si="24"/>
      </c>
      <c r="W39" s="95">
        <f t="shared" si="19"/>
        <v>46205.0</v>
      </c>
      <c r="X39" s="94" t="str">
        <f t="shared" si="25"/>
        <v>九江银行</v>
      </c>
      <c r="Y39" s="96" t="str">
        <f t="shared" si="26"/>
        <v>德安农商行挖机费</v>
      </c>
      <c r="Z39" s="21">
        <f t="shared" si="20"/>
        <v>0</v>
      </c>
      <c r="AA39" s="21">
        <f t="shared" si="21"/>
        <v>800</v>
      </c>
      <c r="AB39" s="94" t="str">
        <f t="shared" si="27"/>
        <v>付应付款</v>
      </c>
      <c r="AC39" s="96" t="str">
        <f t="shared" si="28"/>
        <v>德安县恒建工程部</v>
      </c>
      <c r="AD39" s="94">
        <f t="shared" si="29"/>
        <v>157</v>
      </c>
      <c r="AZ39" s="2">
        <f>IF(4&gt;$BB$300,0,IFERROR(MATCH(4,$BB$1:$BB$300,0),0))</f>
        <v>0</v>
      </c>
      <c r="BA39" s="2">
        <f>IF(OR(往来单位!$B$42="",$AF$3=0),0,SUMIFS(期初余额!$R$5:$R$204,期初余额!$P$5:$P$204,往来单位!$B$42,期初余额!$Q$5:$Q$204,$C$3)+SUMIFS(应付登记!$G$5:$G$1004,应付登记!$D$5:$D$1004,往来单位!$B$42,应付登记!$E$5:$E$1004,$C$3,应付登记!$J$5:$J$1004,"&gt;="&amp;_辅助!$J$4,应付登记!$J$5:$J$1004,"&lt;="&amp;_辅助!$J$2))</f>
        <v>0</v>
      </c>
      <c r="BB39" s="2">
        <f>SUM(CA1:CA39)</f>
        <v>2</v>
      </c>
      <c r="BC39" s="2">
        <f>IF(OR(往来单位!$B$42="",$AF$3=0,NOT(OR(往来单位!$C$42="管理人员",往来单位!$C$42="工人"))),0,SUMIFS(考勤工资!$E$5:$E$1004,考勤工资!$C$5:$C$1004,往来单位!$B$42,考勤工资!$D$5:$D$1004,$C$3,考勤工资!$Y$5:$Y$1004,"&gt;="&amp;_辅助!$J$4,考勤工资!$Y$5:$Y$1004,"&lt;="&amp;_辅助!$J$2)+SUMIFS(考勤工资!$G$5:$G$1004,考勤工资!$C$5:$C$1004,往来单位!$B$42,考勤工资!$F$5:$F$1004,$C$3,考勤工资!$Y$5:$Y$1004,"&gt;="&amp;_辅助!$J$4,考勤工资!$Y$5:$Y$1004,"&lt;="&amp;_辅助!$J$2)+SUMIFS(考勤工资!$I$5:$I$1004,考勤工资!$C$5:$C$1004,往来单位!$B$42,考勤工资!$H$5:$H$1004,$C$3,考勤工资!$Y$5:$Y$1004,"&gt;="&amp;_辅助!$J$4,考勤工资!$Y$5:$Y$1004,"&lt;="&amp;_辅助!$J$2)+SUMIFS(考勤工资!$K$5:$K$1004,考勤工资!$C$5:$C$1004,往来单位!$B$42,考勤工资!$J$5:$J$1004,$C$3,考勤工资!$Y$5:$Y$1004,"&gt;="&amp;_辅助!$J$4,考勤工资!$Y$5:$Y$1004,"&lt;="&amp;_辅助!$J$2))</f>
        <v>0</v>
      </c>
      <c r="BD39" s="2">
        <f>IF(BC39=0,0,SUMIFS(考勤工资!$AC$5:$AC$1004,考勤工资!$C$5:$C$1004,往来单位!$B$42,考勤工资!$D$5:$D$1004,$C$3,考勤工资!$Y$5:$Y$1004,"&gt;="&amp;_辅助!$J$4,考勤工资!$Y$5:$Y$1004,"&lt;="&amp;_辅助!$J$2)+SUMIFS(考勤工资!$AD$5:$AD$1004,考勤工资!$C$5:$C$1004,往来单位!$B$42,考勤工资!$F$5:$F$1004,$C$3,考勤工资!$Y$5:$Y$1004,"&gt;="&amp;_辅助!$J$4,考勤工资!$Y$5:$Y$1004,"&lt;="&amp;_辅助!$J$2)+SUMIFS(考勤工资!$AE$5:$AE$1004,考勤工资!$C$5:$C$1004,往来单位!$B$42,考勤工资!$H$5:$H$1004,$C$3,考勤工资!$Y$5:$Y$1004,"&gt;="&amp;_辅助!$J$4,考勤工资!$Y$5:$Y$1004,"&lt;="&amp;_辅助!$J$2)+SUMIFS(考勤工资!$AF$5:$AF$1004,考勤工资!$C$5:$C$1004,往来单位!$B$42,考勤工资!$J$5:$J$1004,$C$3,考勤工资!$Y$5:$Y$1004,"&gt;="&amp;_辅助!$J$4,考勤工资!$Y$5:$Y$1004,"&lt;="&amp;_辅助!$J$2))</f>
        <v>0</v>
      </c>
      <c r="BE39" s="2">
        <f>SUM(CB1:CB39)</f>
        <v>0</v>
      </c>
      <c r="BF39" s="2">
        <f>IF(AND($AF$3&gt;0,发票登记!$T$42=$C$3,ISNUMBER(发票登记!$X$42),发票登记!$AB$42&lt;&gt;0,发票登记!$Y$42&gt;=_辅助!$J$4,发票登记!$Y$42&lt;=_辅助!$J$2),INT(发票登记!$X$42)*10000+38,"")</f>
      </c>
      <c r="BG39" s="2">
        <f>IF(AND($AF$3&gt;0,资金流水!$H$43=$C$3,ISNUMBER(资金流水!$B$43),ISNUMBER(资金流水!$S$43),资金流水!$S$43&gt;=_辅助!$J$4,资金流水!$S$43&lt;=_辅助!$J$2),INT(资金流水!$B$43)*10000+38,"")</f>
      </c>
      <c r="BH39" s="2">
        <f>IF(4&gt;$BE$300,0,IFERROR(MATCH(4,$BE$1:$BE$300,0),0))</f>
        <v>0</v>
      </c>
      <c r="BI39" s="2">
        <f>IF(4&gt;$BF$1,0,MOD(SMALL($BF$2:$BF$1001,4),10000))</f>
        <v>0</v>
      </c>
      <c r="BJ39" s="2">
        <f>IF(4&gt;$BG$1,0,MOD(SMALL($BG$2:$BG$2001,4),10000))</f>
        <v>157</v>
      </c>
      <c r="CA39" s="2">
        <f t="shared" si="0"/>
        <v>0</v>
      </c>
      <c r="CB39" s="2">
        <f t="shared" si="1"/>
        <v>0</v>
      </c>
    </row>
    <row r="40">
      <c r="A40" s="94">
        <f>IF($AZ40=0,"",5)</f>
      </c>
      <c r="B40" s="96">
        <f t="shared" si="18"/>
      </c>
      <c r="C40" s="21">
        <f t="shared" si="4"/>
      </c>
      <c r="D40" s="21">
        <f t="shared" si="15"/>
      </c>
      <c r="E40" s="21">
        <f t="shared" si="2"/>
      </c>
      <c r="F40" s="21">
        <f t="shared" si="17"/>
      </c>
      <c r="G40" s="21">
        <f t="shared" si="6"/>
      </c>
      <c r="I40" s="94">
        <f t="shared" si="3"/>
      </c>
      <c r="J40" s="21">
        <f t="shared" si="5"/>
      </c>
      <c r="K40" s="94" t="n"/>
      <c r="L40" s="135">
        <f t="shared" si="11"/>
      </c>
      <c r="M40" s="136">
        <f t="shared" si="12"/>
      </c>
      <c r="N40" s="94">
        <f t="shared" si="13"/>
      </c>
      <c r="O40" s="21">
        <f t="shared" si="7"/>
      </c>
      <c r="Q40" s="95">
        <f t="shared" si="22"/>
      </c>
      <c r="R40" s="94">
        <f t="shared" si="23"/>
      </c>
      <c r="S40" s="96">
        <f t="shared" si="8"/>
      </c>
      <c r="T40" s="21">
        <f t="shared" si="10"/>
      </c>
      <c r="U40" s="21">
        <f t="shared" si="24"/>
      </c>
      <c r="W40" s="95">
        <f t="shared" si="19"/>
      </c>
      <c r="X40" s="94">
        <f t="shared" si="25"/>
      </c>
      <c r="Y40" s="96">
        <f t="shared" si="26"/>
      </c>
      <c r="Z40" s="21">
        <f t="shared" si="20"/>
      </c>
      <c r="AA40" s="21">
        <f t="shared" si="21"/>
      </c>
      <c r="AB40" s="94">
        <f t="shared" si="27"/>
      </c>
      <c r="AC40" s="96">
        <f t="shared" si="28"/>
      </c>
      <c r="AD40" s="94">
        <f t="shared" si="29"/>
      </c>
      <c r="AZ40" s="2">
        <f>IF(5&gt;$BB$300,0,IFERROR(MATCH(5,$BB$1:$BB$300,0),0))</f>
        <v>0</v>
      </c>
      <c r="BA40" s="2">
        <f>IF(OR(往来单位!$B$43="",$AF$3=0),0,SUMIFS(期初余额!$R$5:$R$204,期初余额!$P$5:$P$204,往来单位!$B$43,期初余额!$Q$5:$Q$204,$C$3)+SUMIFS(应付登记!$G$5:$G$1004,应付登记!$D$5:$D$1004,往来单位!$B$43,应付登记!$E$5:$E$1004,$C$3,应付登记!$J$5:$J$1004,"&gt;="&amp;_辅助!$J$4,应付登记!$J$5:$J$1004,"&lt;="&amp;_辅助!$J$2))</f>
        <v>0</v>
      </c>
      <c r="BB40" s="2">
        <f>SUM(CA1:CA40)</f>
        <v>2</v>
      </c>
      <c r="BC40" s="2">
        <f>IF(OR(往来单位!$B$43="",$AF$3=0,NOT(OR(往来单位!$C$43="管理人员",往来单位!$C$43="工人"))),0,SUMIFS(考勤工资!$E$5:$E$1004,考勤工资!$C$5:$C$1004,往来单位!$B$43,考勤工资!$D$5:$D$1004,$C$3,考勤工资!$Y$5:$Y$1004,"&gt;="&amp;_辅助!$J$4,考勤工资!$Y$5:$Y$1004,"&lt;="&amp;_辅助!$J$2)+SUMIFS(考勤工资!$G$5:$G$1004,考勤工资!$C$5:$C$1004,往来单位!$B$43,考勤工资!$F$5:$F$1004,$C$3,考勤工资!$Y$5:$Y$1004,"&gt;="&amp;_辅助!$J$4,考勤工资!$Y$5:$Y$1004,"&lt;="&amp;_辅助!$J$2)+SUMIFS(考勤工资!$I$5:$I$1004,考勤工资!$C$5:$C$1004,往来单位!$B$43,考勤工资!$H$5:$H$1004,$C$3,考勤工资!$Y$5:$Y$1004,"&gt;="&amp;_辅助!$J$4,考勤工资!$Y$5:$Y$1004,"&lt;="&amp;_辅助!$J$2)+SUMIFS(考勤工资!$K$5:$K$1004,考勤工资!$C$5:$C$1004,往来单位!$B$43,考勤工资!$J$5:$J$1004,$C$3,考勤工资!$Y$5:$Y$1004,"&gt;="&amp;_辅助!$J$4,考勤工资!$Y$5:$Y$1004,"&lt;="&amp;_辅助!$J$2))</f>
        <v>0</v>
      </c>
      <c r="BD40" s="2">
        <f>IF(BC40=0,0,SUMIFS(考勤工资!$AC$5:$AC$1004,考勤工资!$C$5:$C$1004,往来单位!$B$43,考勤工资!$D$5:$D$1004,$C$3,考勤工资!$Y$5:$Y$1004,"&gt;="&amp;_辅助!$J$4,考勤工资!$Y$5:$Y$1004,"&lt;="&amp;_辅助!$J$2)+SUMIFS(考勤工资!$AD$5:$AD$1004,考勤工资!$C$5:$C$1004,往来单位!$B$43,考勤工资!$F$5:$F$1004,$C$3,考勤工资!$Y$5:$Y$1004,"&gt;="&amp;_辅助!$J$4,考勤工资!$Y$5:$Y$1004,"&lt;="&amp;_辅助!$J$2)+SUMIFS(考勤工资!$AE$5:$AE$1004,考勤工资!$C$5:$C$1004,往来单位!$B$43,考勤工资!$H$5:$H$1004,$C$3,考勤工资!$Y$5:$Y$1004,"&gt;="&amp;_辅助!$J$4,考勤工资!$Y$5:$Y$1004,"&lt;="&amp;_辅助!$J$2)+SUMIFS(考勤工资!$AF$5:$AF$1004,考勤工资!$C$5:$C$1004,往来单位!$B$43,考勤工资!$J$5:$J$1004,$C$3,考勤工资!$Y$5:$Y$1004,"&gt;="&amp;_辅助!$J$4,考勤工资!$Y$5:$Y$1004,"&lt;="&amp;_辅助!$J$2))</f>
        <v>0</v>
      </c>
      <c r="BE40" s="2">
        <f>SUM(CB1:CB40)</f>
        <v>0</v>
      </c>
      <c r="BF40" s="2">
        <f>IF(AND($AF$3&gt;0,发票登记!$T$43=$C$3,ISNUMBER(发票登记!$X$43),发票登记!$AB$43&lt;&gt;0,发票登记!$Y$43&gt;=_辅助!$J$4,发票登记!$Y$43&lt;=_辅助!$J$2),INT(发票登记!$X$43)*10000+39,"")</f>
      </c>
      <c r="BG40" s="2">
        <f>IF(AND($AF$3&gt;0,资金流水!$H$44=$C$3,ISNUMBER(资金流水!$B$44),ISNUMBER(资金流水!$S$44),资金流水!$S$44&gt;=_辅助!$J$4,资金流水!$S$44&lt;=_辅助!$J$2),INT(资金流水!$B$44)*10000+39,"")</f>
      </c>
      <c r="BH40" s="2">
        <f>IF(5&gt;$BE$300,0,IFERROR(MATCH(5,$BE$1:$BE$300,0),0))</f>
        <v>0</v>
      </c>
      <c r="BI40" s="2">
        <f>IF(5&gt;$BF$1,0,MOD(SMALL($BF$2:$BF$1001,5),10000))</f>
        <v>0</v>
      </c>
      <c r="BJ40" s="2">
        <f>IF(5&gt;$BG$1,0,MOD(SMALL($BG$2:$BG$2001,5),10000))</f>
        <v>0</v>
      </c>
      <c r="CA40" s="2">
        <f t="shared" si="0"/>
        <v>0</v>
      </c>
      <c r="CB40" s="2">
        <f t="shared" si="1"/>
        <v>0</v>
      </c>
    </row>
    <row r="41">
      <c r="A41" s="94">
        <f>IF($AZ41=0,"",6)</f>
      </c>
      <c r="B41" s="96">
        <f t="shared" si="18"/>
      </c>
      <c r="C41" s="21">
        <f t="shared" si="4"/>
      </c>
      <c r="D41" s="21">
        <f t="shared" si="15"/>
      </c>
      <c r="E41" s="21">
        <f t="shared" si="2"/>
      </c>
      <c r="F41" s="21">
        <f t="shared" si="17"/>
      </c>
      <c r="G41" s="21">
        <f t="shared" si="6"/>
      </c>
      <c r="I41" s="94">
        <f t="shared" si="3"/>
      </c>
      <c r="J41" s="21">
        <f t="shared" si="5"/>
      </c>
      <c r="K41" s="94" t="n"/>
      <c r="L41" s="135">
        <f t="shared" si="11"/>
      </c>
      <c r="M41" s="136">
        <f t="shared" si="12"/>
      </c>
      <c r="N41" s="94">
        <f t="shared" si="13"/>
      </c>
      <c r="O41" s="21">
        <f t="shared" si="7"/>
      </c>
      <c r="Q41" s="95">
        <f t="shared" si="22"/>
      </c>
      <c r="R41" s="94">
        <f t="shared" si="23"/>
      </c>
      <c r="S41" s="96">
        <f t="shared" si="8"/>
      </c>
      <c r="T41" s="21">
        <f t="shared" si="10"/>
      </c>
      <c r="U41" s="21">
        <f t="shared" si="24"/>
      </c>
      <c r="W41" s="95">
        <f t="shared" si="19"/>
      </c>
      <c r="X41" s="94">
        <f t="shared" si="25"/>
      </c>
      <c r="Y41" s="96">
        <f t="shared" si="26"/>
      </c>
      <c r="Z41" s="21">
        <f t="shared" si="20"/>
      </c>
      <c r="AA41" s="21">
        <f t="shared" si="21"/>
      </c>
      <c r="AB41" s="94">
        <f t="shared" si="27"/>
      </c>
      <c r="AC41" s="96">
        <f t="shared" si="28"/>
      </c>
      <c r="AD41" s="94">
        <f t="shared" si="29"/>
      </c>
      <c r="AZ41" s="2">
        <f>IF(6&gt;$BB$300,0,IFERROR(MATCH(6,$BB$1:$BB$300,0),0))</f>
        <v>0</v>
      </c>
      <c r="BA41" s="2">
        <f>IF(OR(往来单位!$B$44="",$AF$3=0),0,SUMIFS(期初余额!$R$5:$R$204,期初余额!$P$5:$P$204,往来单位!$B$44,期初余额!$Q$5:$Q$204,$C$3)+SUMIFS(应付登记!$G$5:$G$1004,应付登记!$D$5:$D$1004,往来单位!$B$44,应付登记!$E$5:$E$1004,$C$3,应付登记!$J$5:$J$1004,"&gt;="&amp;_辅助!$J$4,应付登记!$J$5:$J$1004,"&lt;="&amp;_辅助!$J$2))</f>
        <v>0</v>
      </c>
      <c r="BB41" s="2">
        <f>SUM(CA1:CA41)</f>
        <v>2</v>
      </c>
      <c r="BC41" s="2">
        <f>IF(OR(往来单位!$B$44="",$AF$3=0,NOT(OR(往来单位!$C$44="管理人员",往来单位!$C$44="工人"))),0,SUMIFS(考勤工资!$E$5:$E$1004,考勤工资!$C$5:$C$1004,往来单位!$B$44,考勤工资!$D$5:$D$1004,$C$3,考勤工资!$Y$5:$Y$1004,"&gt;="&amp;_辅助!$J$4,考勤工资!$Y$5:$Y$1004,"&lt;="&amp;_辅助!$J$2)+SUMIFS(考勤工资!$G$5:$G$1004,考勤工资!$C$5:$C$1004,往来单位!$B$44,考勤工资!$F$5:$F$1004,$C$3,考勤工资!$Y$5:$Y$1004,"&gt;="&amp;_辅助!$J$4,考勤工资!$Y$5:$Y$1004,"&lt;="&amp;_辅助!$J$2)+SUMIFS(考勤工资!$I$5:$I$1004,考勤工资!$C$5:$C$1004,往来单位!$B$44,考勤工资!$H$5:$H$1004,$C$3,考勤工资!$Y$5:$Y$1004,"&gt;="&amp;_辅助!$J$4,考勤工资!$Y$5:$Y$1004,"&lt;="&amp;_辅助!$J$2)+SUMIFS(考勤工资!$K$5:$K$1004,考勤工资!$C$5:$C$1004,往来单位!$B$44,考勤工资!$J$5:$J$1004,$C$3,考勤工资!$Y$5:$Y$1004,"&gt;="&amp;_辅助!$J$4,考勤工资!$Y$5:$Y$1004,"&lt;="&amp;_辅助!$J$2))</f>
        <v>0</v>
      </c>
      <c r="BD41" s="2">
        <f>IF(BC41=0,0,SUMIFS(考勤工资!$AC$5:$AC$1004,考勤工资!$C$5:$C$1004,往来单位!$B$44,考勤工资!$D$5:$D$1004,$C$3,考勤工资!$Y$5:$Y$1004,"&gt;="&amp;_辅助!$J$4,考勤工资!$Y$5:$Y$1004,"&lt;="&amp;_辅助!$J$2)+SUMIFS(考勤工资!$AD$5:$AD$1004,考勤工资!$C$5:$C$1004,往来单位!$B$44,考勤工资!$F$5:$F$1004,$C$3,考勤工资!$Y$5:$Y$1004,"&gt;="&amp;_辅助!$J$4,考勤工资!$Y$5:$Y$1004,"&lt;="&amp;_辅助!$J$2)+SUMIFS(考勤工资!$AE$5:$AE$1004,考勤工资!$C$5:$C$1004,往来单位!$B$44,考勤工资!$H$5:$H$1004,$C$3,考勤工资!$Y$5:$Y$1004,"&gt;="&amp;_辅助!$J$4,考勤工资!$Y$5:$Y$1004,"&lt;="&amp;_辅助!$J$2)+SUMIFS(考勤工资!$AF$5:$AF$1004,考勤工资!$C$5:$C$1004,往来单位!$B$44,考勤工资!$J$5:$J$1004,$C$3,考勤工资!$Y$5:$Y$1004,"&gt;="&amp;_辅助!$J$4,考勤工资!$Y$5:$Y$1004,"&lt;="&amp;_辅助!$J$2))</f>
        <v>0</v>
      </c>
      <c r="BE41" s="2">
        <f>SUM(CB1:CB41)</f>
        <v>0</v>
      </c>
      <c r="BF41" s="2">
        <f>IF(AND($AF$3&gt;0,发票登记!$T$44=$C$3,ISNUMBER(发票登记!$X$44),发票登记!$AB$44&lt;&gt;0,发票登记!$Y$44&gt;=_辅助!$J$4,发票登记!$Y$44&lt;=_辅助!$J$2),INT(发票登记!$X$44)*10000+40,"")</f>
      </c>
      <c r="BG41" s="2">
        <f>IF(AND($AF$3&gt;0,资金流水!$H$45=$C$3,ISNUMBER(资金流水!$B$45),ISNUMBER(资金流水!$S$45),资金流水!$S$45&gt;=_辅助!$J$4,资金流水!$S$45&lt;=_辅助!$J$2),INT(资金流水!$B$45)*10000+40,"")</f>
      </c>
      <c r="BH41" s="2">
        <f>IF(6&gt;$BE$300,0,IFERROR(MATCH(6,$BE$1:$BE$300,0),0))</f>
        <v>0</v>
      </c>
      <c r="BI41" s="2">
        <f>IF(6&gt;$BF$1,0,MOD(SMALL($BF$2:$BF$1001,6),10000))</f>
        <v>0</v>
      </c>
      <c r="BJ41" s="2">
        <f>IF(6&gt;$BG$1,0,MOD(SMALL($BG$2:$BG$2001,6),10000))</f>
        <v>0</v>
      </c>
      <c r="CA41" s="2">
        <f t="shared" si="0"/>
        <v>0</v>
      </c>
      <c r="CB41" s="2">
        <f t="shared" si="1"/>
        <v>0</v>
      </c>
    </row>
    <row r="42">
      <c r="A42" s="94">
        <f>IF($AZ42=0,"",7)</f>
      </c>
      <c r="B42" s="96">
        <f t="shared" si="18"/>
      </c>
      <c r="C42" s="21">
        <f t="shared" si="4"/>
      </c>
      <c r="D42" s="21">
        <f t="shared" si="15"/>
      </c>
      <c r="E42" s="21">
        <f t="shared" si="2"/>
      </c>
      <c r="F42" s="21">
        <f t="shared" si="17"/>
      </c>
      <c r="G42" s="21">
        <f t="shared" si="6"/>
      </c>
      <c r="I42" s="94">
        <f t="shared" si="3"/>
      </c>
      <c r="J42" s="21">
        <f t="shared" si="5"/>
      </c>
      <c r="K42" s="94" t="n"/>
      <c r="L42" s="135">
        <f t="shared" si="11"/>
      </c>
      <c r="M42" s="136">
        <f t="shared" si="12"/>
      </c>
      <c r="N42" s="94">
        <f t="shared" si="13"/>
      </c>
      <c r="O42" s="21">
        <f t="shared" si="7"/>
      </c>
      <c r="Q42" s="95">
        <f t="shared" si="22"/>
      </c>
      <c r="R42" s="94">
        <f t="shared" si="23"/>
      </c>
      <c r="S42" s="96">
        <f t="shared" si="8"/>
      </c>
      <c r="T42" s="21">
        <f t="shared" si="10"/>
      </c>
      <c r="U42" s="21">
        <f t="shared" si="24"/>
      </c>
      <c r="W42" s="95">
        <f t="shared" si="19"/>
      </c>
      <c r="X42" s="94">
        <f t="shared" si="25"/>
      </c>
      <c r="Y42" s="96">
        <f t="shared" si="26"/>
      </c>
      <c r="Z42" s="21">
        <f t="shared" si="20"/>
      </c>
      <c r="AA42" s="21">
        <f t="shared" si="21"/>
      </c>
      <c r="AB42" s="94">
        <f t="shared" si="27"/>
      </c>
      <c r="AC42" s="96">
        <f t="shared" si="28"/>
      </c>
      <c r="AD42" s="94">
        <f t="shared" si="29"/>
      </c>
      <c r="AZ42" s="2">
        <f>IF(7&gt;$BB$300,0,IFERROR(MATCH(7,$BB$1:$BB$300,0),0))</f>
        <v>0</v>
      </c>
      <c r="BA42" s="2">
        <f>IF(OR(往来单位!$B$45="",$AF$3=0),0,SUMIFS(期初余额!$R$5:$R$204,期初余额!$P$5:$P$204,往来单位!$B$45,期初余额!$Q$5:$Q$204,$C$3)+SUMIFS(应付登记!$G$5:$G$1004,应付登记!$D$5:$D$1004,往来单位!$B$45,应付登记!$E$5:$E$1004,$C$3,应付登记!$J$5:$J$1004,"&gt;="&amp;_辅助!$J$4,应付登记!$J$5:$J$1004,"&lt;="&amp;_辅助!$J$2))</f>
        <v>0</v>
      </c>
      <c r="BB42" s="2">
        <f>SUM(CA1:CA42)</f>
        <v>2</v>
      </c>
      <c r="BC42" s="2">
        <f>IF(OR(往来单位!$B$45="",$AF$3=0,NOT(OR(往来单位!$C$45="管理人员",往来单位!$C$45="工人"))),0,SUMIFS(考勤工资!$E$5:$E$1004,考勤工资!$C$5:$C$1004,往来单位!$B$45,考勤工资!$D$5:$D$1004,$C$3,考勤工资!$Y$5:$Y$1004,"&gt;="&amp;_辅助!$J$4,考勤工资!$Y$5:$Y$1004,"&lt;="&amp;_辅助!$J$2)+SUMIFS(考勤工资!$G$5:$G$1004,考勤工资!$C$5:$C$1004,往来单位!$B$45,考勤工资!$F$5:$F$1004,$C$3,考勤工资!$Y$5:$Y$1004,"&gt;="&amp;_辅助!$J$4,考勤工资!$Y$5:$Y$1004,"&lt;="&amp;_辅助!$J$2)+SUMIFS(考勤工资!$I$5:$I$1004,考勤工资!$C$5:$C$1004,往来单位!$B$45,考勤工资!$H$5:$H$1004,$C$3,考勤工资!$Y$5:$Y$1004,"&gt;="&amp;_辅助!$J$4,考勤工资!$Y$5:$Y$1004,"&lt;="&amp;_辅助!$J$2)+SUMIFS(考勤工资!$K$5:$K$1004,考勤工资!$C$5:$C$1004,往来单位!$B$45,考勤工资!$J$5:$J$1004,$C$3,考勤工资!$Y$5:$Y$1004,"&gt;="&amp;_辅助!$J$4,考勤工资!$Y$5:$Y$1004,"&lt;="&amp;_辅助!$J$2))</f>
        <v>0</v>
      </c>
      <c r="BD42" s="2">
        <f>IF(BC42=0,0,SUMIFS(考勤工资!$AC$5:$AC$1004,考勤工资!$C$5:$C$1004,往来单位!$B$45,考勤工资!$D$5:$D$1004,$C$3,考勤工资!$Y$5:$Y$1004,"&gt;="&amp;_辅助!$J$4,考勤工资!$Y$5:$Y$1004,"&lt;="&amp;_辅助!$J$2)+SUMIFS(考勤工资!$AD$5:$AD$1004,考勤工资!$C$5:$C$1004,往来单位!$B$45,考勤工资!$F$5:$F$1004,$C$3,考勤工资!$Y$5:$Y$1004,"&gt;="&amp;_辅助!$J$4,考勤工资!$Y$5:$Y$1004,"&lt;="&amp;_辅助!$J$2)+SUMIFS(考勤工资!$AE$5:$AE$1004,考勤工资!$C$5:$C$1004,往来单位!$B$45,考勤工资!$H$5:$H$1004,$C$3,考勤工资!$Y$5:$Y$1004,"&gt;="&amp;_辅助!$J$4,考勤工资!$Y$5:$Y$1004,"&lt;="&amp;_辅助!$J$2)+SUMIFS(考勤工资!$AF$5:$AF$1004,考勤工资!$C$5:$C$1004,往来单位!$B$45,考勤工资!$J$5:$J$1004,$C$3,考勤工资!$Y$5:$Y$1004,"&gt;="&amp;_辅助!$J$4,考勤工资!$Y$5:$Y$1004,"&lt;="&amp;_辅助!$J$2))</f>
        <v>0</v>
      </c>
      <c r="BE42" s="2">
        <f>SUM(CB1:CB42)</f>
        <v>0</v>
      </c>
      <c r="BF42" s="2">
        <f>IF(AND($AF$3&gt;0,发票登记!$T$45=$C$3,ISNUMBER(发票登记!$X$45),发票登记!$AB$45&lt;&gt;0,发票登记!$Y$45&gt;=_辅助!$J$4,发票登记!$Y$45&lt;=_辅助!$J$2),INT(发票登记!$X$45)*10000+41,"")</f>
      </c>
      <c r="BG42" s="2">
        <f>IF(AND($AF$3&gt;0,资金流水!$H$46=$C$3,ISNUMBER(资金流水!$B$46),ISNUMBER(资金流水!$S$46),资金流水!$S$46&gt;=_辅助!$J$4,资金流水!$S$46&lt;=_辅助!$J$2),INT(资金流水!$B$46)*10000+41,"")</f>
      </c>
      <c r="BH42" s="2">
        <f>IF(7&gt;$BE$300,0,IFERROR(MATCH(7,$BE$1:$BE$300,0),0))</f>
        <v>0</v>
      </c>
      <c r="BI42" s="2">
        <f>IF(7&gt;$BF$1,0,MOD(SMALL($BF$2:$BF$1001,7),10000))</f>
        <v>0</v>
      </c>
      <c r="BJ42" s="2">
        <f>IF(7&gt;$BG$1,0,MOD(SMALL($BG$2:$BG$2001,7),10000))</f>
        <v>0</v>
      </c>
      <c r="CA42" s="2">
        <f t="shared" si="0"/>
        <v>0</v>
      </c>
      <c r="CB42" s="2">
        <f t="shared" si="1"/>
        <v>0</v>
      </c>
    </row>
    <row r="43">
      <c r="A43" s="94">
        <f>IF($AZ43=0,"",8)</f>
      </c>
      <c r="B43" s="96">
        <f t="shared" si="18"/>
      </c>
      <c r="C43" s="21">
        <f t="shared" si="4"/>
      </c>
      <c r="D43" s="21">
        <f t="shared" si="15"/>
      </c>
      <c r="E43" s="21">
        <f t="shared" si="2"/>
      </c>
      <c r="F43" s="21">
        <f t="shared" si="17"/>
      </c>
      <c r="G43" s="21">
        <f t="shared" si="6"/>
      </c>
      <c r="I43" s="94">
        <f t="shared" si="3"/>
      </c>
      <c r="J43" s="21">
        <f t="shared" si="5"/>
      </c>
      <c r="K43" s="94" t="n"/>
      <c r="L43" s="135">
        <f t="shared" si="11"/>
      </c>
      <c r="M43" s="136">
        <f t="shared" si="12"/>
      </c>
      <c r="N43" s="94">
        <f t="shared" si="13"/>
      </c>
      <c r="O43" s="21">
        <f t="shared" si="7"/>
      </c>
      <c r="Q43" s="95">
        <f t="shared" si="22"/>
      </c>
      <c r="R43" s="94">
        <f t="shared" si="23"/>
      </c>
      <c r="S43" s="96">
        <f t="shared" si="8"/>
      </c>
      <c r="T43" s="21">
        <f t="shared" si="10"/>
      </c>
      <c r="U43" s="21">
        <f t="shared" si="24"/>
      </c>
      <c r="W43" s="95">
        <f t="shared" si="19"/>
      </c>
      <c r="X43" s="94">
        <f t="shared" si="25"/>
      </c>
      <c r="Y43" s="96">
        <f t="shared" si="26"/>
      </c>
      <c r="Z43" s="21">
        <f t="shared" si="20"/>
      </c>
      <c r="AA43" s="21">
        <f t="shared" si="21"/>
      </c>
      <c r="AB43" s="94">
        <f t="shared" si="27"/>
      </c>
      <c r="AC43" s="96">
        <f t="shared" si="28"/>
      </c>
      <c r="AD43" s="94">
        <f t="shared" si="29"/>
      </c>
      <c r="AZ43" s="2">
        <f>IF(8&gt;$BB$300,0,IFERROR(MATCH(8,$BB$1:$BB$300,0),0))</f>
        <v>0</v>
      </c>
      <c r="BA43" s="2">
        <f>IF(OR(往来单位!$B$46="",$AF$3=0),0,SUMIFS(期初余额!$R$5:$R$204,期初余额!$P$5:$P$204,往来单位!$B$46,期初余额!$Q$5:$Q$204,$C$3)+SUMIFS(应付登记!$G$5:$G$1004,应付登记!$D$5:$D$1004,往来单位!$B$46,应付登记!$E$5:$E$1004,$C$3,应付登记!$J$5:$J$1004,"&gt;="&amp;_辅助!$J$4,应付登记!$J$5:$J$1004,"&lt;="&amp;_辅助!$J$2))</f>
        <v>0</v>
      </c>
      <c r="BB43" s="2">
        <f>SUM(CA1:CA43)</f>
        <v>2</v>
      </c>
      <c r="BC43" s="2">
        <f>IF(OR(往来单位!$B$46="",$AF$3=0,NOT(OR(往来单位!$C$46="管理人员",往来单位!$C$46="工人"))),0,SUMIFS(考勤工资!$E$5:$E$1004,考勤工资!$C$5:$C$1004,往来单位!$B$46,考勤工资!$D$5:$D$1004,$C$3,考勤工资!$Y$5:$Y$1004,"&gt;="&amp;_辅助!$J$4,考勤工资!$Y$5:$Y$1004,"&lt;="&amp;_辅助!$J$2)+SUMIFS(考勤工资!$G$5:$G$1004,考勤工资!$C$5:$C$1004,往来单位!$B$46,考勤工资!$F$5:$F$1004,$C$3,考勤工资!$Y$5:$Y$1004,"&gt;="&amp;_辅助!$J$4,考勤工资!$Y$5:$Y$1004,"&lt;="&amp;_辅助!$J$2)+SUMIFS(考勤工资!$I$5:$I$1004,考勤工资!$C$5:$C$1004,往来单位!$B$46,考勤工资!$H$5:$H$1004,$C$3,考勤工资!$Y$5:$Y$1004,"&gt;="&amp;_辅助!$J$4,考勤工资!$Y$5:$Y$1004,"&lt;="&amp;_辅助!$J$2)+SUMIFS(考勤工资!$K$5:$K$1004,考勤工资!$C$5:$C$1004,往来单位!$B$46,考勤工资!$J$5:$J$1004,$C$3,考勤工资!$Y$5:$Y$1004,"&gt;="&amp;_辅助!$J$4,考勤工资!$Y$5:$Y$1004,"&lt;="&amp;_辅助!$J$2))</f>
        <v>0</v>
      </c>
      <c r="BD43" s="2">
        <f>IF(BC43=0,0,SUMIFS(考勤工资!$AC$5:$AC$1004,考勤工资!$C$5:$C$1004,往来单位!$B$46,考勤工资!$D$5:$D$1004,$C$3,考勤工资!$Y$5:$Y$1004,"&gt;="&amp;_辅助!$J$4,考勤工资!$Y$5:$Y$1004,"&lt;="&amp;_辅助!$J$2)+SUMIFS(考勤工资!$AD$5:$AD$1004,考勤工资!$C$5:$C$1004,往来单位!$B$46,考勤工资!$F$5:$F$1004,$C$3,考勤工资!$Y$5:$Y$1004,"&gt;="&amp;_辅助!$J$4,考勤工资!$Y$5:$Y$1004,"&lt;="&amp;_辅助!$J$2)+SUMIFS(考勤工资!$AE$5:$AE$1004,考勤工资!$C$5:$C$1004,往来单位!$B$46,考勤工资!$H$5:$H$1004,$C$3,考勤工资!$Y$5:$Y$1004,"&gt;="&amp;_辅助!$J$4,考勤工资!$Y$5:$Y$1004,"&lt;="&amp;_辅助!$J$2)+SUMIFS(考勤工资!$AF$5:$AF$1004,考勤工资!$C$5:$C$1004,往来单位!$B$46,考勤工资!$J$5:$J$1004,$C$3,考勤工资!$Y$5:$Y$1004,"&gt;="&amp;_辅助!$J$4,考勤工资!$Y$5:$Y$1004,"&lt;="&amp;_辅助!$J$2))</f>
        <v>0</v>
      </c>
      <c r="BE43" s="2">
        <f>SUM(CB1:CB43)</f>
        <v>0</v>
      </c>
      <c r="BF43" s="2">
        <f>IF(AND($AF$3&gt;0,发票登记!$T$46=$C$3,ISNUMBER(发票登记!$X$46),发票登记!$AB$46&lt;&gt;0,发票登记!$Y$46&gt;=_辅助!$J$4,发票登记!$Y$46&lt;=_辅助!$J$2),INT(发票登记!$X$46)*10000+42,"")</f>
      </c>
      <c r="BG43" s="2">
        <f>IF(AND($AF$3&gt;0,资金流水!$H$47=$C$3,ISNUMBER(资金流水!$B$47),ISNUMBER(资金流水!$S$47),资金流水!$S$47&gt;=_辅助!$J$4,资金流水!$S$47&lt;=_辅助!$J$2),INT(资金流水!$B$47)*10000+42,"")</f>
      </c>
      <c r="BH43" s="2">
        <f>IF(8&gt;$BE$300,0,IFERROR(MATCH(8,$BE$1:$BE$300,0),0))</f>
        <v>0</v>
      </c>
      <c r="BI43" s="2">
        <f>IF(8&gt;$BF$1,0,MOD(SMALL($BF$2:$BF$1001,8),10000))</f>
        <v>0</v>
      </c>
      <c r="BJ43" s="2">
        <f>IF(8&gt;$BG$1,0,MOD(SMALL($BG$2:$BG$2001,8),10000))</f>
        <v>0</v>
      </c>
      <c r="CA43" s="2">
        <f t="shared" si="0"/>
        <v>0</v>
      </c>
      <c r="CB43" s="2">
        <f t="shared" si="1"/>
        <v>0</v>
      </c>
    </row>
    <row r="44">
      <c r="A44" s="94">
        <f>IF($AZ44=0,"",9)</f>
      </c>
      <c r="B44" s="96">
        <f t="shared" si="18"/>
      </c>
      <c r="C44" s="21">
        <f t="shared" si="4"/>
      </c>
      <c r="D44" s="21">
        <f t="shared" si="15"/>
      </c>
      <c r="E44" s="21">
        <f t="shared" si="2"/>
      </c>
      <c r="F44" s="21">
        <f t="shared" si="17"/>
      </c>
      <c r="G44" s="21">
        <f t="shared" si="6"/>
      </c>
      <c r="I44" s="94">
        <f t="shared" si="3"/>
      </c>
      <c r="J44" s="21">
        <f t="shared" si="5"/>
      </c>
      <c r="K44" s="94" t="n"/>
      <c r="L44" s="135">
        <f t="shared" si="11"/>
      </c>
      <c r="M44" s="136">
        <f t="shared" si="12"/>
      </c>
      <c r="N44" s="94">
        <f t="shared" si="13"/>
      </c>
      <c r="O44" s="21">
        <f t="shared" si="7"/>
      </c>
      <c r="Q44" s="95">
        <f t="shared" si="22"/>
      </c>
      <c r="R44" s="94">
        <f t="shared" si="23"/>
      </c>
      <c r="S44" s="96">
        <f t="shared" si="8"/>
      </c>
      <c r="T44" s="21">
        <f t="shared" si="10"/>
      </c>
      <c r="U44" s="21">
        <f t="shared" si="24"/>
      </c>
      <c r="W44" s="95">
        <f t="shared" si="19"/>
      </c>
      <c r="X44" s="94">
        <f t="shared" si="25"/>
      </c>
      <c r="Y44" s="96">
        <f t="shared" si="26"/>
      </c>
      <c r="Z44" s="21">
        <f t="shared" si="20"/>
      </c>
      <c r="AA44" s="21">
        <f t="shared" si="21"/>
      </c>
      <c r="AB44" s="94">
        <f t="shared" si="27"/>
      </c>
      <c r="AC44" s="96">
        <f t="shared" si="28"/>
      </c>
      <c r="AD44" s="94">
        <f t="shared" si="29"/>
      </c>
      <c r="AZ44" s="2">
        <f>IF(9&gt;$BB$300,0,IFERROR(MATCH(9,$BB$1:$BB$300,0),0))</f>
        <v>0</v>
      </c>
      <c r="BA44" s="2">
        <f>IF(OR(往来单位!$B$47="",$AF$3=0),0,SUMIFS(期初余额!$R$5:$R$204,期初余额!$P$5:$P$204,往来单位!$B$47,期初余额!$Q$5:$Q$204,$C$3)+SUMIFS(应付登记!$G$5:$G$1004,应付登记!$D$5:$D$1004,往来单位!$B$47,应付登记!$E$5:$E$1004,$C$3,应付登记!$J$5:$J$1004,"&gt;="&amp;_辅助!$J$4,应付登记!$J$5:$J$1004,"&lt;="&amp;_辅助!$J$2))</f>
        <v>0</v>
      </c>
      <c r="BB44" s="2">
        <f>SUM(CA1:CA44)</f>
        <v>2</v>
      </c>
      <c r="BC44" s="2">
        <f>IF(OR(往来单位!$B$47="",$AF$3=0,NOT(OR(往来单位!$C$47="管理人员",往来单位!$C$47="工人"))),0,SUMIFS(考勤工资!$E$5:$E$1004,考勤工资!$C$5:$C$1004,往来单位!$B$47,考勤工资!$D$5:$D$1004,$C$3,考勤工资!$Y$5:$Y$1004,"&gt;="&amp;_辅助!$J$4,考勤工资!$Y$5:$Y$1004,"&lt;="&amp;_辅助!$J$2)+SUMIFS(考勤工资!$G$5:$G$1004,考勤工资!$C$5:$C$1004,往来单位!$B$47,考勤工资!$F$5:$F$1004,$C$3,考勤工资!$Y$5:$Y$1004,"&gt;="&amp;_辅助!$J$4,考勤工资!$Y$5:$Y$1004,"&lt;="&amp;_辅助!$J$2)+SUMIFS(考勤工资!$I$5:$I$1004,考勤工资!$C$5:$C$1004,往来单位!$B$47,考勤工资!$H$5:$H$1004,$C$3,考勤工资!$Y$5:$Y$1004,"&gt;="&amp;_辅助!$J$4,考勤工资!$Y$5:$Y$1004,"&lt;="&amp;_辅助!$J$2)+SUMIFS(考勤工资!$K$5:$K$1004,考勤工资!$C$5:$C$1004,往来单位!$B$47,考勤工资!$J$5:$J$1004,$C$3,考勤工资!$Y$5:$Y$1004,"&gt;="&amp;_辅助!$J$4,考勤工资!$Y$5:$Y$1004,"&lt;="&amp;_辅助!$J$2))</f>
        <v>0</v>
      </c>
      <c r="BD44" s="2">
        <f>IF(BC44=0,0,SUMIFS(考勤工资!$AC$5:$AC$1004,考勤工资!$C$5:$C$1004,往来单位!$B$47,考勤工资!$D$5:$D$1004,$C$3,考勤工资!$Y$5:$Y$1004,"&gt;="&amp;_辅助!$J$4,考勤工资!$Y$5:$Y$1004,"&lt;="&amp;_辅助!$J$2)+SUMIFS(考勤工资!$AD$5:$AD$1004,考勤工资!$C$5:$C$1004,往来单位!$B$47,考勤工资!$F$5:$F$1004,$C$3,考勤工资!$Y$5:$Y$1004,"&gt;="&amp;_辅助!$J$4,考勤工资!$Y$5:$Y$1004,"&lt;="&amp;_辅助!$J$2)+SUMIFS(考勤工资!$AE$5:$AE$1004,考勤工资!$C$5:$C$1004,往来单位!$B$47,考勤工资!$H$5:$H$1004,$C$3,考勤工资!$Y$5:$Y$1004,"&gt;="&amp;_辅助!$J$4,考勤工资!$Y$5:$Y$1004,"&lt;="&amp;_辅助!$J$2)+SUMIFS(考勤工资!$AF$5:$AF$1004,考勤工资!$C$5:$C$1004,往来单位!$B$47,考勤工资!$J$5:$J$1004,$C$3,考勤工资!$Y$5:$Y$1004,"&gt;="&amp;_辅助!$J$4,考勤工资!$Y$5:$Y$1004,"&lt;="&amp;_辅助!$J$2))</f>
        <v>0</v>
      </c>
      <c r="BE44" s="2">
        <f>SUM(CB1:CB44)</f>
        <v>0</v>
      </c>
      <c r="BF44" s="2">
        <f>IF(AND($AF$3&gt;0,发票登记!$T$47=$C$3,ISNUMBER(发票登记!$X$47),发票登记!$AB$47&lt;&gt;0,发票登记!$Y$47&gt;=_辅助!$J$4,发票登记!$Y$47&lt;=_辅助!$J$2),INT(发票登记!$X$47)*10000+43,"")</f>
      </c>
      <c r="BG44" s="2">
        <f>IF(AND($AF$3&gt;0,资金流水!$H$48=$C$3,ISNUMBER(资金流水!$B$48),ISNUMBER(资金流水!$S$48),资金流水!$S$48&gt;=_辅助!$J$4,资金流水!$S$48&lt;=_辅助!$J$2),INT(资金流水!$B$48)*10000+43,"")</f>
      </c>
      <c r="BH44" s="2">
        <f>IF(9&gt;$BE$300,0,IFERROR(MATCH(9,$BE$1:$BE$300,0),0))</f>
        <v>0</v>
      </c>
      <c r="BI44" s="2">
        <f>IF(9&gt;$BF$1,0,MOD(SMALL($BF$2:$BF$1001,9),10000))</f>
        <v>0</v>
      </c>
      <c r="BJ44" s="2">
        <f>IF(9&gt;$BG$1,0,MOD(SMALL($BG$2:$BG$2001,9),10000))</f>
        <v>0</v>
      </c>
      <c r="CA44" s="2">
        <f t="shared" si="0"/>
        <v>0</v>
      </c>
      <c r="CB44" s="2">
        <f t="shared" si="1"/>
        <v>0</v>
      </c>
    </row>
    <row r="45">
      <c r="A45" s="94">
        <f>IF($AZ45=0,"",10)</f>
      </c>
      <c r="B45" s="96">
        <f t="shared" si="18"/>
      </c>
      <c r="C45" s="21">
        <f t="shared" si="4"/>
      </c>
      <c r="D45" s="21">
        <f t="shared" si="15"/>
      </c>
      <c r="E45" s="21">
        <f t="shared" si="2"/>
      </c>
      <c r="F45" s="21">
        <f t="shared" si="17"/>
      </c>
      <c r="G45" s="21">
        <f t="shared" si="6"/>
      </c>
      <c r="I45" s="94">
        <f t="shared" si="3"/>
      </c>
      <c r="J45" s="21">
        <f t="shared" si="5"/>
      </c>
      <c r="K45" s="94" t="n"/>
      <c r="L45" s="135">
        <f t="shared" si="11"/>
      </c>
      <c r="M45" s="136">
        <f t="shared" si="12"/>
      </c>
      <c r="N45" s="94">
        <f t="shared" si="13"/>
      </c>
      <c r="O45" s="21">
        <f t="shared" si="7"/>
      </c>
      <c r="Q45" s="95">
        <f t="shared" si="22"/>
      </c>
      <c r="R45" s="94">
        <f t="shared" si="23"/>
      </c>
      <c r="S45" s="96">
        <f t="shared" si="8"/>
      </c>
      <c r="T45" s="21">
        <f t="shared" si="10"/>
      </c>
      <c r="U45" s="21">
        <f t="shared" si="24"/>
      </c>
      <c r="W45" s="95">
        <f t="shared" si="19"/>
      </c>
      <c r="X45" s="94">
        <f t="shared" si="25"/>
      </c>
      <c r="Y45" s="96">
        <f t="shared" si="26"/>
      </c>
      <c r="Z45" s="21">
        <f t="shared" si="20"/>
      </c>
      <c r="AA45" s="21">
        <f t="shared" si="21"/>
      </c>
      <c r="AB45" s="94">
        <f t="shared" si="27"/>
      </c>
      <c r="AC45" s="96">
        <f t="shared" si="28"/>
      </c>
      <c r="AD45" s="94">
        <f t="shared" si="29"/>
      </c>
      <c r="AZ45" s="2">
        <f>IF(10&gt;$BB$300,0,IFERROR(MATCH(10,$BB$1:$BB$300,0),0))</f>
        <v>0</v>
      </c>
      <c r="BA45" s="2">
        <f>IF(OR(往来单位!$B$48="",$AF$3=0),0,SUMIFS(期初余额!$R$5:$R$204,期初余额!$P$5:$P$204,往来单位!$B$48,期初余额!$Q$5:$Q$204,$C$3)+SUMIFS(应付登记!$G$5:$G$1004,应付登记!$D$5:$D$1004,往来单位!$B$48,应付登记!$E$5:$E$1004,$C$3,应付登记!$J$5:$J$1004,"&gt;="&amp;_辅助!$J$4,应付登记!$J$5:$J$1004,"&lt;="&amp;_辅助!$J$2))</f>
        <v>0</v>
      </c>
      <c r="BB45" s="2">
        <f>SUM(CA1:CA45)</f>
        <v>2</v>
      </c>
      <c r="BC45" s="2">
        <f>IF(OR(往来单位!$B$48="",$AF$3=0,NOT(OR(往来单位!$C$48="管理人员",往来单位!$C$48="工人"))),0,SUMIFS(考勤工资!$E$5:$E$1004,考勤工资!$C$5:$C$1004,往来单位!$B$48,考勤工资!$D$5:$D$1004,$C$3,考勤工资!$Y$5:$Y$1004,"&gt;="&amp;_辅助!$J$4,考勤工资!$Y$5:$Y$1004,"&lt;="&amp;_辅助!$J$2)+SUMIFS(考勤工资!$G$5:$G$1004,考勤工资!$C$5:$C$1004,往来单位!$B$48,考勤工资!$F$5:$F$1004,$C$3,考勤工资!$Y$5:$Y$1004,"&gt;="&amp;_辅助!$J$4,考勤工资!$Y$5:$Y$1004,"&lt;="&amp;_辅助!$J$2)+SUMIFS(考勤工资!$I$5:$I$1004,考勤工资!$C$5:$C$1004,往来单位!$B$48,考勤工资!$H$5:$H$1004,$C$3,考勤工资!$Y$5:$Y$1004,"&gt;="&amp;_辅助!$J$4,考勤工资!$Y$5:$Y$1004,"&lt;="&amp;_辅助!$J$2)+SUMIFS(考勤工资!$K$5:$K$1004,考勤工资!$C$5:$C$1004,往来单位!$B$48,考勤工资!$J$5:$J$1004,$C$3,考勤工资!$Y$5:$Y$1004,"&gt;="&amp;_辅助!$J$4,考勤工资!$Y$5:$Y$1004,"&lt;="&amp;_辅助!$J$2))</f>
        <v>0</v>
      </c>
      <c r="BD45" s="2">
        <f>IF(BC45=0,0,SUMIFS(考勤工资!$AC$5:$AC$1004,考勤工资!$C$5:$C$1004,往来单位!$B$48,考勤工资!$D$5:$D$1004,$C$3,考勤工资!$Y$5:$Y$1004,"&gt;="&amp;_辅助!$J$4,考勤工资!$Y$5:$Y$1004,"&lt;="&amp;_辅助!$J$2)+SUMIFS(考勤工资!$AD$5:$AD$1004,考勤工资!$C$5:$C$1004,往来单位!$B$48,考勤工资!$F$5:$F$1004,$C$3,考勤工资!$Y$5:$Y$1004,"&gt;="&amp;_辅助!$J$4,考勤工资!$Y$5:$Y$1004,"&lt;="&amp;_辅助!$J$2)+SUMIFS(考勤工资!$AE$5:$AE$1004,考勤工资!$C$5:$C$1004,往来单位!$B$48,考勤工资!$H$5:$H$1004,$C$3,考勤工资!$Y$5:$Y$1004,"&gt;="&amp;_辅助!$J$4,考勤工资!$Y$5:$Y$1004,"&lt;="&amp;_辅助!$J$2)+SUMIFS(考勤工资!$AF$5:$AF$1004,考勤工资!$C$5:$C$1004,往来单位!$B$48,考勤工资!$J$5:$J$1004,$C$3,考勤工资!$Y$5:$Y$1004,"&gt;="&amp;_辅助!$J$4,考勤工资!$Y$5:$Y$1004,"&lt;="&amp;_辅助!$J$2))</f>
        <v>0</v>
      </c>
      <c r="BE45" s="2">
        <f>SUM(CB1:CB45)</f>
        <v>0</v>
      </c>
      <c r="BF45" s="2">
        <f>IF(AND($AF$3&gt;0,发票登记!$T$48=$C$3,ISNUMBER(发票登记!$X$48),发票登记!$AB$48&lt;&gt;0,发票登记!$Y$48&gt;=_辅助!$J$4,发票登记!$Y$48&lt;=_辅助!$J$2),INT(发票登记!$X$48)*10000+44,"")</f>
      </c>
      <c r="BG45" s="2">
        <f>IF(AND($AF$3&gt;0,资金流水!$H$49=$C$3,ISNUMBER(资金流水!$B$49),ISNUMBER(资金流水!$S$49),资金流水!$S$49&gt;=_辅助!$J$4,资金流水!$S$49&lt;=_辅助!$J$2),INT(资金流水!$B$49)*10000+44,"")</f>
      </c>
      <c r="BH45" s="2">
        <f>IF(10&gt;$BE$300,0,IFERROR(MATCH(10,$BE$1:$BE$300,0),0))</f>
        <v>0</v>
      </c>
      <c r="BI45" s="2">
        <f>IF(10&gt;$BF$1,0,MOD(SMALL($BF$2:$BF$1001,10),10000))</f>
        <v>0</v>
      </c>
      <c r="BJ45" s="2">
        <f>IF(10&gt;$BG$1,0,MOD(SMALL($BG$2:$BG$2001,10),10000))</f>
        <v>0</v>
      </c>
      <c r="CA45" s="2">
        <f t="shared" si="0"/>
        <v>0</v>
      </c>
      <c r="CB45" s="2">
        <f t="shared" si="1"/>
        <v>0</v>
      </c>
    </row>
    <row r="46">
      <c r="A46" s="94">
        <f>IF($AZ46=0,"",11)</f>
      </c>
      <c r="B46" s="96">
        <f t="shared" si="18"/>
      </c>
      <c r="C46" s="21">
        <f t="shared" si="4"/>
      </c>
      <c r="D46" s="21">
        <f t="shared" si="15"/>
      </c>
      <c r="E46" s="21">
        <f t="shared" si="2"/>
      </c>
      <c r="F46" s="21">
        <f t="shared" si="17"/>
      </c>
      <c r="G46" s="21">
        <f t="shared" si="6"/>
      </c>
      <c r="I46" s="94">
        <f t="shared" si="3"/>
      </c>
      <c r="J46" s="21">
        <f t="shared" si="5"/>
      </c>
      <c r="K46" s="94" t="n"/>
      <c r="L46" s="135">
        <f t="shared" si="11"/>
      </c>
      <c r="M46" s="136">
        <f t="shared" si="12"/>
      </c>
      <c r="N46" s="94">
        <f t="shared" si="13"/>
      </c>
      <c r="O46" s="21">
        <f t="shared" si="7"/>
      </c>
      <c r="Q46" s="95">
        <f t="shared" si="22"/>
      </c>
      <c r="R46" s="94">
        <f t="shared" si="23"/>
      </c>
      <c r="S46" s="96">
        <f t="shared" si="8"/>
      </c>
      <c r="T46" s="21">
        <f t="shared" si="10"/>
      </c>
      <c r="U46" s="21">
        <f t="shared" si="24"/>
      </c>
      <c r="W46" s="95">
        <f t="shared" si="19"/>
      </c>
      <c r="X46" s="94">
        <f t="shared" si="25"/>
      </c>
      <c r="Y46" s="96">
        <f t="shared" si="26"/>
      </c>
      <c r="Z46" s="21">
        <f t="shared" si="20"/>
      </c>
      <c r="AA46" s="21">
        <f t="shared" si="21"/>
      </c>
      <c r="AB46" s="94">
        <f t="shared" si="27"/>
      </c>
      <c r="AC46" s="96">
        <f t="shared" si="28"/>
      </c>
      <c r="AD46" s="94">
        <f t="shared" si="29"/>
      </c>
      <c r="AZ46" s="2">
        <f>IF(11&gt;$BB$300,0,IFERROR(MATCH(11,$BB$1:$BB$300,0),0))</f>
        <v>0</v>
      </c>
      <c r="BA46" s="2">
        <f>IF(OR(往来单位!$B$49="",$AF$3=0),0,SUMIFS(期初余额!$R$5:$R$204,期初余额!$P$5:$P$204,往来单位!$B$49,期初余额!$Q$5:$Q$204,$C$3)+SUMIFS(应付登记!$G$5:$G$1004,应付登记!$D$5:$D$1004,往来单位!$B$49,应付登记!$E$5:$E$1004,$C$3,应付登记!$J$5:$J$1004,"&gt;="&amp;_辅助!$J$4,应付登记!$J$5:$J$1004,"&lt;="&amp;_辅助!$J$2))</f>
        <v>0</v>
      </c>
      <c r="BB46" s="2">
        <f>SUM(CA1:CA46)</f>
        <v>2</v>
      </c>
      <c r="BC46" s="2">
        <f>IF(OR(往来单位!$B$49="",$AF$3=0,NOT(OR(往来单位!$C$49="管理人员",往来单位!$C$49="工人"))),0,SUMIFS(考勤工资!$E$5:$E$1004,考勤工资!$C$5:$C$1004,往来单位!$B$49,考勤工资!$D$5:$D$1004,$C$3,考勤工资!$Y$5:$Y$1004,"&gt;="&amp;_辅助!$J$4,考勤工资!$Y$5:$Y$1004,"&lt;="&amp;_辅助!$J$2)+SUMIFS(考勤工资!$G$5:$G$1004,考勤工资!$C$5:$C$1004,往来单位!$B$49,考勤工资!$F$5:$F$1004,$C$3,考勤工资!$Y$5:$Y$1004,"&gt;="&amp;_辅助!$J$4,考勤工资!$Y$5:$Y$1004,"&lt;="&amp;_辅助!$J$2)+SUMIFS(考勤工资!$I$5:$I$1004,考勤工资!$C$5:$C$1004,往来单位!$B$49,考勤工资!$H$5:$H$1004,$C$3,考勤工资!$Y$5:$Y$1004,"&gt;="&amp;_辅助!$J$4,考勤工资!$Y$5:$Y$1004,"&lt;="&amp;_辅助!$J$2)+SUMIFS(考勤工资!$K$5:$K$1004,考勤工资!$C$5:$C$1004,往来单位!$B$49,考勤工资!$J$5:$J$1004,$C$3,考勤工资!$Y$5:$Y$1004,"&gt;="&amp;_辅助!$J$4,考勤工资!$Y$5:$Y$1004,"&lt;="&amp;_辅助!$J$2))</f>
        <v>0</v>
      </c>
      <c r="BD46" s="2">
        <f>IF(BC46=0,0,SUMIFS(考勤工资!$AC$5:$AC$1004,考勤工资!$C$5:$C$1004,往来单位!$B$49,考勤工资!$D$5:$D$1004,$C$3,考勤工资!$Y$5:$Y$1004,"&gt;="&amp;_辅助!$J$4,考勤工资!$Y$5:$Y$1004,"&lt;="&amp;_辅助!$J$2)+SUMIFS(考勤工资!$AD$5:$AD$1004,考勤工资!$C$5:$C$1004,往来单位!$B$49,考勤工资!$F$5:$F$1004,$C$3,考勤工资!$Y$5:$Y$1004,"&gt;="&amp;_辅助!$J$4,考勤工资!$Y$5:$Y$1004,"&lt;="&amp;_辅助!$J$2)+SUMIFS(考勤工资!$AE$5:$AE$1004,考勤工资!$C$5:$C$1004,往来单位!$B$49,考勤工资!$H$5:$H$1004,$C$3,考勤工资!$Y$5:$Y$1004,"&gt;="&amp;_辅助!$J$4,考勤工资!$Y$5:$Y$1004,"&lt;="&amp;_辅助!$J$2)+SUMIFS(考勤工资!$AF$5:$AF$1004,考勤工资!$C$5:$C$1004,往来单位!$B$49,考勤工资!$J$5:$J$1004,$C$3,考勤工资!$Y$5:$Y$1004,"&gt;="&amp;_辅助!$J$4,考勤工资!$Y$5:$Y$1004,"&lt;="&amp;_辅助!$J$2))</f>
        <v>0</v>
      </c>
      <c r="BE46" s="2">
        <f>SUM(CB1:CB46)</f>
        <v>0</v>
      </c>
      <c r="BF46" s="2">
        <f>IF(AND($AF$3&gt;0,发票登记!$T$49=$C$3,ISNUMBER(发票登记!$X$49),发票登记!$AB$49&lt;&gt;0,发票登记!$Y$49&gt;=_辅助!$J$4,发票登记!$Y$49&lt;=_辅助!$J$2),INT(发票登记!$X$49)*10000+45,"")</f>
      </c>
      <c r="BG46" s="2">
        <f>IF(AND($AF$3&gt;0,资金流水!$H$50=$C$3,ISNUMBER(资金流水!$B$50),ISNUMBER(资金流水!$S$50),资金流水!$S$50&gt;=_辅助!$J$4,资金流水!$S$50&lt;=_辅助!$J$2),INT(资金流水!$B$50)*10000+45,"")</f>
      </c>
      <c r="BH46" s="2">
        <f>IF(11&gt;$BE$300,0,IFERROR(MATCH(11,$BE$1:$BE$300,0),0))</f>
        <v>0</v>
      </c>
      <c r="BI46" s="2">
        <f>IF(11&gt;$BF$1,0,MOD(SMALL($BF$2:$BF$1001,11),10000))</f>
        <v>0</v>
      </c>
      <c r="BJ46" s="2">
        <f>IF(11&gt;$BG$1,0,MOD(SMALL($BG$2:$BG$2001,11),10000))</f>
        <v>0</v>
      </c>
      <c r="CA46" s="2">
        <f t="shared" si="0"/>
        <v>0</v>
      </c>
      <c r="CB46" s="2">
        <f t="shared" si="1"/>
        <v>0</v>
      </c>
    </row>
    <row r="47">
      <c r="A47" s="94">
        <f>IF($AZ47=0,"",12)</f>
      </c>
      <c r="B47" s="96">
        <f t="shared" si="18"/>
      </c>
      <c r="C47" s="21">
        <f t="shared" si="4"/>
      </c>
      <c r="D47" s="21">
        <f t="shared" si="15"/>
      </c>
      <c r="E47" s="21">
        <f t="shared" si="2"/>
      </c>
      <c r="F47" s="21">
        <f t="shared" si="17"/>
      </c>
      <c r="G47" s="21">
        <f t="shared" si="6"/>
      </c>
      <c r="I47" s="94">
        <f t="shared" si="3"/>
      </c>
      <c r="J47" s="21">
        <f t="shared" si="5"/>
      </c>
      <c r="K47" s="94" t="n"/>
      <c r="L47" s="135">
        <f t="shared" si="11"/>
      </c>
      <c r="M47" s="136">
        <f t="shared" si="12"/>
      </c>
      <c r="N47" s="94">
        <f t="shared" si="13"/>
      </c>
      <c r="O47" s="21">
        <f t="shared" si="7"/>
      </c>
      <c r="Q47" s="95">
        <f t="shared" si="22"/>
      </c>
      <c r="R47" s="94">
        <f t="shared" si="23"/>
      </c>
      <c r="S47" s="96">
        <f t="shared" si="8"/>
      </c>
      <c r="T47" s="21">
        <f t="shared" si="10"/>
      </c>
      <c r="U47" s="21">
        <f t="shared" si="24"/>
      </c>
      <c r="W47" s="95">
        <f t="shared" si="19"/>
      </c>
      <c r="X47" s="94">
        <f t="shared" si="25"/>
      </c>
      <c r="Y47" s="96">
        <f t="shared" si="26"/>
      </c>
      <c r="Z47" s="21">
        <f t="shared" si="20"/>
      </c>
      <c r="AA47" s="21">
        <f t="shared" si="21"/>
      </c>
      <c r="AB47" s="94">
        <f t="shared" si="27"/>
      </c>
      <c r="AC47" s="96">
        <f t="shared" si="28"/>
      </c>
      <c r="AD47" s="94">
        <f t="shared" si="29"/>
      </c>
      <c r="AZ47" s="2">
        <f>IF(12&gt;$BB$300,0,IFERROR(MATCH(12,$BB$1:$BB$300,0),0))</f>
        <v>0</v>
      </c>
      <c r="BA47" s="2">
        <f>IF(OR(往来单位!$B$50="",$AF$3=0),0,SUMIFS(期初余额!$R$5:$R$204,期初余额!$P$5:$P$204,往来单位!$B$50,期初余额!$Q$5:$Q$204,$C$3)+SUMIFS(应付登记!$G$5:$G$1004,应付登记!$D$5:$D$1004,往来单位!$B$50,应付登记!$E$5:$E$1004,$C$3,应付登记!$J$5:$J$1004,"&gt;="&amp;_辅助!$J$4,应付登记!$J$5:$J$1004,"&lt;="&amp;_辅助!$J$2))</f>
        <v>0</v>
      </c>
      <c r="BB47" s="2">
        <f>SUM(CA1:CA47)</f>
        <v>2</v>
      </c>
      <c r="BC47" s="2">
        <f>IF(OR(往来单位!$B$50="",$AF$3=0,NOT(OR(往来单位!$C$50="管理人员",往来单位!$C$50="工人"))),0,SUMIFS(考勤工资!$E$5:$E$1004,考勤工资!$C$5:$C$1004,往来单位!$B$50,考勤工资!$D$5:$D$1004,$C$3,考勤工资!$Y$5:$Y$1004,"&gt;="&amp;_辅助!$J$4,考勤工资!$Y$5:$Y$1004,"&lt;="&amp;_辅助!$J$2)+SUMIFS(考勤工资!$G$5:$G$1004,考勤工资!$C$5:$C$1004,往来单位!$B$50,考勤工资!$F$5:$F$1004,$C$3,考勤工资!$Y$5:$Y$1004,"&gt;="&amp;_辅助!$J$4,考勤工资!$Y$5:$Y$1004,"&lt;="&amp;_辅助!$J$2)+SUMIFS(考勤工资!$I$5:$I$1004,考勤工资!$C$5:$C$1004,往来单位!$B$50,考勤工资!$H$5:$H$1004,$C$3,考勤工资!$Y$5:$Y$1004,"&gt;="&amp;_辅助!$J$4,考勤工资!$Y$5:$Y$1004,"&lt;="&amp;_辅助!$J$2)+SUMIFS(考勤工资!$K$5:$K$1004,考勤工资!$C$5:$C$1004,往来单位!$B$50,考勤工资!$J$5:$J$1004,$C$3,考勤工资!$Y$5:$Y$1004,"&gt;="&amp;_辅助!$J$4,考勤工资!$Y$5:$Y$1004,"&lt;="&amp;_辅助!$J$2))</f>
        <v>0</v>
      </c>
      <c r="BD47" s="2">
        <f>IF(BC47=0,0,SUMIFS(考勤工资!$AC$5:$AC$1004,考勤工资!$C$5:$C$1004,往来单位!$B$50,考勤工资!$D$5:$D$1004,$C$3,考勤工资!$Y$5:$Y$1004,"&gt;="&amp;_辅助!$J$4,考勤工资!$Y$5:$Y$1004,"&lt;="&amp;_辅助!$J$2)+SUMIFS(考勤工资!$AD$5:$AD$1004,考勤工资!$C$5:$C$1004,往来单位!$B$50,考勤工资!$F$5:$F$1004,$C$3,考勤工资!$Y$5:$Y$1004,"&gt;="&amp;_辅助!$J$4,考勤工资!$Y$5:$Y$1004,"&lt;="&amp;_辅助!$J$2)+SUMIFS(考勤工资!$AE$5:$AE$1004,考勤工资!$C$5:$C$1004,往来单位!$B$50,考勤工资!$H$5:$H$1004,$C$3,考勤工资!$Y$5:$Y$1004,"&gt;="&amp;_辅助!$J$4,考勤工资!$Y$5:$Y$1004,"&lt;="&amp;_辅助!$J$2)+SUMIFS(考勤工资!$AF$5:$AF$1004,考勤工资!$C$5:$C$1004,往来单位!$B$50,考勤工资!$J$5:$J$1004,$C$3,考勤工资!$Y$5:$Y$1004,"&gt;="&amp;_辅助!$J$4,考勤工资!$Y$5:$Y$1004,"&lt;="&amp;_辅助!$J$2))</f>
        <v>0</v>
      </c>
      <c r="BE47" s="2">
        <f>SUM(CB1:CB47)</f>
        <v>0</v>
      </c>
      <c r="BF47" s="2">
        <f>IF(AND($AF$3&gt;0,发票登记!$T$50=$C$3,ISNUMBER(发票登记!$X$50),发票登记!$AB$50&lt;&gt;0,发票登记!$Y$50&gt;=_辅助!$J$4,发票登记!$Y$50&lt;=_辅助!$J$2),INT(发票登记!$X$50)*10000+46,"")</f>
      </c>
      <c r="BG47" s="2">
        <f>IF(AND($AF$3&gt;0,资金流水!$H$51=$C$3,ISNUMBER(资金流水!$B$51),ISNUMBER(资金流水!$S$51),资金流水!$S$51&gt;=_辅助!$J$4,资金流水!$S$51&lt;=_辅助!$J$2),INT(资金流水!$B$51)*10000+46,"")</f>
      </c>
      <c r="BH47" s="2">
        <f>IF(12&gt;$BE$300,0,IFERROR(MATCH(12,$BE$1:$BE$300,0),0))</f>
        <v>0</v>
      </c>
      <c r="BI47" s="2">
        <f>IF(12&gt;$BF$1,0,MOD(SMALL($BF$2:$BF$1001,12),10000))</f>
        <v>0</v>
      </c>
      <c r="BJ47" s="2">
        <f>IF(12&gt;$BG$1,0,MOD(SMALL($BG$2:$BG$2001,12),10000))</f>
        <v>0</v>
      </c>
      <c r="CA47" s="2">
        <f t="shared" si="0"/>
        <v>0</v>
      </c>
      <c r="CB47" s="2">
        <f t="shared" si="1"/>
        <v>0</v>
      </c>
    </row>
    <row r="48">
      <c r="A48" s="94">
        <f>IF($AZ48=0,"",13)</f>
      </c>
      <c r="B48" s="96">
        <f t="shared" si="18"/>
      </c>
      <c r="C48" s="21">
        <f t="shared" si="4"/>
      </c>
      <c r="D48" s="21">
        <f t="shared" si="15"/>
      </c>
      <c r="E48" s="21">
        <f t="shared" si="2"/>
      </c>
      <c r="F48" s="21">
        <f t="shared" si="17"/>
      </c>
      <c r="G48" s="21">
        <f t="shared" si="6"/>
      </c>
      <c r="I48" s="94">
        <f t="shared" si="3"/>
      </c>
      <c r="J48" s="21">
        <f t="shared" si="5"/>
      </c>
      <c r="K48" s="94" t="n"/>
      <c r="L48" s="135">
        <f t="shared" si="11"/>
      </c>
      <c r="M48" s="136">
        <f t="shared" si="12"/>
      </c>
      <c r="N48" s="94">
        <f t="shared" si="13"/>
      </c>
      <c r="O48" s="21">
        <f t="shared" si="7"/>
      </c>
      <c r="Q48" s="95">
        <f t="shared" si="22"/>
      </c>
      <c r="R48" s="94">
        <f t="shared" si="23"/>
      </c>
      <c r="S48" s="96">
        <f t="shared" si="8"/>
      </c>
      <c r="T48" s="21">
        <f t="shared" si="10"/>
      </c>
      <c r="U48" s="21">
        <f t="shared" si="24"/>
      </c>
      <c r="W48" s="95">
        <f t="shared" si="19"/>
      </c>
      <c r="X48" s="94">
        <f t="shared" si="25"/>
      </c>
      <c r="Y48" s="96">
        <f t="shared" si="26"/>
      </c>
      <c r="Z48" s="21">
        <f t="shared" si="20"/>
      </c>
      <c r="AA48" s="21">
        <f t="shared" si="21"/>
      </c>
      <c r="AB48" s="94">
        <f t="shared" si="27"/>
      </c>
      <c r="AC48" s="96">
        <f t="shared" si="28"/>
      </c>
      <c r="AD48" s="94">
        <f t="shared" si="29"/>
      </c>
      <c r="AZ48" s="2">
        <f>IF(13&gt;$BB$300,0,IFERROR(MATCH(13,$BB$1:$BB$300,0),0))</f>
        <v>0</v>
      </c>
      <c r="BA48" s="2">
        <f>IF(OR(往来单位!$B$51="",$AF$3=0),0,SUMIFS(期初余额!$R$5:$R$204,期初余额!$P$5:$P$204,往来单位!$B$51,期初余额!$Q$5:$Q$204,$C$3)+SUMIFS(应付登记!$G$5:$G$1004,应付登记!$D$5:$D$1004,往来单位!$B$51,应付登记!$E$5:$E$1004,$C$3,应付登记!$J$5:$J$1004,"&gt;="&amp;_辅助!$J$4,应付登记!$J$5:$J$1004,"&lt;="&amp;_辅助!$J$2))</f>
        <v>0</v>
      </c>
      <c r="BB48" s="2">
        <f>SUM(CA1:CA48)</f>
        <v>2</v>
      </c>
      <c r="BC48" s="2">
        <f>IF(OR(往来单位!$B$51="",$AF$3=0,NOT(OR(往来单位!$C$51="管理人员",往来单位!$C$51="工人"))),0,SUMIFS(考勤工资!$E$5:$E$1004,考勤工资!$C$5:$C$1004,往来单位!$B$51,考勤工资!$D$5:$D$1004,$C$3,考勤工资!$Y$5:$Y$1004,"&gt;="&amp;_辅助!$J$4,考勤工资!$Y$5:$Y$1004,"&lt;="&amp;_辅助!$J$2)+SUMIFS(考勤工资!$G$5:$G$1004,考勤工资!$C$5:$C$1004,往来单位!$B$51,考勤工资!$F$5:$F$1004,$C$3,考勤工资!$Y$5:$Y$1004,"&gt;="&amp;_辅助!$J$4,考勤工资!$Y$5:$Y$1004,"&lt;="&amp;_辅助!$J$2)+SUMIFS(考勤工资!$I$5:$I$1004,考勤工资!$C$5:$C$1004,往来单位!$B$51,考勤工资!$H$5:$H$1004,$C$3,考勤工资!$Y$5:$Y$1004,"&gt;="&amp;_辅助!$J$4,考勤工资!$Y$5:$Y$1004,"&lt;="&amp;_辅助!$J$2)+SUMIFS(考勤工资!$K$5:$K$1004,考勤工资!$C$5:$C$1004,往来单位!$B$51,考勤工资!$J$5:$J$1004,$C$3,考勤工资!$Y$5:$Y$1004,"&gt;="&amp;_辅助!$J$4,考勤工资!$Y$5:$Y$1004,"&lt;="&amp;_辅助!$J$2))</f>
        <v>0</v>
      </c>
      <c r="BD48" s="2">
        <f>IF(BC48=0,0,SUMIFS(考勤工资!$AC$5:$AC$1004,考勤工资!$C$5:$C$1004,往来单位!$B$51,考勤工资!$D$5:$D$1004,$C$3,考勤工资!$Y$5:$Y$1004,"&gt;="&amp;_辅助!$J$4,考勤工资!$Y$5:$Y$1004,"&lt;="&amp;_辅助!$J$2)+SUMIFS(考勤工资!$AD$5:$AD$1004,考勤工资!$C$5:$C$1004,往来单位!$B$51,考勤工资!$F$5:$F$1004,$C$3,考勤工资!$Y$5:$Y$1004,"&gt;="&amp;_辅助!$J$4,考勤工资!$Y$5:$Y$1004,"&lt;="&amp;_辅助!$J$2)+SUMIFS(考勤工资!$AE$5:$AE$1004,考勤工资!$C$5:$C$1004,往来单位!$B$51,考勤工资!$H$5:$H$1004,$C$3,考勤工资!$Y$5:$Y$1004,"&gt;="&amp;_辅助!$J$4,考勤工资!$Y$5:$Y$1004,"&lt;="&amp;_辅助!$J$2)+SUMIFS(考勤工资!$AF$5:$AF$1004,考勤工资!$C$5:$C$1004,往来单位!$B$51,考勤工资!$J$5:$J$1004,$C$3,考勤工资!$Y$5:$Y$1004,"&gt;="&amp;_辅助!$J$4,考勤工资!$Y$5:$Y$1004,"&lt;="&amp;_辅助!$J$2))</f>
        <v>0</v>
      </c>
      <c r="BE48" s="2">
        <f>SUM(CB1:CB48)</f>
        <v>0</v>
      </c>
      <c r="BF48" s="2">
        <f>IF(AND($AF$3&gt;0,发票登记!$T$51=$C$3,ISNUMBER(发票登记!$X$51),发票登记!$AB$51&lt;&gt;0,发票登记!$Y$51&gt;=_辅助!$J$4,发票登记!$Y$51&lt;=_辅助!$J$2),INT(发票登记!$X$51)*10000+47,"")</f>
      </c>
      <c r="BG48" s="2">
        <f>IF(AND($AF$3&gt;0,资金流水!$H$52=$C$3,ISNUMBER(资金流水!$B$52),ISNUMBER(资金流水!$S$52),资金流水!$S$52&gt;=_辅助!$J$4,资金流水!$S$52&lt;=_辅助!$J$2),INT(资金流水!$B$52)*10000+47,"")</f>
        <v>461710047</v>
      </c>
      <c r="BH48" s="2">
        <f>IF(13&gt;$BE$300,0,IFERROR(MATCH(13,$BE$1:$BE$300,0),0))</f>
        <v>0</v>
      </c>
      <c r="BI48" s="2">
        <f>IF(13&gt;$BF$1,0,MOD(SMALL($BF$2:$BF$1001,13),10000))</f>
        <v>0</v>
      </c>
      <c r="BJ48" s="2">
        <f>IF(13&gt;$BG$1,0,MOD(SMALL($BG$2:$BG$2001,13),10000))</f>
        <v>0</v>
      </c>
      <c r="CA48" s="2">
        <f t="shared" si="0"/>
        <v>0</v>
      </c>
      <c r="CB48" s="2">
        <f t="shared" si="1"/>
        <v>0</v>
      </c>
    </row>
    <row r="49">
      <c r="A49" s="94">
        <f>IF($AZ49=0,"",14)</f>
      </c>
      <c r="B49" s="96">
        <f t="shared" si="18"/>
      </c>
      <c r="C49" s="21">
        <f t="shared" si="4"/>
      </c>
      <c r="D49" s="21">
        <f t="shared" si="15"/>
      </c>
      <c r="E49" s="21">
        <f t="shared" si="2"/>
      </c>
      <c r="F49" s="21">
        <f t="shared" si="17"/>
      </c>
      <c r="G49" s="21">
        <f t="shared" si="6"/>
      </c>
      <c r="I49" s="94">
        <f t="shared" si="3"/>
      </c>
      <c r="J49" s="21">
        <f t="shared" si="5"/>
      </c>
      <c r="K49" s="94" t="n"/>
      <c r="L49" s="135">
        <f t="shared" si="11"/>
      </c>
      <c r="M49" s="136">
        <f t="shared" si="12"/>
      </c>
      <c r="N49" s="94">
        <f t="shared" si="13"/>
      </c>
      <c r="O49" s="21">
        <f t="shared" si="7"/>
      </c>
      <c r="Q49" s="95">
        <f t="shared" si="22"/>
      </c>
      <c r="R49" s="94">
        <f t="shared" si="23"/>
      </c>
      <c r="S49" s="96">
        <f t="shared" si="8"/>
      </c>
      <c r="T49" s="21">
        <f t="shared" si="10"/>
      </c>
      <c r="U49" s="21">
        <f t="shared" si="24"/>
      </c>
      <c r="W49" s="95">
        <f t="shared" si="19"/>
      </c>
      <c r="X49" s="94">
        <f t="shared" si="25"/>
      </c>
      <c r="Y49" s="96">
        <f t="shared" si="26"/>
      </c>
      <c r="Z49" s="21">
        <f t="shared" si="20"/>
      </c>
      <c r="AA49" s="21">
        <f t="shared" si="21"/>
      </c>
      <c r="AB49" s="94">
        <f t="shared" si="27"/>
      </c>
      <c r="AC49" s="96">
        <f t="shared" si="28"/>
      </c>
      <c r="AD49" s="94">
        <f t="shared" si="29"/>
      </c>
      <c r="AZ49" s="2">
        <f>IF(14&gt;$BB$300,0,IFERROR(MATCH(14,$BB$1:$BB$300,0),0))</f>
        <v>0</v>
      </c>
      <c r="BA49" s="2">
        <f>IF(OR(往来单位!$B$52="",$AF$3=0),0,SUMIFS(期初余额!$R$5:$R$204,期初余额!$P$5:$P$204,往来单位!$B$52,期初余额!$Q$5:$Q$204,$C$3)+SUMIFS(应付登记!$G$5:$G$1004,应付登记!$D$5:$D$1004,往来单位!$B$52,应付登记!$E$5:$E$1004,$C$3,应付登记!$J$5:$J$1004,"&gt;="&amp;_辅助!$J$4,应付登记!$J$5:$J$1004,"&lt;="&amp;_辅助!$J$2))</f>
        <v>0</v>
      </c>
      <c r="BB49" s="2">
        <f>SUM(CA1:CA49)</f>
        <v>2</v>
      </c>
      <c r="BC49" s="2">
        <f>IF(OR(往来单位!$B$52="",$AF$3=0,NOT(OR(往来单位!$C$52="管理人员",往来单位!$C$52="工人"))),0,SUMIFS(考勤工资!$E$5:$E$1004,考勤工资!$C$5:$C$1004,往来单位!$B$52,考勤工资!$D$5:$D$1004,$C$3,考勤工资!$Y$5:$Y$1004,"&gt;="&amp;_辅助!$J$4,考勤工资!$Y$5:$Y$1004,"&lt;="&amp;_辅助!$J$2)+SUMIFS(考勤工资!$G$5:$G$1004,考勤工资!$C$5:$C$1004,往来单位!$B$52,考勤工资!$F$5:$F$1004,$C$3,考勤工资!$Y$5:$Y$1004,"&gt;="&amp;_辅助!$J$4,考勤工资!$Y$5:$Y$1004,"&lt;="&amp;_辅助!$J$2)+SUMIFS(考勤工资!$I$5:$I$1004,考勤工资!$C$5:$C$1004,往来单位!$B$52,考勤工资!$H$5:$H$1004,$C$3,考勤工资!$Y$5:$Y$1004,"&gt;="&amp;_辅助!$J$4,考勤工资!$Y$5:$Y$1004,"&lt;="&amp;_辅助!$J$2)+SUMIFS(考勤工资!$K$5:$K$1004,考勤工资!$C$5:$C$1004,往来单位!$B$52,考勤工资!$J$5:$J$1004,$C$3,考勤工资!$Y$5:$Y$1004,"&gt;="&amp;_辅助!$J$4,考勤工资!$Y$5:$Y$1004,"&lt;="&amp;_辅助!$J$2))</f>
        <v>0</v>
      </c>
      <c r="BD49" s="2">
        <f>IF(BC49=0,0,SUMIFS(考勤工资!$AC$5:$AC$1004,考勤工资!$C$5:$C$1004,往来单位!$B$52,考勤工资!$D$5:$D$1004,$C$3,考勤工资!$Y$5:$Y$1004,"&gt;="&amp;_辅助!$J$4,考勤工资!$Y$5:$Y$1004,"&lt;="&amp;_辅助!$J$2)+SUMIFS(考勤工资!$AD$5:$AD$1004,考勤工资!$C$5:$C$1004,往来单位!$B$52,考勤工资!$F$5:$F$1004,$C$3,考勤工资!$Y$5:$Y$1004,"&gt;="&amp;_辅助!$J$4,考勤工资!$Y$5:$Y$1004,"&lt;="&amp;_辅助!$J$2)+SUMIFS(考勤工资!$AE$5:$AE$1004,考勤工资!$C$5:$C$1004,往来单位!$B$52,考勤工资!$H$5:$H$1004,$C$3,考勤工资!$Y$5:$Y$1004,"&gt;="&amp;_辅助!$J$4,考勤工资!$Y$5:$Y$1004,"&lt;="&amp;_辅助!$J$2)+SUMIFS(考勤工资!$AF$5:$AF$1004,考勤工资!$C$5:$C$1004,往来单位!$B$52,考勤工资!$J$5:$J$1004,$C$3,考勤工资!$Y$5:$Y$1004,"&gt;="&amp;_辅助!$J$4,考勤工资!$Y$5:$Y$1004,"&lt;="&amp;_辅助!$J$2))</f>
        <v>0</v>
      </c>
      <c r="BE49" s="2">
        <f>SUM(CB1:CB49)</f>
        <v>0</v>
      </c>
      <c r="BF49" s="2">
        <f>IF(AND($AF$3&gt;0,发票登记!$T$52=$C$3,ISNUMBER(发票登记!$X$52),发票登记!$AB$52&lt;&gt;0,发票登记!$Y$52&gt;=_辅助!$J$4,发票登记!$Y$52&lt;=_辅助!$J$2),INT(发票登记!$X$52)*10000+48,"")</f>
      </c>
      <c r="BG49" s="2">
        <f>IF(AND($AF$3&gt;0,资金流水!$H$53=$C$3,ISNUMBER(资金流水!$B$53),ISNUMBER(资金流水!$S$53),资金流水!$S$53&gt;=_辅助!$J$4,资金流水!$S$53&lt;=_辅助!$J$2),INT(资金流水!$B$53)*10000+48,"")</f>
        <v>461710048</v>
      </c>
      <c r="BH49" s="2">
        <f>IF(14&gt;$BE$300,0,IFERROR(MATCH(14,$BE$1:$BE$300,0),0))</f>
        <v>0</v>
      </c>
      <c r="BI49" s="2">
        <f>IF(14&gt;$BF$1,0,MOD(SMALL($BF$2:$BF$1001,14),10000))</f>
        <v>0</v>
      </c>
      <c r="BJ49" s="2">
        <f>IF(14&gt;$BG$1,0,MOD(SMALL($BG$2:$BG$2001,14),10000))</f>
        <v>0</v>
      </c>
      <c r="CA49" s="2">
        <f t="shared" si="0"/>
        <v>0</v>
      </c>
      <c r="CB49" s="2">
        <f t="shared" si="1"/>
        <v>0</v>
      </c>
    </row>
    <row r="50">
      <c r="A50" s="94">
        <f>IF($AZ50=0,"",15)</f>
      </c>
      <c r="B50" s="96">
        <f t="shared" si="18"/>
      </c>
      <c r="C50" s="21">
        <f t="shared" si="4"/>
      </c>
      <c r="D50" s="21">
        <f t="shared" si="15"/>
      </c>
      <c r="E50" s="21">
        <f t="shared" si="2"/>
      </c>
      <c r="F50" s="21">
        <f t="shared" si="17"/>
      </c>
      <c r="G50" s="21">
        <f t="shared" si="6"/>
      </c>
      <c r="I50" s="94">
        <f t="shared" si="3"/>
      </c>
      <c r="J50" s="21">
        <f t="shared" si="5"/>
      </c>
      <c r="K50" s="94" t="n"/>
      <c r="L50" s="135">
        <f t="shared" si="11"/>
      </c>
      <c r="M50" s="136">
        <f t="shared" si="12"/>
      </c>
      <c r="N50" s="94">
        <f t="shared" si="13"/>
      </c>
      <c r="O50" s="21">
        <f t="shared" si="7"/>
      </c>
      <c r="Q50" s="95">
        <f t="shared" si="22"/>
      </c>
      <c r="R50" s="94">
        <f t="shared" si="23"/>
      </c>
      <c r="S50" s="96">
        <f t="shared" si="8"/>
      </c>
      <c r="T50" s="21">
        <f t="shared" si="10"/>
      </c>
      <c r="U50" s="21">
        <f t="shared" si="24"/>
      </c>
      <c r="W50" s="95">
        <f t="shared" si="19"/>
      </c>
      <c r="X50" s="94">
        <f t="shared" si="25"/>
      </c>
      <c r="Y50" s="96">
        <f t="shared" si="26"/>
      </c>
      <c r="Z50" s="21">
        <f t="shared" si="20"/>
      </c>
      <c r="AA50" s="21">
        <f t="shared" si="21"/>
      </c>
      <c r="AB50" s="94">
        <f t="shared" si="27"/>
      </c>
      <c r="AC50" s="96">
        <f t="shared" si="28"/>
      </c>
      <c r="AD50" s="94">
        <f t="shared" si="29"/>
      </c>
      <c r="AZ50" s="2">
        <f>IF(15&gt;$BB$300,0,IFERROR(MATCH(15,$BB$1:$BB$300,0),0))</f>
        <v>0</v>
      </c>
      <c r="BA50" s="2">
        <f>IF(OR(往来单位!$B$53="",$AF$3=0),0,SUMIFS(期初余额!$R$5:$R$204,期初余额!$P$5:$P$204,往来单位!$B$53,期初余额!$Q$5:$Q$204,$C$3)+SUMIFS(应付登记!$G$5:$G$1004,应付登记!$D$5:$D$1004,往来单位!$B$53,应付登记!$E$5:$E$1004,$C$3,应付登记!$J$5:$J$1004,"&gt;="&amp;_辅助!$J$4,应付登记!$J$5:$J$1004,"&lt;="&amp;_辅助!$J$2))</f>
        <v>0</v>
      </c>
      <c r="BB50" s="2">
        <f>SUM(CA1:CA50)</f>
        <v>2</v>
      </c>
      <c r="BC50" s="2">
        <f>IF(OR(往来单位!$B$53="",$AF$3=0,NOT(OR(往来单位!$C$53="管理人员",往来单位!$C$53="工人"))),0,SUMIFS(考勤工资!$E$5:$E$1004,考勤工资!$C$5:$C$1004,往来单位!$B$53,考勤工资!$D$5:$D$1004,$C$3,考勤工资!$Y$5:$Y$1004,"&gt;="&amp;_辅助!$J$4,考勤工资!$Y$5:$Y$1004,"&lt;="&amp;_辅助!$J$2)+SUMIFS(考勤工资!$G$5:$G$1004,考勤工资!$C$5:$C$1004,往来单位!$B$53,考勤工资!$F$5:$F$1004,$C$3,考勤工资!$Y$5:$Y$1004,"&gt;="&amp;_辅助!$J$4,考勤工资!$Y$5:$Y$1004,"&lt;="&amp;_辅助!$J$2)+SUMIFS(考勤工资!$I$5:$I$1004,考勤工资!$C$5:$C$1004,往来单位!$B$53,考勤工资!$H$5:$H$1004,$C$3,考勤工资!$Y$5:$Y$1004,"&gt;="&amp;_辅助!$J$4,考勤工资!$Y$5:$Y$1004,"&lt;="&amp;_辅助!$J$2)+SUMIFS(考勤工资!$K$5:$K$1004,考勤工资!$C$5:$C$1004,往来单位!$B$53,考勤工资!$J$5:$J$1004,$C$3,考勤工资!$Y$5:$Y$1004,"&gt;="&amp;_辅助!$J$4,考勤工资!$Y$5:$Y$1004,"&lt;="&amp;_辅助!$J$2))</f>
        <v>0</v>
      </c>
      <c r="BD50" s="2">
        <f>IF(BC50=0,0,SUMIFS(考勤工资!$AC$5:$AC$1004,考勤工资!$C$5:$C$1004,往来单位!$B$53,考勤工资!$D$5:$D$1004,$C$3,考勤工资!$Y$5:$Y$1004,"&gt;="&amp;_辅助!$J$4,考勤工资!$Y$5:$Y$1004,"&lt;="&amp;_辅助!$J$2)+SUMIFS(考勤工资!$AD$5:$AD$1004,考勤工资!$C$5:$C$1004,往来单位!$B$53,考勤工资!$F$5:$F$1004,$C$3,考勤工资!$Y$5:$Y$1004,"&gt;="&amp;_辅助!$J$4,考勤工资!$Y$5:$Y$1004,"&lt;="&amp;_辅助!$J$2)+SUMIFS(考勤工资!$AE$5:$AE$1004,考勤工资!$C$5:$C$1004,往来单位!$B$53,考勤工资!$H$5:$H$1004,$C$3,考勤工资!$Y$5:$Y$1004,"&gt;="&amp;_辅助!$J$4,考勤工资!$Y$5:$Y$1004,"&lt;="&amp;_辅助!$J$2)+SUMIFS(考勤工资!$AF$5:$AF$1004,考勤工资!$C$5:$C$1004,往来单位!$B$53,考勤工资!$J$5:$J$1004,$C$3,考勤工资!$Y$5:$Y$1004,"&gt;="&amp;_辅助!$J$4,考勤工资!$Y$5:$Y$1004,"&lt;="&amp;_辅助!$J$2))</f>
        <v>0</v>
      </c>
      <c r="BE50" s="2">
        <f>SUM(CB1:CB50)</f>
        <v>0</v>
      </c>
      <c r="BF50" s="2">
        <f>IF(AND($AF$3&gt;0,发票登记!$T$53=$C$3,ISNUMBER(发票登记!$X$53),发票登记!$AB$53&lt;&gt;0,发票登记!$Y$53&gt;=_辅助!$J$4,发票登记!$Y$53&lt;=_辅助!$J$2),INT(发票登记!$X$53)*10000+49,"")</f>
      </c>
      <c r="BG50" s="2">
        <f>IF(AND($AF$3&gt;0,资金流水!$H$54=$C$3,ISNUMBER(资金流水!$B$54),ISNUMBER(资金流水!$S$54),资金流水!$S$54&gt;=_辅助!$J$4,资金流水!$S$54&lt;=_辅助!$J$2),INT(资金流水!$B$54)*10000+49,"")</f>
        <v>461710049</v>
      </c>
      <c r="BH50" s="2">
        <f>IF(15&gt;$BE$300,0,IFERROR(MATCH(15,$BE$1:$BE$300,0),0))</f>
        <v>0</v>
      </c>
      <c r="BI50" s="2">
        <f>IF(15&gt;$BF$1,0,MOD(SMALL($BF$2:$BF$1001,15),10000))</f>
        <v>0</v>
      </c>
      <c r="BJ50" s="2">
        <f>IF(15&gt;$BG$1,0,MOD(SMALL($BG$2:$BG$2001,15),10000))</f>
        <v>0</v>
      </c>
      <c r="CA50" s="2">
        <f t="shared" si="0"/>
        <v>0</v>
      </c>
      <c r="CB50" s="2">
        <f t="shared" si="1"/>
        <v>0</v>
      </c>
    </row>
    <row r="51">
      <c r="A51" s="94">
        <f>IF($AZ51=0,"",16)</f>
      </c>
      <c r="B51" s="96">
        <f t="shared" si="18"/>
      </c>
      <c r="C51" s="21">
        <f t="shared" si="4"/>
      </c>
      <c r="D51" s="21">
        <f t="shared" si="15"/>
      </c>
      <c r="E51" s="21">
        <f t="shared" si="2"/>
      </c>
      <c r="F51" s="21">
        <f t="shared" si="17"/>
      </c>
      <c r="G51" s="21">
        <f t="shared" si="6"/>
      </c>
      <c r="I51" s="94">
        <f t="shared" si="3"/>
      </c>
      <c r="J51" s="21">
        <f t="shared" si="5"/>
      </c>
      <c r="K51" s="94" t="n"/>
      <c r="L51" s="135">
        <f t="shared" si="11"/>
      </c>
      <c r="M51" s="136">
        <f t="shared" si="12"/>
      </c>
      <c r="N51" s="94">
        <f t="shared" si="13"/>
      </c>
      <c r="O51" s="21">
        <f t="shared" si="7"/>
      </c>
      <c r="Q51" s="95">
        <f t="shared" si="22"/>
      </c>
      <c r="R51" s="94">
        <f t="shared" si="23"/>
      </c>
      <c r="S51" s="96">
        <f t="shared" si="8"/>
      </c>
      <c r="T51" s="21">
        <f t="shared" si="10"/>
      </c>
      <c r="U51" s="21">
        <f t="shared" si="24"/>
      </c>
      <c r="W51" s="95">
        <f t="shared" si="19"/>
      </c>
      <c r="X51" s="94">
        <f t="shared" si="25"/>
      </c>
      <c r="Y51" s="96">
        <f t="shared" si="26"/>
      </c>
      <c r="Z51" s="21">
        <f t="shared" si="20"/>
      </c>
      <c r="AA51" s="21">
        <f t="shared" si="21"/>
      </c>
      <c r="AB51" s="94">
        <f t="shared" si="27"/>
      </c>
      <c r="AC51" s="96">
        <f t="shared" si="28"/>
      </c>
      <c r="AD51" s="94">
        <f t="shared" si="29"/>
      </c>
      <c r="AZ51" s="2">
        <f>IF(16&gt;$BB$300,0,IFERROR(MATCH(16,$BB$1:$BB$300,0),0))</f>
        <v>0</v>
      </c>
      <c r="BA51" s="2">
        <f>IF(OR(往来单位!$B$54="",$AF$3=0),0,SUMIFS(期初余额!$R$5:$R$204,期初余额!$P$5:$P$204,往来单位!$B$54,期初余额!$Q$5:$Q$204,$C$3)+SUMIFS(应付登记!$G$5:$G$1004,应付登记!$D$5:$D$1004,往来单位!$B$54,应付登记!$E$5:$E$1004,$C$3,应付登记!$J$5:$J$1004,"&gt;="&amp;_辅助!$J$4,应付登记!$J$5:$J$1004,"&lt;="&amp;_辅助!$J$2))</f>
        <v>0</v>
      </c>
      <c r="BB51" s="2">
        <f>BB50+SUM(CA51:CA51)</f>
        <v>2</v>
      </c>
      <c r="BC51" s="2">
        <f>IF(OR(往来单位!$B$54="",$AF$3=0,NOT(OR(往来单位!$C$54="管理人员",往来单位!$C$54="工人"))),0,SUMIFS(考勤工资!$E$5:$E$1004,考勤工资!$C$5:$C$1004,往来单位!$B$54,考勤工资!$D$5:$D$1004,$C$3,考勤工资!$Y$5:$Y$1004,"&gt;="&amp;_辅助!$J$4,考勤工资!$Y$5:$Y$1004,"&lt;="&amp;_辅助!$J$2)+SUMIFS(考勤工资!$G$5:$G$1004,考勤工资!$C$5:$C$1004,往来单位!$B$54,考勤工资!$F$5:$F$1004,$C$3,考勤工资!$Y$5:$Y$1004,"&gt;="&amp;_辅助!$J$4,考勤工资!$Y$5:$Y$1004,"&lt;="&amp;_辅助!$J$2)+SUMIFS(考勤工资!$I$5:$I$1004,考勤工资!$C$5:$C$1004,往来单位!$B$54,考勤工资!$H$5:$H$1004,$C$3,考勤工资!$Y$5:$Y$1004,"&gt;="&amp;_辅助!$J$4,考勤工资!$Y$5:$Y$1004,"&lt;="&amp;_辅助!$J$2)+SUMIFS(考勤工资!$K$5:$K$1004,考勤工资!$C$5:$C$1004,往来单位!$B$54,考勤工资!$J$5:$J$1004,$C$3,考勤工资!$Y$5:$Y$1004,"&gt;="&amp;_辅助!$J$4,考勤工资!$Y$5:$Y$1004,"&lt;="&amp;_辅助!$J$2))</f>
        <v>0</v>
      </c>
      <c r="BD51" s="2">
        <f>IF(BC51=0,0,SUMIFS(考勤工资!$AC$5:$AC$1004,考勤工资!$C$5:$C$1004,往来单位!$B$54,考勤工资!$D$5:$D$1004,$C$3,考勤工资!$Y$5:$Y$1004,"&gt;="&amp;_辅助!$J$4,考勤工资!$Y$5:$Y$1004,"&lt;="&amp;_辅助!$J$2)+SUMIFS(考勤工资!$AD$5:$AD$1004,考勤工资!$C$5:$C$1004,往来单位!$B$54,考勤工资!$F$5:$F$1004,$C$3,考勤工资!$Y$5:$Y$1004,"&gt;="&amp;_辅助!$J$4,考勤工资!$Y$5:$Y$1004,"&lt;="&amp;_辅助!$J$2)+SUMIFS(考勤工资!$AE$5:$AE$1004,考勤工资!$C$5:$C$1004,往来单位!$B$54,考勤工资!$H$5:$H$1004,$C$3,考勤工资!$Y$5:$Y$1004,"&gt;="&amp;_辅助!$J$4,考勤工资!$Y$5:$Y$1004,"&lt;="&amp;_辅助!$J$2)+SUMIFS(考勤工资!$AF$5:$AF$1004,考勤工资!$C$5:$C$1004,往来单位!$B$54,考勤工资!$J$5:$J$1004,$C$3,考勤工资!$Y$5:$Y$1004,"&gt;="&amp;_辅助!$J$4,考勤工资!$Y$5:$Y$1004,"&lt;="&amp;_辅助!$J$2))</f>
        <v>0</v>
      </c>
      <c r="BE51" s="2">
        <f>BE50+SUM(CB51:CB51)</f>
        <v>0</v>
      </c>
      <c r="BF51" s="2">
        <f>IF(AND($AF$3&gt;0,发票登记!$T$54=$C$3,ISNUMBER(发票登记!$X$54),发票登记!$AB$54&lt;&gt;0,发票登记!$Y$54&gt;=_辅助!$J$4,发票登记!$Y$54&lt;=_辅助!$J$2),INT(发票登记!$X$54)*10000+50,"")</f>
      </c>
      <c r="BG51" s="2">
        <f>IF(AND($AF$3&gt;0,资金流水!$H$55=$C$3,ISNUMBER(资金流水!$B$55),ISNUMBER(资金流水!$S$55),资金流水!$S$55&gt;=_辅助!$J$4,资金流水!$S$55&lt;=_辅助!$J$2),INT(资金流水!$B$55)*10000+50,"")</f>
      </c>
      <c r="BH51" s="2">
        <f>IF(16&gt;$BE$300,0,IFERROR(MATCH(16,$BE$1:$BE$300,0),0))</f>
        <v>0</v>
      </c>
      <c r="BI51" s="2">
        <f>IF(16&gt;$BF$1,0,MOD(SMALL($BF$2:$BF$1001,16),10000))</f>
        <v>0</v>
      </c>
      <c r="BJ51" s="2">
        <f>IF(16&gt;$BG$1,0,MOD(SMALL($BG$2:$BG$2001,16),10000))</f>
        <v>0</v>
      </c>
      <c r="CA51" s="2">
        <f t="shared" si="0"/>
        <v>0</v>
      </c>
      <c r="CB51" s="2">
        <f t="shared" si="1"/>
        <v>0</v>
      </c>
    </row>
    <row r="52">
      <c r="A52" s="94">
        <f>IF($AZ52=0,"",17)</f>
      </c>
      <c r="B52" s="96">
        <f t="shared" si="18"/>
      </c>
      <c r="C52" s="21">
        <f t="shared" si="4"/>
      </c>
      <c r="D52" s="21">
        <f t="shared" si="15"/>
      </c>
      <c r="E52" s="21">
        <f t="shared" si="2"/>
      </c>
      <c r="F52" s="21">
        <f t="shared" si="17"/>
      </c>
      <c r="G52" s="21">
        <f t="shared" si="6"/>
      </c>
      <c r="I52" s="94">
        <f t="shared" si="3"/>
      </c>
      <c r="J52" s="21">
        <f t="shared" si="5"/>
      </c>
      <c r="K52" s="94" t="n"/>
      <c r="L52" s="135">
        <f t="shared" si="11"/>
      </c>
      <c r="M52" s="136">
        <f t="shared" si="12"/>
      </c>
      <c r="N52" s="94">
        <f t="shared" si="13"/>
      </c>
      <c r="O52" s="21">
        <f t="shared" si="7"/>
      </c>
      <c r="Q52" s="95">
        <f t="shared" si="22"/>
      </c>
      <c r="R52" s="94">
        <f t="shared" si="23"/>
      </c>
      <c r="S52" s="96">
        <f t="shared" si="8"/>
      </c>
      <c r="T52" s="21">
        <f t="shared" si="10"/>
      </c>
      <c r="U52" s="21">
        <f t="shared" si="24"/>
      </c>
      <c r="W52" s="95">
        <f t="shared" si="19"/>
      </c>
      <c r="X52" s="94">
        <f t="shared" si="25"/>
      </c>
      <c r="Y52" s="96">
        <f t="shared" si="26"/>
      </c>
      <c r="Z52" s="21">
        <f t="shared" si="20"/>
      </c>
      <c r="AA52" s="21">
        <f t="shared" si="21"/>
      </c>
      <c r="AB52" s="94">
        <f t="shared" si="27"/>
      </c>
      <c r="AC52" s="96">
        <f t="shared" si="28"/>
      </c>
      <c r="AD52" s="94">
        <f t="shared" si="29"/>
      </c>
      <c r="AZ52" s="2">
        <f>IF(17&gt;$BB$300,0,IFERROR(MATCH(17,$BB$1:$BB$300,0),0))</f>
        <v>0</v>
      </c>
      <c r="BA52" s="2">
        <f>IF(OR(往来单位!$B$55="",$AF$3=0),0,SUMIFS(期初余额!$R$5:$R$204,期初余额!$P$5:$P$204,往来单位!$B$55,期初余额!$Q$5:$Q$204,$C$3)+SUMIFS(应付登记!$G$5:$G$1004,应付登记!$D$5:$D$1004,往来单位!$B$55,应付登记!$E$5:$E$1004,$C$3,应付登记!$J$5:$J$1004,"&gt;="&amp;_辅助!$J$4,应付登记!$J$5:$J$1004,"&lt;="&amp;_辅助!$J$2))</f>
        <v>0</v>
      </c>
      <c r="BB52" s="2">
        <f>BB50+SUM(CA51:CA52)</f>
        <v>2</v>
      </c>
      <c r="BC52" s="2">
        <f>IF(OR(往来单位!$B$55="",$AF$3=0,NOT(OR(往来单位!$C$55="管理人员",往来单位!$C$55="工人"))),0,SUMIFS(考勤工资!$E$5:$E$1004,考勤工资!$C$5:$C$1004,往来单位!$B$55,考勤工资!$D$5:$D$1004,$C$3,考勤工资!$Y$5:$Y$1004,"&gt;="&amp;_辅助!$J$4,考勤工资!$Y$5:$Y$1004,"&lt;="&amp;_辅助!$J$2)+SUMIFS(考勤工资!$G$5:$G$1004,考勤工资!$C$5:$C$1004,往来单位!$B$55,考勤工资!$F$5:$F$1004,$C$3,考勤工资!$Y$5:$Y$1004,"&gt;="&amp;_辅助!$J$4,考勤工资!$Y$5:$Y$1004,"&lt;="&amp;_辅助!$J$2)+SUMIFS(考勤工资!$I$5:$I$1004,考勤工资!$C$5:$C$1004,往来单位!$B$55,考勤工资!$H$5:$H$1004,$C$3,考勤工资!$Y$5:$Y$1004,"&gt;="&amp;_辅助!$J$4,考勤工资!$Y$5:$Y$1004,"&lt;="&amp;_辅助!$J$2)+SUMIFS(考勤工资!$K$5:$K$1004,考勤工资!$C$5:$C$1004,往来单位!$B$55,考勤工资!$J$5:$J$1004,$C$3,考勤工资!$Y$5:$Y$1004,"&gt;="&amp;_辅助!$J$4,考勤工资!$Y$5:$Y$1004,"&lt;="&amp;_辅助!$J$2))</f>
        <v>0</v>
      </c>
      <c r="BD52" s="2">
        <f>IF(BC52=0,0,SUMIFS(考勤工资!$AC$5:$AC$1004,考勤工资!$C$5:$C$1004,往来单位!$B$55,考勤工资!$D$5:$D$1004,$C$3,考勤工资!$Y$5:$Y$1004,"&gt;="&amp;_辅助!$J$4,考勤工资!$Y$5:$Y$1004,"&lt;="&amp;_辅助!$J$2)+SUMIFS(考勤工资!$AD$5:$AD$1004,考勤工资!$C$5:$C$1004,往来单位!$B$55,考勤工资!$F$5:$F$1004,$C$3,考勤工资!$Y$5:$Y$1004,"&gt;="&amp;_辅助!$J$4,考勤工资!$Y$5:$Y$1004,"&lt;="&amp;_辅助!$J$2)+SUMIFS(考勤工资!$AE$5:$AE$1004,考勤工资!$C$5:$C$1004,往来单位!$B$55,考勤工资!$H$5:$H$1004,$C$3,考勤工资!$Y$5:$Y$1004,"&gt;="&amp;_辅助!$J$4,考勤工资!$Y$5:$Y$1004,"&lt;="&amp;_辅助!$J$2)+SUMIFS(考勤工资!$AF$5:$AF$1004,考勤工资!$C$5:$C$1004,往来单位!$B$55,考勤工资!$J$5:$J$1004,$C$3,考勤工资!$Y$5:$Y$1004,"&gt;="&amp;_辅助!$J$4,考勤工资!$Y$5:$Y$1004,"&lt;="&amp;_辅助!$J$2))</f>
        <v>0</v>
      </c>
      <c r="BE52" s="2">
        <f>BE50+SUM(CB51:CB52)</f>
        <v>0</v>
      </c>
      <c r="BF52" s="2">
        <f>IF(AND($AF$3&gt;0,发票登记!$T$55=$C$3,ISNUMBER(发票登记!$X$55),发票登记!$AB$55&lt;&gt;0,发票登记!$Y$55&gt;=_辅助!$J$4,发票登记!$Y$55&lt;=_辅助!$J$2),INT(发票登记!$X$55)*10000+51,"")</f>
      </c>
      <c r="BG52" s="2">
        <f>IF(AND($AF$3&gt;0,资金流水!$H$56=$C$3,ISNUMBER(资金流水!$B$56),ISNUMBER(资金流水!$S$56),资金流水!$S$56&gt;=_辅助!$J$4,资金流水!$S$56&lt;=_辅助!$J$2),INT(资金流水!$B$56)*10000+51,"")</f>
      </c>
      <c r="BH52" s="2">
        <f>IF(17&gt;$BE$300,0,IFERROR(MATCH(17,$BE$1:$BE$300,0),0))</f>
        <v>0</v>
      </c>
      <c r="BI52" s="2">
        <f>IF(17&gt;$BF$1,0,MOD(SMALL($BF$2:$BF$1001,17),10000))</f>
        <v>0</v>
      </c>
      <c r="BJ52" s="2">
        <f>IF(17&gt;$BG$1,0,MOD(SMALL($BG$2:$BG$2001,17),10000))</f>
        <v>0</v>
      </c>
      <c r="CA52" s="2">
        <f t="shared" si="0"/>
        <v>0</v>
      </c>
      <c r="CB52" s="2">
        <f t="shared" si="1"/>
        <v>0</v>
      </c>
    </row>
    <row r="53">
      <c r="A53" s="94">
        <f>IF($AZ53=0,"",18)</f>
      </c>
      <c r="B53" s="96">
        <f t="shared" si="18"/>
      </c>
      <c r="C53" s="21">
        <f t="shared" si="4"/>
      </c>
      <c r="D53" s="21">
        <f t="shared" si="15"/>
      </c>
      <c r="E53" s="21">
        <f t="shared" si="2"/>
      </c>
      <c r="F53" s="21">
        <f t="shared" si="17"/>
      </c>
      <c r="G53" s="21">
        <f t="shared" si="6"/>
      </c>
      <c r="I53" s="94">
        <f t="shared" si="3"/>
      </c>
      <c r="J53" s="21">
        <f t="shared" si="5"/>
      </c>
      <c r="K53" s="94" t="n"/>
      <c r="L53" s="135">
        <f t="shared" si="11"/>
      </c>
      <c r="M53" s="136">
        <f t="shared" si="12"/>
      </c>
      <c r="N53" s="94">
        <f t="shared" si="13"/>
      </c>
      <c r="O53" s="21">
        <f t="shared" si="7"/>
      </c>
      <c r="Q53" s="95">
        <f t="shared" si="22"/>
      </c>
      <c r="R53" s="94">
        <f t="shared" si="23"/>
      </c>
      <c r="S53" s="96">
        <f t="shared" si="8"/>
      </c>
      <c r="T53" s="21">
        <f t="shared" si="10"/>
      </c>
      <c r="U53" s="21">
        <f t="shared" si="24"/>
      </c>
      <c r="W53" s="95">
        <f t="shared" si="19"/>
      </c>
      <c r="X53" s="94">
        <f t="shared" si="25"/>
      </c>
      <c r="Y53" s="96">
        <f t="shared" si="26"/>
      </c>
      <c r="Z53" s="21">
        <f t="shared" si="20"/>
      </c>
      <c r="AA53" s="21">
        <f t="shared" si="21"/>
      </c>
      <c r="AB53" s="94">
        <f t="shared" si="27"/>
      </c>
      <c r="AC53" s="96">
        <f t="shared" si="28"/>
      </c>
      <c r="AD53" s="94">
        <f t="shared" si="29"/>
      </c>
      <c r="AZ53" s="2">
        <f>IF(18&gt;$BB$300,0,IFERROR(MATCH(18,$BB$1:$BB$300,0),0))</f>
        <v>0</v>
      </c>
      <c r="BA53" s="2">
        <f>IF(OR(往来单位!$B$56="",$AF$3=0),0,SUMIFS(期初余额!$R$5:$R$204,期初余额!$P$5:$P$204,往来单位!$B$56,期初余额!$Q$5:$Q$204,$C$3)+SUMIFS(应付登记!$G$5:$G$1004,应付登记!$D$5:$D$1004,往来单位!$B$56,应付登记!$E$5:$E$1004,$C$3,应付登记!$J$5:$J$1004,"&gt;="&amp;_辅助!$J$4,应付登记!$J$5:$J$1004,"&lt;="&amp;_辅助!$J$2))</f>
        <v>0</v>
      </c>
      <c r="BB53" s="2">
        <f>BB50+SUM(CA51:CA53)</f>
        <v>2</v>
      </c>
      <c r="BC53" s="2">
        <f>IF(OR(往来单位!$B$56="",$AF$3=0,NOT(OR(往来单位!$C$56="管理人员",往来单位!$C$56="工人"))),0,SUMIFS(考勤工资!$E$5:$E$1004,考勤工资!$C$5:$C$1004,往来单位!$B$56,考勤工资!$D$5:$D$1004,$C$3,考勤工资!$Y$5:$Y$1004,"&gt;="&amp;_辅助!$J$4,考勤工资!$Y$5:$Y$1004,"&lt;="&amp;_辅助!$J$2)+SUMIFS(考勤工资!$G$5:$G$1004,考勤工资!$C$5:$C$1004,往来单位!$B$56,考勤工资!$F$5:$F$1004,$C$3,考勤工资!$Y$5:$Y$1004,"&gt;="&amp;_辅助!$J$4,考勤工资!$Y$5:$Y$1004,"&lt;="&amp;_辅助!$J$2)+SUMIFS(考勤工资!$I$5:$I$1004,考勤工资!$C$5:$C$1004,往来单位!$B$56,考勤工资!$H$5:$H$1004,$C$3,考勤工资!$Y$5:$Y$1004,"&gt;="&amp;_辅助!$J$4,考勤工资!$Y$5:$Y$1004,"&lt;="&amp;_辅助!$J$2)+SUMIFS(考勤工资!$K$5:$K$1004,考勤工资!$C$5:$C$1004,往来单位!$B$56,考勤工资!$J$5:$J$1004,$C$3,考勤工资!$Y$5:$Y$1004,"&gt;="&amp;_辅助!$J$4,考勤工资!$Y$5:$Y$1004,"&lt;="&amp;_辅助!$J$2))</f>
        <v>0</v>
      </c>
      <c r="BD53" s="2">
        <f>IF(BC53=0,0,SUMIFS(考勤工资!$AC$5:$AC$1004,考勤工资!$C$5:$C$1004,往来单位!$B$56,考勤工资!$D$5:$D$1004,$C$3,考勤工资!$Y$5:$Y$1004,"&gt;="&amp;_辅助!$J$4,考勤工资!$Y$5:$Y$1004,"&lt;="&amp;_辅助!$J$2)+SUMIFS(考勤工资!$AD$5:$AD$1004,考勤工资!$C$5:$C$1004,往来单位!$B$56,考勤工资!$F$5:$F$1004,$C$3,考勤工资!$Y$5:$Y$1004,"&gt;="&amp;_辅助!$J$4,考勤工资!$Y$5:$Y$1004,"&lt;="&amp;_辅助!$J$2)+SUMIFS(考勤工资!$AE$5:$AE$1004,考勤工资!$C$5:$C$1004,往来单位!$B$56,考勤工资!$H$5:$H$1004,$C$3,考勤工资!$Y$5:$Y$1004,"&gt;="&amp;_辅助!$J$4,考勤工资!$Y$5:$Y$1004,"&lt;="&amp;_辅助!$J$2)+SUMIFS(考勤工资!$AF$5:$AF$1004,考勤工资!$C$5:$C$1004,往来单位!$B$56,考勤工资!$J$5:$J$1004,$C$3,考勤工资!$Y$5:$Y$1004,"&gt;="&amp;_辅助!$J$4,考勤工资!$Y$5:$Y$1004,"&lt;="&amp;_辅助!$J$2))</f>
        <v>0</v>
      </c>
      <c r="BE53" s="2">
        <f>BE50+SUM(CB51:CB53)</f>
        <v>0</v>
      </c>
      <c r="BF53" s="2">
        <f>IF(AND($AF$3&gt;0,发票登记!$T$56=$C$3,ISNUMBER(发票登记!$X$56),发票登记!$AB$56&lt;&gt;0,发票登记!$Y$56&gt;=_辅助!$J$4,发票登记!$Y$56&lt;=_辅助!$J$2),INT(发票登记!$X$56)*10000+52,"")</f>
      </c>
      <c r="BG53" s="2">
        <f>IF(AND($AF$3&gt;0,资金流水!$H$57=$C$3,ISNUMBER(资金流水!$B$57),ISNUMBER(资金流水!$S$57),资金流水!$S$57&gt;=_辅助!$J$4,资金流水!$S$57&lt;=_辅助!$J$2),INT(资金流水!$B$57)*10000+52,"")</f>
      </c>
      <c r="BH53" s="2">
        <f>IF(18&gt;$BE$300,0,IFERROR(MATCH(18,$BE$1:$BE$300,0),0))</f>
        <v>0</v>
      </c>
      <c r="BI53" s="2">
        <f>IF(18&gt;$BF$1,0,MOD(SMALL($BF$2:$BF$1001,18),10000))</f>
        <v>0</v>
      </c>
      <c r="BJ53" s="2">
        <f>IF(18&gt;$BG$1,0,MOD(SMALL($BG$2:$BG$2001,18),10000))</f>
        <v>0</v>
      </c>
      <c r="CA53" s="2">
        <f t="shared" si="0"/>
        <v>0</v>
      </c>
      <c r="CB53" s="2">
        <f t="shared" si="1"/>
        <v>0</v>
      </c>
    </row>
    <row r="54">
      <c r="A54" s="94">
        <f>IF($AZ54=0,"",19)</f>
      </c>
      <c r="B54" s="96">
        <f t="shared" si="18"/>
      </c>
      <c r="C54" s="21">
        <f t="shared" si="4"/>
      </c>
      <c r="D54" s="21">
        <f t="shared" si="15"/>
      </c>
      <c r="E54" s="21">
        <f t="shared" si="2"/>
      </c>
      <c r="F54" s="21">
        <f t="shared" si="17"/>
      </c>
      <c r="G54" s="21">
        <f t="shared" si="6"/>
      </c>
      <c r="I54" s="94">
        <f t="shared" si="3"/>
      </c>
      <c r="J54" s="21">
        <f t="shared" si="5"/>
      </c>
      <c r="K54" s="94" t="n"/>
      <c r="L54" s="135">
        <f t="shared" si="11"/>
      </c>
      <c r="M54" s="136">
        <f t="shared" si="12"/>
      </c>
      <c r="N54" s="94">
        <f t="shared" si="13"/>
      </c>
      <c r="O54" s="21">
        <f t="shared" si="7"/>
      </c>
      <c r="Q54" s="95">
        <f t="shared" si="22"/>
      </c>
      <c r="R54" s="94">
        <f t="shared" si="23"/>
      </c>
      <c r="S54" s="96">
        <f t="shared" si="8"/>
      </c>
      <c r="T54" s="21">
        <f t="shared" si="10"/>
      </c>
      <c r="U54" s="21">
        <f t="shared" si="24"/>
      </c>
      <c r="W54" s="95">
        <f t="shared" si="19"/>
      </c>
      <c r="X54" s="94">
        <f t="shared" si="25"/>
      </c>
      <c r="Y54" s="96">
        <f t="shared" si="26"/>
      </c>
      <c r="Z54" s="21">
        <f t="shared" si="20"/>
      </c>
      <c r="AA54" s="21">
        <f t="shared" si="21"/>
      </c>
      <c r="AB54" s="94">
        <f t="shared" si="27"/>
      </c>
      <c r="AC54" s="96">
        <f t="shared" si="28"/>
      </c>
      <c r="AD54" s="94">
        <f t="shared" si="29"/>
      </c>
      <c r="AZ54" s="2">
        <f>IF(19&gt;$BB$300,0,IFERROR(MATCH(19,$BB$1:$BB$300,0),0))</f>
        <v>0</v>
      </c>
      <c r="BA54" s="2">
        <f>IF(OR(往来单位!$B$57="",$AF$3=0),0,SUMIFS(期初余额!$R$5:$R$204,期初余额!$P$5:$P$204,往来单位!$B$57,期初余额!$Q$5:$Q$204,$C$3)+SUMIFS(应付登记!$G$5:$G$1004,应付登记!$D$5:$D$1004,往来单位!$B$57,应付登记!$E$5:$E$1004,$C$3,应付登记!$J$5:$J$1004,"&gt;="&amp;_辅助!$J$4,应付登记!$J$5:$J$1004,"&lt;="&amp;_辅助!$J$2))</f>
        <v>0</v>
      </c>
      <c r="BB54" s="2">
        <f>BB50+SUM(CA51:CA54)</f>
        <v>2</v>
      </c>
      <c r="BC54" s="2">
        <f>IF(OR(往来单位!$B$57="",$AF$3=0,NOT(OR(往来单位!$C$57="管理人员",往来单位!$C$57="工人"))),0,SUMIFS(考勤工资!$E$5:$E$1004,考勤工资!$C$5:$C$1004,往来单位!$B$57,考勤工资!$D$5:$D$1004,$C$3,考勤工资!$Y$5:$Y$1004,"&gt;="&amp;_辅助!$J$4,考勤工资!$Y$5:$Y$1004,"&lt;="&amp;_辅助!$J$2)+SUMIFS(考勤工资!$G$5:$G$1004,考勤工资!$C$5:$C$1004,往来单位!$B$57,考勤工资!$F$5:$F$1004,$C$3,考勤工资!$Y$5:$Y$1004,"&gt;="&amp;_辅助!$J$4,考勤工资!$Y$5:$Y$1004,"&lt;="&amp;_辅助!$J$2)+SUMIFS(考勤工资!$I$5:$I$1004,考勤工资!$C$5:$C$1004,往来单位!$B$57,考勤工资!$H$5:$H$1004,$C$3,考勤工资!$Y$5:$Y$1004,"&gt;="&amp;_辅助!$J$4,考勤工资!$Y$5:$Y$1004,"&lt;="&amp;_辅助!$J$2)+SUMIFS(考勤工资!$K$5:$K$1004,考勤工资!$C$5:$C$1004,往来单位!$B$57,考勤工资!$J$5:$J$1004,$C$3,考勤工资!$Y$5:$Y$1004,"&gt;="&amp;_辅助!$J$4,考勤工资!$Y$5:$Y$1004,"&lt;="&amp;_辅助!$J$2))</f>
        <v>0</v>
      </c>
      <c r="BD54" s="2">
        <f>IF(BC54=0,0,SUMIFS(考勤工资!$AC$5:$AC$1004,考勤工资!$C$5:$C$1004,往来单位!$B$57,考勤工资!$D$5:$D$1004,$C$3,考勤工资!$Y$5:$Y$1004,"&gt;="&amp;_辅助!$J$4,考勤工资!$Y$5:$Y$1004,"&lt;="&amp;_辅助!$J$2)+SUMIFS(考勤工资!$AD$5:$AD$1004,考勤工资!$C$5:$C$1004,往来单位!$B$57,考勤工资!$F$5:$F$1004,$C$3,考勤工资!$Y$5:$Y$1004,"&gt;="&amp;_辅助!$J$4,考勤工资!$Y$5:$Y$1004,"&lt;="&amp;_辅助!$J$2)+SUMIFS(考勤工资!$AE$5:$AE$1004,考勤工资!$C$5:$C$1004,往来单位!$B$57,考勤工资!$H$5:$H$1004,$C$3,考勤工资!$Y$5:$Y$1004,"&gt;="&amp;_辅助!$J$4,考勤工资!$Y$5:$Y$1004,"&lt;="&amp;_辅助!$J$2)+SUMIFS(考勤工资!$AF$5:$AF$1004,考勤工资!$C$5:$C$1004,往来单位!$B$57,考勤工资!$J$5:$J$1004,$C$3,考勤工资!$Y$5:$Y$1004,"&gt;="&amp;_辅助!$J$4,考勤工资!$Y$5:$Y$1004,"&lt;="&amp;_辅助!$J$2))</f>
        <v>0</v>
      </c>
      <c r="BE54" s="2">
        <f>BE50+SUM(CB51:CB54)</f>
        <v>0</v>
      </c>
      <c r="BF54" s="2">
        <f>IF(AND($AF$3&gt;0,发票登记!$T$57=$C$3,ISNUMBER(发票登记!$X$57),发票登记!$AB$57&lt;&gt;0,发票登记!$Y$57&gt;=_辅助!$J$4,发票登记!$Y$57&lt;=_辅助!$J$2),INT(发票登记!$X$57)*10000+53,"")</f>
      </c>
      <c r="BG54" s="2">
        <f>IF(AND($AF$3&gt;0,资金流水!$H$58=$C$3,ISNUMBER(资金流水!$B$58),ISNUMBER(资金流水!$S$58),资金流水!$S$58&gt;=_辅助!$J$4,资金流水!$S$58&lt;=_辅助!$J$2),INT(资金流水!$B$58)*10000+53,"")</f>
      </c>
      <c r="BH54" s="2">
        <f>IF(19&gt;$BE$300,0,IFERROR(MATCH(19,$BE$1:$BE$300,0),0))</f>
        <v>0</v>
      </c>
      <c r="BI54" s="2">
        <f>IF(19&gt;$BF$1,0,MOD(SMALL($BF$2:$BF$1001,19),10000))</f>
        <v>0</v>
      </c>
      <c r="BJ54" s="2">
        <f>IF(19&gt;$BG$1,0,MOD(SMALL($BG$2:$BG$2001,19),10000))</f>
        <v>0</v>
      </c>
      <c r="CA54" s="2">
        <f t="shared" si="0"/>
        <v>0</v>
      </c>
      <c r="CB54" s="2">
        <f t="shared" si="1"/>
        <v>0</v>
      </c>
    </row>
    <row r="55">
      <c r="A55" s="94">
        <f>IF($AZ55=0,"",20)</f>
      </c>
      <c r="B55" s="96">
        <f t="shared" si="18"/>
      </c>
      <c r="C55" s="21">
        <f t="shared" si="4"/>
      </c>
      <c r="D55" s="21">
        <f t="shared" si="15"/>
      </c>
      <c r="E55" s="21">
        <f t="shared" si="2"/>
      </c>
      <c r="F55" s="21">
        <f t="shared" si="17"/>
      </c>
      <c r="G55" s="21">
        <f t="shared" si="6"/>
      </c>
      <c r="I55" s="94">
        <f t="shared" si="3"/>
      </c>
      <c r="J55" s="21">
        <f t="shared" si="5"/>
      </c>
      <c r="K55" s="94" t="n"/>
      <c r="L55" s="135">
        <f t="shared" si="11"/>
      </c>
      <c r="M55" s="136">
        <f t="shared" si="12"/>
      </c>
      <c r="N55" s="94">
        <f t="shared" si="13"/>
      </c>
      <c r="O55" s="21">
        <f t="shared" si="7"/>
      </c>
      <c r="Q55" s="95">
        <f t="shared" si="22"/>
      </c>
      <c r="R55" s="94">
        <f t="shared" si="23"/>
      </c>
      <c r="S55" s="96">
        <f t="shared" si="8"/>
      </c>
      <c r="T55" s="21">
        <f t="shared" si="10"/>
      </c>
      <c r="U55" s="21">
        <f t="shared" si="24"/>
      </c>
      <c r="W55" s="95">
        <f t="shared" si="19"/>
      </c>
      <c r="X55" s="94">
        <f t="shared" si="25"/>
      </c>
      <c r="Y55" s="96">
        <f t="shared" si="26"/>
      </c>
      <c r="Z55" s="21">
        <f t="shared" si="20"/>
      </c>
      <c r="AA55" s="21">
        <f t="shared" si="21"/>
      </c>
      <c r="AB55" s="94">
        <f t="shared" si="27"/>
      </c>
      <c r="AC55" s="96">
        <f t="shared" si="28"/>
      </c>
      <c r="AD55" s="94">
        <f t="shared" si="29"/>
      </c>
      <c r="AZ55" s="2">
        <f>IF(20&gt;$BB$300,0,IFERROR(MATCH(20,$BB$1:$BB$300,0),0))</f>
        <v>0</v>
      </c>
      <c r="BA55" s="2">
        <f>IF(OR(往来单位!$B$58="",$AF$3=0),0,SUMIFS(期初余额!$R$5:$R$204,期初余额!$P$5:$P$204,往来单位!$B$58,期初余额!$Q$5:$Q$204,$C$3)+SUMIFS(应付登记!$G$5:$G$1004,应付登记!$D$5:$D$1004,往来单位!$B$58,应付登记!$E$5:$E$1004,$C$3,应付登记!$J$5:$J$1004,"&gt;="&amp;_辅助!$J$4,应付登记!$J$5:$J$1004,"&lt;="&amp;_辅助!$J$2))</f>
        <v>0</v>
      </c>
      <c r="BB55" s="2">
        <f>BB50+SUM(CA51:CA55)</f>
        <v>2</v>
      </c>
      <c r="BC55" s="2">
        <f>IF(OR(往来单位!$B$58="",$AF$3=0,NOT(OR(往来单位!$C$58="管理人员",往来单位!$C$58="工人"))),0,SUMIFS(考勤工资!$E$5:$E$1004,考勤工资!$C$5:$C$1004,往来单位!$B$58,考勤工资!$D$5:$D$1004,$C$3,考勤工资!$Y$5:$Y$1004,"&gt;="&amp;_辅助!$J$4,考勤工资!$Y$5:$Y$1004,"&lt;="&amp;_辅助!$J$2)+SUMIFS(考勤工资!$G$5:$G$1004,考勤工资!$C$5:$C$1004,往来单位!$B$58,考勤工资!$F$5:$F$1004,$C$3,考勤工资!$Y$5:$Y$1004,"&gt;="&amp;_辅助!$J$4,考勤工资!$Y$5:$Y$1004,"&lt;="&amp;_辅助!$J$2)+SUMIFS(考勤工资!$I$5:$I$1004,考勤工资!$C$5:$C$1004,往来单位!$B$58,考勤工资!$H$5:$H$1004,$C$3,考勤工资!$Y$5:$Y$1004,"&gt;="&amp;_辅助!$J$4,考勤工资!$Y$5:$Y$1004,"&lt;="&amp;_辅助!$J$2)+SUMIFS(考勤工资!$K$5:$K$1004,考勤工资!$C$5:$C$1004,往来单位!$B$58,考勤工资!$J$5:$J$1004,$C$3,考勤工资!$Y$5:$Y$1004,"&gt;="&amp;_辅助!$J$4,考勤工资!$Y$5:$Y$1004,"&lt;="&amp;_辅助!$J$2))</f>
        <v>0</v>
      </c>
      <c r="BD55" s="2">
        <f>IF(BC55=0,0,SUMIFS(考勤工资!$AC$5:$AC$1004,考勤工资!$C$5:$C$1004,往来单位!$B$58,考勤工资!$D$5:$D$1004,$C$3,考勤工资!$Y$5:$Y$1004,"&gt;="&amp;_辅助!$J$4,考勤工资!$Y$5:$Y$1004,"&lt;="&amp;_辅助!$J$2)+SUMIFS(考勤工资!$AD$5:$AD$1004,考勤工资!$C$5:$C$1004,往来单位!$B$58,考勤工资!$F$5:$F$1004,$C$3,考勤工资!$Y$5:$Y$1004,"&gt;="&amp;_辅助!$J$4,考勤工资!$Y$5:$Y$1004,"&lt;="&amp;_辅助!$J$2)+SUMIFS(考勤工资!$AE$5:$AE$1004,考勤工资!$C$5:$C$1004,往来单位!$B$58,考勤工资!$H$5:$H$1004,$C$3,考勤工资!$Y$5:$Y$1004,"&gt;="&amp;_辅助!$J$4,考勤工资!$Y$5:$Y$1004,"&lt;="&amp;_辅助!$J$2)+SUMIFS(考勤工资!$AF$5:$AF$1004,考勤工资!$C$5:$C$1004,往来单位!$B$58,考勤工资!$J$5:$J$1004,$C$3,考勤工资!$Y$5:$Y$1004,"&gt;="&amp;_辅助!$J$4,考勤工资!$Y$5:$Y$1004,"&lt;="&amp;_辅助!$J$2))</f>
        <v>0</v>
      </c>
      <c r="BE55" s="2">
        <f>BE50+SUM(CB51:CB55)</f>
        <v>0</v>
      </c>
      <c r="BF55" s="2">
        <f>IF(AND($AF$3&gt;0,发票登记!$T$58=$C$3,ISNUMBER(发票登记!$X$58),发票登记!$AB$58&lt;&gt;0,发票登记!$Y$58&gt;=_辅助!$J$4,发票登记!$Y$58&lt;=_辅助!$J$2),INT(发票登记!$X$58)*10000+54,"")</f>
      </c>
      <c r="BG55" s="2">
        <f>IF(AND($AF$3&gt;0,资金流水!$H$59=$C$3,ISNUMBER(资金流水!$B$59),ISNUMBER(资金流水!$S$59),资金流水!$S$59&gt;=_辅助!$J$4,资金流水!$S$59&lt;=_辅助!$J$2),INT(资金流水!$B$59)*10000+54,"")</f>
      </c>
      <c r="BH55" s="2">
        <f>IF(20&gt;$BE$300,0,IFERROR(MATCH(20,$BE$1:$BE$300,0),0))</f>
        <v>0</v>
      </c>
      <c r="BI55" s="2">
        <f>IF(20&gt;$BF$1,0,MOD(SMALL($BF$2:$BF$1001,20),10000))</f>
        <v>0</v>
      </c>
      <c r="BJ55" s="2">
        <f>IF(20&gt;$BG$1,0,MOD(SMALL($BG$2:$BG$2001,20),10000))</f>
        <v>0</v>
      </c>
      <c r="CA55" s="2">
        <f t="shared" si="0"/>
        <v>0</v>
      </c>
      <c r="CB55" s="2">
        <f t="shared" si="1"/>
        <v>0</v>
      </c>
    </row>
    <row r="56">
      <c r="A56" s="94">
        <f>IF($AZ56=0,"",21)</f>
      </c>
      <c r="B56" s="96">
        <f t="shared" si="18"/>
      </c>
      <c r="C56" s="21">
        <f t="shared" si="4"/>
      </c>
      <c r="D56" s="21">
        <f t="shared" si="15"/>
      </c>
      <c r="E56" s="21">
        <f t="shared" si="2"/>
      </c>
      <c r="F56" s="21">
        <f t="shared" si="17"/>
      </c>
      <c r="G56" s="21">
        <f t="shared" si="6"/>
      </c>
      <c r="I56" s="94">
        <f t="shared" si="3"/>
      </c>
      <c r="J56" s="21">
        <f t="shared" si="5"/>
      </c>
      <c r="K56" s="94" t="n"/>
      <c r="L56" s="135">
        <f t="shared" si="11"/>
      </c>
      <c r="M56" s="136">
        <f t="shared" si="12"/>
      </c>
      <c r="N56" s="94">
        <f t="shared" si="13"/>
      </c>
      <c r="O56" s="21">
        <f t="shared" si="7"/>
      </c>
      <c r="Q56" s="95">
        <f t="shared" si="22"/>
      </c>
      <c r="R56" s="94">
        <f t="shared" si="23"/>
      </c>
      <c r="S56" s="96">
        <f t="shared" si="8"/>
      </c>
      <c r="T56" s="21">
        <f t="shared" si="10"/>
      </c>
      <c r="U56" s="21">
        <f t="shared" si="24"/>
      </c>
      <c r="W56" s="95">
        <f t="shared" si="19"/>
      </c>
      <c r="X56" s="94">
        <f t="shared" si="25"/>
      </c>
      <c r="Y56" s="96">
        <f t="shared" si="26"/>
      </c>
      <c r="Z56" s="21">
        <f t="shared" si="20"/>
      </c>
      <c r="AA56" s="21">
        <f t="shared" si="21"/>
      </c>
      <c r="AB56" s="94">
        <f t="shared" si="27"/>
      </c>
      <c r="AC56" s="96">
        <f t="shared" si="28"/>
      </c>
      <c r="AD56" s="94">
        <f t="shared" si="29"/>
      </c>
      <c r="AZ56" s="2">
        <f>IF(21&gt;$BB$300,0,IFERROR(MATCH(21,$BB$1:$BB$300,0),0))</f>
        <v>0</v>
      </c>
      <c r="BA56" s="2">
        <f>IF(OR(往来单位!$B$59="",$AF$3=0),0,SUMIFS(期初余额!$R$5:$R$204,期初余额!$P$5:$P$204,往来单位!$B$59,期初余额!$Q$5:$Q$204,$C$3)+SUMIFS(应付登记!$G$5:$G$1004,应付登记!$D$5:$D$1004,往来单位!$B$59,应付登记!$E$5:$E$1004,$C$3,应付登记!$J$5:$J$1004,"&gt;="&amp;_辅助!$J$4,应付登记!$J$5:$J$1004,"&lt;="&amp;_辅助!$J$2))</f>
        <v>0</v>
      </c>
      <c r="BB56" s="2">
        <f>BB50+SUM(CA51:CA56)</f>
        <v>2</v>
      </c>
      <c r="BC56" s="2">
        <f>IF(OR(往来单位!$B$59="",$AF$3=0,NOT(OR(往来单位!$C$59="管理人员",往来单位!$C$59="工人"))),0,SUMIFS(考勤工资!$E$5:$E$1004,考勤工资!$C$5:$C$1004,往来单位!$B$59,考勤工资!$D$5:$D$1004,$C$3,考勤工资!$Y$5:$Y$1004,"&gt;="&amp;_辅助!$J$4,考勤工资!$Y$5:$Y$1004,"&lt;="&amp;_辅助!$J$2)+SUMIFS(考勤工资!$G$5:$G$1004,考勤工资!$C$5:$C$1004,往来单位!$B$59,考勤工资!$F$5:$F$1004,$C$3,考勤工资!$Y$5:$Y$1004,"&gt;="&amp;_辅助!$J$4,考勤工资!$Y$5:$Y$1004,"&lt;="&amp;_辅助!$J$2)+SUMIFS(考勤工资!$I$5:$I$1004,考勤工资!$C$5:$C$1004,往来单位!$B$59,考勤工资!$H$5:$H$1004,$C$3,考勤工资!$Y$5:$Y$1004,"&gt;="&amp;_辅助!$J$4,考勤工资!$Y$5:$Y$1004,"&lt;="&amp;_辅助!$J$2)+SUMIFS(考勤工资!$K$5:$K$1004,考勤工资!$C$5:$C$1004,往来单位!$B$59,考勤工资!$J$5:$J$1004,$C$3,考勤工资!$Y$5:$Y$1004,"&gt;="&amp;_辅助!$J$4,考勤工资!$Y$5:$Y$1004,"&lt;="&amp;_辅助!$J$2))</f>
        <v>0</v>
      </c>
      <c r="BD56" s="2">
        <f>IF(BC56=0,0,SUMIFS(考勤工资!$AC$5:$AC$1004,考勤工资!$C$5:$C$1004,往来单位!$B$59,考勤工资!$D$5:$D$1004,$C$3,考勤工资!$Y$5:$Y$1004,"&gt;="&amp;_辅助!$J$4,考勤工资!$Y$5:$Y$1004,"&lt;="&amp;_辅助!$J$2)+SUMIFS(考勤工资!$AD$5:$AD$1004,考勤工资!$C$5:$C$1004,往来单位!$B$59,考勤工资!$F$5:$F$1004,$C$3,考勤工资!$Y$5:$Y$1004,"&gt;="&amp;_辅助!$J$4,考勤工资!$Y$5:$Y$1004,"&lt;="&amp;_辅助!$J$2)+SUMIFS(考勤工资!$AE$5:$AE$1004,考勤工资!$C$5:$C$1004,往来单位!$B$59,考勤工资!$H$5:$H$1004,$C$3,考勤工资!$Y$5:$Y$1004,"&gt;="&amp;_辅助!$J$4,考勤工资!$Y$5:$Y$1004,"&lt;="&amp;_辅助!$J$2)+SUMIFS(考勤工资!$AF$5:$AF$1004,考勤工资!$C$5:$C$1004,往来单位!$B$59,考勤工资!$J$5:$J$1004,$C$3,考勤工资!$Y$5:$Y$1004,"&gt;="&amp;_辅助!$J$4,考勤工资!$Y$5:$Y$1004,"&lt;="&amp;_辅助!$J$2))</f>
        <v>0</v>
      </c>
      <c r="BE56" s="2">
        <f>BE50+SUM(CB51:CB56)</f>
        <v>0</v>
      </c>
      <c r="BF56" s="2">
        <f>IF(AND($AF$3&gt;0,发票登记!$T$59=$C$3,ISNUMBER(发票登记!$X$59),发票登记!$AB$59&lt;&gt;0,发票登记!$Y$59&gt;=_辅助!$J$4,发票登记!$Y$59&lt;=_辅助!$J$2),INT(发票登记!$X$59)*10000+55,"")</f>
      </c>
      <c r="BG56" s="2">
        <f>IF(AND($AF$3&gt;0,资金流水!$H$60=$C$3,ISNUMBER(资金流水!$B$60),ISNUMBER(资金流水!$S$60),资金流水!$S$60&gt;=_辅助!$J$4,资金流水!$S$60&lt;=_辅助!$J$2),INT(资金流水!$B$60)*10000+55,"")</f>
      </c>
      <c r="BH56" s="2">
        <f>IF(21&gt;$BE$300,0,IFERROR(MATCH(21,$BE$1:$BE$300,0),0))</f>
        <v>0</v>
      </c>
      <c r="BI56" s="2">
        <f>IF(21&gt;$BF$1,0,MOD(SMALL($BF$2:$BF$1001,21),10000))</f>
        <v>0</v>
      </c>
      <c r="BJ56" s="2">
        <f>IF(21&gt;$BG$1,0,MOD(SMALL($BG$2:$BG$2001,21),10000))</f>
        <v>0</v>
      </c>
      <c r="CA56" s="2">
        <f t="shared" si="0"/>
        <v>0</v>
      </c>
      <c r="CB56" s="2">
        <f t="shared" si="1"/>
        <v>0</v>
      </c>
    </row>
    <row r="57">
      <c r="A57" s="94">
        <f>IF($AZ57=0,"",22)</f>
      </c>
      <c r="B57" s="96">
        <f t="shared" si="18"/>
      </c>
      <c r="C57" s="21">
        <f t="shared" si="4"/>
      </c>
      <c r="D57" s="21">
        <f t="shared" si="15"/>
      </c>
      <c r="E57" s="21">
        <f t="shared" si="2"/>
      </c>
      <c r="F57" s="21">
        <f t="shared" si="17"/>
      </c>
      <c r="G57" s="21">
        <f t="shared" si="6"/>
      </c>
      <c r="I57" s="94">
        <f t="shared" si="3"/>
      </c>
      <c r="J57" s="21">
        <f t="shared" si="5"/>
      </c>
      <c r="K57" s="94" t="n"/>
      <c r="L57" s="135">
        <f t="shared" si="11"/>
      </c>
      <c r="M57" s="136">
        <f t="shared" si="12"/>
      </c>
      <c r="N57" s="94">
        <f t="shared" si="13"/>
      </c>
      <c r="O57" s="21">
        <f t="shared" si="7"/>
      </c>
      <c r="Q57" s="95">
        <f t="shared" si="22"/>
      </c>
      <c r="R57" s="94">
        <f t="shared" si="23"/>
      </c>
      <c r="S57" s="96">
        <f t="shared" si="8"/>
      </c>
      <c r="T57" s="21">
        <f t="shared" si="10"/>
      </c>
      <c r="U57" s="21">
        <f t="shared" si="24"/>
      </c>
      <c r="W57" s="95">
        <f t="shared" si="19"/>
      </c>
      <c r="X57" s="94">
        <f t="shared" si="25"/>
      </c>
      <c r="Y57" s="96">
        <f t="shared" si="26"/>
      </c>
      <c r="Z57" s="21">
        <f t="shared" si="20"/>
      </c>
      <c r="AA57" s="21">
        <f t="shared" si="21"/>
      </c>
      <c r="AB57" s="94">
        <f t="shared" si="27"/>
      </c>
      <c r="AC57" s="96">
        <f t="shared" si="28"/>
      </c>
      <c r="AD57" s="94">
        <f t="shared" si="29"/>
      </c>
      <c r="AZ57" s="2">
        <f>IF(22&gt;$BB$300,0,IFERROR(MATCH(22,$BB$1:$BB$300,0),0))</f>
        <v>0</v>
      </c>
      <c r="BA57" s="2">
        <f>IF(OR(往来单位!$B$60="",$AF$3=0),0,SUMIFS(期初余额!$R$5:$R$204,期初余额!$P$5:$P$204,往来单位!$B$60,期初余额!$Q$5:$Q$204,$C$3)+SUMIFS(应付登记!$G$5:$G$1004,应付登记!$D$5:$D$1004,往来单位!$B$60,应付登记!$E$5:$E$1004,$C$3,应付登记!$J$5:$J$1004,"&gt;="&amp;_辅助!$J$4,应付登记!$J$5:$J$1004,"&lt;="&amp;_辅助!$J$2))</f>
        <v>0</v>
      </c>
      <c r="BB57" s="2">
        <f>BB50+SUM(CA51:CA57)</f>
        <v>2</v>
      </c>
      <c r="BC57" s="2">
        <f>IF(OR(往来单位!$B$60="",$AF$3=0,NOT(OR(往来单位!$C$60="管理人员",往来单位!$C$60="工人"))),0,SUMIFS(考勤工资!$E$5:$E$1004,考勤工资!$C$5:$C$1004,往来单位!$B$60,考勤工资!$D$5:$D$1004,$C$3,考勤工资!$Y$5:$Y$1004,"&gt;="&amp;_辅助!$J$4,考勤工资!$Y$5:$Y$1004,"&lt;="&amp;_辅助!$J$2)+SUMIFS(考勤工资!$G$5:$G$1004,考勤工资!$C$5:$C$1004,往来单位!$B$60,考勤工资!$F$5:$F$1004,$C$3,考勤工资!$Y$5:$Y$1004,"&gt;="&amp;_辅助!$J$4,考勤工资!$Y$5:$Y$1004,"&lt;="&amp;_辅助!$J$2)+SUMIFS(考勤工资!$I$5:$I$1004,考勤工资!$C$5:$C$1004,往来单位!$B$60,考勤工资!$H$5:$H$1004,$C$3,考勤工资!$Y$5:$Y$1004,"&gt;="&amp;_辅助!$J$4,考勤工资!$Y$5:$Y$1004,"&lt;="&amp;_辅助!$J$2)+SUMIFS(考勤工资!$K$5:$K$1004,考勤工资!$C$5:$C$1004,往来单位!$B$60,考勤工资!$J$5:$J$1004,$C$3,考勤工资!$Y$5:$Y$1004,"&gt;="&amp;_辅助!$J$4,考勤工资!$Y$5:$Y$1004,"&lt;="&amp;_辅助!$J$2))</f>
        <v>0</v>
      </c>
      <c r="BD57" s="2">
        <f>IF(BC57=0,0,SUMIFS(考勤工资!$AC$5:$AC$1004,考勤工资!$C$5:$C$1004,往来单位!$B$60,考勤工资!$D$5:$D$1004,$C$3,考勤工资!$Y$5:$Y$1004,"&gt;="&amp;_辅助!$J$4,考勤工资!$Y$5:$Y$1004,"&lt;="&amp;_辅助!$J$2)+SUMIFS(考勤工资!$AD$5:$AD$1004,考勤工资!$C$5:$C$1004,往来单位!$B$60,考勤工资!$F$5:$F$1004,$C$3,考勤工资!$Y$5:$Y$1004,"&gt;="&amp;_辅助!$J$4,考勤工资!$Y$5:$Y$1004,"&lt;="&amp;_辅助!$J$2)+SUMIFS(考勤工资!$AE$5:$AE$1004,考勤工资!$C$5:$C$1004,往来单位!$B$60,考勤工资!$H$5:$H$1004,$C$3,考勤工资!$Y$5:$Y$1004,"&gt;="&amp;_辅助!$J$4,考勤工资!$Y$5:$Y$1004,"&lt;="&amp;_辅助!$J$2)+SUMIFS(考勤工资!$AF$5:$AF$1004,考勤工资!$C$5:$C$1004,往来单位!$B$60,考勤工资!$J$5:$J$1004,$C$3,考勤工资!$Y$5:$Y$1004,"&gt;="&amp;_辅助!$J$4,考勤工资!$Y$5:$Y$1004,"&lt;="&amp;_辅助!$J$2))</f>
        <v>0</v>
      </c>
      <c r="BE57" s="2">
        <f>BE50+SUM(CB51:CB57)</f>
        <v>0</v>
      </c>
      <c r="BF57" s="2">
        <f>IF(AND($AF$3&gt;0,发票登记!$T$60=$C$3,ISNUMBER(发票登记!$X$60),发票登记!$AB$60&lt;&gt;0,发票登记!$Y$60&gt;=_辅助!$J$4,发票登记!$Y$60&lt;=_辅助!$J$2),INT(发票登记!$X$60)*10000+56,"")</f>
      </c>
      <c r="BG57" s="2">
        <f>IF(AND($AF$3&gt;0,资金流水!$H$61=$C$3,ISNUMBER(资金流水!$B$61),ISNUMBER(资金流水!$S$61),资金流水!$S$61&gt;=_辅助!$J$4,资金流水!$S$61&lt;=_辅助!$J$2),INT(资金流水!$B$61)*10000+56,"")</f>
      </c>
      <c r="BH57" s="2">
        <f>IF(22&gt;$BE$300,0,IFERROR(MATCH(22,$BE$1:$BE$300,0),0))</f>
        <v>0</v>
      </c>
      <c r="BI57" s="2">
        <f>IF(22&gt;$BF$1,0,MOD(SMALL($BF$2:$BF$1001,22),10000))</f>
        <v>0</v>
      </c>
      <c r="BJ57" s="2">
        <f>IF(22&gt;$BG$1,0,MOD(SMALL($BG$2:$BG$2001,22),10000))</f>
        <v>0</v>
      </c>
      <c r="CA57" s="2">
        <f t="shared" si="0"/>
        <v>0</v>
      </c>
      <c r="CB57" s="2">
        <f t="shared" si="1"/>
        <v>0</v>
      </c>
    </row>
    <row r="58">
      <c r="A58" s="94">
        <f>IF($AZ58=0,"",23)</f>
      </c>
      <c r="B58" s="96">
        <f t="shared" si="18"/>
      </c>
      <c r="C58" s="21">
        <f t="shared" si="4"/>
      </c>
      <c r="D58" s="21">
        <f t="shared" si="15"/>
      </c>
      <c r="E58" s="21">
        <f t="shared" si="2"/>
      </c>
      <c r="F58" s="21">
        <f t="shared" si="17"/>
      </c>
      <c r="G58" s="21">
        <f t="shared" si="6"/>
      </c>
      <c r="I58" s="94">
        <f t="shared" si="3"/>
      </c>
      <c r="J58" s="21">
        <f t="shared" si="5"/>
      </c>
      <c r="K58" s="94" t="n"/>
      <c r="L58" s="135">
        <f t="shared" si="11"/>
      </c>
      <c r="M58" s="136">
        <f t="shared" si="12"/>
      </c>
      <c r="N58" s="94">
        <f t="shared" si="13"/>
      </c>
      <c r="O58" s="21">
        <f t="shared" si="7"/>
      </c>
      <c r="Q58" s="95">
        <f t="shared" si="22"/>
      </c>
      <c r="R58" s="94">
        <f t="shared" si="23"/>
      </c>
      <c r="S58" s="96">
        <f t="shared" si="8"/>
      </c>
      <c r="T58" s="21">
        <f t="shared" si="10"/>
      </c>
      <c r="U58" s="21">
        <f t="shared" si="24"/>
      </c>
      <c r="W58" s="95">
        <f t="shared" si="19"/>
      </c>
      <c r="X58" s="94">
        <f t="shared" si="25"/>
      </c>
      <c r="Y58" s="96">
        <f t="shared" si="26"/>
      </c>
      <c r="Z58" s="21">
        <f t="shared" si="20"/>
      </c>
      <c r="AA58" s="21">
        <f t="shared" si="21"/>
      </c>
      <c r="AB58" s="94">
        <f t="shared" si="27"/>
      </c>
      <c r="AC58" s="96">
        <f t="shared" si="28"/>
      </c>
      <c r="AD58" s="94">
        <f t="shared" si="29"/>
      </c>
      <c r="AZ58" s="2">
        <f>IF(23&gt;$BB$300,0,IFERROR(MATCH(23,$BB$1:$BB$300,0),0))</f>
        <v>0</v>
      </c>
      <c r="BA58" s="2">
        <f>IF(OR(往来单位!$B$61="",$AF$3=0),0,SUMIFS(期初余额!$R$5:$R$204,期初余额!$P$5:$P$204,往来单位!$B$61,期初余额!$Q$5:$Q$204,$C$3)+SUMIFS(应付登记!$G$5:$G$1004,应付登记!$D$5:$D$1004,往来单位!$B$61,应付登记!$E$5:$E$1004,$C$3,应付登记!$J$5:$J$1004,"&gt;="&amp;_辅助!$J$4,应付登记!$J$5:$J$1004,"&lt;="&amp;_辅助!$J$2))</f>
        <v>0</v>
      </c>
      <c r="BB58" s="2">
        <f>BB50+SUM(CA51:CA58)</f>
        <v>2</v>
      </c>
      <c r="BC58" s="2">
        <f>IF(OR(往来单位!$B$61="",$AF$3=0,NOT(OR(往来单位!$C$61="管理人员",往来单位!$C$61="工人"))),0,SUMIFS(考勤工资!$E$5:$E$1004,考勤工资!$C$5:$C$1004,往来单位!$B$61,考勤工资!$D$5:$D$1004,$C$3,考勤工资!$Y$5:$Y$1004,"&gt;="&amp;_辅助!$J$4,考勤工资!$Y$5:$Y$1004,"&lt;="&amp;_辅助!$J$2)+SUMIFS(考勤工资!$G$5:$G$1004,考勤工资!$C$5:$C$1004,往来单位!$B$61,考勤工资!$F$5:$F$1004,$C$3,考勤工资!$Y$5:$Y$1004,"&gt;="&amp;_辅助!$J$4,考勤工资!$Y$5:$Y$1004,"&lt;="&amp;_辅助!$J$2)+SUMIFS(考勤工资!$I$5:$I$1004,考勤工资!$C$5:$C$1004,往来单位!$B$61,考勤工资!$H$5:$H$1004,$C$3,考勤工资!$Y$5:$Y$1004,"&gt;="&amp;_辅助!$J$4,考勤工资!$Y$5:$Y$1004,"&lt;="&amp;_辅助!$J$2)+SUMIFS(考勤工资!$K$5:$K$1004,考勤工资!$C$5:$C$1004,往来单位!$B$61,考勤工资!$J$5:$J$1004,$C$3,考勤工资!$Y$5:$Y$1004,"&gt;="&amp;_辅助!$J$4,考勤工资!$Y$5:$Y$1004,"&lt;="&amp;_辅助!$J$2))</f>
        <v>0</v>
      </c>
      <c r="BD58" s="2">
        <f>IF(BC58=0,0,SUMIFS(考勤工资!$AC$5:$AC$1004,考勤工资!$C$5:$C$1004,往来单位!$B$61,考勤工资!$D$5:$D$1004,$C$3,考勤工资!$Y$5:$Y$1004,"&gt;="&amp;_辅助!$J$4,考勤工资!$Y$5:$Y$1004,"&lt;="&amp;_辅助!$J$2)+SUMIFS(考勤工资!$AD$5:$AD$1004,考勤工资!$C$5:$C$1004,往来单位!$B$61,考勤工资!$F$5:$F$1004,$C$3,考勤工资!$Y$5:$Y$1004,"&gt;="&amp;_辅助!$J$4,考勤工资!$Y$5:$Y$1004,"&lt;="&amp;_辅助!$J$2)+SUMIFS(考勤工资!$AE$5:$AE$1004,考勤工资!$C$5:$C$1004,往来单位!$B$61,考勤工资!$H$5:$H$1004,$C$3,考勤工资!$Y$5:$Y$1004,"&gt;="&amp;_辅助!$J$4,考勤工资!$Y$5:$Y$1004,"&lt;="&amp;_辅助!$J$2)+SUMIFS(考勤工资!$AF$5:$AF$1004,考勤工资!$C$5:$C$1004,往来单位!$B$61,考勤工资!$J$5:$J$1004,$C$3,考勤工资!$Y$5:$Y$1004,"&gt;="&amp;_辅助!$J$4,考勤工资!$Y$5:$Y$1004,"&lt;="&amp;_辅助!$J$2))</f>
        <v>0</v>
      </c>
      <c r="BE58" s="2">
        <f>BE50+SUM(CB51:CB58)</f>
        <v>0</v>
      </c>
      <c r="BF58" s="2">
        <f>IF(AND($AF$3&gt;0,发票登记!$T$61=$C$3,ISNUMBER(发票登记!$X$61),发票登记!$AB$61&lt;&gt;0,发票登记!$Y$61&gt;=_辅助!$J$4,发票登记!$Y$61&lt;=_辅助!$J$2),INT(发票登记!$X$61)*10000+57,"")</f>
      </c>
      <c r="BG58" s="2">
        <f>IF(AND($AF$3&gt;0,资金流水!$H$62=$C$3,ISNUMBER(资金流水!$B$62),ISNUMBER(资金流水!$S$62),资金流水!$S$62&gt;=_辅助!$J$4,资金流水!$S$62&lt;=_辅助!$J$2),INT(资金流水!$B$62)*10000+57,"")</f>
      </c>
      <c r="BH58" s="2">
        <f>IF(23&gt;$BE$300,0,IFERROR(MATCH(23,$BE$1:$BE$300,0),0))</f>
        <v>0</v>
      </c>
      <c r="BI58" s="2">
        <f>IF(23&gt;$BF$1,0,MOD(SMALL($BF$2:$BF$1001,23),10000))</f>
        <v>0</v>
      </c>
      <c r="BJ58" s="2">
        <f>IF(23&gt;$BG$1,0,MOD(SMALL($BG$2:$BG$2001,23),10000))</f>
        <v>0</v>
      </c>
      <c r="CA58" s="2">
        <f t="shared" si="0"/>
        <v>0</v>
      </c>
      <c r="CB58" s="2">
        <f t="shared" si="1"/>
        <v>0</v>
      </c>
    </row>
    <row r="59">
      <c r="A59" s="94">
        <f>IF($AZ59=0,"",24)</f>
      </c>
      <c r="B59" s="96">
        <f t="shared" si="18"/>
      </c>
      <c r="C59" s="21">
        <f t="shared" si="4"/>
      </c>
      <c r="D59" s="21">
        <f t="shared" si="15"/>
      </c>
      <c r="E59" s="21">
        <f t="shared" si="2"/>
      </c>
      <c r="F59" s="21">
        <f t="shared" si="17"/>
      </c>
      <c r="G59" s="21">
        <f t="shared" si="6"/>
      </c>
      <c r="I59" s="94">
        <f t="shared" si="3"/>
      </c>
      <c r="J59" s="21">
        <f t="shared" si="5"/>
      </c>
      <c r="K59" s="94" t="n"/>
      <c r="L59" s="135">
        <f t="shared" si="11"/>
      </c>
      <c r="M59" s="136">
        <f t="shared" si="12"/>
      </c>
      <c r="N59" s="94">
        <f t="shared" si="13"/>
      </c>
      <c r="O59" s="21">
        <f t="shared" si="7"/>
      </c>
      <c r="Q59" s="95">
        <f t="shared" si="22"/>
      </c>
      <c r="R59" s="94">
        <f t="shared" si="23"/>
      </c>
      <c r="S59" s="96">
        <f t="shared" si="8"/>
      </c>
      <c r="T59" s="21">
        <f t="shared" si="10"/>
      </c>
      <c r="U59" s="21">
        <f t="shared" si="24"/>
      </c>
      <c r="W59" s="95">
        <f t="shared" si="19"/>
      </c>
      <c r="X59" s="94">
        <f t="shared" si="25"/>
      </c>
      <c r="Y59" s="96">
        <f t="shared" si="26"/>
      </c>
      <c r="Z59" s="21">
        <f t="shared" si="20"/>
      </c>
      <c r="AA59" s="21">
        <f t="shared" si="21"/>
      </c>
      <c r="AB59" s="94">
        <f t="shared" si="27"/>
      </c>
      <c r="AC59" s="96">
        <f t="shared" si="28"/>
      </c>
      <c r="AD59" s="94">
        <f t="shared" si="29"/>
      </c>
      <c r="AZ59" s="2">
        <f>IF(24&gt;$BB$300,0,IFERROR(MATCH(24,$BB$1:$BB$300,0),0))</f>
        <v>0</v>
      </c>
      <c r="BA59" s="2">
        <f>IF(OR(往来单位!$B$62="",$AF$3=0),0,SUMIFS(期初余额!$R$5:$R$204,期初余额!$P$5:$P$204,往来单位!$B$62,期初余额!$Q$5:$Q$204,$C$3)+SUMIFS(应付登记!$G$5:$G$1004,应付登记!$D$5:$D$1004,往来单位!$B$62,应付登记!$E$5:$E$1004,$C$3,应付登记!$J$5:$J$1004,"&gt;="&amp;_辅助!$J$4,应付登记!$J$5:$J$1004,"&lt;="&amp;_辅助!$J$2))</f>
        <v>0</v>
      </c>
      <c r="BB59" s="2">
        <f>BB50+SUM(CA51:CA59)</f>
        <v>2</v>
      </c>
      <c r="BC59" s="2">
        <f>IF(OR(往来单位!$B$62="",$AF$3=0,NOT(OR(往来单位!$C$62="管理人员",往来单位!$C$62="工人"))),0,SUMIFS(考勤工资!$E$5:$E$1004,考勤工资!$C$5:$C$1004,往来单位!$B$62,考勤工资!$D$5:$D$1004,$C$3,考勤工资!$Y$5:$Y$1004,"&gt;="&amp;_辅助!$J$4,考勤工资!$Y$5:$Y$1004,"&lt;="&amp;_辅助!$J$2)+SUMIFS(考勤工资!$G$5:$G$1004,考勤工资!$C$5:$C$1004,往来单位!$B$62,考勤工资!$F$5:$F$1004,$C$3,考勤工资!$Y$5:$Y$1004,"&gt;="&amp;_辅助!$J$4,考勤工资!$Y$5:$Y$1004,"&lt;="&amp;_辅助!$J$2)+SUMIFS(考勤工资!$I$5:$I$1004,考勤工资!$C$5:$C$1004,往来单位!$B$62,考勤工资!$H$5:$H$1004,$C$3,考勤工资!$Y$5:$Y$1004,"&gt;="&amp;_辅助!$J$4,考勤工资!$Y$5:$Y$1004,"&lt;="&amp;_辅助!$J$2)+SUMIFS(考勤工资!$K$5:$K$1004,考勤工资!$C$5:$C$1004,往来单位!$B$62,考勤工资!$J$5:$J$1004,$C$3,考勤工资!$Y$5:$Y$1004,"&gt;="&amp;_辅助!$J$4,考勤工资!$Y$5:$Y$1004,"&lt;="&amp;_辅助!$J$2))</f>
        <v>0</v>
      </c>
      <c r="BD59" s="2">
        <f>IF(BC59=0,0,SUMIFS(考勤工资!$AC$5:$AC$1004,考勤工资!$C$5:$C$1004,往来单位!$B$62,考勤工资!$D$5:$D$1004,$C$3,考勤工资!$Y$5:$Y$1004,"&gt;="&amp;_辅助!$J$4,考勤工资!$Y$5:$Y$1004,"&lt;="&amp;_辅助!$J$2)+SUMIFS(考勤工资!$AD$5:$AD$1004,考勤工资!$C$5:$C$1004,往来单位!$B$62,考勤工资!$F$5:$F$1004,$C$3,考勤工资!$Y$5:$Y$1004,"&gt;="&amp;_辅助!$J$4,考勤工资!$Y$5:$Y$1004,"&lt;="&amp;_辅助!$J$2)+SUMIFS(考勤工资!$AE$5:$AE$1004,考勤工资!$C$5:$C$1004,往来单位!$B$62,考勤工资!$H$5:$H$1004,$C$3,考勤工资!$Y$5:$Y$1004,"&gt;="&amp;_辅助!$J$4,考勤工资!$Y$5:$Y$1004,"&lt;="&amp;_辅助!$J$2)+SUMIFS(考勤工资!$AF$5:$AF$1004,考勤工资!$C$5:$C$1004,往来单位!$B$62,考勤工资!$J$5:$J$1004,$C$3,考勤工资!$Y$5:$Y$1004,"&gt;="&amp;_辅助!$J$4,考勤工资!$Y$5:$Y$1004,"&lt;="&amp;_辅助!$J$2))</f>
        <v>0</v>
      </c>
      <c r="BE59" s="2">
        <f>BE50+SUM(CB51:CB59)</f>
        <v>0</v>
      </c>
      <c r="BF59" s="2">
        <f>IF(AND($AF$3&gt;0,发票登记!$T$62=$C$3,ISNUMBER(发票登记!$X$62),发票登记!$AB$62&lt;&gt;0,发票登记!$Y$62&gt;=_辅助!$J$4,发票登记!$Y$62&lt;=_辅助!$J$2),INT(发票登记!$X$62)*10000+58,"")</f>
      </c>
      <c r="BG59" s="2">
        <f>IF(AND($AF$3&gt;0,资金流水!$H$63=$C$3,ISNUMBER(资金流水!$B$63),ISNUMBER(资金流水!$S$63),资金流水!$S$63&gt;=_辅助!$J$4,资金流水!$S$63&lt;=_辅助!$J$2),INT(资金流水!$B$63)*10000+58,"")</f>
      </c>
      <c r="BH59" s="2">
        <f>IF(24&gt;$BE$300,0,IFERROR(MATCH(24,$BE$1:$BE$300,0),0))</f>
        <v>0</v>
      </c>
      <c r="BI59" s="2">
        <f>IF(24&gt;$BF$1,0,MOD(SMALL($BF$2:$BF$1001,24),10000))</f>
        <v>0</v>
      </c>
      <c r="BJ59" s="2">
        <f>IF(24&gt;$BG$1,0,MOD(SMALL($BG$2:$BG$2001,24),10000))</f>
        <v>0</v>
      </c>
      <c r="CA59" s="2">
        <f t="shared" si="0"/>
        <v>0</v>
      </c>
      <c r="CB59" s="2">
        <f t="shared" si="1"/>
        <v>0</v>
      </c>
    </row>
    <row r="60">
      <c r="A60" s="94">
        <f>IF($AZ60=0,"",25)</f>
      </c>
      <c r="B60" s="96">
        <f t="shared" si="18"/>
      </c>
      <c r="C60" s="21">
        <f t="shared" si="4"/>
      </c>
      <c r="D60" s="21">
        <f t="shared" si="15"/>
      </c>
      <c r="E60" s="21">
        <f t="shared" si="2"/>
      </c>
      <c r="F60" s="21">
        <f t="shared" si="17"/>
      </c>
      <c r="G60" s="21">
        <f t="shared" si="6"/>
      </c>
      <c r="I60" s="94">
        <f t="shared" si="3"/>
      </c>
      <c r="J60" s="21">
        <f t="shared" si="5"/>
      </c>
      <c r="K60" s="94" t="n"/>
      <c r="L60" s="135">
        <f t="shared" si="11"/>
      </c>
      <c r="M60" s="136">
        <f t="shared" si="12"/>
      </c>
      <c r="N60" s="94">
        <f t="shared" si="13"/>
      </c>
      <c r="O60" s="21">
        <f t="shared" si="7"/>
      </c>
      <c r="Q60" s="95">
        <f t="shared" si="22"/>
      </c>
      <c r="R60" s="94">
        <f t="shared" si="23"/>
      </c>
      <c r="S60" s="96">
        <f t="shared" si="8"/>
      </c>
      <c r="T60" s="21">
        <f t="shared" si="10"/>
      </c>
      <c r="U60" s="21">
        <f t="shared" si="24"/>
      </c>
      <c r="W60" s="95">
        <f t="shared" si="19"/>
      </c>
      <c r="X60" s="94">
        <f t="shared" si="25"/>
      </c>
      <c r="Y60" s="96">
        <f t="shared" si="26"/>
      </c>
      <c r="Z60" s="21">
        <f t="shared" si="20"/>
      </c>
      <c r="AA60" s="21">
        <f t="shared" si="21"/>
      </c>
      <c r="AB60" s="94">
        <f t="shared" si="27"/>
      </c>
      <c r="AC60" s="96">
        <f t="shared" si="28"/>
      </c>
      <c r="AD60" s="94">
        <f t="shared" si="29"/>
      </c>
      <c r="AZ60" s="2">
        <f>IF(25&gt;$BB$300,0,IFERROR(MATCH(25,$BB$1:$BB$300,0),0))</f>
        <v>0</v>
      </c>
      <c r="BA60" s="2">
        <f>IF(OR(往来单位!$B$63="",$AF$3=0),0,SUMIFS(期初余额!$R$5:$R$204,期初余额!$P$5:$P$204,往来单位!$B$63,期初余额!$Q$5:$Q$204,$C$3)+SUMIFS(应付登记!$G$5:$G$1004,应付登记!$D$5:$D$1004,往来单位!$B$63,应付登记!$E$5:$E$1004,$C$3,应付登记!$J$5:$J$1004,"&gt;="&amp;_辅助!$J$4,应付登记!$J$5:$J$1004,"&lt;="&amp;_辅助!$J$2))</f>
        <v>0</v>
      </c>
      <c r="BB60" s="2">
        <f>BB50+SUM(CA51:CA60)</f>
        <v>2</v>
      </c>
      <c r="BC60" s="2">
        <f>IF(OR(往来单位!$B$63="",$AF$3=0,NOT(OR(往来单位!$C$63="管理人员",往来单位!$C$63="工人"))),0,SUMIFS(考勤工资!$E$5:$E$1004,考勤工资!$C$5:$C$1004,往来单位!$B$63,考勤工资!$D$5:$D$1004,$C$3,考勤工资!$Y$5:$Y$1004,"&gt;="&amp;_辅助!$J$4,考勤工资!$Y$5:$Y$1004,"&lt;="&amp;_辅助!$J$2)+SUMIFS(考勤工资!$G$5:$G$1004,考勤工资!$C$5:$C$1004,往来单位!$B$63,考勤工资!$F$5:$F$1004,$C$3,考勤工资!$Y$5:$Y$1004,"&gt;="&amp;_辅助!$J$4,考勤工资!$Y$5:$Y$1004,"&lt;="&amp;_辅助!$J$2)+SUMIFS(考勤工资!$I$5:$I$1004,考勤工资!$C$5:$C$1004,往来单位!$B$63,考勤工资!$H$5:$H$1004,$C$3,考勤工资!$Y$5:$Y$1004,"&gt;="&amp;_辅助!$J$4,考勤工资!$Y$5:$Y$1004,"&lt;="&amp;_辅助!$J$2)+SUMIFS(考勤工资!$K$5:$K$1004,考勤工资!$C$5:$C$1004,往来单位!$B$63,考勤工资!$J$5:$J$1004,$C$3,考勤工资!$Y$5:$Y$1004,"&gt;="&amp;_辅助!$J$4,考勤工资!$Y$5:$Y$1004,"&lt;="&amp;_辅助!$J$2))</f>
        <v>0</v>
      </c>
      <c r="BD60" s="2">
        <f>IF(BC60=0,0,SUMIFS(考勤工资!$AC$5:$AC$1004,考勤工资!$C$5:$C$1004,往来单位!$B$63,考勤工资!$D$5:$D$1004,$C$3,考勤工资!$Y$5:$Y$1004,"&gt;="&amp;_辅助!$J$4,考勤工资!$Y$5:$Y$1004,"&lt;="&amp;_辅助!$J$2)+SUMIFS(考勤工资!$AD$5:$AD$1004,考勤工资!$C$5:$C$1004,往来单位!$B$63,考勤工资!$F$5:$F$1004,$C$3,考勤工资!$Y$5:$Y$1004,"&gt;="&amp;_辅助!$J$4,考勤工资!$Y$5:$Y$1004,"&lt;="&amp;_辅助!$J$2)+SUMIFS(考勤工资!$AE$5:$AE$1004,考勤工资!$C$5:$C$1004,往来单位!$B$63,考勤工资!$H$5:$H$1004,$C$3,考勤工资!$Y$5:$Y$1004,"&gt;="&amp;_辅助!$J$4,考勤工资!$Y$5:$Y$1004,"&lt;="&amp;_辅助!$J$2)+SUMIFS(考勤工资!$AF$5:$AF$1004,考勤工资!$C$5:$C$1004,往来单位!$B$63,考勤工资!$J$5:$J$1004,$C$3,考勤工资!$Y$5:$Y$1004,"&gt;="&amp;_辅助!$J$4,考勤工资!$Y$5:$Y$1004,"&lt;="&amp;_辅助!$J$2))</f>
        <v>0</v>
      </c>
      <c r="BE60" s="2">
        <f>BE50+SUM(CB51:CB60)</f>
        <v>0</v>
      </c>
      <c r="BF60" s="2">
        <f>IF(AND($AF$3&gt;0,发票登记!$T$63=$C$3,ISNUMBER(发票登记!$X$63),发票登记!$AB$63&lt;&gt;0,发票登记!$Y$63&gt;=_辅助!$J$4,发票登记!$Y$63&lt;=_辅助!$J$2),INT(发票登记!$X$63)*10000+59,"")</f>
      </c>
      <c r="BG60" s="2">
        <f>IF(AND($AF$3&gt;0,资金流水!$H$64=$C$3,ISNUMBER(资金流水!$B$64),ISNUMBER(资金流水!$S$64),资金流水!$S$64&gt;=_辅助!$J$4,资金流水!$S$64&lt;=_辅助!$J$2),INT(资金流水!$B$64)*10000+59,"")</f>
      </c>
      <c r="BH60" s="2">
        <f>IF(25&gt;$BE$300,0,IFERROR(MATCH(25,$BE$1:$BE$300,0),0))</f>
        <v>0</v>
      </c>
      <c r="BI60" s="2">
        <f>IF(25&gt;$BF$1,0,MOD(SMALL($BF$2:$BF$1001,25),10000))</f>
        <v>0</v>
      </c>
      <c r="BJ60" s="2">
        <f>IF(25&gt;$BG$1,0,MOD(SMALL($BG$2:$BG$2001,25),10000))</f>
        <v>0</v>
      </c>
      <c r="CA60" s="2">
        <f t="shared" si="0"/>
        <v>0</v>
      </c>
      <c r="CB60" s="2">
        <f t="shared" si="1"/>
        <v>0</v>
      </c>
    </row>
    <row r="61">
      <c r="A61" s="94">
        <f>IF($AZ61=0,"",26)</f>
      </c>
      <c r="B61" s="96">
        <f t="shared" si="18"/>
      </c>
      <c r="C61" s="21">
        <f t="shared" si="4"/>
      </c>
      <c r="D61" s="21">
        <f t="shared" si="15"/>
      </c>
      <c r="E61" s="21">
        <f t="shared" si="2"/>
      </c>
      <c r="F61" s="21">
        <f t="shared" si="17"/>
      </c>
      <c r="G61" s="21">
        <f t="shared" si="6"/>
      </c>
      <c r="I61" s="94">
        <f t="shared" si="3"/>
      </c>
      <c r="J61" s="21">
        <f t="shared" si="5"/>
      </c>
      <c r="K61" s="94" t="n"/>
      <c r="L61" s="135">
        <f t="shared" si="11"/>
      </c>
      <c r="M61" s="136">
        <f t="shared" si="12"/>
      </c>
      <c r="N61" s="94">
        <f t="shared" si="13"/>
      </c>
      <c r="O61" s="21">
        <f t="shared" si="7"/>
      </c>
      <c r="Q61" s="95">
        <f t="shared" si="22"/>
      </c>
      <c r="R61" s="94">
        <f t="shared" si="23"/>
      </c>
      <c r="S61" s="96">
        <f t="shared" si="8"/>
      </c>
      <c r="T61" s="21">
        <f t="shared" si="10"/>
      </c>
      <c r="U61" s="21">
        <f t="shared" si="24"/>
      </c>
      <c r="W61" s="95">
        <f t="shared" si="19"/>
      </c>
      <c r="X61" s="94">
        <f t="shared" si="25"/>
      </c>
      <c r="Y61" s="96">
        <f t="shared" si="26"/>
      </c>
      <c r="Z61" s="21">
        <f t="shared" si="20"/>
      </c>
      <c r="AA61" s="21">
        <f t="shared" si="21"/>
      </c>
      <c r="AB61" s="94">
        <f t="shared" si="27"/>
      </c>
      <c r="AC61" s="96">
        <f t="shared" si="28"/>
      </c>
      <c r="AD61" s="94">
        <f t="shared" si="29"/>
      </c>
      <c r="AZ61" s="2">
        <f>IF(26&gt;$BB$300,0,IFERROR(MATCH(26,$BB$1:$BB$300,0),0))</f>
        <v>0</v>
      </c>
      <c r="BA61" s="2">
        <f>IF(OR(往来单位!$B$64="",$AF$3=0),0,SUMIFS(期初余额!$R$5:$R$204,期初余额!$P$5:$P$204,往来单位!$B$64,期初余额!$Q$5:$Q$204,$C$3)+SUMIFS(应付登记!$G$5:$G$1004,应付登记!$D$5:$D$1004,往来单位!$B$64,应付登记!$E$5:$E$1004,$C$3,应付登记!$J$5:$J$1004,"&gt;="&amp;_辅助!$J$4,应付登记!$J$5:$J$1004,"&lt;="&amp;_辅助!$J$2))</f>
        <v>0</v>
      </c>
      <c r="BB61" s="2">
        <f>BB50+SUM(CA51:CA61)</f>
        <v>2</v>
      </c>
      <c r="BC61" s="2">
        <f>IF(OR(往来单位!$B$64="",$AF$3=0,NOT(OR(往来单位!$C$64="管理人员",往来单位!$C$64="工人"))),0,SUMIFS(考勤工资!$E$5:$E$1004,考勤工资!$C$5:$C$1004,往来单位!$B$64,考勤工资!$D$5:$D$1004,$C$3,考勤工资!$Y$5:$Y$1004,"&gt;="&amp;_辅助!$J$4,考勤工资!$Y$5:$Y$1004,"&lt;="&amp;_辅助!$J$2)+SUMIFS(考勤工资!$G$5:$G$1004,考勤工资!$C$5:$C$1004,往来单位!$B$64,考勤工资!$F$5:$F$1004,$C$3,考勤工资!$Y$5:$Y$1004,"&gt;="&amp;_辅助!$J$4,考勤工资!$Y$5:$Y$1004,"&lt;="&amp;_辅助!$J$2)+SUMIFS(考勤工资!$I$5:$I$1004,考勤工资!$C$5:$C$1004,往来单位!$B$64,考勤工资!$H$5:$H$1004,$C$3,考勤工资!$Y$5:$Y$1004,"&gt;="&amp;_辅助!$J$4,考勤工资!$Y$5:$Y$1004,"&lt;="&amp;_辅助!$J$2)+SUMIFS(考勤工资!$K$5:$K$1004,考勤工资!$C$5:$C$1004,往来单位!$B$64,考勤工资!$J$5:$J$1004,$C$3,考勤工资!$Y$5:$Y$1004,"&gt;="&amp;_辅助!$J$4,考勤工资!$Y$5:$Y$1004,"&lt;="&amp;_辅助!$J$2))</f>
        <v>0</v>
      </c>
      <c r="BD61" s="2">
        <f>IF(BC61=0,0,SUMIFS(考勤工资!$AC$5:$AC$1004,考勤工资!$C$5:$C$1004,往来单位!$B$64,考勤工资!$D$5:$D$1004,$C$3,考勤工资!$Y$5:$Y$1004,"&gt;="&amp;_辅助!$J$4,考勤工资!$Y$5:$Y$1004,"&lt;="&amp;_辅助!$J$2)+SUMIFS(考勤工资!$AD$5:$AD$1004,考勤工资!$C$5:$C$1004,往来单位!$B$64,考勤工资!$F$5:$F$1004,$C$3,考勤工资!$Y$5:$Y$1004,"&gt;="&amp;_辅助!$J$4,考勤工资!$Y$5:$Y$1004,"&lt;="&amp;_辅助!$J$2)+SUMIFS(考勤工资!$AE$5:$AE$1004,考勤工资!$C$5:$C$1004,往来单位!$B$64,考勤工资!$H$5:$H$1004,$C$3,考勤工资!$Y$5:$Y$1004,"&gt;="&amp;_辅助!$J$4,考勤工资!$Y$5:$Y$1004,"&lt;="&amp;_辅助!$J$2)+SUMIFS(考勤工资!$AF$5:$AF$1004,考勤工资!$C$5:$C$1004,往来单位!$B$64,考勤工资!$J$5:$J$1004,$C$3,考勤工资!$Y$5:$Y$1004,"&gt;="&amp;_辅助!$J$4,考勤工资!$Y$5:$Y$1004,"&lt;="&amp;_辅助!$J$2))</f>
        <v>0</v>
      </c>
      <c r="BE61" s="2">
        <f>BE50+SUM(CB51:CB61)</f>
        <v>0</v>
      </c>
      <c r="BF61" s="2">
        <f>IF(AND($AF$3&gt;0,发票登记!$T$64=$C$3,ISNUMBER(发票登记!$X$64),发票登记!$AB$64&lt;&gt;0,发票登记!$Y$64&gt;=_辅助!$J$4,发票登记!$Y$64&lt;=_辅助!$J$2),INT(发票登记!$X$64)*10000+60,"")</f>
      </c>
      <c r="BG61" s="2">
        <f>IF(AND($AF$3&gt;0,资金流水!$H$65=$C$3,ISNUMBER(资金流水!$B$65),ISNUMBER(资金流水!$S$65),资金流水!$S$65&gt;=_辅助!$J$4,资金流水!$S$65&lt;=_辅助!$J$2),INT(资金流水!$B$65)*10000+60,"")</f>
      </c>
      <c r="BH61" s="2">
        <f>IF(26&gt;$BE$300,0,IFERROR(MATCH(26,$BE$1:$BE$300,0),0))</f>
        <v>0</v>
      </c>
      <c r="BI61" s="2">
        <f>IF(26&gt;$BF$1,0,MOD(SMALL($BF$2:$BF$1001,26),10000))</f>
        <v>0</v>
      </c>
      <c r="BJ61" s="2">
        <f>IF(26&gt;$BG$1,0,MOD(SMALL($BG$2:$BG$2001,26),10000))</f>
        <v>0</v>
      </c>
      <c r="CA61" s="2">
        <f t="shared" si="0"/>
        <v>0</v>
      </c>
      <c r="CB61" s="2">
        <f t="shared" si="1"/>
        <v>0</v>
      </c>
    </row>
    <row r="62">
      <c r="A62" s="94">
        <f>IF($AZ62=0,"",27)</f>
      </c>
      <c r="B62" s="96">
        <f t="shared" si="18"/>
      </c>
      <c r="C62" s="21">
        <f t="shared" si="4"/>
      </c>
      <c r="D62" s="21">
        <f t="shared" si="15"/>
      </c>
      <c r="E62" s="21">
        <f t="shared" si="2"/>
      </c>
      <c r="F62" s="21">
        <f t="shared" si="17"/>
      </c>
      <c r="G62" s="21">
        <f t="shared" si="6"/>
      </c>
      <c r="I62" s="94">
        <f t="shared" si="3"/>
      </c>
      <c r="J62" s="21">
        <f t="shared" si="5"/>
      </c>
      <c r="K62" s="94" t="n"/>
      <c r="L62" s="135">
        <f t="shared" si="11"/>
      </c>
      <c r="M62" s="136">
        <f t="shared" si="12"/>
      </c>
      <c r="N62" s="94">
        <f t="shared" si="13"/>
      </c>
      <c r="O62" s="21">
        <f t="shared" si="7"/>
      </c>
      <c r="Q62" s="95">
        <f t="shared" si="22"/>
      </c>
      <c r="R62" s="94">
        <f t="shared" si="23"/>
      </c>
      <c r="S62" s="96">
        <f t="shared" si="8"/>
      </c>
      <c r="T62" s="21">
        <f t="shared" si="10"/>
      </c>
      <c r="U62" s="21">
        <f t="shared" si="24"/>
      </c>
      <c r="W62" s="95">
        <f t="shared" si="19"/>
      </c>
      <c r="X62" s="94">
        <f t="shared" si="25"/>
      </c>
      <c r="Y62" s="96">
        <f t="shared" si="26"/>
      </c>
      <c r="Z62" s="21">
        <f t="shared" si="20"/>
      </c>
      <c r="AA62" s="21">
        <f t="shared" si="21"/>
      </c>
      <c r="AB62" s="94">
        <f t="shared" si="27"/>
      </c>
      <c r="AC62" s="96">
        <f t="shared" si="28"/>
      </c>
      <c r="AD62" s="94">
        <f t="shared" si="29"/>
      </c>
      <c r="AZ62" s="2">
        <f>IF(27&gt;$BB$300,0,IFERROR(MATCH(27,$BB$1:$BB$300,0),0))</f>
        <v>0</v>
      </c>
      <c r="BA62" s="2">
        <f>IF(OR(往来单位!$B$65="",$AF$3=0),0,SUMIFS(期初余额!$R$5:$R$204,期初余额!$P$5:$P$204,往来单位!$B$65,期初余额!$Q$5:$Q$204,$C$3)+SUMIFS(应付登记!$G$5:$G$1004,应付登记!$D$5:$D$1004,往来单位!$B$65,应付登记!$E$5:$E$1004,$C$3,应付登记!$J$5:$J$1004,"&gt;="&amp;_辅助!$J$4,应付登记!$J$5:$J$1004,"&lt;="&amp;_辅助!$J$2))</f>
        <v>0</v>
      </c>
      <c r="BB62" s="2">
        <f>BB50+SUM(CA51:CA62)</f>
        <v>2</v>
      </c>
      <c r="BC62" s="2">
        <f>IF(OR(往来单位!$B$65="",$AF$3=0,NOT(OR(往来单位!$C$65="管理人员",往来单位!$C$65="工人"))),0,SUMIFS(考勤工资!$E$5:$E$1004,考勤工资!$C$5:$C$1004,往来单位!$B$65,考勤工资!$D$5:$D$1004,$C$3,考勤工资!$Y$5:$Y$1004,"&gt;="&amp;_辅助!$J$4,考勤工资!$Y$5:$Y$1004,"&lt;="&amp;_辅助!$J$2)+SUMIFS(考勤工资!$G$5:$G$1004,考勤工资!$C$5:$C$1004,往来单位!$B$65,考勤工资!$F$5:$F$1004,$C$3,考勤工资!$Y$5:$Y$1004,"&gt;="&amp;_辅助!$J$4,考勤工资!$Y$5:$Y$1004,"&lt;="&amp;_辅助!$J$2)+SUMIFS(考勤工资!$I$5:$I$1004,考勤工资!$C$5:$C$1004,往来单位!$B$65,考勤工资!$H$5:$H$1004,$C$3,考勤工资!$Y$5:$Y$1004,"&gt;="&amp;_辅助!$J$4,考勤工资!$Y$5:$Y$1004,"&lt;="&amp;_辅助!$J$2)+SUMIFS(考勤工资!$K$5:$K$1004,考勤工资!$C$5:$C$1004,往来单位!$B$65,考勤工资!$J$5:$J$1004,$C$3,考勤工资!$Y$5:$Y$1004,"&gt;="&amp;_辅助!$J$4,考勤工资!$Y$5:$Y$1004,"&lt;="&amp;_辅助!$J$2))</f>
        <v>0</v>
      </c>
      <c r="BD62" s="2">
        <f>IF(BC62=0,0,SUMIFS(考勤工资!$AC$5:$AC$1004,考勤工资!$C$5:$C$1004,往来单位!$B$65,考勤工资!$D$5:$D$1004,$C$3,考勤工资!$Y$5:$Y$1004,"&gt;="&amp;_辅助!$J$4,考勤工资!$Y$5:$Y$1004,"&lt;="&amp;_辅助!$J$2)+SUMIFS(考勤工资!$AD$5:$AD$1004,考勤工资!$C$5:$C$1004,往来单位!$B$65,考勤工资!$F$5:$F$1004,$C$3,考勤工资!$Y$5:$Y$1004,"&gt;="&amp;_辅助!$J$4,考勤工资!$Y$5:$Y$1004,"&lt;="&amp;_辅助!$J$2)+SUMIFS(考勤工资!$AE$5:$AE$1004,考勤工资!$C$5:$C$1004,往来单位!$B$65,考勤工资!$H$5:$H$1004,$C$3,考勤工资!$Y$5:$Y$1004,"&gt;="&amp;_辅助!$J$4,考勤工资!$Y$5:$Y$1004,"&lt;="&amp;_辅助!$J$2)+SUMIFS(考勤工资!$AF$5:$AF$1004,考勤工资!$C$5:$C$1004,往来单位!$B$65,考勤工资!$J$5:$J$1004,$C$3,考勤工资!$Y$5:$Y$1004,"&gt;="&amp;_辅助!$J$4,考勤工资!$Y$5:$Y$1004,"&lt;="&amp;_辅助!$J$2))</f>
        <v>0</v>
      </c>
      <c r="BE62" s="2">
        <f>BE50+SUM(CB51:CB62)</f>
        <v>0</v>
      </c>
      <c r="BF62" s="2">
        <f>IF(AND($AF$3&gt;0,发票登记!$T$65=$C$3,ISNUMBER(发票登记!$X$65),发票登记!$AB$65&lt;&gt;0,发票登记!$Y$65&gt;=_辅助!$J$4,发票登记!$Y$65&lt;=_辅助!$J$2),INT(发票登记!$X$65)*10000+61,"")</f>
      </c>
      <c r="BG62" s="2">
        <f>IF(AND($AF$3&gt;0,资金流水!$H$66=$C$3,ISNUMBER(资金流水!$B$66),ISNUMBER(资金流水!$S$66),资金流水!$S$66&gt;=_辅助!$J$4,资金流水!$S$66&lt;=_辅助!$J$2),INT(资金流水!$B$66)*10000+61,"")</f>
      </c>
      <c r="BH62" s="2">
        <f>IF(27&gt;$BE$300,0,IFERROR(MATCH(27,$BE$1:$BE$300,0),0))</f>
        <v>0</v>
      </c>
      <c r="BI62" s="2">
        <f>IF(27&gt;$BF$1,0,MOD(SMALL($BF$2:$BF$1001,27),10000))</f>
        <v>0</v>
      </c>
      <c r="BJ62" s="2">
        <f>IF(27&gt;$BG$1,0,MOD(SMALL($BG$2:$BG$2001,27),10000))</f>
        <v>0</v>
      </c>
      <c r="CA62" s="2">
        <f t="shared" si="0"/>
        <v>0</v>
      </c>
      <c r="CB62" s="2">
        <f t="shared" si="1"/>
        <v>0</v>
      </c>
    </row>
    <row r="63">
      <c r="A63" s="94">
        <f>IF($AZ63=0,"",28)</f>
      </c>
      <c r="B63" s="96">
        <f t="shared" si="18"/>
      </c>
      <c r="C63" s="21">
        <f t="shared" si="4"/>
      </c>
      <c r="D63" s="21">
        <f t="shared" si="15"/>
      </c>
      <c r="E63" s="21">
        <f t="shared" si="2"/>
      </c>
      <c r="F63" s="21">
        <f t="shared" si="17"/>
      </c>
      <c r="G63" s="21">
        <f t="shared" si="6"/>
      </c>
      <c r="I63" s="94">
        <f t="shared" si="3"/>
      </c>
      <c r="J63" s="21">
        <f t="shared" si="5"/>
      </c>
      <c r="K63" s="94" t="n"/>
      <c r="L63" s="135">
        <f t="shared" si="11"/>
      </c>
      <c r="M63" s="136">
        <f t="shared" si="12"/>
      </c>
      <c r="N63" s="94">
        <f t="shared" si="13"/>
      </c>
      <c r="O63" s="21">
        <f t="shared" si="7"/>
      </c>
      <c r="Q63" s="95">
        <f t="shared" si="22"/>
      </c>
      <c r="R63" s="94">
        <f t="shared" si="23"/>
      </c>
      <c r="S63" s="96">
        <f t="shared" si="8"/>
      </c>
      <c r="T63" s="21">
        <f t="shared" si="10"/>
      </c>
      <c r="U63" s="21">
        <f t="shared" si="24"/>
      </c>
      <c r="W63" s="95">
        <f t="shared" si="19"/>
      </c>
      <c r="X63" s="94">
        <f t="shared" si="25"/>
      </c>
      <c r="Y63" s="96">
        <f t="shared" si="26"/>
      </c>
      <c r="Z63" s="21">
        <f t="shared" si="20"/>
      </c>
      <c r="AA63" s="21">
        <f t="shared" si="21"/>
      </c>
      <c r="AB63" s="94">
        <f t="shared" si="27"/>
      </c>
      <c r="AC63" s="96">
        <f t="shared" si="28"/>
      </c>
      <c r="AD63" s="94">
        <f t="shared" si="29"/>
      </c>
      <c r="AZ63" s="2">
        <f>IF(28&gt;$BB$300,0,IFERROR(MATCH(28,$BB$1:$BB$300,0),0))</f>
        <v>0</v>
      </c>
      <c r="BA63" s="2">
        <f>IF(OR(往来单位!$B$66="",$AF$3=0),0,SUMIFS(期初余额!$R$5:$R$204,期初余额!$P$5:$P$204,往来单位!$B$66,期初余额!$Q$5:$Q$204,$C$3)+SUMIFS(应付登记!$G$5:$G$1004,应付登记!$D$5:$D$1004,往来单位!$B$66,应付登记!$E$5:$E$1004,$C$3,应付登记!$J$5:$J$1004,"&gt;="&amp;_辅助!$J$4,应付登记!$J$5:$J$1004,"&lt;="&amp;_辅助!$J$2))</f>
        <v>0</v>
      </c>
      <c r="BB63" s="2">
        <f>BB50+SUM(CA51:CA63)</f>
        <v>2</v>
      </c>
      <c r="BC63" s="2">
        <f>IF(OR(往来单位!$B$66="",$AF$3=0,NOT(OR(往来单位!$C$66="管理人员",往来单位!$C$66="工人"))),0,SUMIFS(考勤工资!$E$5:$E$1004,考勤工资!$C$5:$C$1004,往来单位!$B$66,考勤工资!$D$5:$D$1004,$C$3,考勤工资!$Y$5:$Y$1004,"&gt;="&amp;_辅助!$J$4,考勤工资!$Y$5:$Y$1004,"&lt;="&amp;_辅助!$J$2)+SUMIFS(考勤工资!$G$5:$G$1004,考勤工资!$C$5:$C$1004,往来单位!$B$66,考勤工资!$F$5:$F$1004,$C$3,考勤工资!$Y$5:$Y$1004,"&gt;="&amp;_辅助!$J$4,考勤工资!$Y$5:$Y$1004,"&lt;="&amp;_辅助!$J$2)+SUMIFS(考勤工资!$I$5:$I$1004,考勤工资!$C$5:$C$1004,往来单位!$B$66,考勤工资!$H$5:$H$1004,$C$3,考勤工资!$Y$5:$Y$1004,"&gt;="&amp;_辅助!$J$4,考勤工资!$Y$5:$Y$1004,"&lt;="&amp;_辅助!$J$2)+SUMIFS(考勤工资!$K$5:$K$1004,考勤工资!$C$5:$C$1004,往来单位!$B$66,考勤工资!$J$5:$J$1004,$C$3,考勤工资!$Y$5:$Y$1004,"&gt;="&amp;_辅助!$J$4,考勤工资!$Y$5:$Y$1004,"&lt;="&amp;_辅助!$J$2))</f>
        <v>0</v>
      </c>
      <c r="BD63" s="2">
        <f>IF(BC63=0,0,SUMIFS(考勤工资!$AC$5:$AC$1004,考勤工资!$C$5:$C$1004,往来单位!$B$66,考勤工资!$D$5:$D$1004,$C$3,考勤工资!$Y$5:$Y$1004,"&gt;="&amp;_辅助!$J$4,考勤工资!$Y$5:$Y$1004,"&lt;="&amp;_辅助!$J$2)+SUMIFS(考勤工资!$AD$5:$AD$1004,考勤工资!$C$5:$C$1004,往来单位!$B$66,考勤工资!$F$5:$F$1004,$C$3,考勤工资!$Y$5:$Y$1004,"&gt;="&amp;_辅助!$J$4,考勤工资!$Y$5:$Y$1004,"&lt;="&amp;_辅助!$J$2)+SUMIFS(考勤工资!$AE$5:$AE$1004,考勤工资!$C$5:$C$1004,往来单位!$B$66,考勤工资!$H$5:$H$1004,$C$3,考勤工资!$Y$5:$Y$1004,"&gt;="&amp;_辅助!$J$4,考勤工资!$Y$5:$Y$1004,"&lt;="&amp;_辅助!$J$2)+SUMIFS(考勤工资!$AF$5:$AF$1004,考勤工资!$C$5:$C$1004,往来单位!$B$66,考勤工资!$J$5:$J$1004,$C$3,考勤工资!$Y$5:$Y$1004,"&gt;="&amp;_辅助!$J$4,考勤工资!$Y$5:$Y$1004,"&lt;="&amp;_辅助!$J$2))</f>
        <v>0</v>
      </c>
      <c r="BE63" s="2">
        <f>BE50+SUM(CB51:CB63)</f>
        <v>0</v>
      </c>
      <c r="BF63" s="2">
        <f>IF(AND($AF$3&gt;0,发票登记!$T$66=$C$3,ISNUMBER(发票登记!$X$66),发票登记!$AB$66&lt;&gt;0,发票登记!$Y$66&gt;=_辅助!$J$4,发票登记!$Y$66&lt;=_辅助!$J$2),INT(发票登记!$X$66)*10000+62,"")</f>
      </c>
      <c r="BG63" s="2">
        <f>IF(AND($AF$3&gt;0,资金流水!$H$67=$C$3,ISNUMBER(资金流水!$B$67),ISNUMBER(资金流水!$S$67),资金流水!$S$67&gt;=_辅助!$J$4,资金流水!$S$67&lt;=_辅助!$J$2),INT(资金流水!$B$67)*10000+62,"")</f>
      </c>
      <c r="BH63" s="2">
        <f>IF(28&gt;$BE$300,0,IFERROR(MATCH(28,$BE$1:$BE$300,0),0))</f>
        <v>0</v>
      </c>
      <c r="BI63" s="2">
        <f>IF(28&gt;$BF$1,0,MOD(SMALL($BF$2:$BF$1001,28),10000))</f>
        <v>0</v>
      </c>
      <c r="BJ63" s="2">
        <f>IF(28&gt;$BG$1,0,MOD(SMALL($BG$2:$BG$2001,28),10000))</f>
        <v>0</v>
      </c>
      <c r="CA63" s="2">
        <f t="shared" si="0"/>
        <v>0</v>
      </c>
      <c r="CB63" s="2">
        <f t="shared" si="1"/>
        <v>0</v>
      </c>
    </row>
    <row r="64">
      <c r="A64" s="94">
        <f>IF($AZ64=0,"",29)</f>
      </c>
      <c r="B64" s="96">
        <f t="shared" si="18"/>
      </c>
      <c r="C64" s="21">
        <f t="shared" si="4"/>
      </c>
      <c r="D64" s="21">
        <f t="shared" si="15"/>
      </c>
      <c r="E64" s="21">
        <f t="shared" si="2"/>
      </c>
      <c r="F64" s="21">
        <f t="shared" si="17"/>
      </c>
      <c r="G64" s="21">
        <f t="shared" si="6"/>
      </c>
      <c r="I64" s="94">
        <f t="shared" si="3"/>
      </c>
      <c r="J64" s="21">
        <f t="shared" si="5"/>
      </c>
      <c r="K64" s="94" t="n"/>
      <c r="L64" s="135">
        <f t="shared" si="11"/>
      </c>
      <c r="M64" s="136">
        <f t="shared" si="12"/>
      </c>
      <c r="N64" s="94">
        <f t="shared" si="13"/>
      </c>
      <c r="O64" s="21">
        <f t="shared" si="7"/>
      </c>
      <c r="Q64" s="95">
        <f t="shared" si="22"/>
      </c>
      <c r="R64" s="94">
        <f t="shared" si="23"/>
      </c>
      <c r="S64" s="96">
        <f t="shared" si="8"/>
      </c>
      <c r="T64" s="21">
        <f t="shared" si="10"/>
      </c>
      <c r="U64" s="21">
        <f t="shared" si="24"/>
      </c>
      <c r="W64" s="95">
        <f t="shared" si="19"/>
      </c>
      <c r="X64" s="94">
        <f t="shared" si="25"/>
      </c>
      <c r="Y64" s="96">
        <f t="shared" si="26"/>
      </c>
      <c r="Z64" s="21">
        <f t="shared" si="20"/>
      </c>
      <c r="AA64" s="21">
        <f t="shared" si="21"/>
      </c>
      <c r="AB64" s="94">
        <f t="shared" si="27"/>
      </c>
      <c r="AC64" s="96">
        <f t="shared" si="28"/>
      </c>
      <c r="AD64" s="94">
        <f t="shared" si="29"/>
      </c>
      <c r="AZ64" s="2">
        <f>IF(29&gt;$BB$300,0,IFERROR(MATCH(29,$BB$1:$BB$300,0),0))</f>
        <v>0</v>
      </c>
      <c r="BA64" s="2">
        <f>IF(OR(往来单位!$B$67="",$AF$3=0),0,SUMIFS(期初余额!$R$5:$R$204,期初余额!$P$5:$P$204,往来单位!$B$67,期初余额!$Q$5:$Q$204,$C$3)+SUMIFS(应付登记!$G$5:$G$1004,应付登记!$D$5:$D$1004,往来单位!$B$67,应付登记!$E$5:$E$1004,$C$3,应付登记!$J$5:$J$1004,"&gt;="&amp;_辅助!$J$4,应付登记!$J$5:$J$1004,"&lt;="&amp;_辅助!$J$2))</f>
        <v>0</v>
      </c>
      <c r="BB64" s="2">
        <f>BB50+SUM(CA51:CA64)</f>
        <v>2</v>
      </c>
      <c r="BC64" s="2">
        <f>IF(OR(往来单位!$B$67="",$AF$3=0,NOT(OR(往来单位!$C$67="管理人员",往来单位!$C$67="工人"))),0,SUMIFS(考勤工资!$E$5:$E$1004,考勤工资!$C$5:$C$1004,往来单位!$B$67,考勤工资!$D$5:$D$1004,$C$3,考勤工资!$Y$5:$Y$1004,"&gt;="&amp;_辅助!$J$4,考勤工资!$Y$5:$Y$1004,"&lt;="&amp;_辅助!$J$2)+SUMIFS(考勤工资!$G$5:$G$1004,考勤工资!$C$5:$C$1004,往来单位!$B$67,考勤工资!$F$5:$F$1004,$C$3,考勤工资!$Y$5:$Y$1004,"&gt;="&amp;_辅助!$J$4,考勤工资!$Y$5:$Y$1004,"&lt;="&amp;_辅助!$J$2)+SUMIFS(考勤工资!$I$5:$I$1004,考勤工资!$C$5:$C$1004,往来单位!$B$67,考勤工资!$H$5:$H$1004,$C$3,考勤工资!$Y$5:$Y$1004,"&gt;="&amp;_辅助!$J$4,考勤工资!$Y$5:$Y$1004,"&lt;="&amp;_辅助!$J$2)+SUMIFS(考勤工资!$K$5:$K$1004,考勤工资!$C$5:$C$1004,往来单位!$B$67,考勤工资!$J$5:$J$1004,$C$3,考勤工资!$Y$5:$Y$1004,"&gt;="&amp;_辅助!$J$4,考勤工资!$Y$5:$Y$1004,"&lt;="&amp;_辅助!$J$2))</f>
        <v>0</v>
      </c>
      <c r="BD64" s="2">
        <f>IF(BC64=0,0,SUMIFS(考勤工资!$AC$5:$AC$1004,考勤工资!$C$5:$C$1004,往来单位!$B$67,考勤工资!$D$5:$D$1004,$C$3,考勤工资!$Y$5:$Y$1004,"&gt;="&amp;_辅助!$J$4,考勤工资!$Y$5:$Y$1004,"&lt;="&amp;_辅助!$J$2)+SUMIFS(考勤工资!$AD$5:$AD$1004,考勤工资!$C$5:$C$1004,往来单位!$B$67,考勤工资!$F$5:$F$1004,$C$3,考勤工资!$Y$5:$Y$1004,"&gt;="&amp;_辅助!$J$4,考勤工资!$Y$5:$Y$1004,"&lt;="&amp;_辅助!$J$2)+SUMIFS(考勤工资!$AE$5:$AE$1004,考勤工资!$C$5:$C$1004,往来单位!$B$67,考勤工资!$H$5:$H$1004,$C$3,考勤工资!$Y$5:$Y$1004,"&gt;="&amp;_辅助!$J$4,考勤工资!$Y$5:$Y$1004,"&lt;="&amp;_辅助!$J$2)+SUMIFS(考勤工资!$AF$5:$AF$1004,考勤工资!$C$5:$C$1004,往来单位!$B$67,考勤工资!$J$5:$J$1004,$C$3,考勤工资!$Y$5:$Y$1004,"&gt;="&amp;_辅助!$J$4,考勤工资!$Y$5:$Y$1004,"&lt;="&amp;_辅助!$J$2))</f>
        <v>0</v>
      </c>
      <c r="BE64" s="2">
        <f>BE50+SUM(CB51:CB64)</f>
        <v>0</v>
      </c>
      <c r="BF64" s="2">
        <f>IF(AND($AF$3&gt;0,发票登记!$T$67=$C$3,ISNUMBER(发票登记!$X$67),发票登记!$AB$67&lt;&gt;0,发票登记!$Y$67&gt;=_辅助!$J$4,发票登记!$Y$67&lt;=_辅助!$J$2),INT(发票登记!$X$67)*10000+63,"")</f>
      </c>
      <c r="BG64" s="2">
        <f>IF(AND($AF$3&gt;0,资金流水!$H$68=$C$3,ISNUMBER(资金流水!$B$68),ISNUMBER(资金流水!$S$68),资金流水!$S$68&gt;=_辅助!$J$4,资金流水!$S$68&lt;=_辅助!$J$2),INT(资金流水!$B$68)*10000+63,"")</f>
      </c>
      <c r="BH64" s="2">
        <f>IF(29&gt;$BE$300,0,IFERROR(MATCH(29,$BE$1:$BE$300,0),0))</f>
        <v>0</v>
      </c>
      <c r="BI64" s="2">
        <f>IF(29&gt;$BF$1,0,MOD(SMALL($BF$2:$BF$1001,29),10000))</f>
        <v>0</v>
      </c>
      <c r="BJ64" s="2">
        <f>IF(29&gt;$BG$1,0,MOD(SMALL($BG$2:$BG$2001,29),10000))</f>
        <v>0</v>
      </c>
      <c r="CA64" s="2">
        <f t="shared" si="0"/>
        <v>0</v>
      </c>
      <c r="CB64" s="2">
        <f t="shared" si="1"/>
        <v>0</v>
      </c>
    </row>
    <row r="65">
      <c r="A65" s="94">
        <f>IF($AZ65=0,"",30)</f>
      </c>
      <c r="B65" s="96">
        <f t="shared" si="18"/>
      </c>
      <c r="C65" s="21">
        <f t="shared" si="4"/>
      </c>
      <c r="D65" s="21">
        <f t="shared" si="15"/>
      </c>
      <c r="E65" s="21">
        <f t="shared" si="2"/>
      </c>
      <c r="F65" s="21">
        <f t="shared" si="17"/>
      </c>
      <c r="G65" s="21">
        <f t="shared" si="6"/>
      </c>
      <c r="I65" s="94">
        <f t="shared" si="3"/>
      </c>
      <c r="J65" s="21">
        <f t="shared" si="5"/>
      </c>
      <c r="K65" s="94" t="n"/>
      <c r="L65" s="135">
        <f t="shared" si="11"/>
      </c>
      <c r="M65" s="136">
        <f t="shared" si="12"/>
      </c>
      <c r="N65" s="94">
        <f t="shared" si="13"/>
      </c>
      <c r="O65" s="21">
        <f t="shared" si="7"/>
      </c>
      <c r="Q65" s="95">
        <f t="shared" si="22"/>
      </c>
      <c r="R65" s="94">
        <f t="shared" si="23"/>
      </c>
      <c r="S65" s="96">
        <f t="shared" si="8"/>
      </c>
      <c r="T65" s="21">
        <f t="shared" si="10"/>
      </c>
      <c r="U65" s="21">
        <f t="shared" si="24"/>
      </c>
      <c r="W65" s="95">
        <f t="shared" si="19"/>
      </c>
      <c r="X65" s="94">
        <f t="shared" si="25"/>
      </c>
      <c r="Y65" s="96">
        <f t="shared" si="26"/>
      </c>
      <c r="Z65" s="21">
        <f t="shared" si="20"/>
      </c>
      <c r="AA65" s="21">
        <f t="shared" si="21"/>
      </c>
      <c r="AB65" s="94">
        <f t="shared" si="27"/>
      </c>
      <c r="AC65" s="96">
        <f t="shared" si="28"/>
      </c>
      <c r="AD65" s="94">
        <f t="shared" si="29"/>
      </c>
      <c r="AZ65" s="2">
        <f>IF(30&gt;$BB$300,0,IFERROR(MATCH(30,$BB$1:$BB$300,0),0))</f>
        <v>0</v>
      </c>
      <c r="BA65" s="2">
        <f>IF(OR(往来单位!$B$68="",$AF$3=0),0,SUMIFS(期初余额!$R$5:$R$204,期初余额!$P$5:$P$204,往来单位!$B$68,期初余额!$Q$5:$Q$204,$C$3)+SUMIFS(应付登记!$G$5:$G$1004,应付登记!$D$5:$D$1004,往来单位!$B$68,应付登记!$E$5:$E$1004,$C$3,应付登记!$J$5:$J$1004,"&gt;="&amp;_辅助!$J$4,应付登记!$J$5:$J$1004,"&lt;="&amp;_辅助!$J$2))</f>
        <v>0</v>
      </c>
      <c r="BB65" s="2">
        <f>BB50+SUM(CA51:CA65)</f>
        <v>2</v>
      </c>
      <c r="BC65" s="2">
        <f>IF(OR(往来单位!$B$68="",$AF$3=0,NOT(OR(往来单位!$C$68="管理人员",往来单位!$C$68="工人"))),0,SUMIFS(考勤工资!$E$5:$E$1004,考勤工资!$C$5:$C$1004,往来单位!$B$68,考勤工资!$D$5:$D$1004,$C$3,考勤工资!$Y$5:$Y$1004,"&gt;="&amp;_辅助!$J$4,考勤工资!$Y$5:$Y$1004,"&lt;="&amp;_辅助!$J$2)+SUMIFS(考勤工资!$G$5:$G$1004,考勤工资!$C$5:$C$1004,往来单位!$B$68,考勤工资!$F$5:$F$1004,$C$3,考勤工资!$Y$5:$Y$1004,"&gt;="&amp;_辅助!$J$4,考勤工资!$Y$5:$Y$1004,"&lt;="&amp;_辅助!$J$2)+SUMIFS(考勤工资!$I$5:$I$1004,考勤工资!$C$5:$C$1004,往来单位!$B$68,考勤工资!$H$5:$H$1004,$C$3,考勤工资!$Y$5:$Y$1004,"&gt;="&amp;_辅助!$J$4,考勤工资!$Y$5:$Y$1004,"&lt;="&amp;_辅助!$J$2)+SUMIFS(考勤工资!$K$5:$K$1004,考勤工资!$C$5:$C$1004,往来单位!$B$68,考勤工资!$J$5:$J$1004,$C$3,考勤工资!$Y$5:$Y$1004,"&gt;="&amp;_辅助!$J$4,考勤工资!$Y$5:$Y$1004,"&lt;="&amp;_辅助!$J$2))</f>
        <v>0</v>
      </c>
      <c r="BD65" s="2">
        <f>IF(BC65=0,0,SUMIFS(考勤工资!$AC$5:$AC$1004,考勤工资!$C$5:$C$1004,往来单位!$B$68,考勤工资!$D$5:$D$1004,$C$3,考勤工资!$Y$5:$Y$1004,"&gt;="&amp;_辅助!$J$4,考勤工资!$Y$5:$Y$1004,"&lt;="&amp;_辅助!$J$2)+SUMIFS(考勤工资!$AD$5:$AD$1004,考勤工资!$C$5:$C$1004,往来单位!$B$68,考勤工资!$F$5:$F$1004,$C$3,考勤工资!$Y$5:$Y$1004,"&gt;="&amp;_辅助!$J$4,考勤工资!$Y$5:$Y$1004,"&lt;="&amp;_辅助!$J$2)+SUMIFS(考勤工资!$AE$5:$AE$1004,考勤工资!$C$5:$C$1004,往来单位!$B$68,考勤工资!$H$5:$H$1004,$C$3,考勤工资!$Y$5:$Y$1004,"&gt;="&amp;_辅助!$J$4,考勤工资!$Y$5:$Y$1004,"&lt;="&amp;_辅助!$J$2)+SUMIFS(考勤工资!$AF$5:$AF$1004,考勤工资!$C$5:$C$1004,往来单位!$B$68,考勤工资!$J$5:$J$1004,$C$3,考勤工资!$Y$5:$Y$1004,"&gt;="&amp;_辅助!$J$4,考勤工资!$Y$5:$Y$1004,"&lt;="&amp;_辅助!$J$2))</f>
        <v>0</v>
      </c>
      <c r="BE65" s="2">
        <f>BE50+SUM(CB51:CB65)</f>
        <v>0</v>
      </c>
      <c r="BF65" s="2">
        <f>IF(AND($AF$3&gt;0,发票登记!$T$68=$C$3,ISNUMBER(发票登记!$X$68),发票登记!$AB$68&lt;&gt;0,发票登记!$Y$68&gt;=_辅助!$J$4,发票登记!$Y$68&lt;=_辅助!$J$2),INT(发票登记!$X$68)*10000+64,"")</f>
      </c>
      <c r="BG65" s="2">
        <f>IF(AND($AF$3&gt;0,资金流水!$H$69=$C$3,ISNUMBER(资金流水!$B$69),ISNUMBER(资金流水!$S$69),资金流水!$S$69&gt;=_辅助!$J$4,资金流水!$S$69&lt;=_辅助!$J$2),INT(资金流水!$B$69)*10000+64,"")</f>
      </c>
      <c r="BH65" s="2">
        <f>IF(30&gt;$BE$300,0,IFERROR(MATCH(30,$BE$1:$BE$300,0),0))</f>
        <v>0</v>
      </c>
      <c r="BI65" s="2">
        <f>IF(30&gt;$BF$1,0,MOD(SMALL($BF$2:$BF$1001,30),10000))</f>
        <v>0</v>
      </c>
      <c r="BJ65" s="2">
        <f>IF(30&gt;$BG$1,0,MOD(SMALL($BG$2:$BG$2001,30),10000))</f>
        <v>0</v>
      </c>
      <c r="CA65" s="2">
        <f t="shared" si="0"/>
        <v>0</v>
      </c>
      <c r="CB65" s="2">
        <f t="shared" si="1"/>
        <v>0</v>
      </c>
    </row>
    <row r="66">
      <c r="A66" s="94">
        <f>IF($AZ66=0,"",31)</f>
      </c>
      <c r="B66" s="96">
        <f t="shared" si="18"/>
      </c>
      <c r="C66" s="21">
        <f t="shared" si="4"/>
      </c>
      <c r="D66" s="21">
        <f t="shared" si="15"/>
      </c>
      <c r="E66" s="21">
        <f t="shared" si="2"/>
      </c>
      <c r="F66" s="21">
        <f t="shared" si="17"/>
      </c>
      <c r="G66" s="21">
        <f t="shared" si="6"/>
      </c>
      <c r="I66" s="94">
        <f t="shared" si="3"/>
      </c>
      <c r="J66" s="21">
        <f t="shared" si="5"/>
      </c>
      <c r="K66" s="94" t="n"/>
      <c r="L66" s="135">
        <f t="shared" si="11"/>
      </c>
      <c r="M66" s="136">
        <f t="shared" si="12"/>
      </c>
      <c r="N66" s="94">
        <f t="shared" si="13"/>
      </c>
      <c r="O66" s="21">
        <f t="shared" si="7"/>
      </c>
      <c r="Q66" s="95">
        <f t="shared" si="22"/>
      </c>
      <c r="R66" s="94">
        <f t="shared" si="23"/>
      </c>
      <c r="S66" s="96">
        <f t="shared" si="8"/>
      </c>
      <c r="T66" s="21">
        <f t="shared" si="10"/>
      </c>
      <c r="U66" s="21">
        <f t="shared" si="24"/>
      </c>
      <c r="W66" s="95">
        <f t="shared" si="19"/>
      </c>
      <c r="X66" s="94">
        <f t="shared" si="25"/>
      </c>
      <c r="Y66" s="96">
        <f t="shared" si="26"/>
      </c>
      <c r="Z66" s="21">
        <f t="shared" si="20"/>
      </c>
      <c r="AA66" s="21">
        <f t="shared" si="21"/>
      </c>
      <c r="AB66" s="94">
        <f t="shared" si="27"/>
      </c>
      <c r="AC66" s="96">
        <f t="shared" si="28"/>
      </c>
      <c r="AD66" s="94">
        <f t="shared" si="29"/>
      </c>
      <c r="AZ66" s="2">
        <f>IF(31&gt;$BB$300,0,IFERROR(MATCH(31,$BB$1:$BB$300,0),0))</f>
        <v>0</v>
      </c>
      <c r="BA66" s="2">
        <f>IF(OR(往来单位!$B$69="",$AF$3=0),0,SUMIFS(期初余额!$R$5:$R$204,期初余额!$P$5:$P$204,往来单位!$B$69,期初余额!$Q$5:$Q$204,$C$3)+SUMIFS(应付登记!$G$5:$G$1004,应付登记!$D$5:$D$1004,往来单位!$B$69,应付登记!$E$5:$E$1004,$C$3,应付登记!$J$5:$J$1004,"&gt;="&amp;_辅助!$J$4,应付登记!$J$5:$J$1004,"&lt;="&amp;_辅助!$J$2))</f>
        <v>0</v>
      </c>
      <c r="BB66" s="2">
        <f>BB50+SUM(CA51:CA66)</f>
        <v>2</v>
      </c>
      <c r="BC66" s="2">
        <f>IF(OR(往来单位!$B$69="",$AF$3=0,NOT(OR(往来单位!$C$69="管理人员",往来单位!$C$69="工人"))),0,SUMIFS(考勤工资!$E$5:$E$1004,考勤工资!$C$5:$C$1004,往来单位!$B$69,考勤工资!$D$5:$D$1004,$C$3,考勤工资!$Y$5:$Y$1004,"&gt;="&amp;_辅助!$J$4,考勤工资!$Y$5:$Y$1004,"&lt;="&amp;_辅助!$J$2)+SUMIFS(考勤工资!$G$5:$G$1004,考勤工资!$C$5:$C$1004,往来单位!$B$69,考勤工资!$F$5:$F$1004,$C$3,考勤工资!$Y$5:$Y$1004,"&gt;="&amp;_辅助!$J$4,考勤工资!$Y$5:$Y$1004,"&lt;="&amp;_辅助!$J$2)+SUMIFS(考勤工资!$I$5:$I$1004,考勤工资!$C$5:$C$1004,往来单位!$B$69,考勤工资!$H$5:$H$1004,$C$3,考勤工资!$Y$5:$Y$1004,"&gt;="&amp;_辅助!$J$4,考勤工资!$Y$5:$Y$1004,"&lt;="&amp;_辅助!$J$2)+SUMIFS(考勤工资!$K$5:$K$1004,考勤工资!$C$5:$C$1004,往来单位!$B$69,考勤工资!$J$5:$J$1004,$C$3,考勤工资!$Y$5:$Y$1004,"&gt;="&amp;_辅助!$J$4,考勤工资!$Y$5:$Y$1004,"&lt;="&amp;_辅助!$J$2))</f>
        <v>0</v>
      </c>
      <c r="BD66" s="2">
        <f>IF(BC66=0,0,SUMIFS(考勤工资!$AC$5:$AC$1004,考勤工资!$C$5:$C$1004,往来单位!$B$69,考勤工资!$D$5:$D$1004,$C$3,考勤工资!$Y$5:$Y$1004,"&gt;="&amp;_辅助!$J$4,考勤工资!$Y$5:$Y$1004,"&lt;="&amp;_辅助!$J$2)+SUMIFS(考勤工资!$AD$5:$AD$1004,考勤工资!$C$5:$C$1004,往来单位!$B$69,考勤工资!$F$5:$F$1004,$C$3,考勤工资!$Y$5:$Y$1004,"&gt;="&amp;_辅助!$J$4,考勤工资!$Y$5:$Y$1004,"&lt;="&amp;_辅助!$J$2)+SUMIFS(考勤工资!$AE$5:$AE$1004,考勤工资!$C$5:$C$1004,往来单位!$B$69,考勤工资!$H$5:$H$1004,$C$3,考勤工资!$Y$5:$Y$1004,"&gt;="&amp;_辅助!$J$4,考勤工资!$Y$5:$Y$1004,"&lt;="&amp;_辅助!$J$2)+SUMIFS(考勤工资!$AF$5:$AF$1004,考勤工资!$C$5:$C$1004,往来单位!$B$69,考勤工资!$J$5:$J$1004,$C$3,考勤工资!$Y$5:$Y$1004,"&gt;="&amp;_辅助!$J$4,考勤工资!$Y$5:$Y$1004,"&lt;="&amp;_辅助!$J$2))</f>
        <v>0</v>
      </c>
      <c r="BE66" s="2">
        <f>BE50+SUM(CB51:CB66)</f>
        <v>0</v>
      </c>
      <c r="BF66" s="2">
        <f>IF(AND($AF$3&gt;0,发票登记!$T$69=$C$3,ISNUMBER(发票登记!$X$69),发票登记!$AB$69&lt;&gt;0,发票登记!$Y$69&gt;=_辅助!$J$4,发票登记!$Y$69&lt;=_辅助!$J$2),INT(发票登记!$X$69)*10000+65,"")</f>
      </c>
      <c r="BG66" s="2">
        <f>IF(AND($AF$3&gt;0,资金流水!$H$70=$C$3,ISNUMBER(资金流水!$B$70),ISNUMBER(资金流水!$S$70),资金流水!$S$70&gt;=_辅助!$J$4,资金流水!$S$70&lt;=_辅助!$J$2),INT(资金流水!$B$70)*10000+65,"")</f>
      </c>
      <c r="BH66" s="2">
        <f>IF(31&gt;$BE$300,0,IFERROR(MATCH(31,$BE$1:$BE$300,0),0))</f>
        <v>0</v>
      </c>
      <c r="BI66" s="2">
        <f>IF(31&gt;$BF$1,0,MOD(SMALL($BF$2:$BF$1001,31),10000))</f>
        <v>0</v>
      </c>
      <c r="BJ66" s="2">
        <f>IF(31&gt;$BG$1,0,MOD(SMALL($BG$2:$BG$2001,31),10000))</f>
        <v>0</v>
      </c>
      <c r="CA66" s="2">
        <f t="shared" si="0"/>
        <v>0</v>
      </c>
      <c r="CB66" s="2">
        <f t="shared" si="1"/>
        <v>0</v>
      </c>
    </row>
    <row r="67">
      <c r="A67" s="94">
        <f>IF($AZ67=0,"",32)</f>
      </c>
      <c r="B67" s="96">
        <f t="shared" si="18"/>
      </c>
      <c r="C67" s="21">
        <f t="shared" si="4"/>
      </c>
      <c r="D67" s="21">
        <f t="shared" si="15"/>
      </c>
      <c r="E67" s="21">
        <f t="shared" si="2"/>
      </c>
      <c r="F67" s="21">
        <f t="shared" si="17"/>
      </c>
      <c r="G67" s="21">
        <f t="shared" si="6"/>
      </c>
      <c r="I67" s="94">
        <f t="shared" si="3"/>
      </c>
      <c r="J67" s="21">
        <f t="shared" si="5"/>
      </c>
      <c r="K67" s="94" t="n"/>
      <c r="L67" s="135">
        <f t="shared" si="11"/>
      </c>
      <c r="M67" s="136">
        <f t="shared" si="12"/>
      </c>
      <c r="N67" s="94">
        <f t="shared" si="13"/>
      </c>
      <c r="O67" s="21">
        <f t="shared" si="7"/>
      </c>
      <c r="Q67" s="95">
        <f t="shared" si="22"/>
      </c>
      <c r="R67" s="94">
        <f t="shared" si="23"/>
      </c>
      <c r="S67" s="96">
        <f t="shared" si="8"/>
      </c>
      <c r="T67" s="21">
        <f t="shared" si="10"/>
      </c>
      <c r="U67" s="21">
        <f t="shared" si="24"/>
      </c>
      <c r="W67" s="95">
        <f t="shared" si="19"/>
      </c>
      <c r="X67" s="94">
        <f t="shared" si="25"/>
      </c>
      <c r="Y67" s="96">
        <f t="shared" si="26"/>
      </c>
      <c r="Z67" s="21">
        <f t="shared" si="20"/>
      </c>
      <c r="AA67" s="21">
        <f t="shared" si="21"/>
      </c>
      <c r="AB67" s="94">
        <f t="shared" si="27"/>
      </c>
      <c r="AC67" s="96">
        <f t="shared" si="28"/>
      </c>
      <c r="AD67" s="94">
        <f t="shared" si="29"/>
      </c>
      <c r="AZ67" s="2">
        <f>IF(32&gt;$BB$300,0,IFERROR(MATCH(32,$BB$1:$BB$300,0),0))</f>
        <v>0</v>
      </c>
      <c r="BA67" s="2">
        <f>IF(OR(往来单位!$B$70="",$AF$3=0),0,SUMIFS(期初余额!$R$5:$R$204,期初余额!$P$5:$P$204,往来单位!$B$70,期初余额!$Q$5:$Q$204,$C$3)+SUMIFS(应付登记!$G$5:$G$1004,应付登记!$D$5:$D$1004,往来单位!$B$70,应付登记!$E$5:$E$1004,$C$3,应付登记!$J$5:$J$1004,"&gt;="&amp;_辅助!$J$4,应付登记!$J$5:$J$1004,"&lt;="&amp;_辅助!$J$2))</f>
        <v>0</v>
      </c>
      <c r="BB67" s="2">
        <f>BB50+SUM(CA51:CA67)</f>
        <v>2</v>
      </c>
      <c r="BC67" s="2">
        <f>IF(OR(往来单位!$B$70="",$AF$3=0,NOT(OR(往来单位!$C$70="管理人员",往来单位!$C$70="工人"))),0,SUMIFS(考勤工资!$E$5:$E$1004,考勤工资!$C$5:$C$1004,往来单位!$B$70,考勤工资!$D$5:$D$1004,$C$3,考勤工资!$Y$5:$Y$1004,"&gt;="&amp;_辅助!$J$4,考勤工资!$Y$5:$Y$1004,"&lt;="&amp;_辅助!$J$2)+SUMIFS(考勤工资!$G$5:$G$1004,考勤工资!$C$5:$C$1004,往来单位!$B$70,考勤工资!$F$5:$F$1004,$C$3,考勤工资!$Y$5:$Y$1004,"&gt;="&amp;_辅助!$J$4,考勤工资!$Y$5:$Y$1004,"&lt;="&amp;_辅助!$J$2)+SUMIFS(考勤工资!$I$5:$I$1004,考勤工资!$C$5:$C$1004,往来单位!$B$70,考勤工资!$H$5:$H$1004,$C$3,考勤工资!$Y$5:$Y$1004,"&gt;="&amp;_辅助!$J$4,考勤工资!$Y$5:$Y$1004,"&lt;="&amp;_辅助!$J$2)+SUMIFS(考勤工资!$K$5:$K$1004,考勤工资!$C$5:$C$1004,往来单位!$B$70,考勤工资!$J$5:$J$1004,$C$3,考勤工资!$Y$5:$Y$1004,"&gt;="&amp;_辅助!$J$4,考勤工资!$Y$5:$Y$1004,"&lt;="&amp;_辅助!$J$2))</f>
        <v>0</v>
      </c>
      <c r="BD67" s="2">
        <f>IF(BC67=0,0,SUMIFS(考勤工资!$AC$5:$AC$1004,考勤工资!$C$5:$C$1004,往来单位!$B$70,考勤工资!$D$5:$D$1004,$C$3,考勤工资!$Y$5:$Y$1004,"&gt;="&amp;_辅助!$J$4,考勤工资!$Y$5:$Y$1004,"&lt;="&amp;_辅助!$J$2)+SUMIFS(考勤工资!$AD$5:$AD$1004,考勤工资!$C$5:$C$1004,往来单位!$B$70,考勤工资!$F$5:$F$1004,$C$3,考勤工资!$Y$5:$Y$1004,"&gt;="&amp;_辅助!$J$4,考勤工资!$Y$5:$Y$1004,"&lt;="&amp;_辅助!$J$2)+SUMIFS(考勤工资!$AE$5:$AE$1004,考勤工资!$C$5:$C$1004,往来单位!$B$70,考勤工资!$H$5:$H$1004,$C$3,考勤工资!$Y$5:$Y$1004,"&gt;="&amp;_辅助!$J$4,考勤工资!$Y$5:$Y$1004,"&lt;="&amp;_辅助!$J$2)+SUMIFS(考勤工资!$AF$5:$AF$1004,考勤工资!$C$5:$C$1004,往来单位!$B$70,考勤工资!$J$5:$J$1004,$C$3,考勤工资!$Y$5:$Y$1004,"&gt;="&amp;_辅助!$J$4,考勤工资!$Y$5:$Y$1004,"&lt;="&amp;_辅助!$J$2))</f>
        <v>0</v>
      </c>
      <c r="BE67" s="2">
        <f>BE50+SUM(CB51:CB67)</f>
        <v>0</v>
      </c>
      <c r="BF67" s="2">
        <f>IF(AND($AF$3&gt;0,发票登记!$T$70=$C$3,ISNUMBER(发票登记!$X$70),发票登记!$AB$70&lt;&gt;0,发票登记!$Y$70&gt;=_辅助!$J$4,发票登记!$Y$70&lt;=_辅助!$J$2),INT(发票登记!$X$70)*10000+66,"")</f>
      </c>
      <c r="BG67" s="2">
        <f>IF(AND($AF$3&gt;0,资金流水!$H$71=$C$3,ISNUMBER(资金流水!$B$71),ISNUMBER(资金流水!$S$71),资金流水!$S$71&gt;=_辅助!$J$4,资金流水!$S$71&lt;=_辅助!$J$2),INT(资金流水!$B$71)*10000+66,"")</f>
      </c>
      <c r="BH67" s="2">
        <f>IF(32&gt;$BE$300,0,IFERROR(MATCH(32,$BE$1:$BE$300,0),0))</f>
        <v>0</v>
      </c>
      <c r="BI67" s="2">
        <f>IF(32&gt;$BF$1,0,MOD(SMALL($BF$2:$BF$1001,32),10000))</f>
        <v>0</v>
      </c>
      <c r="BJ67" s="2">
        <f>IF(32&gt;$BG$1,0,MOD(SMALL($BG$2:$BG$2001,32),10000))</f>
        <v>0</v>
      </c>
      <c r="CA67" s="2">
        <f t="shared" si="0"/>
        <v>0</v>
      </c>
      <c r="CB67" s="2">
        <f t="shared" si="1"/>
        <v>0</v>
      </c>
    </row>
    <row r="68">
      <c r="A68" s="94">
        <f>IF($AZ68=0,"",33)</f>
      </c>
      <c r="B68" s="96">
        <f t="shared" si="18"/>
      </c>
      <c r="C68" s="21">
        <f t="shared" si="4"/>
      </c>
      <c r="D68" s="21">
        <f t="shared" si="15"/>
      </c>
      <c r="E68" s="21">
        <f t="shared" si="2"/>
      </c>
      <c r="F68" s="21">
        <f t="shared" si="17"/>
      </c>
      <c r="G68" s="21">
        <f t="shared" si="6"/>
      </c>
      <c r="I68" s="94">
        <f t="shared" si="3"/>
      </c>
      <c r="J68" s="21">
        <f t="shared" si="5"/>
      </c>
      <c r="K68" s="94" t="n"/>
      <c r="L68" s="135">
        <f t="shared" si="11"/>
      </c>
      <c r="M68" s="136">
        <f t="shared" si="12"/>
      </c>
      <c r="N68" s="94">
        <f t="shared" si="13"/>
      </c>
      <c r="O68" s="21">
        <f t="shared" si="7"/>
      </c>
      <c r="Q68" s="95">
        <f t="shared" si="22"/>
      </c>
      <c r="R68" s="94">
        <f t="shared" si="23"/>
      </c>
      <c r="S68" s="96">
        <f t="shared" si="8"/>
      </c>
      <c r="T68" s="21">
        <f t="shared" si="10"/>
      </c>
      <c r="U68" s="21">
        <f t="shared" si="24"/>
      </c>
      <c r="W68" s="95">
        <f t="shared" si="19"/>
      </c>
      <c r="X68" s="94">
        <f t="shared" si="25"/>
      </c>
      <c r="Y68" s="96">
        <f t="shared" si="26"/>
      </c>
      <c r="Z68" s="21">
        <f t="shared" si="20"/>
      </c>
      <c r="AA68" s="21">
        <f t="shared" si="21"/>
      </c>
      <c r="AB68" s="94">
        <f t="shared" si="27"/>
      </c>
      <c r="AC68" s="96">
        <f t="shared" si="28"/>
      </c>
      <c r="AD68" s="94">
        <f t="shared" si="29"/>
      </c>
      <c r="AZ68" s="2">
        <f>IF(33&gt;$BB$300,0,IFERROR(MATCH(33,$BB$1:$BB$300,0),0))</f>
        <v>0</v>
      </c>
      <c r="BA68" s="2">
        <f>IF(OR(往来单位!$B$71="",$AF$3=0),0,SUMIFS(期初余额!$R$5:$R$204,期初余额!$P$5:$P$204,往来单位!$B$71,期初余额!$Q$5:$Q$204,$C$3)+SUMIFS(应付登记!$G$5:$G$1004,应付登记!$D$5:$D$1004,往来单位!$B$71,应付登记!$E$5:$E$1004,$C$3,应付登记!$J$5:$J$1004,"&gt;="&amp;_辅助!$J$4,应付登记!$J$5:$J$1004,"&lt;="&amp;_辅助!$J$2))</f>
        <v>0</v>
      </c>
      <c r="BB68" s="2">
        <f>BB50+SUM(CA51:CA68)</f>
        <v>2</v>
      </c>
      <c r="BC68" s="2">
        <f>IF(OR(往来单位!$B$71="",$AF$3=0,NOT(OR(往来单位!$C$71="管理人员",往来单位!$C$71="工人"))),0,SUMIFS(考勤工资!$E$5:$E$1004,考勤工资!$C$5:$C$1004,往来单位!$B$71,考勤工资!$D$5:$D$1004,$C$3,考勤工资!$Y$5:$Y$1004,"&gt;="&amp;_辅助!$J$4,考勤工资!$Y$5:$Y$1004,"&lt;="&amp;_辅助!$J$2)+SUMIFS(考勤工资!$G$5:$G$1004,考勤工资!$C$5:$C$1004,往来单位!$B$71,考勤工资!$F$5:$F$1004,$C$3,考勤工资!$Y$5:$Y$1004,"&gt;="&amp;_辅助!$J$4,考勤工资!$Y$5:$Y$1004,"&lt;="&amp;_辅助!$J$2)+SUMIFS(考勤工资!$I$5:$I$1004,考勤工资!$C$5:$C$1004,往来单位!$B$71,考勤工资!$H$5:$H$1004,$C$3,考勤工资!$Y$5:$Y$1004,"&gt;="&amp;_辅助!$J$4,考勤工资!$Y$5:$Y$1004,"&lt;="&amp;_辅助!$J$2)+SUMIFS(考勤工资!$K$5:$K$1004,考勤工资!$C$5:$C$1004,往来单位!$B$71,考勤工资!$J$5:$J$1004,$C$3,考勤工资!$Y$5:$Y$1004,"&gt;="&amp;_辅助!$J$4,考勤工资!$Y$5:$Y$1004,"&lt;="&amp;_辅助!$J$2))</f>
        <v>0</v>
      </c>
      <c r="BD68" s="2">
        <f>IF(BC68=0,0,SUMIFS(考勤工资!$AC$5:$AC$1004,考勤工资!$C$5:$C$1004,往来单位!$B$71,考勤工资!$D$5:$D$1004,$C$3,考勤工资!$Y$5:$Y$1004,"&gt;="&amp;_辅助!$J$4,考勤工资!$Y$5:$Y$1004,"&lt;="&amp;_辅助!$J$2)+SUMIFS(考勤工资!$AD$5:$AD$1004,考勤工资!$C$5:$C$1004,往来单位!$B$71,考勤工资!$F$5:$F$1004,$C$3,考勤工资!$Y$5:$Y$1004,"&gt;="&amp;_辅助!$J$4,考勤工资!$Y$5:$Y$1004,"&lt;="&amp;_辅助!$J$2)+SUMIFS(考勤工资!$AE$5:$AE$1004,考勤工资!$C$5:$C$1004,往来单位!$B$71,考勤工资!$H$5:$H$1004,$C$3,考勤工资!$Y$5:$Y$1004,"&gt;="&amp;_辅助!$J$4,考勤工资!$Y$5:$Y$1004,"&lt;="&amp;_辅助!$J$2)+SUMIFS(考勤工资!$AF$5:$AF$1004,考勤工资!$C$5:$C$1004,往来单位!$B$71,考勤工资!$J$5:$J$1004,$C$3,考勤工资!$Y$5:$Y$1004,"&gt;="&amp;_辅助!$J$4,考勤工资!$Y$5:$Y$1004,"&lt;="&amp;_辅助!$J$2))</f>
        <v>0</v>
      </c>
      <c r="BE68" s="2">
        <f>BE50+SUM(CB51:CB68)</f>
        <v>0</v>
      </c>
      <c r="BF68" s="2">
        <f>IF(AND($AF$3&gt;0,发票登记!$T$71=$C$3,ISNUMBER(发票登记!$X$71),发票登记!$AB$71&lt;&gt;0,发票登记!$Y$71&gt;=_辅助!$J$4,发票登记!$Y$71&lt;=_辅助!$J$2),INT(发票登记!$X$71)*10000+67,"")</f>
      </c>
      <c r="BG68" s="2">
        <f>IF(AND($AF$3&gt;0,资金流水!$H$72=$C$3,ISNUMBER(资金流水!$B$72),ISNUMBER(资金流水!$S$72),资金流水!$S$72&gt;=_辅助!$J$4,资金流水!$S$72&lt;=_辅助!$J$2),INT(资金流水!$B$72)*10000+67,"")</f>
      </c>
      <c r="BH68" s="2">
        <f>IF(33&gt;$BE$300,0,IFERROR(MATCH(33,$BE$1:$BE$300,0),0))</f>
        <v>0</v>
      </c>
      <c r="BI68" s="2">
        <f>IF(33&gt;$BF$1,0,MOD(SMALL($BF$2:$BF$1001,33),10000))</f>
        <v>0</v>
      </c>
      <c r="BJ68" s="2">
        <f>IF(33&gt;$BG$1,0,MOD(SMALL($BG$2:$BG$2001,33),10000))</f>
        <v>0</v>
      </c>
      <c r="CA68" s="2">
        <f t="shared" si="0"/>
        <v>0</v>
      </c>
      <c r="CB68" s="2">
        <f t="shared" si="1"/>
        <v>0</v>
      </c>
    </row>
    <row r="69">
      <c r="A69" s="94">
        <f>IF($AZ69=0,"",34)</f>
      </c>
      <c r="B69" s="96">
        <f t="shared" si="18"/>
      </c>
      <c r="C69" s="21">
        <f t="shared" si="4"/>
      </c>
      <c r="D69" s="21">
        <f t="shared" si="15"/>
      </c>
      <c r="E69" s="21">
        <f t="shared" si="2"/>
      </c>
      <c r="F69" s="21">
        <f t="shared" si="17"/>
      </c>
      <c r="G69" s="21">
        <f t="shared" si="6"/>
      </c>
      <c r="I69" s="94">
        <f t="shared" si="3"/>
      </c>
      <c r="J69" s="21">
        <f t="shared" si="5"/>
      </c>
      <c r="K69" s="94" t="n"/>
      <c r="L69" s="135">
        <f t="shared" si="11"/>
      </c>
      <c r="M69" s="136">
        <f t="shared" si="12"/>
      </c>
      <c r="N69" s="94">
        <f t="shared" si="13"/>
      </c>
      <c r="O69" s="21">
        <f t="shared" si="7"/>
      </c>
      <c r="Q69" s="95">
        <f t="shared" si="22"/>
      </c>
      <c r="R69" s="94">
        <f t="shared" si="23"/>
      </c>
      <c r="S69" s="96">
        <f t="shared" si="8"/>
      </c>
      <c r="T69" s="21">
        <f t="shared" si="10"/>
      </c>
      <c r="U69" s="21">
        <f t="shared" si="24"/>
      </c>
      <c r="W69" s="95">
        <f t="shared" si="19"/>
      </c>
      <c r="X69" s="94">
        <f t="shared" si="25"/>
      </c>
      <c r="Y69" s="96">
        <f t="shared" si="26"/>
      </c>
      <c r="Z69" s="21">
        <f t="shared" si="20"/>
      </c>
      <c r="AA69" s="21">
        <f t="shared" si="21"/>
      </c>
      <c r="AB69" s="94">
        <f t="shared" si="27"/>
      </c>
      <c r="AC69" s="96">
        <f t="shared" si="28"/>
      </c>
      <c r="AD69" s="94">
        <f t="shared" si="29"/>
      </c>
      <c r="AZ69" s="2">
        <f>IF(34&gt;$BB$300,0,IFERROR(MATCH(34,$BB$1:$BB$300,0),0))</f>
        <v>0</v>
      </c>
      <c r="BA69" s="2">
        <f>IF(OR(往来单位!$B$72="",$AF$3=0),0,SUMIFS(期初余额!$R$5:$R$204,期初余额!$P$5:$P$204,往来单位!$B$72,期初余额!$Q$5:$Q$204,$C$3)+SUMIFS(应付登记!$G$5:$G$1004,应付登记!$D$5:$D$1004,往来单位!$B$72,应付登记!$E$5:$E$1004,$C$3,应付登记!$J$5:$J$1004,"&gt;="&amp;_辅助!$J$4,应付登记!$J$5:$J$1004,"&lt;="&amp;_辅助!$J$2))</f>
        <v>0</v>
      </c>
      <c r="BB69" s="2">
        <f>BB50+SUM(CA51:CA69)</f>
        <v>2</v>
      </c>
      <c r="BC69" s="2">
        <f>IF(OR(往来单位!$B$72="",$AF$3=0,NOT(OR(往来单位!$C$72="管理人员",往来单位!$C$72="工人"))),0,SUMIFS(考勤工资!$E$5:$E$1004,考勤工资!$C$5:$C$1004,往来单位!$B$72,考勤工资!$D$5:$D$1004,$C$3,考勤工资!$Y$5:$Y$1004,"&gt;="&amp;_辅助!$J$4,考勤工资!$Y$5:$Y$1004,"&lt;="&amp;_辅助!$J$2)+SUMIFS(考勤工资!$G$5:$G$1004,考勤工资!$C$5:$C$1004,往来单位!$B$72,考勤工资!$F$5:$F$1004,$C$3,考勤工资!$Y$5:$Y$1004,"&gt;="&amp;_辅助!$J$4,考勤工资!$Y$5:$Y$1004,"&lt;="&amp;_辅助!$J$2)+SUMIFS(考勤工资!$I$5:$I$1004,考勤工资!$C$5:$C$1004,往来单位!$B$72,考勤工资!$H$5:$H$1004,$C$3,考勤工资!$Y$5:$Y$1004,"&gt;="&amp;_辅助!$J$4,考勤工资!$Y$5:$Y$1004,"&lt;="&amp;_辅助!$J$2)+SUMIFS(考勤工资!$K$5:$K$1004,考勤工资!$C$5:$C$1004,往来单位!$B$72,考勤工资!$J$5:$J$1004,$C$3,考勤工资!$Y$5:$Y$1004,"&gt;="&amp;_辅助!$J$4,考勤工资!$Y$5:$Y$1004,"&lt;="&amp;_辅助!$J$2))</f>
        <v>0</v>
      </c>
      <c r="BD69" s="2">
        <f>IF(BC69=0,0,SUMIFS(考勤工资!$AC$5:$AC$1004,考勤工资!$C$5:$C$1004,往来单位!$B$72,考勤工资!$D$5:$D$1004,$C$3,考勤工资!$Y$5:$Y$1004,"&gt;="&amp;_辅助!$J$4,考勤工资!$Y$5:$Y$1004,"&lt;="&amp;_辅助!$J$2)+SUMIFS(考勤工资!$AD$5:$AD$1004,考勤工资!$C$5:$C$1004,往来单位!$B$72,考勤工资!$F$5:$F$1004,$C$3,考勤工资!$Y$5:$Y$1004,"&gt;="&amp;_辅助!$J$4,考勤工资!$Y$5:$Y$1004,"&lt;="&amp;_辅助!$J$2)+SUMIFS(考勤工资!$AE$5:$AE$1004,考勤工资!$C$5:$C$1004,往来单位!$B$72,考勤工资!$H$5:$H$1004,$C$3,考勤工资!$Y$5:$Y$1004,"&gt;="&amp;_辅助!$J$4,考勤工资!$Y$5:$Y$1004,"&lt;="&amp;_辅助!$J$2)+SUMIFS(考勤工资!$AF$5:$AF$1004,考勤工资!$C$5:$C$1004,往来单位!$B$72,考勤工资!$J$5:$J$1004,$C$3,考勤工资!$Y$5:$Y$1004,"&gt;="&amp;_辅助!$J$4,考勤工资!$Y$5:$Y$1004,"&lt;="&amp;_辅助!$J$2))</f>
        <v>0</v>
      </c>
      <c r="BE69" s="2">
        <f>BE50+SUM(CB51:CB69)</f>
        <v>0</v>
      </c>
      <c r="BF69" s="2">
        <f>IF(AND($AF$3&gt;0,发票登记!$T$72=$C$3,ISNUMBER(发票登记!$X$72),发票登记!$AB$72&lt;&gt;0,发票登记!$Y$72&gt;=_辅助!$J$4,发票登记!$Y$72&lt;=_辅助!$J$2),INT(发票登记!$X$72)*10000+68,"")</f>
      </c>
      <c r="BG69" s="2">
        <f>IF(AND($AF$3&gt;0,资金流水!$H$73=$C$3,ISNUMBER(资金流水!$B$73),ISNUMBER(资金流水!$S$73),资金流水!$S$73&gt;=_辅助!$J$4,资金流水!$S$73&lt;=_辅助!$J$2),INT(资金流水!$B$73)*10000+68,"")</f>
      </c>
      <c r="BH69" s="2">
        <f>IF(34&gt;$BE$300,0,IFERROR(MATCH(34,$BE$1:$BE$300,0),0))</f>
        <v>0</v>
      </c>
      <c r="BI69" s="2">
        <f>IF(34&gt;$BF$1,0,MOD(SMALL($BF$2:$BF$1001,34),10000))</f>
        <v>0</v>
      </c>
      <c r="BJ69" s="2">
        <f>IF(34&gt;$BG$1,0,MOD(SMALL($BG$2:$BG$2001,34),10000))</f>
        <v>0</v>
      </c>
      <c r="CA69" s="2">
        <f t="shared" si="0"/>
        <v>0</v>
      </c>
      <c r="CB69" s="2">
        <f t="shared" si="1"/>
        <v>0</v>
      </c>
    </row>
    <row r="70">
      <c r="A70" s="94">
        <f>IF($AZ70=0,"",35)</f>
      </c>
      <c r="B70" s="96">
        <f t="shared" si="18"/>
      </c>
      <c r="C70" s="21">
        <f t="shared" si="4"/>
      </c>
      <c r="D70" s="21">
        <f t="shared" si="15"/>
      </c>
      <c r="E70" s="21">
        <f t="shared" si="2"/>
      </c>
      <c r="F70" s="21">
        <f t="shared" si="17"/>
      </c>
      <c r="G70" s="21">
        <f t="shared" si="6"/>
      </c>
      <c r="I70" s="94">
        <f t="shared" si="3"/>
      </c>
      <c r="J70" s="21">
        <f t="shared" si="5"/>
      </c>
      <c r="K70" s="94" t="n"/>
      <c r="L70" s="135">
        <f t="shared" si="11"/>
      </c>
      <c r="M70" s="136">
        <f t="shared" si="12"/>
      </c>
      <c r="N70" s="94">
        <f t="shared" si="13"/>
      </c>
      <c r="O70" s="21">
        <f t="shared" si="7"/>
      </c>
      <c r="Q70" s="95">
        <f t="shared" si="22"/>
      </c>
      <c r="R70" s="94">
        <f t="shared" si="23"/>
      </c>
      <c r="S70" s="96">
        <f t="shared" si="8"/>
      </c>
      <c r="T70" s="21">
        <f t="shared" si="10"/>
      </c>
      <c r="U70" s="21">
        <f t="shared" si="24"/>
      </c>
      <c r="W70" s="95">
        <f t="shared" si="19"/>
      </c>
      <c r="X70" s="94">
        <f t="shared" si="25"/>
      </c>
      <c r="Y70" s="96">
        <f t="shared" si="26"/>
      </c>
      <c r="Z70" s="21">
        <f t="shared" si="20"/>
      </c>
      <c r="AA70" s="21">
        <f t="shared" si="21"/>
      </c>
      <c r="AB70" s="94">
        <f t="shared" si="27"/>
      </c>
      <c r="AC70" s="96">
        <f t="shared" si="28"/>
      </c>
      <c r="AD70" s="94">
        <f t="shared" si="29"/>
      </c>
      <c r="AZ70" s="2">
        <f>IF(35&gt;$BB$300,0,IFERROR(MATCH(35,$BB$1:$BB$300,0),0))</f>
        <v>0</v>
      </c>
      <c r="BA70" s="2">
        <f>IF(OR(往来单位!$B$73="",$AF$3=0),0,SUMIFS(期初余额!$R$5:$R$204,期初余额!$P$5:$P$204,往来单位!$B$73,期初余额!$Q$5:$Q$204,$C$3)+SUMIFS(应付登记!$G$5:$G$1004,应付登记!$D$5:$D$1004,往来单位!$B$73,应付登记!$E$5:$E$1004,$C$3,应付登记!$J$5:$J$1004,"&gt;="&amp;_辅助!$J$4,应付登记!$J$5:$J$1004,"&lt;="&amp;_辅助!$J$2))</f>
        <v>0</v>
      </c>
      <c r="BB70" s="2">
        <f>BB50+SUM(CA51:CA70)</f>
        <v>2</v>
      </c>
      <c r="BC70" s="2">
        <f>IF(OR(往来单位!$B$73="",$AF$3=0,NOT(OR(往来单位!$C$73="管理人员",往来单位!$C$73="工人"))),0,SUMIFS(考勤工资!$E$5:$E$1004,考勤工资!$C$5:$C$1004,往来单位!$B$73,考勤工资!$D$5:$D$1004,$C$3,考勤工资!$Y$5:$Y$1004,"&gt;="&amp;_辅助!$J$4,考勤工资!$Y$5:$Y$1004,"&lt;="&amp;_辅助!$J$2)+SUMIFS(考勤工资!$G$5:$G$1004,考勤工资!$C$5:$C$1004,往来单位!$B$73,考勤工资!$F$5:$F$1004,$C$3,考勤工资!$Y$5:$Y$1004,"&gt;="&amp;_辅助!$J$4,考勤工资!$Y$5:$Y$1004,"&lt;="&amp;_辅助!$J$2)+SUMIFS(考勤工资!$I$5:$I$1004,考勤工资!$C$5:$C$1004,往来单位!$B$73,考勤工资!$H$5:$H$1004,$C$3,考勤工资!$Y$5:$Y$1004,"&gt;="&amp;_辅助!$J$4,考勤工资!$Y$5:$Y$1004,"&lt;="&amp;_辅助!$J$2)+SUMIFS(考勤工资!$K$5:$K$1004,考勤工资!$C$5:$C$1004,往来单位!$B$73,考勤工资!$J$5:$J$1004,$C$3,考勤工资!$Y$5:$Y$1004,"&gt;="&amp;_辅助!$J$4,考勤工资!$Y$5:$Y$1004,"&lt;="&amp;_辅助!$J$2))</f>
        <v>0</v>
      </c>
      <c r="BD70" s="2">
        <f>IF(BC70=0,0,SUMIFS(考勤工资!$AC$5:$AC$1004,考勤工资!$C$5:$C$1004,往来单位!$B$73,考勤工资!$D$5:$D$1004,$C$3,考勤工资!$Y$5:$Y$1004,"&gt;="&amp;_辅助!$J$4,考勤工资!$Y$5:$Y$1004,"&lt;="&amp;_辅助!$J$2)+SUMIFS(考勤工资!$AD$5:$AD$1004,考勤工资!$C$5:$C$1004,往来单位!$B$73,考勤工资!$F$5:$F$1004,$C$3,考勤工资!$Y$5:$Y$1004,"&gt;="&amp;_辅助!$J$4,考勤工资!$Y$5:$Y$1004,"&lt;="&amp;_辅助!$J$2)+SUMIFS(考勤工资!$AE$5:$AE$1004,考勤工资!$C$5:$C$1004,往来单位!$B$73,考勤工资!$H$5:$H$1004,$C$3,考勤工资!$Y$5:$Y$1004,"&gt;="&amp;_辅助!$J$4,考勤工资!$Y$5:$Y$1004,"&lt;="&amp;_辅助!$J$2)+SUMIFS(考勤工资!$AF$5:$AF$1004,考勤工资!$C$5:$C$1004,往来单位!$B$73,考勤工资!$J$5:$J$1004,$C$3,考勤工资!$Y$5:$Y$1004,"&gt;="&amp;_辅助!$J$4,考勤工资!$Y$5:$Y$1004,"&lt;="&amp;_辅助!$J$2))</f>
        <v>0</v>
      </c>
      <c r="BE70" s="2">
        <f>BE50+SUM(CB51:CB70)</f>
        <v>0</v>
      </c>
      <c r="BF70" s="2">
        <f>IF(AND($AF$3&gt;0,发票登记!$T$73=$C$3,ISNUMBER(发票登记!$X$73),发票登记!$AB$73&lt;&gt;0,发票登记!$Y$73&gt;=_辅助!$J$4,发票登记!$Y$73&lt;=_辅助!$J$2),INT(发票登记!$X$73)*10000+69,"")</f>
      </c>
      <c r="BG70" s="2">
        <f>IF(AND($AF$3&gt;0,资金流水!$H$74=$C$3,ISNUMBER(资金流水!$B$74),ISNUMBER(资金流水!$S$74),资金流水!$S$74&gt;=_辅助!$J$4,资金流水!$S$74&lt;=_辅助!$J$2),INT(资金流水!$B$74)*10000+69,"")</f>
      </c>
      <c r="BH70" s="2">
        <f>IF(35&gt;$BE$300,0,IFERROR(MATCH(35,$BE$1:$BE$300,0),0))</f>
        <v>0</v>
      </c>
      <c r="BI70" s="2">
        <f>IF(35&gt;$BF$1,0,MOD(SMALL($BF$2:$BF$1001,35),10000))</f>
        <v>0</v>
      </c>
      <c r="BJ70" s="2">
        <f>IF(35&gt;$BG$1,0,MOD(SMALL($BG$2:$BG$2001,35),10000))</f>
        <v>0</v>
      </c>
      <c r="CA70" s="2">
        <f t="shared" si="0"/>
        <v>0</v>
      </c>
      <c r="CB70" s="2">
        <f t="shared" si="1"/>
        <v>0</v>
      </c>
    </row>
    <row r="71">
      <c r="A71" s="94">
        <f>IF($AZ71=0,"",36)</f>
      </c>
      <c r="B71" s="96">
        <f t="shared" si="18"/>
      </c>
      <c r="C71" s="21">
        <f t="shared" si="4"/>
      </c>
      <c r="D71" s="21">
        <f t="shared" si="15"/>
      </c>
      <c r="E71" s="21">
        <f t="shared" si="2"/>
      </c>
      <c r="F71" s="21">
        <f t="shared" si="17"/>
      </c>
      <c r="G71" s="21">
        <f t="shared" si="6"/>
      </c>
      <c r="I71" s="94">
        <f t="shared" si="3"/>
      </c>
      <c r="J71" s="21">
        <f t="shared" si="5"/>
      </c>
      <c r="K71" s="94" t="n"/>
      <c r="L71" s="135">
        <f t="shared" si="11"/>
      </c>
      <c r="M71" s="136">
        <f t="shared" si="12"/>
      </c>
      <c r="N71" s="94">
        <f t="shared" si="13"/>
      </c>
      <c r="O71" s="21">
        <f t="shared" si="7"/>
      </c>
      <c r="Q71" s="95">
        <f t="shared" si="22"/>
      </c>
      <c r="R71" s="94">
        <f t="shared" si="23"/>
      </c>
      <c r="S71" s="96">
        <f t="shared" si="8"/>
      </c>
      <c r="T71" s="21">
        <f t="shared" si="10"/>
      </c>
      <c r="U71" s="21">
        <f t="shared" si="24"/>
      </c>
      <c r="W71" s="95">
        <f t="shared" si="19"/>
      </c>
      <c r="X71" s="94">
        <f t="shared" si="25"/>
      </c>
      <c r="Y71" s="96">
        <f t="shared" si="26"/>
      </c>
      <c r="Z71" s="21">
        <f t="shared" si="20"/>
      </c>
      <c r="AA71" s="21">
        <f t="shared" si="21"/>
      </c>
      <c r="AB71" s="94">
        <f t="shared" si="27"/>
      </c>
      <c r="AC71" s="96">
        <f t="shared" si="28"/>
      </c>
      <c r="AD71" s="94">
        <f t="shared" si="29"/>
      </c>
      <c r="AZ71" s="2">
        <f>IF(36&gt;$BB$300,0,IFERROR(MATCH(36,$BB$1:$BB$300,0),0))</f>
        <v>0</v>
      </c>
      <c r="BA71" s="2">
        <f>IF(OR(往来单位!$B$74="",$AF$3=0),0,SUMIFS(期初余额!$R$5:$R$204,期初余额!$P$5:$P$204,往来单位!$B$74,期初余额!$Q$5:$Q$204,$C$3)+SUMIFS(应付登记!$G$5:$G$1004,应付登记!$D$5:$D$1004,往来单位!$B$74,应付登记!$E$5:$E$1004,$C$3,应付登记!$J$5:$J$1004,"&gt;="&amp;_辅助!$J$4,应付登记!$J$5:$J$1004,"&lt;="&amp;_辅助!$J$2))</f>
        <v>0</v>
      </c>
      <c r="BB71" s="2">
        <f>BB50+SUM(CA51:CA71)</f>
        <v>2</v>
      </c>
      <c r="BC71" s="2">
        <f>IF(OR(往来单位!$B$74="",$AF$3=0,NOT(OR(往来单位!$C$74="管理人员",往来单位!$C$74="工人"))),0,SUMIFS(考勤工资!$E$5:$E$1004,考勤工资!$C$5:$C$1004,往来单位!$B$74,考勤工资!$D$5:$D$1004,$C$3,考勤工资!$Y$5:$Y$1004,"&gt;="&amp;_辅助!$J$4,考勤工资!$Y$5:$Y$1004,"&lt;="&amp;_辅助!$J$2)+SUMIFS(考勤工资!$G$5:$G$1004,考勤工资!$C$5:$C$1004,往来单位!$B$74,考勤工资!$F$5:$F$1004,$C$3,考勤工资!$Y$5:$Y$1004,"&gt;="&amp;_辅助!$J$4,考勤工资!$Y$5:$Y$1004,"&lt;="&amp;_辅助!$J$2)+SUMIFS(考勤工资!$I$5:$I$1004,考勤工资!$C$5:$C$1004,往来单位!$B$74,考勤工资!$H$5:$H$1004,$C$3,考勤工资!$Y$5:$Y$1004,"&gt;="&amp;_辅助!$J$4,考勤工资!$Y$5:$Y$1004,"&lt;="&amp;_辅助!$J$2)+SUMIFS(考勤工资!$K$5:$K$1004,考勤工资!$C$5:$C$1004,往来单位!$B$74,考勤工资!$J$5:$J$1004,$C$3,考勤工资!$Y$5:$Y$1004,"&gt;="&amp;_辅助!$J$4,考勤工资!$Y$5:$Y$1004,"&lt;="&amp;_辅助!$J$2))</f>
        <v>0</v>
      </c>
      <c r="BD71" s="2">
        <f>IF(BC71=0,0,SUMIFS(考勤工资!$AC$5:$AC$1004,考勤工资!$C$5:$C$1004,往来单位!$B$74,考勤工资!$D$5:$D$1004,$C$3,考勤工资!$Y$5:$Y$1004,"&gt;="&amp;_辅助!$J$4,考勤工资!$Y$5:$Y$1004,"&lt;="&amp;_辅助!$J$2)+SUMIFS(考勤工资!$AD$5:$AD$1004,考勤工资!$C$5:$C$1004,往来单位!$B$74,考勤工资!$F$5:$F$1004,$C$3,考勤工资!$Y$5:$Y$1004,"&gt;="&amp;_辅助!$J$4,考勤工资!$Y$5:$Y$1004,"&lt;="&amp;_辅助!$J$2)+SUMIFS(考勤工资!$AE$5:$AE$1004,考勤工资!$C$5:$C$1004,往来单位!$B$74,考勤工资!$H$5:$H$1004,$C$3,考勤工资!$Y$5:$Y$1004,"&gt;="&amp;_辅助!$J$4,考勤工资!$Y$5:$Y$1004,"&lt;="&amp;_辅助!$J$2)+SUMIFS(考勤工资!$AF$5:$AF$1004,考勤工资!$C$5:$C$1004,往来单位!$B$74,考勤工资!$J$5:$J$1004,$C$3,考勤工资!$Y$5:$Y$1004,"&gt;="&amp;_辅助!$J$4,考勤工资!$Y$5:$Y$1004,"&lt;="&amp;_辅助!$J$2))</f>
        <v>0</v>
      </c>
      <c r="BE71" s="2">
        <f>BE50+SUM(CB51:CB71)</f>
        <v>0</v>
      </c>
      <c r="BF71" s="2">
        <f>IF(AND($AF$3&gt;0,发票登记!$T$74=$C$3,ISNUMBER(发票登记!$X$74),发票登记!$AB$74&lt;&gt;0,发票登记!$Y$74&gt;=_辅助!$J$4,发票登记!$Y$74&lt;=_辅助!$J$2),INT(发票登记!$X$74)*10000+70,"")</f>
      </c>
      <c r="BG71" s="2">
        <f>IF(AND($AF$3&gt;0,资金流水!$H$75=$C$3,ISNUMBER(资金流水!$B$75),ISNUMBER(资金流水!$S$75),资金流水!$S$75&gt;=_辅助!$J$4,资金流水!$S$75&lt;=_辅助!$J$2),INT(资金流水!$B$75)*10000+70,"")</f>
      </c>
      <c r="BH71" s="2">
        <f>IF(36&gt;$BE$300,0,IFERROR(MATCH(36,$BE$1:$BE$300,0),0))</f>
        <v>0</v>
      </c>
      <c r="BI71" s="2">
        <f>IF(36&gt;$BF$1,0,MOD(SMALL($BF$2:$BF$1001,36),10000))</f>
        <v>0</v>
      </c>
      <c r="BJ71" s="2">
        <f>IF(36&gt;$BG$1,0,MOD(SMALL($BG$2:$BG$2001,36),10000))</f>
        <v>0</v>
      </c>
      <c r="CA71" s="2">
        <f t="shared" si="0"/>
        <v>0</v>
      </c>
      <c r="CB71" s="2">
        <f t="shared" si="1"/>
        <v>0</v>
      </c>
    </row>
    <row r="72">
      <c r="A72" s="94">
        <f>IF($AZ72=0,"",37)</f>
      </c>
      <c r="B72" s="96">
        <f t="shared" si="18"/>
      </c>
      <c r="C72" s="21">
        <f t="shared" si="4"/>
      </c>
      <c r="D72" s="21">
        <f t="shared" si="15"/>
      </c>
      <c r="E72" s="21">
        <f t="shared" si="2"/>
      </c>
      <c r="F72" s="21">
        <f t="shared" si="17"/>
      </c>
      <c r="G72" s="21">
        <f t="shared" si="6"/>
      </c>
      <c r="I72" s="94">
        <f t="shared" si="3"/>
      </c>
      <c r="J72" s="21">
        <f t="shared" si="5"/>
      </c>
      <c r="K72" s="94" t="n"/>
      <c r="L72" s="135">
        <f t="shared" si="11"/>
      </c>
      <c r="M72" s="136">
        <f t="shared" si="12"/>
      </c>
      <c r="N72" s="94">
        <f t="shared" si="13"/>
      </c>
      <c r="O72" s="21">
        <f t="shared" si="7"/>
      </c>
      <c r="Q72" s="95">
        <f t="shared" si="22"/>
      </c>
      <c r="R72" s="94">
        <f t="shared" si="23"/>
      </c>
      <c r="S72" s="96">
        <f t="shared" si="8"/>
      </c>
      <c r="T72" s="21">
        <f t="shared" si="10"/>
      </c>
      <c r="U72" s="21">
        <f t="shared" si="24"/>
      </c>
      <c r="W72" s="95">
        <f t="shared" si="19"/>
      </c>
      <c r="X72" s="94">
        <f t="shared" si="25"/>
      </c>
      <c r="Y72" s="96">
        <f t="shared" si="26"/>
      </c>
      <c r="Z72" s="21">
        <f t="shared" si="20"/>
      </c>
      <c r="AA72" s="21">
        <f t="shared" si="21"/>
      </c>
      <c r="AB72" s="94">
        <f t="shared" si="27"/>
      </c>
      <c r="AC72" s="96">
        <f t="shared" si="28"/>
      </c>
      <c r="AD72" s="94">
        <f t="shared" si="29"/>
      </c>
      <c r="AZ72" s="2">
        <f>IF(37&gt;$BB$300,0,IFERROR(MATCH(37,$BB$1:$BB$300,0),0))</f>
        <v>0</v>
      </c>
      <c r="BA72" s="2">
        <f>IF(OR(往来单位!$B$75="",$AF$3=0),0,SUMIFS(期初余额!$R$5:$R$204,期初余额!$P$5:$P$204,往来单位!$B$75,期初余额!$Q$5:$Q$204,$C$3)+SUMIFS(应付登记!$G$5:$G$1004,应付登记!$D$5:$D$1004,往来单位!$B$75,应付登记!$E$5:$E$1004,$C$3,应付登记!$J$5:$J$1004,"&gt;="&amp;_辅助!$J$4,应付登记!$J$5:$J$1004,"&lt;="&amp;_辅助!$J$2))</f>
        <v>0</v>
      </c>
      <c r="BB72" s="2">
        <f>BB50+SUM(CA51:CA72)</f>
        <v>2</v>
      </c>
      <c r="BC72" s="2">
        <f>IF(OR(往来单位!$B$75="",$AF$3=0,NOT(OR(往来单位!$C$75="管理人员",往来单位!$C$75="工人"))),0,SUMIFS(考勤工资!$E$5:$E$1004,考勤工资!$C$5:$C$1004,往来单位!$B$75,考勤工资!$D$5:$D$1004,$C$3,考勤工资!$Y$5:$Y$1004,"&gt;="&amp;_辅助!$J$4,考勤工资!$Y$5:$Y$1004,"&lt;="&amp;_辅助!$J$2)+SUMIFS(考勤工资!$G$5:$G$1004,考勤工资!$C$5:$C$1004,往来单位!$B$75,考勤工资!$F$5:$F$1004,$C$3,考勤工资!$Y$5:$Y$1004,"&gt;="&amp;_辅助!$J$4,考勤工资!$Y$5:$Y$1004,"&lt;="&amp;_辅助!$J$2)+SUMIFS(考勤工资!$I$5:$I$1004,考勤工资!$C$5:$C$1004,往来单位!$B$75,考勤工资!$H$5:$H$1004,$C$3,考勤工资!$Y$5:$Y$1004,"&gt;="&amp;_辅助!$J$4,考勤工资!$Y$5:$Y$1004,"&lt;="&amp;_辅助!$J$2)+SUMIFS(考勤工资!$K$5:$K$1004,考勤工资!$C$5:$C$1004,往来单位!$B$75,考勤工资!$J$5:$J$1004,$C$3,考勤工资!$Y$5:$Y$1004,"&gt;="&amp;_辅助!$J$4,考勤工资!$Y$5:$Y$1004,"&lt;="&amp;_辅助!$J$2))</f>
        <v>0</v>
      </c>
      <c r="BD72" s="2">
        <f>IF(BC72=0,0,SUMIFS(考勤工资!$AC$5:$AC$1004,考勤工资!$C$5:$C$1004,往来单位!$B$75,考勤工资!$D$5:$D$1004,$C$3,考勤工资!$Y$5:$Y$1004,"&gt;="&amp;_辅助!$J$4,考勤工资!$Y$5:$Y$1004,"&lt;="&amp;_辅助!$J$2)+SUMIFS(考勤工资!$AD$5:$AD$1004,考勤工资!$C$5:$C$1004,往来单位!$B$75,考勤工资!$F$5:$F$1004,$C$3,考勤工资!$Y$5:$Y$1004,"&gt;="&amp;_辅助!$J$4,考勤工资!$Y$5:$Y$1004,"&lt;="&amp;_辅助!$J$2)+SUMIFS(考勤工资!$AE$5:$AE$1004,考勤工资!$C$5:$C$1004,往来单位!$B$75,考勤工资!$H$5:$H$1004,$C$3,考勤工资!$Y$5:$Y$1004,"&gt;="&amp;_辅助!$J$4,考勤工资!$Y$5:$Y$1004,"&lt;="&amp;_辅助!$J$2)+SUMIFS(考勤工资!$AF$5:$AF$1004,考勤工资!$C$5:$C$1004,往来单位!$B$75,考勤工资!$J$5:$J$1004,$C$3,考勤工资!$Y$5:$Y$1004,"&gt;="&amp;_辅助!$J$4,考勤工资!$Y$5:$Y$1004,"&lt;="&amp;_辅助!$J$2))</f>
        <v>0</v>
      </c>
      <c r="BE72" s="2">
        <f>BE50+SUM(CB51:CB72)</f>
        <v>0</v>
      </c>
      <c r="BF72" s="2">
        <f>IF(AND($AF$3&gt;0,发票登记!$T$75=$C$3,ISNUMBER(发票登记!$X$75),发票登记!$AB$75&lt;&gt;0,发票登记!$Y$75&gt;=_辅助!$J$4,发票登记!$Y$75&lt;=_辅助!$J$2),INT(发票登记!$X$75)*10000+71,"")</f>
      </c>
      <c r="BG72" s="2">
        <f>IF(AND($AF$3&gt;0,资金流水!$H$76=$C$3,ISNUMBER(资金流水!$B$76),ISNUMBER(资金流水!$S$76),资金流水!$S$76&gt;=_辅助!$J$4,资金流水!$S$76&lt;=_辅助!$J$2),INT(资金流水!$B$76)*10000+71,"")</f>
      </c>
      <c r="BH72" s="2">
        <f>IF(37&gt;$BE$300,0,IFERROR(MATCH(37,$BE$1:$BE$300,0),0))</f>
        <v>0</v>
      </c>
      <c r="BI72" s="2">
        <f>IF(37&gt;$BF$1,0,MOD(SMALL($BF$2:$BF$1001,37),10000))</f>
        <v>0</v>
      </c>
      <c r="BJ72" s="2">
        <f>IF(37&gt;$BG$1,0,MOD(SMALL($BG$2:$BG$2001,37),10000))</f>
        <v>0</v>
      </c>
      <c r="CA72" s="2">
        <f t="shared" si="0"/>
        <v>0</v>
      </c>
      <c r="CB72" s="2">
        <f t="shared" si="1"/>
        <v>0</v>
      </c>
    </row>
    <row r="73">
      <c r="A73" s="94">
        <f>IF($AZ73=0,"",38)</f>
      </c>
      <c r="B73" s="96">
        <f t="shared" si="18"/>
      </c>
      <c r="C73" s="21">
        <f t="shared" si="4"/>
      </c>
      <c r="D73" s="21">
        <f t="shared" si="15"/>
      </c>
      <c r="E73" s="21">
        <f t="shared" si="2"/>
      </c>
      <c r="F73" s="21">
        <f t="shared" si="17"/>
      </c>
      <c r="G73" s="21">
        <f t="shared" si="6"/>
      </c>
      <c r="I73" s="94">
        <f t="shared" si="3"/>
      </c>
      <c r="J73" s="21">
        <f t="shared" si="5"/>
      </c>
      <c r="K73" s="94" t="n"/>
      <c r="L73" s="135">
        <f t="shared" si="11"/>
      </c>
      <c r="M73" s="136">
        <f t="shared" si="12"/>
      </c>
      <c r="N73" s="94">
        <f t="shared" si="13"/>
      </c>
      <c r="O73" s="21">
        <f t="shared" si="7"/>
      </c>
      <c r="Q73" s="95">
        <f t="shared" si="22"/>
      </c>
      <c r="R73" s="94">
        <f t="shared" si="23"/>
      </c>
      <c r="S73" s="96">
        <f t="shared" si="8"/>
      </c>
      <c r="T73" s="21">
        <f t="shared" si="10"/>
      </c>
      <c r="U73" s="21">
        <f t="shared" si="24"/>
      </c>
      <c r="W73" s="95">
        <f t="shared" si="19"/>
      </c>
      <c r="X73" s="94">
        <f t="shared" si="25"/>
      </c>
      <c r="Y73" s="96">
        <f t="shared" si="26"/>
      </c>
      <c r="Z73" s="21">
        <f t="shared" si="20"/>
      </c>
      <c r="AA73" s="21">
        <f t="shared" si="21"/>
      </c>
      <c r="AB73" s="94">
        <f t="shared" si="27"/>
      </c>
      <c r="AC73" s="96">
        <f t="shared" si="28"/>
      </c>
      <c r="AD73" s="94">
        <f t="shared" si="29"/>
      </c>
      <c r="AZ73" s="2">
        <f>IF(38&gt;$BB$300,0,IFERROR(MATCH(38,$BB$1:$BB$300,0),0))</f>
        <v>0</v>
      </c>
      <c r="BA73" s="2">
        <f>IF(OR(往来单位!$B$76="",$AF$3=0),0,SUMIFS(期初余额!$R$5:$R$204,期初余额!$P$5:$P$204,往来单位!$B$76,期初余额!$Q$5:$Q$204,$C$3)+SUMIFS(应付登记!$G$5:$G$1004,应付登记!$D$5:$D$1004,往来单位!$B$76,应付登记!$E$5:$E$1004,$C$3,应付登记!$J$5:$J$1004,"&gt;="&amp;_辅助!$J$4,应付登记!$J$5:$J$1004,"&lt;="&amp;_辅助!$J$2))</f>
        <v>0</v>
      </c>
      <c r="BB73" s="2">
        <f>BB50+SUM(CA51:CA73)</f>
        <v>2</v>
      </c>
      <c r="BC73" s="2">
        <f>IF(OR(往来单位!$B$76="",$AF$3=0,NOT(OR(往来单位!$C$76="管理人员",往来单位!$C$76="工人"))),0,SUMIFS(考勤工资!$E$5:$E$1004,考勤工资!$C$5:$C$1004,往来单位!$B$76,考勤工资!$D$5:$D$1004,$C$3,考勤工资!$Y$5:$Y$1004,"&gt;="&amp;_辅助!$J$4,考勤工资!$Y$5:$Y$1004,"&lt;="&amp;_辅助!$J$2)+SUMIFS(考勤工资!$G$5:$G$1004,考勤工资!$C$5:$C$1004,往来单位!$B$76,考勤工资!$F$5:$F$1004,$C$3,考勤工资!$Y$5:$Y$1004,"&gt;="&amp;_辅助!$J$4,考勤工资!$Y$5:$Y$1004,"&lt;="&amp;_辅助!$J$2)+SUMIFS(考勤工资!$I$5:$I$1004,考勤工资!$C$5:$C$1004,往来单位!$B$76,考勤工资!$H$5:$H$1004,$C$3,考勤工资!$Y$5:$Y$1004,"&gt;="&amp;_辅助!$J$4,考勤工资!$Y$5:$Y$1004,"&lt;="&amp;_辅助!$J$2)+SUMIFS(考勤工资!$K$5:$K$1004,考勤工资!$C$5:$C$1004,往来单位!$B$76,考勤工资!$J$5:$J$1004,$C$3,考勤工资!$Y$5:$Y$1004,"&gt;="&amp;_辅助!$J$4,考勤工资!$Y$5:$Y$1004,"&lt;="&amp;_辅助!$J$2))</f>
        <v>0</v>
      </c>
      <c r="BD73" s="2">
        <f>IF(BC73=0,0,SUMIFS(考勤工资!$AC$5:$AC$1004,考勤工资!$C$5:$C$1004,往来单位!$B$76,考勤工资!$D$5:$D$1004,$C$3,考勤工资!$Y$5:$Y$1004,"&gt;="&amp;_辅助!$J$4,考勤工资!$Y$5:$Y$1004,"&lt;="&amp;_辅助!$J$2)+SUMIFS(考勤工资!$AD$5:$AD$1004,考勤工资!$C$5:$C$1004,往来单位!$B$76,考勤工资!$F$5:$F$1004,$C$3,考勤工资!$Y$5:$Y$1004,"&gt;="&amp;_辅助!$J$4,考勤工资!$Y$5:$Y$1004,"&lt;="&amp;_辅助!$J$2)+SUMIFS(考勤工资!$AE$5:$AE$1004,考勤工资!$C$5:$C$1004,往来单位!$B$76,考勤工资!$H$5:$H$1004,$C$3,考勤工资!$Y$5:$Y$1004,"&gt;="&amp;_辅助!$J$4,考勤工资!$Y$5:$Y$1004,"&lt;="&amp;_辅助!$J$2)+SUMIFS(考勤工资!$AF$5:$AF$1004,考勤工资!$C$5:$C$1004,往来单位!$B$76,考勤工资!$J$5:$J$1004,$C$3,考勤工资!$Y$5:$Y$1004,"&gt;="&amp;_辅助!$J$4,考勤工资!$Y$5:$Y$1004,"&lt;="&amp;_辅助!$J$2))</f>
        <v>0</v>
      </c>
      <c r="BE73" s="2">
        <f>BE50+SUM(CB51:CB73)</f>
        <v>0</v>
      </c>
      <c r="BF73" s="2">
        <f>IF(AND($AF$3&gt;0,发票登记!$T$76=$C$3,ISNUMBER(发票登记!$X$76),发票登记!$AB$76&lt;&gt;0,发票登记!$Y$76&gt;=_辅助!$J$4,发票登记!$Y$76&lt;=_辅助!$J$2),INT(发票登记!$X$76)*10000+72,"")</f>
      </c>
      <c r="BG73" s="2">
        <f>IF(AND($AF$3&gt;0,资金流水!$H$77=$C$3,ISNUMBER(资金流水!$B$77),ISNUMBER(资金流水!$S$77),资金流水!$S$77&gt;=_辅助!$J$4,资金流水!$S$77&lt;=_辅助!$J$2),INT(资金流水!$B$77)*10000+72,"")</f>
      </c>
      <c r="BH73" s="2">
        <f>IF(38&gt;$BE$300,0,IFERROR(MATCH(38,$BE$1:$BE$300,0),0))</f>
        <v>0</v>
      </c>
      <c r="BI73" s="2">
        <f>IF(38&gt;$BF$1,0,MOD(SMALL($BF$2:$BF$1001,38),10000))</f>
        <v>0</v>
      </c>
      <c r="BJ73" s="2">
        <f>IF(38&gt;$BG$1,0,MOD(SMALL($BG$2:$BG$2001,38),10000))</f>
        <v>0</v>
      </c>
      <c r="CA73" s="2">
        <f t="shared" si="0"/>
        <v>0</v>
      </c>
      <c r="CB73" s="2">
        <f t="shared" si="1"/>
        <v>0</v>
      </c>
    </row>
    <row r="74">
      <c r="A74" s="94">
        <f>IF($AZ74=0,"",39)</f>
      </c>
      <c r="B74" s="96">
        <f t="shared" si="18"/>
      </c>
      <c r="C74" s="21">
        <f t="shared" si="4"/>
      </c>
      <c r="D74" s="21">
        <f t="shared" si="15"/>
      </c>
      <c r="E74" s="21">
        <f t="shared" si="2"/>
      </c>
      <c r="F74" s="21">
        <f t="shared" si="17"/>
      </c>
      <c r="G74" s="21">
        <f t="shared" si="6"/>
      </c>
      <c r="I74" s="94">
        <f t="shared" si="3"/>
      </c>
      <c r="J74" s="21">
        <f t="shared" si="5"/>
      </c>
      <c r="K74" s="94" t="n"/>
      <c r="L74" s="135">
        <f t="shared" si="11"/>
      </c>
      <c r="M74" s="136">
        <f t="shared" si="12"/>
      </c>
      <c r="N74" s="94">
        <f t="shared" si="13"/>
      </c>
      <c r="O74" s="21">
        <f t="shared" si="7"/>
      </c>
      <c r="Q74" s="95">
        <f t="shared" si="22"/>
      </c>
      <c r="R74" s="94">
        <f t="shared" si="23"/>
      </c>
      <c r="S74" s="96">
        <f t="shared" si="8"/>
      </c>
      <c r="T74" s="21">
        <f t="shared" si="10"/>
      </c>
      <c r="U74" s="21">
        <f t="shared" si="24"/>
      </c>
      <c r="W74" s="95">
        <f t="shared" si="19"/>
      </c>
      <c r="X74" s="94">
        <f t="shared" si="25"/>
      </c>
      <c r="Y74" s="96">
        <f t="shared" si="26"/>
      </c>
      <c r="Z74" s="21">
        <f t="shared" si="20"/>
      </c>
      <c r="AA74" s="21">
        <f t="shared" si="21"/>
      </c>
      <c r="AB74" s="94">
        <f t="shared" si="27"/>
      </c>
      <c r="AC74" s="96">
        <f t="shared" si="28"/>
      </c>
      <c r="AD74" s="94">
        <f t="shared" si="29"/>
      </c>
      <c r="AZ74" s="2">
        <f>IF(39&gt;$BB$300,0,IFERROR(MATCH(39,$BB$1:$BB$300,0),0))</f>
        <v>0</v>
      </c>
      <c r="BA74" s="2">
        <f>IF(OR(往来单位!$B$77="",$AF$3=0),0,SUMIFS(期初余额!$R$5:$R$204,期初余额!$P$5:$P$204,往来单位!$B$77,期初余额!$Q$5:$Q$204,$C$3)+SUMIFS(应付登记!$G$5:$G$1004,应付登记!$D$5:$D$1004,往来单位!$B$77,应付登记!$E$5:$E$1004,$C$3,应付登记!$J$5:$J$1004,"&gt;="&amp;_辅助!$J$4,应付登记!$J$5:$J$1004,"&lt;="&amp;_辅助!$J$2))</f>
        <v>0</v>
      </c>
      <c r="BB74" s="2">
        <f>BB50+SUM(CA51:CA74)</f>
        <v>2</v>
      </c>
      <c r="BC74" s="2">
        <f>IF(OR(往来单位!$B$77="",$AF$3=0,NOT(OR(往来单位!$C$77="管理人员",往来单位!$C$77="工人"))),0,SUMIFS(考勤工资!$E$5:$E$1004,考勤工资!$C$5:$C$1004,往来单位!$B$77,考勤工资!$D$5:$D$1004,$C$3,考勤工资!$Y$5:$Y$1004,"&gt;="&amp;_辅助!$J$4,考勤工资!$Y$5:$Y$1004,"&lt;="&amp;_辅助!$J$2)+SUMIFS(考勤工资!$G$5:$G$1004,考勤工资!$C$5:$C$1004,往来单位!$B$77,考勤工资!$F$5:$F$1004,$C$3,考勤工资!$Y$5:$Y$1004,"&gt;="&amp;_辅助!$J$4,考勤工资!$Y$5:$Y$1004,"&lt;="&amp;_辅助!$J$2)+SUMIFS(考勤工资!$I$5:$I$1004,考勤工资!$C$5:$C$1004,往来单位!$B$77,考勤工资!$H$5:$H$1004,$C$3,考勤工资!$Y$5:$Y$1004,"&gt;="&amp;_辅助!$J$4,考勤工资!$Y$5:$Y$1004,"&lt;="&amp;_辅助!$J$2)+SUMIFS(考勤工资!$K$5:$K$1004,考勤工资!$C$5:$C$1004,往来单位!$B$77,考勤工资!$J$5:$J$1004,$C$3,考勤工资!$Y$5:$Y$1004,"&gt;="&amp;_辅助!$J$4,考勤工资!$Y$5:$Y$1004,"&lt;="&amp;_辅助!$J$2))</f>
        <v>0</v>
      </c>
      <c r="BD74" s="2">
        <f>IF(BC74=0,0,SUMIFS(考勤工资!$AC$5:$AC$1004,考勤工资!$C$5:$C$1004,往来单位!$B$77,考勤工资!$D$5:$D$1004,$C$3,考勤工资!$Y$5:$Y$1004,"&gt;="&amp;_辅助!$J$4,考勤工资!$Y$5:$Y$1004,"&lt;="&amp;_辅助!$J$2)+SUMIFS(考勤工资!$AD$5:$AD$1004,考勤工资!$C$5:$C$1004,往来单位!$B$77,考勤工资!$F$5:$F$1004,$C$3,考勤工资!$Y$5:$Y$1004,"&gt;="&amp;_辅助!$J$4,考勤工资!$Y$5:$Y$1004,"&lt;="&amp;_辅助!$J$2)+SUMIFS(考勤工资!$AE$5:$AE$1004,考勤工资!$C$5:$C$1004,往来单位!$B$77,考勤工资!$H$5:$H$1004,$C$3,考勤工资!$Y$5:$Y$1004,"&gt;="&amp;_辅助!$J$4,考勤工资!$Y$5:$Y$1004,"&lt;="&amp;_辅助!$J$2)+SUMIFS(考勤工资!$AF$5:$AF$1004,考勤工资!$C$5:$C$1004,往来单位!$B$77,考勤工资!$J$5:$J$1004,$C$3,考勤工资!$Y$5:$Y$1004,"&gt;="&amp;_辅助!$J$4,考勤工资!$Y$5:$Y$1004,"&lt;="&amp;_辅助!$J$2))</f>
        <v>0</v>
      </c>
      <c r="BE74" s="2">
        <f>BE50+SUM(CB51:CB74)</f>
        <v>0</v>
      </c>
      <c r="BF74" s="2">
        <f>IF(AND($AF$3&gt;0,发票登记!$T$77=$C$3,ISNUMBER(发票登记!$X$77),发票登记!$AB$77&lt;&gt;0,发票登记!$Y$77&gt;=_辅助!$J$4,发票登记!$Y$77&lt;=_辅助!$J$2),INT(发票登记!$X$77)*10000+73,"")</f>
      </c>
      <c r="BG74" s="2">
        <f>IF(AND($AF$3&gt;0,资金流水!$H$78=$C$3,ISNUMBER(资金流水!$B$78),ISNUMBER(资金流水!$S$78),资金流水!$S$78&gt;=_辅助!$J$4,资金流水!$S$78&lt;=_辅助!$J$2),INT(资金流水!$B$78)*10000+73,"")</f>
      </c>
      <c r="BH74" s="2">
        <f>IF(39&gt;$BE$300,0,IFERROR(MATCH(39,$BE$1:$BE$300,0),0))</f>
        <v>0</v>
      </c>
      <c r="BI74" s="2">
        <f>IF(39&gt;$BF$1,0,MOD(SMALL($BF$2:$BF$1001,39),10000))</f>
        <v>0</v>
      </c>
      <c r="BJ74" s="2">
        <f>IF(39&gt;$BG$1,0,MOD(SMALL($BG$2:$BG$2001,39),10000))</f>
        <v>0</v>
      </c>
      <c r="CA74" s="2">
        <f t="shared" si="0"/>
        <v>0</v>
      </c>
      <c r="CB74" s="2">
        <f t="shared" si="1"/>
        <v>0</v>
      </c>
    </row>
    <row r="75">
      <c r="A75" s="94">
        <f>IF($AZ75=0,"",40)</f>
      </c>
      <c r="B75" s="96">
        <f t="shared" si="18"/>
      </c>
      <c r="C75" s="21">
        <f t="shared" si="4"/>
      </c>
      <c r="D75" s="21">
        <f t="shared" si="15"/>
      </c>
      <c r="E75" s="21">
        <f t="shared" si="2"/>
      </c>
      <c r="F75" s="21">
        <f t="shared" si="17"/>
      </c>
      <c r="G75" s="21">
        <f t="shared" si="6"/>
      </c>
      <c r="I75" s="94">
        <f t="shared" si="3"/>
      </c>
      <c r="J75" s="21">
        <f t="shared" si="5"/>
      </c>
      <c r="K75" s="94" t="n"/>
      <c r="L75" s="135">
        <f t="shared" si="11"/>
      </c>
      <c r="M75" s="136">
        <f t="shared" si="12"/>
      </c>
      <c r="N75" s="94">
        <f t="shared" si="13"/>
      </c>
      <c r="O75" s="21">
        <f t="shared" si="7"/>
      </c>
      <c r="Q75" s="95">
        <f t="shared" si="22"/>
      </c>
      <c r="R75" s="94">
        <f t="shared" si="23"/>
      </c>
      <c r="S75" s="96">
        <f t="shared" si="8"/>
      </c>
      <c r="T75" s="21">
        <f t="shared" si="10"/>
      </c>
      <c r="U75" s="21">
        <f t="shared" si="24"/>
      </c>
      <c r="W75" s="95">
        <f t="shared" si="19"/>
      </c>
      <c r="X75" s="94">
        <f t="shared" si="25"/>
      </c>
      <c r="Y75" s="96">
        <f t="shared" si="26"/>
      </c>
      <c r="Z75" s="21">
        <f t="shared" si="20"/>
      </c>
      <c r="AA75" s="21">
        <f t="shared" si="21"/>
      </c>
      <c r="AB75" s="94">
        <f t="shared" si="27"/>
      </c>
      <c r="AC75" s="96">
        <f t="shared" si="28"/>
      </c>
      <c r="AD75" s="94">
        <f t="shared" si="29"/>
      </c>
      <c r="AZ75" s="2">
        <f>IF(40&gt;$BB$300,0,IFERROR(MATCH(40,$BB$1:$BB$300,0),0))</f>
        <v>0</v>
      </c>
      <c r="BA75" s="2">
        <f>IF(OR(往来单位!$B$78="",$AF$3=0),0,SUMIFS(期初余额!$R$5:$R$204,期初余额!$P$5:$P$204,往来单位!$B$78,期初余额!$Q$5:$Q$204,$C$3)+SUMIFS(应付登记!$G$5:$G$1004,应付登记!$D$5:$D$1004,往来单位!$B$78,应付登记!$E$5:$E$1004,$C$3,应付登记!$J$5:$J$1004,"&gt;="&amp;_辅助!$J$4,应付登记!$J$5:$J$1004,"&lt;="&amp;_辅助!$J$2))</f>
        <v>0</v>
      </c>
      <c r="BB75" s="2">
        <f>BB50+SUM(CA51:CA75)</f>
        <v>2</v>
      </c>
      <c r="BC75" s="2">
        <f>IF(OR(往来单位!$B$78="",$AF$3=0,NOT(OR(往来单位!$C$78="管理人员",往来单位!$C$78="工人"))),0,SUMIFS(考勤工资!$E$5:$E$1004,考勤工资!$C$5:$C$1004,往来单位!$B$78,考勤工资!$D$5:$D$1004,$C$3,考勤工资!$Y$5:$Y$1004,"&gt;="&amp;_辅助!$J$4,考勤工资!$Y$5:$Y$1004,"&lt;="&amp;_辅助!$J$2)+SUMIFS(考勤工资!$G$5:$G$1004,考勤工资!$C$5:$C$1004,往来单位!$B$78,考勤工资!$F$5:$F$1004,$C$3,考勤工资!$Y$5:$Y$1004,"&gt;="&amp;_辅助!$J$4,考勤工资!$Y$5:$Y$1004,"&lt;="&amp;_辅助!$J$2)+SUMIFS(考勤工资!$I$5:$I$1004,考勤工资!$C$5:$C$1004,往来单位!$B$78,考勤工资!$H$5:$H$1004,$C$3,考勤工资!$Y$5:$Y$1004,"&gt;="&amp;_辅助!$J$4,考勤工资!$Y$5:$Y$1004,"&lt;="&amp;_辅助!$J$2)+SUMIFS(考勤工资!$K$5:$K$1004,考勤工资!$C$5:$C$1004,往来单位!$B$78,考勤工资!$J$5:$J$1004,$C$3,考勤工资!$Y$5:$Y$1004,"&gt;="&amp;_辅助!$J$4,考勤工资!$Y$5:$Y$1004,"&lt;="&amp;_辅助!$J$2))</f>
        <v>0</v>
      </c>
      <c r="BD75" s="2">
        <f>IF(BC75=0,0,SUMIFS(考勤工资!$AC$5:$AC$1004,考勤工资!$C$5:$C$1004,往来单位!$B$78,考勤工资!$D$5:$D$1004,$C$3,考勤工资!$Y$5:$Y$1004,"&gt;="&amp;_辅助!$J$4,考勤工资!$Y$5:$Y$1004,"&lt;="&amp;_辅助!$J$2)+SUMIFS(考勤工资!$AD$5:$AD$1004,考勤工资!$C$5:$C$1004,往来单位!$B$78,考勤工资!$F$5:$F$1004,$C$3,考勤工资!$Y$5:$Y$1004,"&gt;="&amp;_辅助!$J$4,考勤工资!$Y$5:$Y$1004,"&lt;="&amp;_辅助!$J$2)+SUMIFS(考勤工资!$AE$5:$AE$1004,考勤工资!$C$5:$C$1004,往来单位!$B$78,考勤工资!$H$5:$H$1004,$C$3,考勤工资!$Y$5:$Y$1004,"&gt;="&amp;_辅助!$J$4,考勤工资!$Y$5:$Y$1004,"&lt;="&amp;_辅助!$J$2)+SUMIFS(考勤工资!$AF$5:$AF$1004,考勤工资!$C$5:$C$1004,往来单位!$B$78,考勤工资!$J$5:$J$1004,$C$3,考勤工资!$Y$5:$Y$1004,"&gt;="&amp;_辅助!$J$4,考勤工资!$Y$5:$Y$1004,"&lt;="&amp;_辅助!$J$2))</f>
        <v>0</v>
      </c>
      <c r="BE75" s="2">
        <f>BE50+SUM(CB51:CB75)</f>
        <v>0</v>
      </c>
      <c r="BF75" s="2">
        <f>IF(AND($AF$3&gt;0,发票登记!$T$78=$C$3,ISNUMBER(发票登记!$X$78),发票登记!$AB$78&lt;&gt;0,发票登记!$Y$78&gt;=_辅助!$J$4,发票登记!$Y$78&lt;=_辅助!$J$2),INT(发票登记!$X$78)*10000+74,"")</f>
      </c>
      <c r="BG75" s="2">
        <f>IF(AND($AF$3&gt;0,资金流水!$H$79=$C$3,ISNUMBER(资金流水!$B$79),ISNUMBER(资金流水!$S$79),资金流水!$S$79&gt;=_辅助!$J$4,资金流水!$S$79&lt;=_辅助!$J$2),INT(资金流水!$B$79)*10000+74,"")</f>
      </c>
      <c r="BH75" s="2">
        <f>IF(40&gt;$BE$300,0,IFERROR(MATCH(40,$BE$1:$BE$300,0),0))</f>
        <v>0</v>
      </c>
      <c r="BI75" s="2">
        <f>IF(40&gt;$BF$1,0,MOD(SMALL($BF$2:$BF$1001,40),10000))</f>
        <v>0</v>
      </c>
      <c r="BJ75" s="2">
        <f>IF(40&gt;$BG$1,0,MOD(SMALL($BG$2:$BG$2001,40),10000))</f>
        <v>0</v>
      </c>
      <c r="CA75" s="2">
        <f t="shared" si="0"/>
        <v>0</v>
      </c>
      <c r="CB75" s="2">
        <f t="shared" si="1"/>
        <v>0</v>
      </c>
    </row>
    <row r="76">
      <c r="A76" s="94">
        <f>IF($AZ76=0,"",41)</f>
      </c>
      <c r="B76" s="96">
        <f t="shared" si="18"/>
      </c>
      <c r="C76" s="21">
        <f t="shared" si="4"/>
      </c>
      <c r="D76" s="21">
        <f t="shared" si="15"/>
      </c>
      <c r="E76" s="21">
        <f t="shared" si="2"/>
      </c>
      <c r="F76" s="21">
        <f t="shared" si="17"/>
      </c>
      <c r="G76" s="21">
        <f t="shared" si="6"/>
      </c>
      <c r="I76" s="94">
        <f t="shared" si="3"/>
      </c>
      <c r="J76" s="21">
        <f t="shared" si="5"/>
      </c>
      <c r="K76" s="94" t="n"/>
      <c r="L76" s="135">
        <f t="shared" si="11"/>
      </c>
      <c r="M76" s="136">
        <f t="shared" si="12"/>
      </c>
      <c r="N76" s="94">
        <f t="shared" si="13"/>
      </c>
      <c r="O76" s="21">
        <f t="shared" si="7"/>
      </c>
      <c r="Q76" s="95">
        <f t="shared" si="22"/>
      </c>
      <c r="R76" s="94">
        <f t="shared" si="23"/>
      </c>
      <c r="S76" s="96">
        <f t="shared" si="8"/>
      </c>
      <c r="T76" s="21">
        <f t="shared" si="10"/>
      </c>
      <c r="U76" s="21">
        <f t="shared" si="24"/>
      </c>
      <c r="W76" s="95">
        <f t="shared" si="19"/>
      </c>
      <c r="X76" s="94">
        <f t="shared" si="25"/>
      </c>
      <c r="Y76" s="96">
        <f t="shared" si="26"/>
      </c>
      <c r="Z76" s="21">
        <f t="shared" si="20"/>
      </c>
      <c r="AA76" s="21">
        <f t="shared" si="21"/>
      </c>
      <c r="AB76" s="94">
        <f t="shared" si="27"/>
      </c>
      <c r="AC76" s="96">
        <f t="shared" si="28"/>
      </c>
      <c r="AD76" s="94">
        <f t="shared" si="29"/>
      </c>
      <c r="AZ76" s="2">
        <f>IF(41&gt;$BB$300,0,IFERROR(MATCH(41,$BB$1:$BB$300,0),0))</f>
        <v>0</v>
      </c>
      <c r="BA76" s="2">
        <f>IF(OR(往来单位!$B$79="",$AF$3=0),0,SUMIFS(期初余额!$R$5:$R$204,期初余额!$P$5:$P$204,往来单位!$B$79,期初余额!$Q$5:$Q$204,$C$3)+SUMIFS(应付登记!$G$5:$G$1004,应付登记!$D$5:$D$1004,往来单位!$B$79,应付登记!$E$5:$E$1004,$C$3,应付登记!$J$5:$J$1004,"&gt;="&amp;_辅助!$J$4,应付登记!$J$5:$J$1004,"&lt;="&amp;_辅助!$J$2))</f>
        <v>0</v>
      </c>
      <c r="BB76" s="2">
        <f>BB50+SUM(CA51:CA76)</f>
        <v>2</v>
      </c>
      <c r="BC76" s="2">
        <f>IF(OR(往来单位!$B$79="",$AF$3=0,NOT(OR(往来单位!$C$79="管理人员",往来单位!$C$79="工人"))),0,SUMIFS(考勤工资!$E$5:$E$1004,考勤工资!$C$5:$C$1004,往来单位!$B$79,考勤工资!$D$5:$D$1004,$C$3,考勤工资!$Y$5:$Y$1004,"&gt;="&amp;_辅助!$J$4,考勤工资!$Y$5:$Y$1004,"&lt;="&amp;_辅助!$J$2)+SUMIFS(考勤工资!$G$5:$G$1004,考勤工资!$C$5:$C$1004,往来单位!$B$79,考勤工资!$F$5:$F$1004,$C$3,考勤工资!$Y$5:$Y$1004,"&gt;="&amp;_辅助!$J$4,考勤工资!$Y$5:$Y$1004,"&lt;="&amp;_辅助!$J$2)+SUMIFS(考勤工资!$I$5:$I$1004,考勤工资!$C$5:$C$1004,往来单位!$B$79,考勤工资!$H$5:$H$1004,$C$3,考勤工资!$Y$5:$Y$1004,"&gt;="&amp;_辅助!$J$4,考勤工资!$Y$5:$Y$1004,"&lt;="&amp;_辅助!$J$2)+SUMIFS(考勤工资!$K$5:$K$1004,考勤工资!$C$5:$C$1004,往来单位!$B$79,考勤工资!$J$5:$J$1004,$C$3,考勤工资!$Y$5:$Y$1004,"&gt;="&amp;_辅助!$J$4,考勤工资!$Y$5:$Y$1004,"&lt;="&amp;_辅助!$J$2))</f>
        <v>0</v>
      </c>
      <c r="BD76" s="2">
        <f>IF(BC76=0,0,SUMIFS(考勤工资!$AC$5:$AC$1004,考勤工资!$C$5:$C$1004,往来单位!$B$79,考勤工资!$D$5:$D$1004,$C$3,考勤工资!$Y$5:$Y$1004,"&gt;="&amp;_辅助!$J$4,考勤工资!$Y$5:$Y$1004,"&lt;="&amp;_辅助!$J$2)+SUMIFS(考勤工资!$AD$5:$AD$1004,考勤工资!$C$5:$C$1004,往来单位!$B$79,考勤工资!$F$5:$F$1004,$C$3,考勤工资!$Y$5:$Y$1004,"&gt;="&amp;_辅助!$J$4,考勤工资!$Y$5:$Y$1004,"&lt;="&amp;_辅助!$J$2)+SUMIFS(考勤工资!$AE$5:$AE$1004,考勤工资!$C$5:$C$1004,往来单位!$B$79,考勤工资!$H$5:$H$1004,$C$3,考勤工资!$Y$5:$Y$1004,"&gt;="&amp;_辅助!$J$4,考勤工资!$Y$5:$Y$1004,"&lt;="&amp;_辅助!$J$2)+SUMIFS(考勤工资!$AF$5:$AF$1004,考勤工资!$C$5:$C$1004,往来单位!$B$79,考勤工资!$J$5:$J$1004,$C$3,考勤工资!$Y$5:$Y$1004,"&gt;="&amp;_辅助!$J$4,考勤工资!$Y$5:$Y$1004,"&lt;="&amp;_辅助!$J$2))</f>
        <v>0</v>
      </c>
      <c r="BE76" s="2">
        <f>BE50+SUM(CB51:CB76)</f>
        <v>0</v>
      </c>
      <c r="BF76" s="2">
        <f>IF(AND($AF$3&gt;0,发票登记!$T$79=$C$3,ISNUMBER(发票登记!$X$79),发票登记!$AB$79&lt;&gt;0,发票登记!$Y$79&gt;=_辅助!$J$4,发票登记!$Y$79&lt;=_辅助!$J$2),INT(发票登记!$X$79)*10000+75,"")</f>
      </c>
      <c r="BG76" s="2">
        <f>IF(AND($AF$3&gt;0,资金流水!$H$80=$C$3,ISNUMBER(资金流水!$B$80),ISNUMBER(资金流水!$S$80),资金流水!$S$80&gt;=_辅助!$J$4,资金流水!$S$80&lt;=_辅助!$J$2),INT(资金流水!$B$80)*10000+75,"")</f>
      </c>
      <c r="BH76" s="2">
        <f>IF(41&gt;$BE$300,0,IFERROR(MATCH(41,$BE$1:$BE$300,0),0))</f>
        <v>0</v>
      </c>
      <c r="BI76" s="2">
        <f>IF(41&gt;$BF$1,0,MOD(SMALL($BF$2:$BF$1001,41),10000))</f>
        <v>0</v>
      </c>
      <c r="BJ76" s="2">
        <f>IF(41&gt;$BG$1,0,MOD(SMALL($BG$2:$BG$2001,41),10000))</f>
        <v>0</v>
      </c>
      <c r="CA76" s="2">
        <f t="shared" si="0"/>
        <v>0</v>
      </c>
      <c r="CB76" s="2">
        <f t="shared" si="1"/>
        <v>0</v>
      </c>
    </row>
    <row r="77">
      <c r="A77" s="94">
        <f>IF($AZ77=0,"",42)</f>
      </c>
      <c r="B77" s="96">
        <f t="shared" si="18"/>
      </c>
      <c r="C77" s="21">
        <f t="shared" si="4"/>
      </c>
      <c r="D77" s="21">
        <f t="shared" si="15"/>
      </c>
      <c r="E77" s="21">
        <f t="shared" si="2"/>
      </c>
      <c r="F77" s="21">
        <f t="shared" si="17"/>
      </c>
      <c r="G77" s="21">
        <f t="shared" si="6"/>
      </c>
      <c r="I77" s="94">
        <f t="shared" si="3"/>
      </c>
      <c r="J77" s="21">
        <f t="shared" si="5"/>
      </c>
      <c r="K77" s="94" t="n"/>
      <c r="L77" s="135">
        <f t="shared" si="11"/>
      </c>
      <c r="M77" s="136">
        <f t="shared" si="12"/>
      </c>
      <c r="N77" s="94">
        <f t="shared" si="13"/>
      </c>
      <c r="O77" s="21">
        <f t="shared" si="7"/>
      </c>
      <c r="Q77" s="95">
        <f t="shared" si="22"/>
      </c>
      <c r="R77" s="94">
        <f t="shared" si="23"/>
      </c>
      <c r="S77" s="96">
        <f t="shared" si="8"/>
      </c>
      <c r="T77" s="21">
        <f t="shared" si="10"/>
      </c>
      <c r="U77" s="21">
        <f t="shared" si="24"/>
      </c>
      <c r="W77" s="95">
        <f t="shared" si="19"/>
      </c>
      <c r="X77" s="94">
        <f t="shared" si="25"/>
      </c>
      <c r="Y77" s="96">
        <f t="shared" si="26"/>
      </c>
      <c r="Z77" s="21">
        <f t="shared" si="20"/>
      </c>
      <c r="AA77" s="21">
        <f t="shared" si="21"/>
      </c>
      <c r="AB77" s="94">
        <f t="shared" si="27"/>
      </c>
      <c r="AC77" s="96">
        <f t="shared" si="28"/>
      </c>
      <c r="AD77" s="94">
        <f t="shared" si="29"/>
      </c>
      <c r="AZ77" s="2">
        <f>IF(42&gt;$BB$300,0,IFERROR(MATCH(42,$BB$1:$BB$300,0),0))</f>
        <v>0</v>
      </c>
      <c r="BA77" s="2">
        <f>IF(OR(往来单位!$B$80="",$AF$3=0),0,SUMIFS(期初余额!$R$5:$R$204,期初余额!$P$5:$P$204,往来单位!$B$80,期初余额!$Q$5:$Q$204,$C$3)+SUMIFS(应付登记!$G$5:$G$1004,应付登记!$D$5:$D$1004,往来单位!$B$80,应付登记!$E$5:$E$1004,$C$3,应付登记!$J$5:$J$1004,"&gt;="&amp;_辅助!$J$4,应付登记!$J$5:$J$1004,"&lt;="&amp;_辅助!$J$2))</f>
        <v>0</v>
      </c>
      <c r="BB77" s="2">
        <f>BB50+SUM(CA51:CA77)</f>
        <v>2</v>
      </c>
      <c r="BC77" s="2">
        <f>IF(OR(往来单位!$B$80="",$AF$3=0,NOT(OR(往来单位!$C$80="管理人员",往来单位!$C$80="工人"))),0,SUMIFS(考勤工资!$E$5:$E$1004,考勤工资!$C$5:$C$1004,往来单位!$B$80,考勤工资!$D$5:$D$1004,$C$3,考勤工资!$Y$5:$Y$1004,"&gt;="&amp;_辅助!$J$4,考勤工资!$Y$5:$Y$1004,"&lt;="&amp;_辅助!$J$2)+SUMIFS(考勤工资!$G$5:$G$1004,考勤工资!$C$5:$C$1004,往来单位!$B$80,考勤工资!$F$5:$F$1004,$C$3,考勤工资!$Y$5:$Y$1004,"&gt;="&amp;_辅助!$J$4,考勤工资!$Y$5:$Y$1004,"&lt;="&amp;_辅助!$J$2)+SUMIFS(考勤工资!$I$5:$I$1004,考勤工资!$C$5:$C$1004,往来单位!$B$80,考勤工资!$H$5:$H$1004,$C$3,考勤工资!$Y$5:$Y$1004,"&gt;="&amp;_辅助!$J$4,考勤工资!$Y$5:$Y$1004,"&lt;="&amp;_辅助!$J$2)+SUMIFS(考勤工资!$K$5:$K$1004,考勤工资!$C$5:$C$1004,往来单位!$B$80,考勤工资!$J$5:$J$1004,$C$3,考勤工资!$Y$5:$Y$1004,"&gt;="&amp;_辅助!$J$4,考勤工资!$Y$5:$Y$1004,"&lt;="&amp;_辅助!$J$2))</f>
        <v>0</v>
      </c>
      <c r="BD77" s="2">
        <f>IF(BC77=0,0,SUMIFS(考勤工资!$AC$5:$AC$1004,考勤工资!$C$5:$C$1004,往来单位!$B$80,考勤工资!$D$5:$D$1004,$C$3,考勤工资!$Y$5:$Y$1004,"&gt;="&amp;_辅助!$J$4,考勤工资!$Y$5:$Y$1004,"&lt;="&amp;_辅助!$J$2)+SUMIFS(考勤工资!$AD$5:$AD$1004,考勤工资!$C$5:$C$1004,往来单位!$B$80,考勤工资!$F$5:$F$1004,$C$3,考勤工资!$Y$5:$Y$1004,"&gt;="&amp;_辅助!$J$4,考勤工资!$Y$5:$Y$1004,"&lt;="&amp;_辅助!$J$2)+SUMIFS(考勤工资!$AE$5:$AE$1004,考勤工资!$C$5:$C$1004,往来单位!$B$80,考勤工资!$H$5:$H$1004,$C$3,考勤工资!$Y$5:$Y$1004,"&gt;="&amp;_辅助!$J$4,考勤工资!$Y$5:$Y$1004,"&lt;="&amp;_辅助!$J$2)+SUMIFS(考勤工资!$AF$5:$AF$1004,考勤工资!$C$5:$C$1004,往来单位!$B$80,考勤工资!$J$5:$J$1004,$C$3,考勤工资!$Y$5:$Y$1004,"&gt;="&amp;_辅助!$J$4,考勤工资!$Y$5:$Y$1004,"&lt;="&amp;_辅助!$J$2))</f>
        <v>0</v>
      </c>
      <c r="BE77" s="2">
        <f>BE50+SUM(CB51:CB77)</f>
        <v>0</v>
      </c>
      <c r="BF77" s="2">
        <f>IF(AND($AF$3&gt;0,发票登记!$T$80=$C$3,ISNUMBER(发票登记!$X$80),发票登记!$AB$80&lt;&gt;0,发票登记!$Y$80&gt;=_辅助!$J$4,发票登记!$Y$80&lt;=_辅助!$J$2),INT(发票登记!$X$80)*10000+76,"")</f>
      </c>
      <c r="BG77" s="2">
        <f>IF(AND($AF$3&gt;0,资金流水!$H$81=$C$3,ISNUMBER(资金流水!$B$81),ISNUMBER(资金流水!$S$81),资金流水!$S$81&gt;=_辅助!$J$4,资金流水!$S$81&lt;=_辅助!$J$2),INT(资金流水!$B$81)*10000+76,"")</f>
      </c>
      <c r="BH77" s="2">
        <f>IF(42&gt;$BE$300,0,IFERROR(MATCH(42,$BE$1:$BE$300,0),0))</f>
        <v>0</v>
      </c>
      <c r="BI77" s="2">
        <f>IF(42&gt;$BF$1,0,MOD(SMALL($BF$2:$BF$1001,42),10000))</f>
        <v>0</v>
      </c>
      <c r="BJ77" s="2">
        <f>IF(42&gt;$BG$1,0,MOD(SMALL($BG$2:$BG$2001,42),10000))</f>
        <v>0</v>
      </c>
      <c r="CA77" s="2">
        <f t="shared" si="0"/>
        <v>0</v>
      </c>
      <c r="CB77" s="2">
        <f t="shared" si="1"/>
        <v>0</v>
      </c>
    </row>
    <row r="78">
      <c r="A78" s="94">
        <f>IF($AZ78=0,"",43)</f>
      </c>
      <c r="B78" s="96">
        <f t="shared" si="18"/>
      </c>
      <c r="C78" s="21">
        <f t="shared" si="4"/>
      </c>
      <c r="D78" s="21">
        <f t="shared" si="15"/>
      </c>
      <c r="E78" s="21">
        <f t="shared" si="2"/>
      </c>
      <c r="F78" s="21">
        <f t="shared" si="17"/>
      </c>
      <c r="G78" s="21">
        <f t="shared" si="6"/>
      </c>
      <c r="I78" s="94">
        <f t="shared" si="3"/>
      </c>
      <c r="J78" s="21">
        <f t="shared" si="5"/>
      </c>
      <c r="K78" s="94" t="n"/>
      <c r="L78" s="135">
        <f t="shared" si="11"/>
      </c>
      <c r="M78" s="136">
        <f t="shared" si="12"/>
      </c>
      <c r="N78" s="94">
        <f t="shared" si="13"/>
      </c>
      <c r="O78" s="21">
        <f t="shared" si="7"/>
      </c>
      <c r="Q78" s="95">
        <f t="shared" si="22"/>
      </c>
      <c r="R78" s="94">
        <f t="shared" si="23"/>
      </c>
      <c r="S78" s="96">
        <f t="shared" si="8"/>
      </c>
      <c r="T78" s="21">
        <f t="shared" si="10"/>
      </c>
      <c r="U78" s="21">
        <f t="shared" si="24"/>
      </c>
      <c r="W78" s="95">
        <f t="shared" si="19"/>
      </c>
      <c r="X78" s="94">
        <f t="shared" si="25"/>
      </c>
      <c r="Y78" s="96">
        <f t="shared" si="26"/>
      </c>
      <c r="Z78" s="21">
        <f t="shared" si="20"/>
      </c>
      <c r="AA78" s="21">
        <f t="shared" si="21"/>
      </c>
      <c r="AB78" s="94">
        <f t="shared" si="27"/>
      </c>
      <c r="AC78" s="96">
        <f t="shared" si="28"/>
      </c>
      <c r="AD78" s="94">
        <f t="shared" si="29"/>
      </c>
      <c r="AZ78" s="2">
        <f>IF(43&gt;$BB$300,0,IFERROR(MATCH(43,$BB$1:$BB$300,0),0))</f>
        <v>0</v>
      </c>
      <c r="BA78" s="2">
        <f>IF(OR(往来单位!$B$81="",$AF$3=0),0,SUMIFS(期初余额!$R$5:$R$204,期初余额!$P$5:$P$204,往来单位!$B$81,期初余额!$Q$5:$Q$204,$C$3)+SUMIFS(应付登记!$G$5:$G$1004,应付登记!$D$5:$D$1004,往来单位!$B$81,应付登记!$E$5:$E$1004,$C$3,应付登记!$J$5:$J$1004,"&gt;="&amp;_辅助!$J$4,应付登记!$J$5:$J$1004,"&lt;="&amp;_辅助!$J$2))</f>
        <v>0</v>
      </c>
      <c r="BB78" s="2">
        <f>BB50+SUM(CA51:CA78)</f>
        <v>2</v>
      </c>
      <c r="BC78" s="2">
        <f>IF(OR(往来单位!$B$81="",$AF$3=0,NOT(OR(往来单位!$C$81="管理人员",往来单位!$C$81="工人"))),0,SUMIFS(考勤工资!$E$5:$E$1004,考勤工资!$C$5:$C$1004,往来单位!$B$81,考勤工资!$D$5:$D$1004,$C$3,考勤工资!$Y$5:$Y$1004,"&gt;="&amp;_辅助!$J$4,考勤工资!$Y$5:$Y$1004,"&lt;="&amp;_辅助!$J$2)+SUMIFS(考勤工资!$G$5:$G$1004,考勤工资!$C$5:$C$1004,往来单位!$B$81,考勤工资!$F$5:$F$1004,$C$3,考勤工资!$Y$5:$Y$1004,"&gt;="&amp;_辅助!$J$4,考勤工资!$Y$5:$Y$1004,"&lt;="&amp;_辅助!$J$2)+SUMIFS(考勤工资!$I$5:$I$1004,考勤工资!$C$5:$C$1004,往来单位!$B$81,考勤工资!$H$5:$H$1004,$C$3,考勤工资!$Y$5:$Y$1004,"&gt;="&amp;_辅助!$J$4,考勤工资!$Y$5:$Y$1004,"&lt;="&amp;_辅助!$J$2)+SUMIFS(考勤工资!$K$5:$K$1004,考勤工资!$C$5:$C$1004,往来单位!$B$81,考勤工资!$J$5:$J$1004,$C$3,考勤工资!$Y$5:$Y$1004,"&gt;="&amp;_辅助!$J$4,考勤工资!$Y$5:$Y$1004,"&lt;="&amp;_辅助!$J$2))</f>
        <v>0</v>
      </c>
      <c r="BD78" s="2">
        <f>IF(BC78=0,0,SUMIFS(考勤工资!$AC$5:$AC$1004,考勤工资!$C$5:$C$1004,往来单位!$B$81,考勤工资!$D$5:$D$1004,$C$3,考勤工资!$Y$5:$Y$1004,"&gt;="&amp;_辅助!$J$4,考勤工资!$Y$5:$Y$1004,"&lt;="&amp;_辅助!$J$2)+SUMIFS(考勤工资!$AD$5:$AD$1004,考勤工资!$C$5:$C$1004,往来单位!$B$81,考勤工资!$F$5:$F$1004,$C$3,考勤工资!$Y$5:$Y$1004,"&gt;="&amp;_辅助!$J$4,考勤工资!$Y$5:$Y$1004,"&lt;="&amp;_辅助!$J$2)+SUMIFS(考勤工资!$AE$5:$AE$1004,考勤工资!$C$5:$C$1004,往来单位!$B$81,考勤工资!$H$5:$H$1004,$C$3,考勤工资!$Y$5:$Y$1004,"&gt;="&amp;_辅助!$J$4,考勤工资!$Y$5:$Y$1004,"&lt;="&amp;_辅助!$J$2)+SUMIFS(考勤工资!$AF$5:$AF$1004,考勤工资!$C$5:$C$1004,往来单位!$B$81,考勤工资!$J$5:$J$1004,$C$3,考勤工资!$Y$5:$Y$1004,"&gt;="&amp;_辅助!$J$4,考勤工资!$Y$5:$Y$1004,"&lt;="&amp;_辅助!$J$2))</f>
        <v>0</v>
      </c>
      <c r="BE78" s="2">
        <f>BE50+SUM(CB51:CB78)</f>
        <v>0</v>
      </c>
      <c r="BF78" s="2">
        <f>IF(AND($AF$3&gt;0,发票登记!$T$81=$C$3,ISNUMBER(发票登记!$X$81),发票登记!$AB$81&lt;&gt;0,发票登记!$Y$81&gt;=_辅助!$J$4,发票登记!$Y$81&lt;=_辅助!$J$2),INT(发票登记!$X$81)*10000+77,"")</f>
      </c>
      <c r="BG78" s="2">
        <f>IF(AND($AF$3&gt;0,资金流水!$H$82=$C$3,ISNUMBER(资金流水!$B$82),ISNUMBER(资金流水!$S$82),资金流水!$S$82&gt;=_辅助!$J$4,资金流水!$S$82&lt;=_辅助!$J$2),INT(资金流水!$B$82)*10000+77,"")</f>
      </c>
      <c r="BH78" s="2">
        <f>IF(43&gt;$BE$300,0,IFERROR(MATCH(43,$BE$1:$BE$300,0),0))</f>
        <v>0</v>
      </c>
      <c r="BI78" s="2">
        <f>IF(43&gt;$BF$1,0,MOD(SMALL($BF$2:$BF$1001,43),10000))</f>
        <v>0</v>
      </c>
      <c r="BJ78" s="2">
        <f>IF(43&gt;$BG$1,0,MOD(SMALL($BG$2:$BG$2001,43),10000))</f>
        <v>0</v>
      </c>
      <c r="CA78" s="2">
        <f t="shared" si="0"/>
        <v>0</v>
      </c>
      <c r="CB78" s="2">
        <f t="shared" si="1"/>
        <v>0</v>
      </c>
    </row>
    <row r="79">
      <c r="A79" s="94">
        <f>IF($AZ79=0,"",44)</f>
      </c>
      <c r="B79" s="96">
        <f t="shared" si="18"/>
      </c>
      <c r="C79" s="21">
        <f t="shared" si="4"/>
      </c>
      <c r="D79" s="21">
        <f t="shared" si="15"/>
      </c>
      <c r="E79" s="21">
        <f t="shared" si="2"/>
      </c>
      <c r="F79" s="21">
        <f t="shared" si="17"/>
      </c>
      <c r="G79" s="21">
        <f t="shared" si="6"/>
      </c>
      <c r="I79" s="94">
        <f t="shared" si="3"/>
      </c>
      <c r="J79" s="21">
        <f t="shared" si="5"/>
      </c>
      <c r="K79" s="94" t="n"/>
      <c r="L79" s="135">
        <f t="shared" si="11"/>
      </c>
      <c r="M79" s="136">
        <f t="shared" si="12"/>
      </c>
      <c r="N79" s="94">
        <f t="shared" si="13"/>
      </c>
      <c r="O79" s="21">
        <f t="shared" si="7"/>
      </c>
      <c r="Q79" s="95">
        <f t="shared" si="22"/>
      </c>
      <c r="R79" s="94">
        <f t="shared" si="23"/>
      </c>
      <c r="S79" s="96">
        <f t="shared" si="8"/>
      </c>
      <c r="T79" s="21">
        <f t="shared" si="10"/>
      </c>
      <c r="U79" s="21">
        <f t="shared" si="24"/>
      </c>
      <c r="W79" s="95">
        <f t="shared" si="19"/>
      </c>
      <c r="X79" s="94">
        <f t="shared" si="25"/>
      </c>
      <c r="Y79" s="96">
        <f t="shared" si="26"/>
      </c>
      <c r="Z79" s="21">
        <f t="shared" si="20"/>
      </c>
      <c r="AA79" s="21">
        <f t="shared" si="21"/>
      </c>
      <c r="AB79" s="94">
        <f t="shared" si="27"/>
      </c>
      <c r="AC79" s="96">
        <f t="shared" si="28"/>
      </c>
      <c r="AD79" s="94">
        <f t="shared" si="29"/>
      </c>
      <c r="AZ79" s="2">
        <f>IF(44&gt;$BB$300,0,IFERROR(MATCH(44,$BB$1:$BB$300,0),0))</f>
        <v>0</v>
      </c>
      <c r="BA79" s="2">
        <f>IF(OR(往来单位!$B$82="",$AF$3=0),0,SUMIFS(期初余额!$R$5:$R$204,期初余额!$P$5:$P$204,往来单位!$B$82,期初余额!$Q$5:$Q$204,$C$3)+SUMIFS(应付登记!$G$5:$G$1004,应付登记!$D$5:$D$1004,往来单位!$B$82,应付登记!$E$5:$E$1004,$C$3,应付登记!$J$5:$J$1004,"&gt;="&amp;_辅助!$J$4,应付登记!$J$5:$J$1004,"&lt;="&amp;_辅助!$J$2))</f>
        <v>0</v>
      </c>
      <c r="BB79" s="2">
        <f>BB50+SUM(CA51:CA79)</f>
        <v>2</v>
      </c>
      <c r="BC79" s="2">
        <f>IF(OR(往来单位!$B$82="",$AF$3=0,NOT(OR(往来单位!$C$82="管理人员",往来单位!$C$82="工人"))),0,SUMIFS(考勤工资!$E$5:$E$1004,考勤工资!$C$5:$C$1004,往来单位!$B$82,考勤工资!$D$5:$D$1004,$C$3,考勤工资!$Y$5:$Y$1004,"&gt;="&amp;_辅助!$J$4,考勤工资!$Y$5:$Y$1004,"&lt;="&amp;_辅助!$J$2)+SUMIFS(考勤工资!$G$5:$G$1004,考勤工资!$C$5:$C$1004,往来单位!$B$82,考勤工资!$F$5:$F$1004,$C$3,考勤工资!$Y$5:$Y$1004,"&gt;="&amp;_辅助!$J$4,考勤工资!$Y$5:$Y$1004,"&lt;="&amp;_辅助!$J$2)+SUMIFS(考勤工资!$I$5:$I$1004,考勤工资!$C$5:$C$1004,往来单位!$B$82,考勤工资!$H$5:$H$1004,$C$3,考勤工资!$Y$5:$Y$1004,"&gt;="&amp;_辅助!$J$4,考勤工资!$Y$5:$Y$1004,"&lt;="&amp;_辅助!$J$2)+SUMIFS(考勤工资!$K$5:$K$1004,考勤工资!$C$5:$C$1004,往来单位!$B$82,考勤工资!$J$5:$J$1004,$C$3,考勤工资!$Y$5:$Y$1004,"&gt;="&amp;_辅助!$J$4,考勤工资!$Y$5:$Y$1004,"&lt;="&amp;_辅助!$J$2))</f>
        <v>0</v>
      </c>
      <c r="BD79" s="2">
        <f>IF(BC79=0,0,SUMIFS(考勤工资!$AC$5:$AC$1004,考勤工资!$C$5:$C$1004,往来单位!$B$82,考勤工资!$D$5:$D$1004,$C$3,考勤工资!$Y$5:$Y$1004,"&gt;="&amp;_辅助!$J$4,考勤工资!$Y$5:$Y$1004,"&lt;="&amp;_辅助!$J$2)+SUMIFS(考勤工资!$AD$5:$AD$1004,考勤工资!$C$5:$C$1004,往来单位!$B$82,考勤工资!$F$5:$F$1004,$C$3,考勤工资!$Y$5:$Y$1004,"&gt;="&amp;_辅助!$J$4,考勤工资!$Y$5:$Y$1004,"&lt;="&amp;_辅助!$J$2)+SUMIFS(考勤工资!$AE$5:$AE$1004,考勤工资!$C$5:$C$1004,往来单位!$B$82,考勤工资!$H$5:$H$1004,$C$3,考勤工资!$Y$5:$Y$1004,"&gt;="&amp;_辅助!$J$4,考勤工资!$Y$5:$Y$1004,"&lt;="&amp;_辅助!$J$2)+SUMIFS(考勤工资!$AF$5:$AF$1004,考勤工资!$C$5:$C$1004,往来单位!$B$82,考勤工资!$J$5:$J$1004,$C$3,考勤工资!$Y$5:$Y$1004,"&gt;="&amp;_辅助!$J$4,考勤工资!$Y$5:$Y$1004,"&lt;="&amp;_辅助!$J$2))</f>
        <v>0</v>
      </c>
      <c r="BE79" s="2">
        <f>BE50+SUM(CB51:CB79)</f>
        <v>0</v>
      </c>
      <c r="BF79" s="2">
        <f>IF(AND($AF$3&gt;0,发票登记!$T$82=$C$3,ISNUMBER(发票登记!$X$82),发票登记!$AB$82&lt;&gt;0,发票登记!$Y$82&gt;=_辅助!$J$4,发票登记!$Y$82&lt;=_辅助!$J$2),INT(发票登记!$X$82)*10000+78,"")</f>
      </c>
      <c r="BG79" s="2">
        <f>IF(AND($AF$3&gt;0,资金流水!$H$83=$C$3,ISNUMBER(资金流水!$B$83),ISNUMBER(资金流水!$S$83),资金流水!$S$83&gt;=_辅助!$J$4,资金流水!$S$83&lt;=_辅助!$J$2),INT(资金流水!$B$83)*10000+78,"")</f>
      </c>
      <c r="BH79" s="2">
        <f>IF(44&gt;$BE$300,0,IFERROR(MATCH(44,$BE$1:$BE$300,0),0))</f>
        <v>0</v>
      </c>
      <c r="BI79" s="2">
        <f>IF(44&gt;$BF$1,0,MOD(SMALL($BF$2:$BF$1001,44),10000))</f>
        <v>0</v>
      </c>
      <c r="BJ79" s="2">
        <f>IF(44&gt;$BG$1,0,MOD(SMALL($BG$2:$BG$2001,44),10000))</f>
        <v>0</v>
      </c>
      <c r="CA79" s="2">
        <f t="shared" si="0"/>
        <v>0</v>
      </c>
      <c r="CB79" s="2">
        <f t="shared" si="1"/>
        <v>0</v>
      </c>
    </row>
    <row r="80">
      <c r="A80" s="94">
        <f>IF($AZ80=0,"",45)</f>
      </c>
      <c r="B80" s="96">
        <f t="shared" si="18"/>
      </c>
      <c r="C80" s="21">
        <f t="shared" si="4"/>
      </c>
      <c r="D80" s="21">
        <f t="shared" si="15"/>
      </c>
      <c r="E80" s="21">
        <f t="shared" si="2"/>
      </c>
      <c r="F80" s="21">
        <f t="shared" si="17"/>
      </c>
      <c r="G80" s="21">
        <f t="shared" si="6"/>
      </c>
      <c r="I80" s="94">
        <f t="shared" si="3"/>
      </c>
      <c r="J80" s="21">
        <f t="shared" si="5"/>
      </c>
      <c r="K80" s="94" t="n"/>
      <c r="L80" s="135">
        <f t="shared" si="11"/>
      </c>
      <c r="M80" s="136">
        <f t="shared" si="12"/>
      </c>
      <c r="N80" s="94">
        <f t="shared" si="13"/>
      </c>
      <c r="O80" s="21">
        <f t="shared" si="7"/>
      </c>
      <c r="Q80" s="95">
        <f t="shared" si="22"/>
      </c>
      <c r="R80" s="94">
        <f t="shared" si="23"/>
      </c>
      <c r="S80" s="96">
        <f t="shared" si="8"/>
      </c>
      <c r="T80" s="21">
        <f t="shared" si="10"/>
      </c>
      <c r="U80" s="21">
        <f t="shared" si="24"/>
      </c>
      <c r="W80" s="95">
        <f t="shared" si="19"/>
      </c>
      <c r="X80" s="94">
        <f t="shared" si="25"/>
      </c>
      <c r="Y80" s="96">
        <f t="shared" si="26"/>
      </c>
      <c r="Z80" s="21">
        <f t="shared" si="20"/>
      </c>
      <c r="AA80" s="21">
        <f t="shared" si="21"/>
      </c>
      <c r="AB80" s="94">
        <f t="shared" si="27"/>
      </c>
      <c r="AC80" s="96">
        <f t="shared" si="28"/>
      </c>
      <c r="AD80" s="94">
        <f t="shared" si="29"/>
      </c>
      <c r="AZ80" s="2">
        <f>IF(45&gt;$BB$300,0,IFERROR(MATCH(45,$BB$1:$BB$300,0),0))</f>
        <v>0</v>
      </c>
      <c r="BA80" s="2">
        <f>IF(OR(往来单位!$B$83="",$AF$3=0),0,SUMIFS(期初余额!$R$5:$R$204,期初余额!$P$5:$P$204,往来单位!$B$83,期初余额!$Q$5:$Q$204,$C$3)+SUMIFS(应付登记!$G$5:$G$1004,应付登记!$D$5:$D$1004,往来单位!$B$83,应付登记!$E$5:$E$1004,$C$3,应付登记!$J$5:$J$1004,"&gt;="&amp;_辅助!$J$4,应付登记!$J$5:$J$1004,"&lt;="&amp;_辅助!$J$2))</f>
        <v>0</v>
      </c>
      <c r="BB80" s="2">
        <f>BB50+SUM(CA51:CA80)</f>
        <v>2</v>
      </c>
      <c r="BC80" s="2">
        <f>IF(OR(往来单位!$B$83="",$AF$3=0,NOT(OR(往来单位!$C$83="管理人员",往来单位!$C$83="工人"))),0,SUMIFS(考勤工资!$E$5:$E$1004,考勤工资!$C$5:$C$1004,往来单位!$B$83,考勤工资!$D$5:$D$1004,$C$3,考勤工资!$Y$5:$Y$1004,"&gt;="&amp;_辅助!$J$4,考勤工资!$Y$5:$Y$1004,"&lt;="&amp;_辅助!$J$2)+SUMIFS(考勤工资!$G$5:$G$1004,考勤工资!$C$5:$C$1004,往来单位!$B$83,考勤工资!$F$5:$F$1004,$C$3,考勤工资!$Y$5:$Y$1004,"&gt;="&amp;_辅助!$J$4,考勤工资!$Y$5:$Y$1004,"&lt;="&amp;_辅助!$J$2)+SUMIFS(考勤工资!$I$5:$I$1004,考勤工资!$C$5:$C$1004,往来单位!$B$83,考勤工资!$H$5:$H$1004,$C$3,考勤工资!$Y$5:$Y$1004,"&gt;="&amp;_辅助!$J$4,考勤工资!$Y$5:$Y$1004,"&lt;="&amp;_辅助!$J$2)+SUMIFS(考勤工资!$K$5:$K$1004,考勤工资!$C$5:$C$1004,往来单位!$B$83,考勤工资!$J$5:$J$1004,$C$3,考勤工资!$Y$5:$Y$1004,"&gt;="&amp;_辅助!$J$4,考勤工资!$Y$5:$Y$1004,"&lt;="&amp;_辅助!$J$2))</f>
        <v>0</v>
      </c>
      <c r="BD80" s="2">
        <f>IF(BC80=0,0,SUMIFS(考勤工资!$AC$5:$AC$1004,考勤工资!$C$5:$C$1004,往来单位!$B$83,考勤工资!$D$5:$D$1004,$C$3,考勤工资!$Y$5:$Y$1004,"&gt;="&amp;_辅助!$J$4,考勤工资!$Y$5:$Y$1004,"&lt;="&amp;_辅助!$J$2)+SUMIFS(考勤工资!$AD$5:$AD$1004,考勤工资!$C$5:$C$1004,往来单位!$B$83,考勤工资!$F$5:$F$1004,$C$3,考勤工资!$Y$5:$Y$1004,"&gt;="&amp;_辅助!$J$4,考勤工资!$Y$5:$Y$1004,"&lt;="&amp;_辅助!$J$2)+SUMIFS(考勤工资!$AE$5:$AE$1004,考勤工资!$C$5:$C$1004,往来单位!$B$83,考勤工资!$H$5:$H$1004,$C$3,考勤工资!$Y$5:$Y$1004,"&gt;="&amp;_辅助!$J$4,考勤工资!$Y$5:$Y$1004,"&lt;="&amp;_辅助!$J$2)+SUMIFS(考勤工资!$AF$5:$AF$1004,考勤工资!$C$5:$C$1004,往来单位!$B$83,考勤工资!$J$5:$J$1004,$C$3,考勤工资!$Y$5:$Y$1004,"&gt;="&amp;_辅助!$J$4,考勤工资!$Y$5:$Y$1004,"&lt;="&amp;_辅助!$J$2))</f>
        <v>0</v>
      </c>
      <c r="BE80" s="2">
        <f>BE50+SUM(CB51:CB80)</f>
        <v>0</v>
      </c>
      <c r="BF80" s="2">
        <f>IF(AND($AF$3&gt;0,发票登记!$T$83=$C$3,ISNUMBER(发票登记!$X$83),发票登记!$AB$83&lt;&gt;0,发票登记!$Y$83&gt;=_辅助!$J$4,发票登记!$Y$83&lt;=_辅助!$J$2),INT(发票登记!$X$83)*10000+79,"")</f>
      </c>
      <c r="BG80" s="2">
        <f>IF(AND($AF$3&gt;0,资金流水!$H$84=$C$3,ISNUMBER(资金流水!$B$84),ISNUMBER(资金流水!$S$84),资金流水!$S$84&gt;=_辅助!$J$4,资金流水!$S$84&lt;=_辅助!$J$2),INT(资金流水!$B$84)*10000+79,"")</f>
      </c>
      <c r="BH80" s="2">
        <f>IF(45&gt;$BE$300,0,IFERROR(MATCH(45,$BE$1:$BE$300,0),0))</f>
        <v>0</v>
      </c>
      <c r="BI80" s="2">
        <f>IF(45&gt;$BF$1,0,MOD(SMALL($BF$2:$BF$1001,45),10000))</f>
        <v>0</v>
      </c>
      <c r="BJ80" s="2">
        <f>IF(45&gt;$BG$1,0,MOD(SMALL($BG$2:$BG$2001,45),10000))</f>
        <v>0</v>
      </c>
      <c r="CA80" s="2">
        <f t="shared" si="0"/>
        <v>0</v>
      </c>
      <c r="CB80" s="2">
        <f t="shared" si="1"/>
        <v>0</v>
      </c>
    </row>
    <row r="81">
      <c r="A81" s="94">
        <f>IF($AZ81=0,"",46)</f>
      </c>
      <c r="B81" s="96">
        <f t="shared" si="18"/>
      </c>
      <c r="C81" s="21">
        <f t="shared" si="4"/>
      </c>
      <c r="D81" s="21">
        <f t="shared" si="15"/>
      </c>
      <c r="E81" s="21">
        <f t="shared" si="2"/>
      </c>
      <c r="F81" s="21">
        <f t="shared" si="17"/>
      </c>
      <c r="G81" s="21">
        <f t="shared" si="6"/>
      </c>
      <c r="I81" s="94">
        <f t="shared" si="3"/>
      </c>
      <c r="J81" s="21">
        <f t="shared" si="5"/>
      </c>
      <c r="K81" s="94" t="n"/>
      <c r="L81" s="135">
        <f t="shared" si="11"/>
      </c>
      <c r="M81" s="136">
        <f t="shared" si="12"/>
      </c>
      <c r="N81" s="94">
        <f t="shared" si="13"/>
      </c>
      <c r="O81" s="21">
        <f t="shared" si="7"/>
      </c>
      <c r="Q81" s="95">
        <f t="shared" si="22"/>
      </c>
      <c r="R81" s="94">
        <f t="shared" si="23"/>
      </c>
      <c r="S81" s="96">
        <f t="shared" si="8"/>
      </c>
      <c r="T81" s="21">
        <f t="shared" si="10"/>
      </c>
      <c r="U81" s="21">
        <f t="shared" si="24"/>
      </c>
      <c r="W81" s="95">
        <f t="shared" si="19"/>
      </c>
      <c r="X81" s="94">
        <f t="shared" si="25"/>
      </c>
      <c r="Y81" s="96">
        <f t="shared" si="26"/>
      </c>
      <c r="Z81" s="21">
        <f t="shared" si="20"/>
      </c>
      <c r="AA81" s="21">
        <f t="shared" si="21"/>
      </c>
      <c r="AB81" s="94">
        <f t="shared" si="27"/>
      </c>
      <c r="AC81" s="96">
        <f t="shared" si="28"/>
      </c>
      <c r="AD81" s="94">
        <f t="shared" si="29"/>
      </c>
      <c r="AZ81" s="2">
        <f>IF(46&gt;$BB$300,0,IFERROR(MATCH(46,$BB$1:$BB$300,0),0))</f>
        <v>0</v>
      </c>
      <c r="BA81" s="2">
        <f>IF(OR(往来单位!$B$84="",$AF$3=0),0,SUMIFS(期初余额!$R$5:$R$204,期初余额!$P$5:$P$204,往来单位!$B$84,期初余额!$Q$5:$Q$204,$C$3)+SUMIFS(应付登记!$G$5:$G$1004,应付登记!$D$5:$D$1004,往来单位!$B$84,应付登记!$E$5:$E$1004,$C$3,应付登记!$J$5:$J$1004,"&gt;="&amp;_辅助!$J$4,应付登记!$J$5:$J$1004,"&lt;="&amp;_辅助!$J$2))</f>
        <v>0</v>
      </c>
      <c r="BB81" s="2">
        <f>BB50+SUM(CA51:CA81)</f>
        <v>2</v>
      </c>
      <c r="BC81" s="2">
        <f>IF(OR(往来单位!$B$84="",$AF$3=0,NOT(OR(往来单位!$C$84="管理人员",往来单位!$C$84="工人"))),0,SUMIFS(考勤工资!$E$5:$E$1004,考勤工资!$C$5:$C$1004,往来单位!$B$84,考勤工资!$D$5:$D$1004,$C$3,考勤工资!$Y$5:$Y$1004,"&gt;="&amp;_辅助!$J$4,考勤工资!$Y$5:$Y$1004,"&lt;="&amp;_辅助!$J$2)+SUMIFS(考勤工资!$G$5:$G$1004,考勤工资!$C$5:$C$1004,往来单位!$B$84,考勤工资!$F$5:$F$1004,$C$3,考勤工资!$Y$5:$Y$1004,"&gt;="&amp;_辅助!$J$4,考勤工资!$Y$5:$Y$1004,"&lt;="&amp;_辅助!$J$2)+SUMIFS(考勤工资!$I$5:$I$1004,考勤工资!$C$5:$C$1004,往来单位!$B$84,考勤工资!$H$5:$H$1004,$C$3,考勤工资!$Y$5:$Y$1004,"&gt;="&amp;_辅助!$J$4,考勤工资!$Y$5:$Y$1004,"&lt;="&amp;_辅助!$J$2)+SUMIFS(考勤工资!$K$5:$K$1004,考勤工资!$C$5:$C$1004,往来单位!$B$84,考勤工资!$J$5:$J$1004,$C$3,考勤工资!$Y$5:$Y$1004,"&gt;="&amp;_辅助!$J$4,考勤工资!$Y$5:$Y$1004,"&lt;="&amp;_辅助!$J$2))</f>
        <v>0</v>
      </c>
      <c r="BD81" s="2">
        <f>IF(BC81=0,0,SUMIFS(考勤工资!$AC$5:$AC$1004,考勤工资!$C$5:$C$1004,往来单位!$B$84,考勤工资!$D$5:$D$1004,$C$3,考勤工资!$Y$5:$Y$1004,"&gt;="&amp;_辅助!$J$4,考勤工资!$Y$5:$Y$1004,"&lt;="&amp;_辅助!$J$2)+SUMIFS(考勤工资!$AD$5:$AD$1004,考勤工资!$C$5:$C$1004,往来单位!$B$84,考勤工资!$F$5:$F$1004,$C$3,考勤工资!$Y$5:$Y$1004,"&gt;="&amp;_辅助!$J$4,考勤工资!$Y$5:$Y$1004,"&lt;="&amp;_辅助!$J$2)+SUMIFS(考勤工资!$AE$5:$AE$1004,考勤工资!$C$5:$C$1004,往来单位!$B$84,考勤工资!$H$5:$H$1004,$C$3,考勤工资!$Y$5:$Y$1004,"&gt;="&amp;_辅助!$J$4,考勤工资!$Y$5:$Y$1004,"&lt;="&amp;_辅助!$J$2)+SUMIFS(考勤工资!$AF$5:$AF$1004,考勤工资!$C$5:$C$1004,往来单位!$B$84,考勤工资!$J$5:$J$1004,$C$3,考勤工资!$Y$5:$Y$1004,"&gt;="&amp;_辅助!$J$4,考勤工资!$Y$5:$Y$1004,"&lt;="&amp;_辅助!$J$2))</f>
        <v>0</v>
      </c>
      <c r="BE81" s="2">
        <f>BE50+SUM(CB51:CB81)</f>
        <v>0</v>
      </c>
      <c r="BF81" s="2">
        <f>IF(AND($AF$3&gt;0,发票登记!$T$84=$C$3,ISNUMBER(发票登记!$X$84),发票登记!$AB$84&lt;&gt;0,发票登记!$Y$84&gt;=_辅助!$J$4,发票登记!$Y$84&lt;=_辅助!$J$2),INT(发票登记!$X$84)*10000+80,"")</f>
      </c>
      <c r="BG81" s="2">
        <f>IF(AND($AF$3&gt;0,资金流水!$H$85=$C$3,ISNUMBER(资金流水!$B$85),ISNUMBER(资金流水!$S$85),资金流水!$S$85&gt;=_辅助!$J$4,资金流水!$S$85&lt;=_辅助!$J$2),INT(资金流水!$B$85)*10000+80,"")</f>
      </c>
      <c r="BH81" s="2">
        <f>IF(46&gt;$BE$300,0,IFERROR(MATCH(46,$BE$1:$BE$300,0),0))</f>
        <v>0</v>
      </c>
      <c r="BI81" s="2">
        <f>IF(46&gt;$BF$1,0,MOD(SMALL($BF$2:$BF$1001,46),10000))</f>
        <v>0</v>
      </c>
      <c r="BJ81" s="2">
        <f>IF(46&gt;$BG$1,0,MOD(SMALL($BG$2:$BG$2001,46),10000))</f>
        <v>0</v>
      </c>
      <c r="CA81" s="2">
        <f t="shared" si="0"/>
        <v>0</v>
      </c>
      <c r="CB81" s="2">
        <f t="shared" si="1"/>
        <v>0</v>
      </c>
    </row>
    <row r="82">
      <c r="A82" s="94">
        <f>IF($AZ82=0,"",47)</f>
      </c>
      <c r="B82" s="96">
        <f t="shared" si="18"/>
      </c>
      <c r="C82" s="21">
        <f t="shared" si="4"/>
      </c>
      <c r="D82" s="21">
        <f t="shared" si="15"/>
      </c>
      <c r="E82" s="21">
        <f t="shared" si="2"/>
      </c>
      <c r="F82" s="21">
        <f t="shared" si="17"/>
      </c>
      <c r="G82" s="21">
        <f t="shared" si="6"/>
      </c>
      <c r="I82" s="94">
        <f t="shared" si="3"/>
      </c>
      <c r="J82" s="21">
        <f t="shared" si="5"/>
      </c>
      <c r="K82" s="94" t="n"/>
      <c r="L82" s="135">
        <f t="shared" si="11"/>
      </c>
      <c r="M82" s="136">
        <f t="shared" si="12"/>
      </c>
      <c r="N82" s="94">
        <f t="shared" si="13"/>
      </c>
      <c r="O82" s="21">
        <f t="shared" si="7"/>
      </c>
      <c r="Q82" s="95">
        <f t="shared" si="22"/>
      </c>
      <c r="R82" s="94">
        <f t="shared" si="23"/>
      </c>
      <c r="S82" s="96">
        <f t="shared" si="8"/>
      </c>
      <c r="T82" s="21">
        <f t="shared" si="10"/>
      </c>
      <c r="U82" s="21">
        <f t="shared" si="24"/>
      </c>
      <c r="W82" s="95">
        <f t="shared" si="19"/>
      </c>
      <c r="X82" s="94">
        <f t="shared" si="25"/>
      </c>
      <c r="Y82" s="96">
        <f t="shared" si="26"/>
      </c>
      <c r="Z82" s="21">
        <f t="shared" si="20"/>
      </c>
      <c r="AA82" s="21">
        <f t="shared" si="21"/>
      </c>
      <c r="AB82" s="94">
        <f t="shared" si="27"/>
      </c>
      <c r="AC82" s="96">
        <f t="shared" si="28"/>
      </c>
      <c r="AD82" s="94">
        <f t="shared" si="29"/>
      </c>
      <c r="AZ82" s="2">
        <f>IF(47&gt;$BB$300,0,IFERROR(MATCH(47,$BB$1:$BB$300,0),0))</f>
        <v>0</v>
      </c>
      <c r="BA82" s="2">
        <f>IF(OR(往来单位!$B$85="",$AF$3=0),0,SUMIFS(期初余额!$R$5:$R$204,期初余额!$P$5:$P$204,往来单位!$B$85,期初余额!$Q$5:$Q$204,$C$3)+SUMIFS(应付登记!$G$5:$G$1004,应付登记!$D$5:$D$1004,往来单位!$B$85,应付登记!$E$5:$E$1004,$C$3,应付登记!$J$5:$J$1004,"&gt;="&amp;_辅助!$J$4,应付登记!$J$5:$J$1004,"&lt;="&amp;_辅助!$J$2))</f>
        <v>0</v>
      </c>
      <c r="BB82" s="2">
        <f>BB50+SUM(CA51:CA82)</f>
        <v>2</v>
      </c>
      <c r="BC82" s="2">
        <f>IF(OR(往来单位!$B$85="",$AF$3=0,NOT(OR(往来单位!$C$85="管理人员",往来单位!$C$85="工人"))),0,SUMIFS(考勤工资!$E$5:$E$1004,考勤工资!$C$5:$C$1004,往来单位!$B$85,考勤工资!$D$5:$D$1004,$C$3,考勤工资!$Y$5:$Y$1004,"&gt;="&amp;_辅助!$J$4,考勤工资!$Y$5:$Y$1004,"&lt;="&amp;_辅助!$J$2)+SUMIFS(考勤工资!$G$5:$G$1004,考勤工资!$C$5:$C$1004,往来单位!$B$85,考勤工资!$F$5:$F$1004,$C$3,考勤工资!$Y$5:$Y$1004,"&gt;="&amp;_辅助!$J$4,考勤工资!$Y$5:$Y$1004,"&lt;="&amp;_辅助!$J$2)+SUMIFS(考勤工资!$I$5:$I$1004,考勤工资!$C$5:$C$1004,往来单位!$B$85,考勤工资!$H$5:$H$1004,$C$3,考勤工资!$Y$5:$Y$1004,"&gt;="&amp;_辅助!$J$4,考勤工资!$Y$5:$Y$1004,"&lt;="&amp;_辅助!$J$2)+SUMIFS(考勤工资!$K$5:$K$1004,考勤工资!$C$5:$C$1004,往来单位!$B$85,考勤工资!$J$5:$J$1004,$C$3,考勤工资!$Y$5:$Y$1004,"&gt;="&amp;_辅助!$J$4,考勤工资!$Y$5:$Y$1004,"&lt;="&amp;_辅助!$J$2))</f>
        <v>0</v>
      </c>
      <c r="BD82" s="2">
        <f>IF(BC82=0,0,SUMIFS(考勤工资!$AC$5:$AC$1004,考勤工资!$C$5:$C$1004,往来单位!$B$85,考勤工资!$D$5:$D$1004,$C$3,考勤工资!$Y$5:$Y$1004,"&gt;="&amp;_辅助!$J$4,考勤工资!$Y$5:$Y$1004,"&lt;="&amp;_辅助!$J$2)+SUMIFS(考勤工资!$AD$5:$AD$1004,考勤工资!$C$5:$C$1004,往来单位!$B$85,考勤工资!$F$5:$F$1004,$C$3,考勤工资!$Y$5:$Y$1004,"&gt;="&amp;_辅助!$J$4,考勤工资!$Y$5:$Y$1004,"&lt;="&amp;_辅助!$J$2)+SUMIFS(考勤工资!$AE$5:$AE$1004,考勤工资!$C$5:$C$1004,往来单位!$B$85,考勤工资!$H$5:$H$1004,$C$3,考勤工资!$Y$5:$Y$1004,"&gt;="&amp;_辅助!$J$4,考勤工资!$Y$5:$Y$1004,"&lt;="&amp;_辅助!$J$2)+SUMIFS(考勤工资!$AF$5:$AF$1004,考勤工资!$C$5:$C$1004,往来单位!$B$85,考勤工资!$J$5:$J$1004,$C$3,考勤工资!$Y$5:$Y$1004,"&gt;="&amp;_辅助!$J$4,考勤工资!$Y$5:$Y$1004,"&lt;="&amp;_辅助!$J$2))</f>
        <v>0</v>
      </c>
      <c r="BE82" s="2">
        <f>BE50+SUM(CB51:CB82)</f>
        <v>0</v>
      </c>
      <c r="BF82" s="2">
        <f>IF(AND($AF$3&gt;0,发票登记!$T$85=$C$3,ISNUMBER(发票登记!$X$85),发票登记!$AB$85&lt;&gt;0,发票登记!$Y$85&gt;=_辅助!$J$4,发票登记!$Y$85&lt;=_辅助!$J$2),INT(发票登记!$X$85)*10000+81,"")</f>
      </c>
      <c r="BG82" s="2">
        <f>IF(AND($AF$3&gt;0,资金流水!$H$86=$C$3,ISNUMBER(资金流水!$B$86),ISNUMBER(资金流水!$S$86),资金流水!$S$86&gt;=_辅助!$J$4,资金流水!$S$86&lt;=_辅助!$J$2),INT(资金流水!$B$86)*10000+81,"")</f>
      </c>
      <c r="BH82" s="2">
        <f>IF(47&gt;$BE$300,0,IFERROR(MATCH(47,$BE$1:$BE$300,0),0))</f>
        <v>0</v>
      </c>
      <c r="BI82" s="2">
        <f>IF(47&gt;$BF$1,0,MOD(SMALL($BF$2:$BF$1001,47),10000))</f>
        <v>0</v>
      </c>
      <c r="BJ82" s="2">
        <f>IF(47&gt;$BG$1,0,MOD(SMALL($BG$2:$BG$2001,47),10000))</f>
        <v>0</v>
      </c>
      <c r="CA82" s="2">
        <f t="shared" si="0"/>
        <v>0</v>
      </c>
      <c r="CB82" s="2">
        <f t="shared" si="1"/>
        <v>0</v>
      </c>
    </row>
    <row r="83">
      <c r="A83" s="94">
        <f>IF($AZ83=0,"",48)</f>
      </c>
      <c r="B83" s="96">
        <f t="shared" si="18"/>
      </c>
      <c r="C83" s="21">
        <f t="shared" si="4"/>
      </c>
      <c r="D83" s="21">
        <f t="shared" si="15"/>
      </c>
      <c r="E83" s="21">
        <f t="shared" si="2"/>
      </c>
      <c r="F83" s="21">
        <f t="shared" si="17"/>
      </c>
      <c r="G83" s="21">
        <f t="shared" si="6"/>
      </c>
      <c r="I83" s="94">
        <f t="shared" si="3"/>
      </c>
      <c r="J83" s="21">
        <f t="shared" si="5"/>
      </c>
      <c r="K83" s="94" t="n"/>
      <c r="L83" s="135">
        <f t="shared" si="11"/>
      </c>
      <c r="M83" s="136">
        <f t="shared" si="12"/>
      </c>
      <c r="N83" s="94">
        <f t="shared" si="13"/>
      </c>
      <c r="O83" s="21">
        <f t="shared" si="7"/>
      </c>
      <c r="Q83" s="95">
        <f t="shared" si="22"/>
      </c>
      <c r="R83" s="94">
        <f t="shared" si="23"/>
      </c>
      <c r="S83" s="96">
        <f t="shared" si="8"/>
      </c>
      <c r="T83" s="21">
        <f t="shared" si="10"/>
      </c>
      <c r="U83" s="21">
        <f t="shared" si="24"/>
      </c>
      <c r="W83" s="95">
        <f t="shared" si="19"/>
      </c>
      <c r="X83" s="94">
        <f t="shared" si="25"/>
      </c>
      <c r="Y83" s="96">
        <f t="shared" si="26"/>
      </c>
      <c r="Z83" s="21">
        <f t="shared" si="20"/>
      </c>
      <c r="AA83" s="21">
        <f t="shared" si="21"/>
      </c>
      <c r="AB83" s="94">
        <f t="shared" si="27"/>
      </c>
      <c r="AC83" s="96">
        <f t="shared" si="28"/>
      </c>
      <c r="AD83" s="94">
        <f t="shared" si="29"/>
      </c>
      <c r="AZ83" s="2">
        <f>IF(48&gt;$BB$300,0,IFERROR(MATCH(48,$BB$1:$BB$300,0),0))</f>
        <v>0</v>
      </c>
      <c r="BA83" s="2">
        <f>IF(OR(往来单位!$B$86="",$AF$3=0),0,SUMIFS(期初余额!$R$5:$R$204,期初余额!$P$5:$P$204,往来单位!$B$86,期初余额!$Q$5:$Q$204,$C$3)+SUMIFS(应付登记!$G$5:$G$1004,应付登记!$D$5:$D$1004,往来单位!$B$86,应付登记!$E$5:$E$1004,$C$3,应付登记!$J$5:$J$1004,"&gt;="&amp;_辅助!$J$4,应付登记!$J$5:$J$1004,"&lt;="&amp;_辅助!$J$2))</f>
        <v>0</v>
      </c>
      <c r="BB83" s="2">
        <f>BB50+SUM(CA51:CA83)</f>
        <v>2</v>
      </c>
      <c r="BC83" s="2">
        <f>IF(OR(往来单位!$B$86="",$AF$3=0,NOT(OR(往来单位!$C$86="管理人员",往来单位!$C$86="工人"))),0,SUMIFS(考勤工资!$E$5:$E$1004,考勤工资!$C$5:$C$1004,往来单位!$B$86,考勤工资!$D$5:$D$1004,$C$3,考勤工资!$Y$5:$Y$1004,"&gt;="&amp;_辅助!$J$4,考勤工资!$Y$5:$Y$1004,"&lt;="&amp;_辅助!$J$2)+SUMIFS(考勤工资!$G$5:$G$1004,考勤工资!$C$5:$C$1004,往来单位!$B$86,考勤工资!$F$5:$F$1004,$C$3,考勤工资!$Y$5:$Y$1004,"&gt;="&amp;_辅助!$J$4,考勤工资!$Y$5:$Y$1004,"&lt;="&amp;_辅助!$J$2)+SUMIFS(考勤工资!$I$5:$I$1004,考勤工资!$C$5:$C$1004,往来单位!$B$86,考勤工资!$H$5:$H$1004,$C$3,考勤工资!$Y$5:$Y$1004,"&gt;="&amp;_辅助!$J$4,考勤工资!$Y$5:$Y$1004,"&lt;="&amp;_辅助!$J$2)+SUMIFS(考勤工资!$K$5:$K$1004,考勤工资!$C$5:$C$1004,往来单位!$B$86,考勤工资!$J$5:$J$1004,$C$3,考勤工资!$Y$5:$Y$1004,"&gt;="&amp;_辅助!$J$4,考勤工资!$Y$5:$Y$1004,"&lt;="&amp;_辅助!$J$2))</f>
        <v>0</v>
      </c>
      <c r="BD83" s="2">
        <f>IF(BC83=0,0,SUMIFS(考勤工资!$AC$5:$AC$1004,考勤工资!$C$5:$C$1004,往来单位!$B$86,考勤工资!$D$5:$D$1004,$C$3,考勤工资!$Y$5:$Y$1004,"&gt;="&amp;_辅助!$J$4,考勤工资!$Y$5:$Y$1004,"&lt;="&amp;_辅助!$J$2)+SUMIFS(考勤工资!$AD$5:$AD$1004,考勤工资!$C$5:$C$1004,往来单位!$B$86,考勤工资!$F$5:$F$1004,$C$3,考勤工资!$Y$5:$Y$1004,"&gt;="&amp;_辅助!$J$4,考勤工资!$Y$5:$Y$1004,"&lt;="&amp;_辅助!$J$2)+SUMIFS(考勤工资!$AE$5:$AE$1004,考勤工资!$C$5:$C$1004,往来单位!$B$86,考勤工资!$H$5:$H$1004,$C$3,考勤工资!$Y$5:$Y$1004,"&gt;="&amp;_辅助!$J$4,考勤工资!$Y$5:$Y$1004,"&lt;="&amp;_辅助!$J$2)+SUMIFS(考勤工资!$AF$5:$AF$1004,考勤工资!$C$5:$C$1004,往来单位!$B$86,考勤工资!$J$5:$J$1004,$C$3,考勤工资!$Y$5:$Y$1004,"&gt;="&amp;_辅助!$J$4,考勤工资!$Y$5:$Y$1004,"&lt;="&amp;_辅助!$J$2))</f>
        <v>0</v>
      </c>
      <c r="BE83" s="2">
        <f>BE50+SUM(CB51:CB83)</f>
        <v>0</v>
      </c>
      <c r="BF83" s="2">
        <f>IF(AND($AF$3&gt;0,发票登记!$T$86=$C$3,ISNUMBER(发票登记!$X$86),发票登记!$AB$86&lt;&gt;0,发票登记!$Y$86&gt;=_辅助!$J$4,发票登记!$Y$86&lt;=_辅助!$J$2),INT(发票登记!$X$86)*10000+82,"")</f>
      </c>
      <c r="BG83" s="2">
        <f>IF(AND($AF$3&gt;0,资金流水!$H$87=$C$3,ISNUMBER(资金流水!$B$87),ISNUMBER(资金流水!$S$87),资金流水!$S$87&gt;=_辅助!$J$4,资金流水!$S$87&lt;=_辅助!$J$2),INT(资金流水!$B$87)*10000+82,"")</f>
      </c>
      <c r="BH83" s="2">
        <f>IF(48&gt;$BE$300,0,IFERROR(MATCH(48,$BE$1:$BE$300,0),0))</f>
        <v>0</v>
      </c>
      <c r="BI83" s="2">
        <f>IF(48&gt;$BF$1,0,MOD(SMALL($BF$2:$BF$1001,48),10000))</f>
        <v>0</v>
      </c>
      <c r="BJ83" s="2">
        <f>IF(48&gt;$BG$1,0,MOD(SMALL($BG$2:$BG$2001,48),10000))</f>
        <v>0</v>
      </c>
      <c r="CA83" s="2">
        <f t="shared" si="0"/>
        <v>0</v>
      </c>
      <c r="CB83" s="2">
        <f t="shared" si="1"/>
        <v>0</v>
      </c>
    </row>
    <row r="84">
      <c r="A84" s="94">
        <f>IF($AZ84=0,"",49)</f>
      </c>
      <c r="B84" s="96">
        <f t="shared" si="18"/>
      </c>
      <c r="C84" s="21">
        <f t="shared" si="4"/>
      </c>
      <c r="D84" s="21">
        <f t="shared" si="15"/>
      </c>
      <c r="E84" s="21">
        <f t="shared" si="2"/>
      </c>
      <c r="F84" s="21">
        <f t="shared" si="17"/>
      </c>
      <c r="G84" s="21">
        <f t="shared" si="6"/>
      </c>
      <c r="I84" s="94">
        <f t="shared" si="3"/>
      </c>
      <c r="J84" s="21">
        <f t="shared" si="5"/>
      </c>
      <c r="K84" s="94" t="n"/>
      <c r="L84" s="135">
        <f t="shared" si="11"/>
      </c>
      <c r="M84" s="136">
        <f t="shared" si="12"/>
      </c>
      <c r="N84" s="94">
        <f t="shared" si="13"/>
      </c>
      <c r="O84" s="21">
        <f t="shared" si="7"/>
      </c>
      <c r="Q84" s="95">
        <f t="shared" si="22"/>
      </c>
      <c r="R84" s="94">
        <f t="shared" si="23"/>
      </c>
      <c r="S84" s="96">
        <f t="shared" si="8"/>
      </c>
      <c r="T84" s="21">
        <f t="shared" si="10"/>
      </c>
      <c r="U84" s="21">
        <f t="shared" si="24"/>
      </c>
      <c r="W84" s="95">
        <f t="shared" si="19"/>
      </c>
      <c r="X84" s="94">
        <f t="shared" si="25"/>
      </c>
      <c r="Y84" s="96">
        <f t="shared" si="26"/>
      </c>
      <c r="Z84" s="21">
        <f t="shared" si="20"/>
      </c>
      <c r="AA84" s="21">
        <f t="shared" si="21"/>
      </c>
      <c r="AB84" s="94">
        <f t="shared" si="27"/>
      </c>
      <c r="AC84" s="96">
        <f t="shared" si="28"/>
      </c>
      <c r="AD84" s="94">
        <f t="shared" si="29"/>
      </c>
      <c r="AZ84" s="2">
        <f>IF(49&gt;$BB$300,0,IFERROR(MATCH(49,$BB$1:$BB$300,0),0))</f>
        <v>0</v>
      </c>
      <c r="BA84" s="2">
        <f>IF(OR(往来单位!$B$87="",$AF$3=0),0,SUMIFS(期初余额!$R$5:$R$204,期初余额!$P$5:$P$204,往来单位!$B$87,期初余额!$Q$5:$Q$204,$C$3)+SUMIFS(应付登记!$G$5:$G$1004,应付登记!$D$5:$D$1004,往来单位!$B$87,应付登记!$E$5:$E$1004,$C$3,应付登记!$J$5:$J$1004,"&gt;="&amp;_辅助!$J$4,应付登记!$J$5:$J$1004,"&lt;="&amp;_辅助!$J$2))</f>
        <v>0</v>
      </c>
      <c r="BB84" s="2">
        <f>BB50+SUM(CA51:CA84)</f>
        <v>2</v>
      </c>
      <c r="BC84" s="2">
        <f>IF(OR(往来单位!$B$87="",$AF$3=0,NOT(OR(往来单位!$C$87="管理人员",往来单位!$C$87="工人"))),0,SUMIFS(考勤工资!$E$5:$E$1004,考勤工资!$C$5:$C$1004,往来单位!$B$87,考勤工资!$D$5:$D$1004,$C$3,考勤工资!$Y$5:$Y$1004,"&gt;="&amp;_辅助!$J$4,考勤工资!$Y$5:$Y$1004,"&lt;="&amp;_辅助!$J$2)+SUMIFS(考勤工资!$G$5:$G$1004,考勤工资!$C$5:$C$1004,往来单位!$B$87,考勤工资!$F$5:$F$1004,$C$3,考勤工资!$Y$5:$Y$1004,"&gt;="&amp;_辅助!$J$4,考勤工资!$Y$5:$Y$1004,"&lt;="&amp;_辅助!$J$2)+SUMIFS(考勤工资!$I$5:$I$1004,考勤工资!$C$5:$C$1004,往来单位!$B$87,考勤工资!$H$5:$H$1004,$C$3,考勤工资!$Y$5:$Y$1004,"&gt;="&amp;_辅助!$J$4,考勤工资!$Y$5:$Y$1004,"&lt;="&amp;_辅助!$J$2)+SUMIFS(考勤工资!$K$5:$K$1004,考勤工资!$C$5:$C$1004,往来单位!$B$87,考勤工资!$J$5:$J$1004,$C$3,考勤工资!$Y$5:$Y$1004,"&gt;="&amp;_辅助!$J$4,考勤工资!$Y$5:$Y$1004,"&lt;="&amp;_辅助!$J$2))</f>
        <v>0</v>
      </c>
      <c r="BD84" s="2">
        <f>IF(BC84=0,0,SUMIFS(考勤工资!$AC$5:$AC$1004,考勤工资!$C$5:$C$1004,往来单位!$B$87,考勤工资!$D$5:$D$1004,$C$3,考勤工资!$Y$5:$Y$1004,"&gt;="&amp;_辅助!$J$4,考勤工资!$Y$5:$Y$1004,"&lt;="&amp;_辅助!$J$2)+SUMIFS(考勤工资!$AD$5:$AD$1004,考勤工资!$C$5:$C$1004,往来单位!$B$87,考勤工资!$F$5:$F$1004,$C$3,考勤工资!$Y$5:$Y$1004,"&gt;="&amp;_辅助!$J$4,考勤工资!$Y$5:$Y$1004,"&lt;="&amp;_辅助!$J$2)+SUMIFS(考勤工资!$AE$5:$AE$1004,考勤工资!$C$5:$C$1004,往来单位!$B$87,考勤工资!$H$5:$H$1004,$C$3,考勤工资!$Y$5:$Y$1004,"&gt;="&amp;_辅助!$J$4,考勤工资!$Y$5:$Y$1004,"&lt;="&amp;_辅助!$J$2)+SUMIFS(考勤工资!$AF$5:$AF$1004,考勤工资!$C$5:$C$1004,往来单位!$B$87,考勤工资!$J$5:$J$1004,$C$3,考勤工资!$Y$5:$Y$1004,"&gt;="&amp;_辅助!$J$4,考勤工资!$Y$5:$Y$1004,"&lt;="&amp;_辅助!$J$2))</f>
        <v>0</v>
      </c>
      <c r="BE84" s="2">
        <f>BE50+SUM(CB51:CB84)</f>
        <v>0</v>
      </c>
      <c r="BF84" s="2">
        <f>IF(AND($AF$3&gt;0,发票登记!$T$87=$C$3,ISNUMBER(发票登记!$X$87),发票登记!$AB$87&lt;&gt;0,发票登记!$Y$87&gt;=_辅助!$J$4,发票登记!$Y$87&lt;=_辅助!$J$2),INT(发票登记!$X$87)*10000+83,"")</f>
      </c>
      <c r="BG84" s="2">
        <f>IF(AND($AF$3&gt;0,资金流水!$H$88=$C$3,ISNUMBER(资金流水!$B$88),ISNUMBER(资金流水!$S$88),资金流水!$S$88&gt;=_辅助!$J$4,资金流水!$S$88&lt;=_辅助!$J$2),INT(资金流水!$B$88)*10000+83,"")</f>
      </c>
      <c r="BH84" s="2">
        <f>IF(49&gt;$BE$300,0,IFERROR(MATCH(49,$BE$1:$BE$300,0),0))</f>
        <v>0</v>
      </c>
      <c r="BI84" s="2">
        <f>IF(49&gt;$BF$1,0,MOD(SMALL($BF$2:$BF$1001,49),10000))</f>
        <v>0</v>
      </c>
      <c r="BJ84" s="2">
        <f>IF(49&gt;$BG$1,0,MOD(SMALL($BG$2:$BG$2001,49),10000))</f>
        <v>0</v>
      </c>
      <c r="CA84" s="2">
        <f t="shared" si="0"/>
        <v>0</v>
      </c>
      <c r="CB84" s="2">
        <f t="shared" si="1"/>
        <v>0</v>
      </c>
    </row>
    <row r="85">
      <c r="A85" s="94">
        <f>IF($AZ85=0,"",50)</f>
      </c>
      <c r="B85" s="96">
        <f t="shared" si="18"/>
      </c>
      <c r="C85" s="21">
        <f t="shared" si="4"/>
      </c>
      <c r="D85" s="21">
        <f t="shared" si="15"/>
      </c>
      <c r="E85" s="21">
        <f t="shared" si="2"/>
      </c>
      <c r="F85" s="21">
        <f t="shared" si="17"/>
      </c>
      <c r="G85" s="21">
        <f t="shared" si="6"/>
      </c>
      <c r="I85" s="94">
        <f t="shared" si="3"/>
      </c>
      <c r="J85" s="21">
        <f t="shared" si="5"/>
      </c>
      <c r="K85" s="94" t="n"/>
      <c r="L85" s="135">
        <f t="shared" si="11"/>
      </c>
      <c r="M85" s="136">
        <f t="shared" si="12"/>
      </c>
      <c r="N85" s="94">
        <f t="shared" si="13"/>
      </c>
      <c r="O85" s="21">
        <f t="shared" si="7"/>
      </c>
      <c r="Q85" s="95">
        <f t="shared" si="22"/>
      </c>
      <c r="R85" s="94">
        <f t="shared" si="23"/>
      </c>
      <c r="S85" s="96">
        <f t="shared" si="8"/>
      </c>
      <c r="T85" s="21">
        <f t="shared" si="10"/>
      </c>
      <c r="U85" s="21">
        <f t="shared" si="24"/>
      </c>
      <c r="W85" s="95">
        <f t="shared" si="19"/>
      </c>
      <c r="X85" s="94">
        <f t="shared" si="25"/>
      </c>
      <c r="Y85" s="96">
        <f t="shared" si="26"/>
      </c>
      <c r="Z85" s="21">
        <f t="shared" si="20"/>
      </c>
      <c r="AA85" s="21">
        <f t="shared" si="21"/>
      </c>
      <c r="AB85" s="94">
        <f t="shared" si="27"/>
      </c>
      <c r="AC85" s="96">
        <f t="shared" si="28"/>
      </c>
      <c r="AD85" s="94">
        <f t="shared" si="29"/>
      </c>
      <c r="AZ85" s="2">
        <f>IF(50&gt;$BB$300,0,IFERROR(MATCH(50,$BB$1:$BB$300,0),0))</f>
        <v>0</v>
      </c>
      <c r="BA85" s="2">
        <f>IF(OR(往来单位!$B$88="",$AF$3=0),0,SUMIFS(期初余额!$R$5:$R$204,期初余额!$P$5:$P$204,往来单位!$B$88,期初余额!$Q$5:$Q$204,$C$3)+SUMIFS(应付登记!$G$5:$G$1004,应付登记!$D$5:$D$1004,往来单位!$B$88,应付登记!$E$5:$E$1004,$C$3,应付登记!$J$5:$J$1004,"&gt;="&amp;_辅助!$J$4,应付登记!$J$5:$J$1004,"&lt;="&amp;_辅助!$J$2))</f>
        <v>0</v>
      </c>
      <c r="BB85" s="2">
        <f>BB50+SUM(CA51:CA85)</f>
        <v>2</v>
      </c>
      <c r="BC85" s="2">
        <f>IF(OR(往来单位!$B$88="",$AF$3=0,NOT(OR(往来单位!$C$88="管理人员",往来单位!$C$88="工人"))),0,SUMIFS(考勤工资!$E$5:$E$1004,考勤工资!$C$5:$C$1004,往来单位!$B$88,考勤工资!$D$5:$D$1004,$C$3,考勤工资!$Y$5:$Y$1004,"&gt;="&amp;_辅助!$J$4,考勤工资!$Y$5:$Y$1004,"&lt;="&amp;_辅助!$J$2)+SUMIFS(考勤工资!$G$5:$G$1004,考勤工资!$C$5:$C$1004,往来单位!$B$88,考勤工资!$F$5:$F$1004,$C$3,考勤工资!$Y$5:$Y$1004,"&gt;="&amp;_辅助!$J$4,考勤工资!$Y$5:$Y$1004,"&lt;="&amp;_辅助!$J$2)+SUMIFS(考勤工资!$I$5:$I$1004,考勤工资!$C$5:$C$1004,往来单位!$B$88,考勤工资!$H$5:$H$1004,$C$3,考勤工资!$Y$5:$Y$1004,"&gt;="&amp;_辅助!$J$4,考勤工资!$Y$5:$Y$1004,"&lt;="&amp;_辅助!$J$2)+SUMIFS(考勤工资!$K$5:$K$1004,考勤工资!$C$5:$C$1004,往来单位!$B$88,考勤工资!$J$5:$J$1004,$C$3,考勤工资!$Y$5:$Y$1004,"&gt;="&amp;_辅助!$J$4,考勤工资!$Y$5:$Y$1004,"&lt;="&amp;_辅助!$J$2))</f>
        <v>0</v>
      </c>
      <c r="BD85" s="2">
        <f>IF(BC85=0,0,SUMIFS(考勤工资!$AC$5:$AC$1004,考勤工资!$C$5:$C$1004,往来单位!$B$88,考勤工资!$D$5:$D$1004,$C$3,考勤工资!$Y$5:$Y$1004,"&gt;="&amp;_辅助!$J$4,考勤工资!$Y$5:$Y$1004,"&lt;="&amp;_辅助!$J$2)+SUMIFS(考勤工资!$AD$5:$AD$1004,考勤工资!$C$5:$C$1004,往来单位!$B$88,考勤工资!$F$5:$F$1004,$C$3,考勤工资!$Y$5:$Y$1004,"&gt;="&amp;_辅助!$J$4,考勤工资!$Y$5:$Y$1004,"&lt;="&amp;_辅助!$J$2)+SUMIFS(考勤工资!$AE$5:$AE$1004,考勤工资!$C$5:$C$1004,往来单位!$B$88,考勤工资!$H$5:$H$1004,$C$3,考勤工资!$Y$5:$Y$1004,"&gt;="&amp;_辅助!$J$4,考勤工资!$Y$5:$Y$1004,"&lt;="&amp;_辅助!$J$2)+SUMIFS(考勤工资!$AF$5:$AF$1004,考勤工资!$C$5:$C$1004,往来单位!$B$88,考勤工资!$J$5:$J$1004,$C$3,考勤工资!$Y$5:$Y$1004,"&gt;="&amp;_辅助!$J$4,考勤工资!$Y$5:$Y$1004,"&lt;="&amp;_辅助!$J$2))</f>
        <v>0</v>
      </c>
      <c r="BE85" s="2">
        <f>BE50+SUM(CB51:CB85)</f>
        <v>0</v>
      </c>
      <c r="BF85" s="2">
        <f>IF(AND($AF$3&gt;0,发票登记!$T$88=$C$3,ISNUMBER(发票登记!$X$88),发票登记!$AB$88&lt;&gt;0,发票登记!$Y$88&gt;=_辅助!$J$4,发票登记!$Y$88&lt;=_辅助!$J$2),INT(发票登记!$X$88)*10000+84,"")</f>
      </c>
      <c r="BG85" s="2">
        <f>IF(AND($AF$3&gt;0,资金流水!$H$89=$C$3,ISNUMBER(资金流水!$B$89),ISNUMBER(资金流水!$S$89),资金流水!$S$89&gt;=_辅助!$J$4,资金流水!$S$89&lt;=_辅助!$J$2),INT(资金流水!$B$89)*10000+84,"")</f>
      </c>
      <c r="BH85" s="2">
        <f>IF(50&gt;$BE$300,0,IFERROR(MATCH(50,$BE$1:$BE$300,0),0))</f>
        <v>0</v>
      </c>
      <c r="BI85" s="2">
        <f>IF(50&gt;$BF$1,0,MOD(SMALL($BF$2:$BF$1001,50),10000))</f>
        <v>0</v>
      </c>
      <c r="BJ85" s="2">
        <f>IF(50&gt;$BG$1,0,MOD(SMALL($BG$2:$BG$2001,50),10000))</f>
        <v>0</v>
      </c>
      <c r="CA85" s="2">
        <f t="shared" si="0"/>
        <v>0</v>
      </c>
      <c r="CB85" s="2">
        <f t="shared" si="1"/>
        <v>0</v>
      </c>
    </row>
    <row r="86">
      <c r="A86" s="94">
        <f>IF($AZ86=0,"",51)</f>
      </c>
      <c r="B86" s="96">
        <f t="shared" si="18"/>
      </c>
      <c r="C86" s="21">
        <f t="shared" si="4"/>
      </c>
      <c r="D86" s="21">
        <f t="shared" si="15"/>
      </c>
      <c r="E86" s="21">
        <f t="shared" si="2"/>
      </c>
      <c r="F86" s="21">
        <f t="shared" si="17"/>
      </c>
      <c r="G86" s="21">
        <f t="shared" si="6"/>
      </c>
      <c r="I86" s="94">
        <f t="shared" si="3"/>
      </c>
      <c r="J86" s="21">
        <f t="shared" si="5"/>
      </c>
      <c r="K86" s="94" t="n"/>
      <c r="L86" s="135">
        <f t="shared" si="11"/>
      </c>
      <c r="M86" s="136">
        <f t="shared" si="12"/>
      </c>
      <c r="N86" s="94">
        <f t="shared" si="13"/>
      </c>
      <c r="O86" s="21">
        <f t="shared" si="7"/>
      </c>
      <c r="Q86" s="95">
        <f t="shared" si="22"/>
      </c>
      <c r="R86" s="94">
        <f t="shared" si="23"/>
      </c>
      <c r="S86" s="96">
        <f t="shared" si="8"/>
      </c>
      <c r="T86" s="21">
        <f t="shared" si="10"/>
      </c>
      <c r="U86" s="21">
        <f t="shared" si="24"/>
      </c>
      <c r="W86" s="95">
        <f t="shared" si="19"/>
      </c>
      <c r="X86" s="94">
        <f t="shared" si="25"/>
      </c>
      <c r="Y86" s="96">
        <f t="shared" si="26"/>
      </c>
      <c r="Z86" s="21">
        <f t="shared" si="20"/>
      </c>
      <c r="AA86" s="21">
        <f t="shared" si="21"/>
      </c>
      <c r="AB86" s="94">
        <f t="shared" si="27"/>
      </c>
      <c r="AC86" s="96">
        <f t="shared" si="28"/>
      </c>
      <c r="AD86" s="94">
        <f t="shared" si="29"/>
      </c>
      <c r="AZ86" s="2">
        <f>IF(51&gt;$BB$300,0,IFERROR(MATCH(51,$BB$1:$BB$300,0),0))</f>
        <v>0</v>
      </c>
      <c r="BA86" s="2">
        <f>IF(OR(往来单位!$B$89="",$AF$3=0),0,SUMIFS(期初余额!$R$5:$R$204,期初余额!$P$5:$P$204,往来单位!$B$89,期初余额!$Q$5:$Q$204,$C$3)+SUMIFS(应付登记!$G$5:$G$1004,应付登记!$D$5:$D$1004,往来单位!$B$89,应付登记!$E$5:$E$1004,$C$3,应付登记!$J$5:$J$1004,"&gt;="&amp;_辅助!$J$4,应付登记!$J$5:$J$1004,"&lt;="&amp;_辅助!$J$2))</f>
        <v>0</v>
      </c>
      <c r="BB86" s="2">
        <f>BB50+SUM(CA51:CA86)</f>
        <v>2</v>
      </c>
      <c r="BC86" s="2">
        <f>IF(OR(往来单位!$B$89="",$AF$3=0,NOT(OR(往来单位!$C$89="管理人员",往来单位!$C$89="工人"))),0,SUMIFS(考勤工资!$E$5:$E$1004,考勤工资!$C$5:$C$1004,往来单位!$B$89,考勤工资!$D$5:$D$1004,$C$3,考勤工资!$Y$5:$Y$1004,"&gt;="&amp;_辅助!$J$4,考勤工资!$Y$5:$Y$1004,"&lt;="&amp;_辅助!$J$2)+SUMIFS(考勤工资!$G$5:$G$1004,考勤工资!$C$5:$C$1004,往来单位!$B$89,考勤工资!$F$5:$F$1004,$C$3,考勤工资!$Y$5:$Y$1004,"&gt;="&amp;_辅助!$J$4,考勤工资!$Y$5:$Y$1004,"&lt;="&amp;_辅助!$J$2)+SUMIFS(考勤工资!$I$5:$I$1004,考勤工资!$C$5:$C$1004,往来单位!$B$89,考勤工资!$H$5:$H$1004,$C$3,考勤工资!$Y$5:$Y$1004,"&gt;="&amp;_辅助!$J$4,考勤工资!$Y$5:$Y$1004,"&lt;="&amp;_辅助!$J$2)+SUMIFS(考勤工资!$K$5:$K$1004,考勤工资!$C$5:$C$1004,往来单位!$B$89,考勤工资!$J$5:$J$1004,$C$3,考勤工资!$Y$5:$Y$1004,"&gt;="&amp;_辅助!$J$4,考勤工资!$Y$5:$Y$1004,"&lt;="&amp;_辅助!$J$2))</f>
        <v>0</v>
      </c>
      <c r="BD86" s="2">
        <f>IF(BC86=0,0,SUMIFS(考勤工资!$AC$5:$AC$1004,考勤工资!$C$5:$C$1004,往来单位!$B$89,考勤工资!$D$5:$D$1004,$C$3,考勤工资!$Y$5:$Y$1004,"&gt;="&amp;_辅助!$J$4,考勤工资!$Y$5:$Y$1004,"&lt;="&amp;_辅助!$J$2)+SUMIFS(考勤工资!$AD$5:$AD$1004,考勤工资!$C$5:$C$1004,往来单位!$B$89,考勤工资!$F$5:$F$1004,$C$3,考勤工资!$Y$5:$Y$1004,"&gt;="&amp;_辅助!$J$4,考勤工资!$Y$5:$Y$1004,"&lt;="&amp;_辅助!$J$2)+SUMIFS(考勤工资!$AE$5:$AE$1004,考勤工资!$C$5:$C$1004,往来单位!$B$89,考勤工资!$H$5:$H$1004,$C$3,考勤工资!$Y$5:$Y$1004,"&gt;="&amp;_辅助!$J$4,考勤工资!$Y$5:$Y$1004,"&lt;="&amp;_辅助!$J$2)+SUMIFS(考勤工资!$AF$5:$AF$1004,考勤工资!$C$5:$C$1004,往来单位!$B$89,考勤工资!$J$5:$J$1004,$C$3,考勤工资!$Y$5:$Y$1004,"&gt;="&amp;_辅助!$J$4,考勤工资!$Y$5:$Y$1004,"&lt;="&amp;_辅助!$J$2))</f>
        <v>0</v>
      </c>
      <c r="BE86" s="2">
        <f>BE50+SUM(CB51:CB86)</f>
        <v>0</v>
      </c>
      <c r="BF86" s="2">
        <f>IF(AND($AF$3&gt;0,发票登记!$T$89=$C$3,ISNUMBER(发票登记!$X$89),发票登记!$AB$89&lt;&gt;0,发票登记!$Y$89&gt;=_辅助!$J$4,发票登记!$Y$89&lt;=_辅助!$J$2),INT(发票登记!$X$89)*10000+85,"")</f>
      </c>
      <c r="BG86" s="2">
        <f>IF(AND($AF$3&gt;0,资金流水!$H$90=$C$3,ISNUMBER(资金流水!$B$90),ISNUMBER(资金流水!$S$90),资金流水!$S$90&gt;=_辅助!$J$4,资金流水!$S$90&lt;=_辅助!$J$2),INT(资金流水!$B$90)*10000+85,"")</f>
      </c>
      <c r="BH86" s="2">
        <f>IF(51&gt;$BE$300,0,IFERROR(MATCH(51,$BE$1:$BE$300,0),0))</f>
        <v>0</v>
      </c>
      <c r="BI86" s="2">
        <f>IF(51&gt;$BF$1,0,MOD(SMALL($BF$2:$BF$1001,51),10000))</f>
        <v>0</v>
      </c>
      <c r="BJ86" s="2">
        <f>IF(51&gt;$BG$1,0,MOD(SMALL($BG$2:$BG$2001,51),10000))</f>
        <v>0</v>
      </c>
      <c r="CA86" s="2">
        <f t="shared" si="0"/>
        <v>0</v>
      </c>
      <c r="CB86" s="2">
        <f t="shared" si="1"/>
        <v>0</v>
      </c>
    </row>
    <row r="87">
      <c r="A87" s="94">
        <f>IF($AZ87=0,"",52)</f>
      </c>
      <c r="B87" s="96">
        <f t="shared" si="18"/>
      </c>
      <c r="C87" s="21">
        <f t="shared" si="4"/>
      </c>
      <c r="D87" s="21">
        <f t="shared" si="15"/>
      </c>
      <c r="E87" s="21">
        <f t="shared" si="2"/>
      </c>
      <c r="F87" s="21">
        <f t="shared" si="17"/>
      </c>
      <c r="G87" s="21">
        <f t="shared" si="6"/>
      </c>
      <c r="I87" s="94">
        <f t="shared" si="3"/>
      </c>
      <c r="J87" s="21">
        <f t="shared" si="5"/>
      </c>
      <c r="K87" s="94" t="n"/>
      <c r="L87" s="135">
        <f t="shared" si="11"/>
      </c>
      <c r="M87" s="136">
        <f t="shared" si="12"/>
      </c>
      <c r="N87" s="94">
        <f t="shared" si="13"/>
      </c>
      <c r="O87" s="21">
        <f t="shared" si="7"/>
      </c>
      <c r="Q87" s="95">
        <f t="shared" si="22"/>
      </c>
      <c r="R87" s="94">
        <f t="shared" si="23"/>
      </c>
      <c r="S87" s="96">
        <f t="shared" si="8"/>
      </c>
      <c r="T87" s="21">
        <f t="shared" si="10"/>
      </c>
      <c r="U87" s="21">
        <f t="shared" si="24"/>
      </c>
      <c r="W87" s="95">
        <f t="shared" si="19"/>
      </c>
      <c r="X87" s="94">
        <f t="shared" si="25"/>
      </c>
      <c r="Y87" s="96">
        <f t="shared" si="26"/>
      </c>
      <c r="Z87" s="21">
        <f t="shared" si="20"/>
      </c>
      <c r="AA87" s="21">
        <f t="shared" si="21"/>
      </c>
      <c r="AB87" s="94">
        <f t="shared" si="27"/>
      </c>
      <c r="AC87" s="96">
        <f t="shared" si="28"/>
      </c>
      <c r="AD87" s="94">
        <f t="shared" si="29"/>
      </c>
      <c r="AZ87" s="2">
        <f>IF(52&gt;$BB$300,0,IFERROR(MATCH(52,$BB$1:$BB$300,0),0))</f>
        <v>0</v>
      </c>
      <c r="BA87" s="2">
        <f>IF(OR(往来单位!$B$90="",$AF$3=0),0,SUMIFS(期初余额!$R$5:$R$204,期初余额!$P$5:$P$204,往来单位!$B$90,期初余额!$Q$5:$Q$204,$C$3)+SUMIFS(应付登记!$G$5:$G$1004,应付登记!$D$5:$D$1004,往来单位!$B$90,应付登记!$E$5:$E$1004,$C$3,应付登记!$J$5:$J$1004,"&gt;="&amp;_辅助!$J$4,应付登记!$J$5:$J$1004,"&lt;="&amp;_辅助!$J$2))</f>
        <v>0</v>
      </c>
      <c r="BB87" s="2">
        <f>BB50+SUM(CA51:CA87)</f>
        <v>2</v>
      </c>
      <c r="BC87" s="2">
        <f>IF(OR(往来单位!$B$90="",$AF$3=0,NOT(OR(往来单位!$C$90="管理人员",往来单位!$C$90="工人"))),0,SUMIFS(考勤工资!$E$5:$E$1004,考勤工资!$C$5:$C$1004,往来单位!$B$90,考勤工资!$D$5:$D$1004,$C$3,考勤工资!$Y$5:$Y$1004,"&gt;="&amp;_辅助!$J$4,考勤工资!$Y$5:$Y$1004,"&lt;="&amp;_辅助!$J$2)+SUMIFS(考勤工资!$G$5:$G$1004,考勤工资!$C$5:$C$1004,往来单位!$B$90,考勤工资!$F$5:$F$1004,$C$3,考勤工资!$Y$5:$Y$1004,"&gt;="&amp;_辅助!$J$4,考勤工资!$Y$5:$Y$1004,"&lt;="&amp;_辅助!$J$2)+SUMIFS(考勤工资!$I$5:$I$1004,考勤工资!$C$5:$C$1004,往来单位!$B$90,考勤工资!$H$5:$H$1004,$C$3,考勤工资!$Y$5:$Y$1004,"&gt;="&amp;_辅助!$J$4,考勤工资!$Y$5:$Y$1004,"&lt;="&amp;_辅助!$J$2)+SUMIFS(考勤工资!$K$5:$K$1004,考勤工资!$C$5:$C$1004,往来单位!$B$90,考勤工资!$J$5:$J$1004,$C$3,考勤工资!$Y$5:$Y$1004,"&gt;="&amp;_辅助!$J$4,考勤工资!$Y$5:$Y$1004,"&lt;="&amp;_辅助!$J$2))</f>
        <v>0</v>
      </c>
      <c r="BD87" s="2">
        <f>IF(BC87=0,0,SUMIFS(考勤工资!$AC$5:$AC$1004,考勤工资!$C$5:$C$1004,往来单位!$B$90,考勤工资!$D$5:$D$1004,$C$3,考勤工资!$Y$5:$Y$1004,"&gt;="&amp;_辅助!$J$4,考勤工资!$Y$5:$Y$1004,"&lt;="&amp;_辅助!$J$2)+SUMIFS(考勤工资!$AD$5:$AD$1004,考勤工资!$C$5:$C$1004,往来单位!$B$90,考勤工资!$F$5:$F$1004,$C$3,考勤工资!$Y$5:$Y$1004,"&gt;="&amp;_辅助!$J$4,考勤工资!$Y$5:$Y$1004,"&lt;="&amp;_辅助!$J$2)+SUMIFS(考勤工资!$AE$5:$AE$1004,考勤工资!$C$5:$C$1004,往来单位!$B$90,考勤工资!$H$5:$H$1004,$C$3,考勤工资!$Y$5:$Y$1004,"&gt;="&amp;_辅助!$J$4,考勤工资!$Y$5:$Y$1004,"&lt;="&amp;_辅助!$J$2)+SUMIFS(考勤工资!$AF$5:$AF$1004,考勤工资!$C$5:$C$1004,往来单位!$B$90,考勤工资!$J$5:$J$1004,$C$3,考勤工资!$Y$5:$Y$1004,"&gt;="&amp;_辅助!$J$4,考勤工资!$Y$5:$Y$1004,"&lt;="&amp;_辅助!$J$2))</f>
        <v>0</v>
      </c>
      <c r="BE87" s="2">
        <f>BE50+SUM(CB51:CB87)</f>
        <v>0</v>
      </c>
      <c r="BF87" s="2">
        <f>IF(AND($AF$3&gt;0,发票登记!$T$90=$C$3,ISNUMBER(发票登记!$X$90),发票登记!$AB$90&lt;&gt;0,发票登记!$Y$90&gt;=_辅助!$J$4,发票登记!$Y$90&lt;=_辅助!$J$2),INT(发票登记!$X$90)*10000+86,"")</f>
      </c>
      <c r="BG87" s="2">
        <f>IF(AND($AF$3&gt;0,资金流水!$H$91=$C$3,ISNUMBER(资金流水!$B$91),ISNUMBER(资金流水!$S$91),资金流水!$S$91&gt;=_辅助!$J$4,资金流水!$S$91&lt;=_辅助!$J$2),INT(资金流水!$B$91)*10000+86,"")</f>
      </c>
      <c r="BH87" s="2">
        <f>IF(52&gt;$BE$300,0,IFERROR(MATCH(52,$BE$1:$BE$300,0),0))</f>
        <v>0</v>
      </c>
      <c r="BI87" s="2">
        <f>IF(52&gt;$BF$1,0,MOD(SMALL($BF$2:$BF$1001,52),10000))</f>
        <v>0</v>
      </c>
      <c r="BJ87" s="2">
        <f>IF(52&gt;$BG$1,0,MOD(SMALL($BG$2:$BG$2001,52),10000))</f>
        <v>0</v>
      </c>
      <c r="CA87" s="2">
        <f t="shared" si="0"/>
        <v>0</v>
      </c>
      <c r="CB87" s="2">
        <f t="shared" si="1"/>
        <v>0</v>
      </c>
    </row>
    <row r="88">
      <c r="A88" s="94">
        <f>IF($AZ88=0,"",53)</f>
      </c>
      <c r="B88" s="96">
        <f t="shared" si="18"/>
      </c>
      <c r="C88" s="21">
        <f t="shared" si="4"/>
      </c>
      <c r="D88" s="21">
        <f t="shared" si="15"/>
      </c>
      <c r="E88" s="21">
        <f t="shared" si="2"/>
      </c>
      <c r="F88" s="21">
        <f t="shared" si="17"/>
      </c>
      <c r="G88" s="21">
        <f t="shared" si="6"/>
      </c>
      <c r="I88" s="94">
        <f t="shared" si="3"/>
      </c>
      <c r="J88" s="21">
        <f t="shared" si="5"/>
      </c>
      <c r="K88" s="94" t="n"/>
      <c r="L88" s="135">
        <f t="shared" si="11"/>
      </c>
      <c r="M88" s="136">
        <f t="shared" si="12"/>
      </c>
      <c r="N88" s="94">
        <f t="shared" si="13"/>
      </c>
      <c r="O88" s="21">
        <f t="shared" si="7"/>
      </c>
      <c r="Q88" s="95">
        <f t="shared" si="22"/>
      </c>
      <c r="R88" s="94">
        <f t="shared" si="23"/>
      </c>
      <c r="S88" s="96">
        <f t="shared" si="8"/>
      </c>
      <c r="T88" s="21">
        <f t="shared" si="10"/>
      </c>
      <c r="U88" s="21">
        <f t="shared" si="24"/>
      </c>
      <c r="W88" s="95">
        <f t="shared" si="19"/>
      </c>
      <c r="X88" s="94">
        <f t="shared" si="25"/>
      </c>
      <c r="Y88" s="96">
        <f t="shared" si="26"/>
      </c>
      <c r="Z88" s="21">
        <f t="shared" si="20"/>
      </c>
      <c r="AA88" s="21">
        <f t="shared" si="21"/>
      </c>
      <c r="AB88" s="94">
        <f t="shared" si="27"/>
      </c>
      <c r="AC88" s="96">
        <f t="shared" si="28"/>
      </c>
      <c r="AD88" s="94">
        <f t="shared" si="29"/>
      </c>
      <c r="AZ88" s="2">
        <f>IF(53&gt;$BB$300,0,IFERROR(MATCH(53,$BB$1:$BB$300,0),0))</f>
        <v>0</v>
      </c>
      <c r="BA88" s="2">
        <f>IF(OR(往来单位!$B$91="",$AF$3=0),0,SUMIFS(期初余额!$R$5:$R$204,期初余额!$P$5:$P$204,往来单位!$B$91,期初余额!$Q$5:$Q$204,$C$3)+SUMIFS(应付登记!$G$5:$G$1004,应付登记!$D$5:$D$1004,往来单位!$B$91,应付登记!$E$5:$E$1004,$C$3,应付登记!$J$5:$J$1004,"&gt;="&amp;_辅助!$J$4,应付登记!$J$5:$J$1004,"&lt;="&amp;_辅助!$J$2))</f>
        <v>0</v>
      </c>
      <c r="BB88" s="2">
        <f>BB50+SUM(CA51:CA88)</f>
        <v>2</v>
      </c>
      <c r="BC88" s="2">
        <f>IF(OR(往来单位!$B$91="",$AF$3=0,NOT(OR(往来单位!$C$91="管理人员",往来单位!$C$91="工人"))),0,SUMIFS(考勤工资!$E$5:$E$1004,考勤工资!$C$5:$C$1004,往来单位!$B$91,考勤工资!$D$5:$D$1004,$C$3,考勤工资!$Y$5:$Y$1004,"&gt;="&amp;_辅助!$J$4,考勤工资!$Y$5:$Y$1004,"&lt;="&amp;_辅助!$J$2)+SUMIFS(考勤工资!$G$5:$G$1004,考勤工资!$C$5:$C$1004,往来单位!$B$91,考勤工资!$F$5:$F$1004,$C$3,考勤工资!$Y$5:$Y$1004,"&gt;="&amp;_辅助!$J$4,考勤工资!$Y$5:$Y$1004,"&lt;="&amp;_辅助!$J$2)+SUMIFS(考勤工资!$I$5:$I$1004,考勤工资!$C$5:$C$1004,往来单位!$B$91,考勤工资!$H$5:$H$1004,$C$3,考勤工资!$Y$5:$Y$1004,"&gt;="&amp;_辅助!$J$4,考勤工资!$Y$5:$Y$1004,"&lt;="&amp;_辅助!$J$2)+SUMIFS(考勤工资!$K$5:$K$1004,考勤工资!$C$5:$C$1004,往来单位!$B$91,考勤工资!$J$5:$J$1004,$C$3,考勤工资!$Y$5:$Y$1004,"&gt;="&amp;_辅助!$J$4,考勤工资!$Y$5:$Y$1004,"&lt;="&amp;_辅助!$J$2))</f>
        <v>0</v>
      </c>
      <c r="BD88" s="2">
        <f>IF(BC88=0,0,SUMIFS(考勤工资!$AC$5:$AC$1004,考勤工资!$C$5:$C$1004,往来单位!$B$91,考勤工资!$D$5:$D$1004,$C$3,考勤工资!$Y$5:$Y$1004,"&gt;="&amp;_辅助!$J$4,考勤工资!$Y$5:$Y$1004,"&lt;="&amp;_辅助!$J$2)+SUMIFS(考勤工资!$AD$5:$AD$1004,考勤工资!$C$5:$C$1004,往来单位!$B$91,考勤工资!$F$5:$F$1004,$C$3,考勤工资!$Y$5:$Y$1004,"&gt;="&amp;_辅助!$J$4,考勤工资!$Y$5:$Y$1004,"&lt;="&amp;_辅助!$J$2)+SUMIFS(考勤工资!$AE$5:$AE$1004,考勤工资!$C$5:$C$1004,往来单位!$B$91,考勤工资!$H$5:$H$1004,$C$3,考勤工资!$Y$5:$Y$1004,"&gt;="&amp;_辅助!$J$4,考勤工资!$Y$5:$Y$1004,"&lt;="&amp;_辅助!$J$2)+SUMIFS(考勤工资!$AF$5:$AF$1004,考勤工资!$C$5:$C$1004,往来单位!$B$91,考勤工资!$J$5:$J$1004,$C$3,考勤工资!$Y$5:$Y$1004,"&gt;="&amp;_辅助!$J$4,考勤工资!$Y$5:$Y$1004,"&lt;="&amp;_辅助!$J$2))</f>
        <v>0</v>
      </c>
      <c r="BE88" s="2">
        <f>BE50+SUM(CB51:CB88)</f>
        <v>0</v>
      </c>
      <c r="BF88" s="2">
        <f>IF(AND($AF$3&gt;0,发票登记!$T$91=$C$3,ISNUMBER(发票登记!$X$91),发票登记!$AB$91&lt;&gt;0,发票登记!$Y$91&gt;=_辅助!$J$4,发票登记!$Y$91&lt;=_辅助!$J$2),INT(发票登记!$X$91)*10000+87,"")</f>
      </c>
      <c r="BG88" s="2">
        <f>IF(AND($AF$3&gt;0,资金流水!$H$92=$C$3,ISNUMBER(资金流水!$B$92),ISNUMBER(资金流水!$S$92),资金流水!$S$92&gt;=_辅助!$J$4,资金流水!$S$92&lt;=_辅助!$J$2),INT(资金流水!$B$92)*10000+87,"")</f>
      </c>
      <c r="BH88" s="2">
        <f>IF(53&gt;$BE$300,0,IFERROR(MATCH(53,$BE$1:$BE$300,0),0))</f>
        <v>0</v>
      </c>
      <c r="BI88" s="2">
        <f>IF(53&gt;$BF$1,0,MOD(SMALL($BF$2:$BF$1001,53),10000))</f>
        <v>0</v>
      </c>
      <c r="BJ88" s="2">
        <f>IF(53&gt;$BG$1,0,MOD(SMALL($BG$2:$BG$2001,53),10000))</f>
        <v>0</v>
      </c>
      <c r="CA88" s="2">
        <f t="shared" si="0"/>
        <v>0</v>
      </c>
      <c r="CB88" s="2">
        <f t="shared" si="1"/>
        <v>0</v>
      </c>
    </row>
    <row r="89">
      <c r="A89" s="94">
        <f>IF($AZ89=0,"",54)</f>
      </c>
      <c r="B89" s="96">
        <f t="shared" si="18"/>
      </c>
      <c r="C89" s="21">
        <f t="shared" si="4"/>
      </c>
      <c r="D89" s="21">
        <f t="shared" si="15"/>
      </c>
      <c r="E89" s="21">
        <f t="shared" si="2"/>
      </c>
      <c r="F89" s="21">
        <f t="shared" si="17"/>
      </c>
      <c r="G89" s="21">
        <f t="shared" si="6"/>
      </c>
      <c r="I89" s="94">
        <f t="shared" si="3"/>
      </c>
      <c r="J89" s="21">
        <f t="shared" si="5"/>
      </c>
      <c r="K89" s="94" t="n"/>
      <c r="L89" s="135">
        <f t="shared" si="11"/>
      </c>
      <c r="M89" s="136">
        <f t="shared" si="12"/>
      </c>
      <c r="N89" s="94">
        <f t="shared" si="13"/>
      </c>
      <c r="O89" s="21">
        <f t="shared" si="7"/>
      </c>
      <c r="Q89" s="95">
        <f t="shared" si="22"/>
      </c>
      <c r="R89" s="94">
        <f t="shared" si="23"/>
      </c>
      <c r="S89" s="96">
        <f t="shared" si="8"/>
      </c>
      <c r="T89" s="21">
        <f t="shared" si="10"/>
      </c>
      <c r="U89" s="21">
        <f t="shared" si="24"/>
      </c>
      <c r="W89" s="95">
        <f t="shared" si="19"/>
      </c>
      <c r="X89" s="94">
        <f t="shared" si="25"/>
      </c>
      <c r="Y89" s="96">
        <f t="shared" si="26"/>
      </c>
      <c r="Z89" s="21">
        <f t="shared" si="20"/>
      </c>
      <c r="AA89" s="21">
        <f t="shared" si="21"/>
      </c>
      <c r="AB89" s="94">
        <f t="shared" si="27"/>
      </c>
      <c r="AC89" s="96">
        <f t="shared" si="28"/>
      </c>
      <c r="AD89" s="94">
        <f t="shared" si="29"/>
      </c>
      <c r="AZ89" s="2">
        <f>IF(54&gt;$BB$300,0,IFERROR(MATCH(54,$BB$1:$BB$300,0),0))</f>
        <v>0</v>
      </c>
      <c r="BA89" s="2">
        <f>IF(OR(往来单位!$B$92="",$AF$3=0),0,SUMIFS(期初余额!$R$5:$R$204,期初余额!$P$5:$P$204,往来单位!$B$92,期初余额!$Q$5:$Q$204,$C$3)+SUMIFS(应付登记!$G$5:$G$1004,应付登记!$D$5:$D$1004,往来单位!$B$92,应付登记!$E$5:$E$1004,$C$3,应付登记!$J$5:$J$1004,"&gt;="&amp;_辅助!$J$4,应付登记!$J$5:$J$1004,"&lt;="&amp;_辅助!$J$2))</f>
        <v>0</v>
      </c>
      <c r="BB89" s="2">
        <f>BB50+SUM(CA51:CA89)</f>
        <v>2</v>
      </c>
      <c r="BC89" s="2">
        <f>IF(OR(往来单位!$B$92="",$AF$3=0,NOT(OR(往来单位!$C$92="管理人员",往来单位!$C$92="工人"))),0,SUMIFS(考勤工资!$E$5:$E$1004,考勤工资!$C$5:$C$1004,往来单位!$B$92,考勤工资!$D$5:$D$1004,$C$3,考勤工资!$Y$5:$Y$1004,"&gt;="&amp;_辅助!$J$4,考勤工资!$Y$5:$Y$1004,"&lt;="&amp;_辅助!$J$2)+SUMIFS(考勤工资!$G$5:$G$1004,考勤工资!$C$5:$C$1004,往来单位!$B$92,考勤工资!$F$5:$F$1004,$C$3,考勤工资!$Y$5:$Y$1004,"&gt;="&amp;_辅助!$J$4,考勤工资!$Y$5:$Y$1004,"&lt;="&amp;_辅助!$J$2)+SUMIFS(考勤工资!$I$5:$I$1004,考勤工资!$C$5:$C$1004,往来单位!$B$92,考勤工资!$H$5:$H$1004,$C$3,考勤工资!$Y$5:$Y$1004,"&gt;="&amp;_辅助!$J$4,考勤工资!$Y$5:$Y$1004,"&lt;="&amp;_辅助!$J$2)+SUMIFS(考勤工资!$K$5:$K$1004,考勤工资!$C$5:$C$1004,往来单位!$B$92,考勤工资!$J$5:$J$1004,$C$3,考勤工资!$Y$5:$Y$1004,"&gt;="&amp;_辅助!$J$4,考勤工资!$Y$5:$Y$1004,"&lt;="&amp;_辅助!$J$2))</f>
        <v>0</v>
      </c>
      <c r="BD89" s="2">
        <f>IF(BC89=0,0,SUMIFS(考勤工资!$AC$5:$AC$1004,考勤工资!$C$5:$C$1004,往来单位!$B$92,考勤工资!$D$5:$D$1004,$C$3,考勤工资!$Y$5:$Y$1004,"&gt;="&amp;_辅助!$J$4,考勤工资!$Y$5:$Y$1004,"&lt;="&amp;_辅助!$J$2)+SUMIFS(考勤工资!$AD$5:$AD$1004,考勤工资!$C$5:$C$1004,往来单位!$B$92,考勤工资!$F$5:$F$1004,$C$3,考勤工资!$Y$5:$Y$1004,"&gt;="&amp;_辅助!$J$4,考勤工资!$Y$5:$Y$1004,"&lt;="&amp;_辅助!$J$2)+SUMIFS(考勤工资!$AE$5:$AE$1004,考勤工资!$C$5:$C$1004,往来单位!$B$92,考勤工资!$H$5:$H$1004,$C$3,考勤工资!$Y$5:$Y$1004,"&gt;="&amp;_辅助!$J$4,考勤工资!$Y$5:$Y$1004,"&lt;="&amp;_辅助!$J$2)+SUMIFS(考勤工资!$AF$5:$AF$1004,考勤工资!$C$5:$C$1004,往来单位!$B$92,考勤工资!$J$5:$J$1004,$C$3,考勤工资!$Y$5:$Y$1004,"&gt;="&amp;_辅助!$J$4,考勤工资!$Y$5:$Y$1004,"&lt;="&amp;_辅助!$J$2))</f>
        <v>0</v>
      </c>
      <c r="BE89" s="2">
        <f>BE50+SUM(CB51:CB89)</f>
        <v>0</v>
      </c>
      <c r="BF89" s="2">
        <f>IF(AND($AF$3&gt;0,发票登记!$T$92=$C$3,ISNUMBER(发票登记!$X$92),发票登记!$AB$92&lt;&gt;0,发票登记!$Y$92&gt;=_辅助!$J$4,发票登记!$Y$92&lt;=_辅助!$J$2),INT(发票登记!$X$92)*10000+88,"")</f>
      </c>
      <c r="BG89" s="2">
        <f>IF(AND($AF$3&gt;0,资金流水!$H$93=$C$3,ISNUMBER(资金流水!$B$93),ISNUMBER(资金流水!$S$93),资金流水!$S$93&gt;=_辅助!$J$4,资金流水!$S$93&lt;=_辅助!$J$2),INT(资金流水!$B$93)*10000+88,"")</f>
      </c>
      <c r="BH89" s="2">
        <f>IF(54&gt;$BE$300,0,IFERROR(MATCH(54,$BE$1:$BE$300,0),0))</f>
        <v>0</v>
      </c>
      <c r="BI89" s="2">
        <f>IF(54&gt;$BF$1,0,MOD(SMALL($BF$2:$BF$1001,54),10000))</f>
        <v>0</v>
      </c>
      <c r="BJ89" s="2">
        <f>IF(54&gt;$BG$1,0,MOD(SMALL($BG$2:$BG$2001,54),10000))</f>
        <v>0</v>
      </c>
      <c r="CA89" s="2">
        <f t="shared" si="0"/>
        <v>0</v>
      </c>
      <c r="CB89" s="2">
        <f t="shared" si="1"/>
        <v>0</v>
      </c>
    </row>
    <row r="90">
      <c r="A90" s="94">
        <f>IF($AZ90=0,"",55)</f>
      </c>
      <c r="B90" s="96">
        <f t="shared" si="18"/>
      </c>
      <c r="C90" s="21">
        <f t="shared" si="4"/>
      </c>
      <c r="D90" s="21">
        <f t="shared" si="15"/>
      </c>
      <c r="E90" s="21">
        <f t="shared" si="2"/>
      </c>
      <c r="F90" s="21">
        <f t="shared" si="17"/>
      </c>
      <c r="G90" s="21">
        <f t="shared" si="6"/>
      </c>
      <c r="I90" s="94">
        <f t="shared" si="3"/>
      </c>
      <c r="J90" s="21">
        <f t="shared" si="5"/>
      </c>
      <c r="K90" s="94" t="n"/>
      <c r="L90" s="135">
        <f t="shared" si="11"/>
      </c>
      <c r="M90" s="136">
        <f t="shared" si="12"/>
      </c>
      <c r="N90" s="94">
        <f t="shared" si="13"/>
      </c>
      <c r="O90" s="21">
        <f t="shared" si="7"/>
      </c>
      <c r="Q90" s="95">
        <f t="shared" si="22"/>
      </c>
      <c r="R90" s="94">
        <f t="shared" si="23"/>
      </c>
      <c r="S90" s="96">
        <f t="shared" si="8"/>
      </c>
      <c r="T90" s="21">
        <f t="shared" si="10"/>
      </c>
      <c r="U90" s="21">
        <f t="shared" si="24"/>
      </c>
      <c r="W90" s="95">
        <f t="shared" si="19"/>
      </c>
      <c r="X90" s="94">
        <f t="shared" si="25"/>
      </c>
      <c r="Y90" s="96">
        <f t="shared" si="26"/>
      </c>
      <c r="Z90" s="21">
        <f t="shared" si="20"/>
      </c>
      <c r="AA90" s="21">
        <f t="shared" si="21"/>
      </c>
      <c r="AB90" s="94">
        <f t="shared" si="27"/>
      </c>
      <c r="AC90" s="96">
        <f t="shared" si="28"/>
      </c>
      <c r="AD90" s="94">
        <f t="shared" si="29"/>
      </c>
      <c r="AZ90" s="2">
        <f>IF(55&gt;$BB$300,0,IFERROR(MATCH(55,$BB$1:$BB$300,0),0))</f>
        <v>0</v>
      </c>
      <c r="BA90" s="2">
        <f>IF(OR(往来单位!$B$93="",$AF$3=0),0,SUMIFS(期初余额!$R$5:$R$204,期初余额!$P$5:$P$204,往来单位!$B$93,期初余额!$Q$5:$Q$204,$C$3)+SUMIFS(应付登记!$G$5:$G$1004,应付登记!$D$5:$D$1004,往来单位!$B$93,应付登记!$E$5:$E$1004,$C$3,应付登记!$J$5:$J$1004,"&gt;="&amp;_辅助!$J$4,应付登记!$J$5:$J$1004,"&lt;="&amp;_辅助!$J$2))</f>
        <v>0</v>
      </c>
      <c r="BB90" s="2">
        <f>BB50+SUM(CA51:CA90)</f>
        <v>2</v>
      </c>
      <c r="BC90" s="2">
        <f>IF(OR(往来单位!$B$93="",$AF$3=0,NOT(OR(往来单位!$C$93="管理人员",往来单位!$C$93="工人"))),0,SUMIFS(考勤工资!$E$5:$E$1004,考勤工资!$C$5:$C$1004,往来单位!$B$93,考勤工资!$D$5:$D$1004,$C$3,考勤工资!$Y$5:$Y$1004,"&gt;="&amp;_辅助!$J$4,考勤工资!$Y$5:$Y$1004,"&lt;="&amp;_辅助!$J$2)+SUMIFS(考勤工资!$G$5:$G$1004,考勤工资!$C$5:$C$1004,往来单位!$B$93,考勤工资!$F$5:$F$1004,$C$3,考勤工资!$Y$5:$Y$1004,"&gt;="&amp;_辅助!$J$4,考勤工资!$Y$5:$Y$1004,"&lt;="&amp;_辅助!$J$2)+SUMIFS(考勤工资!$I$5:$I$1004,考勤工资!$C$5:$C$1004,往来单位!$B$93,考勤工资!$H$5:$H$1004,$C$3,考勤工资!$Y$5:$Y$1004,"&gt;="&amp;_辅助!$J$4,考勤工资!$Y$5:$Y$1004,"&lt;="&amp;_辅助!$J$2)+SUMIFS(考勤工资!$K$5:$K$1004,考勤工资!$C$5:$C$1004,往来单位!$B$93,考勤工资!$J$5:$J$1004,$C$3,考勤工资!$Y$5:$Y$1004,"&gt;="&amp;_辅助!$J$4,考勤工资!$Y$5:$Y$1004,"&lt;="&amp;_辅助!$J$2))</f>
        <v>0</v>
      </c>
      <c r="BD90" s="2">
        <f>IF(BC90=0,0,SUMIFS(考勤工资!$AC$5:$AC$1004,考勤工资!$C$5:$C$1004,往来单位!$B$93,考勤工资!$D$5:$D$1004,$C$3,考勤工资!$Y$5:$Y$1004,"&gt;="&amp;_辅助!$J$4,考勤工资!$Y$5:$Y$1004,"&lt;="&amp;_辅助!$J$2)+SUMIFS(考勤工资!$AD$5:$AD$1004,考勤工资!$C$5:$C$1004,往来单位!$B$93,考勤工资!$F$5:$F$1004,$C$3,考勤工资!$Y$5:$Y$1004,"&gt;="&amp;_辅助!$J$4,考勤工资!$Y$5:$Y$1004,"&lt;="&amp;_辅助!$J$2)+SUMIFS(考勤工资!$AE$5:$AE$1004,考勤工资!$C$5:$C$1004,往来单位!$B$93,考勤工资!$H$5:$H$1004,$C$3,考勤工资!$Y$5:$Y$1004,"&gt;="&amp;_辅助!$J$4,考勤工资!$Y$5:$Y$1004,"&lt;="&amp;_辅助!$J$2)+SUMIFS(考勤工资!$AF$5:$AF$1004,考勤工资!$C$5:$C$1004,往来单位!$B$93,考勤工资!$J$5:$J$1004,$C$3,考勤工资!$Y$5:$Y$1004,"&gt;="&amp;_辅助!$J$4,考勤工资!$Y$5:$Y$1004,"&lt;="&amp;_辅助!$J$2))</f>
        <v>0</v>
      </c>
      <c r="BE90" s="2">
        <f>BE50+SUM(CB51:CB90)</f>
        <v>0</v>
      </c>
      <c r="BF90" s="2">
        <f>IF(AND($AF$3&gt;0,发票登记!$T$93=$C$3,ISNUMBER(发票登记!$X$93),发票登记!$AB$93&lt;&gt;0,发票登记!$Y$93&gt;=_辅助!$J$4,发票登记!$Y$93&lt;=_辅助!$J$2),INT(发票登记!$X$93)*10000+89,"")</f>
      </c>
      <c r="BG90" s="2">
        <f>IF(AND($AF$3&gt;0,资金流水!$H$94=$C$3,ISNUMBER(资金流水!$B$94),ISNUMBER(资金流水!$S$94),资金流水!$S$94&gt;=_辅助!$J$4,资金流水!$S$94&lt;=_辅助!$J$2),INT(资金流水!$B$94)*10000+89,"")</f>
      </c>
      <c r="BH90" s="2">
        <f>IF(55&gt;$BE$300,0,IFERROR(MATCH(55,$BE$1:$BE$300,0),0))</f>
        <v>0</v>
      </c>
      <c r="BI90" s="2">
        <f>IF(55&gt;$BF$1,0,MOD(SMALL($BF$2:$BF$1001,55),10000))</f>
        <v>0</v>
      </c>
      <c r="BJ90" s="2">
        <f>IF(55&gt;$BG$1,0,MOD(SMALL($BG$2:$BG$2001,55),10000))</f>
        <v>0</v>
      </c>
      <c r="CA90" s="2">
        <f t="shared" si="0"/>
        <v>0</v>
      </c>
      <c r="CB90" s="2">
        <f t="shared" si="1"/>
        <v>0</v>
      </c>
    </row>
    <row r="91">
      <c r="A91" s="94">
        <f>IF($AZ91=0,"",56)</f>
      </c>
      <c r="B91" s="96">
        <f t="shared" si="18"/>
      </c>
      <c r="C91" s="21">
        <f t="shared" si="4"/>
      </c>
      <c r="D91" s="21">
        <f t="shared" si="15"/>
      </c>
      <c r="E91" s="21">
        <f t="shared" si="2"/>
      </c>
      <c r="F91" s="21">
        <f t="shared" si="17"/>
      </c>
      <c r="G91" s="21">
        <f t="shared" si="6"/>
      </c>
      <c r="I91" s="94">
        <f t="shared" si="3"/>
      </c>
      <c r="J91" s="21">
        <f t="shared" si="5"/>
      </c>
      <c r="K91" s="94" t="n"/>
      <c r="L91" s="135">
        <f t="shared" si="11"/>
      </c>
      <c r="M91" s="136">
        <f t="shared" si="12"/>
      </c>
      <c r="N91" s="94">
        <f t="shared" si="13"/>
      </c>
      <c r="O91" s="21">
        <f t="shared" si="7"/>
      </c>
      <c r="Q91" s="95">
        <f t="shared" si="22"/>
      </c>
      <c r="R91" s="94">
        <f t="shared" si="23"/>
      </c>
      <c r="S91" s="96">
        <f t="shared" si="8"/>
      </c>
      <c r="T91" s="21">
        <f t="shared" si="10"/>
      </c>
      <c r="U91" s="21">
        <f t="shared" si="24"/>
      </c>
      <c r="W91" s="95">
        <f t="shared" si="19"/>
      </c>
      <c r="X91" s="94">
        <f t="shared" si="25"/>
      </c>
      <c r="Y91" s="96">
        <f t="shared" si="26"/>
      </c>
      <c r="Z91" s="21">
        <f t="shared" si="20"/>
      </c>
      <c r="AA91" s="21">
        <f t="shared" si="21"/>
      </c>
      <c r="AB91" s="94">
        <f t="shared" si="27"/>
      </c>
      <c r="AC91" s="96">
        <f t="shared" si="28"/>
      </c>
      <c r="AD91" s="94">
        <f t="shared" si="29"/>
      </c>
      <c r="AZ91" s="2">
        <f>IF(56&gt;$BB$300,0,IFERROR(MATCH(56,$BB$1:$BB$300,0),0))</f>
        <v>0</v>
      </c>
      <c r="BA91" s="2">
        <f>IF(OR(往来单位!$B$94="",$AF$3=0),0,SUMIFS(期初余额!$R$5:$R$204,期初余额!$P$5:$P$204,往来单位!$B$94,期初余额!$Q$5:$Q$204,$C$3)+SUMIFS(应付登记!$G$5:$G$1004,应付登记!$D$5:$D$1004,往来单位!$B$94,应付登记!$E$5:$E$1004,$C$3,应付登记!$J$5:$J$1004,"&gt;="&amp;_辅助!$J$4,应付登记!$J$5:$J$1004,"&lt;="&amp;_辅助!$J$2))</f>
        <v>0</v>
      </c>
      <c r="BB91" s="2">
        <f>BB50+SUM(CA51:CA91)</f>
        <v>2</v>
      </c>
      <c r="BC91" s="2">
        <f>IF(OR(往来单位!$B$94="",$AF$3=0,NOT(OR(往来单位!$C$94="管理人员",往来单位!$C$94="工人"))),0,SUMIFS(考勤工资!$E$5:$E$1004,考勤工资!$C$5:$C$1004,往来单位!$B$94,考勤工资!$D$5:$D$1004,$C$3,考勤工资!$Y$5:$Y$1004,"&gt;="&amp;_辅助!$J$4,考勤工资!$Y$5:$Y$1004,"&lt;="&amp;_辅助!$J$2)+SUMIFS(考勤工资!$G$5:$G$1004,考勤工资!$C$5:$C$1004,往来单位!$B$94,考勤工资!$F$5:$F$1004,$C$3,考勤工资!$Y$5:$Y$1004,"&gt;="&amp;_辅助!$J$4,考勤工资!$Y$5:$Y$1004,"&lt;="&amp;_辅助!$J$2)+SUMIFS(考勤工资!$I$5:$I$1004,考勤工资!$C$5:$C$1004,往来单位!$B$94,考勤工资!$H$5:$H$1004,$C$3,考勤工资!$Y$5:$Y$1004,"&gt;="&amp;_辅助!$J$4,考勤工资!$Y$5:$Y$1004,"&lt;="&amp;_辅助!$J$2)+SUMIFS(考勤工资!$K$5:$K$1004,考勤工资!$C$5:$C$1004,往来单位!$B$94,考勤工资!$J$5:$J$1004,$C$3,考勤工资!$Y$5:$Y$1004,"&gt;="&amp;_辅助!$J$4,考勤工资!$Y$5:$Y$1004,"&lt;="&amp;_辅助!$J$2))</f>
        <v>0</v>
      </c>
      <c r="BD91" s="2">
        <f>IF(BC91=0,0,SUMIFS(考勤工资!$AC$5:$AC$1004,考勤工资!$C$5:$C$1004,往来单位!$B$94,考勤工资!$D$5:$D$1004,$C$3,考勤工资!$Y$5:$Y$1004,"&gt;="&amp;_辅助!$J$4,考勤工资!$Y$5:$Y$1004,"&lt;="&amp;_辅助!$J$2)+SUMIFS(考勤工资!$AD$5:$AD$1004,考勤工资!$C$5:$C$1004,往来单位!$B$94,考勤工资!$F$5:$F$1004,$C$3,考勤工资!$Y$5:$Y$1004,"&gt;="&amp;_辅助!$J$4,考勤工资!$Y$5:$Y$1004,"&lt;="&amp;_辅助!$J$2)+SUMIFS(考勤工资!$AE$5:$AE$1004,考勤工资!$C$5:$C$1004,往来单位!$B$94,考勤工资!$H$5:$H$1004,$C$3,考勤工资!$Y$5:$Y$1004,"&gt;="&amp;_辅助!$J$4,考勤工资!$Y$5:$Y$1004,"&lt;="&amp;_辅助!$J$2)+SUMIFS(考勤工资!$AF$5:$AF$1004,考勤工资!$C$5:$C$1004,往来单位!$B$94,考勤工资!$J$5:$J$1004,$C$3,考勤工资!$Y$5:$Y$1004,"&gt;="&amp;_辅助!$J$4,考勤工资!$Y$5:$Y$1004,"&lt;="&amp;_辅助!$J$2))</f>
        <v>0</v>
      </c>
      <c r="BE91" s="2">
        <f>BE50+SUM(CB51:CB91)</f>
        <v>0</v>
      </c>
      <c r="BF91" s="2">
        <f>IF(AND($AF$3&gt;0,发票登记!$T$94=$C$3,ISNUMBER(发票登记!$X$94),发票登记!$AB$94&lt;&gt;0,发票登记!$Y$94&gt;=_辅助!$J$4,发票登记!$Y$94&lt;=_辅助!$J$2),INT(发票登记!$X$94)*10000+90,"")</f>
      </c>
      <c r="BG91" s="2">
        <f>IF(AND($AF$3&gt;0,资金流水!$H$95=$C$3,ISNUMBER(资金流水!$B$95),ISNUMBER(资金流水!$S$95),资金流水!$S$95&gt;=_辅助!$J$4,资金流水!$S$95&lt;=_辅助!$J$2),INT(资金流水!$B$95)*10000+90,"")</f>
      </c>
      <c r="BH91" s="2">
        <f>IF(56&gt;$BE$300,0,IFERROR(MATCH(56,$BE$1:$BE$300,0),0))</f>
        <v>0</v>
      </c>
      <c r="BI91" s="2">
        <f>IF(56&gt;$BF$1,0,MOD(SMALL($BF$2:$BF$1001,56),10000))</f>
        <v>0</v>
      </c>
      <c r="BJ91" s="2">
        <f>IF(56&gt;$BG$1,0,MOD(SMALL($BG$2:$BG$2001,56),10000))</f>
        <v>0</v>
      </c>
      <c r="CA91" s="2">
        <f t="shared" si="0"/>
        <v>0</v>
      </c>
      <c r="CB91" s="2">
        <f t="shared" si="1"/>
        <v>0</v>
      </c>
    </row>
    <row r="92">
      <c r="A92" s="94">
        <f>IF($AZ92=0,"",57)</f>
      </c>
      <c r="B92" s="96">
        <f t="shared" si="18"/>
      </c>
      <c r="C92" s="21">
        <f t="shared" si="4"/>
      </c>
      <c r="D92" s="21">
        <f t="shared" si="15"/>
      </c>
      <c r="E92" s="21">
        <f t="shared" si="2"/>
      </c>
      <c r="F92" s="21">
        <f t="shared" si="17"/>
      </c>
      <c r="G92" s="21">
        <f t="shared" si="6"/>
      </c>
      <c r="I92" s="94">
        <f t="shared" si="3"/>
      </c>
      <c r="J92" s="21">
        <f t="shared" si="5"/>
      </c>
      <c r="K92" s="94" t="n"/>
      <c r="L92" s="135">
        <f t="shared" si="11"/>
      </c>
      <c r="M92" s="136">
        <f t="shared" si="12"/>
      </c>
      <c r="N92" s="94">
        <f t="shared" si="13"/>
      </c>
      <c r="O92" s="21">
        <f t="shared" si="7"/>
      </c>
      <c r="Q92" s="95">
        <f t="shared" si="22"/>
      </c>
      <c r="R92" s="94">
        <f t="shared" si="23"/>
      </c>
      <c r="S92" s="96">
        <f t="shared" si="8"/>
      </c>
      <c r="T92" s="21">
        <f t="shared" si="10"/>
      </c>
      <c r="U92" s="21">
        <f t="shared" si="24"/>
      </c>
      <c r="W92" s="95">
        <f t="shared" si="19"/>
      </c>
      <c r="X92" s="94">
        <f t="shared" si="25"/>
      </c>
      <c r="Y92" s="96">
        <f t="shared" si="26"/>
      </c>
      <c r="Z92" s="21">
        <f t="shared" si="20"/>
      </c>
      <c r="AA92" s="21">
        <f t="shared" si="21"/>
      </c>
      <c r="AB92" s="94">
        <f t="shared" si="27"/>
      </c>
      <c r="AC92" s="96">
        <f t="shared" si="28"/>
      </c>
      <c r="AD92" s="94">
        <f t="shared" si="29"/>
      </c>
      <c r="AZ92" s="2">
        <f>IF(57&gt;$BB$300,0,IFERROR(MATCH(57,$BB$1:$BB$300,0),0))</f>
        <v>0</v>
      </c>
      <c r="BA92" s="2">
        <f>IF(OR(往来单位!$B$95="",$AF$3=0),0,SUMIFS(期初余额!$R$5:$R$204,期初余额!$P$5:$P$204,往来单位!$B$95,期初余额!$Q$5:$Q$204,$C$3)+SUMIFS(应付登记!$G$5:$G$1004,应付登记!$D$5:$D$1004,往来单位!$B$95,应付登记!$E$5:$E$1004,$C$3,应付登记!$J$5:$J$1004,"&gt;="&amp;_辅助!$J$4,应付登记!$J$5:$J$1004,"&lt;="&amp;_辅助!$J$2))</f>
        <v>0</v>
      </c>
      <c r="BB92" s="2">
        <f>BB50+SUM(CA51:CA92)</f>
        <v>2</v>
      </c>
      <c r="BC92" s="2">
        <f>IF(OR(往来单位!$B$95="",$AF$3=0,NOT(OR(往来单位!$C$95="管理人员",往来单位!$C$95="工人"))),0,SUMIFS(考勤工资!$E$5:$E$1004,考勤工资!$C$5:$C$1004,往来单位!$B$95,考勤工资!$D$5:$D$1004,$C$3,考勤工资!$Y$5:$Y$1004,"&gt;="&amp;_辅助!$J$4,考勤工资!$Y$5:$Y$1004,"&lt;="&amp;_辅助!$J$2)+SUMIFS(考勤工资!$G$5:$G$1004,考勤工资!$C$5:$C$1004,往来单位!$B$95,考勤工资!$F$5:$F$1004,$C$3,考勤工资!$Y$5:$Y$1004,"&gt;="&amp;_辅助!$J$4,考勤工资!$Y$5:$Y$1004,"&lt;="&amp;_辅助!$J$2)+SUMIFS(考勤工资!$I$5:$I$1004,考勤工资!$C$5:$C$1004,往来单位!$B$95,考勤工资!$H$5:$H$1004,$C$3,考勤工资!$Y$5:$Y$1004,"&gt;="&amp;_辅助!$J$4,考勤工资!$Y$5:$Y$1004,"&lt;="&amp;_辅助!$J$2)+SUMIFS(考勤工资!$K$5:$K$1004,考勤工资!$C$5:$C$1004,往来单位!$B$95,考勤工资!$J$5:$J$1004,$C$3,考勤工资!$Y$5:$Y$1004,"&gt;="&amp;_辅助!$J$4,考勤工资!$Y$5:$Y$1004,"&lt;="&amp;_辅助!$J$2))</f>
        <v>0</v>
      </c>
      <c r="BD92" s="2">
        <f>IF(BC92=0,0,SUMIFS(考勤工资!$AC$5:$AC$1004,考勤工资!$C$5:$C$1004,往来单位!$B$95,考勤工资!$D$5:$D$1004,$C$3,考勤工资!$Y$5:$Y$1004,"&gt;="&amp;_辅助!$J$4,考勤工资!$Y$5:$Y$1004,"&lt;="&amp;_辅助!$J$2)+SUMIFS(考勤工资!$AD$5:$AD$1004,考勤工资!$C$5:$C$1004,往来单位!$B$95,考勤工资!$F$5:$F$1004,$C$3,考勤工资!$Y$5:$Y$1004,"&gt;="&amp;_辅助!$J$4,考勤工资!$Y$5:$Y$1004,"&lt;="&amp;_辅助!$J$2)+SUMIFS(考勤工资!$AE$5:$AE$1004,考勤工资!$C$5:$C$1004,往来单位!$B$95,考勤工资!$H$5:$H$1004,$C$3,考勤工资!$Y$5:$Y$1004,"&gt;="&amp;_辅助!$J$4,考勤工资!$Y$5:$Y$1004,"&lt;="&amp;_辅助!$J$2)+SUMIFS(考勤工资!$AF$5:$AF$1004,考勤工资!$C$5:$C$1004,往来单位!$B$95,考勤工资!$J$5:$J$1004,$C$3,考勤工资!$Y$5:$Y$1004,"&gt;="&amp;_辅助!$J$4,考勤工资!$Y$5:$Y$1004,"&lt;="&amp;_辅助!$J$2))</f>
        <v>0</v>
      </c>
      <c r="BE92" s="2">
        <f>BE50+SUM(CB51:CB92)</f>
        <v>0</v>
      </c>
      <c r="BF92" s="2">
        <f>IF(AND($AF$3&gt;0,发票登记!$T$95=$C$3,ISNUMBER(发票登记!$X$95),发票登记!$AB$95&lt;&gt;0,发票登记!$Y$95&gt;=_辅助!$J$4,发票登记!$Y$95&lt;=_辅助!$J$2),INT(发票登记!$X$95)*10000+91,"")</f>
      </c>
      <c r="BG92" s="2">
        <f>IF(AND($AF$3&gt;0,资金流水!$H$96=$C$3,ISNUMBER(资金流水!$B$96),ISNUMBER(资金流水!$S$96),资金流水!$S$96&gt;=_辅助!$J$4,资金流水!$S$96&lt;=_辅助!$J$2),INT(资金流水!$B$96)*10000+91,"")</f>
      </c>
      <c r="BH92" s="2">
        <f>IF(57&gt;$BE$300,0,IFERROR(MATCH(57,$BE$1:$BE$300,0),0))</f>
        <v>0</v>
      </c>
      <c r="BI92" s="2">
        <f>IF(57&gt;$BF$1,0,MOD(SMALL($BF$2:$BF$1001,57),10000))</f>
        <v>0</v>
      </c>
      <c r="BJ92" s="2">
        <f>IF(57&gt;$BG$1,0,MOD(SMALL($BG$2:$BG$2001,57),10000))</f>
        <v>0</v>
      </c>
      <c r="CA92" s="2">
        <f t="shared" si="0"/>
        <v>0</v>
      </c>
      <c r="CB92" s="2">
        <f t="shared" si="1"/>
        <v>0</v>
      </c>
    </row>
    <row r="93">
      <c r="A93" s="94">
        <f>IF($AZ93=0,"",58)</f>
      </c>
      <c r="B93" s="96">
        <f t="shared" si="18"/>
      </c>
      <c r="C93" s="21">
        <f t="shared" si="4"/>
      </c>
      <c r="D93" s="21">
        <f t="shared" si="15"/>
      </c>
      <c r="E93" s="21">
        <f t="shared" si="2"/>
      </c>
      <c r="F93" s="21">
        <f t="shared" si="17"/>
      </c>
      <c r="G93" s="21">
        <f t="shared" si="6"/>
      </c>
      <c r="I93" s="94">
        <f t="shared" si="3"/>
      </c>
      <c r="J93" s="21">
        <f t="shared" si="5"/>
      </c>
      <c r="K93" s="94" t="n"/>
      <c r="L93" s="135">
        <f t="shared" si="11"/>
      </c>
      <c r="M93" s="136">
        <f t="shared" si="12"/>
      </c>
      <c r="N93" s="94">
        <f t="shared" si="13"/>
      </c>
      <c r="O93" s="21">
        <f t="shared" si="7"/>
      </c>
      <c r="Q93" s="95">
        <f t="shared" si="22"/>
      </c>
      <c r="R93" s="94">
        <f t="shared" si="23"/>
      </c>
      <c r="S93" s="96">
        <f t="shared" si="8"/>
      </c>
      <c r="T93" s="21">
        <f t="shared" si="10"/>
      </c>
      <c r="U93" s="21">
        <f t="shared" si="24"/>
      </c>
      <c r="W93" s="95">
        <f t="shared" si="19"/>
      </c>
      <c r="X93" s="94">
        <f t="shared" si="25"/>
      </c>
      <c r="Y93" s="96">
        <f t="shared" si="26"/>
      </c>
      <c r="Z93" s="21">
        <f t="shared" si="20"/>
      </c>
      <c r="AA93" s="21">
        <f t="shared" si="21"/>
      </c>
      <c r="AB93" s="94">
        <f t="shared" si="27"/>
      </c>
      <c r="AC93" s="96">
        <f t="shared" si="28"/>
      </c>
      <c r="AD93" s="94">
        <f t="shared" si="29"/>
      </c>
      <c r="AZ93" s="2">
        <f>IF(58&gt;$BB$300,0,IFERROR(MATCH(58,$BB$1:$BB$300,0),0))</f>
        <v>0</v>
      </c>
      <c r="BA93" s="2">
        <f>IF(OR(往来单位!$B$96="",$AF$3=0),0,SUMIFS(期初余额!$R$5:$R$204,期初余额!$P$5:$P$204,往来单位!$B$96,期初余额!$Q$5:$Q$204,$C$3)+SUMIFS(应付登记!$G$5:$G$1004,应付登记!$D$5:$D$1004,往来单位!$B$96,应付登记!$E$5:$E$1004,$C$3,应付登记!$J$5:$J$1004,"&gt;="&amp;_辅助!$J$4,应付登记!$J$5:$J$1004,"&lt;="&amp;_辅助!$J$2))</f>
        <v>0</v>
      </c>
      <c r="BB93" s="2">
        <f>BB50+SUM(CA51:CA93)</f>
        <v>2</v>
      </c>
      <c r="BC93" s="2">
        <f>IF(OR(往来单位!$B$96="",$AF$3=0,NOT(OR(往来单位!$C$96="管理人员",往来单位!$C$96="工人"))),0,SUMIFS(考勤工资!$E$5:$E$1004,考勤工资!$C$5:$C$1004,往来单位!$B$96,考勤工资!$D$5:$D$1004,$C$3,考勤工资!$Y$5:$Y$1004,"&gt;="&amp;_辅助!$J$4,考勤工资!$Y$5:$Y$1004,"&lt;="&amp;_辅助!$J$2)+SUMIFS(考勤工资!$G$5:$G$1004,考勤工资!$C$5:$C$1004,往来单位!$B$96,考勤工资!$F$5:$F$1004,$C$3,考勤工资!$Y$5:$Y$1004,"&gt;="&amp;_辅助!$J$4,考勤工资!$Y$5:$Y$1004,"&lt;="&amp;_辅助!$J$2)+SUMIFS(考勤工资!$I$5:$I$1004,考勤工资!$C$5:$C$1004,往来单位!$B$96,考勤工资!$H$5:$H$1004,$C$3,考勤工资!$Y$5:$Y$1004,"&gt;="&amp;_辅助!$J$4,考勤工资!$Y$5:$Y$1004,"&lt;="&amp;_辅助!$J$2)+SUMIFS(考勤工资!$K$5:$K$1004,考勤工资!$C$5:$C$1004,往来单位!$B$96,考勤工资!$J$5:$J$1004,$C$3,考勤工资!$Y$5:$Y$1004,"&gt;="&amp;_辅助!$J$4,考勤工资!$Y$5:$Y$1004,"&lt;="&amp;_辅助!$J$2))</f>
        <v>0</v>
      </c>
      <c r="BD93" s="2">
        <f>IF(BC93=0,0,SUMIFS(考勤工资!$AC$5:$AC$1004,考勤工资!$C$5:$C$1004,往来单位!$B$96,考勤工资!$D$5:$D$1004,$C$3,考勤工资!$Y$5:$Y$1004,"&gt;="&amp;_辅助!$J$4,考勤工资!$Y$5:$Y$1004,"&lt;="&amp;_辅助!$J$2)+SUMIFS(考勤工资!$AD$5:$AD$1004,考勤工资!$C$5:$C$1004,往来单位!$B$96,考勤工资!$F$5:$F$1004,$C$3,考勤工资!$Y$5:$Y$1004,"&gt;="&amp;_辅助!$J$4,考勤工资!$Y$5:$Y$1004,"&lt;="&amp;_辅助!$J$2)+SUMIFS(考勤工资!$AE$5:$AE$1004,考勤工资!$C$5:$C$1004,往来单位!$B$96,考勤工资!$H$5:$H$1004,$C$3,考勤工资!$Y$5:$Y$1004,"&gt;="&amp;_辅助!$J$4,考勤工资!$Y$5:$Y$1004,"&lt;="&amp;_辅助!$J$2)+SUMIFS(考勤工资!$AF$5:$AF$1004,考勤工资!$C$5:$C$1004,往来单位!$B$96,考勤工资!$J$5:$J$1004,$C$3,考勤工资!$Y$5:$Y$1004,"&gt;="&amp;_辅助!$J$4,考勤工资!$Y$5:$Y$1004,"&lt;="&amp;_辅助!$J$2))</f>
        <v>0</v>
      </c>
      <c r="BE93" s="2">
        <f>BE50+SUM(CB51:CB93)</f>
        <v>0</v>
      </c>
      <c r="BF93" s="2">
        <f>IF(AND($AF$3&gt;0,发票登记!$T$96=$C$3,ISNUMBER(发票登记!$X$96),发票登记!$AB$96&lt;&gt;0,发票登记!$Y$96&gt;=_辅助!$J$4,发票登记!$Y$96&lt;=_辅助!$J$2),INT(发票登记!$X$96)*10000+92,"")</f>
      </c>
      <c r="BG93" s="2">
        <f>IF(AND($AF$3&gt;0,资金流水!$H$97=$C$3,ISNUMBER(资金流水!$B$97),ISNUMBER(资金流水!$S$97),资金流水!$S$97&gt;=_辅助!$J$4,资金流水!$S$97&lt;=_辅助!$J$2),INT(资金流水!$B$97)*10000+92,"")</f>
      </c>
      <c r="BH93" s="2">
        <f>IF(58&gt;$BE$300,0,IFERROR(MATCH(58,$BE$1:$BE$300,0),0))</f>
        <v>0</v>
      </c>
      <c r="BI93" s="2">
        <f>IF(58&gt;$BF$1,0,MOD(SMALL($BF$2:$BF$1001,58),10000))</f>
        <v>0</v>
      </c>
      <c r="BJ93" s="2">
        <f>IF(58&gt;$BG$1,0,MOD(SMALL($BG$2:$BG$2001,58),10000))</f>
        <v>0</v>
      </c>
      <c r="CA93" s="2">
        <f t="shared" si="0"/>
        <v>0</v>
      </c>
      <c r="CB93" s="2">
        <f t="shared" si="1"/>
        <v>0</v>
      </c>
    </row>
    <row r="94">
      <c r="A94" s="94">
        <f>IF($AZ94=0,"",59)</f>
      </c>
      <c r="B94" s="96">
        <f t="shared" si="18"/>
      </c>
      <c r="C94" s="21">
        <f t="shared" si="4"/>
      </c>
      <c r="D94" s="21">
        <f t="shared" si="15"/>
      </c>
      <c r="E94" s="21">
        <f t="shared" si="2"/>
      </c>
      <c r="F94" s="21">
        <f t="shared" si="17"/>
      </c>
      <c r="G94" s="21">
        <f t="shared" si="6"/>
      </c>
      <c r="I94" s="94">
        <f t="shared" si="3"/>
      </c>
      <c r="J94" s="21">
        <f t="shared" si="5"/>
      </c>
      <c r="K94" s="94" t="n"/>
      <c r="L94" s="135">
        <f t="shared" si="11"/>
      </c>
      <c r="M94" s="136">
        <f t="shared" si="12"/>
      </c>
      <c r="N94" s="94">
        <f t="shared" si="13"/>
      </c>
      <c r="O94" s="21">
        <f t="shared" si="7"/>
      </c>
      <c r="Q94" s="95">
        <f t="shared" si="22"/>
      </c>
      <c r="R94" s="94">
        <f t="shared" si="23"/>
      </c>
      <c r="S94" s="96">
        <f t="shared" si="8"/>
      </c>
      <c r="T94" s="21">
        <f t="shared" si="10"/>
      </c>
      <c r="U94" s="21">
        <f t="shared" si="24"/>
      </c>
      <c r="W94" s="95">
        <f t="shared" si="19"/>
      </c>
      <c r="X94" s="94">
        <f t="shared" si="25"/>
      </c>
      <c r="Y94" s="96">
        <f t="shared" si="26"/>
      </c>
      <c r="Z94" s="21">
        <f t="shared" si="20"/>
      </c>
      <c r="AA94" s="21">
        <f t="shared" si="21"/>
      </c>
      <c r="AB94" s="94">
        <f t="shared" si="27"/>
      </c>
      <c r="AC94" s="96">
        <f t="shared" si="28"/>
      </c>
      <c r="AD94" s="94">
        <f t="shared" si="29"/>
      </c>
      <c r="AZ94" s="2">
        <f>IF(59&gt;$BB$300,0,IFERROR(MATCH(59,$BB$1:$BB$300,0),0))</f>
        <v>0</v>
      </c>
      <c r="BA94" s="2">
        <f>IF(OR(往来单位!$B$97="",$AF$3=0),0,SUMIFS(期初余额!$R$5:$R$204,期初余额!$P$5:$P$204,往来单位!$B$97,期初余额!$Q$5:$Q$204,$C$3)+SUMIFS(应付登记!$G$5:$G$1004,应付登记!$D$5:$D$1004,往来单位!$B$97,应付登记!$E$5:$E$1004,$C$3,应付登记!$J$5:$J$1004,"&gt;="&amp;_辅助!$J$4,应付登记!$J$5:$J$1004,"&lt;="&amp;_辅助!$J$2))</f>
        <v>0</v>
      </c>
      <c r="BB94" s="2">
        <f>BB50+SUM(CA51:CA94)</f>
        <v>2</v>
      </c>
      <c r="BC94" s="2">
        <f>IF(OR(往来单位!$B$97="",$AF$3=0,NOT(OR(往来单位!$C$97="管理人员",往来单位!$C$97="工人"))),0,SUMIFS(考勤工资!$E$5:$E$1004,考勤工资!$C$5:$C$1004,往来单位!$B$97,考勤工资!$D$5:$D$1004,$C$3,考勤工资!$Y$5:$Y$1004,"&gt;="&amp;_辅助!$J$4,考勤工资!$Y$5:$Y$1004,"&lt;="&amp;_辅助!$J$2)+SUMIFS(考勤工资!$G$5:$G$1004,考勤工资!$C$5:$C$1004,往来单位!$B$97,考勤工资!$F$5:$F$1004,$C$3,考勤工资!$Y$5:$Y$1004,"&gt;="&amp;_辅助!$J$4,考勤工资!$Y$5:$Y$1004,"&lt;="&amp;_辅助!$J$2)+SUMIFS(考勤工资!$I$5:$I$1004,考勤工资!$C$5:$C$1004,往来单位!$B$97,考勤工资!$H$5:$H$1004,$C$3,考勤工资!$Y$5:$Y$1004,"&gt;="&amp;_辅助!$J$4,考勤工资!$Y$5:$Y$1004,"&lt;="&amp;_辅助!$J$2)+SUMIFS(考勤工资!$K$5:$K$1004,考勤工资!$C$5:$C$1004,往来单位!$B$97,考勤工资!$J$5:$J$1004,$C$3,考勤工资!$Y$5:$Y$1004,"&gt;="&amp;_辅助!$J$4,考勤工资!$Y$5:$Y$1004,"&lt;="&amp;_辅助!$J$2))</f>
        <v>0</v>
      </c>
      <c r="BD94" s="2">
        <f>IF(BC94=0,0,SUMIFS(考勤工资!$AC$5:$AC$1004,考勤工资!$C$5:$C$1004,往来单位!$B$97,考勤工资!$D$5:$D$1004,$C$3,考勤工资!$Y$5:$Y$1004,"&gt;="&amp;_辅助!$J$4,考勤工资!$Y$5:$Y$1004,"&lt;="&amp;_辅助!$J$2)+SUMIFS(考勤工资!$AD$5:$AD$1004,考勤工资!$C$5:$C$1004,往来单位!$B$97,考勤工资!$F$5:$F$1004,$C$3,考勤工资!$Y$5:$Y$1004,"&gt;="&amp;_辅助!$J$4,考勤工资!$Y$5:$Y$1004,"&lt;="&amp;_辅助!$J$2)+SUMIFS(考勤工资!$AE$5:$AE$1004,考勤工资!$C$5:$C$1004,往来单位!$B$97,考勤工资!$H$5:$H$1004,$C$3,考勤工资!$Y$5:$Y$1004,"&gt;="&amp;_辅助!$J$4,考勤工资!$Y$5:$Y$1004,"&lt;="&amp;_辅助!$J$2)+SUMIFS(考勤工资!$AF$5:$AF$1004,考勤工资!$C$5:$C$1004,往来单位!$B$97,考勤工资!$J$5:$J$1004,$C$3,考勤工资!$Y$5:$Y$1004,"&gt;="&amp;_辅助!$J$4,考勤工资!$Y$5:$Y$1004,"&lt;="&amp;_辅助!$J$2))</f>
        <v>0</v>
      </c>
      <c r="BE94" s="2">
        <f>BE50+SUM(CB51:CB94)</f>
        <v>0</v>
      </c>
      <c r="BF94" s="2">
        <f>IF(AND($AF$3&gt;0,发票登记!$T$97=$C$3,ISNUMBER(发票登记!$X$97),发票登记!$AB$97&lt;&gt;0,发票登记!$Y$97&gt;=_辅助!$J$4,发票登记!$Y$97&lt;=_辅助!$J$2),INT(发票登记!$X$97)*10000+93,"")</f>
      </c>
      <c r="BG94" s="2">
        <f>IF(AND($AF$3&gt;0,资金流水!$H$98=$C$3,ISNUMBER(资金流水!$B$98),ISNUMBER(资金流水!$S$98),资金流水!$S$98&gt;=_辅助!$J$4,资金流水!$S$98&lt;=_辅助!$J$2),INT(资金流水!$B$98)*10000+93,"")</f>
      </c>
      <c r="BH94" s="2">
        <f>IF(59&gt;$BE$300,0,IFERROR(MATCH(59,$BE$1:$BE$300,0),0))</f>
        <v>0</v>
      </c>
      <c r="BI94" s="2">
        <f>IF(59&gt;$BF$1,0,MOD(SMALL($BF$2:$BF$1001,59),10000))</f>
        <v>0</v>
      </c>
      <c r="BJ94" s="2">
        <f>IF(59&gt;$BG$1,0,MOD(SMALL($BG$2:$BG$2001,59),10000))</f>
        <v>0</v>
      </c>
      <c r="CA94" s="2">
        <f t="shared" si="0"/>
        <v>0</v>
      </c>
      <c r="CB94" s="2">
        <f t="shared" si="1"/>
        <v>0</v>
      </c>
    </row>
    <row r="95">
      <c r="A95" s="94">
        <f>IF($AZ95=0,"",60)</f>
      </c>
      <c r="B95" s="96">
        <f t="shared" si="18"/>
      </c>
      <c r="C95" s="21">
        <f t="shared" si="4"/>
      </c>
      <c r="D95" s="21">
        <f t="shared" si="15"/>
      </c>
      <c r="E95" s="21">
        <f t="shared" si="2"/>
      </c>
      <c r="F95" s="21">
        <f t="shared" si="17"/>
      </c>
      <c r="G95" s="21">
        <f t="shared" si="6"/>
      </c>
      <c r="I95" s="94">
        <f t="shared" si="3"/>
      </c>
      <c r="J95" s="21">
        <f t="shared" si="5"/>
      </c>
      <c r="K95" s="94" t="n"/>
      <c r="L95" s="135">
        <f t="shared" si="11"/>
      </c>
      <c r="M95" s="136">
        <f t="shared" si="12"/>
      </c>
      <c r="N95" s="94">
        <f t="shared" si="13"/>
      </c>
      <c r="O95" s="21">
        <f t="shared" si="7"/>
      </c>
      <c r="Q95" s="95">
        <f t="shared" si="22"/>
      </c>
      <c r="R95" s="94">
        <f t="shared" si="23"/>
      </c>
      <c r="S95" s="96">
        <f t="shared" si="8"/>
      </c>
      <c r="T95" s="21">
        <f t="shared" si="10"/>
      </c>
      <c r="U95" s="21">
        <f t="shared" si="24"/>
      </c>
      <c r="W95" s="95">
        <f t="shared" si="19"/>
      </c>
      <c r="X95" s="94">
        <f t="shared" si="25"/>
      </c>
      <c r="Y95" s="96">
        <f t="shared" si="26"/>
      </c>
      <c r="Z95" s="21">
        <f t="shared" si="20"/>
      </c>
      <c r="AA95" s="21">
        <f t="shared" si="21"/>
      </c>
      <c r="AB95" s="94">
        <f t="shared" si="27"/>
      </c>
      <c r="AC95" s="96">
        <f t="shared" si="28"/>
      </c>
      <c r="AD95" s="94">
        <f t="shared" si="29"/>
      </c>
      <c r="AZ95" s="2">
        <f>IF(60&gt;$BB$300,0,IFERROR(MATCH(60,$BB$1:$BB$300,0),0))</f>
        <v>0</v>
      </c>
      <c r="BA95" s="2">
        <f>IF(OR(往来单位!$B$98="",$AF$3=0),0,SUMIFS(期初余额!$R$5:$R$204,期初余额!$P$5:$P$204,往来单位!$B$98,期初余额!$Q$5:$Q$204,$C$3)+SUMIFS(应付登记!$G$5:$G$1004,应付登记!$D$5:$D$1004,往来单位!$B$98,应付登记!$E$5:$E$1004,$C$3,应付登记!$J$5:$J$1004,"&gt;="&amp;_辅助!$J$4,应付登记!$J$5:$J$1004,"&lt;="&amp;_辅助!$J$2))</f>
        <v>0</v>
      </c>
      <c r="BB95" s="2">
        <f>BB50+SUM(CA51:CA95)</f>
        <v>2</v>
      </c>
      <c r="BC95" s="2">
        <f>IF(OR(往来单位!$B$98="",$AF$3=0,NOT(OR(往来单位!$C$98="管理人员",往来单位!$C$98="工人"))),0,SUMIFS(考勤工资!$E$5:$E$1004,考勤工资!$C$5:$C$1004,往来单位!$B$98,考勤工资!$D$5:$D$1004,$C$3,考勤工资!$Y$5:$Y$1004,"&gt;="&amp;_辅助!$J$4,考勤工资!$Y$5:$Y$1004,"&lt;="&amp;_辅助!$J$2)+SUMIFS(考勤工资!$G$5:$G$1004,考勤工资!$C$5:$C$1004,往来单位!$B$98,考勤工资!$F$5:$F$1004,$C$3,考勤工资!$Y$5:$Y$1004,"&gt;="&amp;_辅助!$J$4,考勤工资!$Y$5:$Y$1004,"&lt;="&amp;_辅助!$J$2)+SUMIFS(考勤工资!$I$5:$I$1004,考勤工资!$C$5:$C$1004,往来单位!$B$98,考勤工资!$H$5:$H$1004,$C$3,考勤工资!$Y$5:$Y$1004,"&gt;="&amp;_辅助!$J$4,考勤工资!$Y$5:$Y$1004,"&lt;="&amp;_辅助!$J$2)+SUMIFS(考勤工资!$K$5:$K$1004,考勤工资!$C$5:$C$1004,往来单位!$B$98,考勤工资!$J$5:$J$1004,$C$3,考勤工资!$Y$5:$Y$1004,"&gt;="&amp;_辅助!$J$4,考勤工资!$Y$5:$Y$1004,"&lt;="&amp;_辅助!$J$2))</f>
        <v>0</v>
      </c>
      <c r="BD95" s="2">
        <f>IF(BC95=0,0,SUMIFS(考勤工资!$AC$5:$AC$1004,考勤工资!$C$5:$C$1004,往来单位!$B$98,考勤工资!$D$5:$D$1004,$C$3,考勤工资!$Y$5:$Y$1004,"&gt;="&amp;_辅助!$J$4,考勤工资!$Y$5:$Y$1004,"&lt;="&amp;_辅助!$J$2)+SUMIFS(考勤工资!$AD$5:$AD$1004,考勤工资!$C$5:$C$1004,往来单位!$B$98,考勤工资!$F$5:$F$1004,$C$3,考勤工资!$Y$5:$Y$1004,"&gt;="&amp;_辅助!$J$4,考勤工资!$Y$5:$Y$1004,"&lt;="&amp;_辅助!$J$2)+SUMIFS(考勤工资!$AE$5:$AE$1004,考勤工资!$C$5:$C$1004,往来单位!$B$98,考勤工资!$H$5:$H$1004,$C$3,考勤工资!$Y$5:$Y$1004,"&gt;="&amp;_辅助!$J$4,考勤工资!$Y$5:$Y$1004,"&lt;="&amp;_辅助!$J$2)+SUMIFS(考勤工资!$AF$5:$AF$1004,考勤工资!$C$5:$C$1004,往来单位!$B$98,考勤工资!$J$5:$J$1004,$C$3,考勤工资!$Y$5:$Y$1004,"&gt;="&amp;_辅助!$J$4,考勤工资!$Y$5:$Y$1004,"&lt;="&amp;_辅助!$J$2))</f>
        <v>0</v>
      </c>
      <c r="BE95" s="2">
        <f>BE50+SUM(CB51:CB95)</f>
        <v>0</v>
      </c>
      <c r="BF95" s="2">
        <f>IF(AND($AF$3&gt;0,发票登记!$T$98=$C$3,ISNUMBER(发票登记!$X$98),发票登记!$AB$98&lt;&gt;0,发票登记!$Y$98&gt;=_辅助!$J$4,发票登记!$Y$98&lt;=_辅助!$J$2),INT(发票登记!$X$98)*10000+94,"")</f>
      </c>
      <c r="BG95" s="2">
        <f>IF(AND($AF$3&gt;0,资金流水!$H$99=$C$3,ISNUMBER(资金流水!$B$99),ISNUMBER(资金流水!$S$99),资金流水!$S$99&gt;=_辅助!$J$4,资金流水!$S$99&lt;=_辅助!$J$2),INT(资金流水!$B$99)*10000+94,"")</f>
      </c>
      <c r="BH95" s="2">
        <f>IF(60&gt;$BE$300,0,IFERROR(MATCH(60,$BE$1:$BE$300,0),0))</f>
        <v>0</v>
      </c>
      <c r="BI95" s="2">
        <f>IF(60&gt;$BF$1,0,MOD(SMALL($BF$2:$BF$1001,60),10000))</f>
        <v>0</v>
      </c>
      <c r="BJ95" s="2">
        <f>IF(60&gt;$BG$1,0,MOD(SMALL($BG$2:$BG$2001,60),10000))</f>
        <v>0</v>
      </c>
      <c r="CA95" s="2">
        <f t="shared" si="0"/>
        <v>0</v>
      </c>
      <c r="CB95" s="2">
        <f t="shared" si="1"/>
        <v>0</v>
      </c>
    </row>
    <row r="96">
      <c r="A96" s="89" t="inlineStr">
        <is>
          <t>「本项目已付」：付款时大多没写是哪个项目的，按这家各项目应付的比例分；这家一共欠多少看【应付账款总表】。</t>
        </is>
      </c>
      <c r="I96" s="94">
        <f t="shared" si="3"/>
      </c>
      <c r="J96" s="21">
        <f t="shared" si="5"/>
      </c>
      <c r="K96" s="94" t="n"/>
      <c r="L96" s="135">
        <f t="shared" si="11"/>
      </c>
      <c r="M96" s="136">
        <f t="shared" si="12"/>
      </c>
      <c r="N96" s="94">
        <f t="shared" si="13"/>
      </c>
      <c r="O96" s="21">
        <f t="shared" si="7"/>
      </c>
      <c r="Q96" s="95">
        <f t="shared" si="22"/>
      </c>
      <c r="R96" s="94">
        <f t="shared" si="23"/>
      </c>
      <c r="S96" s="96">
        <f t="shared" si="8"/>
      </c>
      <c r="T96" s="21">
        <f t="shared" si="10"/>
      </c>
      <c r="U96" s="21">
        <f t="shared" si="24"/>
      </c>
      <c r="W96" s="95">
        <f t="shared" si="19"/>
      </c>
      <c r="X96" s="94">
        <f t="shared" si="25"/>
      </c>
      <c r="Y96" s="96">
        <f t="shared" si="26"/>
      </c>
      <c r="Z96" s="21">
        <f t="shared" si="20"/>
      </c>
      <c r="AA96" s="21">
        <f t="shared" si="21"/>
      </c>
      <c r="AB96" s="94">
        <f t="shared" si="27"/>
      </c>
      <c r="AC96" s="96">
        <f t="shared" si="28"/>
      </c>
      <c r="AD96" s="94">
        <f t="shared" si="29"/>
      </c>
      <c r="BA96" s="2">
        <f>IF(OR(往来单位!$B$99="",$AF$3=0),0,SUMIFS(期初余额!$R$5:$R$204,期初余额!$P$5:$P$204,往来单位!$B$99,期初余额!$Q$5:$Q$204,$C$3)+SUMIFS(应付登记!$G$5:$G$1004,应付登记!$D$5:$D$1004,往来单位!$B$99,应付登记!$E$5:$E$1004,$C$3,应付登记!$J$5:$J$1004,"&gt;="&amp;_辅助!$J$4,应付登记!$J$5:$J$1004,"&lt;="&amp;_辅助!$J$2))</f>
        <v>0</v>
      </c>
      <c r="BB96" s="2">
        <f>BB50+SUM(CA51:CA96)</f>
        <v>2</v>
      </c>
      <c r="BC96" s="2">
        <f>IF(OR(往来单位!$B$99="",$AF$3=0,NOT(OR(往来单位!$C$99="管理人员",往来单位!$C$99="工人"))),0,SUMIFS(考勤工资!$E$5:$E$1004,考勤工资!$C$5:$C$1004,往来单位!$B$99,考勤工资!$D$5:$D$1004,$C$3,考勤工资!$Y$5:$Y$1004,"&gt;="&amp;_辅助!$J$4,考勤工资!$Y$5:$Y$1004,"&lt;="&amp;_辅助!$J$2)+SUMIFS(考勤工资!$G$5:$G$1004,考勤工资!$C$5:$C$1004,往来单位!$B$99,考勤工资!$F$5:$F$1004,$C$3,考勤工资!$Y$5:$Y$1004,"&gt;="&amp;_辅助!$J$4,考勤工资!$Y$5:$Y$1004,"&lt;="&amp;_辅助!$J$2)+SUMIFS(考勤工资!$I$5:$I$1004,考勤工资!$C$5:$C$1004,往来单位!$B$99,考勤工资!$H$5:$H$1004,$C$3,考勤工资!$Y$5:$Y$1004,"&gt;="&amp;_辅助!$J$4,考勤工资!$Y$5:$Y$1004,"&lt;="&amp;_辅助!$J$2)+SUMIFS(考勤工资!$K$5:$K$1004,考勤工资!$C$5:$C$1004,往来单位!$B$99,考勤工资!$J$5:$J$1004,$C$3,考勤工资!$Y$5:$Y$1004,"&gt;="&amp;_辅助!$J$4,考勤工资!$Y$5:$Y$1004,"&lt;="&amp;_辅助!$J$2))</f>
        <v>0</v>
      </c>
      <c r="BD96" s="2">
        <f>IF(BC96=0,0,SUMIFS(考勤工资!$AC$5:$AC$1004,考勤工资!$C$5:$C$1004,往来单位!$B$99,考勤工资!$D$5:$D$1004,$C$3,考勤工资!$Y$5:$Y$1004,"&gt;="&amp;_辅助!$J$4,考勤工资!$Y$5:$Y$1004,"&lt;="&amp;_辅助!$J$2)+SUMIFS(考勤工资!$AD$5:$AD$1004,考勤工资!$C$5:$C$1004,往来单位!$B$99,考勤工资!$F$5:$F$1004,$C$3,考勤工资!$Y$5:$Y$1004,"&gt;="&amp;_辅助!$J$4,考勤工资!$Y$5:$Y$1004,"&lt;="&amp;_辅助!$J$2)+SUMIFS(考勤工资!$AE$5:$AE$1004,考勤工资!$C$5:$C$1004,往来单位!$B$99,考勤工资!$H$5:$H$1004,$C$3,考勤工资!$Y$5:$Y$1004,"&gt;="&amp;_辅助!$J$4,考勤工资!$Y$5:$Y$1004,"&lt;="&amp;_辅助!$J$2)+SUMIFS(考勤工资!$AF$5:$AF$1004,考勤工资!$C$5:$C$1004,往来单位!$B$99,考勤工资!$J$5:$J$1004,$C$3,考勤工资!$Y$5:$Y$1004,"&gt;="&amp;_辅助!$J$4,考勤工资!$Y$5:$Y$1004,"&lt;="&amp;_辅助!$J$2))</f>
        <v>0</v>
      </c>
      <c r="BE96" s="2">
        <f>BE50+SUM(CB51:CB96)</f>
        <v>0</v>
      </c>
      <c r="BF96" s="2">
        <f>IF(AND($AF$3&gt;0,发票登记!$T$99=$C$3,ISNUMBER(发票登记!$X$99),发票登记!$AB$99&lt;&gt;0,发票登记!$Y$99&gt;=_辅助!$J$4,发票登记!$Y$99&lt;=_辅助!$J$2),INT(发票登记!$X$99)*10000+95,"")</f>
      </c>
      <c r="BG96" s="2">
        <f>IF(AND($AF$3&gt;0,资金流水!$H$100=$C$3,ISNUMBER(资金流水!$B$100),ISNUMBER(资金流水!$S$100),资金流水!$S$100&gt;=_辅助!$J$4,资金流水!$S$100&lt;=_辅助!$J$2),INT(资金流水!$B$100)*10000+95,"")</f>
      </c>
      <c r="BH96" s="2">
        <f>IF(61&gt;$BE$300,0,IFERROR(MATCH(61,$BE$1:$BE$300,0),0))</f>
        <v>0</v>
      </c>
      <c r="BI96" s="2">
        <f>IF(61&gt;$BF$1,0,MOD(SMALL($BF$2:$BF$1001,61),10000))</f>
        <v>0</v>
      </c>
      <c r="BJ96" s="2">
        <f>IF(61&gt;$BG$1,0,MOD(SMALL($BG$2:$BG$2001,61),10000))</f>
        <v>0</v>
      </c>
      <c r="CA96" s="2">
        <f t="shared" si="0"/>
        <v>0</v>
      </c>
      <c r="CB96" s="2">
        <f t="shared" si="1"/>
        <v>0</v>
      </c>
    </row>
    <row r="97">
      <c r="I97" s="94">
        <f t="shared" si="3"/>
      </c>
      <c r="J97" s="21">
        <f t="shared" si="5"/>
      </c>
      <c r="K97" s="94" t="n"/>
      <c r="L97" s="135">
        <f t="shared" si="11"/>
      </c>
      <c r="M97" s="136">
        <f t="shared" si="12"/>
      </c>
      <c r="N97" s="94">
        <f t="shared" si="13"/>
      </c>
      <c r="O97" s="21">
        <f t="shared" si="7"/>
      </c>
      <c r="Q97" s="95">
        <f t="shared" si="22"/>
      </c>
      <c r="R97" s="94">
        <f t="shared" si="23"/>
      </c>
      <c r="S97" s="96">
        <f t="shared" si="8"/>
      </c>
      <c r="T97" s="21">
        <f t="shared" si="10"/>
      </c>
      <c r="U97" s="21">
        <f t="shared" si="24"/>
      </c>
      <c r="W97" s="95">
        <f t="shared" si="19"/>
      </c>
      <c r="X97" s="94">
        <f t="shared" si="25"/>
      </c>
      <c r="Y97" s="96">
        <f t="shared" si="26"/>
      </c>
      <c r="Z97" s="21">
        <f t="shared" si="20"/>
      </c>
      <c r="AA97" s="21">
        <f t="shared" si="21"/>
      </c>
      <c r="AB97" s="94">
        <f t="shared" si="27"/>
      </c>
      <c r="AC97" s="96">
        <f t="shared" si="28"/>
      </c>
      <c r="AD97" s="94">
        <f t="shared" si="29"/>
      </c>
      <c r="BA97" s="2">
        <f>IF(OR(往来单位!$B$100="",$AF$3=0),0,SUMIFS(期初余额!$R$5:$R$204,期初余额!$P$5:$P$204,往来单位!$B$100,期初余额!$Q$5:$Q$204,$C$3)+SUMIFS(应付登记!$G$5:$G$1004,应付登记!$D$5:$D$1004,往来单位!$B$100,应付登记!$E$5:$E$1004,$C$3,应付登记!$J$5:$J$1004,"&gt;="&amp;_辅助!$J$4,应付登记!$J$5:$J$1004,"&lt;="&amp;_辅助!$J$2))</f>
        <v>0</v>
      </c>
      <c r="BB97" s="2">
        <f>BB50+SUM(CA51:CA97)</f>
        <v>2</v>
      </c>
      <c r="BC97" s="2">
        <f>IF(OR(往来单位!$B$100="",$AF$3=0,NOT(OR(往来单位!$C$100="管理人员",往来单位!$C$100="工人"))),0,SUMIFS(考勤工资!$E$5:$E$1004,考勤工资!$C$5:$C$1004,往来单位!$B$100,考勤工资!$D$5:$D$1004,$C$3,考勤工资!$Y$5:$Y$1004,"&gt;="&amp;_辅助!$J$4,考勤工资!$Y$5:$Y$1004,"&lt;="&amp;_辅助!$J$2)+SUMIFS(考勤工资!$G$5:$G$1004,考勤工资!$C$5:$C$1004,往来单位!$B$100,考勤工资!$F$5:$F$1004,$C$3,考勤工资!$Y$5:$Y$1004,"&gt;="&amp;_辅助!$J$4,考勤工资!$Y$5:$Y$1004,"&lt;="&amp;_辅助!$J$2)+SUMIFS(考勤工资!$I$5:$I$1004,考勤工资!$C$5:$C$1004,往来单位!$B$100,考勤工资!$H$5:$H$1004,$C$3,考勤工资!$Y$5:$Y$1004,"&gt;="&amp;_辅助!$J$4,考勤工资!$Y$5:$Y$1004,"&lt;="&amp;_辅助!$J$2)+SUMIFS(考勤工资!$K$5:$K$1004,考勤工资!$C$5:$C$1004,往来单位!$B$100,考勤工资!$J$5:$J$1004,$C$3,考勤工资!$Y$5:$Y$1004,"&gt;="&amp;_辅助!$J$4,考勤工资!$Y$5:$Y$1004,"&lt;="&amp;_辅助!$J$2))</f>
        <v>0</v>
      </c>
      <c r="BD97" s="2">
        <f>IF(BC97=0,0,SUMIFS(考勤工资!$AC$5:$AC$1004,考勤工资!$C$5:$C$1004,往来单位!$B$100,考勤工资!$D$5:$D$1004,$C$3,考勤工资!$Y$5:$Y$1004,"&gt;="&amp;_辅助!$J$4,考勤工资!$Y$5:$Y$1004,"&lt;="&amp;_辅助!$J$2)+SUMIFS(考勤工资!$AD$5:$AD$1004,考勤工资!$C$5:$C$1004,往来单位!$B$100,考勤工资!$F$5:$F$1004,$C$3,考勤工资!$Y$5:$Y$1004,"&gt;="&amp;_辅助!$J$4,考勤工资!$Y$5:$Y$1004,"&lt;="&amp;_辅助!$J$2)+SUMIFS(考勤工资!$AE$5:$AE$1004,考勤工资!$C$5:$C$1004,往来单位!$B$100,考勤工资!$H$5:$H$1004,$C$3,考勤工资!$Y$5:$Y$1004,"&gt;="&amp;_辅助!$J$4,考勤工资!$Y$5:$Y$1004,"&lt;="&amp;_辅助!$J$2)+SUMIFS(考勤工资!$AF$5:$AF$1004,考勤工资!$C$5:$C$1004,往来单位!$B$100,考勤工资!$J$5:$J$1004,$C$3,考勤工资!$Y$5:$Y$1004,"&gt;="&amp;_辅助!$J$4,考勤工资!$Y$5:$Y$1004,"&lt;="&amp;_辅助!$J$2))</f>
        <v>0</v>
      </c>
      <c r="BE97" s="2">
        <f>BE50+SUM(CB51:CB97)</f>
        <v>0</v>
      </c>
      <c r="BF97" s="2">
        <f>IF(AND($AF$3&gt;0,发票登记!$T$100=$C$3,ISNUMBER(发票登记!$X$100),发票登记!$AB$100&lt;&gt;0,发票登记!$Y$100&gt;=_辅助!$J$4,发票登记!$Y$100&lt;=_辅助!$J$2),INT(发票登记!$X$100)*10000+96,"")</f>
      </c>
      <c r="BG97" s="2">
        <f>IF(AND($AF$3&gt;0,资金流水!$H$101=$C$3,ISNUMBER(资金流水!$B$101),ISNUMBER(资金流水!$S$101),资金流水!$S$101&gt;=_辅助!$J$4,资金流水!$S$101&lt;=_辅助!$J$2),INT(资金流水!$B$101)*10000+96,"")</f>
      </c>
      <c r="BH97" s="2">
        <f>IF(62&gt;$BE$300,0,IFERROR(MATCH(62,$BE$1:$BE$300,0),0))</f>
        <v>0</v>
      </c>
      <c r="BI97" s="2">
        <f>IF(62&gt;$BF$1,0,MOD(SMALL($BF$2:$BF$1001,62),10000))</f>
        <v>0</v>
      </c>
      <c r="BJ97" s="2">
        <f>IF(62&gt;$BG$1,0,MOD(SMALL($BG$2:$BG$2001,62),10000))</f>
        <v>0</v>
      </c>
      <c r="CA97" s="2">
        <f t="shared" si="0"/>
        <v>0</v>
      </c>
      <c r="CB97" s="2">
        <f t="shared" si="1"/>
        <v>0</v>
      </c>
    </row>
    <row r="98">
      <c r="I98" s="94">
        <f t="shared" si="3"/>
      </c>
      <c r="J98" s="21">
        <f t="shared" si="5"/>
      </c>
      <c r="K98" s="94" t="n"/>
      <c r="L98" s="135">
        <f t="shared" si="11"/>
      </c>
      <c r="M98" s="136">
        <f t="shared" si="12"/>
      </c>
      <c r="N98" s="94">
        <f t="shared" si="13"/>
      </c>
      <c r="O98" s="21">
        <f t="shared" si="7"/>
      </c>
      <c r="Q98" s="95">
        <f t="shared" si="22"/>
      </c>
      <c r="R98" s="94">
        <f t="shared" si="23"/>
      </c>
      <c r="S98" s="96">
        <f t="shared" si="8"/>
      </c>
      <c r="T98" s="21">
        <f t="shared" si="10"/>
      </c>
      <c r="U98" s="21">
        <f t="shared" si="24"/>
      </c>
      <c r="W98" s="95">
        <f t="shared" si="19"/>
      </c>
      <c r="X98" s="94">
        <f t="shared" si="25"/>
      </c>
      <c r="Y98" s="96">
        <f t="shared" si="26"/>
      </c>
      <c r="Z98" s="21">
        <f t="shared" si="20"/>
      </c>
      <c r="AA98" s="21">
        <f t="shared" si="21"/>
      </c>
      <c r="AB98" s="94">
        <f t="shared" si="27"/>
      </c>
      <c r="AC98" s="96">
        <f t="shared" si="28"/>
      </c>
      <c r="AD98" s="94">
        <f t="shared" si="29"/>
      </c>
      <c r="BA98" s="2">
        <f>IF(OR(往来单位!$B$101="",$AF$3=0),0,SUMIFS(期初余额!$R$5:$R$204,期初余额!$P$5:$P$204,往来单位!$B$101,期初余额!$Q$5:$Q$204,$C$3)+SUMIFS(应付登记!$G$5:$G$1004,应付登记!$D$5:$D$1004,往来单位!$B$101,应付登记!$E$5:$E$1004,$C$3,应付登记!$J$5:$J$1004,"&gt;="&amp;_辅助!$J$4,应付登记!$J$5:$J$1004,"&lt;="&amp;_辅助!$J$2))</f>
        <v>0</v>
      </c>
      <c r="BB98" s="2">
        <f>BB50+SUM(CA51:CA98)</f>
        <v>2</v>
      </c>
      <c r="BC98" s="2">
        <f>IF(OR(往来单位!$B$101="",$AF$3=0,NOT(OR(往来单位!$C$101="管理人员",往来单位!$C$101="工人"))),0,SUMIFS(考勤工资!$E$5:$E$1004,考勤工资!$C$5:$C$1004,往来单位!$B$101,考勤工资!$D$5:$D$1004,$C$3,考勤工资!$Y$5:$Y$1004,"&gt;="&amp;_辅助!$J$4,考勤工资!$Y$5:$Y$1004,"&lt;="&amp;_辅助!$J$2)+SUMIFS(考勤工资!$G$5:$G$1004,考勤工资!$C$5:$C$1004,往来单位!$B$101,考勤工资!$F$5:$F$1004,$C$3,考勤工资!$Y$5:$Y$1004,"&gt;="&amp;_辅助!$J$4,考勤工资!$Y$5:$Y$1004,"&lt;="&amp;_辅助!$J$2)+SUMIFS(考勤工资!$I$5:$I$1004,考勤工资!$C$5:$C$1004,往来单位!$B$101,考勤工资!$H$5:$H$1004,$C$3,考勤工资!$Y$5:$Y$1004,"&gt;="&amp;_辅助!$J$4,考勤工资!$Y$5:$Y$1004,"&lt;="&amp;_辅助!$J$2)+SUMIFS(考勤工资!$K$5:$K$1004,考勤工资!$C$5:$C$1004,往来单位!$B$101,考勤工资!$J$5:$J$1004,$C$3,考勤工资!$Y$5:$Y$1004,"&gt;="&amp;_辅助!$J$4,考勤工资!$Y$5:$Y$1004,"&lt;="&amp;_辅助!$J$2))</f>
        <v>0</v>
      </c>
      <c r="BD98" s="2">
        <f>IF(BC98=0,0,SUMIFS(考勤工资!$AC$5:$AC$1004,考勤工资!$C$5:$C$1004,往来单位!$B$101,考勤工资!$D$5:$D$1004,$C$3,考勤工资!$Y$5:$Y$1004,"&gt;="&amp;_辅助!$J$4,考勤工资!$Y$5:$Y$1004,"&lt;="&amp;_辅助!$J$2)+SUMIFS(考勤工资!$AD$5:$AD$1004,考勤工资!$C$5:$C$1004,往来单位!$B$101,考勤工资!$F$5:$F$1004,$C$3,考勤工资!$Y$5:$Y$1004,"&gt;="&amp;_辅助!$J$4,考勤工资!$Y$5:$Y$1004,"&lt;="&amp;_辅助!$J$2)+SUMIFS(考勤工资!$AE$5:$AE$1004,考勤工资!$C$5:$C$1004,往来单位!$B$101,考勤工资!$H$5:$H$1004,$C$3,考勤工资!$Y$5:$Y$1004,"&gt;="&amp;_辅助!$J$4,考勤工资!$Y$5:$Y$1004,"&lt;="&amp;_辅助!$J$2)+SUMIFS(考勤工资!$AF$5:$AF$1004,考勤工资!$C$5:$C$1004,往来单位!$B$101,考勤工资!$J$5:$J$1004,$C$3,考勤工资!$Y$5:$Y$1004,"&gt;="&amp;_辅助!$J$4,考勤工资!$Y$5:$Y$1004,"&lt;="&amp;_辅助!$J$2))</f>
        <v>0</v>
      </c>
      <c r="BE98" s="2">
        <f>BE50+SUM(CB51:CB98)</f>
        <v>0</v>
      </c>
      <c r="BF98" s="2">
        <f>IF(AND($AF$3&gt;0,发票登记!$T$101=$C$3,ISNUMBER(发票登记!$X$101),发票登记!$AB$101&lt;&gt;0,发票登记!$Y$101&gt;=_辅助!$J$4,发票登记!$Y$101&lt;=_辅助!$J$2),INT(发票登记!$X$101)*10000+97,"")</f>
      </c>
      <c r="BG98" s="2">
        <f>IF(AND($AF$3&gt;0,资金流水!$H$102=$C$3,ISNUMBER(资金流水!$B$102),ISNUMBER(资金流水!$S$102),资金流水!$S$102&gt;=_辅助!$J$4,资金流水!$S$102&lt;=_辅助!$J$2),INT(资金流水!$B$102)*10000+97,"")</f>
      </c>
      <c r="BH98" s="2">
        <f>IF(63&gt;$BE$300,0,IFERROR(MATCH(63,$BE$1:$BE$300,0),0))</f>
        <v>0</v>
      </c>
      <c r="BI98" s="2">
        <f>IF(63&gt;$BF$1,0,MOD(SMALL($BF$2:$BF$1001,63),10000))</f>
        <v>0</v>
      </c>
      <c r="BJ98" s="2">
        <f>IF(63&gt;$BG$1,0,MOD(SMALL($BG$2:$BG$2001,63),10000))</f>
        <v>0</v>
      </c>
      <c r="CA98" s="2">
        <f t="shared" si="0"/>
        <v>0</v>
      </c>
      <c r="CB98" s="2">
        <f t="shared" si="1"/>
        <v>0</v>
      </c>
    </row>
    <row r="99">
      <c r="I99" s="94">
        <f t="shared" si="3"/>
      </c>
      <c r="J99" s="21">
        <f t="shared" si="5"/>
      </c>
      <c r="K99" s="94" t="n"/>
      <c r="L99" s="135">
        <f t="shared" si="11"/>
      </c>
      <c r="M99" s="136">
        <f t="shared" si="12"/>
      </c>
      <c r="N99" s="94">
        <f t="shared" si="13"/>
      </c>
      <c r="O99" s="21">
        <f t="shared" si="7"/>
      </c>
      <c r="Q99" s="95">
        <f t="shared" si="22"/>
      </c>
      <c r="R99" s="94">
        <f t="shared" si="23"/>
      </c>
      <c r="S99" s="96">
        <f t="shared" si="8"/>
      </c>
      <c r="T99" s="21">
        <f t="shared" si="10"/>
      </c>
      <c r="U99" s="21">
        <f t="shared" si="24"/>
      </c>
      <c r="W99" s="95">
        <f t="shared" si="19"/>
      </c>
      <c r="X99" s="94">
        <f t="shared" si="25"/>
      </c>
      <c r="Y99" s="96">
        <f t="shared" si="26"/>
      </c>
      <c r="Z99" s="21">
        <f t="shared" si="20"/>
      </c>
      <c r="AA99" s="21">
        <f t="shared" si="21"/>
      </c>
      <c r="AB99" s="94">
        <f t="shared" si="27"/>
      </c>
      <c r="AC99" s="96">
        <f t="shared" si="28"/>
      </c>
      <c r="AD99" s="94">
        <f t="shared" si="29"/>
      </c>
      <c r="BA99" s="2">
        <f>IF(OR(往来单位!$B$102="",$AF$3=0),0,SUMIFS(期初余额!$R$5:$R$204,期初余额!$P$5:$P$204,往来单位!$B$102,期初余额!$Q$5:$Q$204,$C$3)+SUMIFS(应付登记!$G$5:$G$1004,应付登记!$D$5:$D$1004,往来单位!$B$102,应付登记!$E$5:$E$1004,$C$3,应付登记!$J$5:$J$1004,"&gt;="&amp;_辅助!$J$4,应付登记!$J$5:$J$1004,"&lt;="&amp;_辅助!$J$2))</f>
        <v>0</v>
      </c>
      <c r="BB99" s="2">
        <f>BB50+SUM(CA51:CA99)</f>
        <v>2</v>
      </c>
      <c r="BC99" s="2">
        <f>IF(OR(往来单位!$B$102="",$AF$3=0,NOT(OR(往来单位!$C$102="管理人员",往来单位!$C$102="工人"))),0,SUMIFS(考勤工资!$E$5:$E$1004,考勤工资!$C$5:$C$1004,往来单位!$B$102,考勤工资!$D$5:$D$1004,$C$3,考勤工资!$Y$5:$Y$1004,"&gt;="&amp;_辅助!$J$4,考勤工资!$Y$5:$Y$1004,"&lt;="&amp;_辅助!$J$2)+SUMIFS(考勤工资!$G$5:$G$1004,考勤工资!$C$5:$C$1004,往来单位!$B$102,考勤工资!$F$5:$F$1004,$C$3,考勤工资!$Y$5:$Y$1004,"&gt;="&amp;_辅助!$J$4,考勤工资!$Y$5:$Y$1004,"&lt;="&amp;_辅助!$J$2)+SUMIFS(考勤工资!$I$5:$I$1004,考勤工资!$C$5:$C$1004,往来单位!$B$102,考勤工资!$H$5:$H$1004,$C$3,考勤工资!$Y$5:$Y$1004,"&gt;="&amp;_辅助!$J$4,考勤工资!$Y$5:$Y$1004,"&lt;="&amp;_辅助!$J$2)+SUMIFS(考勤工资!$K$5:$K$1004,考勤工资!$C$5:$C$1004,往来单位!$B$102,考勤工资!$J$5:$J$1004,$C$3,考勤工资!$Y$5:$Y$1004,"&gt;="&amp;_辅助!$J$4,考勤工资!$Y$5:$Y$1004,"&lt;="&amp;_辅助!$J$2))</f>
        <v>0</v>
      </c>
      <c r="BD99" s="2">
        <f>IF(BC99=0,0,SUMIFS(考勤工资!$AC$5:$AC$1004,考勤工资!$C$5:$C$1004,往来单位!$B$102,考勤工资!$D$5:$D$1004,$C$3,考勤工资!$Y$5:$Y$1004,"&gt;="&amp;_辅助!$J$4,考勤工资!$Y$5:$Y$1004,"&lt;="&amp;_辅助!$J$2)+SUMIFS(考勤工资!$AD$5:$AD$1004,考勤工资!$C$5:$C$1004,往来单位!$B$102,考勤工资!$F$5:$F$1004,$C$3,考勤工资!$Y$5:$Y$1004,"&gt;="&amp;_辅助!$J$4,考勤工资!$Y$5:$Y$1004,"&lt;="&amp;_辅助!$J$2)+SUMIFS(考勤工资!$AE$5:$AE$1004,考勤工资!$C$5:$C$1004,往来单位!$B$102,考勤工资!$H$5:$H$1004,$C$3,考勤工资!$Y$5:$Y$1004,"&gt;="&amp;_辅助!$J$4,考勤工资!$Y$5:$Y$1004,"&lt;="&amp;_辅助!$J$2)+SUMIFS(考勤工资!$AF$5:$AF$1004,考勤工资!$C$5:$C$1004,往来单位!$B$102,考勤工资!$J$5:$J$1004,$C$3,考勤工资!$Y$5:$Y$1004,"&gt;="&amp;_辅助!$J$4,考勤工资!$Y$5:$Y$1004,"&lt;="&amp;_辅助!$J$2))</f>
        <v>0</v>
      </c>
      <c r="BE99" s="2">
        <f>BE50+SUM(CB51:CB99)</f>
        <v>0</v>
      </c>
      <c r="BF99" s="2">
        <f>IF(AND($AF$3&gt;0,发票登记!$T$102=$C$3,ISNUMBER(发票登记!$X$102),发票登记!$AB$102&lt;&gt;0,发票登记!$Y$102&gt;=_辅助!$J$4,发票登记!$Y$102&lt;=_辅助!$J$2),INT(发票登记!$X$102)*10000+98,"")</f>
      </c>
      <c r="BG99" s="2">
        <f>IF(AND($AF$3&gt;0,资金流水!$H$103=$C$3,ISNUMBER(资金流水!$B$103),ISNUMBER(资金流水!$S$103),资金流水!$S$103&gt;=_辅助!$J$4,资金流水!$S$103&lt;=_辅助!$J$2),INT(资金流水!$B$103)*10000+98,"")</f>
      </c>
      <c r="BH99" s="2">
        <f>IF(64&gt;$BE$300,0,IFERROR(MATCH(64,$BE$1:$BE$300,0),0))</f>
        <v>0</v>
      </c>
      <c r="BI99" s="2">
        <f>IF(64&gt;$BF$1,0,MOD(SMALL($BF$2:$BF$1001,64),10000))</f>
        <v>0</v>
      </c>
      <c r="BJ99" s="2">
        <f>IF(64&gt;$BG$1,0,MOD(SMALL($BG$2:$BG$2001,64),10000))</f>
        <v>0</v>
      </c>
      <c r="CA99" s="2">
        <f t="shared" si="0"/>
        <v>0</v>
      </c>
      <c r="CB99" s="2">
        <f t="shared" si="1"/>
        <v>0</v>
      </c>
    </row>
    <row r="100">
      <c r="I100" s="94">
        <f t="shared" si="3"/>
      </c>
      <c r="J100" s="21">
        <f t="shared" si="5"/>
      </c>
      <c r="K100" s="94" t="n"/>
      <c r="L100" s="135">
        <f t="shared" si="11"/>
      </c>
      <c r="M100" s="136">
        <f t="shared" si="12"/>
      </c>
      <c r="N100" s="94">
        <f t="shared" si="13"/>
      </c>
      <c r="O100" s="21">
        <f t="shared" si="7"/>
      </c>
      <c r="Q100" s="95">
        <f t="shared" si="22"/>
      </c>
      <c r="R100" s="94">
        <f t="shared" si="23"/>
      </c>
      <c r="S100" s="96">
        <f t="shared" si="8"/>
      </c>
      <c r="T100" s="21">
        <f t="shared" si="10"/>
      </c>
      <c r="U100" s="21">
        <f t="shared" si="24"/>
      </c>
      <c r="W100" s="95">
        <f t="shared" si="19"/>
      </c>
      <c r="X100" s="94">
        <f t="shared" si="25"/>
      </c>
      <c r="Y100" s="96">
        <f t="shared" si="26"/>
      </c>
      <c r="Z100" s="21">
        <f t="shared" si="20"/>
      </c>
      <c r="AA100" s="21">
        <f t="shared" si="21"/>
      </c>
      <c r="AB100" s="94">
        <f t="shared" si="27"/>
      </c>
      <c r="AC100" s="96">
        <f t="shared" si="28"/>
      </c>
      <c r="AD100" s="94">
        <f t="shared" si="29"/>
      </c>
      <c r="BA100" s="2">
        <f>IF(OR(往来单位!$B$103="",$AF$3=0),0,SUMIFS(期初余额!$R$5:$R$204,期初余额!$P$5:$P$204,往来单位!$B$103,期初余额!$Q$5:$Q$204,$C$3)+SUMIFS(应付登记!$G$5:$G$1004,应付登记!$D$5:$D$1004,往来单位!$B$103,应付登记!$E$5:$E$1004,$C$3,应付登记!$J$5:$J$1004,"&gt;="&amp;_辅助!$J$4,应付登记!$J$5:$J$1004,"&lt;="&amp;_辅助!$J$2))</f>
        <v>0</v>
      </c>
      <c r="BB100" s="2">
        <f>BB50+SUM(CA51:CA100)</f>
        <v>2</v>
      </c>
      <c r="BC100" s="2">
        <f>IF(OR(往来单位!$B$103="",$AF$3=0,NOT(OR(往来单位!$C$103="管理人员",往来单位!$C$103="工人"))),0,SUMIFS(考勤工资!$E$5:$E$1004,考勤工资!$C$5:$C$1004,往来单位!$B$103,考勤工资!$D$5:$D$1004,$C$3,考勤工资!$Y$5:$Y$1004,"&gt;="&amp;_辅助!$J$4,考勤工资!$Y$5:$Y$1004,"&lt;="&amp;_辅助!$J$2)+SUMIFS(考勤工资!$G$5:$G$1004,考勤工资!$C$5:$C$1004,往来单位!$B$103,考勤工资!$F$5:$F$1004,$C$3,考勤工资!$Y$5:$Y$1004,"&gt;="&amp;_辅助!$J$4,考勤工资!$Y$5:$Y$1004,"&lt;="&amp;_辅助!$J$2)+SUMIFS(考勤工资!$I$5:$I$1004,考勤工资!$C$5:$C$1004,往来单位!$B$103,考勤工资!$H$5:$H$1004,$C$3,考勤工资!$Y$5:$Y$1004,"&gt;="&amp;_辅助!$J$4,考勤工资!$Y$5:$Y$1004,"&lt;="&amp;_辅助!$J$2)+SUMIFS(考勤工资!$K$5:$K$1004,考勤工资!$C$5:$C$1004,往来单位!$B$103,考勤工资!$J$5:$J$1004,$C$3,考勤工资!$Y$5:$Y$1004,"&gt;="&amp;_辅助!$J$4,考勤工资!$Y$5:$Y$1004,"&lt;="&amp;_辅助!$J$2))</f>
        <v>0</v>
      </c>
      <c r="BD100" s="2">
        <f>IF(BC100=0,0,SUMIFS(考勤工资!$AC$5:$AC$1004,考勤工资!$C$5:$C$1004,往来单位!$B$103,考勤工资!$D$5:$D$1004,$C$3,考勤工资!$Y$5:$Y$1004,"&gt;="&amp;_辅助!$J$4,考勤工资!$Y$5:$Y$1004,"&lt;="&amp;_辅助!$J$2)+SUMIFS(考勤工资!$AD$5:$AD$1004,考勤工资!$C$5:$C$1004,往来单位!$B$103,考勤工资!$F$5:$F$1004,$C$3,考勤工资!$Y$5:$Y$1004,"&gt;="&amp;_辅助!$J$4,考勤工资!$Y$5:$Y$1004,"&lt;="&amp;_辅助!$J$2)+SUMIFS(考勤工资!$AE$5:$AE$1004,考勤工资!$C$5:$C$1004,往来单位!$B$103,考勤工资!$H$5:$H$1004,$C$3,考勤工资!$Y$5:$Y$1004,"&gt;="&amp;_辅助!$J$4,考勤工资!$Y$5:$Y$1004,"&lt;="&amp;_辅助!$J$2)+SUMIFS(考勤工资!$AF$5:$AF$1004,考勤工资!$C$5:$C$1004,往来单位!$B$103,考勤工资!$J$5:$J$1004,$C$3,考勤工资!$Y$5:$Y$1004,"&gt;="&amp;_辅助!$J$4,考勤工资!$Y$5:$Y$1004,"&lt;="&amp;_辅助!$J$2))</f>
        <v>0</v>
      </c>
      <c r="BE100" s="2">
        <f>BE50+SUM(CB51:CB100)</f>
        <v>0</v>
      </c>
      <c r="BF100" s="2">
        <f>IF(AND($AF$3&gt;0,发票登记!$T$103=$C$3,ISNUMBER(发票登记!$X$103),发票登记!$AB$103&lt;&gt;0,发票登记!$Y$103&gt;=_辅助!$J$4,发票登记!$Y$103&lt;=_辅助!$J$2),INT(发票登记!$X$103)*10000+99,"")</f>
      </c>
      <c r="BG100" s="2">
        <f>IF(AND($AF$3&gt;0,资金流水!$H$104=$C$3,ISNUMBER(资金流水!$B$104),ISNUMBER(资金流水!$S$104),资金流水!$S$104&gt;=_辅助!$J$4,资金流水!$S$104&lt;=_辅助!$J$2),INT(资金流水!$B$104)*10000+99,"")</f>
      </c>
      <c r="BH100" s="2">
        <f>IF(65&gt;$BE$300,0,IFERROR(MATCH(65,$BE$1:$BE$300,0),0))</f>
        <v>0</v>
      </c>
      <c r="BI100" s="2">
        <f>IF(65&gt;$BF$1,0,MOD(SMALL($BF$2:$BF$1001,65),10000))</f>
        <v>0</v>
      </c>
      <c r="BJ100" s="2">
        <f>IF(65&gt;$BG$1,0,MOD(SMALL($BG$2:$BG$2001,65),10000))</f>
        <v>0</v>
      </c>
      <c r="CA100" s="2">
        <f t="shared" si="0"/>
        <v>0</v>
      </c>
      <c r="CB100" s="2">
        <f t="shared" si="1"/>
        <v>0</v>
      </c>
    </row>
    <row r="101">
      <c r="I101" s="94">
        <f t="shared" si="3"/>
      </c>
      <c r="J101" s="21">
        <f t="shared" si="5"/>
      </c>
      <c r="K101" s="94" t="n"/>
      <c r="L101" s="135">
        <f t="shared" si="11"/>
      </c>
      <c r="M101" s="136">
        <f t="shared" si="12"/>
      </c>
      <c r="N101" s="94">
        <f t="shared" si="13"/>
      </c>
      <c r="O101" s="21">
        <f t="shared" si="7"/>
      </c>
      <c r="Q101" s="95">
        <f t="shared" si="22"/>
      </c>
      <c r="R101" s="94">
        <f t="shared" si="23"/>
      </c>
      <c r="S101" s="96">
        <f t="shared" si="8"/>
      </c>
      <c r="T101" s="21">
        <f t="shared" si="10"/>
      </c>
      <c r="U101" s="21">
        <f t="shared" si="24"/>
      </c>
      <c r="W101" s="95">
        <f t="shared" si="19"/>
      </c>
      <c r="X101" s="94">
        <f t="shared" si="25"/>
      </c>
      <c r="Y101" s="96">
        <f t="shared" si="26"/>
      </c>
      <c r="Z101" s="21">
        <f t="shared" si="20"/>
      </c>
      <c r="AA101" s="21">
        <f t="shared" si="21"/>
      </c>
      <c r="AB101" s="94">
        <f t="shared" si="27"/>
      </c>
      <c r="AC101" s="96">
        <f t="shared" si="28"/>
      </c>
      <c r="AD101" s="94">
        <f t="shared" si="29"/>
      </c>
      <c r="BA101" s="2">
        <f>IF(OR(往来单位!$B$104="",$AF$3=0),0,SUMIFS(期初余额!$R$5:$R$204,期初余额!$P$5:$P$204,往来单位!$B$104,期初余额!$Q$5:$Q$204,$C$3)+SUMIFS(应付登记!$G$5:$G$1004,应付登记!$D$5:$D$1004,往来单位!$B$104,应付登记!$E$5:$E$1004,$C$3,应付登记!$J$5:$J$1004,"&gt;="&amp;_辅助!$J$4,应付登记!$J$5:$J$1004,"&lt;="&amp;_辅助!$J$2))</f>
        <v>0</v>
      </c>
      <c r="BB101" s="2">
        <f>BB100+SUM(CA101:CA101)</f>
        <v>2</v>
      </c>
      <c r="BC101" s="2">
        <f>IF(OR(往来单位!$B$104="",$AF$3=0,NOT(OR(往来单位!$C$104="管理人员",往来单位!$C$104="工人"))),0,SUMIFS(考勤工资!$E$5:$E$1004,考勤工资!$C$5:$C$1004,往来单位!$B$104,考勤工资!$D$5:$D$1004,$C$3,考勤工资!$Y$5:$Y$1004,"&gt;="&amp;_辅助!$J$4,考勤工资!$Y$5:$Y$1004,"&lt;="&amp;_辅助!$J$2)+SUMIFS(考勤工资!$G$5:$G$1004,考勤工资!$C$5:$C$1004,往来单位!$B$104,考勤工资!$F$5:$F$1004,$C$3,考勤工资!$Y$5:$Y$1004,"&gt;="&amp;_辅助!$J$4,考勤工资!$Y$5:$Y$1004,"&lt;="&amp;_辅助!$J$2)+SUMIFS(考勤工资!$I$5:$I$1004,考勤工资!$C$5:$C$1004,往来单位!$B$104,考勤工资!$H$5:$H$1004,$C$3,考勤工资!$Y$5:$Y$1004,"&gt;="&amp;_辅助!$J$4,考勤工资!$Y$5:$Y$1004,"&lt;="&amp;_辅助!$J$2)+SUMIFS(考勤工资!$K$5:$K$1004,考勤工资!$C$5:$C$1004,往来单位!$B$104,考勤工资!$J$5:$J$1004,$C$3,考勤工资!$Y$5:$Y$1004,"&gt;="&amp;_辅助!$J$4,考勤工资!$Y$5:$Y$1004,"&lt;="&amp;_辅助!$J$2))</f>
        <v>0</v>
      </c>
      <c r="BD101" s="2">
        <f>IF(BC101=0,0,SUMIFS(考勤工资!$AC$5:$AC$1004,考勤工资!$C$5:$C$1004,往来单位!$B$104,考勤工资!$D$5:$D$1004,$C$3,考勤工资!$Y$5:$Y$1004,"&gt;="&amp;_辅助!$J$4,考勤工资!$Y$5:$Y$1004,"&lt;="&amp;_辅助!$J$2)+SUMIFS(考勤工资!$AD$5:$AD$1004,考勤工资!$C$5:$C$1004,往来单位!$B$104,考勤工资!$F$5:$F$1004,$C$3,考勤工资!$Y$5:$Y$1004,"&gt;="&amp;_辅助!$J$4,考勤工资!$Y$5:$Y$1004,"&lt;="&amp;_辅助!$J$2)+SUMIFS(考勤工资!$AE$5:$AE$1004,考勤工资!$C$5:$C$1004,往来单位!$B$104,考勤工资!$H$5:$H$1004,$C$3,考勤工资!$Y$5:$Y$1004,"&gt;="&amp;_辅助!$J$4,考勤工资!$Y$5:$Y$1004,"&lt;="&amp;_辅助!$J$2)+SUMIFS(考勤工资!$AF$5:$AF$1004,考勤工资!$C$5:$C$1004,往来单位!$B$104,考勤工资!$J$5:$J$1004,$C$3,考勤工资!$Y$5:$Y$1004,"&gt;="&amp;_辅助!$J$4,考勤工资!$Y$5:$Y$1004,"&lt;="&amp;_辅助!$J$2))</f>
        <v>0</v>
      </c>
      <c r="BE101" s="2">
        <f>BE100+SUM(CB101:CB101)</f>
        <v>0</v>
      </c>
      <c r="BF101" s="2">
        <f>IF(AND($AF$3&gt;0,发票登记!$T$104=$C$3,ISNUMBER(发票登记!$X$104),发票登记!$AB$104&lt;&gt;0,发票登记!$Y$104&gt;=_辅助!$J$4,发票登记!$Y$104&lt;=_辅助!$J$2),INT(发票登记!$X$104)*10000+100,"")</f>
      </c>
      <c r="BG101" s="2">
        <f>IF(AND($AF$3&gt;0,资金流水!$H$105=$C$3,ISNUMBER(资金流水!$B$105),ISNUMBER(资金流水!$S$105),资金流水!$S$105&gt;=_辅助!$J$4,资金流水!$S$105&lt;=_辅助!$J$2),INT(资金流水!$B$105)*10000+100,"")</f>
      </c>
      <c r="BH101" s="2">
        <f>IF(66&gt;$BE$300,0,IFERROR(MATCH(66,$BE$1:$BE$300,0),0))</f>
        <v>0</v>
      </c>
      <c r="BI101" s="2">
        <f>IF(66&gt;$BF$1,0,MOD(SMALL($BF$2:$BF$1001,66),10000))</f>
        <v>0</v>
      </c>
      <c r="BJ101" s="2">
        <f>IF(66&gt;$BG$1,0,MOD(SMALL($BG$2:$BG$2001,66),10000))</f>
        <v>0</v>
      </c>
      <c r="CA101" s="2">
        <f t="shared" si="0"/>
        <v>0</v>
      </c>
      <c r="CB101" s="2">
        <f t="shared" si="1"/>
        <v>0</v>
      </c>
    </row>
    <row r="102">
      <c r="I102" s="94">
        <f t="shared" si="3"/>
      </c>
      <c r="J102" s="21">
        <f t="shared" si="5"/>
      </c>
      <c r="K102" s="94" t="n"/>
      <c r="L102" s="135">
        <f t="shared" si="11"/>
      </c>
      <c r="M102" s="136">
        <f t="shared" si="12"/>
      </c>
      <c r="N102" s="94">
        <f t="shared" si="13"/>
      </c>
      <c r="O102" s="21">
        <f t="shared" si="7"/>
      </c>
      <c r="Q102" s="95">
        <f t="shared" si="22"/>
      </c>
      <c r="R102" s="94">
        <f t="shared" si="23"/>
      </c>
      <c r="S102" s="96">
        <f t="shared" si="8"/>
      </c>
      <c r="T102" s="21">
        <f t="shared" si="10"/>
      </c>
      <c r="U102" s="21">
        <f t="shared" si="24"/>
      </c>
      <c r="W102" s="95">
        <f t="shared" si="19"/>
      </c>
      <c r="X102" s="94">
        <f t="shared" si="25"/>
      </c>
      <c r="Y102" s="96">
        <f t="shared" si="26"/>
      </c>
      <c r="Z102" s="21">
        <f t="shared" si="20"/>
      </c>
      <c r="AA102" s="21">
        <f t="shared" si="21"/>
      </c>
      <c r="AB102" s="94">
        <f t="shared" si="27"/>
      </c>
      <c r="AC102" s="96">
        <f t="shared" si="28"/>
      </c>
      <c r="AD102" s="94">
        <f t="shared" si="29"/>
      </c>
      <c r="BA102" s="2">
        <f>IF(OR(往来单位!$B$105="",$AF$3=0),0,SUMIFS(期初余额!$R$5:$R$204,期初余额!$P$5:$P$204,往来单位!$B$105,期初余额!$Q$5:$Q$204,$C$3)+SUMIFS(应付登记!$G$5:$G$1004,应付登记!$D$5:$D$1004,往来单位!$B$105,应付登记!$E$5:$E$1004,$C$3,应付登记!$J$5:$J$1004,"&gt;="&amp;_辅助!$J$4,应付登记!$J$5:$J$1004,"&lt;="&amp;_辅助!$J$2))</f>
        <v>0</v>
      </c>
      <c r="BB102" s="2">
        <f>BB100+SUM(CA101:CA102)</f>
        <v>2</v>
      </c>
      <c r="BC102" s="2">
        <f>IF(OR(往来单位!$B$105="",$AF$3=0,NOT(OR(往来单位!$C$105="管理人员",往来单位!$C$105="工人"))),0,SUMIFS(考勤工资!$E$5:$E$1004,考勤工资!$C$5:$C$1004,往来单位!$B$105,考勤工资!$D$5:$D$1004,$C$3,考勤工资!$Y$5:$Y$1004,"&gt;="&amp;_辅助!$J$4,考勤工资!$Y$5:$Y$1004,"&lt;="&amp;_辅助!$J$2)+SUMIFS(考勤工资!$G$5:$G$1004,考勤工资!$C$5:$C$1004,往来单位!$B$105,考勤工资!$F$5:$F$1004,$C$3,考勤工资!$Y$5:$Y$1004,"&gt;="&amp;_辅助!$J$4,考勤工资!$Y$5:$Y$1004,"&lt;="&amp;_辅助!$J$2)+SUMIFS(考勤工资!$I$5:$I$1004,考勤工资!$C$5:$C$1004,往来单位!$B$105,考勤工资!$H$5:$H$1004,$C$3,考勤工资!$Y$5:$Y$1004,"&gt;="&amp;_辅助!$J$4,考勤工资!$Y$5:$Y$1004,"&lt;="&amp;_辅助!$J$2)+SUMIFS(考勤工资!$K$5:$K$1004,考勤工资!$C$5:$C$1004,往来单位!$B$105,考勤工资!$J$5:$J$1004,$C$3,考勤工资!$Y$5:$Y$1004,"&gt;="&amp;_辅助!$J$4,考勤工资!$Y$5:$Y$1004,"&lt;="&amp;_辅助!$J$2))</f>
        <v>0</v>
      </c>
      <c r="BD102" s="2">
        <f>IF(BC102=0,0,SUMIFS(考勤工资!$AC$5:$AC$1004,考勤工资!$C$5:$C$1004,往来单位!$B$105,考勤工资!$D$5:$D$1004,$C$3,考勤工资!$Y$5:$Y$1004,"&gt;="&amp;_辅助!$J$4,考勤工资!$Y$5:$Y$1004,"&lt;="&amp;_辅助!$J$2)+SUMIFS(考勤工资!$AD$5:$AD$1004,考勤工资!$C$5:$C$1004,往来单位!$B$105,考勤工资!$F$5:$F$1004,$C$3,考勤工资!$Y$5:$Y$1004,"&gt;="&amp;_辅助!$J$4,考勤工资!$Y$5:$Y$1004,"&lt;="&amp;_辅助!$J$2)+SUMIFS(考勤工资!$AE$5:$AE$1004,考勤工资!$C$5:$C$1004,往来单位!$B$105,考勤工资!$H$5:$H$1004,$C$3,考勤工资!$Y$5:$Y$1004,"&gt;="&amp;_辅助!$J$4,考勤工资!$Y$5:$Y$1004,"&lt;="&amp;_辅助!$J$2)+SUMIFS(考勤工资!$AF$5:$AF$1004,考勤工资!$C$5:$C$1004,往来单位!$B$105,考勤工资!$J$5:$J$1004,$C$3,考勤工资!$Y$5:$Y$1004,"&gt;="&amp;_辅助!$J$4,考勤工资!$Y$5:$Y$1004,"&lt;="&amp;_辅助!$J$2))</f>
        <v>0</v>
      </c>
      <c r="BE102" s="2">
        <f>BE100+SUM(CB101:CB102)</f>
        <v>0</v>
      </c>
      <c r="BF102" s="2">
        <f>IF(AND($AF$3&gt;0,发票登记!$T$105=$C$3,ISNUMBER(发票登记!$X$105),发票登记!$AB$105&lt;&gt;0,发票登记!$Y$105&gt;=_辅助!$J$4,发票登记!$Y$105&lt;=_辅助!$J$2),INT(发票登记!$X$105)*10000+101,"")</f>
      </c>
      <c r="BG102" s="2">
        <f>IF(AND($AF$3&gt;0,资金流水!$H$106=$C$3,ISNUMBER(资金流水!$B$106),ISNUMBER(资金流水!$S$106),资金流水!$S$106&gt;=_辅助!$J$4,资金流水!$S$106&lt;=_辅助!$J$2),INT(资金流水!$B$106)*10000+101,"")</f>
      </c>
      <c r="BH102" s="2">
        <f>IF(67&gt;$BE$300,0,IFERROR(MATCH(67,$BE$1:$BE$300,0),0))</f>
        <v>0</v>
      </c>
      <c r="BI102" s="2">
        <f>IF(67&gt;$BF$1,0,MOD(SMALL($BF$2:$BF$1001,67),10000))</f>
        <v>0</v>
      </c>
      <c r="BJ102" s="2">
        <f>IF(67&gt;$BG$1,0,MOD(SMALL($BG$2:$BG$2001,67),10000))</f>
        <v>0</v>
      </c>
      <c r="CA102" s="2">
        <f t="shared" si="0"/>
        <v>0</v>
      </c>
      <c r="CB102" s="2">
        <f t="shared" si="1"/>
        <v>0</v>
      </c>
    </row>
    <row r="103">
      <c r="I103" s="94">
        <f t="shared" si="3"/>
      </c>
      <c r="J103" s="21">
        <f t="shared" si="5"/>
      </c>
      <c r="K103" s="94" t="n"/>
      <c r="L103" s="135">
        <f t="shared" si="11"/>
      </c>
      <c r="M103" s="136">
        <f t="shared" si="12"/>
      </c>
      <c r="N103" s="94">
        <f t="shared" si="13"/>
      </c>
      <c r="O103" s="21">
        <f t="shared" si="7"/>
      </c>
      <c r="Q103" s="95">
        <f t="shared" si="22"/>
      </c>
      <c r="R103" s="94">
        <f t="shared" si="23"/>
      </c>
      <c r="S103" s="96">
        <f t="shared" si="8"/>
      </c>
      <c r="T103" s="21">
        <f t="shared" si="10"/>
      </c>
      <c r="U103" s="21">
        <f t="shared" si="24"/>
      </c>
      <c r="W103" s="95">
        <f t="shared" si="19"/>
      </c>
      <c r="X103" s="94">
        <f t="shared" si="25"/>
      </c>
      <c r="Y103" s="96">
        <f t="shared" si="26"/>
      </c>
      <c r="Z103" s="21">
        <f t="shared" si="20"/>
      </c>
      <c r="AA103" s="21">
        <f t="shared" si="21"/>
      </c>
      <c r="AB103" s="94">
        <f t="shared" si="27"/>
      </c>
      <c r="AC103" s="96">
        <f t="shared" si="28"/>
      </c>
      <c r="AD103" s="94">
        <f t="shared" si="29"/>
      </c>
      <c r="BA103" s="2">
        <f>IF(OR(往来单位!$B$106="",$AF$3=0),0,SUMIFS(期初余额!$R$5:$R$204,期初余额!$P$5:$P$204,往来单位!$B$106,期初余额!$Q$5:$Q$204,$C$3)+SUMIFS(应付登记!$G$5:$G$1004,应付登记!$D$5:$D$1004,往来单位!$B$106,应付登记!$E$5:$E$1004,$C$3,应付登记!$J$5:$J$1004,"&gt;="&amp;_辅助!$J$4,应付登记!$J$5:$J$1004,"&lt;="&amp;_辅助!$J$2))</f>
        <v>0</v>
      </c>
      <c r="BB103" s="2">
        <f>BB100+SUM(CA101:CA103)</f>
        <v>2</v>
      </c>
      <c r="BC103" s="2">
        <f>IF(OR(往来单位!$B$106="",$AF$3=0,NOT(OR(往来单位!$C$106="管理人员",往来单位!$C$106="工人"))),0,SUMIFS(考勤工资!$E$5:$E$1004,考勤工资!$C$5:$C$1004,往来单位!$B$106,考勤工资!$D$5:$D$1004,$C$3,考勤工资!$Y$5:$Y$1004,"&gt;="&amp;_辅助!$J$4,考勤工资!$Y$5:$Y$1004,"&lt;="&amp;_辅助!$J$2)+SUMIFS(考勤工资!$G$5:$G$1004,考勤工资!$C$5:$C$1004,往来单位!$B$106,考勤工资!$F$5:$F$1004,$C$3,考勤工资!$Y$5:$Y$1004,"&gt;="&amp;_辅助!$J$4,考勤工资!$Y$5:$Y$1004,"&lt;="&amp;_辅助!$J$2)+SUMIFS(考勤工资!$I$5:$I$1004,考勤工资!$C$5:$C$1004,往来单位!$B$106,考勤工资!$H$5:$H$1004,$C$3,考勤工资!$Y$5:$Y$1004,"&gt;="&amp;_辅助!$J$4,考勤工资!$Y$5:$Y$1004,"&lt;="&amp;_辅助!$J$2)+SUMIFS(考勤工资!$K$5:$K$1004,考勤工资!$C$5:$C$1004,往来单位!$B$106,考勤工资!$J$5:$J$1004,$C$3,考勤工资!$Y$5:$Y$1004,"&gt;="&amp;_辅助!$J$4,考勤工资!$Y$5:$Y$1004,"&lt;="&amp;_辅助!$J$2))</f>
        <v>0</v>
      </c>
      <c r="BD103" s="2">
        <f>IF(BC103=0,0,SUMIFS(考勤工资!$AC$5:$AC$1004,考勤工资!$C$5:$C$1004,往来单位!$B$106,考勤工资!$D$5:$D$1004,$C$3,考勤工资!$Y$5:$Y$1004,"&gt;="&amp;_辅助!$J$4,考勤工资!$Y$5:$Y$1004,"&lt;="&amp;_辅助!$J$2)+SUMIFS(考勤工资!$AD$5:$AD$1004,考勤工资!$C$5:$C$1004,往来单位!$B$106,考勤工资!$F$5:$F$1004,$C$3,考勤工资!$Y$5:$Y$1004,"&gt;="&amp;_辅助!$J$4,考勤工资!$Y$5:$Y$1004,"&lt;="&amp;_辅助!$J$2)+SUMIFS(考勤工资!$AE$5:$AE$1004,考勤工资!$C$5:$C$1004,往来单位!$B$106,考勤工资!$H$5:$H$1004,$C$3,考勤工资!$Y$5:$Y$1004,"&gt;="&amp;_辅助!$J$4,考勤工资!$Y$5:$Y$1004,"&lt;="&amp;_辅助!$J$2)+SUMIFS(考勤工资!$AF$5:$AF$1004,考勤工资!$C$5:$C$1004,往来单位!$B$106,考勤工资!$J$5:$J$1004,$C$3,考勤工资!$Y$5:$Y$1004,"&gt;="&amp;_辅助!$J$4,考勤工资!$Y$5:$Y$1004,"&lt;="&amp;_辅助!$J$2))</f>
        <v>0</v>
      </c>
      <c r="BE103" s="2">
        <f>BE100+SUM(CB101:CB103)</f>
        <v>0</v>
      </c>
      <c r="BF103" s="2">
        <f>IF(AND($AF$3&gt;0,发票登记!$T$106=$C$3,ISNUMBER(发票登记!$X$106),发票登记!$AB$106&lt;&gt;0,发票登记!$Y$106&gt;=_辅助!$J$4,发票登记!$Y$106&lt;=_辅助!$J$2),INT(发票登记!$X$106)*10000+102,"")</f>
      </c>
      <c r="BG103" s="2">
        <f>IF(AND($AF$3&gt;0,资金流水!$H$107=$C$3,ISNUMBER(资金流水!$B$107),ISNUMBER(资金流水!$S$107),资金流水!$S$107&gt;=_辅助!$J$4,资金流水!$S$107&lt;=_辅助!$J$2),INT(资金流水!$B$107)*10000+102,"")</f>
      </c>
      <c r="BH103" s="2">
        <f>IF(68&gt;$BE$300,0,IFERROR(MATCH(68,$BE$1:$BE$300,0),0))</f>
        <v>0</v>
      </c>
      <c r="BI103" s="2">
        <f>IF(68&gt;$BF$1,0,MOD(SMALL($BF$2:$BF$1001,68),10000))</f>
        <v>0</v>
      </c>
      <c r="BJ103" s="2">
        <f>IF(68&gt;$BG$1,0,MOD(SMALL($BG$2:$BG$2001,68),10000))</f>
        <v>0</v>
      </c>
      <c r="CA103" s="2">
        <f t="shared" si="0"/>
        <v>0</v>
      </c>
      <c r="CB103" s="2">
        <f t="shared" si="1"/>
        <v>0</v>
      </c>
    </row>
    <row r="104">
      <c r="I104" s="94">
        <f t="shared" si="3"/>
      </c>
      <c r="J104" s="21">
        <f t="shared" si="5"/>
      </c>
      <c r="K104" s="94" t="n"/>
      <c r="L104" s="135">
        <f t="shared" si="11"/>
      </c>
      <c r="M104" s="136">
        <f t="shared" si="12"/>
      </c>
      <c r="N104" s="94">
        <f t="shared" si="13"/>
      </c>
      <c r="O104" s="21">
        <f t="shared" si="7"/>
      </c>
      <c r="Q104" s="95">
        <f t="shared" si="22"/>
      </c>
      <c r="R104" s="94">
        <f t="shared" si="23"/>
      </c>
      <c r="S104" s="96">
        <f t="shared" si="8"/>
      </c>
      <c r="T104" s="21">
        <f t="shared" si="10"/>
      </c>
      <c r="U104" s="21">
        <f t="shared" si="24"/>
      </c>
      <c r="W104" s="95">
        <f t="shared" si="19"/>
      </c>
      <c r="X104" s="94">
        <f t="shared" si="25"/>
      </c>
      <c r="Y104" s="96">
        <f t="shared" si="26"/>
      </c>
      <c r="Z104" s="21">
        <f t="shared" si="20"/>
      </c>
      <c r="AA104" s="21">
        <f t="shared" si="21"/>
      </c>
      <c r="AB104" s="94">
        <f t="shared" si="27"/>
      </c>
      <c r="AC104" s="96">
        <f t="shared" si="28"/>
      </c>
      <c r="AD104" s="94">
        <f t="shared" si="29"/>
      </c>
      <c r="BA104" s="2">
        <f>IF(OR(往来单位!$B$107="",$AF$3=0),0,SUMIFS(期初余额!$R$5:$R$204,期初余额!$P$5:$P$204,往来单位!$B$107,期初余额!$Q$5:$Q$204,$C$3)+SUMIFS(应付登记!$G$5:$G$1004,应付登记!$D$5:$D$1004,往来单位!$B$107,应付登记!$E$5:$E$1004,$C$3,应付登记!$J$5:$J$1004,"&gt;="&amp;_辅助!$J$4,应付登记!$J$5:$J$1004,"&lt;="&amp;_辅助!$J$2))</f>
        <v>0</v>
      </c>
      <c r="BB104" s="2">
        <f>BB100+SUM(CA101:CA104)</f>
        <v>2</v>
      </c>
      <c r="BC104" s="2">
        <f>IF(OR(往来单位!$B$107="",$AF$3=0,NOT(OR(往来单位!$C$107="管理人员",往来单位!$C$107="工人"))),0,SUMIFS(考勤工资!$E$5:$E$1004,考勤工资!$C$5:$C$1004,往来单位!$B$107,考勤工资!$D$5:$D$1004,$C$3,考勤工资!$Y$5:$Y$1004,"&gt;="&amp;_辅助!$J$4,考勤工资!$Y$5:$Y$1004,"&lt;="&amp;_辅助!$J$2)+SUMIFS(考勤工资!$G$5:$G$1004,考勤工资!$C$5:$C$1004,往来单位!$B$107,考勤工资!$F$5:$F$1004,$C$3,考勤工资!$Y$5:$Y$1004,"&gt;="&amp;_辅助!$J$4,考勤工资!$Y$5:$Y$1004,"&lt;="&amp;_辅助!$J$2)+SUMIFS(考勤工资!$I$5:$I$1004,考勤工资!$C$5:$C$1004,往来单位!$B$107,考勤工资!$H$5:$H$1004,$C$3,考勤工资!$Y$5:$Y$1004,"&gt;="&amp;_辅助!$J$4,考勤工资!$Y$5:$Y$1004,"&lt;="&amp;_辅助!$J$2)+SUMIFS(考勤工资!$K$5:$K$1004,考勤工资!$C$5:$C$1004,往来单位!$B$107,考勤工资!$J$5:$J$1004,$C$3,考勤工资!$Y$5:$Y$1004,"&gt;="&amp;_辅助!$J$4,考勤工资!$Y$5:$Y$1004,"&lt;="&amp;_辅助!$J$2))</f>
        <v>0</v>
      </c>
      <c r="BD104" s="2">
        <f>IF(BC104=0,0,SUMIFS(考勤工资!$AC$5:$AC$1004,考勤工资!$C$5:$C$1004,往来单位!$B$107,考勤工资!$D$5:$D$1004,$C$3,考勤工资!$Y$5:$Y$1004,"&gt;="&amp;_辅助!$J$4,考勤工资!$Y$5:$Y$1004,"&lt;="&amp;_辅助!$J$2)+SUMIFS(考勤工资!$AD$5:$AD$1004,考勤工资!$C$5:$C$1004,往来单位!$B$107,考勤工资!$F$5:$F$1004,$C$3,考勤工资!$Y$5:$Y$1004,"&gt;="&amp;_辅助!$J$4,考勤工资!$Y$5:$Y$1004,"&lt;="&amp;_辅助!$J$2)+SUMIFS(考勤工资!$AE$5:$AE$1004,考勤工资!$C$5:$C$1004,往来单位!$B$107,考勤工资!$H$5:$H$1004,$C$3,考勤工资!$Y$5:$Y$1004,"&gt;="&amp;_辅助!$J$4,考勤工资!$Y$5:$Y$1004,"&lt;="&amp;_辅助!$J$2)+SUMIFS(考勤工资!$AF$5:$AF$1004,考勤工资!$C$5:$C$1004,往来单位!$B$107,考勤工资!$J$5:$J$1004,$C$3,考勤工资!$Y$5:$Y$1004,"&gt;="&amp;_辅助!$J$4,考勤工资!$Y$5:$Y$1004,"&lt;="&amp;_辅助!$J$2))</f>
        <v>0</v>
      </c>
      <c r="BE104" s="2">
        <f>BE100+SUM(CB101:CB104)</f>
        <v>0</v>
      </c>
      <c r="BF104" s="2">
        <f>IF(AND($AF$3&gt;0,发票登记!$T$107=$C$3,ISNUMBER(发票登记!$X$107),发票登记!$AB$107&lt;&gt;0,发票登记!$Y$107&gt;=_辅助!$J$4,发票登记!$Y$107&lt;=_辅助!$J$2),INT(发票登记!$X$107)*10000+103,"")</f>
      </c>
      <c r="BG104" s="2">
        <f>IF(AND($AF$3&gt;0,资金流水!$H$108=$C$3,ISNUMBER(资金流水!$B$108),ISNUMBER(资金流水!$S$108),资金流水!$S$108&gt;=_辅助!$J$4,资金流水!$S$108&lt;=_辅助!$J$2),INT(资金流水!$B$108)*10000+103,"")</f>
      </c>
      <c r="BH104" s="2">
        <f>IF(69&gt;$BE$300,0,IFERROR(MATCH(69,$BE$1:$BE$300,0),0))</f>
        <v>0</v>
      </c>
      <c r="BI104" s="2">
        <f>IF(69&gt;$BF$1,0,MOD(SMALL($BF$2:$BF$1001,69),10000))</f>
        <v>0</v>
      </c>
      <c r="BJ104" s="2">
        <f>IF(69&gt;$BG$1,0,MOD(SMALL($BG$2:$BG$2001,69),10000))</f>
        <v>0</v>
      </c>
      <c r="CA104" s="2">
        <f t="shared" si="0"/>
        <v>0</v>
      </c>
      <c r="CB104" s="2">
        <f t="shared" si="1"/>
        <v>0</v>
      </c>
    </row>
    <row r="105">
      <c r="I105" s="94">
        <f t="shared" si="3"/>
      </c>
      <c r="J105" s="21">
        <f t="shared" si="5"/>
      </c>
      <c r="K105" s="94" t="n"/>
      <c r="L105" s="135">
        <f t="shared" si="11"/>
      </c>
      <c r="M105" s="136">
        <f t="shared" si="12"/>
      </c>
      <c r="N105" s="94">
        <f t="shared" si="13"/>
      </c>
      <c r="O105" s="21">
        <f t="shared" si="7"/>
      </c>
      <c r="Q105" s="95">
        <f t="shared" si="22"/>
      </c>
      <c r="R105" s="94">
        <f t="shared" si="23"/>
      </c>
      <c r="S105" s="96">
        <f t="shared" si="8"/>
      </c>
      <c r="T105" s="21">
        <f t="shared" si="10"/>
      </c>
      <c r="U105" s="21">
        <f t="shared" si="24"/>
      </c>
      <c r="W105" s="95">
        <f t="shared" si="19"/>
      </c>
      <c r="X105" s="94">
        <f t="shared" si="25"/>
      </c>
      <c r="Y105" s="96">
        <f t="shared" si="26"/>
      </c>
      <c r="Z105" s="21">
        <f t="shared" si="20"/>
      </c>
      <c r="AA105" s="21">
        <f t="shared" si="21"/>
      </c>
      <c r="AB105" s="94">
        <f t="shared" si="27"/>
      </c>
      <c r="AC105" s="96">
        <f t="shared" si="28"/>
      </c>
      <c r="AD105" s="94">
        <f t="shared" si="29"/>
      </c>
      <c r="BA105" s="2">
        <f>IF(OR(往来单位!$B$108="",$AF$3=0),0,SUMIFS(期初余额!$R$5:$R$204,期初余额!$P$5:$P$204,往来单位!$B$108,期初余额!$Q$5:$Q$204,$C$3)+SUMIFS(应付登记!$G$5:$G$1004,应付登记!$D$5:$D$1004,往来单位!$B$108,应付登记!$E$5:$E$1004,$C$3,应付登记!$J$5:$J$1004,"&gt;="&amp;_辅助!$J$4,应付登记!$J$5:$J$1004,"&lt;="&amp;_辅助!$J$2))</f>
        <v>0</v>
      </c>
      <c r="BB105" s="2">
        <f>BB100+SUM(CA101:CA105)</f>
        <v>2</v>
      </c>
      <c r="BC105" s="2">
        <f>IF(OR(往来单位!$B$108="",$AF$3=0,NOT(OR(往来单位!$C$108="管理人员",往来单位!$C$108="工人"))),0,SUMIFS(考勤工资!$E$5:$E$1004,考勤工资!$C$5:$C$1004,往来单位!$B$108,考勤工资!$D$5:$D$1004,$C$3,考勤工资!$Y$5:$Y$1004,"&gt;="&amp;_辅助!$J$4,考勤工资!$Y$5:$Y$1004,"&lt;="&amp;_辅助!$J$2)+SUMIFS(考勤工资!$G$5:$G$1004,考勤工资!$C$5:$C$1004,往来单位!$B$108,考勤工资!$F$5:$F$1004,$C$3,考勤工资!$Y$5:$Y$1004,"&gt;="&amp;_辅助!$J$4,考勤工资!$Y$5:$Y$1004,"&lt;="&amp;_辅助!$J$2)+SUMIFS(考勤工资!$I$5:$I$1004,考勤工资!$C$5:$C$1004,往来单位!$B$108,考勤工资!$H$5:$H$1004,$C$3,考勤工资!$Y$5:$Y$1004,"&gt;="&amp;_辅助!$J$4,考勤工资!$Y$5:$Y$1004,"&lt;="&amp;_辅助!$J$2)+SUMIFS(考勤工资!$K$5:$K$1004,考勤工资!$C$5:$C$1004,往来单位!$B$108,考勤工资!$J$5:$J$1004,$C$3,考勤工资!$Y$5:$Y$1004,"&gt;="&amp;_辅助!$J$4,考勤工资!$Y$5:$Y$1004,"&lt;="&amp;_辅助!$J$2))</f>
        <v>0</v>
      </c>
      <c r="BD105" s="2">
        <f>IF(BC105=0,0,SUMIFS(考勤工资!$AC$5:$AC$1004,考勤工资!$C$5:$C$1004,往来单位!$B$108,考勤工资!$D$5:$D$1004,$C$3,考勤工资!$Y$5:$Y$1004,"&gt;="&amp;_辅助!$J$4,考勤工资!$Y$5:$Y$1004,"&lt;="&amp;_辅助!$J$2)+SUMIFS(考勤工资!$AD$5:$AD$1004,考勤工资!$C$5:$C$1004,往来单位!$B$108,考勤工资!$F$5:$F$1004,$C$3,考勤工资!$Y$5:$Y$1004,"&gt;="&amp;_辅助!$J$4,考勤工资!$Y$5:$Y$1004,"&lt;="&amp;_辅助!$J$2)+SUMIFS(考勤工资!$AE$5:$AE$1004,考勤工资!$C$5:$C$1004,往来单位!$B$108,考勤工资!$H$5:$H$1004,$C$3,考勤工资!$Y$5:$Y$1004,"&gt;="&amp;_辅助!$J$4,考勤工资!$Y$5:$Y$1004,"&lt;="&amp;_辅助!$J$2)+SUMIFS(考勤工资!$AF$5:$AF$1004,考勤工资!$C$5:$C$1004,往来单位!$B$108,考勤工资!$J$5:$J$1004,$C$3,考勤工资!$Y$5:$Y$1004,"&gt;="&amp;_辅助!$J$4,考勤工资!$Y$5:$Y$1004,"&lt;="&amp;_辅助!$J$2))</f>
        <v>0</v>
      </c>
      <c r="BE105" s="2">
        <f>BE100+SUM(CB101:CB105)</f>
        <v>0</v>
      </c>
      <c r="BF105" s="2">
        <f>IF(AND($AF$3&gt;0,发票登记!$T$108=$C$3,ISNUMBER(发票登记!$X$108),发票登记!$AB$108&lt;&gt;0,发票登记!$Y$108&gt;=_辅助!$J$4,发票登记!$Y$108&lt;=_辅助!$J$2),INT(发票登记!$X$108)*10000+104,"")</f>
      </c>
      <c r="BG105" s="2">
        <f>IF(AND($AF$3&gt;0,资金流水!$H$109=$C$3,ISNUMBER(资金流水!$B$109),ISNUMBER(资金流水!$S$109),资金流水!$S$109&gt;=_辅助!$J$4,资金流水!$S$109&lt;=_辅助!$J$2),INT(资金流水!$B$109)*10000+104,"")</f>
      </c>
      <c r="BH105" s="2">
        <f>IF(70&gt;$BE$300,0,IFERROR(MATCH(70,$BE$1:$BE$300,0),0))</f>
        <v>0</v>
      </c>
      <c r="BI105" s="2">
        <f>IF(70&gt;$BF$1,0,MOD(SMALL($BF$2:$BF$1001,70),10000))</f>
        <v>0</v>
      </c>
      <c r="BJ105" s="2">
        <f>IF(70&gt;$BG$1,0,MOD(SMALL($BG$2:$BG$2001,70),10000))</f>
        <v>0</v>
      </c>
      <c r="CA105" s="2">
        <f t="shared" si="0"/>
        <v>0</v>
      </c>
      <c r="CB105" s="2">
        <f t="shared" si="1"/>
        <v>0</v>
      </c>
    </row>
    <row r="106">
      <c r="I106" s="94">
        <f t="shared" si="3"/>
      </c>
      <c r="J106" s="21">
        <f t="shared" si="5"/>
      </c>
      <c r="K106" s="94" t="n"/>
      <c r="L106" s="135">
        <f t="shared" si="11"/>
      </c>
      <c r="M106" s="136">
        <f t="shared" si="12"/>
      </c>
      <c r="N106" s="94">
        <f t="shared" si="13"/>
      </c>
      <c r="O106" s="21">
        <f t="shared" si="7"/>
      </c>
      <c r="Q106" s="95">
        <f t="shared" si="22"/>
      </c>
      <c r="R106" s="94">
        <f t="shared" si="23"/>
      </c>
      <c r="S106" s="96">
        <f t="shared" si="8"/>
      </c>
      <c r="T106" s="21">
        <f t="shared" si="10"/>
      </c>
      <c r="U106" s="21">
        <f t="shared" si="24"/>
      </c>
      <c r="W106" s="95">
        <f t="shared" si="19"/>
      </c>
      <c r="X106" s="94">
        <f t="shared" si="25"/>
      </c>
      <c r="Y106" s="96">
        <f t="shared" si="26"/>
      </c>
      <c r="Z106" s="21">
        <f t="shared" si="20"/>
      </c>
      <c r="AA106" s="21">
        <f t="shared" si="21"/>
      </c>
      <c r="AB106" s="94">
        <f t="shared" si="27"/>
      </c>
      <c r="AC106" s="96">
        <f t="shared" si="28"/>
      </c>
      <c r="AD106" s="94">
        <f t="shared" si="29"/>
      </c>
      <c r="BA106" s="2">
        <f>IF(OR(往来单位!$B$109="",$AF$3=0),0,SUMIFS(期初余额!$R$5:$R$204,期初余额!$P$5:$P$204,往来单位!$B$109,期初余额!$Q$5:$Q$204,$C$3)+SUMIFS(应付登记!$G$5:$G$1004,应付登记!$D$5:$D$1004,往来单位!$B$109,应付登记!$E$5:$E$1004,$C$3,应付登记!$J$5:$J$1004,"&gt;="&amp;_辅助!$J$4,应付登记!$J$5:$J$1004,"&lt;="&amp;_辅助!$J$2))</f>
        <v>0</v>
      </c>
      <c r="BB106" s="2">
        <f>BB100+SUM(CA101:CA106)</f>
        <v>2</v>
      </c>
      <c r="BC106" s="2">
        <f>IF(OR(往来单位!$B$109="",$AF$3=0,NOT(OR(往来单位!$C$109="管理人员",往来单位!$C$109="工人"))),0,SUMIFS(考勤工资!$E$5:$E$1004,考勤工资!$C$5:$C$1004,往来单位!$B$109,考勤工资!$D$5:$D$1004,$C$3,考勤工资!$Y$5:$Y$1004,"&gt;="&amp;_辅助!$J$4,考勤工资!$Y$5:$Y$1004,"&lt;="&amp;_辅助!$J$2)+SUMIFS(考勤工资!$G$5:$G$1004,考勤工资!$C$5:$C$1004,往来单位!$B$109,考勤工资!$F$5:$F$1004,$C$3,考勤工资!$Y$5:$Y$1004,"&gt;="&amp;_辅助!$J$4,考勤工资!$Y$5:$Y$1004,"&lt;="&amp;_辅助!$J$2)+SUMIFS(考勤工资!$I$5:$I$1004,考勤工资!$C$5:$C$1004,往来单位!$B$109,考勤工资!$H$5:$H$1004,$C$3,考勤工资!$Y$5:$Y$1004,"&gt;="&amp;_辅助!$J$4,考勤工资!$Y$5:$Y$1004,"&lt;="&amp;_辅助!$J$2)+SUMIFS(考勤工资!$K$5:$K$1004,考勤工资!$C$5:$C$1004,往来单位!$B$109,考勤工资!$J$5:$J$1004,$C$3,考勤工资!$Y$5:$Y$1004,"&gt;="&amp;_辅助!$J$4,考勤工资!$Y$5:$Y$1004,"&lt;="&amp;_辅助!$J$2))</f>
        <v>0</v>
      </c>
      <c r="BD106" s="2">
        <f>IF(BC106=0,0,SUMIFS(考勤工资!$AC$5:$AC$1004,考勤工资!$C$5:$C$1004,往来单位!$B$109,考勤工资!$D$5:$D$1004,$C$3,考勤工资!$Y$5:$Y$1004,"&gt;="&amp;_辅助!$J$4,考勤工资!$Y$5:$Y$1004,"&lt;="&amp;_辅助!$J$2)+SUMIFS(考勤工资!$AD$5:$AD$1004,考勤工资!$C$5:$C$1004,往来单位!$B$109,考勤工资!$F$5:$F$1004,$C$3,考勤工资!$Y$5:$Y$1004,"&gt;="&amp;_辅助!$J$4,考勤工资!$Y$5:$Y$1004,"&lt;="&amp;_辅助!$J$2)+SUMIFS(考勤工资!$AE$5:$AE$1004,考勤工资!$C$5:$C$1004,往来单位!$B$109,考勤工资!$H$5:$H$1004,$C$3,考勤工资!$Y$5:$Y$1004,"&gt;="&amp;_辅助!$J$4,考勤工资!$Y$5:$Y$1004,"&lt;="&amp;_辅助!$J$2)+SUMIFS(考勤工资!$AF$5:$AF$1004,考勤工资!$C$5:$C$1004,往来单位!$B$109,考勤工资!$J$5:$J$1004,$C$3,考勤工资!$Y$5:$Y$1004,"&gt;="&amp;_辅助!$J$4,考勤工资!$Y$5:$Y$1004,"&lt;="&amp;_辅助!$J$2))</f>
        <v>0</v>
      </c>
      <c r="BE106" s="2">
        <f>BE100+SUM(CB101:CB106)</f>
        <v>0</v>
      </c>
      <c r="BF106" s="2">
        <f>IF(AND($AF$3&gt;0,发票登记!$T$109=$C$3,ISNUMBER(发票登记!$X$109),发票登记!$AB$109&lt;&gt;0,发票登记!$Y$109&gt;=_辅助!$J$4,发票登记!$Y$109&lt;=_辅助!$J$2),INT(发票登记!$X$109)*10000+105,"")</f>
      </c>
      <c r="BG106" s="2">
        <f>IF(AND($AF$3&gt;0,资金流水!$H$110=$C$3,ISNUMBER(资金流水!$B$110),ISNUMBER(资金流水!$S$110),资金流水!$S$110&gt;=_辅助!$J$4,资金流水!$S$110&lt;=_辅助!$J$2),INT(资金流水!$B$110)*10000+105,"")</f>
      </c>
      <c r="BH106" s="2">
        <f>IF(71&gt;$BE$300,0,IFERROR(MATCH(71,$BE$1:$BE$300,0),0))</f>
        <v>0</v>
      </c>
      <c r="BI106" s="2">
        <f>IF(71&gt;$BF$1,0,MOD(SMALL($BF$2:$BF$1001,71),10000))</f>
        <v>0</v>
      </c>
      <c r="BJ106" s="2">
        <f>IF(71&gt;$BG$1,0,MOD(SMALL($BG$2:$BG$2001,71),10000))</f>
        <v>0</v>
      </c>
      <c r="CA106" s="2">
        <f t="shared" si="0"/>
        <v>0</v>
      </c>
      <c r="CB106" s="2">
        <f t="shared" si="1"/>
        <v>0</v>
      </c>
    </row>
    <row r="107">
      <c r="I107" s="94">
        <f t="shared" si="3"/>
      </c>
      <c r="J107" s="21">
        <f t="shared" si="5"/>
      </c>
      <c r="K107" s="94" t="n"/>
      <c r="L107" s="135">
        <f t="shared" si="11"/>
      </c>
      <c r="M107" s="136">
        <f t="shared" si="12"/>
      </c>
      <c r="N107" s="94">
        <f t="shared" si="13"/>
      </c>
      <c r="O107" s="21">
        <f t="shared" si="7"/>
      </c>
      <c r="Q107" s="95">
        <f t="shared" si="22"/>
      </c>
      <c r="R107" s="94">
        <f t="shared" si="23"/>
      </c>
      <c r="S107" s="96">
        <f t="shared" si="8"/>
      </c>
      <c r="T107" s="21">
        <f t="shared" si="10"/>
      </c>
      <c r="U107" s="21">
        <f t="shared" si="24"/>
      </c>
      <c r="W107" s="95">
        <f t="shared" si="19"/>
      </c>
      <c r="X107" s="94">
        <f t="shared" si="25"/>
      </c>
      <c r="Y107" s="96">
        <f t="shared" si="26"/>
      </c>
      <c r="Z107" s="21">
        <f t="shared" si="20"/>
      </c>
      <c r="AA107" s="21">
        <f t="shared" si="21"/>
      </c>
      <c r="AB107" s="94">
        <f t="shared" si="27"/>
      </c>
      <c r="AC107" s="96">
        <f t="shared" si="28"/>
      </c>
      <c r="AD107" s="94">
        <f t="shared" si="29"/>
      </c>
      <c r="BA107" s="2">
        <f>IF(OR(往来单位!$B$110="",$AF$3=0),0,SUMIFS(期初余额!$R$5:$R$204,期初余额!$P$5:$P$204,往来单位!$B$110,期初余额!$Q$5:$Q$204,$C$3)+SUMIFS(应付登记!$G$5:$G$1004,应付登记!$D$5:$D$1004,往来单位!$B$110,应付登记!$E$5:$E$1004,$C$3,应付登记!$J$5:$J$1004,"&gt;="&amp;_辅助!$J$4,应付登记!$J$5:$J$1004,"&lt;="&amp;_辅助!$J$2))</f>
        <v>0</v>
      </c>
      <c r="BB107" s="2">
        <f>BB100+SUM(CA101:CA107)</f>
        <v>2</v>
      </c>
      <c r="BC107" s="2">
        <f>IF(OR(往来单位!$B$110="",$AF$3=0,NOT(OR(往来单位!$C$110="管理人员",往来单位!$C$110="工人"))),0,SUMIFS(考勤工资!$E$5:$E$1004,考勤工资!$C$5:$C$1004,往来单位!$B$110,考勤工资!$D$5:$D$1004,$C$3,考勤工资!$Y$5:$Y$1004,"&gt;="&amp;_辅助!$J$4,考勤工资!$Y$5:$Y$1004,"&lt;="&amp;_辅助!$J$2)+SUMIFS(考勤工资!$G$5:$G$1004,考勤工资!$C$5:$C$1004,往来单位!$B$110,考勤工资!$F$5:$F$1004,$C$3,考勤工资!$Y$5:$Y$1004,"&gt;="&amp;_辅助!$J$4,考勤工资!$Y$5:$Y$1004,"&lt;="&amp;_辅助!$J$2)+SUMIFS(考勤工资!$I$5:$I$1004,考勤工资!$C$5:$C$1004,往来单位!$B$110,考勤工资!$H$5:$H$1004,$C$3,考勤工资!$Y$5:$Y$1004,"&gt;="&amp;_辅助!$J$4,考勤工资!$Y$5:$Y$1004,"&lt;="&amp;_辅助!$J$2)+SUMIFS(考勤工资!$K$5:$K$1004,考勤工资!$C$5:$C$1004,往来单位!$B$110,考勤工资!$J$5:$J$1004,$C$3,考勤工资!$Y$5:$Y$1004,"&gt;="&amp;_辅助!$J$4,考勤工资!$Y$5:$Y$1004,"&lt;="&amp;_辅助!$J$2))</f>
        <v>0</v>
      </c>
      <c r="BD107" s="2">
        <f>IF(BC107=0,0,SUMIFS(考勤工资!$AC$5:$AC$1004,考勤工资!$C$5:$C$1004,往来单位!$B$110,考勤工资!$D$5:$D$1004,$C$3,考勤工资!$Y$5:$Y$1004,"&gt;="&amp;_辅助!$J$4,考勤工资!$Y$5:$Y$1004,"&lt;="&amp;_辅助!$J$2)+SUMIFS(考勤工资!$AD$5:$AD$1004,考勤工资!$C$5:$C$1004,往来单位!$B$110,考勤工资!$F$5:$F$1004,$C$3,考勤工资!$Y$5:$Y$1004,"&gt;="&amp;_辅助!$J$4,考勤工资!$Y$5:$Y$1004,"&lt;="&amp;_辅助!$J$2)+SUMIFS(考勤工资!$AE$5:$AE$1004,考勤工资!$C$5:$C$1004,往来单位!$B$110,考勤工资!$H$5:$H$1004,$C$3,考勤工资!$Y$5:$Y$1004,"&gt;="&amp;_辅助!$J$4,考勤工资!$Y$5:$Y$1004,"&lt;="&amp;_辅助!$J$2)+SUMIFS(考勤工资!$AF$5:$AF$1004,考勤工资!$C$5:$C$1004,往来单位!$B$110,考勤工资!$J$5:$J$1004,$C$3,考勤工资!$Y$5:$Y$1004,"&gt;="&amp;_辅助!$J$4,考勤工资!$Y$5:$Y$1004,"&lt;="&amp;_辅助!$J$2))</f>
        <v>0</v>
      </c>
      <c r="BE107" s="2">
        <f>BE100+SUM(CB101:CB107)</f>
        <v>0</v>
      </c>
      <c r="BF107" s="2">
        <f>IF(AND($AF$3&gt;0,发票登记!$T$110=$C$3,ISNUMBER(发票登记!$X$110),发票登记!$AB$110&lt;&gt;0,发票登记!$Y$110&gt;=_辅助!$J$4,发票登记!$Y$110&lt;=_辅助!$J$2),INT(发票登记!$X$110)*10000+106,"")</f>
      </c>
      <c r="BG107" s="2">
        <f>IF(AND($AF$3&gt;0,资金流水!$H$111=$C$3,ISNUMBER(资金流水!$B$111),ISNUMBER(资金流水!$S$111),资金流水!$S$111&gt;=_辅助!$J$4,资金流水!$S$111&lt;=_辅助!$J$2),INT(资金流水!$B$111)*10000+106,"")</f>
      </c>
      <c r="BH107" s="2">
        <f>IF(72&gt;$BE$300,0,IFERROR(MATCH(72,$BE$1:$BE$300,0),0))</f>
        <v>0</v>
      </c>
      <c r="BI107" s="2">
        <f>IF(72&gt;$BF$1,0,MOD(SMALL($BF$2:$BF$1001,72),10000))</f>
        <v>0</v>
      </c>
      <c r="BJ107" s="2">
        <f>IF(72&gt;$BG$1,0,MOD(SMALL($BG$2:$BG$2001,72),10000))</f>
        <v>0</v>
      </c>
      <c r="CA107" s="2">
        <f t="shared" si="0"/>
        <v>0</v>
      </c>
      <c r="CB107" s="2">
        <f t="shared" si="1"/>
        <v>0</v>
      </c>
    </row>
    <row r="108">
      <c r="I108" s="94">
        <f t="shared" si="3"/>
      </c>
      <c r="J108" s="21">
        <f t="shared" si="5"/>
      </c>
      <c r="K108" s="94" t="n"/>
      <c r="L108" s="135">
        <f t="shared" si="11"/>
      </c>
      <c r="M108" s="136">
        <f t="shared" si="12"/>
      </c>
      <c r="N108" s="94">
        <f t="shared" si="13"/>
      </c>
      <c r="O108" s="21">
        <f t="shared" si="7"/>
      </c>
      <c r="Q108" s="95">
        <f t="shared" si="22"/>
      </c>
      <c r="R108" s="94">
        <f t="shared" si="23"/>
      </c>
      <c r="S108" s="96">
        <f t="shared" si="8"/>
      </c>
      <c r="T108" s="21">
        <f t="shared" si="10"/>
      </c>
      <c r="U108" s="21">
        <f t="shared" si="24"/>
      </c>
      <c r="W108" s="95">
        <f t="shared" si="19"/>
      </c>
      <c r="X108" s="94">
        <f t="shared" si="25"/>
      </c>
      <c r="Y108" s="96">
        <f t="shared" si="26"/>
      </c>
      <c r="Z108" s="21">
        <f t="shared" si="20"/>
      </c>
      <c r="AA108" s="21">
        <f t="shared" si="21"/>
      </c>
      <c r="AB108" s="94">
        <f t="shared" si="27"/>
      </c>
      <c r="AC108" s="96">
        <f t="shared" si="28"/>
      </c>
      <c r="AD108" s="94">
        <f t="shared" si="29"/>
      </c>
      <c r="BA108" s="2">
        <f>IF(OR(往来单位!$B$111="",$AF$3=0),0,SUMIFS(期初余额!$R$5:$R$204,期初余额!$P$5:$P$204,往来单位!$B$111,期初余额!$Q$5:$Q$204,$C$3)+SUMIFS(应付登记!$G$5:$G$1004,应付登记!$D$5:$D$1004,往来单位!$B$111,应付登记!$E$5:$E$1004,$C$3,应付登记!$J$5:$J$1004,"&gt;="&amp;_辅助!$J$4,应付登记!$J$5:$J$1004,"&lt;="&amp;_辅助!$J$2))</f>
        <v>0</v>
      </c>
      <c r="BB108" s="2">
        <f>BB100+SUM(CA101:CA108)</f>
        <v>2</v>
      </c>
      <c r="BC108" s="2">
        <f>IF(OR(往来单位!$B$111="",$AF$3=0,NOT(OR(往来单位!$C$111="管理人员",往来单位!$C$111="工人"))),0,SUMIFS(考勤工资!$E$5:$E$1004,考勤工资!$C$5:$C$1004,往来单位!$B$111,考勤工资!$D$5:$D$1004,$C$3,考勤工资!$Y$5:$Y$1004,"&gt;="&amp;_辅助!$J$4,考勤工资!$Y$5:$Y$1004,"&lt;="&amp;_辅助!$J$2)+SUMIFS(考勤工资!$G$5:$G$1004,考勤工资!$C$5:$C$1004,往来单位!$B$111,考勤工资!$F$5:$F$1004,$C$3,考勤工资!$Y$5:$Y$1004,"&gt;="&amp;_辅助!$J$4,考勤工资!$Y$5:$Y$1004,"&lt;="&amp;_辅助!$J$2)+SUMIFS(考勤工资!$I$5:$I$1004,考勤工资!$C$5:$C$1004,往来单位!$B$111,考勤工资!$H$5:$H$1004,$C$3,考勤工资!$Y$5:$Y$1004,"&gt;="&amp;_辅助!$J$4,考勤工资!$Y$5:$Y$1004,"&lt;="&amp;_辅助!$J$2)+SUMIFS(考勤工资!$K$5:$K$1004,考勤工资!$C$5:$C$1004,往来单位!$B$111,考勤工资!$J$5:$J$1004,$C$3,考勤工资!$Y$5:$Y$1004,"&gt;="&amp;_辅助!$J$4,考勤工资!$Y$5:$Y$1004,"&lt;="&amp;_辅助!$J$2))</f>
        <v>0</v>
      </c>
      <c r="BD108" s="2">
        <f>IF(BC108=0,0,SUMIFS(考勤工资!$AC$5:$AC$1004,考勤工资!$C$5:$C$1004,往来单位!$B$111,考勤工资!$D$5:$D$1004,$C$3,考勤工资!$Y$5:$Y$1004,"&gt;="&amp;_辅助!$J$4,考勤工资!$Y$5:$Y$1004,"&lt;="&amp;_辅助!$J$2)+SUMIFS(考勤工资!$AD$5:$AD$1004,考勤工资!$C$5:$C$1004,往来单位!$B$111,考勤工资!$F$5:$F$1004,$C$3,考勤工资!$Y$5:$Y$1004,"&gt;="&amp;_辅助!$J$4,考勤工资!$Y$5:$Y$1004,"&lt;="&amp;_辅助!$J$2)+SUMIFS(考勤工资!$AE$5:$AE$1004,考勤工资!$C$5:$C$1004,往来单位!$B$111,考勤工资!$H$5:$H$1004,$C$3,考勤工资!$Y$5:$Y$1004,"&gt;="&amp;_辅助!$J$4,考勤工资!$Y$5:$Y$1004,"&lt;="&amp;_辅助!$J$2)+SUMIFS(考勤工资!$AF$5:$AF$1004,考勤工资!$C$5:$C$1004,往来单位!$B$111,考勤工资!$J$5:$J$1004,$C$3,考勤工资!$Y$5:$Y$1004,"&gt;="&amp;_辅助!$J$4,考勤工资!$Y$5:$Y$1004,"&lt;="&amp;_辅助!$J$2))</f>
        <v>0</v>
      </c>
      <c r="BE108" s="2">
        <f>BE100+SUM(CB101:CB108)</f>
        <v>0</v>
      </c>
      <c r="BF108" s="2">
        <f>IF(AND($AF$3&gt;0,发票登记!$T$111=$C$3,ISNUMBER(发票登记!$X$111),发票登记!$AB$111&lt;&gt;0,发票登记!$Y$111&gt;=_辅助!$J$4,发票登记!$Y$111&lt;=_辅助!$J$2),INT(发票登记!$X$111)*10000+107,"")</f>
      </c>
      <c r="BG108" s="2">
        <f>IF(AND($AF$3&gt;0,资金流水!$H$112=$C$3,ISNUMBER(资金流水!$B$112),ISNUMBER(资金流水!$S$112),资金流水!$S$112&gt;=_辅助!$J$4,资金流水!$S$112&lt;=_辅助!$J$2),INT(资金流水!$B$112)*10000+107,"")</f>
      </c>
      <c r="BH108" s="2">
        <f>IF(73&gt;$BE$300,0,IFERROR(MATCH(73,$BE$1:$BE$300,0),0))</f>
        <v>0</v>
      </c>
      <c r="BI108" s="2">
        <f>IF(73&gt;$BF$1,0,MOD(SMALL($BF$2:$BF$1001,73),10000))</f>
        <v>0</v>
      </c>
      <c r="BJ108" s="2">
        <f>IF(73&gt;$BG$1,0,MOD(SMALL($BG$2:$BG$2001,73),10000))</f>
        <v>0</v>
      </c>
      <c r="CA108" s="2">
        <f t="shared" si="0"/>
        <v>0</v>
      </c>
      <c r="CB108" s="2">
        <f t="shared" si="1"/>
        <v>0</v>
      </c>
    </row>
    <row r="109">
      <c r="I109" s="94">
        <f t="shared" si="3"/>
      </c>
      <c r="J109" s="21">
        <f t="shared" si="5"/>
      </c>
      <c r="K109" s="94" t="n"/>
      <c r="L109" s="135">
        <f t="shared" si="11"/>
      </c>
      <c r="M109" s="136">
        <f t="shared" si="12"/>
      </c>
      <c r="N109" s="94">
        <f t="shared" si="13"/>
      </c>
      <c r="O109" s="21">
        <f t="shared" si="7"/>
      </c>
      <c r="Q109" s="95">
        <f t="shared" si="22"/>
      </c>
      <c r="R109" s="94">
        <f t="shared" si="23"/>
      </c>
      <c r="S109" s="96">
        <f t="shared" si="8"/>
      </c>
      <c r="T109" s="21">
        <f t="shared" si="10"/>
      </c>
      <c r="U109" s="21">
        <f t="shared" si="24"/>
      </c>
      <c r="W109" s="95">
        <f t="shared" si="19"/>
      </c>
      <c r="X109" s="94">
        <f t="shared" si="25"/>
      </c>
      <c r="Y109" s="96">
        <f t="shared" si="26"/>
      </c>
      <c r="Z109" s="21">
        <f t="shared" si="20"/>
      </c>
      <c r="AA109" s="21">
        <f t="shared" si="21"/>
      </c>
      <c r="AB109" s="94">
        <f t="shared" si="27"/>
      </c>
      <c r="AC109" s="96">
        <f t="shared" si="28"/>
      </c>
      <c r="AD109" s="94">
        <f t="shared" si="29"/>
      </c>
      <c r="BA109" s="2">
        <f>IF(OR(往来单位!$B$112="",$AF$3=0),0,SUMIFS(期初余额!$R$5:$R$204,期初余额!$P$5:$P$204,往来单位!$B$112,期初余额!$Q$5:$Q$204,$C$3)+SUMIFS(应付登记!$G$5:$G$1004,应付登记!$D$5:$D$1004,往来单位!$B$112,应付登记!$E$5:$E$1004,$C$3,应付登记!$J$5:$J$1004,"&gt;="&amp;_辅助!$J$4,应付登记!$J$5:$J$1004,"&lt;="&amp;_辅助!$J$2))</f>
        <v>0</v>
      </c>
      <c r="BB109" s="2">
        <f>BB100+SUM(CA101:CA109)</f>
        <v>2</v>
      </c>
      <c r="BC109" s="2">
        <f>IF(OR(往来单位!$B$112="",$AF$3=0,NOT(OR(往来单位!$C$112="管理人员",往来单位!$C$112="工人"))),0,SUMIFS(考勤工资!$E$5:$E$1004,考勤工资!$C$5:$C$1004,往来单位!$B$112,考勤工资!$D$5:$D$1004,$C$3,考勤工资!$Y$5:$Y$1004,"&gt;="&amp;_辅助!$J$4,考勤工资!$Y$5:$Y$1004,"&lt;="&amp;_辅助!$J$2)+SUMIFS(考勤工资!$G$5:$G$1004,考勤工资!$C$5:$C$1004,往来单位!$B$112,考勤工资!$F$5:$F$1004,$C$3,考勤工资!$Y$5:$Y$1004,"&gt;="&amp;_辅助!$J$4,考勤工资!$Y$5:$Y$1004,"&lt;="&amp;_辅助!$J$2)+SUMIFS(考勤工资!$I$5:$I$1004,考勤工资!$C$5:$C$1004,往来单位!$B$112,考勤工资!$H$5:$H$1004,$C$3,考勤工资!$Y$5:$Y$1004,"&gt;="&amp;_辅助!$J$4,考勤工资!$Y$5:$Y$1004,"&lt;="&amp;_辅助!$J$2)+SUMIFS(考勤工资!$K$5:$K$1004,考勤工资!$C$5:$C$1004,往来单位!$B$112,考勤工资!$J$5:$J$1004,$C$3,考勤工资!$Y$5:$Y$1004,"&gt;="&amp;_辅助!$J$4,考勤工资!$Y$5:$Y$1004,"&lt;="&amp;_辅助!$J$2))</f>
        <v>0</v>
      </c>
      <c r="BD109" s="2">
        <f>IF(BC109=0,0,SUMIFS(考勤工资!$AC$5:$AC$1004,考勤工资!$C$5:$C$1004,往来单位!$B$112,考勤工资!$D$5:$D$1004,$C$3,考勤工资!$Y$5:$Y$1004,"&gt;="&amp;_辅助!$J$4,考勤工资!$Y$5:$Y$1004,"&lt;="&amp;_辅助!$J$2)+SUMIFS(考勤工资!$AD$5:$AD$1004,考勤工资!$C$5:$C$1004,往来单位!$B$112,考勤工资!$F$5:$F$1004,$C$3,考勤工资!$Y$5:$Y$1004,"&gt;="&amp;_辅助!$J$4,考勤工资!$Y$5:$Y$1004,"&lt;="&amp;_辅助!$J$2)+SUMIFS(考勤工资!$AE$5:$AE$1004,考勤工资!$C$5:$C$1004,往来单位!$B$112,考勤工资!$H$5:$H$1004,$C$3,考勤工资!$Y$5:$Y$1004,"&gt;="&amp;_辅助!$J$4,考勤工资!$Y$5:$Y$1004,"&lt;="&amp;_辅助!$J$2)+SUMIFS(考勤工资!$AF$5:$AF$1004,考勤工资!$C$5:$C$1004,往来单位!$B$112,考勤工资!$J$5:$J$1004,$C$3,考勤工资!$Y$5:$Y$1004,"&gt;="&amp;_辅助!$J$4,考勤工资!$Y$5:$Y$1004,"&lt;="&amp;_辅助!$J$2))</f>
        <v>0</v>
      </c>
      <c r="BE109" s="2">
        <f>BE100+SUM(CB101:CB109)</f>
        <v>0</v>
      </c>
      <c r="BF109" s="2">
        <f>IF(AND($AF$3&gt;0,发票登记!$T$112=$C$3,ISNUMBER(发票登记!$X$112),发票登记!$AB$112&lt;&gt;0,发票登记!$Y$112&gt;=_辅助!$J$4,发票登记!$Y$112&lt;=_辅助!$J$2),INT(发票登记!$X$112)*10000+108,"")</f>
      </c>
      <c r="BG109" s="2">
        <f>IF(AND($AF$3&gt;0,资金流水!$H$113=$C$3,ISNUMBER(资金流水!$B$113),ISNUMBER(资金流水!$S$113),资金流水!$S$113&gt;=_辅助!$J$4,资金流水!$S$113&lt;=_辅助!$J$2),INT(资金流水!$B$113)*10000+108,"")</f>
      </c>
      <c r="BH109" s="2">
        <f>IF(74&gt;$BE$300,0,IFERROR(MATCH(74,$BE$1:$BE$300,0),0))</f>
        <v>0</v>
      </c>
      <c r="BI109" s="2">
        <f>IF(74&gt;$BF$1,0,MOD(SMALL($BF$2:$BF$1001,74),10000))</f>
        <v>0</v>
      </c>
      <c r="BJ109" s="2">
        <f>IF(74&gt;$BG$1,0,MOD(SMALL($BG$2:$BG$2001,74),10000))</f>
        <v>0</v>
      </c>
      <c r="CA109" s="2">
        <f t="shared" si="0"/>
        <v>0</v>
      </c>
      <c r="CB109" s="2">
        <f t="shared" si="1"/>
        <v>0</v>
      </c>
    </row>
    <row r="110">
      <c r="I110" s="94">
        <f t="shared" si="3"/>
      </c>
      <c r="J110" s="21">
        <f t="shared" si="5"/>
      </c>
      <c r="K110" s="94" t="n"/>
      <c r="L110" s="135">
        <f t="shared" si="11"/>
      </c>
      <c r="M110" s="136">
        <f t="shared" si="12"/>
      </c>
      <c r="N110" s="94">
        <f t="shared" si="13"/>
      </c>
      <c r="O110" s="21">
        <f t="shared" si="7"/>
      </c>
      <c r="Q110" s="95">
        <f t="shared" si="22"/>
      </c>
      <c r="R110" s="94">
        <f t="shared" si="23"/>
      </c>
      <c r="S110" s="96">
        <f t="shared" si="8"/>
      </c>
      <c r="T110" s="21">
        <f t="shared" si="10"/>
      </c>
      <c r="U110" s="21">
        <f t="shared" si="24"/>
      </c>
      <c r="W110" s="95">
        <f t="shared" si="19"/>
      </c>
      <c r="X110" s="94">
        <f t="shared" si="25"/>
      </c>
      <c r="Y110" s="96">
        <f t="shared" si="26"/>
      </c>
      <c r="Z110" s="21">
        <f t="shared" si="20"/>
      </c>
      <c r="AA110" s="21">
        <f t="shared" si="21"/>
      </c>
      <c r="AB110" s="94">
        <f t="shared" si="27"/>
      </c>
      <c r="AC110" s="96">
        <f t="shared" si="28"/>
      </c>
      <c r="AD110" s="94">
        <f t="shared" si="29"/>
      </c>
      <c r="BA110" s="2">
        <f>IF(OR(往来单位!$B$113="",$AF$3=0),0,SUMIFS(期初余额!$R$5:$R$204,期初余额!$P$5:$P$204,往来单位!$B$113,期初余额!$Q$5:$Q$204,$C$3)+SUMIFS(应付登记!$G$5:$G$1004,应付登记!$D$5:$D$1004,往来单位!$B$113,应付登记!$E$5:$E$1004,$C$3,应付登记!$J$5:$J$1004,"&gt;="&amp;_辅助!$J$4,应付登记!$J$5:$J$1004,"&lt;="&amp;_辅助!$J$2))</f>
        <v>0</v>
      </c>
      <c r="BB110" s="2">
        <f>BB100+SUM(CA101:CA110)</f>
        <v>2</v>
      </c>
      <c r="BC110" s="2">
        <f>IF(OR(往来单位!$B$113="",$AF$3=0,NOT(OR(往来单位!$C$113="管理人员",往来单位!$C$113="工人"))),0,SUMIFS(考勤工资!$E$5:$E$1004,考勤工资!$C$5:$C$1004,往来单位!$B$113,考勤工资!$D$5:$D$1004,$C$3,考勤工资!$Y$5:$Y$1004,"&gt;="&amp;_辅助!$J$4,考勤工资!$Y$5:$Y$1004,"&lt;="&amp;_辅助!$J$2)+SUMIFS(考勤工资!$G$5:$G$1004,考勤工资!$C$5:$C$1004,往来单位!$B$113,考勤工资!$F$5:$F$1004,$C$3,考勤工资!$Y$5:$Y$1004,"&gt;="&amp;_辅助!$J$4,考勤工资!$Y$5:$Y$1004,"&lt;="&amp;_辅助!$J$2)+SUMIFS(考勤工资!$I$5:$I$1004,考勤工资!$C$5:$C$1004,往来单位!$B$113,考勤工资!$H$5:$H$1004,$C$3,考勤工资!$Y$5:$Y$1004,"&gt;="&amp;_辅助!$J$4,考勤工资!$Y$5:$Y$1004,"&lt;="&amp;_辅助!$J$2)+SUMIFS(考勤工资!$K$5:$K$1004,考勤工资!$C$5:$C$1004,往来单位!$B$113,考勤工资!$J$5:$J$1004,$C$3,考勤工资!$Y$5:$Y$1004,"&gt;="&amp;_辅助!$J$4,考勤工资!$Y$5:$Y$1004,"&lt;="&amp;_辅助!$J$2))</f>
        <v>0</v>
      </c>
      <c r="BD110" s="2">
        <f>IF(BC110=0,0,SUMIFS(考勤工资!$AC$5:$AC$1004,考勤工资!$C$5:$C$1004,往来单位!$B$113,考勤工资!$D$5:$D$1004,$C$3,考勤工资!$Y$5:$Y$1004,"&gt;="&amp;_辅助!$J$4,考勤工资!$Y$5:$Y$1004,"&lt;="&amp;_辅助!$J$2)+SUMIFS(考勤工资!$AD$5:$AD$1004,考勤工资!$C$5:$C$1004,往来单位!$B$113,考勤工资!$F$5:$F$1004,$C$3,考勤工资!$Y$5:$Y$1004,"&gt;="&amp;_辅助!$J$4,考勤工资!$Y$5:$Y$1004,"&lt;="&amp;_辅助!$J$2)+SUMIFS(考勤工资!$AE$5:$AE$1004,考勤工资!$C$5:$C$1004,往来单位!$B$113,考勤工资!$H$5:$H$1004,$C$3,考勤工资!$Y$5:$Y$1004,"&gt;="&amp;_辅助!$J$4,考勤工资!$Y$5:$Y$1004,"&lt;="&amp;_辅助!$J$2)+SUMIFS(考勤工资!$AF$5:$AF$1004,考勤工资!$C$5:$C$1004,往来单位!$B$113,考勤工资!$J$5:$J$1004,$C$3,考勤工资!$Y$5:$Y$1004,"&gt;="&amp;_辅助!$J$4,考勤工资!$Y$5:$Y$1004,"&lt;="&amp;_辅助!$J$2))</f>
        <v>0</v>
      </c>
      <c r="BE110" s="2">
        <f>BE100+SUM(CB101:CB110)</f>
        <v>0</v>
      </c>
      <c r="BF110" s="2">
        <f>IF(AND($AF$3&gt;0,发票登记!$T$113=$C$3,ISNUMBER(发票登记!$X$113),发票登记!$AB$113&lt;&gt;0,发票登记!$Y$113&gt;=_辅助!$J$4,发票登记!$Y$113&lt;=_辅助!$J$2),INT(发票登记!$X$113)*10000+109,"")</f>
      </c>
      <c r="BG110" s="2">
        <f>IF(AND($AF$3&gt;0,资金流水!$H$114=$C$3,ISNUMBER(资金流水!$B$114),ISNUMBER(资金流水!$S$114),资金流水!$S$114&gt;=_辅助!$J$4,资金流水!$S$114&lt;=_辅助!$J$2),INT(资金流水!$B$114)*10000+109,"")</f>
      </c>
      <c r="BH110" s="2">
        <f>IF(75&gt;$BE$300,0,IFERROR(MATCH(75,$BE$1:$BE$300,0),0))</f>
        <v>0</v>
      </c>
      <c r="BI110" s="2">
        <f>IF(75&gt;$BF$1,0,MOD(SMALL($BF$2:$BF$1001,75),10000))</f>
        <v>0</v>
      </c>
      <c r="BJ110" s="2">
        <f>IF(75&gt;$BG$1,0,MOD(SMALL($BG$2:$BG$2001,75),10000))</f>
        <v>0</v>
      </c>
      <c r="CA110" s="2">
        <f t="shared" si="0"/>
        <v>0</v>
      </c>
      <c r="CB110" s="2">
        <f t="shared" si="1"/>
        <v>0</v>
      </c>
    </row>
    <row r="111">
      <c r="I111" s="94">
        <f t="shared" si="3"/>
      </c>
      <c r="J111" s="21">
        <f t="shared" si="5"/>
      </c>
      <c r="K111" s="94" t="n"/>
      <c r="L111" s="135">
        <f t="shared" si="11"/>
      </c>
      <c r="M111" s="136">
        <f t="shared" si="12"/>
      </c>
      <c r="N111" s="94">
        <f t="shared" si="13"/>
      </c>
      <c r="O111" s="21">
        <f t="shared" si="7"/>
      </c>
      <c r="Q111" s="95">
        <f t="shared" si="22"/>
      </c>
      <c r="R111" s="94">
        <f t="shared" si="23"/>
      </c>
      <c r="S111" s="96">
        <f t="shared" si="8"/>
      </c>
      <c r="T111" s="21">
        <f t="shared" si="10"/>
      </c>
      <c r="U111" s="21">
        <f t="shared" si="24"/>
      </c>
      <c r="W111" s="95">
        <f t="shared" si="19"/>
      </c>
      <c r="X111" s="94">
        <f t="shared" si="25"/>
      </c>
      <c r="Y111" s="96">
        <f t="shared" si="26"/>
      </c>
      <c r="Z111" s="21">
        <f t="shared" si="20"/>
      </c>
      <c r="AA111" s="21">
        <f t="shared" si="21"/>
      </c>
      <c r="AB111" s="94">
        <f t="shared" si="27"/>
      </c>
      <c r="AC111" s="96">
        <f t="shared" si="28"/>
      </c>
      <c r="AD111" s="94">
        <f t="shared" si="29"/>
      </c>
      <c r="BA111" s="2">
        <f>IF(OR(往来单位!$B$114="",$AF$3=0),0,SUMIFS(期初余额!$R$5:$R$204,期初余额!$P$5:$P$204,往来单位!$B$114,期初余额!$Q$5:$Q$204,$C$3)+SUMIFS(应付登记!$G$5:$G$1004,应付登记!$D$5:$D$1004,往来单位!$B$114,应付登记!$E$5:$E$1004,$C$3,应付登记!$J$5:$J$1004,"&gt;="&amp;_辅助!$J$4,应付登记!$J$5:$J$1004,"&lt;="&amp;_辅助!$J$2))</f>
        <v>0</v>
      </c>
      <c r="BB111" s="2">
        <f>BB100+SUM(CA101:CA111)</f>
        <v>2</v>
      </c>
      <c r="BC111" s="2">
        <f>IF(OR(往来单位!$B$114="",$AF$3=0,NOT(OR(往来单位!$C$114="管理人员",往来单位!$C$114="工人"))),0,SUMIFS(考勤工资!$E$5:$E$1004,考勤工资!$C$5:$C$1004,往来单位!$B$114,考勤工资!$D$5:$D$1004,$C$3,考勤工资!$Y$5:$Y$1004,"&gt;="&amp;_辅助!$J$4,考勤工资!$Y$5:$Y$1004,"&lt;="&amp;_辅助!$J$2)+SUMIFS(考勤工资!$G$5:$G$1004,考勤工资!$C$5:$C$1004,往来单位!$B$114,考勤工资!$F$5:$F$1004,$C$3,考勤工资!$Y$5:$Y$1004,"&gt;="&amp;_辅助!$J$4,考勤工资!$Y$5:$Y$1004,"&lt;="&amp;_辅助!$J$2)+SUMIFS(考勤工资!$I$5:$I$1004,考勤工资!$C$5:$C$1004,往来单位!$B$114,考勤工资!$H$5:$H$1004,$C$3,考勤工资!$Y$5:$Y$1004,"&gt;="&amp;_辅助!$J$4,考勤工资!$Y$5:$Y$1004,"&lt;="&amp;_辅助!$J$2)+SUMIFS(考勤工资!$K$5:$K$1004,考勤工资!$C$5:$C$1004,往来单位!$B$114,考勤工资!$J$5:$J$1004,$C$3,考勤工资!$Y$5:$Y$1004,"&gt;="&amp;_辅助!$J$4,考勤工资!$Y$5:$Y$1004,"&lt;="&amp;_辅助!$J$2))</f>
        <v>0</v>
      </c>
      <c r="BD111" s="2">
        <f>IF(BC111=0,0,SUMIFS(考勤工资!$AC$5:$AC$1004,考勤工资!$C$5:$C$1004,往来单位!$B$114,考勤工资!$D$5:$D$1004,$C$3,考勤工资!$Y$5:$Y$1004,"&gt;="&amp;_辅助!$J$4,考勤工资!$Y$5:$Y$1004,"&lt;="&amp;_辅助!$J$2)+SUMIFS(考勤工资!$AD$5:$AD$1004,考勤工资!$C$5:$C$1004,往来单位!$B$114,考勤工资!$F$5:$F$1004,$C$3,考勤工资!$Y$5:$Y$1004,"&gt;="&amp;_辅助!$J$4,考勤工资!$Y$5:$Y$1004,"&lt;="&amp;_辅助!$J$2)+SUMIFS(考勤工资!$AE$5:$AE$1004,考勤工资!$C$5:$C$1004,往来单位!$B$114,考勤工资!$H$5:$H$1004,$C$3,考勤工资!$Y$5:$Y$1004,"&gt;="&amp;_辅助!$J$4,考勤工资!$Y$5:$Y$1004,"&lt;="&amp;_辅助!$J$2)+SUMIFS(考勤工资!$AF$5:$AF$1004,考勤工资!$C$5:$C$1004,往来单位!$B$114,考勤工资!$J$5:$J$1004,$C$3,考勤工资!$Y$5:$Y$1004,"&gt;="&amp;_辅助!$J$4,考勤工资!$Y$5:$Y$1004,"&lt;="&amp;_辅助!$J$2))</f>
        <v>0</v>
      </c>
      <c r="BE111" s="2">
        <f>BE100+SUM(CB101:CB111)</f>
        <v>0</v>
      </c>
      <c r="BF111" s="2">
        <f>IF(AND($AF$3&gt;0,发票登记!$T$114=$C$3,ISNUMBER(发票登记!$X$114),发票登记!$AB$114&lt;&gt;0,发票登记!$Y$114&gt;=_辅助!$J$4,发票登记!$Y$114&lt;=_辅助!$J$2),INT(发票登记!$X$114)*10000+110,"")</f>
      </c>
      <c r="BG111" s="2">
        <f>IF(AND($AF$3&gt;0,资金流水!$H$115=$C$3,ISNUMBER(资金流水!$B$115),ISNUMBER(资金流水!$S$115),资金流水!$S$115&gt;=_辅助!$J$4,资金流水!$S$115&lt;=_辅助!$J$2),INT(资金流水!$B$115)*10000+110,"")</f>
      </c>
      <c r="BH111" s="2">
        <f>IF(76&gt;$BE$300,0,IFERROR(MATCH(76,$BE$1:$BE$300,0),0))</f>
        <v>0</v>
      </c>
      <c r="BI111" s="2">
        <f>IF(76&gt;$BF$1,0,MOD(SMALL($BF$2:$BF$1001,76),10000))</f>
        <v>0</v>
      </c>
      <c r="BJ111" s="2">
        <f>IF(76&gt;$BG$1,0,MOD(SMALL($BG$2:$BG$2001,76),10000))</f>
        <v>0</v>
      </c>
      <c r="CA111" s="2">
        <f t="shared" si="0"/>
        <v>0</v>
      </c>
      <c r="CB111" s="2">
        <f t="shared" si="1"/>
        <v>0</v>
      </c>
    </row>
    <row r="112">
      <c r="I112" s="94">
        <f t="shared" si="3"/>
      </c>
      <c r="J112" s="21">
        <f t="shared" si="5"/>
      </c>
      <c r="K112" s="94" t="n"/>
      <c r="L112" s="135">
        <f t="shared" si="11"/>
      </c>
      <c r="M112" s="136">
        <f t="shared" si="12"/>
      </c>
      <c r="N112" s="94">
        <f t="shared" si="13"/>
      </c>
      <c r="O112" s="21">
        <f t="shared" si="7"/>
      </c>
      <c r="Q112" s="95">
        <f t="shared" si="22"/>
      </c>
      <c r="R112" s="94">
        <f t="shared" si="23"/>
      </c>
      <c r="S112" s="96">
        <f t="shared" si="8"/>
      </c>
      <c r="T112" s="21">
        <f t="shared" si="10"/>
      </c>
      <c r="U112" s="21">
        <f t="shared" si="24"/>
      </c>
      <c r="W112" s="95">
        <f t="shared" si="19"/>
      </c>
      <c r="X112" s="94">
        <f t="shared" si="25"/>
      </c>
      <c r="Y112" s="96">
        <f t="shared" si="26"/>
      </c>
      <c r="Z112" s="21">
        <f t="shared" si="20"/>
      </c>
      <c r="AA112" s="21">
        <f t="shared" si="21"/>
      </c>
      <c r="AB112" s="94">
        <f t="shared" si="27"/>
      </c>
      <c r="AC112" s="96">
        <f t="shared" si="28"/>
      </c>
      <c r="AD112" s="94">
        <f t="shared" si="29"/>
      </c>
      <c r="BA112" s="2">
        <f>IF(OR(往来单位!$B$115="",$AF$3=0),0,SUMIFS(期初余额!$R$5:$R$204,期初余额!$P$5:$P$204,往来单位!$B$115,期初余额!$Q$5:$Q$204,$C$3)+SUMIFS(应付登记!$G$5:$G$1004,应付登记!$D$5:$D$1004,往来单位!$B$115,应付登记!$E$5:$E$1004,$C$3,应付登记!$J$5:$J$1004,"&gt;="&amp;_辅助!$J$4,应付登记!$J$5:$J$1004,"&lt;="&amp;_辅助!$J$2))</f>
        <v>0</v>
      </c>
      <c r="BB112" s="2">
        <f>BB100+SUM(CA101:CA112)</f>
        <v>2</v>
      </c>
      <c r="BC112" s="2">
        <f>IF(OR(往来单位!$B$115="",$AF$3=0,NOT(OR(往来单位!$C$115="管理人员",往来单位!$C$115="工人"))),0,SUMIFS(考勤工资!$E$5:$E$1004,考勤工资!$C$5:$C$1004,往来单位!$B$115,考勤工资!$D$5:$D$1004,$C$3,考勤工资!$Y$5:$Y$1004,"&gt;="&amp;_辅助!$J$4,考勤工资!$Y$5:$Y$1004,"&lt;="&amp;_辅助!$J$2)+SUMIFS(考勤工资!$G$5:$G$1004,考勤工资!$C$5:$C$1004,往来单位!$B$115,考勤工资!$F$5:$F$1004,$C$3,考勤工资!$Y$5:$Y$1004,"&gt;="&amp;_辅助!$J$4,考勤工资!$Y$5:$Y$1004,"&lt;="&amp;_辅助!$J$2)+SUMIFS(考勤工资!$I$5:$I$1004,考勤工资!$C$5:$C$1004,往来单位!$B$115,考勤工资!$H$5:$H$1004,$C$3,考勤工资!$Y$5:$Y$1004,"&gt;="&amp;_辅助!$J$4,考勤工资!$Y$5:$Y$1004,"&lt;="&amp;_辅助!$J$2)+SUMIFS(考勤工资!$K$5:$K$1004,考勤工资!$C$5:$C$1004,往来单位!$B$115,考勤工资!$J$5:$J$1004,$C$3,考勤工资!$Y$5:$Y$1004,"&gt;="&amp;_辅助!$J$4,考勤工资!$Y$5:$Y$1004,"&lt;="&amp;_辅助!$J$2))</f>
        <v>0</v>
      </c>
      <c r="BD112" s="2">
        <f>IF(BC112=0,0,SUMIFS(考勤工资!$AC$5:$AC$1004,考勤工资!$C$5:$C$1004,往来单位!$B$115,考勤工资!$D$5:$D$1004,$C$3,考勤工资!$Y$5:$Y$1004,"&gt;="&amp;_辅助!$J$4,考勤工资!$Y$5:$Y$1004,"&lt;="&amp;_辅助!$J$2)+SUMIFS(考勤工资!$AD$5:$AD$1004,考勤工资!$C$5:$C$1004,往来单位!$B$115,考勤工资!$F$5:$F$1004,$C$3,考勤工资!$Y$5:$Y$1004,"&gt;="&amp;_辅助!$J$4,考勤工资!$Y$5:$Y$1004,"&lt;="&amp;_辅助!$J$2)+SUMIFS(考勤工资!$AE$5:$AE$1004,考勤工资!$C$5:$C$1004,往来单位!$B$115,考勤工资!$H$5:$H$1004,$C$3,考勤工资!$Y$5:$Y$1004,"&gt;="&amp;_辅助!$J$4,考勤工资!$Y$5:$Y$1004,"&lt;="&amp;_辅助!$J$2)+SUMIFS(考勤工资!$AF$5:$AF$1004,考勤工资!$C$5:$C$1004,往来单位!$B$115,考勤工资!$J$5:$J$1004,$C$3,考勤工资!$Y$5:$Y$1004,"&gt;="&amp;_辅助!$J$4,考勤工资!$Y$5:$Y$1004,"&lt;="&amp;_辅助!$J$2))</f>
        <v>0</v>
      </c>
      <c r="BE112" s="2">
        <f>BE100+SUM(CB101:CB112)</f>
        <v>0</v>
      </c>
      <c r="BF112" s="2">
        <f>IF(AND($AF$3&gt;0,发票登记!$T$115=$C$3,ISNUMBER(发票登记!$X$115),发票登记!$AB$115&lt;&gt;0,发票登记!$Y$115&gt;=_辅助!$J$4,发票登记!$Y$115&lt;=_辅助!$J$2),INT(发票登记!$X$115)*10000+111,"")</f>
      </c>
      <c r="BG112" s="2">
        <f>IF(AND($AF$3&gt;0,资金流水!$H$116=$C$3,ISNUMBER(资金流水!$B$116),ISNUMBER(资金流水!$S$116),资金流水!$S$116&gt;=_辅助!$J$4,资金流水!$S$116&lt;=_辅助!$J$2),INT(资金流水!$B$116)*10000+111,"")</f>
      </c>
      <c r="BH112" s="2">
        <f>IF(77&gt;$BE$300,0,IFERROR(MATCH(77,$BE$1:$BE$300,0),0))</f>
        <v>0</v>
      </c>
      <c r="BI112" s="2">
        <f>IF(77&gt;$BF$1,0,MOD(SMALL($BF$2:$BF$1001,77),10000))</f>
        <v>0</v>
      </c>
      <c r="BJ112" s="2">
        <f>IF(77&gt;$BG$1,0,MOD(SMALL($BG$2:$BG$2001,77),10000))</f>
        <v>0</v>
      </c>
      <c r="CA112" s="2">
        <f t="shared" si="0"/>
        <v>0</v>
      </c>
      <c r="CB112" s="2">
        <f t="shared" si="1"/>
        <v>0</v>
      </c>
    </row>
    <row r="113">
      <c r="I113" s="94">
        <f t="shared" si="3"/>
      </c>
      <c r="J113" s="21">
        <f t="shared" si="5"/>
      </c>
      <c r="K113" s="94" t="n"/>
      <c r="L113" s="135">
        <f t="shared" si="11"/>
      </c>
      <c r="M113" s="136">
        <f t="shared" si="12"/>
      </c>
      <c r="N113" s="94">
        <f t="shared" si="13"/>
      </c>
      <c r="O113" s="21">
        <f t="shared" si="7"/>
      </c>
      <c r="Q113" s="95">
        <f t="shared" si="22"/>
      </c>
      <c r="R113" s="94">
        <f t="shared" si="23"/>
      </c>
      <c r="S113" s="96">
        <f t="shared" si="8"/>
      </c>
      <c r="T113" s="21">
        <f t="shared" si="10"/>
      </c>
      <c r="U113" s="21">
        <f t="shared" si="24"/>
      </c>
      <c r="W113" s="95">
        <f t="shared" si="19"/>
      </c>
      <c r="X113" s="94">
        <f t="shared" si="25"/>
      </c>
      <c r="Y113" s="96">
        <f t="shared" si="26"/>
      </c>
      <c r="Z113" s="21">
        <f t="shared" si="20"/>
      </c>
      <c r="AA113" s="21">
        <f t="shared" si="21"/>
      </c>
      <c r="AB113" s="94">
        <f t="shared" si="27"/>
      </c>
      <c r="AC113" s="96">
        <f t="shared" si="28"/>
      </c>
      <c r="AD113" s="94">
        <f t="shared" si="29"/>
      </c>
      <c r="BA113" s="2">
        <f>IF(OR(往来单位!$B$116="",$AF$3=0),0,SUMIFS(期初余额!$R$5:$R$204,期初余额!$P$5:$P$204,往来单位!$B$116,期初余额!$Q$5:$Q$204,$C$3)+SUMIFS(应付登记!$G$5:$G$1004,应付登记!$D$5:$D$1004,往来单位!$B$116,应付登记!$E$5:$E$1004,$C$3,应付登记!$J$5:$J$1004,"&gt;="&amp;_辅助!$J$4,应付登记!$J$5:$J$1004,"&lt;="&amp;_辅助!$J$2))</f>
        <v>0</v>
      </c>
      <c r="BB113" s="2">
        <f>BB100+SUM(CA101:CA113)</f>
        <v>2</v>
      </c>
      <c r="BC113" s="2">
        <f>IF(OR(往来单位!$B$116="",$AF$3=0,NOT(OR(往来单位!$C$116="管理人员",往来单位!$C$116="工人"))),0,SUMIFS(考勤工资!$E$5:$E$1004,考勤工资!$C$5:$C$1004,往来单位!$B$116,考勤工资!$D$5:$D$1004,$C$3,考勤工资!$Y$5:$Y$1004,"&gt;="&amp;_辅助!$J$4,考勤工资!$Y$5:$Y$1004,"&lt;="&amp;_辅助!$J$2)+SUMIFS(考勤工资!$G$5:$G$1004,考勤工资!$C$5:$C$1004,往来单位!$B$116,考勤工资!$F$5:$F$1004,$C$3,考勤工资!$Y$5:$Y$1004,"&gt;="&amp;_辅助!$J$4,考勤工资!$Y$5:$Y$1004,"&lt;="&amp;_辅助!$J$2)+SUMIFS(考勤工资!$I$5:$I$1004,考勤工资!$C$5:$C$1004,往来单位!$B$116,考勤工资!$H$5:$H$1004,$C$3,考勤工资!$Y$5:$Y$1004,"&gt;="&amp;_辅助!$J$4,考勤工资!$Y$5:$Y$1004,"&lt;="&amp;_辅助!$J$2)+SUMIFS(考勤工资!$K$5:$K$1004,考勤工资!$C$5:$C$1004,往来单位!$B$116,考勤工资!$J$5:$J$1004,$C$3,考勤工资!$Y$5:$Y$1004,"&gt;="&amp;_辅助!$J$4,考勤工资!$Y$5:$Y$1004,"&lt;="&amp;_辅助!$J$2))</f>
        <v>0</v>
      </c>
      <c r="BD113" s="2">
        <f>IF(BC113=0,0,SUMIFS(考勤工资!$AC$5:$AC$1004,考勤工资!$C$5:$C$1004,往来单位!$B$116,考勤工资!$D$5:$D$1004,$C$3,考勤工资!$Y$5:$Y$1004,"&gt;="&amp;_辅助!$J$4,考勤工资!$Y$5:$Y$1004,"&lt;="&amp;_辅助!$J$2)+SUMIFS(考勤工资!$AD$5:$AD$1004,考勤工资!$C$5:$C$1004,往来单位!$B$116,考勤工资!$F$5:$F$1004,$C$3,考勤工资!$Y$5:$Y$1004,"&gt;="&amp;_辅助!$J$4,考勤工资!$Y$5:$Y$1004,"&lt;="&amp;_辅助!$J$2)+SUMIFS(考勤工资!$AE$5:$AE$1004,考勤工资!$C$5:$C$1004,往来单位!$B$116,考勤工资!$H$5:$H$1004,$C$3,考勤工资!$Y$5:$Y$1004,"&gt;="&amp;_辅助!$J$4,考勤工资!$Y$5:$Y$1004,"&lt;="&amp;_辅助!$J$2)+SUMIFS(考勤工资!$AF$5:$AF$1004,考勤工资!$C$5:$C$1004,往来单位!$B$116,考勤工资!$J$5:$J$1004,$C$3,考勤工资!$Y$5:$Y$1004,"&gt;="&amp;_辅助!$J$4,考勤工资!$Y$5:$Y$1004,"&lt;="&amp;_辅助!$J$2))</f>
        <v>0</v>
      </c>
      <c r="BE113" s="2">
        <f>BE100+SUM(CB101:CB113)</f>
        <v>0</v>
      </c>
      <c r="BF113" s="2">
        <f>IF(AND($AF$3&gt;0,发票登记!$T$116=$C$3,ISNUMBER(发票登记!$X$116),发票登记!$AB$116&lt;&gt;0,发票登记!$Y$116&gt;=_辅助!$J$4,发票登记!$Y$116&lt;=_辅助!$J$2),INT(发票登记!$X$116)*10000+112,"")</f>
      </c>
      <c r="BG113" s="2">
        <f>IF(AND($AF$3&gt;0,资金流水!$H$117=$C$3,ISNUMBER(资金流水!$B$117),ISNUMBER(资金流水!$S$117),资金流水!$S$117&gt;=_辅助!$J$4,资金流水!$S$117&lt;=_辅助!$J$2),INT(资金流水!$B$117)*10000+112,"")</f>
      </c>
      <c r="BH113" s="2">
        <f>IF(78&gt;$BE$300,0,IFERROR(MATCH(78,$BE$1:$BE$300,0),0))</f>
        <v>0</v>
      </c>
      <c r="BI113" s="2">
        <f>IF(78&gt;$BF$1,0,MOD(SMALL($BF$2:$BF$1001,78),10000))</f>
        <v>0</v>
      </c>
      <c r="BJ113" s="2">
        <f>IF(78&gt;$BG$1,0,MOD(SMALL($BG$2:$BG$2001,78),10000))</f>
        <v>0</v>
      </c>
      <c r="CA113" s="2">
        <f t="shared" si="0"/>
        <v>0</v>
      </c>
      <c r="CB113" s="2">
        <f t="shared" si="1"/>
        <v>0</v>
      </c>
    </row>
    <row r="114">
      <c r="I114" s="94">
        <f t="shared" si="3"/>
      </c>
      <c r="J114" s="21">
        <f t="shared" si="5"/>
      </c>
      <c r="K114" s="94" t="n"/>
      <c r="L114" s="135">
        <f t="shared" si="11"/>
      </c>
      <c r="M114" s="136">
        <f t="shared" si="12"/>
      </c>
      <c r="N114" s="94">
        <f t="shared" si="13"/>
      </c>
      <c r="O114" s="21">
        <f t="shared" si="7"/>
      </c>
      <c r="Q114" s="95">
        <f t="shared" si="22"/>
      </c>
      <c r="R114" s="94">
        <f t="shared" si="23"/>
      </c>
      <c r="S114" s="96">
        <f t="shared" si="8"/>
      </c>
      <c r="T114" s="21">
        <f t="shared" si="10"/>
      </c>
      <c r="U114" s="21">
        <f t="shared" si="24"/>
      </c>
      <c r="W114" s="95">
        <f t="shared" si="19"/>
      </c>
      <c r="X114" s="94">
        <f t="shared" si="25"/>
      </c>
      <c r="Y114" s="96">
        <f t="shared" si="26"/>
      </c>
      <c r="Z114" s="21">
        <f t="shared" si="20"/>
      </c>
      <c r="AA114" s="21">
        <f t="shared" si="21"/>
      </c>
      <c r="AB114" s="94">
        <f t="shared" si="27"/>
      </c>
      <c r="AC114" s="96">
        <f t="shared" si="28"/>
      </c>
      <c r="AD114" s="94">
        <f t="shared" si="29"/>
      </c>
      <c r="BA114" s="2">
        <f>IF(OR(往来单位!$B$117="",$AF$3=0),0,SUMIFS(期初余额!$R$5:$R$204,期初余额!$P$5:$P$204,往来单位!$B$117,期初余额!$Q$5:$Q$204,$C$3)+SUMIFS(应付登记!$G$5:$G$1004,应付登记!$D$5:$D$1004,往来单位!$B$117,应付登记!$E$5:$E$1004,$C$3,应付登记!$J$5:$J$1004,"&gt;="&amp;_辅助!$J$4,应付登记!$J$5:$J$1004,"&lt;="&amp;_辅助!$J$2))</f>
        <v>0</v>
      </c>
      <c r="BB114" s="2">
        <f>BB100+SUM(CA101:CA114)</f>
        <v>2</v>
      </c>
      <c r="BC114" s="2">
        <f>IF(OR(往来单位!$B$117="",$AF$3=0,NOT(OR(往来单位!$C$117="管理人员",往来单位!$C$117="工人"))),0,SUMIFS(考勤工资!$E$5:$E$1004,考勤工资!$C$5:$C$1004,往来单位!$B$117,考勤工资!$D$5:$D$1004,$C$3,考勤工资!$Y$5:$Y$1004,"&gt;="&amp;_辅助!$J$4,考勤工资!$Y$5:$Y$1004,"&lt;="&amp;_辅助!$J$2)+SUMIFS(考勤工资!$G$5:$G$1004,考勤工资!$C$5:$C$1004,往来单位!$B$117,考勤工资!$F$5:$F$1004,$C$3,考勤工资!$Y$5:$Y$1004,"&gt;="&amp;_辅助!$J$4,考勤工资!$Y$5:$Y$1004,"&lt;="&amp;_辅助!$J$2)+SUMIFS(考勤工资!$I$5:$I$1004,考勤工资!$C$5:$C$1004,往来单位!$B$117,考勤工资!$H$5:$H$1004,$C$3,考勤工资!$Y$5:$Y$1004,"&gt;="&amp;_辅助!$J$4,考勤工资!$Y$5:$Y$1004,"&lt;="&amp;_辅助!$J$2)+SUMIFS(考勤工资!$K$5:$K$1004,考勤工资!$C$5:$C$1004,往来单位!$B$117,考勤工资!$J$5:$J$1004,$C$3,考勤工资!$Y$5:$Y$1004,"&gt;="&amp;_辅助!$J$4,考勤工资!$Y$5:$Y$1004,"&lt;="&amp;_辅助!$J$2))</f>
        <v>0</v>
      </c>
      <c r="BD114" s="2">
        <f>IF(BC114=0,0,SUMIFS(考勤工资!$AC$5:$AC$1004,考勤工资!$C$5:$C$1004,往来单位!$B$117,考勤工资!$D$5:$D$1004,$C$3,考勤工资!$Y$5:$Y$1004,"&gt;="&amp;_辅助!$J$4,考勤工资!$Y$5:$Y$1004,"&lt;="&amp;_辅助!$J$2)+SUMIFS(考勤工资!$AD$5:$AD$1004,考勤工资!$C$5:$C$1004,往来单位!$B$117,考勤工资!$F$5:$F$1004,$C$3,考勤工资!$Y$5:$Y$1004,"&gt;="&amp;_辅助!$J$4,考勤工资!$Y$5:$Y$1004,"&lt;="&amp;_辅助!$J$2)+SUMIFS(考勤工资!$AE$5:$AE$1004,考勤工资!$C$5:$C$1004,往来单位!$B$117,考勤工资!$H$5:$H$1004,$C$3,考勤工资!$Y$5:$Y$1004,"&gt;="&amp;_辅助!$J$4,考勤工资!$Y$5:$Y$1004,"&lt;="&amp;_辅助!$J$2)+SUMIFS(考勤工资!$AF$5:$AF$1004,考勤工资!$C$5:$C$1004,往来单位!$B$117,考勤工资!$J$5:$J$1004,$C$3,考勤工资!$Y$5:$Y$1004,"&gt;="&amp;_辅助!$J$4,考勤工资!$Y$5:$Y$1004,"&lt;="&amp;_辅助!$J$2))</f>
        <v>0</v>
      </c>
      <c r="BE114" s="2">
        <f>BE100+SUM(CB101:CB114)</f>
        <v>0</v>
      </c>
      <c r="BF114" s="2">
        <f>IF(AND($AF$3&gt;0,发票登记!$T$117=$C$3,ISNUMBER(发票登记!$X$117),发票登记!$AB$117&lt;&gt;0,发票登记!$Y$117&gt;=_辅助!$J$4,发票登记!$Y$117&lt;=_辅助!$J$2),INT(发票登记!$X$117)*10000+113,"")</f>
      </c>
      <c r="BG114" s="2">
        <f>IF(AND($AF$3&gt;0,资金流水!$H$118=$C$3,ISNUMBER(资金流水!$B$118),ISNUMBER(资金流水!$S$118),资金流水!$S$118&gt;=_辅助!$J$4,资金流水!$S$118&lt;=_辅助!$J$2),INT(资金流水!$B$118)*10000+113,"")</f>
      </c>
      <c r="BH114" s="2">
        <f>IF(79&gt;$BE$300,0,IFERROR(MATCH(79,$BE$1:$BE$300,0),0))</f>
        <v>0</v>
      </c>
      <c r="BI114" s="2">
        <f>IF(79&gt;$BF$1,0,MOD(SMALL($BF$2:$BF$1001,79),10000))</f>
        <v>0</v>
      </c>
      <c r="BJ114" s="2">
        <f>IF(79&gt;$BG$1,0,MOD(SMALL($BG$2:$BG$2001,79),10000))</f>
        <v>0</v>
      </c>
      <c r="CA114" s="2">
        <f t="shared" si="0"/>
        <v>0</v>
      </c>
      <c r="CB114" s="2">
        <f t="shared" si="1"/>
        <v>0</v>
      </c>
    </row>
    <row r="115">
      <c r="I115" s="94">
        <f t="shared" si="3"/>
      </c>
      <c r="J115" s="21">
        <f t="shared" si="5"/>
      </c>
      <c r="K115" s="94" t="n"/>
      <c r="L115" s="135">
        <f t="shared" si="11"/>
      </c>
      <c r="M115" s="136">
        <f t="shared" si="12"/>
      </c>
      <c r="N115" s="94">
        <f t="shared" si="13"/>
      </c>
      <c r="O115" s="21">
        <f t="shared" si="7"/>
      </c>
      <c r="Q115" s="95">
        <f t="shared" si="22"/>
      </c>
      <c r="R115" s="94">
        <f t="shared" si="23"/>
      </c>
      <c r="S115" s="96">
        <f t="shared" si="8"/>
      </c>
      <c r="T115" s="21">
        <f t="shared" si="10"/>
      </c>
      <c r="U115" s="21">
        <f t="shared" si="24"/>
      </c>
      <c r="W115" s="95">
        <f t="shared" si="19"/>
      </c>
      <c r="X115" s="94">
        <f t="shared" si="25"/>
      </c>
      <c r="Y115" s="96">
        <f t="shared" si="26"/>
      </c>
      <c r="Z115" s="21">
        <f t="shared" si="20"/>
      </c>
      <c r="AA115" s="21">
        <f t="shared" si="21"/>
      </c>
      <c r="AB115" s="94">
        <f t="shared" si="27"/>
      </c>
      <c r="AC115" s="96">
        <f t="shared" si="28"/>
      </c>
      <c r="AD115" s="94">
        <f t="shared" si="29"/>
      </c>
      <c r="BA115" s="2">
        <f>IF(OR(往来单位!$B$118="",$AF$3=0),0,SUMIFS(期初余额!$R$5:$R$204,期初余额!$P$5:$P$204,往来单位!$B$118,期初余额!$Q$5:$Q$204,$C$3)+SUMIFS(应付登记!$G$5:$G$1004,应付登记!$D$5:$D$1004,往来单位!$B$118,应付登记!$E$5:$E$1004,$C$3,应付登记!$J$5:$J$1004,"&gt;="&amp;_辅助!$J$4,应付登记!$J$5:$J$1004,"&lt;="&amp;_辅助!$J$2))</f>
        <v>0</v>
      </c>
      <c r="BB115" s="2">
        <f>BB100+SUM(CA101:CA115)</f>
        <v>2</v>
      </c>
      <c r="BC115" s="2">
        <f>IF(OR(往来单位!$B$118="",$AF$3=0,NOT(OR(往来单位!$C$118="管理人员",往来单位!$C$118="工人"))),0,SUMIFS(考勤工资!$E$5:$E$1004,考勤工资!$C$5:$C$1004,往来单位!$B$118,考勤工资!$D$5:$D$1004,$C$3,考勤工资!$Y$5:$Y$1004,"&gt;="&amp;_辅助!$J$4,考勤工资!$Y$5:$Y$1004,"&lt;="&amp;_辅助!$J$2)+SUMIFS(考勤工资!$G$5:$G$1004,考勤工资!$C$5:$C$1004,往来单位!$B$118,考勤工资!$F$5:$F$1004,$C$3,考勤工资!$Y$5:$Y$1004,"&gt;="&amp;_辅助!$J$4,考勤工资!$Y$5:$Y$1004,"&lt;="&amp;_辅助!$J$2)+SUMIFS(考勤工资!$I$5:$I$1004,考勤工资!$C$5:$C$1004,往来单位!$B$118,考勤工资!$H$5:$H$1004,$C$3,考勤工资!$Y$5:$Y$1004,"&gt;="&amp;_辅助!$J$4,考勤工资!$Y$5:$Y$1004,"&lt;="&amp;_辅助!$J$2)+SUMIFS(考勤工资!$K$5:$K$1004,考勤工资!$C$5:$C$1004,往来单位!$B$118,考勤工资!$J$5:$J$1004,$C$3,考勤工资!$Y$5:$Y$1004,"&gt;="&amp;_辅助!$J$4,考勤工资!$Y$5:$Y$1004,"&lt;="&amp;_辅助!$J$2))</f>
        <v>0</v>
      </c>
      <c r="BD115" s="2">
        <f>IF(BC115=0,0,SUMIFS(考勤工资!$AC$5:$AC$1004,考勤工资!$C$5:$C$1004,往来单位!$B$118,考勤工资!$D$5:$D$1004,$C$3,考勤工资!$Y$5:$Y$1004,"&gt;="&amp;_辅助!$J$4,考勤工资!$Y$5:$Y$1004,"&lt;="&amp;_辅助!$J$2)+SUMIFS(考勤工资!$AD$5:$AD$1004,考勤工资!$C$5:$C$1004,往来单位!$B$118,考勤工资!$F$5:$F$1004,$C$3,考勤工资!$Y$5:$Y$1004,"&gt;="&amp;_辅助!$J$4,考勤工资!$Y$5:$Y$1004,"&lt;="&amp;_辅助!$J$2)+SUMIFS(考勤工资!$AE$5:$AE$1004,考勤工资!$C$5:$C$1004,往来单位!$B$118,考勤工资!$H$5:$H$1004,$C$3,考勤工资!$Y$5:$Y$1004,"&gt;="&amp;_辅助!$J$4,考勤工资!$Y$5:$Y$1004,"&lt;="&amp;_辅助!$J$2)+SUMIFS(考勤工资!$AF$5:$AF$1004,考勤工资!$C$5:$C$1004,往来单位!$B$118,考勤工资!$J$5:$J$1004,$C$3,考勤工资!$Y$5:$Y$1004,"&gt;="&amp;_辅助!$J$4,考勤工资!$Y$5:$Y$1004,"&lt;="&amp;_辅助!$J$2))</f>
        <v>0</v>
      </c>
      <c r="BE115" s="2">
        <f>BE100+SUM(CB101:CB115)</f>
        <v>0</v>
      </c>
      <c r="BF115" s="2">
        <f>IF(AND($AF$3&gt;0,发票登记!$T$118=$C$3,ISNUMBER(发票登记!$X$118),发票登记!$AB$118&lt;&gt;0,发票登记!$Y$118&gt;=_辅助!$J$4,发票登记!$Y$118&lt;=_辅助!$J$2),INT(发票登记!$X$118)*10000+114,"")</f>
      </c>
      <c r="BG115" s="2">
        <f>IF(AND($AF$3&gt;0,资金流水!$H$119=$C$3,ISNUMBER(资金流水!$B$119),ISNUMBER(资金流水!$S$119),资金流水!$S$119&gt;=_辅助!$J$4,资金流水!$S$119&lt;=_辅助!$J$2),INT(资金流水!$B$119)*10000+114,"")</f>
      </c>
      <c r="BH115" s="2">
        <f>IF(80&gt;$BE$300,0,IFERROR(MATCH(80,$BE$1:$BE$300,0),0))</f>
        <v>0</v>
      </c>
      <c r="BI115" s="2">
        <f>IF(80&gt;$BF$1,0,MOD(SMALL($BF$2:$BF$1001,80),10000))</f>
        <v>0</v>
      </c>
      <c r="BJ115" s="2">
        <f>IF(80&gt;$BG$1,0,MOD(SMALL($BG$2:$BG$2001,80),10000))</f>
        <v>0</v>
      </c>
      <c r="CA115" s="2">
        <f t="shared" si="0"/>
        <v>0</v>
      </c>
      <c r="CB115" s="2">
        <f t="shared" si="1"/>
        <v>0</v>
      </c>
    </row>
    <row r="116">
      <c r="W116" s="95">
        <f t="shared" si="19"/>
      </c>
      <c r="X116" s="94">
        <f t="shared" si="25"/>
      </c>
      <c r="Y116" s="96">
        <f t="shared" si="26"/>
      </c>
      <c r="Z116" s="21">
        <f t="shared" si="20"/>
      </c>
      <c r="AA116" s="21">
        <f t="shared" si="21"/>
      </c>
      <c r="AB116" s="94">
        <f t="shared" si="27"/>
      </c>
      <c r="AC116" s="96">
        <f t="shared" si="28"/>
      </c>
      <c r="AD116" s="94">
        <f t="shared" si="29"/>
      </c>
      <c r="BA116" s="2">
        <f>IF(OR(往来单位!$B$119="",$AF$3=0),0,SUMIFS(期初余额!$R$5:$R$204,期初余额!$P$5:$P$204,往来单位!$B$119,期初余额!$Q$5:$Q$204,$C$3)+SUMIFS(应付登记!$G$5:$G$1004,应付登记!$D$5:$D$1004,往来单位!$B$119,应付登记!$E$5:$E$1004,$C$3,应付登记!$J$5:$J$1004,"&gt;="&amp;_辅助!$J$4,应付登记!$J$5:$J$1004,"&lt;="&amp;_辅助!$J$2))</f>
        <v>0</v>
      </c>
      <c r="BB116" s="2">
        <f>BB100+SUM(CA101:CA116)</f>
        <v>2</v>
      </c>
      <c r="BC116" s="2">
        <f>IF(OR(往来单位!$B$119="",$AF$3=0,NOT(OR(往来单位!$C$119="管理人员",往来单位!$C$119="工人"))),0,SUMIFS(考勤工资!$E$5:$E$1004,考勤工资!$C$5:$C$1004,往来单位!$B$119,考勤工资!$D$5:$D$1004,$C$3,考勤工资!$Y$5:$Y$1004,"&gt;="&amp;_辅助!$J$4,考勤工资!$Y$5:$Y$1004,"&lt;="&amp;_辅助!$J$2)+SUMIFS(考勤工资!$G$5:$G$1004,考勤工资!$C$5:$C$1004,往来单位!$B$119,考勤工资!$F$5:$F$1004,$C$3,考勤工资!$Y$5:$Y$1004,"&gt;="&amp;_辅助!$J$4,考勤工资!$Y$5:$Y$1004,"&lt;="&amp;_辅助!$J$2)+SUMIFS(考勤工资!$I$5:$I$1004,考勤工资!$C$5:$C$1004,往来单位!$B$119,考勤工资!$H$5:$H$1004,$C$3,考勤工资!$Y$5:$Y$1004,"&gt;="&amp;_辅助!$J$4,考勤工资!$Y$5:$Y$1004,"&lt;="&amp;_辅助!$J$2)+SUMIFS(考勤工资!$K$5:$K$1004,考勤工资!$C$5:$C$1004,往来单位!$B$119,考勤工资!$J$5:$J$1004,$C$3,考勤工资!$Y$5:$Y$1004,"&gt;="&amp;_辅助!$J$4,考勤工资!$Y$5:$Y$1004,"&lt;="&amp;_辅助!$J$2))</f>
        <v>0</v>
      </c>
      <c r="BD116" s="2">
        <f>IF(BC116=0,0,SUMIFS(考勤工资!$AC$5:$AC$1004,考勤工资!$C$5:$C$1004,往来单位!$B$119,考勤工资!$D$5:$D$1004,$C$3,考勤工资!$Y$5:$Y$1004,"&gt;="&amp;_辅助!$J$4,考勤工资!$Y$5:$Y$1004,"&lt;="&amp;_辅助!$J$2)+SUMIFS(考勤工资!$AD$5:$AD$1004,考勤工资!$C$5:$C$1004,往来单位!$B$119,考勤工资!$F$5:$F$1004,$C$3,考勤工资!$Y$5:$Y$1004,"&gt;="&amp;_辅助!$J$4,考勤工资!$Y$5:$Y$1004,"&lt;="&amp;_辅助!$J$2)+SUMIFS(考勤工资!$AE$5:$AE$1004,考勤工资!$C$5:$C$1004,往来单位!$B$119,考勤工资!$H$5:$H$1004,$C$3,考勤工资!$Y$5:$Y$1004,"&gt;="&amp;_辅助!$J$4,考勤工资!$Y$5:$Y$1004,"&lt;="&amp;_辅助!$J$2)+SUMIFS(考勤工资!$AF$5:$AF$1004,考勤工资!$C$5:$C$1004,往来单位!$B$119,考勤工资!$J$5:$J$1004,$C$3,考勤工资!$Y$5:$Y$1004,"&gt;="&amp;_辅助!$J$4,考勤工资!$Y$5:$Y$1004,"&lt;="&amp;_辅助!$J$2))</f>
        <v>0</v>
      </c>
      <c r="BE116" s="2">
        <f>BE100+SUM(CB101:CB116)</f>
        <v>0</v>
      </c>
      <c r="BF116" s="2">
        <f>IF(AND($AF$3&gt;0,发票登记!$T$119=$C$3,ISNUMBER(发票登记!$X$119),发票登记!$AB$119&lt;&gt;0,发票登记!$Y$119&gt;=_辅助!$J$4,发票登记!$Y$119&lt;=_辅助!$J$2),INT(发票登记!$X$119)*10000+115,"")</f>
      </c>
      <c r="BG116" s="2">
        <f>IF(AND($AF$3&gt;0,资金流水!$H$120=$C$3,ISNUMBER(资金流水!$B$120),ISNUMBER(资金流水!$S$120),资金流水!$S$120&gt;=_辅助!$J$4,资金流水!$S$120&lt;=_辅助!$J$2),INT(资金流水!$B$120)*10000+115,"")</f>
      </c>
      <c r="BJ116" s="2">
        <f>IF(81&gt;$BG$1,0,MOD(SMALL($BG$2:$BG$2001,81),10000))</f>
        <v>0</v>
      </c>
      <c r="CA116" s="2">
        <f t="shared" si="0"/>
        <v>0</v>
      </c>
      <c r="CB116" s="2">
        <f t="shared" si="1"/>
        <v>0</v>
      </c>
    </row>
    <row r="117">
      <c r="W117" s="95">
        <f t="shared" si="19"/>
      </c>
      <c r="X117" s="94">
        <f t="shared" si="25"/>
      </c>
      <c r="Y117" s="96">
        <f t="shared" si="26"/>
      </c>
      <c r="Z117" s="21">
        <f t="shared" si="20"/>
      </c>
      <c r="AA117" s="21">
        <f t="shared" si="21"/>
      </c>
      <c r="AB117" s="94">
        <f t="shared" si="27"/>
      </c>
      <c r="AC117" s="96">
        <f t="shared" si="28"/>
      </c>
      <c r="AD117" s="94">
        <f t="shared" si="29"/>
      </c>
      <c r="BA117" s="2">
        <f>IF(OR(往来单位!$B$120="",$AF$3=0),0,SUMIFS(期初余额!$R$5:$R$204,期初余额!$P$5:$P$204,往来单位!$B$120,期初余额!$Q$5:$Q$204,$C$3)+SUMIFS(应付登记!$G$5:$G$1004,应付登记!$D$5:$D$1004,往来单位!$B$120,应付登记!$E$5:$E$1004,$C$3,应付登记!$J$5:$J$1004,"&gt;="&amp;_辅助!$J$4,应付登记!$J$5:$J$1004,"&lt;="&amp;_辅助!$J$2))</f>
        <v>0</v>
      </c>
      <c r="BB117" s="2">
        <f>BB100+SUM(CA101:CA117)</f>
        <v>2</v>
      </c>
      <c r="BC117" s="2">
        <f>IF(OR(往来单位!$B$120="",$AF$3=0,NOT(OR(往来单位!$C$120="管理人员",往来单位!$C$120="工人"))),0,SUMIFS(考勤工资!$E$5:$E$1004,考勤工资!$C$5:$C$1004,往来单位!$B$120,考勤工资!$D$5:$D$1004,$C$3,考勤工资!$Y$5:$Y$1004,"&gt;="&amp;_辅助!$J$4,考勤工资!$Y$5:$Y$1004,"&lt;="&amp;_辅助!$J$2)+SUMIFS(考勤工资!$G$5:$G$1004,考勤工资!$C$5:$C$1004,往来单位!$B$120,考勤工资!$F$5:$F$1004,$C$3,考勤工资!$Y$5:$Y$1004,"&gt;="&amp;_辅助!$J$4,考勤工资!$Y$5:$Y$1004,"&lt;="&amp;_辅助!$J$2)+SUMIFS(考勤工资!$I$5:$I$1004,考勤工资!$C$5:$C$1004,往来单位!$B$120,考勤工资!$H$5:$H$1004,$C$3,考勤工资!$Y$5:$Y$1004,"&gt;="&amp;_辅助!$J$4,考勤工资!$Y$5:$Y$1004,"&lt;="&amp;_辅助!$J$2)+SUMIFS(考勤工资!$K$5:$K$1004,考勤工资!$C$5:$C$1004,往来单位!$B$120,考勤工资!$J$5:$J$1004,$C$3,考勤工资!$Y$5:$Y$1004,"&gt;="&amp;_辅助!$J$4,考勤工资!$Y$5:$Y$1004,"&lt;="&amp;_辅助!$J$2))</f>
        <v>0</v>
      </c>
      <c r="BD117" s="2">
        <f>IF(BC117=0,0,SUMIFS(考勤工资!$AC$5:$AC$1004,考勤工资!$C$5:$C$1004,往来单位!$B$120,考勤工资!$D$5:$D$1004,$C$3,考勤工资!$Y$5:$Y$1004,"&gt;="&amp;_辅助!$J$4,考勤工资!$Y$5:$Y$1004,"&lt;="&amp;_辅助!$J$2)+SUMIFS(考勤工资!$AD$5:$AD$1004,考勤工资!$C$5:$C$1004,往来单位!$B$120,考勤工资!$F$5:$F$1004,$C$3,考勤工资!$Y$5:$Y$1004,"&gt;="&amp;_辅助!$J$4,考勤工资!$Y$5:$Y$1004,"&lt;="&amp;_辅助!$J$2)+SUMIFS(考勤工资!$AE$5:$AE$1004,考勤工资!$C$5:$C$1004,往来单位!$B$120,考勤工资!$H$5:$H$1004,$C$3,考勤工资!$Y$5:$Y$1004,"&gt;="&amp;_辅助!$J$4,考勤工资!$Y$5:$Y$1004,"&lt;="&amp;_辅助!$J$2)+SUMIFS(考勤工资!$AF$5:$AF$1004,考勤工资!$C$5:$C$1004,往来单位!$B$120,考勤工资!$J$5:$J$1004,$C$3,考勤工资!$Y$5:$Y$1004,"&gt;="&amp;_辅助!$J$4,考勤工资!$Y$5:$Y$1004,"&lt;="&amp;_辅助!$J$2))</f>
        <v>0</v>
      </c>
      <c r="BE117" s="2">
        <f>BE100+SUM(CB101:CB117)</f>
        <v>0</v>
      </c>
      <c r="BF117" s="2">
        <f>IF(AND($AF$3&gt;0,发票登记!$T$120=$C$3,ISNUMBER(发票登记!$X$120),发票登记!$AB$120&lt;&gt;0,发票登记!$Y$120&gt;=_辅助!$J$4,发票登记!$Y$120&lt;=_辅助!$J$2),INT(发票登记!$X$120)*10000+116,"")</f>
      </c>
      <c r="BG117" s="2">
        <f>IF(AND($AF$3&gt;0,资金流水!$H$121=$C$3,ISNUMBER(资金流水!$B$121),ISNUMBER(资金流水!$S$121),资金流水!$S$121&gt;=_辅助!$J$4,资金流水!$S$121&lt;=_辅助!$J$2),INT(资金流水!$B$121)*10000+116,"")</f>
      </c>
      <c r="BJ117" s="2">
        <f>IF(82&gt;$BG$1,0,MOD(SMALL($BG$2:$BG$2001,82),10000))</f>
        <v>0</v>
      </c>
      <c r="CA117" s="2">
        <f t="shared" si="0"/>
        <v>0</v>
      </c>
      <c r="CB117" s="2">
        <f t="shared" si="1"/>
        <v>0</v>
      </c>
    </row>
    <row r="118">
      <c r="W118" s="95">
        <f t="shared" si="19"/>
      </c>
      <c r="X118" s="94">
        <f t="shared" si="25"/>
      </c>
      <c r="Y118" s="96">
        <f t="shared" si="26"/>
      </c>
      <c r="Z118" s="21">
        <f t="shared" si="20"/>
      </c>
      <c r="AA118" s="21">
        <f t="shared" si="21"/>
      </c>
      <c r="AB118" s="94">
        <f t="shared" si="27"/>
      </c>
      <c r="AC118" s="96">
        <f t="shared" si="28"/>
      </c>
      <c r="AD118" s="94">
        <f t="shared" si="29"/>
      </c>
      <c r="BA118" s="2">
        <f>IF(OR(往来单位!$B$121="",$AF$3=0),0,SUMIFS(期初余额!$R$5:$R$204,期初余额!$P$5:$P$204,往来单位!$B$121,期初余额!$Q$5:$Q$204,$C$3)+SUMIFS(应付登记!$G$5:$G$1004,应付登记!$D$5:$D$1004,往来单位!$B$121,应付登记!$E$5:$E$1004,$C$3,应付登记!$J$5:$J$1004,"&gt;="&amp;_辅助!$J$4,应付登记!$J$5:$J$1004,"&lt;="&amp;_辅助!$J$2))</f>
        <v>0</v>
      </c>
      <c r="BB118" s="2">
        <f>BB100+SUM(CA101:CA118)</f>
        <v>2</v>
      </c>
      <c r="BC118" s="2">
        <f>IF(OR(往来单位!$B$121="",$AF$3=0,NOT(OR(往来单位!$C$121="管理人员",往来单位!$C$121="工人"))),0,SUMIFS(考勤工资!$E$5:$E$1004,考勤工资!$C$5:$C$1004,往来单位!$B$121,考勤工资!$D$5:$D$1004,$C$3,考勤工资!$Y$5:$Y$1004,"&gt;="&amp;_辅助!$J$4,考勤工资!$Y$5:$Y$1004,"&lt;="&amp;_辅助!$J$2)+SUMIFS(考勤工资!$G$5:$G$1004,考勤工资!$C$5:$C$1004,往来单位!$B$121,考勤工资!$F$5:$F$1004,$C$3,考勤工资!$Y$5:$Y$1004,"&gt;="&amp;_辅助!$J$4,考勤工资!$Y$5:$Y$1004,"&lt;="&amp;_辅助!$J$2)+SUMIFS(考勤工资!$I$5:$I$1004,考勤工资!$C$5:$C$1004,往来单位!$B$121,考勤工资!$H$5:$H$1004,$C$3,考勤工资!$Y$5:$Y$1004,"&gt;="&amp;_辅助!$J$4,考勤工资!$Y$5:$Y$1004,"&lt;="&amp;_辅助!$J$2)+SUMIFS(考勤工资!$K$5:$K$1004,考勤工资!$C$5:$C$1004,往来单位!$B$121,考勤工资!$J$5:$J$1004,$C$3,考勤工资!$Y$5:$Y$1004,"&gt;="&amp;_辅助!$J$4,考勤工资!$Y$5:$Y$1004,"&lt;="&amp;_辅助!$J$2))</f>
        <v>0</v>
      </c>
      <c r="BD118" s="2">
        <f>IF(BC118=0,0,SUMIFS(考勤工资!$AC$5:$AC$1004,考勤工资!$C$5:$C$1004,往来单位!$B$121,考勤工资!$D$5:$D$1004,$C$3,考勤工资!$Y$5:$Y$1004,"&gt;="&amp;_辅助!$J$4,考勤工资!$Y$5:$Y$1004,"&lt;="&amp;_辅助!$J$2)+SUMIFS(考勤工资!$AD$5:$AD$1004,考勤工资!$C$5:$C$1004,往来单位!$B$121,考勤工资!$F$5:$F$1004,$C$3,考勤工资!$Y$5:$Y$1004,"&gt;="&amp;_辅助!$J$4,考勤工资!$Y$5:$Y$1004,"&lt;="&amp;_辅助!$J$2)+SUMIFS(考勤工资!$AE$5:$AE$1004,考勤工资!$C$5:$C$1004,往来单位!$B$121,考勤工资!$H$5:$H$1004,$C$3,考勤工资!$Y$5:$Y$1004,"&gt;="&amp;_辅助!$J$4,考勤工资!$Y$5:$Y$1004,"&lt;="&amp;_辅助!$J$2)+SUMIFS(考勤工资!$AF$5:$AF$1004,考勤工资!$C$5:$C$1004,往来单位!$B$121,考勤工资!$J$5:$J$1004,$C$3,考勤工资!$Y$5:$Y$1004,"&gt;="&amp;_辅助!$J$4,考勤工资!$Y$5:$Y$1004,"&lt;="&amp;_辅助!$J$2))</f>
        <v>0</v>
      </c>
      <c r="BE118" s="2">
        <f>BE100+SUM(CB101:CB118)</f>
        <v>0</v>
      </c>
      <c r="BF118" s="2">
        <f>IF(AND($AF$3&gt;0,发票登记!$T$121=$C$3,ISNUMBER(发票登记!$X$121),发票登记!$AB$121&lt;&gt;0,发票登记!$Y$121&gt;=_辅助!$J$4,发票登记!$Y$121&lt;=_辅助!$J$2),INT(发票登记!$X$121)*10000+117,"")</f>
      </c>
      <c r="BG118" s="2">
        <f>IF(AND($AF$3&gt;0,资金流水!$H$122=$C$3,ISNUMBER(资金流水!$B$122),ISNUMBER(资金流水!$S$122),资金流水!$S$122&gt;=_辅助!$J$4,资金流水!$S$122&lt;=_辅助!$J$2),INT(资金流水!$B$122)*10000+117,"")</f>
      </c>
      <c r="BJ118" s="2">
        <f>IF(83&gt;$BG$1,0,MOD(SMALL($BG$2:$BG$2001,83),10000))</f>
        <v>0</v>
      </c>
      <c r="CA118" s="2">
        <f t="shared" si="0"/>
        <v>0</v>
      </c>
      <c r="CB118" s="2">
        <f t="shared" si="1"/>
        <v>0</v>
      </c>
    </row>
    <row r="119">
      <c r="W119" s="95">
        <f t="shared" si="19"/>
      </c>
      <c r="X119" s="94">
        <f t="shared" si="25"/>
      </c>
      <c r="Y119" s="96">
        <f t="shared" si="26"/>
      </c>
      <c r="Z119" s="21">
        <f t="shared" si="20"/>
      </c>
      <c r="AA119" s="21">
        <f t="shared" si="21"/>
      </c>
      <c r="AB119" s="94">
        <f t="shared" si="27"/>
      </c>
      <c r="AC119" s="96">
        <f t="shared" si="28"/>
      </c>
      <c r="AD119" s="94">
        <f t="shared" si="29"/>
      </c>
      <c r="BA119" s="2">
        <f>IF(OR(往来单位!$B$122="",$AF$3=0),0,SUMIFS(期初余额!$R$5:$R$204,期初余额!$P$5:$P$204,往来单位!$B$122,期初余额!$Q$5:$Q$204,$C$3)+SUMIFS(应付登记!$G$5:$G$1004,应付登记!$D$5:$D$1004,往来单位!$B$122,应付登记!$E$5:$E$1004,$C$3,应付登记!$J$5:$J$1004,"&gt;="&amp;_辅助!$J$4,应付登记!$J$5:$J$1004,"&lt;="&amp;_辅助!$J$2))</f>
        <v>0</v>
      </c>
      <c r="BB119" s="2">
        <f>BB100+SUM(CA101:CA119)</f>
        <v>2</v>
      </c>
      <c r="BC119" s="2">
        <f>IF(OR(往来单位!$B$122="",$AF$3=0,NOT(OR(往来单位!$C$122="管理人员",往来单位!$C$122="工人"))),0,SUMIFS(考勤工资!$E$5:$E$1004,考勤工资!$C$5:$C$1004,往来单位!$B$122,考勤工资!$D$5:$D$1004,$C$3,考勤工资!$Y$5:$Y$1004,"&gt;="&amp;_辅助!$J$4,考勤工资!$Y$5:$Y$1004,"&lt;="&amp;_辅助!$J$2)+SUMIFS(考勤工资!$G$5:$G$1004,考勤工资!$C$5:$C$1004,往来单位!$B$122,考勤工资!$F$5:$F$1004,$C$3,考勤工资!$Y$5:$Y$1004,"&gt;="&amp;_辅助!$J$4,考勤工资!$Y$5:$Y$1004,"&lt;="&amp;_辅助!$J$2)+SUMIFS(考勤工资!$I$5:$I$1004,考勤工资!$C$5:$C$1004,往来单位!$B$122,考勤工资!$H$5:$H$1004,$C$3,考勤工资!$Y$5:$Y$1004,"&gt;="&amp;_辅助!$J$4,考勤工资!$Y$5:$Y$1004,"&lt;="&amp;_辅助!$J$2)+SUMIFS(考勤工资!$K$5:$K$1004,考勤工资!$C$5:$C$1004,往来单位!$B$122,考勤工资!$J$5:$J$1004,$C$3,考勤工资!$Y$5:$Y$1004,"&gt;="&amp;_辅助!$J$4,考勤工资!$Y$5:$Y$1004,"&lt;="&amp;_辅助!$J$2))</f>
        <v>0</v>
      </c>
      <c r="BD119" s="2">
        <f>IF(BC119=0,0,SUMIFS(考勤工资!$AC$5:$AC$1004,考勤工资!$C$5:$C$1004,往来单位!$B$122,考勤工资!$D$5:$D$1004,$C$3,考勤工资!$Y$5:$Y$1004,"&gt;="&amp;_辅助!$J$4,考勤工资!$Y$5:$Y$1004,"&lt;="&amp;_辅助!$J$2)+SUMIFS(考勤工资!$AD$5:$AD$1004,考勤工资!$C$5:$C$1004,往来单位!$B$122,考勤工资!$F$5:$F$1004,$C$3,考勤工资!$Y$5:$Y$1004,"&gt;="&amp;_辅助!$J$4,考勤工资!$Y$5:$Y$1004,"&lt;="&amp;_辅助!$J$2)+SUMIFS(考勤工资!$AE$5:$AE$1004,考勤工资!$C$5:$C$1004,往来单位!$B$122,考勤工资!$H$5:$H$1004,$C$3,考勤工资!$Y$5:$Y$1004,"&gt;="&amp;_辅助!$J$4,考勤工资!$Y$5:$Y$1004,"&lt;="&amp;_辅助!$J$2)+SUMIFS(考勤工资!$AF$5:$AF$1004,考勤工资!$C$5:$C$1004,往来单位!$B$122,考勤工资!$J$5:$J$1004,$C$3,考勤工资!$Y$5:$Y$1004,"&gt;="&amp;_辅助!$J$4,考勤工资!$Y$5:$Y$1004,"&lt;="&amp;_辅助!$J$2))</f>
        <v>0</v>
      </c>
      <c r="BE119" s="2">
        <f>BE100+SUM(CB101:CB119)</f>
        <v>0</v>
      </c>
      <c r="BF119" s="2">
        <f>IF(AND($AF$3&gt;0,发票登记!$T$122=$C$3,ISNUMBER(发票登记!$X$122),发票登记!$AB$122&lt;&gt;0,发票登记!$Y$122&gt;=_辅助!$J$4,发票登记!$Y$122&lt;=_辅助!$J$2),INT(发票登记!$X$122)*10000+118,"")</f>
      </c>
      <c r="BG119" s="2">
        <f>IF(AND($AF$3&gt;0,资金流水!$H$123=$C$3,ISNUMBER(资金流水!$B$123),ISNUMBER(资金流水!$S$123),资金流水!$S$123&gt;=_辅助!$J$4,资金流水!$S$123&lt;=_辅助!$J$2),INT(资金流水!$B$123)*10000+118,"")</f>
      </c>
      <c r="BJ119" s="2">
        <f>IF(84&gt;$BG$1,0,MOD(SMALL($BG$2:$BG$2001,84),10000))</f>
        <v>0</v>
      </c>
      <c r="CA119" s="2">
        <f t="shared" si="0"/>
        <v>0</v>
      </c>
      <c r="CB119" s="2">
        <f t="shared" si="1"/>
        <v>0</v>
      </c>
    </row>
    <row r="120">
      <c r="W120" s="95">
        <f t="shared" si="19"/>
      </c>
      <c r="X120" s="94">
        <f t="shared" si="25"/>
      </c>
      <c r="Y120" s="96">
        <f t="shared" si="26"/>
      </c>
      <c r="Z120" s="21">
        <f t="shared" si="20"/>
      </c>
      <c r="AA120" s="21">
        <f t="shared" si="21"/>
      </c>
      <c r="AB120" s="94">
        <f t="shared" si="27"/>
      </c>
      <c r="AC120" s="96">
        <f t="shared" si="28"/>
      </c>
      <c r="AD120" s="94">
        <f t="shared" si="29"/>
      </c>
      <c r="BA120" s="2">
        <f>IF(OR(往来单位!$B$123="",$AF$3=0),0,SUMIFS(期初余额!$R$5:$R$204,期初余额!$P$5:$P$204,往来单位!$B$123,期初余额!$Q$5:$Q$204,$C$3)+SUMIFS(应付登记!$G$5:$G$1004,应付登记!$D$5:$D$1004,往来单位!$B$123,应付登记!$E$5:$E$1004,$C$3,应付登记!$J$5:$J$1004,"&gt;="&amp;_辅助!$J$4,应付登记!$J$5:$J$1004,"&lt;="&amp;_辅助!$J$2))</f>
        <v>0</v>
      </c>
      <c r="BB120" s="2">
        <f>BB100+SUM(CA101:CA120)</f>
        <v>2</v>
      </c>
      <c r="BC120" s="2">
        <f>IF(OR(往来单位!$B$123="",$AF$3=0,NOT(OR(往来单位!$C$123="管理人员",往来单位!$C$123="工人"))),0,SUMIFS(考勤工资!$E$5:$E$1004,考勤工资!$C$5:$C$1004,往来单位!$B$123,考勤工资!$D$5:$D$1004,$C$3,考勤工资!$Y$5:$Y$1004,"&gt;="&amp;_辅助!$J$4,考勤工资!$Y$5:$Y$1004,"&lt;="&amp;_辅助!$J$2)+SUMIFS(考勤工资!$G$5:$G$1004,考勤工资!$C$5:$C$1004,往来单位!$B$123,考勤工资!$F$5:$F$1004,$C$3,考勤工资!$Y$5:$Y$1004,"&gt;="&amp;_辅助!$J$4,考勤工资!$Y$5:$Y$1004,"&lt;="&amp;_辅助!$J$2)+SUMIFS(考勤工资!$I$5:$I$1004,考勤工资!$C$5:$C$1004,往来单位!$B$123,考勤工资!$H$5:$H$1004,$C$3,考勤工资!$Y$5:$Y$1004,"&gt;="&amp;_辅助!$J$4,考勤工资!$Y$5:$Y$1004,"&lt;="&amp;_辅助!$J$2)+SUMIFS(考勤工资!$K$5:$K$1004,考勤工资!$C$5:$C$1004,往来单位!$B$123,考勤工资!$J$5:$J$1004,$C$3,考勤工资!$Y$5:$Y$1004,"&gt;="&amp;_辅助!$J$4,考勤工资!$Y$5:$Y$1004,"&lt;="&amp;_辅助!$J$2))</f>
        <v>0</v>
      </c>
      <c r="BD120" s="2">
        <f>IF(BC120=0,0,SUMIFS(考勤工资!$AC$5:$AC$1004,考勤工资!$C$5:$C$1004,往来单位!$B$123,考勤工资!$D$5:$D$1004,$C$3,考勤工资!$Y$5:$Y$1004,"&gt;="&amp;_辅助!$J$4,考勤工资!$Y$5:$Y$1004,"&lt;="&amp;_辅助!$J$2)+SUMIFS(考勤工资!$AD$5:$AD$1004,考勤工资!$C$5:$C$1004,往来单位!$B$123,考勤工资!$F$5:$F$1004,$C$3,考勤工资!$Y$5:$Y$1004,"&gt;="&amp;_辅助!$J$4,考勤工资!$Y$5:$Y$1004,"&lt;="&amp;_辅助!$J$2)+SUMIFS(考勤工资!$AE$5:$AE$1004,考勤工资!$C$5:$C$1004,往来单位!$B$123,考勤工资!$H$5:$H$1004,$C$3,考勤工资!$Y$5:$Y$1004,"&gt;="&amp;_辅助!$J$4,考勤工资!$Y$5:$Y$1004,"&lt;="&amp;_辅助!$J$2)+SUMIFS(考勤工资!$AF$5:$AF$1004,考勤工资!$C$5:$C$1004,往来单位!$B$123,考勤工资!$J$5:$J$1004,$C$3,考勤工资!$Y$5:$Y$1004,"&gt;="&amp;_辅助!$J$4,考勤工资!$Y$5:$Y$1004,"&lt;="&amp;_辅助!$J$2))</f>
        <v>0</v>
      </c>
      <c r="BE120" s="2">
        <f>BE100+SUM(CB101:CB120)</f>
        <v>0</v>
      </c>
      <c r="BF120" s="2">
        <f>IF(AND($AF$3&gt;0,发票登记!$T$123=$C$3,ISNUMBER(发票登记!$X$123),发票登记!$AB$123&lt;&gt;0,发票登记!$Y$123&gt;=_辅助!$J$4,发票登记!$Y$123&lt;=_辅助!$J$2),INT(发票登记!$X$123)*10000+119,"")</f>
      </c>
      <c r="BG120" s="2">
        <f>IF(AND($AF$3&gt;0,资金流水!$H$124=$C$3,ISNUMBER(资金流水!$B$124),ISNUMBER(资金流水!$S$124),资金流水!$S$124&gt;=_辅助!$J$4,资金流水!$S$124&lt;=_辅助!$J$2),INT(资金流水!$B$124)*10000+119,"")</f>
      </c>
      <c r="BJ120" s="2">
        <f>IF(85&gt;$BG$1,0,MOD(SMALL($BG$2:$BG$2001,85),10000))</f>
        <v>0</v>
      </c>
      <c r="CA120" s="2">
        <f t="shared" si="0"/>
        <v>0</v>
      </c>
      <c r="CB120" s="2">
        <f t="shared" si="1"/>
        <v>0</v>
      </c>
    </row>
    <row r="121">
      <c r="W121" s="95">
        <f t="shared" si="19"/>
      </c>
      <c r="X121" s="94">
        <f t="shared" si="25"/>
      </c>
      <c r="Y121" s="96">
        <f t="shared" si="26"/>
      </c>
      <c r="Z121" s="21">
        <f t="shared" si="20"/>
      </c>
      <c r="AA121" s="21">
        <f t="shared" si="21"/>
      </c>
      <c r="AB121" s="94">
        <f t="shared" si="27"/>
      </c>
      <c r="AC121" s="96">
        <f t="shared" si="28"/>
      </c>
      <c r="AD121" s="94">
        <f t="shared" si="29"/>
      </c>
      <c r="BA121" s="2">
        <f>IF(OR(往来单位!$B$124="",$AF$3=0),0,SUMIFS(期初余额!$R$5:$R$204,期初余额!$P$5:$P$204,往来单位!$B$124,期初余额!$Q$5:$Q$204,$C$3)+SUMIFS(应付登记!$G$5:$G$1004,应付登记!$D$5:$D$1004,往来单位!$B$124,应付登记!$E$5:$E$1004,$C$3,应付登记!$J$5:$J$1004,"&gt;="&amp;_辅助!$J$4,应付登记!$J$5:$J$1004,"&lt;="&amp;_辅助!$J$2))</f>
        <v>0</v>
      </c>
      <c r="BB121" s="2">
        <f>BB100+SUM(CA101:CA121)</f>
        <v>2</v>
      </c>
      <c r="BC121" s="2">
        <f>IF(OR(往来单位!$B$124="",$AF$3=0,NOT(OR(往来单位!$C$124="管理人员",往来单位!$C$124="工人"))),0,SUMIFS(考勤工资!$E$5:$E$1004,考勤工资!$C$5:$C$1004,往来单位!$B$124,考勤工资!$D$5:$D$1004,$C$3,考勤工资!$Y$5:$Y$1004,"&gt;="&amp;_辅助!$J$4,考勤工资!$Y$5:$Y$1004,"&lt;="&amp;_辅助!$J$2)+SUMIFS(考勤工资!$G$5:$G$1004,考勤工资!$C$5:$C$1004,往来单位!$B$124,考勤工资!$F$5:$F$1004,$C$3,考勤工资!$Y$5:$Y$1004,"&gt;="&amp;_辅助!$J$4,考勤工资!$Y$5:$Y$1004,"&lt;="&amp;_辅助!$J$2)+SUMIFS(考勤工资!$I$5:$I$1004,考勤工资!$C$5:$C$1004,往来单位!$B$124,考勤工资!$H$5:$H$1004,$C$3,考勤工资!$Y$5:$Y$1004,"&gt;="&amp;_辅助!$J$4,考勤工资!$Y$5:$Y$1004,"&lt;="&amp;_辅助!$J$2)+SUMIFS(考勤工资!$K$5:$K$1004,考勤工资!$C$5:$C$1004,往来单位!$B$124,考勤工资!$J$5:$J$1004,$C$3,考勤工资!$Y$5:$Y$1004,"&gt;="&amp;_辅助!$J$4,考勤工资!$Y$5:$Y$1004,"&lt;="&amp;_辅助!$J$2))</f>
        <v>0</v>
      </c>
      <c r="BD121" s="2">
        <f>IF(BC121=0,0,SUMIFS(考勤工资!$AC$5:$AC$1004,考勤工资!$C$5:$C$1004,往来单位!$B$124,考勤工资!$D$5:$D$1004,$C$3,考勤工资!$Y$5:$Y$1004,"&gt;="&amp;_辅助!$J$4,考勤工资!$Y$5:$Y$1004,"&lt;="&amp;_辅助!$J$2)+SUMIFS(考勤工资!$AD$5:$AD$1004,考勤工资!$C$5:$C$1004,往来单位!$B$124,考勤工资!$F$5:$F$1004,$C$3,考勤工资!$Y$5:$Y$1004,"&gt;="&amp;_辅助!$J$4,考勤工资!$Y$5:$Y$1004,"&lt;="&amp;_辅助!$J$2)+SUMIFS(考勤工资!$AE$5:$AE$1004,考勤工资!$C$5:$C$1004,往来单位!$B$124,考勤工资!$H$5:$H$1004,$C$3,考勤工资!$Y$5:$Y$1004,"&gt;="&amp;_辅助!$J$4,考勤工资!$Y$5:$Y$1004,"&lt;="&amp;_辅助!$J$2)+SUMIFS(考勤工资!$AF$5:$AF$1004,考勤工资!$C$5:$C$1004,往来单位!$B$124,考勤工资!$J$5:$J$1004,$C$3,考勤工资!$Y$5:$Y$1004,"&gt;="&amp;_辅助!$J$4,考勤工资!$Y$5:$Y$1004,"&lt;="&amp;_辅助!$J$2))</f>
        <v>0</v>
      </c>
      <c r="BE121" s="2">
        <f>BE100+SUM(CB101:CB121)</f>
        <v>0</v>
      </c>
      <c r="BF121" s="2">
        <f>IF(AND($AF$3&gt;0,发票登记!$T$124=$C$3,ISNUMBER(发票登记!$X$124),发票登记!$AB$124&lt;&gt;0,发票登记!$Y$124&gt;=_辅助!$J$4,发票登记!$Y$124&lt;=_辅助!$J$2),INT(发票登记!$X$124)*10000+120,"")</f>
      </c>
      <c r="BG121" s="2">
        <f>IF(AND($AF$3&gt;0,资金流水!$H$125=$C$3,ISNUMBER(资金流水!$B$125),ISNUMBER(资金流水!$S$125),资金流水!$S$125&gt;=_辅助!$J$4,资金流水!$S$125&lt;=_辅助!$J$2),INT(资金流水!$B$125)*10000+120,"")</f>
      </c>
      <c r="BJ121" s="2">
        <f>IF(86&gt;$BG$1,0,MOD(SMALL($BG$2:$BG$2001,86),10000))</f>
        <v>0</v>
      </c>
      <c r="CA121" s="2">
        <f t="shared" si="0"/>
        <v>0</v>
      </c>
      <c r="CB121" s="2">
        <f t="shared" si="1"/>
        <v>0</v>
      </c>
    </row>
    <row r="122">
      <c r="W122" s="95">
        <f t="shared" si="19"/>
      </c>
      <c r="X122" s="94">
        <f t="shared" si="25"/>
      </c>
      <c r="Y122" s="96">
        <f t="shared" si="26"/>
      </c>
      <c r="Z122" s="21">
        <f t="shared" si="20"/>
      </c>
      <c r="AA122" s="21">
        <f t="shared" si="21"/>
      </c>
      <c r="AB122" s="94">
        <f t="shared" si="27"/>
      </c>
      <c r="AC122" s="96">
        <f t="shared" si="28"/>
      </c>
      <c r="AD122" s="94">
        <f t="shared" si="29"/>
      </c>
      <c r="BA122" s="2">
        <f>IF(OR(往来单位!$B$125="",$AF$3=0),0,SUMIFS(期初余额!$R$5:$R$204,期初余额!$P$5:$P$204,往来单位!$B$125,期初余额!$Q$5:$Q$204,$C$3)+SUMIFS(应付登记!$G$5:$G$1004,应付登记!$D$5:$D$1004,往来单位!$B$125,应付登记!$E$5:$E$1004,$C$3,应付登记!$J$5:$J$1004,"&gt;="&amp;_辅助!$J$4,应付登记!$J$5:$J$1004,"&lt;="&amp;_辅助!$J$2))</f>
        <v>0</v>
      </c>
      <c r="BB122" s="2">
        <f>BB100+SUM(CA101:CA122)</f>
        <v>2</v>
      </c>
      <c r="BC122" s="2">
        <f>IF(OR(往来单位!$B$125="",$AF$3=0,NOT(OR(往来单位!$C$125="管理人员",往来单位!$C$125="工人"))),0,SUMIFS(考勤工资!$E$5:$E$1004,考勤工资!$C$5:$C$1004,往来单位!$B$125,考勤工资!$D$5:$D$1004,$C$3,考勤工资!$Y$5:$Y$1004,"&gt;="&amp;_辅助!$J$4,考勤工资!$Y$5:$Y$1004,"&lt;="&amp;_辅助!$J$2)+SUMIFS(考勤工资!$G$5:$G$1004,考勤工资!$C$5:$C$1004,往来单位!$B$125,考勤工资!$F$5:$F$1004,$C$3,考勤工资!$Y$5:$Y$1004,"&gt;="&amp;_辅助!$J$4,考勤工资!$Y$5:$Y$1004,"&lt;="&amp;_辅助!$J$2)+SUMIFS(考勤工资!$I$5:$I$1004,考勤工资!$C$5:$C$1004,往来单位!$B$125,考勤工资!$H$5:$H$1004,$C$3,考勤工资!$Y$5:$Y$1004,"&gt;="&amp;_辅助!$J$4,考勤工资!$Y$5:$Y$1004,"&lt;="&amp;_辅助!$J$2)+SUMIFS(考勤工资!$K$5:$K$1004,考勤工资!$C$5:$C$1004,往来单位!$B$125,考勤工资!$J$5:$J$1004,$C$3,考勤工资!$Y$5:$Y$1004,"&gt;="&amp;_辅助!$J$4,考勤工资!$Y$5:$Y$1004,"&lt;="&amp;_辅助!$J$2))</f>
        <v>0</v>
      </c>
      <c r="BD122" s="2">
        <f>IF(BC122=0,0,SUMIFS(考勤工资!$AC$5:$AC$1004,考勤工资!$C$5:$C$1004,往来单位!$B$125,考勤工资!$D$5:$D$1004,$C$3,考勤工资!$Y$5:$Y$1004,"&gt;="&amp;_辅助!$J$4,考勤工资!$Y$5:$Y$1004,"&lt;="&amp;_辅助!$J$2)+SUMIFS(考勤工资!$AD$5:$AD$1004,考勤工资!$C$5:$C$1004,往来单位!$B$125,考勤工资!$F$5:$F$1004,$C$3,考勤工资!$Y$5:$Y$1004,"&gt;="&amp;_辅助!$J$4,考勤工资!$Y$5:$Y$1004,"&lt;="&amp;_辅助!$J$2)+SUMIFS(考勤工资!$AE$5:$AE$1004,考勤工资!$C$5:$C$1004,往来单位!$B$125,考勤工资!$H$5:$H$1004,$C$3,考勤工资!$Y$5:$Y$1004,"&gt;="&amp;_辅助!$J$4,考勤工资!$Y$5:$Y$1004,"&lt;="&amp;_辅助!$J$2)+SUMIFS(考勤工资!$AF$5:$AF$1004,考勤工资!$C$5:$C$1004,往来单位!$B$125,考勤工资!$J$5:$J$1004,$C$3,考勤工资!$Y$5:$Y$1004,"&gt;="&amp;_辅助!$J$4,考勤工资!$Y$5:$Y$1004,"&lt;="&amp;_辅助!$J$2))</f>
        <v>0</v>
      </c>
      <c r="BE122" s="2">
        <f>BE100+SUM(CB101:CB122)</f>
        <v>0</v>
      </c>
      <c r="BF122" s="2">
        <f>IF(AND($AF$3&gt;0,发票登记!$T$125=$C$3,ISNUMBER(发票登记!$X$125),发票登记!$AB$125&lt;&gt;0,发票登记!$Y$125&gt;=_辅助!$J$4,发票登记!$Y$125&lt;=_辅助!$J$2),INT(发票登记!$X$125)*10000+121,"")</f>
      </c>
      <c r="BG122" s="2">
        <f>IF(AND($AF$3&gt;0,资金流水!$H$126=$C$3,ISNUMBER(资金流水!$B$126),ISNUMBER(资金流水!$S$126),资金流水!$S$126&gt;=_辅助!$J$4,资金流水!$S$126&lt;=_辅助!$J$2),INT(资金流水!$B$126)*10000+121,"")</f>
      </c>
      <c r="BJ122" s="2">
        <f>IF(87&gt;$BG$1,0,MOD(SMALL($BG$2:$BG$2001,87),10000))</f>
        <v>0</v>
      </c>
      <c r="CA122" s="2">
        <f t="shared" si="0"/>
        <v>0</v>
      </c>
      <c r="CB122" s="2">
        <f t="shared" si="1"/>
        <v>0</v>
      </c>
    </row>
    <row r="123">
      <c r="W123" s="95">
        <f t="shared" si="19"/>
      </c>
      <c r="X123" s="94">
        <f t="shared" si="25"/>
      </c>
      <c r="Y123" s="96">
        <f t="shared" si="26"/>
      </c>
      <c r="Z123" s="21">
        <f t="shared" si="20"/>
      </c>
      <c r="AA123" s="21">
        <f t="shared" si="21"/>
      </c>
      <c r="AB123" s="94">
        <f t="shared" si="27"/>
      </c>
      <c r="AC123" s="96">
        <f t="shared" si="28"/>
      </c>
      <c r="AD123" s="94">
        <f t="shared" si="29"/>
      </c>
      <c r="BA123" s="2">
        <f>IF(OR(往来单位!$B$126="",$AF$3=0),0,SUMIFS(期初余额!$R$5:$R$204,期初余额!$P$5:$P$204,往来单位!$B$126,期初余额!$Q$5:$Q$204,$C$3)+SUMIFS(应付登记!$G$5:$G$1004,应付登记!$D$5:$D$1004,往来单位!$B$126,应付登记!$E$5:$E$1004,$C$3,应付登记!$J$5:$J$1004,"&gt;="&amp;_辅助!$J$4,应付登记!$J$5:$J$1004,"&lt;="&amp;_辅助!$J$2))</f>
        <v>0</v>
      </c>
      <c r="BB123" s="2">
        <f>BB100+SUM(CA101:CA123)</f>
        <v>2</v>
      </c>
      <c r="BC123" s="2">
        <f>IF(OR(往来单位!$B$126="",$AF$3=0,NOT(OR(往来单位!$C$126="管理人员",往来单位!$C$126="工人"))),0,SUMIFS(考勤工资!$E$5:$E$1004,考勤工资!$C$5:$C$1004,往来单位!$B$126,考勤工资!$D$5:$D$1004,$C$3,考勤工资!$Y$5:$Y$1004,"&gt;="&amp;_辅助!$J$4,考勤工资!$Y$5:$Y$1004,"&lt;="&amp;_辅助!$J$2)+SUMIFS(考勤工资!$G$5:$G$1004,考勤工资!$C$5:$C$1004,往来单位!$B$126,考勤工资!$F$5:$F$1004,$C$3,考勤工资!$Y$5:$Y$1004,"&gt;="&amp;_辅助!$J$4,考勤工资!$Y$5:$Y$1004,"&lt;="&amp;_辅助!$J$2)+SUMIFS(考勤工资!$I$5:$I$1004,考勤工资!$C$5:$C$1004,往来单位!$B$126,考勤工资!$H$5:$H$1004,$C$3,考勤工资!$Y$5:$Y$1004,"&gt;="&amp;_辅助!$J$4,考勤工资!$Y$5:$Y$1004,"&lt;="&amp;_辅助!$J$2)+SUMIFS(考勤工资!$K$5:$K$1004,考勤工资!$C$5:$C$1004,往来单位!$B$126,考勤工资!$J$5:$J$1004,$C$3,考勤工资!$Y$5:$Y$1004,"&gt;="&amp;_辅助!$J$4,考勤工资!$Y$5:$Y$1004,"&lt;="&amp;_辅助!$J$2))</f>
        <v>0</v>
      </c>
      <c r="BD123" s="2">
        <f>IF(BC123=0,0,SUMIFS(考勤工资!$AC$5:$AC$1004,考勤工资!$C$5:$C$1004,往来单位!$B$126,考勤工资!$D$5:$D$1004,$C$3,考勤工资!$Y$5:$Y$1004,"&gt;="&amp;_辅助!$J$4,考勤工资!$Y$5:$Y$1004,"&lt;="&amp;_辅助!$J$2)+SUMIFS(考勤工资!$AD$5:$AD$1004,考勤工资!$C$5:$C$1004,往来单位!$B$126,考勤工资!$F$5:$F$1004,$C$3,考勤工资!$Y$5:$Y$1004,"&gt;="&amp;_辅助!$J$4,考勤工资!$Y$5:$Y$1004,"&lt;="&amp;_辅助!$J$2)+SUMIFS(考勤工资!$AE$5:$AE$1004,考勤工资!$C$5:$C$1004,往来单位!$B$126,考勤工资!$H$5:$H$1004,$C$3,考勤工资!$Y$5:$Y$1004,"&gt;="&amp;_辅助!$J$4,考勤工资!$Y$5:$Y$1004,"&lt;="&amp;_辅助!$J$2)+SUMIFS(考勤工资!$AF$5:$AF$1004,考勤工资!$C$5:$C$1004,往来单位!$B$126,考勤工资!$J$5:$J$1004,$C$3,考勤工资!$Y$5:$Y$1004,"&gt;="&amp;_辅助!$J$4,考勤工资!$Y$5:$Y$1004,"&lt;="&amp;_辅助!$J$2))</f>
        <v>0</v>
      </c>
      <c r="BE123" s="2">
        <f>BE100+SUM(CB101:CB123)</f>
        <v>0</v>
      </c>
      <c r="BF123" s="2">
        <f>IF(AND($AF$3&gt;0,发票登记!$T$126=$C$3,ISNUMBER(发票登记!$X$126),发票登记!$AB$126&lt;&gt;0,发票登记!$Y$126&gt;=_辅助!$J$4,发票登记!$Y$126&lt;=_辅助!$J$2),INT(发票登记!$X$126)*10000+122,"")</f>
      </c>
      <c r="BG123" s="2">
        <f>IF(AND($AF$3&gt;0,资金流水!$H$127=$C$3,ISNUMBER(资金流水!$B$127),ISNUMBER(资金流水!$S$127),资金流水!$S$127&gt;=_辅助!$J$4,资金流水!$S$127&lt;=_辅助!$J$2),INT(资金流水!$B$127)*10000+122,"")</f>
      </c>
      <c r="BJ123" s="2">
        <f>IF(88&gt;$BG$1,0,MOD(SMALL($BG$2:$BG$2001,88),10000))</f>
        <v>0</v>
      </c>
      <c r="CA123" s="2">
        <f t="shared" si="0"/>
        <v>0</v>
      </c>
      <c r="CB123" s="2">
        <f t="shared" si="1"/>
        <v>0</v>
      </c>
    </row>
    <row r="124">
      <c r="W124" s="95">
        <f t="shared" si="19"/>
      </c>
      <c r="X124" s="94">
        <f t="shared" si="25"/>
      </c>
      <c r="Y124" s="96">
        <f t="shared" si="26"/>
      </c>
      <c r="Z124" s="21">
        <f t="shared" si="20"/>
      </c>
      <c r="AA124" s="21">
        <f t="shared" si="21"/>
      </c>
      <c r="AB124" s="94">
        <f t="shared" si="27"/>
      </c>
      <c r="AC124" s="96">
        <f t="shared" si="28"/>
      </c>
      <c r="AD124" s="94">
        <f t="shared" si="29"/>
      </c>
      <c r="BA124" s="2">
        <f>IF(OR(往来单位!$B$127="",$AF$3=0),0,SUMIFS(期初余额!$R$5:$R$204,期初余额!$P$5:$P$204,往来单位!$B$127,期初余额!$Q$5:$Q$204,$C$3)+SUMIFS(应付登记!$G$5:$G$1004,应付登记!$D$5:$D$1004,往来单位!$B$127,应付登记!$E$5:$E$1004,$C$3,应付登记!$J$5:$J$1004,"&gt;="&amp;_辅助!$J$4,应付登记!$J$5:$J$1004,"&lt;="&amp;_辅助!$J$2))</f>
        <v>0</v>
      </c>
      <c r="BB124" s="2">
        <f>BB100+SUM(CA101:CA124)</f>
        <v>2</v>
      </c>
      <c r="BC124" s="2">
        <f>IF(OR(往来单位!$B$127="",$AF$3=0,NOT(OR(往来单位!$C$127="管理人员",往来单位!$C$127="工人"))),0,SUMIFS(考勤工资!$E$5:$E$1004,考勤工资!$C$5:$C$1004,往来单位!$B$127,考勤工资!$D$5:$D$1004,$C$3,考勤工资!$Y$5:$Y$1004,"&gt;="&amp;_辅助!$J$4,考勤工资!$Y$5:$Y$1004,"&lt;="&amp;_辅助!$J$2)+SUMIFS(考勤工资!$G$5:$G$1004,考勤工资!$C$5:$C$1004,往来单位!$B$127,考勤工资!$F$5:$F$1004,$C$3,考勤工资!$Y$5:$Y$1004,"&gt;="&amp;_辅助!$J$4,考勤工资!$Y$5:$Y$1004,"&lt;="&amp;_辅助!$J$2)+SUMIFS(考勤工资!$I$5:$I$1004,考勤工资!$C$5:$C$1004,往来单位!$B$127,考勤工资!$H$5:$H$1004,$C$3,考勤工资!$Y$5:$Y$1004,"&gt;="&amp;_辅助!$J$4,考勤工资!$Y$5:$Y$1004,"&lt;="&amp;_辅助!$J$2)+SUMIFS(考勤工资!$K$5:$K$1004,考勤工资!$C$5:$C$1004,往来单位!$B$127,考勤工资!$J$5:$J$1004,$C$3,考勤工资!$Y$5:$Y$1004,"&gt;="&amp;_辅助!$J$4,考勤工资!$Y$5:$Y$1004,"&lt;="&amp;_辅助!$J$2))</f>
        <v>0</v>
      </c>
      <c r="BD124" s="2">
        <f>IF(BC124=0,0,SUMIFS(考勤工资!$AC$5:$AC$1004,考勤工资!$C$5:$C$1004,往来单位!$B$127,考勤工资!$D$5:$D$1004,$C$3,考勤工资!$Y$5:$Y$1004,"&gt;="&amp;_辅助!$J$4,考勤工资!$Y$5:$Y$1004,"&lt;="&amp;_辅助!$J$2)+SUMIFS(考勤工资!$AD$5:$AD$1004,考勤工资!$C$5:$C$1004,往来单位!$B$127,考勤工资!$F$5:$F$1004,$C$3,考勤工资!$Y$5:$Y$1004,"&gt;="&amp;_辅助!$J$4,考勤工资!$Y$5:$Y$1004,"&lt;="&amp;_辅助!$J$2)+SUMIFS(考勤工资!$AE$5:$AE$1004,考勤工资!$C$5:$C$1004,往来单位!$B$127,考勤工资!$H$5:$H$1004,$C$3,考勤工资!$Y$5:$Y$1004,"&gt;="&amp;_辅助!$J$4,考勤工资!$Y$5:$Y$1004,"&lt;="&amp;_辅助!$J$2)+SUMIFS(考勤工资!$AF$5:$AF$1004,考勤工资!$C$5:$C$1004,往来单位!$B$127,考勤工资!$J$5:$J$1004,$C$3,考勤工资!$Y$5:$Y$1004,"&gt;="&amp;_辅助!$J$4,考勤工资!$Y$5:$Y$1004,"&lt;="&amp;_辅助!$J$2))</f>
        <v>0</v>
      </c>
      <c r="BE124" s="2">
        <f>BE100+SUM(CB101:CB124)</f>
        <v>0</v>
      </c>
      <c r="BF124" s="2">
        <f>IF(AND($AF$3&gt;0,发票登记!$T$127=$C$3,ISNUMBER(发票登记!$X$127),发票登记!$AB$127&lt;&gt;0,发票登记!$Y$127&gt;=_辅助!$J$4,发票登记!$Y$127&lt;=_辅助!$J$2),INT(发票登记!$X$127)*10000+123,"")</f>
      </c>
      <c r="BG124" s="2">
        <f>IF(AND($AF$3&gt;0,资金流水!$H$128=$C$3,ISNUMBER(资金流水!$B$128),ISNUMBER(资金流水!$S$128),资金流水!$S$128&gt;=_辅助!$J$4,资金流水!$S$128&lt;=_辅助!$J$2),INT(资金流水!$B$128)*10000+123,"")</f>
      </c>
      <c r="BJ124" s="2">
        <f>IF(89&gt;$BG$1,0,MOD(SMALL($BG$2:$BG$2001,89),10000))</f>
        <v>0</v>
      </c>
      <c r="CA124" s="2">
        <f t="shared" si="0"/>
        <v>0</v>
      </c>
      <c r="CB124" s="2">
        <f t="shared" si="1"/>
        <v>0</v>
      </c>
    </row>
    <row r="125">
      <c r="W125" s="95">
        <f t="shared" si="19"/>
      </c>
      <c r="X125" s="94">
        <f t="shared" si="25"/>
      </c>
      <c r="Y125" s="96">
        <f t="shared" si="26"/>
      </c>
      <c r="Z125" s="21">
        <f t="shared" si="20"/>
      </c>
      <c r="AA125" s="21">
        <f t="shared" si="21"/>
      </c>
      <c r="AB125" s="94">
        <f t="shared" si="27"/>
      </c>
      <c r="AC125" s="96">
        <f t="shared" si="28"/>
      </c>
      <c r="AD125" s="94">
        <f t="shared" si="29"/>
      </c>
      <c r="BA125" s="2">
        <f>IF(OR(往来单位!$B$128="",$AF$3=0),0,SUMIFS(期初余额!$R$5:$R$204,期初余额!$P$5:$P$204,往来单位!$B$128,期初余额!$Q$5:$Q$204,$C$3)+SUMIFS(应付登记!$G$5:$G$1004,应付登记!$D$5:$D$1004,往来单位!$B$128,应付登记!$E$5:$E$1004,$C$3,应付登记!$J$5:$J$1004,"&gt;="&amp;_辅助!$J$4,应付登记!$J$5:$J$1004,"&lt;="&amp;_辅助!$J$2))</f>
        <v>0</v>
      </c>
      <c r="BB125" s="2">
        <f>BB100+SUM(CA101:CA125)</f>
        <v>2</v>
      </c>
      <c r="BC125" s="2">
        <f>IF(OR(往来单位!$B$128="",$AF$3=0,NOT(OR(往来单位!$C$128="管理人员",往来单位!$C$128="工人"))),0,SUMIFS(考勤工资!$E$5:$E$1004,考勤工资!$C$5:$C$1004,往来单位!$B$128,考勤工资!$D$5:$D$1004,$C$3,考勤工资!$Y$5:$Y$1004,"&gt;="&amp;_辅助!$J$4,考勤工资!$Y$5:$Y$1004,"&lt;="&amp;_辅助!$J$2)+SUMIFS(考勤工资!$G$5:$G$1004,考勤工资!$C$5:$C$1004,往来单位!$B$128,考勤工资!$F$5:$F$1004,$C$3,考勤工资!$Y$5:$Y$1004,"&gt;="&amp;_辅助!$J$4,考勤工资!$Y$5:$Y$1004,"&lt;="&amp;_辅助!$J$2)+SUMIFS(考勤工资!$I$5:$I$1004,考勤工资!$C$5:$C$1004,往来单位!$B$128,考勤工资!$H$5:$H$1004,$C$3,考勤工资!$Y$5:$Y$1004,"&gt;="&amp;_辅助!$J$4,考勤工资!$Y$5:$Y$1004,"&lt;="&amp;_辅助!$J$2)+SUMIFS(考勤工资!$K$5:$K$1004,考勤工资!$C$5:$C$1004,往来单位!$B$128,考勤工资!$J$5:$J$1004,$C$3,考勤工资!$Y$5:$Y$1004,"&gt;="&amp;_辅助!$J$4,考勤工资!$Y$5:$Y$1004,"&lt;="&amp;_辅助!$J$2))</f>
        <v>0</v>
      </c>
      <c r="BD125" s="2">
        <f>IF(BC125=0,0,SUMIFS(考勤工资!$AC$5:$AC$1004,考勤工资!$C$5:$C$1004,往来单位!$B$128,考勤工资!$D$5:$D$1004,$C$3,考勤工资!$Y$5:$Y$1004,"&gt;="&amp;_辅助!$J$4,考勤工资!$Y$5:$Y$1004,"&lt;="&amp;_辅助!$J$2)+SUMIFS(考勤工资!$AD$5:$AD$1004,考勤工资!$C$5:$C$1004,往来单位!$B$128,考勤工资!$F$5:$F$1004,$C$3,考勤工资!$Y$5:$Y$1004,"&gt;="&amp;_辅助!$J$4,考勤工资!$Y$5:$Y$1004,"&lt;="&amp;_辅助!$J$2)+SUMIFS(考勤工资!$AE$5:$AE$1004,考勤工资!$C$5:$C$1004,往来单位!$B$128,考勤工资!$H$5:$H$1004,$C$3,考勤工资!$Y$5:$Y$1004,"&gt;="&amp;_辅助!$J$4,考勤工资!$Y$5:$Y$1004,"&lt;="&amp;_辅助!$J$2)+SUMIFS(考勤工资!$AF$5:$AF$1004,考勤工资!$C$5:$C$1004,往来单位!$B$128,考勤工资!$J$5:$J$1004,$C$3,考勤工资!$Y$5:$Y$1004,"&gt;="&amp;_辅助!$J$4,考勤工资!$Y$5:$Y$1004,"&lt;="&amp;_辅助!$J$2))</f>
        <v>0</v>
      </c>
      <c r="BE125" s="2">
        <f>BE100+SUM(CB101:CB125)</f>
        <v>0</v>
      </c>
      <c r="BF125" s="2">
        <f>IF(AND($AF$3&gt;0,发票登记!$T$128=$C$3,ISNUMBER(发票登记!$X$128),发票登记!$AB$128&lt;&gt;0,发票登记!$Y$128&gt;=_辅助!$J$4,发票登记!$Y$128&lt;=_辅助!$J$2),INT(发票登记!$X$128)*10000+124,"")</f>
      </c>
      <c r="BG125" s="2">
        <f>IF(AND($AF$3&gt;0,资金流水!$H$129=$C$3,ISNUMBER(资金流水!$B$129),ISNUMBER(资金流水!$S$129),资金流水!$S$129&gt;=_辅助!$J$4,资金流水!$S$129&lt;=_辅助!$J$2),INT(资金流水!$B$129)*10000+124,"")</f>
      </c>
      <c r="BJ125" s="2">
        <f>IF(90&gt;$BG$1,0,MOD(SMALL($BG$2:$BG$2001,90),10000))</f>
        <v>0</v>
      </c>
      <c r="CA125" s="2">
        <f t="shared" si="0"/>
        <v>0</v>
      </c>
      <c r="CB125" s="2">
        <f t="shared" si="1"/>
        <v>0</v>
      </c>
    </row>
    <row r="126">
      <c r="W126" s="95">
        <f t="shared" si="19"/>
      </c>
      <c r="X126" s="94">
        <f t="shared" si="25"/>
      </c>
      <c r="Y126" s="96">
        <f t="shared" si="26"/>
      </c>
      <c r="Z126" s="21">
        <f t="shared" si="20"/>
      </c>
      <c r="AA126" s="21">
        <f t="shared" si="21"/>
      </c>
      <c r="AB126" s="94">
        <f t="shared" si="27"/>
      </c>
      <c r="AC126" s="96">
        <f t="shared" si="28"/>
      </c>
      <c r="AD126" s="94">
        <f t="shared" si="29"/>
      </c>
      <c r="BA126" s="2">
        <f>IF(OR(往来单位!$B$129="",$AF$3=0),0,SUMIFS(期初余额!$R$5:$R$204,期初余额!$P$5:$P$204,往来单位!$B$129,期初余额!$Q$5:$Q$204,$C$3)+SUMIFS(应付登记!$G$5:$G$1004,应付登记!$D$5:$D$1004,往来单位!$B$129,应付登记!$E$5:$E$1004,$C$3,应付登记!$J$5:$J$1004,"&gt;="&amp;_辅助!$J$4,应付登记!$J$5:$J$1004,"&lt;="&amp;_辅助!$J$2))</f>
        <v>0</v>
      </c>
      <c r="BB126" s="2">
        <f>BB100+SUM(CA101:CA126)</f>
        <v>2</v>
      </c>
      <c r="BC126" s="2">
        <f>IF(OR(往来单位!$B$129="",$AF$3=0,NOT(OR(往来单位!$C$129="管理人员",往来单位!$C$129="工人"))),0,SUMIFS(考勤工资!$E$5:$E$1004,考勤工资!$C$5:$C$1004,往来单位!$B$129,考勤工资!$D$5:$D$1004,$C$3,考勤工资!$Y$5:$Y$1004,"&gt;="&amp;_辅助!$J$4,考勤工资!$Y$5:$Y$1004,"&lt;="&amp;_辅助!$J$2)+SUMIFS(考勤工资!$G$5:$G$1004,考勤工资!$C$5:$C$1004,往来单位!$B$129,考勤工资!$F$5:$F$1004,$C$3,考勤工资!$Y$5:$Y$1004,"&gt;="&amp;_辅助!$J$4,考勤工资!$Y$5:$Y$1004,"&lt;="&amp;_辅助!$J$2)+SUMIFS(考勤工资!$I$5:$I$1004,考勤工资!$C$5:$C$1004,往来单位!$B$129,考勤工资!$H$5:$H$1004,$C$3,考勤工资!$Y$5:$Y$1004,"&gt;="&amp;_辅助!$J$4,考勤工资!$Y$5:$Y$1004,"&lt;="&amp;_辅助!$J$2)+SUMIFS(考勤工资!$K$5:$K$1004,考勤工资!$C$5:$C$1004,往来单位!$B$129,考勤工资!$J$5:$J$1004,$C$3,考勤工资!$Y$5:$Y$1004,"&gt;="&amp;_辅助!$J$4,考勤工资!$Y$5:$Y$1004,"&lt;="&amp;_辅助!$J$2))</f>
        <v>0</v>
      </c>
      <c r="BD126" s="2">
        <f>IF(BC126=0,0,SUMIFS(考勤工资!$AC$5:$AC$1004,考勤工资!$C$5:$C$1004,往来单位!$B$129,考勤工资!$D$5:$D$1004,$C$3,考勤工资!$Y$5:$Y$1004,"&gt;="&amp;_辅助!$J$4,考勤工资!$Y$5:$Y$1004,"&lt;="&amp;_辅助!$J$2)+SUMIFS(考勤工资!$AD$5:$AD$1004,考勤工资!$C$5:$C$1004,往来单位!$B$129,考勤工资!$F$5:$F$1004,$C$3,考勤工资!$Y$5:$Y$1004,"&gt;="&amp;_辅助!$J$4,考勤工资!$Y$5:$Y$1004,"&lt;="&amp;_辅助!$J$2)+SUMIFS(考勤工资!$AE$5:$AE$1004,考勤工资!$C$5:$C$1004,往来单位!$B$129,考勤工资!$H$5:$H$1004,$C$3,考勤工资!$Y$5:$Y$1004,"&gt;="&amp;_辅助!$J$4,考勤工资!$Y$5:$Y$1004,"&lt;="&amp;_辅助!$J$2)+SUMIFS(考勤工资!$AF$5:$AF$1004,考勤工资!$C$5:$C$1004,往来单位!$B$129,考勤工资!$J$5:$J$1004,$C$3,考勤工资!$Y$5:$Y$1004,"&gt;="&amp;_辅助!$J$4,考勤工资!$Y$5:$Y$1004,"&lt;="&amp;_辅助!$J$2))</f>
        <v>0</v>
      </c>
      <c r="BE126" s="2">
        <f>BE100+SUM(CB101:CB126)</f>
        <v>0</v>
      </c>
      <c r="BF126" s="2">
        <f>IF(AND($AF$3&gt;0,发票登记!$T$129=$C$3,ISNUMBER(发票登记!$X$129),发票登记!$AB$129&lt;&gt;0,发票登记!$Y$129&gt;=_辅助!$J$4,发票登记!$Y$129&lt;=_辅助!$J$2),INT(发票登记!$X$129)*10000+125,"")</f>
      </c>
      <c r="BG126" s="2">
        <f>IF(AND($AF$3&gt;0,资金流水!$H$130=$C$3,ISNUMBER(资金流水!$B$130),ISNUMBER(资金流水!$S$130),资金流水!$S$130&gt;=_辅助!$J$4,资金流水!$S$130&lt;=_辅助!$J$2),INT(资金流水!$B$130)*10000+125,"")</f>
      </c>
      <c r="BJ126" s="2">
        <f>IF(91&gt;$BG$1,0,MOD(SMALL($BG$2:$BG$2001,91),10000))</f>
        <v>0</v>
      </c>
      <c r="CA126" s="2">
        <f t="shared" si="0"/>
        <v>0</v>
      </c>
      <c r="CB126" s="2">
        <f t="shared" si="1"/>
        <v>0</v>
      </c>
    </row>
    <row r="127">
      <c r="W127" s="95">
        <f t="shared" si="19"/>
      </c>
      <c r="X127" s="94">
        <f t="shared" si="25"/>
      </c>
      <c r="Y127" s="96">
        <f t="shared" si="26"/>
      </c>
      <c r="Z127" s="21">
        <f t="shared" si="20"/>
      </c>
      <c r="AA127" s="21">
        <f t="shared" si="21"/>
      </c>
      <c r="AB127" s="94">
        <f t="shared" si="27"/>
      </c>
      <c r="AC127" s="96">
        <f t="shared" si="28"/>
      </c>
      <c r="AD127" s="94">
        <f t="shared" si="29"/>
      </c>
      <c r="BA127" s="2">
        <f>IF(OR(往来单位!$B$130="",$AF$3=0),0,SUMIFS(期初余额!$R$5:$R$204,期初余额!$P$5:$P$204,往来单位!$B$130,期初余额!$Q$5:$Q$204,$C$3)+SUMIFS(应付登记!$G$5:$G$1004,应付登记!$D$5:$D$1004,往来单位!$B$130,应付登记!$E$5:$E$1004,$C$3,应付登记!$J$5:$J$1004,"&gt;="&amp;_辅助!$J$4,应付登记!$J$5:$J$1004,"&lt;="&amp;_辅助!$J$2))</f>
        <v>0</v>
      </c>
      <c r="BB127" s="2">
        <f>BB100+SUM(CA101:CA127)</f>
        <v>2</v>
      </c>
      <c r="BC127" s="2">
        <f>IF(OR(往来单位!$B$130="",$AF$3=0,NOT(OR(往来单位!$C$130="管理人员",往来单位!$C$130="工人"))),0,SUMIFS(考勤工资!$E$5:$E$1004,考勤工资!$C$5:$C$1004,往来单位!$B$130,考勤工资!$D$5:$D$1004,$C$3,考勤工资!$Y$5:$Y$1004,"&gt;="&amp;_辅助!$J$4,考勤工资!$Y$5:$Y$1004,"&lt;="&amp;_辅助!$J$2)+SUMIFS(考勤工资!$G$5:$G$1004,考勤工资!$C$5:$C$1004,往来单位!$B$130,考勤工资!$F$5:$F$1004,$C$3,考勤工资!$Y$5:$Y$1004,"&gt;="&amp;_辅助!$J$4,考勤工资!$Y$5:$Y$1004,"&lt;="&amp;_辅助!$J$2)+SUMIFS(考勤工资!$I$5:$I$1004,考勤工资!$C$5:$C$1004,往来单位!$B$130,考勤工资!$H$5:$H$1004,$C$3,考勤工资!$Y$5:$Y$1004,"&gt;="&amp;_辅助!$J$4,考勤工资!$Y$5:$Y$1004,"&lt;="&amp;_辅助!$J$2)+SUMIFS(考勤工资!$K$5:$K$1004,考勤工资!$C$5:$C$1004,往来单位!$B$130,考勤工资!$J$5:$J$1004,$C$3,考勤工资!$Y$5:$Y$1004,"&gt;="&amp;_辅助!$J$4,考勤工资!$Y$5:$Y$1004,"&lt;="&amp;_辅助!$J$2))</f>
        <v>0</v>
      </c>
      <c r="BD127" s="2">
        <f>IF(BC127=0,0,SUMIFS(考勤工资!$AC$5:$AC$1004,考勤工资!$C$5:$C$1004,往来单位!$B$130,考勤工资!$D$5:$D$1004,$C$3,考勤工资!$Y$5:$Y$1004,"&gt;="&amp;_辅助!$J$4,考勤工资!$Y$5:$Y$1004,"&lt;="&amp;_辅助!$J$2)+SUMIFS(考勤工资!$AD$5:$AD$1004,考勤工资!$C$5:$C$1004,往来单位!$B$130,考勤工资!$F$5:$F$1004,$C$3,考勤工资!$Y$5:$Y$1004,"&gt;="&amp;_辅助!$J$4,考勤工资!$Y$5:$Y$1004,"&lt;="&amp;_辅助!$J$2)+SUMIFS(考勤工资!$AE$5:$AE$1004,考勤工资!$C$5:$C$1004,往来单位!$B$130,考勤工资!$H$5:$H$1004,$C$3,考勤工资!$Y$5:$Y$1004,"&gt;="&amp;_辅助!$J$4,考勤工资!$Y$5:$Y$1004,"&lt;="&amp;_辅助!$J$2)+SUMIFS(考勤工资!$AF$5:$AF$1004,考勤工资!$C$5:$C$1004,往来单位!$B$130,考勤工资!$J$5:$J$1004,$C$3,考勤工资!$Y$5:$Y$1004,"&gt;="&amp;_辅助!$J$4,考勤工资!$Y$5:$Y$1004,"&lt;="&amp;_辅助!$J$2))</f>
        <v>0</v>
      </c>
      <c r="BE127" s="2">
        <f>BE100+SUM(CB101:CB127)</f>
        <v>0</v>
      </c>
      <c r="BF127" s="2">
        <f>IF(AND($AF$3&gt;0,发票登记!$T$130=$C$3,ISNUMBER(发票登记!$X$130),发票登记!$AB$130&lt;&gt;0,发票登记!$Y$130&gt;=_辅助!$J$4,发票登记!$Y$130&lt;=_辅助!$J$2),INT(发票登记!$X$130)*10000+126,"")</f>
      </c>
      <c r="BG127" s="2">
        <f>IF(AND($AF$3&gt;0,资金流水!$H$131=$C$3,ISNUMBER(资金流水!$B$131),ISNUMBER(资金流水!$S$131),资金流水!$S$131&gt;=_辅助!$J$4,资金流水!$S$131&lt;=_辅助!$J$2),INT(资金流水!$B$131)*10000+126,"")</f>
      </c>
      <c r="BJ127" s="2">
        <f>IF(92&gt;$BG$1,0,MOD(SMALL($BG$2:$BG$2001,92),10000))</f>
        <v>0</v>
      </c>
      <c r="CA127" s="2">
        <f t="shared" si="0"/>
        <v>0</v>
      </c>
      <c r="CB127" s="2">
        <f t="shared" si="1"/>
        <v>0</v>
      </c>
    </row>
    <row r="128">
      <c r="W128" s="95">
        <f t="shared" si="19"/>
      </c>
      <c r="X128" s="94">
        <f t="shared" si="25"/>
      </c>
      <c r="Y128" s="96">
        <f t="shared" si="26"/>
      </c>
      <c r="Z128" s="21">
        <f t="shared" si="20"/>
      </c>
      <c r="AA128" s="21">
        <f t="shared" si="21"/>
      </c>
      <c r="AB128" s="94">
        <f t="shared" si="27"/>
      </c>
      <c r="AC128" s="96">
        <f t="shared" si="28"/>
      </c>
      <c r="AD128" s="94">
        <f t="shared" si="29"/>
      </c>
      <c r="BA128" s="2">
        <f>IF(OR(往来单位!$B$131="",$AF$3=0),0,SUMIFS(期初余额!$R$5:$R$204,期初余额!$P$5:$P$204,往来单位!$B$131,期初余额!$Q$5:$Q$204,$C$3)+SUMIFS(应付登记!$G$5:$G$1004,应付登记!$D$5:$D$1004,往来单位!$B$131,应付登记!$E$5:$E$1004,$C$3,应付登记!$J$5:$J$1004,"&gt;="&amp;_辅助!$J$4,应付登记!$J$5:$J$1004,"&lt;="&amp;_辅助!$J$2))</f>
        <v>0</v>
      </c>
      <c r="BB128" s="2">
        <f>BB100+SUM(CA101:CA128)</f>
        <v>2</v>
      </c>
      <c r="BC128" s="2">
        <f>IF(OR(往来单位!$B$131="",$AF$3=0,NOT(OR(往来单位!$C$131="管理人员",往来单位!$C$131="工人"))),0,SUMIFS(考勤工资!$E$5:$E$1004,考勤工资!$C$5:$C$1004,往来单位!$B$131,考勤工资!$D$5:$D$1004,$C$3,考勤工资!$Y$5:$Y$1004,"&gt;="&amp;_辅助!$J$4,考勤工资!$Y$5:$Y$1004,"&lt;="&amp;_辅助!$J$2)+SUMIFS(考勤工资!$G$5:$G$1004,考勤工资!$C$5:$C$1004,往来单位!$B$131,考勤工资!$F$5:$F$1004,$C$3,考勤工资!$Y$5:$Y$1004,"&gt;="&amp;_辅助!$J$4,考勤工资!$Y$5:$Y$1004,"&lt;="&amp;_辅助!$J$2)+SUMIFS(考勤工资!$I$5:$I$1004,考勤工资!$C$5:$C$1004,往来单位!$B$131,考勤工资!$H$5:$H$1004,$C$3,考勤工资!$Y$5:$Y$1004,"&gt;="&amp;_辅助!$J$4,考勤工资!$Y$5:$Y$1004,"&lt;="&amp;_辅助!$J$2)+SUMIFS(考勤工资!$K$5:$K$1004,考勤工资!$C$5:$C$1004,往来单位!$B$131,考勤工资!$J$5:$J$1004,$C$3,考勤工资!$Y$5:$Y$1004,"&gt;="&amp;_辅助!$J$4,考勤工资!$Y$5:$Y$1004,"&lt;="&amp;_辅助!$J$2))</f>
        <v>0</v>
      </c>
      <c r="BD128" s="2">
        <f>IF(BC128=0,0,SUMIFS(考勤工资!$AC$5:$AC$1004,考勤工资!$C$5:$C$1004,往来单位!$B$131,考勤工资!$D$5:$D$1004,$C$3,考勤工资!$Y$5:$Y$1004,"&gt;="&amp;_辅助!$J$4,考勤工资!$Y$5:$Y$1004,"&lt;="&amp;_辅助!$J$2)+SUMIFS(考勤工资!$AD$5:$AD$1004,考勤工资!$C$5:$C$1004,往来单位!$B$131,考勤工资!$F$5:$F$1004,$C$3,考勤工资!$Y$5:$Y$1004,"&gt;="&amp;_辅助!$J$4,考勤工资!$Y$5:$Y$1004,"&lt;="&amp;_辅助!$J$2)+SUMIFS(考勤工资!$AE$5:$AE$1004,考勤工资!$C$5:$C$1004,往来单位!$B$131,考勤工资!$H$5:$H$1004,$C$3,考勤工资!$Y$5:$Y$1004,"&gt;="&amp;_辅助!$J$4,考勤工资!$Y$5:$Y$1004,"&lt;="&amp;_辅助!$J$2)+SUMIFS(考勤工资!$AF$5:$AF$1004,考勤工资!$C$5:$C$1004,往来单位!$B$131,考勤工资!$J$5:$J$1004,$C$3,考勤工资!$Y$5:$Y$1004,"&gt;="&amp;_辅助!$J$4,考勤工资!$Y$5:$Y$1004,"&lt;="&amp;_辅助!$J$2))</f>
        <v>0</v>
      </c>
      <c r="BE128" s="2">
        <f>BE100+SUM(CB101:CB128)</f>
        <v>0</v>
      </c>
      <c r="BF128" s="2">
        <f>IF(AND($AF$3&gt;0,发票登记!$T$131=$C$3,ISNUMBER(发票登记!$X$131),发票登记!$AB$131&lt;&gt;0,发票登记!$Y$131&gt;=_辅助!$J$4,发票登记!$Y$131&lt;=_辅助!$J$2),INT(发票登记!$X$131)*10000+127,"")</f>
      </c>
      <c r="BG128" s="2">
        <f>IF(AND($AF$3&gt;0,资金流水!$H$132=$C$3,ISNUMBER(资金流水!$B$132),ISNUMBER(资金流水!$S$132),资金流水!$S$132&gt;=_辅助!$J$4,资金流水!$S$132&lt;=_辅助!$J$2),INT(资金流水!$B$132)*10000+127,"")</f>
      </c>
      <c r="BJ128" s="2">
        <f>IF(93&gt;$BG$1,0,MOD(SMALL($BG$2:$BG$2001,93),10000))</f>
        <v>0</v>
      </c>
      <c r="CA128" s="2">
        <f t="shared" si="0"/>
        <v>0</v>
      </c>
      <c r="CB128" s="2">
        <f t="shared" si="1"/>
        <v>0</v>
      </c>
    </row>
    <row r="129">
      <c r="W129" s="95">
        <f t="shared" si="19"/>
      </c>
      <c r="X129" s="94">
        <f t="shared" si="25"/>
      </c>
      <c r="Y129" s="96">
        <f t="shared" si="26"/>
      </c>
      <c r="Z129" s="21">
        <f t="shared" si="20"/>
      </c>
      <c r="AA129" s="21">
        <f t="shared" si="21"/>
      </c>
      <c r="AB129" s="94">
        <f t="shared" si="27"/>
      </c>
      <c r="AC129" s="96">
        <f t="shared" si="28"/>
      </c>
      <c r="AD129" s="94">
        <f t="shared" si="29"/>
      </c>
      <c r="BA129" s="2">
        <f>IF(OR(往来单位!$B$132="",$AF$3=0),0,SUMIFS(期初余额!$R$5:$R$204,期初余额!$P$5:$P$204,往来单位!$B$132,期初余额!$Q$5:$Q$204,$C$3)+SUMIFS(应付登记!$G$5:$G$1004,应付登记!$D$5:$D$1004,往来单位!$B$132,应付登记!$E$5:$E$1004,$C$3,应付登记!$J$5:$J$1004,"&gt;="&amp;_辅助!$J$4,应付登记!$J$5:$J$1004,"&lt;="&amp;_辅助!$J$2))</f>
        <v>0</v>
      </c>
      <c r="BB129" s="2">
        <f>BB100+SUM(CA101:CA129)</f>
        <v>2</v>
      </c>
      <c r="BC129" s="2">
        <f>IF(OR(往来单位!$B$132="",$AF$3=0,NOT(OR(往来单位!$C$132="管理人员",往来单位!$C$132="工人"))),0,SUMIFS(考勤工资!$E$5:$E$1004,考勤工资!$C$5:$C$1004,往来单位!$B$132,考勤工资!$D$5:$D$1004,$C$3,考勤工资!$Y$5:$Y$1004,"&gt;="&amp;_辅助!$J$4,考勤工资!$Y$5:$Y$1004,"&lt;="&amp;_辅助!$J$2)+SUMIFS(考勤工资!$G$5:$G$1004,考勤工资!$C$5:$C$1004,往来单位!$B$132,考勤工资!$F$5:$F$1004,$C$3,考勤工资!$Y$5:$Y$1004,"&gt;="&amp;_辅助!$J$4,考勤工资!$Y$5:$Y$1004,"&lt;="&amp;_辅助!$J$2)+SUMIFS(考勤工资!$I$5:$I$1004,考勤工资!$C$5:$C$1004,往来单位!$B$132,考勤工资!$H$5:$H$1004,$C$3,考勤工资!$Y$5:$Y$1004,"&gt;="&amp;_辅助!$J$4,考勤工资!$Y$5:$Y$1004,"&lt;="&amp;_辅助!$J$2)+SUMIFS(考勤工资!$K$5:$K$1004,考勤工资!$C$5:$C$1004,往来单位!$B$132,考勤工资!$J$5:$J$1004,$C$3,考勤工资!$Y$5:$Y$1004,"&gt;="&amp;_辅助!$J$4,考勤工资!$Y$5:$Y$1004,"&lt;="&amp;_辅助!$J$2))</f>
        <v>0</v>
      </c>
      <c r="BD129" s="2">
        <f>IF(BC129=0,0,SUMIFS(考勤工资!$AC$5:$AC$1004,考勤工资!$C$5:$C$1004,往来单位!$B$132,考勤工资!$D$5:$D$1004,$C$3,考勤工资!$Y$5:$Y$1004,"&gt;="&amp;_辅助!$J$4,考勤工资!$Y$5:$Y$1004,"&lt;="&amp;_辅助!$J$2)+SUMIFS(考勤工资!$AD$5:$AD$1004,考勤工资!$C$5:$C$1004,往来单位!$B$132,考勤工资!$F$5:$F$1004,$C$3,考勤工资!$Y$5:$Y$1004,"&gt;="&amp;_辅助!$J$4,考勤工资!$Y$5:$Y$1004,"&lt;="&amp;_辅助!$J$2)+SUMIFS(考勤工资!$AE$5:$AE$1004,考勤工资!$C$5:$C$1004,往来单位!$B$132,考勤工资!$H$5:$H$1004,$C$3,考勤工资!$Y$5:$Y$1004,"&gt;="&amp;_辅助!$J$4,考勤工资!$Y$5:$Y$1004,"&lt;="&amp;_辅助!$J$2)+SUMIFS(考勤工资!$AF$5:$AF$1004,考勤工资!$C$5:$C$1004,往来单位!$B$132,考勤工资!$J$5:$J$1004,$C$3,考勤工资!$Y$5:$Y$1004,"&gt;="&amp;_辅助!$J$4,考勤工资!$Y$5:$Y$1004,"&lt;="&amp;_辅助!$J$2))</f>
        <v>0</v>
      </c>
      <c r="BE129" s="2">
        <f>BE100+SUM(CB101:CB129)</f>
        <v>0</v>
      </c>
      <c r="BF129" s="2">
        <f>IF(AND($AF$3&gt;0,发票登记!$T$132=$C$3,ISNUMBER(发票登记!$X$132),发票登记!$AB$132&lt;&gt;0,发票登记!$Y$132&gt;=_辅助!$J$4,发票登记!$Y$132&lt;=_辅助!$J$2),INT(发票登记!$X$132)*10000+128,"")</f>
      </c>
      <c r="BG129" s="2">
        <f>IF(AND($AF$3&gt;0,资金流水!$H$133=$C$3,ISNUMBER(资金流水!$B$133),ISNUMBER(资金流水!$S$133),资金流水!$S$133&gt;=_辅助!$J$4,资金流水!$S$133&lt;=_辅助!$J$2),INT(资金流水!$B$133)*10000+128,"")</f>
      </c>
      <c r="BJ129" s="2">
        <f>IF(94&gt;$BG$1,0,MOD(SMALL($BG$2:$BG$2001,94),10000))</f>
        <v>0</v>
      </c>
      <c r="CA129" s="2">
        <f t="shared" si="0"/>
        <v>0</v>
      </c>
      <c r="CB129" s="2">
        <f t="shared" si="1"/>
        <v>0</v>
      </c>
    </row>
    <row r="130">
      <c r="W130" s="95">
        <f t="shared" si="19"/>
      </c>
      <c r="X130" s="94">
        <f t="shared" si="25"/>
      </c>
      <c r="Y130" s="96">
        <f t="shared" si="26"/>
      </c>
      <c r="Z130" s="21">
        <f t="shared" si="20"/>
      </c>
      <c r="AA130" s="21">
        <f t="shared" si="21"/>
      </c>
      <c r="AB130" s="94">
        <f t="shared" si="27"/>
      </c>
      <c r="AC130" s="96">
        <f t="shared" si="28"/>
      </c>
      <c r="AD130" s="94">
        <f t="shared" si="29"/>
      </c>
      <c r="BA130" s="2">
        <f>IF(OR(往来单位!$B$133="",$AF$3=0),0,SUMIFS(期初余额!$R$5:$R$204,期初余额!$P$5:$P$204,往来单位!$B$133,期初余额!$Q$5:$Q$204,$C$3)+SUMIFS(应付登记!$G$5:$G$1004,应付登记!$D$5:$D$1004,往来单位!$B$133,应付登记!$E$5:$E$1004,$C$3,应付登记!$J$5:$J$1004,"&gt;="&amp;_辅助!$J$4,应付登记!$J$5:$J$1004,"&lt;="&amp;_辅助!$J$2))</f>
        <v>0</v>
      </c>
      <c r="BB130" s="2">
        <f>BB100+SUM(CA101:CA130)</f>
        <v>2</v>
      </c>
      <c r="BC130" s="2">
        <f>IF(OR(往来单位!$B$133="",$AF$3=0,NOT(OR(往来单位!$C$133="管理人员",往来单位!$C$133="工人"))),0,SUMIFS(考勤工资!$E$5:$E$1004,考勤工资!$C$5:$C$1004,往来单位!$B$133,考勤工资!$D$5:$D$1004,$C$3,考勤工资!$Y$5:$Y$1004,"&gt;="&amp;_辅助!$J$4,考勤工资!$Y$5:$Y$1004,"&lt;="&amp;_辅助!$J$2)+SUMIFS(考勤工资!$G$5:$G$1004,考勤工资!$C$5:$C$1004,往来单位!$B$133,考勤工资!$F$5:$F$1004,$C$3,考勤工资!$Y$5:$Y$1004,"&gt;="&amp;_辅助!$J$4,考勤工资!$Y$5:$Y$1004,"&lt;="&amp;_辅助!$J$2)+SUMIFS(考勤工资!$I$5:$I$1004,考勤工资!$C$5:$C$1004,往来单位!$B$133,考勤工资!$H$5:$H$1004,$C$3,考勤工资!$Y$5:$Y$1004,"&gt;="&amp;_辅助!$J$4,考勤工资!$Y$5:$Y$1004,"&lt;="&amp;_辅助!$J$2)+SUMIFS(考勤工资!$K$5:$K$1004,考勤工资!$C$5:$C$1004,往来单位!$B$133,考勤工资!$J$5:$J$1004,$C$3,考勤工资!$Y$5:$Y$1004,"&gt;="&amp;_辅助!$J$4,考勤工资!$Y$5:$Y$1004,"&lt;="&amp;_辅助!$J$2))</f>
        <v>0</v>
      </c>
      <c r="BD130" s="2">
        <f>IF(BC130=0,0,SUMIFS(考勤工资!$AC$5:$AC$1004,考勤工资!$C$5:$C$1004,往来单位!$B$133,考勤工资!$D$5:$D$1004,$C$3,考勤工资!$Y$5:$Y$1004,"&gt;="&amp;_辅助!$J$4,考勤工资!$Y$5:$Y$1004,"&lt;="&amp;_辅助!$J$2)+SUMIFS(考勤工资!$AD$5:$AD$1004,考勤工资!$C$5:$C$1004,往来单位!$B$133,考勤工资!$F$5:$F$1004,$C$3,考勤工资!$Y$5:$Y$1004,"&gt;="&amp;_辅助!$J$4,考勤工资!$Y$5:$Y$1004,"&lt;="&amp;_辅助!$J$2)+SUMIFS(考勤工资!$AE$5:$AE$1004,考勤工资!$C$5:$C$1004,往来单位!$B$133,考勤工资!$H$5:$H$1004,$C$3,考勤工资!$Y$5:$Y$1004,"&gt;="&amp;_辅助!$J$4,考勤工资!$Y$5:$Y$1004,"&lt;="&amp;_辅助!$J$2)+SUMIFS(考勤工资!$AF$5:$AF$1004,考勤工资!$C$5:$C$1004,往来单位!$B$133,考勤工资!$J$5:$J$1004,$C$3,考勤工资!$Y$5:$Y$1004,"&gt;="&amp;_辅助!$J$4,考勤工资!$Y$5:$Y$1004,"&lt;="&amp;_辅助!$J$2))</f>
        <v>0</v>
      </c>
      <c r="BE130" s="2">
        <f>BE100+SUM(CB101:CB130)</f>
        <v>0</v>
      </c>
      <c r="BF130" s="2">
        <f>IF(AND($AF$3&gt;0,发票登记!$T$133=$C$3,ISNUMBER(发票登记!$X$133),发票登记!$AB$133&lt;&gt;0,发票登记!$Y$133&gt;=_辅助!$J$4,发票登记!$Y$133&lt;=_辅助!$J$2),INT(发票登记!$X$133)*10000+129,"")</f>
      </c>
      <c r="BG130" s="2">
        <f>IF(AND($AF$3&gt;0,资金流水!$H$134=$C$3,ISNUMBER(资金流水!$B$134),ISNUMBER(资金流水!$S$134),资金流水!$S$134&gt;=_辅助!$J$4,资金流水!$S$134&lt;=_辅助!$J$2),INT(资金流水!$B$134)*10000+129,"")</f>
      </c>
      <c r="BJ130" s="2">
        <f>IF(95&gt;$BG$1,0,MOD(SMALL($BG$2:$BG$2001,95),10000))</f>
        <v>0</v>
      </c>
      <c r="CA130" s="2">
        <f t="shared" si="0"/>
        <v>0</v>
      </c>
      <c r="CB130" s="2">
        <f t="shared" si="1"/>
        <v>0</v>
      </c>
    </row>
    <row r="131">
      <c r="W131" s="95">
        <f t="shared" si="19"/>
      </c>
      <c r="X131" s="94">
        <f t="shared" si="25"/>
      </c>
      <c r="Y131" s="96">
        <f t="shared" si="26"/>
      </c>
      <c r="Z131" s="21">
        <f t="shared" si="20"/>
      </c>
      <c r="AA131" s="21">
        <f t="shared" si="21"/>
      </c>
      <c r="AB131" s="94">
        <f t="shared" si="27"/>
      </c>
      <c r="AC131" s="96">
        <f t="shared" si="28"/>
      </c>
      <c r="AD131" s="94">
        <f t="shared" si="29"/>
      </c>
      <c r="BA131" s="2">
        <f>IF(OR(往来单位!$B$134="",$AF$3=0),0,SUMIFS(期初余额!$R$5:$R$204,期初余额!$P$5:$P$204,往来单位!$B$134,期初余额!$Q$5:$Q$204,$C$3)+SUMIFS(应付登记!$G$5:$G$1004,应付登记!$D$5:$D$1004,往来单位!$B$134,应付登记!$E$5:$E$1004,$C$3,应付登记!$J$5:$J$1004,"&gt;="&amp;_辅助!$J$4,应付登记!$J$5:$J$1004,"&lt;="&amp;_辅助!$J$2))</f>
        <v>0</v>
      </c>
      <c r="BB131" s="2">
        <f>BB100+SUM(CA101:CA131)</f>
        <v>2</v>
      </c>
      <c r="BC131" s="2">
        <f>IF(OR(往来单位!$B$134="",$AF$3=0,NOT(OR(往来单位!$C$134="管理人员",往来单位!$C$134="工人"))),0,SUMIFS(考勤工资!$E$5:$E$1004,考勤工资!$C$5:$C$1004,往来单位!$B$134,考勤工资!$D$5:$D$1004,$C$3,考勤工资!$Y$5:$Y$1004,"&gt;="&amp;_辅助!$J$4,考勤工资!$Y$5:$Y$1004,"&lt;="&amp;_辅助!$J$2)+SUMIFS(考勤工资!$G$5:$G$1004,考勤工资!$C$5:$C$1004,往来单位!$B$134,考勤工资!$F$5:$F$1004,$C$3,考勤工资!$Y$5:$Y$1004,"&gt;="&amp;_辅助!$J$4,考勤工资!$Y$5:$Y$1004,"&lt;="&amp;_辅助!$J$2)+SUMIFS(考勤工资!$I$5:$I$1004,考勤工资!$C$5:$C$1004,往来单位!$B$134,考勤工资!$H$5:$H$1004,$C$3,考勤工资!$Y$5:$Y$1004,"&gt;="&amp;_辅助!$J$4,考勤工资!$Y$5:$Y$1004,"&lt;="&amp;_辅助!$J$2)+SUMIFS(考勤工资!$K$5:$K$1004,考勤工资!$C$5:$C$1004,往来单位!$B$134,考勤工资!$J$5:$J$1004,$C$3,考勤工资!$Y$5:$Y$1004,"&gt;="&amp;_辅助!$J$4,考勤工资!$Y$5:$Y$1004,"&lt;="&amp;_辅助!$J$2))</f>
        <v>0</v>
      </c>
      <c r="BD131" s="2">
        <f>IF(BC131=0,0,SUMIFS(考勤工资!$AC$5:$AC$1004,考勤工资!$C$5:$C$1004,往来单位!$B$134,考勤工资!$D$5:$D$1004,$C$3,考勤工资!$Y$5:$Y$1004,"&gt;="&amp;_辅助!$J$4,考勤工资!$Y$5:$Y$1004,"&lt;="&amp;_辅助!$J$2)+SUMIFS(考勤工资!$AD$5:$AD$1004,考勤工资!$C$5:$C$1004,往来单位!$B$134,考勤工资!$F$5:$F$1004,$C$3,考勤工资!$Y$5:$Y$1004,"&gt;="&amp;_辅助!$J$4,考勤工资!$Y$5:$Y$1004,"&lt;="&amp;_辅助!$J$2)+SUMIFS(考勤工资!$AE$5:$AE$1004,考勤工资!$C$5:$C$1004,往来单位!$B$134,考勤工资!$H$5:$H$1004,$C$3,考勤工资!$Y$5:$Y$1004,"&gt;="&amp;_辅助!$J$4,考勤工资!$Y$5:$Y$1004,"&lt;="&amp;_辅助!$J$2)+SUMIFS(考勤工资!$AF$5:$AF$1004,考勤工资!$C$5:$C$1004,往来单位!$B$134,考勤工资!$J$5:$J$1004,$C$3,考勤工资!$Y$5:$Y$1004,"&gt;="&amp;_辅助!$J$4,考勤工资!$Y$5:$Y$1004,"&lt;="&amp;_辅助!$J$2))</f>
        <v>0</v>
      </c>
      <c r="BE131" s="2">
        <f>BE100+SUM(CB101:CB131)</f>
        <v>0</v>
      </c>
      <c r="BF131" s="2">
        <f>IF(AND($AF$3&gt;0,发票登记!$T$134=$C$3,ISNUMBER(发票登记!$X$134),发票登记!$AB$134&lt;&gt;0,发票登记!$Y$134&gt;=_辅助!$J$4,发票登记!$Y$134&lt;=_辅助!$J$2),INT(发票登记!$X$134)*10000+130,"")</f>
      </c>
      <c r="BG131" s="2">
        <f>IF(AND($AF$3&gt;0,资金流水!$H$135=$C$3,ISNUMBER(资金流水!$B$135),ISNUMBER(资金流水!$S$135),资金流水!$S$135&gt;=_辅助!$J$4,资金流水!$S$135&lt;=_辅助!$J$2),INT(资金流水!$B$135)*10000+130,"")</f>
      </c>
      <c r="BJ131" s="2">
        <f>IF(96&gt;$BG$1,0,MOD(SMALL($BG$2:$BG$2001,96),10000))</f>
        <v>0</v>
      </c>
      <c r="CA131" s="2">
        <f t="shared" si="0"/>
        <v>0</v>
      </c>
      <c r="CB131" s="2">
        <f t="shared" si="1"/>
        <v>0</v>
      </c>
    </row>
    <row r="132">
      <c r="W132" s="95">
        <f t="shared" si="19"/>
      </c>
      <c r="X132" s="94">
        <f t="shared" si="25"/>
      </c>
      <c r="Y132" s="96">
        <f t="shared" si="26"/>
      </c>
      <c r="Z132" s="21">
        <f t="shared" si="20"/>
      </c>
      <c r="AA132" s="21">
        <f t="shared" si="21"/>
      </c>
      <c r="AB132" s="94">
        <f t="shared" si="27"/>
      </c>
      <c r="AC132" s="96">
        <f t="shared" si="28"/>
      </c>
      <c r="AD132" s="94">
        <f t="shared" si="29"/>
      </c>
      <c r="BA132" s="2">
        <f>IF(OR(往来单位!$B$135="",$AF$3=0),0,SUMIFS(期初余额!$R$5:$R$204,期初余额!$P$5:$P$204,往来单位!$B$135,期初余额!$Q$5:$Q$204,$C$3)+SUMIFS(应付登记!$G$5:$G$1004,应付登记!$D$5:$D$1004,往来单位!$B$135,应付登记!$E$5:$E$1004,$C$3,应付登记!$J$5:$J$1004,"&gt;="&amp;_辅助!$J$4,应付登记!$J$5:$J$1004,"&lt;="&amp;_辅助!$J$2))</f>
        <v>0</v>
      </c>
      <c r="BB132" s="2">
        <f>BB100+SUM(CA101:CA132)</f>
        <v>2</v>
      </c>
      <c r="BC132" s="2">
        <f>IF(OR(往来单位!$B$135="",$AF$3=0,NOT(OR(往来单位!$C$135="管理人员",往来单位!$C$135="工人"))),0,SUMIFS(考勤工资!$E$5:$E$1004,考勤工资!$C$5:$C$1004,往来单位!$B$135,考勤工资!$D$5:$D$1004,$C$3,考勤工资!$Y$5:$Y$1004,"&gt;="&amp;_辅助!$J$4,考勤工资!$Y$5:$Y$1004,"&lt;="&amp;_辅助!$J$2)+SUMIFS(考勤工资!$G$5:$G$1004,考勤工资!$C$5:$C$1004,往来单位!$B$135,考勤工资!$F$5:$F$1004,$C$3,考勤工资!$Y$5:$Y$1004,"&gt;="&amp;_辅助!$J$4,考勤工资!$Y$5:$Y$1004,"&lt;="&amp;_辅助!$J$2)+SUMIFS(考勤工资!$I$5:$I$1004,考勤工资!$C$5:$C$1004,往来单位!$B$135,考勤工资!$H$5:$H$1004,$C$3,考勤工资!$Y$5:$Y$1004,"&gt;="&amp;_辅助!$J$4,考勤工资!$Y$5:$Y$1004,"&lt;="&amp;_辅助!$J$2)+SUMIFS(考勤工资!$K$5:$K$1004,考勤工资!$C$5:$C$1004,往来单位!$B$135,考勤工资!$J$5:$J$1004,$C$3,考勤工资!$Y$5:$Y$1004,"&gt;="&amp;_辅助!$J$4,考勤工资!$Y$5:$Y$1004,"&lt;="&amp;_辅助!$J$2))</f>
        <v>0</v>
      </c>
      <c r="BD132" s="2">
        <f>IF(BC132=0,0,SUMIFS(考勤工资!$AC$5:$AC$1004,考勤工资!$C$5:$C$1004,往来单位!$B$135,考勤工资!$D$5:$D$1004,$C$3,考勤工资!$Y$5:$Y$1004,"&gt;="&amp;_辅助!$J$4,考勤工资!$Y$5:$Y$1004,"&lt;="&amp;_辅助!$J$2)+SUMIFS(考勤工资!$AD$5:$AD$1004,考勤工资!$C$5:$C$1004,往来单位!$B$135,考勤工资!$F$5:$F$1004,$C$3,考勤工资!$Y$5:$Y$1004,"&gt;="&amp;_辅助!$J$4,考勤工资!$Y$5:$Y$1004,"&lt;="&amp;_辅助!$J$2)+SUMIFS(考勤工资!$AE$5:$AE$1004,考勤工资!$C$5:$C$1004,往来单位!$B$135,考勤工资!$H$5:$H$1004,$C$3,考勤工资!$Y$5:$Y$1004,"&gt;="&amp;_辅助!$J$4,考勤工资!$Y$5:$Y$1004,"&lt;="&amp;_辅助!$J$2)+SUMIFS(考勤工资!$AF$5:$AF$1004,考勤工资!$C$5:$C$1004,往来单位!$B$135,考勤工资!$J$5:$J$1004,$C$3,考勤工资!$Y$5:$Y$1004,"&gt;="&amp;_辅助!$J$4,考勤工资!$Y$5:$Y$1004,"&lt;="&amp;_辅助!$J$2))</f>
        <v>0</v>
      </c>
      <c r="BE132" s="2">
        <f>BE100+SUM(CB101:CB132)</f>
        <v>0</v>
      </c>
      <c r="BF132" s="2">
        <f>IF(AND($AF$3&gt;0,发票登记!$T$135=$C$3,ISNUMBER(发票登记!$X$135),发票登记!$AB$135&lt;&gt;0,发票登记!$Y$135&gt;=_辅助!$J$4,发票登记!$Y$135&lt;=_辅助!$J$2),INT(发票登记!$X$135)*10000+131,"")</f>
      </c>
      <c r="BG132" s="2">
        <f>IF(AND($AF$3&gt;0,资金流水!$H$136=$C$3,ISNUMBER(资金流水!$B$136),ISNUMBER(资金流水!$S$136),资金流水!$S$136&gt;=_辅助!$J$4,资金流水!$S$136&lt;=_辅助!$J$2),INT(资金流水!$B$136)*10000+131,"")</f>
      </c>
      <c r="BJ132" s="2">
        <f>IF(97&gt;$BG$1,0,MOD(SMALL($BG$2:$BG$2001,97),10000))</f>
        <v>0</v>
      </c>
      <c r="CA132" s="2">
        <f t="shared" si="0"/>
        <v>0</v>
      </c>
      <c r="CB132" s="2">
        <f t="shared" si="1"/>
        <v>0</v>
      </c>
    </row>
    <row r="133">
      <c r="W133" s="95">
        <f t="shared" si="19"/>
      </c>
      <c r="X133" s="94">
        <f t="shared" si="25"/>
      </c>
      <c r="Y133" s="96">
        <f t="shared" si="26"/>
      </c>
      <c r="Z133" s="21">
        <f t="shared" si="20"/>
      </c>
      <c r="AA133" s="21">
        <f t="shared" si="21"/>
      </c>
      <c r="AB133" s="94">
        <f t="shared" si="27"/>
      </c>
      <c r="AC133" s="96">
        <f t="shared" si="28"/>
      </c>
      <c r="AD133" s="94">
        <f t="shared" si="29"/>
      </c>
      <c r="BA133" s="2">
        <f>IF(OR(往来单位!$B$136="",$AF$3=0),0,SUMIFS(期初余额!$R$5:$R$204,期初余额!$P$5:$P$204,往来单位!$B$136,期初余额!$Q$5:$Q$204,$C$3)+SUMIFS(应付登记!$G$5:$G$1004,应付登记!$D$5:$D$1004,往来单位!$B$136,应付登记!$E$5:$E$1004,$C$3,应付登记!$J$5:$J$1004,"&gt;="&amp;_辅助!$J$4,应付登记!$J$5:$J$1004,"&lt;="&amp;_辅助!$J$2))</f>
        <v>0</v>
      </c>
      <c r="BB133" s="2">
        <f>BB100+SUM(CA101:CA133)</f>
        <v>2</v>
      </c>
      <c r="BC133" s="2">
        <f>IF(OR(往来单位!$B$136="",$AF$3=0,NOT(OR(往来单位!$C$136="管理人员",往来单位!$C$136="工人"))),0,SUMIFS(考勤工资!$E$5:$E$1004,考勤工资!$C$5:$C$1004,往来单位!$B$136,考勤工资!$D$5:$D$1004,$C$3,考勤工资!$Y$5:$Y$1004,"&gt;="&amp;_辅助!$J$4,考勤工资!$Y$5:$Y$1004,"&lt;="&amp;_辅助!$J$2)+SUMIFS(考勤工资!$G$5:$G$1004,考勤工资!$C$5:$C$1004,往来单位!$B$136,考勤工资!$F$5:$F$1004,$C$3,考勤工资!$Y$5:$Y$1004,"&gt;="&amp;_辅助!$J$4,考勤工资!$Y$5:$Y$1004,"&lt;="&amp;_辅助!$J$2)+SUMIFS(考勤工资!$I$5:$I$1004,考勤工资!$C$5:$C$1004,往来单位!$B$136,考勤工资!$H$5:$H$1004,$C$3,考勤工资!$Y$5:$Y$1004,"&gt;="&amp;_辅助!$J$4,考勤工资!$Y$5:$Y$1004,"&lt;="&amp;_辅助!$J$2)+SUMIFS(考勤工资!$K$5:$K$1004,考勤工资!$C$5:$C$1004,往来单位!$B$136,考勤工资!$J$5:$J$1004,$C$3,考勤工资!$Y$5:$Y$1004,"&gt;="&amp;_辅助!$J$4,考勤工资!$Y$5:$Y$1004,"&lt;="&amp;_辅助!$J$2))</f>
        <v>0</v>
      </c>
      <c r="BD133" s="2">
        <f>IF(BC133=0,0,SUMIFS(考勤工资!$AC$5:$AC$1004,考勤工资!$C$5:$C$1004,往来单位!$B$136,考勤工资!$D$5:$D$1004,$C$3,考勤工资!$Y$5:$Y$1004,"&gt;="&amp;_辅助!$J$4,考勤工资!$Y$5:$Y$1004,"&lt;="&amp;_辅助!$J$2)+SUMIFS(考勤工资!$AD$5:$AD$1004,考勤工资!$C$5:$C$1004,往来单位!$B$136,考勤工资!$F$5:$F$1004,$C$3,考勤工资!$Y$5:$Y$1004,"&gt;="&amp;_辅助!$J$4,考勤工资!$Y$5:$Y$1004,"&lt;="&amp;_辅助!$J$2)+SUMIFS(考勤工资!$AE$5:$AE$1004,考勤工资!$C$5:$C$1004,往来单位!$B$136,考勤工资!$H$5:$H$1004,$C$3,考勤工资!$Y$5:$Y$1004,"&gt;="&amp;_辅助!$J$4,考勤工资!$Y$5:$Y$1004,"&lt;="&amp;_辅助!$J$2)+SUMIFS(考勤工资!$AF$5:$AF$1004,考勤工资!$C$5:$C$1004,往来单位!$B$136,考勤工资!$J$5:$J$1004,$C$3,考勤工资!$Y$5:$Y$1004,"&gt;="&amp;_辅助!$J$4,考勤工资!$Y$5:$Y$1004,"&lt;="&amp;_辅助!$J$2))</f>
        <v>0</v>
      </c>
      <c r="BE133" s="2">
        <f>BE100+SUM(CB101:CB133)</f>
        <v>0</v>
      </c>
      <c r="BF133" s="2">
        <f>IF(AND($AF$3&gt;0,发票登记!$T$136=$C$3,ISNUMBER(发票登记!$X$136),发票登记!$AB$136&lt;&gt;0,发票登记!$Y$136&gt;=_辅助!$J$4,发票登记!$Y$136&lt;=_辅助!$J$2),INT(发票登记!$X$136)*10000+132,"")</f>
      </c>
      <c r="BG133" s="2">
        <f>IF(AND($AF$3&gt;0,资金流水!$H$137=$C$3,ISNUMBER(资金流水!$B$137),ISNUMBER(资金流水!$S$137),资金流水!$S$137&gt;=_辅助!$J$4,资金流水!$S$137&lt;=_辅助!$J$2),INT(资金流水!$B$137)*10000+132,"")</f>
      </c>
      <c r="BJ133" s="2">
        <f>IF(98&gt;$BG$1,0,MOD(SMALL($BG$2:$BG$2001,98),10000))</f>
        <v>0</v>
      </c>
      <c r="CA133" s="2">
        <f t="shared" si="0"/>
        <v>0</v>
      </c>
      <c r="CB133" s="2">
        <f t="shared" si="1"/>
        <v>0</v>
      </c>
    </row>
    <row r="134">
      <c r="W134" s="95">
        <f t="shared" si="19"/>
      </c>
      <c r="X134" s="94">
        <f t="shared" si="25"/>
      </c>
      <c r="Y134" s="96">
        <f t="shared" si="26"/>
      </c>
      <c r="Z134" s="21">
        <f t="shared" si="20"/>
      </c>
      <c r="AA134" s="21">
        <f t="shared" si="21"/>
      </c>
      <c r="AB134" s="94">
        <f t="shared" si="27"/>
      </c>
      <c r="AC134" s="96">
        <f t="shared" si="28"/>
      </c>
      <c r="AD134" s="94">
        <f t="shared" si="29"/>
      </c>
      <c r="BA134" s="2">
        <f>IF(OR(往来单位!$B$137="",$AF$3=0),0,SUMIFS(期初余额!$R$5:$R$204,期初余额!$P$5:$P$204,往来单位!$B$137,期初余额!$Q$5:$Q$204,$C$3)+SUMIFS(应付登记!$G$5:$G$1004,应付登记!$D$5:$D$1004,往来单位!$B$137,应付登记!$E$5:$E$1004,$C$3,应付登记!$J$5:$J$1004,"&gt;="&amp;_辅助!$J$4,应付登记!$J$5:$J$1004,"&lt;="&amp;_辅助!$J$2))</f>
        <v>0</v>
      </c>
      <c r="BB134" s="2">
        <f>BB100+SUM(CA101:CA134)</f>
        <v>2</v>
      </c>
      <c r="BC134" s="2">
        <f>IF(OR(往来单位!$B$137="",$AF$3=0,NOT(OR(往来单位!$C$137="管理人员",往来单位!$C$137="工人"))),0,SUMIFS(考勤工资!$E$5:$E$1004,考勤工资!$C$5:$C$1004,往来单位!$B$137,考勤工资!$D$5:$D$1004,$C$3,考勤工资!$Y$5:$Y$1004,"&gt;="&amp;_辅助!$J$4,考勤工资!$Y$5:$Y$1004,"&lt;="&amp;_辅助!$J$2)+SUMIFS(考勤工资!$G$5:$G$1004,考勤工资!$C$5:$C$1004,往来单位!$B$137,考勤工资!$F$5:$F$1004,$C$3,考勤工资!$Y$5:$Y$1004,"&gt;="&amp;_辅助!$J$4,考勤工资!$Y$5:$Y$1004,"&lt;="&amp;_辅助!$J$2)+SUMIFS(考勤工资!$I$5:$I$1004,考勤工资!$C$5:$C$1004,往来单位!$B$137,考勤工资!$H$5:$H$1004,$C$3,考勤工资!$Y$5:$Y$1004,"&gt;="&amp;_辅助!$J$4,考勤工资!$Y$5:$Y$1004,"&lt;="&amp;_辅助!$J$2)+SUMIFS(考勤工资!$K$5:$K$1004,考勤工资!$C$5:$C$1004,往来单位!$B$137,考勤工资!$J$5:$J$1004,$C$3,考勤工资!$Y$5:$Y$1004,"&gt;="&amp;_辅助!$J$4,考勤工资!$Y$5:$Y$1004,"&lt;="&amp;_辅助!$J$2))</f>
        <v>0</v>
      </c>
      <c r="BD134" s="2">
        <f>IF(BC134=0,0,SUMIFS(考勤工资!$AC$5:$AC$1004,考勤工资!$C$5:$C$1004,往来单位!$B$137,考勤工资!$D$5:$D$1004,$C$3,考勤工资!$Y$5:$Y$1004,"&gt;="&amp;_辅助!$J$4,考勤工资!$Y$5:$Y$1004,"&lt;="&amp;_辅助!$J$2)+SUMIFS(考勤工资!$AD$5:$AD$1004,考勤工资!$C$5:$C$1004,往来单位!$B$137,考勤工资!$F$5:$F$1004,$C$3,考勤工资!$Y$5:$Y$1004,"&gt;="&amp;_辅助!$J$4,考勤工资!$Y$5:$Y$1004,"&lt;="&amp;_辅助!$J$2)+SUMIFS(考勤工资!$AE$5:$AE$1004,考勤工资!$C$5:$C$1004,往来单位!$B$137,考勤工资!$H$5:$H$1004,$C$3,考勤工资!$Y$5:$Y$1004,"&gt;="&amp;_辅助!$J$4,考勤工资!$Y$5:$Y$1004,"&lt;="&amp;_辅助!$J$2)+SUMIFS(考勤工资!$AF$5:$AF$1004,考勤工资!$C$5:$C$1004,往来单位!$B$137,考勤工资!$J$5:$J$1004,$C$3,考勤工资!$Y$5:$Y$1004,"&gt;="&amp;_辅助!$J$4,考勤工资!$Y$5:$Y$1004,"&lt;="&amp;_辅助!$J$2))</f>
        <v>0</v>
      </c>
      <c r="BE134" s="2">
        <f>BE100+SUM(CB101:CB134)</f>
        <v>0</v>
      </c>
      <c r="BF134" s="2">
        <f>IF(AND($AF$3&gt;0,发票登记!$T$137=$C$3,ISNUMBER(发票登记!$X$137),发票登记!$AB$137&lt;&gt;0,发票登记!$Y$137&gt;=_辅助!$J$4,发票登记!$Y$137&lt;=_辅助!$J$2),INT(发票登记!$X$137)*10000+133,"")</f>
      </c>
      <c r="BG134" s="2">
        <f>IF(AND($AF$3&gt;0,资金流水!$H$138=$C$3,ISNUMBER(资金流水!$B$138),ISNUMBER(资金流水!$S$138),资金流水!$S$138&gt;=_辅助!$J$4,资金流水!$S$138&lt;=_辅助!$J$2),INT(资金流水!$B$138)*10000+133,"")</f>
      </c>
      <c r="BJ134" s="2">
        <f>IF(99&gt;$BG$1,0,MOD(SMALL($BG$2:$BG$2001,99),10000))</f>
        <v>0</v>
      </c>
      <c r="CA134" s="2">
        <f t="shared" si="0"/>
        <v>0</v>
      </c>
      <c r="CB134" s="2">
        <f t="shared" si="1"/>
        <v>0</v>
      </c>
    </row>
    <row r="135">
      <c r="W135" s="95">
        <f t="shared" si="19"/>
      </c>
      <c r="X135" s="94">
        <f t="shared" si="25"/>
      </c>
      <c r="Y135" s="96">
        <f t="shared" si="26"/>
      </c>
      <c r="Z135" s="21">
        <f t="shared" si="20"/>
      </c>
      <c r="AA135" s="21">
        <f t="shared" si="21"/>
      </c>
      <c r="AB135" s="94">
        <f t="shared" si="27"/>
      </c>
      <c r="AC135" s="96">
        <f t="shared" si="28"/>
      </c>
      <c r="AD135" s="94">
        <f t="shared" si="29"/>
      </c>
      <c r="BA135" s="2">
        <f>IF(OR(往来单位!$B$138="",$AF$3=0),0,SUMIFS(期初余额!$R$5:$R$204,期初余额!$P$5:$P$204,往来单位!$B$138,期初余额!$Q$5:$Q$204,$C$3)+SUMIFS(应付登记!$G$5:$G$1004,应付登记!$D$5:$D$1004,往来单位!$B$138,应付登记!$E$5:$E$1004,$C$3,应付登记!$J$5:$J$1004,"&gt;="&amp;_辅助!$J$4,应付登记!$J$5:$J$1004,"&lt;="&amp;_辅助!$J$2))</f>
        <v>0</v>
      </c>
      <c r="BB135" s="2">
        <f>BB100+SUM(CA101:CA135)</f>
        <v>2</v>
      </c>
      <c r="BC135" s="2">
        <f>IF(OR(往来单位!$B$138="",$AF$3=0,NOT(OR(往来单位!$C$138="管理人员",往来单位!$C$138="工人"))),0,SUMIFS(考勤工资!$E$5:$E$1004,考勤工资!$C$5:$C$1004,往来单位!$B$138,考勤工资!$D$5:$D$1004,$C$3,考勤工资!$Y$5:$Y$1004,"&gt;="&amp;_辅助!$J$4,考勤工资!$Y$5:$Y$1004,"&lt;="&amp;_辅助!$J$2)+SUMIFS(考勤工资!$G$5:$G$1004,考勤工资!$C$5:$C$1004,往来单位!$B$138,考勤工资!$F$5:$F$1004,$C$3,考勤工资!$Y$5:$Y$1004,"&gt;="&amp;_辅助!$J$4,考勤工资!$Y$5:$Y$1004,"&lt;="&amp;_辅助!$J$2)+SUMIFS(考勤工资!$I$5:$I$1004,考勤工资!$C$5:$C$1004,往来单位!$B$138,考勤工资!$H$5:$H$1004,$C$3,考勤工资!$Y$5:$Y$1004,"&gt;="&amp;_辅助!$J$4,考勤工资!$Y$5:$Y$1004,"&lt;="&amp;_辅助!$J$2)+SUMIFS(考勤工资!$K$5:$K$1004,考勤工资!$C$5:$C$1004,往来单位!$B$138,考勤工资!$J$5:$J$1004,$C$3,考勤工资!$Y$5:$Y$1004,"&gt;="&amp;_辅助!$J$4,考勤工资!$Y$5:$Y$1004,"&lt;="&amp;_辅助!$J$2))</f>
        <v>0</v>
      </c>
      <c r="BD135" s="2">
        <f>IF(BC135=0,0,SUMIFS(考勤工资!$AC$5:$AC$1004,考勤工资!$C$5:$C$1004,往来单位!$B$138,考勤工资!$D$5:$D$1004,$C$3,考勤工资!$Y$5:$Y$1004,"&gt;="&amp;_辅助!$J$4,考勤工资!$Y$5:$Y$1004,"&lt;="&amp;_辅助!$J$2)+SUMIFS(考勤工资!$AD$5:$AD$1004,考勤工资!$C$5:$C$1004,往来单位!$B$138,考勤工资!$F$5:$F$1004,$C$3,考勤工资!$Y$5:$Y$1004,"&gt;="&amp;_辅助!$J$4,考勤工资!$Y$5:$Y$1004,"&lt;="&amp;_辅助!$J$2)+SUMIFS(考勤工资!$AE$5:$AE$1004,考勤工资!$C$5:$C$1004,往来单位!$B$138,考勤工资!$H$5:$H$1004,$C$3,考勤工资!$Y$5:$Y$1004,"&gt;="&amp;_辅助!$J$4,考勤工资!$Y$5:$Y$1004,"&lt;="&amp;_辅助!$J$2)+SUMIFS(考勤工资!$AF$5:$AF$1004,考勤工资!$C$5:$C$1004,往来单位!$B$138,考勤工资!$J$5:$J$1004,$C$3,考勤工资!$Y$5:$Y$1004,"&gt;="&amp;_辅助!$J$4,考勤工资!$Y$5:$Y$1004,"&lt;="&amp;_辅助!$J$2))</f>
        <v>0</v>
      </c>
      <c r="BE135" s="2">
        <f>BE100+SUM(CB101:CB135)</f>
        <v>0</v>
      </c>
      <c r="BF135" s="2">
        <f>IF(AND($AF$3&gt;0,发票登记!$T$138=$C$3,ISNUMBER(发票登记!$X$138),发票登记!$AB$138&lt;&gt;0,发票登记!$Y$138&gt;=_辅助!$J$4,发票登记!$Y$138&lt;=_辅助!$J$2),INT(发票登记!$X$138)*10000+134,"")</f>
      </c>
      <c r="BG135" s="2">
        <f>IF(AND($AF$3&gt;0,资金流水!$H$139=$C$3,ISNUMBER(资金流水!$B$139),ISNUMBER(资金流水!$S$139),资金流水!$S$139&gt;=_辅助!$J$4,资金流水!$S$139&lt;=_辅助!$J$2),INT(资金流水!$B$139)*10000+134,"")</f>
      </c>
      <c r="BJ135" s="2">
        <f>IF(100&gt;$BG$1,0,MOD(SMALL($BG$2:$BG$2001,100),10000))</f>
        <v>0</v>
      </c>
      <c r="CA135" s="2">
        <f t="shared" si="0"/>
        <v>0</v>
      </c>
      <c r="CB135" s="2">
        <f t="shared" si="1"/>
        <v>0</v>
      </c>
    </row>
    <row r="136">
      <c r="W136" s="95">
        <f t="shared" si="19"/>
      </c>
      <c r="X136" s="94">
        <f t="shared" si="25"/>
      </c>
      <c r="Y136" s="96">
        <f t="shared" si="26"/>
      </c>
      <c r="Z136" s="21">
        <f t="shared" si="20"/>
      </c>
      <c r="AA136" s="21">
        <f t="shared" si="21"/>
      </c>
      <c r="AB136" s="94">
        <f t="shared" si="27"/>
      </c>
      <c r="AC136" s="96">
        <f t="shared" si="28"/>
      </c>
      <c r="AD136" s="94">
        <f t="shared" si="29"/>
      </c>
      <c r="BA136" s="2">
        <f>IF(OR(往来单位!$B$139="",$AF$3=0),0,SUMIFS(期初余额!$R$5:$R$204,期初余额!$P$5:$P$204,往来单位!$B$139,期初余额!$Q$5:$Q$204,$C$3)+SUMIFS(应付登记!$G$5:$G$1004,应付登记!$D$5:$D$1004,往来单位!$B$139,应付登记!$E$5:$E$1004,$C$3,应付登记!$J$5:$J$1004,"&gt;="&amp;_辅助!$J$4,应付登记!$J$5:$J$1004,"&lt;="&amp;_辅助!$J$2))</f>
        <v>0</v>
      </c>
      <c r="BB136" s="2">
        <f>BB100+SUM(CA101:CA136)</f>
        <v>2</v>
      </c>
      <c r="BC136" s="2">
        <f>IF(OR(往来单位!$B$139="",$AF$3=0,NOT(OR(往来单位!$C$139="管理人员",往来单位!$C$139="工人"))),0,SUMIFS(考勤工资!$E$5:$E$1004,考勤工资!$C$5:$C$1004,往来单位!$B$139,考勤工资!$D$5:$D$1004,$C$3,考勤工资!$Y$5:$Y$1004,"&gt;="&amp;_辅助!$J$4,考勤工资!$Y$5:$Y$1004,"&lt;="&amp;_辅助!$J$2)+SUMIFS(考勤工资!$G$5:$G$1004,考勤工资!$C$5:$C$1004,往来单位!$B$139,考勤工资!$F$5:$F$1004,$C$3,考勤工资!$Y$5:$Y$1004,"&gt;="&amp;_辅助!$J$4,考勤工资!$Y$5:$Y$1004,"&lt;="&amp;_辅助!$J$2)+SUMIFS(考勤工资!$I$5:$I$1004,考勤工资!$C$5:$C$1004,往来单位!$B$139,考勤工资!$H$5:$H$1004,$C$3,考勤工资!$Y$5:$Y$1004,"&gt;="&amp;_辅助!$J$4,考勤工资!$Y$5:$Y$1004,"&lt;="&amp;_辅助!$J$2)+SUMIFS(考勤工资!$K$5:$K$1004,考勤工资!$C$5:$C$1004,往来单位!$B$139,考勤工资!$J$5:$J$1004,$C$3,考勤工资!$Y$5:$Y$1004,"&gt;="&amp;_辅助!$J$4,考勤工资!$Y$5:$Y$1004,"&lt;="&amp;_辅助!$J$2))</f>
        <v>0</v>
      </c>
      <c r="BD136" s="2">
        <f>IF(BC136=0,0,SUMIFS(考勤工资!$AC$5:$AC$1004,考勤工资!$C$5:$C$1004,往来单位!$B$139,考勤工资!$D$5:$D$1004,$C$3,考勤工资!$Y$5:$Y$1004,"&gt;="&amp;_辅助!$J$4,考勤工资!$Y$5:$Y$1004,"&lt;="&amp;_辅助!$J$2)+SUMIFS(考勤工资!$AD$5:$AD$1004,考勤工资!$C$5:$C$1004,往来单位!$B$139,考勤工资!$F$5:$F$1004,$C$3,考勤工资!$Y$5:$Y$1004,"&gt;="&amp;_辅助!$J$4,考勤工资!$Y$5:$Y$1004,"&lt;="&amp;_辅助!$J$2)+SUMIFS(考勤工资!$AE$5:$AE$1004,考勤工资!$C$5:$C$1004,往来单位!$B$139,考勤工资!$H$5:$H$1004,$C$3,考勤工资!$Y$5:$Y$1004,"&gt;="&amp;_辅助!$J$4,考勤工资!$Y$5:$Y$1004,"&lt;="&amp;_辅助!$J$2)+SUMIFS(考勤工资!$AF$5:$AF$1004,考勤工资!$C$5:$C$1004,往来单位!$B$139,考勤工资!$J$5:$J$1004,$C$3,考勤工资!$Y$5:$Y$1004,"&gt;="&amp;_辅助!$J$4,考勤工资!$Y$5:$Y$1004,"&lt;="&amp;_辅助!$J$2))</f>
        <v>0</v>
      </c>
      <c r="BE136" s="2">
        <f>BE100+SUM(CB101:CB136)</f>
        <v>0</v>
      </c>
      <c r="BF136" s="2">
        <f>IF(AND($AF$3&gt;0,发票登记!$T$139=$C$3,ISNUMBER(发票登记!$X$139),发票登记!$AB$139&lt;&gt;0,发票登记!$Y$139&gt;=_辅助!$J$4,发票登记!$Y$139&lt;=_辅助!$J$2),INT(发票登记!$X$139)*10000+135,"")</f>
      </c>
      <c r="BG136" s="2">
        <f>IF(AND($AF$3&gt;0,资金流水!$H$140=$C$3,ISNUMBER(资金流水!$B$140),ISNUMBER(资金流水!$S$140),资金流水!$S$140&gt;=_辅助!$J$4,资金流水!$S$140&lt;=_辅助!$J$2),INT(资金流水!$B$140)*10000+135,"")</f>
      </c>
      <c r="BJ136" s="2">
        <f>IF(101&gt;$BG$1,0,MOD(SMALL($BG$2:$BG$2001,101),10000))</f>
        <v>0</v>
      </c>
      <c r="CA136" s="2">
        <f t="shared" si="0"/>
        <v>0</v>
      </c>
      <c r="CB136" s="2">
        <f t="shared" si="1"/>
        <v>0</v>
      </c>
    </row>
    <row r="137">
      <c r="W137" s="95">
        <f t="shared" si="19"/>
      </c>
      <c r="X137" s="94">
        <f t="shared" si="25"/>
      </c>
      <c r="Y137" s="96">
        <f t="shared" si="26"/>
      </c>
      <c r="Z137" s="21">
        <f t="shared" si="20"/>
      </c>
      <c r="AA137" s="21">
        <f t="shared" si="21"/>
      </c>
      <c r="AB137" s="94">
        <f t="shared" si="27"/>
      </c>
      <c r="AC137" s="96">
        <f t="shared" si="28"/>
      </c>
      <c r="AD137" s="94">
        <f t="shared" si="29"/>
      </c>
      <c r="BA137" s="2">
        <f>IF(OR(往来单位!$B$140="",$AF$3=0),0,SUMIFS(期初余额!$R$5:$R$204,期初余额!$P$5:$P$204,往来单位!$B$140,期初余额!$Q$5:$Q$204,$C$3)+SUMIFS(应付登记!$G$5:$G$1004,应付登记!$D$5:$D$1004,往来单位!$B$140,应付登记!$E$5:$E$1004,$C$3,应付登记!$J$5:$J$1004,"&gt;="&amp;_辅助!$J$4,应付登记!$J$5:$J$1004,"&lt;="&amp;_辅助!$J$2))</f>
        <v>0</v>
      </c>
      <c r="BB137" s="2">
        <f>BB100+SUM(CA101:CA137)</f>
        <v>2</v>
      </c>
      <c r="BC137" s="2">
        <f>IF(OR(往来单位!$B$140="",$AF$3=0,NOT(OR(往来单位!$C$140="管理人员",往来单位!$C$140="工人"))),0,SUMIFS(考勤工资!$E$5:$E$1004,考勤工资!$C$5:$C$1004,往来单位!$B$140,考勤工资!$D$5:$D$1004,$C$3,考勤工资!$Y$5:$Y$1004,"&gt;="&amp;_辅助!$J$4,考勤工资!$Y$5:$Y$1004,"&lt;="&amp;_辅助!$J$2)+SUMIFS(考勤工资!$G$5:$G$1004,考勤工资!$C$5:$C$1004,往来单位!$B$140,考勤工资!$F$5:$F$1004,$C$3,考勤工资!$Y$5:$Y$1004,"&gt;="&amp;_辅助!$J$4,考勤工资!$Y$5:$Y$1004,"&lt;="&amp;_辅助!$J$2)+SUMIFS(考勤工资!$I$5:$I$1004,考勤工资!$C$5:$C$1004,往来单位!$B$140,考勤工资!$H$5:$H$1004,$C$3,考勤工资!$Y$5:$Y$1004,"&gt;="&amp;_辅助!$J$4,考勤工资!$Y$5:$Y$1004,"&lt;="&amp;_辅助!$J$2)+SUMIFS(考勤工资!$K$5:$K$1004,考勤工资!$C$5:$C$1004,往来单位!$B$140,考勤工资!$J$5:$J$1004,$C$3,考勤工资!$Y$5:$Y$1004,"&gt;="&amp;_辅助!$J$4,考勤工资!$Y$5:$Y$1004,"&lt;="&amp;_辅助!$J$2))</f>
        <v>0</v>
      </c>
      <c r="BD137" s="2">
        <f>IF(BC137=0,0,SUMIFS(考勤工资!$AC$5:$AC$1004,考勤工资!$C$5:$C$1004,往来单位!$B$140,考勤工资!$D$5:$D$1004,$C$3,考勤工资!$Y$5:$Y$1004,"&gt;="&amp;_辅助!$J$4,考勤工资!$Y$5:$Y$1004,"&lt;="&amp;_辅助!$J$2)+SUMIFS(考勤工资!$AD$5:$AD$1004,考勤工资!$C$5:$C$1004,往来单位!$B$140,考勤工资!$F$5:$F$1004,$C$3,考勤工资!$Y$5:$Y$1004,"&gt;="&amp;_辅助!$J$4,考勤工资!$Y$5:$Y$1004,"&lt;="&amp;_辅助!$J$2)+SUMIFS(考勤工资!$AE$5:$AE$1004,考勤工资!$C$5:$C$1004,往来单位!$B$140,考勤工资!$H$5:$H$1004,$C$3,考勤工资!$Y$5:$Y$1004,"&gt;="&amp;_辅助!$J$4,考勤工资!$Y$5:$Y$1004,"&lt;="&amp;_辅助!$J$2)+SUMIFS(考勤工资!$AF$5:$AF$1004,考勤工资!$C$5:$C$1004,往来单位!$B$140,考勤工资!$J$5:$J$1004,$C$3,考勤工资!$Y$5:$Y$1004,"&gt;="&amp;_辅助!$J$4,考勤工资!$Y$5:$Y$1004,"&lt;="&amp;_辅助!$J$2))</f>
        <v>0</v>
      </c>
      <c r="BE137" s="2">
        <f>BE100+SUM(CB101:CB137)</f>
        <v>0</v>
      </c>
      <c r="BF137" s="2">
        <f>IF(AND($AF$3&gt;0,发票登记!$T$140=$C$3,ISNUMBER(发票登记!$X$140),发票登记!$AB$140&lt;&gt;0,发票登记!$Y$140&gt;=_辅助!$J$4,发票登记!$Y$140&lt;=_辅助!$J$2),INT(发票登记!$X$140)*10000+136,"")</f>
      </c>
      <c r="BG137" s="2">
        <f>IF(AND($AF$3&gt;0,资金流水!$H$141=$C$3,ISNUMBER(资金流水!$B$141),ISNUMBER(资金流水!$S$141),资金流水!$S$141&gt;=_辅助!$J$4,资金流水!$S$141&lt;=_辅助!$J$2),INT(资金流水!$B$141)*10000+136,"")</f>
      </c>
      <c r="BJ137" s="2">
        <f>IF(102&gt;$BG$1,0,MOD(SMALL($BG$2:$BG$2001,102),10000))</f>
        <v>0</v>
      </c>
      <c r="CA137" s="2">
        <f t="shared" si="0"/>
        <v>0</v>
      </c>
      <c r="CB137" s="2">
        <f t="shared" si="1"/>
        <v>0</v>
      </c>
    </row>
    <row r="138">
      <c r="W138" s="95">
        <f t="shared" si="19"/>
      </c>
      <c r="X138" s="94">
        <f t="shared" si="25"/>
      </c>
      <c r="Y138" s="96">
        <f t="shared" si="26"/>
      </c>
      <c r="Z138" s="21">
        <f t="shared" si="20"/>
      </c>
      <c r="AA138" s="21">
        <f t="shared" si="21"/>
      </c>
      <c r="AB138" s="94">
        <f t="shared" si="27"/>
      </c>
      <c r="AC138" s="96">
        <f t="shared" si="28"/>
      </c>
      <c r="AD138" s="94">
        <f t="shared" si="29"/>
      </c>
      <c r="BA138" s="2">
        <f>IF(OR(往来单位!$B$141="",$AF$3=0),0,SUMIFS(期初余额!$R$5:$R$204,期初余额!$P$5:$P$204,往来单位!$B$141,期初余额!$Q$5:$Q$204,$C$3)+SUMIFS(应付登记!$G$5:$G$1004,应付登记!$D$5:$D$1004,往来单位!$B$141,应付登记!$E$5:$E$1004,$C$3,应付登记!$J$5:$J$1004,"&gt;="&amp;_辅助!$J$4,应付登记!$J$5:$J$1004,"&lt;="&amp;_辅助!$J$2))</f>
        <v>0</v>
      </c>
      <c r="BB138" s="2">
        <f>BB100+SUM(CA101:CA138)</f>
        <v>2</v>
      </c>
      <c r="BC138" s="2">
        <f>IF(OR(往来单位!$B$141="",$AF$3=0,NOT(OR(往来单位!$C$141="管理人员",往来单位!$C$141="工人"))),0,SUMIFS(考勤工资!$E$5:$E$1004,考勤工资!$C$5:$C$1004,往来单位!$B$141,考勤工资!$D$5:$D$1004,$C$3,考勤工资!$Y$5:$Y$1004,"&gt;="&amp;_辅助!$J$4,考勤工资!$Y$5:$Y$1004,"&lt;="&amp;_辅助!$J$2)+SUMIFS(考勤工资!$G$5:$G$1004,考勤工资!$C$5:$C$1004,往来单位!$B$141,考勤工资!$F$5:$F$1004,$C$3,考勤工资!$Y$5:$Y$1004,"&gt;="&amp;_辅助!$J$4,考勤工资!$Y$5:$Y$1004,"&lt;="&amp;_辅助!$J$2)+SUMIFS(考勤工资!$I$5:$I$1004,考勤工资!$C$5:$C$1004,往来单位!$B$141,考勤工资!$H$5:$H$1004,$C$3,考勤工资!$Y$5:$Y$1004,"&gt;="&amp;_辅助!$J$4,考勤工资!$Y$5:$Y$1004,"&lt;="&amp;_辅助!$J$2)+SUMIFS(考勤工资!$K$5:$K$1004,考勤工资!$C$5:$C$1004,往来单位!$B$141,考勤工资!$J$5:$J$1004,$C$3,考勤工资!$Y$5:$Y$1004,"&gt;="&amp;_辅助!$J$4,考勤工资!$Y$5:$Y$1004,"&lt;="&amp;_辅助!$J$2))</f>
        <v>0</v>
      </c>
      <c r="BD138" s="2">
        <f>IF(BC138=0,0,SUMIFS(考勤工资!$AC$5:$AC$1004,考勤工资!$C$5:$C$1004,往来单位!$B$141,考勤工资!$D$5:$D$1004,$C$3,考勤工资!$Y$5:$Y$1004,"&gt;="&amp;_辅助!$J$4,考勤工资!$Y$5:$Y$1004,"&lt;="&amp;_辅助!$J$2)+SUMIFS(考勤工资!$AD$5:$AD$1004,考勤工资!$C$5:$C$1004,往来单位!$B$141,考勤工资!$F$5:$F$1004,$C$3,考勤工资!$Y$5:$Y$1004,"&gt;="&amp;_辅助!$J$4,考勤工资!$Y$5:$Y$1004,"&lt;="&amp;_辅助!$J$2)+SUMIFS(考勤工资!$AE$5:$AE$1004,考勤工资!$C$5:$C$1004,往来单位!$B$141,考勤工资!$H$5:$H$1004,$C$3,考勤工资!$Y$5:$Y$1004,"&gt;="&amp;_辅助!$J$4,考勤工资!$Y$5:$Y$1004,"&lt;="&amp;_辅助!$J$2)+SUMIFS(考勤工资!$AF$5:$AF$1004,考勤工资!$C$5:$C$1004,往来单位!$B$141,考勤工资!$J$5:$J$1004,$C$3,考勤工资!$Y$5:$Y$1004,"&gt;="&amp;_辅助!$J$4,考勤工资!$Y$5:$Y$1004,"&lt;="&amp;_辅助!$J$2))</f>
        <v>0</v>
      </c>
      <c r="BE138" s="2">
        <f>BE100+SUM(CB101:CB138)</f>
        <v>0</v>
      </c>
      <c r="BF138" s="2">
        <f>IF(AND($AF$3&gt;0,发票登记!$T$141=$C$3,ISNUMBER(发票登记!$X$141),发票登记!$AB$141&lt;&gt;0,发票登记!$Y$141&gt;=_辅助!$J$4,发票登记!$Y$141&lt;=_辅助!$J$2),INT(发票登记!$X$141)*10000+137,"")</f>
      </c>
      <c r="BG138" s="2">
        <f>IF(AND($AF$3&gt;0,资金流水!$H$142=$C$3,ISNUMBER(资金流水!$B$142),ISNUMBER(资金流水!$S$142),资金流水!$S$142&gt;=_辅助!$J$4,资金流水!$S$142&lt;=_辅助!$J$2),INT(资金流水!$B$142)*10000+137,"")</f>
      </c>
      <c r="BJ138" s="2">
        <f>IF(103&gt;$BG$1,0,MOD(SMALL($BG$2:$BG$2001,103),10000))</f>
        <v>0</v>
      </c>
      <c r="CA138" s="2">
        <f t="shared" si="0"/>
        <v>0</v>
      </c>
      <c r="CB138" s="2">
        <f t="shared" si="1"/>
        <v>0</v>
      </c>
    </row>
    <row r="139">
      <c r="W139" s="95">
        <f t="shared" si="19"/>
      </c>
      <c r="X139" s="94">
        <f t="shared" si="25"/>
      </c>
      <c r="Y139" s="96">
        <f t="shared" si="26"/>
      </c>
      <c r="Z139" s="21">
        <f t="shared" si="20"/>
      </c>
      <c r="AA139" s="21">
        <f t="shared" si="21"/>
      </c>
      <c r="AB139" s="94">
        <f t="shared" si="27"/>
      </c>
      <c r="AC139" s="96">
        <f t="shared" si="28"/>
      </c>
      <c r="AD139" s="94">
        <f t="shared" si="29"/>
      </c>
      <c r="BA139" s="2">
        <f>IF(OR(往来单位!$B$142="",$AF$3=0),0,SUMIFS(期初余额!$R$5:$R$204,期初余额!$P$5:$P$204,往来单位!$B$142,期初余额!$Q$5:$Q$204,$C$3)+SUMIFS(应付登记!$G$5:$G$1004,应付登记!$D$5:$D$1004,往来单位!$B$142,应付登记!$E$5:$E$1004,$C$3,应付登记!$J$5:$J$1004,"&gt;="&amp;_辅助!$J$4,应付登记!$J$5:$J$1004,"&lt;="&amp;_辅助!$J$2))</f>
        <v>0</v>
      </c>
      <c r="BB139" s="2">
        <f>BB100+SUM(CA101:CA139)</f>
        <v>2</v>
      </c>
      <c r="BC139" s="2">
        <f>IF(OR(往来单位!$B$142="",$AF$3=0,NOT(OR(往来单位!$C$142="管理人员",往来单位!$C$142="工人"))),0,SUMIFS(考勤工资!$E$5:$E$1004,考勤工资!$C$5:$C$1004,往来单位!$B$142,考勤工资!$D$5:$D$1004,$C$3,考勤工资!$Y$5:$Y$1004,"&gt;="&amp;_辅助!$J$4,考勤工资!$Y$5:$Y$1004,"&lt;="&amp;_辅助!$J$2)+SUMIFS(考勤工资!$G$5:$G$1004,考勤工资!$C$5:$C$1004,往来单位!$B$142,考勤工资!$F$5:$F$1004,$C$3,考勤工资!$Y$5:$Y$1004,"&gt;="&amp;_辅助!$J$4,考勤工资!$Y$5:$Y$1004,"&lt;="&amp;_辅助!$J$2)+SUMIFS(考勤工资!$I$5:$I$1004,考勤工资!$C$5:$C$1004,往来单位!$B$142,考勤工资!$H$5:$H$1004,$C$3,考勤工资!$Y$5:$Y$1004,"&gt;="&amp;_辅助!$J$4,考勤工资!$Y$5:$Y$1004,"&lt;="&amp;_辅助!$J$2)+SUMIFS(考勤工资!$K$5:$K$1004,考勤工资!$C$5:$C$1004,往来单位!$B$142,考勤工资!$J$5:$J$1004,$C$3,考勤工资!$Y$5:$Y$1004,"&gt;="&amp;_辅助!$J$4,考勤工资!$Y$5:$Y$1004,"&lt;="&amp;_辅助!$J$2))</f>
        <v>0</v>
      </c>
      <c r="BD139" s="2">
        <f>IF(BC139=0,0,SUMIFS(考勤工资!$AC$5:$AC$1004,考勤工资!$C$5:$C$1004,往来单位!$B$142,考勤工资!$D$5:$D$1004,$C$3,考勤工资!$Y$5:$Y$1004,"&gt;="&amp;_辅助!$J$4,考勤工资!$Y$5:$Y$1004,"&lt;="&amp;_辅助!$J$2)+SUMIFS(考勤工资!$AD$5:$AD$1004,考勤工资!$C$5:$C$1004,往来单位!$B$142,考勤工资!$F$5:$F$1004,$C$3,考勤工资!$Y$5:$Y$1004,"&gt;="&amp;_辅助!$J$4,考勤工资!$Y$5:$Y$1004,"&lt;="&amp;_辅助!$J$2)+SUMIFS(考勤工资!$AE$5:$AE$1004,考勤工资!$C$5:$C$1004,往来单位!$B$142,考勤工资!$H$5:$H$1004,$C$3,考勤工资!$Y$5:$Y$1004,"&gt;="&amp;_辅助!$J$4,考勤工资!$Y$5:$Y$1004,"&lt;="&amp;_辅助!$J$2)+SUMIFS(考勤工资!$AF$5:$AF$1004,考勤工资!$C$5:$C$1004,往来单位!$B$142,考勤工资!$J$5:$J$1004,$C$3,考勤工资!$Y$5:$Y$1004,"&gt;="&amp;_辅助!$J$4,考勤工资!$Y$5:$Y$1004,"&lt;="&amp;_辅助!$J$2))</f>
        <v>0</v>
      </c>
      <c r="BE139" s="2">
        <f>BE100+SUM(CB101:CB139)</f>
        <v>0</v>
      </c>
      <c r="BF139" s="2">
        <f>IF(AND($AF$3&gt;0,发票登记!$T$142=$C$3,ISNUMBER(发票登记!$X$142),发票登记!$AB$142&lt;&gt;0,发票登记!$Y$142&gt;=_辅助!$J$4,发票登记!$Y$142&lt;=_辅助!$J$2),INT(发票登记!$X$142)*10000+138,"")</f>
      </c>
      <c r="BG139" s="2">
        <f>IF(AND($AF$3&gt;0,资金流水!$H$143=$C$3,ISNUMBER(资金流水!$B$143),ISNUMBER(资金流水!$S$143),资金流水!$S$143&gt;=_辅助!$J$4,资金流水!$S$143&lt;=_辅助!$J$2),INT(资金流水!$B$143)*10000+138,"")</f>
      </c>
      <c r="BJ139" s="2">
        <f>IF(104&gt;$BG$1,0,MOD(SMALL($BG$2:$BG$2001,104),10000))</f>
        <v>0</v>
      </c>
      <c r="CA139" s="2">
        <f t="shared" si="0"/>
        <v>0</v>
      </c>
      <c r="CB139" s="2">
        <f t="shared" si="1"/>
        <v>0</v>
      </c>
    </row>
    <row r="140">
      <c r="W140" s="95">
        <f t="shared" si="19"/>
      </c>
      <c r="X140" s="94">
        <f t="shared" si="25"/>
      </c>
      <c r="Y140" s="96">
        <f t="shared" si="26"/>
      </c>
      <c r="Z140" s="21">
        <f t="shared" si="20"/>
      </c>
      <c r="AA140" s="21">
        <f t="shared" si="21"/>
      </c>
      <c r="AB140" s="94">
        <f t="shared" si="27"/>
      </c>
      <c r="AC140" s="96">
        <f t="shared" si="28"/>
      </c>
      <c r="AD140" s="94">
        <f t="shared" si="29"/>
      </c>
      <c r="BA140" s="2">
        <f>IF(OR(往来单位!$B$143="",$AF$3=0),0,SUMIFS(期初余额!$R$5:$R$204,期初余额!$P$5:$P$204,往来单位!$B$143,期初余额!$Q$5:$Q$204,$C$3)+SUMIFS(应付登记!$G$5:$G$1004,应付登记!$D$5:$D$1004,往来单位!$B$143,应付登记!$E$5:$E$1004,$C$3,应付登记!$J$5:$J$1004,"&gt;="&amp;_辅助!$J$4,应付登记!$J$5:$J$1004,"&lt;="&amp;_辅助!$J$2))</f>
        <v>0</v>
      </c>
      <c r="BB140" s="2">
        <f>BB100+SUM(CA101:CA140)</f>
        <v>2</v>
      </c>
      <c r="BC140" s="2">
        <f>IF(OR(往来单位!$B$143="",$AF$3=0,NOT(OR(往来单位!$C$143="管理人员",往来单位!$C$143="工人"))),0,SUMIFS(考勤工资!$E$5:$E$1004,考勤工资!$C$5:$C$1004,往来单位!$B$143,考勤工资!$D$5:$D$1004,$C$3,考勤工资!$Y$5:$Y$1004,"&gt;="&amp;_辅助!$J$4,考勤工资!$Y$5:$Y$1004,"&lt;="&amp;_辅助!$J$2)+SUMIFS(考勤工资!$G$5:$G$1004,考勤工资!$C$5:$C$1004,往来单位!$B$143,考勤工资!$F$5:$F$1004,$C$3,考勤工资!$Y$5:$Y$1004,"&gt;="&amp;_辅助!$J$4,考勤工资!$Y$5:$Y$1004,"&lt;="&amp;_辅助!$J$2)+SUMIFS(考勤工资!$I$5:$I$1004,考勤工资!$C$5:$C$1004,往来单位!$B$143,考勤工资!$H$5:$H$1004,$C$3,考勤工资!$Y$5:$Y$1004,"&gt;="&amp;_辅助!$J$4,考勤工资!$Y$5:$Y$1004,"&lt;="&amp;_辅助!$J$2)+SUMIFS(考勤工资!$K$5:$K$1004,考勤工资!$C$5:$C$1004,往来单位!$B$143,考勤工资!$J$5:$J$1004,$C$3,考勤工资!$Y$5:$Y$1004,"&gt;="&amp;_辅助!$J$4,考勤工资!$Y$5:$Y$1004,"&lt;="&amp;_辅助!$J$2))</f>
        <v>0</v>
      </c>
      <c r="BD140" s="2">
        <f>IF(BC140=0,0,SUMIFS(考勤工资!$AC$5:$AC$1004,考勤工资!$C$5:$C$1004,往来单位!$B$143,考勤工资!$D$5:$D$1004,$C$3,考勤工资!$Y$5:$Y$1004,"&gt;="&amp;_辅助!$J$4,考勤工资!$Y$5:$Y$1004,"&lt;="&amp;_辅助!$J$2)+SUMIFS(考勤工资!$AD$5:$AD$1004,考勤工资!$C$5:$C$1004,往来单位!$B$143,考勤工资!$F$5:$F$1004,$C$3,考勤工资!$Y$5:$Y$1004,"&gt;="&amp;_辅助!$J$4,考勤工资!$Y$5:$Y$1004,"&lt;="&amp;_辅助!$J$2)+SUMIFS(考勤工资!$AE$5:$AE$1004,考勤工资!$C$5:$C$1004,往来单位!$B$143,考勤工资!$H$5:$H$1004,$C$3,考勤工资!$Y$5:$Y$1004,"&gt;="&amp;_辅助!$J$4,考勤工资!$Y$5:$Y$1004,"&lt;="&amp;_辅助!$J$2)+SUMIFS(考勤工资!$AF$5:$AF$1004,考勤工资!$C$5:$C$1004,往来单位!$B$143,考勤工资!$J$5:$J$1004,$C$3,考勤工资!$Y$5:$Y$1004,"&gt;="&amp;_辅助!$J$4,考勤工资!$Y$5:$Y$1004,"&lt;="&amp;_辅助!$J$2))</f>
        <v>0</v>
      </c>
      <c r="BE140" s="2">
        <f>BE100+SUM(CB101:CB140)</f>
        <v>0</v>
      </c>
      <c r="BF140" s="2">
        <f>IF(AND($AF$3&gt;0,发票登记!$T$143=$C$3,ISNUMBER(发票登记!$X$143),发票登记!$AB$143&lt;&gt;0,发票登记!$Y$143&gt;=_辅助!$J$4,发票登记!$Y$143&lt;=_辅助!$J$2),INT(发票登记!$X$143)*10000+139,"")</f>
      </c>
      <c r="BG140" s="2">
        <f>IF(AND($AF$3&gt;0,资金流水!$H$144=$C$3,ISNUMBER(资金流水!$B$144),ISNUMBER(资金流水!$S$144),资金流水!$S$144&gt;=_辅助!$J$4,资金流水!$S$144&lt;=_辅助!$J$2),INT(资金流水!$B$144)*10000+139,"")</f>
      </c>
      <c r="BJ140" s="2">
        <f>IF(105&gt;$BG$1,0,MOD(SMALL($BG$2:$BG$2001,105),10000))</f>
        <v>0</v>
      </c>
      <c r="CA140" s="2">
        <f t="shared" si="0"/>
        <v>0</v>
      </c>
      <c r="CB140" s="2">
        <f t="shared" si="1"/>
        <v>0</v>
      </c>
    </row>
    <row r="141">
      <c r="W141" s="95">
        <f t="shared" si="19"/>
      </c>
      <c r="X141" s="94">
        <f t="shared" si="25"/>
      </c>
      <c r="Y141" s="96">
        <f t="shared" si="26"/>
      </c>
      <c r="Z141" s="21">
        <f t="shared" si="20"/>
      </c>
      <c r="AA141" s="21">
        <f t="shared" si="21"/>
      </c>
      <c r="AB141" s="94">
        <f t="shared" si="27"/>
      </c>
      <c r="AC141" s="96">
        <f t="shared" si="28"/>
      </c>
      <c r="AD141" s="94">
        <f t="shared" si="29"/>
      </c>
      <c r="BA141" s="2">
        <f>IF(OR(往来单位!$B$144="",$AF$3=0),0,SUMIFS(期初余额!$R$5:$R$204,期初余额!$P$5:$P$204,往来单位!$B$144,期初余额!$Q$5:$Q$204,$C$3)+SUMIFS(应付登记!$G$5:$G$1004,应付登记!$D$5:$D$1004,往来单位!$B$144,应付登记!$E$5:$E$1004,$C$3,应付登记!$J$5:$J$1004,"&gt;="&amp;_辅助!$J$4,应付登记!$J$5:$J$1004,"&lt;="&amp;_辅助!$J$2))</f>
        <v>0</v>
      </c>
      <c r="BB141" s="2">
        <f>BB100+SUM(CA101:CA141)</f>
        <v>2</v>
      </c>
      <c r="BC141" s="2">
        <f>IF(OR(往来单位!$B$144="",$AF$3=0,NOT(OR(往来单位!$C$144="管理人员",往来单位!$C$144="工人"))),0,SUMIFS(考勤工资!$E$5:$E$1004,考勤工资!$C$5:$C$1004,往来单位!$B$144,考勤工资!$D$5:$D$1004,$C$3,考勤工资!$Y$5:$Y$1004,"&gt;="&amp;_辅助!$J$4,考勤工资!$Y$5:$Y$1004,"&lt;="&amp;_辅助!$J$2)+SUMIFS(考勤工资!$G$5:$G$1004,考勤工资!$C$5:$C$1004,往来单位!$B$144,考勤工资!$F$5:$F$1004,$C$3,考勤工资!$Y$5:$Y$1004,"&gt;="&amp;_辅助!$J$4,考勤工资!$Y$5:$Y$1004,"&lt;="&amp;_辅助!$J$2)+SUMIFS(考勤工资!$I$5:$I$1004,考勤工资!$C$5:$C$1004,往来单位!$B$144,考勤工资!$H$5:$H$1004,$C$3,考勤工资!$Y$5:$Y$1004,"&gt;="&amp;_辅助!$J$4,考勤工资!$Y$5:$Y$1004,"&lt;="&amp;_辅助!$J$2)+SUMIFS(考勤工资!$K$5:$K$1004,考勤工资!$C$5:$C$1004,往来单位!$B$144,考勤工资!$J$5:$J$1004,$C$3,考勤工资!$Y$5:$Y$1004,"&gt;="&amp;_辅助!$J$4,考勤工资!$Y$5:$Y$1004,"&lt;="&amp;_辅助!$J$2))</f>
        <v>0</v>
      </c>
      <c r="BD141" s="2">
        <f>IF(BC141=0,0,SUMIFS(考勤工资!$AC$5:$AC$1004,考勤工资!$C$5:$C$1004,往来单位!$B$144,考勤工资!$D$5:$D$1004,$C$3,考勤工资!$Y$5:$Y$1004,"&gt;="&amp;_辅助!$J$4,考勤工资!$Y$5:$Y$1004,"&lt;="&amp;_辅助!$J$2)+SUMIFS(考勤工资!$AD$5:$AD$1004,考勤工资!$C$5:$C$1004,往来单位!$B$144,考勤工资!$F$5:$F$1004,$C$3,考勤工资!$Y$5:$Y$1004,"&gt;="&amp;_辅助!$J$4,考勤工资!$Y$5:$Y$1004,"&lt;="&amp;_辅助!$J$2)+SUMIFS(考勤工资!$AE$5:$AE$1004,考勤工资!$C$5:$C$1004,往来单位!$B$144,考勤工资!$H$5:$H$1004,$C$3,考勤工资!$Y$5:$Y$1004,"&gt;="&amp;_辅助!$J$4,考勤工资!$Y$5:$Y$1004,"&lt;="&amp;_辅助!$J$2)+SUMIFS(考勤工资!$AF$5:$AF$1004,考勤工资!$C$5:$C$1004,往来单位!$B$144,考勤工资!$J$5:$J$1004,$C$3,考勤工资!$Y$5:$Y$1004,"&gt;="&amp;_辅助!$J$4,考勤工资!$Y$5:$Y$1004,"&lt;="&amp;_辅助!$J$2))</f>
        <v>0</v>
      </c>
      <c r="BE141" s="2">
        <f>BE100+SUM(CB101:CB141)</f>
        <v>0</v>
      </c>
      <c r="BF141" s="2">
        <f>IF(AND($AF$3&gt;0,发票登记!$T$144=$C$3,ISNUMBER(发票登记!$X$144),发票登记!$AB$144&lt;&gt;0,发票登记!$Y$144&gt;=_辅助!$J$4,发票登记!$Y$144&lt;=_辅助!$J$2),INT(发票登记!$X$144)*10000+140,"")</f>
      </c>
      <c r="BG141" s="2">
        <f>IF(AND($AF$3&gt;0,资金流水!$H$145=$C$3,ISNUMBER(资金流水!$B$145),ISNUMBER(资金流水!$S$145),资金流水!$S$145&gt;=_辅助!$J$4,资金流水!$S$145&lt;=_辅助!$J$2),INT(资金流水!$B$145)*10000+140,"")</f>
      </c>
      <c r="BJ141" s="2">
        <f>IF(106&gt;$BG$1,0,MOD(SMALL($BG$2:$BG$2001,106),10000))</f>
        <v>0</v>
      </c>
      <c r="CA141" s="2">
        <f t="shared" si="0"/>
        <v>0</v>
      </c>
      <c r="CB141" s="2">
        <f t="shared" si="1"/>
        <v>0</v>
      </c>
    </row>
    <row r="142">
      <c r="W142" s="95">
        <f t="shared" si="19"/>
      </c>
      <c r="X142" s="94">
        <f t="shared" si="25"/>
      </c>
      <c r="Y142" s="96">
        <f t="shared" si="26"/>
      </c>
      <c r="Z142" s="21">
        <f t="shared" si="20"/>
      </c>
      <c r="AA142" s="21">
        <f t="shared" si="21"/>
      </c>
      <c r="AB142" s="94">
        <f t="shared" si="27"/>
      </c>
      <c r="AC142" s="96">
        <f t="shared" si="28"/>
      </c>
      <c r="AD142" s="94">
        <f t="shared" si="29"/>
      </c>
      <c r="BA142" s="2">
        <f>IF(OR(往来单位!$B$145="",$AF$3=0),0,SUMIFS(期初余额!$R$5:$R$204,期初余额!$P$5:$P$204,往来单位!$B$145,期初余额!$Q$5:$Q$204,$C$3)+SUMIFS(应付登记!$G$5:$G$1004,应付登记!$D$5:$D$1004,往来单位!$B$145,应付登记!$E$5:$E$1004,$C$3,应付登记!$J$5:$J$1004,"&gt;="&amp;_辅助!$J$4,应付登记!$J$5:$J$1004,"&lt;="&amp;_辅助!$J$2))</f>
        <v>0</v>
      </c>
      <c r="BB142" s="2">
        <f>BB100+SUM(CA101:CA142)</f>
        <v>2</v>
      </c>
      <c r="BC142" s="2">
        <f>IF(OR(往来单位!$B$145="",$AF$3=0,NOT(OR(往来单位!$C$145="管理人员",往来单位!$C$145="工人"))),0,SUMIFS(考勤工资!$E$5:$E$1004,考勤工资!$C$5:$C$1004,往来单位!$B$145,考勤工资!$D$5:$D$1004,$C$3,考勤工资!$Y$5:$Y$1004,"&gt;="&amp;_辅助!$J$4,考勤工资!$Y$5:$Y$1004,"&lt;="&amp;_辅助!$J$2)+SUMIFS(考勤工资!$G$5:$G$1004,考勤工资!$C$5:$C$1004,往来单位!$B$145,考勤工资!$F$5:$F$1004,$C$3,考勤工资!$Y$5:$Y$1004,"&gt;="&amp;_辅助!$J$4,考勤工资!$Y$5:$Y$1004,"&lt;="&amp;_辅助!$J$2)+SUMIFS(考勤工资!$I$5:$I$1004,考勤工资!$C$5:$C$1004,往来单位!$B$145,考勤工资!$H$5:$H$1004,$C$3,考勤工资!$Y$5:$Y$1004,"&gt;="&amp;_辅助!$J$4,考勤工资!$Y$5:$Y$1004,"&lt;="&amp;_辅助!$J$2)+SUMIFS(考勤工资!$K$5:$K$1004,考勤工资!$C$5:$C$1004,往来单位!$B$145,考勤工资!$J$5:$J$1004,$C$3,考勤工资!$Y$5:$Y$1004,"&gt;="&amp;_辅助!$J$4,考勤工资!$Y$5:$Y$1004,"&lt;="&amp;_辅助!$J$2))</f>
        <v>0</v>
      </c>
      <c r="BD142" s="2">
        <f>IF(BC142=0,0,SUMIFS(考勤工资!$AC$5:$AC$1004,考勤工资!$C$5:$C$1004,往来单位!$B$145,考勤工资!$D$5:$D$1004,$C$3,考勤工资!$Y$5:$Y$1004,"&gt;="&amp;_辅助!$J$4,考勤工资!$Y$5:$Y$1004,"&lt;="&amp;_辅助!$J$2)+SUMIFS(考勤工资!$AD$5:$AD$1004,考勤工资!$C$5:$C$1004,往来单位!$B$145,考勤工资!$F$5:$F$1004,$C$3,考勤工资!$Y$5:$Y$1004,"&gt;="&amp;_辅助!$J$4,考勤工资!$Y$5:$Y$1004,"&lt;="&amp;_辅助!$J$2)+SUMIFS(考勤工资!$AE$5:$AE$1004,考勤工资!$C$5:$C$1004,往来单位!$B$145,考勤工资!$H$5:$H$1004,$C$3,考勤工资!$Y$5:$Y$1004,"&gt;="&amp;_辅助!$J$4,考勤工资!$Y$5:$Y$1004,"&lt;="&amp;_辅助!$J$2)+SUMIFS(考勤工资!$AF$5:$AF$1004,考勤工资!$C$5:$C$1004,往来单位!$B$145,考勤工资!$J$5:$J$1004,$C$3,考勤工资!$Y$5:$Y$1004,"&gt;="&amp;_辅助!$J$4,考勤工资!$Y$5:$Y$1004,"&lt;="&amp;_辅助!$J$2))</f>
        <v>0</v>
      </c>
      <c r="BE142" s="2">
        <f>BE100+SUM(CB101:CB142)</f>
        <v>0</v>
      </c>
      <c r="BF142" s="2">
        <f>IF(AND($AF$3&gt;0,发票登记!$T$145=$C$3,ISNUMBER(发票登记!$X$145),发票登记!$AB$145&lt;&gt;0,发票登记!$Y$145&gt;=_辅助!$J$4,发票登记!$Y$145&lt;=_辅助!$J$2),INT(发票登记!$X$145)*10000+141,"")</f>
      </c>
      <c r="BG142" s="2">
        <f>IF(AND($AF$3&gt;0,资金流水!$H$146=$C$3,ISNUMBER(资金流水!$B$146),ISNUMBER(资金流水!$S$146),资金流水!$S$146&gt;=_辅助!$J$4,资金流水!$S$146&lt;=_辅助!$J$2),INT(资金流水!$B$146)*10000+141,"")</f>
      </c>
      <c r="BJ142" s="2">
        <f>IF(107&gt;$BG$1,0,MOD(SMALL($BG$2:$BG$2001,107),10000))</f>
        <v>0</v>
      </c>
      <c r="CA142" s="2">
        <f t="shared" si="0"/>
        <v>0</v>
      </c>
      <c r="CB142" s="2">
        <f t="shared" si="1"/>
        <v>0</v>
      </c>
    </row>
    <row r="143">
      <c r="W143" s="95">
        <f t="shared" si="19"/>
      </c>
      <c r="X143" s="94">
        <f t="shared" si="25"/>
      </c>
      <c r="Y143" s="96">
        <f t="shared" si="26"/>
      </c>
      <c r="Z143" s="21">
        <f t="shared" si="20"/>
      </c>
      <c r="AA143" s="21">
        <f t="shared" si="21"/>
      </c>
      <c r="AB143" s="94">
        <f t="shared" si="27"/>
      </c>
      <c r="AC143" s="96">
        <f t="shared" si="28"/>
      </c>
      <c r="AD143" s="94">
        <f t="shared" si="29"/>
      </c>
      <c r="BA143" s="2">
        <f>IF(OR(往来单位!$B$146="",$AF$3=0),0,SUMIFS(期初余额!$R$5:$R$204,期初余额!$P$5:$P$204,往来单位!$B$146,期初余额!$Q$5:$Q$204,$C$3)+SUMIFS(应付登记!$G$5:$G$1004,应付登记!$D$5:$D$1004,往来单位!$B$146,应付登记!$E$5:$E$1004,$C$3,应付登记!$J$5:$J$1004,"&gt;="&amp;_辅助!$J$4,应付登记!$J$5:$J$1004,"&lt;="&amp;_辅助!$J$2))</f>
        <v>0</v>
      </c>
      <c r="BB143" s="2">
        <f>BB100+SUM(CA101:CA143)</f>
        <v>2</v>
      </c>
      <c r="BC143" s="2">
        <f>IF(OR(往来单位!$B$146="",$AF$3=0,NOT(OR(往来单位!$C$146="管理人员",往来单位!$C$146="工人"))),0,SUMIFS(考勤工资!$E$5:$E$1004,考勤工资!$C$5:$C$1004,往来单位!$B$146,考勤工资!$D$5:$D$1004,$C$3,考勤工资!$Y$5:$Y$1004,"&gt;="&amp;_辅助!$J$4,考勤工资!$Y$5:$Y$1004,"&lt;="&amp;_辅助!$J$2)+SUMIFS(考勤工资!$G$5:$G$1004,考勤工资!$C$5:$C$1004,往来单位!$B$146,考勤工资!$F$5:$F$1004,$C$3,考勤工资!$Y$5:$Y$1004,"&gt;="&amp;_辅助!$J$4,考勤工资!$Y$5:$Y$1004,"&lt;="&amp;_辅助!$J$2)+SUMIFS(考勤工资!$I$5:$I$1004,考勤工资!$C$5:$C$1004,往来单位!$B$146,考勤工资!$H$5:$H$1004,$C$3,考勤工资!$Y$5:$Y$1004,"&gt;="&amp;_辅助!$J$4,考勤工资!$Y$5:$Y$1004,"&lt;="&amp;_辅助!$J$2)+SUMIFS(考勤工资!$K$5:$K$1004,考勤工资!$C$5:$C$1004,往来单位!$B$146,考勤工资!$J$5:$J$1004,$C$3,考勤工资!$Y$5:$Y$1004,"&gt;="&amp;_辅助!$J$4,考勤工资!$Y$5:$Y$1004,"&lt;="&amp;_辅助!$J$2))</f>
        <v>0</v>
      </c>
      <c r="BD143" s="2">
        <f>IF(BC143=0,0,SUMIFS(考勤工资!$AC$5:$AC$1004,考勤工资!$C$5:$C$1004,往来单位!$B$146,考勤工资!$D$5:$D$1004,$C$3,考勤工资!$Y$5:$Y$1004,"&gt;="&amp;_辅助!$J$4,考勤工资!$Y$5:$Y$1004,"&lt;="&amp;_辅助!$J$2)+SUMIFS(考勤工资!$AD$5:$AD$1004,考勤工资!$C$5:$C$1004,往来单位!$B$146,考勤工资!$F$5:$F$1004,$C$3,考勤工资!$Y$5:$Y$1004,"&gt;="&amp;_辅助!$J$4,考勤工资!$Y$5:$Y$1004,"&lt;="&amp;_辅助!$J$2)+SUMIFS(考勤工资!$AE$5:$AE$1004,考勤工资!$C$5:$C$1004,往来单位!$B$146,考勤工资!$H$5:$H$1004,$C$3,考勤工资!$Y$5:$Y$1004,"&gt;="&amp;_辅助!$J$4,考勤工资!$Y$5:$Y$1004,"&lt;="&amp;_辅助!$J$2)+SUMIFS(考勤工资!$AF$5:$AF$1004,考勤工资!$C$5:$C$1004,往来单位!$B$146,考勤工资!$J$5:$J$1004,$C$3,考勤工资!$Y$5:$Y$1004,"&gt;="&amp;_辅助!$J$4,考勤工资!$Y$5:$Y$1004,"&lt;="&amp;_辅助!$J$2))</f>
        <v>0</v>
      </c>
      <c r="BE143" s="2">
        <f>BE100+SUM(CB101:CB143)</f>
        <v>0</v>
      </c>
      <c r="BF143" s="2">
        <f>IF(AND($AF$3&gt;0,发票登记!$T$146=$C$3,ISNUMBER(发票登记!$X$146),发票登记!$AB$146&lt;&gt;0,发票登记!$Y$146&gt;=_辅助!$J$4,发票登记!$Y$146&lt;=_辅助!$J$2),INT(发票登记!$X$146)*10000+142,"")</f>
      </c>
      <c r="BG143" s="2">
        <f>IF(AND($AF$3&gt;0,资金流水!$H$147=$C$3,ISNUMBER(资金流水!$B$147),ISNUMBER(资金流水!$S$147),资金流水!$S$147&gt;=_辅助!$J$4,资金流水!$S$147&lt;=_辅助!$J$2),INT(资金流水!$B$147)*10000+142,"")</f>
      </c>
      <c r="BJ143" s="2">
        <f>IF(108&gt;$BG$1,0,MOD(SMALL($BG$2:$BG$2001,108),10000))</f>
        <v>0</v>
      </c>
      <c r="CA143" s="2">
        <f t="shared" si="0"/>
        <v>0</v>
      </c>
      <c r="CB143" s="2">
        <f t="shared" si="1"/>
        <v>0</v>
      </c>
    </row>
    <row r="144">
      <c r="W144" s="95">
        <f t="shared" si="19"/>
      </c>
      <c r="X144" s="94">
        <f t="shared" si="25"/>
      </c>
      <c r="Y144" s="96">
        <f t="shared" si="26"/>
      </c>
      <c r="Z144" s="21">
        <f t="shared" si="20"/>
      </c>
      <c r="AA144" s="21">
        <f t="shared" si="21"/>
      </c>
      <c r="AB144" s="94">
        <f t="shared" si="27"/>
      </c>
      <c r="AC144" s="96">
        <f t="shared" si="28"/>
      </c>
      <c r="AD144" s="94">
        <f t="shared" si="29"/>
      </c>
      <c r="BA144" s="2">
        <f>IF(OR(往来单位!$B$147="",$AF$3=0),0,SUMIFS(期初余额!$R$5:$R$204,期初余额!$P$5:$P$204,往来单位!$B$147,期初余额!$Q$5:$Q$204,$C$3)+SUMIFS(应付登记!$G$5:$G$1004,应付登记!$D$5:$D$1004,往来单位!$B$147,应付登记!$E$5:$E$1004,$C$3,应付登记!$J$5:$J$1004,"&gt;="&amp;_辅助!$J$4,应付登记!$J$5:$J$1004,"&lt;="&amp;_辅助!$J$2))</f>
        <v>0</v>
      </c>
      <c r="BB144" s="2">
        <f>BB100+SUM(CA101:CA144)</f>
        <v>2</v>
      </c>
      <c r="BC144" s="2">
        <f>IF(OR(往来单位!$B$147="",$AF$3=0,NOT(OR(往来单位!$C$147="管理人员",往来单位!$C$147="工人"))),0,SUMIFS(考勤工资!$E$5:$E$1004,考勤工资!$C$5:$C$1004,往来单位!$B$147,考勤工资!$D$5:$D$1004,$C$3,考勤工资!$Y$5:$Y$1004,"&gt;="&amp;_辅助!$J$4,考勤工资!$Y$5:$Y$1004,"&lt;="&amp;_辅助!$J$2)+SUMIFS(考勤工资!$G$5:$G$1004,考勤工资!$C$5:$C$1004,往来单位!$B$147,考勤工资!$F$5:$F$1004,$C$3,考勤工资!$Y$5:$Y$1004,"&gt;="&amp;_辅助!$J$4,考勤工资!$Y$5:$Y$1004,"&lt;="&amp;_辅助!$J$2)+SUMIFS(考勤工资!$I$5:$I$1004,考勤工资!$C$5:$C$1004,往来单位!$B$147,考勤工资!$H$5:$H$1004,$C$3,考勤工资!$Y$5:$Y$1004,"&gt;="&amp;_辅助!$J$4,考勤工资!$Y$5:$Y$1004,"&lt;="&amp;_辅助!$J$2)+SUMIFS(考勤工资!$K$5:$K$1004,考勤工资!$C$5:$C$1004,往来单位!$B$147,考勤工资!$J$5:$J$1004,$C$3,考勤工资!$Y$5:$Y$1004,"&gt;="&amp;_辅助!$J$4,考勤工资!$Y$5:$Y$1004,"&lt;="&amp;_辅助!$J$2))</f>
        <v>0</v>
      </c>
      <c r="BD144" s="2">
        <f>IF(BC144=0,0,SUMIFS(考勤工资!$AC$5:$AC$1004,考勤工资!$C$5:$C$1004,往来单位!$B$147,考勤工资!$D$5:$D$1004,$C$3,考勤工资!$Y$5:$Y$1004,"&gt;="&amp;_辅助!$J$4,考勤工资!$Y$5:$Y$1004,"&lt;="&amp;_辅助!$J$2)+SUMIFS(考勤工资!$AD$5:$AD$1004,考勤工资!$C$5:$C$1004,往来单位!$B$147,考勤工资!$F$5:$F$1004,$C$3,考勤工资!$Y$5:$Y$1004,"&gt;="&amp;_辅助!$J$4,考勤工资!$Y$5:$Y$1004,"&lt;="&amp;_辅助!$J$2)+SUMIFS(考勤工资!$AE$5:$AE$1004,考勤工资!$C$5:$C$1004,往来单位!$B$147,考勤工资!$H$5:$H$1004,$C$3,考勤工资!$Y$5:$Y$1004,"&gt;="&amp;_辅助!$J$4,考勤工资!$Y$5:$Y$1004,"&lt;="&amp;_辅助!$J$2)+SUMIFS(考勤工资!$AF$5:$AF$1004,考勤工资!$C$5:$C$1004,往来单位!$B$147,考勤工资!$J$5:$J$1004,$C$3,考勤工资!$Y$5:$Y$1004,"&gt;="&amp;_辅助!$J$4,考勤工资!$Y$5:$Y$1004,"&lt;="&amp;_辅助!$J$2))</f>
        <v>0</v>
      </c>
      <c r="BE144" s="2">
        <f>BE100+SUM(CB101:CB144)</f>
        <v>0</v>
      </c>
      <c r="BF144" s="2">
        <f>IF(AND($AF$3&gt;0,发票登记!$T$147=$C$3,ISNUMBER(发票登记!$X$147),发票登记!$AB$147&lt;&gt;0,发票登记!$Y$147&gt;=_辅助!$J$4,发票登记!$Y$147&lt;=_辅助!$J$2),INT(发票登记!$X$147)*10000+143,"")</f>
      </c>
      <c r="BG144" s="2">
        <f>IF(AND($AF$3&gt;0,资金流水!$H$148=$C$3,ISNUMBER(资金流水!$B$148),ISNUMBER(资金流水!$S$148),资金流水!$S$148&gt;=_辅助!$J$4,资金流水!$S$148&lt;=_辅助!$J$2),INT(资金流水!$B$148)*10000+143,"")</f>
      </c>
      <c r="BJ144" s="2">
        <f>IF(109&gt;$BG$1,0,MOD(SMALL($BG$2:$BG$2001,109),10000))</f>
        <v>0</v>
      </c>
      <c r="CA144" s="2">
        <f t="shared" si="0"/>
        <v>0</v>
      </c>
      <c r="CB144" s="2">
        <f t="shared" si="1"/>
        <v>0</v>
      </c>
    </row>
    <row r="145">
      <c r="W145" s="95">
        <f t="shared" si="19"/>
      </c>
      <c r="X145" s="94">
        <f t="shared" si="25"/>
      </c>
      <c r="Y145" s="96">
        <f t="shared" si="26"/>
      </c>
      <c r="Z145" s="21">
        <f t="shared" si="20"/>
      </c>
      <c r="AA145" s="21">
        <f t="shared" si="21"/>
      </c>
      <c r="AB145" s="94">
        <f t="shared" si="27"/>
      </c>
      <c r="AC145" s="96">
        <f t="shared" si="28"/>
      </c>
      <c r="AD145" s="94">
        <f t="shared" si="29"/>
      </c>
      <c r="BA145" s="2">
        <f>IF(OR(往来单位!$B$148="",$AF$3=0),0,SUMIFS(期初余额!$R$5:$R$204,期初余额!$P$5:$P$204,往来单位!$B$148,期初余额!$Q$5:$Q$204,$C$3)+SUMIFS(应付登记!$G$5:$G$1004,应付登记!$D$5:$D$1004,往来单位!$B$148,应付登记!$E$5:$E$1004,$C$3,应付登记!$J$5:$J$1004,"&gt;="&amp;_辅助!$J$4,应付登记!$J$5:$J$1004,"&lt;="&amp;_辅助!$J$2))</f>
        <v>0</v>
      </c>
      <c r="BB145" s="2">
        <f>BB100+SUM(CA101:CA145)</f>
        <v>2</v>
      </c>
      <c r="BC145" s="2">
        <f>IF(OR(往来单位!$B$148="",$AF$3=0,NOT(OR(往来单位!$C$148="管理人员",往来单位!$C$148="工人"))),0,SUMIFS(考勤工资!$E$5:$E$1004,考勤工资!$C$5:$C$1004,往来单位!$B$148,考勤工资!$D$5:$D$1004,$C$3,考勤工资!$Y$5:$Y$1004,"&gt;="&amp;_辅助!$J$4,考勤工资!$Y$5:$Y$1004,"&lt;="&amp;_辅助!$J$2)+SUMIFS(考勤工资!$G$5:$G$1004,考勤工资!$C$5:$C$1004,往来单位!$B$148,考勤工资!$F$5:$F$1004,$C$3,考勤工资!$Y$5:$Y$1004,"&gt;="&amp;_辅助!$J$4,考勤工资!$Y$5:$Y$1004,"&lt;="&amp;_辅助!$J$2)+SUMIFS(考勤工资!$I$5:$I$1004,考勤工资!$C$5:$C$1004,往来单位!$B$148,考勤工资!$H$5:$H$1004,$C$3,考勤工资!$Y$5:$Y$1004,"&gt;="&amp;_辅助!$J$4,考勤工资!$Y$5:$Y$1004,"&lt;="&amp;_辅助!$J$2)+SUMIFS(考勤工资!$K$5:$K$1004,考勤工资!$C$5:$C$1004,往来单位!$B$148,考勤工资!$J$5:$J$1004,$C$3,考勤工资!$Y$5:$Y$1004,"&gt;="&amp;_辅助!$J$4,考勤工资!$Y$5:$Y$1004,"&lt;="&amp;_辅助!$J$2))</f>
        <v>0</v>
      </c>
      <c r="BD145" s="2">
        <f>IF(BC145=0,0,SUMIFS(考勤工资!$AC$5:$AC$1004,考勤工资!$C$5:$C$1004,往来单位!$B$148,考勤工资!$D$5:$D$1004,$C$3,考勤工资!$Y$5:$Y$1004,"&gt;="&amp;_辅助!$J$4,考勤工资!$Y$5:$Y$1004,"&lt;="&amp;_辅助!$J$2)+SUMIFS(考勤工资!$AD$5:$AD$1004,考勤工资!$C$5:$C$1004,往来单位!$B$148,考勤工资!$F$5:$F$1004,$C$3,考勤工资!$Y$5:$Y$1004,"&gt;="&amp;_辅助!$J$4,考勤工资!$Y$5:$Y$1004,"&lt;="&amp;_辅助!$J$2)+SUMIFS(考勤工资!$AE$5:$AE$1004,考勤工资!$C$5:$C$1004,往来单位!$B$148,考勤工资!$H$5:$H$1004,$C$3,考勤工资!$Y$5:$Y$1004,"&gt;="&amp;_辅助!$J$4,考勤工资!$Y$5:$Y$1004,"&lt;="&amp;_辅助!$J$2)+SUMIFS(考勤工资!$AF$5:$AF$1004,考勤工资!$C$5:$C$1004,往来单位!$B$148,考勤工资!$J$5:$J$1004,$C$3,考勤工资!$Y$5:$Y$1004,"&gt;="&amp;_辅助!$J$4,考勤工资!$Y$5:$Y$1004,"&lt;="&amp;_辅助!$J$2))</f>
        <v>0</v>
      </c>
      <c r="BE145" s="2">
        <f>BE100+SUM(CB101:CB145)</f>
        <v>0</v>
      </c>
      <c r="BF145" s="2">
        <f>IF(AND($AF$3&gt;0,发票登记!$T$148=$C$3,ISNUMBER(发票登记!$X$148),发票登记!$AB$148&lt;&gt;0,发票登记!$Y$148&gt;=_辅助!$J$4,发票登记!$Y$148&lt;=_辅助!$J$2),INT(发票登记!$X$148)*10000+144,"")</f>
      </c>
      <c r="BG145" s="2">
        <f>IF(AND($AF$3&gt;0,资金流水!$H$149=$C$3,ISNUMBER(资金流水!$B$149),ISNUMBER(资金流水!$S$149),资金流水!$S$149&gt;=_辅助!$J$4,资金流水!$S$149&lt;=_辅助!$J$2),INT(资金流水!$B$149)*10000+144,"")</f>
      </c>
      <c r="BJ145" s="2">
        <f>IF(110&gt;$BG$1,0,MOD(SMALL($BG$2:$BG$2001,110),10000))</f>
        <v>0</v>
      </c>
      <c r="CA145" s="2">
        <f t="shared" si="0"/>
        <v>0</v>
      </c>
      <c r="CB145" s="2">
        <f t="shared" si="1"/>
        <v>0</v>
      </c>
    </row>
    <row r="146">
      <c r="W146" s="95">
        <f t="shared" si="19"/>
      </c>
      <c r="X146" s="94">
        <f t="shared" si="25"/>
      </c>
      <c r="Y146" s="96">
        <f t="shared" si="26"/>
      </c>
      <c r="Z146" s="21">
        <f t="shared" si="20"/>
      </c>
      <c r="AA146" s="21">
        <f t="shared" si="21"/>
      </c>
      <c r="AB146" s="94">
        <f t="shared" si="27"/>
      </c>
      <c r="AC146" s="96">
        <f t="shared" si="28"/>
      </c>
      <c r="AD146" s="94">
        <f t="shared" si="29"/>
      </c>
      <c r="BA146" s="2">
        <f>IF(OR(往来单位!$B$149="",$AF$3=0),0,SUMIFS(期初余额!$R$5:$R$204,期初余额!$P$5:$P$204,往来单位!$B$149,期初余额!$Q$5:$Q$204,$C$3)+SUMIFS(应付登记!$G$5:$G$1004,应付登记!$D$5:$D$1004,往来单位!$B$149,应付登记!$E$5:$E$1004,$C$3,应付登记!$J$5:$J$1004,"&gt;="&amp;_辅助!$J$4,应付登记!$J$5:$J$1004,"&lt;="&amp;_辅助!$J$2))</f>
        <v>0</v>
      </c>
      <c r="BB146" s="2">
        <f>BB100+SUM(CA101:CA146)</f>
        <v>2</v>
      </c>
      <c r="BC146" s="2">
        <f>IF(OR(往来单位!$B$149="",$AF$3=0,NOT(OR(往来单位!$C$149="管理人员",往来单位!$C$149="工人"))),0,SUMIFS(考勤工资!$E$5:$E$1004,考勤工资!$C$5:$C$1004,往来单位!$B$149,考勤工资!$D$5:$D$1004,$C$3,考勤工资!$Y$5:$Y$1004,"&gt;="&amp;_辅助!$J$4,考勤工资!$Y$5:$Y$1004,"&lt;="&amp;_辅助!$J$2)+SUMIFS(考勤工资!$G$5:$G$1004,考勤工资!$C$5:$C$1004,往来单位!$B$149,考勤工资!$F$5:$F$1004,$C$3,考勤工资!$Y$5:$Y$1004,"&gt;="&amp;_辅助!$J$4,考勤工资!$Y$5:$Y$1004,"&lt;="&amp;_辅助!$J$2)+SUMIFS(考勤工资!$I$5:$I$1004,考勤工资!$C$5:$C$1004,往来单位!$B$149,考勤工资!$H$5:$H$1004,$C$3,考勤工资!$Y$5:$Y$1004,"&gt;="&amp;_辅助!$J$4,考勤工资!$Y$5:$Y$1004,"&lt;="&amp;_辅助!$J$2)+SUMIFS(考勤工资!$K$5:$K$1004,考勤工资!$C$5:$C$1004,往来单位!$B$149,考勤工资!$J$5:$J$1004,$C$3,考勤工资!$Y$5:$Y$1004,"&gt;="&amp;_辅助!$J$4,考勤工资!$Y$5:$Y$1004,"&lt;="&amp;_辅助!$J$2))</f>
        <v>0</v>
      </c>
      <c r="BD146" s="2">
        <f>IF(BC146=0,0,SUMIFS(考勤工资!$AC$5:$AC$1004,考勤工资!$C$5:$C$1004,往来单位!$B$149,考勤工资!$D$5:$D$1004,$C$3,考勤工资!$Y$5:$Y$1004,"&gt;="&amp;_辅助!$J$4,考勤工资!$Y$5:$Y$1004,"&lt;="&amp;_辅助!$J$2)+SUMIFS(考勤工资!$AD$5:$AD$1004,考勤工资!$C$5:$C$1004,往来单位!$B$149,考勤工资!$F$5:$F$1004,$C$3,考勤工资!$Y$5:$Y$1004,"&gt;="&amp;_辅助!$J$4,考勤工资!$Y$5:$Y$1004,"&lt;="&amp;_辅助!$J$2)+SUMIFS(考勤工资!$AE$5:$AE$1004,考勤工资!$C$5:$C$1004,往来单位!$B$149,考勤工资!$H$5:$H$1004,$C$3,考勤工资!$Y$5:$Y$1004,"&gt;="&amp;_辅助!$J$4,考勤工资!$Y$5:$Y$1004,"&lt;="&amp;_辅助!$J$2)+SUMIFS(考勤工资!$AF$5:$AF$1004,考勤工资!$C$5:$C$1004,往来单位!$B$149,考勤工资!$J$5:$J$1004,$C$3,考勤工资!$Y$5:$Y$1004,"&gt;="&amp;_辅助!$J$4,考勤工资!$Y$5:$Y$1004,"&lt;="&amp;_辅助!$J$2))</f>
        <v>0</v>
      </c>
      <c r="BE146" s="2">
        <f>BE100+SUM(CB101:CB146)</f>
        <v>0</v>
      </c>
      <c r="BF146" s="2">
        <f>IF(AND($AF$3&gt;0,发票登记!$T$149=$C$3,ISNUMBER(发票登记!$X$149),发票登记!$AB$149&lt;&gt;0,发票登记!$Y$149&gt;=_辅助!$J$4,发票登记!$Y$149&lt;=_辅助!$J$2),INT(发票登记!$X$149)*10000+145,"")</f>
      </c>
      <c r="BG146" s="2">
        <f>IF(AND($AF$3&gt;0,资金流水!$H$150=$C$3,ISNUMBER(资金流水!$B$150),ISNUMBER(资金流水!$S$150),资金流水!$S$150&gt;=_辅助!$J$4,资金流水!$S$150&lt;=_辅助!$J$2),INT(资金流水!$B$150)*10000+145,"")</f>
      </c>
      <c r="BJ146" s="2">
        <f>IF(111&gt;$BG$1,0,MOD(SMALL($BG$2:$BG$2001,111),10000))</f>
        <v>0</v>
      </c>
      <c r="CA146" s="2">
        <f t="shared" si="0"/>
        <v>0</v>
      </c>
      <c r="CB146" s="2">
        <f t="shared" si="1"/>
        <v>0</v>
      </c>
    </row>
    <row r="147">
      <c r="W147" s="95">
        <f t="shared" si="19"/>
      </c>
      <c r="X147" s="94">
        <f t="shared" si="25"/>
      </c>
      <c r="Y147" s="96">
        <f t="shared" si="26"/>
      </c>
      <c r="Z147" s="21">
        <f t="shared" si="20"/>
      </c>
      <c r="AA147" s="21">
        <f t="shared" si="21"/>
      </c>
      <c r="AB147" s="94">
        <f t="shared" si="27"/>
      </c>
      <c r="AC147" s="96">
        <f t="shared" si="28"/>
      </c>
      <c r="AD147" s="94">
        <f t="shared" si="29"/>
      </c>
      <c r="BA147" s="2">
        <f>IF(OR(往来单位!$B$150="",$AF$3=0),0,SUMIFS(期初余额!$R$5:$R$204,期初余额!$P$5:$P$204,往来单位!$B$150,期初余额!$Q$5:$Q$204,$C$3)+SUMIFS(应付登记!$G$5:$G$1004,应付登记!$D$5:$D$1004,往来单位!$B$150,应付登记!$E$5:$E$1004,$C$3,应付登记!$J$5:$J$1004,"&gt;="&amp;_辅助!$J$4,应付登记!$J$5:$J$1004,"&lt;="&amp;_辅助!$J$2))</f>
        <v>0</v>
      </c>
      <c r="BB147" s="2">
        <f>BB100+SUM(CA101:CA147)</f>
        <v>2</v>
      </c>
      <c r="BC147" s="2">
        <f>IF(OR(往来单位!$B$150="",$AF$3=0,NOT(OR(往来单位!$C$150="管理人员",往来单位!$C$150="工人"))),0,SUMIFS(考勤工资!$E$5:$E$1004,考勤工资!$C$5:$C$1004,往来单位!$B$150,考勤工资!$D$5:$D$1004,$C$3,考勤工资!$Y$5:$Y$1004,"&gt;="&amp;_辅助!$J$4,考勤工资!$Y$5:$Y$1004,"&lt;="&amp;_辅助!$J$2)+SUMIFS(考勤工资!$G$5:$G$1004,考勤工资!$C$5:$C$1004,往来单位!$B$150,考勤工资!$F$5:$F$1004,$C$3,考勤工资!$Y$5:$Y$1004,"&gt;="&amp;_辅助!$J$4,考勤工资!$Y$5:$Y$1004,"&lt;="&amp;_辅助!$J$2)+SUMIFS(考勤工资!$I$5:$I$1004,考勤工资!$C$5:$C$1004,往来单位!$B$150,考勤工资!$H$5:$H$1004,$C$3,考勤工资!$Y$5:$Y$1004,"&gt;="&amp;_辅助!$J$4,考勤工资!$Y$5:$Y$1004,"&lt;="&amp;_辅助!$J$2)+SUMIFS(考勤工资!$K$5:$K$1004,考勤工资!$C$5:$C$1004,往来单位!$B$150,考勤工资!$J$5:$J$1004,$C$3,考勤工资!$Y$5:$Y$1004,"&gt;="&amp;_辅助!$J$4,考勤工资!$Y$5:$Y$1004,"&lt;="&amp;_辅助!$J$2))</f>
        <v>0</v>
      </c>
      <c r="BD147" s="2">
        <f>IF(BC147=0,0,SUMIFS(考勤工资!$AC$5:$AC$1004,考勤工资!$C$5:$C$1004,往来单位!$B$150,考勤工资!$D$5:$D$1004,$C$3,考勤工资!$Y$5:$Y$1004,"&gt;="&amp;_辅助!$J$4,考勤工资!$Y$5:$Y$1004,"&lt;="&amp;_辅助!$J$2)+SUMIFS(考勤工资!$AD$5:$AD$1004,考勤工资!$C$5:$C$1004,往来单位!$B$150,考勤工资!$F$5:$F$1004,$C$3,考勤工资!$Y$5:$Y$1004,"&gt;="&amp;_辅助!$J$4,考勤工资!$Y$5:$Y$1004,"&lt;="&amp;_辅助!$J$2)+SUMIFS(考勤工资!$AE$5:$AE$1004,考勤工资!$C$5:$C$1004,往来单位!$B$150,考勤工资!$H$5:$H$1004,$C$3,考勤工资!$Y$5:$Y$1004,"&gt;="&amp;_辅助!$J$4,考勤工资!$Y$5:$Y$1004,"&lt;="&amp;_辅助!$J$2)+SUMIFS(考勤工资!$AF$5:$AF$1004,考勤工资!$C$5:$C$1004,往来单位!$B$150,考勤工资!$J$5:$J$1004,$C$3,考勤工资!$Y$5:$Y$1004,"&gt;="&amp;_辅助!$J$4,考勤工资!$Y$5:$Y$1004,"&lt;="&amp;_辅助!$J$2))</f>
        <v>0</v>
      </c>
      <c r="BE147" s="2">
        <f>BE100+SUM(CB101:CB147)</f>
        <v>0</v>
      </c>
      <c r="BF147" s="2">
        <f>IF(AND($AF$3&gt;0,发票登记!$T$150=$C$3,ISNUMBER(发票登记!$X$150),发票登记!$AB$150&lt;&gt;0,发票登记!$Y$150&gt;=_辅助!$J$4,发票登记!$Y$150&lt;=_辅助!$J$2),INT(发票登记!$X$150)*10000+146,"")</f>
      </c>
      <c r="BG147" s="2">
        <f>IF(AND($AF$3&gt;0,资金流水!$H$151=$C$3,ISNUMBER(资金流水!$B$151),ISNUMBER(资金流水!$S$151),资金流水!$S$151&gt;=_辅助!$J$4,资金流水!$S$151&lt;=_辅助!$J$2),INT(资金流水!$B$151)*10000+146,"")</f>
      </c>
      <c r="BJ147" s="2">
        <f>IF(112&gt;$BG$1,0,MOD(SMALL($BG$2:$BG$2001,112),10000))</f>
        <v>0</v>
      </c>
      <c r="CA147" s="2">
        <f t="shared" si="0"/>
        <v>0</v>
      </c>
      <c r="CB147" s="2">
        <f t="shared" si="1"/>
        <v>0</v>
      </c>
    </row>
    <row r="148">
      <c r="W148" s="95">
        <f t="shared" si="19"/>
      </c>
      <c r="X148" s="94">
        <f t="shared" si="25"/>
      </c>
      <c r="Y148" s="96">
        <f t="shared" si="26"/>
      </c>
      <c r="Z148" s="21">
        <f t="shared" si="20"/>
      </c>
      <c r="AA148" s="21">
        <f t="shared" si="21"/>
      </c>
      <c r="AB148" s="94">
        <f t="shared" si="27"/>
      </c>
      <c r="AC148" s="96">
        <f t="shared" si="28"/>
      </c>
      <c r="AD148" s="94">
        <f t="shared" si="29"/>
      </c>
      <c r="BA148" s="2">
        <f>IF(OR(往来单位!$B$151="",$AF$3=0),0,SUMIFS(期初余额!$R$5:$R$204,期初余额!$P$5:$P$204,往来单位!$B$151,期初余额!$Q$5:$Q$204,$C$3)+SUMIFS(应付登记!$G$5:$G$1004,应付登记!$D$5:$D$1004,往来单位!$B$151,应付登记!$E$5:$E$1004,$C$3,应付登记!$J$5:$J$1004,"&gt;="&amp;_辅助!$J$4,应付登记!$J$5:$J$1004,"&lt;="&amp;_辅助!$J$2))</f>
        <v>0</v>
      </c>
      <c r="BB148" s="2">
        <f>BB100+SUM(CA101:CA148)</f>
        <v>2</v>
      </c>
      <c r="BC148" s="2">
        <f>IF(OR(往来单位!$B$151="",$AF$3=0,NOT(OR(往来单位!$C$151="管理人员",往来单位!$C$151="工人"))),0,SUMIFS(考勤工资!$E$5:$E$1004,考勤工资!$C$5:$C$1004,往来单位!$B$151,考勤工资!$D$5:$D$1004,$C$3,考勤工资!$Y$5:$Y$1004,"&gt;="&amp;_辅助!$J$4,考勤工资!$Y$5:$Y$1004,"&lt;="&amp;_辅助!$J$2)+SUMIFS(考勤工资!$G$5:$G$1004,考勤工资!$C$5:$C$1004,往来单位!$B$151,考勤工资!$F$5:$F$1004,$C$3,考勤工资!$Y$5:$Y$1004,"&gt;="&amp;_辅助!$J$4,考勤工资!$Y$5:$Y$1004,"&lt;="&amp;_辅助!$J$2)+SUMIFS(考勤工资!$I$5:$I$1004,考勤工资!$C$5:$C$1004,往来单位!$B$151,考勤工资!$H$5:$H$1004,$C$3,考勤工资!$Y$5:$Y$1004,"&gt;="&amp;_辅助!$J$4,考勤工资!$Y$5:$Y$1004,"&lt;="&amp;_辅助!$J$2)+SUMIFS(考勤工资!$K$5:$K$1004,考勤工资!$C$5:$C$1004,往来单位!$B$151,考勤工资!$J$5:$J$1004,$C$3,考勤工资!$Y$5:$Y$1004,"&gt;="&amp;_辅助!$J$4,考勤工资!$Y$5:$Y$1004,"&lt;="&amp;_辅助!$J$2))</f>
        <v>0</v>
      </c>
      <c r="BD148" s="2">
        <f>IF(BC148=0,0,SUMIFS(考勤工资!$AC$5:$AC$1004,考勤工资!$C$5:$C$1004,往来单位!$B$151,考勤工资!$D$5:$D$1004,$C$3,考勤工资!$Y$5:$Y$1004,"&gt;="&amp;_辅助!$J$4,考勤工资!$Y$5:$Y$1004,"&lt;="&amp;_辅助!$J$2)+SUMIFS(考勤工资!$AD$5:$AD$1004,考勤工资!$C$5:$C$1004,往来单位!$B$151,考勤工资!$F$5:$F$1004,$C$3,考勤工资!$Y$5:$Y$1004,"&gt;="&amp;_辅助!$J$4,考勤工资!$Y$5:$Y$1004,"&lt;="&amp;_辅助!$J$2)+SUMIFS(考勤工资!$AE$5:$AE$1004,考勤工资!$C$5:$C$1004,往来单位!$B$151,考勤工资!$H$5:$H$1004,$C$3,考勤工资!$Y$5:$Y$1004,"&gt;="&amp;_辅助!$J$4,考勤工资!$Y$5:$Y$1004,"&lt;="&amp;_辅助!$J$2)+SUMIFS(考勤工资!$AF$5:$AF$1004,考勤工资!$C$5:$C$1004,往来单位!$B$151,考勤工资!$J$5:$J$1004,$C$3,考勤工资!$Y$5:$Y$1004,"&gt;="&amp;_辅助!$J$4,考勤工资!$Y$5:$Y$1004,"&lt;="&amp;_辅助!$J$2))</f>
        <v>0</v>
      </c>
      <c r="BE148" s="2">
        <f>BE100+SUM(CB101:CB148)</f>
        <v>0</v>
      </c>
      <c r="BF148" s="2">
        <f>IF(AND($AF$3&gt;0,发票登记!$T$151=$C$3,ISNUMBER(发票登记!$X$151),发票登记!$AB$151&lt;&gt;0,发票登记!$Y$151&gt;=_辅助!$J$4,发票登记!$Y$151&lt;=_辅助!$J$2),INT(发票登记!$X$151)*10000+147,"")</f>
      </c>
      <c r="BG148" s="2">
        <f>IF(AND($AF$3&gt;0,资金流水!$H$152=$C$3,ISNUMBER(资金流水!$B$152),ISNUMBER(资金流水!$S$152),资金流水!$S$152&gt;=_辅助!$J$4,资金流水!$S$152&lt;=_辅助!$J$2),INT(资金流水!$B$152)*10000+147,"")</f>
      </c>
      <c r="BJ148" s="2">
        <f>IF(113&gt;$BG$1,0,MOD(SMALL($BG$2:$BG$2001,113),10000))</f>
        <v>0</v>
      </c>
      <c r="CA148" s="2">
        <f t="shared" si="0"/>
        <v>0</v>
      </c>
      <c r="CB148" s="2">
        <f t="shared" si="1"/>
        <v>0</v>
      </c>
    </row>
    <row r="149">
      <c r="W149" s="95">
        <f t="shared" si="19"/>
      </c>
      <c r="X149" s="94">
        <f t="shared" si="25"/>
      </c>
      <c r="Y149" s="96">
        <f t="shared" si="26"/>
      </c>
      <c r="Z149" s="21">
        <f t="shared" si="20"/>
      </c>
      <c r="AA149" s="21">
        <f t="shared" si="21"/>
      </c>
      <c r="AB149" s="94">
        <f t="shared" si="27"/>
      </c>
      <c r="AC149" s="96">
        <f t="shared" si="28"/>
      </c>
      <c r="AD149" s="94">
        <f t="shared" si="29"/>
      </c>
      <c r="BA149" s="2">
        <f>IF(OR(往来单位!$B$152="",$AF$3=0),0,SUMIFS(期初余额!$R$5:$R$204,期初余额!$P$5:$P$204,往来单位!$B$152,期初余额!$Q$5:$Q$204,$C$3)+SUMIFS(应付登记!$G$5:$G$1004,应付登记!$D$5:$D$1004,往来单位!$B$152,应付登记!$E$5:$E$1004,$C$3,应付登记!$J$5:$J$1004,"&gt;="&amp;_辅助!$J$4,应付登记!$J$5:$J$1004,"&lt;="&amp;_辅助!$J$2))</f>
        <v>0</v>
      </c>
      <c r="BB149" s="2">
        <f>BB100+SUM(CA101:CA149)</f>
        <v>2</v>
      </c>
      <c r="BC149" s="2">
        <f>IF(OR(往来单位!$B$152="",$AF$3=0,NOT(OR(往来单位!$C$152="管理人员",往来单位!$C$152="工人"))),0,SUMIFS(考勤工资!$E$5:$E$1004,考勤工资!$C$5:$C$1004,往来单位!$B$152,考勤工资!$D$5:$D$1004,$C$3,考勤工资!$Y$5:$Y$1004,"&gt;="&amp;_辅助!$J$4,考勤工资!$Y$5:$Y$1004,"&lt;="&amp;_辅助!$J$2)+SUMIFS(考勤工资!$G$5:$G$1004,考勤工资!$C$5:$C$1004,往来单位!$B$152,考勤工资!$F$5:$F$1004,$C$3,考勤工资!$Y$5:$Y$1004,"&gt;="&amp;_辅助!$J$4,考勤工资!$Y$5:$Y$1004,"&lt;="&amp;_辅助!$J$2)+SUMIFS(考勤工资!$I$5:$I$1004,考勤工资!$C$5:$C$1004,往来单位!$B$152,考勤工资!$H$5:$H$1004,$C$3,考勤工资!$Y$5:$Y$1004,"&gt;="&amp;_辅助!$J$4,考勤工资!$Y$5:$Y$1004,"&lt;="&amp;_辅助!$J$2)+SUMIFS(考勤工资!$K$5:$K$1004,考勤工资!$C$5:$C$1004,往来单位!$B$152,考勤工资!$J$5:$J$1004,$C$3,考勤工资!$Y$5:$Y$1004,"&gt;="&amp;_辅助!$J$4,考勤工资!$Y$5:$Y$1004,"&lt;="&amp;_辅助!$J$2))</f>
        <v>0</v>
      </c>
      <c r="BD149" s="2">
        <f>IF(BC149=0,0,SUMIFS(考勤工资!$AC$5:$AC$1004,考勤工资!$C$5:$C$1004,往来单位!$B$152,考勤工资!$D$5:$D$1004,$C$3,考勤工资!$Y$5:$Y$1004,"&gt;="&amp;_辅助!$J$4,考勤工资!$Y$5:$Y$1004,"&lt;="&amp;_辅助!$J$2)+SUMIFS(考勤工资!$AD$5:$AD$1004,考勤工资!$C$5:$C$1004,往来单位!$B$152,考勤工资!$F$5:$F$1004,$C$3,考勤工资!$Y$5:$Y$1004,"&gt;="&amp;_辅助!$J$4,考勤工资!$Y$5:$Y$1004,"&lt;="&amp;_辅助!$J$2)+SUMIFS(考勤工资!$AE$5:$AE$1004,考勤工资!$C$5:$C$1004,往来单位!$B$152,考勤工资!$H$5:$H$1004,$C$3,考勤工资!$Y$5:$Y$1004,"&gt;="&amp;_辅助!$J$4,考勤工资!$Y$5:$Y$1004,"&lt;="&amp;_辅助!$J$2)+SUMIFS(考勤工资!$AF$5:$AF$1004,考勤工资!$C$5:$C$1004,往来单位!$B$152,考勤工资!$J$5:$J$1004,$C$3,考勤工资!$Y$5:$Y$1004,"&gt;="&amp;_辅助!$J$4,考勤工资!$Y$5:$Y$1004,"&lt;="&amp;_辅助!$J$2))</f>
        <v>0</v>
      </c>
      <c r="BE149" s="2">
        <f>BE100+SUM(CB101:CB149)</f>
        <v>0</v>
      </c>
      <c r="BF149" s="2">
        <f>IF(AND($AF$3&gt;0,发票登记!$T$152=$C$3,ISNUMBER(发票登记!$X$152),发票登记!$AB$152&lt;&gt;0,发票登记!$Y$152&gt;=_辅助!$J$4,发票登记!$Y$152&lt;=_辅助!$J$2),INT(发票登记!$X$152)*10000+148,"")</f>
      </c>
      <c r="BG149" s="2">
        <f>IF(AND($AF$3&gt;0,资金流水!$H$153=$C$3,ISNUMBER(资金流水!$B$153),ISNUMBER(资金流水!$S$153),资金流水!$S$153&gt;=_辅助!$J$4,资金流水!$S$153&lt;=_辅助!$J$2),INT(资金流水!$B$153)*10000+148,"")</f>
      </c>
      <c r="BJ149" s="2">
        <f>IF(114&gt;$BG$1,0,MOD(SMALL($BG$2:$BG$2001,114),10000))</f>
        <v>0</v>
      </c>
      <c r="CA149" s="2">
        <f t="shared" si="0"/>
        <v>0</v>
      </c>
      <c r="CB149" s="2">
        <f t="shared" si="1"/>
        <v>0</v>
      </c>
    </row>
    <row r="150">
      <c r="W150" s="95">
        <f t="shared" si="19"/>
      </c>
      <c r="X150" s="94">
        <f t="shared" si="25"/>
      </c>
      <c r="Y150" s="96">
        <f t="shared" si="26"/>
      </c>
      <c r="Z150" s="21">
        <f t="shared" si="20"/>
      </c>
      <c r="AA150" s="21">
        <f t="shared" si="21"/>
      </c>
      <c r="AB150" s="94">
        <f t="shared" si="27"/>
      </c>
      <c r="AC150" s="96">
        <f t="shared" si="28"/>
      </c>
      <c r="AD150" s="94">
        <f t="shared" si="29"/>
      </c>
      <c r="BA150" s="2">
        <f>IF(OR(往来单位!$B$153="",$AF$3=0),0,SUMIFS(期初余额!$R$5:$R$204,期初余额!$P$5:$P$204,往来单位!$B$153,期初余额!$Q$5:$Q$204,$C$3)+SUMIFS(应付登记!$G$5:$G$1004,应付登记!$D$5:$D$1004,往来单位!$B$153,应付登记!$E$5:$E$1004,$C$3,应付登记!$J$5:$J$1004,"&gt;="&amp;_辅助!$J$4,应付登记!$J$5:$J$1004,"&lt;="&amp;_辅助!$J$2))</f>
        <v>0</v>
      </c>
      <c r="BB150" s="2">
        <f>BB100+SUM(CA101:CA150)</f>
        <v>2</v>
      </c>
      <c r="BC150" s="2">
        <f>IF(OR(往来单位!$B$153="",$AF$3=0,NOT(OR(往来单位!$C$153="管理人员",往来单位!$C$153="工人"))),0,SUMIFS(考勤工资!$E$5:$E$1004,考勤工资!$C$5:$C$1004,往来单位!$B$153,考勤工资!$D$5:$D$1004,$C$3,考勤工资!$Y$5:$Y$1004,"&gt;="&amp;_辅助!$J$4,考勤工资!$Y$5:$Y$1004,"&lt;="&amp;_辅助!$J$2)+SUMIFS(考勤工资!$G$5:$G$1004,考勤工资!$C$5:$C$1004,往来单位!$B$153,考勤工资!$F$5:$F$1004,$C$3,考勤工资!$Y$5:$Y$1004,"&gt;="&amp;_辅助!$J$4,考勤工资!$Y$5:$Y$1004,"&lt;="&amp;_辅助!$J$2)+SUMIFS(考勤工资!$I$5:$I$1004,考勤工资!$C$5:$C$1004,往来单位!$B$153,考勤工资!$H$5:$H$1004,$C$3,考勤工资!$Y$5:$Y$1004,"&gt;="&amp;_辅助!$J$4,考勤工资!$Y$5:$Y$1004,"&lt;="&amp;_辅助!$J$2)+SUMIFS(考勤工资!$K$5:$K$1004,考勤工资!$C$5:$C$1004,往来单位!$B$153,考勤工资!$J$5:$J$1004,$C$3,考勤工资!$Y$5:$Y$1004,"&gt;="&amp;_辅助!$J$4,考勤工资!$Y$5:$Y$1004,"&lt;="&amp;_辅助!$J$2))</f>
        <v>0</v>
      </c>
      <c r="BD150" s="2">
        <f>IF(BC150=0,0,SUMIFS(考勤工资!$AC$5:$AC$1004,考勤工资!$C$5:$C$1004,往来单位!$B$153,考勤工资!$D$5:$D$1004,$C$3,考勤工资!$Y$5:$Y$1004,"&gt;="&amp;_辅助!$J$4,考勤工资!$Y$5:$Y$1004,"&lt;="&amp;_辅助!$J$2)+SUMIFS(考勤工资!$AD$5:$AD$1004,考勤工资!$C$5:$C$1004,往来单位!$B$153,考勤工资!$F$5:$F$1004,$C$3,考勤工资!$Y$5:$Y$1004,"&gt;="&amp;_辅助!$J$4,考勤工资!$Y$5:$Y$1004,"&lt;="&amp;_辅助!$J$2)+SUMIFS(考勤工资!$AE$5:$AE$1004,考勤工资!$C$5:$C$1004,往来单位!$B$153,考勤工资!$H$5:$H$1004,$C$3,考勤工资!$Y$5:$Y$1004,"&gt;="&amp;_辅助!$J$4,考勤工资!$Y$5:$Y$1004,"&lt;="&amp;_辅助!$J$2)+SUMIFS(考勤工资!$AF$5:$AF$1004,考勤工资!$C$5:$C$1004,往来单位!$B$153,考勤工资!$J$5:$J$1004,$C$3,考勤工资!$Y$5:$Y$1004,"&gt;="&amp;_辅助!$J$4,考勤工资!$Y$5:$Y$1004,"&lt;="&amp;_辅助!$J$2))</f>
        <v>0</v>
      </c>
      <c r="BE150" s="2">
        <f>BE100+SUM(CB101:CB150)</f>
        <v>0</v>
      </c>
      <c r="BF150" s="2">
        <f>IF(AND($AF$3&gt;0,发票登记!$T$153=$C$3,ISNUMBER(发票登记!$X$153),发票登记!$AB$153&lt;&gt;0,发票登记!$Y$153&gt;=_辅助!$J$4,发票登记!$Y$153&lt;=_辅助!$J$2),INT(发票登记!$X$153)*10000+149,"")</f>
      </c>
      <c r="BG150" s="2">
        <f>IF(AND($AF$3&gt;0,资金流水!$H$154=$C$3,ISNUMBER(资金流水!$B$154),ISNUMBER(资金流水!$S$154),资金流水!$S$154&gt;=_辅助!$J$4,资金流水!$S$154&lt;=_辅助!$J$2),INT(资金流水!$B$154)*10000+149,"")</f>
      </c>
      <c r="BJ150" s="2">
        <f>IF(115&gt;$BG$1,0,MOD(SMALL($BG$2:$BG$2001,115),10000))</f>
        <v>0</v>
      </c>
      <c r="CA150" s="2">
        <f t="shared" si="0"/>
        <v>0</v>
      </c>
      <c r="CB150" s="2">
        <f t="shared" si="1"/>
        <v>0</v>
      </c>
    </row>
    <row r="151">
      <c r="W151" s="95">
        <f t="shared" si="19"/>
      </c>
      <c r="X151" s="94">
        <f t="shared" si="25"/>
      </c>
      <c r="Y151" s="96">
        <f t="shared" si="26"/>
      </c>
      <c r="Z151" s="21">
        <f t="shared" si="20"/>
      </c>
      <c r="AA151" s="21">
        <f t="shared" si="21"/>
      </c>
      <c r="AB151" s="94">
        <f t="shared" si="27"/>
      </c>
      <c r="AC151" s="96">
        <f t="shared" si="28"/>
      </c>
      <c r="AD151" s="94">
        <f t="shared" si="29"/>
      </c>
      <c r="BA151" s="2">
        <f>IF(OR(往来单位!$B$154="",$AF$3=0),0,SUMIFS(期初余额!$R$5:$R$204,期初余额!$P$5:$P$204,往来单位!$B$154,期初余额!$Q$5:$Q$204,$C$3)+SUMIFS(应付登记!$G$5:$G$1004,应付登记!$D$5:$D$1004,往来单位!$B$154,应付登记!$E$5:$E$1004,$C$3,应付登记!$J$5:$J$1004,"&gt;="&amp;_辅助!$J$4,应付登记!$J$5:$J$1004,"&lt;="&amp;_辅助!$J$2))</f>
        <v>0</v>
      </c>
      <c r="BB151" s="2">
        <f>BB150+SUM(CA151:CA151)</f>
        <v>2</v>
      </c>
      <c r="BC151" s="2">
        <f>IF(OR(往来单位!$B$154="",$AF$3=0,NOT(OR(往来单位!$C$154="管理人员",往来单位!$C$154="工人"))),0,SUMIFS(考勤工资!$E$5:$E$1004,考勤工资!$C$5:$C$1004,往来单位!$B$154,考勤工资!$D$5:$D$1004,$C$3,考勤工资!$Y$5:$Y$1004,"&gt;="&amp;_辅助!$J$4,考勤工资!$Y$5:$Y$1004,"&lt;="&amp;_辅助!$J$2)+SUMIFS(考勤工资!$G$5:$G$1004,考勤工资!$C$5:$C$1004,往来单位!$B$154,考勤工资!$F$5:$F$1004,$C$3,考勤工资!$Y$5:$Y$1004,"&gt;="&amp;_辅助!$J$4,考勤工资!$Y$5:$Y$1004,"&lt;="&amp;_辅助!$J$2)+SUMIFS(考勤工资!$I$5:$I$1004,考勤工资!$C$5:$C$1004,往来单位!$B$154,考勤工资!$H$5:$H$1004,$C$3,考勤工资!$Y$5:$Y$1004,"&gt;="&amp;_辅助!$J$4,考勤工资!$Y$5:$Y$1004,"&lt;="&amp;_辅助!$J$2)+SUMIFS(考勤工资!$K$5:$K$1004,考勤工资!$C$5:$C$1004,往来单位!$B$154,考勤工资!$J$5:$J$1004,$C$3,考勤工资!$Y$5:$Y$1004,"&gt;="&amp;_辅助!$J$4,考勤工资!$Y$5:$Y$1004,"&lt;="&amp;_辅助!$J$2))</f>
        <v>0</v>
      </c>
      <c r="BD151" s="2">
        <f>IF(BC151=0,0,SUMIFS(考勤工资!$AC$5:$AC$1004,考勤工资!$C$5:$C$1004,往来单位!$B$154,考勤工资!$D$5:$D$1004,$C$3,考勤工资!$Y$5:$Y$1004,"&gt;="&amp;_辅助!$J$4,考勤工资!$Y$5:$Y$1004,"&lt;="&amp;_辅助!$J$2)+SUMIFS(考勤工资!$AD$5:$AD$1004,考勤工资!$C$5:$C$1004,往来单位!$B$154,考勤工资!$F$5:$F$1004,$C$3,考勤工资!$Y$5:$Y$1004,"&gt;="&amp;_辅助!$J$4,考勤工资!$Y$5:$Y$1004,"&lt;="&amp;_辅助!$J$2)+SUMIFS(考勤工资!$AE$5:$AE$1004,考勤工资!$C$5:$C$1004,往来单位!$B$154,考勤工资!$H$5:$H$1004,$C$3,考勤工资!$Y$5:$Y$1004,"&gt;="&amp;_辅助!$J$4,考勤工资!$Y$5:$Y$1004,"&lt;="&amp;_辅助!$J$2)+SUMIFS(考勤工资!$AF$5:$AF$1004,考勤工资!$C$5:$C$1004,往来单位!$B$154,考勤工资!$J$5:$J$1004,$C$3,考勤工资!$Y$5:$Y$1004,"&gt;="&amp;_辅助!$J$4,考勤工资!$Y$5:$Y$1004,"&lt;="&amp;_辅助!$J$2))</f>
        <v>0</v>
      </c>
      <c r="BE151" s="2">
        <f>BE150+SUM(CB151:CB151)</f>
        <v>0</v>
      </c>
      <c r="BF151" s="2">
        <f>IF(AND($AF$3&gt;0,发票登记!$T$154=$C$3,ISNUMBER(发票登记!$X$154),发票登记!$AB$154&lt;&gt;0,发票登记!$Y$154&gt;=_辅助!$J$4,发票登记!$Y$154&lt;=_辅助!$J$2),INT(发票登记!$X$154)*10000+150,"")</f>
      </c>
      <c r="BG151" s="2">
        <f>IF(AND($AF$3&gt;0,资金流水!$H$155=$C$3,ISNUMBER(资金流水!$B$155),ISNUMBER(资金流水!$S$155),资金流水!$S$155&gt;=_辅助!$J$4,资金流水!$S$155&lt;=_辅助!$J$2),INT(资金流水!$B$155)*10000+150,"")</f>
      </c>
      <c r="BJ151" s="2">
        <f>IF(116&gt;$BG$1,0,MOD(SMALL($BG$2:$BG$2001,116),10000))</f>
        <v>0</v>
      </c>
      <c r="CA151" s="2">
        <f t="shared" si="0"/>
        <v>0</v>
      </c>
      <c r="CB151" s="2">
        <f t="shared" si="1"/>
        <v>0</v>
      </c>
    </row>
    <row r="152">
      <c r="W152" s="95">
        <f t="shared" si="19"/>
      </c>
      <c r="X152" s="94">
        <f t="shared" si="25"/>
      </c>
      <c r="Y152" s="96">
        <f t="shared" si="26"/>
      </c>
      <c r="Z152" s="21">
        <f t="shared" si="20"/>
      </c>
      <c r="AA152" s="21">
        <f t="shared" si="21"/>
      </c>
      <c r="AB152" s="94">
        <f t="shared" si="27"/>
      </c>
      <c r="AC152" s="96">
        <f t="shared" si="28"/>
      </c>
      <c r="AD152" s="94">
        <f t="shared" si="29"/>
      </c>
      <c r="BA152" s="2">
        <f>IF(OR(往来单位!$B$155="",$AF$3=0),0,SUMIFS(期初余额!$R$5:$R$204,期初余额!$P$5:$P$204,往来单位!$B$155,期初余额!$Q$5:$Q$204,$C$3)+SUMIFS(应付登记!$G$5:$G$1004,应付登记!$D$5:$D$1004,往来单位!$B$155,应付登记!$E$5:$E$1004,$C$3,应付登记!$J$5:$J$1004,"&gt;="&amp;_辅助!$J$4,应付登记!$J$5:$J$1004,"&lt;="&amp;_辅助!$J$2))</f>
        <v>0</v>
      </c>
      <c r="BB152" s="2">
        <f>BB150+SUM(CA151:CA152)</f>
        <v>2</v>
      </c>
      <c r="BC152" s="2">
        <f>IF(OR(往来单位!$B$155="",$AF$3=0,NOT(OR(往来单位!$C$155="管理人员",往来单位!$C$155="工人"))),0,SUMIFS(考勤工资!$E$5:$E$1004,考勤工资!$C$5:$C$1004,往来单位!$B$155,考勤工资!$D$5:$D$1004,$C$3,考勤工资!$Y$5:$Y$1004,"&gt;="&amp;_辅助!$J$4,考勤工资!$Y$5:$Y$1004,"&lt;="&amp;_辅助!$J$2)+SUMIFS(考勤工资!$G$5:$G$1004,考勤工资!$C$5:$C$1004,往来单位!$B$155,考勤工资!$F$5:$F$1004,$C$3,考勤工资!$Y$5:$Y$1004,"&gt;="&amp;_辅助!$J$4,考勤工资!$Y$5:$Y$1004,"&lt;="&amp;_辅助!$J$2)+SUMIFS(考勤工资!$I$5:$I$1004,考勤工资!$C$5:$C$1004,往来单位!$B$155,考勤工资!$H$5:$H$1004,$C$3,考勤工资!$Y$5:$Y$1004,"&gt;="&amp;_辅助!$J$4,考勤工资!$Y$5:$Y$1004,"&lt;="&amp;_辅助!$J$2)+SUMIFS(考勤工资!$K$5:$K$1004,考勤工资!$C$5:$C$1004,往来单位!$B$155,考勤工资!$J$5:$J$1004,$C$3,考勤工资!$Y$5:$Y$1004,"&gt;="&amp;_辅助!$J$4,考勤工资!$Y$5:$Y$1004,"&lt;="&amp;_辅助!$J$2))</f>
        <v>0</v>
      </c>
      <c r="BD152" s="2">
        <f>IF(BC152=0,0,SUMIFS(考勤工资!$AC$5:$AC$1004,考勤工资!$C$5:$C$1004,往来单位!$B$155,考勤工资!$D$5:$D$1004,$C$3,考勤工资!$Y$5:$Y$1004,"&gt;="&amp;_辅助!$J$4,考勤工资!$Y$5:$Y$1004,"&lt;="&amp;_辅助!$J$2)+SUMIFS(考勤工资!$AD$5:$AD$1004,考勤工资!$C$5:$C$1004,往来单位!$B$155,考勤工资!$F$5:$F$1004,$C$3,考勤工资!$Y$5:$Y$1004,"&gt;="&amp;_辅助!$J$4,考勤工资!$Y$5:$Y$1004,"&lt;="&amp;_辅助!$J$2)+SUMIFS(考勤工资!$AE$5:$AE$1004,考勤工资!$C$5:$C$1004,往来单位!$B$155,考勤工资!$H$5:$H$1004,$C$3,考勤工资!$Y$5:$Y$1004,"&gt;="&amp;_辅助!$J$4,考勤工资!$Y$5:$Y$1004,"&lt;="&amp;_辅助!$J$2)+SUMIFS(考勤工资!$AF$5:$AF$1004,考勤工资!$C$5:$C$1004,往来单位!$B$155,考勤工资!$J$5:$J$1004,$C$3,考勤工资!$Y$5:$Y$1004,"&gt;="&amp;_辅助!$J$4,考勤工资!$Y$5:$Y$1004,"&lt;="&amp;_辅助!$J$2))</f>
        <v>0</v>
      </c>
      <c r="BE152" s="2">
        <f>BE150+SUM(CB151:CB152)</f>
        <v>0</v>
      </c>
      <c r="BF152" s="2">
        <f>IF(AND($AF$3&gt;0,发票登记!$T$155=$C$3,ISNUMBER(发票登记!$X$155),发票登记!$AB$155&lt;&gt;0,发票登记!$Y$155&gt;=_辅助!$J$4,发票登记!$Y$155&lt;=_辅助!$J$2),INT(发票登记!$X$155)*10000+151,"")</f>
      </c>
      <c r="BG152" s="2">
        <f>IF(AND($AF$3&gt;0,资金流水!$H$156=$C$3,ISNUMBER(资金流水!$B$156),ISNUMBER(资金流水!$S$156),资金流水!$S$156&gt;=_辅助!$J$4,资金流水!$S$156&lt;=_辅助!$J$2),INT(资金流水!$B$156)*10000+151,"")</f>
      </c>
      <c r="BJ152" s="2">
        <f>IF(117&gt;$BG$1,0,MOD(SMALL($BG$2:$BG$2001,117),10000))</f>
        <v>0</v>
      </c>
      <c r="CA152" s="2">
        <f t="shared" si="0"/>
        <v>0</v>
      </c>
      <c r="CB152" s="2">
        <f t="shared" si="1"/>
        <v>0</v>
      </c>
    </row>
    <row r="153">
      <c r="W153" s="95">
        <f t="shared" si="19"/>
      </c>
      <c r="X153" s="94">
        <f t="shared" si="25"/>
      </c>
      <c r="Y153" s="96">
        <f t="shared" si="26"/>
      </c>
      <c r="Z153" s="21">
        <f t="shared" si="20"/>
      </c>
      <c r="AA153" s="21">
        <f t="shared" si="21"/>
      </c>
      <c r="AB153" s="94">
        <f t="shared" si="27"/>
      </c>
      <c r="AC153" s="96">
        <f t="shared" si="28"/>
      </c>
      <c r="AD153" s="94">
        <f t="shared" si="29"/>
      </c>
      <c r="BA153" s="2">
        <f>IF(OR(往来单位!$B$156="",$AF$3=0),0,SUMIFS(期初余额!$R$5:$R$204,期初余额!$P$5:$P$204,往来单位!$B$156,期初余额!$Q$5:$Q$204,$C$3)+SUMIFS(应付登记!$G$5:$G$1004,应付登记!$D$5:$D$1004,往来单位!$B$156,应付登记!$E$5:$E$1004,$C$3,应付登记!$J$5:$J$1004,"&gt;="&amp;_辅助!$J$4,应付登记!$J$5:$J$1004,"&lt;="&amp;_辅助!$J$2))</f>
        <v>0</v>
      </c>
      <c r="BB153" s="2">
        <f>BB150+SUM(CA151:CA153)</f>
        <v>2</v>
      </c>
      <c r="BC153" s="2">
        <f>IF(OR(往来单位!$B$156="",$AF$3=0,NOT(OR(往来单位!$C$156="管理人员",往来单位!$C$156="工人"))),0,SUMIFS(考勤工资!$E$5:$E$1004,考勤工资!$C$5:$C$1004,往来单位!$B$156,考勤工资!$D$5:$D$1004,$C$3,考勤工资!$Y$5:$Y$1004,"&gt;="&amp;_辅助!$J$4,考勤工资!$Y$5:$Y$1004,"&lt;="&amp;_辅助!$J$2)+SUMIFS(考勤工资!$G$5:$G$1004,考勤工资!$C$5:$C$1004,往来单位!$B$156,考勤工资!$F$5:$F$1004,$C$3,考勤工资!$Y$5:$Y$1004,"&gt;="&amp;_辅助!$J$4,考勤工资!$Y$5:$Y$1004,"&lt;="&amp;_辅助!$J$2)+SUMIFS(考勤工资!$I$5:$I$1004,考勤工资!$C$5:$C$1004,往来单位!$B$156,考勤工资!$H$5:$H$1004,$C$3,考勤工资!$Y$5:$Y$1004,"&gt;="&amp;_辅助!$J$4,考勤工资!$Y$5:$Y$1004,"&lt;="&amp;_辅助!$J$2)+SUMIFS(考勤工资!$K$5:$K$1004,考勤工资!$C$5:$C$1004,往来单位!$B$156,考勤工资!$J$5:$J$1004,$C$3,考勤工资!$Y$5:$Y$1004,"&gt;="&amp;_辅助!$J$4,考勤工资!$Y$5:$Y$1004,"&lt;="&amp;_辅助!$J$2))</f>
        <v>0</v>
      </c>
      <c r="BD153" s="2">
        <f>IF(BC153=0,0,SUMIFS(考勤工资!$AC$5:$AC$1004,考勤工资!$C$5:$C$1004,往来单位!$B$156,考勤工资!$D$5:$D$1004,$C$3,考勤工资!$Y$5:$Y$1004,"&gt;="&amp;_辅助!$J$4,考勤工资!$Y$5:$Y$1004,"&lt;="&amp;_辅助!$J$2)+SUMIFS(考勤工资!$AD$5:$AD$1004,考勤工资!$C$5:$C$1004,往来单位!$B$156,考勤工资!$F$5:$F$1004,$C$3,考勤工资!$Y$5:$Y$1004,"&gt;="&amp;_辅助!$J$4,考勤工资!$Y$5:$Y$1004,"&lt;="&amp;_辅助!$J$2)+SUMIFS(考勤工资!$AE$5:$AE$1004,考勤工资!$C$5:$C$1004,往来单位!$B$156,考勤工资!$H$5:$H$1004,$C$3,考勤工资!$Y$5:$Y$1004,"&gt;="&amp;_辅助!$J$4,考勤工资!$Y$5:$Y$1004,"&lt;="&amp;_辅助!$J$2)+SUMIFS(考勤工资!$AF$5:$AF$1004,考勤工资!$C$5:$C$1004,往来单位!$B$156,考勤工资!$J$5:$J$1004,$C$3,考勤工资!$Y$5:$Y$1004,"&gt;="&amp;_辅助!$J$4,考勤工资!$Y$5:$Y$1004,"&lt;="&amp;_辅助!$J$2))</f>
        <v>0</v>
      </c>
      <c r="BE153" s="2">
        <f>BE150+SUM(CB151:CB153)</f>
        <v>0</v>
      </c>
      <c r="BF153" s="2">
        <f>IF(AND($AF$3&gt;0,发票登记!$T$156=$C$3,ISNUMBER(发票登记!$X$156),发票登记!$AB$156&lt;&gt;0,发票登记!$Y$156&gt;=_辅助!$J$4,发票登记!$Y$156&lt;=_辅助!$J$2),INT(发票登记!$X$156)*10000+152,"")</f>
      </c>
      <c r="BG153" s="2">
        <f>IF(AND($AF$3&gt;0,资金流水!$H$157=$C$3,ISNUMBER(资金流水!$B$157),ISNUMBER(资金流水!$S$157),资金流水!$S$157&gt;=_辅助!$J$4,资金流水!$S$157&lt;=_辅助!$J$2),INT(资金流水!$B$157)*10000+152,"")</f>
      </c>
      <c r="BJ153" s="2">
        <f>IF(118&gt;$BG$1,0,MOD(SMALL($BG$2:$BG$2001,118),10000))</f>
        <v>0</v>
      </c>
      <c r="CA153" s="2">
        <f t="shared" si="0"/>
        <v>0</v>
      </c>
      <c r="CB153" s="2">
        <f t="shared" si="1"/>
        <v>0</v>
      </c>
    </row>
    <row r="154">
      <c r="W154" s="95">
        <f t="shared" si="19"/>
      </c>
      <c r="X154" s="94">
        <f t="shared" si="25"/>
      </c>
      <c r="Y154" s="96">
        <f t="shared" si="26"/>
      </c>
      <c r="Z154" s="21">
        <f t="shared" si="20"/>
      </c>
      <c r="AA154" s="21">
        <f t="shared" si="21"/>
      </c>
      <c r="AB154" s="94">
        <f t="shared" si="27"/>
      </c>
      <c r="AC154" s="96">
        <f t="shared" si="28"/>
      </c>
      <c r="AD154" s="94">
        <f t="shared" si="29"/>
      </c>
      <c r="BA154" s="2">
        <f>IF(OR(往来单位!$B$157="",$AF$3=0),0,SUMIFS(期初余额!$R$5:$R$204,期初余额!$P$5:$P$204,往来单位!$B$157,期初余额!$Q$5:$Q$204,$C$3)+SUMIFS(应付登记!$G$5:$G$1004,应付登记!$D$5:$D$1004,往来单位!$B$157,应付登记!$E$5:$E$1004,$C$3,应付登记!$J$5:$J$1004,"&gt;="&amp;_辅助!$J$4,应付登记!$J$5:$J$1004,"&lt;="&amp;_辅助!$J$2))</f>
        <v>0</v>
      </c>
      <c r="BB154" s="2">
        <f>BB150+SUM(CA151:CA154)</f>
        <v>2</v>
      </c>
      <c r="BC154" s="2">
        <f>IF(OR(往来单位!$B$157="",$AF$3=0,NOT(OR(往来单位!$C$157="管理人员",往来单位!$C$157="工人"))),0,SUMIFS(考勤工资!$E$5:$E$1004,考勤工资!$C$5:$C$1004,往来单位!$B$157,考勤工资!$D$5:$D$1004,$C$3,考勤工资!$Y$5:$Y$1004,"&gt;="&amp;_辅助!$J$4,考勤工资!$Y$5:$Y$1004,"&lt;="&amp;_辅助!$J$2)+SUMIFS(考勤工资!$G$5:$G$1004,考勤工资!$C$5:$C$1004,往来单位!$B$157,考勤工资!$F$5:$F$1004,$C$3,考勤工资!$Y$5:$Y$1004,"&gt;="&amp;_辅助!$J$4,考勤工资!$Y$5:$Y$1004,"&lt;="&amp;_辅助!$J$2)+SUMIFS(考勤工资!$I$5:$I$1004,考勤工资!$C$5:$C$1004,往来单位!$B$157,考勤工资!$H$5:$H$1004,$C$3,考勤工资!$Y$5:$Y$1004,"&gt;="&amp;_辅助!$J$4,考勤工资!$Y$5:$Y$1004,"&lt;="&amp;_辅助!$J$2)+SUMIFS(考勤工资!$K$5:$K$1004,考勤工资!$C$5:$C$1004,往来单位!$B$157,考勤工资!$J$5:$J$1004,$C$3,考勤工资!$Y$5:$Y$1004,"&gt;="&amp;_辅助!$J$4,考勤工资!$Y$5:$Y$1004,"&lt;="&amp;_辅助!$J$2))</f>
        <v>0</v>
      </c>
      <c r="BD154" s="2">
        <f>IF(BC154=0,0,SUMIFS(考勤工资!$AC$5:$AC$1004,考勤工资!$C$5:$C$1004,往来单位!$B$157,考勤工资!$D$5:$D$1004,$C$3,考勤工资!$Y$5:$Y$1004,"&gt;="&amp;_辅助!$J$4,考勤工资!$Y$5:$Y$1004,"&lt;="&amp;_辅助!$J$2)+SUMIFS(考勤工资!$AD$5:$AD$1004,考勤工资!$C$5:$C$1004,往来单位!$B$157,考勤工资!$F$5:$F$1004,$C$3,考勤工资!$Y$5:$Y$1004,"&gt;="&amp;_辅助!$J$4,考勤工资!$Y$5:$Y$1004,"&lt;="&amp;_辅助!$J$2)+SUMIFS(考勤工资!$AE$5:$AE$1004,考勤工资!$C$5:$C$1004,往来单位!$B$157,考勤工资!$H$5:$H$1004,$C$3,考勤工资!$Y$5:$Y$1004,"&gt;="&amp;_辅助!$J$4,考勤工资!$Y$5:$Y$1004,"&lt;="&amp;_辅助!$J$2)+SUMIFS(考勤工资!$AF$5:$AF$1004,考勤工资!$C$5:$C$1004,往来单位!$B$157,考勤工资!$J$5:$J$1004,$C$3,考勤工资!$Y$5:$Y$1004,"&gt;="&amp;_辅助!$J$4,考勤工资!$Y$5:$Y$1004,"&lt;="&amp;_辅助!$J$2))</f>
        <v>0</v>
      </c>
      <c r="BE154" s="2">
        <f>BE150+SUM(CB151:CB154)</f>
        <v>0</v>
      </c>
      <c r="BF154" s="2">
        <f>IF(AND($AF$3&gt;0,发票登记!$T$157=$C$3,ISNUMBER(发票登记!$X$157),发票登记!$AB$157&lt;&gt;0,发票登记!$Y$157&gt;=_辅助!$J$4,发票登记!$Y$157&lt;=_辅助!$J$2),INT(发票登记!$X$157)*10000+153,"")</f>
      </c>
      <c r="BG154" s="2">
        <f>IF(AND($AF$3&gt;0,资金流水!$H$158=$C$3,ISNUMBER(资金流水!$B$158),ISNUMBER(资金流水!$S$158),资金流水!$S$158&gt;=_辅助!$J$4,资金流水!$S$158&lt;=_辅助!$J$2),INT(资金流水!$B$158)*10000+153,"")</f>
      </c>
      <c r="BJ154" s="2">
        <f>IF(119&gt;$BG$1,0,MOD(SMALL($BG$2:$BG$2001,119),10000))</f>
        <v>0</v>
      </c>
      <c r="CA154" s="2">
        <f t="shared" si="0"/>
        <v>0</v>
      </c>
      <c r="CB154" s="2">
        <f t="shared" si="1"/>
        <v>0</v>
      </c>
    </row>
    <row r="155">
      <c r="W155" s="95">
        <f t="shared" si="19"/>
      </c>
      <c r="X155" s="94">
        <f t="shared" si="25"/>
      </c>
      <c r="Y155" s="96">
        <f t="shared" si="26"/>
      </c>
      <c r="Z155" s="21">
        <f t="shared" si="20"/>
      </c>
      <c r="AA155" s="21">
        <f t="shared" si="21"/>
      </c>
      <c r="AB155" s="94">
        <f t="shared" si="27"/>
      </c>
      <c r="AC155" s="96">
        <f t="shared" si="28"/>
      </c>
      <c r="AD155" s="94">
        <f t="shared" si="29"/>
      </c>
      <c r="BA155" s="2">
        <f>IF(OR(往来单位!$B$158="",$AF$3=0),0,SUMIFS(期初余额!$R$5:$R$204,期初余额!$P$5:$P$204,往来单位!$B$158,期初余额!$Q$5:$Q$204,$C$3)+SUMIFS(应付登记!$G$5:$G$1004,应付登记!$D$5:$D$1004,往来单位!$B$158,应付登记!$E$5:$E$1004,$C$3,应付登记!$J$5:$J$1004,"&gt;="&amp;_辅助!$J$4,应付登记!$J$5:$J$1004,"&lt;="&amp;_辅助!$J$2))</f>
        <v>0</v>
      </c>
      <c r="BB155" s="2">
        <f>BB150+SUM(CA151:CA155)</f>
        <v>2</v>
      </c>
      <c r="BC155" s="2">
        <f>IF(OR(往来单位!$B$158="",$AF$3=0,NOT(OR(往来单位!$C$158="管理人员",往来单位!$C$158="工人"))),0,SUMIFS(考勤工资!$E$5:$E$1004,考勤工资!$C$5:$C$1004,往来单位!$B$158,考勤工资!$D$5:$D$1004,$C$3,考勤工资!$Y$5:$Y$1004,"&gt;="&amp;_辅助!$J$4,考勤工资!$Y$5:$Y$1004,"&lt;="&amp;_辅助!$J$2)+SUMIFS(考勤工资!$G$5:$G$1004,考勤工资!$C$5:$C$1004,往来单位!$B$158,考勤工资!$F$5:$F$1004,$C$3,考勤工资!$Y$5:$Y$1004,"&gt;="&amp;_辅助!$J$4,考勤工资!$Y$5:$Y$1004,"&lt;="&amp;_辅助!$J$2)+SUMIFS(考勤工资!$I$5:$I$1004,考勤工资!$C$5:$C$1004,往来单位!$B$158,考勤工资!$H$5:$H$1004,$C$3,考勤工资!$Y$5:$Y$1004,"&gt;="&amp;_辅助!$J$4,考勤工资!$Y$5:$Y$1004,"&lt;="&amp;_辅助!$J$2)+SUMIFS(考勤工资!$K$5:$K$1004,考勤工资!$C$5:$C$1004,往来单位!$B$158,考勤工资!$J$5:$J$1004,$C$3,考勤工资!$Y$5:$Y$1004,"&gt;="&amp;_辅助!$J$4,考勤工资!$Y$5:$Y$1004,"&lt;="&amp;_辅助!$J$2))</f>
        <v>0</v>
      </c>
      <c r="BD155" s="2">
        <f>IF(BC155=0,0,SUMIFS(考勤工资!$AC$5:$AC$1004,考勤工资!$C$5:$C$1004,往来单位!$B$158,考勤工资!$D$5:$D$1004,$C$3,考勤工资!$Y$5:$Y$1004,"&gt;="&amp;_辅助!$J$4,考勤工资!$Y$5:$Y$1004,"&lt;="&amp;_辅助!$J$2)+SUMIFS(考勤工资!$AD$5:$AD$1004,考勤工资!$C$5:$C$1004,往来单位!$B$158,考勤工资!$F$5:$F$1004,$C$3,考勤工资!$Y$5:$Y$1004,"&gt;="&amp;_辅助!$J$4,考勤工资!$Y$5:$Y$1004,"&lt;="&amp;_辅助!$J$2)+SUMIFS(考勤工资!$AE$5:$AE$1004,考勤工资!$C$5:$C$1004,往来单位!$B$158,考勤工资!$H$5:$H$1004,$C$3,考勤工资!$Y$5:$Y$1004,"&gt;="&amp;_辅助!$J$4,考勤工资!$Y$5:$Y$1004,"&lt;="&amp;_辅助!$J$2)+SUMIFS(考勤工资!$AF$5:$AF$1004,考勤工资!$C$5:$C$1004,往来单位!$B$158,考勤工资!$J$5:$J$1004,$C$3,考勤工资!$Y$5:$Y$1004,"&gt;="&amp;_辅助!$J$4,考勤工资!$Y$5:$Y$1004,"&lt;="&amp;_辅助!$J$2))</f>
        <v>0</v>
      </c>
      <c r="BE155" s="2">
        <f>BE150+SUM(CB151:CB155)</f>
        <v>0</v>
      </c>
      <c r="BF155" s="2">
        <f>IF(AND($AF$3&gt;0,发票登记!$T$158=$C$3,ISNUMBER(发票登记!$X$158),发票登记!$AB$158&lt;&gt;0,发票登记!$Y$158&gt;=_辅助!$J$4,发票登记!$Y$158&lt;=_辅助!$J$2),INT(发票登记!$X$158)*10000+154,"")</f>
      </c>
      <c r="BG155" s="2">
        <f>IF(AND($AF$3&gt;0,资金流水!$H$159=$C$3,ISNUMBER(资金流水!$B$159),ISNUMBER(资金流水!$S$159),资金流水!$S$159&gt;=_辅助!$J$4,资金流水!$S$159&lt;=_辅助!$J$2),INT(资金流水!$B$159)*10000+154,"")</f>
      </c>
      <c r="BJ155" s="2">
        <f>IF(120&gt;$BG$1,0,MOD(SMALL($BG$2:$BG$2001,120),10000))</f>
        <v>0</v>
      </c>
      <c r="CA155" s="2">
        <f t="shared" si="0"/>
        <v>0</v>
      </c>
      <c r="CB155" s="2">
        <f t="shared" si="1"/>
        <v>0</v>
      </c>
    </row>
    <row r="156">
      <c r="W156" s="95">
        <f t="shared" si="19"/>
      </c>
      <c r="X156" s="94">
        <f t="shared" si="25"/>
      </c>
      <c r="Y156" s="96">
        <f t="shared" si="26"/>
      </c>
      <c r="Z156" s="21">
        <f t="shared" si="20"/>
      </c>
      <c r="AA156" s="21">
        <f t="shared" si="21"/>
      </c>
      <c r="AB156" s="94">
        <f t="shared" si="27"/>
      </c>
      <c r="AC156" s="96">
        <f t="shared" si="28"/>
      </c>
      <c r="AD156" s="94">
        <f t="shared" si="29"/>
      </c>
      <c r="BA156" s="2">
        <f>IF(OR(往来单位!$B$159="",$AF$3=0),0,SUMIFS(期初余额!$R$5:$R$204,期初余额!$P$5:$P$204,往来单位!$B$159,期初余额!$Q$5:$Q$204,$C$3)+SUMIFS(应付登记!$G$5:$G$1004,应付登记!$D$5:$D$1004,往来单位!$B$159,应付登记!$E$5:$E$1004,$C$3,应付登记!$J$5:$J$1004,"&gt;="&amp;_辅助!$J$4,应付登记!$J$5:$J$1004,"&lt;="&amp;_辅助!$J$2))</f>
        <v>0</v>
      </c>
      <c r="BB156" s="2">
        <f>BB150+SUM(CA151:CA156)</f>
        <v>2</v>
      </c>
      <c r="BC156" s="2">
        <f>IF(OR(往来单位!$B$159="",$AF$3=0,NOT(OR(往来单位!$C$159="管理人员",往来单位!$C$159="工人"))),0,SUMIFS(考勤工资!$E$5:$E$1004,考勤工资!$C$5:$C$1004,往来单位!$B$159,考勤工资!$D$5:$D$1004,$C$3,考勤工资!$Y$5:$Y$1004,"&gt;="&amp;_辅助!$J$4,考勤工资!$Y$5:$Y$1004,"&lt;="&amp;_辅助!$J$2)+SUMIFS(考勤工资!$G$5:$G$1004,考勤工资!$C$5:$C$1004,往来单位!$B$159,考勤工资!$F$5:$F$1004,$C$3,考勤工资!$Y$5:$Y$1004,"&gt;="&amp;_辅助!$J$4,考勤工资!$Y$5:$Y$1004,"&lt;="&amp;_辅助!$J$2)+SUMIFS(考勤工资!$I$5:$I$1004,考勤工资!$C$5:$C$1004,往来单位!$B$159,考勤工资!$H$5:$H$1004,$C$3,考勤工资!$Y$5:$Y$1004,"&gt;="&amp;_辅助!$J$4,考勤工资!$Y$5:$Y$1004,"&lt;="&amp;_辅助!$J$2)+SUMIFS(考勤工资!$K$5:$K$1004,考勤工资!$C$5:$C$1004,往来单位!$B$159,考勤工资!$J$5:$J$1004,$C$3,考勤工资!$Y$5:$Y$1004,"&gt;="&amp;_辅助!$J$4,考勤工资!$Y$5:$Y$1004,"&lt;="&amp;_辅助!$J$2))</f>
        <v>0</v>
      </c>
      <c r="BD156" s="2">
        <f>IF(BC156=0,0,SUMIFS(考勤工资!$AC$5:$AC$1004,考勤工资!$C$5:$C$1004,往来单位!$B$159,考勤工资!$D$5:$D$1004,$C$3,考勤工资!$Y$5:$Y$1004,"&gt;="&amp;_辅助!$J$4,考勤工资!$Y$5:$Y$1004,"&lt;="&amp;_辅助!$J$2)+SUMIFS(考勤工资!$AD$5:$AD$1004,考勤工资!$C$5:$C$1004,往来单位!$B$159,考勤工资!$F$5:$F$1004,$C$3,考勤工资!$Y$5:$Y$1004,"&gt;="&amp;_辅助!$J$4,考勤工资!$Y$5:$Y$1004,"&lt;="&amp;_辅助!$J$2)+SUMIFS(考勤工资!$AE$5:$AE$1004,考勤工资!$C$5:$C$1004,往来单位!$B$159,考勤工资!$H$5:$H$1004,$C$3,考勤工资!$Y$5:$Y$1004,"&gt;="&amp;_辅助!$J$4,考勤工资!$Y$5:$Y$1004,"&lt;="&amp;_辅助!$J$2)+SUMIFS(考勤工资!$AF$5:$AF$1004,考勤工资!$C$5:$C$1004,往来单位!$B$159,考勤工资!$J$5:$J$1004,$C$3,考勤工资!$Y$5:$Y$1004,"&gt;="&amp;_辅助!$J$4,考勤工资!$Y$5:$Y$1004,"&lt;="&amp;_辅助!$J$2))</f>
        <v>0</v>
      </c>
      <c r="BE156" s="2">
        <f>BE150+SUM(CB151:CB156)</f>
        <v>0</v>
      </c>
      <c r="BF156" s="2">
        <f>IF(AND($AF$3&gt;0,发票登记!$T$159=$C$3,ISNUMBER(发票登记!$X$159),发票登记!$AB$159&lt;&gt;0,发票登记!$Y$159&gt;=_辅助!$J$4,发票登记!$Y$159&lt;=_辅助!$J$2),INT(发票登记!$X$159)*10000+155,"")</f>
      </c>
      <c r="BG156" s="2">
        <f>IF(AND($AF$3&gt;0,资金流水!$H$160=$C$3,ISNUMBER(资金流水!$B$160),ISNUMBER(资金流水!$S$160),资金流水!$S$160&gt;=_辅助!$J$4,资金流水!$S$160&lt;=_辅助!$J$2),INT(资金流水!$B$160)*10000+155,"")</f>
      </c>
      <c r="BJ156" s="2">
        <f>IF(121&gt;$BG$1,0,MOD(SMALL($BG$2:$BG$2001,121),10000))</f>
        <v>0</v>
      </c>
      <c r="CA156" s="2">
        <f t="shared" si="0"/>
        <v>0</v>
      </c>
      <c r="CB156" s="2">
        <f t="shared" si="1"/>
        <v>0</v>
      </c>
    </row>
    <row r="157">
      <c r="W157" s="95">
        <f t="shared" si="19"/>
      </c>
      <c r="X157" s="94">
        <f t="shared" si="25"/>
      </c>
      <c r="Y157" s="96">
        <f t="shared" si="26"/>
      </c>
      <c r="Z157" s="21">
        <f t="shared" si="20"/>
      </c>
      <c r="AA157" s="21">
        <f t="shared" si="21"/>
      </c>
      <c r="AB157" s="94">
        <f t="shared" si="27"/>
      </c>
      <c r="AC157" s="96">
        <f t="shared" si="28"/>
      </c>
      <c r="AD157" s="94">
        <f t="shared" si="29"/>
      </c>
      <c r="BA157" s="2">
        <f>IF(OR(往来单位!$B$160="",$AF$3=0),0,SUMIFS(期初余额!$R$5:$R$204,期初余额!$P$5:$P$204,往来单位!$B$160,期初余额!$Q$5:$Q$204,$C$3)+SUMIFS(应付登记!$G$5:$G$1004,应付登记!$D$5:$D$1004,往来单位!$B$160,应付登记!$E$5:$E$1004,$C$3,应付登记!$J$5:$J$1004,"&gt;="&amp;_辅助!$J$4,应付登记!$J$5:$J$1004,"&lt;="&amp;_辅助!$J$2))</f>
        <v>0</v>
      </c>
      <c r="BB157" s="2">
        <f>BB150+SUM(CA151:CA157)</f>
        <v>2</v>
      </c>
      <c r="BC157" s="2">
        <f>IF(OR(往来单位!$B$160="",$AF$3=0,NOT(OR(往来单位!$C$160="管理人员",往来单位!$C$160="工人"))),0,SUMIFS(考勤工资!$E$5:$E$1004,考勤工资!$C$5:$C$1004,往来单位!$B$160,考勤工资!$D$5:$D$1004,$C$3,考勤工资!$Y$5:$Y$1004,"&gt;="&amp;_辅助!$J$4,考勤工资!$Y$5:$Y$1004,"&lt;="&amp;_辅助!$J$2)+SUMIFS(考勤工资!$G$5:$G$1004,考勤工资!$C$5:$C$1004,往来单位!$B$160,考勤工资!$F$5:$F$1004,$C$3,考勤工资!$Y$5:$Y$1004,"&gt;="&amp;_辅助!$J$4,考勤工资!$Y$5:$Y$1004,"&lt;="&amp;_辅助!$J$2)+SUMIFS(考勤工资!$I$5:$I$1004,考勤工资!$C$5:$C$1004,往来单位!$B$160,考勤工资!$H$5:$H$1004,$C$3,考勤工资!$Y$5:$Y$1004,"&gt;="&amp;_辅助!$J$4,考勤工资!$Y$5:$Y$1004,"&lt;="&amp;_辅助!$J$2)+SUMIFS(考勤工资!$K$5:$K$1004,考勤工资!$C$5:$C$1004,往来单位!$B$160,考勤工资!$J$5:$J$1004,$C$3,考勤工资!$Y$5:$Y$1004,"&gt;="&amp;_辅助!$J$4,考勤工资!$Y$5:$Y$1004,"&lt;="&amp;_辅助!$J$2))</f>
        <v>0</v>
      </c>
      <c r="BD157" s="2">
        <f>IF(BC157=0,0,SUMIFS(考勤工资!$AC$5:$AC$1004,考勤工资!$C$5:$C$1004,往来单位!$B$160,考勤工资!$D$5:$D$1004,$C$3,考勤工资!$Y$5:$Y$1004,"&gt;="&amp;_辅助!$J$4,考勤工资!$Y$5:$Y$1004,"&lt;="&amp;_辅助!$J$2)+SUMIFS(考勤工资!$AD$5:$AD$1004,考勤工资!$C$5:$C$1004,往来单位!$B$160,考勤工资!$F$5:$F$1004,$C$3,考勤工资!$Y$5:$Y$1004,"&gt;="&amp;_辅助!$J$4,考勤工资!$Y$5:$Y$1004,"&lt;="&amp;_辅助!$J$2)+SUMIFS(考勤工资!$AE$5:$AE$1004,考勤工资!$C$5:$C$1004,往来单位!$B$160,考勤工资!$H$5:$H$1004,$C$3,考勤工资!$Y$5:$Y$1004,"&gt;="&amp;_辅助!$J$4,考勤工资!$Y$5:$Y$1004,"&lt;="&amp;_辅助!$J$2)+SUMIFS(考勤工资!$AF$5:$AF$1004,考勤工资!$C$5:$C$1004,往来单位!$B$160,考勤工资!$J$5:$J$1004,$C$3,考勤工资!$Y$5:$Y$1004,"&gt;="&amp;_辅助!$J$4,考勤工资!$Y$5:$Y$1004,"&lt;="&amp;_辅助!$J$2))</f>
        <v>0</v>
      </c>
      <c r="BE157" s="2">
        <f>BE150+SUM(CB151:CB157)</f>
        <v>0</v>
      </c>
      <c r="BF157" s="2">
        <f>IF(AND($AF$3&gt;0,发票登记!$T$160=$C$3,ISNUMBER(发票登记!$X$160),发票登记!$AB$160&lt;&gt;0,发票登记!$Y$160&gt;=_辅助!$J$4,发票登记!$Y$160&lt;=_辅助!$J$2),INT(发票登记!$X$160)*10000+156,"")</f>
      </c>
      <c r="BG157" s="2">
        <f>IF(AND($AF$3&gt;0,资金流水!$H$161=$C$3,ISNUMBER(资金流水!$B$161),ISNUMBER(资金流水!$S$161),资金流水!$S$161&gt;=_辅助!$J$4,资金流水!$S$161&lt;=_辅助!$J$2),INT(资金流水!$B$161)*10000+156,"")</f>
      </c>
      <c r="BJ157" s="2">
        <f>IF(122&gt;$BG$1,0,MOD(SMALL($BG$2:$BG$2001,122),10000))</f>
        <v>0</v>
      </c>
      <c r="CA157" s="2">
        <f t="shared" si="0"/>
        <v>0</v>
      </c>
      <c r="CB157" s="2">
        <f t="shared" si="1"/>
        <v>0</v>
      </c>
    </row>
    <row r="158">
      <c r="W158" s="95">
        <f t="shared" si="19"/>
      </c>
      <c r="X158" s="94">
        <f t="shared" si="25"/>
      </c>
      <c r="Y158" s="96">
        <f t="shared" si="26"/>
      </c>
      <c r="Z158" s="21">
        <f t="shared" si="20"/>
      </c>
      <c r="AA158" s="21">
        <f t="shared" si="21"/>
      </c>
      <c r="AB158" s="94">
        <f t="shared" si="27"/>
      </c>
      <c r="AC158" s="96">
        <f t="shared" si="28"/>
      </c>
      <c r="AD158" s="94">
        <f t="shared" si="29"/>
      </c>
      <c r="BA158" s="2">
        <f>IF(OR(往来单位!$B$161="",$AF$3=0),0,SUMIFS(期初余额!$R$5:$R$204,期初余额!$P$5:$P$204,往来单位!$B$161,期初余额!$Q$5:$Q$204,$C$3)+SUMIFS(应付登记!$G$5:$G$1004,应付登记!$D$5:$D$1004,往来单位!$B$161,应付登记!$E$5:$E$1004,$C$3,应付登记!$J$5:$J$1004,"&gt;="&amp;_辅助!$J$4,应付登记!$J$5:$J$1004,"&lt;="&amp;_辅助!$J$2))</f>
        <v>0</v>
      </c>
      <c r="BB158" s="2">
        <f>BB150+SUM(CA151:CA158)</f>
        <v>2</v>
      </c>
      <c r="BC158" s="2">
        <f>IF(OR(往来单位!$B$161="",$AF$3=0,NOT(OR(往来单位!$C$161="管理人员",往来单位!$C$161="工人"))),0,SUMIFS(考勤工资!$E$5:$E$1004,考勤工资!$C$5:$C$1004,往来单位!$B$161,考勤工资!$D$5:$D$1004,$C$3,考勤工资!$Y$5:$Y$1004,"&gt;="&amp;_辅助!$J$4,考勤工资!$Y$5:$Y$1004,"&lt;="&amp;_辅助!$J$2)+SUMIFS(考勤工资!$G$5:$G$1004,考勤工资!$C$5:$C$1004,往来单位!$B$161,考勤工资!$F$5:$F$1004,$C$3,考勤工资!$Y$5:$Y$1004,"&gt;="&amp;_辅助!$J$4,考勤工资!$Y$5:$Y$1004,"&lt;="&amp;_辅助!$J$2)+SUMIFS(考勤工资!$I$5:$I$1004,考勤工资!$C$5:$C$1004,往来单位!$B$161,考勤工资!$H$5:$H$1004,$C$3,考勤工资!$Y$5:$Y$1004,"&gt;="&amp;_辅助!$J$4,考勤工资!$Y$5:$Y$1004,"&lt;="&amp;_辅助!$J$2)+SUMIFS(考勤工资!$K$5:$K$1004,考勤工资!$C$5:$C$1004,往来单位!$B$161,考勤工资!$J$5:$J$1004,$C$3,考勤工资!$Y$5:$Y$1004,"&gt;="&amp;_辅助!$J$4,考勤工资!$Y$5:$Y$1004,"&lt;="&amp;_辅助!$J$2))</f>
        <v>0</v>
      </c>
      <c r="BD158" s="2">
        <f>IF(BC158=0,0,SUMIFS(考勤工资!$AC$5:$AC$1004,考勤工资!$C$5:$C$1004,往来单位!$B$161,考勤工资!$D$5:$D$1004,$C$3,考勤工资!$Y$5:$Y$1004,"&gt;="&amp;_辅助!$J$4,考勤工资!$Y$5:$Y$1004,"&lt;="&amp;_辅助!$J$2)+SUMIFS(考勤工资!$AD$5:$AD$1004,考勤工资!$C$5:$C$1004,往来单位!$B$161,考勤工资!$F$5:$F$1004,$C$3,考勤工资!$Y$5:$Y$1004,"&gt;="&amp;_辅助!$J$4,考勤工资!$Y$5:$Y$1004,"&lt;="&amp;_辅助!$J$2)+SUMIFS(考勤工资!$AE$5:$AE$1004,考勤工资!$C$5:$C$1004,往来单位!$B$161,考勤工资!$H$5:$H$1004,$C$3,考勤工资!$Y$5:$Y$1004,"&gt;="&amp;_辅助!$J$4,考勤工资!$Y$5:$Y$1004,"&lt;="&amp;_辅助!$J$2)+SUMIFS(考勤工资!$AF$5:$AF$1004,考勤工资!$C$5:$C$1004,往来单位!$B$161,考勤工资!$J$5:$J$1004,$C$3,考勤工资!$Y$5:$Y$1004,"&gt;="&amp;_辅助!$J$4,考勤工资!$Y$5:$Y$1004,"&lt;="&amp;_辅助!$J$2))</f>
        <v>0</v>
      </c>
      <c r="BE158" s="2">
        <f>BE150+SUM(CB151:CB158)</f>
        <v>0</v>
      </c>
      <c r="BF158" s="2">
        <f>IF(AND($AF$3&gt;0,发票登记!$T$161=$C$3,ISNUMBER(发票登记!$X$161),发票登记!$AB$161&lt;&gt;0,发票登记!$Y$161&gt;=_辅助!$J$4,发票登记!$Y$161&lt;=_辅助!$J$2),INT(发票登记!$X$161)*10000+157,"")</f>
      </c>
      <c r="BG158" s="2">
        <f>IF(AND($AF$3&gt;0,资金流水!$H$162=$C$3,ISNUMBER(资金流水!$B$162),ISNUMBER(资金流水!$S$162),资金流水!$S$162&gt;=_辅助!$J$4,资金流水!$S$162&lt;=_辅助!$J$2),INT(资金流水!$B$162)*10000+157,"")</f>
        <v>462050157</v>
      </c>
      <c r="BJ158" s="2">
        <f>IF(123&gt;$BG$1,0,MOD(SMALL($BG$2:$BG$2001,123),10000))</f>
        <v>0</v>
      </c>
      <c r="CA158" s="2">
        <f t="shared" si="0"/>
        <v>0</v>
      </c>
      <c r="CB158" s="2">
        <f t="shared" si="1"/>
        <v>0</v>
      </c>
    </row>
    <row r="159">
      <c r="W159" s="95">
        <f t="shared" si="19"/>
      </c>
      <c r="X159" s="94">
        <f t="shared" si="25"/>
      </c>
      <c r="Y159" s="96">
        <f t="shared" si="26"/>
      </c>
      <c r="Z159" s="21">
        <f t="shared" si="20"/>
      </c>
      <c r="AA159" s="21">
        <f t="shared" si="21"/>
      </c>
      <c r="AB159" s="94">
        <f t="shared" si="27"/>
      </c>
      <c r="AC159" s="96">
        <f t="shared" si="28"/>
      </c>
      <c r="AD159" s="94">
        <f t="shared" si="29"/>
      </c>
      <c r="BA159" s="2">
        <f>IF(OR(往来单位!$B$162="",$AF$3=0),0,SUMIFS(期初余额!$R$5:$R$204,期初余额!$P$5:$P$204,往来单位!$B$162,期初余额!$Q$5:$Q$204,$C$3)+SUMIFS(应付登记!$G$5:$G$1004,应付登记!$D$5:$D$1004,往来单位!$B$162,应付登记!$E$5:$E$1004,$C$3,应付登记!$J$5:$J$1004,"&gt;="&amp;_辅助!$J$4,应付登记!$J$5:$J$1004,"&lt;="&amp;_辅助!$J$2))</f>
        <v>0</v>
      </c>
      <c r="BB159" s="2">
        <f>BB150+SUM(CA151:CA159)</f>
        <v>2</v>
      </c>
      <c r="BC159" s="2">
        <f>IF(OR(往来单位!$B$162="",$AF$3=0,NOT(OR(往来单位!$C$162="管理人员",往来单位!$C$162="工人"))),0,SUMIFS(考勤工资!$E$5:$E$1004,考勤工资!$C$5:$C$1004,往来单位!$B$162,考勤工资!$D$5:$D$1004,$C$3,考勤工资!$Y$5:$Y$1004,"&gt;="&amp;_辅助!$J$4,考勤工资!$Y$5:$Y$1004,"&lt;="&amp;_辅助!$J$2)+SUMIFS(考勤工资!$G$5:$G$1004,考勤工资!$C$5:$C$1004,往来单位!$B$162,考勤工资!$F$5:$F$1004,$C$3,考勤工资!$Y$5:$Y$1004,"&gt;="&amp;_辅助!$J$4,考勤工资!$Y$5:$Y$1004,"&lt;="&amp;_辅助!$J$2)+SUMIFS(考勤工资!$I$5:$I$1004,考勤工资!$C$5:$C$1004,往来单位!$B$162,考勤工资!$H$5:$H$1004,$C$3,考勤工资!$Y$5:$Y$1004,"&gt;="&amp;_辅助!$J$4,考勤工资!$Y$5:$Y$1004,"&lt;="&amp;_辅助!$J$2)+SUMIFS(考勤工资!$K$5:$K$1004,考勤工资!$C$5:$C$1004,往来单位!$B$162,考勤工资!$J$5:$J$1004,$C$3,考勤工资!$Y$5:$Y$1004,"&gt;="&amp;_辅助!$J$4,考勤工资!$Y$5:$Y$1004,"&lt;="&amp;_辅助!$J$2))</f>
        <v>0</v>
      </c>
      <c r="BD159" s="2">
        <f>IF(BC159=0,0,SUMIFS(考勤工资!$AC$5:$AC$1004,考勤工资!$C$5:$C$1004,往来单位!$B$162,考勤工资!$D$5:$D$1004,$C$3,考勤工资!$Y$5:$Y$1004,"&gt;="&amp;_辅助!$J$4,考勤工资!$Y$5:$Y$1004,"&lt;="&amp;_辅助!$J$2)+SUMIFS(考勤工资!$AD$5:$AD$1004,考勤工资!$C$5:$C$1004,往来单位!$B$162,考勤工资!$F$5:$F$1004,$C$3,考勤工资!$Y$5:$Y$1004,"&gt;="&amp;_辅助!$J$4,考勤工资!$Y$5:$Y$1004,"&lt;="&amp;_辅助!$J$2)+SUMIFS(考勤工资!$AE$5:$AE$1004,考勤工资!$C$5:$C$1004,往来单位!$B$162,考勤工资!$H$5:$H$1004,$C$3,考勤工资!$Y$5:$Y$1004,"&gt;="&amp;_辅助!$J$4,考勤工资!$Y$5:$Y$1004,"&lt;="&amp;_辅助!$J$2)+SUMIFS(考勤工资!$AF$5:$AF$1004,考勤工资!$C$5:$C$1004,往来单位!$B$162,考勤工资!$J$5:$J$1004,$C$3,考勤工资!$Y$5:$Y$1004,"&gt;="&amp;_辅助!$J$4,考勤工资!$Y$5:$Y$1004,"&lt;="&amp;_辅助!$J$2))</f>
        <v>0</v>
      </c>
      <c r="BE159" s="2">
        <f>BE150+SUM(CB151:CB159)</f>
        <v>0</v>
      </c>
      <c r="BF159" s="2">
        <f>IF(AND($AF$3&gt;0,发票登记!$T$162=$C$3,ISNUMBER(发票登记!$X$162),发票登记!$AB$162&lt;&gt;0,发票登记!$Y$162&gt;=_辅助!$J$4,发票登记!$Y$162&lt;=_辅助!$J$2),INT(发票登记!$X$162)*10000+158,"")</f>
      </c>
      <c r="BG159" s="2">
        <f>IF(AND($AF$3&gt;0,资金流水!$H$163=$C$3,ISNUMBER(资金流水!$B$163),ISNUMBER(资金流水!$S$163),资金流水!$S$163&gt;=_辅助!$J$4,资金流水!$S$163&lt;=_辅助!$J$2),INT(资金流水!$B$163)*10000+158,"")</f>
      </c>
      <c r="BJ159" s="2">
        <f>IF(124&gt;$BG$1,0,MOD(SMALL($BG$2:$BG$2001,124),10000))</f>
        <v>0</v>
      </c>
      <c r="CA159" s="2">
        <f t="shared" si="0"/>
        <v>0</v>
      </c>
      <c r="CB159" s="2">
        <f t="shared" si="1"/>
        <v>0</v>
      </c>
    </row>
    <row r="160">
      <c r="W160" s="95">
        <f t="shared" si="19"/>
      </c>
      <c r="X160" s="94">
        <f t="shared" si="25"/>
      </c>
      <c r="Y160" s="96">
        <f t="shared" si="26"/>
      </c>
      <c r="Z160" s="21">
        <f t="shared" si="20"/>
      </c>
      <c r="AA160" s="21">
        <f t="shared" si="21"/>
      </c>
      <c r="AB160" s="94">
        <f t="shared" si="27"/>
      </c>
      <c r="AC160" s="96">
        <f t="shared" si="28"/>
      </c>
      <c r="AD160" s="94">
        <f t="shared" si="29"/>
      </c>
      <c r="BA160" s="2">
        <f>IF(OR(往来单位!$B$163="",$AF$3=0),0,SUMIFS(期初余额!$R$5:$R$204,期初余额!$P$5:$P$204,往来单位!$B$163,期初余额!$Q$5:$Q$204,$C$3)+SUMIFS(应付登记!$G$5:$G$1004,应付登记!$D$5:$D$1004,往来单位!$B$163,应付登记!$E$5:$E$1004,$C$3,应付登记!$J$5:$J$1004,"&gt;="&amp;_辅助!$J$4,应付登记!$J$5:$J$1004,"&lt;="&amp;_辅助!$J$2))</f>
        <v>0</v>
      </c>
      <c r="BB160" s="2">
        <f>BB150+SUM(CA151:CA160)</f>
        <v>2</v>
      </c>
      <c r="BC160" s="2">
        <f>IF(OR(往来单位!$B$163="",$AF$3=0,NOT(OR(往来单位!$C$163="管理人员",往来单位!$C$163="工人"))),0,SUMIFS(考勤工资!$E$5:$E$1004,考勤工资!$C$5:$C$1004,往来单位!$B$163,考勤工资!$D$5:$D$1004,$C$3,考勤工资!$Y$5:$Y$1004,"&gt;="&amp;_辅助!$J$4,考勤工资!$Y$5:$Y$1004,"&lt;="&amp;_辅助!$J$2)+SUMIFS(考勤工资!$G$5:$G$1004,考勤工资!$C$5:$C$1004,往来单位!$B$163,考勤工资!$F$5:$F$1004,$C$3,考勤工资!$Y$5:$Y$1004,"&gt;="&amp;_辅助!$J$4,考勤工资!$Y$5:$Y$1004,"&lt;="&amp;_辅助!$J$2)+SUMIFS(考勤工资!$I$5:$I$1004,考勤工资!$C$5:$C$1004,往来单位!$B$163,考勤工资!$H$5:$H$1004,$C$3,考勤工资!$Y$5:$Y$1004,"&gt;="&amp;_辅助!$J$4,考勤工资!$Y$5:$Y$1004,"&lt;="&amp;_辅助!$J$2)+SUMIFS(考勤工资!$K$5:$K$1004,考勤工资!$C$5:$C$1004,往来单位!$B$163,考勤工资!$J$5:$J$1004,$C$3,考勤工资!$Y$5:$Y$1004,"&gt;="&amp;_辅助!$J$4,考勤工资!$Y$5:$Y$1004,"&lt;="&amp;_辅助!$J$2))</f>
        <v>0</v>
      </c>
      <c r="BD160" s="2">
        <f>IF(BC160=0,0,SUMIFS(考勤工资!$AC$5:$AC$1004,考勤工资!$C$5:$C$1004,往来单位!$B$163,考勤工资!$D$5:$D$1004,$C$3,考勤工资!$Y$5:$Y$1004,"&gt;="&amp;_辅助!$J$4,考勤工资!$Y$5:$Y$1004,"&lt;="&amp;_辅助!$J$2)+SUMIFS(考勤工资!$AD$5:$AD$1004,考勤工资!$C$5:$C$1004,往来单位!$B$163,考勤工资!$F$5:$F$1004,$C$3,考勤工资!$Y$5:$Y$1004,"&gt;="&amp;_辅助!$J$4,考勤工资!$Y$5:$Y$1004,"&lt;="&amp;_辅助!$J$2)+SUMIFS(考勤工资!$AE$5:$AE$1004,考勤工资!$C$5:$C$1004,往来单位!$B$163,考勤工资!$H$5:$H$1004,$C$3,考勤工资!$Y$5:$Y$1004,"&gt;="&amp;_辅助!$J$4,考勤工资!$Y$5:$Y$1004,"&lt;="&amp;_辅助!$J$2)+SUMIFS(考勤工资!$AF$5:$AF$1004,考勤工资!$C$5:$C$1004,往来单位!$B$163,考勤工资!$J$5:$J$1004,$C$3,考勤工资!$Y$5:$Y$1004,"&gt;="&amp;_辅助!$J$4,考勤工资!$Y$5:$Y$1004,"&lt;="&amp;_辅助!$J$2))</f>
        <v>0</v>
      </c>
      <c r="BE160" s="2">
        <f>BE150+SUM(CB151:CB160)</f>
        <v>0</v>
      </c>
      <c r="BF160" s="2">
        <f>IF(AND($AF$3&gt;0,发票登记!$T$163=$C$3,ISNUMBER(发票登记!$X$163),发票登记!$AB$163&lt;&gt;0,发票登记!$Y$163&gt;=_辅助!$J$4,发票登记!$Y$163&lt;=_辅助!$J$2),INT(发票登记!$X$163)*10000+159,"")</f>
      </c>
      <c r="BG160" s="2">
        <f>IF(AND($AF$3&gt;0,资金流水!$H$164=$C$3,ISNUMBER(资金流水!$B$164),ISNUMBER(资金流水!$S$164),资金流水!$S$164&gt;=_辅助!$J$4,资金流水!$S$164&lt;=_辅助!$J$2),INT(资金流水!$B$164)*10000+159,"")</f>
      </c>
      <c r="BJ160" s="2">
        <f>IF(125&gt;$BG$1,0,MOD(SMALL($BG$2:$BG$2001,125),10000))</f>
        <v>0</v>
      </c>
      <c r="CA160" s="2">
        <f t="shared" si="0"/>
        <v>0</v>
      </c>
      <c r="CB160" s="2">
        <f t="shared" si="1"/>
        <v>0</v>
      </c>
    </row>
    <row r="161">
      <c r="W161" s="95">
        <f t="shared" si="19"/>
      </c>
      <c r="X161" s="94">
        <f t="shared" si="25"/>
      </c>
      <c r="Y161" s="96">
        <f t="shared" si="26"/>
      </c>
      <c r="Z161" s="21">
        <f t="shared" si="20"/>
      </c>
      <c r="AA161" s="21">
        <f t="shared" si="21"/>
      </c>
      <c r="AB161" s="94">
        <f t="shared" si="27"/>
      </c>
      <c r="AC161" s="96">
        <f t="shared" si="28"/>
      </c>
      <c r="AD161" s="94">
        <f t="shared" si="29"/>
      </c>
      <c r="BA161" s="2">
        <f>IF(OR(往来单位!$B$164="",$AF$3=0),0,SUMIFS(期初余额!$R$5:$R$204,期初余额!$P$5:$P$204,往来单位!$B$164,期初余额!$Q$5:$Q$204,$C$3)+SUMIFS(应付登记!$G$5:$G$1004,应付登记!$D$5:$D$1004,往来单位!$B$164,应付登记!$E$5:$E$1004,$C$3,应付登记!$J$5:$J$1004,"&gt;="&amp;_辅助!$J$4,应付登记!$J$5:$J$1004,"&lt;="&amp;_辅助!$J$2))</f>
        <v>0</v>
      </c>
      <c r="BB161" s="2">
        <f>BB150+SUM(CA151:CA161)</f>
        <v>2</v>
      </c>
      <c r="BC161" s="2">
        <f>IF(OR(往来单位!$B$164="",$AF$3=0,NOT(OR(往来单位!$C$164="管理人员",往来单位!$C$164="工人"))),0,SUMIFS(考勤工资!$E$5:$E$1004,考勤工资!$C$5:$C$1004,往来单位!$B$164,考勤工资!$D$5:$D$1004,$C$3,考勤工资!$Y$5:$Y$1004,"&gt;="&amp;_辅助!$J$4,考勤工资!$Y$5:$Y$1004,"&lt;="&amp;_辅助!$J$2)+SUMIFS(考勤工资!$G$5:$G$1004,考勤工资!$C$5:$C$1004,往来单位!$B$164,考勤工资!$F$5:$F$1004,$C$3,考勤工资!$Y$5:$Y$1004,"&gt;="&amp;_辅助!$J$4,考勤工资!$Y$5:$Y$1004,"&lt;="&amp;_辅助!$J$2)+SUMIFS(考勤工资!$I$5:$I$1004,考勤工资!$C$5:$C$1004,往来单位!$B$164,考勤工资!$H$5:$H$1004,$C$3,考勤工资!$Y$5:$Y$1004,"&gt;="&amp;_辅助!$J$4,考勤工资!$Y$5:$Y$1004,"&lt;="&amp;_辅助!$J$2)+SUMIFS(考勤工资!$K$5:$K$1004,考勤工资!$C$5:$C$1004,往来单位!$B$164,考勤工资!$J$5:$J$1004,$C$3,考勤工资!$Y$5:$Y$1004,"&gt;="&amp;_辅助!$J$4,考勤工资!$Y$5:$Y$1004,"&lt;="&amp;_辅助!$J$2))</f>
        <v>0</v>
      </c>
      <c r="BD161" s="2">
        <f>IF(BC161=0,0,SUMIFS(考勤工资!$AC$5:$AC$1004,考勤工资!$C$5:$C$1004,往来单位!$B$164,考勤工资!$D$5:$D$1004,$C$3,考勤工资!$Y$5:$Y$1004,"&gt;="&amp;_辅助!$J$4,考勤工资!$Y$5:$Y$1004,"&lt;="&amp;_辅助!$J$2)+SUMIFS(考勤工资!$AD$5:$AD$1004,考勤工资!$C$5:$C$1004,往来单位!$B$164,考勤工资!$F$5:$F$1004,$C$3,考勤工资!$Y$5:$Y$1004,"&gt;="&amp;_辅助!$J$4,考勤工资!$Y$5:$Y$1004,"&lt;="&amp;_辅助!$J$2)+SUMIFS(考勤工资!$AE$5:$AE$1004,考勤工资!$C$5:$C$1004,往来单位!$B$164,考勤工资!$H$5:$H$1004,$C$3,考勤工资!$Y$5:$Y$1004,"&gt;="&amp;_辅助!$J$4,考勤工资!$Y$5:$Y$1004,"&lt;="&amp;_辅助!$J$2)+SUMIFS(考勤工资!$AF$5:$AF$1004,考勤工资!$C$5:$C$1004,往来单位!$B$164,考勤工资!$J$5:$J$1004,$C$3,考勤工资!$Y$5:$Y$1004,"&gt;="&amp;_辅助!$J$4,考勤工资!$Y$5:$Y$1004,"&lt;="&amp;_辅助!$J$2))</f>
        <v>0</v>
      </c>
      <c r="BE161" s="2">
        <f>BE150+SUM(CB151:CB161)</f>
        <v>0</v>
      </c>
      <c r="BF161" s="2">
        <f>IF(AND($AF$3&gt;0,发票登记!$T$164=$C$3,ISNUMBER(发票登记!$X$164),发票登记!$AB$164&lt;&gt;0,发票登记!$Y$164&gt;=_辅助!$J$4,发票登记!$Y$164&lt;=_辅助!$J$2),INT(发票登记!$X$164)*10000+160,"")</f>
      </c>
      <c r="BG161" s="2">
        <f>IF(AND($AF$3&gt;0,资金流水!$H$165=$C$3,ISNUMBER(资金流水!$B$165),ISNUMBER(资金流水!$S$165),资金流水!$S$165&gt;=_辅助!$J$4,资金流水!$S$165&lt;=_辅助!$J$2),INT(资金流水!$B$165)*10000+160,"")</f>
      </c>
      <c r="BJ161" s="2">
        <f>IF(126&gt;$BG$1,0,MOD(SMALL($BG$2:$BG$2001,126),10000))</f>
        <v>0</v>
      </c>
      <c r="CA161" s="2">
        <f t="shared" si="0"/>
        <v>0</v>
      </c>
      <c r="CB161" s="2">
        <f t="shared" si="1"/>
        <v>0</v>
      </c>
    </row>
    <row r="162">
      <c r="W162" s="95">
        <f t="shared" si="19"/>
      </c>
      <c r="X162" s="94">
        <f t="shared" si="25"/>
      </c>
      <c r="Y162" s="96">
        <f t="shared" si="26"/>
      </c>
      <c r="Z162" s="21">
        <f t="shared" si="20"/>
      </c>
      <c r="AA162" s="21">
        <f t="shared" si="21"/>
      </c>
      <c r="AB162" s="94">
        <f t="shared" si="27"/>
      </c>
      <c r="AC162" s="96">
        <f t="shared" si="28"/>
      </c>
      <c r="AD162" s="94">
        <f t="shared" si="29"/>
      </c>
      <c r="BA162" s="2">
        <f>IF(OR(往来单位!$B$165="",$AF$3=0),0,SUMIFS(期初余额!$R$5:$R$204,期初余额!$P$5:$P$204,往来单位!$B$165,期初余额!$Q$5:$Q$204,$C$3)+SUMIFS(应付登记!$G$5:$G$1004,应付登记!$D$5:$D$1004,往来单位!$B$165,应付登记!$E$5:$E$1004,$C$3,应付登记!$J$5:$J$1004,"&gt;="&amp;_辅助!$J$4,应付登记!$J$5:$J$1004,"&lt;="&amp;_辅助!$J$2))</f>
        <v>0</v>
      </c>
      <c r="BB162" s="2">
        <f>BB150+SUM(CA151:CA162)</f>
        <v>2</v>
      </c>
      <c r="BC162" s="2">
        <f>IF(OR(往来单位!$B$165="",$AF$3=0,NOT(OR(往来单位!$C$165="管理人员",往来单位!$C$165="工人"))),0,SUMIFS(考勤工资!$E$5:$E$1004,考勤工资!$C$5:$C$1004,往来单位!$B$165,考勤工资!$D$5:$D$1004,$C$3,考勤工资!$Y$5:$Y$1004,"&gt;="&amp;_辅助!$J$4,考勤工资!$Y$5:$Y$1004,"&lt;="&amp;_辅助!$J$2)+SUMIFS(考勤工资!$G$5:$G$1004,考勤工资!$C$5:$C$1004,往来单位!$B$165,考勤工资!$F$5:$F$1004,$C$3,考勤工资!$Y$5:$Y$1004,"&gt;="&amp;_辅助!$J$4,考勤工资!$Y$5:$Y$1004,"&lt;="&amp;_辅助!$J$2)+SUMIFS(考勤工资!$I$5:$I$1004,考勤工资!$C$5:$C$1004,往来单位!$B$165,考勤工资!$H$5:$H$1004,$C$3,考勤工资!$Y$5:$Y$1004,"&gt;="&amp;_辅助!$J$4,考勤工资!$Y$5:$Y$1004,"&lt;="&amp;_辅助!$J$2)+SUMIFS(考勤工资!$K$5:$K$1004,考勤工资!$C$5:$C$1004,往来单位!$B$165,考勤工资!$J$5:$J$1004,$C$3,考勤工资!$Y$5:$Y$1004,"&gt;="&amp;_辅助!$J$4,考勤工资!$Y$5:$Y$1004,"&lt;="&amp;_辅助!$J$2))</f>
        <v>0</v>
      </c>
      <c r="BD162" s="2">
        <f>IF(BC162=0,0,SUMIFS(考勤工资!$AC$5:$AC$1004,考勤工资!$C$5:$C$1004,往来单位!$B$165,考勤工资!$D$5:$D$1004,$C$3,考勤工资!$Y$5:$Y$1004,"&gt;="&amp;_辅助!$J$4,考勤工资!$Y$5:$Y$1004,"&lt;="&amp;_辅助!$J$2)+SUMIFS(考勤工资!$AD$5:$AD$1004,考勤工资!$C$5:$C$1004,往来单位!$B$165,考勤工资!$F$5:$F$1004,$C$3,考勤工资!$Y$5:$Y$1004,"&gt;="&amp;_辅助!$J$4,考勤工资!$Y$5:$Y$1004,"&lt;="&amp;_辅助!$J$2)+SUMIFS(考勤工资!$AE$5:$AE$1004,考勤工资!$C$5:$C$1004,往来单位!$B$165,考勤工资!$H$5:$H$1004,$C$3,考勤工资!$Y$5:$Y$1004,"&gt;="&amp;_辅助!$J$4,考勤工资!$Y$5:$Y$1004,"&lt;="&amp;_辅助!$J$2)+SUMIFS(考勤工资!$AF$5:$AF$1004,考勤工资!$C$5:$C$1004,往来单位!$B$165,考勤工资!$J$5:$J$1004,$C$3,考勤工资!$Y$5:$Y$1004,"&gt;="&amp;_辅助!$J$4,考勤工资!$Y$5:$Y$1004,"&lt;="&amp;_辅助!$J$2))</f>
        <v>0</v>
      </c>
      <c r="BE162" s="2">
        <f>BE150+SUM(CB151:CB162)</f>
        <v>0</v>
      </c>
      <c r="BF162" s="2">
        <f>IF(AND($AF$3&gt;0,发票登记!$T$165=$C$3,ISNUMBER(发票登记!$X$165),发票登记!$AB$165&lt;&gt;0,发票登记!$Y$165&gt;=_辅助!$J$4,发票登记!$Y$165&lt;=_辅助!$J$2),INT(发票登记!$X$165)*10000+161,"")</f>
      </c>
      <c r="BG162" s="2">
        <f>IF(AND($AF$3&gt;0,资金流水!$H$166=$C$3,ISNUMBER(资金流水!$B$166),ISNUMBER(资金流水!$S$166),资金流水!$S$166&gt;=_辅助!$J$4,资金流水!$S$166&lt;=_辅助!$J$2),INT(资金流水!$B$166)*10000+161,"")</f>
      </c>
      <c r="BJ162" s="2">
        <f>IF(127&gt;$BG$1,0,MOD(SMALL($BG$2:$BG$2001,127),10000))</f>
        <v>0</v>
      </c>
      <c r="CA162" s="2">
        <f t="shared" si="0"/>
        <v>0</v>
      </c>
      <c r="CB162" s="2">
        <f t="shared" si="1"/>
        <v>0</v>
      </c>
    </row>
    <row r="163">
      <c r="W163" s="95">
        <f t="shared" si="19"/>
      </c>
      <c r="X163" s="94">
        <f t="shared" si="25"/>
      </c>
      <c r="Y163" s="96">
        <f t="shared" si="26"/>
      </c>
      <c r="Z163" s="21">
        <f t="shared" si="20"/>
      </c>
      <c r="AA163" s="21">
        <f t="shared" si="21"/>
      </c>
      <c r="AB163" s="94">
        <f t="shared" si="27"/>
      </c>
      <c r="AC163" s="96">
        <f t="shared" si="28"/>
      </c>
      <c r="AD163" s="94">
        <f t="shared" si="29"/>
      </c>
      <c r="BA163" s="2">
        <f>IF(OR(往来单位!$B$166="",$AF$3=0),0,SUMIFS(期初余额!$R$5:$R$204,期初余额!$P$5:$P$204,往来单位!$B$166,期初余额!$Q$5:$Q$204,$C$3)+SUMIFS(应付登记!$G$5:$G$1004,应付登记!$D$5:$D$1004,往来单位!$B$166,应付登记!$E$5:$E$1004,$C$3,应付登记!$J$5:$J$1004,"&gt;="&amp;_辅助!$J$4,应付登记!$J$5:$J$1004,"&lt;="&amp;_辅助!$J$2))</f>
        <v>0</v>
      </c>
      <c r="BB163" s="2">
        <f>BB150+SUM(CA151:CA163)</f>
        <v>2</v>
      </c>
      <c r="BC163" s="2">
        <f>IF(OR(往来单位!$B$166="",$AF$3=0,NOT(OR(往来单位!$C$166="管理人员",往来单位!$C$166="工人"))),0,SUMIFS(考勤工资!$E$5:$E$1004,考勤工资!$C$5:$C$1004,往来单位!$B$166,考勤工资!$D$5:$D$1004,$C$3,考勤工资!$Y$5:$Y$1004,"&gt;="&amp;_辅助!$J$4,考勤工资!$Y$5:$Y$1004,"&lt;="&amp;_辅助!$J$2)+SUMIFS(考勤工资!$G$5:$G$1004,考勤工资!$C$5:$C$1004,往来单位!$B$166,考勤工资!$F$5:$F$1004,$C$3,考勤工资!$Y$5:$Y$1004,"&gt;="&amp;_辅助!$J$4,考勤工资!$Y$5:$Y$1004,"&lt;="&amp;_辅助!$J$2)+SUMIFS(考勤工资!$I$5:$I$1004,考勤工资!$C$5:$C$1004,往来单位!$B$166,考勤工资!$H$5:$H$1004,$C$3,考勤工资!$Y$5:$Y$1004,"&gt;="&amp;_辅助!$J$4,考勤工资!$Y$5:$Y$1004,"&lt;="&amp;_辅助!$J$2)+SUMIFS(考勤工资!$K$5:$K$1004,考勤工资!$C$5:$C$1004,往来单位!$B$166,考勤工资!$J$5:$J$1004,$C$3,考勤工资!$Y$5:$Y$1004,"&gt;="&amp;_辅助!$J$4,考勤工资!$Y$5:$Y$1004,"&lt;="&amp;_辅助!$J$2))</f>
        <v>0</v>
      </c>
      <c r="BD163" s="2">
        <f>IF(BC163=0,0,SUMIFS(考勤工资!$AC$5:$AC$1004,考勤工资!$C$5:$C$1004,往来单位!$B$166,考勤工资!$D$5:$D$1004,$C$3,考勤工资!$Y$5:$Y$1004,"&gt;="&amp;_辅助!$J$4,考勤工资!$Y$5:$Y$1004,"&lt;="&amp;_辅助!$J$2)+SUMIFS(考勤工资!$AD$5:$AD$1004,考勤工资!$C$5:$C$1004,往来单位!$B$166,考勤工资!$F$5:$F$1004,$C$3,考勤工资!$Y$5:$Y$1004,"&gt;="&amp;_辅助!$J$4,考勤工资!$Y$5:$Y$1004,"&lt;="&amp;_辅助!$J$2)+SUMIFS(考勤工资!$AE$5:$AE$1004,考勤工资!$C$5:$C$1004,往来单位!$B$166,考勤工资!$H$5:$H$1004,$C$3,考勤工资!$Y$5:$Y$1004,"&gt;="&amp;_辅助!$J$4,考勤工资!$Y$5:$Y$1004,"&lt;="&amp;_辅助!$J$2)+SUMIFS(考勤工资!$AF$5:$AF$1004,考勤工资!$C$5:$C$1004,往来单位!$B$166,考勤工资!$J$5:$J$1004,$C$3,考勤工资!$Y$5:$Y$1004,"&gt;="&amp;_辅助!$J$4,考勤工资!$Y$5:$Y$1004,"&lt;="&amp;_辅助!$J$2))</f>
        <v>0</v>
      </c>
      <c r="BE163" s="2">
        <f>BE150+SUM(CB151:CB163)</f>
        <v>0</v>
      </c>
      <c r="BF163" s="2">
        <f>IF(AND($AF$3&gt;0,发票登记!$T$166=$C$3,ISNUMBER(发票登记!$X$166),发票登记!$AB$166&lt;&gt;0,发票登记!$Y$166&gt;=_辅助!$J$4,发票登记!$Y$166&lt;=_辅助!$J$2),INT(发票登记!$X$166)*10000+162,"")</f>
      </c>
      <c r="BG163" s="2">
        <f>IF(AND($AF$3&gt;0,资金流水!$H$167=$C$3,ISNUMBER(资金流水!$B$167),ISNUMBER(资金流水!$S$167),资金流水!$S$167&gt;=_辅助!$J$4,资金流水!$S$167&lt;=_辅助!$J$2),INT(资金流水!$B$167)*10000+162,"")</f>
      </c>
      <c r="BJ163" s="2">
        <f>IF(128&gt;$BG$1,0,MOD(SMALL($BG$2:$BG$2001,128),10000))</f>
        <v>0</v>
      </c>
      <c r="CA163" s="2">
        <f t="shared" si="0"/>
        <v>0</v>
      </c>
      <c r="CB163" s="2">
        <f t="shared" si="1"/>
        <v>0</v>
      </c>
    </row>
    <row r="164">
      <c r="W164" s="95">
        <f t="shared" si="19"/>
      </c>
      <c r="X164" s="94">
        <f t="shared" si="25"/>
      </c>
      <c r="Y164" s="96">
        <f t="shared" si="26"/>
      </c>
      <c r="Z164" s="21">
        <f t="shared" si="20"/>
      </c>
      <c r="AA164" s="21">
        <f t="shared" si="21"/>
      </c>
      <c r="AB164" s="94">
        <f t="shared" si="27"/>
      </c>
      <c r="AC164" s="96">
        <f t="shared" si="28"/>
      </c>
      <c r="AD164" s="94">
        <f t="shared" si="29"/>
      </c>
      <c r="BA164" s="2">
        <f>IF(OR(往来单位!$B$167="",$AF$3=0),0,SUMIFS(期初余额!$R$5:$R$204,期初余额!$P$5:$P$204,往来单位!$B$167,期初余额!$Q$5:$Q$204,$C$3)+SUMIFS(应付登记!$G$5:$G$1004,应付登记!$D$5:$D$1004,往来单位!$B$167,应付登记!$E$5:$E$1004,$C$3,应付登记!$J$5:$J$1004,"&gt;="&amp;_辅助!$J$4,应付登记!$J$5:$J$1004,"&lt;="&amp;_辅助!$J$2))</f>
        <v>0</v>
      </c>
      <c r="BB164" s="2">
        <f>BB150+SUM(CA151:CA164)</f>
        <v>2</v>
      </c>
      <c r="BC164" s="2">
        <f>IF(OR(往来单位!$B$167="",$AF$3=0,NOT(OR(往来单位!$C$167="管理人员",往来单位!$C$167="工人"))),0,SUMIFS(考勤工资!$E$5:$E$1004,考勤工资!$C$5:$C$1004,往来单位!$B$167,考勤工资!$D$5:$D$1004,$C$3,考勤工资!$Y$5:$Y$1004,"&gt;="&amp;_辅助!$J$4,考勤工资!$Y$5:$Y$1004,"&lt;="&amp;_辅助!$J$2)+SUMIFS(考勤工资!$G$5:$G$1004,考勤工资!$C$5:$C$1004,往来单位!$B$167,考勤工资!$F$5:$F$1004,$C$3,考勤工资!$Y$5:$Y$1004,"&gt;="&amp;_辅助!$J$4,考勤工资!$Y$5:$Y$1004,"&lt;="&amp;_辅助!$J$2)+SUMIFS(考勤工资!$I$5:$I$1004,考勤工资!$C$5:$C$1004,往来单位!$B$167,考勤工资!$H$5:$H$1004,$C$3,考勤工资!$Y$5:$Y$1004,"&gt;="&amp;_辅助!$J$4,考勤工资!$Y$5:$Y$1004,"&lt;="&amp;_辅助!$J$2)+SUMIFS(考勤工资!$K$5:$K$1004,考勤工资!$C$5:$C$1004,往来单位!$B$167,考勤工资!$J$5:$J$1004,$C$3,考勤工资!$Y$5:$Y$1004,"&gt;="&amp;_辅助!$J$4,考勤工资!$Y$5:$Y$1004,"&lt;="&amp;_辅助!$J$2))</f>
        <v>0</v>
      </c>
      <c r="BD164" s="2">
        <f>IF(BC164=0,0,SUMIFS(考勤工资!$AC$5:$AC$1004,考勤工资!$C$5:$C$1004,往来单位!$B$167,考勤工资!$D$5:$D$1004,$C$3,考勤工资!$Y$5:$Y$1004,"&gt;="&amp;_辅助!$J$4,考勤工资!$Y$5:$Y$1004,"&lt;="&amp;_辅助!$J$2)+SUMIFS(考勤工资!$AD$5:$AD$1004,考勤工资!$C$5:$C$1004,往来单位!$B$167,考勤工资!$F$5:$F$1004,$C$3,考勤工资!$Y$5:$Y$1004,"&gt;="&amp;_辅助!$J$4,考勤工资!$Y$5:$Y$1004,"&lt;="&amp;_辅助!$J$2)+SUMIFS(考勤工资!$AE$5:$AE$1004,考勤工资!$C$5:$C$1004,往来单位!$B$167,考勤工资!$H$5:$H$1004,$C$3,考勤工资!$Y$5:$Y$1004,"&gt;="&amp;_辅助!$J$4,考勤工资!$Y$5:$Y$1004,"&lt;="&amp;_辅助!$J$2)+SUMIFS(考勤工资!$AF$5:$AF$1004,考勤工资!$C$5:$C$1004,往来单位!$B$167,考勤工资!$J$5:$J$1004,$C$3,考勤工资!$Y$5:$Y$1004,"&gt;="&amp;_辅助!$J$4,考勤工资!$Y$5:$Y$1004,"&lt;="&amp;_辅助!$J$2))</f>
        <v>0</v>
      </c>
      <c r="BE164" s="2">
        <f>BE150+SUM(CB151:CB164)</f>
        <v>0</v>
      </c>
      <c r="BF164" s="2">
        <f>IF(AND($AF$3&gt;0,发票登记!$T$167=$C$3,ISNUMBER(发票登记!$X$167),发票登记!$AB$167&lt;&gt;0,发票登记!$Y$167&gt;=_辅助!$J$4,发票登记!$Y$167&lt;=_辅助!$J$2),INT(发票登记!$X$167)*10000+163,"")</f>
      </c>
      <c r="BG164" s="2">
        <f>IF(AND($AF$3&gt;0,资金流水!$H$168=$C$3,ISNUMBER(资金流水!$B$168),ISNUMBER(资金流水!$S$168),资金流水!$S$168&gt;=_辅助!$J$4,资金流水!$S$168&lt;=_辅助!$J$2),INT(资金流水!$B$168)*10000+163,"")</f>
      </c>
      <c r="BJ164" s="2">
        <f>IF(129&gt;$BG$1,0,MOD(SMALL($BG$2:$BG$2001,129),10000))</f>
        <v>0</v>
      </c>
      <c r="CA164" s="2">
        <f t="shared" si="0"/>
        <v>0</v>
      </c>
      <c r="CB164" s="2">
        <f t="shared" si="1"/>
        <v>0</v>
      </c>
    </row>
    <row r="165">
      <c r="W165" s="95">
        <f t="shared" si="19"/>
      </c>
      <c r="X165" s="94">
        <f t="shared" si="25"/>
      </c>
      <c r="Y165" s="96">
        <f t="shared" si="26"/>
      </c>
      <c r="Z165" s="21">
        <f t="shared" si="20"/>
      </c>
      <c r="AA165" s="21">
        <f t="shared" si="21"/>
      </c>
      <c r="AB165" s="94">
        <f t="shared" si="27"/>
      </c>
      <c r="AC165" s="96">
        <f t="shared" si="28"/>
      </c>
      <c r="AD165" s="94">
        <f t="shared" si="29"/>
      </c>
      <c r="BA165" s="2">
        <f>IF(OR(往来单位!$B$168="",$AF$3=0),0,SUMIFS(期初余额!$R$5:$R$204,期初余额!$P$5:$P$204,往来单位!$B$168,期初余额!$Q$5:$Q$204,$C$3)+SUMIFS(应付登记!$G$5:$G$1004,应付登记!$D$5:$D$1004,往来单位!$B$168,应付登记!$E$5:$E$1004,$C$3,应付登记!$J$5:$J$1004,"&gt;="&amp;_辅助!$J$4,应付登记!$J$5:$J$1004,"&lt;="&amp;_辅助!$J$2))</f>
        <v>0</v>
      </c>
      <c r="BB165" s="2">
        <f>BB150+SUM(CA151:CA165)</f>
        <v>2</v>
      </c>
      <c r="BC165" s="2">
        <f>IF(OR(往来单位!$B$168="",$AF$3=0,NOT(OR(往来单位!$C$168="管理人员",往来单位!$C$168="工人"))),0,SUMIFS(考勤工资!$E$5:$E$1004,考勤工资!$C$5:$C$1004,往来单位!$B$168,考勤工资!$D$5:$D$1004,$C$3,考勤工资!$Y$5:$Y$1004,"&gt;="&amp;_辅助!$J$4,考勤工资!$Y$5:$Y$1004,"&lt;="&amp;_辅助!$J$2)+SUMIFS(考勤工资!$G$5:$G$1004,考勤工资!$C$5:$C$1004,往来单位!$B$168,考勤工资!$F$5:$F$1004,$C$3,考勤工资!$Y$5:$Y$1004,"&gt;="&amp;_辅助!$J$4,考勤工资!$Y$5:$Y$1004,"&lt;="&amp;_辅助!$J$2)+SUMIFS(考勤工资!$I$5:$I$1004,考勤工资!$C$5:$C$1004,往来单位!$B$168,考勤工资!$H$5:$H$1004,$C$3,考勤工资!$Y$5:$Y$1004,"&gt;="&amp;_辅助!$J$4,考勤工资!$Y$5:$Y$1004,"&lt;="&amp;_辅助!$J$2)+SUMIFS(考勤工资!$K$5:$K$1004,考勤工资!$C$5:$C$1004,往来单位!$B$168,考勤工资!$J$5:$J$1004,$C$3,考勤工资!$Y$5:$Y$1004,"&gt;="&amp;_辅助!$J$4,考勤工资!$Y$5:$Y$1004,"&lt;="&amp;_辅助!$J$2))</f>
        <v>0</v>
      </c>
      <c r="BD165" s="2">
        <f>IF(BC165=0,0,SUMIFS(考勤工资!$AC$5:$AC$1004,考勤工资!$C$5:$C$1004,往来单位!$B$168,考勤工资!$D$5:$D$1004,$C$3,考勤工资!$Y$5:$Y$1004,"&gt;="&amp;_辅助!$J$4,考勤工资!$Y$5:$Y$1004,"&lt;="&amp;_辅助!$J$2)+SUMIFS(考勤工资!$AD$5:$AD$1004,考勤工资!$C$5:$C$1004,往来单位!$B$168,考勤工资!$F$5:$F$1004,$C$3,考勤工资!$Y$5:$Y$1004,"&gt;="&amp;_辅助!$J$4,考勤工资!$Y$5:$Y$1004,"&lt;="&amp;_辅助!$J$2)+SUMIFS(考勤工资!$AE$5:$AE$1004,考勤工资!$C$5:$C$1004,往来单位!$B$168,考勤工资!$H$5:$H$1004,$C$3,考勤工资!$Y$5:$Y$1004,"&gt;="&amp;_辅助!$J$4,考勤工资!$Y$5:$Y$1004,"&lt;="&amp;_辅助!$J$2)+SUMIFS(考勤工资!$AF$5:$AF$1004,考勤工资!$C$5:$C$1004,往来单位!$B$168,考勤工资!$J$5:$J$1004,$C$3,考勤工资!$Y$5:$Y$1004,"&gt;="&amp;_辅助!$J$4,考勤工资!$Y$5:$Y$1004,"&lt;="&amp;_辅助!$J$2))</f>
        <v>0</v>
      </c>
      <c r="BE165" s="2">
        <f>BE150+SUM(CB151:CB165)</f>
        <v>0</v>
      </c>
      <c r="BF165" s="2">
        <f>IF(AND($AF$3&gt;0,发票登记!$T$168=$C$3,ISNUMBER(发票登记!$X$168),发票登记!$AB$168&lt;&gt;0,发票登记!$Y$168&gt;=_辅助!$J$4,发票登记!$Y$168&lt;=_辅助!$J$2),INT(发票登记!$X$168)*10000+164,"")</f>
      </c>
      <c r="BG165" s="2">
        <f>IF(AND($AF$3&gt;0,资金流水!$H$169=$C$3,ISNUMBER(资金流水!$B$169),ISNUMBER(资金流水!$S$169),资金流水!$S$169&gt;=_辅助!$J$4,资金流水!$S$169&lt;=_辅助!$J$2),INT(资金流水!$B$169)*10000+164,"")</f>
      </c>
      <c r="BJ165" s="2">
        <f>IF(130&gt;$BG$1,0,MOD(SMALL($BG$2:$BG$2001,130),10000))</f>
        <v>0</v>
      </c>
      <c r="CA165" s="2">
        <f t="shared" si="0"/>
        <v>0</v>
      </c>
      <c r="CB165" s="2">
        <f t="shared" si="1"/>
        <v>0</v>
      </c>
    </row>
    <row r="166">
      <c r="W166" s="95">
        <f t="shared" si="19"/>
      </c>
      <c r="X166" s="94">
        <f t="shared" si="25"/>
      </c>
      <c r="Y166" s="96">
        <f t="shared" si="26"/>
      </c>
      <c r="Z166" s="21">
        <f t="shared" si="20"/>
      </c>
      <c r="AA166" s="21">
        <f t="shared" si="21"/>
      </c>
      <c r="AB166" s="94">
        <f t="shared" si="27"/>
      </c>
      <c r="AC166" s="96">
        <f t="shared" si="28"/>
      </c>
      <c r="AD166" s="94">
        <f t="shared" si="29"/>
      </c>
      <c r="BA166" s="2">
        <f>IF(OR(往来单位!$B$169="",$AF$3=0),0,SUMIFS(期初余额!$R$5:$R$204,期初余额!$P$5:$P$204,往来单位!$B$169,期初余额!$Q$5:$Q$204,$C$3)+SUMIFS(应付登记!$G$5:$G$1004,应付登记!$D$5:$D$1004,往来单位!$B$169,应付登记!$E$5:$E$1004,$C$3,应付登记!$J$5:$J$1004,"&gt;="&amp;_辅助!$J$4,应付登记!$J$5:$J$1004,"&lt;="&amp;_辅助!$J$2))</f>
        <v>0</v>
      </c>
      <c r="BB166" s="2">
        <f>BB150+SUM(CA151:CA166)</f>
        <v>2</v>
      </c>
      <c r="BC166" s="2">
        <f>IF(OR(往来单位!$B$169="",$AF$3=0,NOT(OR(往来单位!$C$169="管理人员",往来单位!$C$169="工人"))),0,SUMIFS(考勤工资!$E$5:$E$1004,考勤工资!$C$5:$C$1004,往来单位!$B$169,考勤工资!$D$5:$D$1004,$C$3,考勤工资!$Y$5:$Y$1004,"&gt;="&amp;_辅助!$J$4,考勤工资!$Y$5:$Y$1004,"&lt;="&amp;_辅助!$J$2)+SUMIFS(考勤工资!$G$5:$G$1004,考勤工资!$C$5:$C$1004,往来单位!$B$169,考勤工资!$F$5:$F$1004,$C$3,考勤工资!$Y$5:$Y$1004,"&gt;="&amp;_辅助!$J$4,考勤工资!$Y$5:$Y$1004,"&lt;="&amp;_辅助!$J$2)+SUMIFS(考勤工资!$I$5:$I$1004,考勤工资!$C$5:$C$1004,往来单位!$B$169,考勤工资!$H$5:$H$1004,$C$3,考勤工资!$Y$5:$Y$1004,"&gt;="&amp;_辅助!$J$4,考勤工资!$Y$5:$Y$1004,"&lt;="&amp;_辅助!$J$2)+SUMIFS(考勤工资!$K$5:$K$1004,考勤工资!$C$5:$C$1004,往来单位!$B$169,考勤工资!$J$5:$J$1004,$C$3,考勤工资!$Y$5:$Y$1004,"&gt;="&amp;_辅助!$J$4,考勤工资!$Y$5:$Y$1004,"&lt;="&amp;_辅助!$J$2))</f>
        <v>0</v>
      </c>
      <c r="BD166" s="2">
        <f>IF(BC166=0,0,SUMIFS(考勤工资!$AC$5:$AC$1004,考勤工资!$C$5:$C$1004,往来单位!$B$169,考勤工资!$D$5:$D$1004,$C$3,考勤工资!$Y$5:$Y$1004,"&gt;="&amp;_辅助!$J$4,考勤工资!$Y$5:$Y$1004,"&lt;="&amp;_辅助!$J$2)+SUMIFS(考勤工资!$AD$5:$AD$1004,考勤工资!$C$5:$C$1004,往来单位!$B$169,考勤工资!$F$5:$F$1004,$C$3,考勤工资!$Y$5:$Y$1004,"&gt;="&amp;_辅助!$J$4,考勤工资!$Y$5:$Y$1004,"&lt;="&amp;_辅助!$J$2)+SUMIFS(考勤工资!$AE$5:$AE$1004,考勤工资!$C$5:$C$1004,往来单位!$B$169,考勤工资!$H$5:$H$1004,$C$3,考勤工资!$Y$5:$Y$1004,"&gt;="&amp;_辅助!$J$4,考勤工资!$Y$5:$Y$1004,"&lt;="&amp;_辅助!$J$2)+SUMIFS(考勤工资!$AF$5:$AF$1004,考勤工资!$C$5:$C$1004,往来单位!$B$169,考勤工资!$J$5:$J$1004,$C$3,考勤工资!$Y$5:$Y$1004,"&gt;="&amp;_辅助!$J$4,考勤工资!$Y$5:$Y$1004,"&lt;="&amp;_辅助!$J$2))</f>
        <v>0</v>
      </c>
      <c r="BE166" s="2">
        <f>BE150+SUM(CB151:CB166)</f>
        <v>0</v>
      </c>
      <c r="BF166" s="2">
        <f>IF(AND($AF$3&gt;0,发票登记!$T$169=$C$3,ISNUMBER(发票登记!$X$169),发票登记!$AB$169&lt;&gt;0,发票登记!$Y$169&gt;=_辅助!$J$4,发票登记!$Y$169&lt;=_辅助!$J$2),INT(发票登记!$X$169)*10000+165,"")</f>
      </c>
      <c r="BG166" s="2">
        <f>IF(AND($AF$3&gt;0,资金流水!$H$170=$C$3,ISNUMBER(资金流水!$B$170),ISNUMBER(资金流水!$S$170),资金流水!$S$170&gt;=_辅助!$J$4,资金流水!$S$170&lt;=_辅助!$J$2),INT(资金流水!$B$170)*10000+165,"")</f>
      </c>
      <c r="BJ166" s="2">
        <f>IF(131&gt;$BG$1,0,MOD(SMALL($BG$2:$BG$2001,131),10000))</f>
        <v>0</v>
      </c>
      <c r="CA166" s="2">
        <f t="shared" si="0"/>
        <v>0</v>
      </c>
      <c r="CB166" s="2">
        <f t="shared" si="1"/>
        <v>0</v>
      </c>
    </row>
    <row r="167">
      <c r="W167" s="95">
        <f t="shared" si="19"/>
      </c>
      <c r="X167" s="94">
        <f t="shared" si="25"/>
      </c>
      <c r="Y167" s="96">
        <f t="shared" si="26"/>
      </c>
      <c r="Z167" s="21">
        <f t="shared" si="20"/>
      </c>
      <c r="AA167" s="21">
        <f t="shared" si="21"/>
      </c>
      <c r="AB167" s="94">
        <f t="shared" si="27"/>
      </c>
      <c r="AC167" s="96">
        <f t="shared" si="28"/>
      </c>
      <c r="AD167" s="94">
        <f t="shared" si="29"/>
      </c>
      <c r="BA167" s="2">
        <f>IF(OR(往来单位!$B$170="",$AF$3=0),0,SUMIFS(期初余额!$R$5:$R$204,期初余额!$P$5:$P$204,往来单位!$B$170,期初余额!$Q$5:$Q$204,$C$3)+SUMIFS(应付登记!$G$5:$G$1004,应付登记!$D$5:$D$1004,往来单位!$B$170,应付登记!$E$5:$E$1004,$C$3,应付登记!$J$5:$J$1004,"&gt;="&amp;_辅助!$J$4,应付登记!$J$5:$J$1004,"&lt;="&amp;_辅助!$J$2))</f>
        <v>0</v>
      </c>
      <c r="BB167" s="2">
        <f>BB150+SUM(CA151:CA167)</f>
        <v>2</v>
      </c>
      <c r="BC167" s="2">
        <f>IF(OR(往来单位!$B$170="",$AF$3=0,NOT(OR(往来单位!$C$170="管理人员",往来单位!$C$170="工人"))),0,SUMIFS(考勤工资!$E$5:$E$1004,考勤工资!$C$5:$C$1004,往来单位!$B$170,考勤工资!$D$5:$D$1004,$C$3,考勤工资!$Y$5:$Y$1004,"&gt;="&amp;_辅助!$J$4,考勤工资!$Y$5:$Y$1004,"&lt;="&amp;_辅助!$J$2)+SUMIFS(考勤工资!$G$5:$G$1004,考勤工资!$C$5:$C$1004,往来单位!$B$170,考勤工资!$F$5:$F$1004,$C$3,考勤工资!$Y$5:$Y$1004,"&gt;="&amp;_辅助!$J$4,考勤工资!$Y$5:$Y$1004,"&lt;="&amp;_辅助!$J$2)+SUMIFS(考勤工资!$I$5:$I$1004,考勤工资!$C$5:$C$1004,往来单位!$B$170,考勤工资!$H$5:$H$1004,$C$3,考勤工资!$Y$5:$Y$1004,"&gt;="&amp;_辅助!$J$4,考勤工资!$Y$5:$Y$1004,"&lt;="&amp;_辅助!$J$2)+SUMIFS(考勤工资!$K$5:$K$1004,考勤工资!$C$5:$C$1004,往来单位!$B$170,考勤工资!$J$5:$J$1004,$C$3,考勤工资!$Y$5:$Y$1004,"&gt;="&amp;_辅助!$J$4,考勤工资!$Y$5:$Y$1004,"&lt;="&amp;_辅助!$J$2))</f>
        <v>0</v>
      </c>
      <c r="BD167" s="2">
        <f>IF(BC167=0,0,SUMIFS(考勤工资!$AC$5:$AC$1004,考勤工资!$C$5:$C$1004,往来单位!$B$170,考勤工资!$D$5:$D$1004,$C$3,考勤工资!$Y$5:$Y$1004,"&gt;="&amp;_辅助!$J$4,考勤工资!$Y$5:$Y$1004,"&lt;="&amp;_辅助!$J$2)+SUMIFS(考勤工资!$AD$5:$AD$1004,考勤工资!$C$5:$C$1004,往来单位!$B$170,考勤工资!$F$5:$F$1004,$C$3,考勤工资!$Y$5:$Y$1004,"&gt;="&amp;_辅助!$J$4,考勤工资!$Y$5:$Y$1004,"&lt;="&amp;_辅助!$J$2)+SUMIFS(考勤工资!$AE$5:$AE$1004,考勤工资!$C$5:$C$1004,往来单位!$B$170,考勤工资!$H$5:$H$1004,$C$3,考勤工资!$Y$5:$Y$1004,"&gt;="&amp;_辅助!$J$4,考勤工资!$Y$5:$Y$1004,"&lt;="&amp;_辅助!$J$2)+SUMIFS(考勤工资!$AF$5:$AF$1004,考勤工资!$C$5:$C$1004,往来单位!$B$170,考勤工资!$J$5:$J$1004,$C$3,考勤工资!$Y$5:$Y$1004,"&gt;="&amp;_辅助!$J$4,考勤工资!$Y$5:$Y$1004,"&lt;="&amp;_辅助!$J$2))</f>
        <v>0</v>
      </c>
      <c r="BE167" s="2">
        <f>BE150+SUM(CB151:CB167)</f>
        <v>0</v>
      </c>
      <c r="BF167" s="2">
        <f>IF(AND($AF$3&gt;0,发票登记!$T$170=$C$3,ISNUMBER(发票登记!$X$170),发票登记!$AB$170&lt;&gt;0,发票登记!$Y$170&gt;=_辅助!$J$4,发票登记!$Y$170&lt;=_辅助!$J$2),INT(发票登记!$X$170)*10000+166,"")</f>
      </c>
      <c r="BG167" s="2">
        <f>IF(AND($AF$3&gt;0,资金流水!$H$171=$C$3,ISNUMBER(资金流水!$B$171),ISNUMBER(资金流水!$S$171),资金流水!$S$171&gt;=_辅助!$J$4,资金流水!$S$171&lt;=_辅助!$J$2),INT(资金流水!$B$171)*10000+166,"")</f>
      </c>
      <c r="BJ167" s="2">
        <f>IF(132&gt;$BG$1,0,MOD(SMALL($BG$2:$BG$2001,132),10000))</f>
        <v>0</v>
      </c>
      <c r="CA167" s="2">
        <f t="shared" si="0"/>
        <v>0</v>
      </c>
      <c r="CB167" s="2">
        <f t="shared" si="1"/>
        <v>0</v>
      </c>
    </row>
    <row r="168">
      <c r="W168" s="95">
        <f t="shared" si="19"/>
      </c>
      <c r="X168" s="94">
        <f t="shared" si="25"/>
      </c>
      <c r="Y168" s="96">
        <f t="shared" si="26"/>
      </c>
      <c r="Z168" s="21">
        <f t="shared" si="20"/>
      </c>
      <c r="AA168" s="21">
        <f t="shared" si="21"/>
      </c>
      <c r="AB168" s="94">
        <f t="shared" si="27"/>
      </c>
      <c r="AC168" s="96">
        <f t="shared" si="28"/>
      </c>
      <c r="AD168" s="94">
        <f t="shared" si="29"/>
      </c>
      <c r="BA168" s="2">
        <f>IF(OR(往来单位!$B$171="",$AF$3=0),0,SUMIFS(期初余额!$R$5:$R$204,期初余额!$P$5:$P$204,往来单位!$B$171,期初余额!$Q$5:$Q$204,$C$3)+SUMIFS(应付登记!$G$5:$G$1004,应付登记!$D$5:$D$1004,往来单位!$B$171,应付登记!$E$5:$E$1004,$C$3,应付登记!$J$5:$J$1004,"&gt;="&amp;_辅助!$J$4,应付登记!$J$5:$J$1004,"&lt;="&amp;_辅助!$J$2))</f>
        <v>0</v>
      </c>
      <c r="BB168" s="2">
        <f>BB150+SUM(CA151:CA168)</f>
        <v>2</v>
      </c>
      <c r="BC168" s="2">
        <f>IF(OR(往来单位!$B$171="",$AF$3=0,NOT(OR(往来单位!$C$171="管理人员",往来单位!$C$171="工人"))),0,SUMIFS(考勤工资!$E$5:$E$1004,考勤工资!$C$5:$C$1004,往来单位!$B$171,考勤工资!$D$5:$D$1004,$C$3,考勤工资!$Y$5:$Y$1004,"&gt;="&amp;_辅助!$J$4,考勤工资!$Y$5:$Y$1004,"&lt;="&amp;_辅助!$J$2)+SUMIFS(考勤工资!$G$5:$G$1004,考勤工资!$C$5:$C$1004,往来单位!$B$171,考勤工资!$F$5:$F$1004,$C$3,考勤工资!$Y$5:$Y$1004,"&gt;="&amp;_辅助!$J$4,考勤工资!$Y$5:$Y$1004,"&lt;="&amp;_辅助!$J$2)+SUMIFS(考勤工资!$I$5:$I$1004,考勤工资!$C$5:$C$1004,往来单位!$B$171,考勤工资!$H$5:$H$1004,$C$3,考勤工资!$Y$5:$Y$1004,"&gt;="&amp;_辅助!$J$4,考勤工资!$Y$5:$Y$1004,"&lt;="&amp;_辅助!$J$2)+SUMIFS(考勤工资!$K$5:$K$1004,考勤工资!$C$5:$C$1004,往来单位!$B$171,考勤工资!$J$5:$J$1004,$C$3,考勤工资!$Y$5:$Y$1004,"&gt;="&amp;_辅助!$J$4,考勤工资!$Y$5:$Y$1004,"&lt;="&amp;_辅助!$J$2))</f>
        <v>0</v>
      </c>
      <c r="BD168" s="2">
        <f>IF(BC168=0,0,SUMIFS(考勤工资!$AC$5:$AC$1004,考勤工资!$C$5:$C$1004,往来单位!$B$171,考勤工资!$D$5:$D$1004,$C$3,考勤工资!$Y$5:$Y$1004,"&gt;="&amp;_辅助!$J$4,考勤工资!$Y$5:$Y$1004,"&lt;="&amp;_辅助!$J$2)+SUMIFS(考勤工资!$AD$5:$AD$1004,考勤工资!$C$5:$C$1004,往来单位!$B$171,考勤工资!$F$5:$F$1004,$C$3,考勤工资!$Y$5:$Y$1004,"&gt;="&amp;_辅助!$J$4,考勤工资!$Y$5:$Y$1004,"&lt;="&amp;_辅助!$J$2)+SUMIFS(考勤工资!$AE$5:$AE$1004,考勤工资!$C$5:$C$1004,往来单位!$B$171,考勤工资!$H$5:$H$1004,$C$3,考勤工资!$Y$5:$Y$1004,"&gt;="&amp;_辅助!$J$4,考勤工资!$Y$5:$Y$1004,"&lt;="&amp;_辅助!$J$2)+SUMIFS(考勤工资!$AF$5:$AF$1004,考勤工资!$C$5:$C$1004,往来单位!$B$171,考勤工资!$J$5:$J$1004,$C$3,考勤工资!$Y$5:$Y$1004,"&gt;="&amp;_辅助!$J$4,考勤工资!$Y$5:$Y$1004,"&lt;="&amp;_辅助!$J$2))</f>
        <v>0</v>
      </c>
      <c r="BE168" s="2">
        <f>BE150+SUM(CB151:CB168)</f>
        <v>0</v>
      </c>
      <c r="BF168" s="2">
        <f>IF(AND($AF$3&gt;0,发票登记!$T$171=$C$3,ISNUMBER(发票登记!$X$171),发票登记!$AB$171&lt;&gt;0,发票登记!$Y$171&gt;=_辅助!$J$4,发票登记!$Y$171&lt;=_辅助!$J$2),INT(发票登记!$X$171)*10000+167,"")</f>
      </c>
      <c r="BG168" s="2">
        <f>IF(AND($AF$3&gt;0,资金流水!$H$172=$C$3,ISNUMBER(资金流水!$B$172),ISNUMBER(资金流水!$S$172),资金流水!$S$172&gt;=_辅助!$J$4,资金流水!$S$172&lt;=_辅助!$J$2),INT(资金流水!$B$172)*10000+167,"")</f>
      </c>
      <c r="BJ168" s="2">
        <f>IF(133&gt;$BG$1,0,MOD(SMALL($BG$2:$BG$2001,133),10000))</f>
        <v>0</v>
      </c>
      <c r="CA168" s="2">
        <f t="shared" si="0"/>
        <v>0</v>
      </c>
      <c r="CB168" s="2">
        <f t="shared" si="1"/>
        <v>0</v>
      </c>
    </row>
    <row r="169">
      <c r="W169" s="95">
        <f t="shared" si="19"/>
      </c>
      <c r="X169" s="94">
        <f t="shared" si="25"/>
      </c>
      <c r="Y169" s="96">
        <f t="shared" si="26"/>
      </c>
      <c r="Z169" s="21">
        <f t="shared" si="20"/>
      </c>
      <c r="AA169" s="21">
        <f t="shared" si="21"/>
      </c>
      <c r="AB169" s="94">
        <f t="shared" si="27"/>
      </c>
      <c r="AC169" s="96">
        <f t="shared" si="28"/>
      </c>
      <c r="AD169" s="94">
        <f t="shared" si="29"/>
      </c>
      <c r="BA169" s="2">
        <f>IF(OR(往来单位!$B$172="",$AF$3=0),0,SUMIFS(期初余额!$R$5:$R$204,期初余额!$P$5:$P$204,往来单位!$B$172,期初余额!$Q$5:$Q$204,$C$3)+SUMIFS(应付登记!$G$5:$G$1004,应付登记!$D$5:$D$1004,往来单位!$B$172,应付登记!$E$5:$E$1004,$C$3,应付登记!$J$5:$J$1004,"&gt;="&amp;_辅助!$J$4,应付登记!$J$5:$J$1004,"&lt;="&amp;_辅助!$J$2))</f>
        <v>0</v>
      </c>
      <c r="BB169" s="2">
        <f>BB150+SUM(CA151:CA169)</f>
        <v>2</v>
      </c>
      <c r="BC169" s="2">
        <f>IF(OR(往来单位!$B$172="",$AF$3=0,NOT(OR(往来单位!$C$172="管理人员",往来单位!$C$172="工人"))),0,SUMIFS(考勤工资!$E$5:$E$1004,考勤工资!$C$5:$C$1004,往来单位!$B$172,考勤工资!$D$5:$D$1004,$C$3,考勤工资!$Y$5:$Y$1004,"&gt;="&amp;_辅助!$J$4,考勤工资!$Y$5:$Y$1004,"&lt;="&amp;_辅助!$J$2)+SUMIFS(考勤工资!$G$5:$G$1004,考勤工资!$C$5:$C$1004,往来单位!$B$172,考勤工资!$F$5:$F$1004,$C$3,考勤工资!$Y$5:$Y$1004,"&gt;="&amp;_辅助!$J$4,考勤工资!$Y$5:$Y$1004,"&lt;="&amp;_辅助!$J$2)+SUMIFS(考勤工资!$I$5:$I$1004,考勤工资!$C$5:$C$1004,往来单位!$B$172,考勤工资!$H$5:$H$1004,$C$3,考勤工资!$Y$5:$Y$1004,"&gt;="&amp;_辅助!$J$4,考勤工资!$Y$5:$Y$1004,"&lt;="&amp;_辅助!$J$2)+SUMIFS(考勤工资!$K$5:$K$1004,考勤工资!$C$5:$C$1004,往来单位!$B$172,考勤工资!$J$5:$J$1004,$C$3,考勤工资!$Y$5:$Y$1004,"&gt;="&amp;_辅助!$J$4,考勤工资!$Y$5:$Y$1004,"&lt;="&amp;_辅助!$J$2))</f>
        <v>0</v>
      </c>
      <c r="BD169" s="2">
        <f>IF(BC169=0,0,SUMIFS(考勤工资!$AC$5:$AC$1004,考勤工资!$C$5:$C$1004,往来单位!$B$172,考勤工资!$D$5:$D$1004,$C$3,考勤工资!$Y$5:$Y$1004,"&gt;="&amp;_辅助!$J$4,考勤工资!$Y$5:$Y$1004,"&lt;="&amp;_辅助!$J$2)+SUMIFS(考勤工资!$AD$5:$AD$1004,考勤工资!$C$5:$C$1004,往来单位!$B$172,考勤工资!$F$5:$F$1004,$C$3,考勤工资!$Y$5:$Y$1004,"&gt;="&amp;_辅助!$J$4,考勤工资!$Y$5:$Y$1004,"&lt;="&amp;_辅助!$J$2)+SUMIFS(考勤工资!$AE$5:$AE$1004,考勤工资!$C$5:$C$1004,往来单位!$B$172,考勤工资!$H$5:$H$1004,$C$3,考勤工资!$Y$5:$Y$1004,"&gt;="&amp;_辅助!$J$4,考勤工资!$Y$5:$Y$1004,"&lt;="&amp;_辅助!$J$2)+SUMIFS(考勤工资!$AF$5:$AF$1004,考勤工资!$C$5:$C$1004,往来单位!$B$172,考勤工资!$J$5:$J$1004,$C$3,考勤工资!$Y$5:$Y$1004,"&gt;="&amp;_辅助!$J$4,考勤工资!$Y$5:$Y$1004,"&lt;="&amp;_辅助!$J$2))</f>
        <v>0</v>
      </c>
      <c r="BE169" s="2">
        <f>BE150+SUM(CB151:CB169)</f>
        <v>0</v>
      </c>
      <c r="BF169" s="2">
        <f>IF(AND($AF$3&gt;0,发票登记!$T$172=$C$3,ISNUMBER(发票登记!$X$172),发票登记!$AB$172&lt;&gt;0,发票登记!$Y$172&gt;=_辅助!$J$4,发票登记!$Y$172&lt;=_辅助!$J$2),INT(发票登记!$X$172)*10000+168,"")</f>
      </c>
      <c r="BG169" s="2">
        <f>IF(AND($AF$3&gt;0,资金流水!$H$173=$C$3,ISNUMBER(资金流水!$B$173),ISNUMBER(资金流水!$S$173),资金流水!$S$173&gt;=_辅助!$J$4,资金流水!$S$173&lt;=_辅助!$J$2),INT(资金流水!$B$173)*10000+168,"")</f>
      </c>
      <c r="BJ169" s="2">
        <f>IF(134&gt;$BG$1,0,MOD(SMALL($BG$2:$BG$2001,134),10000))</f>
        <v>0</v>
      </c>
      <c r="CA169" s="2">
        <f t="shared" si="0"/>
        <v>0</v>
      </c>
      <c r="CB169" s="2">
        <f t="shared" si="1"/>
        <v>0</v>
      </c>
    </row>
    <row r="170">
      <c r="W170" s="95">
        <f t="shared" si="19"/>
      </c>
      <c r="X170" s="94">
        <f t="shared" si="25"/>
      </c>
      <c r="Y170" s="96">
        <f t="shared" si="26"/>
      </c>
      <c r="Z170" s="21">
        <f t="shared" si="20"/>
      </c>
      <c r="AA170" s="21">
        <f t="shared" si="21"/>
      </c>
      <c r="AB170" s="94">
        <f t="shared" si="27"/>
      </c>
      <c r="AC170" s="96">
        <f t="shared" si="28"/>
      </c>
      <c r="AD170" s="94">
        <f t="shared" si="29"/>
      </c>
      <c r="BA170" s="2">
        <f>IF(OR(往来单位!$B$173="",$AF$3=0),0,SUMIFS(期初余额!$R$5:$R$204,期初余额!$P$5:$P$204,往来单位!$B$173,期初余额!$Q$5:$Q$204,$C$3)+SUMIFS(应付登记!$G$5:$G$1004,应付登记!$D$5:$D$1004,往来单位!$B$173,应付登记!$E$5:$E$1004,$C$3,应付登记!$J$5:$J$1004,"&gt;="&amp;_辅助!$J$4,应付登记!$J$5:$J$1004,"&lt;="&amp;_辅助!$J$2))</f>
        <v>0</v>
      </c>
      <c r="BB170" s="2">
        <f>BB150+SUM(CA151:CA170)</f>
        <v>2</v>
      </c>
      <c r="BC170" s="2">
        <f>IF(OR(往来单位!$B$173="",$AF$3=0,NOT(OR(往来单位!$C$173="管理人员",往来单位!$C$173="工人"))),0,SUMIFS(考勤工资!$E$5:$E$1004,考勤工资!$C$5:$C$1004,往来单位!$B$173,考勤工资!$D$5:$D$1004,$C$3,考勤工资!$Y$5:$Y$1004,"&gt;="&amp;_辅助!$J$4,考勤工资!$Y$5:$Y$1004,"&lt;="&amp;_辅助!$J$2)+SUMIFS(考勤工资!$G$5:$G$1004,考勤工资!$C$5:$C$1004,往来单位!$B$173,考勤工资!$F$5:$F$1004,$C$3,考勤工资!$Y$5:$Y$1004,"&gt;="&amp;_辅助!$J$4,考勤工资!$Y$5:$Y$1004,"&lt;="&amp;_辅助!$J$2)+SUMIFS(考勤工资!$I$5:$I$1004,考勤工资!$C$5:$C$1004,往来单位!$B$173,考勤工资!$H$5:$H$1004,$C$3,考勤工资!$Y$5:$Y$1004,"&gt;="&amp;_辅助!$J$4,考勤工资!$Y$5:$Y$1004,"&lt;="&amp;_辅助!$J$2)+SUMIFS(考勤工资!$K$5:$K$1004,考勤工资!$C$5:$C$1004,往来单位!$B$173,考勤工资!$J$5:$J$1004,$C$3,考勤工资!$Y$5:$Y$1004,"&gt;="&amp;_辅助!$J$4,考勤工资!$Y$5:$Y$1004,"&lt;="&amp;_辅助!$J$2))</f>
        <v>0</v>
      </c>
      <c r="BD170" s="2">
        <f>IF(BC170=0,0,SUMIFS(考勤工资!$AC$5:$AC$1004,考勤工资!$C$5:$C$1004,往来单位!$B$173,考勤工资!$D$5:$D$1004,$C$3,考勤工资!$Y$5:$Y$1004,"&gt;="&amp;_辅助!$J$4,考勤工资!$Y$5:$Y$1004,"&lt;="&amp;_辅助!$J$2)+SUMIFS(考勤工资!$AD$5:$AD$1004,考勤工资!$C$5:$C$1004,往来单位!$B$173,考勤工资!$F$5:$F$1004,$C$3,考勤工资!$Y$5:$Y$1004,"&gt;="&amp;_辅助!$J$4,考勤工资!$Y$5:$Y$1004,"&lt;="&amp;_辅助!$J$2)+SUMIFS(考勤工资!$AE$5:$AE$1004,考勤工资!$C$5:$C$1004,往来单位!$B$173,考勤工资!$H$5:$H$1004,$C$3,考勤工资!$Y$5:$Y$1004,"&gt;="&amp;_辅助!$J$4,考勤工资!$Y$5:$Y$1004,"&lt;="&amp;_辅助!$J$2)+SUMIFS(考勤工资!$AF$5:$AF$1004,考勤工资!$C$5:$C$1004,往来单位!$B$173,考勤工资!$J$5:$J$1004,$C$3,考勤工资!$Y$5:$Y$1004,"&gt;="&amp;_辅助!$J$4,考勤工资!$Y$5:$Y$1004,"&lt;="&amp;_辅助!$J$2))</f>
        <v>0</v>
      </c>
      <c r="BE170" s="2">
        <f>BE150+SUM(CB151:CB170)</f>
        <v>0</v>
      </c>
      <c r="BF170" s="2">
        <f>IF(AND($AF$3&gt;0,发票登记!$T$173=$C$3,ISNUMBER(发票登记!$X$173),发票登记!$AB$173&lt;&gt;0,发票登记!$Y$173&gt;=_辅助!$J$4,发票登记!$Y$173&lt;=_辅助!$J$2),INT(发票登记!$X$173)*10000+169,"")</f>
      </c>
      <c r="BG170" s="2">
        <f>IF(AND($AF$3&gt;0,资金流水!$H$174=$C$3,ISNUMBER(资金流水!$B$174),ISNUMBER(资金流水!$S$174),资金流水!$S$174&gt;=_辅助!$J$4,资金流水!$S$174&lt;=_辅助!$J$2),INT(资金流水!$B$174)*10000+169,"")</f>
      </c>
      <c r="BJ170" s="2">
        <f>IF(135&gt;$BG$1,0,MOD(SMALL($BG$2:$BG$2001,135),10000))</f>
        <v>0</v>
      </c>
      <c r="CA170" s="2">
        <f t="shared" si="0"/>
        <v>0</v>
      </c>
      <c r="CB170" s="2">
        <f t="shared" si="1"/>
        <v>0</v>
      </c>
    </row>
    <row r="171">
      <c r="W171" s="95">
        <f t="shared" si="19"/>
      </c>
      <c r="X171" s="94">
        <f t="shared" si="25"/>
      </c>
      <c r="Y171" s="96">
        <f t="shared" si="26"/>
      </c>
      <c r="Z171" s="21">
        <f t="shared" si="20"/>
      </c>
      <c r="AA171" s="21">
        <f t="shared" si="21"/>
      </c>
      <c r="AB171" s="94">
        <f t="shared" si="27"/>
      </c>
      <c r="AC171" s="96">
        <f t="shared" si="28"/>
      </c>
      <c r="AD171" s="94">
        <f t="shared" si="29"/>
      </c>
      <c r="BA171" s="2">
        <f>IF(OR(往来单位!$B$174="",$AF$3=0),0,SUMIFS(期初余额!$R$5:$R$204,期初余额!$P$5:$P$204,往来单位!$B$174,期初余额!$Q$5:$Q$204,$C$3)+SUMIFS(应付登记!$G$5:$G$1004,应付登记!$D$5:$D$1004,往来单位!$B$174,应付登记!$E$5:$E$1004,$C$3,应付登记!$J$5:$J$1004,"&gt;="&amp;_辅助!$J$4,应付登记!$J$5:$J$1004,"&lt;="&amp;_辅助!$J$2))</f>
        <v>0</v>
      </c>
      <c r="BB171" s="2">
        <f>BB150+SUM(CA151:CA171)</f>
        <v>2</v>
      </c>
      <c r="BC171" s="2">
        <f>IF(OR(往来单位!$B$174="",$AF$3=0,NOT(OR(往来单位!$C$174="管理人员",往来单位!$C$174="工人"))),0,SUMIFS(考勤工资!$E$5:$E$1004,考勤工资!$C$5:$C$1004,往来单位!$B$174,考勤工资!$D$5:$D$1004,$C$3,考勤工资!$Y$5:$Y$1004,"&gt;="&amp;_辅助!$J$4,考勤工资!$Y$5:$Y$1004,"&lt;="&amp;_辅助!$J$2)+SUMIFS(考勤工资!$G$5:$G$1004,考勤工资!$C$5:$C$1004,往来单位!$B$174,考勤工资!$F$5:$F$1004,$C$3,考勤工资!$Y$5:$Y$1004,"&gt;="&amp;_辅助!$J$4,考勤工资!$Y$5:$Y$1004,"&lt;="&amp;_辅助!$J$2)+SUMIFS(考勤工资!$I$5:$I$1004,考勤工资!$C$5:$C$1004,往来单位!$B$174,考勤工资!$H$5:$H$1004,$C$3,考勤工资!$Y$5:$Y$1004,"&gt;="&amp;_辅助!$J$4,考勤工资!$Y$5:$Y$1004,"&lt;="&amp;_辅助!$J$2)+SUMIFS(考勤工资!$K$5:$K$1004,考勤工资!$C$5:$C$1004,往来单位!$B$174,考勤工资!$J$5:$J$1004,$C$3,考勤工资!$Y$5:$Y$1004,"&gt;="&amp;_辅助!$J$4,考勤工资!$Y$5:$Y$1004,"&lt;="&amp;_辅助!$J$2))</f>
        <v>0</v>
      </c>
      <c r="BD171" s="2">
        <f>IF(BC171=0,0,SUMIFS(考勤工资!$AC$5:$AC$1004,考勤工资!$C$5:$C$1004,往来单位!$B$174,考勤工资!$D$5:$D$1004,$C$3,考勤工资!$Y$5:$Y$1004,"&gt;="&amp;_辅助!$J$4,考勤工资!$Y$5:$Y$1004,"&lt;="&amp;_辅助!$J$2)+SUMIFS(考勤工资!$AD$5:$AD$1004,考勤工资!$C$5:$C$1004,往来单位!$B$174,考勤工资!$F$5:$F$1004,$C$3,考勤工资!$Y$5:$Y$1004,"&gt;="&amp;_辅助!$J$4,考勤工资!$Y$5:$Y$1004,"&lt;="&amp;_辅助!$J$2)+SUMIFS(考勤工资!$AE$5:$AE$1004,考勤工资!$C$5:$C$1004,往来单位!$B$174,考勤工资!$H$5:$H$1004,$C$3,考勤工资!$Y$5:$Y$1004,"&gt;="&amp;_辅助!$J$4,考勤工资!$Y$5:$Y$1004,"&lt;="&amp;_辅助!$J$2)+SUMIFS(考勤工资!$AF$5:$AF$1004,考勤工资!$C$5:$C$1004,往来单位!$B$174,考勤工资!$J$5:$J$1004,$C$3,考勤工资!$Y$5:$Y$1004,"&gt;="&amp;_辅助!$J$4,考勤工资!$Y$5:$Y$1004,"&lt;="&amp;_辅助!$J$2))</f>
        <v>0</v>
      </c>
      <c r="BE171" s="2">
        <f>BE150+SUM(CB151:CB171)</f>
        <v>0</v>
      </c>
      <c r="BF171" s="2">
        <f>IF(AND($AF$3&gt;0,发票登记!$T$174=$C$3,ISNUMBER(发票登记!$X$174),发票登记!$AB$174&lt;&gt;0,发票登记!$Y$174&gt;=_辅助!$J$4,发票登记!$Y$174&lt;=_辅助!$J$2),INT(发票登记!$X$174)*10000+170,"")</f>
      </c>
      <c r="BG171" s="2">
        <f>IF(AND($AF$3&gt;0,资金流水!$H$175=$C$3,ISNUMBER(资金流水!$B$175),ISNUMBER(资金流水!$S$175),资金流水!$S$175&gt;=_辅助!$J$4,资金流水!$S$175&lt;=_辅助!$J$2),INT(资金流水!$B$175)*10000+170,"")</f>
      </c>
      <c r="BJ171" s="2">
        <f>IF(136&gt;$BG$1,0,MOD(SMALL($BG$2:$BG$2001,136),10000))</f>
        <v>0</v>
      </c>
      <c r="CA171" s="2">
        <f t="shared" si="0"/>
        <v>0</v>
      </c>
      <c r="CB171" s="2">
        <f t="shared" si="1"/>
        <v>0</v>
      </c>
    </row>
    <row r="172">
      <c r="W172" s="95">
        <f t="shared" si="19"/>
      </c>
      <c r="X172" s="94">
        <f t="shared" si="25"/>
      </c>
      <c r="Y172" s="96">
        <f t="shared" si="26"/>
      </c>
      <c r="Z172" s="21">
        <f t="shared" si="20"/>
      </c>
      <c r="AA172" s="21">
        <f t="shared" si="21"/>
      </c>
      <c r="AB172" s="94">
        <f t="shared" si="27"/>
      </c>
      <c r="AC172" s="96">
        <f t="shared" si="28"/>
      </c>
      <c r="AD172" s="94">
        <f t="shared" si="29"/>
      </c>
      <c r="BA172" s="2">
        <f>IF(OR(往来单位!$B$175="",$AF$3=0),0,SUMIFS(期初余额!$R$5:$R$204,期初余额!$P$5:$P$204,往来单位!$B$175,期初余额!$Q$5:$Q$204,$C$3)+SUMIFS(应付登记!$G$5:$G$1004,应付登记!$D$5:$D$1004,往来单位!$B$175,应付登记!$E$5:$E$1004,$C$3,应付登记!$J$5:$J$1004,"&gt;="&amp;_辅助!$J$4,应付登记!$J$5:$J$1004,"&lt;="&amp;_辅助!$J$2))</f>
        <v>0</v>
      </c>
      <c r="BB172" s="2">
        <f>BB150+SUM(CA151:CA172)</f>
        <v>2</v>
      </c>
      <c r="BC172" s="2">
        <f>IF(OR(往来单位!$B$175="",$AF$3=0,NOT(OR(往来单位!$C$175="管理人员",往来单位!$C$175="工人"))),0,SUMIFS(考勤工资!$E$5:$E$1004,考勤工资!$C$5:$C$1004,往来单位!$B$175,考勤工资!$D$5:$D$1004,$C$3,考勤工资!$Y$5:$Y$1004,"&gt;="&amp;_辅助!$J$4,考勤工资!$Y$5:$Y$1004,"&lt;="&amp;_辅助!$J$2)+SUMIFS(考勤工资!$G$5:$G$1004,考勤工资!$C$5:$C$1004,往来单位!$B$175,考勤工资!$F$5:$F$1004,$C$3,考勤工资!$Y$5:$Y$1004,"&gt;="&amp;_辅助!$J$4,考勤工资!$Y$5:$Y$1004,"&lt;="&amp;_辅助!$J$2)+SUMIFS(考勤工资!$I$5:$I$1004,考勤工资!$C$5:$C$1004,往来单位!$B$175,考勤工资!$H$5:$H$1004,$C$3,考勤工资!$Y$5:$Y$1004,"&gt;="&amp;_辅助!$J$4,考勤工资!$Y$5:$Y$1004,"&lt;="&amp;_辅助!$J$2)+SUMIFS(考勤工资!$K$5:$K$1004,考勤工资!$C$5:$C$1004,往来单位!$B$175,考勤工资!$J$5:$J$1004,$C$3,考勤工资!$Y$5:$Y$1004,"&gt;="&amp;_辅助!$J$4,考勤工资!$Y$5:$Y$1004,"&lt;="&amp;_辅助!$J$2))</f>
        <v>0</v>
      </c>
      <c r="BD172" s="2">
        <f>IF(BC172=0,0,SUMIFS(考勤工资!$AC$5:$AC$1004,考勤工资!$C$5:$C$1004,往来单位!$B$175,考勤工资!$D$5:$D$1004,$C$3,考勤工资!$Y$5:$Y$1004,"&gt;="&amp;_辅助!$J$4,考勤工资!$Y$5:$Y$1004,"&lt;="&amp;_辅助!$J$2)+SUMIFS(考勤工资!$AD$5:$AD$1004,考勤工资!$C$5:$C$1004,往来单位!$B$175,考勤工资!$F$5:$F$1004,$C$3,考勤工资!$Y$5:$Y$1004,"&gt;="&amp;_辅助!$J$4,考勤工资!$Y$5:$Y$1004,"&lt;="&amp;_辅助!$J$2)+SUMIFS(考勤工资!$AE$5:$AE$1004,考勤工资!$C$5:$C$1004,往来单位!$B$175,考勤工资!$H$5:$H$1004,$C$3,考勤工资!$Y$5:$Y$1004,"&gt;="&amp;_辅助!$J$4,考勤工资!$Y$5:$Y$1004,"&lt;="&amp;_辅助!$J$2)+SUMIFS(考勤工资!$AF$5:$AF$1004,考勤工资!$C$5:$C$1004,往来单位!$B$175,考勤工资!$J$5:$J$1004,$C$3,考勤工资!$Y$5:$Y$1004,"&gt;="&amp;_辅助!$J$4,考勤工资!$Y$5:$Y$1004,"&lt;="&amp;_辅助!$J$2))</f>
        <v>0</v>
      </c>
      <c r="BE172" s="2">
        <f>BE150+SUM(CB151:CB172)</f>
        <v>0</v>
      </c>
      <c r="BF172" s="2">
        <f>IF(AND($AF$3&gt;0,发票登记!$T$175=$C$3,ISNUMBER(发票登记!$X$175),发票登记!$AB$175&lt;&gt;0,发票登记!$Y$175&gt;=_辅助!$J$4,发票登记!$Y$175&lt;=_辅助!$J$2),INT(发票登记!$X$175)*10000+171,"")</f>
      </c>
      <c r="BG172" s="2">
        <f>IF(AND($AF$3&gt;0,资金流水!$H$176=$C$3,ISNUMBER(资金流水!$B$176),ISNUMBER(资金流水!$S$176),资金流水!$S$176&gt;=_辅助!$J$4,资金流水!$S$176&lt;=_辅助!$J$2),INT(资金流水!$B$176)*10000+171,"")</f>
      </c>
      <c r="BJ172" s="2">
        <f>IF(137&gt;$BG$1,0,MOD(SMALL($BG$2:$BG$2001,137),10000))</f>
        <v>0</v>
      </c>
      <c r="CA172" s="2">
        <f t="shared" si="0"/>
        <v>0</v>
      </c>
      <c r="CB172" s="2">
        <f t="shared" si="1"/>
        <v>0</v>
      </c>
    </row>
    <row r="173">
      <c r="W173" s="95">
        <f t="shared" si="19"/>
      </c>
      <c r="X173" s="94">
        <f t="shared" si="25"/>
      </c>
      <c r="Y173" s="96">
        <f t="shared" si="26"/>
      </c>
      <c r="Z173" s="21">
        <f t="shared" si="20"/>
      </c>
      <c r="AA173" s="21">
        <f t="shared" si="21"/>
      </c>
      <c r="AB173" s="94">
        <f t="shared" si="27"/>
      </c>
      <c r="AC173" s="96">
        <f t="shared" si="28"/>
      </c>
      <c r="AD173" s="94">
        <f t="shared" si="29"/>
      </c>
      <c r="BA173" s="2">
        <f>IF(OR(往来单位!$B$176="",$AF$3=0),0,SUMIFS(期初余额!$R$5:$R$204,期初余额!$P$5:$P$204,往来单位!$B$176,期初余额!$Q$5:$Q$204,$C$3)+SUMIFS(应付登记!$G$5:$G$1004,应付登记!$D$5:$D$1004,往来单位!$B$176,应付登记!$E$5:$E$1004,$C$3,应付登记!$J$5:$J$1004,"&gt;="&amp;_辅助!$J$4,应付登记!$J$5:$J$1004,"&lt;="&amp;_辅助!$J$2))</f>
        <v>0</v>
      </c>
      <c r="BB173" s="2">
        <f>BB150+SUM(CA151:CA173)</f>
        <v>2</v>
      </c>
      <c r="BC173" s="2">
        <f>IF(OR(往来单位!$B$176="",$AF$3=0,NOT(OR(往来单位!$C$176="管理人员",往来单位!$C$176="工人"))),0,SUMIFS(考勤工资!$E$5:$E$1004,考勤工资!$C$5:$C$1004,往来单位!$B$176,考勤工资!$D$5:$D$1004,$C$3,考勤工资!$Y$5:$Y$1004,"&gt;="&amp;_辅助!$J$4,考勤工资!$Y$5:$Y$1004,"&lt;="&amp;_辅助!$J$2)+SUMIFS(考勤工资!$G$5:$G$1004,考勤工资!$C$5:$C$1004,往来单位!$B$176,考勤工资!$F$5:$F$1004,$C$3,考勤工资!$Y$5:$Y$1004,"&gt;="&amp;_辅助!$J$4,考勤工资!$Y$5:$Y$1004,"&lt;="&amp;_辅助!$J$2)+SUMIFS(考勤工资!$I$5:$I$1004,考勤工资!$C$5:$C$1004,往来单位!$B$176,考勤工资!$H$5:$H$1004,$C$3,考勤工资!$Y$5:$Y$1004,"&gt;="&amp;_辅助!$J$4,考勤工资!$Y$5:$Y$1004,"&lt;="&amp;_辅助!$J$2)+SUMIFS(考勤工资!$K$5:$K$1004,考勤工资!$C$5:$C$1004,往来单位!$B$176,考勤工资!$J$5:$J$1004,$C$3,考勤工资!$Y$5:$Y$1004,"&gt;="&amp;_辅助!$J$4,考勤工资!$Y$5:$Y$1004,"&lt;="&amp;_辅助!$J$2))</f>
        <v>0</v>
      </c>
      <c r="BD173" s="2">
        <f>IF(BC173=0,0,SUMIFS(考勤工资!$AC$5:$AC$1004,考勤工资!$C$5:$C$1004,往来单位!$B$176,考勤工资!$D$5:$D$1004,$C$3,考勤工资!$Y$5:$Y$1004,"&gt;="&amp;_辅助!$J$4,考勤工资!$Y$5:$Y$1004,"&lt;="&amp;_辅助!$J$2)+SUMIFS(考勤工资!$AD$5:$AD$1004,考勤工资!$C$5:$C$1004,往来单位!$B$176,考勤工资!$F$5:$F$1004,$C$3,考勤工资!$Y$5:$Y$1004,"&gt;="&amp;_辅助!$J$4,考勤工资!$Y$5:$Y$1004,"&lt;="&amp;_辅助!$J$2)+SUMIFS(考勤工资!$AE$5:$AE$1004,考勤工资!$C$5:$C$1004,往来单位!$B$176,考勤工资!$H$5:$H$1004,$C$3,考勤工资!$Y$5:$Y$1004,"&gt;="&amp;_辅助!$J$4,考勤工资!$Y$5:$Y$1004,"&lt;="&amp;_辅助!$J$2)+SUMIFS(考勤工资!$AF$5:$AF$1004,考勤工资!$C$5:$C$1004,往来单位!$B$176,考勤工资!$J$5:$J$1004,$C$3,考勤工资!$Y$5:$Y$1004,"&gt;="&amp;_辅助!$J$4,考勤工资!$Y$5:$Y$1004,"&lt;="&amp;_辅助!$J$2))</f>
        <v>0</v>
      </c>
      <c r="BE173" s="2">
        <f>BE150+SUM(CB151:CB173)</f>
        <v>0</v>
      </c>
      <c r="BF173" s="2">
        <f>IF(AND($AF$3&gt;0,发票登记!$T$176=$C$3,ISNUMBER(发票登记!$X$176),发票登记!$AB$176&lt;&gt;0,发票登记!$Y$176&gt;=_辅助!$J$4,发票登记!$Y$176&lt;=_辅助!$J$2),INT(发票登记!$X$176)*10000+172,"")</f>
      </c>
      <c r="BG173" s="2">
        <f>IF(AND($AF$3&gt;0,资金流水!$H$177=$C$3,ISNUMBER(资金流水!$B$177),ISNUMBER(资金流水!$S$177),资金流水!$S$177&gt;=_辅助!$J$4,资金流水!$S$177&lt;=_辅助!$J$2),INT(资金流水!$B$177)*10000+172,"")</f>
      </c>
      <c r="BJ173" s="2">
        <f>IF(138&gt;$BG$1,0,MOD(SMALL($BG$2:$BG$2001,138),10000))</f>
        <v>0</v>
      </c>
      <c r="CA173" s="2">
        <f t="shared" si="0"/>
        <v>0</v>
      </c>
      <c r="CB173" s="2">
        <f t="shared" si="1"/>
        <v>0</v>
      </c>
    </row>
    <row r="174">
      <c r="W174" s="95">
        <f t="shared" si="19"/>
      </c>
      <c r="X174" s="94">
        <f t="shared" si="25"/>
      </c>
      <c r="Y174" s="96">
        <f t="shared" si="26"/>
      </c>
      <c r="Z174" s="21">
        <f t="shared" si="20"/>
      </c>
      <c r="AA174" s="21">
        <f t="shared" si="21"/>
      </c>
      <c r="AB174" s="94">
        <f t="shared" si="27"/>
      </c>
      <c r="AC174" s="96">
        <f t="shared" si="28"/>
      </c>
      <c r="AD174" s="94">
        <f t="shared" si="29"/>
      </c>
      <c r="BA174" s="2">
        <f>IF(OR(往来单位!$B$177="",$AF$3=0),0,SUMIFS(期初余额!$R$5:$R$204,期初余额!$P$5:$P$204,往来单位!$B$177,期初余额!$Q$5:$Q$204,$C$3)+SUMIFS(应付登记!$G$5:$G$1004,应付登记!$D$5:$D$1004,往来单位!$B$177,应付登记!$E$5:$E$1004,$C$3,应付登记!$J$5:$J$1004,"&gt;="&amp;_辅助!$J$4,应付登记!$J$5:$J$1004,"&lt;="&amp;_辅助!$J$2))</f>
        <v>0</v>
      </c>
      <c r="BB174" s="2">
        <f>BB150+SUM(CA151:CA174)</f>
        <v>2</v>
      </c>
      <c r="BC174" s="2">
        <f>IF(OR(往来单位!$B$177="",$AF$3=0,NOT(OR(往来单位!$C$177="管理人员",往来单位!$C$177="工人"))),0,SUMIFS(考勤工资!$E$5:$E$1004,考勤工资!$C$5:$C$1004,往来单位!$B$177,考勤工资!$D$5:$D$1004,$C$3,考勤工资!$Y$5:$Y$1004,"&gt;="&amp;_辅助!$J$4,考勤工资!$Y$5:$Y$1004,"&lt;="&amp;_辅助!$J$2)+SUMIFS(考勤工资!$G$5:$G$1004,考勤工资!$C$5:$C$1004,往来单位!$B$177,考勤工资!$F$5:$F$1004,$C$3,考勤工资!$Y$5:$Y$1004,"&gt;="&amp;_辅助!$J$4,考勤工资!$Y$5:$Y$1004,"&lt;="&amp;_辅助!$J$2)+SUMIFS(考勤工资!$I$5:$I$1004,考勤工资!$C$5:$C$1004,往来单位!$B$177,考勤工资!$H$5:$H$1004,$C$3,考勤工资!$Y$5:$Y$1004,"&gt;="&amp;_辅助!$J$4,考勤工资!$Y$5:$Y$1004,"&lt;="&amp;_辅助!$J$2)+SUMIFS(考勤工资!$K$5:$K$1004,考勤工资!$C$5:$C$1004,往来单位!$B$177,考勤工资!$J$5:$J$1004,$C$3,考勤工资!$Y$5:$Y$1004,"&gt;="&amp;_辅助!$J$4,考勤工资!$Y$5:$Y$1004,"&lt;="&amp;_辅助!$J$2))</f>
        <v>0</v>
      </c>
      <c r="BD174" s="2">
        <f>IF(BC174=0,0,SUMIFS(考勤工资!$AC$5:$AC$1004,考勤工资!$C$5:$C$1004,往来单位!$B$177,考勤工资!$D$5:$D$1004,$C$3,考勤工资!$Y$5:$Y$1004,"&gt;="&amp;_辅助!$J$4,考勤工资!$Y$5:$Y$1004,"&lt;="&amp;_辅助!$J$2)+SUMIFS(考勤工资!$AD$5:$AD$1004,考勤工资!$C$5:$C$1004,往来单位!$B$177,考勤工资!$F$5:$F$1004,$C$3,考勤工资!$Y$5:$Y$1004,"&gt;="&amp;_辅助!$J$4,考勤工资!$Y$5:$Y$1004,"&lt;="&amp;_辅助!$J$2)+SUMIFS(考勤工资!$AE$5:$AE$1004,考勤工资!$C$5:$C$1004,往来单位!$B$177,考勤工资!$H$5:$H$1004,$C$3,考勤工资!$Y$5:$Y$1004,"&gt;="&amp;_辅助!$J$4,考勤工资!$Y$5:$Y$1004,"&lt;="&amp;_辅助!$J$2)+SUMIFS(考勤工资!$AF$5:$AF$1004,考勤工资!$C$5:$C$1004,往来单位!$B$177,考勤工资!$J$5:$J$1004,$C$3,考勤工资!$Y$5:$Y$1004,"&gt;="&amp;_辅助!$J$4,考勤工资!$Y$5:$Y$1004,"&lt;="&amp;_辅助!$J$2))</f>
        <v>0</v>
      </c>
      <c r="BE174" s="2">
        <f>BE150+SUM(CB151:CB174)</f>
        <v>0</v>
      </c>
      <c r="BF174" s="2">
        <f>IF(AND($AF$3&gt;0,发票登记!$T$177=$C$3,ISNUMBER(发票登记!$X$177),发票登记!$AB$177&lt;&gt;0,发票登记!$Y$177&gt;=_辅助!$J$4,发票登记!$Y$177&lt;=_辅助!$J$2),INT(发票登记!$X$177)*10000+173,"")</f>
      </c>
      <c r="BG174" s="2">
        <f>IF(AND($AF$3&gt;0,资金流水!$H$178=$C$3,ISNUMBER(资金流水!$B$178),ISNUMBER(资金流水!$S$178),资金流水!$S$178&gt;=_辅助!$J$4,资金流水!$S$178&lt;=_辅助!$J$2),INT(资金流水!$B$178)*10000+173,"")</f>
      </c>
      <c r="BJ174" s="2">
        <f>IF(139&gt;$BG$1,0,MOD(SMALL($BG$2:$BG$2001,139),10000))</f>
        <v>0</v>
      </c>
      <c r="CA174" s="2">
        <f t="shared" si="0"/>
        <v>0</v>
      </c>
      <c r="CB174" s="2">
        <f t="shared" si="1"/>
        <v>0</v>
      </c>
    </row>
    <row r="175">
      <c r="W175" s="95">
        <f t="shared" si="19"/>
      </c>
      <c r="X175" s="94">
        <f t="shared" si="25"/>
      </c>
      <c r="Y175" s="96">
        <f t="shared" si="26"/>
      </c>
      <c r="Z175" s="21">
        <f t="shared" si="20"/>
      </c>
      <c r="AA175" s="21">
        <f t="shared" si="21"/>
      </c>
      <c r="AB175" s="94">
        <f t="shared" si="27"/>
      </c>
      <c r="AC175" s="96">
        <f t="shared" si="28"/>
      </c>
      <c r="AD175" s="94">
        <f t="shared" si="29"/>
      </c>
      <c r="BA175" s="2">
        <f>IF(OR(往来单位!$B$178="",$AF$3=0),0,SUMIFS(期初余额!$R$5:$R$204,期初余额!$P$5:$P$204,往来单位!$B$178,期初余额!$Q$5:$Q$204,$C$3)+SUMIFS(应付登记!$G$5:$G$1004,应付登记!$D$5:$D$1004,往来单位!$B$178,应付登记!$E$5:$E$1004,$C$3,应付登记!$J$5:$J$1004,"&gt;="&amp;_辅助!$J$4,应付登记!$J$5:$J$1004,"&lt;="&amp;_辅助!$J$2))</f>
        <v>0</v>
      </c>
      <c r="BB175" s="2">
        <f>BB150+SUM(CA151:CA175)</f>
        <v>2</v>
      </c>
      <c r="BC175" s="2">
        <f>IF(OR(往来单位!$B$178="",$AF$3=0,NOT(OR(往来单位!$C$178="管理人员",往来单位!$C$178="工人"))),0,SUMIFS(考勤工资!$E$5:$E$1004,考勤工资!$C$5:$C$1004,往来单位!$B$178,考勤工资!$D$5:$D$1004,$C$3,考勤工资!$Y$5:$Y$1004,"&gt;="&amp;_辅助!$J$4,考勤工资!$Y$5:$Y$1004,"&lt;="&amp;_辅助!$J$2)+SUMIFS(考勤工资!$G$5:$G$1004,考勤工资!$C$5:$C$1004,往来单位!$B$178,考勤工资!$F$5:$F$1004,$C$3,考勤工资!$Y$5:$Y$1004,"&gt;="&amp;_辅助!$J$4,考勤工资!$Y$5:$Y$1004,"&lt;="&amp;_辅助!$J$2)+SUMIFS(考勤工资!$I$5:$I$1004,考勤工资!$C$5:$C$1004,往来单位!$B$178,考勤工资!$H$5:$H$1004,$C$3,考勤工资!$Y$5:$Y$1004,"&gt;="&amp;_辅助!$J$4,考勤工资!$Y$5:$Y$1004,"&lt;="&amp;_辅助!$J$2)+SUMIFS(考勤工资!$K$5:$K$1004,考勤工资!$C$5:$C$1004,往来单位!$B$178,考勤工资!$J$5:$J$1004,$C$3,考勤工资!$Y$5:$Y$1004,"&gt;="&amp;_辅助!$J$4,考勤工资!$Y$5:$Y$1004,"&lt;="&amp;_辅助!$J$2))</f>
        <v>0</v>
      </c>
      <c r="BD175" s="2">
        <f>IF(BC175=0,0,SUMIFS(考勤工资!$AC$5:$AC$1004,考勤工资!$C$5:$C$1004,往来单位!$B$178,考勤工资!$D$5:$D$1004,$C$3,考勤工资!$Y$5:$Y$1004,"&gt;="&amp;_辅助!$J$4,考勤工资!$Y$5:$Y$1004,"&lt;="&amp;_辅助!$J$2)+SUMIFS(考勤工资!$AD$5:$AD$1004,考勤工资!$C$5:$C$1004,往来单位!$B$178,考勤工资!$F$5:$F$1004,$C$3,考勤工资!$Y$5:$Y$1004,"&gt;="&amp;_辅助!$J$4,考勤工资!$Y$5:$Y$1004,"&lt;="&amp;_辅助!$J$2)+SUMIFS(考勤工资!$AE$5:$AE$1004,考勤工资!$C$5:$C$1004,往来单位!$B$178,考勤工资!$H$5:$H$1004,$C$3,考勤工资!$Y$5:$Y$1004,"&gt;="&amp;_辅助!$J$4,考勤工资!$Y$5:$Y$1004,"&lt;="&amp;_辅助!$J$2)+SUMIFS(考勤工资!$AF$5:$AF$1004,考勤工资!$C$5:$C$1004,往来单位!$B$178,考勤工资!$J$5:$J$1004,$C$3,考勤工资!$Y$5:$Y$1004,"&gt;="&amp;_辅助!$J$4,考勤工资!$Y$5:$Y$1004,"&lt;="&amp;_辅助!$J$2))</f>
        <v>0</v>
      </c>
      <c r="BE175" s="2">
        <f>BE150+SUM(CB151:CB175)</f>
        <v>0</v>
      </c>
      <c r="BF175" s="2">
        <f>IF(AND($AF$3&gt;0,发票登记!$T$178=$C$3,ISNUMBER(发票登记!$X$178),发票登记!$AB$178&lt;&gt;0,发票登记!$Y$178&gt;=_辅助!$J$4,发票登记!$Y$178&lt;=_辅助!$J$2),INT(发票登记!$X$178)*10000+174,"")</f>
      </c>
      <c r="BG175" s="2">
        <f>IF(AND($AF$3&gt;0,资金流水!$H$179=$C$3,ISNUMBER(资金流水!$B$179),ISNUMBER(资金流水!$S$179),资金流水!$S$179&gt;=_辅助!$J$4,资金流水!$S$179&lt;=_辅助!$J$2),INT(资金流水!$B$179)*10000+174,"")</f>
      </c>
      <c r="BJ175" s="2">
        <f>IF(140&gt;$BG$1,0,MOD(SMALL($BG$2:$BG$2001,140),10000))</f>
        <v>0</v>
      </c>
      <c r="CA175" s="2">
        <f t="shared" si="0"/>
        <v>0</v>
      </c>
      <c r="CB175" s="2">
        <f t="shared" si="1"/>
        <v>0</v>
      </c>
    </row>
    <row r="176">
      <c r="W176" s="95">
        <f t="shared" si="19"/>
      </c>
      <c r="X176" s="94">
        <f t="shared" si="25"/>
      </c>
      <c r="Y176" s="96">
        <f t="shared" si="26"/>
      </c>
      <c r="Z176" s="21">
        <f t="shared" si="20"/>
      </c>
      <c r="AA176" s="21">
        <f t="shared" si="21"/>
      </c>
      <c r="AB176" s="94">
        <f t="shared" si="27"/>
      </c>
      <c r="AC176" s="96">
        <f t="shared" si="28"/>
      </c>
      <c r="AD176" s="94">
        <f t="shared" si="29"/>
      </c>
      <c r="BA176" s="2">
        <f>IF(OR(往来单位!$B$179="",$AF$3=0),0,SUMIFS(期初余额!$R$5:$R$204,期初余额!$P$5:$P$204,往来单位!$B$179,期初余额!$Q$5:$Q$204,$C$3)+SUMIFS(应付登记!$G$5:$G$1004,应付登记!$D$5:$D$1004,往来单位!$B$179,应付登记!$E$5:$E$1004,$C$3,应付登记!$J$5:$J$1004,"&gt;="&amp;_辅助!$J$4,应付登记!$J$5:$J$1004,"&lt;="&amp;_辅助!$J$2))</f>
        <v>0</v>
      </c>
      <c r="BB176" s="2">
        <f>BB150+SUM(CA151:CA176)</f>
        <v>2</v>
      </c>
      <c r="BC176" s="2">
        <f>IF(OR(往来单位!$B$179="",$AF$3=0,NOT(OR(往来单位!$C$179="管理人员",往来单位!$C$179="工人"))),0,SUMIFS(考勤工资!$E$5:$E$1004,考勤工资!$C$5:$C$1004,往来单位!$B$179,考勤工资!$D$5:$D$1004,$C$3,考勤工资!$Y$5:$Y$1004,"&gt;="&amp;_辅助!$J$4,考勤工资!$Y$5:$Y$1004,"&lt;="&amp;_辅助!$J$2)+SUMIFS(考勤工资!$G$5:$G$1004,考勤工资!$C$5:$C$1004,往来单位!$B$179,考勤工资!$F$5:$F$1004,$C$3,考勤工资!$Y$5:$Y$1004,"&gt;="&amp;_辅助!$J$4,考勤工资!$Y$5:$Y$1004,"&lt;="&amp;_辅助!$J$2)+SUMIFS(考勤工资!$I$5:$I$1004,考勤工资!$C$5:$C$1004,往来单位!$B$179,考勤工资!$H$5:$H$1004,$C$3,考勤工资!$Y$5:$Y$1004,"&gt;="&amp;_辅助!$J$4,考勤工资!$Y$5:$Y$1004,"&lt;="&amp;_辅助!$J$2)+SUMIFS(考勤工资!$K$5:$K$1004,考勤工资!$C$5:$C$1004,往来单位!$B$179,考勤工资!$J$5:$J$1004,$C$3,考勤工资!$Y$5:$Y$1004,"&gt;="&amp;_辅助!$J$4,考勤工资!$Y$5:$Y$1004,"&lt;="&amp;_辅助!$J$2))</f>
        <v>0</v>
      </c>
      <c r="BD176" s="2">
        <f>IF(BC176=0,0,SUMIFS(考勤工资!$AC$5:$AC$1004,考勤工资!$C$5:$C$1004,往来单位!$B$179,考勤工资!$D$5:$D$1004,$C$3,考勤工资!$Y$5:$Y$1004,"&gt;="&amp;_辅助!$J$4,考勤工资!$Y$5:$Y$1004,"&lt;="&amp;_辅助!$J$2)+SUMIFS(考勤工资!$AD$5:$AD$1004,考勤工资!$C$5:$C$1004,往来单位!$B$179,考勤工资!$F$5:$F$1004,$C$3,考勤工资!$Y$5:$Y$1004,"&gt;="&amp;_辅助!$J$4,考勤工资!$Y$5:$Y$1004,"&lt;="&amp;_辅助!$J$2)+SUMIFS(考勤工资!$AE$5:$AE$1004,考勤工资!$C$5:$C$1004,往来单位!$B$179,考勤工资!$H$5:$H$1004,$C$3,考勤工资!$Y$5:$Y$1004,"&gt;="&amp;_辅助!$J$4,考勤工资!$Y$5:$Y$1004,"&lt;="&amp;_辅助!$J$2)+SUMIFS(考勤工资!$AF$5:$AF$1004,考勤工资!$C$5:$C$1004,往来单位!$B$179,考勤工资!$J$5:$J$1004,$C$3,考勤工资!$Y$5:$Y$1004,"&gt;="&amp;_辅助!$J$4,考勤工资!$Y$5:$Y$1004,"&lt;="&amp;_辅助!$J$2))</f>
        <v>0</v>
      </c>
      <c r="BE176" s="2">
        <f>BE150+SUM(CB151:CB176)</f>
        <v>0</v>
      </c>
      <c r="BF176" s="2">
        <f>IF(AND($AF$3&gt;0,发票登记!$T$179=$C$3,ISNUMBER(发票登记!$X$179),发票登记!$AB$179&lt;&gt;0,发票登记!$Y$179&gt;=_辅助!$J$4,发票登记!$Y$179&lt;=_辅助!$J$2),INT(发票登记!$X$179)*10000+175,"")</f>
      </c>
      <c r="BG176" s="2">
        <f>IF(AND($AF$3&gt;0,资金流水!$H$180=$C$3,ISNUMBER(资金流水!$B$180),ISNUMBER(资金流水!$S$180),资金流水!$S$180&gt;=_辅助!$J$4,资金流水!$S$180&lt;=_辅助!$J$2),INT(资金流水!$B$180)*10000+175,"")</f>
      </c>
      <c r="BJ176" s="2">
        <f>IF(141&gt;$BG$1,0,MOD(SMALL($BG$2:$BG$2001,141),10000))</f>
        <v>0</v>
      </c>
      <c r="CA176" s="2">
        <f t="shared" si="0"/>
        <v>0</v>
      </c>
      <c r="CB176" s="2">
        <f t="shared" si="1"/>
        <v>0</v>
      </c>
    </row>
    <row r="177">
      <c r="W177" s="95">
        <f t="shared" si="19"/>
      </c>
      <c r="X177" s="94">
        <f t="shared" si="25"/>
      </c>
      <c r="Y177" s="96">
        <f t="shared" si="26"/>
      </c>
      <c r="Z177" s="21">
        <f t="shared" si="20"/>
      </c>
      <c r="AA177" s="21">
        <f t="shared" si="21"/>
      </c>
      <c r="AB177" s="94">
        <f t="shared" si="27"/>
      </c>
      <c r="AC177" s="96">
        <f t="shared" si="28"/>
      </c>
      <c r="AD177" s="94">
        <f t="shared" si="29"/>
      </c>
      <c r="BA177" s="2">
        <f>IF(OR(往来单位!$B$180="",$AF$3=0),0,SUMIFS(期初余额!$R$5:$R$204,期初余额!$P$5:$P$204,往来单位!$B$180,期初余额!$Q$5:$Q$204,$C$3)+SUMIFS(应付登记!$G$5:$G$1004,应付登记!$D$5:$D$1004,往来单位!$B$180,应付登记!$E$5:$E$1004,$C$3,应付登记!$J$5:$J$1004,"&gt;="&amp;_辅助!$J$4,应付登记!$J$5:$J$1004,"&lt;="&amp;_辅助!$J$2))</f>
        <v>0</v>
      </c>
      <c r="BB177" s="2">
        <f>BB150+SUM(CA151:CA177)</f>
        <v>2</v>
      </c>
      <c r="BC177" s="2">
        <f>IF(OR(往来单位!$B$180="",$AF$3=0,NOT(OR(往来单位!$C$180="管理人员",往来单位!$C$180="工人"))),0,SUMIFS(考勤工资!$E$5:$E$1004,考勤工资!$C$5:$C$1004,往来单位!$B$180,考勤工资!$D$5:$D$1004,$C$3,考勤工资!$Y$5:$Y$1004,"&gt;="&amp;_辅助!$J$4,考勤工资!$Y$5:$Y$1004,"&lt;="&amp;_辅助!$J$2)+SUMIFS(考勤工资!$G$5:$G$1004,考勤工资!$C$5:$C$1004,往来单位!$B$180,考勤工资!$F$5:$F$1004,$C$3,考勤工资!$Y$5:$Y$1004,"&gt;="&amp;_辅助!$J$4,考勤工资!$Y$5:$Y$1004,"&lt;="&amp;_辅助!$J$2)+SUMIFS(考勤工资!$I$5:$I$1004,考勤工资!$C$5:$C$1004,往来单位!$B$180,考勤工资!$H$5:$H$1004,$C$3,考勤工资!$Y$5:$Y$1004,"&gt;="&amp;_辅助!$J$4,考勤工资!$Y$5:$Y$1004,"&lt;="&amp;_辅助!$J$2)+SUMIFS(考勤工资!$K$5:$K$1004,考勤工资!$C$5:$C$1004,往来单位!$B$180,考勤工资!$J$5:$J$1004,$C$3,考勤工资!$Y$5:$Y$1004,"&gt;="&amp;_辅助!$J$4,考勤工资!$Y$5:$Y$1004,"&lt;="&amp;_辅助!$J$2))</f>
        <v>0</v>
      </c>
      <c r="BD177" s="2">
        <f>IF(BC177=0,0,SUMIFS(考勤工资!$AC$5:$AC$1004,考勤工资!$C$5:$C$1004,往来单位!$B$180,考勤工资!$D$5:$D$1004,$C$3,考勤工资!$Y$5:$Y$1004,"&gt;="&amp;_辅助!$J$4,考勤工资!$Y$5:$Y$1004,"&lt;="&amp;_辅助!$J$2)+SUMIFS(考勤工资!$AD$5:$AD$1004,考勤工资!$C$5:$C$1004,往来单位!$B$180,考勤工资!$F$5:$F$1004,$C$3,考勤工资!$Y$5:$Y$1004,"&gt;="&amp;_辅助!$J$4,考勤工资!$Y$5:$Y$1004,"&lt;="&amp;_辅助!$J$2)+SUMIFS(考勤工资!$AE$5:$AE$1004,考勤工资!$C$5:$C$1004,往来单位!$B$180,考勤工资!$H$5:$H$1004,$C$3,考勤工资!$Y$5:$Y$1004,"&gt;="&amp;_辅助!$J$4,考勤工资!$Y$5:$Y$1004,"&lt;="&amp;_辅助!$J$2)+SUMIFS(考勤工资!$AF$5:$AF$1004,考勤工资!$C$5:$C$1004,往来单位!$B$180,考勤工资!$J$5:$J$1004,$C$3,考勤工资!$Y$5:$Y$1004,"&gt;="&amp;_辅助!$J$4,考勤工资!$Y$5:$Y$1004,"&lt;="&amp;_辅助!$J$2))</f>
        <v>0</v>
      </c>
      <c r="BE177" s="2">
        <f>BE150+SUM(CB151:CB177)</f>
        <v>0</v>
      </c>
      <c r="BF177" s="2">
        <f>IF(AND($AF$3&gt;0,发票登记!$T$180=$C$3,ISNUMBER(发票登记!$X$180),发票登记!$AB$180&lt;&gt;0,发票登记!$Y$180&gt;=_辅助!$J$4,发票登记!$Y$180&lt;=_辅助!$J$2),INT(发票登记!$X$180)*10000+176,"")</f>
      </c>
      <c r="BG177" s="2">
        <f>IF(AND($AF$3&gt;0,资金流水!$H$181=$C$3,ISNUMBER(资金流水!$B$181),ISNUMBER(资金流水!$S$181),资金流水!$S$181&gt;=_辅助!$J$4,资金流水!$S$181&lt;=_辅助!$J$2),INT(资金流水!$B$181)*10000+176,"")</f>
      </c>
      <c r="BJ177" s="2">
        <f>IF(142&gt;$BG$1,0,MOD(SMALL($BG$2:$BG$2001,142),10000))</f>
        <v>0</v>
      </c>
      <c r="CA177" s="2">
        <f t="shared" si="0"/>
        <v>0</v>
      </c>
      <c r="CB177" s="2">
        <f t="shared" si="1"/>
        <v>0</v>
      </c>
    </row>
    <row r="178">
      <c r="W178" s="95">
        <f t="shared" si="19"/>
      </c>
      <c r="X178" s="94">
        <f t="shared" si="25"/>
      </c>
      <c r="Y178" s="96">
        <f t="shared" si="26"/>
      </c>
      <c r="Z178" s="21">
        <f t="shared" si="20"/>
      </c>
      <c r="AA178" s="21">
        <f t="shared" si="21"/>
      </c>
      <c r="AB178" s="94">
        <f t="shared" si="27"/>
      </c>
      <c r="AC178" s="96">
        <f t="shared" si="28"/>
      </c>
      <c r="AD178" s="94">
        <f t="shared" si="29"/>
      </c>
      <c r="BA178" s="2">
        <f>IF(OR(往来单位!$B$181="",$AF$3=0),0,SUMIFS(期初余额!$R$5:$R$204,期初余额!$P$5:$P$204,往来单位!$B$181,期初余额!$Q$5:$Q$204,$C$3)+SUMIFS(应付登记!$G$5:$G$1004,应付登记!$D$5:$D$1004,往来单位!$B$181,应付登记!$E$5:$E$1004,$C$3,应付登记!$J$5:$J$1004,"&gt;="&amp;_辅助!$J$4,应付登记!$J$5:$J$1004,"&lt;="&amp;_辅助!$J$2))</f>
        <v>0</v>
      </c>
      <c r="BB178" s="2">
        <f>BB150+SUM(CA151:CA178)</f>
        <v>2</v>
      </c>
      <c r="BC178" s="2">
        <f>IF(OR(往来单位!$B$181="",$AF$3=0,NOT(OR(往来单位!$C$181="管理人员",往来单位!$C$181="工人"))),0,SUMIFS(考勤工资!$E$5:$E$1004,考勤工资!$C$5:$C$1004,往来单位!$B$181,考勤工资!$D$5:$D$1004,$C$3,考勤工资!$Y$5:$Y$1004,"&gt;="&amp;_辅助!$J$4,考勤工资!$Y$5:$Y$1004,"&lt;="&amp;_辅助!$J$2)+SUMIFS(考勤工资!$G$5:$G$1004,考勤工资!$C$5:$C$1004,往来单位!$B$181,考勤工资!$F$5:$F$1004,$C$3,考勤工资!$Y$5:$Y$1004,"&gt;="&amp;_辅助!$J$4,考勤工资!$Y$5:$Y$1004,"&lt;="&amp;_辅助!$J$2)+SUMIFS(考勤工资!$I$5:$I$1004,考勤工资!$C$5:$C$1004,往来单位!$B$181,考勤工资!$H$5:$H$1004,$C$3,考勤工资!$Y$5:$Y$1004,"&gt;="&amp;_辅助!$J$4,考勤工资!$Y$5:$Y$1004,"&lt;="&amp;_辅助!$J$2)+SUMIFS(考勤工资!$K$5:$K$1004,考勤工资!$C$5:$C$1004,往来单位!$B$181,考勤工资!$J$5:$J$1004,$C$3,考勤工资!$Y$5:$Y$1004,"&gt;="&amp;_辅助!$J$4,考勤工资!$Y$5:$Y$1004,"&lt;="&amp;_辅助!$J$2))</f>
        <v>0</v>
      </c>
      <c r="BD178" s="2">
        <f>IF(BC178=0,0,SUMIFS(考勤工资!$AC$5:$AC$1004,考勤工资!$C$5:$C$1004,往来单位!$B$181,考勤工资!$D$5:$D$1004,$C$3,考勤工资!$Y$5:$Y$1004,"&gt;="&amp;_辅助!$J$4,考勤工资!$Y$5:$Y$1004,"&lt;="&amp;_辅助!$J$2)+SUMIFS(考勤工资!$AD$5:$AD$1004,考勤工资!$C$5:$C$1004,往来单位!$B$181,考勤工资!$F$5:$F$1004,$C$3,考勤工资!$Y$5:$Y$1004,"&gt;="&amp;_辅助!$J$4,考勤工资!$Y$5:$Y$1004,"&lt;="&amp;_辅助!$J$2)+SUMIFS(考勤工资!$AE$5:$AE$1004,考勤工资!$C$5:$C$1004,往来单位!$B$181,考勤工资!$H$5:$H$1004,$C$3,考勤工资!$Y$5:$Y$1004,"&gt;="&amp;_辅助!$J$4,考勤工资!$Y$5:$Y$1004,"&lt;="&amp;_辅助!$J$2)+SUMIFS(考勤工资!$AF$5:$AF$1004,考勤工资!$C$5:$C$1004,往来单位!$B$181,考勤工资!$J$5:$J$1004,$C$3,考勤工资!$Y$5:$Y$1004,"&gt;="&amp;_辅助!$J$4,考勤工资!$Y$5:$Y$1004,"&lt;="&amp;_辅助!$J$2))</f>
        <v>0</v>
      </c>
      <c r="BE178" s="2">
        <f>BE150+SUM(CB151:CB178)</f>
        <v>0</v>
      </c>
      <c r="BF178" s="2">
        <f>IF(AND($AF$3&gt;0,发票登记!$T$181=$C$3,ISNUMBER(发票登记!$X$181),发票登记!$AB$181&lt;&gt;0,发票登记!$Y$181&gt;=_辅助!$J$4,发票登记!$Y$181&lt;=_辅助!$J$2),INT(发票登记!$X$181)*10000+177,"")</f>
      </c>
      <c r="BG178" s="2">
        <f>IF(AND($AF$3&gt;0,资金流水!$H$182=$C$3,ISNUMBER(资金流水!$B$182),ISNUMBER(资金流水!$S$182),资金流水!$S$182&gt;=_辅助!$J$4,资金流水!$S$182&lt;=_辅助!$J$2),INT(资金流水!$B$182)*10000+177,"")</f>
      </c>
      <c r="BJ178" s="2">
        <f>IF(143&gt;$BG$1,0,MOD(SMALL($BG$2:$BG$2001,143),10000))</f>
        <v>0</v>
      </c>
      <c r="CA178" s="2">
        <f t="shared" si="0"/>
        <v>0</v>
      </c>
      <c r="CB178" s="2">
        <f t="shared" si="1"/>
        <v>0</v>
      </c>
    </row>
    <row r="179">
      <c r="W179" s="95">
        <f t="shared" si="19"/>
      </c>
      <c r="X179" s="94">
        <f t="shared" si="25"/>
      </c>
      <c r="Y179" s="96">
        <f t="shared" si="26"/>
      </c>
      <c r="Z179" s="21">
        <f t="shared" si="20"/>
      </c>
      <c r="AA179" s="21">
        <f t="shared" si="21"/>
      </c>
      <c r="AB179" s="94">
        <f t="shared" si="27"/>
      </c>
      <c r="AC179" s="96">
        <f t="shared" si="28"/>
      </c>
      <c r="AD179" s="94">
        <f t="shared" si="29"/>
      </c>
      <c r="BA179" s="2">
        <f>IF(OR(往来单位!$B$182="",$AF$3=0),0,SUMIFS(期初余额!$R$5:$R$204,期初余额!$P$5:$P$204,往来单位!$B$182,期初余额!$Q$5:$Q$204,$C$3)+SUMIFS(应付登记!$G$5:$G$1004,应付登记!$D$5:$D$1004,往来单位!$B$182,应付登记!$E$5:$E$1004,$C$3,应付登记!$J$5:$J$1004,"&gt;="&amp;_辅助!$J$4,应付登记!$J$5:$J$1004,"&lt;="&amp;_辅助!$J$2))</f>
        <v>0</v>
      </c>
      <c r="BB179" s="2">
        <f>BB150+SUM(CA151:CA179)</f>
        <v>2</v>
      </c>
      <c r="BC179" s="2">
        <f>IF(OR(往来单位!$B$182="",$AF$3=0,NOT(OR(往来单位!$C$182="管理人员",往来单位!$C$182="工人"))),0,SUMIFS(考勤工资!$E$5:$E$1004,考勤工资!$C$5:$C$1004,往来单位!$B$182,考勤工资!$D$5:$D$1004,$C$3,考勤工资!$Y$5:$Y$1004,"&gt;="&amp;_辅助!$J$4,考勤工资!$Y$5:$Y$1004,"&lt;="&amp;_辅助!$J$2)+SUMIFS(考勤工资!$G$5:$G$1004,考勤工资!$C$5:$C$1004,往来单位!$B$182,考勤工资!$F$5:$F$1004,$C$3,考勤工资!$Y$5:$Y$1004,"&gt;="&amp;_辅助!$J$4,考勤工资!$Y$5:$Y$1004,"&lt;="&amp;_辅助!$J$2)+SUMIFS(考勤工资!$I$5:$I$1004,考勤工资!$C$5:$C$1004,往来单位!$B$182,考勤工资!$H$5:$H$1004,$C$3,考勤工资!$Y$5:$Y$1004,"&gt;="&amp;_辅助!$J$4,考勤工资!$Y$5:$Y$1004,"&lt;="&amp;_辅助!$J$2)+SUMIFS(考勤工资!$K$5:$K$1004,考勤工资!$C$5:$C$1004,往来单位!$B$182,考勤工资!$J$5:$J$1004,$C$3,考勤工资!$Y$5:$Y$1004,"&gt;="&amp;_辅助!$J$4,考勤工资!$Y$5:$Y$1004,"&lt;="&amp;_辅助!$J$2))</f>
        <v>0</v>
      </c>
      <c r="BD179" s="2">
        <f>IF(BC179=0,0,SUMIFS(考勤工资!$AC$5:$AC$1004,考勤工资!$C$5:$C$1004,往来单位!$B$182,考勤工资!$D$5:$D$1004,$C$3,考勤工资!$Y$5:$Y$1004,"&gt;="&amp;_辅助!$J$4,考勤工资!$Y$5:$Y$1004,"&lt;="&amp;_辅助!$J$2)+SUMIFS(考勤工资!$AD$5:$AD$1004,考勤工资!$C$5:$C$1004,往来单位!$B$182,考勤工资!$F$5:$F$1004,$C$3,考勤工资!$Y$5:$Y$1004,"&gt;="&amp;_辅助!$J$4,考勤工资!$Y$5:$Y$1004,"&lt;="&amp;_辅助!$J$2)+SUMIFS(考勤工资!$AE$5:$AE$1004,考勤工资!$C$5:$C$1004,往来单位!$B$182,考勤工资!$H$5:$H$1004,$C$3,考勤工资!$Y$5:$Y$1004,"&gt;="&amp;_辅助!$J$4,考勤工资!$Y$5:$Y$1004,"&lt;="&amp;_辅助!$J$2)+SUMIFS(考勤工资!$AF$5:$AF$1004,考勤工资!$C$5:$C$1004,往来单位!$B$182,考勤工资!$J$5:$J$1004,$C$3,考勤工资!$Y$5:$Y$1004,"&gt;="&amp;_辅助!$J$4,考勤工资!$Y$5:$Y$1004,"&lt;="&amp;_辅助!$J$2))</f>
        <v>0</v>
      </c>
      <c r="BE179" s="2">
        <f>BE150+SUM(CB151:CB179)</f>
        <v>0</v>
      </c>
      <c r="BF179" s="2">
        <f>IF(AND($AF$3&gt;0,发票登记!$T$182=$C$3,ISNUMBER(发票登记!$X$182),发票登记!$AB$182&lt;&gt;0,发票登记!$Y$182&gt;=_辅助!$J$4,发票登记!$Y$182&lt;=_辅助!$J$2),INT(发票登记!$X$182)*10000+178,"")</f>
      </c>
      <c r="BG179" s="2">
        <f>IF(AND($AF$3&gt;0,资金流水!$H$183=$C$3,ISNUMBER(资金流水!$B$183),ISNUMBER(资金流水!$S$183),资金流水!$S$183&gt;=_辅助!$J$4,资金流水!$S$183&lt;=_辅助!$J$2),INT(资金流水!$B$183)*10000+178,"")</f>
      </c>
      <c r="BJ179" s="2">
        <f>IF(144&gt;$BG$1,0,MOD(SMALL($BG$2:$BG$2001,144),10000))</f>
        <v>0</v>
      </c>
      <c r="CA179" s="2">
        <f t="shared" si="0"/>
        <v>0</v>
      </c>
      <c r="CB179" s="2">
        <f t="shared" si="1"/>
        <v>0</v>
      </c>
    </row>
    <row r="180">
      <c r="W180" s="95">
        <f t="shared" si="19"/>
      </c>
      <c r="X180" s="94">
        <f t="shared" si="25"/>
      </c>
      <c r="Y180" s="96">
        <f t="shared" si="26"/>
      </c>
      <c r="Z180" s="21">
        <f t="shared" si="20"/>
      </c>
      <c r="AA180" s="21">
        <f t="shared" si="21"/>
      </c>
      <c r="AB180" s="94">
        <f t="shared" si="27"/>
      </c>
      <c r="AC180" s="96">
        <f t="shared" si="28"/>
      </c>
      <c r="AD180" s="94">
        <f t="shared" si="29"/>
      </c>
      <c r="BA180" s="2">
        <f>IF(OR(往来单位!$B$183="",$AF$3=0),0,SUMIFS(期初余额!$R$5:$R$204,期初余额!$P$5:$P$204,往来单位!$B$183,期初余额!$Q$5:$Q$204,$C$3)+SUMIFS(应付登记!$G$5:$G$1004,应付登记!$D$5:$D$1004,往来单位!$B$183,应付登记!$E$5:$E$1004,$C$3,应付登记!$J$5:$J$1004,"&gt;="&amp;_辅助!$J$4,应付登记!$J$5:$J$1004,"&lt;="&amp;_辅助!$J$2))</f>
        <v>0</v>
      </c>
      <c r="BB180" s="2">
        <f>BB150+SUM(CA151:CA180)</f>
        <v>2</v>
      </c>
      <c r="BC180" s="2">
        <f>IF(OR(往来单位!$B$183="",$AF$3=0,NOT(OR(往来单位!$C$183="管理人员",往来单位!$C$183="工人"))),0,SUMIFS(考勤工资!$E$5:$E$1004,考勤工资!$C$5:$C$1004,往来单位!$B$183,考勤工资!$D$5:$D$1004,$C$3,考勤工资!$Y$5:$Y$1004,"&gt;="&amp;_辅助!$J$4,考勤工资!$Y$5:$Y$1004,"&lt;="&amp;_辅助!$J$2)+SUMIFS(考勤工资!$G$5:$G$1004,考勤工资!$C$5:$C$1004,往来单位!$B$183,考勤工资!$F$5:$F$1004,$C$3,考勤工资!$Y$5:$Y$1004,"&gt;="&amp;_辅助!$J$4,考勤工资!$Y$5:$Y$1004,"&lt;="&amp;_辅助!$J$2)+SUMIFS(考勤工资!$I$5:$I$1004,考勤工资!$C$5:$C$1004,往来单位!$B$183,考勤工资!$H$5:$H$1004,$C$3,考勤工资!$Y$5:$Y$1004,"&gt;="&amp;_辅助!$J$4,考勤工资!$Y$5:$Y$1004,"&lt;="&amp;_辅助!$J$2)+SUMIFS(考勤工资!$K$5:$K$1004,考勤工资!$C$5:$C$1004,往来单位!$B$183,考勤工资!$J$5:$J$1004,$C$3,考勤工资!$Y$5:$Y$1004,"&gt;="&amp;_辅助!$J$4,考勤工资!$Y$5:$Y$1004,"&lt;="&amp;_辅助!$J$2))</f>
        <v>0</v>
      </c>
      <c r="BD180" s="2">
        <f>IF(BC180=0,0,SUMIFS(考勤工资!$AC$5:$AC$1004,考勤工资!$C$5:$C$1004,往来单位!$B$183,考勤工资!$D$5:$D$1004,$C$3,考勤工资!$Y$5:$Y$1004,"&gt;="&amp;_辅助!$J$4,考勤工资!$Y$5:$Y$1004,"&lt;="&amp;_辅助!$J$2)+SUMIFS(考勤工资!$AD$5:$AD$1004,考勤工资!$C$5:$C$1004,往来单位!$B$183,考勤工资!$F$5:$F$1004,$C$3,考勤工资!$Y$5:$Y$1004,"&gt;="&amp;_辅助!$J$4,考勤工资!$Y$5:$Y$1004,"&lt;="&amp;_辅助!$J$2)+SUMIFS(考勤工资!$AE$5:$AE$1004,考勤工资!$C$5:$C$1004,往来单位!$B$183,考勤工资!$H$5:$H$1004,$C$3,考勤工资!$Y$5:$Y$1004,"&gt;="&amp;_辅助!$J$4,考勤工资!$Y$5:$Y$1004,"&lt;="&amp;_辅助!$J$2)+SUMIFS(考勤工资!$AF$5:$AF$1004,考勤工资!$C$5:$C$1004,往来单位!$B$183,考勤工资!$J$5:$J$1004,$C$3,考勤工资!$Y$5:$Y$1004,"&gt;="&amp;_辅助!$J$4,考勤工资!$Y$5:$Y$1004,"&lt;="&amp;_辅助!$J$2))</f>
        <v>0</v>
      </c>
      <c r="BE180" s="2">
        <f>BE150+SUM(CB151:CB180)</f>
        <v>0</v>
      </c>
      <c r="BF180" s="2">
        <f>IF(AND($AF$3&gt;0,发票登记!$T$183=$C$3,ISNUMBER(发票登记!$X$183),发票登记!$AB$183&lt;&gt;0,发票登记!$Y$183&gt;=_辅助!$J$4,发票登记!$Y$183&lt;=_辅助!$J$2),INT(发票登记!$X$183)*10000+179,"")</f>
      </c>
      <c r="BG180" s="2">
        <f>IF(AND($AF$3&gt;0,资金流水!$H$184=$C$3,ISNUMBER(资金流水!$B$184),ISNUMBER(资金流水!$S$184),资金流水!$S$184&gt;=_辅助!$J$4,资金流水!$S$184&lt;=_辅助!$J$2),INT(资金流水!$B$184)*10000+179,"")</f>
      </c>
      <c r="BJ180" s="2">
        <f>IF(145&gt;$BG$1,0,MOD(SMALL($BG$2:$BG$2001,145),10000))</f>
        <v>0</v>
      </c>
      <c r="CA180" s="2">
        <f t="shared" si="0"/>
        <v>0</v>
      </c>
      <c r="CB180" s="2">
        <f t="shared" si="1"/>
        <v>0</v>
      </c>
    </row>
    <row r="181">
      <c r="W181" s="95">
        <f t="shared" si="19"/>
      </c>
      <c r="X181" s="94">
        <f t="shared" si="25"/>
      </c>
      <c r="Y181" s="96">
        <f t="shared" si="26"/>
      </c>
      <c r="Z181" s="21">
        <f t="shared" si="20"/>
      </c>
      <c r="AA181" s="21">
        <f t="shared" si="21"/>
      </c>
      <c r="AB181" s="94">
        <f t="shared" si="27"/>
      </c>
      <c r="AC181" s="96">
        <f t="shared" si="28"/>
      </c>
      <c r="AD181" s="94">
        <f t="shared" si="29"/>
      </c>
      <c r="BA181" s="2">
        <f>IF(OR(往来单位!$B$184="",$AF$3=0),0,SUMIFS(期初余额!$R$5:$R$204,期初余额!$P$5:$P$204,往来单位!$B$184,期初余额!$Q$5:$Q$204,$C$3)+SUMIFS(应付登记!$G$5:$G$1004,应付登记!$D$5:$D$1004,往来单位!$B$184,应付登记!$E$5:$E$1004,$C$3,应付登记!$J$5:$J$1004,"&gt;="&amp;_辅助!$J$4,应付登记!$J$5:$J$1004,"&lt;="&amp;_辅助!$J$2))</f>
        <v>0</v>
      </c>
      <c r="BB181" s="2">
        <f>BB150+SUM(CA151:CA181)</f>
        <v>2</v>
      </c>
      <c r="BC181" s="2">
        <f>IF(OR(往来单位!$B$184="",$AF$3=0,NOT(OR(往来单位!$C$184="管理人员",往来单位!$C$184="工人"))),0,SUMIFS(考勤工资!$E$5:$E$1004,考勤工资!$C$5:$C$1004,往来单位!$B$184,考勤工资!$D$5:$D$1004,$C$3,考勤工资!$Y$5:$Y$1004,"&gt;="&amp;_辅助!$J$4,考勤工资!$Y$5:$Y$1004,"&lt;="&amp;_辅助!$J$2)+SUMIFS(考勤工资!$G$5:$G$1004,考勤工资!$C$5:$C$1004,往来单位!$B$184,考勤工资!$F$5:$F$1004,$C$3,考勤工资!$Y$5:$Y$1004,"&gt;="&amp;_辅助!$J$4,考勤工资!$Y$5:$Y$1004,"&lt;="&amp;_辅助!$J$2)+SUMIFS(考勤工资!$I$5:$I$1004,考勤工资!$C$5:$C$1004,往来单位!$B$184,考勤工资!$H$5:$H$1004,$C$3,考勤工资!$Y$5:$Y$1004,"&gt;="&amp;_辅助!$J$4,考勤工资!$Y$5:$Y$1004,"&lt;="&amp;_辅助!$J$2)+SUMIFS(考勤工资!$K$5:$K$1004,考勤工资!$C$5:$C$1004,往来单位!$B$184,考勤工资!$J$5:$J$1004,$C$3,考勤工资!$Y$5:$Y$1004,"&gt;="&amp;_辅助!$J$4,考勤工资!$Y$5:$Y$1004,"&lt;="&amp;_辅助!$J$2))</f>
        <v>0</v>
      </c>
      <c r="BD181" s="2">
        <f>IF(BC181=0,0,SUMIFS(考勤工资!$AC$5:$AC$1004,考勤工资!$C$5:$C$1004,往来单位!$B$184,考勤工资!$D$5:$D$1004,$C$3,考勤工资!$Y$5:$Y$1004,"&gt;="&amp;_辅助!$J$4,考勤工资!$Y$5:$Y$1004,"&lt;="&amp;_辅助!$J$2)+SUMIFS(考勤工资!$AD$5:$AD$1004,考勤工资!$C$5:$C$1004,往来单位!$B$184,考勤工资!$F$5:$F$1004,$C$3,考勤工资!$Y$5:$Y$1004,"&gt;="&amp;_辅助!$J$4,考勤工资!$Y$5:$Y$1004,"&lt;="&amp;_辅助!$J$2)+SUMIFS(考勤工资!$AE$5:$AE$1004,考勤工资!$C$5:$C$1004,往来单位!$B$184,考勤工资!$H$5:$H$1004,$C$3,考勤工资!$Y$5:$Y$1004,"&gt;="&amp;_辅助!$J$4,考勤工资!$Y$5:$Y$1004,"&lt;="&amp;_辅助!$J$2)+SUMIFS(考勤工资!$AF$5:$AF$1004,考勤工资!$C$5:$C$1004,往来单位!$B$184,考勤工资!$J$5:$J$1004,$C$3,考勤工资!$Y$5:$Y$1004,"&gt;="&amp;_辅助!$J$4,考勤工资!$Y$5:$Y$1004,"&lt;="&amp;_辅助!$J$2))</f>
        <v>0</v>
      </c>
      <c r="BE181" s="2">
        <f>BE150+SUM(CB151:CB181)</f>
        <v>0</v>
      </c>
      <c r="BF181" s="2">
        <f>IF(AND($AF$3&gt;0,发票登记!$T$184=$C$3,ISNUMBER(发票登记!$X$184),发票登记!$AB$184&lt;&gt;0,发票登记!$Y$184&gt;=_辅助!$J$4,发票登记!$Y$184&lt;=_辅助!$J$2),INT(发票登记!$X$184)*10000+180,"")</f>
      </c>
      <c r="BG181" s="2">
        <f>IF(AND($AF$3&gt;0,资金流水!$H$185=$C$3,ISNUMBER(资金流水!$B$185),ISNUMBER(资金流水!$S$185),资金流水!$S$185&gt;=_辅助!$J$4,资金流水!$S$185&lt;=_辅助!$J$2),INT(资金流水!$B$185)*10000+180,"")</f>
      </c>
      <c r="BJ181" s="2">
        <f>IF(146&gt;$BG$1,0,MOD(SMALL($BG$2:$BG$2001,146),10000))</f>
        <v>0</v>
      </c>
      <c r="CA181" s="2">
        <f t="shared" si="0"/>
        <v>0</v>
      </c>
      <c r="CB181" s="2">
        <f t="shared" si="1"/>
        <v>0</v>
      </c>
    </row>
    <row r="182">
      <c r="W182" s="95">
        <f t="shared" si="19"/>
      </c>
      <c r="X182" s="94">
        <f t="shared" si="25"/>
      </c>
      <c r="Y182" s="96">
        <f t="shared" si="26"/>
      </c>
      <c r="Z182" s="21">
        <f t="shared" si="20"/>
      </c>
      <c r="AA182" s="21">
        <f t="shared" si="21"/>
      </c>
      <c r="AB182" s="94">
        <f t="shared" si="27"/>
      </c>
      <c r="AC182" s="96">
        <f t="shared" si="28"/>
      </c>
      <c r="AD182" s="94">
        <f t="shared" si="29"/>
      </c>
      <c r="BA182" s="2">
        <f>IF(OR(往来单位!$B$185="",$AF$3=0),0,SUMIFS(期初余额!$R$5:$R$204,期初余额!$P$5:$P$204,往来单位!$B$185,期初余额!$Q$5:$Q$204,$C$3)+SUMIFS(应付登记!$G$5:$G$1004,应付登记!$D$5:$D$1004,往来单位!$B$185,应付登记!$E$5:$E$1004,$C$3,应付登记!$J$5:$J$1004,"&gt;="&amp;_辅助!$J$4,应付登记!$J$5:$J$1004,"&lt;="&amp;_辅助!$J$2))</f>
        <v>0</v>
      </c>
      <c r="BB182" s="2">
        <f>BB150+SUM(CA151:CA182)</f>
        <v>2</v>
      </c>
      <c r="BC182" s="2">
        <f>IF(OR(往来单位!$B$185="",$AF$3=0,NOT(OR(往来单位!$C$185="管理人员",往来单位!$C$185="工人"))),0,SUMIFS(考勤工资!$E$5:$E$1004,考勤工资!$C$5:$C$1004,往来单位!$B$185,考勤工资!$D$5:$D$1004,$C$3,考勤工资!$Y$5:$Y$1004,"&gt;="&amp;_辅助!$J$4,考勤工资!$Y$5:$Y$1004,"&lt;="&amp;_辅助!$J$2)+SUMIFS(考勤工资!$G$5:$G$1004,考勤工资!$C$5:$C$1004,往来单位!$B$185,考勤工资!$F$5:$F$1004,$C$3,考勤工资!$Y$5:$Y$1004,"&gt;="&amp;_辅助!$J$4,考勤工资!$Y$5:$Y$1004,"&lt;="&amp;_辅助!$J$2)+SUMIFS(考勤工资!$I$5:$I$1004,考勤工资!$C$5:$C$1004,往来单位!$B$185,考勤工资!$H$5:$H$1004,$C$3,考勤工资!$Y$5:$Y$1004,"&gt;="&amp;_辅助!$J$4,考勤工资!$Y$5:$Y$1004,"&lt;="&amp;_辅助!$J$2)+SUMIFS(考勤工资!$K$5:$K$1004,考勤工资!$C$5:$C$1004,往来单位!$B$185,考勤工资!$J$5:$J$1004,$C$3,考勤工资!$Y$5:$Y$1004,"&gt;="&amp;_辅助!$J$4,考勤工资!$Y$5:$Y$1004,"&lt;="&amp;_辅助!$J$2))</f>
        <v>0</v>
      </c>
      <c r="BD182" s="2">
        <f>IF(BC182=0,0,SUMIFS(考勤工资!$AC$5:$AC$1004,考勤工资!$C$5:$C$1004,往来单位!$B$185,考勤工资!$D$5:$D$1004,$C$3,考勤工资!$Y$5:$Y$1004,"&gt;="&amp;_辅助!$J$4,考勤工资!$Y$5:$Y$1004,"&lt;="&amp;_辅助!$J$2)+SUMIFS(考勤工资!$AD$5:$AD$1004,考勤工资!$C$5:$C$1004,往来单位!$B$185,考勤工资!$F$5:$F$1004,$C$3,考勤工资!$Y$5:$Y$1004,"&gt;="&amp;_辅助!$J$4,考勤工资!$Y$5:$Y$1004,"&lt;="&amp;_辅助!$J$2)+SUMIFS(考勤工资!$AE$5:$AE$1004,考勤工资!$C$5:$C$1004,往来单位!$B$185,考勤工资!$H$5:$H$1004,$C$3,考勤工资!$Y$5:$Y$1004,"&gt;="&amp;_辅助!$J$4,考勤工资!$Y$5:$Y$1004,"&lt;="&amp;_辅助!$J$2)+SUMIFS(考勤工资!$AF$5:$AF$1004,考勤工资!$C$5:$C$1004,往来单位!$B$185,考勤工资!$J$5:$J$1004,$C$3,考勤工资!$Y$5:$Y$1004,"&gt;="&amp;_辅助!$J$4,考勤工资!$Y$5:$Y$1004,"&lt;="&amp;_辅助!$J$2))</f>
        <v>0</v>
      </c>
      <c r="BE182" s="2">
        <f>BE150+SUM(CB151:CB182)</f>
        <v>0</v>
      </c>
      <c r="BF182" s="2">
        <f>IF(AND($AF$3&gt;0,发票登记!$T$185=$C$3,ISNUMBER(发票登记!$X$185),发票登记!$AB$185&lt;&gt;0,发票登记!$Y$185&gt;=_辅助!$J$4,发票登记!$Y$185&lt;=_辅助!$J$2),INT(发票登记!$X$185)*10000+181,"")</f>
      </c>
      <c r="BG182" s="2">
        <f>IF(AND($AF$3&gt;0,资金流水!$H$186=$C$3,ISNUMBER(资金流水!$B$186),ISNUMBER(资金流水!$S$186),资金流水!$S$186&gt;=_辅助!$J$4,资金流水!$S$186&lt;=_辅助!$J$2),INT(资金流水!$B$186)*10000+181,"")</f>
      </c>
      <c r="BJ182" s="2">
        <f>IF(147&gt;$BG$1,0,MOD(SMALL($BG$2:$BG$2001,147),10000))</f>
        <v>0</v>
      </c>
      <c r="CA182" s="2">
        <f t="shared" si="0"/>
        <v>0</v>
      </c>
      <c r="CB182" s="2">
        <f t="shared" si="1"/>
        <v>0</v>
      </c>
    </row>
    <row r="183">
      <c r="W183" s="95">
        <f t="shared" si="19"/>
      </c>
      <c r="X183" s="94">
        <f t="shared" si="25"/>
      </c>
      <c r="Y183" s="96">
        <f t="shared" si="26"/>
      </c>
      <c r="Z183" s="21">
        <f t="shared" si="20"/>
      </c>
      <c r="AA183" s="21">
        <f t="shared" si="21"/>
      </c>
      <c r="AB183" s="94">
        <f t="shared" si="27"/>
      </c>
      <c r="AC183" s="96">
        <f t="shared" si="28"/>
      </c>
      <c r="AD183" s="94">
        <f t="shared" si="29"/>
      </c>
      <c r="BA183" s="2">
        <f>IF(OR(往来单位!$B$186="",$AF$3=0),0,SUMIFS(期初余额!$R$5:$R$204,期初余额!$P$5:$P$204,往来单位!$B$186,期初余额!$Q$5:$Q$204,$C$3)+SUMIFS(应付登记!$G$5:$G$1004,应付登记!$D$5:$D$1004,往来单位!$B$186,应付登记!$E$5:$E$1004,$C$3,应付登记!$J$5:$J$1004,"&gt;="&amp;_辅助!$J$4,应付登记!$J$5:$J$1004,"&lt;="&amp;_辅助!$J$2))</f>
        <v>0</v>
      </c>
      <c r="BB183" s="2">
        <f>BB150+SUM(CA151:CA183)</f>
        <v>2</v>
      </c>
      <c r="BC183" s="2">
        <f>IF(OR(往来单位!$B$186="",$AF$3=0,NOT(OR(往来单位!$C$186="管理人员",往来单位!$C$186="工人"))),0,SUMIFS(考勤工资!$E$5:$E$1004,考勤工资!$C$5:$C$1004,往来单位!$B$186,考勤工资!$D$5:$D$1004,$C$3,考勤工资!$Y$5:$Y$1004,"&gt;="&amp;_辅助!$J$4,考勤工资!$Y$5:$Y$1004,"&lt;="&amp;_辅助!$J$2)+SUMIFS(考勤工资!$G$5:$G$1004,考勤工资!$C$5:$C$1004,往来单位!$B$186,考勤工资!$F$5:$F$1004,$C$3,考勤工资!$Y$5:$Y$1004,"&gt;="&amp;_辅助!$J$4,考勤工资!$Y$5:$Y$1004,"&lt;="&amp;_辅助!$J$2)+SUMIFS(考勤工资!$I$5:$I$1004,考勤工资!$C$5:$C$1004,往来单位!$B$186,考勤工资!$H$5:$H$1004,$C$3,考勤工资!$Y$5:$Y$1004,"&gt;="&amp;_辅助!$J$4,考勤工资!$Y$5:$Y$1004,"&lt;="&amp;_辅助!$J$2)+SUMIFS(考勤工资!$K$5:$K$1004,考勤工资!$C$5:$C$1004,往来单位!$B$186,考勤工资!$J$5:$J$1004,$C$3,考勤工资!$Y$5:$Y$1004,"&gt;="&amp;_辅助!$J$4,考勤工资!$Y$5:$Y$1004,"&lt;="&amp;_辅助!$J$2))</f>
        <v>0</v>
      </c>
      <c r="BD183" s="2">
        <f>IF(BC183=0,0,SUMIFS(考勤工资!$AC$5:$AC$1004,考勤工资!$C$5:$C$1004,往来单位!$B$186,考勤工资!$D$5:$D$1004,$C$3,考勤工资!$Y$5:$Y$1004,"&gt;="&amp;_辅助!$J$4,考勤工资!$Y$5:$Y$1004,"&lt;="&amp;_辅助!$J$2)+SUMIFS(考勤工资!$AD$5:$AD$1004,考勤工资!$C$5:$C$1004,往来单位!$B$186,考勤工资!$F$5:$F$1004,$C$3,考勤工资!$Y$5:$Y$1004,"&gt;="&amp;_辅助!$J$4,考勤工资!$Y$5:$Y$1004,"&lt;="&amp;_辅助!$J$2)+SUMIFS(考勤工资!$AE$5:$AE$1004,考勤工资!$C$5:$C$1004,往来单位!$B$186,考勤工资!$H$5:$H$1004,$C$3,考勤工资!$Y$5:$Y$1004,"&gt;="&amp;_辅助!$J$4,考勤工资!$Y$5:$Y$1004,"&lt;="&amp;_辅助!$J$2)+SUMIFS(考勤工资!$AF$5:$AF$1004,考勤工资!$C$5:$C$1004,往来单位!$B$186,考勤工资!$J$5:$J$1004,$C$3,考勤工资!$Y$5:$Y$1004,"&gt;="&amp;_辅助!$J$4,考勤工资!$Y$5:$Y$1004,"&lt;="&amp;_辅助!$J$2))</f>
        <v>0</v>
      </c>
      <c r="BE183" s="2">
        <f>BE150+SUM(CB151:CB183)</f>
        <v>0</v>
      </c>
      <c r="BF183" s="2">
        <f>IF(AND($AF$3&gt;0,发票登记!$T$186=$C$3,ISNUMBER(发票登记!$X$186),发票登记!$AB$186&lt;&gt;0,发票登记!$Y$186&gt;=_辅助!$J$4,发票登记!$Y$186&lt;=_辅助!$J$2),INT(发票登记!$X$186)*10000+182,"")</f>
      </c>
      <c r="BG183" s="2">
        <f>IF(AND($AF$3&gt;0,资金流水!$H$187=$C$3,ISNUMBER(资金流水!$B$187),ISNUMBER(资金流水!$S$187),资金流水!$S$187&gt;=_辅助!$J$4,资金流水!$S$187&lt;=_辅助!$J$2),INT(资金流水!$B$187)*10000+182,"")</f>
      </c>
      <c r="BJ183" s="2">
        <f>IF(148&gt;$BG$1,0,MOD(SMALL($BG$2:$BG$2001,148),10000))</f>
        <v>0</v>
      </c>
      <c r="CA183" s="2">
        <f t="shared" si="0"/>
        <v>0</v>
      </c>
      <c r="CB183" s="2">
        <f t="shared" si="1"/>
        <v>0</v>
      </c>
    </row>
    <row r="184">
      <c r="W184" s="95">
        <f t="shared" si="19"/>
      </c>
      <c r="X184" s="94">
        <f t="shared" si="25"/>
      </c>
      <c r="Y184" s="96">
        <f t="shared" si="26"/>
      </c>
      <c r="Z184" s="21">
        <f t="shared" si="20"/>
      </c>
      <c r="AA184" s="21">
        <f t="shared" si="21"/>
      </c>
      <c r="AB184" s="94">
        <f t="shared" si="27"/>
      </c>
      <c r="AC184" s="96">
        <f t="shared" si="28"/>
      </c>
      <c r="AD184" s="94">
        <f t="shared" si="29"/>
      </c>
      <c r="BA184" s="2">
        <f>IF(OR(往来单位!$B$187="",$AF$3=0),0,SUMIFS(期初余额!$R$5:$R$204,期初余额!$P$5:$P$204,往来单位!$B$187,期初余额!$Q$5:$Q$204,$C$3)+SUMIFS(应付登记!$G$5:$G$1004,应付登记!$D$5:$D$1004,往来单位!$B$187,应付登记!$E$5:$E$1004,$C$3,应付登记!$J$5:$J$1004,"&gt;="&amp;_辅助!$J$4,应付登记!$J$5:$J$1004,"&lt;="&amp;_辅助!$J$2))</f>
        <v>0</v>
      </c>
      <c r="BB184" s="2">
        <f>BB150+SUM(CA151:CA184)</f>
        <v>2</v>
      </c>
      <c r="BC184" s="2">
        <f>IF(OR(往来单位!$B$187="",$AF$3=0,NOT(OR(往来单位!$C$187="管理人员",往来单位!$C$187="工人"))),0,SUMIFS(考勤工资!$E$5:$E$1004,考勤工资!$C$5:$C$1004,往来单位!$B$187,考勤工资!$D$5:$D$1004,$C$3,考勤工资!$Y$5:$Y$1004,"&gt;="&amp;_辅助!$J$4,考勤工资!$Y$5:$Y$1004,"&lt;="&amp;_辅助!$J$2)+SUMIFS(考勤工资!$G$5:$G$1004,考勤工资!$C$5:$C$1004,往来单位!$B$187,考勤工资!$F$5:$F$1004,$C$3,考勤工资!$Y$5:$Y$1004,"&gt;="&amp;_辅助!$J$4,考勤工资!$Y$5:$Y$1004,"&lt;="&amp;_辅助!$J$2)+SUMIFS(考勤工资!$I$5:$I$1004,考勤工资!$C$5:$C$1004,往来单位!$B$187,考勤工资!$H$5:$H$1004,$C$3,考勤工资!$Y$5:$Y$1004,"&gt;="&amp;_辅助!$J$4,考勤工资!$Y$5:$Y$1004,"&lt;="&amp;_辅助!$J$2)+SUMIFS(考勤工资!$K$5:$K$1004,考勤工资!$C$5:$C$1004,往来单位!$B$187,考勤工资!$J$5:$J$1004,$C$3,考勤工资!$Y$5:$Y$1004,"&gt;="&amp;_辅助!$J$4,考勤工资!$Y$5:$Y$1004,"&lt;="&amp;_辅助!$J$2))</f>
        <v>0</v>
      </c>
      <c r="BD184" s="2">
        <f>IF(BC184=0,0,SUMIFS(考勤工资!$AC$5:$AC$1004,考勤工资!$C$5:$C$1004,往来单位!$B$187,考勤工资!$D$5:$D$1004,$C$3,考勤工资!$Y$5:$Y$1004,"&gt;="&amp;_辅助!$J$4,考勤工资!$Y$5:$Y$1004,"&lt;="&amp;_辅助!$J$2)+SUMIFS(考勤工资!$AD$5:$AD$1004,考勤工资!$C$5:$C$1004,往来单位!$B$187,考勤工资!$F$5:$F$1004,$C$3,考勤工资!$Y$5:$Y$1004,"&gt;="&amp;_辅助!$J$4,考勤工资!$Y$5:$Y$1004,"&lt;="&amp;_辅助!$J$2)+SUMIFS(考勤工资!$AE$5:$AE$1004,考勤工资!$C$5:$C$1004,往来单位!$B$187,考勤工资!$H$5:$H$1004,$C$3,考勤工资!$Y$5:$Y$1004,"&gt;="&amp;_辅助!$J$4,考勤工资!$Y$5:$Y$1004,"&lt;="&amp;_辅助!$J$2)+SUMIFS(考勤工资!$AF$5:$AF$1004,考勤工资!$C$5:$C$1004,往来单位!$B$187,考勤工资!$J$5:$J$1004,$C$3,考勤工资!$Y$5:$Y$1004,"&gt;="&amp;_辅助!$J$4,考勤工资!$Y$5:$Y$1004,"&lt;="&amp;_辅助!$J$2))</f>
        <v>0</v>
      </c>
      <c r="BE184" s="2">
        <f>BE150+SUM(CB151:CB184)</f>
        <v>0</v>
      </c>
      <c r="BF184" s="2">
        <f>IF(AND($AF$3&gt;0,发票登记!$T$187=$C$3,ISNUMBER(发票登记!$X$187),发票登记!$AB$187&lt;&gt;0,发票登记!$Y$187&gt;=_辅助!$J$4,发票登记!$Y$187&lt;=_辅助!$J$2),INT(发票登记!$X$187)*10000+183,"")</f>
      </c>
      <c r="BG184" s="2">
        <f>IF(AND($AF$3&gt;0,资金流水!$H$188=$C$3,ISNUMBER(资金流水!$B$188),ISNUMBER(资金流水!$S$188),资金流水!$S$188&gt;=_辅助!$J$4,资金流水!$S$188&lt;=_辅助!$J$2),INT(资金流水!$B$188)*10000+183,"")</f>
      </c>
      <c r="BJ184" s="2">
        <f>IF(149&gt;$BG$1,0,MOD(SMALL($BG$2:$BG$2001,149),10000))</f>
        <v>0</v>
      </c>
      <c r="CA184" s="2">
        <f t="shared" si="0"/>
        <v>0</v>
      </c>
      <c r="CB184" s="2">
        <f t="shared" si="1"/>
        <v>0</v>
      </c>
    </row>
    <row r="185">
      <c r="W185" s="95">
        <f t="shared" si="19"/>
      </c>
      <c r="X185" s="94">
        <f t="shared" si="25"/>
      </c>
      <c r="Y185" s="96">
        <f t="shared" si="26"/>
      </c>
      <c r="Z185" s="21">
        <f t="shared" si="20"/>
      </c>
      <c r="AA185" s="21">
        <f t="shared" si="21"/>
      </c>
      <c r="AB185" s="94">
        <f t="shared" si="27"/>
      </c>
      <c r="AC185" s="96">
        <f t="shared" si="28"/>
      </c>
      <c r="AD185" s="94">
        <f t="shared" si="29"/>
      </c>
      <c r="BA185" s="2">
        <f>IF(OR(往来单位!$B$188="",$AF$3=0),0,SUMIFS(期初余额!$R$5:$R$204,期初余额!$P$5:$P$204,往来单位!$B$188,期初余额!$Q$5:$Q$204,$C$3)+SUMIFS(应付登记!$G$5:$G$1004,应付登记!$D$5:$D$1004,往来单位!$B$188,应付登记!$E$5:$E$1004,$C$3,应付登记!$J$5:$J$1004,"&gt;="&amp;_辅助!$J$4,应付登记!$J$5:$J$1004,"&lt;="&amp;_辅助!$J$2))</f>
        <v>0</v>
      </c>
      <c r="BB185" s="2">
        <f>BB150+SUM(CA151:CA185)</f>
        <v>2</v>
      </c>
      <c r="BC185" s="2">
        <f>IF(OR(往来单位!$B$188="",$AF$3=0,NOT(OR(往来单位!$C$188="管理人员",往来单位!$C$188="工人"))),0,SUMIFS(考勤工资!$E$5:$E$1004,考勤工资!$C$5:$C$1004,往来单位!$B$188,考勤工资!$D$5:$D$1004,$C$3,考勤工资!$Y$5:$Y$1004,"&gt;="&amp;_辅助!$J$4,考勤工资!$Y$5:$Y$1004,"&lt;="&amp;_辅助!$J$2)+SUMIFS(考勤工资!$G$5:$G$1004,考勤工资!$C$5:$C$1004,往来单位!$B$188,考勤工资!$F$5:$F$1004,$C$3,考勤工资!$Y$5:$Y$1004,"&gt;="&amp;_辅助!$J$4,考勤工资!$Y$5:$Y$1004,"&lt;="&amp;_辅助!$J$2)+SUMIFS(考勤工资!$I$5:$I$1004,考勤工资!$C$5:$C$1004,往来单位!$B$188,考勤工资!$H$5:$H$1004,$C$3,考勤工资!$Y$5:$Y$1004,"&gt;="&amp;_辅助!$J$4,考勤工资!$Y$5:$Y$1004,"&lt;="&amp;_辅助!$J$2)+SUMIFS(考勤工资!$K$5:$K$1004,考勤工资!$C$5:$C$1004,往来单位!$B$188,考勤工资!$J$5:$J$1004,$C$3,考勤工资!$Y$5:$Y$1004,"&gt;="&amp;_辅助!$J$4,考勤工资!$Y$5:$Y$1004,"&lt;="&amp;_辅助!$J$2))</f>
        <v>0</v>
      </c>
      <c r="BD185" s="2">
        <f>IF(BC185=0,0,SUMIFS(考勤工资!$AC$5:$AC$1004,考勤工资!$C$5:$C$1004,往来单位!$B$188,考勤工资!$D$5:$D$1004,$C$3,考勤工资!$Y$5:$Y$1004,"&gt;="&amp;_辅助!$J$4,考勤工资!$Y$5:$Y$1004,"&lt;="&amp;_辅助!$J$2)+SUMIFS(考勤工资!$AD$5:$AD$1004,考勤工资!$C$5:$C$1004,往来单位!$B$188,考勤工资!$F$5:$F$1004,$C$3,考勤工资!$Y$5:$Y$1004,"&gt;="&amp;_辅助!$J$4,考勤工资!$Y$5:$Y$1004,"&lt;="&amp;_辅助!$J$2)+SUMIFS(考勤工资!$AE$5:$AE$1004,考勤工资!$C$5:$C$1004,往来单位!$B$188,考勤工资!$H$5:$H$1004,$C$3,考勤工资!$Y$5:$Y$1004,"&gt;="&amp;_辅助!$J$4,考勤工资!$Y$5:$Y$1004,"&lt;="&amp;_辅助!$J$2)+SUMIFS(考勤工资!$AF$5:$AF$1004,考勤工资!$C$5:$C$1004,往来单位!$B$188,考勤工资!$J$5:$J$1004,$C$3,考勤工资!$Y$5:$Y$1004,"&gt;="&amp;_辅助!$J$4,考勤工资!$Y$5:$Y$1004,"&lt;="&amp;_辅助!$J$2))</f>
        <v>0</v>
      </c>
      <c r="BE185" s="2">
        <f>BE150+SUM(CB151:CB185)</f>
        <v>0</v>
      </c>
      <c r="BF185" s="2">
        <f>IF(AND($AF$3&gt;0,发票登记!$T$188=$C$3,ISNUMBER(发票登记!$X$188),发票登记!$AB$188&lt;&gt;0,发票登记!$Y$188&gt;=_辅助!$J$4,发票登记!$Y$188&lt;=_辅助!$J$2),INT(发票登记!$X$188)*10000+184,"")</f>
      </c>
      <c r="BG185" s="2">
        <f>IF(AND($AF$3&gt;0,资金流水!$H$189=$C$3,ISNUMBER(资金流水!$B$189),ISNUMBER(资金流水!$S$189),资金流水!$S$189&gt;=_辅助!$J$4,资金流水!$S$189&lt;=_辅助!$J$2),INT(资金流水!$B$189)*10000+184,"")</f>
      </c>
      <c r="BJ185" s="2">
        <f>IF(150&gt;$BG$1,0,MOD(SMALL($BG$2:$BG$2001,150),10000))</f>
        <v>0</v>
      </c>
      <c r="CA185" s="2">
        <f t="shared" si="0"/>
        <v>0</v>
      </c>
      <c r="CB185" s="2">
        <f t="shared" si="1"/>
        <v>0</v>
      </c>
    </row>
    <row r="186">
      <c r="W186" s="95">
        <f t="shared" si="19"/>
      </c>
      <c r="X186" s="94">
        <f t="shared" si="25"/>
      </c>
      <c r="Y186" s="96">
        <f t="shared" si="26"/>
      </c>
      <c r="Z186" s="21">
        <f t="shared" si="20"/>
      </c>
      <c r="AA186" s="21">
        <f t="shared" si="21"/>
      </c>
      <c r="AB186" s="94">
        <f t="shared" si="27"/>
      </c>
      <c r="AC186" s="96">
        <f t="shared" si="28"/>
      </c>
      <c r="AD186" s="94">
        <f t="shared" si="29"/>
      </c>
      <c r="BA186" s="2">
        <f>IF(OR(往来单位!$B$189="",$AF$3=0),0,SUMIFS(期初余额!$R$5:$R$204,期初余额!$P$5:$P$204,往来单位!$B$189,期初余额!$Q$5:$Q$204,$C$3)+SUMIFS(应付登记!$G$5:$G$1004,应付登记!$D$5:$D$1004,往来单位!$B$189,应付登记!$E$5:$E$1004,$C$3,应付登记!$J$5:$J$1004,"&gt;="&amp;_辅助!$J$4,应付登记!$J$5:$J$1004,"&lt;="&amp;_辅助!$J$2))</f>
        <v>0</v>
      </c>
      <c r="BB186" s="2">
        <f>BB150+SUM(CA151:CA186)</f>
        <v>2</v>
      </c>
      <c r="BC186" s="2">
        <f>IF(OR(往来单位!$B$189="",$AF$3=0,NOT(OR(往来单位!$C$189="管理人员",往来单位!$C$189="工人"))),0,SUMIFS(考勤工资!$E$5:$E$1004,考勤工资!$C$5:$C$1004,往来单位!$B$189,考勤工资!$D$5:$D$1004,$C$3,考勤工资!$Y$5:$Y$1004,"&gt;="&amp;_辅助!$J$4,考勤工资!$Y$5:$Y$1004,"&lt;="&amp;_辅助!$J$2)+SUMIFS(考勤工资!$G$5:$G$1004,考勤工资!$C$5:$C$1004,往来单位!$B$189,考勤工资!$F$5:$F$1004,$C$3,考勤工资!$Y$5:$Y$1004,"&gt;="&amp;_辅助!$J$4,考勤工资!$Y$5:$Y$1004,"&lt;="&amp;_辅助!$J$2)+SUMIFS(考勤工资!$I$5:$I$1004,考勤工资!$C$5:$C$1004,往来单位!$B$189,考勤工资!$H$5:$H$1004,$C$3,考勤工资!$Y$5:$Y$1004,"&gt;="&amp;_辅助!$J$4,考勤工资!$Y$5:$Y$1004,"&lt;="&amp;_辅助!$J$2)+SUMIFS(考勤工资!$K$5:$K$1004,考勤工资!$C$5:$C$1004,往来单位!$B$189,考勤工资!$J$5:$J$1004,$C$3,考勤工资!$Y$5:$Y$1004,"&gt;="&amp;_辅助!$J$4,考勤工资!$Y$5:$Y$1004,"&lt;="&amp;_辅助!$J$2))</f>
        <v>0</v>
      </c>
      <c r="BD186" s="2">
        <f>IF(BC186=0,0,SUMIFS(考勤工资!$AC$5:$AC$1004,考勤工资!$C$5:$C$1004,往来单位!$B$189,考勤工资!$D$5:$D$1004,$C$3,考勤工资!$Y$5:$Y$1004,"&gt;="&amp;_辅助!$J$4,考勤工资!$Y$5:$Y$1004,"&lt;="&amp;_辅助!$J$2)+SUMIFS(考勤工资!$AD$5:$AD$1004,考勤工资!$C$5:$C$1004,往来单位!$B$189,考勤工资!$F$5:$F$1004,$C$3,考勤工资!$Y$5:$Y$1004,"&gt;="&amp;_辅助!$J$4,考勤工资!$Y$5:$Y$1004,"&lt;="&amp;_辅助!$J$2)+SUMIFS(考勤工资!$AE$5:$AE$1004,考勤工资!$C$5:$C$1004,往来单位!$B$189,考勤工资!$H$5:$H$1004,$C$3,考勤工资!$Y$5:$Y$1004,"&gt;="&amp;_辅助!$J$4,考勤工资!$Y$5:$Y$1004,"&lt;="&amp;_辅助!$J$2)+SUMIFS(考勤工资!$AF$5:$AF$1004,考勤工资!$C$5:$C$1004,往来单位!$B$189,考勤工资!$J$5:$J$1004,$C$3,考勤工资!$Y$5:$Y$1004,"&gt;="&amp;_辅助!$J$4,考勤工资!$Y$5:$Y$1004,"&lt;="&amp;_辅助!$J$2))</f>
        <v>0</v>
      </c>
      <c r="BE186" s="2">
        <f>BE150+SUM(CB151:CB186)</f>
        <v>0</v>
      </c>
      <c r="BF186" s="2">
        <f>IF(AND($AF$3&gt;0,发票登记!$T$189=$C$3,ISNUMBER(发票登记!$X$189),发票登记!$AB$189&lt;&gt;0,发票登记!$Y$189&gt;=_辅助!$J$4,发票登记!$Y$189&lt;=_辅助!$J$2),INT(发票登记!$X$189)*10000+185,"")</f>
      </c>
      <c r="BG186" s="2">
        <f>IF(AND($AF$3&gt;0,资金流水!$H$190=$C$3,ISNUMBER(资金流水!$B$190),ISNUMBER(资金流水!$S$190),资金流水!$S$190&gt;=_辅助!$J$4,资金流水!$S$190&lt;=_辅助!$J$2),INT(资金流水!$B$190)*10000+185,"")</f>
      </c>
      <c r="BJ186" s="2">
        <f>IF(151&gt;$BG$1,0,MOD(SMALL($BG$2:$BG$2001,151),10000))</f>
        <v>0</v>
      </c>
      <c r="CA186" s="2">
        <f t="shared" si="0"/>
        <v>0</v>
      </c>
      <c r="CB186" s="2">
        <f t="shared" si="1"/>
        <v>0</v>
      </c>
    </row>
    <row r="187">
      <c r="W187" s="95">
        <f t="shared" si="19"/>
      </c>
      <c r="X187" s="94">
        <f t="shared" si="25"/>
      </c>
      <c r="Y187" s="96">
        <f t="shared" si="26"/>
      </c>
      <c r="Z187" s="21">
        <f t="shared" si="20"/>
      </c>
      <c r="AA187" s="21">
        <f t="shared" si="21"/>
      </c>
      <c r="AB187" s="94">
        <f t="shared" si="27"/>
      </c>
      <c r="AC187" s="96">
        <f t="shared" si="28"/>
      </c>
      <c r="AD187" s="94">
        <f t="shared" si="29"/>
      </c>
      <c r="BA187" s="2">
        <f>IF(OR(往来单位!$B$190="",$AF$3=0),0,SUMIFS(期初余额!$R$5:$R$204,期初余额!$P$5:$P$204,往来单位!$B$190,期初余额!$Q$5:$Q$204,$C$3)+SUMIFS(应付登记!$G$5:$G$1004,应付登记!$D$5:$D$1004,往来单位!$B$190,应付登记!$E$5:$E$1004,$C$3,应付登记!$J$5:$J$1004,"&gt;="&amp;_辅助!$J$4,应付登记!$J$5:$J$1004,"&lt;="&amp;_辅助!$J$2))</f>
        <v>0</v>
      </c>
      <c r="BB187" s="2">
        <f>BB150+SUM(CA151:CA187)</f>
        <v>2</v>
      </c>
      <c r="BC187" s="2">
        <f>IF(OR(往来单位!$B$190="",$AF$3=0,NOT(OR(往来单位!$C$190="管理人员",往来单位!$C$190="工人"))),0,SUMIFS(考勤工资!$E$5:$E$1004,考勤工资!$C$5:$C$1004,往来单位!$B$190,考勤工资!$D$5:$D$1004,$C$3,考勤工资!$Y$5:$Y$1004,"&gt;="&amp;_辅助!$J$4,考勤工资!$Y$5:$Y$1004,"&lt;="&amp;_辅助!$J$2)+SUMIFS(考勤工资!$G$5:$G$1004,考勤工资!$C$5:$C$1004,往来单位!$B$190,考勤工资!$F$5:$F$1004,$C$3,考勤工资!$Y$5:$Y$1004,"&gt;="&amp;_辅助!$J$4,考勤工资!$Y$5:$Y$1004,"&lt;="&amp;_辅助!$J$2)+SUMIFS(考勤工资!$I$5:$I$1004,考勤工资!$C$5:$C$1004,往来单位!$B$190,考勤工资!$H$5:$H$1004,$C$3,考勤工资!$Y$5:$Y$1004,"&gt;="&amp;_辅助!$J$4,考勤工资!$Y$5:$Y$1004,"&lt;="&amp;_辅助!$J$2)+SUMIFS(考勤工资!$K$5:$K$1004,考勤工资!$C$5:$C$1004,往来单位!$B$190,考勤工资!$J$5:$J$1004,$C$3,考勤工资!$Y$5:$Y$1004,"&gt;="&amp;_辅助!$J$4,考勤工资!$Y$5:$Y$1004,"&lt;="&amp;_辅助!$J$2))</f>
        <v>0</v>
      </c>
      <c r="BD187" s="2">
        <f>IF(BC187=0,0,SUMIFS(考勤工资!$AC$5:$AC$1004,考勤工资!$C$5:$C$1004,往来单位!$B$190,考勤工资!$D$5:$D$1004,$C$3,考勤工资!$Y$5:$Y$1004,"&gt;="&amp;_辅助!$J$4,考勤工资!$Y$5:$Y$1004,"&lt;="&amp;_辅助!$J$2)+SUMIFS(考勤工资!$AD$5:$AD$1004,考勤工资!$C$5:$C$1004,往来单位!$B$190,考勤工资!$F$5:$F$1004,$C$3,考勤工资!$Y$5:$Y$1004,"&gt;="&amp;_辅助!$J$4,考勤工资!$Y$5:$Y$1004,"&lt;="&amp;_辅助!$J$2)+SUMIFS(考勤工资!$AE$5:$AE$1004,考勤工资!$C$5:$C$1004,往来单位!$B$190,考勤工资!$H$5:$H$1004,$C$3,考勤工资!$Y$5:$Y$1004,"&gt;="&amp;_辅助!$J$4,考勤工资!$Y$5:$Y$1004,"&lt;="&amp;_辅助!$J$2)+SUMIFS(考勤工资!$AF$5:$AF$1004,考勤工资!$C$5:$C$1004,往来单位!$B$190,考勤工资!$J$5:$J$1004,$C$3,考勤工资!$Y$5:$Y$1004,"&gt;="&amp;_辅助!$J$4,考勤工资!$Y$5:$Y$1004,"&lt;="&amp;_辅助!$J$2))</f>
        <v>0</v>
      </c>
      <c r="BE187" s="2">
        <f>BE150+SUM(CB151:CB187)</f>
        <v>0</v>
      </c>
      <c r="BF187" s="2">
        <f>IF(AND($AF$3&gt;0,发票登记!$T$190=$C$3,ISNUMBER(发票登记!$X$190),发票登记!$AB$190&lt;&gt;0,发票登记!$Y$190&gt;=_辅助!$J$4,发票登记!$Y$190&lt;=_辅助!$J$2),INT(发票登记!$X$190)*10000+186,"")</f>
      </c>
      <c r="BG187" s="2">
        <f>IF(AND($AF$3&gt;0,资金流水!$H$191=$C$3,ISNUMBER(资金流水!$B$191),ISNUMBER(资金流水!$S$191),资金流水!$S$191&gt;=_辅助!$J$4,资金流水!$S$191&lt;=_辅助!$J$2),INT(资金流水!$B$191)*10000+186,"")</f>
      </c>
      <c r="BJ187" s="2">
        <f>IF(152&gt;$BG$1,0,MOD(SMALL($BG$2:$BG$2001,152),10000))</f>
        <v>0</v>
      </c>
      <c r="CA187" s="2">
        <f t="shared" si="0"/>
        <v>0</v>
      </c>
      <c r="CB187" s="2">
        <f t="shared" si="1"/>
        <v>0</v>
      </c>
    </row>
    <row r="188">
      <c r="W188" s="95">
        <f t="shared" si="19"/>
      </c>
      <c r="X188" s="94">
        <f t="shared" si="25"/>
      </c>
      <c r="Y188" s="96">
        <f t="shared" si="26"/>
      </c>
      <c r="Z188" s="21">
        <f t="shared" si="20"/>
      </c>
      <c r="AA188" s="21">
        <f t="shared" si="21"/>
      </c>
      <c r="AB188" s="94">
        <f t="shared" si="27"/>
      </c>
      <c r="AC188" s="96">
        <f t="shared" si="28"/>
      </c>
      <c r="AD188" s="94">
        <f t="shared" si="29"/>
      </c>
      <c r="BA188" s="2">
        <f>IF(OR(往来单位!$B$191="",$AF$3=0),0,SUMIFS(期初余额!$R$5:$R$204,期初余额!$P$5:$P$204,往来单位!$B$191,期初余额!$Q$5:$Q$204,$C$3)+SUMIFS(应付登记!$G$5:$G$1004,应付登记!$D$5:$D$1004,往来单位!$B$191,应付登记!$E$5:$E$1004,$C$3,应付登记!$J$5:$J$1004,"&gt;="&amp;_辅助!$J$4,应付登记!$J$5:$J$1004,"&lt;="&amp;_辅助!$J$2))</f>
        <v>0</v>
      </c>
      <c r="BB188" s="2">
        <f>BB150+SUM(CA151:CA188)</f>
        <v>2</v>
      </c>
      <c r="BC188" s="2">
        <f>IF(OR(往来单位!$B$191="",$AF$3=0,NOT(OR(往来单位!$C$191="管理人员",往来单位!$C$191="工人"))),0,SUMIFS(考勤工资!$E$5:$E$1004,考勤工资!$C$5:$C$1004,往来单位!$B$191,考勤工资!$D$5:$D$1004,$C$3,考勤工资!$Y$5:$Y$1004,"&gt;="&amp;_辅助!$J$4,考勤工资!$Y$5:$Y$1004,"&lt;="&amp;_辅助!$J$2)+SUMIFS(考勤工资!$G$5:$G$1004,考勤工资!$C$5:$C$1004,往来单位!$B$191,考勤工资!$F$5:$F$1004,$C$3,考勤工资!$Y$5:$Y$1004,"&gt;="&amp;_辅助!$J$4,考勤工资!$Y$5:$Y$1004,"&lt;="&amp;_辅助!$J$2)+SUMIFS(考勤工资!$I$5:$I$1004,考勤工资!$C$5:$C$1004,往来单位!$B$191,考勤工资!$H$5:$H$1004,$C$3,考勤工资!$Y$5:$Y$1004,"&gt;="&amp;_辅助!$J$4,考勤工资!$Y$5:$Y$1004,"&lt;="&amp;_辅助!$J$2)+SUMIFS(考勤工资!$K$5:$K$1004,考勤工资!$C$5:$C$1004,往来单位!$B$191,考勤工资!$J$5:$J$1004,$C$3,考勤工资!$Y$5:$Y$1004,"&gt;="&amp;_辅助!$J$4,考勤工资!$Y$5:$Y$1004,"&lt;="&amp;_辅助!$J$2))</f>
        <v>0</v>
      </c>
      <c r="BD188" s="2">
        <f>IF(BC188=0,0,SUMIFS(考勤工资!$AC$5:$AC$1004,考勤工资!$C$5:$C$1004,往来单位!$B$191,考勤工资!$D$5:$D$1004,$C$3,考勤工资!$Y$5:$Y$1004,"&gt;="&amp;_辅助!$J$4,考勤工资!$Y$5:$Y$1004,"&lt;="&amp;_辅助!$J$2)+SUMIFS(考勤工资!$AD$5:$AD$1004,考勤工资!$C$5:$C$1004,往来单位!$B$191,考勤工资!$F$5:$F$1004,$C$3,考勤工资!$Y$5:$Y$1004,"&gt;="&amp;_辅助!$J$4,考勤工资!$Y$5:$Y$1004,"&lt;="&amp;_辅助!$J$2)+SUMIFS(考勤工资!$AE$5:$AE$1004,考勤工资!$C$5:$C$1004,往来单位!$B$191,考勤工资!$H$5:$H$1004,$C$3,考勤工资!$Y$5:$Y$1004,"&gt;="&amp;_辅助!$J$4,考勤工资!$Y$5:$Y$1004,"&lt;="&amp;_辅助!$J$2)+SUMIFS(考勤工资!$AF$5:$AF$1004,考勤工资!$C$5:$C$1004,往来单位!$B$191,考勤工资!$J$5:$J$1004,$C$3,考勤工资!$Y$5:$Y$1004,"&gt;="&amp;_辅助!$J$4,考勤工资!$Y$5:$Y$1004,"&lt;="&amp;_辅助!$J$2))</f>
        <v>0</v>
      </c>
      <c r="BE188" s="2">
        <f>BE150+SUM(CB151:CB188)</f>
        <v>0</v>
      </c>
      <c r="BF188" s="2">
        <f>IF(AND($AF$3&gt;0,发票登记!$T$191=$C$3,ISNUMBER(发票登记!$X$191),发票登记!$AB$191&lt;&gt;0,发票登记!$Y$191&gt;=_辅助!$J$4,发票登记!$Y$191&lt;=_辅助!$J$2),INT(发票登记!$X$191)*10000+187,"")</f>
      </c>
      <c r="BG188" s="2">
        <f>IF(AND($AF$3&gt;0,资金流水!$H$192=$C$3,ISNUMBER(资金流水!$B$192),ISNUMBER(资金流水!$S$192),资金流水!$S$192&gt;=_辅助!$J$4,资金流水!$S$192&lt;=_辅助!$J$2),INT(资金流水!$B$192)*10000+187,"")</f>
      </c>
      <c r="BJ188" s="2">
        <f>IF(153&gt;$BG$1,0,MOD(SMALL($BG$2:$BG$2001,153),10000))</f>
        <v>0</v>
      </c>
      <c r="CA188" s="2">
        <f t="shared" si="0"/>
        <v>0</v>
      </c>
      <c r="CB188" s="2">
        <f t="shared" si="1"/>
        <v>0</v>
      </c>
    </row>
    <row r="189">
      <c r="W189" s="95">
        <f t="shared" si="19"/>
      </c>
      <c r="X189" s="94">
        <f t="shared" si="25"/>
      </c>
      <c r="Y189" s="96">
        <f t="shared" si="26"/>
      </c>
      <c r="Z189" s="21">
        <f t="shared" si="20"/>
      </c>
      <c r="AA189" s="21">
        <f t="shared" si="21"/>
      </c>
      <c r="AB189" s="94">
        <f t="shared" si="27"/>
      </c>
      <c r="AC189" s="96">
        <f t="shared" si="28"/>
      </c>
      <c r="AD189" s="94">
        <f t="shared" si="29"/>
      </c>
      <c r="BA189" s="2">
        <f>IF(OR(往来单位!$B$192="",$AF$3=0),0,SUMIFS(期初余额!$R$5:$R$204,期初余额!$P$5:$P$204,往来单位!$B$192,期初余额!$Q$5:$Q$204,$C$3)+SUMIFS(应付登记!$G$5:$G$1004,应付登记!$D$5:$D$1004,往来单位!$B$192,应付登记!$E$5:$E$1004,$C$3,应付登记!$J$5:$J$1004,"&gt;="&amp;_辅助!$J$4,应付登记!$J$5:$J$1004,"&lt;="&amp;_辅助!$J$2))</f>
        <v>0</v>
      </c>
      <c r="BB189" s="2">
        <f>BB150+SUM(CA151:CA189)</f>
        <v>2</v>
      </c>
      <c r="BC189" s="2">
        <f>IF(OR(往来单位!$B$192="",$AF$3=0,NOT(OR(往来单位!$C$192="管理人员",往来单位!$C$192="工人"))),0,SUMIFS(考勤工资!$E$5:$E$1004,考勤工资!$C$5:$C$1004,往来单位!$B$192,考勤工资!$D$5:$D$1004,$C$3,考勤工资!$Y$5:$Y$1004,"&gt;="&amp;_辅助!$J$4,考勤工资!$Y$5:$Y$1004,"&lt;="&amp;_辅助!$J$2)+SUMIFS(考勤工资!$G$5:$G$1004,考勤工资!$C$5:$C$1004,往来单位!$B$192,考勤工资!$F$5:$F$1004,$C$3,考勤工资!$Y$5:$Y$1004,"&gt;="&amp;_辅助!$J$4,考勤工资!$Y$5:$Y$1004,"&lt;="&amp;_辅助!$J$2)+SUMIFS(考勤工资!$I$5:$I$1004,考勤工资!$C$5:$C$1004,往来单位!$B$192,考勤工资!$H$5:$H$1004,$C$3,考勤工资!$Y$5:$Y$1004,"&gt;="&amp;_辅助!$J$4,考勤工资!$Y$5:$Y$1004,"&lt;="&amp;_辅助!$J$2)+SUMIFS(考勤工资!$K$5:$K$1004,考勤工资!$C$5:$C$1004,往来单位!$B$192,考勤工资!$J$5:$J$1004,$C$3,考勤工资!$Y$5:$Y$1004,"&gt;="&amp;_辅助!$J$4,考勤工资!$Y$5:$Y$1004,"&lt;="&amp;_辅助!$J$2))</f>
        <v>0</v>
      </c>
      <c r="BD189" s="2">
        <f>IF(BC189=0,0,SUMIFS(考勤工资!$AC$5:$AC$1004,考勤工资!$C$5:$C$1004,往来单位!$B$192,考勤工资!$D$5:$D$1004,$C$3,考勤工资!$Y$5:$Y$1004,"&gt;="&amp;_辅助!$J$4,考勤工资!$Y$5:$Y$1004,"&lt;="&amp;_辅助!$J$2)+SUMIFS(考勤工资!$AD$5:$AD$1004,考勤工资!$C$5:$C$1004,往来单位!$B$192,考勤工资!$F$5:$F$1004,$C$3,考勤工资!$Y$5:$Y$1004,"&gt;="&amp;_辅助!$J$4,考勤工资!$Y$5:$Y$1004,"&lt;="&amp;_辅助!$J$2)+SUMIFS(考勤工资!$AE$5:$AE$1004,考勤工资!$C$5:$C$1004,往来单位!$B$192,考勤工资!$H$5:$H$1004,$C$3,考勤工资!$Y$5:$Y$1004,"&gt;="&amp;_辅助!$J$4,考勤工资!$Y$5:$Y$1004,"&lt;="&amp;_辅助!$J$2)+SUMIFS(考勤工资!$AF$5:$AF$1004,考勤工资!$C$5:$C$1004,往来单位!$B$192,考勤工资!$J$5:$J$1004,$C$3,考勤工资!$Y$5:$Y$1004,"&gt;="&amp;_辅助!$J$4,考勤工资!$Y$5:$Y$1004,"&lt;="&amp;_辅助!$J$2))</f>
        <v>0</v>
      </c>
      <c r="BE189" s="2">
        <f>BE150+SUM(CB151:CB189)</f>
        <v>0</v>
      </c>
      <c r="BF189" s="2">
        <f>IF(AND($AF$3&gt;0,发票登记!$T$192=$C$3,ISNUMBER(发票登记!$X$192),发票登记!$AB$192&lt;&gt;0,发票登记!$Y$192&gt;=_辅助!$J$4,发票登记!$Y$192&lt;=_辅助!$J$2),INT(发票登记!$X$192)*10000+188,"")</f>
      </c>
      <c r="BG189" s="2">
        <f>IF(AND($AF$3&gt;0,资金流水!$H$193=$C$3,ISNUMBER(资金流水!$B$193),ISNUMBER(资金流水!$S$193),资金流水!$S$193&gt;=_辅助!$J$4,资金流水!$S$193&lt;=_辅助!$J$2),INT(资金流水!$B$193)*10000+188,"")</f>
      </c>
      <c r="BJ189" s="2">
        <f>IF(154&gt;$BG$1,0,MOD(SMALL($BG$2:$BG$2001,154),10000))</f>
        <v>0</v>
      </c>
      <c r="CA189" s="2">
        <f t="shared" si="0"/>
        <v>0</v>
      </c>
      <c r="CB189" s="2">
        <f t="shared" si="1"/>
        <v>0</v>
      </c>
    </row>
    <row r="190">
      <c r="W190" s="95">
        <f t="shared" si="19"/>
      </c>
      <c r="X190" s="94">
        <f t="shared" si="25"/>
      </c>
      <c r="Y190" s="96">
        <f t="shared" si="26"/>
      </c>
      <c r="Z190" s="21">
        <f t="shared" si="20"/>
      </c>
      <c r="AA190" s="21">
        <f t="shared" si="21"/>
      </c>
      <c r="AB190" s="94">
        <f t="shared" si="27"/>
      </c>
      <c r="AC190" s="96">
        <f t="shared" si="28"/>
      </c>
      <c r="AD190" s="94">
        <f t="shared" si="29"/>
      </c>
      <c r="BA190" s="2">
        <f>IF(OR(往来单位!$B$193="",$AF$3=0),0,SUMIFS(期初余额!$R$5:$R$204,期初余额!$P$5:$P$204,往来单位!$B$193,期初余额!$Q$5:$Q$204,$C$3)+SUMIFS(应付登记!$G$5:$G$1004,应付登记!$D$5:$D$1004,往来单位!$B$193,应付登记!$E$5:$E$1004,$C$3,应付登记!$J$5:$J$1004,"&gt;="&amp;_辅助!$J$4,应付登记!$J$5:$J$1004,"&lt;="&amp;_辅助!$J$2))</f>
        <v>0</v>
      </c>
      <c r="BB190" s="2">
        <f>BB150+SUM(CA151:CA190)</f>
        <v>2</v>
      </c>
      <c r="BC190" s="2">
        <f>IF(OR(往来单位!$B$193="",$AF$3=0,NOT(OR(往来单位!$C$193="管理人员",往来单位!$C$193="工人"))),0,SUMIFS(考勤工资!$E$5:$E$1004,考勤工资!$C$5:$C$1004,往来单位!$B$193,考勤工资!$D$5:$D$1004,$C$3,考勤工资!$Y$5:$Y$1004,"&gt;="&amp;_辅助!$J$4,考勤工资!$Y$5:$Y$1004,"&lt;="&amp;_辅助!$J$2)+SUMIFS(考勤工资!$G$5:$G$1004,考勤工资!$C$5:$C$1004,往来单位!$B$193,考勤工资!$F$5:$F$1004,$C$3,考勤工资!$Y$5:$Y$1004,"&gt;="&amp;_辅助!$J$4,考勤工资!$Y$5:$Y$1004,"&lt;="&amp;_辅助!$J$2)+SUMIFS(考勤工资!$I$5:$I$1004,考勤工资!$C$5:$C$1004,往来单位!$B$193,考勤工资!$H$5:$H$1004,$C$3,考勤工资!$Y$5:$Y$1004,"&gt;="&amp;_辅助!$J$4,考勤工资!$Y$5:$Y$1004,"&lt;="&amp;_辅助!$J$2)+SUMIFS(考勤工资!$K$5:$K$1004,考勤工资!$C$5:$C$1004,往来单位!$B$193,考勤工资!$J$5:$J$1004,$C$3,考勤工资!$Y$5:$Y$1004,"&gt;="&amp;_辅助!$J$4,考勤工资!$Y$5:$Y$1004,"&lt;="&amp;_辅助!$J$2))</f>
        <v>0</v>
      </c>
      <c r="BD190" s="2">
        <f>IF(BC190=0,0,SUMIFS(考勤工资!$AC$5:$AC$1004,考勤工资!$C$5:$C$1004,往来单位!$B$193,考勤工资!$D$5:$D$1004,$C$3,考勤工资!$Y$5:$Y$1004,"&gt;="&amp;_辅助!$J$4,考勤工资!$Y$5:$Y$1004,"&lt;="&amp;_辅助!$J$2)+SUMIFS(考勤工资!$AD$5:$AD$1004,考勤工资!$C$5:$C$1004,往来单位!$B$193,考勤工资!$F$5:$F$1004,$C$3,考勤工资!$Y$5:$Y$1004,"&gt;="&amp;_辅助!$J$4,考勤工资!$Y$5:$Y$1004,"&lt;="&amp;_辅助!$J$2)+SUMIFS(考勤工资!$AE$5:$AE$1004,考勤工资!$C$5:$C$1004,往来单位!$B$193,考勤工资!$H$5:$H$1004,$C$3,考勤工资!$Y$5:$Y$1004,"&gt;="&amp;_辅助!$J$4,考勤工资!$Y$5:$Y$1004,"&lt;="&amp;_辅助!$J$2)+SUMIFS(考勤工资!$AF$5:$AF$1004,考勤工资!$C$5:$C$1004,往来单位!$B$193,考勤工资!$J$5:$J$1004,$C$3,考勤工资!$Y$5:$Y$1004,"&gt;="&amp;_辅助!$J$4,考勤工资!$Y$5:$Y$1004,"&lt;="&amp;_辅助!$J$2))</f>
        <v>0</v>
      </c>
      <c r="BE190" s="2">
        <f>BE150+SUM(CB151:CB190)</f>
        <v>0</v>
      </c>
      <c r="BF190" s="2">
        <f>IF(AND($AF$3&gt;0,发票登记!$T$193=$C$3,ISNUMBER(发票登记!$X$193),发票登记!$AB$193&lt;&gt;0,发票登记!$Y$193&gt;=_辅助!$J$4,发票登记!$Y$193&lt;=_辅助!$J$2),INT(发票登记!$X$193)*10000+189,"")</f>
      </c>
      <c r="BG190" s="2">
        <f>IF(AND($AF$3&gt;0,资金流水!$H$194=$C$3,ISNUMBER(资金流水!$B$194),ISNUMBER(资金流水!$S$194),资金流水!$S$194&gt;=_辅助!$J$4,资金流水!$S$194&lt;=_辅助!$J$2),INT(资金流水!$B$194)*10000+189,"")</f>
      </c>
      <c r="BJ190" s="2">
        <f>IF(155&gt;$BG$1,0,MOD(SMALL($BG$2:$BG$2001,155),10000))</f>
        <v>0</v>
      </c>
      <c r="CA190" s="2">
        <f t="shared" si="0"/>
        <v>0</v>
      </c>
      <c r="CB190" s="2">
        <f t="shared" si="1"/>
        <v>0</v>
      </c>
    </row>
    <row r="191">
      <c r="W191" s="95">
        <f t="shared" si="19"/>
      </c>
      <c r="X191" s="94">
        <f t="shared" si="25"/>
      </c>
      <c r="Y191" s="96">
        <f t="shared" si="26"/>
      </c>
      <c r="Z191" s="21">
        <f t="shared" si="20"/>
      </c>
      <c r="AA191" s="21">
        <f t="shared" si="21"/>
      </c>
      <c r="AB191" s="94">
        <f t="shared" si="27"/>
      </c>
      <c r="AC191" s="96">
        <f t="shared" si="28"/>
      </c>
      <c r="AD191" s="94">
        <f t="shared" si="29"/>
      </c>
      <c r="BA191" s="2">
        <f>IF(OR(往来单位!$B$194="",$AF$3=0),0,SUMIFS(期初余额!$R$5:$R$204,期初余额!$P$5:$P$204,往来单位!$B$194,期初余额!$Q$5:$Q$204,$C$3)+SUMIFS(应付登记!$G$5:$G$1004,应付登记!$D$5:$D$1004,往来单位!$B$194,应付登记!$E$5:$E$1004,$C$3,应付登记!$J$5:$J$1004,"&gt;="&amp;_辅助!$J$4,应付登记!$J$5:$J$1004,"&lt;="&amp;_辅助!$J$2))</f>
        <v>0</v>
      </c>
      <c r="BB191" s="2">
        <f>BB150+SUM(CA151:CA191)</f>
        <v>2</v>
      </c>
      <c r="BC191" s="2">
        <f>IF(OR(往来单位!$B$194="",$AF$3=0,NOT(OR(往来单位!$C$194="管理人员",往来单位!$C$194="工人"))),0,SUMIFS(考勤工资!$E$5:$E$1004,考勤工资!$C$5:$C$1004,往来单位!$B$194,考勤工资!$D$5:$D$1004,$C$3,考勤工资!$Y$5:$Y$1004,"&gt;="&amp;_辅助!$J$4,考勤工资!$Y$5:$Y$1004,"&lt;="&amp;_辅助!$J$2)+SUMIFS(考勤工资!$G$5:$G$1004,考勤工资!$C$5:$C$1004,往来单位!$B$194,考勤工资!$F$5:$F$1004,$C$3,考勤工资!$Y$5:$Y$1004,"&gt;="&amp;_辅助!$J$4,考勤工资!$Y$5:$Y$1004,"&lt;="&amp;_辅助!$J$2)+SUMIFS(考勤工资!$I$5:$I$1004,考勤工资!$C$5:$C$1004,往来单位!$B$194,考勤工资!$H$5:$H$1004,$C$3,考勤工资!$Y$5:$Y$1004,"&gt;="&amp;_辅助!$J$4,考勤工资!$Y$5:$Y$1004,"&lt;="&amp;_辅助!$J$2)+SUMIFS(考勤工资!$K$5:$K$1004,考勤工资!$C$5:$C$1004,往来单位!$B$194,考勤工资!$J$5:$J$1004,$C$3,考勤工资!$Y$5:$Y$1004,"&gt;="&amp;_辅助!$J$4,考勤工资!$Y$5:$Y$1004,"&lt;="&amp;_辅助!$J$2))</f>
        <v>0</v>
      </c>
      <c r="BD191" s="2">
        <f>IF(BC191=0,0,SUMIFS(考勤工资!$AC$5:$AC$1004,考勤工资!$C$5:$C$1004,往来单位!$B$194,考勤工资!$D$5:$D$1004,$C$3,考勤工资!$Y$5:$Y$1004,"&gt;="&amp;_辅助!$J$4,考勤工资!$Y$5:$Y$1004,"&lt;="&amp;_辅助!$J$2)+SUMIFS(考勤工资!$AD$5:$AD$1004,考勤工资!$C$5:$C$1004,往来单位!$B$194,考勤工资!$F$5:$F$1004,$C$3,考勤工资!$Y$5:$Y$1004,"&gt;="&amp;_辅助!$J$4,考勤工资!$Y$5:$Y$1004,"&lt;="&amp;_辅助!$J$2)+SUMIFS(考勤工资!$AE$5:$AE$1004,考勤工资!$C$5:$C$1004,往来单位!$B$194,考勤工资!$H$5:$H$1004,$C$3,考勤工资!$Y$5:$Y$1004,"&gt;="&amp;_辅助!$J$4,考勤工资!$Y$5:$Y$1004,"&lt;="&amp;_辅助!$J$2)+SUMIFS(考勤工资!$AF$5:$AF$1004,考勤工资!$C$5:$C$1004,往来单位!$B$194,考勤工资!$J$5:$J$1004,$C$3,考勤工资!$Y$5:$Y$1004,"&gt;="&amp;_辅助!$J$4,考勤工资!$Y$5:$Y$1004,"&lt;="&amp;_辅助!$J$2))</f>
        <v>0</v>
      </c>
      <c r="BE191" s="2">
        <f>BE150+SUM(CB151:CB191)</f>
        <v>0</v>
      </c>
      <c r="BF191" s="2">
        <f>IF(AND($AF$3&gt;0,发票登记!$T$194=$C$3,ISNUMBER(发票登记!$X$194),发票登记!$AB$194&lt;&gt;0,发票登记!$Y$194&gt;=_辅助!$J$4,发票登记!$Y$194&lt;=_辅助!$J$2),INT(发票登记!$X$194)*10000+190,"")</f>
      </c>
      <c r="BG191" s="2">
        <f>IF(AND($AF$3&gt;0,资金流水!$H$195=$C$3,ISNUMBER(资金流水!$B$195),ISNUMBER(资金流水!$S$195),资金流水!$S$195&gt;=_辅助!$J$4,资金流水!$S$195&lt;=_辅助!$J$2),INT(资金流水!$B$195)*10000+190,"")</f>
      </c>
      <c r="BJ191" s="2">
        <f>IF(156&gt;$BG$1,0,MOD(SMALL($BG$2:$BG$2001,156),10000))</f>
        <v>0</v>
      </c>
      <c r="CA191" s="2">
        <f t="shared" si="0"/>
        <v>0</v>
      </c>
      <c r="CB191" s="2">
        <f t="shared" si="1"/>
        <v>0</v>
      </c>
    </row>
    <row r="192">
      <c r="W192" s="95">
        <f t="shared" si="19"/>
      </c>
      <c r="X192" s="94">
        <f t="shared" si="25"/>
      </c>
      <c r="Y192" s="96">
        <f t="shared" si="26"/>
      </c>
      <c r="Z192" s="21">
        <f t="shared" si="20"/>
      </c>
      <c r="AA192" s="21">
        <f t="shared" si="21"/>
      </c>
      <c r="AB192" s="94">
        <f t="shared" si="27"/>
      </c>
      <c r="AC192" s="96">
        <f t="shared" si="28"/>
      </c>
      <c r="AD192" s="94">
        <f t="shared" si="29"/>
      </c>
      <c r="BA192" s="2">
        <f>IF(OR(往来单位!$B$195="",$AF$3=0),0,SUMIFS(期初余额!$R$5:$R$204,期初余额!$P$5:$P$204,往来单位!$B$195,期初余额!$Q$5:$Q$204,$C$3)+SUMIFS(应付登记!$G$5:$G$1004,应付登记!$D$5:$D$1004,往来单位!$B$195,应付登记!$E$5:$E$1004,$C$3,应付登记!$J$5:$J$1004,"&gt;="&amp;_辅助!$J$4,应付登记!$J$5:$J$1004,"&lt;="&amp;_辅助!$J$2))</f>
        <v>0</v>
      </c>
      <c r="BB192" s="2">
        <f>BB150+SUM(CA151:CA192)</f>
        <v>2</v>
      </c>
      <c r="BC192" s="2">
        <f>IF(OR(往来单位!$B$195="",$AF$3=0,NOT(OR(往来单位!$C$195="管理人员",往来单位!$C$195="工人"))),0,SUMIFS(考勤工资!$E$5:$E$1004,考勤工资!$C$5:$C$1004,往来单位!$B$195,考勤工资!$D$5:$D$1004,$C$3,考勤工资!$Y$5:$Y$1004,"&gt;="&amp;_辅助!$J$4,考勤工资!$Y$5:$Y$1004,"&lt;="&amp;_辅助!$J$2)+SUMIFS(考勤工资!$G$5:$G$1004,考勤工资!$C$5:$C$1004,往来单位!$B$195,考勤工资!$F$5:$F$1004,$C$3,考勤工资!$Y$5:$Y$1004,"&gt;="&amp;_辅助!$J$4,考勤工资!$Y$5:$Y$1004,"&lt;="&amp;_辅助!$J$2)+SUMIFS(考勤工资!$I$5:$I$1004,考勤工资!$C$5:$C$1004,往来单位!$B$195,考勤工资!$H$5:$H$1004,$C$3,考勤工资!$Y$5:$Y$1004,"&gt;="&amp;_辅助!$J$4,考勤工资!$Y$5:$Y$1004,"&lt;="&amp;_辅助!$J$2)+SUMIFS(考勤工资!$K$5:$K$1004,考勤工资!$C$5:$C$1004,往来单位!$B$195,考勤工资!$J$5:$J$1004,$C$3,考勤工资!$Y$5:$Y$1004,"&gt;="&amp;_辅助!$J$4,考勤工资!$Y$5:$Y$1004,"&lt;="&amp;_辅助!$J$2))</f>
        <v>0</v>
      </c>
      <c r="BD192" s="2">
        <f>IF(BC192=0,0,SUMIFS(考勤工资!$AC$5:$AC$1004,考勤工资!$C$5:$C$1004,往来单位!$B$195,考勤工资!$D$5:$D$1004,$C$3,考勤工资!$Y$5:$Y$1004,"&gt;="&amp;_辅助!$J$4,考勤工资!$Y$5:$Y$1004,"&lt;="&amp;_辅助!$J$2)+SUMIFS(考勤工资!$AD$5:$AD$1004,考勤工资!$C$5:$C$1004,往来单位!$B$195,考勤工资!$F$5:$F$1004,$C$3,考勤工资!$Y$5:$Y$1004,"&gt;="&amp;_辅助!$J$4,考勤工资!$Y$5:$Y$1004,"&lt;="&amp;_辅助!$J$2)+SUMIFS(考勤工资!$AE$5:$AE$1004,考勤工资!$C$5:$C$1004,往来单位!$B$195,考勤工资!$H$5:$H$1004,$C$3,考勤工资!$Y$5:$Y$1004,"&gt;="&amp;_辅助!$J$4,考勤工资!$Y$5:$Y$1004,"&lt;="&amp;_辅助!$J$2)+SUMIFS(考勤工资!$AF$5:$AF$1004,考勤工资!$C$5:$C$1004,往来单位!$B$195,考勤工资!$J$5:$J$1004,$C$3,考勤工资!$Y$5:$Y$1004,"&gt;="&amp;_辅助!$J$4,考勤工资!$Y$5:$Y$1004,"&lt;="&amp;_辅助!$J$2))</f>
        <v>0</v>
      </c>
      <c r="BE192" s="2">
        <f>BE150+SUM(CB151:CB192)</f>
        <v>0</v>
      </c>
      <c r="BF192" s="2">
        <f>IF(AND($AF$3&gt;0,发票登记!$T$195=$C$3,ISNUMBER(发票登记!$X$195),发票登记!$AB$195&lt;&gt;0,发票登记!$Y$195&gt;=_辅助!$J$4,发票登记!$Y$195&lt;=_辅助!$J$2),INT(发票登记!$X$195)*10000+191,"")</f>
      </c>
      <c r="BG192" s="2">
        <f>IF(AND($AF$3&gt;0,资金流水!$H$196=$C$3,ISNUMBER(资金流水!$B$196),ISNUMBER(资金流水!$S$196),资金流水!$S$196&gt;=_辅助!$J$4,资金流水!$S$196&lt;=_辅助!$J$2),INT(资金流水!$B$196)*10000+191,"")</f>
      </c>
      <c r="BJ192" s="2">
        <f>IF(157&gt;$BG$1,0,MOD(SMALL($BG$2:$BG$2001,157),10000))</f>
        <v>0</v>
      </c>
      <c r="CA192" s="2">
        <f t="shared" si="0"/>
        <v>0</v>
      </c>
      <c r="CB192" s="2">
        <f t="shared" si="1"/>
        <v>0</v>
      </c>
    </row>
    <row r="193">
      <c r="W193" s="95">
        <f t="shared" si="19"/>
      </c>
      <c r="X193" s="94">
        <f t="shared" si="25"/>
      </c>
      <c r="Y193" s="96">
        <f t="shared" si="26"/>
      </c>
      <c r="Z193" s="21">
        <f t="shared" si="20"/>
      </c>
      <c r="AA193" s="21">
        <f t="shared" si="21"/>
      </c>
      <c r="AB193" s="94">
        <f t="shared" si="27"/>
      </c>
      <c r="AC193" s="96">
        <f t="shared" si="28"/>
      </c>
      <c r="AD193" s="94">
        <f t="shared" si="29"/>
      </c>
      <c r="BA193" s="2">
        <f>IF(OR(往来单位!$B$196="",$AF$3=0),0,SUMIFS(期初余额!$R$5:$R$204,期初余额!$P$5:$P$204,往来单位!$B$196,期初余额!$Q$5:$Q$204,$C$3)+SUMIFS(应付登记!$G$5:$G$1004,应付登记!$D$5:$D$1004,往来单位!$B$196,应付登记!$E$5:$E$1004,$C$3,应付登记!$J$5:$J$1004,"&gt;="&amp;_辅助!$J$4,应付登记!$J$5:$J$1004,"&lt;="&amp;_辅助!$J$2))</f>
        <v>0</v>
      </c>
      <c r="BB193" s="2">
        <f>BB150+SUM(CA151:CA193)</f>
        <v>2</v>
      </c>
      <c r="BC193" s="2">
        <f>IF(OR(往来单位!$B$196="",$AF$3=0,NOT(OR(往来单位!$C$196="管理人员",往来单位!$C$196="工人"))),0,SUMIFS(考勤工资!$E$5:$E$1004,考勤工资!$C$5:$C$1004,往来单位!$B$196,考勤工资!$D$5:$D$1004,$C$3,考勤工资!$Y$5:$Y$1004,"&gt;="&amp;_辅助!$J$4,考勤工资!$Y$5:$Y$1004,"&lt;="&amp;_辅助!$J$2)+SUMIFS(考勤工资!$G$5:$G$1004,考勤工资!$C$5:$C$1004,往来单位!$B$196,考勤工资!$F$5:$F$1004,$C$3,考勤工资!$Y$5:$Y$1004,"&gt;="&amp;_辅助!$J$4,考勤工资!$Y$5:$Y$1004,"&lt;="&amp;_辅助!$J$2)+SUMIFS(考勤工资!$I$5:$I$1004,考勤工资!$C$5:$C$1004,往来单位!$B$196,考勤工资!$H$5:$H$1004,$C$3,考勤工资!$Y$5:$Y$1004,"&gt;="&amp;_辅助!$J$4,考勤工资!$Y$5:$Y$1004,"&lt;="&amp;_辅助!$J$2)+SUMIFS(考勤工资!$K$5:$K$1004,考勤工资!$C$5:$C$1004,往来单位!$B$196,考勤工资!$J$5:$J$1004,$C$3,考勤工资!$Y$5:$Y$1004,"&gt;="&amp;_辅助!$J$4,考勤工资!$Y$5:$Y$1004,"&lt;="&amp;_辅助!$J$2))</f>
        <v>0</v>
      </c>
      <c r="BD193" s="2">
        <f>IF(BC193=0,0,SUMIFS(考勤工资!$AC$5:$AC$1004,考勤工资!$C$5:$C$1004,往来单位!$B$196,考勤工资!$D$5:$D$1004,$C$3,考勤工资!$Y$5:$Y$1004,"&gt;="&amp;_辅助!$J$4,考勤工资!$Y$5:$Y$1004,"&lt;="&amp;_辅助!$J$2)+SUMIFS(考勤工资!$AD$5:$AD$1004,考勤工资!$C$5:$C$1004,往来单位!$B$196,考勤工资!$F$5:$F$1004,$C$3,考勤工资!$Y$5:$Y$1004,"&gt;="&amp;_辅助!$J$4,考勤工资!$Y$5:$Y$1004,"&lt;="&amp;_辅助!$J$2)+SUMIFS(考勤工资!$AE$5:$AE$1004,考勤工资!$C$5:$C$1004,往来单位!$B$196,考勤工资!$H$5:$H$1004,$C$3,考勤工资!$Y$5:$Y$1004,"&gt;="&amp;_辅助!$J$4,考勤工资!$Y$5:$Y$1004,"&lt;="&amp;_辅助!$J$2)+SUMIFS(考勤工资!$AF$5:$AF$1004,考勤工资!$C$5:$C$1004,往来单位!$B$196,考勤工资!$J$5:$J$1004,$C$3,考勤工资!$Y$5:$Y$1004,"&gt;="&amp;_辅助!$J$4,考勤工资!$Y$5:$Y$1004,"&lt;="&amp;_辅助!$J$2))</f>
        <v>0</v>
      </c>
      <c r="BE193" s="2">
        <f>BE150+SUM(CB151:CB193)</f>
        <v>0</v>
      </c>
      <c r="BF193" s="2">
        <f>IF(AND($AF$3&gt;0,发票登记!$T$196=$C$3,ISNUMBER(发票登记!$X$196),发票登记!$AB$196&lt;&gt;0,发票登记!$Y$196&gt;=_辅助!$J$4,发票登记!$Y$196&lt;=_辅助!$J$2),INT(发票登记!$X$196)*10000+192,"")</f>
      </c>
      <c r="BG193" s="2">
        <f>IF(AND($AF$3&gt;0,资金流水!$H$197=$C$3,ISNUMBER(资金流水!$B$197),ISNUMBER(资金流水!$S$197),资金流水!$S$197&gt;=_辅助!$J$4,资金流水!$S$197&lt;=_辅助!$J$2),INT(资金流水!$B$197)*10000+192,"")</f>
      </c>
      <c r="BJ193" s="2">
        <f>IF(158&gt;$BG$1,0,MOD(SMALL($BG$2:$BG$2001,158),10000))</f>
        <v>0</v>
      </c>
      <c r="CA193" s="2">
        <f t="shared" si="0"/>
        <v>0</v>
      </c>
      <c r="CB193" s="2">
        <f t="shared" si="1"/>
        <v>0</v>
      </c>
    </row>
    <row r="194">
      <c r="W194" s="95">
        <f t="shared" si="19"/>
      </c>
      <c r="X194" s="94">
        <f t="shared" si="25"/>
      </c>
      <c r="Y194" s="96">
        <f t="shared" si="26"/>
      </c>
      <c r="Z194" s="21">
        <f t="shared" si="20"/>
      </c>
      <c r="AA194" s="21">
        <f t="shared" si="21"/>
      </c>
      <c r="AB194" s="94">
        <f t="shared" si="27"/>
      </c>
      <c r="AC194" s="96">
        <f t="shared" si="28"/>
      </c>
      <c r="AD194" s="94">
        <f t="shared" si="29"/>
      </c>
      <c r="BA194" s="2">
        <f>IF(OR(往来单位!$B$197="",$AF$3=0),0,SUMIFS(期初余额!$R$5:$R$204,期初余额!$P$5:$P$204,往来单位!$B$197,期初余额!$Q$5:$Q$204,$C$3)+SUMIFS(应付登记!$G$5:$G$1004,应付登记!$D$5:$D$1004,往来单位!$B$197,应付登记!$E$5:$E$1004,$C$3,应付登记!$J$5:$J$1004,"&gt;="&amp;_辅助!$J$4,应付登记!$J$5:$J$1004,"&lt;="&amp;_辅助!$J$2))</f>
        <v>0</v>
      </c>
      <c r="BB194" s="2">
        <f>BB150+SUM(CA151:CA194)</f>
        <v>2</v>
      </c>
      <c r="BC194" s="2">
        <f>IF(OR(往来单位!$B$197="",$AF$3=0,NOT(OR(往来单位!$C$197="管理人员",往来单位!$C$197="工人"))),0,SUMIFS(考勤工资!$E$5:$E$1004,考勤工资!$C$5:$C$1004,往来单位!$B$197,考勤工资!$D$5:$D$1004,$C$3,考勤工资!$Y$5:$Y$1004,"&gt;="&amp;_辅助!$J$4,考勤工资!$Y$5:$Y$1004,"&lt;="&amp;_辅助!$J$2)+SUMIFS(考勤工资!$G$5:$G$1004,考勤工资!$C$5:$C$1004,往来单位!$B$197,考勤工资!$F$5:$F$1004,$C$3,考勤工资!$Y$5:$Y$1004,"&gt;="&amp;_辅助!$J$4,考勤工资!$Y$5:$Y$1004,"&lt;="&amp;_辅助!$J$2)+SUMIFS(考勤工资!$I$5:$I$1004,考勤工资!$C$5:$C$1004,往来单位!$B$197,考勤工资!$H$5:$H$1004,$C$3,考勤工资!$Y$5:$Y$1004,"&gt;="&amp;_辅助!$J$4,考勤工资!$Y$5:$Y$1004,"&lt;="&amp;_辅助!$J$2)+SUMIFS(考勤工资!$K$5:$K$1004,考勤工资!$C$5:$C$1004,往来单位!$B$197,考勤工资!$J$5:$J$1004,$C$3,考勤工资!$Y$5:$Y$1004,"&gt;="&amp;_辅助!$J$4,考勤工资!$Y$5:$Y$1004,"&lt;="&amp;_辅助!$J$2))</f>
        <v>0</v>
      </c>
      <c r="BD194" s="2">
        <f>IF(BC194=0,0,SUMIFS(考勤工资!$AC$5:$AC$1004,考勤工资!$C$5:$C$1004,往来单位!$B$197,考勤工资!$D$5:$D$1004,$C$3,考勤工资!$Y$5:$Y$1004,"&gt;="&amp;_辅助!$J$4,考勤工资!$Y$5:$Y$1004,"&lt;="&amp;_辅助!$J$2)+SUMIFS(考勤工资!$AD$5:$AD$1004,考勤工资!$C$5:$C$1004,往来单位!$B$197,考勤工资!$F$5:$F$1004,$C$3,考勤工资!$Y$5:$Y$1004,"&gt;="&amp;_辅助!$J$4,考勤工资!$Y$5:$Y$1004,"&lt;="&amp;_辅助!$J$2)+SUMIFS(考勤工资!$AE$5:$AE$1004,考勤工资!$C$5:$C$1004,往来单位!$B$197,考勤工资!$H$5:$H$1004,$C$3,考勤工资!$Y$5:$Y$1004,"&gt;="&amp;_辅助!$J$4,考勤工资!$Y$5:$Y$1004,"&lt;="&amp;_辅助!$J$2)+SUMIFS(考勤工资!$AF$5:$AF$1004,考勤工资!$C$5:$C$1004,往来单位!$B$197,考勤工资!$J$5:$J$1004,$C$3,考勤工资!$Y$5:$Y$1004,"&gt;="&amp;_辅助!$J$4,考勤工资!$Y$5:$Y$1004,"&lt;="&amp;_辅助!$J$2))</f>
        <v>0</v>
      </c>
      <c r="BE194" s="2">
        <f>BE150+SUM(CB151:CB194)</f>
        <v>0</v>
      </c>
      <c r="BF194" s="2">
        <f>IF(AND($AF$3&gt;0,发票登记!$T$197=$C$3,ISNUMBER(发票登记!$X$197),发票登记!$AB$197&lt;&gt;0,发票登记!$Y$197&gt;=_辅助!$J$4,发票登记!$Y$197&lt;=_辅助!$J$2),INT(发票登记!$X$197)*10000+193,"")</f>
      </c>
      <c r="BG194" s="2">
        <f>IF(AND($AF$3&gt;0,资金流水!$H$198=$C$3,ISNUMBER(资金流水!$B$198),ISNUMBER(资金流水!$S$198),资金流水!$S$198&gt;=_辅助!$J$4,资金流水!$S$198&lt;=_辅助!$J$2),INT(资金流水!$B$198)*10000+193,"")</f>
      </c>
      <c r="BJ194" s="2">
        <f>IF(159&gt;$BG$1,0,MOD(SMALL($BG$2:$BG$2001,159),10000))</f>
        <v>0</v>
      </c>
      <c r="CA194" s="2">
        <f t="shared" si="0"/>
        <v>0</v>
      </c>
      <c r="CB194" s="2">
        <f t="shared" si="1"/>
        <v>0</v>
      </c>
    </row>
    <row r="195">
      <c r="W195" s="95">
        <f t="shared" si="19"/>
      </c>
      <c r="X195" s="94">
        <f t="shared" si="25"/>
      </c>
      <c r="Y195" s="96">
        <f t="shared" si="26"/>
      </c>
      <c r="Z195" s="21">
        <f t="shared" si="20"/>
      </c>
      <c r="AA195" s="21">
        <f t="shared" si="21"/>
      </c>
      <c r="AB195" s="94">
        <f t="shared" si="27"/>
      </c>
      <c r="AC195" s="96">
        <f t="shared" si="28"/>
      </c>
      <c r="AD195" s="94">
        <f t="shared" si="29"/>
      </c>
      <c r="BA195" s="2">
        <f>IF(OR(往来单位!$B$198="",$AF$3=0),0,SUMIFS(期初余额!$R$5:$R$204,期初余额!$P$5:$P$204,往来单位!$B$198,期初余额!$Q$5:$Q$204,$C$3)+SUMIFS(应付登记!$G$5:$G$1004,应付登记!$D$5:$D$1004,往来单位!$B$198,应付登记!$E$5:$E$1004,$C$3,应付登记!$J$5:$J$1004,"&gt;="&amp;_辅助!$J$4,应付登记!$J$5:$J$1004,"&lt;="&amp;_辅助!$J$2))</f>
        <v>0</v>
      </c>
      <c r="BB195" s="2">
        <f>BB150+SUM(CA151:CA195)</f>
        <v>2</v>
      </c>
      <c r="BC195" s="2">
        <f>IF(OR(往来单位!$B$198="",$AF$3=0,NOT(OR(往来单位!$C$198="管理人员",往来单位!$C$198="工人"))),0,SUMIFS(考勤工资!$E$5:$E$1004,考勤工资!$C$5:$C$1004,往来单位!$B$198,考勤工资!$D$5:$D$1004,$C$3,考勤工资!$Y$5:$Y$1004,"&gt;="&amp;_辅助!$J$4,考勤工资!$Y$5:$Y$1004,"&lt;="&amp;_辅助!$J$2)+SUMIFS(考勤工资!$G$5:$G$1004,考勤工资!$C$5:$C$1004,往来单位!$B$198,考勤工资!$F$5:$F$1004,$C$3,考勤工资!$Y$5:$Y$1004,"&gt;="&amp;_辅助!$J$4,考勤工资!$Y$5:$Y$1004,"&lt;="&amp;_辅助!$J$2)+SUMIFS(考勤工资!$I$5:$I$1004,考勤工资!$C$5:$C$1004,往来单位!$B$198,考勤工资!$H$5:$H$1004,$C$3,考勤工资!$Y$5:$Y$1004,"&gt;="&amp;_辅助!$J$4,考勤工资!$Y$5:$Y$1004,"&lt;="&amp;_辅助!$J$2)+SUMIFS(考勤工资!$K$5:$K$1004,考勤工资!$C$5:$C$1004,往来单位!$B$198,考勤工资!$J$5:$J$1004,$C$3,考勤工资!$Y$5:$Y$1004,"&gt;="&amp;_辅助!$J$4,考勤工资!$Y$5:$Y$1004,"&lt;="&amp;_辅助!$J$2))</f>
        <v>0</v>
      </c>
      <c r="BD195" s="2">
        <f>IF(BC195=0,0,SUMIFS(考勤工资!$AC$5:$AC$1004,考勤工资!$C$5:$C$1004,往来单位!$B$198,考勤工资!$D$5:$D$1004,$C$3,考勤工资!$Y$5:$Y$1004,"&gt;="&amp;_辅助!$J$4,考勤工资!$Y$5:$Y$1004,"&lt;="&amp;_辅助!$J$2)+SUMIFS(考勤工资!$AD$5:$AD$1004,考勤工资!$C$5:$C$1004,往来单位!$B$198,考勤工资!$F$5:$F$1004,$C$3,考勤工资!$Y$5:$Y$1004,"&gt;="&amp;_辅助!$J$4,考勤工资!$Y$5:$Y$1004,"&lt;="&amp;_辅助!$J$2)+SUMIFS(考勤工资!$AE$5:$AE$1004,考勤工资!$C$5:$C$1004,往来单位!$B$198,考勤工资!$H$5:$H$1004,$C$3,考勤工资!$Y$5:$Y$1004,"&gt;="&amp;_辅助!$J$4,考勤工资!$Y$5:$Y$1004,"&lt;="&amp;_辅助!$J$2)+SUMIFS(考勤工资!$AF$5:$AF$1004,考勤工资!$C$5:$C$1004,往来单位!$B$198,考勤工资!$J$5:$J$1004,$C$3,考勤工资!$Y$5:$Y$1004,"&gt;="&amp;_辅助!$J$4,考勤工资!$Y$5:$Y$1004,"&lt;="&amp;_辅助!$J$2))</f>
        <v>0</v>
      </c>
      <c r="BE195" s="2">
        <f>BE150+SUM(CB151:CB195)</f>
        <v>0</v>
      </c>
      <c r="BF195" s="2">
        <f>IF(AND($AF$3&gt;0,发票登记!$T$198=$C$3,ISNUMBER(发票登记!$X$198),发票登记!$AB$198&lt;&gt;0,发票登记!$Y$198&gt;=_辅助!$J$4,发票登记!$Y$198&lt;=_辅助!$J$2),INT(发票登记!$X$198)*10000+194,"")</f>
      </c>
      <c r="BG195" s="2">
        <f>IF(AND($AF$3&gt;0,资金流水!$H$199=$C$3,ISNUMBER(资金流水!$B$199),ISNUMBER(资金流水!$S$199),资金流水!$S$199&gt;=_辅助!$J$4,资金流水!$S$199&lt;=_辅助!$J$2),INT(资金流水!$B$199)*10000+194,"")</f>
      </c>
      <c r="BJ195" s="2">
        <f>IF(160&gt;$BG$1,0,MOD(SMALL($BG$2:$BG$2001,160),10000))</f>
        <v>0</v>
      </c>
      <c r="CA195" s="2">
        <f t="shared" si="0"/>
        <v>0</v>
      </c>
      <c r="CB195" s="2">
        <f t="shared" si="1"/>
        <v>0</v>
      </c>
    </row>
    <row r="196">
      <c r="W196" s="95">
        <f t="shared" si="19"/>
      </c>
      <c r="X196" s="94">
        <f t="shared" si="25"/>
      </c>
      <c r="Y196" s="96">
        <f t="shared" si="26"/>
      </c>
      <c r="Z196" s="21">
        <f t="shared" si="20"/>
      </c>
      <c r="AA196" s="21">
        <f t="shared" si="21"/>
      </c>
      <c r="AB196" s="94">
        <f t="shared" si="27"/>
      </c>
      <c r="AC196" s="96">
        <f t="shared" si="28"/>
      </c>
      <c r="AD196" s="94">
        <f t="shared" si="29"/>
      </c>
      <c r="BA196" s="2">
        <f>IF(OR(往来单位!$B$199="",$AF$3=0),0,SUMIFS(期初余额!$R$5:$R$204,期初余额!$P$5:$P$204,往来单位!$B$199,期初余额!$Q$5:$Q$204,$C$3)+SUMIFS(应付登记!$G$5:$G$1004,应付登记!$D$5:$D$1004,往来单位!$B$199,应付登记!$E$5:$E$1004,$C$3,应付登记!$J$5:$J$1004,"&gt;="&amp;_辅助!$J$4,应付登记!$J$5:$J$1004,"&lt;="&amp;_辅助!$J$2))</f>
        <v>0</v>
      </c>
      <c r="BB196" s="2">
        <f>BB150+SUM(CA151:CA196)</f>
        <v>2</v>
      </c>
      <c r="BC196" s="2">
        <f>IF(OR(往来单位!$B$199="",$AF$3=0,NOT(OR(往来单位!$C$199="管理人员",往来单位!$C$199="工人"))),0,SUMIFS(考勤工资!$E$5:$E$1004,考勤工资!$C$5:$C$1004,往来单位!$B$199,考勤工资!$D$5:$D$1004,$C$3,考勤工资!$Y$5:$Y$1004,"&gt;="&amp;_辅助!$J$4,考勤工资!$Y$5:$Y$1004,"&lt;="&amp;_辅助!$J$2)+SUMIFS(考勤工资!$G$5:$G$1004,考勤工资!$C$5:$C$1004,往来单位!$B$199,考勤工资!$F$5:$F$1004,$C$3,考勤工资!$Y$5:$Y$1004,"&gt;="&amp;_辅助!$J$4,考勤工资!$Y$5:$Y$1004,"&lt;="&amp;_辅助!$J$2)+SUMIFS(考勤工资!$I$5:$I$1004,考勤工资!$C$5:$C$1004,往来单位!$B$199,考勤工资!$H$5:$H$1004,$C$3,考勤工资!$Y$5:$Y$1004,"&gt;="&amp;_辅助!$J$4,考勤工资!$Y$5:$Y$1004,"&lt;="&amp;_辅助!$J$2)+SUMIFS(考勤工资!$K$5:$K$1004,考勤工资!$C$5:$C$1004,往来单位!$B$199,考勤工资!$J$5:$J$1004,$C$3,考勤工资!$Y$5:$Y$1004,"&gt;="&amp;_辅助!$J$4,考勤工资!$Y$5:$Y$1004,"&lt;="&amp;_辅助!$J$2))</f>
        <v>0</v>
      </c>
      <c r="BD196" s="2">
        <f>IF(BC196=0,0,SUMIFS(考勤工资!$AC$5:$AC$1004,考勤工资!$C$5:$C$1004,往来单位!$B$199,考勤工资!$D$5:$D$1004,$C$3,考勤工资!$Y$5:$Y$1004,"&gt;="&amp;_辅助!$J$4,考勤工资!$Y$5:$Y$1004,"&lt;="&amp;_辅助!$J$2)+SUMIFS(考勤工资!$AD$5:$AD$1004,考勤工资!$C$5:$C$1004,往来单位!$B$199,考勤工资!$F$5:$F$1004,$C$3,考勤工资!$Y$5:$Y$1004,"&gt;="&amp;_辅助!$J$4,考勤工资!$Y$5:$Y$1004,"&lt;="&amp;_辅助!$J$2)+SUMIFS(考勤工资!$AE$5:$AE$1004,考勤工资!$C$5:$C$1004,往来单位!$B$199,考勤工资!$H$5:$H$1004,$C$3,考勤工资!$Y$5:$Y$1004,"&gt;="&amp;_辅助!$J$4,考勤工资!$Y$5:$Y$1004,"&lt;="&amp;_辅助!$J$2)+SUMIFS(考勤工资!$AF$5:$AF$1004,考勤工资!$C$5:$C$1004,往来单位!$B$199,考勤工资!$J$5:$J$1004,$C$3,考勤工资!$Y$5:$Y$1004,"&gt;="&amp;_辅助!$J$4,考勤工资!$Y$5:$Y$1004,"&lt;="&amp;_辅助!$J$2))</f>
        <v>0</v>
      </c>
      <c r="BE196" s="2">
        <f>BE150+SUM(CB151:CB196)</f>
        <v>0</v>
      </c>
      <c r="BF196" s="2">
        <f>IF(AND($AF$3&gt;0,发票登记!$T$199=$C$3,ISNUMBER(发票登记!$X$199),发票登记!$AB$199&lt;&gt;0,发票登记!$Y$199&gt;=_辅助!$J$4,发票登记!$Y$199&lt;=_辅助!$J$2),INT(发票登记!$X$199)*10000+195,"")</f>
      </c>
      <c r="BG196" s="2">
        <f>IF(AND($AF$3&gt;0,资金流水!$H$200=$C$3,ISNUMBER(资金流水!$B$200),ISNUMBER(资金流水!$S$200),资金流水!$S$200&gt;=_辅助!$J$4,资金流水!$S$200&lt;=_辅助!$J$2),INT(资金流水!$B$200)*10000+195,"")</f>
      </c>
      <c r="BJ196" s="2">
        <f>IF(161&gt;$BG$1,0,MOD(SMALL($BG$2:$BG$2001,161),10000))</f>
        <v>0</v>
      </c>
      <c r="CA196" s="2">
        <f t="shared" si="0"/>
        <v>0</v>
      </c>
      <c r="CB196" s="2">
        <f t="shared" si="1"/>
        <v>0</v>
      </c>
    </row>
    <row r="197">
      <c r="W197" s="95">
        <f t="shared" si="19"/>
      </c>
      <c r="X197" s="94">
        <f t="shared" si="25"/>
      </c>
      <c r="Y197" s="96">
        <f t="shared" si="26"/>
      </c>
      <c r="Z197" s="21">
        <f t="shared" si="20"/>
      </c>
      <c r="AA197" s="21">
        <f t="shared" si="21"/>
      </c>
      <c r="AB197" s="94">
        <f t="shared" si="27"/>
      </c>
      <c r="AC197" s="96">
        <f t="shared" si="28"/>
      </c>
      <c r="AD197" s="94">
        <f t="shared" si="29"/>
      </c>
      <c r="BA197" s="2">
        <f>IF(OR(往来单位!$B$200="",$AF$3=0),0,SUMIFS(期初余额!$R$5:$R$204,期初余额!$P$5:$P$204,往来单位!$B$200,期初余额!$Q$5:$Q$204,$C$3)+SUMIFS(应付登记!$G$5:$G$1004,应付登记!$D$5:$D$1004,往来单位!$B$200,应付登记!$E$5:$E$1004,$C$3,应付登记!$J$5:$J$1004,"&gt;="&amp;_辅助!$J$4,应付登记!$J$5:$J$1004,"&lt;="&amp;_辅助!$J$2))</f>
        <v>0</v>
      </c>
      <c r="BB197" s="2">
        <f>BB150+SUM(CA151:CA197)</f>
        <v>2</v>
      </c>
      <c r="BC197" s="2">
        <f>IF(OR(往来单位!$B$200="",$AF$3=0,NOT(OR(往来单位!$C$200="管理人员",往来单位!$C$200="工人"))),0,SUMIFS(考勤工资!$E$5:$E$1004,考勤工资!$C$5:$C$1004,往来单位!$B$200,考勤工资!$D$5:$D$1004,$C$3,考勤工资!$Y$5:$Y$1004,"&gt;="&amp;_辅助!$J$4,考勤工资!$Y$5:$Y$1004,"&lt;="&amp;_辅助!$J$2)+SUMIFS(考勤工资!$G$5:$G$1004,考勤工资!$C$5:$C$1004,往来单位!$B$200,考勤工资!$F$5:$F$1004,$C$3,考勤工资!$Y$5:$Y$1004,"&gt;="&amp;_辅助!$J$4,考勤工资!$Y$5:$Y$1004,"&lt;="&amp;_辅助!$J$2)+SUMIFS(考勤工资!$I$5:$I$1004,考勤工资!$C$5:$C$1004,往来单位!$B$200,考勤工资!$H$5:$H$1004,$C$3,考勤工资!$Y$5:$Y$1004,"&gt;="&amp;_辅助!$J$4,考勤工资!$Y$5:$Y$1004,"&lt;="&amp;_辅助!$J$2)+SUMIFS(考勤工资!$K$5:$K$1004,考勤工资!$C$5:$C$1004,往来单位!$B$200,考勤工资!$J$5:$J$1004,$C$3,考勤工资!$Y$5:$Y$1004,"&gt;="&amp;_辅助!$J$4,考勤工资!$Y$5:$Y$1004,"&lt;="&amp;_辅助!$J$2))</f>
        <v>0</v>
      </c>
      <c r="BD197" s="2">
        <f>IF(BC197=0,0,SUMIFS(考勤工资!$AC$5:$AC$1004,考勤工资!$C$5:$C$1004,往来单位!$B$200,考勤工资!$D$5:$D$1004,$C$3,考勤工资!$Y$5:$Y$1004,"&gt;="&amp;_辅助!$J$4,考勤工资!$Y$5:$Y$1004,"&lt;="&amp;_辅助!$J$2)+SUMIFS(考勤工资!$AD$5:$AD$1004,考勤工资!$C$5:$C$1004,往来单位!$B$200,考勤工资!$F$5:$F$1004,$C$3,考勤工资!$Y$5:$Y$1004,"&gt;="&amp;_辅助!$J$4,考勤工资!$Y$5:$Y$1004,"&lt;="&amp;_辅助!$J$2)+SUMIFS(考勤工资!$AE$5:$AE$1004,考勤工资!$C$5:$C$1004,往来单位!$B$200,考勤工资!$H$5:$H$1004,$C$3,考勤工资!$Y$5:$Y$1004,"&gt;="&amp;_辅助!$J$4,考勤工资!$Y$5:$Y$1004,"&lt;="&amp;_辅助!$J$2)+SUMIFS(考勤工资!$AF$5:$AF$1004,考勤工资!$C$5:$C$1004,往来单位!$B$200,考勤工资!$J$5:$J$1004,$C$3,考勤工资!$Y$5:$Y$1004,"&gt;="&amp;_辅助!$J$4,考勤工资!$Y$5:$Y$1004,"&lt;="&amp;_辅助!$J$2))</f>
        <v>0</v>
      </c>
      <c r="BE197" s="2">
        <f>BE150+SUM(CB151:CB197)</f>
        <v>0</v>
      </c>
      <c r="BF197" s="2">
        <f>IF(AND($AF$3&gt;0,发票登记!$T$200=$C$3,ISNUMBER(发票登记!$X$200),发票登记!$AB$200&lt;&gt;0,发票登记!$Y$200&gt;=_辅助!$J$4,发票登记!$Y$200&lt;=_辅助!$J$2),INT(发票登记!$X$200)*10000+196,"")</f>
      </c>
      <c r="BG197" s="2">
        <f>IF(AND($AF$3&gt;0,资金流水!$H$201=$C$3,ISNUMBER(资金流水!$B$201),ISNUMBER(资金流水!$S$201),资金流水!$S$201&gt;=_辅助!$J$4,资金流水!$S$201&lt;=_辅助!$J$2),INT(资金流水!$B$201)*10000+196,"")</f>
      </c>
      <c r="BJ197" s="2">
        <f>IF(162&gt;$BG$1,0,MOD(SMALL($BG$2:$BG$2001,162),10000))</f>
        <v>0</v>
      </c>
      <c r="CA197" s="2">
        <f t="shared" si="0"/>
        <v>0</v>
      </c>
      <c r="CB197" s="2">
        <f t="shared" si="1"/>
        <v>0</v>
      </c>
    </row>
    <row r="198">
      <c r="W198" s="95">
        <f t="shared" si="19"/>
      </c>
      <c r="X198" s="94">
        <f t="shared" si="25"/>
      </c>
      <c r="Y198" s="96">
        <f t="shared" si="26"/>
      </c>
      <c r="Z198" s="21">
        <f t="shared" si="20"/>
      </c>
      <c r="AA198" s="21">
        <f t="shared" si="21"/>
      </c>
      <c r="AB198" s="94">
        <f t="shared" si="27"/>
      </c>
      <c r="AC198" s="96">
        <f t="shared" si="28"/>
      </c>
      <c r="AD198" s="94">
        <f t="shared" si="29"/>
      </c>
      <c r="BA198" s="2">
        <f>IF(OR(往来单位!$B$201="",$AF$3=0),0,SUMIFS(期初余额!$R$5:$R$204,期初余额!$P$5:$P$204,往来单位!$B$201,期初余额!$Q$5:$Q$204,$C$3)+SUMIFS(应付登记!$G$5:$G$1004,应付登记!$D$5:$D$1004,往来单位!$B$201,应付登记!$E$5:$E$1004,$C$3,应付登记!$J$5:$J$1004,"&gt;="&amp;_辅助!$J$4,应付登记!$J$5:$J$1004,"&lt;="&amp;_辅助!$J$2))</f>
        <v>0</v>
      </c>
      <c r="BB198" s="2">
        <f>BB150+SUM(CA151:CA198)</f>
        <v>2</v>
      </c>
      <c r="BC198" s="2">
        <f>IF(OR(往来单位!$B$201="",$AF$3=0,NOT(OR(往来单位!$C$201="管理人员",往来单位!$C$201="工人"))),0,SUMIFS(考勤工资!$E$5:$E$1004,考勤工资!$C$5:$C$1004,往来单位!$B$201,考勤工资!$D$5:$D$1004,$C$3,考勤工资!$Y$5:$Y$1004,"&gt;="&amp;_辅助!$J$4,考勤工资!$Y$5:$Y$1004,"&lt;="&amp;_辅助!$J$2)+SUMIFS(考勤工资!$G$5:$G$1004,考勤工资!$C$5:$C$1004,往来单位!$B$201,考勤工资!$F$5:$F$1004,$C$3,考勤工资!$Y$5:$Y$1004,"&gt;="&amp;_辅助!$J$4,考勤工资!$Y$5:$Y$1004,"&lt;="&amp;_辅助!$J$2)+SUMIFS(考勤工资!$I$5:$I$1004,考勤工资!$C$5:$C$1004,往来单位!$B$201,考勤工资!$H$5:$H$1004,$C$3,考勤工资!$Y$5:$Y$1004,"&gt;="&amp;_辅助!$J$4,考勤工资!$Y$5:$Y$1004,"&lt;="&amp;_辅助!$J$2)+SUMIFS(考勤工资!$K$5:$K$1004,考勤工资!$C$5:$C$1004,往来单位!$B$201,考勤工资!$J$5:$J$1004,$C$3,考勤工资!$Y$5:$Y$1004,"&gt;="&amp;_辅助!$J$4,考勤工资!$Y$5:$Y$1004,"&lt;="&amp;_辅助!$J$2))</f>
        <v>0</v>
      </c>
      <c r="BD198" s="2">
        <f>IF(BC198=0,0,SUMIFS(考勤工资!$AC$5:$AC$1004,考勤工资!$C$5:$C$1004,往来单位!$B$201,考勤工资!$D$5:$D$1004,$C$3,考勤工资!$Y$5:$Y$1004,"&gt;="&amp;_辅助!$J$4,考勤工资!$Y$5:$Y$1004,"&lt;="&amp;_辅助!$J$2)+SUMIFS(考勤工资!$AD$5:$AD$1004,考勤工资!$C$5:$C$1004,往来单位!$B$201,考勤工资!$F$5:$F$1004,$C$3,考勤工资!$Y$5:$Y$1004,"&gt;="&amp;_辅助!$J$4,考勤工资!$Y$5:$Y$1004,"&lt;="&amp;_辅助!$J$2)+SUMIFS(考勤工资!$AE$5:$AE$1004,考勤工资!$C$5:$C$1004,往来单位!$B$201,考勤工资!$H$5:$H$1004,$C$3,考勤工资!$Y$5:$Y$1004,"&gt;="&amp;_辅助!$J$4,考勤工资!$Y$5:$Y$1004,"&lt;="&amp;_辅助!$J$2)+SUMIFS(考勤工资!$AF$5:$AF$1004,考勤工资!$C$5:$C$1004,往来单位!$B$201,考勤工资!$J$5:$J$1004,$C$3,考勤工资!$Y$5:$Y$1004,"&gt;="&amp;_辅助!$J$4,考勤工资!$Y$5:$Y$1004,"&lt;="&amp;_辅助!$J$2))</f>
        <v>0</v>
      </c>
      <c r="BE198" s="2">
        <f>BE150+SUM(CB151:CB198)</f>
        <v>0</v>
      </c>
      <c r="BF198" s="2">
        <f>IF(AND($AF$3&gt;0,发票登记!$T$201=$C$3,ISNUMBER(发票登记!$X$201),发票登记!$AB$201&lt;&gt;0,发票登记!$Y$201&gt;=_辅助!$J$4,发票登记!$Y$201&lt;=_辅助!$J$2),INT(发票登记!$X$201)*10000+197,"")</f>
      </c>
      <c r="BG198" s="2">
        <f>IF(AND($AF$3&gt;0,资金流水!$H$202=$C$3,ISNUMBER(资金流水!$B$202),ISNUMBER(资金流水!$S$202),资金流水!$S$202&gt;=_辅助!$J$4,资金流水!$S$202&lt;=_辅助!$J$2),INT(资金流水!$B$202)*10000+197,"")</f>
      </c>
      <c r="BJ198" s="2">
        <f>IF(163&gt;$BG$1,0,MOD(SMALL($BG$2:$BG$2001,163),10000))</f>
        <v>0</v>
      </c>
      <c r="CA198" s="2">
        <f t="shared" si="0"/>
        <v>0</v>
      </c>
      <c r="CB198" s="2">
        <f t="shared" si="1"/>
        <v>0</v>
      </c>
    </row>
    <row r="199">
      <c r="W199" s="95">
        <f t="shared" si="19"/>
      </c>
      <c r="X199" s="94">
        <f t="shared" si="25"/>
      </c>
      <c r="Y199" s="96">
        <f t="shared" si="26"/>
      </c>
      <c r="Z199" s="21">
        <f t="shared" si="20"/>
      </c>
      <c r="AA199" s="21">
        <f t="shared" si="21"/>
      </c>
      <c r="AB199" s="94">
        <f t="shared" si="27"/>
      </c>
      <c r="AC199" s="96">
        <f t="shared" si="28"/>
      </c>
      <c r="AD199" s="94">
        <f t="shared" si="29"/>
      </c>
      <c r="BA199" s="2">
        <f>IF(OR(往来单位!$B$202="",$AF$3=0),0,SUMIFS(期初余额!$R$5:$R$204,期初余额!$P$5:$P$204,往来单位!$B$202,期初余额!$Q$5:$Q$204,$C$3)+SUMIFS(应付登记!$G$5:$G$1004,应付登记!$D$5:$D$1004,往来单位!$B$202,应付登记!$E$5:$E$1004,$C$3,应付登记!$J$5:$J$1004,"&gt;="&amp;_辅助!$J$4,应付登记!$J$5:$J$1004,"&lt;="&amp;_辅助!$J$2))</f>
        <v>0</v>
      </c>
      <c r="BB199" s="2">
        <f>BB150+SUM(CA151:CA199)</f>
        <v>2</v>
      </c>
      <c r="BC199" s="2">
        <f>IF(OR(往来单位!$B$202="",$AF$3=0,NOT(OR(往来单位!$C$202="管理人员",往来单位!$C$202="工人"))),0,SUMIFS(考勤工资!$E$5:$E$1004,考勤工资!$C$5:$C$1004,往来单位!$B$202,考勤工资!$D$5:$D$1004,$C$3,考勤工资!$Y$5:$Y$1004,"&gt;="&amp;_辅助!$J$4,考勤工资!$Y$5:$Y$1004,"&lt;="&amp;_辅助!$J$2)+SUMIFS(考勤工资!$G$5:$G$1004,考勤工资!$C$5:$C$1004,往来单位!$B$202,考勤工资!$F$5:$F$1004,$C$3,考勤工资!$Y$5:$Y$1004,"&gt;="&amp;_辅助!$J$4,考勤工资!$Y$5:$Y$1004,"&lt;="&amp;_辅助!$J$2)+SUMIFS(考勤工资!$I$5:$I$1004,考勤工资!$C$5:$C$1004,往来单位!$B$202,考勤工资!$H$5:$H$1004,$C$3,考勤工资!$Y$5:$Y$1004,"&gt;="&amp;_辅助!$J$4,考勤工资!$Y$5:$Y$1004,"&lt;="&amp;_辅助!$J$2)+SUMIFS(考勤工资!$K$5:$K$1004,考勤工资!$C$5:$C$1004,往来单位!$B$202,考勤工资!$J$5:$J$1004,$C$3,考勤工资!$Y$5:$Y$1004,"&gt;="&amp;_辅助!$J$4,考勤工资!$Y$5:$Y$1004,"&lt;="&amp;_辅助!$J$2))</f>
        <v>0</v>
      </c>
      <c r="BD199" s="2">
        <f>IF(BC199=0,0,SUMIFS(考勤工资!$AC$5:$AC$1004,考勤工资!$C$5:$C$1004,往来单位!$B$202,考勤工资!$D$5:$D$1004,$C$3,考勤工资!$Y$5:$Y$1004,"&gt;="&amp;_辅助!$J$4,考勤工资!$Y$5:$Y$1004,"&lt;="&amp;_辅助!$J$2)+SUMIFS(考勤工资!$AD$5:$AD$1004,考勤工资!$C$5:$C$1004,往来单位!$B$202,考勤工资!$F$5:$F$1004,$C$3,考勤工资!$Y$5:$Y$1004,"&gt;="&amp;_辅助!$J$4,考勤工资!$Y$5:$Y$1004,"&lt;="&amp;_辅助!$J$2)+SUMIFS(考勤工资!$AE$5:$AE$1004,考勤工资!$C$5:$C$1004,往来单位!$B$202,考勤工资!$H$5:$H$1004,$C$3,考勤工资!$Y$5:$Y$1004,"&gt;="&amp;_辅助!$J$4,考勤工资!$Y$5:$Y$1004,"&lt;="&amp;_辅助!$J$2)+SUMIFS(考勤工资!$AF$5:$AF$1004,考勤工资!$C$5:$C$1004,往来单位!$B$202,考勤工资!$J$5:$J$1004,$C$3,考勤工资!$Y$5:$Y$1004,"&gt;="&amp;_辅助!$J$4,考勤工资!$Y$5:$Y$1004,"&lt;="&amp;_辅助!$J$2))</f>
        <v>0</v>
      </c>
      <c r="BE199" s="2">
        <f>BE150+SUM(CB151:CB199)</f>
        <v>0</v>
      </c>
      <c r="BF199" s="2">
        <f>IF(AND($AF$3&gt;0,发票登记!$T$202=$C$3,ISNUMBER(发票登记!$X$202),发票登记!$AB$202&lt;&gt;0,发票登记!$Y$202&gt;=_辅助!$J$4,发票登记!$Y$202&lt;=_辅助!$J$2),INT(发票登记!$X$202)*10000+198,"")</f>
      </c>
      <c r="BG199" s="2">
        <f>IF(AND($AF$3&gt;0,资金流水!$H$203=$C$3,ISNUMBER(资金流水!$B$203),ISNUMBER(资金流水!$S$203),资金流水!$S$203&gt;=_辅助!$J$4,资金流水!$S$203&lt;=_辅助!$J$2),INT(资金流水!$B$203)*10000+198,"")</f>
      </c>
      <c r="BJ199" s="2">
        <f>IF(164&gt;$BG$1,0,MOD(SMALL($BG$2:$BG$2001,164),10000))</f>
        <v>0</v>
      </c>
      <c r="CA199" s="2">
        <f t="shared" si="0"/>
        <v>0</v>
      </c>
      <c r="CB199" s="2">
        <f t="shared" si="1"/>
        <v>0</v>
      </c>
    </row>
    <row r="200">
      <c r="W200" s="95">
        <f t="shared" si="19"/>
      </c>
      <c r="X200" s="94">
        <f t="shared" si="25"/>
      </c>
      <c r="Y200" s="96">
        <f t="shared" si="26"/>
      </c>
      <c r="Z200" s="21">
        <f t="shared" si="20"/>
      </c>
      <c r="AA200" s="21">
        <f t="shared" si="21"/>
      </c>
      <c r="AB200" s="94">
        <f t="shared" si="27"/>
      </c>
      <c r="AC200" s="96">
        <f t="shared" si="28"/>
      </c>
      <c r="AD200" s="94">
        <f t="shared" si="29"/>
      </c>
      <c r="BA200" s="2">
        <f>IF(OR(往来单位!$B$203="",$AF$3=0),0,SUMIFS(期初余额!$R$5:$R$204,期初余额!$P$5:$P$204,往来单位!$B$203,期初余额!$Q$5:$Q$204,$C$3)+SUMIFS(应付登记!$G$5:$G$1004,应付登记!$D$5:$D$1004,往来单位!$B$203,应付登记!$E$5:$E$1004,$C$3,应付登记!$J$5:$J$1004,"&gt;="&amp;_辅助!$J$4,应付登记!$J$5:$J$1004,"&lt;="&amp;_辅助!$J$2))</f>
        <v>0</v>
      </c>
      <c r="BB200" s="2">
        <f>BB150+SUM(CA151:CA200)</f>
        <v>2</v>
      </c>
      <c r="BC200" s="2">
        <f>IF(OR(往来单位!$B$203="",$AF$3=0,NOT(OR(往来单位!$C$203="管理人员",往来单位!$C$203="工人"))),0,SUMIFS(考勤工资!$E$5:$E$1004,考勤工资!$C$5:$C$1004,往来单位!$B$203,考勤工资!$D$5:$D$1004,$C$3,考勤工资!$Y$5:$Y$1004,"&gt;="&amp;_辅助!$J$4,考勤工资!$Y$5:$Y$1004,"&lt;="&amp;_辅助!$J$2)+SUMIFS(考勤工资!$G$5:$G$1004,考勤工资!$C$5:$C$1004,往来单位!$B$203,考勤工资!$F$5:$F$1004,$C$3,考勤工资!$Y$5:$Y$1004,"&gt;="&amp;_辅助!$J$4,考勤工资!$Y$5:$Y$1004,"&lt;="&amp;_辅助!$J$2)+SUMIFS(考勤工资!$I$5:$I$1004,考勤工资!$C$5:$C$1004,往来单位!$B$203,考勤工资!$H$5:$H$1004,$C$3,考勤工资!$Y$5:$Y$1004,"&gt;="&amp;_辅助!$J$4,考勤工资!$Y$5:$Y$1004,"&lt;="&amp;_辅助!$J$2)+SUMIFS(考勤工资!$K$5:$K$1004,考勤工资!$C$5:$C$1004,往来单位!$B$203,考勤工资!$J$5:$J$1004,$C$3,考勤工资!$Y$5:$Y$1004,"&gt;="&amp;_辅助!$J$4,考勤工资!$Y$5:$Y$1004,"&lt;="&amp;_辅助!$J$2))</f>
        <v>0</v>
      </c>
      <c r="BD200" s="2">
        <f>IF(BC200=0,0,SUMIFS(考勤工资!$AC$5:$AC$1004,考勤工资!$C$5:$C$1004,往来单位!$B$203,考勤工资!$D$5:$D$1004,$C$3,考勤工资!$Y$5:$Y$1004,"&gt;="&amp;_辅助!$J$4,考勤工资!$Y$5:$Y$1004,"&lt;="&amp;_辅助!$J$2)+SUMIFS(考勤工资!$AD$5:$AD$1004,考勤工资!$C$5:$C$1004,往来单位!$B$203,考勤工资!$F$5:$F$1004,$C$3,考勤工资!$Y$5:$Y$1004,"&gt;="&amp;_辅助!$J$4,考勤工资!$Y$5:$Y$1004,"&lt;="&amp;_辅助!$J$2)+SUMIFS(考勤工资!$AE$5:$AE$1004,考勤工资!$C$5:$C$1004,往来单位!$B$203,考勤工资!$H$5:$H$1004,$C$3,考勤工资!$Y$5:$Y$1004,"&gt;="&amp;_辅助!$J$4,考勤工资!$Y$5:$Y$1004,"&lt;="&amp;_辅助!$J$2)+SUMIFS(考勤工资!$AF$5:$AF$1004,考勤工资!$C$5:$C$1004,往来单位!$B$203,考勤工资!$J$5:$J$1004,$C$3,考勤工资!$Y$5:$Y$1004,"&gt;="&amp;_辅助!$J$4,考勤工资!$Y$5:$Y$1004,"&lt;="&amp;_辅助!$J$2))</f>
        <v>0</v>
      </c>
      <c r="BE200" s="2">
        <f>BE150+SUM(CB151:CB200)</f>
        <v>0</v>
      </c>
      <c r="BF200" s="2">
        <f>IF(AND($AF$3&gt;0,发票登记!$T$203=$C$3,ISNUMBER(发票登记!$X$203),发票登记!$AB$203&lt;&gt;0,发票登记!$Y$203&gt;=_辅助!$J$4,发票登记!$Y$203&lt;=_辅助!$J$2),INT(发票登记!$X$203)*10000+199,"")</f>
      </c>
      <c r="BG200" s="2">
        <f>IF(AND($AF$3&gt;0,资金流水!$H$204=$C$3,ISNUMBER(资金流水!$B$204),ISNUMBER(资金流水!$S$204),资金流水!$S$204&gt;=_辅助!$J$4,资金流水!$S$204&lt;=_辅助!$J$2),INT(资金流水!$B$204)*10000+199,"")</f>
      </c>
      <c r="BJ200" s="2">
        <f>IF(165&gt;$BG$1,0,MOD(SMALL($BG$2:$BG$2001,165),10000))</f>
        <v>0</v>
      </c>
      <c r="CA200" s="2">
        <f t="shared" si="0"/>
        <v>0</v>
      </c>
      <c r="CB200" s="2">
        <f t="shared" si="1"/>
        <v>0</v>
      </c>
    </row>
    <row r="201">
      <c r="W201" s="95">
        <f t="shared" si="19"/>
      </c>
      <c r="X201" s="94">
        <f t="shared" si="25"/>
      </c>
      <c r="Y201" s="96">
        <f t="shared" si="26"/>
      </c>
      <c r="Z201" s="21">
        <f t="shared" si="20"/>
      </c>
      <c r="AA201" s="21">
        <f t="shared" si="21"/>
      </c>
      <c r="AB201" s="94">
        <f t="shared" si="27"/>
      </c>
      <c r="AC201" s="96">
        <f t="shared" si="28"/>
      </c>
      <c r="AD201" s="94">
        <f t="shared" si="29"/>
      </c>
      <c r="BA201" s="2">
        <f>IF(OR(往来单位!$B$204="",$AF$3=0),0,SUMIFS(期初余额!$R$5:$R$204,期初余额!$P$5:$P$204,往来单位!$B$204,期初余额!$Q$5:$Q$204,$C$3)+SUMIFS(应付登记!$G$5:$G$1004,应付登记!$D$5:$D$1004,往来单位!$B$204,应付登记!$E$5:$E$1004,$C$3,应付登记!$J$5:$J$1004,"&gt;="&amp;_辅助!$J$4,应付登记!$J$5:$J$1004,"&lt;="&amp;_辅助!$J$2))</f>
        <v>0</v>
      </c>
      <c r="BB201" s="2">
        <f>BB200+SUM(CA201:CA201)</f>
        <v>2</v>
      </c>
      <c r="BC201" s="2">
        <f>IF(OR(往来单位!$B$204="",$AF$3=0,NOT(OR(往来单位!$C$204="管理人员",往来单位!$C$204="工人"))),0,SUMIFS(考勤工资!$E$5:$E$1004,考勤工资!$C$5:$C$1004,往来单位!$B$204,考勤工资!$D$5:$D$1004,$C$3,考勤工资!$Y$5:$Y$1004,"&gt;="&amp;_辅助!$J$4,考勤工资!$Y$5:$Y$1004,"&lt;="&amp;_辅助!$J$2)+SUMIFS(考勤工资!$G$5:$G$1004,考勤工资!$C$5:$C$1004,往来单位!$B$204,考勤工资!$F$5:$F$1004,$C$3,考勤工资!$Y$5:$Y$1004,"&gt;="&amp;_辅助!$J$4,考勤工资!$Y$5:$Y$1004,"&lt;="&amp;_辅助!$J$2)+SUMIFS(考勤工资!$I$5:$I$1004,考勤工资!$C$5:$C$1004,往来单位!$B$204,考勤工资!$H$5:$H$1004,$C$3,考勤工资!$Y$5:$Y$1004,"&gt;="&amp;_辅助!$J$4,考勤工资!$Y$5:$Y$1004,"&lt;="&amp;_辅助!$J$2)+SUMIFS(考勤工资!$K$5:$K$1004,考勤工资!$C$5:$C$1004,往来单位!$B$204,考勤工资!$J$5:$J$1004,$C$3,考勤工资!$Y$5:$Y$1004,"&gt;="&amp;_辅助!$J$4,考勤工资!$Y$5:$Y$1004,"&lt;="&amp;_辅助!$J$2))</f>
        <v>0</v>
      </c>
      <c r="BD201" s="2">
        <f>IF(BC201=0,0,SUMIFS(考勤工资!$AC$5:$AC$1004,考勤工资!$C$5:$C$1004,往来单位!$B$204,考勤工资!$D$5:$D$1004,$C$3,考勤工资!$Y$5:$Y$1004,"&gt;="&amp;_辅助!$J$4,考勤工资!$Y$5:$Y$1004,"&lt;="&amp;_辅助!$J$2)+SUMIFS(考勤工资!$AD$5:$AD$1004,考勤工资!$C$5:$C$1004,往来单位!$B$204,考勤工资!$F$5:$F$1004,$C$3,考勤工资!$Y$5:$Y$1004,"&gt;="&amp;_辅助!$J$4,考勤工资!$Y$5:$Y$1004,"&lt;="&amp;_辅助!$J$2)+SUMIFS(考勤工资!$AE$5:$AE$1004,考勤工资!$C$5:$C$1004,往来单位!$B$204,考勤工资!$H$5:$H$1004,$C$3,考勤工资!$Y$5:$Y$1004,"&gt;="&amp;_辅助!$J$4,考勤工资!$Y$5:$Y$1004,"&lt;="&amp;_辅助!$J$2)+SUMIFS(考勤工资!$AF$5:$AF$1004,考勤工资!$C$5:$C$1004,往来单位!$B$204,考勤工资!$J$5:$J$1004,$C$3,考勤工资!$Y$5:$Y$1004,"&gt;="&amp;_辅助!$J$4,考勤工资!$Y$5:$Y$1004,"&lt;="&amp;_辅助!$J$2))</f>
        <v>0</v>
      </c>
      <c r="BE201" s="2">
        <f>BE200+SUM(CB201:CB201)</f>
        <v>0</v>
      </c>
      <c r="BF201" s="2">
        <f>IF(AND($AF$3&gt;0,发票登记!$T$204=$C$3,ISNUMBER(发票登记!$X$204),发票登记!$AB$204&lt;&gt;0,发票登记!$Y$204&gt;=_辅助!$J$4,发票登记!$Y$204&lt;=_辅助!$J$2),INT(发票登记!$X$204)*10000+200,"")</f>
      </c>
      <c r="BG201" s="2">
        <f>IF(AND($AF$3&gt;0,资金流水!$H$205=$C$3,ISNUMBER(资金流水!$B$205),ISNUMBER(资金流水!$S$205),资金流水!$S$205&gt;=_辅助!$J$4,资金流水!$S$205&lt;=_辅助!$J$2),INT(资金流水!$B$205)*10000+200,"")</f>
      </c>
      <c r="BJ201" s="2">
        <f>IF(166&gt;$BG$1,0,MOD(SMALL($BG$2:$BG$2001,166),10000))</f>
        <v>0</v>
      </c>
      <c r="CA201" s="2">
        <f t="shared" si="0"/>
        <v>0</v>
      </c>
      <c r="CB201" s="2">
        <f t="shared" si="1"/>
        <v>0</v>
      </c>
    </row>
    <row r="202">
      <c r="W202" s="95">
        <f t="shared" si="19"/>
      </c>
      <c r="X202" s="94">
        <f t="shared" si="25"/>
      </c>
      <c r="Y202" s="96">
        <f t="shared" si="26"/>
      </c>
      <c r="Z202" s="21">
        <f t="shared" si="20"/>
      </c>
      <c r="AA202" s="21">
        <f t="shared" si="21"/>
      </c>
      <c r="AB202" s="94">
        <f t="shared" si="27"/>
      </c>
      <c r="AC202" s="96">
        <f t="shared" si="28"/>
      </c>
      <c r="AD202" s="94">
        <f t="shared" si="29"/>
      </c>
      <c r="BA202" s="2">
        <f>IF(OR(往来单位!$B$205="",$AF$3=0),0,SUMIFS(期初余额!$R$5:$R$204,期初余额!$P$5:$P$204,往来单位!$B$205,期初余额!$Q$5:$Q$204,$C$3)+SUMIFS(应付登记!$G$5:$G$1004,应付登记!$D$5:$D$1004,往来单位!$B$205,应付登记!$E$5:$E$1004,$C$3,应付登记!$J$5:$J$1004,"&gt;="&amp;_辅助!$J$4,应付登记!$J$5:$J$1004,"&lt;="&amp;_辅助!$J$2))</f>
        <v>0</v>
      </c>
      <c r="BB202" s="2">
        <f>BB200+SUM(CA201:CA202)</f>
        <v>2</v>
      </c>
      <c r="BC202" s="2">
        <f>IF(OR(往来单位!$B$205="",$AF$3=0,NOT(OR(往来单位!$C$205="管理人员",往来单位!$C$205="工人"))),0,SUMIFS(考勤工资!$E$5:$E$1004,考勤工资!$C$5:$C$1004,往来单位!$B$205,考勤工资!$D$5:$D$1004,$C$3,考勤工资!$Y$5:$Y$1004,"&gt;="&amp;_辅助!$J$4,考勤工资!$Y$5:$Y$1004,"&lt;="&amp;_辅助!$J$2)+SUMIFS(考勤工资!$G$5:$G$1004,考勤工资!$C$5:$C$1004,往来单位!$B$205,考勤工资!$F$5:$F$1004,$C$3,考勤工资!$Y$5:$Y$1004,"&gt;="&amp;_辅助!$J$4,考勤工资!$Y$5:$Y$1004,"&lt;="&amp;_辅助!$J$2)+SUMIFS(考勤工资!$I$5:$I$1004,考勤工资!$C$5:$C$1004,往来单位!$B$205,考勤工资!$H$5:$H$1004,$C$3,考勤工资!$Y$5:$Y$1004,"&gt;="&amp;_辅助!$J$4,考勤工资!$Y$5:$Y$1004,"&lt;="&amp;_辅助!$J$2)+SUMIFS(考勤工资!$K$5:$K$1004,考勤工资!$C$5:$C$1004,往来单位!$B$205,考勤工资!$J$5:$J$1004,$C$3,考勤工资!$Y$5:$Y$1004,"&gt;="&amp;_辅助!$J$4,考勤工资!$Y$5:$Y$1004,"&lt;="&amp;_辅助!$J$2))</f>
        <v>0</v>
      </c>
      <c r="BD202" s="2">
        <f>IF(BC202=0,0,SUMIFS(考勤工资!$AC$5:$AC$1004,考勤工资!$C$5:$C$1004,往来单位!$B$205,考勤工资!$D$5:$D$1004,$C$3,考勤工资!$Y$5:$Y$1004,"&gt;="&amp;_辅助!$J$4,考勤工资!$Y$5:$Y$1004,"&lt;="&amp;_辅助!$J$2)+SUMIFS(考勤工资!$AD$5:$AD$1004,考勤工资!$C$5:$C$1004,往来单位!$B$205,考勤工资!$F$5:$F$1004,$C$3,考勤工资!$Y$5:$Y$1004,"&gt;="&amp;_辅助!$J$4,考勤工资!$Y$5:$Y$1004,"&lt;="&amp;_辅助!$J$2)+SUMIFS(考勤工资!$AE$5:$AE$1004,考勤工资!$C$5:$C$1004,往来单位!$B$205,考勤工资!$H$5:$H$1004,$C$3,考勤工资!$Y$5:$Y$1004,"&gt;="&amp;_辅助!$J$4,考勤工资!$Y$5:$Y$1004,"&lt;="&amp;_辅助!$J$2)+SUMIFS(考勤工资!$AF$5:$AF$1004,考勤工资!$C$5:$C$1004,往来单位!$B$205,考勤工资!$J$5:$J$1004,$C$3,考勤工资!$Y$5:$Y$1004,"&gt;="&amp;_辅助!$J$4,考勤工资!$Y$5:$Y$1004,"&lt;="&amp;_辅助!$J$2))</f>
        <v>0</v>
      </c>
      <c r="BE202" s="2">
        <f>BE200+SUM(CB201:CB202)</f>
        <v>0</v>
      </c>
      <c r="BF202" s="2">
        <f>IF(AND($AF$3&gt;0,发票登记!$T$205=$C$3,ISNUMBER(发票登记!$X$205),发票登记!$AB$205&lt;&gt;0,发票登记!$Y$205&gt;=_辅助!$J$4,发票登记!$Y$205&lt;=_辅助!$J$2),INT(发票登记!$X$205)*10000+201,"")</f>
      </c>
      <c r="BG202" s="2">
        <f>IF(AND($AF$3&gt;0,资金流水!$H$206=$C$3,ISNUMBER(资金流水!$B$206),ISNUMBER(资金流水!$S$206),资金流水!$S$206&gt;=_辅助!$J$4,资金流水!$S$206&lt;=_辅助!$J$2),INT(资金流水!$B$206)*10000+201,"")</f>
      </c>
      <c r="BJ202" s="2">
        <f>IF(167&gt;$BG$1,0,MOD(SMALL($BG$2:$BG$2001,167),10000))</f>
        <v>0</v>
      </c>
      <c r="CA202" s="2">
        <f t="shared" si="0"/>
        <v>0</v>
      </c>
      <c r="CB202" s="2">
        <f t="shared" si="1"/>
        <v>0</v>
      </c>
    </row>
    <row r="203">
      <c r="W203" s="95">
        <f t="shared" si="19"/>
      </c>
      <c r="X203" s="94">
        <f t="shared" si="25"/>
      </c>
      <c r="Y203" s="96">
        <f t="shared" si="26"/>
      </c>
      <c r="Z203" s="21">
        <f t="shared" si="20"/>
      </c>
      <c r="AA203" s="21">
        <f t="shared" si="21"/>
      </c>
      <c r="AB203" s="94">
        <f t="shared" si="27"/>
      </c>
      <c r="AC203" s="96">
        <f t="shared" si="28"/>
      </c>
      <c r="AD203" s="94">
        <f t="shared" si="29"/>
      </c>
      <c r="BA203" s="2">
        <f>IF(OR(往来单位!$B$206="",$AF$3=0),0,SUMIFS(期初余额!$R$5:$R$204,期初余额!$P$5:$P$204,往来单位!$B$206,期初余额!$Q$5:$Q$204,$C$3)+SUMIFS(应付登记!$G$5:$G$1004,应付登记!$D$5:$D$1004,往来单位!$B$206,应付登记!$E$5:$E$1004,$C$3,应付登记!$J$5:$J$1004,"&gt;="&amp;_辅助!$J$4,应付登记!$J$5:$J$1004,"&lt;="&amp;_辅助!$J$2))</f>
        <v>0</v>
      </c>
      <c r="BB203" s="2">
        <f>BB200+SUM(CA201:CA203)</f>
        <v>2</v>
      </c>
      <c r="BC203" s="2">
        <f>IF(OR(往来单位!$B$206="",$AF$3=0,NOT(OR(往来单位!$C$206="管理人员",往来单位!$C$206="工人"))),0,SUMIFS(考勤工资!$E$5:$E$1004,考勤工资!$C$5:$C$1004,往来单位!$B$206,考勤工资!$D$5:$D$1004,$C$3,考勤工资!$Y$5:$Y$1004,"&gt;="&amp;_辅助!$J$4,考勤工资!$Y$5:$Y$1004,"&lt;="&amp;_辅助!$J$2)+SUMIFS(考勤工资!$G$5:$G$1004,考勤工资!$C$5:$C$1004,往来单位!$B$206,考勤工资!$F$5:$F$1004,$C$3,考勤工资!$Y$5:$Y$1004,"&gt;="&amp;_辅助!$J$4,考勤工资!$Y$5:$Y$1004,"&lt;="&amp;_辅助!$J$2)+SUMIFS(考勤工资!$I$5:$I$1004,考勤工资!$C$5:$C$1004,往来单位!$B$206,考勤工资!$H$5:$H$1004,$C$3,考勤工资!$Y$5:$Y$1004,"&gt;="&amp;_辅助!$J$4,考勤工资!$Y$5:$Y$1004,"&lt;="&amp;_辅助!$J$2)+SUMIFS(考勤工资!$K$5:$K$1004,考勤工资!$C$5:$C$1004,往来单位!$B$206,考勤工资!$J$5:$J$1004,$C$3,考勤工资!$Y$5:$Y$1004,"&gt;="&amp;_辅助!$J$4,考勤工资!$Y$5:$Y$1004,"&lt;="&amp;_辅助!$J$2))</f>
        <v>0</v>
      </c>
      <c r="BD203" s="2">
        <f>IF(BC203=0,0,SUMIFS(考勤工资!$AC$5:$AC$1004,考勤工资!$C$5:$C$1004,往来单位!$B$206,考勤工资!$D$5:$D$1004,$C$3,考勤工资!$Y$5:$Y$1004,"&gt;="&amp;_辅助!$J$4,考勤工资!$Y$5:$Y$1004,"&lt;="&amp;_辅助!$J$2)+SUMIFS(考勤工资!$AD$5:$AD$1004,考勤工资!$C$5:$C$1004,往来单位!$B$206,考勤工资!$F$5:$F$1004,$C$3,考勤工资!$Y$5:$Y$1004,"&gt;="&amp;_辅助!$J$4,考勤工资!$Y$5:$Y$1004,"&lt;="&amp;_辅助!$J$2)+SUMIFS(考勤工资!$AE$5:$AE$1004,考勤工资!$C$5:$C$1004,往来单位!$B$206,考勤工资!$H$5:$H$1004,$C$3,考勤工资!$Y$5:$Y$1004,"&gt;="&amp;_辅助!$J$4,考勤工资!$Y$5:$Y$1004,"&lt;="&amp;_辅助!$J$2)+SUMIFS(考勤工资!$AF$5:$AF$1004,考勤工资!$C$5:$C$1004,往来单位!$B$206,考勤工资!$J$5:$J$1004,$C$3,考勤工资!$Y$5:$Y$1004,"&gt;="&amp;_辅助!$J$4,考勤工资!$Y$5:$Y$1004,"&lt;="&amp;_辅助!$J$2))</f>
        <v>0</v>
      </c>
      <c r="BE203" s="2">
        <f>BE200+SUM(CB201:CB203)</f>
        <v>0</v>
      </c>
      <c r="BF203" s="2">
        <f>IF(AND($AF$3&gt;0,发票登记!$T$206=$C$3,ISNUMBER(发票登记!$X$206),发票登记!$AB$206&lt;&gt;0,发票登记!$Y$206&gt;=_辅助!$J$4,发票登记!$Y$206&lt;=_辅助!$J$2),INT(发票登记!$X$206)*10000+202,"")</f>
      </c>
      <c r="BG203" s="2">
        <f>IF(AND($AF$3&gt;0,资金流水!$H$207=$C$3,ISNUMBER(资金流水!$B$207),ISNUMBER(资金流水!$S$207),资金流水!$S$207&gt;=_辅助!$J$4,资金流水!$S$207&lt;=_辅助!$J$2),INT(资金流水!$B$207)*10000+202,"")</f>
      </c>
      <c r="BJ203" s="2">
        <f>IF(168&gt;$BG$1,0,MOD(SMALL($BG$2:$BG$2001,168),10000))</f>
        <v>0</v>
      </c>
      <c r="CA203" s="2">
        <f t="shared" si="0"/>
        <v>0</v>
      </c>
      <c r="CB203" s="2">
        <f t="shared" si="1"/>
        <v>0</v>
      </c>
    </row>
    <row r="204">
      <c r="W204" s="95">
        <f t="shared" si="19"/>
      </c>
      <c r="X204" s="94">
        <f t="shared" si="25"/>
      </c>
      <c r="Y204" s="96">
        <f t="shared" si="26"/>
      </c>
      <c r="Z204" s="21">
        <f t="shared" si="20"/>
      </c>
      <c r="AA204" s="21">
        <f t="shared" si="21"/>
      </c>
      <c r="AB204" s="94">
        <f t="shared" si="27"/>
      </c>
      <c r="AC204" s="96">
        <f t="shared" si="28"/>
      </c>
      <c r="AD204" s="94">
        <f t="shared" si="29"/>
      </c>
      <c r="BA204" s="2">
        <f>IF(OR(往来单位!$B$207="",$AF$3=0),0,SUMIFS(期初余额!$R$5:$R$204,期初余额!$P$5:$P$204,往来单位!$B$207,期初余额!$Q$5:$Q$204,$C$3)+SUMIFS(应付登记!$G$5:$G$1004,应付登记!$D$5:$D$1004,往来单位!$B$207,应付登记!$E$5:$E$1004,$C$3,应付登记!$J$5:$J$1004,"&gt;="&amp;_辅助!$J$4,应付登记!$J$5:$J$1004,"&lt;="&amp;_辅助!$J$2))</f>
        <v>0</v>
      </c>
      <c r="BB204" s="2">
        <f>BB200+SUM(CA201:CA204)</f>
        <v>2</v>
      </c>
      <c r="BC204" s="2">
        <f>IF(OR(往来单位!$B$207="",$AF$3=0,NOT(OR(往来单位!$C$207="管理人员",往来单位!$C$207="工人"))),0,SUMIFS(考勤工资!$E$5:$E$1004,考勤工资!$C$5:$C$1004,往来单位!$B$207,考勤工资!$D$5:$D$1004,$C$3,考勤工资!$Y$5:$Y$1004,"&gt;="&amp;_辅助!$J$4,考勤工资!$Y$5:$Y$1004,"&lt;="&amp;_辅助!$J$2)+SUMIFS(考勤工资!$G$5:$G$1004,考勤工资!$C$5:$C$1004,往来单位!$B$207,考勤工资!$F$5:$F$1004,$C$3,考勤工资!$Y$5:$Y$1004,"&gt;="&amp;_辅助!$J$4,考勤工资!$Y$5:$Y$1004,"&lt;="&amp;_辅助!$J$2)+SUMIFS(考勤工资!$I$5:$I$1004,考勤工资!$C$5:$C$1004,往来单位!$B$207,考勤工资!$H$5:$H$1004,$C$3,考勤工资!$Y$5:$Y$1004,"&gt;="&amp;_辅助!$J$4,考勤工资!$Y$5:$Y$1004,"&lt;="&amp;_辅助!$J$2)+SUMIFS(考勤工资!$K$5:$K$1004,考勤工资!$C$5:$C$1004,往来单位!$B$207,考勤工资!$J$5:$J$1004,$C$3,考勤工资!$Y$5:$Y$1004,"&gt;="&amp;_辅助!$J$4,考勤工资!$Y$5:$Y$1004,"&lt;="&amp;_辅助!$J$2))</f>
        <v>0</v>
      </c>
      <c r="BD204" s="2">
        <f>IF(BC204=0,0,SUMIFS(考勤工资!$AC$5:$AC$1004,考勤工资!$C$5:$C$1004,往来单位!$B$207,考勤工资!$D$5:$D$1004,$C$3,考勤工资!$Y$5:$Y$1004,"&gt;="&amp;_辅助!$J$4,考勤工资!$Y$5:$Y$1004,"&lt;="&amp;_辅助!$J$2)+SUMIFS(考勤工资!$AD$5:$AD$1004,考勤工资!$C$5:$C$1004,往来单位!$B$207,考勤工资!$F$5:$F$1004,$C$3,考勤工资!$Y$5:$Y$1004,"&gt;="&amp;_辅助!$J$4,考勤工资!$Y$5:$Y$1004,"&lt;="&amp;_辅助!$J$2)+SUMIFS(考勤工资!$AE$5:$AE$1004,考勤工资!$C$5:$C$1004,往来单位!$B$207,考勤工资!$H$5:$H$1004,$C$3,考勤工资!$Y$5:$Y$1004,"&gt;="&amp;_辅助!$J$4,考勤工资!$Y$5:$Y$1004,"&lt;="&amp;_辅助!$J$2)+SUMIFS(考勤工资!$AF$5:$AF$1004,考勤工资!$C$5:$C$1004,往来单位!$B$207,考勤工资!$J$5:$J$1004,$C$3,考勤工资!$Y$5:$Y$1004,"&gt;="&amp;_辅助!$J$4,考勤工资!$Y$5:$Y$1004,"&lt;="&amp;_辅助!$J$2))</f>
        <v>0</v>
      </c>
      <c r="BE204" s="2">
        <f>BE200+SUM(CB201:CB204)</f>
        <v>0</v>
      </c>
      <c r="BF204" s="2">
        <f>IF(AND($AF$3&gt;0,发票登记!$T$207=$C$3,ISNUMBER(发票登记!$X$207),发票登记!$AB$207&lt;&gt;0,发票登记!$Y$207&gt;=_辅助!$J$4,发票登记!$Y$207&lt;=_辅助!$J$2),INT(发票登记!$X$207)*10000+203,"")</f>
      </c>
      <c r="BG204" s="2">
        <f>IF(AND($AF$3&gt;0,资金流水!$H$208=$C$3,ISNUMBER(资金流水!$B$208),ISNUMBER(资金流水!$S$208),资金流水!$S$208&gt;=_辅助!$J$4,资金流水!$S$208&lt;=_辅助!$J$2),INT(资金流水!$B$208)*10000+203,"")</f>
      </c>
      <c r="BJ204" s="2">
        <f>IF(169&gt;$BG$1,0,MOD(SMALL($BG$2:$BG$2001,169),10000))</f>
        <v>0</v>
      </c>
      <c r="CA204" s="2">
        <f t="shared" si="0"/>
        <v>0</v>
      </c>
      <c r="CB204" s="2">
        <f t="shared" si="1"/>
        <v>0</v>
      </c>
    </row>
    <row r="205">
      <c r="W205" s="95">
        <f t="shared" si="19"/>
      </c>
      <c r="X205" s="94">
        <f t="shared" si="25"/>
      </c>
      <c r="Y205" s="96">
        <f t="shared" si="26"/>
      </c>
      <c r="Z205" s="21">
        <f t="shared" si="20"/>
      </c>
      <c r="AA205" s="21">
        <f t="shared" si="21"/>
      </c>
      <c r="AB205" s="94">
        <f t="shared" si="27"/>
      </c>
      <c r="AC205" s="96">
        <f t="shared" si="28"/>
      </c>
      <c r="AD205" s="94">
        <f t="shared" si="29"/>
      </c>
      <c r="BA205" s="2">
        <f>IF(OR(往来单位!$B$208="",$AF$3=0),0,SUMIFS(期初余额!$R$5:$R$204,期初余额!$P$5:$P$204,往来单位!$B$208,期初余额!$Q$5:$Q$204,$C$3)+SUMIFS(应付登记!$G$5:$G$1004,应付登记!$D$5:$D$1004,往来单位!$B$208,应付登记!$E$5:$E$1004,$C$3,应付登记!$J$5:$J$1004,"&gt;="&amp;_辅助!$J$4,应付登记!$J$5:$J$1004,"&lt;="&amp;_辅助!$J$2))</f>
        <v>0</v>
      </c>
      <c r="BB205" s="2">
        <f>BB200+SUM(CA201:CA205)</f>
        <v>2</v>
      </c>
      <c r="BC205" s="2">
        <f>IF(OR(往来单位!$B$208="",$AF$3=0,NOT(OR(往来单位!$C$208="管理人员",往来单位!$C$208="工人"))),0,SUMIFS(考勤工资!$E$5:$E$1004,考勤工资!$C$5:$C$1004,往来单位!$B$208,考勤工资!$D$5:$D$1004,$C$3,考勤工资!$Y$5:$Y$1004,"&gt;="&amp;_辅助!$J$4,考勤工资!$Y$5:$Y$1004,"&lt;="&amp;_辅助!$J$2)+SUMIFS(考勤工资!$G$5:$G$1004,考勤工资!$C$5:$C$1004,往来单位!$B$208,考勤工资!$F$5:$F$1004,$C$3,考勤工资!$Y$5:$Y$1004,"&gt;="&amp;_辅助!$J$4,考勤工资!$Y$5:$Y$1004,"&lt;="&amp;_辅助!$J$2)+SUMIFS(考勤工资!$I$5:$I$1004,考勤工资!$C$5:$C$1004,往来单位!$B$208,考勤工资!$H$5:$H$1004,$C$3,考勤工资!$Y$5:$Y$1004,"&gt;="&amp;_辅助!$J$4,考勤工资!$Y$5:$Y$1004,"&lt;="&amp;_辅助!$J$2)+SUMIFS(考勤工资!$K$5:$K$1004,考勤工资!$C$5:$C$1004,往来单位!$B$208,考勤工资!$J$5:$J$1004,$C$3,考勤工资!$Y$5:$Y$1004,"&gt;="&amp;_辅助!$J$4,考勤工资!$Y$5:$Y$1004,"&lt;="&amp;_辅助!$J$2))</f>
        <v>0</v>
      </c>
      <c r="BD205" s="2">
        <f>IF(BC205=0,0,SUMIFS(考勤工资!$AC$5:$AC$1004,考勤工资!$C$5:$C$1004,往来单位!$B$208,考勤工资!$D$5:$D$1004,$C$3,考勤工资!$Y$5:$Y$1004,"&gt;="&amp;_辅助!$J$4,考勤工资!$Y$5:$Y$1004,"&lt;="&amp;_辅助!$J$2)+SUMIFS(考勤工资!$AD$5:$AD$1004,考勤工资!$C$5:$C$1004,往来单位!$B$208,考勤工资!$F$5:$F$1004,$C$3,考勤工资!$Y$5:$Y$1004,"&gt;="&amp;_辅助!$J$4,考勤工资!$Y$5:$Y$1004,"&lt;="&amp;_辅助!$J$2)+SUMIFS(考勤工资!$AE$5:$AE$1004,考勤工资!$C$5:$C$1004,往来单位!$B$208,考勤工资!$H$5:$H$1004,$C$3,考勤工资!$Y$5:$Y$1004,"&gt;="&amp;_辅助!$J$4,考勤工资!$Y$5:$Y$1004,"&lt;="&amp;_辅助!$J$2)+SUMIFS(考勤工资!$AF$5:$AF$1004,考勤工资!$C$5:$C$1004,往来单位!$B$208,考勤工资!$J$5:$J$1004,$C$3,考勤工资!$Y$5:$Y$1004,"&gt;="&amp;_辅助!$J$4,考勤工资!$Y$5:$Y$1004,"&lt;="&amp;_辅助!$J$2))</f>
        <v>0</v>
      </c>
      <c r="BE205" s="2">
        <f>BE200+SUM(CB201:CB205)</f>
        <v>0</v>
      </c>
      <c r="BF205" s="2">
        <f>IF(AND($AF$3&gt;0,发票登记!$T$208=$C$3,ISNUMBER(发票登记!$X$208),发票登记!$AB$208&lt;&gt;0,发票登记!$Y$208&gt;=_辅助!$J$4,发票登记!$Y$208&lt;=_辅助!$J$2),INT(发票登记!$X$208)*10000+204,"")</f>
      </c>
      <c r="BG205" s="2">
        <f>IF(AND($AF$3&gt;0,资金流水!$H$209=$C$3,ISNUMBER(资金流水!$B$209),ISNUMBER(资金流水!$S$209),资金流水!$S$209&gt;=_辅助!$J$4,资金流水!$S$209&lt;=_辅助!$J$2),INT(资金流水!$B$209)*10000+204,"")</f>
      </c>
      <c r="BJ205" s="2">
        <f>IF(170&gt;$BG$1,0,MOD(SMALL($BG$2:$BG$2001,170),10000))</f>
        <v>0</v>
      </c>
      <c r="CA205" s="2">
        <f t="shared" si="0"/>
        <v>0</v>
      </c>
      <c r="CB205" s="2">
        <f t="shared" si="1"/>
        <v>0</v>
      </c>
    </row>
    <row r="206">
      <c r="W206" s="95">
        <f t="shared" si="19"/>
      </c>
      <c r="X206" s="94">
        <f t="shared" si="25"/>
      </c>
      <c r="Y206" s="96">
        <f t="shared" si="26"/>
      </c>
      <c r="Z206" s="21">
        <f t="shared" si="20"/>
      </c>
      <c r="AA206" s="21">
        <f t="shared" si="21"/>
      </c>
      <c r="AB206" s="94">
        <f t="shared" si="27"/>
      </c>
      <c r="AC206" s="96">
        <f t="shared" si="28"/>
      </c>
      <c r="AD206" s="94">
        <f t="shared" si="29"/>
      </c>
      <c r="BA206" s="2">
        <f>IF(OR(往来单位!$B$209="",$AF$3=0),0,SUMIFS(期初余额!$R$5:$R$204,期初余额!$P$5:$P$204,往来单位!$B$209,期初余额!$Q$5:$Q$204,$C$3)+SUMIFS(应付登记!$G$5:$G$1004,应付登记!$D$5:$D$1004,往来单位!$B$209,应付登记!$E$5:$E$1004,$C$3,应付登记!$J$5:$J$1004,"&gt;="&amp;_辅助!$J$4,应付登记!$J$5:$J$1004,"&lt;="&amp;_辅助!$J$2))</f>
        <v>0</v>
      </c>
      <c r="BB206" s="2">
        <f>BB200+SUM(CA201:CA206)</f>
        <v>2</v>
      </c>
      <c r="BC206" s="2">
        <f>IF(OR(往来单位!$B$209="",$AF$3=0,NOT(OR(往来单位!$C$209="管理人员",往来单位!$C$209="工人"))),0,SUMIFS(考勤工资!$E$5:$E$1004,考勤工资!$C$5:$C$1004,往来单位!$B$209,考勤工资!$D$5:$D$1004,$C$3,考勤工资!$Y$5:$Y$1004,"&gt;="&amp;_辅助!$J$4,考勤工资!$Y$5:$Y$1004,"&lt;="&amp;_辅助!$J$2)+SUMIFS(考勤工资!$G$5:$G$1004,考勤工资!$C$5:$C$1004,往来单位!$B$209,考勤工资!$F$5:$F$1004,$C$3,考勤工资!$Y$5:$Y$1004,"&gt;="&amp;_辅助!$J$4,考勤工资!$Y$5:$Y$1004,"&lt;="&amp;_辅助!$J$2)+SUMIFS(考勤工资!$I$5:$I$1004,考勤工资!$C$5:$C$1004,往来单位!$B$209,考勤工资!$H$5:$H$1004,$C$3,考勤工资!$Y$5:$Y$1004,"&gt;="&amp;_辅助!$J$4,考勤工资!$Y$5:$Y$1004,"&lt;="&amp;_辅助!$J$2)+SUMIFS(考勤工资!$K$5:$K$1004,考勤工资!$C$5:$C$1004,往来单位!$B$209,考勤工资!$J$5:$J$1004,$C$3,考勤工资!$Y$5:$Y$1004,"&gt;="&amp;_辅助!$J$4,考勤工资!$Y$5:$Y$1004,"&lt;="&amp;_辅助!$J$2))</f>
        <v>0</v>
      </c>
      <c r="BD206" s="2">
        <f>IF(BC206=0,0,SUMIFS(考勤工资!$AC$5:$AC$1004,考勤工资!$C$5:$C$1004,往来单位!$B$209,考勤工资!$D$5:$D$1004,$C$3,考勤工资!$Y$5:$Y$1004,"&gt;="&amp;_辅助!$J$4,考勤工资!$Y$5:$Y$1004,"&lt;="&amp;_辅助!$J$2)+SUMIFS(考勤工资!$AD$5:$AD$1004,考勤工资!$C$5:$C$1004,往来单位!$B$209,考勤工资!$F$5:$F$1004,$C$3,考勤工资!$Y$5:$Y$1004,"&gt;="&amp;_辅助!$J$4,考勤工资!$Y$5:$Y$1004,"&lt;="&amp;_辅助!$J$2)+SUMIFS(考勤工资!$AE$5:$AE$1004,考勤工资!$C$5:$C$1004,往来单位!$B$209,考勤工资!$H$5:$H$1004,$C$3,考勤工资!$Y$5:$Y$1004,"&gt;="&amp;_辅助!$J$4,考勤工资!$Y$5:$Y$1004,"&lt;="&amp;_辅助!$J$2)+SUMIFS(考勤工资!$AF$5:$AF$1004,考勤工资!$C$5:$C$1004,往来单位!$B$209,考勤工资!$J$5:$J$1004,$C$3,考勤工资!$Y$5:$Y$1004,"&gt;="&amp;_辅助!$J$4,考勤工资!$Y$5:$Y$1004,"&lt;="&amp;_辅助!$J$2))</f>
        <v>0</v>
      </c>
      <c r="BE206" s="2">
        <f>BE200+SUM(CB201:CB206)</f>
        <v>0</v>
      </c>
      <c r="BF206" s="2">
        <f>IF(AND($AF$3&gt;0,发票登记!$T$209=$C$3,ISNUMBER(发票登记!$X$209),发票登记!$AB$209&lt;&gt;0,发票登记!$Y$209&gt;=_辅助!$J$4,发票登记!$Y$209&lt;=_辅助!$J$2),INT(发票登记!$X$209)*10000+205,"")</f>
      </c>
      <c r="BG206" s="2">
        <f>IF(AND($AF$3&gt;0,资金流水!$H$210=$C$3,ISNUMBER(资金流水!$B$210),ISNUMBER(资金流水!$S$210),资金流水!$S$210&gt;=_辅助!$J$4,资金流水!$S$210&lt;=_辅助!$J$2),INT(资金流水!$B$210)*10000+205,"")</f>
      </c>
      <c r="BJ206" s="2">
        <f>IF(171&gt;$BG$1,0,MOD(SMALL($BG$2:$BG$2001,171),10000))</f>
        <v>0</v>
      </c>
      <c r="CA206" s="2">
        <f t="shared" si="0"/>
        <v>0</v>
      </c>
      <c r="CB206" s="2">
        <f t="shared" si="1"/>
        <v>0</v>
      </c>
    </row>
    <row r="207">
      <c r="W207" s="95">
        <f t="shared" si="19"/>
      </c>
      <c r="X207" s="94">
        <f t="shared" si="25"/>
      </c>
      <c r="Y207" s="96">
        <f t="shared" si="26"/>
      </c>
      <c r="Z207" s="21">
        <f t="shared" si="20"/>
      </c>
      <c r="AA207" s="21">
        <f t="shared" si="21"/>
      </c>
      <c r="AB207" s="94">
        <f t="shared" si="27"/>
      </c>
      <c r="AC207" s="96">
        <f t="shared" si="28"/>
      </c>
      <c r="AD207" s="94">
        <f t="shared" si="29"/>
      </c>
      <c r="BA207" s="2">
        <f>IF(OR(往来单位!$B$210="",$AF$3=0),0,SUMIFS(期初余额!$R$5:$R$204,期初余额!$P$5:$P$204,往来单位!$B$210,期初余额!$Q$5:$Q$204,$C$3)+SUMIFS(应付登记!$G$5:$G$1004,应付登记!$D$5:$D$1004,往来单位!$B$210,应付登记!$E$5:$E$1004,$C$3,应付登记!$J$5:$J$1004,"&gt;="&amp;_辅助!$J$4,应付登记!$J$5:$J$1004,"&lt;="&amp;_辅助!$J$2))</f>
        <v>0</v>
      </c>
      <c r="BB207" s="2">
        <f>BB200+SUM(CA201:CA207)</f>
        <v>2</v>
      </c>
      <c r="BC207" s="2">
        <f>IF(OR(往来单位!$B$210="",$AF$3=0,NOT(OR(往来单位!$C$210="管理人员",往来单位!$C$210="工人"))),0,SUMIFS(考勤工资!$E$5:$E$1004,考勤工资!$C$5:$C$1004,往来单位!$B$210,考勤工资!$D$5:$D$1004,$C$3,考勤工资!$Y$5:$Y$1004,"&gt;="&amp;_辅助!$J$4,考勤工资!$Y$5:$Y$1004,"&lt;="&amp;_辅助!$J$2)+SUMIFS(考勤工资!$G$5:$G$1004,考勤工资!$C$5:$C$1004,往来单位!$B$210,考勤工资!$F$5:$F$1004,$C$3,考勤工资!$Y$5:$Y$1004,"&gt;="&amp;_辅助!$J$4,考勤工资!$Y$5:$Y$1004,"&lt;="&amp;_辅助!$J$2)+SUMIFS(考勤工资!$I$5:$I$1004,考勤工资!$C$5:$C$1004,往来单位!$B$210,考勤工资!$H$5:$H$1004,$C$3,考勤工资!$Y$5:$Y$1004,"&gt;="&amp;_辅助!$J$4,考勤工资!$Y$5:$Y$1004,"&lt;="&amp;_辅助!$J$2)+SUMIFS(考勤工资!$K$5:$K$1004,考勤工资!$C$5:$C$1004,往来单位!$B$210,考勤工资!$J$5:$J$1004,$C$3,考勤工资!$Y$5:$Y$1004,"&gt;="&amp;_辅助!$J$4,考勤工资!$Y$5:$Y$1004,"&lt;="&amp;_辅助!$J$2))</f>
        <v>0</v>
      </c>
      <c r="BD207" s="2">
        <f>IF(BC207=0,0,SUMIFS(考勤工资!$AC$5:$AC$1004,考勤工资!$C$5:$C$1004,往来单位!$B$210,考勤工资!$D$5:$D$1004,$C$3,考勤工资!$Y$5:$Y$1004,"&gt;="&amp;_辅助!$J$4,考勤工资!$Y$5:$Y$1004,"&lt;="&amp;_辅助!$J$2)+SUMIFS(考勤工资!$AD$5:$AD$1004,考勤工资!$C$5:$C$1004,往来单位!$B$210,考勤工资!$F$5:$F$1004,$C$3,考勤工资!$Y$5:$Y$1004,"&gt;="&amp;_辅助!$J$4,考勤工资!$Y$5:$Y$1004,"&lt;="&amp;_辅助!$J$2)+SUMIFS(考勤工资!$AE$5:$AE$1004,考勤工资!$C$5:$C$1004,往来单位!$B$210,考勤工资!$H$5:$H$1004,$C$3,考勤工资!$Y$5:$Y$1004,"&gt;="&amp;_辅助!$J$4,考勤工资!$Y$5:$Y$1004,"&lt;="&amp;_辅助!$J$2)+SUMIFS(考勤工资!$AF$5:$AF$1004,考勤工资!$C$5:$C$1004,往来单位!$B$210,考勤工资!$J$5:$J$1004,$C$3,考勤工资!$Y$5:$Y$1004,"&gt;="&amp;_辅助!$J$4,考勤工资!$Y$5:$Y$1004,"&lt;="&amp;_辅助!$J$2))</f>
        <v>0</v>
      </c>
      <c r="BE207" s="2">
        <f>BE200+SUM(CB201:CB207)</f>
        <v>0</v>
      </c>
      <c r="BF207" s="2">
        <f>IF(AND($AF$3&gt;0,发票登记!$T$210=$C$3,ISNUMBER(发票登记!$X$210),发票登记!$AB$210&lt;&gt;0,发票登记!$Y$210&gt;=_辅助!$J$4,发票登记!$Y$210&lt;=_辅助!$J$2),INT(发票登记!$X$210)*10000+206,"")</f>
      </c>
      <c r="BG207" s="2">
        <f>IF(AND($AF$3&gt;0,资金流水!$H$211=$C$3,ISNUMBER(资金流水!$B$211),ISNUMBER(资金流水!$S$211),资金流水!$S$211&gt;=_辅助!$J$4,资金流水!$S$211&lt;=_辅助!$J$2),INT(资金流水!$B$211)*10000+206,"")</f>
      </c>
      <c r="BJ207" s="2">
        <f>IF(172&gt;$BG$1,0,MOD(SMALL($BG$2:$BG$2001,172),10000))</f>
        <v>0</v>
      </c>
      <c r="CA207" s="2">
        <f t="shared" si="0"/>
        <v>0</v>
      </c>
      <c r="CB207" s="2">
        <f t="shared" si="1"/>
        <v>0</v>
      </c>
    </row>
    <row r="208">
      <c r="W208" s="95">
        <f t="shared" si="19"/>
      </c>
      <c r="X208" s="94">
        <f t="shared" si="25"/>
      </c>
      <c r="Y208" s="96">
        <f t="shared" si="26"/>
      </c>
      <c r="Z208" s="21">
        <f t="shared" si="20"/>
      </c>
      <c r="AA208" s="21">
        <f t="shared" si="21"/>
      </c>
      <c r="AB208" s="94">
        <f t="shared" si="27"/>
      </c>
      <c r="AC208" s="96">
        <f t="shared" si="28"/>
      </c>
      <c r="AD208" s="94">
        <f t="shared" si="29"/>
      </c>
      <c r="BA208" s="2">
        <f>IF(OR(往来单位!$B$211="",$AF$3=0),0,SUMIFS(期初余额!$R$5:$R$204,期初余额!$P$5:$P$204,往来单位!$B$211,期初余额!$Q$5:$Q$204,$C$3)+SUMIFS(应付登记!$G$5:$G$1004,应付登记!$D$5:$D$1004,往来单位!$B$211,应付登记!$E$5:$E$1004,$C$3,应付登记!$J$5:$J$1004,"&gt;="&amp;_辅助!$J$4,应付登记!$J$5:$J$1004,"&lt;="&amp;_辅助!$J$2))</f>
        <v>0</v>
      </c>
      <c r="BB208" s="2">
        <f>BB200+SUM(CA201:CA208)</f>
        <v>2</v>
      </c>
      <c r="BC208" s="2">
        <f>IF(OR(往来单位!$B$211="",$AF$3=0,NOT(OR(往来单位!$C$211="管理人员",往来单位!$C$211="工人"))),0,SUMIFS(考勤工资!$E$5:$E$1004,考勤工资!$C$5:$C$1004,往来单位!$B$211,考勤工资!$D$5:$D$1004,$C$3,考勤工资!$Y$5:$Y$1004,"&gt;="&amp;_辅助!$J$4,考勤工资!$Y$5:$Y$1004,"&lt;="&amp;_辅助!$J$2)+SUMIFS(考勤工资!$G$5:$G$1004,考勤工资!$C$5:$C$1004,往来单位!$B$211,考勤工资!$F$5:$F$1004,$C$3,考勤工资!$Y$5:$Y$1004,"&gt;="&amp;_辅助!$J$4,考勤工资!$Y$5:$Y$1004,"&lt;="&amp;_辅助!$J$2)+SUMIFS(考勤工资!$I$5:$I$1004,考勤工资!$C$5:$C$1004,往来单位!$B$211,考勤工资!$H$5:$H$1004,$C$3,考勤工资!$Y$5:$Y$1004,"&gt;="&amp;_辅助!$J$4,考勤工资!$Y$5:$Y$1004,"&lt;="&amp;_辅助!$J$2)+SUMIFS(考勤工资!$K$5:$K$1004,考勤工资!$C$5:$C$1004,往来单位!$B$211,考勤工资!$J$5:$J$1004,$C$3,考勤工资!$Y$5:$Y$1004,"&gt;="&amp;_辅助!$J$4,考勤工资!$Y$5:$Y$1004,"&lt;="&amp;_辅助!$J$2))</f>
        <v>0</v>
      </c>
      <c r="BD208" s="2">
        <f>IF(BC208=0,0,SUMIFS(考勤工资!$AC$5:$AC$1004,考勤工资!$C$5:$C$1004,往来单位!$B$211,考勤工资!$D$5:$D$1004,$C$3,考勤工资!$Y$5:$Y$1004,"&gt;="&amp;_辅助!$J$4,考勤工资!$Y$5:$Y$1004,"&lt;="&amp;_辅助!$J$2)+SUMIFS(考勤工资!$AD$5:$AD$1004,考勤工资!$C$5:$C$1004,往来单位!$B$211,考勤工资!$F$5:$F$1004,$C$3,考勤工资!$Y$5:$Y$1004,"&gt;="&amp;_辅助!$J$4,考勤工资!$Y$5:$Y$1004,"&lt;="&amp;_辅助!$J$2)+SUMIFS(考勤工资!$AE$5:$AE$1004,考勤工资!$C$5:$C$1004,往来单位!$B$211,考勤工资!$H$5:$H$1004,$C$3,考勤工资!$Y$5:$Y$1004,"&gt;="&amp;_辅助!$J$4,考勤工资!$Y$5:$Y$1004,"&lt;="&amp;_辅助!$J$2)+SUMIFS(考勤工资!$AF$5:$AF$1004,考勤工资!$C$5:$C$1004,往来单位!$B$211,考勤工资!$J$5:$J$1004,$C$3,考勤工资!$Y$5:$Y$1004,"&gt;="&amp;_辅助!$J$4,考勤工资!$Y$5:$Y$1004,"&lt;="&amp;_辅助!$J$2))</f>
        <v>0</v>
      </c>
      <c r="BE208" s="2">
        <f>BE200+SUM(CB201:CB208)</f>
        <v>0</v>
      </c>
      <c r="BF208" s="2">
        <f>IF(AND($AF$3&gt;0,发票登记!$T$211=$C$3,ISNUMBER(发票登记!$X$211),发票登记!$AB$211&lt;&gt;0,发票登记!$Y$211&gt;=_辅助!$J$4,发票登记!$Y$211&lt;=_辅助!$J$2),INT(发票登记!$X$211)*10000+207,"")</f>
      </c>
      <c r="BG208" s="2">
        <f>IF(AND($AF$3&gt;0,资金流水!$H$212=$C$3,ISNUMBER(资金流水!$B$212),ISNUMBER(资金流水!$S$212),资金流水!$S$212&gt;=_辅助!$J$4,资金流水!$S$212&lt;=_辅助!$J$2),INT(资金流水!$B$212)*10000+207,"")</f>
      </c>
      <c r="BJ208" s="2">
        <f>IF(173&gt;$BG$1,0,MOD(SMALL($BG$2:$BG$2001,173),10000))</f>
        <v>0</v>
      </c>
      <c r="CA208" s="2">
        <f t="shared" si="0"/>
        <v>0</v>
      </c>
      <c r="CB208" s="2">
        <f t="shared" si="1"/>
        <v>0</v>
      </c>
    </row>
    <row r="209">
      <c r="W209" s="95">
        <f t="shared" si="19"/>
      </c>
      <c r="X209" s="94">
        <f t="shared" si="25"/>
      </c>
      <c r="Y209" s="96">
        <f t="shared" si="26"/>
      </c>
      <c r="Z209" s="21">
        <f t="shared" si="20"/>
      </c>
      <c r="AA209" s="21">
        <f t="shared" si="21"/>
      </c>
      <c r="AB209" s="94">
        <f t="shared" si="27"/>
      </c>
      <c r="AC209" s="96">
        <f t="shared" si="28"/>
      </c>
      <c r="AD209" s="94">
        <f t="shared" si="29"/>
      </c>
      <c r="BA209" s="2">
        <f>IF(OR(往来单位!$B$212="",$AF$3=0),0,SUMIFS(期初余额!$R$5:$R$204,期初余额!$P$5:$P$204,往来单位!$B$212,期初余额!$Q$5:$Q$204,$C$3)+SUMIFS(应付登记!$G$5:$G$1004,应付登记!$D$5:$D$1004,往来单位!$B$212,应付登记!$E$5:$E$1004,$C$3,应付登记!$J$5:$J$1004,"&gt;="&amp;_辅助!$J$4,应付登记!$J$5:$J$1004,"&lt;="&amp;_辅助!$J$2))</f>
        <v>0</v>
      </c>
      <c r="BB209" s="2">
        <f>BB200+SUM(CA201:CA209)</f>
        <v>2</v>
      </c>
      <c r="BC209" s="2">
        <f>IF(OR(往来单位!$B$212="",$AF$3=0,NOT(OR(往来单位!$C$212="管理人员",往来单位!$C$212="工人"))),0,SUMIFS(考勤工资!$E$5:$E$1004,考勤工资!$C$5:$C$1004,往来单位!$B$212,考勤工资!$D$5:$D$1004,$C$3,考勤工资!$Y$5:$Y$1004,"&gt;="&amp;_辅助!$J$4,考勤工资!$Y$5:$Y$1004,"&lt;="&amp;_辅助!$J$2)+SUMIFS(考勤工资!$G$5:$G$1004,考勤工资!$C$5:$C$1004,往来单位!$B$212,考勤工资!$F$5:$F$1004,$C$3,考勤工资!$Y$5:$Y$1004,"&gt;="&amp;_辅助!$J$4,考勤工资!$Y$5:$Y$1004,"&lt;="&amp;_辅助!$J$2)+SUMIFS(考勤工资!$I$5:$I$1004,考勤工资!$C$5:$C$1004,往来单位!$B$212,考勤工资!$H$5:$H$1004,$C$3,考勤工资!$Y$5:$Y$1004,"&gt;="&amp;_辅助!$J$4,考勤工资!$Y$5:$Y$1004,"&lt;="&amp;_辅助!$J$2)+SUMIFS(考勤工资!$K$5:$K$1004,考勤工资!$C$5:$C$1004,往来单位!$B$212,考勤工资!$J$5:$J$1004,$C$3,考勤工资!$Y$5:$Y$1004,"&gt;="&amp;_辅助!$J$4,考勤工资!$Y$5:$Y$1004,"&lt;="&amp;_辅助!$J$2))</f>
        <v>0</v>
      </c>
      <c r="BD209" s="2">
        <f>IF(BC209=0,0,SUMIFS(考勤工资!$AC$5:$AC$1004,考勤工资!$C$5:$C$1004,往来单位!$B$212,考勤工资!$D$5:$D$1004,$C$3,考勤工资!$Y$5:$Y$1004,"&gt;="&amp;_辅助!$J$4,考勤工资!$Y$5:$Y$1004,"&lt;="&amp;_辅助!$J$2)+SUMIFS(考勤工资!$AD$5:$AD$1004,考勤工资!$C$5:$C$1004,往来单位!$B$212,考勤工资!$F$5:$F$1004,$C$3,考勤工资!$Y$5:$Y$1004,"&gt;="&amp;_辅助!$J$4,考勤工资!$Y$5:$Y$1004,"&lt;="&amp;_辅助!$J$2)+SUMIFS(考勤工资!$AE$5:$AE$1004,考勤工资!$C$5:$C$1004,往来单位!$B$212,考勤工资!$H$5:$H$1004,$C$3,考勤工资!$Y$5:$Y$1004,"&gt;="&amp;_辅助!$J$4,考勤工资!$Y$5:$Y$1004,"&lt;="&amp;_辅助!$J$2)+SUMIFS(考勤工资!$AF$5:$AF$1004,考勤工资!$C$5:$C$1004,往来单位!$B$212,考勤工资!$J$5:$J$1004,$C$3,考勤工资!$Y$5:$Y$1004,"&gt;="&amp;_辅助!$J$4,考勤工资!$Y$5:$Y$1004,"&lt;="&amp;_辅助!$J$2))</f>
        <v>0</v>
      </c>
      <c r="BE209" s="2">
        <f>BE200+SUM(CB201:CB209)</f>
        <v>0</v>
      </c>
      <c r="BF209" s="2">
        <f>IF(AND($AF$3&gt;0,发票登记!$T$212=$C$3,ISNUMBER(发票登记!$X$212),发票登记!$AB$212&lt;&gt;0,发票登记!$Y$212&gt;=_辅助!$J$4,发票登记!$Y$212&lt;=_辅助!$J$2),INT(发票登记!$X$212)*10000+208,"")</f>
      </c>
      <c r="BG209" s="2">
        <f>IF(AND($AF$3&gt;0,资金流水!$H$213=$C$3,ISNUMBER(资金流水!$B$213),ISNUMBER(资金流水!$S$213),资金流水!$S$213&gt;=_辅助!$J$4,资金流水!$S$213&lt;=_辅助!$J$2),INT(资金流水!$B$213)*10000+208,"")</f>
      </c>
      <c r="BJ209" s="2">
        <f>IF(174&gt;$BG$1,0,MOD(SMALL($BG$2:$BG$2001,174),10000))</f>
        <v>0</v>
      </c>
      <c r="CA209" s="2">
        <f t="shared" si="0"/>
        <v>0</v>
      </c>
      <c r="CB209" s="2">
        <f t="shared" si="1"/>
        <v>0</v>
      </c>
    </row>
    <row r="210">
      <c r="W210" s="95">
        <f t="shared" si="19"/>
      </c>
      <c r="X210" s="94">
        <f t="shared" si="25"/>
      </c>
      <c r="Y210" s="96">
        <f t="shared" si="26"/>
      </c>
      <c r="Z210" s="21">
        <f t="shared" si="20"/>
      </c>
      <c r="AA210" s="21">
        <f t="shared" si="21"/>
      </c>
      <c r="AB210" s="94">
        <f t="shared" si="27"/>
      </c>
      <c r="AC210" s="96">
        <f t="shared" si="28"/>
      </c>
      <c r="AD210" s="94">
        <f t="shared" si="29"/>
      </c>
      <c r="BA210" s="2">
        <f>IF(OR(往来单位!$B$213="",$AF$3=0),0,SUMIFS(期初余额!$R$5:$R$204,期初余额!$P$5:$P$204,往来单位!$B$213,期初余额!$Q$5:$Q$204,$C$3)+SUMIFS(应付登记!$G$5:$G$1004,应付登记!$D$5:$D$1004,往来单位!$B$213,应付登记!$E$5:$E$1004,$C$3,应付登记!$J$5:$J$1004,"&gt;="&amp;_辅助!$J$4,应付登记!$J$5:$J$1004,"&lt;="&amp;_辅助!$J$2))</f>
        <v>0</v>
      </c>
      <c r="BB210" s="2">
        <f>BB200+SUM(CA201:CA210)</f>
        <v>2</v>
      </c>
      <c r="BC210" s="2">
        <f>IF(OR(往来单位!$B$213="",$AF$3=0,NOT(OR(往来单位!$C$213="管理人员",往来单位!$C$213="工人"))),0,SUMIFS(考勤工资!$E$5:$E$1004,考勤工资!$C$5:$C$1004,往来单位!$B$213,考勤工资!$D$5:$D$1004,$C$3,考勤工资!$Y$5:$Y$1004,"&gt;="&amp;_辅助!$J$4,考勤工资!$Y$5:$Y$1004,"&lt;="&amp;_辅助!$J$2)+SUMIFS(考勤工资!$G$5:$G$1004,考勤工资!$C$5:$C$1004,往来单位!$B$213,考勤工资!$F$5:$F$1004,$C$3,考勤工资!$Y$5:$Y$1004,"&gt;="&amp;_辅助!$J$4,考勤工资!$Y$5:$Y$1004,"&lt;="&amp;_辅助!$J$2)+SUMIFS(考勤工资!$I$5:$I$1004,考勤工资!$C$5:$C$1004,往来单位!$B$213,考勤工资!$H$5:$H$1004,$C$3,考勤工资!$Y$5:$Y$1004,"&gt;="&amp;_辅助!$J$4,考勤工资!$Y$5:$Y$1004,"&lt;="&amp;_辅助!$J$2)+SUMIFS(考勤工资!$K$5:$K$1004,考勤工资!$C$5:$C$1004,往来单位!$B$213,考勤工资!$J$5:$J$1004,$C$3,考勤工资!$Y$5:$Y$1004,"&gt;="&amp;_辅助!$J$4,考勤工资!$Y$5:$Y$1004,"&lt;="&amp;_辅助!$J$2))</f>
        <v>0</v>
      </c>
      <c r="BD210" s="2">
        <f>IF(BC210=0,0,SUMIFS(考勤工资!$AC$5:$AC$1004,考勤工资!$C$5:$C$1004,往来单位!$B$213,考勤工资!$D$5:$D$1004,$C$3,考勤工资!$Y$5:$Y$1004,"&gt;="&amp;_辅助!$J$4,考勤工资!$Y$5:$Y$1004,"&lt;="&amp;_辅助!$J$2)+SUMIFS(考勤工资!$AD$5:$AD$1004,考勤工资!$C$5:$C$1004,往来单位!$B$213,考勤工资!$F$5:$F$1004,$C$3,考勤工资!$Y$5:$Y$1004,"&gt;="&amp;_辅助!$J$4,考勤工资!$Y$5:$Y$1004,"&lt;="&amp;_辅助!$J$2)+SUMIFS(考勤工资!$AE$5:$AE$1004,考勤工资!$C$5:$C$1004,往来单位!$B$213,考勤工资!$H$5:$H$1004,$C$3,考勤工资!$Y$5:$Y$1004,"&gt;="&amp;_辅助!$J$4,考勤工资!$Y$5:$Y$1004,"&lt;="&amp;_辅助!$J$2)+SUMIFS(考勤工资!$AF$5:$AF$1004,考勤工资!$C$5:$C$1004,往来单位!$B$213,考勤工资!$J$5:$J$1004,$C$3,考勤工资!$Y$5:$Y$1004,"&gt;="&amp;_辅助!$J$4,考勤工资!$Y$5:$Y$1004,"&lt;="&amp;_辅助!$J$2))</f>
        <v>0</v>
      </c>
      <c r="BE210" s="2">
        <f>BE200+SUM(CB201:CB210)</f>
        <v>0</v>
      </c>
      <c r="BF210" s="2">
        <f>IF(AND($AF$3&gt;0,发票登记!$T$213=$C$3,ISNUMBER(发票登记!$X$213),发票登记!$AB$213&lt;&gt;0,发票登记!$Y$213&gt;=_辅助!$J$4,发票登记!$Y$213&lt;=_辅助!$J$2),INT(发票登记!$X$213)*10000+209,"")</f>
      </c>
      <c r="BG210" s="2">
        <f>IF(AND($AF$3&gt;0,资金流水!$H$214=$C$3,ISNUMBER(资金流水!$B$214),ISNUMBER(资金流水!$S$214),资金流水!$S$214&gt;=_辅助!$J$4,资金流水!$S$214&lt;=_辅助!$J$2),INT(资金流水!$B$214)*10000+209,"")</f>
      </c>
      <c r="BJ210" s="2">
        <f>IF(175&gt;$BG$1,0,MOD(SMALL($BG$2:$BG$2001,175),10000))</f>
        <v>0</v>
      </c>
      <c r="CA210" s="2">
        <f t="shared" si="0"/>
        <v>0</v>
      </c>
      <c r="CB210" s="2">
        <f t="shared" si="1"/>
        <v>0</v>
      </c>
    </row>
    <row r="211">
      <c r="W211" s="95">
        <f t="shared" si="19"/>
      </c>
      <c r="X211" s="94">
        <f t="shared" si="25"/>
      </c>
      <c r="Y211" s="96">
        <f t="shared" si="26"/>
      </c>
      <c r="Z211" s="21">
        <f t="shared" si="20"/>
      </c>
      <c r="AA211" s="21">
        <f t="shared" si="21"/>
      </c>
      <c r="AB211" s="94">
        <f t="shared" si="27"/>
      </c>
      <c r="AC211" s="96">
        <f t="shared" si="28"/>
      </c>
      <c r="AD211" s="94">
        <f t="shared" si="29"/>
      </c>
      <c r="BA211" s="2">
        <f>IF(OR(往来单位!$B$214="",$AF$3=0),0,SUMIFS(期初余额!$R$5:$R$204,期初余额!$P$5:$P$204,往来单位!$B$214,期初余额!$Q$5:$Q$204,$C$3)+SUMIFS(应付登记!$G$5:$G$1004,应付登记!$D$5:$D$1004,往来单位!$B$214,应付登记!$E$5:$E$1004,$C$3,应付登记!$J$5:$J$1004,"&gt;="&amp;_辅助!$J$4,应付登记!$J$5:$J$1004,"&lt;="&amp;_辅助!$J$2))</f>
        <v>0</v>
      </c>
      <c r="BB211" s="2">
        <f>BB200+SUM(CA201:CA211)</f>
        <v>2</v>
      </c>
      <c r="BC211" s="2">
        <f>IF(OR(往来单位!$B$214="",$AF$3=0,NOT(OR(往来单位!$C$214="管理人员",往来单位!$C$214="工人"))),0,SUMIFS(考勤工资!$E$5:$E$1004,考勤工资!$C$5:$C$1004,往来单位!$B$214,考勤工资!$D$5:$D$1004,$C$3,考勤工资!$Y$5:$Y$1004,"&gt;="&amp;_辅助!$J$4,考勤工资!$Y$5:$Y$1004,"&lt;="&amp;_辅助!$J$2)+SUMIFS(考勤工资!$G$5:$G$1004,考勤工资!$C$5:$C$1004,往来单位!$B$214,考勤工资!$F$5:$F$1004,$C$3,考勤工资!$Y$5:$Y$1004,"&gt;="&amp;_辅助!$J$4,考勤工资!$Y$5:$Y$1004,"&lt;="&amp;_辅助!$J$2)+SUMIFS(考勤工资!$I$5:$I$1004,考勤工资!$C$5:$C$1004,往来单位!$B$214,考勤工资!$H$5:$H$1004,$C$3,考勤工资!$Y$5:$Y$1004,"&gt;="&amp;_辅助!$J$4,考勤工资!$Y$5:$Y$1004,"&lt;="&amp;_辅助!$J$2)+SUMIFS(考勤工资!$K$5:$K$1004,考勤工资!$C$5:$C$1004,往来单位!$B$214,考勤工资!$J$5:$J$1004,$C$3,考勤工资!$Y$5:$Y$1004,"&gt;="&amp;_辅助!$J$4,考勤工资!$Y$5:$Y$1004,"&lt;="&amp;_辅助!$J$2))</f>
        <v>0</v>
      </c>
      <c r="BD211" s="2">
        <f>IF(BC211=0,0,SUMIFS(考勤工资!$AC$5:$AC$1004,考勤工资!$C$5:$C$1004,往来单位!$B$214,考勤工资!$D$5:$D$1004,$C$3,考勤工资!$Y$5:$Y$1004,"&gt;="&amp;_辅助!$J$4,考勤工资!$Y$5:$Y$1004,"&lt;="&amp;_辅助!$J$2)+SUMIFS(考勤工资!$AD$5:$AD$1004,考勤工资!$C$5:$C$1004,往来单位!$B$214,考勤工资!$F$5:$F$1004,$C$3,考勤工资!$Y$5:$Y$1004,"&gt;="&amp;_辅助!$J$4,考勤工资!$Y$5:$Y$1004,"&lt;="&amp;_辅助!$J$2)+SUMIFS(考勤工资!$AE$5:$AE$1004,考勤工资!$C$5:$C$1004,往来单位!$B$214,考勤工资!$H$5:$H$1004,$C$3,考勤工资!$Y$5:$Y$1004,"&gt;="&amp;_辅助!$J$4,考勤工资!$Y$5:$Y$1004,"&lt;="&amp;_辅助!$J$2)+SUMIFS(考勤工资!$AF$5:$AF$1004,考勤工资!$C$5:$C$1004,往来单位!$B$214,考勤工资!$J$5:$J$1004,$C$3,考勤工资!$Y$5:$Y$1004,"&gt;="&amp;_辅助!$J$4,考勤工资!$Y$5:$Y$1004,"&lt;="&amp;_辅助!$J$2))</f>
        <v>0</v>
      </c>
      <c r="BE211" s="2">
        <f>BE200+SUM(CB201:CB211)</f>
        <v>0</v>
      </c>
      <c r="BF211" s="2">
        <f>IF(AND($AF$3&gt;0,发票登记!$T$214=$C$3,ISNUMBER(发票登记!$X$214),发票登记!$AB$214&lt;&gt;0,发票登记!$Y$214&gt;=_辅助!$J$4,发票登记!$Y$214&lt;=_辅助!$J$2),INT(发票登记!$X$214)*10000+210,"")</f>
      </c>
      <c r="BG211" s="2">
        <f>IF(AND($AF$3&gt;0,资金流水!$H$215=$C$3,ISNUMBER(资金流水!$B$215),ISNUMBER(资金流水!$S$215),资金流水!$S$215&gt;=_辅助!$J$4,资金流水!$S$215&lt;=_辅助!$J$2),INT(资金流水!$B$215)*10000+210,"")</f>
      </c>
      <c r="BJ211" s="2">
        <f>IF(176&gt;$BG$1,0,MOD(SMALL($BG$2:$BG$2001,176),10000))</f>
        <v>0</v>
      </c>
      <c r="CA211" s="2">
        <f t="shared" si="0"/>
        <v>0</v>
      </c>
      <c r="CB211" s="2">
        <f t="shared" si="1"/>
        <v>0</v>
      </c>
    </row>
    <row r="212">
      <c r="W212" s="95">
        <f t="shared" si="19"/>
      </c>
      <c r="X212" s="94">
        <f t="shared" si="25"/>
      </c>
      <c r="Y212" s="96">
        <f t="shared" si="26"/>
      </c>
      <c r="Z212" s="21">
        <f t="shared" si="20"/>
      </c>
      <c r="AA212" s="21">
        <f t="shared" si="21"/>
      </c>
      <c r="AB212" s="94">
        <f t="shared" si="27"/>
      </c>
      <c r="AC212" s="96">
        <f t="shared" si="28"/>
      </c>
      <c r="AD212" s="94">
        <f t="shared" si="29"/>
      </c>
      <c r="BA212" s="2">
        <f>IF(OR(往来单位!$B$215="",$AF$3=0),0,SUMIFS(期初余额!$R$5:$R$204,期初余额!$P$5:$P$204,往来单位!$B$215,期初余额!$Q$5:$Q$204,$C$3)+SUMIFS(应付登记!$G$5:$G$1004,应付登记!$D$5:$D$1004,往来单位!$B$215,应付登记!$E$5:$E$1004,$C$3,应付登记!$J$5:$J$1004,"&gt;="&amp;_辅助!$J$4,应付登记!$J$5:$J$1004,"&lt;="&amp;_辅助!$J$2))</f>
        <v>0</v>
      </c>
      <c r="BB212" s="2">
        <f>BB200+SUM(CA201:CA212)</f>
        <v>2</v>
      </c>
      <c r="BC212" s="2">
        <f>IF(OR(往来单位!$B$215="",$AF$3=0,NOT(OR(往来单位!$C$215="管理人员",往来单位!$C$215="工人"))),0,SUMIFS(考勤工资!$E$5:$E$1004,考勤工资!$C$5:$C$1004,往来单位!$B$215,考勤工资!$D$5:$D$1004,$C$3,考勤工资!$Y$5:$Y$1004,"&gt;="&amp;_辅助!$J$4,考勤工资!$Y$5:$Y$1004,"&lt;="&amp;_辅助!$J$2)+SUMIFS(考勤工资!$G$5:$G$1004,考勤工资!$C$5:$C$1004,往来单位!$B$215,考勤工资!$F$5:$F$1004,$C$3,考勤工资!$Y$5:$Y$1004,"&gt;="&amp;_辅助!$J$4,考勤工资!$Y$5:$Y$1004,"&lt;="&amp;_辅助!$J$2)+SUMIFS(考勤工资!$I$5:$I$1004,考勤工资!$C$5:$C$1004,往来单位!$B$215,考勤工资!$H$5:$H$1004,$C$3,考勤工资!$Y$5:$Y$1004,"&gt;="&amp;_辅助!$J$4,考勤工资!$Y$5:$Y$1004,"&lt;="&amp;_辅助!$J$2)+SUMIFS(考勤工资!$K$5:$K$1004,考勤工资!$C$5:$C$1004,往来单位!$B$215,考勤工资!$J$5:$J$1004,$C$3,考勤工资!$Y$5:$Y$1004,"&gt;="&amp;_辅助!$J$4,考勤工资!$Y$5:$Y$1004,"&lt;="&amp;_辅助!$J$2))</f>
        <v>0</v>
      </c>
      <c r="BD212" s="2">
        <f>IF(BC212=0,0,SUMIFS(考勤工资!$AC$5:$AC$1004,考勤工资!$C$5:$C$1004,往来单位!$B$215,考勤工资!$D$5:$D$1004,$C$3,考勤工资!$Y$5:$Y$1004,"&gt;="&amp;_辅助!$J$4,考勤工资!$Y$5:$Y$1004,"&lt;="&amp;_辅助!$J$2)+SUMIFS(考勤工资!$AD$5:$AD$1004,考勤工资!$C$5:$C$1004,往来单位!$B$215,考勤工资!$F$5:$F$1004,$C$3,考勤工资!$Y$5:$Y$1004,"&gt;="&amp;_辅助!$J$4,考勤工资!$Y$5:$Y$1004,"&lt;="&amp;_辅助!$J$2)+SUMIFS(考勤工资!$AE$5:$AE$1004,考勤工资!$C$5:$C$1004,往来单位!$B$215,考勤工资!$H$5:$H$1004,$C$3,考勤工资!$Y$5:$Y$1004,"&gt;="&amp;_辅助!$J$4,考勤工资!$Y$5:$Y$1004,"&lt;="&amp;_辅助!$J$2)+SUMIFS(考勤工资!$AF$5:$AF$1004,考勤工资!$C$5:$C$1004,往来单位!$B$215,考勤工资!$J$5:$J$1004,$C$3,考勤工资!$Y$5:$Y$1004,"&gt;="&amp;_辅助!$J$4,考勤工资!$Y$5:$Y$1004,"&lt;="&amp;_辅助!$J$2))</f>
        <v>0</v>
      </c>
      <c r="BE212" s="2">
        <f>BE200+SUM(CB201:CB212)</f>
        <v>0</v>
      </c>
      <c r="BF212" s="2">
        <f>IF(AND($AF$3&gt;0,发票登记!$T$215=$C$3,ISNUMBER(发票登记!$X$215),发票登记!$AB$215&lt;&gt;0,发票登记!$Y$215&gt;=_辅助!$J$4,发票登记!$Y$215&lt;=_辅助!$J$2),INT(发票登记!$X$215)*10000+211,"")</f>
      </c>
      <c r="BG212" s="2">
        <f>IF(AND($AF$3&gt;0,资金流水!$H$216=$C$3,ISNUMBER(资金流水!$B$216),ISNUMBER(资金流水!$S$216),资金流水!$S$216&gt;=_辅助!$J$4,资金流水!$S$216&lt;=_辅助!$J$2),INT(资金流水!$B$216)*10000+211,"")</f>
      </c>
      <c r="BJ212" s="2">
        <f>IF(177&gt;$BG$1,0,MOD(SMALL($BG$2:$BG$2001,177),10000))</f>
        <v>0</v>
      </c>
      <c r="CA212" s="2">
        <f t="shared" si="0"/>
        <v>0</v>
      </c>
      <c r="CB212" s="2">
        <f t="shared" si="1"/>
        <v>0</v>
      </c>
    </row>
    <row r="213">
      <c r="W213" s="95">
        <f t="shared" si="19"/>
      </c>
      <c r="X213" s="94">
        <f t="shared" si="25"/>
      </c>
      <c r="Y213" s="96">
        <f t="shared" si="26"/>
      </c>
      <c r="Z213" s="21">
        <f t="shared" si="20"/>
      </c>
      <c r="AA213" s="21">
        <f t="shared" si="21"/>
      </c>
      <c r="AB213" s="94">
        <f t="shared" si="27"/>
      </c>
      <c r="AC213" s="96">
        <f t="shared" si="28"/>
      </c>
      <c r="AD213" s="94">
        <f t="shared" si="29"/>
      </c>
      <c r="BA213" s="2">
        <f>IF(OR(往来单位!$B$216="",$AF$3=0),0,SUMIFS(期初余额!$R$5:$R$204,期初余额!$P$5:$P$204,往来单位!$B$216,期初余额!$Q$5:$Q$204,$C$3)+SUMIFS(应付登记!$G$5:$G$1004,应付登记!$D$5:$D$1004,往来单位!$B$216,应付登记!$E$5:$E$1004,$C$3,应付登记!$J$5:$J$1004,"&gt;="&amp;_辅助!$J$4,应付登记!$J$5:$J$1004,"&lt;="&amp;_辅助!$J$2))</f>
        <v>0</v>
      </c>
      <c r="BB213" s="2">
        <f>BB200+SUM(CA201:CA213)</f>
        <v>2</v>
      </c>
      <c r="BC213" s="2">
        <f>IF(OR(往来单位!$B$216="",$AF$3=0,NOT(OR(往来单位!$C$216="管理人员",往来单位!$C$216="工人"))),0,SUMIFS(考勤工资!$E$5:$E$1004,考勤工资!$C$5:$C$1004,往来单位!$B$216,考勤工资!$D$5:$D$1004,$C$3,考勤工资!$Y$5:$Y$1004,"&gt;="&amp;_辅助!$J$4,考勤工资!$Y$5:$Y$1004,"&lt;="&amp;_辅助!$J$2)+SUMIFS(考勤工资!$G$5:$G$1004,考勤工资!$C$5:$C$1004,往来单位!$B$216,考勤工资!$F$5:$F$1004,$C$3,考勤工资!$Y$5:$Y$1004,"&gt;="&amp;_辅助!$J$4,考勤工资!$Y$5:$Y$1004,"&lt;="&amp;_辅助!$J$2)+SUMIFS(考勤工资!$I$5:$I$1004,考勤工资!$C$5:$C$1004,往来单位!$B$216,考勤工资!$H$5:$H$1004,$C$3,考勤工资!$Y$5:$Y$1004,"&gt;="&amp;_辅助!$J$4,考勤工资!$Y$5:$Y$1004,"&lt;="&amp;_辅助!$J$2)+SUMIFS(考勤工资!$K$5:$K$1004,考勤工资!$C$5:$C$1004,往来单位!$B$216,考勤工资!$J$5:$J$1004,$C$3,考勤工资!$Y$5:$Y$1004,"&gt;="&amp;_辅助!$J$4,考勤工资!$Y$5:$Y$1004,"&lt;="&amp;_辅助!$J$2))</f>
        <v>0</v>
      </c>
      <c r="BD213" s="2">
        <f>IF(BC213=0,0,SUMIFS(考勤工资!$AC$5:$AC$1004,考勤工资!$C$5:$C$1004,往来单位!$B$216,考勤工资!$D$5:$D$1004,$C$3,考勤工资!$Y$5:$Y$1004,"&gt;="&amp;_辅助!$J$4,考勤工资!$Y$5:$Y$1004,"&lt;="&amp;_辅助!$J$2)+SUMIFS(考勤工资!$AD$5:$AD$1004,考勤工资!$C$5:$C$1004,往来单位!$B$216,考勤工资!$F$5:$F$1004,$C$3,考勤工资!$Y$5:$Y$1004,"&gt;="&amp;_辅助!$J$4,考勤工资!$Y$5:$Y$1004,"&lt;="&amp;_辅助!$J$2)+SUMIFS(考勤工资!$AE$5:$AE$1004,考勤工资!$C$5:$C$1004,往来单位!$B$216,考勤工资!$H$5:$H$1004,$C$3,考勤工资!$Y$5:$Y$1004,"&gt;="&amp;_辅助!$J$4,考勤工资!$Y$5:$Y$1004,"&lt;="&amp;_辅助!$J$2)+SUMIFS(考勤工资!$AF$5:$AF$1004,考勤工资!$C$5:$C$1004,往来单位!$B$216,考勤工资!$J$5:$J$1004,$C$3,考勤工资!$Y$5:$Y$1004,"&gt;="&amp;_辅助!$J$4,考勤工资!$Y$5:$Y$1004,"&lt;="&amp;_辅助!$J$2))</f>
        <v>0</v>
      </c>
      <c r="BE213" s="2">
        <f>BE200+SUM(CB201:CB213)</f>
        <v>0</v>
      </c>
      <c r="BF213" s="2">
        <f>IF(AND($AF$3&gt;0,发票登记!$T$216=$C$3,ISNUMBER(发票登记!$X$216),发票登记!$AB$216&lt;&gt;0,发票登记!$Y$216&gt;=_辅助!$J$4,发票登记!$Y$216&lt;=_辅助!$J$2),INT(发票登记!$X$216)*10000+212,"")</f>
      </c>
      <c r="BG213" s="2">
        <f>IF(AND($AF$3&gt;0,资金流水!$H$217=$C$3,ISNUMBER(资金流水!$B$217),ISNUMBER(资金流水!$S$217),资金流水!$S$217&gt;=_辅助!$J$4,资金流水!$S$217&lt;=_辅助!$J$2),INT(资金流水!$B$217)*10000+212,"")</f>
      </c>
      <c r="BJ213" s="2">
        <f>IF(178&gt;$BG$1,0,MOD(SMALL($BG$2:$BG$2001,178),10000))</f>
        <v>0</v>
      </c>
      <c r="CA213" s="2">
        <f t="shared" si="0"/>
        <v>0</v>
      </c>
      <c r="CB213" s="2">
        <f t="shared" si="1"/>
        <v>0</v>
      </c>
    </row>
    <row r="214">
      <c r="W214" s="95">
        <f t="shared" si="19"/>
      </c>
      <c r="X214" s="94">
        <f t="shared" si="25"/>
      </c>
      <c r="Y214" s="96">
        <f t="shared" si="26"/>
      </c>
      <c r="Z214" s="21">
        <f t="shared" si="20"/>
      </c>
      <c r="AA214" s="21">
        <f t="shared" si="21"/>
      </c>
      <c r="AB214" s="94">
        <f t="shared" si="27"/>
      </c>
      <c r="AC214" s="96">
        <f t="shared" si="28"/>
      </c>
      <c r="AD214" s="94">
        <f t="shared" si="29"/>
      </c>
      <c r="BA214" s="2">
        <f>IF(OR(往来单位!$B$217="",$AF$3=0),0,SUMIFS(期初余额!$R$5:$R$204,期初余额!$P$5:$P$204,往来单位!$B$217,期初余额!$Q$5:$Q$204,$C$3)+SUMIFS(应付登记!$G$5:$G$1004,应付登记!$D$5:$D$1004,往来单位!$B$217,应付登记!$E$5:$E$1004,$C$3,应付登记!$J$5:$J$1004,"&gt;="&amp;_辅助!$J$4,应付登记!$J$5:$J$1004,"&lt;="&amp;_辅助!$J$2))</f>
        <v>0</v>
      </c>
      <c r="BB214" s="2">
        <f>BB200+SUM(CA201:CA214)</f>
        <v>2</v>
      </c>
      <c r="BC214" s="2">
        <f>IF(OR(往来单位!$B$217="",$AF$3=0,NOT(OR(往来单位!$C$217="管理人员",往来单位!$C$217="工人"))),0,SUMIFS(考勤工资!$E$5:$E$1004,考勤工资!$C$5:$C$1004,往来单位!$B$217,考勤工资!$D$5:$D$1004,$C$3,考勤工资!$Y$5:$Y$1004,"&gt;="&amp;_辅助!$J$4,考勤工资!$Y$5:$Y$1004,"&lt;="&amp;_辅助!$J$2)+SUMIFS(考勤工资!$G$5:$G$1004,考勤工资!$C$5:$C$1004,往来单位!$B$217,考勤工资!$F$5:$F$1004,$C$3,考勤工资!$Y$5:$Y$1004,"&gt;="&amp;_辅助!$J$4,考勤工资!$Y$5:$Y$1004,"&lt;="&amp;_辅助!$J$2)+SUMIFS(考勤工资!$I$5:$I$1004,考勤工资!$C$5:$C$1004,往来单位!$B$217,考勤工资!$H$5:$H$1004,$C$3,考勤工资!$Y$5:$Y$1004,"&gt;="&amp;_辅助!$J$4,考勤工资!$Y$5:$Y$1004,"&lt;="&amp;_辅助!$J$2)+SUMIFS(考勤工资!$K$5:$K$1004,考勤工资!$C$5:$C$1004,往来单位!$B$217,考勤工资!$J$5:$J$1004,$C$3,考勤工资!$Y$5:$Y$1004,"&gt;="&amp;_辅助!$J$4,考勤工资!$Y$5:$Y$1004,"&lt;="&amp;_辅助!$J$2))</f>
        <v>0</v>
      </c>
      <c r="BD214" s="2">
        <f>IF(BC214=0,0,SUMIFS(考勤工资!$AC$5:$AC$1004,考勤工资!$C$5:$C$1004,往来单位!$B$217,考勤工资!$D$5:$D$1004,$C$3,考勤工资!$Y$5:$Y$1004,"&gt;="&amp;_辅助!$J$4,考勤工资!$Y$5:$Y$1004,"&lt;="&amp;_辅助!$J$2)+SUMIFS(考勤工资!$AD$5:$AD$1004,考勤工资!$C$5:$C$1004,往来单位!$B$217,考勤工资!$F$5:$F$1004,$C$3,考勤工资!$Y$5:$Y$1004,"&gt;="&amp;_辅助!$J$4,考勤工资!$Y$5:$Y$1004,"&lt;="&amp;_辅助!$J$2)+SUMIFS(考勤工资!$AE$5:$AE$1004,考勤工资!$C$5:$C$1004,往来单位!$B$217,考勤工资!$H$5:$H$1004,$C$3,考勤工资!$Y$5:$Y$1004,"&gt;="&amp;_辅助!$J$4,考勤工资!$Y$5:$Y$1004,"&lt;="&amp;_辅助!$J$2)+SUMIFS(考勤工资!$AF$5:$AF$1004,考勤工资!$C$5:$C$1004,往来单位!$B$217,考勤工资!$J$5:$J$1004,$C$3,考勤工资!$Y$5:$Y$1004,"&gt;="&amp;_辅助!$J$4,考勤工资!$Y$5:$Y$1004,"&lt;="&amp;_辅助!$J$2))</f>
        <v>0</v>
      </c>
      <c r="BE214" s="2">
        <f>BE200+SUM(CB201:CB214)</f>
        <v>0</v>
      </c>
      <c r="BF214" s="2">
        <f>IF(AND($AF$3&gt;0,发票登记!$T$217=$C$3,ISNUMBER(发票登记!$X$217),发票登记!$AB$217&lt;&gt;0,发票登记!$Y$217&gt;=_辅助!$J$4,发票登记!$Y$217&lt;=_辅助!$J$2),INT(发票登记!$X$217)*10000+213,"")</f>
      </c>
      <c r="BG214" s="2">
        <f>IF(AND($AF$3&gt;0,资金流水!$H$218=$C$3,ISNUMBER(资金流水!$B$218),ISNUMBER(资金流水!$S$218),资金流水!$S$218&gt;=_辅助!$J$4,资金流水!$S$218&lt;=_辅助!$J$2),INT(资金流水!$B$218)*10000+213,"")</f>
      </c>
      <c r="BJ214" s="2">
        <f>IF(179&gt;$BG$1,0,MOD(SMALL($BG$2:$BG$2001,179),10000))</f>
        <v>0</v>
      </c>
      <c r="CA214" s="2">
        <f t="shared" si="0"/>
        <v>0</v>
      </c>
      <c r="CB214" s="2">
        <f t="shared" si="1"/>
        <v>0</v>
      </c>
    </row>
    <row r="215">
      <c r="W215" s="95">
        <f t="shared" si="19"/>
      </c>
      <c r="X215" s="94">
        <f t="shared" si="25"/>
      </c>
      <c r="Y215" s="96">
        <f t="shared" si="26"/>
      </c>
      <c r="Z215" s="21">
        <f t="shared" si="20"/>
      </c>
      <c r="AA215" s="21">
        <f t="shared" si="21"/>
      </c>
      <c r="AB215" s="94">
        <f t="shared" si="27"/>
      </c>
      <c r="AC215" s="96">
        <f t="shared" si="28"/>
      </c>
      <c r="AD215" s="94">
        <f t="shared" si="29"/>
      </c>
      <c r="BA215" s="2">
        <f>IF(OR(往来单位!$B$218="",$AF$3=0),0,SUMIFS(期初余额!$R$5:$R$204,期初余额!$P$5:$P$204,往来单位!$B$218,期初余额!$Q$5:$Q$204,$C$3)+SUMIFS(应付登记!$G$5:$G$1004,应付登记!$D$5:$D$1004,往来单位!$B$218,应付登记!$E$5:$E$1004,$C$3,应付登记!$J$5:$J$1004,"&gt;="&amp;_辅助!$J$4,应付登记!$J$5:$J$1004,"&lt;="&amp;_辅助!$J$2))</f>
        <v>0</v>
      </c>
      <c r="BB215" s="2">
        <f>BB200+SUM(CA201:CA215)</f>
        <v>2</v>
      </c>
      <c r="BC215" s="2">
        <f>IF(OR(往来单位!$B$218="",$AF$3=0,NOT(OR(往来单位!$C$218="管理人员",往来单位!$C$218="工人"))),0,SUMIFS(考勤工资!$E$5:$E$1004,考勤工资!$C$5:$C$1004,往来单位!$B$218,考勤工资!$D$5:$D$1004,$C$3,考勤工资!$Y$5:$Y$1004,"&gt;="&amp;_辅助!$J$4,考勤工资!$Y$5:$Y$1004,"&lt;="&amp;_辅助!$J$2)+SUMIFS(考勤工资!$G$5:$G$1004,考勤工资!$C$5:$C$1004,往来单位!$B$218,考勤工资!$F$5:$F$1004,$C$3,考勤工资!$Y$5:$Y$1004,"&gt;="&amp;_辅助!$J$4,考勤工资!$Y$5:$Y$1004,"&lt;="&amp;_辅助!$J$2)+SUMIFS(考勤工资!$I$5:$I$1004,考勤工资!$C$5:$C$1004,往来单位!$B$218,考勤工资!$H$5:$H$1004,$C$3,考勤工资!$Y$5:$Y$1004,"&gt;="&amp;_辅助!$J$4,考勤工资!$Y$5:$Y$1004,"&lt;="&amp;_辅助!$J$2)+SUMIFS(考勤工资!$K$5:$K$1004,考勤工资!$C$5:$C$1004,往来单位!$B$218,考勤工资!$J$5:$J$1004,$C$3,考勤工资!$Y$5:$Y$1004,"&gt;="&amp;_辅助!$J$4,考勤工资!$Y$5:$Y$1004,"&lt;="&amp;_辅助!$J$2))</f>
        <v>0</v>
      </c>
      <c r="BD215" s="2">
        <f>IF(BC215=0,0,SUMIFS(考勤工资!$AC$5:$AC$1004,考勤工资!$C$5:$C$1004,往来单位!$B$218,考勤工资!$D$5:$D$1004,$C$3,考勤工资!$Y$5:$Y$1004,"&gt;="&amp;_辅助!$J$4,考勤工资!$Y$5:$Y$1004,"&lt;="&amp;_辅助!$J$2)+SUMIFS(考勤工资!$AD$5:$AD$1004,考勤工资!$C$5:$C$1004,往来单位!$B$218,考勤工资!$F$5:$F$1004,$C$3,考勤工资!$Y$5:$Y$1004,"&gt;="&amp;_辅助!$J$4,考勤工资!$Y$5:$Y$1004,"&lt;="&amp;_辅助!$J$2)+SUMIFS(考勤工资!$AE$5:$AE$1004,考勤工资!$C$5:$C$1004,往来单位!$B$218,考勤工资!$H$5:$H$1004,$C$3,考勤工资!$Y$5:$Y$1004,"&gt;="&amp;_辅助!$J$4,考勤工资!$Y$5:$Y$1004,"&lt;="&amp;_辅助!$J$2)+SUMIFS(考勤工资!$AF$5:$AF$1004,考勤工资!$C$5:$C$1004,往来单位!$B$218,考勤工资!$J$5:$J$1004,$C$3,考勤工资!$Y$5:$Y$1004,"&gt;="&amp;_辅助!$J$4,考勤工资!$Y$5:$Y$1004,"&lt;="&amp;_辅助!$J$2))</f>
        <v>0</v>
      </c>
      <c r="BE215" s="2">
        <f>BE200+SUM(CB201:CB215)</f>
        <v>0</v>
      </c>
      <c r="BF215" s="2">
        <f>IF(AND($AF$3&gt;0,发票登记!$T$218=$C$3,ISNUMBER(发票登记!$X$218),发票登记!$AB$218&lt;&gt;0,发票登记!$Y$218&gt;=_辅助!$J$4,发票登记!$Y$218&lt;=_辅助!$J$2),INT(发票登记!$X$218)*10000+214,"")</f>
      </c>
      <c r="BG215" s="2">
        <f>IF(AND($AF$3&gt;0,资金流水!$H$219=$C$3,ISNUMBER(资金流水!$B$219),ISNUMBER(资金流水!$S$219),资金流水!$S$219&gt;=_辅助!$J$4,资金流水!$S$219&lt;=_辅助!$J$2),INT(资金流水!$B$219)*10000+214,"")</f>
      </c>
      <c r="BJ215" s="2">
        <f>IF(180&gt;$BG$1,0,MOD(SMALL($BG$2:$BG$2001,180),10000))</f>
        <v>0</v>
      </c>
      <c r="CA215" s="2">
        <f t="shared" si="0"/>
        <v>0</v>
      </c>
      <c r="CB215" s="2">
        <f t="shared" si="1"/>
        <v>0</v>
      </c>
    </row>
    <row r="216">
      <c r="W216" s="95">
        <f t="shared" si="19"/>
      </c>
      <c r="X216" s="94">
        <f t="shared" si="25"/>
      </c>
      <c r="Y216" s="96">
        <f t="shared" si="26"/>
      </c>
      <c r="Z216" s="21">
        <f t="shared" si="20"/>
      </c>
      <c r="AA216" s="21">
        <f t="shared" si="21"/>
      </c>
      <c r="AB216" s="94">
        <f t="shared" si="27"/>
      </c>
      <c r="AC216" s="96">
        <f t="shared" si="28"/>
      </c>
      <c r="AD216" s="94">
        <f t="shared" si="29"/>
      </c>
      <c r="BA216" s="2">
        <f>IF(OR(往来单位!$B$219="",$AF$3=0),0,SUMIFS(期初余额!$R$5:$R$204,期初余额!$P$5:$P$204,往来单位!$B$219,期初余额!$Q$5:$Q$204,$C$3)+SUMIFS(应付登记!$G$5:$G$1004,应付登记!$D$5:$D$1004,往来单位!$B$219,应付登记!$E$5:$E$1004,$C$3,应付登记!$J$5:$J$1004,"&gt;="&amp;_辅助!$J$4,应付登记!$J$5:$J$1004,"&lt;="&amp;_辅助!$J$2))</f>
        <v>0</v>
      </c>
      <c r="BB216" s="2">
        <f>BB200+SUM(CA201:CA216)</f>
        <v>2</v>
      </c>
      <c r="BC216" s="2">
        <f>IF(OR(往来单位!$B$219="",$AF$3=0,NOT(OR(往来单位!$C$219="管理人员",往来单位!$C$219="工人"))),0,SUMIFS(考勤工资!$E$5:$E$1004,考勤工资!$C$5:$C$1004,往来单位!$B$219,考勤工资!$D$5:$D$1004,$C$3,考勤工资!$Y$5:$Y$1004,"&gt;="&amp;_辅助!$J$4,考勤工资!$Y$5:$Y$1004,"&lt;="&amp;_辅助!$J$2)+SUMIFS(考勤工资!$G$5:$G$1004,考勤工资!$C$5:$C$1004,往来单位!$B$219,考勤工资!$F$5:$F$1004,$C$3,考勤工资!$Y$5:$Y$1004,"&gt;="&amp;_辅助!$J$4,考勤工资!$Y$5:$Y$1004,"&lt;="&amp;_辅助!$J$2)+SUMIFS(考勤工资!$I$5:$I$1004,考勤工资!$C$5:$C$1004,往来单位!$B$219,考勤工资!$H$5:$H$1004,$C$3,考勤工资!$Y$5:$Y$1004,"&gt;="&amp;_辅助!$J$4,考勤工资!$Y$5:$Y$1004,"&lt;="&amp;_辅助!$J$2)+SUMIFS(考勤工资!$K$5:$K$1004,考勤工资!$C$5:$C$1004,往来单位!$B$219,考勤工资!$J$5:$J$1004,$C$3,考勤工资!$Y$5:$Y$1004,"&gt;="&amp;_辅助!$J$4,考勤工资!$Y$5:$Y$1004,"&lt;="&amp;_辅助!$J$2))</f>
        <v>0</v>
      </c>
      <c r="BD216" s="2">
        <f>IF(BC216=0,0,SUMIFS(考勤工资!$AC$5:$AC$1004,考勤工资!$C$5:$C$1004,往来单位!$B$219,考勤工资!$D$5:$D$1004,$C$3,考勤工资!$Y$5:$Y$1004,"&gt;="&amp;_辅助!$J$4,考勤工资!$Y$5:$Y$1004,"&lt;="&amp;_辅助!$J$2)+SUMIFS(考勤工资!$AD$5:$AD$1004,考勤工资!$C$5:$C$1004,往来单位!$B$219,考勤工资!$F$5:$F$1004,$C$3,考勤工资!$Y$5:$Y$1004,"&gt;="&amp;_辅助!$J$4,考勤工资!$Y$5:$Y$1004,"&lt;="&amp;_辅助!$J$2)+SUMIFS(考勤工资!$AE$5:$AE$1004,考勤工资!$C$5:$C$1004,往来单位!$B$219,考勤工资!$H$5:$H$1004,$C$3,考勤工资!$Y$5:$Y$1004,"&gt;="&amp;_辅助!$J$4,考勤工资!$Y$5:$Y$1004,"&lt;="&amp;_辅助!$J$2)+SUMIFS(考勤工资!$AF$5:$AF$1004,考勤工资!$C$5:$C$1004,往来单位!$B$219,考勤工资!$J$5:$J$1004,$C$3,考勤工资!$Y$5:$Y$1004,"&gt;="&amp;_辅助!$J$4,考勤工资!$Y$5:$Y$1004,"&lt;="&amp;_辅助!$J$2))</f>
        <v>0</v>
      </c>
      <c r="BE216" s="2">
        <f>BE200+SUM(CB201:CB216)</f>
        <v>0</v>
      </c>
      <c r="BF216" s="2">
        <f>IF(AND($AF$3&gt;0,发票登记!$T$219=$C$3,ISNUMBER(发票登记!$X$219),发票登记!$AB$219&lt;&gt;0,发票登记!$Y$219&gt;=_辅助!$J$4,发票登记!$Y$219&lt;=_辅助!$J$2),INT(发票登记!$X$219)*10000+215,"")</f>
      </c>
      <c r="BG216" s="2">
        <f>IF(AND($AF$3&gt;0,资金流水!$H$220=$C$3,ISNUMBER(资金流水!$B$220),ISNUMBER(资金流水!$S$220),资金流水!$S$220&gt;=_辅助!$J$4,资金流水!$S$220&lt;=_辅助!$J$2),INT(资金流水!$B$220)*10000+215,"")</f>
      </c>
      <c r="BJ216" s="2">
        <f>IF(181&gt;$BG$1,0,MOD(SMALL($BG$2:$BG$2001,181),10000))</f>
        <v>0</v>
      </c>
      <c r="CA216" s="2">
        <f t="shared" si="0"/>
        <v>0</v>
      </c>
      <c r="CB216" s="2">
        <f t="shared" si="1"/>
        <v>0</v>
      </c>
    </row>
    <row r="217">
      <c r="W217" s="95">
        <f t="shared" si="19"/>
      </c>
      <c r="X217" s="94">
        <f t="shared" si="25"/>
      </c>
      <c r="Y217" s="96">
        <f t="shared" si="26"/>
      </c>
      <c r="Z217" s="21">
        <f t="shared" si="20"/>
      </c>
      <c r="AA217" s="21">
        <f t="shared" si="21"/>
      </c>
      <c r="AB217" s="94">
        <f t="shared" si="27"/>
      </c>
      <c r="AC217" s="96">
        <f t="shared" si="28"/>
      </c>
      <c r="AD217" s="94">
        <f t="shared" si="29"/>
      </c>
      <c r="BA217" s="2">
        <f>IF(OR(往来单位!$B$220="",$AF$3=0),0,SUMIFS(期初余额!$R$5:$R$204,期初余额!$P$5:$P$204,往来单位!$B$220,期初余额!$Q$5:$Q$204,$C$3)+SUMIFS(应付登记!$G$5:$G$1004,应付登记!$D$5:$D$1004,往来单位!$B$220,应付登记!$E$5:$E$1004,$C$3,应付登记!$J$5:$J$1004,"&gt;="&amp;_辅助!$J$4,应付登记!$J$5:$J$1004,"&lt;="&amp;_辅助!$J$2))</f>
        <v>0</v>
      </c>
      <c r="BB217" s="2">
        <f>BB200+SUM(CA201:CA217)</f>
        <v>2</v>
      </c>
      <c r="BC217" s="2">
        <f>IF(OR(往来单位!$B$220="",$AF$3=0,NOT(OR(往来单位!$C$220="管理人员",往来单位!$C$220="工人"))),0,SUMIFS(考勤工资!$E$5:$E$1004,考勤工资!$C$5:$C$1004,往来单位!$B$220,考勤工资!$D$5:$D$1004,$C$3,考勤工资!$Y$5:$Y$1004,"&gt;="&amp;_辅助!$J$4,考勤工资!$Y$5:$Y$1004,"&lt;="&amp;_辅助!$J$2)+SUMIFS(考勤工资!$G$5:$G$1004,考勤工资!$C$5:$C$1004,往来单位!$B$220,考勤工资!$F$5:$F$1004,$C$3,考勤工资!$Y$5:$Y$1004,"&gt;="&amp;_辅助!$J$4,考勤工资!$Y$5:$Y$1004,"&lt;="&amp;_辅助!$J$2)+SUMIFS(考勤工资!$I$5:$I$1004,考勤工资!$C$5:$C$1004,往来单位!$B$220,考勤工资!$H$5:$H$1004,$C$3,考勤工资!$Y$5:$Y$1004,"&gt;="&amp;_辅助!$J$4,考勤工资!$Y$5:$Y$1004,"&lt;="&amp;_辅助!$J$2)+SUMIFS(考勤工资!$K$5:$K$1004,考勤工资!$C$5:$C$1004,往来单位!$B$220,考勤工资!$J$5:$J$1004,$C$3,考勤工资!$Y$5:$Y$1004,"&gt;="&amp;_辅助!$J$4,考勤工资!$Y$5:$Y$1004,"&lt;="&amp;_辅助!$J$2))</f>
        <v>0</v>
      </c>
      <c r="BD217" s="2">
        <f>IF(BC217=0,0,SUMIFS(考勤工资!$AC$5:$AC$1004,考勤工资!$C$5:$C$1004,往来单位!$B$220,考勤工资!$D$5:$D$1004,$C$3,考勤工资!$Y$5:$Y$1004,"&gt;="&amp;_辅助!$J$4,考勤工资!$Y$5:$Y$1004,"&lt;="&amp;_辅助!$J$2)+SUMIFS(考勤工资!$AD$5:$AD$1004,考勤工资!$C$5:$C$1004,往来单位!$B$220,考勤工资!$F$5:$F$1004,$C$3,考勤工资!$Y$5:$Y$1004,"&gt;="&amp;_辅助!$J$4,考勤工资!$Y$5:$Y$1004,"&lt;="&amp;_辅助!$J$2)+SUMIFS(考勤工资!$AE$5:$AE$1004,考勤工资!$C$5:$C$1004,往来单位!$B$220,考勤工资!$H$5:$H$1004,$C$3,考勤工资!$Y$5:$Y$1004,"&gt;="&amp;_辅助!$J$4,考勤工资!$Y$5:$Y$1004,"&lt;="&amp;_辅助!$J$2)+SUMIFS(考勤工资!$AF$5:$AF$1004,考勤工资!$C$5:$C$1004,往来单位!$B$220,考勤工资!$J$5:$J$1004,$C$3,考勤工资!$Y$5:$Y$1004,"&gt;="&amp;_辅助!$J$4,考勤工资!$Y$5:$Y$1004,"&lt;="&amp;_辅助!$J$2))</f>
        <v>0</v>
      </c>
      <c r="BE217" s="2">
        <f>BE200+SUM(CB201:CB217)</f>
        <v>0</v>
      </c>
      <c r="BF217" s="2">
        <f>IF(AND($AF$3&gt;0,发票登记!$T$220=$C$3,ISNUMBER(发票登记!$X$220),发票登记!$AB$220&lt;&gt;0,发票登记!$Y$220&gt;=_辅助!$J$4,发票登记!$Y$220&lt;=_辅助!$J$2),INT(发票登记!$X$220)*10000+216,"")</f>
      </c>
      <c r="BG217" s="2">
        <f>IF(AND($AF$3&gt;0,资金流水!$H$221=$C$3,ISNUMBER(资金流水!$B$221),ISNUMBER(资金流水!$S$221),资金流水!$S$221&gt;=_辅助!$J$4,资金流水!$S$221&lt;=_辅助!$J$2),INT(资金流水!$B$221)*10000+216,"")</f>
      </c>
      <c r="BJ217" s="2">
        <f>IF(182&gt;$BG$1,0,MOD(SMALL($BG$2:$BG$2001,182),10000))</f>
        <v>0</v>
      </c>
      <c r="CA217" s="2">
        <f t="shared" si="0"/>
        <v>0</v>
      </c>
      <c r="CB217" s="2">
        <f t="shared" si="1"/>
        <v>0</v>
      </c>
    </row>
    <row r="218">
      <c r="W218" s="95">
        <f t="shared" si="19"/>
      </c>
      <c r="X218" s="94">
        <f t="shared" si="25"/>
      </c>
      <c r="Y218" s="96">
        <f t="shared" si="26"/>
      </c>
      <c r="Z218" s="21">
        <f t="shared" si="20"/>
      </c>
      <c r="AA218" s="21">
        <f t="shared" si="21"/>
      </c>
      <c r="AB218" s="94">
        <f t="shared" si="27"/>
      </c>
      <c r="AC218" s="96">
        <f t="shared" si="28"/>
      </c>
      <c r="AD218" s="94">
        <f t="shared" si="29"/>
      </c>
      <c r="BA218" s="2">
        <f>IF(OR(往来单位!$B$221="",$AF$3=0),0,SUMIFS(期初余额!$R$5:$R$204,期初余额!$P$5:$P$204,往来单位!$B$221,期初余额!$Q$5:$Q$204,$C$3)+SUMIFS(应付登记!$G$5:$G$1004,应付登记!$D$5:$D$1004,往来单位!$B$221,应付登记!$E$5:$E$1004,$C$3,应付登记!$J$5:$J$1004,"&gt;="&amp;_辅助!$J$4,应付登记!$J$5:$J$1004,"&lt;="&amp;_辅助!$J$2))</f>
        <v>0</v>
      </c>
      <c r="BB218" s="2">
        <f>BB200+SUM(CA201:CA218)</f>
        <v>2</v>
      </c>
      <c r="BC218" s="2">
        <f>IF(OR(往来单位!$B$221="",$AF$3=0,NOT(OR(往来单位!$C$221="管理人员",往来单位!$C$221="工人"))),0,SUMIFS(考勤工资!$E$5:$E$1004,考勤工资!$C$5:$C$1004,往来单位!$B$221,考勤工资!$D$5:$D$1004,$C$3,考勤工资!$Y$5:$Y$1004,"&gt;="&amp;_辅助!$J$4,考勤工资!$Y$5:$Y$1004,"&lt;="&amp;_辅助!$J$2)+SUMIFS(考勤工资!$G$5:$G$1004,考勤工资!$C$5:$C$1004,往来单位!$B$221,考勤工资!$F$5:$F$1004,$C$3,考勤工资!$Y$5:$Y$1004,"&gt;="&amp;_辅助!$J$4,考勤工资!$Y$5:$Y$1004,"&lt;="&amp;_辅助!$J$2)+SUMIFS(考勤工资!$I$5:$I$1004,考勤工资!$C$5:$C$1004,往来单位!$B$221,考勤工资!$H$5:$H$1004,$C$3,考勤工资!$Y$5:$Y$1004,"&gt;="&amp;_辅助!$J$4,考勤工资!$Y$5:$Y$1004,"&lt;="&amp;_辅助!$J$2)+SUMIFS(考勤工资!$K$5:$K$1004,考勤工资!$C$5:$C$1004,往来单位!$B$221,考勤工资!$J$5:$J$1004,$C$3,考勤工资!$Y$5:$Y$1004,"&gt;="&amp;_辅助!$J$4,考勤工资!$Y$5:$Y$1004,"&lt;="&amp;_辅助!$J$2))</f>
        <v>0</v>
      </c>
      <c r="BD218" s="2">
        <f>IF(BC218=0,0,SUMIFS(考勤工资!$AC$5:$AC$1004,考勤工资!$C$5:$C$1004,往来单位!$B$221,考勤工资!$D$5:$D$1004,$C$3,考勤工资!$Y$5:$Y$1004,"&gt;="&amp;_辅助!$J$4,考勤工资!$Y$5:$Y$1004,"&lt;="&amp;_辅助!$J$2)+SUMIFS(考勤工资!$AD$5:$AD$1004,考勤工资!$C$5:$C$1004,往来单位!$B$221,考勤工资!$F$5:$F$1004,$C$3,考勤工资!$Y$5:$Y$1004,"&gt;="&amp;_辅助!$J$4,考勤工资!$Y$5:$Y$1004,"&lt;="&amp;_辅助!$J$2)+SUMIFS(考勤工资!$AE$5:$AE$1004,考勤工资!$C$5:$C$1004,往来单位!$B$221,考勤工资!$H$5:$H$1004,$C$3,考勤工资!$Y$5:$Y$1004,"&gt;="&amp;_辅助!$J$4,考勤工资!$Y$5:$Y$1004,"&lt;="&amp;_辅助!$J$2)+SUMIFS(考勤工资!$AF$5:$AF$1004,考勤工资!$C$5:$C$1004,往来单位!$B$221,考勤工资!$J$5:$J$1004,$C$3,考勤工资!$Y$5:$Y$1004,"&gt;="&amp;_辅助!$J$4,考勤工资!$Y$5:$Y$1004,"&lt;="&amp;_辅助!$J$2))</f>
        <v>0</v>
      </c>
      <c r="BE218" s="2">
        <f>BE200+SUM(CB201:CB218)</f>
        <v>0</v>
      </c>
      <c r="BF218" s="2">
        <f>IF(AND($AF$3&gt;0,发票登记!$T$221=$C$3,ISNUMBER(发票登记!$X$221),发票登记!$AB$221&lt;&gt;0,发票登记!$Y$221&gt;=_辅助!$J$4,发票登记!$Y$221&lt;=_辅助!$J$2),INT(发票登记!$X$221)*10000+217,"")</f>
      </c>
      <c r="BG218" s="2">
        <f>IF(AND($AF$3&gt;0,资金流水!$H$222=$C$3,ISNUMBER(资金流水!$B$222),ISNUMBER(资金流水!$S$222),资金流水!$S$222&gt;=_辅助!$J$4,资金流水!$S$222&lt;=_辅助!$J$2),INT(资金流水!$B$222)*10000+217,"")</f>
      </c>
      <c r="BJ218" s="2">
        <f>IF(183&gt;$BG$1,0,MOD(SMALL($BG$2:$BG$2001,183),10000))</f>
        <v>0</v>
      </c>
      <c r="CA218" s="2">
        <f t="shared" si="0"/>
        <v>0</v>
      </c>
      <c r="CB218" s="2">
        <f t="shared" si="1"/>
        <v>0</v>
      </c>
    </row>
    <row r="219">
      <c r="W219" s="95">
        <f t="shared" si="19"/>
      </c>
      <c r="X219" s="94">
        <f t="shared" si="25"/>
      </c>
      <c r="Y219" s="96">
        <f t="shared" si="26"/>
      </c>
      <c r="Z219" s="21">
        <f t="shared" si="20"/>
      </c>
      <c r="AA219" s="21">
        <f t="shared" si="21"/>
      </c>
      <c r="AB219" s="94">
        <f t="shared" si="27"/>
      </c>
      <c r="AC219" s="96">
        <f t="shared" si="28"/>
      </c>
      <c r="AD219" s="94">
        <f t="shared" si="29"/>
      </c>
      <c r="BA219" s="2">
        <f>IF(OR(往来单位!$B$222="",$AF$3=0),0,SUMIFS(期初余额!$R$5:$R$204,期初余额!$P$5:$P$204,往来单位!$B$222,期初余额!$Q$5:$Q$204,$C$3)+SUMIFS(应付登记!$G$5:$G$1004,应付登记!$D$5:$D$1004,往来单位!$B$222,应付登记!$E$5:$E$1004,$C$3,应付登记!$J$5:$J$1004,"&gt;="&amp;_辅助!$J$4,应付登记!$J$5:$J$1004,"&lt;="&amp;_辅助!$J$2))</f>
        <v>0</v>
      </c>
      <c r="BB219" s="2">
        <f>BB200+SUM(CA201:CA219)</f>
        <v>2</v>
      </c>
      <c r="BC219" s="2">
        <f>IF(OR(往来单位!$B$222="",$AF$3=0,NOT(OR(往来单位!$C$222="管理人员",往来单位!$C$222="工人"))),0,SUMIFS(考勤工资!$E$5:$E$1004,考勤工资!$C$5:$C$1004,往来单位!$B$222,考勤工资!$D$5:$D$1004,$C$3,考勤工资!$Y$5:$Y$1004,"&gt;="&amp;_辅助!$J$4,考勤工资!$Y$5:$Y$1004,"&lt;="&amp;_辅助!$J$2)+SUMIFS(考勤工资!$G$5:$G$1004,考勤工资!$C$5:$C$1004,往来单位!$B$222,考勤工资!$F$5:$F$1004,$C$3,考勤工资!$Y$5:$Y$1004,"&gt;="&amp;_辅助!$J$4,考勤工资!$Y$5:$Y$1004,"&lt;="&amp;_辅助!$J$2)+SUMIFS(考勤工资!$I$5:$I$1004,考勤工资!$C$5:$C$1004,往来单位!$B$222,考勤工资!$H$5:$H$1004,$C$3,考勤工资!$Y$5:$Y$1004,"&gt;="&amp;_辅助!$J$4,考勤工资!$Y$5:$Y$1004,"&lt;="&amp;_辅助!$J$2)+SUMIFS(考勤工资!$K$5:$K$1004,考勤工资!$C$5:$C$1004,往来单位!$B$222,考勤工资!$J$5:$J$1004,$C$3,考勤工资!$Y$5:$Y$1004,"&gt;="&amp;_辅助!$J$4,考勤工资!$Y$5:$Y$1004,"&lt;="&amp;_辅助!$J$2))</f>
        <v>0</v>
      </c>
      <c r="BD219" s="2">
        <f>IF(BC219=0,0,SUMIFS(考勤工资!$AC$5:$AC$1004,考勤工资!$C$5:$C$1004,往来单位!$B$222,考勤工资!$D$5:$D$1004,$C$3,考勤工资!$Y$5:$Y$1004,"&gt;="&amp;_辅助!$J$4,考勤工资!$Y$5:$Y$1004,"&lt;="&amp;_辅助!$J$2)+SUMIFS(考勤工资!$AD$5:$AD$1004,考勤工资!$C$5:$C$1004,往来单位!$B$222,考勤工资!$F$5:$F$1004,$C$3,考勤工资!$Y$5:$Y$1004,"&gt;="&amp;_辅助!$J$4,考勤工资!$Y$5:$Y$1004,"&lt;="&amp;_辅助!$J$2)+SUMIFS(考勤工资!$AE$5:$AE$1004,考勤工资!$C$5:$C$1004,往来单位!$B$222,考勤工资!$H$5:$H$1004,$C$3,考勤工资!$Y$5:$Y$1004,"&gt;="&amp;_辅助!$J$4,考勤工资!$Y$5:$Y$1004,"&lt;="&amp;_辅助!$J$2)+SUMIFS(考勤工资!$AF$5:$AF$1004,考勤工资!$C$5:$C$1004,往来单位!$B$222,考勤工资!$J$5:$J$1004,$C$3,考勤工资!$Y$5:$Y$1004,"&gt;="&amp;_辅助!$J$4,考勤工资!$Y$5:$Y$1004,"&lt;="&amp;_辅助!$J$2))</f>
        <v>0</v>
      </c>
      <c r="BE219" s="2">
        <f>BE200+SUM(CB201:CB219)</f>
        <v>0</v>
      </c>
      <c r="BF219" s="2">
        <f>IF(AND($AF$3&gt;0,发票登记!$T$222=$C$3,ISNUMBER(发票登记!$X$222),发票登记!$AB$222&lt;&gt;0,发票登记!$Y$222&gt;=_辅助!$J$4,发票登记!$Y$222&lt;=_辅助!$J$2),INT(发票登记!$X$222)*10000+218,"")</f>
      </c>
      <c r="BG219" s="2">
        <f>IF(AND($AF$3&gt;0,资金流水!$H$223=$C$3,ISNUMBER(资金流水!$B$223),ISNUMBER(资金流水!$S$223),资金流水!$S$223&gt;=_辅助!$J$4,资金流水!$S$223&lt;=_辅助!$J$2),INT(资金流水!$B$223)*10000+218,"")</f>
      </c>
      <c r="BJ219" s="2">
        <f>IF(184&gt;$BG$1,0,MOD(SMALL($BG$2:$BG$2001,184),10000))</f>
        <v>0</v>
      </c>
      <c r="CA219" s="2">
        <f t="shared" si="0"/>
        <v>0</v>
      </c>
      <c r="CB219" s="2">
        <f t="shared" si="1"/>
        <v>0</v>
      </c>
    </row>
    <row r="220">
      <c r="W220" s="95">
        <f t="shared" si="19"/>
      </c>
      <c r="X220" s="94">
        <f t="shared" si="25"/>
      </c>
      <c r="Y220" s="96">
        <f t="shared" si="26"/>
      </c>
      <c r="Z220" s="21">
        <f t="shared" si="20"/>
      </c>
      <c r="AA220" s="21">
        <f t="shared" si="21"/>
      </c>
      <c r="AB220" s="94">
        <f t="shared" si="27"/>
      </c>
      <c r="AC220" s="96">
        <f t="shared" si="28"/>
      </c>
      <c r="AD220" s="94">
        <f t="shared" si="29"/>
      </c>
      <c r="BA220" s="2">
        <f>IF(OR(往来单位!$B$223="",$AF$3=0),0,SUMIFS(期初余额!$R$5:$R$204,期初余额!$P$5:$P$204,往来单位!$B$223,期初余额!$Q$5:$Q$204,$C$3)+SUMIFS(应付登记!$G$5:$G$1004,应付登记!$D$5:$D$1004,往来单位!$B$223,应付登记!$E$5:$E$1004,$C$3,应付登记!$J$5:$J$1004,"&gt;="&amp;_辅助!$J$4,应付登记!$J$5:$J$1004,"&lt;="&amp;_辅助!$J$2))</f>
        <v>0</v>
      </c>
      <c r="BB220" s="2">
        <f>BB200+SUM(CA201:CA220)</f>
        <v>2</v>
      </c>
      <c r="BC220" s="2">
        <f>IF(OR(往来单位!$B$223="",$AF$3=0,NOT(OR(往来单位!$C$223="管理人员",往来单位!$C$223="工人"))),0,SUMIFS(考勤工资!$E$5:$E$1004,考勤工资!$C$5:$C$1004,往来单位!$B$223,考勤工资!$D$5:$D$1004,$C$3,考勤工资!$Y$5:$Y$1004,"&gt;="&amp;_辅助!$J$4,考勤工资!$Y$5:$Y$1004,"&lt;="&amp;_辅助!$J$2)+SUMIFS(考勤工资!$G$5:$G$1004,考勤工资!$C$5:$C$1004,往来单位!$B$223,考勤工资!$F$5:$F$1004,$C$3,考勤工资!$Y$5:$Y$1004,"&gt;="&amp;_辅助!$J$4,考勤工资!$Y$5:$Y$1004,"&lt;="&amp;_辅助!$J$2)+SUMIFS(考勤工资!$I$5:$I$1004,考勤工资!$C$5:$C$1004,往来单位!$B$223,考勤工资!$H$5:$H$1004,$C$3,考勤工资!$Y$5:$Y$1004,"&gt;="&amp;_辅助!$J$4,考勤工资!$Y$5:$Y$1004,"&lt;="&amp;_辅助!$J$2)+SUMIFS(考勤工资!$K$5:$K$1004,考勤工资!$C$5:$C$1004,往来单位!$B$223,考勤工资!$J$5:$J$1004,$C$3,考勤工资!$Y$5:$Y$1004,"&gt;="&amp;_辅助!$J$4,考勤工资!$Y$5:$Y$1004,"&lt;="&amp;_辅助!$J$2))</f>
        <v>0</v>
      </c>
      <c r="BD220" s="2">
        <f>IF(BC220=0,0,SUMIFS(考勤工资!$AC$5:$AC$1004,考勤工资!$C$5:$C$1004,往来单位!$B$223,考勤工资!$D$5:$D$1004,$C$3,考勤工资!$Y$5:$Y$1004,"&gt;="&amp;_辅助!$J$4,考勤工资!$Y$5:$Y$1004,"&lt;="&amp;_辅助!$J$2)+SUMIFS(考勤工资!$AD$5:$AD$1004,考勤工资!$C$5:$C$1004,往来单位!$B$223,考勤工资!$F$5:$F$1004,$C$3,考勤工资!$Y$5:$Y$1004,"&gt;="&amp;_辅助!$J$4,考勤工资!$Y$5:$Y$1004,"&lt;="&amp;_辅助!$J$2)+SUMIFS(考勤工资!$AE$5:$AE$1004,考勤工资!$C$5:$C$1004,往来单位!$B$223,考勤工资!$H$5:$H$1004,$C$3,考勤工资!$Y$5:$Y$1004,"&gt;="&amp;_辅助!$J$4,考勤工资!$Y$5:$Y$1004,"&lt;="&amp;_辅助!$J$2)+SUMIFS(考勤工资!$AF$5:$AF$1004,考勤工资!$C$5:$C$1004,往来单位!$B$223,考勤工资!$J$5:$J$1004,$C$3,考勤工资!$Y$5:$Y$1004,"&gt;="&amp;_辅助!$J$4,考勤工资!$Y$5:$Y$1004,"&lt;="&amp;_辅助!$J$2))</f>
        <v>0</v>
      </c>
      <c r="BE220" s="2">
        <f>BE200+SUM(CB201:CB220)</f>
        <v>0</v>
      </c>
      <c r="BF220" s="2">
        <f>IF(AND($AF$3&gt;0,发票登记!$T$223=$C$3,ISNUMBER(发票登记!$X$223),发票登记!$AB$223&lt;&gt;0,发票登记!$Y$223&gt;=_辅助!$J$4,发票登记!$Y$223&lt;=_辅助!$J$2),INT(发票登记!$X$223)*10000+219,"")</f>
      </c>
      <c r="BG220" s="2">
        <f>IF(AND($AF$3&gt;0,资金流水!$H$224=$C$3,ISNUMBER(资金流水!$B$224),ISNUMBER(资金流水!$S$224),资金流水!$S$224&gt;=_辅助!$J$4,资金流水!$S$224&lt;=_辅助!$J$2),INT(资金流水!$B$224)*10000+219,"")</f>
      </c>
      <c r="BJ220" s="2">
        <f>IF(185&gt;$BG$1,0,MOD(SMALL($BG$2:$BG$2001,185),10000))</f>
        <v>0</v>
      </c>
      <c r="CA220" s="2">
        <f t="shared" si="0"/>
        <v>0</v>
      </c>
      <c r="CB220" s="2">
        <f t="shared" si="1"/>
        <v>0</v>
      </c>
    </row>
    <row r="221">
      <c r="W221" s="95">
        <f t="shared" si="19"/>
      </c>
      <c r="X221" s="94">
        <f t="shared" si="25"/>
      </c>
      <c r="Y221" s="96">
        <f t="shared" si="26"/>
      </c>
      <c r="Z221" s="21">
        <f t="shared" si="20"/>
      </c>
      <c r="AA221" s="21">
        <f t="shared" si="21"/>
      </c>
      <c r="AB221" s="94">
        <f t="shared" si="27"/>
      </c>
      <c r="AC221" s="96">
        <f t="shared" si="28"/>
      </c>
      <c r="AD221" s="94">
        <f t="shared" si="29"/>
      </c>
      <c r="BA221" s="2">
        <f>IF(OR(往来单位!$B$224="",$AF$3=0),0,SUMIFS(期初余额!$R$5:$R$204,期初余额!$P$5:$P$204,往来单位!$B$224,期初余额!$Q$5:$Q$204,$C$3)+SUMIFS(应付登记!$G$5:$G$1004,应付登记!$D$5:$D$1004,往来单位!$B$224,应付登记!$E$5:$E$1004,$C$3,应付登记!$J$5:$J$1004,"&gt;="&amp;_辅助!$J$4,应付登记!$J$5:$J$1004,"&lt;="&amp;_辅助!$J$2))</f>
        <v>0</v>
      </c>
      <c r="BB221" s="2">
        <f>BB200+SUM(CA201:CA221)</f>
        <v>2</v>
      </c>
      <c r="BC221" s="2">
        <f>IF(OR(往来单位!$B$224="",$AF$3=0,NOT(OR(往来单位!$C$224="管理人员",往来单位!$C$224="工人"))),0,SUMIFS(考勤工资!$E$5:$E$1004,考勤工资!$C$5:$C$1004,往来单位!$B$224,考勤工资!$D$5:$D$1004,$C$3,考勤工资!$Y$5:$Y$1004,"&gt;="&amp;_辅助!$J$4,考勤工资!$Y$5:$Y$1004,"&lt;="&amp;_辅助!$J$2)+SUMIFS(考勤工资!$G$5:$G$1004,考勤工资!$C$5:$C$1004,往来单位!$B$224,考勤工资!$F$5:$F$1004,$C$3,考勤工资!$Y$5:$Y$1004,"&gt;="&amp;_辅助!$J$4,考勤工资!$Y$5:$Y$1004,"&lt;="&amp;_辅助!$J$2)+SUMIFS(考勤工资!$I$5:$I$1004,考勤工资!$C$5:$C$1004,往来单位!$B$224,考勤工资!$H$5:$H$1004,$C$3,考勤工资!$Y$5:$Y$1004,"&gt;="&amp;_辅助!$J$4,考勤工资!$Y$5:$Y$1004,"&lt;="&amp;_辅助!$J$2)+SUMIFS(考勤工资!$K$5:$K$1004,考勤工资!$C$5:$C$1004,往来单位!$B$224,考勤工资!$J$5:$J$1004,$C$3,考勤工资!$Y$5:$Y$1004,"&gt;="&amp;_辅助!$J$4,考勤工资!$Y$5:$Y$1004,"&lt;="&amp;_辅助!$J$2))</f>
        <v>0</v>
      </c>
      <c r="BD221" s="2">
        <f>IF(BC221=0,0,SUMIFS(考勤工资!$AC$5:$AC$1004,考勤工资!$C$5:$C$1004,往来单位!$B$224,考勤工资!$D$5:$D$1004,$C$3,考勤工资!$Y$5:$Y$1004,"&gt;="&amp;_辅助!$J$4,考勤工资!$Y$5:$Y$1004,"&lt;="&amp;_辅助!$J$2)+SUMIFS(考勤工资!$AD$5:$AD$1004,考勤工资!$C$5:$C$1004,往来单位!$B$224,考勤工资!$F$5:$F$1004,$C$3,考勤工资!$Y$5:$Y$1004,"&gt;="&amp;_辅助!$J$4,考勤工资!$Y$5:$Y$1004,"&lt;="&amp;_辅助!$J$2)+SUMIFS(考勤工资!$AE$5:$AE$1004,考勤工资!$C$5:$C$1004,往来单位!$B$224,考勤工资!$H$5:$H$1004,$C$3,考勤工资!$Y$5:$Y$1004,"&gt;="&amp;_辅助!$J$4,考勤工资!$Y$5:$Y$1004,"&lt;="&amp;_辅助!$J$2)+SUMIFS(考勤工资!$AF$5:$AF$1004,考勤工资!$C$5:$C$1004,往来单位!$B$224,考勤工资!$J$5:$J$1004,$C$3,考勤工资!$Y$5:$Y$1004,"&gt;="&amp;_辅助!$J$4,考勤工资!$Y$5:$Y$1004,"&lt;="&amp;_辅助!$J$2))</f>
        <v>0</v>
      </c>
      <c r="BE221" s="2">
        <f>BE200+SUM(CB201:CB221)</f>
        <v>0</v>
      </c>
      <c r="BF221" s="2">
        <f>IF(AND($AF$3&gt;0,发票登记!$T$224=$C$3,ISNUMBER(发票登记!$X$224),发票登记!$AB$224&lt;&gt;0,发票登记!$Y$224&gt;=_辅助!$J$4,发票登记!$Y$224&lt;=_辅助!$J$2),INT(发票登记!$X$224)*10000+220,"")</f>
      </c>
      <c r="BG221" s="2">
        <f>IF(AND($AF$3&gt;0,资金流水!$H$225=$C$3,ISNUMBER(资金流水!$B$225),ISNUMBER(资金流水!$S$225),资金流水!$S$225&gt;=_辅助!$J$4,资金流水!$S$225&lt;=_辅助!$J$2),INT(资金流水!$B$225)*10000+220,"")</f>
      </c>
      <c r="BJ221" s="2">
        <f>IF(186&gt;$BG$1,0,MOD(SMALL($BG$2:$BG$2001,186),10000))</f>
        <v>0</v>
      </c>
      <c r="CA221" s="2">
        <f t="shared" si="0"/>
        <v>0</v>
      </c>
      <c r="CB221" s="2">
        <f t="shared" si="1"/>
        <v>0</v>
      </c>
    </row>
    <row r="222">
      <c r="W222" s="95">
        <f t="shared" si="19"/>
      </c>
      <c r="X222" s="94">
        <f t="shared" si="25"/>
      </c>
      <c r="Y222" s="96">
        <f t="shared" si="26"/>
      </c>
      <c r="Z222" s="21">
        <f t="shared" si="20"/>
      </c>
      <c r="AA222" s="21">
        <f t="shared" si="21"/>
      </c>
      <c r="AB222" s="94">
        <f t="shared" si="27"/>
      </c>
      <c r="AC222" s="96">
        <f t="shared" si="28"/>
      </c>
      <c r="AD222" s="94">
        <f t="shared" si="29"/>
      </c>
      <c r="BA222" s="2">
        <f>IF(OR(往来单位!$B$225="",$AF$3=0),0,SUMIFS(期初余额!$R$5:$R$204,期初余额!$P$5:$P$204,往来单位!$B$225,期初余额!$Q$5:$Q$204,$C$3)+SUMIFS(应付登记!$G$5:$G$1004,应付登记!$D$5:$D$1004,往来单位!$B$225,应付登记!$E$5:$E$1004,$C$3,应付登记!$J$5:$J$1004,"&gt;="&amp;_辅助!$J$4,应付登记!$J$5:$J$1004,"&lt;="&amp;_辅助!$J$2))</f>
        <v>0</v>
      </c>
      <c r="BB222" s="2">
        <f>BB200+SUM(CA201:CA222)</f>
        <v>2</v>
      </c>
      <c r="BC222" s="2">
        <f>IF(OR(往来单位!$B$225="",$AF$3=0,NOT(OR(往来单位!$C$225="管理人员",往来单位!$C$225="工人"))),0,SUMIFS(考勤工资!$E$5:$E$1004,考勤工资!$C$5:$C$1004,往来单位!$B$225,考勤工资!$D$5:$D$1004,$C$3,考勤工资!$Y$5:$Y$1004,"&gt;="&amp;_辅助!$J$4,考勤工资!$Y$5:$Y$1004,"&lt;="&amp;_辅助!$J$2)+SUMIFS(考勤工资!$G$5:$G$1004,考勤工资!$C$5:$C$1004,往来单位!$B$225,考勤工资!$F$5:$F$1004,$C$3,考勤工资!$Y$5:$Y$1004,"&gt;="&amp;_辅助!$J$4,考勤工资!$Y$5:$Y$1004,"&lt;="&amp;_辅助!$J$2)+SUMIFS(考勤工资!$I$5:$I$1004,考勤工资!$C$5:$C$1004,往来单位!$B$225,考勤工资!$H$5:$H$1004,$C$3,考勤工资!$Y$5:$Y$1004,"&gt;="&amp;_辅助!$J$4,考勤工资!$Y$5:$Y$1004,"&lt;="&amp;_辅助!$J$2)+SUMIFS(考勤工资!$K$5:$K$1004,考勤工资!$C$5:$C$1004,往来单位!$B$225,考勤工资!$J$5:$J$1004,$C$3,考勤工资!$Y$5:$Y$1004,"&gt;="&amp;_辅助!$J$4,考勤工资!$Y$5:$Y$1004,"&lt;="&amp;_辅助!$J$2))</f>
        <v>0</v>
      </c>
      <c r="BD222" s="2">
        <f>IF(BC222=0,0,SUMIFS(考勤工资!$AC$5:$AC$1004,考勤工资!$C$5:$C$1004,往来单位!$B$225,考勤工资!$D$5:$D$1004,$C$3,考勤工资!$Y$5:$Y$1004,"&gt;="&amp;_辅助!$J$4,考勤工资!$Y$5:$Y$1004,"&lt;="&amp;_辅助!$J$2)+SUMIFS(考勤工资!$AD$5:$AD$1004,考勤工资!$C$5:$C$1004,往来单位!$B$225,考勤工资!$F$5:$F$1004,$C$3,考勤工资!$Y$5:$Y$1004,"&gt;="&amp;_辅助!$J$4,考勤工资!$Y$5:$Y$1004,"&lt;="&amp;_辅助!$J$2)+SUMIFS(考勤工资!$AE$5:$AE$1004,考勤工资!$C$5:$C$1004,往来单位!$B$225,考勤工资!$H$5:$H$1004,$C$3,考勤工资!$Y$5:$Y$1004,"&gt;="&amp;_辅助!$J$4,考勤工资!$Y$5:$Y$1004,"&lt;="&amp;_辅助!$J$2)+SUMIFS(考勤工资!$AF$5:$AF$1004,考勤工资!$C$5:$C$1004,往来单位!$B$225,考勤工资!$J$5:$J$1004,$C$3,考勤工资!$Y$5:$Y$1004,"&gt;="&amp;_辅助!$J$4,考勤工资!$Y$5:$Y$1004,"&lt;="&amp;_辅助!$J$2))</f>
        <v>0</v>
      </c>
      <c r="BE222" s="2">
        <f>BE200+SUM(CB201:CB222)</f>
        <v>0</v>
      </c>
      <c r="BF222" s="2">
        <f>IF(AND($AF$3&gt;0,发票登记!$T$225=$C$3,ISNUMBER(发票登记!$X$225),发票登记!$AB$225&lt;&gt;0,发票登记!$Y$225&gt;=_辅助!$J$4,发票登记!$Y$225&lt;=_辅助!$J$2),INT(发票登记!$X$225)*10000+221,"")</f>
      </c>
      <c r="BG222" s="2">
        <f>IF(AND($AF$3&gt;0,资金流水!$H$226=$C$3,ISNUMBER(资金流水!$B$226),ISNUMBER(资金流水!$S$226),资金流水!$S$226&gt;=_辅助!$J$4,资金流水!$S$226&lt;=_辅助!$J$2),INT(资金流水!$B$226)*10000+221,"")</f>
      </c>
      <c r="BJ222" s="2">
        <f>IF(187&gt;$BG$1,0,MOD(SMALL($BG$2:$BG$2001,187),10000))</f>
        <v>0</v>
      </c>
      <c r="CA222" s="2">
        <f t="shared" si="0"/>
        <v>0</v>
      </c>
      <c r="CB222" s="2">
        <f t="shared" si="1"/>
        <v>0</v>
      </c>
    </row>
    <row r="223">
      <c r="W223" s="95">
        <f t="shared" si="19"/>
      </c>
      <c r="X223" s="94">
        <f t="shared" si="25"/>
      </c>
      <c r="Y223" s="96">
        <f t="shared" si="26"/>
      </c>
      <c r="Z223" s="21">
        <f t="shared" si="20"/>
      </c>
      <c r="AA223" s="21">
        <f t="shared" si="21"/>
      </c>
      <c r="AB223" s="94">
        <f t="shared" si="27"/>
      </c>
      <c r="AC223" s="96">
        <f t="shared" si="28"/>
      </c>
      <c r="AD223" s="94">
        <f t="shared" si="29"/>
      </c>
      <c r="BA223" s="2">
        <f>IF(OR(往来单位!$B$226="",$AF$3=0),0,SUMIFS(期初余额!$R$5:$R$204,期初余额!$P$5:$P$204,往来单位!$B$226,期初余额!$Q$5:$Q$204,$C$3)+SUMIFS(应付登记!$G$5:$G$1004,应付登记!$D$5:$D$1004,往来单位!$B$226,应付登记!$E$5:$E$1004,$C$3,应付登记!$J$5:$J$1004,"&gt;="&amp;_辅助!$J$4,应付登记!$J$5:$J$1004,"&lt;="&amp;_辅助!$J$2))</f>
        <v>0</v>
      </c>
      <c r="BB223" s="2">
        <f>BB200+SUM(CA201:CA223)</f>
        <v>2</v>
      </c>
      <c r="BC223" s="2">
        <f>IF(OR(往来单位!$B$226="",$AF$3=0,NOT(OR(往来单位!$C$226="管理人员",往来单位!$C$226="工人"))),0,SUMIFS(考勤工资!$E$5:$E$1004,考勤工资!$C$5:$C$1004,往来单位!$B$226,考勤工资!$D$5:$D$1004,$C$3,考勤工资!$Y$5:$Y$1004,"&gt;="&amp;_辅助!$J$4,考勤工资!$Y$5:$Y$1004,"&lt;="&amp;_辅助!$J$2)+SUMIFS(考勤工资!$G$5:$G$1004,考勤工资!$C$5:$C$1004,往来单位!$B$226,考勤工资!$F$5:$F$1004,$C$3,考勤工资!$Y$5:$Y$1004,"&gt;="&amp;_辅助!$J$4,考勤工资!$Y$5:$Y$1004,"&lt;="&amp;_辅助!$J$2)+SUMIFS(考勤工资!$I$5:$I$1004,考勤工资!$C$5:$C$1004,往来单位!$B$226,考勤工资!$H$5:$H$1004,$C$3,考勤工资!$Y$5:$Y$1004,"&gt;="&amp;_辅助!$J$4,考勤工资!$Y$5:$Y$1004,"&lt;="&amp;_辅助!$J$2)+SUMIFS(考勤工资!$K$5:$K$1004,考勤工资!$C$5:$C$1004,往来单位!$B$226,考勤工资!$J$5:$J$1004,$C$3,考勤工资!$Y$5:$Y$1004,"&gt;="&amp;_辅助!$J$4,考勤工资!$Y$5:$Y$1004,"&lt;="&amp;_辅助!$J$2))</f>
        <v>0</v>
      </c>
      <c r="BD223" s="2">
        <f>IF(BC223=0,0,SUMIFS(考勤工资!$AC$5:$AC$1004,考勤工资!$C$5:$C$1004,往来单位!$B$226,考勤工资!$D$5:$D$1004,$C$3,考勤工资!$Y$5:$Y$1004,"&gt;="&amp;_辅助!$J$4,考勤工资!$Y$5:$Y$1004,"&lt;="&amp;_辅助!$J$2)+SUMIFS(考勤工资!$AD$5:$AD$1004,考勤工资!$C$5:$C$1004,往来单位!$B$226,考勤工资!$F$5:$F$1004,$C$3,考勤工资!$Y$5:$Y$1004,"&gt;="&amp;_辅助!$J$4,考勤工资!$Y$5:$Y$1004,"&lt;="&amp;_辅助!$J$2)+SUMIFS(考勤工资!$AE$5:$AE$1004,考勤工资!$C$5:$C$1004,往来单位!$B$226,考勤工资!$H$5:$H$1004,$C$3,考勤工资!$Y$5:$Y$1004,"&gt;="&amp;_辅助!$J$4,考勤工资!$Y$5:$Y$1004,"&lt;="&amp;_辅助!$J$2)+SUMIFS(考勤工资!$AF$5:$AF$1004,考勤工资!$C$5:$C$1004,往来单位!$B$226,考勤工资!$J$5:$J$1004,$C$3,考勤工资!$Y$5:$Y$1004,"&gt;="&amp;_辅助!$J$4,考勤工资!$Y$5:$Y$1004,"&lt;="&amp;_辅助!$J$2))</f>
        <v>0</v>
      </c>
      <c r="BE223" s="2">
        <f>BE200+SUM(CB201:CB223)</f>
        <v>0</v>
      </c>
      <c r="BF223" s="2">
        <f>IF(AND($AF$3&gt;0,发票登记!$T$226=$C$3,ISNUMBER(发票登记!$X$226),发票登记!$AB$226&lt;&gt;0,发票登记!$Y$226&gt;=_辅助!$J$4,发票登记!$Y$226&lt;=_辅助!$J$2),INT(发票登记!$X$226)*10000+222,"")</f>
      </c>
      <c r="BG223" s="2">
        <f>IF(AND($AF$3&gt;0,资金流水!$H$227=$C$3,ISNUMBER(资金流水!$B$227),ISNUMBER(资金流水!$S$227),资金流水!$S$227&gt;=_辅助!$J$4,资金流水!$S$227&lt;=_辅助!$J$2),INT(资金流水!$B$227)*10000+222,"")</f>
      </c>
      <c r="BJ223" s="2">
        <f>IF(188&gt;$BG$1,0,MOD(SMALL($BG$2:$BG$2001,188),10000))</f>
        <v>0</v>
      </c>
      <c r="CA223" s="2">
        <f t="shared" si="0"/>
        <v>0</v>
      </c>
      <c r="CB223" s="2">
        <f t="shared" si="1"/>
        <v>0</v>
      </c>
    </row>
    <row r="224">
      <c r="W224" s="95">
        <f t="shared" si="19"/>
      </c>
      <c r="X224" s="94">
        <f t="shared" si="25"/>
      </c>
      <c r="Y224" s="96">
        <f t="shared" si="26"/>
      </c>
      <c r="Z224" s="21">
        <f t="shared" si="20"/>
      </c>
      <c r="AA224" s="21">
        <f t="shared" si="21"/>
      </c>
      <c r="AB224" s="94">
        <f t="shared" si="27"/>
      </c>
      <c r="AC224" s="96">
        <f t="shared" si="28"/>
      </c>
      <c r="AD224" s="94">
        <f t="shared" si="29"/>
      </c>
      <c r="BA224" s="2">
        <f>IF(OR(往来单位!$B$227="",$AF$3=0),0,SUMIFS(期初余额!$R$5:$R$204,期初余额!$P$5:$P$204,往来单位!$B$227,期初余额!$Q$5:$Q$204,$C$3)+SUMIFS(应付登记!$G$5:$G$1004,应付登记!$D$5:$D$1004,往来单位!$B$227,应付登记!$E$5:$E$1004,$C$3,应付登记!$J$5:$J$1004,"&gt;="&amp;_辅助!$J$4,应付登记!$J$5:$J$1004,"&lt;="&amp;_辅助!$J$2))</f>
        <v>0</v>
      </c>
      <c r="BB224" s="2">
        <f>BB200+SUM(CA201:CA224)</f>
        <v>2</v>
      </c>
      <c r="BC224" s="2">
        <f>IF(OR(往来单位!$B$227="",$AF$3=0,NOT(OR(往来单位!$C$227="管理人员",往来单位!$C$227="工人"))),0,SUMIFS(考勤工资!$E$5:$E$1004,考勤工资!$C$5:$C$1004,往来单位!$B$227,考勤工资!$D$5:$D$1004,$C$3,考勤工资!$Y$5:$Y$1004,"&gt;="&amp;_辅助!$J$4,考勤工资!$Y$5:$Y$1004,"&lt;="&amp;_辅助!$J$2)+SUMIFS(考勤工资!$G$5:$G$1004,考勤工资!$C$5:$C$1004,往来单位!$B$227,考勤工资!$F$5:$F$1004,$C$3,考勤工资!$Y$5:$Y$1004,"&gt;="&amp;_辅助!$J$4,考勤工资!$Y$5:$Y$1004,"&lt;="&amp;_辅助!$J$2)+SUMIFS(考勤工资!$I$5:$I$1004,考勤工资!$C$5:$C$1004,往来单位!$B$227,考勤工资!$H$5:$H$1004,$C$3,考勤工资!$Y$5:$Y$1004,"&gt;="&amp;_辅助!$J$4,考勤工资!$Y$5:$Y$1004,"&lt;="&amp;_辅助!$J$2)+SUMIFS(考勤工资!$K$5:$K$1004,考勤工资!$C$5:$C$1004,往来单位!$B$227,考勤工资!$J$5:$J$1004,$C$3,考勤工资!$Y$5:$Y$1004,"&gt;="&amp;_辅助!$J$4,考勤工资!$Y$5:$Y$1004,"&lt;="&amp;_辅助!$J$2))</f>
        <v>0</v>
      </c>
      <c r="BD224" s="2">
        <f>IF(BC224=0,0,SUMIFS(考勤工资!$AC$5:$AC$1004,考勤工资!$C$5:$C$1004,往来单位!$B$227,考勤工资!$D$5:$D$1004,$C$3,考勤工资!$Y$5:$Y$1004,"&gt;="&amp;_辅助!$J$4,考勤工资!$Y$5:$Y$1004,"&lt;="&amp;_辅助!$J$2)+SUMIFS(考勤工资!$AD$5:$AD$1004,考勤工资!$C$5:$C$1004,往来单位!$B$227,考勤工资!$F$5:$F$1004,$C$3,考勤工资!$Y$5:$Y$1004,"&gt;="&amp;_辅助!$J$4,考勤工资!$Y$5:$Y$1004,"&lt;="&amp;_辅助!$J$2)+SUMIFS(考勤工资!$AE$5:$AE$1004,考勤工资!$C$5:$C$1004,往来单位!$B$227,考勤工资!$H$5:$H$1004,$C$3,考勤工资!$Y$5:$Y$1004,"&gt;="&amp;_辅助!$J$4,考勤工资!$Y$5:$Y$1004,"&lt;="&amp;_辅助!$J$2)+SUMIFS(考勤工资!$AF$5:$AF$1004,考勤工资!$C$5:$C$1004,往来单位!$B$227,考勤工资!$J$5:$J$1004,$C$3,考勤工资!$Y$5:$Y$1004,"&gt;="&amp;_辅助!$J$4,考勤工资!$Y$5:$Y$1004,"&lt;="&amp;_辅助!$J$2))</f>
        <v>0</v>
      </c>
      <c r="BE224" s="2">
        <f>BE200+SUM(CB201:CB224)</f>
        <v>0</v>
      </c>
      <c r="BF224" s="2">
        <f>IF(AND($AF$3&gt;0,发票登记!$T$227=$C$3,ISNUMBER(发票登记!$X$227),发票登记!$AB$227&lt;&gt;0,发票登记!$Y$227&gt;=_辅助!$J$4,发票登记!$Y$227&lt;=_辅助!$J$2),INT(发票登记!$X$227)*10000+223,"")</f>
      </c>
      <c r="BG224" s="2">
        <f>IF(AND($AF$3&gt;0,资金流水!$H$228=$C$3,ISNUMBER(资金流水!$B$228),ISNUMBER(资金流水!$S$228),资金流水!$S$228&gt;=_辅助!$J$4,资金流水!$S$228&lt;=_辅助!$J$2),INT(资金流水!$B$228)*10000+223,"")</f>
      </c>
      <c r="BJ224" s="2">
        <f>IF(189&gt;$BG$1,0,MOD(SMALL($BG$2:$BG$2001,189),10000))</f>
        <v>0</v>
      </c>
      <c r="CA224" s="2">
        <f t="shared" si="0"/>
        <v>0</v>
      </c>
      <c r="CB224" s="2">
        <f t="shared" si="1"/>
        <v>0</v>
      </c>
    </row>
    <row r="225">
      <c r="W225" s="95">
        <f t="shared" si="19"/>
      </c>
      <c r="X225" s="94">
        <f t="shared" si="25"/>
      </c>
      <c r="Y225" s="96">
        <f t="shared" si="26"/>
      </c>
      <c r="Z225" s="21">
        <f t="shared" si="20"/>
      </c>
      <c r="AA225" s="21">
        <f t="shared" si="21"/>
      </c>
      <c r="AB225" s="94">
        <f t="shared" si="27"/>
      </c>
      <c r="AC225" s="96">
        <f t="shared" si="28"/>
      </c>
      <c r="AD225" s="94">
        <f t="shared" si="29"/>
      </c>
      <c r="BA225" s="2">
        <f>IF(OR(往来单位!$B$228="",$AF$3=0),0,SUMIFS(期初余额!$R$5:$R$204,期初余额!$P$5:$P$204,往来单位!$B$228,期初余额!$Q$5:$Q$204,$C$3)+SUMIFS(应付登记!$G$5:$G$1004,应付登记!$D$5:$D$1004,往来单位!$B$228,应付登记!$E$5:$E$1004,$C$3,应付登记!$J$5:$J$1004,"&gt;="&amp;_辅助!$J$4,应付登记!$J$5:$J$1004,"&lt;="&amp;_辅助!$J$2))</f>
        <v>0</v>
      </c>
      <c r="BB225" s="2">
        <f>BB200+SUM(CA201:CA225)</f>
        <v>2</v>
      </c>
      <c r="BC225" s="2">
        <f>IF(OR(往来单位!$B$228="",$AF$3=0,NOT(OR(往来单位!$C$228="管理人员",往来单位!$C$228="工人"))),0,SUMIFS(考勤工资!$E$5:$E$1004,考勤工资!$C$5:$C$1004,往来单位!$B$228,考勤工资!$D$5:$D$1004,$C$3,考勤工资!$Y$5:$Y$1004,"&gt;="&amp;_辅助!$J$4,考勤工资!$Y$5:$Y$1004,"&lt;="&amp;_辅助!$J$2)+SUMIFS(考勤工资!$G$5:$G$1004,考勤工资!$C$5:$C$1004,往来单位!$B$228,考勤工资!$F$5:$F$1004,$C$3,考勤工资!$Y$5:$Y$1004,"&gt;="&amp;_辅助!$J$4,考勤工资!$Y$5:$Y$1004,"&lt;="&amp;_辅助!$J$2)+SUMIFS(考勤工资!$I$5:$I$1004,考勤工资!$C$5:$C$1004,往来单位!$B$228,考勤工资!$H$5:$H$1004,$C$3,考勤工资!$Y$5:$Y$1004,"&gt;="&amp;_辅助!$J$4,考勤工资!$Y$5:$Y$1004,"&lt;="&amp;_辅助!$J$2)+SUMIFS(考勤工资!$K$5:$K$1004,考勤工资!$C$5:$C$1004,往来单位!$B$228,考勤工资!$J$5:$J$1004,$C$3,考勤工资!$Y$5:$Y$1004,"&gt;="&amp;_辅助!$J$4,考勤工资!$Y$5:$Y$1004,"&lt;="&amp;_辅助!$J$2))</f>
        <v>0</v>
      </c>
      <c r="BD225" s="2">
        <f>IF(BC225=0,0,SUMIFS(考勤工资!$AC$5:$AC$1004,考勤工资!$C$5:$C$1004,往来单位!$B$228,考勤工资!$D$5:$D$1004,$C$3,考勤工资!$Y$5:$Y$1004,"&gt;="&amp;_辅助!$J$4,考勤工资!$Y$5:$Y$1004,"&lt;="&amp;_辅助!$J$2)+SUMIFS(考勤工资!$AD$5:$AD$1004,考勤工资!$C$5:$C$1004,往来单位!$B$228,考勤工资!$F$5:$F$1004,$C$3,考勤工资!$Y$5:$Y$1004,"&gt;="&amp;_辅助!$J$4,考勤工资!$Y$5:$Y$1004,"&lt;="&amp;_辅助!$J$2)+SUMIFS(考勤工资!$AE$5:$AE$1004,考勤工资!$C$5:$C$1004,往来单位!$B$228,考勤工资!$H$5:$H$1004,$C$3,考勤工资!$Y$5:$Y$1004,"&gt;="&amp;_辅助!$J$4,考勤工资!$Y$5:$Y$1004,"&lt;="&amp;_辅助!$J$2)+SUMIFS(考勤工资!$AF$5:$AF$1004,考勤工资!$C$5:$C$1004,往来单位!$B$228,考勤工资!$J$5:$J$1004,$C$3,考勤工资!$Y$5:$Y$1004,"&gt;="&amp;_辅助!$J$4,考勤工资!$Y$5:$Y$1004,"&lt;="&amp;_辅助!$J$2))</f>
        <v>0</v>
      </c>
      <c r="BE225" s="2">
        <f>BE200+SUM(CB201:CB225)</f>
        <v>0</v>
      </c>
      <c r="BF225" s="2">
        <f>IF(AND($AF$3&gt;0,发票登记!$T$228=$C$3,ISNUMBER(发票登记!$X$228),发票登记!$AB$228&lt;&gt;0,发票登记!$Y$228&gt;=_辅助!$J$4,发票登记!$Y$228&lt;=_辅助!$J$2),INT(发票登记!$X$228)*10000+224,"")</f>
      </c>
      <c r="BG225" s="2">
        <f>IF(AND($AF$3&gt;0,资金流水!$H$229=$C$3,ISNUMBER(资金流水!$B$229),ISNUMBER(资金流水!$S$229),资金流水!$S$229&gt;=_辅助!$J$4,资金流水!$S$229&lt;=_辅助!$J$2),INT(资金流水!$B$229)*10000+224,"")</f>
      </c>
      <c r="BJ225" s="2">
        <f>IF(190&gt;$BG$1,0,MOD(SMALL($BG$2:$BG$2001,190),10000))</f>
        <v>0</v>
      </c>
      <c r="CA225" s="2">
        <f t="shared" si="0"/>
        <v>0</v>
      </c>
      <c r="CB225" s="2">
        <f t="shared" si="1"/>
        <v>0</v>
      </c>
    </row>
    <row r="226">
      <c r="W226" s="95">
        <f t="shared" si="19"/>
      </c>
      <c r="X226" s="94">
        <f t="shared" si="25"/>
      </c>
      <c r="Y226" s="96">
        <f t="shared" si="26"/>
      </c>
      <c r="Z226" s="21">
        <f t="shared" si="20"/>
      </c>
      <c r="AA226" s="21">
        <f t="shared" si="21"/>
      </c>
      <c r="AB226" s="94">
        <f t="shared" si="27"/>
      </c>
      <c r="AC226" s="96">
        <f t="shared" si="28"/>
      </c>
      <c r="AD226" s="94">
        <f t="shared" si="29"/>
      </c>
      <c r="BA226" s="2">
        <f>IF(OR(往来单位!$B$229="",$AF$3=0),0,SUMIFS(期初余额!$R$5:$R$204,期初余额!$P$5:$P$204,往来单位!$B$229,期初余额!$Q$5:$Q$204,$C$3)+SUMIFS(应付登记!$G$5:$G$1004,应付登记!$D$5:$D$1004,往来单位!$B$229,应付登记!$E$5:$E$1004,$C$3,应付登记!$J$5:$J$1004,"&gt;="&amp;_辅助!$J$4,应付登记!$J$5:$J$1004,"&lt;="&amp;_辅助!$J$2))</f>
        <v>0</v>
      </c>
      <c r="BB226" s="2">
        <f>BB200+SUM(CA201:CA226)</f>
        <v>2</v>
      </c>
      <c r="BC226" s="2">
        <f>IF(OR(往来单位!$B$229="",$AF$3=0,NOT(OR(往来单位!$C$229="管理人员",往来单位!$C$229="工人"))),0,SUMIFS(考勤工资!$E$5:$E$1004,考勤工资!$C$5:$C$1004,往来单位!$B$229,考勤工资!$D$5:$D$1004,$C$3,考勤工资!$Y$5:$Y$1004,"&gt;="&amp;_辅助!$J$4,考勤工资!$Y$5:$Y$1004,"&lt;="&amp;_辅助!$J$2)+SUMIFS(考勤工资!$G$5:$G$1004,考勤工资!$C$5:$C$1004,往来单位!$B$229,考勤工资!$F$5:$F$1004,$C$3,考勤工资!$Y$5:$Y$1004,"&gt;="&amp;_辅助!$J$4,考勤工资!$Y$5:$Y$1004,"&lt;="&amp;_辅助!$J$2)+SUMIFS(考勤工资!$I$5:$I$1004,考勤工资!$C$5:$C$1004,往来单位!$B$229,考勤工资!$H$5:$H$1004,$C$3,考勤工资!$Y$5:$Y$1004,"&gt;="&amp;_辅助!$J$4,考勤工资!$Y$5:$Y$1004,"&lt;="&amp;_辅助!$J$2)+SUMIFS(考勤工资!$K$5:$K$1004,考勤工资!$C$5:$C$1004,往来单位!$B$229,考勤工资!$J$5:$J$1004,$C$3,考勤工资!$Y$5:$Y$1004,"&gt;="&amp;_辅助!$J$4,考勤工资!$Y$5:$Y$1004,"&lt;="&amp;_辅助!$J$2))</f>
        <v>0</v>
      </c>
      <c r="BD226" s="2">
        <f>IF(BC226=0,0,SUMIFS(考勤工资!$AC$5:$AC$1004,考勤工资!$C$5:$C$1004,往来单位!$B$229,考勤工资!$D$5:$D$1004,$C$3,考勤工资!$Y$5:$Y$1004,"&gt;="&amp;_辅助!$J$4,考勤工资!$Y$5:$Y$1004,"&lt;="&amp;_辅助!$J$2)+SUMIFS(考勤工资!$AD$5:$AD$1004,考勤工资!$C$5:$C$1004,往来单位!$B$229,考勤工资!$F$5:$F$1004,$C$3,考勤工资!$Y$5:$Y$1004,"&gt;="&amp;_辅助!$J$4,考勤工资!$Y$5:$Y$1004,"&lt;="&amp;_辅助!$J$2)+SUMIFS(考勤工资!$AE$5:$AE$1004,考勤工资!$C$5:$C$1004,往来单位!$B$229,考勤工资!$H$5:$H$1004,$C$3,考勤工资!$Y$5:$Y$1004,"&gt;="&amp;_辅助!$J$4,考勤工资!$Y$5:$Y$1004,"&lt;="&amp;_辅助!$J$2)+SUMIFS(考勤工资!$AF$5:$AF$1004,考勤工资!$C$5:$C$1004,往来单位!$B$229,考勤工资!$J$5:$J$1004,$C$3,考勤工资!$Y$5:$Y$1004,"&gt;="&amp;_辅助!$J$4,考勤工资!$Y$5:$Y$1004,"&lt;="&amp;_辅助!$J$2))</f>
        <v>0</v>
      </c>
      <c r="BE226" s="2">
        <f>BE200+SUM(CB201:CB226)</f>
        <v>0</v>
      </c>
      <c r="BF226" s="2">
        <f>IF(AND($AF$3&gt;0,发票登记!$T$229=$C$3,ISNUMBER(发票登记!$X$229),发票登记!$AB$229&lt;&gt;0,发票登记!$Y$229&gt;=_辅助!$J$4,发票登记!$Y$229&lt;=_辅助!$J$2),INT(发票登记!$X$229)*10000+225,"")</f>
      </c>
      <c r="BG226" s="2">
        <f>IF(AND($AF$3&gt;0,资金流水!$H$230=$C$3,ISNUMBER(资金流水!$B$230),ISNUMBER(资金流水!$S$230),资金流水!$S$230&gt;=_辅助!$J$4,资金流水!$S$230&lt;=_辅助!$J$2),INT(资金流水!$B$230)*10000+225,"")</f>
      </c>
      <c r="BJ226" s="2">
        <f>IF(191&gt;$BG$1,0,MOD(SMALL($BG$2:$BG$2001,191),10000))</f>
        <v>0</v>
      </c>
      <c r="CA226" s="2">
        <f t="shared" si="0"/>
        <v>0</v>
      </c>
      <c r="CB226" s="2">
        <f t="shared" si="1"/>
        <v>0</v>
      </c>
    </row>
    <row r="227">
      <c r="W227" s="95">
        <f t="shared" si="19"/>
      </c>
      <c r="X227" s="94">
        <f t="shared" si="25"/>
      </c>
      <c r="Y227" s="96">
        <f t="shared" si="26"/>
      </c>
      <c r="Z227" s="21">
        <f t="shared" si="20"/>
      </c>
      <c r="AA227" s="21">
        <f t="shared" si="21"/>
      </c>
      <c r="AB227" s="94">
        <f t="shared" si="27"/>
      </c>
      <c r="AC227" s="96">
        <f t="shared" si="28"/>
      </c>
      <c r="AD227" s="94">
        <f t="shared" si="29"/>
      </c>
      <c r="BA227" s="2">
        <f>IF(OR(往来单位!$B$230="",$AF$3=0),0,SUMIFS(期初余额!$R$5:$R$204,期初余额!$P$5:$P$204,往来单位!$B$230,期初余额!$Q$5:$Q$204,$C$3)+SUMIFS(应付登记!$G$5:$G$1004,应付登记!$D$5:$D$1004,往来单位!$B$230,应付登记!$E$5:$E$1004,$C$3,应付登记!$J$5:$J$1004,"&gt;="&amp;_辅助!$J$4,应付登记!$J$5:$J$1004,"&lt;="&amp;_辅助!$J$2))</f>
        <v>0</v>
      </c>
      <c r="BB227" s="2">
        <f>BB200+SUM(CA201:CA227)</f>
        <v>2</v>
      </c>
      <c r="BC227" s="2">
        <f>IF(OR(往来单位!$B$230="",$AF$3=0,NOT(OR(往来单位!$C$230="管理人员",往来单位!$C$230="工人"))),0,SUMIFS(考勤工资!$E$5:$E$1004,考勤工资!$C$5:$C$1004,往来单位!$B$230,考勤工资!$D$5:$D$1004,$C$3,考勤工资!$Y$5:$Y$1004,"&gt;="&amp;_辅助!$J$4,考勤工资!$Y$5:$Y$1004,"&lt;="&amp;_辅助!$J$2)+SUMIFS(考勤工资!$G$5:$G$1004,考勤工资!$C$5:$C$1004,往来单位!$B$230,考勤工资!$F$5:$F$1004,$C$3,考勤工资!$Y$5:$Y$1004,"&gt;="&amp;_辅助!$J$4,考勤工资!$Y$5:$Y$1004,"&lt;="&amp;_辅助!$J$2)+SUMIFS(考勤工资!$I$5:$I$1004,考勤工资!$C$5:$C$1004,往来单位!$B$230,考勤工资!$H$5:$H$1004,$C$3,考勤工资!$Y$5:$Y$1004,"&gt;="&amp;_辅助!$J$4,考勤工资!$Y$5:$Y$1004,"&lt;="&amp;_辅助!$J$2)+SUMIFS(考勤工资!$K$5:$K$1004,考勤工资!$C$5:$C$1004,往来单位!$B$230,考勤工资!$J$5:$J$1004,$C$3,考勤工资!$Y$5:$Y$1004,"&gt;="&amp;_辅助!$J$4,考勤工资!$Y$5:$Y$1004,"&lt;="&amp;_辅助!$J$2))</f>
        <v>0</v>
      </c>
      <c r="BD227" s="2">
        <f>IF(BC227=0,0,SUMIFS(考勤工资!$AC$5:$AC$1004,考勤工资!$C$5:$C$1004,往来单位!$B$230,考勤工资!$D$5:$D$1004,$C$3,考勤工资!$Y$5:$Y$1004,"&gt;="&amp;_辅助!$J$4,考勤工资!$Y$5:$Y$1004,"&lt;="&amp;_辅助!$J$2)+SUMIFS(考勤工资!$AD$5:$AD$1004,考勤工资!$C$5:$C$1004,往来单位!$B$230,考勤工资!$F$5:$F$1004,$C$3,考勤工资!$Y$5:$Y$1004,"&gt;="&amp;_辅助!$J$4,考勤工资!$Y$5:$Y$1004,"&lt;="&amp;_辅助!$J$2)+SUMIFS(考勤工资!$AE$5:$AE$1004,考勤工资!$C$5:$C$1004,往来单位!$B$230,考勤工资!$H$5:$H$1004,$C$3,考勤工资!$Y$5:$Y$1004,"&gt;="&amp;_辅助!$J$4,考勤工资!$Y$5:$Y$1004,"&lt;="&amp;_辅助!$J$2)+SUMIFS(考勤工资!$AF$5:$AF$1004,考勤工资!$C$5:$C$1004,往来单位!$B$230,考勤工资!$J$5:$J$1004,$C$3,考勤工资!$Y$5:$Y$1004,"&gt;="&amp;_辅助!$J$4,考勤工资!$Y$5:$Y$1004,"&lt;="&amp;_辅助!$J$2))</f>
        <v>0</v>
      </c>
      <c r="BE227" s="2">
        <f>BE200+SUM(CB201:CB227)</f>
        <v>0</v>
      </c>
      <c r="BF227" s="2">
        <f>IF(AND($AF$3&gt;0,发票登记!$T$230=$C$3,ISNUMBER(发票登记!$X$230),发票登记!$AB$230&lt;&gt;0,发票登记!$Y$230&gt;=_辅助!$J$4,发票登记!$Y$230&lt;=_辅助!$J$2),INT(发票登记!$X$230)*10000+226,"")</f>
      </c>
      <c r="BG227" s="2">
        <f>IF(AND($AF$3&gt;0,资金流水!$H$231=$C$3,ISNUMBER(资金流水!$B$231),ISNUMBER(资金流水!$S$231),资金流水!$S$231&gt;=_辅助!$J$4,资金流水!$S$231&lt;=_辅助!$J$2),INT(资金流水!$B$231)*10000+226,"")</f>
      </c>
      <c r="BJ227" s="2">
        <f>IF(192&gt;$BG$1,0,MOD(SMALL($BG$2:$BG$2001,192),10000))</f>
        <v>0</v>
      </c>
      <c r="CA227" s="2">
        <f t="shared" si="0"/>
        <v>0</v>
      </c>
      <c r="CB227" s="2">
        <f t="shared" si="1"/>
        <v>0</v>
      </c>
    </row>
    <row r="228">
      <c r="W228" s="95">
        <f t="shared" si="19"/>
      </c>
      <c r="X228" s="94">
        <f t="shared" si="25"/>
      </c>
      <c r="Y228" s="96">
        <f t="shared" si="26"/>
      </c>
      <c r="Z228" s="21">
        <f t="shared" si="20"/>
      </c>
      <c r="AA228" s="21">
        <f t="shared" si="21"/>
      </c>
      <c r="AB228" s="94">
        <f t="shared" si="27"/>
      </c>
      <c r="AC228" s="96">
        <f t="shared" si="28"/>
      </c>
      <c r="AD228" s="94">
        <f t="shared" si="29"/>
      </c>
      <c r="BA228" s="2">
        <f>IF(OR(往来单位!$B$231="",$AF$3=0),0,SUMIFS(期初余额!$R$5:$R$204,期初余额!$P$5:$P$204,往来单位!$B$231,期初余额!$Q$5:$Q$204,$C$3)+SUMIFS(应付登记!$G$5:$G$1004,应付登记!$D$5:$D$1004,往来单位!$B$231,应付登记!$E$5:$E$1004,$C$3,应付登记!$J$5:$J$1004,"&gt;="&amp;_辅助!$J$4,应付登记!$J$5:$J$1004,"&lt;="&amp;_辅助!$J$2))</f>
        <v>0</v>
      </c>
      <c r="BB228" s="2">
        <f>BB200+SUM(CA201:CA228)</f>
        <v>2</v>
      </c>
      <c r="BC228" s="2">
        <f>IF(OR(往来单位!$B$231="",$AF$3=0,NOT(OR(往来单位!$C$231="管理人员",往来单位!$C$231="工人"))),0,SUMIFS(考勤工资!$E$5:$E$1004,考勤工资!$C$5:$C$1004,往来单位!$B$231,考勤工资!$D$5:$D$1004,$C$3,考勤工资!$Y$5:$Y$1004,"&gt;="&amp;_辅助!$J$4,考勤工资!$Y$5:$Y$1004,"&lt;="&amp;_辅助!$J$2)+SUMIFS(考勤工资!$G$5:$G$1004,考勤工资!$C$5:$C$1004,往来单位!$B$231,考勤工资!$F$5:$F$1004,$C$3,考勤工资!$Y$5:$Y$1004,"&gt;="&amp;_辅助!$J$4,考勤工资!$Y$5:$Y$1004,"&lt;="&amp;_辅助!$J$2)+SUMIFS(考勤工资!$I$5:$I$1004,考勤工资!$C$5:$C$1004,往来单位!$B$231,考勤工资!$H$5:$H$1004,$C$3,考勤工资!$Y$5:$Y$1004,"&gt;="&amp;_辅助!$J$4,考勤工资!$Y$5:$Y$1004,"&lt;="&amp;_辅助!$J$2)+SUMIFS(考勤工资!$K$5:$K$1004,考勤工资!$C$5:$C$1004,往来单位!$B$231,考勤工资!$J$5:$J$1004,$C$3,考勤工资!$Y$5:$Y$1004,"&gt;="&amp;_辅助!$J$4,考勤工资!$Y$5:$Y$1004,"&lt;="&amp;_辅助!$J$2))</f>
        <v>0</v>
      </c>
      <c r="BD228" s="2">
        <f>IF(BC228=0,0,SUMIFS(考勤工资!$AC$5:$AC$1004,考勤工资!$C$5:$C$1004,往来单位!$B$231,考勤工资!$D$5:$D$1004,$C$3,考勤工资!$Y$5:$Y$1004,"&gt;="&amp;_辅助!$J$4,考勤工资!$Y$5:$Y$1004,"&lt;="&amp;_辅助!$J$2)+SUMIFS(考勤工资!$AD$5:$AD$1004,考勤工资!$C$5:$C$1004,往来单位!$B$231,考勤工资!$F$5:$F$1004,$C$3,考勤工资!$Y$5:$Y$1004,"&gt;="&amp;_辅助!$J$4,考勤工资!$Y$5:$Y$1004,"&lt;="&amp;_辅助!$J$2)+SUMIFS(考勤工资!$AE$5:$AE$1004,考勤工资!$C$5:$C$1004,往来单位!$B$231,考勤工资!$H$5:$H$1004,$C$3,考勤工资!$Y$5:$Y$1004,"&gt;="&amp;_辅助!$J$4,考勤工资!$Y$5:$Y$1004,"&lt;="&amp;_辅助!$J$2)+SUMIFS(考勤工资!$AF$5:$AF$1004,考勤工资!$C$5:$C$1004,往来单位!$B$231,考勤工资!$J$5:$J$1004,$C$3,考勤工资!$Y$5:$Y$1004,"&gt;="&amp;_辅助!$J$4,考勤工资!$Y$5:$Y$1004,"&lt;="&amp;_辅助!$J$2))</f>
        <v>0</v>
      </c>
      <c r="BE228" s="2">
        <f>BE200+SUM(CB201:CB228)</f>
        <v>0</v>
      </c>
      <c r="BF228" s="2">
        <f>IF(AND($AF$3&gt;0,发票登记!$T$231=$C$3,ISNUMBER(发票登记!$X$231),发票登记!$AB$231&lt;&gt;0,发票登记!$Y$231&gt;=_辅助!$J$4,发票登记!$Y$231&lt;=_辅助!$J$2),INT(发票登记!$X$231)*10000+227,"")</f>
      </c>
      <c r="BG228" s="2">
        <f>IF(AND($AF$3&gt;0,资金流水!$H$232=$C$3,ISNUMBER(资金流水!$B$232),ISNUMBER(资金流水!$S$232),资金流水!$S$232&gt;=_辅助!$J$4,资金流水!$S$232&lt;=_辅助!$J$2),INT(资金流水!$B$232)*10000+227,"")</f>
      </c>
      <c r="BJ228" s="2">
        <f>IF(193&gt;$BG$1,0,MOD(SMALL($BG$2:$BG$2001,193),10000))</f>
        <v>0</v>
      </c>
      <c r="CA228" s="2">
        <f t="shared" si="0"/>
        <v>0</v>
      </c>
      <c r="CB228" s="2">
        <f t="shared" si="1"/>
        <v>0</v>
      </c>
    </row>
    <row r="229">
      <c r="W229" s="95">
        <f t="shared" si="19"/>
      </c>
      <c r="X229" s="94">
        <f t="shared" si="25"/>
      </c>
      <c r="Y229" s="96">
        <f t="shared" si="26"/>
      </c>
      <c r="Z229" s="21">
        <f t="shared" si="20"/>
      </c>
      <c r="AA229" s="21">
        <f t="shared" si="21"/>
      </c>
      <c r="AB229" s="94">
        <f t="shared" si="27"/>
      </c>
      <c r="AC229" s="96">
        <f t="shared" si="28"/>
      </c>
      <c r="AD229" s="94">
        <f t="shared" si="29"/>
      </c>
      <c r="BA229" s="2">
        <f>IF(OR(往来单位!$B$232="",$AF$3=0),0,SUMIFS(期初余额!$R$5:$R$204,期初余额!$P$5:$P$204,往来单位!$B$232,期初余额!$Q$5:$Q$204,$C$3)+SUMIFS(应付登记!$G$5:$G$1004,应付登记!$D$5:$D$1004,往来单位!$B$232,应付登记!$E$5:$E$1004,$C$3,应付登记!$J$5:$J$1004,"&gt;="&amp;_辅助!$J$4,应付登记!$J$5:$J$1004,"&lt;="&amp;_辅助!$J$2))</f>
        <v>0</v>
      </c>
      <c r="BB229" s="2">
        <f>BB200+SUM(CA201:CA229)</f>
        <v>2</v>
      </c>
      <c r="BC229" s="2">
        <f>IF(OR(往来单位!$B$232="",$AF$3=0,NOT(OR(往来单位!$C$232="管理人员",往来单位!$C$232="工人"))),0,SUMIFS(考勤工资!$E$5:$E$1004,考勤工资!$C$5:$C$1004,往来单位!$B$232,考勤工资!$D$5:$D$1004,$C$3,考勤工资!$Y$5:$Y$1004,"&gt;="&amp;_辅助!$J$4,考勤工资!$Y$5:$Y$1004,"&lt;="&amp;_辅助!$J$2)+SUMIFS(考勤工资!$G$5:$G$1004,考勤工资!$C$5:$C$1004,往来单位!$B$232,考勤工资!$F$5:$F$1004,$C$3,考勤工资!$Y$5:$Y$1004,"&gt;="&amp;_辅助!$J$4,考勤工资!$Y$5:$Y$1004,"&lt;="&amp;_辅助!$J$2)+SUMIFS(考勤工资!$I$5:$I$1004,考勤工资!$C$5:$C$1004,往来单位!$B$232,考勤工资!$H$5:$H$1004,$C$3,考勤工资!$Y$5:$Y$1004,"&gt;="&amp;_辅助!$J$4,考勤工资!$Y$5:$Y$1004,"&lt;="&amp;_辅助!$J$2)+SUMIFS(考勤工资!$K$5:$K$1004,考勤工资!$C$5:$C$1004,往来单位!$B$232,考勤工资!$J$5:$J$1004,$C$3,考勤工资!$Y$5:$Y$1004,"&gt;="&amp;_辅助!$J$4,考勤工资!$Y$5:$Y$1004,"&lt;="&amp;_辅助!$J$2))</f>
        <v>0</v>
      </c>
      <c r="BD229" s="2">
        <f>IF(BC229=0,0,SUMIFS(考勤工资!$AC$5:$AC$1004,考勤工资!$C$5:$C$1004,往来单位!$B$232,考勤工资!$D$5:$D$1004,$C$3,考勤工资!$Y$5:$Y$1004,"&gt;="&amp;_辅助!$J$4,考勤工资!$Y$5:$Y$1004,"&lt;="&amp;_辅助!$J$2)+SUMIFS(考勤工资!$AD$5:$AD$1004,考勤工资!$C$5:$C$1004,往来单位!$B$232,考勤工资!$F$5:$F$1004,$C$3,考勤工资!$Y$5:$Y$1004,"&gt;="&amp;_辅助!$J$4,考勤工资!$Y$5:$Y$1004,"&lt;="&amp;_辅助!$J$2)+SUMIFS(考勤工资!$AE$5:$AE$1004,考勤工资!$C$5:$C$1004,往来单位!$B$232,考勤工资!$H$5:$H$1004,$C$3,考勤工资!$Y$5:$Y$1004,"&gt;="&amp;_辅助!$J$4,考勤工资!$Y$5:$Y$1004,"&lt;="&amp;_辅助!$J$2)+SUMIFS(考勤工资!$AF$5:$AF$1004,考勤工资!$C$5:$C$1004,往来单位!$B$232,考勤工资!$J$5:$J$1004,$C$3,考勤工资!$Y$5:$Y$1004,"&gt;="&amp;_辅助!$J$4,考勤工资!$Y$5:$Y$1004,"&lt;="&amp;_辅助!$J$2))</f>
        <v>0</v>
      </c>
      <c r="BE229" s="2">
        <f>BE200+SUM(CB201:CB229)</f>
        <v>0</v>
      </c>
      <c r="BF229" s="2">
        <f>IF(AND($AF$3&gt;0,发票登记!$T$232=$C$3,ISNUMBER(发票登记!$X$232),发票登记!$AB$232&lt;&gt;0,发票登记!$Y$232&gt;=_辅助!$J$4,发票登记!$Y$232&lt;=_辅助!$J$2),INT(发票登记!$X$232)*10000+228,"")</f>
      </c>
      <c r="BG229" s="2">
        <f>IF(AND($AF$3&gt;0,资金流水!$H$233=$C$3,ISNUMBER(资金流水!$B$233),ISNUMBER(资金流水!$S$233),资金流水!$S$233&gt;=_辅助!$J$4,资金流水!$S$233&lt;=_辅助!$J$2),INT(资金流水!$B$233)*10000+228,"")</f>
      </c>
      <c r="BJ229" s="2">
        <f>IF(194&gt;$BG$1,0,MOD(SMALL($BG$2:$BG$2001,194),10000))</f>
        <v>0</v>
      </c>
      <c r="CA229" s="2">
        <f t="shared" si="0"/>
        <v>0</v>
      </c>
      <c r="CB229" s="2">
        <f t="shared" si="1"/>
        <v>0</v>
      </c>
    </row>
    <row r="230">
      <c r="W230" s="95">
        <f t="shared" si="19"/>
      </c>
      <c r="X230" s="94">
        <f t="shared" si="25"/>
      </c>
      <c r="Y230" s="96">
        <f t="shared" si="26"/>
      </c>
      <c r="Z230" s="21">
        <f t="shared" si="20"/>
      </c>
      <c r="AA230" s="21">
        <f t="shared" si="21"/>
      </c>
      <c r="AB230" s="94">
        <f t="shared" si="27"/>
      </c>
      <c r="AC230" s="96">
        <f t="shared" si="28"/>
      </c>
      <c r="AD230" s="94">
        <f t="shared" si="29"/>
      </c>
      <c r="BA230" s="2">
        <f>IF(OR(往来单位!$B$233="",$AF$3=0),0,SUMIFS(期初余额!$R$5:$R$204,期初余额!$P$5:$P$204,往来单位!$B$233,期初余额!$Q$5:$Q$204,$C$3)+SUMIFS(应付登记!$G$5:$G$1004,应付登记!$D$5:$D$1004,往来单位!$B$233,应付登记!$E$5:$E$1004,$C$3,应付登记!$J$5:$J$1004,"&gt;="&amp;_辅助!$J$4,应付登记!$J$5:$J$1004,"&lt;="&amp;_辅助!$J$2))</f>
        <v>0</v>
      </c>
      <c r="BB230" s="2">
        <f>BB200+SUM(CA201:CA230)</f>
        <v>2</v>
      </c>
      <c r="BC230" s="2">
        <f>IF(OR(往来单位!$B$233="",$AF$3=0,NOT(OR(往来单位!$C$233="管理人员",往来单位!$C$233="工人"))),0,SUMIFS(考勤工资!$E$5:$E$1004,考勤工资!$C$5:$C$1004,往来单位!$B$233,考勤工资!$D$5:$D$1004,$C$3,考勤工资!$Y$5:$Y$1004,"&gt;="&amp;_辅助!$J$4,考勤工资!$Y$5:$Y$1004,"&lt;="&amp;_辅助!$J$2)+SUMIFS(考勤工资!$G$5:$G$1004,考勤工资!$C$5:$C$1004,往来单位!$B$233,考勤工资!$F$5:$F$1004,$C$3,考勤工资!$Y$5:$Y$1004,"&gt;="&amp;_辅助!$J$4,考勤工资!$Y$5:$Y$1004,"&lt;="&amp;_辅助!$J$2)+SUMIFS(考勤工资!$I$5:$I$1004,考勤工资!$C$5:$C$1004,往来单位!$B$233,考勤工资!$H$5:$H$1004,$C$3,考勤工资!$Y$5:$Y$1004,"&gt;="&amp;_辅助!$J$4,考勤工资!$Y$5:$Y$1004,"&lt;="&amp;_辅助!$J$2)+SUMIFS(考勤工资!$K$5:$K$1004,考勤工资!$C$5:$C$1004,往来单位!$B$233,考勤工资!$J$5:$J$1004,$C$3,考勤工资!$Y$5:$Y$1004,"&gt;="&amp;_辅助!$J$4,考勤工资!$Y$5:$Y$1004,"&lt;="&amp;_辅助!$J$2))</f>
        <v>0</v>
      </c>
      <c r="BD230" s="2">
        <f>IF(BC230=0,0,SUMIFS(考勤工资!$AC$5:$AC$1004,考勤工资!$C$5:$C$1004,往来单位!$B$233,考勤工资!$D$5:$D$1004,$C$3,考勤工资!$Y$5:$Y$1004,"&gt;="&amp;_辅助!$J$4,考勤工资!$Y$5:$Y$1004,"&lt;="&amp;_辅助!$J$2)+SUMIFS(考勤工资!$AD$5:$AD$1004,考勤工资!$C$5:$C$1004,往来单位!$B$233,考勤工资!$F$5:$F$1004,$C$3,考勤工资!$Y$5:$Y$1004,"&gt;="&amp;_辅助!$J$4,考勤工资!$Y$5:$Y$1004,"&lt;="&amp;_辅助!$J$2)+SUMIFS(考勤工资!$AE$5:$AE$1004,考勤工资!$C$5:$C$1004,往来单位!$B$233,考勤工资!$H$5:$H$1004,$C$3,考勤工资!$Y$5:$Y$1004,"&gt;="&amp;_辅助!$J$4,考勤工资!$Y$5:$Y$1004,"&lt;="&amp;_辅助!$J$2)+SUMIFS(考勤工资!$AF$5:$AF$1004,考勤工资!$C$5:$C$1004,往来单位!$B$233,考勤工资!$J$5:$J$1004,$C$3,考勤工资!$Y$5:$Y$1004,"&gt;="&amp;_辅助!$J$4,考勤工资!$Y$5:$Y$1004,"&lt;="&amp;_辅助!$J$2))</f>
        <v>0</v>
      </c>
      <c r="BE230" s="2">
        <f>BE200+SUM(CB201:CB230)</f>
        <v>0</v>
      </c>
      <c r="BF230" s="2">
        <f>IF(AND($AF$3&gt;0,发票登记!$T$233=$C$3,ISNUMBER(发票登记!$X$233),发票登记!$AB$233&lt;&gt;0,发票登记!$Y$233&gt;=_辅助!$J$4,发票登记!$Y$233&lt;=_辅助!$J$2),INT(发票登记!$X$233)*10000+229,"")</f>
      </c>
      <c r="BG230" s="2">
        <f>IF(AND($AF$3&gt;0,资金流水!$H$234=$C$3,ISNUMBER(资金流水!$B$234),ISNUMBER(资金流水!$S$234),资金流水!$S$234&gt;=_辅助!$J$4,资金流水!$S$234&lt;=_辅助!$J$2),INT(资金流水!$B$234)*10000+229,"")</f>
      </c>
      <c r="BJ230" s="2">
        <f>IF(195&gt;$BG$1,0,MOD(SMALL($BG$2:$BG$2001,195),10000))</f>
        <v>0</v>
      </c>
      <c r="CA230" s="2">
        <f t="shared" si="0"/>
        <v>0</v>
      </c>
      <c r="CB230" s="2">
        <f t="shared" si="1"/>
        <v>0</v>
      </c>
    </row>
    <row r="231">
      <c r="W231" s="95">
        <f t="shared" si="19"/>
      </c>
      <c r="X231" s="94">
        <f t="shared" si="25"/>
      </c>
      <c r="Y231" s="96">
        <f t="shared" si="26"/>
      </c>
      <c r="Z231" s="21">
        <f t="shared" si="20"/>
      </c>
      <c r="AA231" s="21">
        <f t="shared" si="21"/>
      </c>
      <c r="AB231" s="94">
        <f t="shared" si="27"/>
      </c>
      <c r="AC231" s="96">
        <f t="shared" si="28"/>
      </c>
      <c r="AD231" s="94">
        <f t="shared" si="29"/>
      </c>
      <c r="BA231" s="2">
        <f>IF(OR(往来单位!$B$234="",$AF$3=0),0,SUMIFS(期初余额!$R$5:$R$204,期初余额!$P$5:$P$204,往来单位!$B$234,期初余额!$Q$5:$Q$204,$C$3)+SUMIFS(应付登记!$G$5:$G$1004,应付登记!$D$5:$D$1004,往来单位!$B$234,应付登记!$E$5:$E$1004,$C$3,应付登记!$J$5:$J$1004,"&gt;="&amp;_辅助!$J$4,应付登记!$J$5:$J$1004,"&lt;="&amp;_辅助!$J$2))</f>
        <v>0</v>
      </c>
      <c r="BB231" s="2">
        <f>BB200+SUM(CA201:CA231)</f>
        <v>2</v>
      </c>
      <c r="BC231" s="2">
        <f>IF(OR(往来单位!$B$234="",$AF$3=0,NOT(OR(往来单位!$C$234="管理人员",往来单位!$C$234="工人"))),0,SUMIFS(考勤工资!$E$5:$E$1004,考勤工资!$C$5:$C$1004,往来单位!$B$234,考勤工资!$D$5:$D$1004,$C$3,考勤工资!$Y$5:$Y$1004,"&gt;="&amp;_辅助!$J$4,考勤工资!$Y$5:$Y$1004,"&lt;="&amp;_辅助!$J$2)+SUMIFS(考勤工资!$G$5:$G$1004,考勤工资!$C$5:$C$1004,往来单位!$B$234,考勤工资!$F$5:$F$1004,$C$3,考勤工资!$Y$5:$Y$1004,"&gt;="&amp;_辅助!$J$4,考勤工资!$Y$5:$Y$1004,"&lt;="&amp;_辅助!$J$2)+SUMIFS(考勤工资!$I$5:$I$1004,考勤工资!$C$5:$C$1004,往来单位!$B$234,考勤工资!$H$5:$H$1004,$C$3,考勤工资!$Y$5:$Y$1004,"&gt;="&amp;_辅助!$J$4,考勤工资!$Y$5:$Y$1004,"&lt;="&amp;_辅助!$J$2)+SUMIFS(考勤工资!$K$5:$K$1004,考勤工资!$C$5:$C$1004,往来单位!$B$234,考勤工资!$J$5:$J$1004,$C$3,考勤工资!$Y$5:$Y$1004,"&gt;="&amp;_辅助!$J$4,考勤工资!$Y$5:$Y$1004,"&lt;="&amp;_辅助!$J$2))</f>
        <v>0</v>
      </c>
      <c r="BD231" s="2">
        <f>IF(BC231=0,0,SUMIFS(考勤工资!$AC$5:$AC$1004,考勤工资!$C$5:$C$1004,往来单位!$B$234,考勤工资!$D$5:$D$1004,$C$3,考勤工资!$Y$5:$Y$1004,"&gt;="&amp;_辅助!$J$4,考勤工资!$Y$5:$Y$1004,"&lt;="&amp;_辅助!$J$2)+SUMIFS(考勤工资!$AD$5:$AD$1004,考勤工资!$C$5:$C$1004,往来单位!$B$234,考勤工资!$F$5:$F$1004,$C$3,考勤工资!$Y$5:$Y$1004,"&gt;="&amp;_辅助!$J$4,考勤工资!$Y$5:$Y$1004,"&lt;="&amp;_辅助!$J$2)+SUMIFS(考勤工资!$AE$5:$AE$1004,考勤工资!$C$5:$C$1004,往来单位!$B$234,考勤工资!$H$5:$H$1004,$C$3,考勤工资!$Y$5:$Y$1004,"&gt;="&amp;_辅助!$J$4,考勤工资!$Y$5:$Y$1004,"&lt;="&amp;_辅助!$J$2)+SUMIFS(考勤工资!$AF$5:$AF$1004,考勤工资!$C$5:$C$1004,往来单位!$B$234,考勤工资!$J$5:$J$1004,$C$3,考勤工资!$Y$5:$Y$1004,"&gt;="&amp;_辅助!$J$4,考勤工资!$Y$5:$Y$1004,"&lt;="&amp;_辅助!$J$2))</f>
        <v>0</v>
      </c>
      <c r="BE231" s="2">
        <f>BE200+SUM(CB201:CB231)</f>
        <v>0</v>
      </c>
      <c r="BF231" s="2">
        <f>IF(AND($AF$3&gt;0,发票登记!$T$234=$C$3,ISNUMBER(发票登记!$X$234),发票登记!$AB$234&lt;&gt;0,发票登记!$Y$234&gt;=_辅助!$J$4,发票登记!$Y$234&lt;=_辅助!$J$2),INT(发票登记!$X$234)*10000+230,"")</f>
      </c>
      <c r="BG231" s="2">
        <f>IF(AND($AF$3&gt;0,资金流水!$H$235=$C$3,ISNUMBER(资金流水!$B$235),ISNUMBER(资金流水!$S$235),资金流水!$S$235&gt;=_辅助!$J$4,资金流水!$S$235&lt;=_辅助!$J$2),INT(资金流水!$B$235)*10000+230,"")</f>
      </c>
      <c r="BJ231" s="2">
        <f>IF(196&gt;$BG$1,0,MOD(SMALL($BG$2:$BG$2001,196),10000))</f>
        <v>0</v>
      </c>
      <c r="CA231" s="2">
        <f t="shared" si="0"/>
        <v>0</v>
      </c>
      <c r="CB231" s="2">
        <f t="shared" si="1"/>
        <v>0</v>
      </c>
    </row>
    <row r="232">
      <c r="W232" s="95">
        <f t="shared" si="19"/>
      </c>
      <c r="X232" s="94">
        <f t="shared" si="25"/>
      </c>
      <c r="Y232" s="96">
        <f t="shared" si="26"/>
      </c>
      <c r="Z232" s="21">
        <f t="shared" si="20"/>
      </c>
      <c r="AA232" s="21">
        <f t="shared" si="21"/>
      </c>
      <c r="AB232" s="94">
        <f t="shared" si="27"/>
      </c>
      <c r="AC232" s="96">
        <f t="shared" si="28"/>
      </c>
      <c r="AD232" s="94">
        <f t="shared" si="29"/>
      </c>
      <c r="BA232" s="2">
        <f>IF(OR(往来单位!$B$235="",$AF$3=0),0,SUMIFS(期初余额!$R$5:$R$204,期初余额!$P$5:$P$204,往来单位!$B$235,期初余额!$Q$5:$Q$204,$C$3)+SUMIFS(应付登记!$G$5:$G$1004,应付登记!$D$5:$D$1004,往来单位!$B$235,应付登记!$E$5:$E$1004,$C$3,应付登记!$J$5:$J$1004,"&gt;="&amp;_辅助!$J$4,应付登记!$J$5:$J$1004,"&lt;="&amp;_辅助!$J$2))</f>
        <v>0</v>
      </c>
      <c r="BB232" s="2">
        <f>BB200+SUM(CA201:CA232)</f>
        <v>2</v>
      </c>
      <c r="BC232" s="2">
        <f>IF(OR(往来单位!$B$235="",$AF$3=0,NOT(OR(往来单位!$C$235="管理人员",往来单位!$C$235="工人"))),0,SUMIFS(考勤工资!$E$5:$E$1004,考勤工资!$C$5:$C$1004,往来单位!$B$235,考勤工资!$D$5:$D$1004,$C$3,考勤工资!$Y$5:$Y$1004,"&gt;="&amp;_辅助!$J$4,考勤工资!$Y$5:$Y$1004,"&lt;="&amp;_辅助!$J$2)+SUMIFS(考勤工资!$G$5:$G$1004,考勤工资!$C$5:$C$1004,往来单位!$B$235,考勤工资!$F$5:$F$1004,$C$3,考勤工资!$Y$5:$Y$1004,"&gt;="&amp;_辅助!$J$4,考勤工资!$Y$5:$Y$1004,"&lt;="&amp;_辅助!$J$2)+SUMIFS(考勤工资!$I$5:$I$1004,考勤工资!$C$5:$C$1004,往来单位!$B$235,考勤工资!$H$5:$H$1004,$C$3,考勤工资!$Y$5:$Y$1004,"&gt;="&amp;_辅助!$J$4,考勤工资!$Y$5:$Y$1004,"&lt;="&amp;_辅助!$J$2)+SUMIFS(考勤工资!$K$5:$K$1004,考勤工资!$C$5:$C$1004,往来单位!$B$235,考勤工资!$J$5:$J$1004,$C$3,考勤工资!$Y$5:$Y$1004,"&gt;="&amp;_辅助!$J$4,考勤工资!$Y$5:$Y$1004,"&lt;="&amp;_辅助!$J$2))</f>
        <v>0</v>
      </c>
      <c r="BD232" s="2">
        <f>IF(BC232=0,0,SUMIFS(考勤工资!$AC$5:$AC$1004,考勤工资!$C$5:$C$1004,往来单位!$B$235,考勤工资!$D$5:$D$1004,$C$3,考勤工资!$Y$5:$Y$1004,"&gt;="&amp;_辅助!$J$4,考勤工资!$Y$5:$Y$1004,"&lt;="&amp;_辅助!$J$2)+SUMIFS(考勤工资!$AD$5:$AD$1004,考勤工资!$C$5:$C$1004,往来单位!$B$235,考勤工资!$F$5:$F$1004,$C$3,考勤工资!$Y$5:$Y$1004,"&gt;="&amp;_辅助!$J$4,考勤工资!$Y$5:$Y$1004,"&lt;="&amp;_辅助!$J$2)+SUMIFS(考勤工资!$AE$5:$AE$1004,考勤工资!$C$5:$C$1004,往来单位!$B$235,考勤工资!$H$5:$H$1004,$C$3,考勤工资!$Y$5:$Y$1004,"&gt;="&amp;_辅助!$J$4,考勤工资!$Y$5:$Y$1004,"&lt;="&amp;_辅助!$J$2)+SUMIFS(考勤工资!$AF$5:$AF$1004,考勤工资!$C$5:$C$1004,往来单位!$B$235,考勤工资!$J$5:$J$1004,$C$3,考勤工资!$Y$5:$Y$1004,"&gt;="&amp;_辅助!$J$4,考勤工资!$Y$5:$Y$1004,"&lt;="&amp;_辅助!$J$2))</f>
        <v>0</v>
      </c>
      <c r="BE232" s="2">
        <f>BE200+SUM(CB201:CB232)</f>
        <v>0</v>
      </c>
      <c r="BF232" s="2">
        <f>IF(AND($AF$3&gt;0,发票登记!$T$235=$C$3,ISNUMBER(发票登记!$X$235),发票登记!$AB$235&lt;&gt;0,发票登记!$Y$235&gt;=_辅助!$J$4,发票登记!$Y$235&lt;=_辅助!$J$2),INT(发票登记!$X$235)*10000+231,"")</f>
      </c>
      <c r="BG232" s="2">
        <f>IF(AND($AF$3&gt;0,资金流水!$H$236=$C$3,ISNUMBER(资金流水!$B$236),ISNUMBER(资金流水!$S$236),资金流水!$S$236&gt;=_辅助!$J$4,资金流水!$S$236&lt;=_辅助!$J$2),INT(资金流水!$B$236)*10000+231,"")</f>
      </c>
      <c r="BJ232" s="2">
        <f>IF(197&gt;$BG$1,0,MOD(SMALL($BG$2:$BG$2001,197),10000))</f>
        <v>0</v>
      </c>
      <c r="CA232" s="2">
        <f t="shared" si="0"/>
        <v>0</v>
      </c>
      <c r="CB232" s="2">
        <f t="shared" si="1"/>
        <v>0</v>
      </c>
    </row>
    <row r="233">
      <c r="W233" s="95">
        <f t="shared" si="19"/>
      </c>
      <c r="X233" s="94">
        <f t="shared" si="25"/>
      </c>
      <c r="Y233" s="96">
        <f t="shared" si="26"/>
      </c>
      <c r="Z233" s="21">
        <f t="shared" si="20"/>
      </c>
      <c r="AA233" s="21">
        <f t="shared" si="21"/>
      </c>
      <c r="AB233" s="94">
        <f t="shared" si="27"/>
      </c>
      <c r="AC233" s="96">
        <f t="shared" si="28"/>
      </c>
      <c r="AD233" s="94">
        <f t="shared" si="29"/>
      </c>
      <c r="BA233" s="2">
        <f>IF(OR(往来单位!$B$236="",$AF$3=0),0,SUMIFS(期初余额!$R$5:$R$204,期初余额!$P$5:$P$204,往来单位!$B$236,期初余额!$Q$5:$Q$204,$C$3)+SUMIFS(应付登记!$G$5:$G$1004,应付登记!$D$5:$D$1004,往来单位!$B$236,应付登记!$E$5:$E$1004,$C$3,应付登记!$J$5:$J$1004,"&gt;="&amp;_辅助!$J$4,应付登记!$J$5:$J$1004,"&lt;="&amp;_辅助!$J$2))</f>
        <v>0</v>
      </c>
      <c r="BB233" s="2">
        <f>BB200+SUM(CA201:CA233)</f>
        <v>2</v>
      </c>
      <c r="BC233" s="2">
        <f>IF(OR(往来单位!$B$236="",$AF$3=0,NOT(OR(往来单位!$C$236="管理人员",往来单位!$C$236="工人"))),0,SUMIFS(考勤工资!$E$5:$E$1004,考勤工资!$C$5:$C$1004,往来单位!$B$236,考勤工资!$D$5:$D$1004,$C$3,考勤工资!$Y$5:$Y$1004,"&gt;="&amp;_辅助!$J$4,考勤工资!$Y$5:$Y$1004,"&lt;="&amp;_辅助!$J$2)+SUMIFS(考勤工资!$G$5:$G$1004,考勤工资!$C$5:$C$1004,往来单位!$B$236,考勤工资!$F$5:$F$1004,$C$3,考勤工资!$Y$5:$Y$1004,"&gt;="&amp;_辅助!$J$4,考勤工资!$Y$5:$Y$1004,"&lt;="&amp;_辅助!$J$2)+SUMIFS(考勤工资!$I$5:$I$1004,考勤工资!$C$5:$C$1004,往来单位!$B$236,考勤工资!$H$5:$H$1004,$C$3,考勤工资!$Y$5:$Y$1004,"&gt;="&amp;_辅助!$J$4,考勤工资!$Y$5:$Y$1004,"&lt;="&amp;_辅助!$J$2)+SUMIFS(考勤工资!$K$5:$K$1004,考勤工资!$C$5:$C$1004,往来单位!$B$236,考勤工资!$J$5:$J$1004,$C$3,考勤工资!$Y$5:$Y$1004,"&gt;="&amp;_辅助!$J$4,考勤工资!$Y$5:$Y$1004,"&lt;="&amp;_辅助!$J$2))</f>
        <v>0</v>
      </c>
      <c r="BD233" s="2">
        <f>IF(BC233=0,0,SUMIFS(考勤工资!$AC$5:$AC$1004,考勤工资!$C$5:$C$1004,往来单位!$B$236,考勤工资!$D$5:$D$1004,$C$3,考勤工资!$Y$5:$Y$1004,"&gt;="&amp;_辅助!$J$4,考勤工资!$Y$5:$Y$1004,"&lt;="&amp;_辅助!$J$2)+SUMIFS(考勤工资!$AD$5:$AD$1004,考勤工资!$C$5:$C$1004,往来单位!$B$236,考勤工资!$F$5:$F$1004,$C$3,考勤工资!$Y$5:$Y$1004,"&gt;="&amp;_辅助!$J$4,考勤工资!$Y$5:$Y$1004,"&lt;="&amp;_辅助!$J$2)+SUMIFS(考勤工资!$AE$5:$AE$1004,考勤工资!$C$5:$C$1004,往来单位!$B$236,考勤工资!$H$5:$H$1004,$C$3,考勤工资!$Y$5:$Y$1004,"&gt;="&amp;_辅助!$J$4,考勤工资!$Y$5:$Y$1004,"&lt;="&amp;_辅助!$J$2)+SUMIFS(考勤工资!$AF$5:$AF$1004,考勤工资!$C$5:$C$1004,往来单位!$B$236,考勤工资!$J$5:$J$1004,$C$3,考勤工资!$Y$5:$Y$1004,"&gt;="&amp;_辅助!$J$4,考勤工资!$Y$5:$Y$1004,"&lt;="&amp;_辅助!$J$2))</f>
        <v>0</v>
      </c>
      <c r="BE233" s="2">
        <f>BE200+SUM(CB201:CB233)</f>
        <v>0</v>
      </c>
      <c r="BF233" s="2">
        <f>IF(AND($AF$3&gt;0,发票登记!$T$236=$C$3,ISNUMBER(发票登记!$X$236),发票登记!$AB$236&lt;&gt;0,发票登记!$Y$236&gt;=_辅助!$J$4,发票登记!$Y$236&lt;=_辅助!$J$2),INT(发票登记!$X$236)*10000+232,"")</f>
      </c>
      <c r="BG233" s="2">
        <f>IF(AND($AF$3&gt;0,资金流水!$H$237=$C$3,ISNUMBER(资金流水!$B$237),ISNUMBER(资金流水!$S$237),资金流水!$S$237&gt;=_辅助!$J$4,资金流水!$S$237&lt;=_辅助!$J$2),INT(资金流水!$B$237)*10000+232,"")</f>
      </c>
      <c r="BJ233" s="2">
        <f>IF(198&gt;$BG$1,0,MOD(SMALL($BG$2:$BG$2001,198),10000))</f>
        <v>0</v>
      </c>
      <c r="CA233" s="2">
        <f t="shared" si="0"/>
        <v>0</v>
      </c>
      <c r="CB233" s="2">
        <f t="shared" si="1"/>
        <v>0</v>
      </c>
    </row>
    <row r="234">
      <c r="W234" s="95">
        <f t="shared" si="19"/>
      </c>
      <c r="X234" s="94">
        <f t="shared" si="25"/>
      </c>
      <c r="Y234" s="96">
        <f t="shared" si="26"/>
      </c>
      <c r="Z234" s="21">
        <f t="shared" si="20"/>
      </c>
      <c r="AA234" s="21">
        <f t="shared" si="21"/>
      </c>
      <c r="AB234" s="94">
        <f t="shared" si="27"/>
      </c>
      <c r="AC234" s="96">
        <f t="shared" si="28"/>
      </c>
      <c r="AD234" s="94">
        <f t="shared" si="29"/>
      </c>
      <c r="BA234" s="2">
        <f>IF(OR(往来单位!$B$237="",$AF$3=0),0,SUMIFS(期初余额!$R$5:$R$204,期初余额!$P$5:$P$204,往来单位!$B$237,期初余额!$Q$5:$Q$204,$C$3)+SUMIFS(应付登记!$G$5:$G$1004,应付登记!$D$5:$D$1004,往来单位!$B$237,应付登记!$E$5:$E$1004,$C$3,应付登记!$J$5:$J$1004,"&gt;="&amp;_辅助!$J$4,应付登记!$J$5:$J$1004,"&lt;="&amp;_辅助!$J$2))</f>
        <v>0</v>
      </c>
      <c r="BB234" s="2">
        <f>BB200+SUM(CA201:CA234)</f>
        <v>2</v>
      </c>
      <c r="BC234" s="2">
        <f>IF(OR(往来单位!$B$237="",$AF$3=0,NOT(OR(往来单位!$C$237="管理人员",往来单位!$C$237="工人"))),0,SUMIFS(考勤工资!$E$5:$E$1004,考勤工资!$C$5:$C$1004,往来单位!$B$237,考勤工资!$D$5:$D$1004,$C$3,考勤工资!$Y$5:$Y$1004,"&gt;="&amp;_辅助!$J$4,考勤工资!$Y$5:$Y$1004,"&lt;="&amp;_辅助!$J$2)+SUMIFS(考勤工资!$G$5:$G$1004,考勤工资!$C$5:$C$1004,往来单位!$B$237,考勤工资!$F$5:$F$1004,$C$3,考勤工资!$Y$5:$Y$1004,"&gt;="&amp;_辅助!$J$4,考勤工资!$Y$5:$Y$1004,"&lt;="&amp;_辅助!$J$2)+SUMIFS(考勤工资!$I$5:$I$1004,考勤工资!$C$5:$C$1004,往来单位!$B$237,考勤工资!$H$5:$H$1004,$C$3,考勤工资!$Y$5:$Y$1004,"&gt;="&amp;_辅助!$J$4,考勤工资!$Y$5:$Y$1004,"&lt;="&amp;_辅助!$J$2)+SUMIFS(考勤工资!$K$5:$K$1004,考勤工资!$C$5:$C$1004,往来单位!$B$237,考勤工资!$J$5:$J$1004,$C$3,考勤工资!$Y$5:$Y$1004,"&gt;="&amp;_辅助!$J$4,考勤工资!$Y$5:$Y$1004,"&lt;="&amp;_辅助!$J$2))</f>
        <v>0</v>
      </c>
      <c r="BD234" s="2">
        <f>IF(BC234=0,0,SUMIFS(考勤工资!$AC$5:$AC$1004,考勤工资!$C$5:$C$1004,往来单位!$B$237,考勤工资!$D$5:$D$1004,$C$3,考勤工资!$Y$5:$Y$1004,"&gt;="&amp;_辅助!$J$4,考勤工资!$Y$5:$Y$1004,"&lt;="&amp;_辅助!$J$2)+SUMIFS(考勤工资!$AD$5:$AD$1004,考勤工资!$C$5:$C$1004,往来单位!$B$237,考勤工资!$F$5:$F$1004,$C$3,考勤工资!$Y$5:$Y$1004,"&gt;="&amp;_辅助!$J$4,考勤工资!$Y$5:$Y$1004,"&lt;="&amp;_辅助!$J$2)+SUMIFS(考勤工资!$AE$5:$AE$1004,考勤工资!$C$5:$C$1004,往来单位!$B$237,考勤工资!$H$5:$H$1004,$C$3,考勤工资!$Y$5:$Y$1004,"&gt;="&amp;_辅助!$J$4,考勤工资!$Y$5:$Y$1004,"&lt;="&amp;_辅助!$J$2)+SUMIFS(考勤工资!$AF$5:$AF$1004,考勤工资!$C$5:$C$1004,往来单位!$B$237,考勤工资!$J$5:$J$1004,$C$3,考勤工资!$Y$5:$Y$1004,"&gt;="&amp;_辅助!$J$4,考勤工资!$Y$5:$Y$1004,"&lt;="&amp;_辅助!$J$2))</f>
        <v>0</v>
      </c>
      <c r="BE234" s="2">
        <f>BE200+SUM(CB201:CB234)</f>
        <v>0</v>
      </c>
      <c r="BF234" s="2">
        <f>IF(AND($AF$3&gt;0,发票登记!$T$237=$C$3,ISNUMBER(发票登记!$X$237),发票登记!$AB$237&lt;&gt;0,发票登记!$Y$237&gt;=_辅助!$J$4,发票登记!$Y$237&lt;=_辅助!$J$2),INT(发票登记!$X$237)*10000+233,"")</f>
      </c>
      <c r="BG234" s="2">
        <f>IF(AND($AF$3&gt;0,资金流水!$H$238=$C$3,ISNUMBER(资金流水!$B$238),ISNUMBER(资金流水!$S$238),资金流水!$S$238&gt;=_辅助!$J$4,资金流水!$S$238&lt;=_辅助!$J$2),INT(资金流水!$B$238)*10000+233,"")</f>
      </c>
      <c r="BJ234" s="2">
        <f>IF(199&gt;$BG$1,0,MOD(SMALL($BG$2:$BG$2001,199),10000))</f>
        <v>0</v>
      </c>
      <c r="CA234" s="2">
        <f t="shared" si="0"/>
        <v>0</v>
      </c>
      <c r="CB234" s="2">
        <f t="shared" si="1"/>
        <v>0</v>
      </c>
    </row>
    <row r="235">
      <c r="W235" s="95">
        <f t="shared" si="19"/>
      </c>
      <c r="X235" s="94">
        <f t="shared" si="25"/>
      </c>
      <c r="Y235" s="96">
        <f t="shared" si="26"/>
      </c>
      <c r="Z235" s="21">
        <f t="shared" si="20"/>
      </c>
      <c r="AA235" s="21">
        <f t="shared" si="21"/>
      </c>
      <c r="AB235" s="94">
        <f t="shared" si="27"/>
      </c>
      <c r="AC235" s="96">
        <f t="shared" si="28"/>
      </c>
      <c r="AD235" s="94">
        <f t="shared" si="29"/>
      </c>
      <c r="BA235" s="2">
        <f>IF(OR(往来单位!$B$238="",$AF$3=0),0,SUMIFS(期初余额!$R$5:$R$204,期初余额!$P$5:$P$204,往来单位!$B$238,期初余额!$Q$5:$Q$204,$C$3)+SUMIFS(应付登记!$G$5:$G$1004,应付登记!$D$5:$D$1004,往来单位!$B$238,应付登记!$E$5:$E$1004,$C$3,应付登记!$J$5:$J$1004,"&gt;="&amp;_辅助!$J$4,应付登记!$J$5:$J$1004,"&lt;="&amp;_辅助!$J$2))</f>
        <v>0</v>
      </c>
      <c r="BB235" s="2">
        <f>BB200+SUM(CA201:CA235)</f>
        <v>2</v>
      </c>
      <c r="BC235" s="2">
        <f>IF(OR(往来单位!$B$238="",$AF$3=0,NOT(OR(往来单位!$C$238="管理人员",往来单位!$C$238="工人"))),0,SUMIFS(考勤工资!$E$5:$E$1004,考勤工资!$C$5:$C$1004,往来单位!$B$238,考勤工资!$D$5:$D$1004,$C$3,考勤工资!$Y$5:$Y$1004,"&gt;="&amp;_辅助!$J$4,考勤工资!$Y$5:$Y$1004,"&lt;="&amp;_辅助!$J$2)+SUMIFS(考勤工资!$G$5:$G$1004,考勤工资!$C$5:$C$1004,往来单位!$B$238,考勤工资!$F$5:$F$1004,$C$3,考勤工资!$Y$5:$Y$1004,"&gt;="&amp;_辅助!$J$4,考勤工资!$Y$5:$Y$1004,"&lt;="&amp;_辅助!$J$2)+SUMIFS(考勤工资!$I$5:$I$1004,考勤工资!$C$5:$C$1004,往来单位!$B$238,考勤工资!$H$5:$H$1004,$C$3,考勤工资!$Y$5:$Y$1004,"&gt;="&amp;_辅助!$J$4,考勤工资!$Y$5:$Y$1004,"&lt;="&amp;_辅助!$J$2)+SUMIFS(考勤工资!$K$5:$K$1004,考勤工资!$C$5:$C$1004,往来单位!$B$238,考勤工资!$J$5:$J$1004,$C$3,考勤工资!$Y$5:$Y$1004,"&gt;="&amp;_辅助!$J$4,考勤工资!$Y$5:$Y$1004,"&lt;="&amp;_辅助!$J$2))</f>
        <v>0</v>
      </c>
      <c r="BD235" s="2">
        <f>IF(BC235=0,0,SUMIFS(考勤工资!$AC$5:$AC$1004,考勤工资!$C$5:$C$1004,往来单位!$B$238,考勤工资!$D$5:$D$1004,$C$3,考勤工资!$Y$5:$Y$1004,"&gt;="&amp;_辅助!$J$4,考勤工资!$Y$5:$Y$1004,"&lt;="&amp;_辅助!$J$2)+SUMIFS(考勤工资!$AD$5:$AD$1004,考勤工资!$C$5:$C$1004,往来单位!$B$238,考勤工资!$F$5:$F$1004,$C$3,考勤工资!$Y$5:$Y$1004,"&gt;="&amp;_辅助!$J$4,考勤工资!$Y$5:$Y$1004,"&lt;="&amp;_辅助!$J$2)+SUMIFS(考勤工资!$AE$5:$AE$1004,考勤工资!$C$5:$C$1004,往来单位!$B$238,考勤工资!$H$5:$H$1004,$C$3,考勤工资!$Y$5:$Y$1004,"&gt;="&amp;_辅助!$J$4,考勤工资!$Y$5:$Y$1004,"&lt;="&amp;_辅助!$J$2)+SUMIFS(考勤工资!$AF$5:$AF$1004,考勤工资!$C$5:$C$1004,往来单位!$B$238,考勤工资!$J$5:$J$1004,$C$3,考勤工资!$Y$5:$Y$1004,"&gt;="&amp;_辅助!$J$4,考勤工资!$Y$5:$Y$1004,"&lt;="&amp;_辅助!$J$2))</f>
        <v>0</v>
      </c>
      <c r="BE235" s="2">
        <f>BE200+SUM(CB201:CB235)</f>
        <v>0</v>
      </c>
      <c r="BF235" s="2">
        <f>IF(AND($AF$3&gt;0,发票登记!$T$238=$C$3,ISNUMBER(发票登记!$X$238),发票登记!$AB$238&lt;&gt;0,发票登记!$Y$238&gt;=_辅助!$J$4,发票登记!$Y$238&lt;=_辅助!$J$2),INT(发票登记!$X$238)*10000+234,"")</f>
      </c>
      <c r="BG235" s="2">
        <f>IF(AND($AF$3&gt;0,资金流水!$H$239=$C$3,ISNUMBER(资金流水!$B$239),ISNUMBER(资金流水!$S$239),资金流水!$S$239&gt;=_辅助!$J$4,资金流水!$S$239&lt;=_辅助!$J$2),INT(资金流水!$B$239)*10000+234,"")</f>
      </c>
      <c r="BJ235" s="2">
        <f>IF(200&gt;$BG$1,0,MOD(SMALL($BG$2:$BG$2001,200),10000))</f>
        <v>0</v>
      </c>
      <c r="CA235" s="2">
        <f t="shared" si="0"/>
        <v>0</v>
      </c>
      <c r="CB235" s="2">
        <f t="shared" si="1"/>
        <v>0</v>
      </c>
    </row>
    <row r="236">
      <c r="W236" s="95">
        <f t="shared" si="19"/>
      </c>
      <c r="X236" s="94">
        <f t="shared" si="25"/>
      </c>
      <c r="Y236" s="96">
        <f t="shared" si="26"/>
      </c>
      <c r="Z236" s="21">
        <f t="shared" si="20"/>
      </c>
      <c r="AA236" s="21">
        <f t="shared" si="21"/>
      </c>
      <c r="AB236" s="94">
        <f t="shared" si="27"/>
      </c>
      <c r="AC236" s="96">
        <f t="shared" si="28"/>
      </c>
      <c r="AD236" s="94">
        <f t="shared" si="29"/>
      </c>
      <c r="BA236" s="2">
        <f>IF(OR(往来单位!$B$239="",$AF$3=0),0,SUMIFS(期初余额!$R$5:$R$204,期初余额!$P$5:$P$204,往来单位!$B$239,期初余额!$Q$5:$Q$204,$C$3)+SUMIFS(应付登记!$G$5:$G$1004,应付登记!$D$5:$D$1004,往来单位!$B$239,应付登记!$E$5:$E$1004,$C$3,应付登记!$J$5:$J$1004,"&gt;="&amp;_辅助!$J$4,应付登记!$J$5:$J$1004,"&lt;="&amp;_辅助!$J$2))</f>
        <v>0</v>
      </c>
      <c r="BB236" s="2">
        <f>BB200+SUM(CA201:CA236)</f>
        <v>2</v>
      </c>
      <c r="BC236" s="2">
        <f>IF(OR(往来单位!$B$239="",$AF$3=0,NOT(OR(往来单位!$C$239="管理人员",往来单位!$C$239="工人"))),0,SUMIFS(考勤工资!$E$5:$E$1004,考勤工资!$C$5:$C$1004,往来单位!$B$239,考勤工资!$D$5:$D$1004,$C$3,考勤工资!$Y$5:$Y$1004,"&gt;="&amp;_辅助!$J$4,考勤工资!$Y$5:$Y$1004,"&lt;="&amp;_辅助!$J$2)+SUMIFS(考勤工资!$G$5:$G$1004,考勤工资!$C$5:$C$1004,往来单位!$B$239,考勤工资!$F$5:$F$1004,$C$3,考勤工资!$Y$5:$Y$1004,"&gt;="&amp;_辅助!$J$4,考勤工资!$Y$5:$Y$1004,"&lt;="&amp;_辅助!$J$2)+SUMIFS(考勤工资!$I$5:$I$1004,考勤工资!$C$5:$C$1004,往来单位!$B$239,考勤工资!$H$5:$H$1004,$C$3,考勤工资!$Y$5:$Y$1004,"&gt;="&amp;_辅助!$J$4,考勤工资!$Y$5:$Y$1004,"&lt;="&amp;_辅助!$J$2)+SUMIFS(考勤工资!$K$5:$K$1004,考勤工资!$C$5:$C$1004,往来单位!$B$239,考勤工资!$J$5:$J$1004,$C$3,考勤工资!$Y$5:$Y$1004,"&gt;="&amp;_辅助!$J$4,考勤工资!$Y$5:$Y$1004,"&lt;="&amp;_辅助!$J$2))</f>
        <v>0</v>
      </c>
      <c r="BD236" s="2">
        <f>IF(BC236=0,0,SUMIFS(考勤工资!$AC$5:$AC$1004,考勤工资!$C$5:$C$1004,往来单位!$B$239,考勤工资!$D$5:$D$1004,$C$3,考勤工资!$Y$5:$Y$1004,"&gt;="&amp;_辅助!$J$4,考勤工资!$Y$5:$Y$1004,"&lt;="&amp;_辅助!$J$2)+SUMIFS(考勤工资!$AD$5:$AD$1004,考勤工资!$C$5:$C$1004,往来单位!$B$239,考勤工资!$F$5:$F$1004,$C$3,考勤工资!$Y$5:$Y$1004,"&gt;="&amp;_辅助!$J$4,考勤工资!$Y$5:$Y$1004,"&lt;="&amp;_辅助!$J$2)+SUMIFS(考勤工资!$AE$5:$AE$1004,考勤工资!$C$5:$C$1004,往来单位!$B$239,考勤工资!$H$5:$H$1004,$C$3,考勤工资!$Y$5:$Y$1004,"&gt;="&amp;_辅助!$J$4,考勤工资!$Y$5:$Y$1004,"&lt;="&amp;_辅助!$J$2)+SUMIFS(考勤工资!$AF$5:$AF$1004,考勤工资!$C$5:$C$1004,往来单位!$B$239,考勤工资!$J$5:$J$1004,$C$3,考勤工资!$Y$5:$Y$1004,"&gt;="&amp;_辅助!$J$4,考勤工资!$Y$5:$Y$1004,"&lt;="&amp;_辅助!$J$2))</f>
        <v>0</v>
      </c>
      <c r="BE236" s="2">
        <f>BE200+SUM(CB201:CB236)</f>
        <v>0</v>
      </c>
      <c r="BF236" s="2">
        <f>IF(AND($AF$3&gt;0,发票登记!$T$239=$C$3,ISNUMBER(发票登记!$X$239),发票登记!$AB$239&lt;&gt;0,发票登记!$Y$239&gt;=_辅助!$J$4,发票登记!$Y$239&lt;=_辅助!$J$2),INT(发票登记!$X$239)*10000+235,"")</f>
      </c>
      <c r="BG236" s="2">
        <f>IF(AND($AF$3&gt;0,资金流水!$H$240=$C$3,ISNUMBER(资金流水!$B$240),ISNUMBER(资金流水!$S$240),资金流水!$S$240&gt;=_辅助!$J$4,资金流水!$S$240&lt;=_辅助!$J$2),INT(资金流水!$B$240)*10000+235,"")</f>
      </c>
      <c r="BJ236" s="2">
        <f>IF(201&gt;$BG$1,0,MOD(SMALL($BG$2:$BG$2001,201),10000))</f>
        <v>0</v>
      </c>
      <c r="CA236" s="2">
        <f t="shared" si="0"/>
        <v>0</v>
      </c>
      <c r="CB236" s="2">
        <f t="shared" si="1"/>
        <v>0</v>
      </c>
    </row>
    <row r="237">
      <c r="W237" s="95">
        <f t="shared" si="19"/>
      </c>
      <c r="X237" s="94">
        <f t="shared" si="25"/>
      </c>
      <c r="Y237" s="96">
        <f t="shared" si="26"/>
      </c>
      <c r="Z237" s="21">
        <f t="shared" si="20"/>
      </c>
      <c r="AA237" s="21">
        <f t="shared" si="21"/>
      </c>
      <c r="AB237" s="94">
        <f t="shared" si="27"/>
      </c>
      <c r="AC237" s="96">
        <f t="shared" si="28"/>
      </c>
      <c r="AD237" s="94">
        <f t="shared" si="29"/>
      </c>
      <c r="BA237" s="2">
        <f>IF(OR(往来单位!$B$240="",$AF$3=0),0,SUMIFS(期初余额!$R$5:$R$204,期初余额!$P$5:$P$204,往来单位!$B$240,期初余额!$Q$5:$Q$204,$C$3)+SUMIFS(应付登记!$G$5:$G$1004,应付登记!$D$5:$D$1004,往来单位!$B$240,应付登记!$E$5:$E$1004,$C$3,应付登记!$J$5:$J$1004,"&gt;="&amp;_辅助!$J$4,应付登记!$J$5:$J$1004,"&lt;="&amp;_辅助!$J$2))</f>
        <v>0</v>
      </c>
      <c r="BB237" s="2">
        <f>BB200+SUM(CA201:CA237)</f>
        <v>2</v>
      </c>
      <c r="BC237" s="2">
        <f>IF(OR(往来单位!$B$240="",$AF$3=0,NOT(OR(往来单位!$C$240="管理人员",往来单位!$C$240="工人"))),0,SUMIFS(考勤工资!$E$5:$E$1004,考勤工资!$C$5:$C$1004,往来单位!$B$240,考勤工资!$D$5:$D$1004,$C$3,考勤工资!$Y$5:$Y$1004,"&gt;="&amp;_辅助!$J$4,考勤工资!$Y$5:$Y$1004,"&lt;="&amp;_辅助!$J$2)+SUMIFS(考勤工资!$G$5:$G$1004,考勤工资!$C$5:$C$1004,往来单位!$B$240,考勤工资!$F$5:$F$1004,$C$3,考勤工资!$Y$5:$Y$1004,"&gt;="&amp;_辅助!$J$4,考勤工资!$Y$5:$Y$1004,"&lt;="&amp;_辅助!$J$2)+SUMIFS(考勤工资!$I$5:$I$1004,考勤工资!$C$5:$C$1004,往来单位!$B$240,考勤工资!$H$5:$H$1004,$C$3,考勤工资!$Y$5:$Y$1004,"&gt;="&amp;_辅助!$J$4,考勤工资!$Y$5:$Y$1004,"&lt;="&amp;_辅助!$J$2)+SUMIFS(考勤工资!$K$5:$K$1004,考勤工资!$C$5:$C$1004,往来单位!$B$240,考勤工资!$J$5:$J$1004,$C$3,考勤工资!$Y$5:$Y$1004,"&gt;="&amp;_辅助!$J$4,考勤工资!$Y$5:$Y$1004,"&lt;="&amp;_辅助!$J$2))</f>
        <v>0</v>
      </c>
      <c r="BD237" s="2">
        <f>IF(BC237=0,0,SUMIFS(考勤工资!$AC$5:$AC$1004,考勤工资!$C$5:$C$1004,往来单位!$B$240,考勤工资!$D$5:$D$1004,$C$3,考勤工资!$Y$5:$Y$1004,"&gt;="&amp;_辅助!$J$4,考勤工资!$Y$5:$Y$1004,"&lt;="&amp;_辅助!$J$2)+SUMIFS(考勤工资!$AD$5:$AD$1004,考勤工资!$C$5:$C$1004,往来单位!$B$240,考勤工资!$F$5:$F$1004,$C$3,考勤工资!$Y$5:$Y$1004,"&gt;="&amp;_辅助!$J$4,考勤工资!$Y$5:$Y$1004,"&lt;="&amp;_辅助!$J$2)+SUMIFS(考勤工资!$AE$5:$AE$1004,考勤工资!$C$5:$C$1004,往来单位!$B$240,考勤工资!$H$5:$H$1004,$C$3,考勤工资!$Y$5:$Y$1004,"&gt;="&amp;_辅助!$J$4,考勤工资!$Y$5:$Y$1004,"&lt;="&amp;_辅助!$J$2)+SUMIFS(考勤工资!$AF$5:$AF$1004,考勤工资!$C$5:$C$1004,往来单位!$B$240,考勤工资!$J$5:$J$1004,$C$3,考勤工资!$Y$5:$Y$1004,"&gt;="&amp;_辅助!$J$4,考勤工资!$Y$5:$Y$1004,"&lt;="&amp;_辅助!$J$2))</f>
        <v>0</v>
      </c>
      <c r="BE237" s="2">
        <f>BE200+SUM(CB201:CB237)</f>
        <v>0</v>
      </c>
      <c r="BF237" s="2">
        <f>IF(AND($AF$3&gt;0,发票登记!$T$240=$C$3,ISNUMBER(发票登记!$X$240),发票登记!$AB$240&lt;&gt;0,发票登记!$Y$240&gt;=_辅助!$J$4,发票登记!$Y$240&lt;=_辅助!$J$2),INT(发票登记!$X$240)*10000+236,"")</f>
      </c>
      <c r="BG237" s="2">
        <f>IF(AND($AF$3&gt;0,资金流水!$H$241=$C$3,ISNUMBER(资金流水!$B$241),ISNUMBER(资金流水!$S$241),资金流水!$S$241&gt;=_辅助!$J$4,资金流水!$S$241&lt;=_辅助!$J$2),INT(资金流水!$B$241)*10000+236,"")</f>
      </c>
      <c r="BJ237" s="2">
        <f>IF(202&gt;$BG$1,0,MOD(SMALL($BG$2:$BG$2001,202),10000))</f>
        <v>0</v>
      </c>
      <c r="CA237" s="2">
        <f t="shared" si="0"/>
        <v>0</v>
      </c>
      <c r="CB237" s="2">
        <f t="shared" si="1"/>
        <v>0</v>
      </c>
    </row>
    <row r="238">
      <c r="W238" s="95">
        <f t="shared" si="19"/>
      </c>
      <c r="X238" s="94">
        <f t="shared" si="25"/>
      </c>
      <c r="Y238" s="96">
        <f t="shared" si="26"/>
      </c>
      <c r="Z238" s="21">
        <f t="shared" si="20"/>
      </c>
      <c r="AA238" s="21">
        <f t="shared" si="21"/>
      </c>
      <c r="AB238" s="94">
        <f t="shared" si="27"/>
      </c>
      <c r="AC238" s="96">
        <f t="shared" si="28"/>
      </c>
      <c r="AD238" s="94">
        <f t="shared" si="29"/>
      </c>
      <c r="BA238" s="2">
        <f>IF(OR(往来单位!$B$241="",$AF$3=0),0,SUMIFS(期初余额!$R$5:$R$204,期初余额!$P$5:$P$204,往来单位!$B$241,期初余额!$Q$5:$Q$204,$C$3)+SUMIFS(应付登记!$G$5:$G$1004,应付登记!$D$5:$D$1004,往来单位!$B$241,应付登记!$E$5:$E$1004,$C$3,应付登记!$J$5:$J$1004,"&gt;="&amp;_辅助!$J$4,应付登记!$J$5:$J$1004,"&lt;="&amp;_辅助!$J$2))</f>
        <v>0</v>
      </c>
      <c r="BB238" s="2">
        <f>BB200+SUM(CA201:CA238)</f>
        <v>2</v>
      </c>
      <c r="BC238" s="2">
        <f>IF(OR(往来单位!$B$241="",$AF$3=0,NOT(OR(往来单位!$C$241="管理人员",往来单位!$C$241="工人"))),0,SUMIFS(考勤工资!$E$5:$E$1004,考勤工资!$C$5:$C$1004,往来单位!$B$241,考勤工资!$D$5:$D$1004,$C$3,考勤工资!$Y$5:$Y$1004,"&gt;="&amp;_辅助!$J$4,考勤工资!$Y$5:$Y$1004,"&lt;="&amp;_辅助!$J$2)+SUMIFS(考勤工资!$G$5:$G$1004,考勤工资!$C$5:$C$1004,往来单位!$B$241,考勤工资!$F$5:$F$1004,$C$3,考勤工资!$Y$5:$Y$1004,"&gt;="&amp;_辅助!$J$4,考勤工资!$Y$5:$Y$1004,"&lt;="&amp;_辅助!$J$2)+SUMIFS(考勤工资!$I$5:$I$1004,考勤工资!$C$5:$C$1004,往来单位!$B$241,考勤工资!$H$5:$H$1004,$C$3,考勤工资!$Y$5:$Y$1004,"&gt;="&amp;_辅助!$J$4,考勤工资!$Y$5:$Y$1004,"&lt;="&amp;_辅助!$J$2)+SUMIFS(考勤工资!$K$5:$K$1004,考勤工资!$C$5:$C$1004,往来单位!$B$241,考勤工资!$J$5:$J$1004,$C$3,考勤工资!$Y$5:$Y$1004,"&gt;="&amp;_辅助!$J$4,考勤工资!$Y$5:$Y$1004,"&lt;="&amp;_辅助!$J$2))</f>
        <v>0</v>
      </c>
      <c r="BD238" s="2">
        <f>IF(BC238=0,0,SUMIFS(考勤工资!$AC$5:$AC$1004,考勤工资!$C$5:$C$1004,往来单位!$B$241,考勤工资!$D$5:$D$1004,$C$3,考勤工资!$Y$5:$Y$1004,"&gt;="&amp;_辅助!$J$4,考勤工资!$Y$5:$Y$1004,"&lt;="&amp;_辅助!$J$2)+SUMIFS(考勤工资!$AD$5:$AD$1004,考勤工资!$C$5:$C$1004,往来单位!$B$241,考勤工资!$F$5:$F$1004,$C$3,考勤工资!$Y$5:$Y$1004,"&gt;="&amp;_辅助!$J$4,考勤工资!$Y$5:$Y$1004,"&lt;="&amp;_辅助!$J$2)+SUMIFS(考勤工资!$AE$5:$AE$1004,考勤工资!$C$5:$C$1004,往来单位!$B$241,考勤工资!$H$5:$H$1004,$C$3,考勤工资!$Y$5:$Y$1004,"&gt;="&amp;_辅助!$J$4,考勤工资!$Y$5:$Y$1004,"&lt;="&amp;_辅助!$J$2)+SUMIFS(考勤工资!$AF$5:$AF$1004,考勤工资!$C$5:$C$1004,往来单位!$B$241,考勤工资!$J$5:$J$1004,$C$3,考勤工资!$Y$5:$Y$1004,"&gt;="&amp;_辅助!$J$4,考勤工资!$Y$5:$Y$1004,"&lt;="&amp;_辅助!$J$2))</f>
        <v>0</v>
      </c>
      <c r="BE238" s="2">
        <f>BE200+SUM(CB201:CB238)</f>
        <v>0</v>
      </c>
      <c r="BF238" s="2">
        <f>IF(AND($AF$3&gt;0,发票登记!$T$241=$C$3,ISNUMBER(发票登记!$X$241),发票登记!$AB$241&lt;&gt;0,发票登记!$Y$241&gt;=_辅助!$J$4,发票登记!$Y$241&lt;=_辅助!$J$2),INT(发票登记!$X$241)*10000+237,"")</f>
      </c>
      <c r="BG238" s="2">
        <f>IF(AND($AF$3&gt;0,资金流水!$H$242=$C$3,ISNUMBER(资金流水!$B$242),ISNUMBER(资金流水!$S$242),资金流水!$S$242&gt;=_辅助!$J$4,资金流水!$S$242&lt;=_辅助!$J$2),INT(资金流水!$B$242)*10000+237,"")</f>
      </c>
      <c r="BJ238" s="2">
        <f>IF(203&gt;$BG$1,0,MOD(SMALL($BG$2:$BG$2001,203),10000))</f>
        <v>0</v>
      </c>
      <c r="CA238" s="2">
        <f t="shared" si="0"/>
        <v>0</v>
      </c>
      <c r="CB238" s="2">
        <f t="shared" si="1"/>
        <v>0</v>
      </c>
    </row>
    <row r="239">
      <c r="W239" s="95">
        <f t="shared" si="19"/>
      </c>
      <c r="X239" s="94">
        <f t="shared" si="25"/>
      </c>
      <c r="Y239" s="96">
        <f t="shared" si="26"/>
      </c>
      <c r="Z239" s="21">
        <f t="shared" si="20"/>
      </c>
      <c r="AA239" s="21">
        <f t="shared" si="21"/>
      </c>
      <c r="AB239" s="94">
        <f t="shared" si="27"/>
      </c>
      <c r="AC239" s="96">
        <f t="shared" si="28"/>
      </c>
      <c r="AD239" s="94">
        <f t="shared" si="29"/>
      </c>
      <c r="BA239" s="2">
        <f>IF(OR(往来单位!$B$242="",$AF$3=0),0,SUMIFS(期初余额!$R$5:$R$204,期初余额!$P$5:$P$204,往来单位!$B$242,期初余额!$Q$5:$Q$204,$C$3)+SUMIFS(应付登记!$G$5:$G$1004,应付登记!$D$5:$D$1004,往来单位!$B$242,应付登记!$E$5:$E$1004,$C$3,应付登记!$J$5:$J$1004,"&gt;="&amp;_辅助!$J$4,应付登记!$J$5:$J$1004,"&lt;="&amp;_辅助!$J$2))</f>
        <v>0</v>
      </c>
      <c r="BB239" s="2">
        <f>BB200+SUM(CA201:CA239)</f>
        <v>2</v>
      </c>
      <c r="BC239" s="2">
        <f>IF(OR(往来单位!$B$242="",$AF$3=0,NOT(OR(往来单位!$C$242="管理人员",往来单位!$C$242="工人"))),0,SUMIFS(考勤工资!$E$5:$E$1004,考勤工资!$C$5:$C$1004,往来单位!$B$242,考勤工资!$D$5:$D$1004,$C$3,考勤工资!$Y$5:$Y$1004,"&gt;="&amp;_辅助!$J$4,考勤工资!$Y$5:$Y$1004,"&lt;="&amp;_辅助!$J$2)+SUMIFS(考勤工资!$G$5:$G$1004,考勤工资!$C$5:$C$1004,往来单位!$B$242,考勤工资!$F$5:$F$1004,$C$3,考勤工资!$Y$5:$Y$1004,"&gt;="&amp;_辅助!$J$4,考勤工资!$Y$5:$Y$1004,"&lt;="&amp;_辅助!$J$2)+SUMIFS(考勤工资!$I$5:$I$1004,考勤工资!$C$5:$C$1004,往来单位!$B$242,考勤工资!$H$5:$H$1004,$C$3,考勤工资!$Y$5:$Y$1004,"&gt;="&amp;_辅助!$J$4,考勤工资!$Y$5:$Y$1004,"&lt;="&amp;_辅助!$J$2)+SUMIFS(考勤工资!$K$5:$K$1004,考勤工资!$C$5:$C$1004,往来单位!$B$242,考勤工资!$J$5:$J$1004,$C$3,考勤工资!$Y$5:$Y$1004,"&gt;="&amp;_辅助!$J$4,考勤工资!$Y$5:$Y$1004,"&lt;="&amp;_辅助!$J$2))</f>
        <v>0</v>
      </c>
      <c r="BD239" s="2">
        <f>IF(BC239=0,0,SUMIFS(考勤工资!$AC$5:$AC$1004,考勤工资!$C$5:$C$1004,往来单位!$B$242,考勤工资!$D$5:$D$1004,$C$3,考勤工资!$Y$5:$Y$1004,"&gt;="&amp;_辅助!$J$4,考勤工资!$Y$5:$Y$1004,"&lt;="&amp;_辅助!$J$2)+SUMIFS(考勤工资!$AD$5:$AD$1004,考勤工资!$C$5:$C$1004,往来单位!$B$242,考勤工资!$F$5:$F$1004,$C$3,考勤工资!$Y$5:$Y$1004,"&gt;="&amp;_辅助!$J$4,考勤工资!$Y$5:$Y$1004,"&lt;="&amp;_辅助!$J$2)+SUMIFS(考勤工资!$AE$5:$AE$1004,考勤工资!$C$5:$C$1004,往来单位!$B$242,考勤工资!$H$5:$H$1004,$C$3,考勤工资!$Y$5:$Y$1004,"&gt;="&amp;_辅助!$J$4,考勤工资!$Y$5:$Y$1004,"&lt;="&amp;_辅助!$J$2)+SUMIFS(考勤工资!$AF$5:$AF$1004,考勤工资!$C$5:$C$1004,往来单位!$B$242,考勤工资!$J$5:$J$1004,$C$3,考勤工资!$Y$5:$Y$1004,"&gt;="&amp;_辅助!$J$4,考勤工资!$Y$5:$Y$1004,"&lt;="&amp;_辅助!$J$2))</f>
        <v>0</v>
      </c>
      <c r="BE239" s="2">
        <f>BE200+SUM(CB201:CB239)</f>
        <v>0</v>
      </c>
      <c r="BF239" s="2">
        <f>IF(AND($AF$3&gt;0,发票登记!$T$242=$C$3,ISNUMBER(发票登记!$X$242),发票登记!$AB$242&lt;&gt;0,发票登记!$Y$242&gt;=_辅助!$J$4,发票登记!$Y$242&lt;=_辅助!$J$2),INT(发票登记!$X$242)*10000+238,"")</f>
      </c>
      <c r="BG239" s="2">
        <f>IF(AND($AF$3&gt;0,资金流水!$H$243=$C$3,ISNUMBER(资金流水!$B$243),ISNUMBER(资金流水!$S$243),资金流水!$S$243&gt;=_辅助!$J$4,资金流水!$S$243&lt;=_辅助!$J$2),INT(资金流水!$B$243)*10000+238,"")</f>
      </c>
      <c r="BJ239" s="2">
        <f>IF(204&gt;$BG$1,0,MOD(SMALL($BG$2:$BG$2001,204),10000))</f>
        <v>0</v>
      </c>
      <c r="CA239" s="2">
        <f t="shared" si="0"/>
        <v>0</v>
      </c>
      <c r="CB239" s="2">
        <f t="shared" si="1"/>
        <v>0</v>
      </c>
    </row>
    <row r="240">
      <c r="W240" s="95">
        <f t="shared" si="19"/>
      </c>
      <c r="X240" s="94">
        <f t="shared" si="25"/>
      </c>
      <c r="Y240" s="96">
        <f t="shared" si="26"/>
      </c>
      <c r="Z240" s="21">
        <f t="shared" si="20"/>
      </c>
      <c r="AA240" s="21">
        <f t="shared" si="21"/>
      </c>
      <c r="AB240" s="94">
        <f t="shared" si="27"/>
      </c>
      <c r="AC240" s="96">
        <f t="shared" si="28"/>
      </c>
      <c r="AD240" s="94">
        <f t="shared" si="29"/>
      </c>
      <c r="BA240" s="2">
        <f>IF(OR(往来单位!$B$243="",$AF$3=0),0,SUMIFS(期初余额!$R$5:$R$204,期初余额!$P$5:$P$204,往来单位!$B$243,期初余额!$Q$5:$Q$204,$C$3)+SUMIFS(应付登记!$G$5:$G$1004,应付登记!$D$5:$D$1004,往来单位!$B$243,应付登记!$E$5:$E$1004,$C$3,应付登记!$J$5:$J$1004,"&gt;="&amp;_辅助!$J$4,应付登记!$J$5:$J$1004,"&lt;="&amp;_辅助!$J$2))</f>
        <v>0</v>
      </c>
      <c r="BB240" s="2">
        <f>BB200+SUM(CA201:CA240)</f>
        <v>2</v>
      </c>
      <c r="BC240" s="2">
        <f>IF(OR(往来单位!$B$243="",$AF$3=0,NOT(OR(往来单位!$C$243="管理人员",往来单位!$C$243="工人"))),0,SUMIFS(考勤工资!$E$5:$E$1004,考勤工资!$C$5:$C$1004,往来单位!$B$243,考勤工资!$D$5:$D$1004,$C$3,考勤工资!$Y$5:$Y$1004,"&gt;="&amp;_辅助!$J$4,考勤工资!$Y$5:$Y$1004,"&lt;="&amp;_辅助!$J$2)+SUMIFS(考勤工资!$G$5:$G$1004,考勤工资!$C$5:$C$1004,往来单位!$B$243,考勤工资!$F$5:$F$1004,$C$3,考勤工资!$Y$5:$Y$1004,"&gt;="&amp;_辅助!$J$4,考勤工资!$Y$5:$Y$1004,"&lt;="&amp;_辅助!$J$2)+SUMIFS(考勤工资!$I$5:$I$1004,考勤工资!$C$5:$C$1004,往来单位!$B$243,考勤工资!$H$5:$H$1004,$C$3,考勤工资!$Y$5:$Y$1004,"&gt;="&amp;_辅助!$J$4,考勤工资!$Y$5:$Y$1004,"&lt;="&amp;_辅助!$J$2)+SUMIFS(考勤工资!$K$5:$K$1004,考勤工资!$C$5:$C$1004,往来单位!$B$243,考勤工资!$J$5:$J$1004,$C$3,考勤工资!$Y$5:$Y$1004,"&gt;="&amp;_辅助!$J$4,考勤工资!$Y$5:$Y$1004,"&lt;="&amp;_辅助!$J$2))</f>
        <v>0</v>
      </c>
      <c r="BD240" s="2">
        <f>IF(BC240=0,0,SUMIFS(考勤工资!$AC$5:$AC$1004,考勤工资!$C$5:$C$1004,往来单位!$B$243,考勤工资!$D$5:$D$1004,$C$3,考勤工资!$Y$5:$Y$1004,"&gt;="&amp;_辅助!$J$4,考勤工资!$Y$5:$Y$1004,"&lt;="&amp;_辅助!$J$2)+SUMIFS(考勤工资!$AD$5:$AD$1004,考勤工资!$C$5:$C$1004,往来单位!$B$243,考勤工资!$F$5:$F$1004,$C$3,考勤工资!$Y$5:$Y$1004,"&gt;="&amp;_辅助!$J$4,考勤工资!$Y$5:$Y$1004,"&lt;="&amp;_辅助!$J$2)+SUMIFS(考勤工资!$AE$5:$AE$1004,考勤工资!$C$5:$C$1004,往来单位!$B$243,考勤工资!$H$5:$H$1004,$C$3,考勤工资!$Y$5:$Y$1004,"&gt;="&amp;_辅助!$J$4,考勤工资!$Y$5:$Y$1004,"&lt;="&amp;_辅助!$J$2)+SUMIFS(考勤工资!$AF$5:$AF$1004,考勤工资!$C$5:$C$1004,往来单位!$B$243,考勤工资!$J$5:$J$1004,$C$3,考勤工资!$Y$5:$Y$1004,"&gt;="&amp;_辅助!$J$4,考勤工资!$Y$5:$Y$1004,"&lt;="&amp;_辅助!$J$2))</f>
        <v>0</v>
      </c>
      <c r="BE240" s="2">
        <f>BE200+SUM(CB201:CB240)</f>
        <v>0</v>
      </c>
      <c r="BF240" s="2">
        <f>IF(AND($AF$3&gt;0,发票登记!$T$243=$C$3,ISNUMBER(发票登记!$X$243),发票登记!$AB$243&lt;&gt;0,发票登记!$Y$243&gt;=_辅助!$J$4,发票登记!$Y$243&lt;=_辅助!$J$2),INT(发票登记!$X$243)*10000+239,"")</f>
      </c>
      <c r="BG240" s="2">
        <f>IF(AND($AF$3&gt;0,资金流水!$H$244=$C$3,ISNUMBER(资金流水!$B$244),ISNUMBER(资金流水!$S$244),资金流水!$S$244&gt;=_辅助!$J$4,资金流水!$S$244&lt;=_辅助!$J$2),INT(资金流水!$B$244)*10000+239,"")</f>
      </c>
      <c r="BJ240" s="2">
        <f>IF(205&gt;$BG$1,0,MOD(SMALL($BG$2:$BG$2001,205),10000))</f>
        <v>0</v>
      </c>
      <c r="CA240" s="2">
        <f t="shared" si="0"/>
        <v>0</v>
      </c>
      <c r="CB240" s="2">
        <f t="shared" si="1"/>
        <v>0</v>
      </c>
    </row>
    <row r="241">
      <c r="W241" s="95">
        <f t="shared" si="19"/>
      </c>
      <c r="X241" s="94">
        <f t="shared" si="25"/>
      </c>
      <c r="Y241" s="96">
        <f t="shared" si="26"/>
      </c>
      <c r="Z241" s="21">
        <f t="shared" si="20"/>
      </c>
      <c r="AA241" s="21">
        <f t="shared" si="21"/>
      </c>
      <c r="AB241" s="94">
        <f t="shared" si="27"/>
      </c>
      <c r="AC241" s="96">
        <f t="shared" si="28"/>
      </c>
      <c r="AD241" s="94">
        <f t="shared" si="29"/>
      </c>
      <c r="BA241" s="2">
        <f>IF(OR(往来单位!$B$244="",$AF$3=0),0,SUMIFS(期初余额!$R$5:$R$204,期初余额!$P$5:$P$204,往来单位!$B$244,期初余额!$Q$5:$Q$204,$C$3)+SUMIFS(应付登记!$G$5:$G$1004,应付登记!$D$5:$D$1004,往来单位!$B$244,应付登记!$E$5:$E$1004,$C$3,应付登记!$J$5:$J$1004,"&gt;="&amp;_辅助!$J$4,应付登记!$J$5:$J$1004,"&lt;="&amp;_辅助!$J$2))</f>
        <v>0</v>
      </c>
      <c r="BB241" s="2">
        <f>BB200+SUM(CA201:CA241)</f>
        <v>2</v>
      </c>
      <c r="BC241" s="2">
        <f>IF(OR(往来单位!$B$244="",$AF$3=0,NOT(OR(往来单位!$C$244="管理人员",往来单位!$C$244="工人"))),0,SUMIFS(考勤工资!$E$5:$E$1004,考勤工资!$C$5:$C$1004,往来单位!$B$244,考勤工资!$D$5:$D$1004,$C$3,考勤工资!$Y$5:$Y$1004,"&gt;="&amp;_辅助!$J$4,考勤工资!$Y$5:$Y$1004,"&lt;="&amp;_辅助!$J$2)+SUMIFS(考勤工资!$G$5:$G$1004,考勤工资!$C$5:$C$1004,往来单位!$B$244,考勤工资!$F$5:$F$1004,$C$3,考勤工资!$Y$5:$Y$1004,"&gt;="&amp;_辅助!$J$4,考勤工资!$Y$5:$Y$1004,"&lt;="&amp;_辅助!$J$2)+SUMIFS(考勤工资!$I$5:$I$1004,考勤工资!$C$5:$C$1004,往来单位!$B$244,考勤工资!$H$5:$H$1004,$C$3,考勤工资!$Y$5:$Y$1004,"&gt;="&amp;_辅助!$J$4,考勤工资!$Y$5:$Y$1004,"&lt;="&amp;_辅助!$J$2)+SUMIFS(考勤工资!$K$5:$K$1004,考勤工资!$C$5:$C$1004,往来单位!$B$244,考勤工资!$J$5:$J$1004,$C$3,考勤工资!$Y$5:$Y$1004,"&gt;="&amp;_辅助!$J$4,考勤工资!$Y$5:$Y$1004,"&lt;="&amp;_辅助!$J$2))</f>
        <v>0</v>
      </c>
      <c r="BD241" s="2">
        <f>IF(BC241=0,0,SUMIFS(考勤工资!$AC$5:$AC$1004,考勤工资!$C$5:$C$1004,往来单位!$B$244,考勤工资!$D$5:$D$1004,$C$3,考勤工资!$Y$5:$Y$1004,"&gt;="&amp;_辅助!$J$4,考勤工资!$Y$5:$Y$1004,"&lt;="&amp;_辅助!$J$2)+SUMIFS(考勤工资!$AD$5:$AD$1004,考勤工资!$C$5:$C$1004,往来单位!$B$244,考勤工资!$F$5:$F$1004,$C$3,考勤工资!$Y$5:$Y$1004,"&gt;="&amp;_辅助!$J$4,考勤工资!$Y$5:$Y$1004,"&lt;="&amp;_辅助!$J$2)+SUMIFS(考勤工资!$AE$5:$AE$1004,考勤工资!$C$5:$C$1004,往来单位!$B$244,考勤工资!$H$5:$H$1004,$C$3,考勤工资!$Y$5:$Y$1004,"&gt;="&amp;_辅助!$J$4,考勤工资!$Y$5:$Y$1004,"&lt;="&amp;_辅助!$J$2)+SUMIFS(考勤工资!$AF$5:$AF$1004,考勤工资!$C$5:$C$1004,往来单位!$B$244,考勤工资!$J$5:$J$1004,$C$3,考勤工资!$Y$5:$Y$1004,"&gt;="&amp;_辅助!$J$4,考勤工资!$Y$5:$Y$1004,"&lt;="&amp;_辅助!$J$2))</f>
        <v>0</v>
      </c>
      <c r="BE241" s="2">
        <f>BE200+SUM(CB201:CB241)</f>
        <v>0</v>
      </c>
      <c r="BF241" s="2">
        <f>IF(AND($AF$3&gt;0,发票登记!$T$244=$C$3,ISNUMBER(发票登记!$X$244),发票登记!$AB$244&lt;&gt;0,发票登记!$Y$244&gt;=_辅助!$J$4,发票登记!$Y$244&lt;=_辅助!$J$2),INT(发票登记!$X$244)*10000+240,"")</f>
      </c>
      <c r="BG241" s="2">
        <f>IF(AND($AF$3&gt;0,资金流水!$H$245=$C$3,ISNUMBER(资金流水!$B$245),ISNUMBER(资金流水!$S$245),资金流水!$S$245&gt;=_辅助!$J$4,资金流水!$S$245&lt;=_辅助!$J$2),INT(资金流水!$B$245)*10000+240,"")</f>
      </c>
      <c r="BJ241" s="2">
        <f>IF(206&gt;$BG$1,0,MOD(SMALL($BG$2:$BG$2001,206),10000))</f>
        <v>0</v>
      </c>
      <c r="CA241" s="2">
        <f t="shared" si="0"/>
        <v>0</v>
      </c>
      <c r="CB241" s="2">
        <f t="shared" si="1"/>
        <v>0</v>
      </c>
    </row>
    <row r="242">
      <c r="W242" s="95">
        <f t="shared" si="19"/>
      </c>
      <c r="X242" s="94">
        <f t="shared" si="25"/>
      </c>
      <c r="Y242" s="96">
        <f t="shared" si="26"/>
      </c>
      <c r="Z242" s="21">
        <f t="shared" si="20"/>
      </c>
      <c r="AA242" s="21">
        <f t="shared" si="21"/>
      </c>
      <c r="AB242" s="94">
        <f t="shared" si="27"/>
      </c>
      <c r="AC242" s="96">
        <f t="shared" si="28"/>
      </c>
      <c r="AD242" s="94">
        <f t="shared" si="29"/>
      </c>
      <c r="BA242" s="2">
        <f>IF(OR(往来单位!$B$245="",$AF$3=0),0,SUMIFS(期初余额!$R$5:$R$204,期初余额!$P$5:$P$204,往来单位!$B$245,期初余额!$Q$5:$Q$204,$C$3)+SUMIFS(应付登记!$G$5:$G$1004,应付登记!$D$5:$D$1004,往来单位!$B$245,应付登记!$E$5:$E$1004,$C$3,应付登记!$J$5:$J$1004,"&gt;="&amp;_辅助!$J$4,应付登记!$J$5:$J$1004,"&lt;="&amp;_辅助!$J$2))</f>
        <v>0</v>
      </c>
      <c r="BB242" s="2">
        <f>BB200+SUM(CA201:CA242)</f>
        <v>2</v>
      </c>
      <c r="BC242" s="2">
        <f>IF(OR(往来单位!$B$245="",$AF$3=0,NOT(OR(往来单位!$C$245="管理人员",往来单位!$C$245="工人"))),0,SUMIFS(考勤工资!$E$5:$E$1004,考勤工资!$C$5:$C$1004,往来单位!$B$245,考勤工资!$D$5:$D$1004,$C$3,考勤工资!$Y$5:$Y$1004,"&gt;="&amp;_辅助!$J$4,考勤工资!$Y$5:$Y$1004,"&lt;="&amp;_辅助!$J$2)+SUMIFS(考勤工资!$G$5:$G$1004,考勤工资!$C$5:$C$1004,往来单位!$B$245,考勤工资!$F$5:$F$1004,$C$3,考勤工资!$Y$5:$Y$1004,"&gt;="&amp;_辅助!$J$4,考勤工资!$Y$5:$Y$1004,"&lt;="&amp;_辅助!$J$2)+SUMIFS(考勤工资!$I$5:$I$1004,考勤工资!$C$5:$C$1004,往来单位!$B$245,考勤工资!$H$5:$H$1004,$C$3,考勤工资!$Y$5:$Y$1004,"&gt;="&amp;_辅助!$J$4,考勤工资!$Y$5:$Y$1004,"&lt;="&amp;_辅助!$J$2)+SUMIFS(考勤工资!$K$5:$K$1004,考勤工资!$C$5:$C$1004,往来单位!$B$245,考勤工资!$J$5:$J$1004,$C$3,考勤工资!$Y$5:$Y$1004,"&gt;="&amp;_辅助!$J$4,考勤工资!$Y$5:$Y$1004,"&lt;="&amp;_辅助!$J$2))</f>
        <v>0</v>
      </c>
      <c r="BD242" s="2">
        <f>IF(BC242=0,0,SUMIFS(考勤工资!$AC$5:$AC$1004,考勤工资!$C$5:$C$1004,往来单位!$B$245,考勤工资!$D$5:$D$1004,$C$3,考勤工资!$Y$5:$Y$1004,"&gt;="&amp;_辅助!$J$4,考勤工资!$Y$5:$Y$1004,"&lt;="&amp;_辅助!$J$2)+SUMIFS(考勤工资!$AD$5:$AD$1004,考勤工资!$C$5:$C$1004,往来单位!$B$245,考勤工资!$F$5:$F$1004,$C$3,考勤工资!$Y$5:$Y$1004,"&gt;="&amp;_辅助!$J$4,考勤工资!$Y$5:$Y$1004,"&lt;="&amp;_辅助!$J$2)+SUMIFS(考勤工资!$AE$5:$AE$1004,考勤工资!$C$5:$C$1004,往来单位!$B$245,考勤工资!$H$5:$H$1004,$C$3,考勤工资!$Y$5:$Y$1004,"&gt;="&amp;_辅助!$J$4,考勤工资!$Y$5:$Y$1004,"&lt;="&amp;_辅助!$J$2)+SUMIFS(考勤工资!$AF$5:$AF$1004,考勤工资!$C$5:$C$1004,往来单位!$B$245,考勤工资!$J$5:$J$1004,$C$3,考勤工资!$Y$5:$Y$1004,"&gt;="&amp;_辅助!$J$4,考勤工资!$Y$5:$Y$1004,"&lt;="&amp;_辅助!$J$2))</f>
        <v>0</v>
      </c>
      <c r="BE242" s="2">
        <f>BE200+SUM(CB201:CB242)</f>
        <v>0</v>
      </c>
      <c r="BF242" s="2">
        <f>IF(AND($AF$3&gt;0,发票登记!$T$245=$C$3,ISNUMBER(发票登记!$X$245),发票登记!$AB$245&lt;&gt;0,发票登记!$Y$245&gt;=_辅助!$J$4,发票登记!$Y$245&lt;=_辅助!$J$2),INT(发票登记!$X$245)*10000+241,"")</f>
      </c>
      <c r="BG242" s="2">
        <f>IF(AND($AF$3&gt;0,资金流水!$H$246=$C$3,ISNUMBER(资金流水!$B$246),ISNUMBER(资金流水!$S$246),资金流水!$S$246&gt;=_辅助!$J$4,资金流水!$S$246&lt;=_辅助!$J$2),INT(资金流水!$B$246)*10000+241,"")</f>
      </c>
      <c r="BJ242" s="2">
        <f>IF(207&gt;$BG$1,0,MOD(SMALL($BG$2:$BG$2001,207),10000))</f>
        <v>0</v>
      </c>
      <c r="CA242" s="2">
        <f t="shared" si="0"/>
        <v>0</v>
      </c>
      <c r="CB242" s="2">
        <f t="shared" si="1"/>
        <v>0</v>
      </c>
    </row>
    <row r="243">
      <c r="W243" s="95">
        <f t="shared" si="19"/>
      </c>
      <c r="X243" s="94">
        <f t="shared" si="25"/>
      </c>
      <c r="Y243" s="96">
        <f t="shared" si="26"/>
      </c>
      <c r="Z243" s="21">
        <f t="shared" si="20"/>
      </c>
      <c r="AA243" s="21">
        <f t="shared" si="21"/>
      </c>
      <c r="AB243" s="94">
        <f t="shared" si="27"/>
      </c>
      <c r="AC243" s="96">
        <f t="shared" si="28"/>
      </c>
      <c r="AD243" s="94">
        <f t="shared" si="29"/>
      </c>
      <c r="BA243" s="2">
        <f>IF(OR(往来单位!$B$246="",$AF$3=0),0,SUMIFS(期初余额!$R$5:$R$204,期初余额!$P$5:$P$204,往来单位!$B$246,期初余额!$Q$5:$Q$204,$C$3)+SUMIFS(应付登记!$G$5:$G$1004,应付登记!$D$5:$D$1004,往来单位!$B$246,应付登记!$E$5:$E$1004,$C$3,应付登记!$J$5:$J$1004,"&gt;="&amp;_辅助!$J$4,应付登记!$J$5:$J$1004,"&lt;="&amp;_辅助!$J$2))</f>
        <v>0</v>
      </c>
      <c r="BB243" s="2">
        <f>BB200+SUM(CA201:CA243)</f>
        <v>2</v>
      </c>
      <c r="BC243" s="2">
        <f>IF(OR(往来单位!$B$246="",$AF$3=0,NOT(OR(往来单位!$C$246="管理人员",往来单位!$C$246="工人"))),0,SUMIFS(考勤工资!$E$5:$E$1004,考勤工资!$C$5:$C$1004,往来单位!$B$246,考勤工资!$D$5:$D$1004,$C$3,考勤工资!$Y$5:$Y$1004,"&gt;="&amp;_辅助!$J$4,考勤工资!$Y$5:$Y$1004,"&lt;="&amp;_辅助!$J$2)+SUMIFS(考勤工资!$G$5:$G$1004,考勤工资!$C$5:$C$1004,往来单位!$B$246,考勤工资!$F$5:$F$1004,$C$3,考勤工资!$Y$5:$Y$1004,"&gt;="&amp;_辅助!$J$4,考勤工资!$Y$5:$Y$1004,"&lt;="&amp;_辅助!$J$2)+SUMIFS(考勤工资!$I$5:$I$1004,考勤工资!$C$5:$C$1004,往来单位!$B$246,考勤工资!$H$5:$H$1004,$C$3,考勤工资!$Y$5:$Y$1004,"&gt;="&amp;_辅助!$J$4,考勤工资!$Y$5:$Y$1004,"&lt;="&amp;_辅助!$J$2)+SUMIFS(考勤工资!$K$5:$K$1004,考勤工资!$C$5:$C$1004,往来单位!$B$246,考勤工资!$J$5:$J$1004,$C$3,考勤工资!$Y$5:$Y$1004,"&gt;="&amp;_辅助!$J$4,考勤工资!$Y$5:$Y$1004,"&lt;="&amp;_辅助!$J$2))</f>
        <v>0</v>
      </c>
      <c r="BD243" s="2">
        <f>IF(BC243=0,0,SUMIFS(考勤工资!$AC$5:$AC$1004,考勤工资!$C$5:$C$1004,往来单位!$B$246,考勤工资!$D$5:$D$1004,$C$3,考勤工资!$Y$5:$Y$1004,"&gt;="&amp;_辅助!$J$4,考勤工资!$Y$5:$Y$1004,"&lt;="&amp;_辅助!$J$2)+SUMIFS(考勤工资!$AD$5:$AD$1004,考勤工资!$C$5:$C$1004,往来单位!$B$246,考勤工资!$F$5:$F$1004,$C$3,考勤工资!$Y$5:$Y$1004,"&gt;="&amp;_辅助!$J$4,考勤工资!$Y$5:$Y$1004,"&lt;="&amp;_辅助!$J$2)+SUMIFS(考勤工资!$AE$5:$AE$1004,考勤工资!$C$5:$C$1004,往来单位!$B$246,考勤工资!$H$5:$H$1004,$C$3,考勤工资!$Y$5:$Y$1004,"&gt;="&amp;_辅助!$J$4,考勤工资!$Y$5:$Y$1004,"&lt;="&amp;_辅助!$J$2)+SUMIFS(考勤工资!$AF$5:$AF$1004,考勤工资!$C$5:$C$1004,往来单位!$B$246,考勤工资!$J$5:$J$1004,$C$3,考勤工资!$Y$5:$Y$1004,"&gt;="&amp;_辅助!$J$4,考勤工资!$Y$5:$Y$1004,"&lt;="&amp;_辅助!$J$2))</f>
        <v>0</v>
      </c>
      <c r="BE243" s="2">
        <f>BE200+SUM(CB201:CB243)</f>
        <v>0</v>
      </c>
      <c r="BF243" s="2">
        <f>IF(AND($AF$3&gt;0,发票登记!$T$246=$C$3,ISNUMBER(发票登记!$X$246),发票登记!$AB$246&lt;&gt;0,发票登记!$Y$246&gt;=_辅助!$J$4,发票登记!$Y$246&lt;=_辅助!$J$2),INT(发票登记!$X$246)*10000+242,"")</f>
      </c>
      <c r="BG243" s="2">
        <f>IF(AND($AF$3&gt;0,资金流水!$H$247=$C$3,ISNUMBER(资金流水!$B$247),ISNUMBER(资金流水!$S$247),资金流水!$S$247&gt;=_辅助!$J$4,资金流水!$S$247&lt;=_辅助!$J$2),INT(资金流水!$B$247)*10000+242,"")</f>
      </c>
      <c r="BJ243" s="2">
        <f>IF(208&gt;$BG$1,0,MOD(SMALL($BG$2:$BG$2001,208),10000))</f>
        <v>0</v>
      </c>
      <c r="CA243" s="2">
        <f t="shared" si="0"/>
        <v>0</v>
      </c>
      <c r="CB243" s="2">
        <f t="shared" si="1"/>
        <v>0</v>
      </c>
    </row>
    <row r="244">
      <c r="W244" s="95">
        <f t="shared" si="19"/>
      </c>
      <c r="X244" s="94">
        <f t="shared" si="25"/>
      </c>
      <c r="Y244" s="96">
        <f t="shared" si="26"/>
      </c>
      <c r="Z244" s="21">
        <f t="shared" si="20"/>
      </c>
      <c r="AA244" s="21">
        <f t="shared" si="21"/>
      </c>
      <c r="AB244" s="94">
        <f t="shared" si="27"/>
      </c>
      <c r="AC244" s="96">
        <f t="shared" si="28"/>
      </c>
      <c r="AD244" s="94">
        <f t="shared" si="29"/>
      </c>
      <c r="BA244" s="2">
        <f>IF(OR(往来单位!$B$247="",$AF$3=0),0,SUMIFS(期初余额!$R$5:$R$204,期初余额!$P$5:$P$204,往来单位!$B$247,期初余额!$Q$5:$Q$204,$C$3)+SUMIFS(应付登记!$G$5:$G$1004,应付登记!$D$5:$D$1004,往来单位!$B$247,应付登记!$E$5:$E$1004,$C$3,应付登记!$J$5:$J$1004,"&gt;="&amp;_辅助!$J$4,应付登记!$J$5:$J$1004,"&lt;="&amp;_辅助!$J$2))</f>
        <v>0</v>
      </c>
      <c r="BB244" s="2">
        <f>BB200+SUM(CA201:CA244)</f>
        <v>2</v>
      </c>
      <c r="BC244" s="2">
        <f>IF(OR(往来单位!$B$247="",$AF$3=0,NOT(OR(往来单位!$C$247="管理人员",往来单位!$C$247="工人"))),0,SUMIFS(考勤工资!$E$5:$E$1004,考勤工资!$C$5:$C$1004,往来单位!$B$247,考勤工资!$D$5:$D$1004,$C$3,考勤工资!$Y$5:$Y$1004,"&gt;="&amp;_辅助!$J$4,考勤工资!$Y$5:$Y$1004,"&lt;="&amp;_辅助!$J$2)+SUMIFS(考勤工资!$G$5:$G$1004,考勤工资!$C$5:$C$1004,往来单位!$B$247,考勤工资!$F$5:$F$1004,$C$3,考勤工资!$Y$5:$Y$1004,"&gt;="&amp;_辅助!$J$4,考勤工资!$Y$5:$Y$1004,"&lt;="&amp;_辅助!$J$2)+SUMIFS(考勤工资!$I$5:$I$1004,考勤工资!$C$5:$C$1004,往来单位!$B$247,考勤工资!$H$5:$H$1004,$C$3,考勤工资!$Y$5:$Y$1004,"&gt;="&amp;_辅助!$J$4,考勤工资!$Y$5:$Y$1004,"&lt;="&amp;_辅助!$J$2)+SUMIFS(考勤工资!$K$5:$K$1004,考勤工资!$C$5:$C$1004,往来单位!$B$247,考勤工资!$J$5:$J$1004,$C$3,考勤工资!$Y$5:$Y$1004,"&gt;="&amp;_辅助!$J$4,考勤工资!$Y$5:$Y$1004,"&lt;="&amp;_辅助!$J$2))</f>
        <v>0</v>
      </c>
      <c r="BD244" s="2">
        <f>IF(BC244=0,0,SUMIFS(考勤工资!$AC$5:$AC$1004,考勤工资!$C$5:$C$1004,往来单位!$B$247,考勤工资!$D$5:$D$1004,$C$3,考勤工资!$Y$5:$Y$1004,"&gt;="&amp;_辅助!$J$4,考勤工资!$Y$5:$Y$1004,"&lt;="&amp;_辅助!$J$2)+SUMIFS(考勤工资!$AD$5:$AD$1004,考勤工资!$C$5:$C$1004,往来单位!$B$247,考勤工资!$F$5:$F$1004,$C$3,考勤工资!$Y$5:$Y$1004,"&gt;="&amp;_辅助!$J$4,考勤工资!$Y$5:$Y$1004,"&lt;="&amp;_辅助!$J$2)+SUMIFS(考勤工资!$AE$5:$AE$1004,考勤工资!$C$5:$C$1004,往来单位!$B$247,考勤工资!$H$5:$H$1004,$C$3,考勤工资!$Y$5:$Y$1004,"&gt;="&amp;_辅助!$J$4,考勤工资!$Y$5:$Y$1004,"&lt;="&amp;_辅助!$J$2)+SUMIFS(考勤工资!$AF$5:$AF$1004,考勤工资!$C$5:$C$1004,往来单位!$B$247,考勤工资!$J$5:$J$1004,$C$3,考勤工资!$Y$5:$Y$1004,"&gt;="&amp;_辅助!$J$4,考勤工资!$Y$5:$Y$1004,"&lt;="&amp;_辅助!$J$2))</f>
        <v>0</v>
      </c>
      <c r="BE244" s="2">
        <f>BE200+SUM(CB201:CB244)</f>
        <v>0</v>
      </c>
      <c r="BF244" s="2">
        <f>IF(AND($AF$3&gt;0,发票登记!$T$247=$C$3,ISNUMBER(发票登记!$X$247),发票登记!$AB$247&lt;&gt;0,发票登记!$Y$247&gt;=_辅助!$J$4,发票登记!$Y$247&lt;=_辅助!$J$2),INT(发票登记!$X$247)*10000+243,"")</f>
      </c>
      <c r="BG244" s="2">
        <f>IF(AND($AF$3&gt;0,资金流水!$H$248=$C$3,ISNUMBER(资金流水!$B$248),ISNUMBER(资金流水!$S$248),资金流水!$S$248&gt;=_辅助!$J$4,资金流水!$S$248&lt;=_辅助!$J$2),INT(资金流水!$B$248)*10000+243,"")</f>
      </c>
      <c r="BJ244" s="2">
        <f>IF(209&gt;$BG$1,0,MOD(SMALL($BG$2:$BG$2001,209),10000))</f>
        <v>0</v>
      </c>
      <c r="CA244" s="2">
        <f t="shared" si="0"/>
        <v>0</v>
      </c>
      <c r="CB244" s="2">
        <f t="shared" si="1"/>
        <v>0</v>
      </c>
    </row>
    <row r="245">
      <c r="W245" s="95">
        <f t="shared" si="19"/>
      </c>
      <c r="X245" s="94">
        <f t="shared" si="25"/>
      </c>
      <c r="Y245" s="96">
        <f t="shared" si="26"/>
      </c>
      <c r="Z245" s="21">
        <f t="shared" si="20"/>
      </c>
      <c r="AA245" s="21">
        <f t="shared" si="21"/>
      </c>
      <c r="AB245" s="94">
        <f t="shared" si="27"/>
      </c>
      <c r="AC245" s="96">
        <f t="shared" si="28"/>
      </c>
      <c r="AD245" s="94">
        <f t="shared" si="29"/>
      </c>
      <c r="BA245" s="2">
        <f>IF(OR(往来单位!$B$248="",$AF$3=0),0,SUMIFS(期初余额!$R$5:$R$204,期初余额!$P$5:$P$204,往来单位!$B$248,期初余额!$Q$5:$Q$204,$C$3)+SUMIFS(应付登记!$G$5:$G$1004,应付登记!$D$5:$D$1004,往来单位!$B$248,应付登记!$E$5:$E$1004,$C$3,应付登记!$J$5:$J$1004,"&gt;="&amp;_辅助!$J$4,应付登记!$J$5:$J$1004,"&lt;="&amp;_辅助!$J$2))</f>
        <v>0</v>
      </c>
      <c r="BB245" s="2">
        <f>BB200+SUM(CA201:CA245)</f>
        <v>2</v>
      </c>
      <c r="BC245" s="2">
        <f>IF(OR(往来单位!$B$248="",$AF$3=0,NOT(OR(往来单位!$C$248="管理人员",往来单位!$C$248="工人"))),0,SUMIFS(考勤工资!$E$5:$E$1004,考勤工资!$C$5:$C$1004,往来单位!$B$248,考勤工资!$D$5:$D$1004,$C$3,考勤工资!$Y$5:$Y$1004,"&gt;="&amp;_辅助!$J$4,考勤工资!$Y$5:$Y$1004,"&lt;="&amp;_辅助!$J$2)+SUMIFS(考勤工资!$G$5:$G$1004,考勤工资!$C$5:$C$1004,往来单位!$B$248,考勤工资!$F$5:$F$1004,$C$3,考勤工资!$Y$5:$Y$1004,"&gt;="&amp;_辅助!$J$4,考勤工资!$Y$5:$Y$1004,"&lt;="&amp;_辅助!$J$2)+SUMIFS(考勤工资!$I$5:$I$1004,考勤工资!$C$5:$C$1004,往来单位!$B$248,考勤工资!$H$5:$H$1004,$C$3,考勤工资!$Y$5:$Y$1004,"&gt;="&amp;_辅助!$J$4,考勤工资!$Y$5:$Y$1004,"&lt;="&amp;_辅助!$J$2)+SUMIFS(考勤工资!$K$5:$K$1004,考勤工资!$C$5:$C$1004,往来单位!$B$248,考勤工资!$J$5:$J$1004,$C$3,考勤工资!$Y$5:$Y$1004,"&gt;="&amp;_辅助!$J$4,考勤工资!$Y$5:$Y$1004,"&lt;="&amp;_辅助!$J$2))</f>
        <v>0</v>
      </c>
      <c r="BD245" s="2">
        <f>IF(BC245=0,0,SUMIFS(考勤工资!$AC$5:$AC$1004,考勤工资!$C$5:$C$1004,往来单位!$B$248,考勤工资!$D$5:$D$1004,$C$3,考勤工资!$Y$5:$Y$1004,"&gt;="&amp;_辅助!$J$4,考勤工资!$Y$5:$Y$1004,"&lt;="&amp;_辅助!$J$2)+SUMIFS(考勤工资!$AD$5:$AD$1004,考勤工资!$C$5:$C$1004,往来单位!$B$248,考勤工资!$F$5:$F$1004,$C$3,考勤工资!$Y$5:$Y$1004,"&gt;="&amp;_辅助!$J$4,考勤工资!$Y$5:$Y$1004,"&lt;="&amp;_辅助!$J$2)+SUMIFS(考勤工资!$AE$5:$AE$1004,考勤工资!$C$5:$C$1004,往来单位!$B$248,考勤工资!$H$5:$H$1004,$C$3,考勤工资!$Y$5:$Y$1004,"&gt;="&amp;_辅助!$J$4,考勤工资!$Y$5:$Y$1004,"&lt;="&amp;_辅助!$J$2)+SUMIFS(考勤工资!$AF$5:$AF$1004,考勤工资!$C$5:$C$1004,往来单位!$B$248,考勤工资!$J$5:$J$1004,$C$3,考勤工资!$Y$5:$Y$1004,"&gt;="&amp;_辅助!$J$4,考勤工资!$Y$5:$Y$1004,"&lt;="&amp;_辅助!$J$2))</f>
        <v>0</v>
      </c>
      <c r="BE245" s="2">
        <f>BE200+SUM(CB201:CB245)</f>
        <v>0</v>
      </c>
      <c r="BF245" s="2">
        <f>IF(AND($AF$3&gt;0,发票登记!$T$248=$C$3,ISNUMBER(发票登记!$X$248),发票登记!$AB$248&lt;&gt;0,发票登记!$Y$248&gt;=_辅助!$J$4,发票登记!$Y$248&lt;=_辅助!$J$2),INT(发票登记!$X$248)*10000+244,"")</f>
      </c>
      <c r="BG245" s="2">
        <f>IF(AND($AF$3&gt;0,资金流水!$H$249=$C$3,ISNUMBER(资金流水!$B$249),ISNUMBER(资金流水!$S$249),资金流水!$S$249&gt;=_辅助!$J$4,资金流水!$S$249&lt;=_辅助!$J$2),INT(资金流水!$B$249)*10000+244,"")</f>
      </c>
      <c r="BJ245" s="2">
        <f>IF(210&gt;$BG$1,0,MOD(SMALL($BG$2:$BG$2001,210),10000))</f>
        <v>0</v>
      </c>
      <c r="CA245" s="2">
        <f t="shared" si="0"/>
        <v>0</v>
      </c>
      <c r="CB245" s="2">
        <f t="shared" si="1"/>
        <v>0</v>
      </c>
    </row>
    <row r="246">
      <c r="W246" s="95">
        <f t="shared" si="19"/>
      </c>
      <c r="X246" s="94">
        <f t="shared" si="25"/>
      </c>
      <c r="Y246" s="96">
        <f t="shared" si="26"/>
      </c>
      <c r="Z246" s="21">
        <f t="shared" si="20"/>
      </c>
      <c r="AA246" s="21">
        <f t="shared" si="21"/>
      </c>
      <c r="AB246" s="94">
        <f t="shared" si="27"/>
      </c>
      <c r="AC246" s="96">
        <f t="shared" si="28"/>
      </c>
      <c r="AD246" s="94">
        <f t="shared" si="29"/>
      </c>
      <c r="BA246" s="2">
        <f>IF(OR(往来单位!$B$249="",$AF$3=0),0,SUMIFS(期初余额!$R$5:$R$204,期初余额!$P$5:$P$204,往来单位!$B$249,期初余额!$Q$5:$Q$204,$C$3)+SUMIFS(应付登记!$G$5:$G$1004,应付登记!$D$5:$D$1004,往来单位!$B$249,应付登记!$E$5:$E$1004,$C$3,应付登记!$J$5:$J$1004,"&gt;="&amp;_辅助!$J$4,应付登记!$J$5:$J$1004,"&lt;="&amp;_辅助!$J$2))</f>
        <v>0</v>
      </c>
      <c r="BB246" s="2">
        <f>BB200+SUM(CA201:CA246)</f>
        <v>2</v>
      </c>
      <c r="BC246" s="2">
        <f>IF(OR(往来单位!$B$249="",$AF$3=0,NOT(OR(往来单位!$C$249="管理人员",往来单位!$C$249="工人"))),0,SUMIFS(考勤工资!$E$5:$E$1004,考勤工资!$C$5:$C$1004,往来单位!$B$249,考勤工资!$D$5:$D$1004,$C$3,考勤工资!$Y$5:$Y$1004,"&gt;="&amp;_辅助!$J$4,考勤工资!$Y$5:$Y$1004,"&lt;="&amp;_辅助!$J$2)+SUMIFS(考勤工资!$G$5:$G$1004,考勤工资!$C$5:$C$1004,往来单位!$B$249,考勤工资!$F$5:$F$1004,$C$3,考勤工资!$Y$5:$Y$1004,"&gt;="&amp;_辅助!$J$4,考勤工资!$Y$5:$Y$1004,"&lt;="&amp;_辅助!$J$2)+SUMIFS(考勤工资!$I$5:$I$1004,考勤工资!$C$5:$C$1004,往来单位!$B$249,考勤工资!$H$5:$H$1004,$C$3,考勤工资!$Y$5:$Y$1004,"&gt;="&amp;_辅助!$J$4,考勤工资!$Y$5:$Y$1004,"&lt;="&amp;_辅助!$J$2)+SUMIFS(考勤工资!$K$5:$K$1004,考勤工资!$C$5:$C$1004,往来单位!$B$249,考勤工资!$J$5:$J$1004,$C$3,考勤工资!$Y$5:$Y$1004,"&gt;="&amp;_辅助!$J$4,考勤工资!$Y$5:$Y$1004,"&lt;="&amp;_辅助!$J$2))</f>
        <v>0</v>
      </c>
      <c r="BD246" s="2">
        <f>IF(BC246=0,0,SUMIFS(考勤工资!$AC$5:$AC$1004,考勤工资!$C$5:$C$1004,往来单位!$B$249,考勤工资!$D$5:$D$1004,$C$3,考勤工资!$Y$5:$Y$1004,"&gt;="&amp;_辅助!$J$4,考勤工资!$Y$5:$Y$1004,"&lt;="&amp;_辅助!$J$2)+SUMIFS(考勤工资!$AD$5:$AD$1004,考勤工资!$C$5:$C$1004,往来单位!$B$249,考勤工资!$F$5:$F$1004,$C$3,考勤工资!$Y$5:$Y$1004,"&gt;="&amp;_辅助!$J$4,考勤工资!$Y$5:$Y$1004,"&lt;="&amp;_辅助!$J$2)+SUMIFS(考勤工资!$AE$5:$AE$1004,考勤工资!$C$5:$C$1004,往来单位!$B$249,考勤工资!$H$5:$H$1004,$C$3,考勤工资!$Y$5:$Y$1004,"&gt;="&amp;_辅助!$J$4,考勤工资!$Y$5:$Y$1004,"&lt;="&amp;_辅助!$J$2)+SUMIFS(考勤工资!$AF$5:$AF$1004,考勤工资!$C$5:$C$1004,往来单位!$B$249,考勤工资!$J$5:$J$1004,$C$3,考勤工资!$Y$5:$Y$1004,"&gt;="&amp;_辅助!$J$4,考勤工资!$Y$5:$Y$1004,"&lt;="&amp;_辅助!$J$2))</f>
        <v>0</v>
      </c>
      <c r="BE246" s="2">
        <f>BE200+SUM(CB201:CB246)</f>
        <v>0</v>
      </c>
      <c r="BF246" s="2">
        <f>IF(AND($AF$3&gt;0,发票登记!$T$249=$C$3,ISNUMBER(发票登记!$X$249),发票登记!$AB$249&lt;&gt;0,发票登记!$Y$249&gt;=_辅助!$J$4,发票登记!$Y$249&lt;=_辅助!$J$2),INT(发票登记!$X$249)*10000+245,"")</f>
      </c>
      <c r="BG246" s="2">
        <f>IF(AND($AF$3&gt;0,资金流水!$H$250=$C$3,ISNUMBER(资金流水!$B$250),ISNUMBER(资金流水!$S$250),资金流水!$S$250&gt;=_辅助!$J$4,资金流水!$S$250&lt;=_辅助!$J$2),INT(资金流水!$B$250)*10000+245,"")</f>
      </c>
      <c r="BJ246" s="2">
        <f>IF(211&gt;$BG$1,0,MOD(SMALL($BG$2:$BG$2001,211),10000))</f>
        <v>0</v>
      </c>
      <c r="CA246" s="2">
        <f t="shared" si="0"/>
        <v>0</v>
      </c>
      <c r="CB246" s="2">
        <f t="shared" si="1"/>
        <v>0</v>
      </c>
    </row>
    <row r="247">
      <c r="W247" s="95">
        <f t="shared" si="19"/>
      </c>
      <c r="X247" s="94">
        <f t="shared" si="25"/>
      </c>
      <c r="Y247" s="96">
        <f t="shared" si="26"/>
      </c>
      <c r="Z247" s="21">
        <f t="shared" si="20"/>
      </c>
      <c r="AA247" s="21">
        <f t="shared" si="21"/>
      </c>
      <c r="AB247" s="94">
        <f t="shared" si="27"/>
      </c>
      <c r="AC247" s="96">
        <f t="shared" si="28"/>
      </c>
      <c r="AD247" s="94">
        <f t="shared" si="29"/>
      </c>
      <c r="BA247" s="2">
        <f>IF(OR(往来单位!$B$250="",$AF$3=0),0,SUMIFS(期初余额!$R$5:$R$204,期初余额!$P$5:$P$204,往来单位!$B$250,期初余额!$Q$5:$Q$204,$C$3)+SUMIFS(应付登记!$G$5:$G$1004,应付登记!$D$5:$D$1004,往来单位!$B$250,应付登记!$E$5:$E$1004,$C$3,应付登记!$J$5:$J$1004,"&gt;="&amp;_辅助!$J$4,应付登记!$J$5:$J$1004,"&lt;="&amp;_辅助!$J$2))</f>
        <v>0</v>
      </c>
      <c r="BB247" s="2">
        <f>BB200+SUM(CA201:CA247)</f>
        <v>2</v>
      </c>
      <c r="BC247" s="2">
        <f>IF(OR(往来单位!$B$250="",$AF$3=0,NOT(OR(往来单位!$C$250="管理人员",往来单位!$C$250="工人"))),0,SUMIFS(考勤工资!$E$5:$E$1004,考勤工资!$C$5:$C$1004,往来单位!$B$250,考勤工资!$D$5:$D$1004,$C$3,考勤工资!$Y$5:$Y$1004,"&gt;="&amp;_辅助!$J$4,考勤工资!$Y$5:$Y$1004,"&lt;="&amp;_辅助!$J$2)+SUMIFS(考勤工资!$G$5:$G$1004,考勤工资!$C$5:$C$1004,往来单位!$B$250,考勤工资!$F$5:$F$1004,$C$3,考勤工资!$Y$5:$Y$1004,"&gt;="&amp;_辅助!$J$4,考勤工资!$Y$5:$Y$1004,"&lt;="&amp;_辅助!$J$2)+SUMIFS(考勤工资!$I$5:$I$1004,考勤工资!$C$5:$C$1004,往来单位!$B$250,考勤工资!$H$5:$H$1004,$C$3,考勤工资!$Y$5:$Y$1004,"&gt;="&amp;_辅助!$J$4,考勤工资!$Y$5:$Y$1004,"&lt;="&amp;_辅助!$J$2)+SUMIFS(考勤工资!$K$5:$K$1004,考勤工资!$C$5:$C$1004,往来单位!$B$250,考勤工资!$J$5:$J$1004,$C$3,考勤工资!$Y$5:$Y$1004,"&gt;="&amp;_辅助!$J$4,考勤工资!$Y$5:$Y$1004,"&lt;="&amp;_辅助!$J$2))</f>
        <v>0</v>
      </c>
      <c r="BD247" s="2">
        <f>IF(BC247=0,0,SUMIFS(考勤工资!$AC$5:$AC$1004,考勤工资!$C$5:$C$1004,往来单位!$B$250,考勤工资!$D$5:$D$1004,$C$3,考勤工资!$Y$5:$Y$1004,"&gt;="&amp;_辅助!$J$4,考勤工资!$Y$5:$Y$1004,"&lt;="&amp;_辅助!$J$2)+SUMIFS(考勤工资!$AD$5:$AD$1004,考勤工资!$C$5:$C$1004,往来单位!$B$250,考勤工资!$F$5:$F$1004,$C$3,考勤工资!$Y$5:$Y$1004,"&gt;="&amp;_辅助!$J$4,考勤工资!$Y$5:$Y$1004,"&lt;="&amp;_辅助!$J$2)+SUMIFS(考勤工资!$AE$5:$AE$1004,考勤工资!$C$5:$C$1004,往来单位!$B$250,考勤工资!$H$5:$H$1004,$C$3,考勤工资!$Y$5:$Y$1004,"&gt;="&amp;_辅助!$J$4,考勤工资!$Y$5:$Y$1004,"&lt;="&amp;_辅助!$J$2)+SUMIFS(考勤工资!$AF$5:$AF$1004,考勤工资!$C$5:$C$1004,往来单位!$B$250,考勤工资!$J$5:$J$1004,$C$3,考勤工资!$Y$5:$Y$1004,"&gt;="&amp;_辅助!$J$4,考勤工资!$Y$5:$Y$1004,"&lt;="&amp;_辅助!$J$2))</f>
        <v>0</v>
      </c>
      <c r="BE247" s="2">
        <f>BE200+SUM(CB201:CB247)</f>
        <v>0</v>
      </c>
      <c r="BF247" s="2">
        <f>IF(AND($AF$3&gt;0,发票登记!$T$250=$C$3,ISNUMBER(发票登记!$X$250),发票登记!$AB$250&lt;&gt;0,发票登记!$Y$250&gt;=_辅助!$J$4,发票登记!$Y$250&lt;=_辅助!$J$2),INT(发票登记!$X$250)*10000+246,"")</f>
      </c>
      <c r="BG247" s="2">
        <f>IF(AND($AF$3&gt;0,资金流水!$H$251=$C$3,ISNUMBER(资金流水!$B$251),ISNUMBER(资金流水!$S$251),资金流水!$S$251&gt;=_辅助!$J$4,资金流水!$S$251&lt;=_辅助!$J$2),INT(资金流水!$B$251)*10000+246,"")</f>
      </c>
      <c r="BJ247" s="2">
        <f>IF(212&gt;$BG$1,0,MOD(SMALL($BG$2:$BG$2001,212),10000))</f>
        <v>0</v>
      </c>
      <c r="CA247" s="2">
        <f t="shared" si="0"/>
        <v>0</v>
      </c>
      <c r="CB247" s="2">
        <f t="shared" si="1"/>
        <v>0</v>
      </c>
    </row>
    <row r="248">
      <c r="W248" s="95">
        <f t="shared" si="19"/>
      </c>
      <c r="X248" s="94">
        <f t="shared" si="25"/>
      </c>
      <c r="Y248" s="96">
        <f t="shared" si="26"/>
      </c>
      <c r="Z248" s="21">
        <f t="shared" si="20"/>
      </c>
      <c r="AA248" s="21">
        <f t="shared" si="21"/>
      </c>
      <c r="AB248" s="94">
        <f t="shared" si="27"/>
      </c>
      <c r="AC248" s="96">
        <f t="shared" si="28"/>
      </c>
      <c r="AD248" s="94">
        <f t="shared" si="29"/>
      </c>
      <c r="BA248" s="2">
        <f>IF(OR(往来单位!$B$251="",$AF$3=0),0,SUMIFS(期初余额!$R$5:$R$204,期初余额!$P$5:$P$204,往来单位!$B$251,期初余额!$Q$5:$Q$204,$C$3)+SUMIFS(应付登记!$G$5:$G$1004,应付登记!$D$5:$D$1004,往来单位!$B$251,应付登记!$E$5:$E$1004,$C$3,应付登记!$J$5:$J$1004,"&gt;="&amp;_辅助!$J$4,应付登记!$J$5:$J$1004,"&lt;="&amp;_辅助!$J$2))</f>
        <v>0</v>
      </c>
      <c r="BB248" s="2">
        <f>BB200+SUM(CA201:CA248)</f>
        <v>2</v>
      </c>
      <c r="BC248" s="2">
        <f>IF(OR(往来单位!$B$251="",$AF$3=0,NOT(OR(往来单位!$C$251="管理人员",往来单位!$C$251="工人"))),0,SUMIFS(考勤工资!$E$5:$E$1004,考勤工资!$C$5:$C$1004,往来单位!$B$251,考勤工资!$D$5:$D$1004,$C$3,考勤工资!$Y$5:$Y$1004,"&gt;="&amp;_辅助!$J$4,考勤工资!$Y$5:$Y$1004,"&lt;="&amp;_辅助!$J$2)+SUMIFS(考勤工资!$G$5:$G$1004,考勤工资!$C$5:$C$1004,往来单位!$B$251,考勤工资!$F$5:$F$1004,$C$3,考勤工资!$Y$5:$Y$1004,"&gt;="&amp;_辅助!$J$4,考勤工资!$Y$5:$Y$1004,"&lt;="&amp;_辅助!$J$2)+SUMIFS(考勤工资!$I$5:$I$1004,考勤工资!$C$5:$C$1004,往来单位!$B$251,考勤工资!$H$5:$H$1004,$C$3,考勤工资!$Y$5:$Y$1004,"&gt;="&amp;_辅助!$J$4,考勤工资!$Y$5:$Y$1004,"&lt;="&amp;_辅助!$J$2)+SUMIFS(考勤工资!$K$5:$K$1004,考勤工资!$C$5:$C$1004,往来单位!$B$251,考勤工资!$J$5:$J$1004,$C$3,考勤工资!$Y$5:$Y$1004,"&gt;="&amp;_辅助!$J$4,考勤工资!$Y$5:$Y$1004,"&lt;="&amp;_辅助!$J$2))</f>
        <v>0</v>
      </c>
      <c r="BD248" s="2">
        <f>IF(BC248=0,0,SUMIFS(考勤工资!$AC$5:$AC$1004,考勤工资!$C$5:$C$1004,往来单位!$B$251,考勤工资!$D$5:$D$1004,$C$3,考勤工资!$Y$5:$Y$1004,"&gt;="&amp;_辅助!$J$4,考勤工资!$Y$5:$Y$1004,"&lt;="&amp;_辅助!$J$2)+SUMIFS(考勤工资!$AD$5:$AD$1004,考勤工资!$C$5:$C$1004,往来单位!$B$251,考勤工资!$F$5:$F$1004,$C$3,考勤工资!$Y$5:$Y$1004,"&gt;="&amp;_辅助!$J$4,考勤工资!$Y$5:$Y$1004,"&lt;="&amp;_辅助!$J$2)+SUMIFS(考勤工资!$AE$5:$AE$1004,考勤工资!$C$5:$C$1004,往来单位!$B$251,考勤工资!$H$5:$H$1004,$C$3,考勤工资!$Y$5:$Y$1004,"&gt;="&amp;_辅助!$J$4,考勤工资!$Y$5:$Y$1004,"&lt;="&amp;_辅助!$J$2)+SUMIFS(考勤工资!$AF$5:$AF$1004,考勤工资!$C$5:$C$1004,往来单位!$B$251,考勤工资!$J$5:$J$1004,$C$3,考勤工资!$Y$5:$Y$1004,"&gt;="&amp;_辅助!$J$4,考勤工资!$Y$5:$Y$1004,"&lt;="&amp;_辅助!$J$2))</f>
        <v>0</v>
      </c>
      <c r="BE248" s="2">
        <f>BE200+SUM(CB201:CB248)</f>
        <v>0</v>
      </c>
      <c r="BF248" s="2">
        <f>IF(AND($AF$3&gt;0,发票登记!$T$251=$C$3,ISNUMBER(发票登记!$X$251),发票登记!$AB$251&lt;&gt;0,发票登记!$Y$251&gt;=_辅助!$J$4,发票登记!$Y$251&lt;=_辅助!$J$2),INT(发票登记!$X$251)*10000+247,"")</f>
      </c>
      <c r="BG248" s="2">
        <f>IF(AND($AF$3&gt;0,资金流水!$H$252=$C$3,ISNUMBER(资金流水!$B$252),ISNUMBER(资金流水!$S$252),资金流水!$S$252&gt;=_辅助!$J$4,资金流水!$S$252&lt;=_辅助!$J$2),INT(资金流水!$B$252)*10000+247,"")</f>
      </c>
      <c r="BJ248" s="2">
        <f>IF(213&gt;$BG$1,0,MOD(SMALL($BG$2:$BG$2001,213),10000))</f>
        <v>0</v>
      </c>
      <c r="CA248" s="2">
        <f t="shared" si="0"/>
        <v>0</v>
      </c>
      <c r="CB248" s="2">
        <f t="shared" si="1"/>
        <v>0</v>
      </c>
    </row>
    <row r="249">
      <c r="W249" s="95">
        <f t="shared" si="19"/>
      </c>
      <c r="X249" s="94">
        <f t="shared" si="25"/>
      </c>
      <c r="Y249" s="96">
        <f t="shared" si="26"/>
      </c>
      <c r="Z249" s="21">
        <f t="shared" si="20"/>
      </c>
      <c r="AA249" s="21">
        <f t="shared" si="21"/>
      </c>
      <c r="AB249" s="94">
        <f t="shared" si="27"/>
      </c>
      <c r="AC249" s="96">
        <f t="shared" si="28"/>
      </c>
      <c r="AD249" s="94">
        <f t="shared" si="29"/>
      </c>
      <c r="BA249" s="2">
        <f>IF(OR(往来单位!$B$252="",$AF$3=0),0,SUMIFS(期初余额!$R$5:$R$204,期初余额!$P$5:$P$204,往来单位!$B$252,期初余额!$Q$5:$Q$204,$C$3)+SUMIFS(应付登记!$G$5:$G$1004,应付登记!$D$5:$D$1004,往来单位!$B$252,应付登记!$E$5:$E$1004,$C$3,应付登记!$J$5:$J$1004,"&gt;="&amp;_辅助!$J$4,应付登记!$J$5:$J$1004,"&lt;="&amp;_辅助!$J$2))</f>
        <v>0</v>
      </c>
      <c r="BB249" s="2">
        <f>BB200+SUM(CA201:CA249)</f>
        <v>2</v>
      </c>
      <c r="BC249" s="2">
        <f>IF(OR(往来单位!$B$252="",$AF$3=0,NOT(OR(往来单位!$C$252="管理人员",往来单位!$C$252="工人"))),0,SUMIFS(考勤工资!$E$5:$E$1004,考勤工资!$C$5:$C$1004,往来单位!$B$252,考勤工资!$D$5:$D$1004,$C$3,考勤工资!$Y$5:$Y$1004,"&gt;="&amp;_辅助!$J$4,考勤工资!$Y$5:$Y$1004,"&lt;="&amp;_辅助!$J$2)+SUMIFS(考勤工资!$G$5:$G$1004,考勤工资!$C$5:$C$1004,往来单位!$B$252,考勤工资!$F$5:$F$1004,$C$3,考勤工资!$Y$5:$Y$1004,"&gt;="&amp;_辅助!$J$4,考勤工资!$Y$5:$Y$1004,"&lt;="&amp;_辅助!$J$2)+SUMIFS(考勤工资!$I$5:$I$1004,考勤工资!$C$5:$C$1004,往来单位!$B$252,考勤工资!$H$5:$H$1004,$C$3,考勤工资!$Y$5:$Y$1004,"&gt;="&amp;_辅助!$J$4,考勤工资!$Y$5:$Y$1004,"&lt;="&amp;_辅助!$J$2)+SUMIFS(考勤工资!$K$5:$K$1004,考勤工资!$C$5:$C$1004,往来单位!$B$252,考勤工资!$J$5:$J$1004,$C$3,考勤工资!$Y$5:$Y$1004,"&gt;="&amp;_辅助!$J$4,考勤工资!$Y$5:$Y$1004,"&lt;="&amp;_辅助!$J$2))</f>
        <v>0</v>
      </c>
      <c r="BD249" s="2">
        <f>IF(BC249=0,0,SUMIFS(考勤工资!$AC$5:$AC$1004,考勤工资!$C$5:$C$1004,往来单位!$B$252,考勤工资!$D$5:$D$1004,$C$3,考勤工资!$Y$5:$Y$1004,"&gt;="&amp;_辅助!$J$4,考勤工资!$Y$5:$Y$1004,"&lt;="&amp;_辅助!$J$2)+SUMIFS(考勤工资!$AD$5:$AD$1004,考勤工资!$C$5:$C$1004,往来单位!$B$252,考勤工资!$F$5:$F$1004,$C$3,考勤工资!$Y$5:$Y$1004,"&gt;="&amp;_辅助!$J$4,考勤工资!$Y$5:$Y$1004,"&lt;="&amp;_辅助!$J$2)+SUMIFS(考勤工资!$AE$5:$AE$1004,考勤工资!$C$5:$C$1004,往来单位!$B$252,考勤工资!$H$5:$H$1004,$C$3,考勤工资!$Y$5:$Y$1004,"&gt;="&amp;_辅助!$J$4,考勤工资!$Y$5:$Y$1004,"&lt;="&amp;_辅助!$J$2)+SUMIFS(考勤工资!$AF$5:$AF$1004,考勤工资!$C$5:$C$1004,往来单位!$B$252,考勤工资!$J$5:$J$1004,$C$3,考勤工资!$Y$5:$Y$1004,"&gt;="&amp;_辅助!$J$4,考勤工资!$Y$5:$Y$1004,"&lt;="&amp;_辅助!$J$2))</f>
        <v>0</v>
      </c>
      <c r="BE249" s="2">
        <f>BE200+SUM(CB201:CB249)</f>
        <v>0</v>
      </c>
      <c r="BF249" s="2">
        <f>IF(AND($AF$3&gt;0,发票登记!$T$252=$C$3,ISNUMBER(发票登记!$X$252),发票登记!$AB$252&lt;&gt;0,发票登记!$Y$252&gt;=_辅助!$J$4,发票登记!$Y$252&lt;=_辅助!$J$2),INT(发票登记!$X$252)*10000+248,"")</f>
      </c>
      <c r="BG249" s="2">
        <f>IF(AND($AF$3&gt;0,资金流水!$H$253=$C$3,ISNUMBER(资金流水!$B$253),ISNUMBER(资金流水!$S$253),资金流水!$S$253&gt;=_辅助!$J$4,资金流水!$S$253&lt;=_辅助!$J$2),INT(资金流水!$B$253)*10000+248,"")</f>
      </c>
      <c r="BJ249" s="2">
        <f>IF(214&gt;$BG$1,0,MOD(SMALL($BG$2:$BG$2001,214),10000))</f>
        <v>0</v>
      </c>
      <c r="CA249" s="2">
        <f t="shared" si="0"/>
        <v>0</v>
      </c>
      <c r="CB249" s="2">
        <f t="shared" si="1"/>
        <v>0</v>
      </c>
    </row>
    <row r="250">
      <c r="W250" s="95">
        <f t="shared" si="19"/>
      </c>
      <c r="X250" s="94">
        <f t="shared" si="25"/>
      </c>
      <c r="Y250" s="96">
        <f t="shared" si="26"/>
      </c>
      <c r="Z250" s="21">
        <f t="shared" si="20"/>
      </c>
      <c r="AA250" s="21">
        <f t="shared" si="21"/>
      </c>
      <c r="AB250" s="94">
        <f t="shared" si="27"/>
      </c>
      <c r="AC250" s="96">
        <f t="shared" si="28"/>
      </c>
      <c r="AD250" s="94">
        <f t="shared" si="29"/>
      </c>
      <c r="BA250" s="2">
        <f>IF(OR(往来单位!$B$253="",$AF$3=0),0,SUMIFS(期初余额!$R$5:$R$204,期初余额!$P$5:$P$204,往来单位!$B$253,期初余额!$Q$5:$Q$204,$C$3)+SUMIFS(应付登记!$G$5:$G$1004,应付登记!$D$5:$D$1004,往来单位!$B$253,应付登记!$E$5:$E$1004,$C$3,应付登记!$J$5:$J$1004,"&gt;="&amp;_辅助!$J$4,应付登记!$J$5:$J$1004,"&lt;="&amp;_辅助!$J$2))</f>
        <v>0</v>
      </c>
      <c r="BB250" s="2">
        <f>BB200+SUM(CA201:CA250)</f>
        <v>2</v>
      </c>
      <c r="BC250" s="2">
        <f>IF(OR(往来单位!$B$253="",$AF$3=0,NOT(OR(往来单位!$C$253="管理人员",往来单位!$C$253="工人"))),0,SUMIFS(考勤工资!$E$5:$E$1004,考勤工资!$C$5:$C$1004,往来单位!$B$253,考勤工资!$D$5:$D$1004,$C$3,考勤工资!$Y$5:$Y$1004,"&gt;="&amp;_辅助!$J$4,考勤工资!$Y$5:$Y$1004,"&lt;="&amp;_辅助!$J$2)+SUMIFS(考勤工资!$G$5:$G$1004,考勤工资!$C$5:$C$1004,往来单位!$B$253,考勤工资!$F$5:$F$1004,$C$3,考勤工资!$Y$5:$Y$1004,"&gt;="&amp;_辅助!$J$4,考勤工资!$Y$5:$Y$1004,"&lt;="&amp;_辅助!$J$2)+SUMIFS(考勤工资!$I$5:$I$1004,考勤工资!$C$5:$C$1004,往来单位!$B$253,考勤工资!$H$5:$H$1004,$C$3,考勤工资!$Y$5:$Y$1004,"&gt;="&amp;_辅助!$J$4,考勤工资!$Y$5:$Y$1004,"&lt;="&amp;_辅助!$J$2)+SUMIFS(考勤工资!$K$5:$K$1004,考勤工资!$C$5:$C$1004,往来单位!$B$253,考勤工资!$J$5:$J$1004,$C$3,考勤工资!$Y$5:$Y$1004,"&gt;="&amp;_辅助!$J$4,考勤工资!$Y$5:$Y$1004,"&lt;="&amp;_辅助!$J$2))</f>
        <v>0</v>
      </c>
      <c r="BD250" s="2">
        <f>IF(BC250=0,0,SUMIFS(考勤工资!$AC$5:$AC$1004,考勤工资!$C$5:$C$1004,往来单位!$B$253,考勤工资!$D$5:$D$1004,$C$3,考勤工资!$Y$5:$Y$1004,"&gt;="&amp;_辅助!$J$4,考勤工资!$Y$5:$Y$1004,"&lt;="&amp;_辅助!$J$2)+SUMIFS(考勤工资!$AD$5:$AD$1004,考勤工资!$C$5:$C$1004,往来单位!$B$253,考勤工资!$F$5:$F$1004,$C$3,考勤工资!$Y$5:$Y$1004,"&gt;="&amp;_辅助!$J$4,考勤工资!$Y$5:$Y$1004,"&lt;="&amp;_辅助!$J$2)+SUMIFS(考勤工资!$AE$5:$AE$1004,考勤工资!$C$5:$C$1004,往来单位!$B$253,考勤工资!$H$5:$H$1004,$C$3,考勤工资!$Y$5:$Y$1004,"&gt;="&amp;_辅助!$J$4,考勤工资!$Y$5:$Y$1004,"&lt;="&amp;_辅助!$J$2)+SUMIFS(考勤工资!$AF$5:$AF$1004,考勤工资!$C$5:$C$1004,往来单位!$B$253,考勤工资!$J$5:$J$1004,$C$3,考勤工资!$Y$5:$Y$1004,"&gt;="&amp;_辅助!$J$4,考勤工资!$Y$5:$Y$1004,"&lt;="&amp;_辅助!$J$2))</f>
        <v>0</v>
      </c>
      <c r="BE250" s="2">
        <f>BE200+SUM(CB201:CB250)</f>
        <v>0</v>
      </c>
      <c r="BF250" s="2">
        <f>IF(AND($AF$3&gt;0,发票登记!$T$253=$C$3,ISNUMBER(发票登记!$X$253),发票登记!$AB$253&lt;&gt;0,发票登记!$Y$253&gt;=_辅助!$J$4,发票登记!$Y$253&lt;=_辅助!$J$2),INT(发票登记!$X$253)*10000+249,"")</f>
      </c>
      <c r="BG250" s="2">
        <f>IF(AND($AF$3&gt;0,资金流水!$H$254=$C$3,ISNUMBER(资金流水!$B$254),ISNUMBER(资金流水!$S$254),资金流水!$S$254&gt;=_辅助!$J$4,资金流水!$S$254&lt;=_辅助!$J$2),INT(资金流水!$B$254)*10000+249,"")</f>
      </c>
      <c r="BJ250" s="2">
        <f>IF(215&gt;$BG$1,0,MOD(SMALL($BG$2:$BG$2001,215),10000))</f>
        <v>0</v>
      </c>
      <c r="CA250" s="2">
        <f t="shared" si="0"/>
        <v>0</v>
      </c>
      <c r="CB250" s="2">
        <f t="shared" si="1"/>
        <v>0</v>
      </c>
    </row>
    <row r="251">
      <c r="W251" s="95">
        <f t="shared" si="19"/>
      </c>
      <c r="X251" s="94">
        <f t="shared" si="25"/>
      </c>
      <c r="Y251" s="96">
        <f t="shared" si="26"/>
      </c>
      <c r="Z251" s="21">
        <f t="shared" si="20"/>
      </c>
      <c r="AA251" s="21">
        <f t="shared" si="21"/>
      </c>
      <c r="AB251" s="94">
        <f t="shared" si="27"/>
      </c>
      <c r="AC251" s="96">
        <f t="shared" si="28"/>
      </c>
      <c r="AD251" s="94">
        <f t="shared" si="29"/>
      </c>
      <c r="BA251" s="2">
        <f>IF(OR(往来单位!$B$254="",$AF$3=0),0,SUMIFS(期初余额!$R$5:$R$204,期初余额!$P$5:$P$204,往来单位!$B$254,期初余额!$Q$5:$Q$204,$C$3)+SUMIFS(应付登记!$G$5:$G$1004,应付登记!$D$5:$D$1004,往来单位!$B$254,应付登记!$E$5:$E$1004,$C$3,应付登记!$J$5:$J$1004,"&gt;="&amp;_辅助!$J$4,应付登记!$J$5:$J$1004,"&lt;="&amp;_辅助!$J$2))</f>
        <v>0</v>
      </c>
      <c r="BB251" s="2">
        <f>BB250+SUM(CA251:CA251)</f>
        <v>2</v>
      </c>
      <c r="BC251" s="2">
        <f>IF(OR(往来单位!$B$254="",$AF$3=0,NOT(OR(往来单位!$C$254="管理人员",往来单位!$C$254="工人"))),0,SUMIFS(考勤工资!$E$5:$E$1004,考勤工资!$C$5:$C$1004,往来单位!$B$254,考勤工资!$D$5:$D$1004,$C$3,考勤工资!$Y$5:$Y$1004,"&gt;="&amp;_辅助!$J$4,考勤工资!$Y$5:$Y$1004,"&lt;="&amp;_辅助!$J$2)+SUMIFS(考勤工资!$G$5:$G$1004,考勤工资!$C$5:$C$1004,往来单位!$B$254,考勤工资!$F$5:$F$1004,$C$3,考勤工资!$Y$5:$Y$1004,"&gt;="&amp;_辅助!$J$4,考勤工资!$Y$5:$Y$1004,"&lt;="&amp;_辅助!$J$2)+SUMIFS(考勤工资!$I$5:$I$1004,考勤工资!$C$5:$C$1004,往来单位!$B$254,考勤工资!$H$5:$H$1004,$C$3,考勤工资!$Y$5:$Y$1004,"&gt;="&amp;_辅助!$J$4,考勤工资!$Y$5:$Y$1004,"&lt;="&amp;_辅助!$J$2)+SUMIFS(考勤工资!$K$5:$K$1004,考勤工资!$C$5:$C$1004,往来单位!$B$254,考勤工资!$J$5:$J$1004,$C$3,考勤工资!$Y$5:$Y$1004,"&gt;="&amp;_辅助!$J$4,考勤工资!$Y$5:$Y$1004,"&lt;="&amp;_辅助!$J$2))</f>
        <v>0</v>
      </c>
      <c r="BD251" s="2">
        <f>IF(BC251=0,0,SUMIFS(考勤工资!$AC$5:$AC$1004,考勤工资!$C$5:$C$1004,往来单位!$B$254,考勤工资!$D$5:$D$1004,$C$3,考勤工资!$Y$5:$Y$1004,"&gt;="&amp;_辅助!$J$4,考勤工资!$Y$5:$Y$1004,"&lt;="&amp;_辅助!$J$2)+SUMIFS(考勤工资!$AD$5:$AD$1004,考勤工资!$C$5:$C$1004,往来单位!$B$254,考勤工资!$F$5:$F$1004,$C$3,考勤工资!$Y$5:$Y$1004,"&gt;="&amp;_辅助!$J$4,考勤工资!$Y$5:$Y$1004,"&lt;="&amp;_辅助!$J$2)+SUMIFS(考勤工资!$AE$5:$AE$1004,考勤工资!$C$5:$C$1004,往来单位!$B$254,考勤工资!$H$5:$H$1004,$C$3,考勤工资!$Y$5:$Y$1004,"&gt;="&amp;_辅助!$J$4,考勤工资!$Y$5:$Y$1004,"&lt;="&amp;_辅助!$J$2)+SUMIFS(考勤工资!$AF$5:$AF$1004,考勤工资!$C$5:$C$1004,往来单位!$B$254,考勤工资!$J$5:$J$1004,$C$3,考勤工资!$Y$5:$Y$1004,"&gt;="&amp;_辅助!$J$4,考勤工资!$Y$5:$Y$1004,"&lt;="&amp;_辅助!$J$2))</f>
        <v>0</v>
      </c>
      <c r="BE251" s="2">
        <f>BE250+SUM(CB251:CB251)</f>
        <v>0</v>
      </c>
      <c r="BF251" s="2">
        <f>IF(AND($AF$3&gt;0,发票登记!$T$254=$C$3,ISNUMBER(发票登记!$X$254),发票登记!$AB$254&lt;&gt;0,发票登记!$Y$254&gt;=_辅助!$J$4,发票登记!$Y$254&lt;=_辅助!$J$2),INT(发票登记!$X$254)*10000+250,"")</f>
      </c>
      <c r="BG251" s="2">
        <f>IF(AND($AF$3&gt;0,资金流水!$H$255=$C$3,ISNUMBER(资金流水!$B$255),ISNUMBER(资金流水!$S$255),资金流水!$S$255&gt;=_辅助!$J$4,资金流水!$S$255&lt;=_辅助!$J$2),INT(资金流水!$B$255)*10000+250,"")</f>
      </c>
      <c r="BJ251" s="2">
        <f>IF(216&gt;$BG$1,0,MOD(SMALL($BG$2:$BG$2001,216),10000))</f>
        <v>0</v>
      </c>
      <c r="CA251" s="2">
        <f t="shared" si="0"/>
        <v>0</v>
      </c>
      <c r="CB251" s="2">
        <f t="shared" si="1"/>
        <v>0</v>
      </c>
    </row>
    <row r="252">
      <c r="W252" s="95">
        <f t="shared" si="19"/>
      </c>
      <c r="X252" s="94">
        <f t="shared" si="25"/>
      </c>
      <c r="Y252" s="96">
        <f t="shared" si="26"/>
      </c>
      <c r="Z252" s="21">
        <f t="shared" si="20"/>
      </c>
      <c r="AA252" s="21">
        <f t="shared" si="21"/>
      </c>
      <c r="AB252" s="94">
        <f t="shared" si="27"/>
      </c>
      <c r="AC252" s="96">
        <f t="shared" si="28"/>
      </c>
      <c r="AD252" s="94">
        <f t="shared" si="29"/>
      </c>
      <c r="BA252" s="2">
        <f>IF(OR(往来单位!$B$255="",$AF$3=0),0,SUMIFS(期初余额!$R$5:$R$204,期初余额!$P$5:$P$204,往来单位!$B$255,期初余额!$Q$5:$Q$204,$C$3)+SUMIFS(应付登记!$G$5:$G$1004,应付登记!$D$5:$D$1004,往来单位!$B$255,应付登记!$E$5:$E$1004,$C$3,应付登记!$J$5:$J$1004,"&gt;="&amp;_辅助!$J$4,应付登记!$J$5:$J$1004,"&lt;="&amp;_辅助!$J$2))</f>
        <v>0</v>
      </c>
      <c r="BB252" s="2">
        <f>BB250+SUM(CA251:CA252)</f>
        <v>2</v>
      </c>
      <c r="BC252" s="2">
        <f>IF(OR(往来单位!$B$255="",$AF$3=0,NOT(OR(往来单位!$C$255="管理人员",往来单位!$C$255="工人"))),0,SUMIFS(考勤工资!$E$5:$E$1004,考勤工资!$C$5:$C$1004,往来单位!$B$255,考勤工资!$D$5:$D$1004,$C$3,考勤工资!$Y$5:$Y$1004,"&gt;="&amp;_辅助!$J$4,考勤工资!$Y$5:$Y$1004,"&lt;="&amp;_辅助!$J$2)+SUMIFS(考勤工资!$G$5:$G$1004,考勤工资!$C$5:$C$1004,往来单位!$B$255,考勤工资!$F$5:$F$1004,$C$3,考勤工资!$Y$5:$Y$1004,"&gt;="&amp;_辅助!$J$4,考勤工资!$Y$5:$Y$1004,"&lt;="&amp;_辅助!$J$2)+SUMIFS(考勤工资!$I$5:$I$1004,考勤工资!$C$5:$C$1004,往来单位!$B$255,考勤工资!$H$5:$H$1004,$C$3,考勤工资!$Y$5:$Y$1004,"&gt;="&amp;_辅助!$J$4,考勤工资!$Y$5:$Y$1004,"&lt;="&amp;_辅助!$J$2)+SUMIFS(考勤工资!$K$5:$K$1004,考勤工资!$C$5:$C$1004,往来单位!$B$255,考勤工资!$J$5:$J$1004,$C$3,考勤工资!$Y$5:$Y$1004,"&gt;="&amp;_辅助!$J$4,考勤工资!$Y$5:$Y$1004,"&lt;="&amp;_辅助!$J$2))</f>
        <v>0</v>
      </c>
      <c r="BD252" s="2">
        <f>IF(BC252=0,0,SUMIFS(考勤工资!$AC$5:$AC$1004,考勤工资!$C$5:$C$1004,往来单位!$B$255,考勤工资!$D$5:$D$1004,$C$3,考勤工资!$Y$5:$Y$1004,"&gt;="&amp;_辅助!$J$4,考勤工资!$Y$5:$Y$1004,"&lt;="&amp;_辅助!$J$2)+SUMIFS(考勤工资!$AD$5:$AD$1004,考勤工资!$C$5:$C$1004,往来单位!$B$255,考勤工资!$F$5:$F$1004,$C$3,考勤工资!$Y$5:$Y$1004,"&gt;="&amp;_辅助!$J$4,考勤工资!$Y$5:$Y$1004,"&lt;="&amp;_辅助!$J$2)+SUMIFS(考勤工资!$AE$5:$AE$1004,考勤工资!$C$5:$C$1004,往来单位!$B$255,考勤工资!$H$5:$H$1004,$C$3,考勤工资!$Y$5:$Y$1004,"&gt;="&amp;_辅助!$J$4,考勤工资!$Y$5:$Y$1004,"&lt;="&amp;_辅助!$J$2)+SUMIFS(考勤工资!$AF$5:$AF$1004,考勤工资!$C$5:$C$1004,往来单位!$B$255,考勤工资!$J$5:$J$1004,$C$3,考勤工资!$Y$5:$Y$1004,"&gt;="&amp;_辅助!$J$4,考勤工资!$Y$5:$Y$1004,"&lt;="&amp;_辅助!$J$2))</f>
        <v>0</v>
      </c>
      <c r="BE252" s="2">
        <f>BE250+SUM(CB251:CB252)</f>
        <v>0</v>
      </c>
      <c r="BF252" s="2">
        <f>IF(AND($AF$3&gt;0,发票登记!$T$255=$C$3,ISNUMBER(发票登记!$X$255),发票登记!$AB$255&lt;&gt;0,发票登记!$Y$255&gt;=_辅助!$J$4,发票登记!$Y$255&lt;=_辅助!$J$2),INT(发票登记!$X$255)*10000+251,"")</f>
      </c>
      <c r="BG252" s="2">
        <f>IF(AND($AF$3&gt;0,资金流水!$H$256=$C$3,ISNUMBER(资金流水!$B$256),ISNUMBER(资金流水!$S$256),资金流水!$S$256&gt;=_辅助!$J$4,资金流水!$S$256&lt;=_辅助!$J$2),INT(资金流水!$B$256)*10000+251,"")</f>
      </c>
      <c r="BJ252" s="2">
        <f>IF(217&gt;$BG$1,0,MOD(SMALL($BG$2:$BG$2001,217),10000))</f>
        <v>0</v>
      </c>
      <c r="CA252" s="2">
        <f t="shared" si="0"/>
        <v>0</v>
      </c>
      <c r="CB252" s="2">
        <f t="shared" si="1"/>
        <v>0</v>
      </c>
    </row>
    <row r="253">
      <c r="W253" s="95">
        <f t="shared" si="19"/>
      </c>
      <c r="X253" s="94">
        <f t="shared" si="25"/>
      </c>
      <c r="Y253" s="96">
        <f t="shared" si="26"/>
      </c>
      <c r="Z253" s="21">
        <f t="shared" si="20"/>
      </c>
      <c r="AA253" s="21">
        <f t="shared" si="21"/>
      </c>
      <c r="AB253" s="94">
        <f t="shared" si="27"/>
      </c>
      <c r="AC253" s="96">
        <f t="shared" si="28"/>
      </c>
      <c r="AD253" s="94">
        <f t="shared" si="29"/>
      </c>
      <c r="BA253" s="2">
        <f>IF(OR(往来单位!$B$256="",$AF$3=0),0,SUMIFS(期初余额!$R$5:$R$204,期初余额!$P$5:$P$204,往来单位!$B$256,期初余额!$Q$5:$Q$204,$C$3)+SUMIFS(应付登记!$G$5:$G$1004,应付登记!$D$5:$D$1004,往来单位!$B$256,应付登记!$E$5:$E$1004,$C$3,应付登记!$J$5:$J$1004,"&gt;="&amp;_辅助!$J$4,应付登记!$J$5:$J$1004,"&lt;="&amp;_辅助!$J$2))</f>
        <v>0</v>
      </c>
      <c r="BB253" s="2">
        <f>BB250+SUM(CA251:CA253)</f>
        <v>2</v>
      </c>
      <c r="BC253" s="2">
        <f>IF(OR(往来单位!$B$256="",$AF$3=0,NOT(OR(往来单位!$C$256="管理人员",往来单位!$C$256="工人"))),0,SUMIFS(考勤工资!$E$5:$E$1004,考勤工资!$C$5:$C$1004,往来单位!$B$256,考勤工资!$D$5:$D$1004,$C$3,考勤工资!$Y$5:$Y$1004,"&gt;="&amp;_辅助!$J$4,考勤工资!$Y$5:$Y$1004,"&lt;="&amp;_辅助!$J$2)+SUMIFS(考勤工资!$G$5:$G$1004,考勤工资!$C$5:$C$1004,往来单位!$B$256,考勤工资!$F$5:$F$1004,$C$3,考勤工资!$Y$5:$Y$1004,"&gt;="&amp;_辅助!$J$4,考勤工资!$Y$5:$Y$1004,"&lt;="&amp;_辅助!$J$2)+SUMIFS(考勤工资!$I$5:$I$1004,考勤工资!$C$5:$C$1004,往来单位!$B$256,考勤工资!$H$5:$H$1004,$C$3,考勤工资!$Y$5:$Y$1004,"&gt;="&amp;_辅助!$J$4,考勤工资!$Y$5:$Y$1004,"&lt;="&amp;_辅助!$J$2)+SUMIFS(考勤工资!$K$5:$K$1004,考勤工资!$C$5:$C$1004,往来单位!$B$256,考勤工资!$J$5:$J$1004,$C$3,考勤工资!$Y$5:$Y$1004,"&gt;="&amp;_辅助!$J$4,考勤工资!$Y$5:$Y$1004,"&lt;="&amp;_辅助!$J$2))</f>
        <v>0</v>
      </c>
      <c r="BD253" s="2">
        <f>IF(BC253=0,0,SUMIFS(考勤工资!$AC$5:$AC$1004,考勤工资!$C$5:$C$1004,往来单位!$B$256,考勤工资!$D$5:$D$1004,$C$3,考勤工资!$Y$5:$Y$1004,"&gt;="&amp;_辅助!$J$4,考勤工资!$Y$5:$Y$1004,"&lt;="&amp;_辅助!$J$2)+SUMIFS(考勤工资!$AD$5:$AD$1004,考勤工资!$C$5:$C$1004,往来单位!$B$256,考勤工资!$F$5:$F$1004,$C$3,考勤工资!$Y$5:$Y$1004,"&gt;="&amp;_辅助!$J$4,考勤工资!$Y$5:$Y$1004,"&lt;="&amp;_辅助!$J$2)+SUMIFS(考勤工资!$AE$5:$AE$1004,考勤工资!$C$5:$C$1004,往来单位!$B$256,考勤工资!$H$5:$H$1004,$C$3,考勤工资!$Y$5:$Y$1004,"&gt;="&amp;_辅助!$J$4,考勤工资!$Y$5:$Y$1004,"&lt;="&amp;_辅助!$J$2)+SUMIFS(考勤工资!$AF$5:$AF$1004,考勤工资!$C$5:$C$1004,往来单位!$B$256,考勤工资!$J$5:$J$1004,$C$3,考勤工资!$Y$5:$Y$1004,"&gt;="&amp;_辅助!$J$4,考勤工资!$Y$5:$Y$1004,"&lt;="&amp;_辅助!$J$2))</f>
        <v>0</v>
      </c>
      <c r="BE253" s="2">
        <f>BE250+SUM(CB251:CB253)</f>
        <v>0</v>
      </c>
      <c r="BF253" s="2">
        <f>IF(AND($AF$3&gt;0,发票登记!$T$256=$C$3,ISNUMBER(发票登记!$X$256),发票登记!$AB$256&lt;&gt;0,发票登记!$Y$256&gt;=_辅助!$J$4,发票登记!$Y$256&lt;=_辅助!$J$2),INT(发票登记!$X$256)*10000+252,"")</f>
      </c>
      <c r="BG253" s="2">
        <f>IF(AND($AF$3&gt;0,资金流水!$H$257=$C$3,ISNUMBER(资金流水!$B$257),ISNUMBER(资金流水!$S$257),资金流水!$S$257&gt;=_辅助!$J$4,资金流水!$S$257&lt;=_辅助!$J$2),INT(资金流水!$B$257)*10000+252,"")</f>
      </c>
      <c r="BJ253" s="2">
        <f>IF(218&gt;$BG$1,0,MOD(SMALL($BG$2:$BG$2001,218),10000))</f>
        <v>0</v>
      </c>
      <c r="CA253" s="2">
        <f t="shared" si="0"/>
        <v>0</v>
      </c>
      <c r="CB253" s="2">
        <f t="shared" si="1"/>
        <v>0</v>
      </c>
    </row>
    <row r="254">
      <c r="W254" s="95">
        <f t="shared" si="19"/>
      </c>
      <c r="X254" s="94">
        <f t="shared" si="25"/>
      </c>
      <c r="Y254" s="96">
        <f t="shared" si="26"/>
      </c>
      <c r="Z254" s="21">
        <f t="shared" si="20"/>
      </c>
      <c r="AA254" s="21">
        <f t="shared" si="21"/>
      </c>
      <c r="AB254" s="94">
        <f t="shared" si="27"/>
      </c>
      <c r="AC254" s="96">
        <f t="shared" si="28"/>
      </c>
      <c r="AD254" s="94">
        <f t="shared" si="29"/>
      </c>
      <c r="BA254" s="2">
        <f>IF(OR(往来单位!$B$257="",$AF$3=0),0,SUMIFS(期初余额!$R$5:$R$204,期初余额!$P$5:$P$204,往来单位!$B$257,期初余额!$Q$5:$Q$204,$C$3)+SUMIFS(应付登记!$G$5:$G$1004,应付登记!$D$5:$D$1004,往来单位!$B$257,应付登记!$E$5:$E$1004,$C$3,应付登记!$J$5:$J$1004,"&gt;="&amp;_辅助!$J$4,应付登记!$J$5:$J$1004,"&lt;="&amp;_辅助!$J$2))</f>
        <v>0</v>
      </c>
      <c r="BB254" s="2">
        <f>BB250+SUM(CA251:CA254)</f>
        <v>2</v>
      </c>
      <c r="BC254" s="2">
        <f>IF(OR(往来单位!$B$257="",$AF$3=0,NOT(OR(往来单位!$C$257="管理人员",往来单位!$C$257="工人"))),0,SUMIFS(考勤工资!$E$5:$E$1004,考勤工资!$C$5:$C$1004,往来单位!$B$257,考勤工资!$D$5:$D$1004,$C$3,考勤工资!$Y$5:$Y$1004,"&gt;="&amp;_辅助!$J$4,考勤工资!$Y$5:$Y$1004,"&lt;="&amp;_辅助!$J$2)+SUMIFS(考勤工资!$G$5:$G$1004,考勤工资!$C$5:$C$1004,往来单位!$B$257,考勤工资!$F$5:$F$1004,$C$3,考勤工资!$Y$5:$Y$1004,"&gt;="&amp;_辅助!$J$4,考勤工资!$Y$5:$Y$1004,"&lt;="&amp;_辅助!$J$2)+SUMIFS(考勤工资!$I$5:$I$1004,考勤工资!$C$5:$C$1004,往来单位!$B$257,考勤工资!$H$5:$H$1004,$C$3,考勤工资!$Y$5:$Y$1004,"&gt;="&amp;_辅助!$J$4,考勤工资!$Y$5:$Y$1004,"&lt;="&amp;_辅助!$J$2)+SUMIFS(考勤工资!$K$5:$K$1004,考勤工资!$C$5:$C$1004,往来单位!$B$257,考勤工资!$J$5:$J$1004,$C$3,考勤工资!$Y$5:$Y$1004,"&gt;="&amp;_辅助!$J$4,考勤工资!$Y$5:$Y$1004,"&lt;="&amp;_辅助!$J$2))</f>
        <v>0</v>
      </c>
      <c r="BD254" s="2">
        <f>IF(BC254=0,0,SUMIFS(考勤工资!$AC$5:$AC$1004,考勤工资!$C$5:$C$1004,往来单位!$B$257,考勤工资!$D$5:$D$1004,$C$3,考勤工资!$Y$5:$Y$1004,"&gt;="&amp;_辅助!$J$4,考勤工资!$Y$5:$Y$1004,"&lt;="&amp;_辅助!$J$2)+SUMIFS(考勤工资!$AD$5:$AD$1004,考勤工资!$C$5:$C$1004,往来单位!$B$257,考勤工资!$F$5:$F$1004,$C$3,考勤工资!$Y$5:$Y$1004,"&gt;="&amp;_辅助!$J$4,考勤工资!$Y$5:$Y$1004,"&lt;="&amp;_辅助!$J$2)+SUMIFS(考勤工资!$AE$5:$AE$1004,考勤工资!$C$5:$C$1004,往来单位!$B$257,考勤工资!$H$5:$H$1004,$C$3,考勤工资!$Y$5:$Y$1004,"&gt;="&amp;_辅助!$J$4,考勤工资!$Y$5:$Y$1004,"&lt;="&amp;_辅助!$J$2)+SUMIFS(考勤工资!$AF$5:$AF$1004,考勤工资!$C$5:$C$1004,往来单位!$B$257,考勤工资!$J$5:$J$1004,$C$3,考勤工资!$Y$5:$Y$1004,"&gt;="&amp;_辅助!$J$4,考勤工资!$Y$5:$Y$1004,"&lt;="&amp;_辅助!$J$2))</f>
        <v>0</v>
      </c>
      <c r="BE254" s="2">
        <f>BE250+SUM(CB251:CB254)</f>
        <v>0</v>
      </c>
      <c r="BF254" s="2">
        <f>IF(AND($AF$3&gt;0,发票登记!$T$257=$C$3,ISNUMBER(发票登记!$X$257),发票登记!$AB$257&lt;&gt;0,发票登记!$Y$257&gt;=_辅助!$J$4,发票登记!$Y$257&lt;=_辅助!$J$2),INT(发票登记!$X$257)*10000+253,"")</f>
      </c>
      <c r="BG254" s="2">
        <f>IF(AND($AF$3&gt;0,资金流水!$H$258=$C$3,ISNUMBER(资金流水!$B$258),ISNUMBER(资金流水!$S$258),资金流水!$S$258&gt;=_辅助!$J$4,资金流水!$S$258&lt;=_辅助!$J$2),INT(资金流水!$B$258)*10000+253,"")</f>
      </c>
      <c r="BJ254" s="2">
        <f>IF(219&gt;$BG$1,0,MOD(SMALL($BG$2:$BG$2001,219),10000))</f>
        <v>0</v>
      </c>
      <c r="CA254" s="2">
        <f t="shared" si="0"/>
        <v>0</v>
      </c>
      <c r="CB254" s="2">
        <f t="shared" si="1"/>
        <v>0</v>
      </c>
    </row>
    <row r="255">
      <c r="W255" s="95">
        <f t="shared" si="19"/>
      </c>
      <c r="X255" s="94">
        <f t="shared" si="25"/>
      </c>
      <c r="Y255" s="96">
        <f t="shared" si="26"/>
      </c>
      <c r="Z255" s="21">
        <f t="shared" si="20"/>
      </c>
      <c r="AA255" s="21">
        <f t="shared" si="21"/>
      </c>
      <c r="AB255" s="94">
        <f t="shared" si="27"/>
      </c>
      <c r="AC255" s="96">
        <f t="shared" si="28"/>
      </c>
      <c r="AD255" s="94">
        <f t="shared" si="29"/>
      </c>
      <c r="BA255" s="2">
        <f>IF(OR(往来单位!$B$258="",$AF$3=0),0,SUMIFS(期初余额!$R$5:$R$204,期初余额!$P$5:$P$204,往来单位!$B$258,期初余额!$Q$5:$Q$204,$C$3)+SUMIFS(应付登记!$G$5:$G$1004,应付登记!$D$5:$D$1004,往来单位!$B$258,应付登记!$E$5:$E$1004,$C$3,应付登记!$J$5:$J$1004,"&gt;="&amp;_辅助!$J$4,应付登记!$J$5:$J$1004,"&lt;="&amp;_辅助!$J$2))</f>
        <v>0</v>
      </c>
      <c r="BB255" s="2">
        <f>BB250+SUM(CA251:CA255)</f>
        <v>2</v>
      </c>
      <c r="BC255" s="2">
        <f>IF(OR(往来单位!$B$258="",$AF$3=0,NOT(OR(往来单位!$C$258="管理人员",往来单位!$C$258="工人"))),0,SUMIFS(考勤工资!$E$5:$E$1004,考勤工资!$C$5:$C$1004,往来单位!$B$258,考勤工资!$D$5:$D$1004,$C$3,考勤工资!$Y$5:$Y$1004,"&gt;="&amp;_辅助!$J$4,考勤工资!$Y$5:$Y$1004,"&lt;="&amp;_辅助!$J$2)+SUMIFS(考勤工资!$G$5:$G$1004,考勤工资!$C$5:$C$1004,往来单位!$B$258,考勤工资!$F$5:$F$1004,$C$3,考勤工资!$Y$5:$Y$1004,"&gt;="&amp;_辅助!$J$4,考勤工资!$Y$5:$Y$1004,"&lt;="&amp;_辅助!$J$2)+SUMIFS(考勤工资!$I$5:$I$1004,考勤工资!$C$5:$C$1004,往来单位!$B$258,考勤工资!$H$5:$H$1004,$C$3,考勤工资!$Y$5:$Y$1004,"&gt;="&amp;_辅助!$J$4,考勤工资!$Y$5:$Y$1004,"&lt;="&amp;_辅助!$J$2)+SUMIFS(考勤工资!$K$5:$K$1004,考勤工资!$C$5:$C$1004,往来单位!$B$258,考勤工资!$J$5:$J$1004,$C$3,考勤工资!$Y$5:$Y$1004,"&gt;="&amp;_辅助!$J$4,考勤工资!$Y$5:$Y$1004,"&lt;="&amp;_辅助!$J$2))</f>
        <v>0</v>
      </c>
      <c r="BD255" s="2">
        <f>IF(BC255=0,0,SUMIFS(考勤工资!$AC$5:$AC$1004,考勤工资!$C$5:$C$1004,往来单位!$B$258,考勤工资!$D$5:$D$1004,$C$3,考勤工资!$Y$5:$Y$1004,"&gt;="&amp;_辅助!$J$4,考勤工资!$Y$5:$Y$1004,"&lt;="&amp;_辅助!$J$2)+SUMIFS(考勤工资!$AD$5:$AD$1004,考勤工资!$C$5:$C$1004,往来单位!$B$258,考勤工资!$F$5:$F$1004,$C$3,考勤工资!$Y$5:$Y$1004,"&gt;="&amp;_辅助!$J$4,考勤工资!$Y$5:$Y$1004,"&lt;="&amp;_辅助!$J$2)+SUMIFS(考勤工资!$AE$5:$AE$1004,考勤工资!$C$5:$C$1004,往来单位!$B$258,考勤工资!$H$5:$H$1004,$C$3,考勤工资!$Y$5:$Y$1004,"&gt;="&amp;_辅助!$J$4,考勤工资!$Y$5:$Y$1004,"&lt;="&amp;_辅助!$J$2)+SUMIFS(考勤工资!$AF$5:$AF$1004,考勤工资!$C$5:$C$1004,往来单位!$B$258,考勤工资!$J$5:$J$1004,$C$3,考勤工资!$Y$5:$Y$1004,"&gt;="&amp;_辅助!$J$4,考勤工资!$Y$5:$Y$1004,"&lt;="&amp;_辅助!$J$2))</f>
        <v>0</v>
      </c>
      <c r="BE255" s="2">
        <f>BE250+SUM(CB251:CB255)</f>
        <v>0</v>
      </c>
      <c r="BF255" s="2">
        <f>IF(AND($AF$3&gt;0,发票登记!$T$258=$C$3,ISNUMBER(发票登记!$X$258),发票登记!$AB$258&lt;&gt;0,发票登记!$Y$258&gt;=_辅助!$J$4,发票登记!$Y$258&lt;=_辅助!$J$2),INT(发票登记!$X$258)*10000+254,"")</f>
      </c>
      <c r="BG255" s="2">
        <f>IF(AND($AF$3&gt;0,资金流水!$H$259=$C$3,ISNUMBER(资金流水!$B$259),ISNUMBER(资金流水!$S$259),资金流水!$S$259&gt;=_辅助!$J$4,资金流水!$S$259&lt;=_辅助!$J$2),INT(资金流水!$B$259)*10000+254,"")</f>
      </c>
      <c r="BJ255" s="2">
        <f>IF(220&gt;$BG$1,0,MOD(SMALL($BG$2:$BG$2001,220),10000))</f>
        <v>0</v>
      </c>
      <c r="CA255" s="2">
        <f t="shared" si="0"/>
        <v>0</v>
      </c>
      <c r="CB255" s="2">
        <f t="shared" si="1"/>
        <v>0</v>
      </c>
    </row>
    <row r="256">
      <c r="W256" s="95">
        <f t="shared" si="19"/>
      </c>
      <c r="X256" s="94">
        <f t="shared" si="25"/>
      </c>
      <c r="Y256" s="96">
        <f t="shared" si="26"/>
      </c>
      <c r="Z256" s="21">
        <f t="shared" si="20"/>
      </c>
      <c r="AA256" s="21">
        <f t="shared" si="21"/>
      </c>
      <c r="AB256" s="94">
        <f t="shared" si="27"/>
      </c>
      <c r="AC256" s="96">
        <f t="shared" si="28"/>
      </c>
      <c r="AD256" s="94">
        <f t="shared" si="29"/>
      </c>
      <c r="BA256" s="2">
        <f>IF(OR(往来单位!$B$259="",$AF$3=0),0,SUMIFS(期初余额!$R$5:$R$204,期初余额!$P$5:$P$204,往来单位!$B$259,期初余额!$Q$5:$Q$204,$C$3)+SUMIFS(应付登记!$G$5:$G$1004,应付登记!$D$5:$D$1004,往来单位!$B$259,应付登记!$E$5:$E$1004,$C$3,应付登记!$J$5:$J$1004,"&gt;="&amp;_辅助!$J$4,应付登记!$J$5:$J$1004,"&lt;="&amp;_辅助!$J$2))</f>
        <v>0</v>
      </c>
      <c r="BB256" s="2">
        <f>BB250+SUM(CA251:CA256)</f>
        <v>2</v>
      </c>
      <c r="BC256" s="2">
        <f>IF(OR(往来单位!$B$259="",$AF$3=0,NOT(OR(往来单位!$C$259="管理人员",往来单位!$C$259="工人"))),0,SUMIFS(考勤工资!$E$5:$E$1004,考勤工资!$C$5:$C$1004,往来单位!$B$259,考勤工资!$D$5:$D$1004,$C$3,考勤工资!$Y$5:$Y$1004,"&gt;="&amp;_辅助!$J$4,考勤工资!$Y$5:$Y$1004,"&lt;="&amp;_辅助!$J$2)+SUMIFS(考勤工资!$G$5:$G$1004,考勤工资!$C$5:$C$1004,往来单位!$B$259,考勤工资!$F$5:$F$1004,$C$3,考勤工资!$Y$5:$Y$1004,"&gt;="&amp;_辅助!$J$4,考勤工资!$Y$5:$Y$1004,"&lt;="&amp;_辅助!$J$2)+SUMIFS(考勤工资!$I$5:$I$1004,考勤工资!$C$5:$C$1004,往来单位!$B$259,考勤工资!$H$5:$H$1004,$C$3,考勤工资!$Y$5:$Y$1004,"&gt;="&amp;_辅助!$J$4,考勤工资!$Y$5:$Y$1004,"&lt;="&amp;_辅助!$J$2)+SUMIFS(考勤工资!$K$5:$K$1004,考勤工资!$C$5:$C$1004,往来单位!$B$259,考勤工资!$J$5:$J$1004,$C$3,考勤工资!$Y$5:$Y$1004,"&gt;="&amp;_辅助!$J$4,考勤工资!$Y$5:$Y$1004,"&lt;="&amp;_辅助!$J$2))</f>
        <v>0</v>
      </c>
      <c r="BD256" s="2">
        <f>IF(BC256=0,0,SUMIFS(考勤工资!$AC$5:$AC$1004,考勤工资!$C$5:$C$1004,往来单位!$B$259,考勤工资!$D$5:$D$1004,$C$3,考勤工资!$Y$5:$Y$1004,"&gt;="&amp;_辅助!$J$4,考勤工资!$Y$5:$Y$1004,"&lt;="&amp;_辅助!$J$2)+SUMIFS(考勤工资!$AD$5:$AD$1004,考勤工资!$C$5:$C$1004,往来单位!$B$259,考勤工资!$F$5:$F$1004,$C$3,考勤工资!$Y$5:$Y$1004,"&gt;="&amp;_辅助!$J$4,考勤工资!$Y$5:$Y$1004,"&lt;="&amp;_辅助!$J$2)+SUMIFS(考勤工资!$AE$5:$AE$1004,考勤工资!$C$5:$C$1004,往来单位!$B$259,考勤工资!$H$5:$H$1004,$C$3,考勤工资!$Y$5:$Y$1004,"&gt;="&amp;_辅助!$J$4,考勤工资!$Y$5:$Y$1004,"&lt;="&amp;_辅助!$J$2)+SUMIFS(考勤工资!$AF$5:$AF$1004,考勤工资!$C$5:$C$1004,往来单位!$B$259,考勤工资!$J$5:$J$1004,$C$3,考勤工资!$Y$5:$Y$1004,"&gt;="&amp;_辅助!$J$4,考勤工资!$Y$5:$Y$1004,"&lt;="&amp;_辅助!$J$2))</f>
        <v>0</v>
      </c>
      <c r="BE256" s="2">
        <f>BE250+SUM(CB251:CB256)</f>
        <v>0</v>
      </c>
      <c r="BF256" s="2">
        <f>IF(AND($AF$3&gt;0,发票登记!$T$259=$C$3,ISNUMBER(发票登记!$X$259),发票登记!$AB$259&lt;&gt;0,发票登记!$Y$259&gt;=_辅助!$J$4,发票登记!$Y$259&lt;=_辅助!$J$2),INT(发票登记!$X$259)*10000+255,"")</f>
      </c>
      <c r="BG256" s="2">
        <f>IF(AND($AF$3&gt;0,资金流水!$H$260=$C$3,ISNUMBER(资金流水!$B$260),ISNUMBER(资金流水!$S$260),资金流水!$S$260&gt;=_辅助!$J$4,资金流水!$S$260&lt;=_辅助!$J$2),INT(资金流水!$B$260)*10000+255,"")</f>
      </c>
      <c r="BJ256" s="2">
        <f>IF(221&gt;$BG$1,0,MOD(SMALL($BG$2:$BG$2001,221),10000))</f>
        <v>0</v>
      </c>
      <c r="CA256" s="2">
        <f t="shared" si="0"/>
        <v>0</v>
      </c>
      <c r="CB256" s="2">
        <f t="shared" si="1"/>
        <v>0</v>
      </c>
    </row>
    <row r="257">
      <c r="W257" s="95">
        <f t="shared" si="19"/>
      </c>
      <c r="X257" s="94">
        <f t="shared" si="25"/>
      </c>
      <c r="Y257" s="96">
        <f t="shared" si="26"/>
      </c>
      <c r="Z257" s="21">
        <f t="shared" si="20"/>
      </c>
      <c r="AA257" s="21">
        <f t="shared" si="21"/>
      </c>
      <c r="AB257" s="94">
        <f t="shared" si="27"/>
      </c>
      <c r="AC257" s="96">
        <f t="shared" si="28"/>
      </c>
      <c r="AD257" s="94">
        <f t="shared" si="29"/>
      </c>
      <c r="BA257" s="2">
        <f>IF(OR(往来单位!$B$260="",$AF$3=0),0,SUMIFS(期初余额!$R$5:$R$204,期初余额!$P$5:$P$204,往来单位!$B$260,期初余额!$Q$5:$Q$204,$C$3)+SUMIFS(应付登记!$G$5:$G$1004,应付登记!$D$5:$D$1004,往来单位!$B$260,应付登记!$E$5:$E$1004,$C$3,应付登记!$J$5:$J$1004,"&gt;="&amp;_辅助!$J$4,应付登记!$J$5:$J$1004,"&lt;="&amp;_辅助!$J$2))</f>
        <v>0</v>
      </c>
      <c r="BB257" s="2">
        <f>BB250+SUM(CA251:CA257)</f>
        <v>2</v>
      </c>
      <c r="BC257" s="2">
        <f>IF(OR(往来单位!$B$260="",$AF$3=0,NOT(OR(往来单位!$C$260="管理人员",往来单位!$C$260="工人"))),0,SUMIFS(考勤工资!$E$5:$E$1004,考勤工资!$C$5:$C$1004,往来单位!$B$260,考勤工资!$D$5:$D$1004,$C$3,考勤工资!$Y$5:$Y$1004,"&gt;="&amp;_辅助!$J$4,考勤工资!$Y$5:$Y$1004,"&lt;="&amp;_辅助!$J$2)+SUMIFS(考勤工资!$G$5:$G$1004,考勤工资!$C$5:$C$1004,往来单位!$B$260,考勤工资!$F$5:$F$1004,$C$3,考勤工资!$Y$5:$Y$1004,"&gt;="&amp;_辅助!$J$4,考勤工资!$Y$5:$Y$1004,"&lt;="&amp;_辅助!$J$2)+SUMIFS(考勤工资!$I$5:$I$1004,考勤工资!$C$5:$C$1004,往来单位!$B$260,考勤工资!$H$5:$H$1004,$C$3,考勤工资!$Y$5:$Y$1004,"&gt;="&amp;_辅助!$J$4,考勤工资!$Y$5:$Y$1004,"&lt;="&amp;_辅助!$J$2)+SUMIFS(考勤工资!$K$5:$K$1004,考勤工资!$C$5:$C$1004,往来单位!$B$260,考勤工资!$J$5:$J$1004,$C$3,考勤工资!$Y$5:$Y$1004,"&gt;="&amp;_辅助!$J$4,考勤工资!$Y$5:$Y$1004,"&lt;="&amp;_辅助!$J$2))</f>
        <v>0</v>
      </c>
      <c r="BD257" s="2">
        <f>IF(BC257=0,0,SUMIFS(考勤工资!$AC$5:$AC$1004,考勤工资!$C$5:$C$1004,往来单位!$B$260,考勤工资!$D$5:$D$1004,$C$3,考勤工资!$Y$5:$Y$1004,"&gt;="&amp;_辅助!$J$4,考勤工资!$Y$5:$Y$1004,"&lt;="&amp;_辅助!$J$2)+SUMIFS(考勤工资!$AD$5:$AD$1004,考勤工资!$C$5:$C$1004,往来单位!$B$260,考勤工资!$F$5:$F$1004,$C$3,考勤工资!$Y$5:$Y$1004,"&gt;="&amp;_辅助!$J$4,考勤工资!$Y$5:$Y$1004,"&lt;="&amp;_辅助!$J$2)+SUMIFS(考勤工资!$AE$5:$AE$1004,考勤工资!$C$5:$C$1004,往来单位!$B$260,考勤工资!$H$5:$H$1004,$C$3,考勤工资!$Y$5:$Y$1004,"&gt;="&amp;_辅助!$J$4,考勤工资!$Y$5:$Y$1004,"&lt;="&amp;_辅助!$J$2)+SUMIFS(考勤工资!$AF$5:$AF$1004,考勤工资!$C$5:$C$1004,往来单位!$B$260,考勤工资!$J$5:$J$1004,$C$3,考勤工资!$Y$5:$Y$1004,"&gt;="&amp;_辅助!$J$4,考勤工资!$Y$5:$Y$1004,"&lt;="&amp;_辅助!$J$2))</f>
        <v>0</v>
      </c>
      <c r="BE257" s="2">
        <f>BE250+SUM(CB251:CB257)</f>
        <v>0</v>
      </c>
      <c r="BF257" s="2">
        <f>IF(AND($AF$3&gt;0,发票登记!$T$260=$C$3,ISNUMBER(发票登记!$X$260),发票登记!$AB$260&lt;&gt;0,发票登记!$Y$260&gt;=_辅助!$J$4,发票登记!$Y$260&lt;=_辅助!$J$2),INT(发票登记!$X$260)*10000+256,"")</f>
      </c>
      <c r="BG257" s="2">
        <f>IF(AND($AF$3&gt;0,资金流水!$H$261=$C$3,ISNUMBER(资金流水!$B$261),ISNUMBER(资金流水!$S$261),资金流水!$S$261&gt;=_辅助!$J$4,资金流水!$S$261&lt;=_辅助!$J$2),INT(资金流水!$B$261)*10000+256,"")</f>
      </c>
      <c r="BJ257" s="2">
        <f>IF(222&gt;$BG$1,0,MOD(SMALL($BG$2:$BG$2001,222),10000))</f>
        <v>0</v>
      </c>
      <c r="CA257" s="2">
        <f t="shared" si="0"/>
        <v>0</v>
      </c>
      <c r="CB257" s="2">
        <f t="shared" si="1"/>
        <v>0</v>
      </c>
    </row>
    <row r="258">
      <c r="W258" s="95">
        <f t="shared" si="19"/>
      </c>
      <c r="X258" s="94">
        <f t="shared" si="25"/>
      </c>
      <c r="Y258" s="96">
        <f t="shared" si="26"/>
      </c>
      <c r="Z258" s="21">
        <f t="shared" si="20"/>
      </c>
      <c r="AA258" s="21">
        <f t="shared" si="21"/>
      </c>
      <c r="AB258" s="94">
        <f t="shared" si="27"/>
      </c>
      <c r="AC258" s="96">
        <f t="shared" si="28"/>
      </c>
      <c r="AD258" s="94">
        <f t="shared" si="29"/>
      </c>
      <c r="BA258" s="2">
        <f>IF(OR(往来单位!$B$261="",$AF$3=0),0,SUMIFS(期初余额!$R$5:$R$204,期初余额!$P$5:$P$204,往来单位!$B$261,期初余额!$Q$5:$Q$204,$C$3)+SUMIFS(应付登记!$G$5:$G$1004,应付登记!$D$5:$D$1004,往来单位!$B$261,应付登记!$E$5:$E$1004,$C$3,应付登记!$J$5:$J$1004,"&gt;="&amp;_辅助!$J$4,应付登记!$J$5:$J$1004,"&lt;="&amp;_辅助!$J$2))</f>
        <v>0</v>
      </c>
      <c r="BB258" s="2">
        <f>BB250+SUM(CA251:CA258)</f>
        <v>2</v>
      </c>
      <c r="BC258" s="2">
        <f>IF(OR(往来单位!$B$261="",$AF$3=0,NOT(OR(往来单位!$C$261="管理人员",往来单位!$C$261="工人"))),0,SUMIFS(考勤工资!$E$5:$E$1004,考勤工资!$C$5:$C$1004,往来单位!$B$261,考勤工资!$D$5:$D$1004,$C$3,考勤工资!$Y$5:$Y$1004,"&gt;="&amp;_辅助!$J$4,考勤工资!$Y$5:$Y$1004,"&lt;="&amp;_辅助!$J$2)+SUMIFS(考勤工资!$G$5:$G$1004,考勤工资!$C$5:$C$1004,往来单位!$B$261,考勤工资!$F$5:$F$1004,$C$3,考勤工资!$Y$5:$Y$1004,"&gt;="&amp;_辅助!$J$4,考勤工资!$Y$5:$Y$1004,"&lt;="&amp;_辅助!$J$2)+SUMIFS(考勤工资!$I$5:$I$1004,考勤工资!$C$5:$C$1004,往来单位!$B$261,考勤工资!$H$5:$H$1004,$C$3,考勤工资!$Y$5:$Y$1004,"&gt;="&amp;_辅助!$J$4,考勤工资!$Y$5:$Y$1004,"&lt;="&amp;_辅助!$J$2)+SUMIFS(考勤工资!$K$5:$K$1004,考勤工资!$C$5:$C$1004,往来单位!$B$261,考勤工资!$J$5:$J$1004,$C$3,考勤工资!$Y$5:$Y$1004,"&gt;="&amp;_辅助!$J$4,考勤工资!$Y$5:$Y$1004,"&lt;="&amp;_辅助!$J$2))</f>
        <v>0</v>
      </c>
      <c r="BD258" s="2">
        <f>IF(BC258=0,0,SUMIFS(考勤工资!$AC$5:$AC$1004,考勤工资!$C$5:$C$1004,往来单位!$B$261,考勤工资!$D$5:$D$1004,$C$3,考勤工资!$Y$5:$Y$1004,"&gt;="&amp;_辅助!$J$4,考勤工资!$Y$5:$Y$1004,"&lt;="&amp;_辅助!$J$2)+SUMIFS(考勤工资!$AD$5:$AD$1004,考勤工资!$C$5:$C$1004,往来单位!$B$261,考勤工资!$F$5:$F$1004,$C$3,考勤工资!$Y$5:$Y$1004,"&gt;="&amp;_辅助!$J$4,考勤工资!$Y$5:$Y$1004,"&lt;="&amp;_辅助!$J$2)+SUMIFS(考勤工资!$AE$5:$AE$1004,考勤工资!$C$5:$C$1004,往来单位!$B$261,考勤工资!$H$5:$H$1004,$C$3,考勤工资!$Y$5:$Y$1004,"&gt;="&amp;_辅助!$J$4,考勤工资!$Y$5:$Y$1004,"&lt;="&amp;_辅助!$J$2)+SUMIFS(考勤工资!$AF$5:$AF$1004,考勤工资!$C$5:$C$1004,往来单位!$B$261,考勤工资!$J$5:$J$1004,$C$3,考勤工资!$Y$5:$Y$1004,"&gt;="&amp;_辅助!$J$4,考勤工资!$Y$5:$Y$1004,"&lt;="&amp;_辅助!$J$2))</f>
        <v>0</v>
      </c>
      <c r="BE258" s="2">
        <f>BE250+SUM(CB251:CB258)</f>
        <v>0</v>
      </c>
      <c r="BF258" s="2">
        <f>IF(AND($AF$3&gt;0,发票登记!$T$261=$C$3,ISNUMBER(发票登记!$X$261),发票登记!$AB$261&lt;&gt;0,发票登记!$Y$261&gt;=_辅助!$J$4,发票登记!$Y$261&lt;=_辅助!$J$2),INT(发票登记!$X$261)*10000+257,"")</f>
      </c>
      <c r="BG258" s="2">
        <f>IF(AND($AF$3&gt;0,资金流水!$H$262=$C$3,ISNUMBER(资金流水!$B$262),ISNUMBER(资金流水!$S$262),资金流水!$S$262&gt;=_辅助!$J$4,资金流水!$S$262&lt;=_辅助!$J$2),INT(资金流水!$B$262)*10000+257,"")</f>
      </c>
      <c r="BJ258" s="2">
        <f>IF(223&gt;$BG$1,0,MOD(SMALL($BG$2:$BG$2001,223),10000))</f>
        <v>0</v>
      </c>
      <c r="CA258" s="2">
        <f t="shared" si="0"/>
        <v>0</v>
      </c>
      <c r="CB258" s="2">
        <f t="shared" si="1"/>
        <v>0</v>
      </c>
    </row>
    <row r="259">
      <c r="W259" s="95">
        <f t="shared" si="19"/>
      </c>
      <c r="X259" s="94">
        <f t="shared" si="25"/>
      </c>
      <c r="Y259" s="96">
        <f t="shared" si="26"/>
      </c>
      <c r="Z259" s="21">
        <f t="shared" si="20"/>
      </c>
      <c r="AA259" s="21">
        <f t="shared" si="21"/>
      </c>
      <c r="AB259" s="94">
        <f t="shared" si="27"/>
      </c>
      <c r="AC259" s="96">
        <f t="shared" si="28"/>
      </c>
      <c r="AD259" s="94">
        <f t="shared" si="29"/>
      </c>
      <c r="BA259" s="2">
        <f>IF(OR(往来单位!$B$262="",$AF$3=0),0,SUMIFS(期初余额!$R$5:$R$204,期初余额!$P$5:$P$204,往来单位!$B$262,期初余额!$Q$5:$Q$204,$C$3)+SUMIFS(应付登记!$G$5:$G$1004,应付登记!$D$5:$D$1004,往来单位!$B$262,应付登记!$E$5:$E$1004,$C$3,应付登记!$J$5:$J$1004,"&gt;="&amp;_辅助!$J$4,应付登记!$J$5:$J$1004,"&lt;="&amp;_辅助!$J$2))</f>
        <v>0</v>
      </c>
      <c r="BB259" s="2">
        <f>BB250+SUM(CA251:CA259)</f>
        <v>2</v>
      </c>
      <c r="BC259" s="2">
        <f>IF(OR(往来单位!$B$262="",$AF$3=0,NOT(OR(往来单位!$C$262="管理人员",往来单位!$C$262="工人"))),0,SUMIFS(考勤工资!$E$5:$E$1004,考勤工资!$C$5:$C$1004,往来单位!$B$262,考勤工资!$D$5:$D$1004,$C$3,考勤工资!$Y$5:$Y$1004,"&gt;="&amp;_辅助!$J$4,考勤工资!$Y$5:$Y$1004,"&lt;="&amp;_辅助!$J$2)+SUMIFS(考勤工资!$G$5:$G$1004,考勤工资!$C$5:$C$1004,往来单位!$B$262,考勤工资!$F$5:$F$1004,$C$3,考勤工资!$Y$5:$Y$1004,"&gt;="&amp;_辅助!$J$4,考勤工资!$Y$5:$Y$1004,"&lt;="&amp;_辅助!$J$2)+SUMIFS(考勤工资!$I$5:$I$1004,考勤工资!$C$5:$C$1004,往来单位!$B$262,考勤工资!$H$5:$H$1004,$C$3,考勤工资!$Y$5:$Y$1004,"&gt;="&amp;_辅助!$J$4,考勤工资!$Y$5:$Y$1004,"&lt;="&amp;_辅助!$J$2)+SUMIFS(考勤工资!$K$5:$K$1004,考勤工资!$C$5:$C$1004,往来单位!$B$262,考勤工资!$J$5:$J$1004,$C$3,考勤工资!$Y$5:$Y$1004,"&gt;="&amp;_辅助!$J$4,考勤工资!$Y$5:$Y$1004,"&lt;="&amp;_辅助!$J$2))</f>
        <v>0</v>
      </c>
      <c r="BD259" s="2">
        <f>IF(BC259=0,0,SUMIFS(考勤工资!$AC$5:$AC$1004,考勤工资!$C$5:$C$1004,往来单位!$B$262,考勤工资!$D$5:$D$1004,$C$3,考勤工资!$Y$5:$Y$1004,"&gt;="&amp;_辅助!$J$4,考勤工资!$Y$5:$Y$1004,"&lt;="&amp;_辅助!$J$2)+SUMIFS(考勤工资!$AD$5:$AD$1004,考勤工资!$C$5:$C$1004,往来单位!$B$262,考勤工资!$F$5:$F$1004,$C$3,考勤工资!$Y$5:$Y$1004,"&gt;="&amp;_辅助!$J$4,考勤工资!$Y$5:$Y$1004,"&lt;="&amp;_辅助!$J$2)+SUMIFS(考勤工资!$AE$5:$AE$1004,考勤工资!$C$5:$C$1004,往来单位!$B$262,考勤工资!$H$5:$H$1004,$C$3,考勤工资!$Y$5:$Y$1004,"&gt;="&amp;_辅助!$J$4,考勤工资!$Y$5:$Y$1004,"&lt;="&amp;_辅助!$J$2)+SUMIFS(考勤工资!$AF$5:$AF$1004,考勤工资!$C$5:$C$1004,往来单位!$B$262,考勤工资!$J$5:$J$1004,$C$3,考勤工资!$Y$5:$Y$1004,"&gt;="&amp;_辅助!$J$4,考勤工资!$Y$5:$Y$1004,"&lt;="&amp;_辅助!$J$2))</f>
        <v>0</v>
      </c>
      <c r="BE259" s="2">
        <f>BE250+SUM(CB251:CB259)</f>
        <v>0</v>
      </c>
      <c r="BF259" s="2">
        <f>IF(AND($AF$3&gt;0,发票登记!$T$262=$C$3,ISNUMBER(发票登记!$X$262),发票登记!$AB$262&lt;&gt;0,发票登记!$Y$262&gt;=_辅助!$J$4,发票登记!$Y$262&lt;=_辅助!$J$2),INT(发票登记!$X$262)*10000+258,"")</f>
      </c>
      <c r="BG259" s="2">
        <f>IF(AND($AF$3&gt;0,资金流水!$H$263=$C$3,ISNUMBER(资金流水!$B$263),ISNUMBER(资金流水!$S$263),资金流水!$S$263&gt;=_辅助!$J$4,资金流水!$S$263&lt;=_辅助!$J$2),INT(资金流水!$B$263)*10000+258,"")</f>
      </c>
      <c r="BJ259" s="2">
        <f>IF(224&gt;$BG$1,0,MOD(SMALL($BG$2:$BG$2001,224),10000))</f>
        <v>0</v>
      </c>
      <c r="CA259" s="2">
        <f t="shared" si="0"/>
        <v>0</v>
      </c>
      <c r="CB259" s="2">
        <f t="shared" si="1"/>
        <v>0</v>
      </c>
    </row>
    <row r="260">
      <c r="W260" s="95">
        <f t="shared" si="19"/>
      </c>
      <c r="X260" s="94">
        <f t="shared" si="25"/>
      </c>
      <c r="Y260" s="96">
        <f t="shared" si="26"/>
      </c>
      <c r="Z260" s="21">
        <f t="shared" si="20"/>
      </c>
      <c r="AA260" s="21">
        <f t="shared" si="21"/>
      </c>
      <c r="AB260" s="94">
        <f t="shared" si="27"/>
      </c>
      <c r="AC260" s="96">
        <f t="shared" si="28"/>
      </c>
      <c r="AD260" s="94">
        <f t="shared" si="29"/>
      </c>
      <c r="BA260" s="2">
        <f>IF(OR(往来单位!$B$263="",$AF$3=0),0,SUMIFS(期初余额!$R$5:$R$204,期初余额!$P$5:$P$204,往来单位!$B$263,期初余额!$Q$5:$Q$204,$C$3)+SUMIFS(应付登记!$G$5:$G$1004,应付登记!$D$5:$D$1004,往来单位!$B$263,应付登记!$E$5:$E$1004,$C$3,应付登记!$J$5:$J$1004,"&gt;="&amp;_辅助!$J$4,应付登记!$J$5:$J$1004,"&lt;="&amp;_辅助!$J$2))</f>
        <v>0</v>
      </c>
      <c r="BB260" s="2">
        <f>BB250+SUM(CA251:CA260)</f>
        <v>2</v>
      </c>
      <c r="BC260" s="2">
        <f>IF(OR(往来单位!$B$263="",$AF$3=0,NOT(OR(往来单位!$C$263="管理人员",往来单位!$C$263="工人"))),0,SUMIFS(考勤工资!$E$5:$E$1004,考勤工资!$C$5:$C$1004,往来单位!$B$263,考勤工资!$D$5:$D$1004,$C$3,考勤工资!$Y$5:$Y$1004,"&gt;="&amp;_辅助!$J$4,考勤工资!$Y$5:$Y$1004,"&lt;="&amp;_辅助!$J$2)+SUMIFS(考勤工资!$G$5:$G$1004,考勤工资!$C$5:$C$1004,往来单位!$B$263,考勤工资!$F$5:$F$1004,$C$3,考勤工资!$Y$5:$Y$1004,"&gt;="&amp;_辅助!$J$4,考勤工资!$Y$5:$Y$1004,"&lt;="&amp;_辅助!$J$2)+SUMIFS(考勤工资!$I$5:$I$1004,考勤工资!$C$5:$C$1004,往来单位!$B$263,考勤工资!$H$5:$H$1004,$C$3,考勤工资!$Y$5:$Y$1004,"&gt;="&amp;_辅助!$J$4,考勤工资!$Y$5:$Y$1004,"&lt;="&amp;_辅助!$J$2)+SUMIFS(考勤工资!$K$5:$K$1004,考勤工资!$C$5:$C$1004,往来单位!$B$263,考勤工资!$J$5:$J$1004,$C$3,考勤工资!$Y$5:$Y$1004,"&gt;="&amp;_辅助!$J$4,考勤工资!$Y$5:$Y$1004,"&lt;="&amp;_辅助!$J$2))</f>
        <v>0</v>
      </c>
      <c r="BD260" s="2">
        <f>IF(BC260=0,0,SUMIFS(考勤工资!$AC$5:$AC$1004,考勤工资!$C$5:$C$1004,往来单位!$B$263,考勤工资!$D$5:$D$1004,$C$3,考勤工资!$Y$5:$Y$1004,"&gt;="&amp;_辅助!$J$4,考勤工资!$Y$5:$Y$1004,"&lt;="&amp;_辅助!$J$2)+SUMIFS(考勤工资!$AD$5:$AD$1004,考勤工资!$C$5:$C$1004,往来单位!$B$263,考勤工资!$F$5:$F$1004,$C$3,考勤工资!$Y$5:$Y$1004,"&gt;="&amp;_辅助!$J$4,考勤工资!$Y$5:$Y$1004,"&lt;="&amp;_辅助!$J$2)+SUMIFS(考勤工资!$AE$5:$AE$1004,考勤工资!$C$5:$C$1004,往来单位!$B$263,考勤工资!$H$5:$H$1004,$C$3,考勤工资!$Y$5:$Y$1004,"&gt;="&amp;_辅助!$J$4,考勤工资!$Y$5:$Y$1004,"&lt;="&amp;_辅助!$J$2)+SUMIFS(考勤工资!$AF$5:$AF$1004,考勤工资!$C$5:$C$1004,往来单位!$B$263,考勤工资!$J$5:$J$1004,$C$3,考勤工资!$Y$5:$Y$1004,"&gt;="&amp;_辅助!$J$4,考勤工资!$Y$5:$Y$1004,"&lt;="&amp;_辅助!$J$2))</f>
        <v>0</v>
      </c>
      <c r="BE260" s="2">
        <f>BE250+SUM(CB251:CB260)</f>
        <v>0</v>
      </c>
      <c r="BF260" s="2">
        <f>IF(AND($AF$3&gt;0,发票登记!$T$263=$C$3,ISNUMBER(发票登记!$X$263),发票登记!$AB$263&lt;&gt;0,发票登记!$Y$263&gt;=_辅助!$J$4,发票登记!$Y$263&lt;=_辅助!$J$2),INT(发票登记!$X$263)*10000+259,"")</f>
      </c>
      <c r="BG260" s="2">
        <f>IF(AND($AF$3&gt;0,资金流水!$H$264=$C$3,ISNUMBER(资金流水!$B$264),ISNUMBER(资金流水!$S$264),资金流水!$S$264&gt;=_辅助!$J$4,资金流水!$S$264&lt;=_辅助!$J$2),INT(资金流水!$B$264)*10000+259,"")</f>
      </c>
      <c r="BJ260" s="2">
        <f>IF(225&gt;$BG$1,0,MOD(SMALL($BG$2:$BG$2001,225),10000))</f>
        <v>0</v>
      </c>
      <c r="CA260" s="2">
        <f t="shared" si="0"/>
        <v>0</v>
      </c>
      <c r="CB260" s="2">
        <f t="shared" si="1"/>
        <v>0</v>
      </c>
    </row>
    <row r="261">
      <c r="W261" s="95">
        <f t="shared" si="19"/>
      </c>
      <c r="X261" s="94">
        <f t="shared" si="25"/>
      </c>
      <c r="Y261" s="96">
        <f t="shared" si="26"/>
      </c>
      <c r="Z261" s="21">
        <f t="shared" si="20"/>
      </c>
      <c r="AA261" s="21">
        <f t="shared" si="21"/>
      </c>
      <c r="AB261" s="94">
        <f t="shared" si="27"/>
      </c>
      <c r="AC261" s="96">
        <f t="shared" si="28"/>
      </c>
      <c r="AD261" s="94">
        <f t="shared" si="29"/>
      </c>
      <c r="BA261" s="2">
        <f>IF(OR(往来单位!$B$264="",$AF$3=0),0,SUMIFS(期初余额!$R$5:$R$204,期初余额!$P$5:$P$204,往来单位!$B$264,期初余额!$Q$5:$Q$204,$C$3)+SUMIFS(应付登记!$G$5:$G$1004,应付登记!$D$5:$D$1004,往来单位!$B$264,应付登记!$E$5:$E$1004,$C$3,应付登记!$J$5:$J$1004,"&gt;="&amp;_辅助!$J$4,应付登记!$J$5:$J$1004,"&lt;="&amp;_辅助!$J$2))</f>
        <v>0</v>
      </c>
      <c r="BB261" s="2">
        <f>BB250+SUM(CA251:CA261)</f>
        <v>2</v>
      </c>
      <c r="BC261" s="2">
        <f>IF(OR(往来单位!$B$264="",$AF$3=0,NOT(OR(往来单位!$C$264="管理人员",往来单位!$C$264="工人"))),0,SUMIFS(考勤工资!$E$5:$E$1004,考勤工资!$C$5:$C$1004,往来单位!$B$264,考勤工资!$D$5:$D$1004,$C$3,考勤工资!$Y$5:$Y$1004,"&gt;="&amp;_辅助!$J$4,考勤工资!$Y$5:$Y$1004,"&lt;="&amp;_辅助!$J$2)+SUMIFS(考勤工资!$G$5:$G$1004,考勤工资!$C$5:$C$1004,往来单位!$B$264,考勤工资!$F$5:$F$1004,$C$3,考勤工资!$Y$5:$Y$1004,"&gt;="&amp;_辅助!$J$4,考勤工资!$Y$5:$Y$1004,"&lt;="&amp;_辅助!$J$2)+SUMIFS(考勤工资!$I$5:$I$1004,考勤工资!$C$5:$C$1004,往来单位!$B$264,考勤工资!$H$5:$H$1004,$C$3,考勤工资!$Y$5:$Y$1004,"&gt;="&amp;_辅助!$J$4,考勤工资!$Y$5:$Y$1004,"&lt;="&amp;_辅助!$J$2)+SUMIFS(考勤工资!$K$5:$K$1004,考勤工资!$C$5:$C$1004,往来单位!$B$264,考勤工资!$J$5:$J$1004,$C$3,考勤工资!$Y$5:$Y$1004,"&gt;="&amp;_辅助!$J$4,考勤工资!$Y$5:$Y$1004,"&lt;="&amp;_辅助!$J$2))</f>
        <v>0</v>
      </c>
      <c r="BD261" s="2">
        <f>IF(BC261=0,0,SUMIFS(考勤工资!$AC$5:$AC$1004,考勤工资!$C$5:$C$1004,往来单位!$B$264,考勤工资!$D$5:$D$1004,$C$3,考勤工资!$Y$5:$Y$1004,"&gt;="&amp;_辅助!$J$4,考勤工资!$Y$5:$Y$1004,"&lt;="&amp;_辅助!$J$2)+SUMIFS(考勤工资!$AD$5:$AD$1004,考勤工资!$C$5:$C$1004,往来单位!$B$264,考勤工资!$F$5:$F$1004,$C$3,考勤工资!$Y$5:$Y$1004,"&gt;="&amp;_辅助!$J$4,考勤工资!$Y$5:$Y$1004,"&lt;="&amp;_辅助!$J$2)+SUMIFS(考勤工资!$AE$5:$AE$1004,考勤工资!$C$5:$C$1004,往来单位!$B$264,考勤工资!$H$5:$H$1004,$C$3,考勤工资!$Y$5:$Y$1004,"&gt;="&amp;_辅助!$J$4,考勤工资!$Y$5:$Y$1004,"&lt;="&amp;_辅助!$J$2)+SUMIFS(考勤工资!$AF$5:$AF$1004,考勤工资!$C$5:$C$1004,往来单位!$B$264,考勤工资!$J$5:$J$1004,$C$3,考勤工资!$Y$5:$Y$1004,"&gt;="&amp;_辅助!$J$4,考勤工资!$Y$5:$Y$1004,"&lt;="&amp;_辅助!$J$2))</f>
        <v>0</v>
      </c>
      <c r="BE261" s="2">
        <f>BE250+SUM(CB251:CB261)</f>
        <v>0</v>
      </c>
      <c r="BF261" s="2">
        <f>IF(AND($AF$3&gt;0,发票登记!$T$264=$C$3,ISNUMBER(发票登记!$X$264),发票登记!$AB$264&lt;&gt;0,发票登记!$Y$264&gt;=_辅助!$J$4,发票登记!$Y$264&lt;=_辅助!$J$2),INT(发票登记!$X$264)*10000+260,"")</f>
      </c>
      <c r="BG261" s="2">
        <f>IF(AND($AF$3&gt;0,资金流水!$H$265=$C$3,ISNUMBER(资金流水!$B$265),ISNUMBER(资金流水!$S$265),资金流水!$S$265&gt;=_辅助!$J$4,资金流水!$S$265&lt;=_辅助!$J$2),INT(资金流水!$B$265)*10000+260,"")</f>
      </c>
      <c r="BJ261" s="2">
        <f>IF(226&gt;$BG$1,0,MOD(SMALL($BG$2:$BG$2001,226),10000))</f>
        <v>0</v>
      </c>
      <c r="CA261" s="2">
        <f t="shared" si="0"/>
        <v>0</v>
      </c>
      <c r="CB261" s="2">
        <f t="shared" si="1"/>
        <v>0</v>
      </c>
    </row>
    <row r="262">
      <c r="W262" s="95">
        <f t="shared" si="19"/>
      </c>
      <c r="X262" s="94">
        <f t="shared" si="25"/>
      </c>
      <c r="Y262" s="96">
        <f t="shared" si="26"/>
      </c>
      <c r="Z262" s="21">
        <f t="shared" si="20"/>
      </c>
      <c r="AA262" s="21">
        <f t="shared" si="21"/>
      </c>
      <c r="AB262" s="94">
        <f t="shared" si="27"/>
      </c>
      <c r="AC262" s="96">
        <f t="shared" si="28"/>
      </c>
      <c r="AD262" s="94">
        <f t="shared" si="29"/>
      </c>
      <c r="BA262" s="2">
        <f>IF(OR(往来单位!$B$265="",$AF$3=0),0,SUMIFS(期初余额!$R$5:$R$204,期初余额!$P$5:$P$204,往来单位!$B$265,期初余额!$Q$5:$Q$204,$C$3)+SUMIFS(应付登记!$G$5:$G$1004,应付登记!$D$5:$D$1004,往来单位!$B$265,应付登记!$E$5:$E$1004,$C$3,应付登记!$J$5:$J$1004,"&gt;="&amp;_辅助!$J$4,应付登记!$J$5:$J$1004,"&lt;="&amp;_辅助!$J$2))</f>
        <v>0</v>
      </c>
      <c r="BB262" s="2">
        <f>BB250+SUM(CA251:CA262)</f>
        <v>2</v>
      </c>
      <c r="BC262" s="2">
        <f>IF(OR(往来单位!$B$265="",$AF$3=0,NOT(OR(往来单位!$C$265="管理人员",往来单位!$C$265="工人"))),0,SUMIFS(考勤工资!$E$5:$E$1004,考勤工资!$C$5:$C$1004,往来单位!$B$265,考勤工资!$D$5:$D$1004,$C$3,考勤工资!$Y$5:$Y$1004,"&gt;="&amp;_辅助!$J$4,考勤工资!$Y$5:$Y$1004,"&lt;="&amp;_辅助!$J$2)+SUMIFS(考勤工资!$G$5:$G$1004,考勤工资!$C$5:$C$1004,往来单位!$B$265,考勤工资!$F$5:$F$1004,$C$3,考勤工资!$Y$5:$Y$1004,"&gt;="&amp;_辅助!$J$4,考勤工资!$Y$5:$Y$1004,"&lt;="&amp;_辅助!$J$2)+SUMIFS(考勤工资!$I$5:$I$1004,考勤工资!$C$5:$C$1004,往来单位!$B$265,考勤工资!$H$5:$H$1004,$C$3,考勤工资!$Y$5:$Y$1004,"&gt;="&amp;_辅助!$J$4,考勤工资!$Y$5:$Y$1004,"&lt;="&amp;_辅助!$J$2)+SUMIFS(考勤工资!$K$5:$K$1004,考勤工资!$C$5:$C$1004,往来单位!$B$265,考勤工资!$J$5:$J$1004,$C$3,考勤工资!$Y$5:$Y$1004,"&gt;="&amp;_辅助!$J$4,考勤工资!$Y$5:$Y$1004,"&lt;="&amp;_辅助!$J$2))</f>
        <v>0</v>
      </c>
      <c r="BD262" s="2">
        <f>IF(BC262=0,0,SUMIFS(考勤工资!$AC$5:$AC$1004,考勤工资!$C$5:$C$1004,往来单位!$B$265,考勤工资!$D$5:$D$1004,$C$3,考勤工资!$Y$5:$Y$1004,"&gt;="&amp;_辅助!$J$4,考勤工资!$Y$5:$Y$1004,"&lt;="&amp;_辅助!$J$2)+SUMIFS(考勤工资!$AD$5:$AD$1004,考勤工资!$C$5:$C$1004,往来单位!$B$265,考勤工资!$F$5:$F$1004,$C$3,考勤工资!$Y$5:$Y$1004,"&gt;="&amp;_辅助!$J$4,考勤工资!$Y$5:$Y$1004,"&lt;="&amp;_辅助!$J$2)+SUMIFS(考勤工资!$AE$5:$AE$1004,考勤工资!$C$5:$C$1004,往来单位!$B$265,考勤工资!$H$5:$H$1004,$C$3,考勤工资!$Y$5:$Y$1004,"&gt;="&amp;_辅助!$J$4,考勤工资!$Y$5:$Y$1004,"&lt;="&amp;_辅助!$J$2)+SUMIFS(考勤工资!$AF$5:$AF$1004,考勤工资!$C$5:$C$1004,往来单位!$B$265,考勤工资!$J$5:$J$1004,$C$3,考勤工资!$Y$5:$Y$1004,"&gt;="&amp;_辅助!$J$4,考勤工资!$Y$5:$Y$1004,"&lt;="&amp;_辅助!$J$2))</f>
        <v>0</v>
      </c>
      <c r="BE262" s="2">
        <f>BE250+SUM(CB251:CB262)</f>
        <v>0</v>
      </c>
      <c r="BF262" s="2">
        <f>IF(AND($AF$3&gt;0,发票登记!$T$265=$C$3,ISNUMBER(发票登记!$X$265),发票登记!$AB$265&lt;&gt;0,发票登记!$Y$265&gt;=_辅助!$J$4,发票登记!$Y$265&lt;=_辅助!$J$2),INT(发票登记!$X$265)*10000+261,"")</f>
      </c>
      <c r="BG262" s="2">
        <f>IF(AND($AF$3&gt;0,资金流水!$H$266=$C$3,ISNUMBER(资金流水!$B$266),ISNUMBER(资金流水!$S$266),资金流水!$S$266&gt;=_辅助!$J$4,资金流水!$S$266&lt;=_辅助!$J$2),INT(资金流水!$B$266)*10000+261,"")</f>
      </c>
      <c r="BJ262" s="2">
        <f>IF(227&gt;$BG$1,0,MOD(SMALL($BG$2:$BG$2001,227),10000))</f>
        <v>0</v>
      </c>
      <c r="CA262" s="2">
        <f t="shared" si="0"/>
        <v>0</v>
      </c>
      <c r="CB262" s="2">
        <f t="shared" si="1"/>
        <v>0</v>
      </c>
    </row>
    <row r="263">
      <c r="W263" s="95">
        <f t="shared" si="19"/>
      </c>
      <c r="X263" s="94">
        <f t="shared" si="25"/>
      </c>
      <c r="Y263" s="96">
        <f t="shared" si="26"/>
      </c>
      <c r="Z263" s="21">
        <f t="shared" si="20"/>
      </c>
      <c r="AA263" s="21">
        <f t="shared" si="21"/>
      </c>
      <c r="AB263" s="94">
        <f t="shared" si="27"/>
      </c>
      <c r="AC263" s="96">
        <f t="shared" si="28"/>
      </c>
      <c r="AD263" s="94">
        <f t="shared" si="29"/>
      </c>
      <c r="BA263" s="2">
        <f>IF(OR(往来单位!$B$266="",$AF$3=0),0,SUMIFS(期初余额!$R$5:$R$204,期初余额!$P$5:$P$204,往来单位!$B$266,期初余额!$Q$5:$Q$204,$C$3)+SUMIFS(应付登记!$G$5:$G$1004,应付登记!$D$5:$D$1004,往来单位!$B$266,应付登记!$E$5:$E$1004,$C$3,应付登记!$J$5:$J$1004,"&gt;="&amp;_辅助!$J$4,应付登记!$J$5:$J$1004,"&lt;="&amp;_辅助!$J$2))</f>
        <v>0</v>
      </c>
      <c r="BB263" s="2">
        <f>BB250+SUM(CA251:CA263)</f>
        <v>2</v>
      </c>
      <c r="BC263" s="2">
        <f>IF(OR(往来单位!$B$266="",$AF$3=0,NOT(OR(往来单位!$C$266="管理人员",往来单位!$C$266="工人"))),0,SUMIFS(考勤工资!$E$5:$E$1004,考勤工资!$C$5:$C$1004,往来单位!$B$266,考勤工资!$D$5:$D$1004,$C$3,考勤工资!$Y$5:$Y$1004,"&gt;="&amp;_辅助!$J$4,考勤工资!$Y$5:$Y$1004,"&lt;="&amp;_辅助!$J$2)+SUMIFS(考勤工资!$G$5:$G$1004,考勤工资!$C$5:$C$1004,往来单位!$B$266,考勤工资!$F$5:$F$1004,$C$3,考勤工资!$Y$5:$Y$1004,"&gt;="&amp;_辅助!$J$4,考勤工资!$Y$5:$Y$1004,"&lt;="&amp;_辅助!$J$2)+SUMIFS(考勤工资!$I$5:$I$1004,考勤工资!$C$5:$C$1004,往来单位!$B$266,考勤工资!$H$5:$H$1004,$C$3,考勤工资!$Y$5:$Y$1004,"&gt;="&amp;_辅助!$J$4,考勤工资!$Y$5:$Y$1004,"&lt;="&amp;_辅助!$J$2)+SUMIFS(考勤工资!$K$5:$K$1004,考勤工资!$C$5:$C$1004,往来单位!$B$266,考勤工资!$J$5:$J$1004,$C$3,考勤工资!$Y$5:$Y$1004,"&gt;="&amp;_辅助!$J$4,考勤工资!$Y$5:$Y$1004,"&lt;="&amp;_辅助!$J$2))</f>
        <v>0</v>
      </c>
      <c r="BD263" s="2">
        <f>IF(BC263=0,0,SUMIFS(考勤工资!$AC$5:$AC$1004,考勤工资!$C$5:$C$1004,往来单位!$B$266,考勤工资!$D$5:$D$1004,$C$3,考勤工资!$Y$5:$Y$1004,"&gt;="&amp;_辅助!$J$4,考勤工资!$Y$5:$Y$1004,"&lt;="&amp;_辅助!$J$2)+SUMIFS(考勤工资!$AD$5:$AD$1004,考勤工资!$C$5:$C$1004,往来单位!$B$266,考勤工资!$F$5:$F$1004,$C$3,考勤工资!$Y$5:$Y$1004,"&gt;="&amp;_辅助!$J$4,考勤工资!$Y$5:$Y$1004,"&lt;="&amp;_辅助!$J$2)+SUMIFS(考勤工资!$AE$5:$AE$1004,考勤工资!$C$5:$C$1004,往来单位!$B$266,考勤工资!$H$5:$H$1004,$C$3,考勤工资!$Y$5:$Y$1004,"&gt;="&amp;_辅助!$J$4,考勤工资!$Y$5:$Y$1004,"&lt;="&amp;_辅助!$J$2)+SUMIFS(考勤工资!$AF$5:$AF$1004,考勤工资!$C$5:$C$1004,往来单位!$B$266,考勤工资!$J$5:$J$1004,$C$3,考勤工资!$Y$5:$Y$1004,"&gt;="&amp;_辅助!$J$4,考勤工资!$Y$5:$Y$1004,"&lt;="&amp;_辅助!$J$2))</f>
        <v>0</v>
      </c>
      <c r="BE263" s="2">
        <f>BE250+SUM(CB251:CB263)</f>
        <v>0</v>
      </c>
      <c r="BF263" s="2">
        <f>IF(AND($AF$3&gt;0,发票登记!$T$266=$C$3,ISNUMBER(发票登记!$X$266),发票登记!$AB$266&lt;&gt;0,发票登记!$Y$266&gt;=_辅助!$J$4,发票登记!$Y$266&lt;=_辅助!$J$2),INT(发票登记!$X$266)*10000+262,"")</f>
      </c>
      <c r="BG263" s="2">
        <f>IF(AND($AF$3&gt;0,资金流水!$H$267=$C$3,ISNUMBER(资金流水!$B$267),ISNUMBER(资金流水!$S$267),资金流水!$S$267&gt;=_辅助!$J$4,资金流水!$S$267&lt;=_辅助!$J$2),INT(资金流水!$B$267)*10000+262,"")</f>
      </c>
      <c r="BJ263" s="2">
        <f>IF(228&gt;$BG$1,0,MOD(SMALL($BG$2:$BG$2001,228),10000))</f>
        <v>0</v>
      </c>
      <c r="CA263" s="2">
        <f t="shared" si="0"/>
        <v>0</v>
      </c>
      <c r="CB263" s="2">
        <f t="shared" si="1"/>
        <v>0</v>
      </c>
    </row>
    <row r="264">
      <c r="W264" s="95">
        <f t="shared" si="19"/>
      </c>
      <c r="X264" s="94">
        <f t="shared" si="25"/>
      </c>
      <c r="Y264" s="96">
        <f t="shared" si="26"/>
      </c>
      <c r="Z264" s="21">
        <f t="shared" si="20"/>
      </c>
      <c r="AA264" s="21">
        <f t="shared" si="21"/>
      </c>
      <c r="AB264" s="94">
        <f t="shared" si="27"/>
      </c>
      <c r="AC264" s="96">
        <f t="shared" si="28"/>
      </c>
      <c r="AD264" s="94">
        <f t="shared" si="29"/>
      </c>
      <c r="BA264" s="2">
        <f>IF(OR(往来单位!$B$267="",$AF$3=0),0,SUMIFS(期初余额!$R$5:$R$204,期初余额!$P$5:$P$204,往来单位!$B$267,期初余额!$Q$5:$Q$204,$C$3)+SUMIFS(应付登记!$G$5:$G$1004,应付登记!$D$5:$D$1004,往来单位!$B$267,应付登记!$E$5:$E$1004,$C$3,应付登记!$J$5:$J$1004,"&gt;="&amp;_辅助!$J$4,应付登记!$J$5:$J$1004,"&lt;="&amp;_辅助!$J$2))</f>
        <v>0</v>
      </c>
      <c r="BB264" s="2">
        <f>BB250+SUM(CA251:CA264)</f>
        <v>2</v>
      </c>
      <c r="BC264" s="2">
        <f>IF(OR(往来单位!$B$267="",$AF$3=0,NOT(OR(往来单位!$C$267="管理人员",往来单位!$C$267="工人"))),0,SUMIFS(考勤工资!$E$5:$E$1004,考勤工资!$C$5:$C$1004,往来单位!$B$267,考勤工资!$D$5:$D$1004,$C$3,考勤工资!$Y$5:$Y$1004,"&gt;="&amp;_辅助!$J$4,考勤工资!$Y$5:$Y$1004,"&lt;="&amp;_辅助!$J$2)+SUMIFS(考勤工资!$G$5:$G$1004,考勤工资!$C$5:$C$1004,往来单位!$B$267,考勤工资!$F$5:$F$1004,$C$3,考勤工资!$Y$5:$Y$1004,"&gt;="&amp;_辅助!$J$4,考勤工资!$Y$5:$Y$1004,"&lt;="&amp;_辅助!$J$2)+SUMIFS(考勤工资!$I$5:$I$1004,考勤工资!$C$5:$C$1004,往来单位!$B$267,考勤工资!$H$5:$H$1004,$C$3,考勤工资!$Y$5:$Y$1004,"&gt;="&amp;_辅助!$J$4,考勤工资!$Y$5:$Y$1004,"&lt;="&amp;_辅助!$J$2)+SUMIFS(考勤工资!$K$5:$K$1004,考勤工资!$C$5:$C$1004,往来单位!$B$267,考勤工资!$J$5:$J$1004,$C$3,考勤工资!$Y$5:$Y$1004,"&gt;="&amp;_辅助!$J$4,考勤工资!$Y$5:$Y$1004,"&lt;="&amp;_辅助!$J$2))</f>
        <v>0</v>
      </c>
      <c r="BD264" s="2">
        <f>IF(BC264=0,0,SUMIFS(考勤工资!$AC$5:$AC$1004,考勤工资!$C$5:$C$1004,往来单位!$B$267,考勤工资!$D$5:$D$1004,$C$3,考勤工资!$Y$5:$Y$1004,"&gt;="&amp;_辅助!$J$4,考勤工资!$Y$5:$Y$1004,"&lt;="&amp;_辅助!$J$2)+SUMIFS(考勤工资!$AD$5:$AD$1004,考勤工资!$C$5:$C$1004,往来单位!$B$267,考勤工资!$F$5:$F$1004,$C$3,考勤工资!$Y$5:$Y$1004,"&gt;="&amp;_辅助!$J$4,考勤工资!$Y$5:$Y$1004,"&lt;="&amp;_辅助!$J$2)+SUMIFS(考勤工资!$AE$5:$AE$1004,考勤工资!$C$5:$C$1004,往来单位!$B$267,考勤工资!$H$5:$H$1004,$C$3,考勤工资!$Y$5:$Y$1004,"&gt;="&amp;_辅助!$J$4,考勤工资!$Y$5:$Y$1004,"&lt;="&amp;_辅助!$J$2)+SUMIFS(考勤工资!$AF$5:$AF$1004,考勤工资!$C$5:$C$1004,往来单位!$B$267,考勤工资!$J$5:$J$1004,$C$3,考勤工资!$Y$5:$Y$1004,"&gt;="&amp;_辅助!$J$4,考勤工资!$Y$5:$Y$1004,"&lt;="&amp;_辅助!$J$2))</f>
        <v>0</v>
      </c>
      <c r="BE264" s="2">
        <f>BE250+SUM(CB251:CB264)</f>
        <v>0</v>
      </c>
      <c r="BF264" s="2">
        <f>IF(AND($AF$3&gt;0,发票登记!$T$267=$C$3,ISNUMBER(发票登记!$X$267),发票登记!$AB$267&lt;&gt;0,发票登记!$Y$267&gt;=_辅助!$J$4,发票登记!$Y$267&lt;=_辅助!$J$2),INT(发票登记!$X$267)*10000+263,"")</f>
      </c>
      <c r="BG264" s="2">
        <f>IF(AND($AF$3&gt;0,资金流水!$H$268=$C$3,ISNUMBER(资金流水!$B$268),ISNUMBER(资金流水!$S$268),资金流水!$S$268&gt;=_辅助!$J$4,资金流水!$S$268&lt;=_辅助!$J$2),INT(资金流水!$B$268)*10000+263,"")</f>
      </c>
      <c r="BJ264" s="2">
        <f>IF(229&gt;$BG$1,0,MOD(SMALL($BG$2:$BG$2001,229),10000))</f>
        <v>0</v>
      </c>
      <c r="CA264" s="2">
        <f t="shared" si="0"/>
        <v>0</v>
      </c>
      <c r="CB264" s="2">
        <f t="shared" si="1"/>
        <v>0</v>
      </c>
    </row>
    <row r="265">
      <c r="W265" s="95">
        <f t="shared" si="19"/>
      </c>
      <c r="X265" s="94">
        <f t="shared" si="25"/>
      </c>
      <c r="Y265" s="96">
        <f t="shared" si="26"/>
      </c>
      <c r="Z265" s="21">
        <f t="shared" si="20"/>
      </c>
      <c r="AA265" s="21">
        <f t="shared" si="21"/>
      </c>
      <c r="AB265" s="94">
        <f t="shared" si="27"/>
      </c>
      <c r="AC265" s="96">
        <f t="shared" si="28"/>
      </c>
      <c r="AD265" s="94">
        <f t="shared" si="29"/>
      </c>
      <c r="BA265" s="2">
        <f>IF(OR(往来单位!$B$268="",$AF$3=0),0,SUMIFS(期初余额!$R$5:$R$204,期初余额!$P$5:$P$204,往来单位!$B$268,期初余额!$Q$5:$Q$204,$C$3)+SUMIFS(应付登记!$G$5:$G$1004,应付登记!$D$5:$D$1004,往来单位!$B$268,应付登记!$E$5:$E$1004,$C$3,应付登记!$J$5:$J$1004,"&gt;="&amp;_辅助!$J$4,应付登记!$J$5:$J$1004,"&lt;="&amp;_辅助!$J$2))</f>
        <v>0</v>
      </c>
      <c r="BB265" s="2">
        <f>BB250+SUM(CA251:CA265)</f>
        <v>2</v>
      </c>
      <c r="BC265" s="2">
        <f>IF(OR(往来单位!$B$268="",$AF$3=0,NOT(OR(往来单位!$C$268="管理人员",往来单位!$C$268="工人"))),0,SUMIFS(考勤工资!$E$5:$E$1004,考勤工资!$C$5:$C$1004,往来单位!$B$268,考勤工资!$D$5:$D$1004,$C$3,考勤工资!$Y$5:$Y$1004,"&gt;="&amp;_辅助!$J$4,考勤工资!$Y$5:$Y$1004,"&lt;="&amp;_辅助!$J$2)+SUMIFS(考勤工资!$G$5:$G$1004,考勤工资!$C$5:$C$1004,往来单位!$B$268,考勤工资!$F$5:$F$1004,$C$3,考勤工资!$Y$5:$Y$1004,"&gt;="&amp;_辅助!$J$4,考勤工资!$Y$5:$Y$1004,"&lt;="&amp;_辅助!$J$2)+SUMIFS(考勤工资!$I$5:$I$1004,考勤工资!$C$5:$C$1004,往来单位!$B$268,考勤工资!$H$5:$H$1004,$C$3,考勤工资!$Y$5:$Y$1004,"&gt;="&amp;_辅助!$J$4,考勤工资!$Y$5:$Y$1004,"&lt;="&amp;_辅助!$J$2)+SUMIFS(考勤工资!$K$5:$K$1004,考勤工资!$C$5:$C$1004,往来单位!$B$268,考勤工资!$J$5:$J$1004,$C$3,考勤工资!$Y$5:$Y$1004,"&gt;="&amp;_辅助!$J$4,考勤工资!$Y$5:$Y$1004,"&lt;="&amp;_辅助!$J$2))</f>
        <v>0</v>
      </c>
      <c r="BD265" s="2">
        <f>IF(BC265=0,0,SUMIFS(考勤工资!$AC$5:$AC$1004,考勤工资!$C$5:$C$1004,往来单位!$B$268,考勤工资!$D$5:$D$1004,$C$3,考勤工资!$Y$5:$Y$1004,"&gt;="&amp;_辅助!$J$4,考勤工资!$Y$5:$Y$1004,"&lt;="&amp;_辅助!$J$2)+SUMIFS(考勤工资!$AD$5:$AD$1004,考勤工资!$C$5:$C$1004,往来单位!$B$268,考勤工资!$F$5:$F$1004,$C$3,考勤工资!$Y$5:$Y$1004,"&gt;="&amp;_辅助!$J$4,考勤工资!$Y$5:$Y$1004,"&lt;="&amp;_辅助!$J$2)+SUMIFS(考勤工资!$AE$5:$AE$1004,考勤工资!$C$5:$C$1004,往来单位!$B$268,考勤工资!$H$5:$H$1004,$C$3,考勤工资!$Y$5:$Y$1004,"&gt;="&amp;_辅助!$J$4,考勤工资!$Y$5:$Y$1004,"&lt;="&amp;_辅助!$J$2)+SUMIFS(考勤工资!$AF$5:$AF$1004,考勤工资!$C$5:$C$1004,往来单位!$B$268,考勤工资!$J$5:$J$1004,$C$3,考勤工资!$Y$5:$Y$1004,"&gt;="&amp;_辅助!$J$4,考勤工资!$Y$5:$Y$1004,"&lt;="&amp;_辅助!$J$2))</f>
        <v>0</v>
      </c>
      <c r="BE265" s="2">
        <f>BE250+SUM(CB251:CB265)</f>
        <v>0</v>
      </c>
      <c r="BF265" s="2">
        <f>IF(AND($AF$3&gt;0,发票登记!$T$268=$C$3,ISNUMBER(发票登记!$X$268),发票登记!$AB$268&lt;&gt;0,发票登记!$Y$268&gt;=_辅助!$J$4,发票登记!$Y$268&lt;=_辅助!$J$2),INT(发票登记!$X$268)*10000+264,"")</f>
      </c>
      <c r="BG265" s="2">
        <f>IF(AND($AF$3&gt;0,资金流水!$H$269=$C$3,ISNUMBER(资金流水!$B$269),ISNUMBER(资金流水!$S$269),资金流水!$S$269&gt;=_辅助!$J$4,资金流水!$S$269&lt;=_辅助!$J$2),INT(资金流水!$B$269)*10000+264,"")</f>
      </c>
      <c r="BJ265" s="2">
        <f>IF(230&gt;$BG$1,0,MOD(SMALL($BG$2:$BG$2001,230),10000))</f>
        <v>0</v>
      </c>
      <c r="CA265" s="2">
        <f t="shared" si="0"/>
        <v>0</v>
      </c>
      <c r="CB265" s="2">
        <f t="shared" si="1"/>
        <v>0</v>
      </c>
    </row>
    <row r="266">
      <c r="W266" s="95">
        <f t="shared" si="19"/>
      </c>
      <c r="X266" s="94">
        <f t="shared" si="25"/>
      </c>
      <c r="Y266" s="96">
        <f t="shared" si="26"/>
      </c>
      <c r="Z266" s="21">
        <f t="shared" si="20"/>
      </c>
      <c r="AA266" s="21">
        <f t="shared" si="21"/>
      </c>
      <c r="AB266" s="94">
        <f t="shared" si="27"/>
      </c>
      <c r="AC266" s="96">
        <f t="shared" si="28"/>
      </c>
      <c r="AD266" s="94">
        <f t="shared" si="29"/>
      </c>
      <c r="BA266" s="2">
        <f>IF(OR(往来单位!$B$269="",$AF$3=0),0,SUMIFS(期初余额!$R$5:$R$204,期初余额!$P$5:$P$204,往来单位!$B$269,期初余额!$Q$5:$Q$204,$C$3)+SUMIFS(应付登记!$G$5:$G$1004,应付登记!$D$5:$D$1004,往来单位!$B$269,应付登记!$E$5:$E$1004,$C$3,应付登记!$J$5:$J$1004,"&gt;="&amp;_辅助!$J$4,应付登记!$J$5:$J$1004,"&lt;="&amp;_辅助!$J$2))</f>
        <v>0</v>
      </c>
      <c r="BB266" s="2">
        <f>BB250+SUM(CA251:CA266)</f>
        <v>2</v>
      </c>
      <c r="BC266" s="2">
        <f>IF(OR(往来单位!$B$269="",$AF$3=0,NOT(OR(往来单位!$C$269="管理人员",往来单位!$C$269="工人"))),0,SUMIFS(考勤工资!$E$5:$E$1004,考勤工资!$C$5:$C$1004,往来单位!$B$269,考勤工资!$D$5:$D$1004,$C$3,考勤工资!$Y$5:$Y$1004,"&gt;="&amp;_辅助!$J$4,考勤工资!$Y$5:$Y$1004,"&lt;="&amp;_辅助!$J$2)+SUMIFS(考勤工资!$G$5:$G$1004,考勤工资!$C$5:$C$1004,往来单位!$B$269,考勤工资!$F$5:$F$1004,$C$3,考勤工资!$Y$5:$Y$1004,"&gt;="&amp;_辅助!$J$4,考勤工资!$Y$5:$Y$1004,"&lt;="&amp;_辅助!$J$2)+SUMIFS(考勤工资!$I$5:$I$1004,考勤工资!$C$5:$C$1004,往来单位!$B$269,考勤工资!$H$5:$H$1004,$C$3,考勤工资!$Y$5:$Y$1004,"&gt;="&amp;_辅助!$J$4,考勤工资!$Y$5:$Y$1004,"&lt;="&amp;_辅助!$J$2)+SUMIFS(考勤工资!$K$5:$K$1004,考勤工资!$C$5:$C$1004,往来单位!$B$269,考勤工资!$J$5:$J$1004,$C$3,考勤工资!$Y$5:$Y$1004,"&gt;="&amp;_辅助!$J$4,考勤工资!$Y$5:$Y$1004,"&lt;="&amp;_辅助!$J$2))</f>
        <v>0</v>
      </c>
      <c r="BD266" s="2">
        <f>IF(BC266=0,0,SUMIFS(考勤工资!$AC$5:$AC$1004,考勤工资!$C$5:$C$1004,往来单位!$B$269,考勤工资!$D$5:$D$1004,$C$3,考勤工资!$Y$5:$Y$1004,"&gt;="&amp;_辅助!$J$4,考勤工资!$Y$5:$Y$1004,"&lt;="&amp;_辅助!$J$2)+SUMIFS(考勤工资!$AD$5:$AD$1004,考勤工资!$C$5:$C$1004,往来单位!$B$269,考勤工资!$F$5:$F$1004,$C$3,考勤工资!$Y$5:$Y$1004,"&gt;="&amp;_辅助!$J$4,考勤工资!$Y$5:$Y$1004,"&lt;="&amp;_辅助!$J$2)+SUMIFS(考勤工资!$AE$5:$AE$1004,考勤工资!$C$5:$C$1004,往来单位!$B$269,考勤工资!$H$5:$H$1004,$C$3,考勤工资!$Y$5:$Y$1004,"&gt;="&amp;_辅助!$J$4,考勤工资!$Y$5:$Y$1004,"&lt;="&amp;_辅助!$J$2)+SUMIFS(考勤工资!$AF$5:$AF$1004,考勤工资!$C$5:$C$1004,往来单位!$B$269,考勤工资!$J$5:$J$1004,$C$3,考勤工资!$Y$5:$Y$1004,"&gt;="&amp;_辅助!$J$4,考勤工资!$Y$5:$Y$1004,"&lt;="&amp;_辅助!$J$2))</f>
        <v>0</v>
      </c>
      <c r="BE266" s="2">
        <f>BE250+SUM(CB251:CB266)</f>
        <v>0</v>
      </c>
      <c r="BF266" s="2">
        <f>IF(AND($AF$3&gt;0,发票登记!$T$269=$C$3,ISNUMBER(发票登记!$X$269),发票登记!$AB$269&lt;&gt;0,发票登记!$Y$269&gt;=_辅助!$J$4,发票登记!$Y$269&lt;=_辅助!$J$2),INT(发票登记!$X$269)*10000+265,"")</f>
      </c>
      <c r="BG266" s="2">
        <f>IF(AND($AF$3&gt;0,资金流水!$H$270=$C$3,ISNUMBER(资金流水!$B$270),ISNUMBER(资金流水!$S$270),资金流水!$S$270&gt;=_辅助!$J$4,资金流水!$S$270&lt;=_辅助!$J$2),INT(资金流水!$B$270)*10000+265,"")</f>
      </c>
      <c r="BJ266" s="2">
        <f>IF(231&gt;$BG$1,0,MOD(SMALL($BG$2:$BG$2001,231),10000))</f>
        <v>0</v>
      </c>
      <c r="CA266" s="2">
        <f t="shared" si="0"/>
        <v>0</v>
      </c>
      <c r="CB266" s="2">
        <f t="shared" si="1"/>
        <v>0</v>
      </c>
    </row>
    <row r="267">
      <c r="W267" s="95">
        <f t="shared" si="19"/>
      </c>
      <c r="X267" s="94">
        <f t="shared" si="25"/>
      </c>
      <c r="Y267" s="96">
        <f t="shared" si="26"/>
      </c>
      <c r="Z267" s="21">
        <f t="shared" si="20"/>
      </c>
      <c r="AA267" s="21">
        <f t="shared" si="21"/>
      </c>
      <c r="AB267" s="94">
        <f t="shared" si="27"/>
      </c>
      <c r="AC267" s="96">
        <f t="shared" si="28"/>
      </c>
      <c r="AD267" s="94">
        <f t="shared" si="29"/>
      </c>
      <c r="BA267" s="2">
        <f>IF(OR(往来单位!$B$270="",$AF$3=0),0,SUMIFS(期初余额!$R$5:$R$204,期初余额!$P$5:$P$204,往来单位!$B$270,期初余额!$Q$5:$Q$204,$C$3)+SUMIFS(应付登记!$G$5:$G$1004,应付登记!$D$5:$D$1004,往来单位!$B$270,应付登记!$E$5:$E$1004,$C$3,应付登记!$J$5:$J$1004,"&gt;="&amp;_辅助!$J$4,应付登记!$J$5:$J$1004,"&lt;="&amp;_辅助!$J$2))</f>
        <v>0</v>
      </c>
      <c r="BB267" s="2">
        <f>BB250+SUM(CA251:CA267)</f>
        <v>2</v>
      </c>
      <c r="BC267" s="2">
        <f>IF(OR(往来单位!$B$270="",$AF$3=0,NOT(OR(往来单位!$C$270="管理人员",往来单位!$C$270="工人"))),0,SUMIFS(考勤工资!$E$5:$E$1004,考勤工资!$C$5:$C$1004,往来单位!$B$270,考勤工资!$D$5:$D$1004,$C$3,考勤工资!$Y$5:$Y$1004,"&gt;="&amp;_辅助!$J$4,考勤工资!$Y$5:$Y$1004,"&lt;="&amp;_辅助!$J$2)+SUMIFS(考勤工资!$G$5:$G$1004,考勤工资!$C$5:$C$1004,往来单位!$B$270,考勤工资!$F$5:$F$1004,$C$3,考勤工资!$Y$5:$Y$1004,"&gt;="&amp;_辅助!$J$4,考勤工资!$Y$5:$Y$1004,"&lt;="&amp;_辅助!$J$2)+SUMIFS(考勤工资!$I$5:$I$1004,考勤工资!$C$5:$C$1004,往来单位!$B$270,考勤工资!$H$5:$H$1004,$C$3,考勤工资!$Y$5:$Y$1004,"&gt;="&amp;_辅助!$J$4,考勤工资!$Y$5:$Y$1004,"&lt;="&amp;_辅助!$J$2)+SUMIFS(考勤工资!$K$5:$K$1004,考勤工资!$C$5:$C$1004,往来单位!$B$270,考勤工资!$J$5:$J$1004,$C$3,考勤工资!$Y$5:$Y$1004,"&gt;="&amp;_辅助!$J$4,考勤工资!$Y$5:$Y$1004,"&lt;="&amp;_辅助!$J$2))</f>
        <v>0</v>
      </c>
      <c r="BD267" s="2">
        <f>IF(BC267=0,0,SUMIFS(考勤工资!$AC$5:$AC$1004,考勤工资!$C$5:$C$1004,往来单位!$B$270,考勤工资!$D$5:$D$1004,$C$3,考勤工资!$Y$5:$Y$1004,"&gt;="&amp;_辅助!$J$4,考勤工资!$Y$5:$Y$1004,"&lt;="&amp;_辅助!$J$2)+SUMIFS(考勤工资!$AD$5:$AD$1004,考勤工资!$C$5:$C$1004,往来单位!$B$270,考勤工资!$F$5:$F$1004,$C$3,考勤工资!$Y$5:$Y$1004,"&gt;="&amp;_辅助!$J$4,考勤工资!$Y$5:$Y$1004,"&lt;="&amp;_辅助!$J$2)+SUMIFS(考勤工资!$AE$5:$AE$1004,考勤工资!$C$5:$C$1004,往来单位!$B$270,考勤工资!$H$5:$H$1004,$C$3,考勤工资!$Y$5:$Y$1004,"&gt;="&amp;_辅助!$J$4,考勤工资!$Y$5:$Y$1004,"&lt;="&amp;_辅助!$J$2)+SUMIFS(考勤工资!$AF$5:$AF$1004,考勤工资!$C$5:$C$1004,往来单位!$B$270,考勤工资!$J$5:$J$1004,$C$3,考勤工资!$Y$5:$Y$1004,"&gt;="&amp;_辅助!$J$4,考勤工资!$Y$5:$Y$1004,"&lt;="&amp;_辅助!$J$2))</f>
        <v>0</v>
      </c>
      <c r="BE267" s="2">
        <f>BE250+SUM(CB251:CB267)</f>
        <v>0</v>
      </c>
      <c r="BF267" s="2">
        <f>IF(AND($AF$3&gt;0,发票登记!$T$270=$C$3,ISNUMBER(发票登记!$X$270),发票登记!$AB$270&lt;&gt;0,发票登记!$Y$270&gt;=_辅助!$J$4,发票登记!$Y$270&lt;=_辅助!$J$2),INT(发票登记!$X$270)*10000+266,"")</f>
      </c>
      <c r="BG267" s="2">
        <f>IF(AND($AF$3&gt;0,资金流水!$H$271=$C$3,ISNUMBER(资金流水!$B$271),ISNUMBER(资金流水!$S$271),资金流水!$S$271&gt;=_辅助!$J$4,资金流水!$S$271&lt;=_辅助!$J$2),INT(资金流水!$B$271)*10000+266,"")</f>
      </c>
      <c r="BJ267" s="2">
        <f>IF(232&gt;$BG$1,0,MOD(SMALL($BG$2:$BG$2001,232),10000))</f>
        <v>0</v>
      </c>
      <c r="CA267" s="2">
        <f t="shared" si="0"/>
        <v>0</v>
      </c>
      <c r="CB267" s="2">
        <f t="shared" si="1"/>
        <v>0</v>
      </c>
    </row>
    <row r="268">
      <c r="W268" s="95">
        <f t="shared" si="19"/>
      </c>
      <c r="X268" s="94">
        <f t="shared" si="25"/>
      </c>
      <c r="Y268" s="96">
        <f t="shared" si="26"/>
      </c>
      <c r="Z268" s="21">
        <f t="shared" si="20"/>
      </c>
      <c r="AA268" s="21">
        <f t="shared" si="21"/>
      </c>
      <c r="AB268" s="94">
        <f t="shared" si="27"/>
      </c>
      <c r="AC268" s="96">
        <f t="shared" si="28"/>
      </c>
      <c r="AD268" s="94">
        <f t="shared" si="29"/>
      </c>
      <c r="BA268" s="2">
        <f>IF(OR(往来单位!$B$271="",$AF$3=0),0,SUMIFS(期初余额!$R$5:$R$204,期初余额!$P$5:$P$204,往来单位!$B$271,期初余额!$Q$5:$Q$204,$C$3)+SUMIFS(应付登记!$G$5:$G$1004,应付登记!$D$5:$D$1004,往来单位!$B$271,应付登记!$E$5:$E$1004,$C$3,应付登记!$J$5:$J$1004,"&gt;="&amp;_辅助!$J$4,应付登记!$J$5:$J$1004,"&lt;="&amp;_辅助!$J$2))</f>
        <v>0</v>
      </c>
      <c r="BB268" s="2">
        <f>BB250+SUM(CA251:CA268)</f>
        <v>2</v>
      </c>
      <c r="BC268" s="2">
        <f>IF(OR(往来单位!$B$271="",$AF$3=0,NOT(OR(往来单位!$C$271="管理人员",往来单位!$C$271="工人"))),0,SUMIFS(考勤工资!$E$5:$E$1004,考勤工资!$C$5:$C$1004,往来单位!$B$271,考勤工资!$D$5:$D$1004,$C$3,考勤工资!$Y$5:$Y$1004,"&gt;="&amp;_辅助!$J$4,考勤工资!$Y$5:$Y$1004,"&lt;="&amp;_辅助!$J$2)+SUMIFS(考勤工资!$G$5:$G$1004,考勤工资!$C$5:$C$1004,往来单位!$B$271,考勤工资!$F$5:$F$1004,$C$3,考勤工资!$Y$5:$Y$1004,"&gt;="&amp;_辅助!$J$4,考勤工资!$Y$5:$Y$1004,"&lt;="&amp;_辅助!$J$2)+SUMIFS(考勤工资!$I$5:$I$1004,考勤工资!$C$5:$C$1004,往来单位!$B$271,考勤工资!$H$5:$H$1004,$C$3,考勤工资!$Y$5:$Y$1004,"&gt;="&amp;_辅助!$J$4,考勤工资!$Y$5:$Y$1004,"&lt;="&amp;_辅助!$J$2)+SUMIFS(考勤工资!$K$5:$K$1004,考勤工资!$C$5:$C$1004,往来单位!$B$271,考勤工资!$J$5:$J$1004,$C$3,考勤工资!$Y$5:$Y$1004,"&gt;="&amp;_辅助!$J$4,考勤工资!$Y$5:$Y$1004,"&lt;="&amp;_辅助!$J$2))</f>
        <v>0</v>
      </c>
      <c r="BD268" s="2">
        <f>IF(BC268=0,0,SUMIFS(考勤工资!$AC$5:$AC$1004,考勤工资!$C$5:$C$1004,往来单位!$B$271,考勤工资!$D$5:$D$1004,$C$3,考勤工资!$Y$5:$Y$1004,"&gt;="&amp;_辅助!$J$4,考勤工资!$Y$5:$Y$1004,"&lt;="&amp;_辅助!$J$2)+SUMIFS(考勤工资!$AD$5:$AD$1004,考勤工资!$C$5:$C$1004,往来单位!$B$271,考勤工资!$F$5:$F$1004,$C$3,考勤工资!$Y$5:$Y$1004,"&gt;="&amp;_辅助!$J$4,考勤工资!$Y$5:$Y$1004,"&lt;="&amp;_辅助!$J$2)+SUMIFS(考勤工资!$AE$5:$AE$1004,考勤工资!$C$5:$C$1004,往来单位!$B$271,考勤工资!$H$5:$H$1004,$C$3,考勤工资!$Y$5:$Y$1004,"&gt;="&amp;_辅助!$J$4,考勤工资!$Y$5:$Y$1004,"&lt;="&amp;_辅助!$J$2)+SUMIFS(考勤工资!$AF$5:$AF$1004,考勤工资!$C$5:$C$1004,往来单位!$B$271,考勤工资!$J$5:$J$1004,$C$3,考勤工资!$Y$5:$Y$1004,"&gt;="&amp;_辅助!$J$4,考勤工资!$Y$5:$Y$1004,"&lt;="&amp;_辅助!$J$2))</f>
        <v>0</v>
      </c>
      <c r="BE268" s="2">
        <f>BE250+SUM(CB251:CB268)</f>
        <v>0</v>
      </c>
      <c r="BF268" s="2">
        <f>IF(AND($AF$3&gt;0,发票登记!$T$271=$C$3,ISNUMBER(发票登记!$X$271),发票登记!$AB$271&lt;&gt;0,发票登记!$Y$271&gt;=_辅助!$J$4,发票登记!$Y$271&lt;=_辅助!$J$2),INT(发票登记!$X$271)*10000+267,"")</f>
      </c>
      <c r="BG268" s="2">
        <f>IF(AND($AF$3&gt;0,资金流水!$H$272=$C$3,ISNUMBER(资金流水!$B$272),ISNUMBER(资金流水!$S$272),资金流水!$S$272&gt;=_辅助!$J$4,资金流水!$S$272&lt;=_辅助!$J$2),INT(资金流水!$B$272)*10000+267,"")</f>
      </c>
      <c r="BJ268" s="2">
        <f>IF(233&gt;$BG$1,0,MOD(SMALL($BG$2:$BG$2001,233),10000))</f>
        <v>0</v>
      </c>
      <c r="CA268" s="2">
        <f t="shared" si="0"/>
        <v>0</v>
      </c>
      <c r="CB268" s="2">
        <f t="shared" si="1"/>
        <v>0</v>
      </c>
    </row>
    <row r="269">
      <c r="W269" s="95">
        <f t="shared" si="19"/>
      </c>
      <c r="X269" s="94">
        <f t="shared" si="25"/>
      </c>
      <c r="Y269" s="96">
        <f t="shared" si="26"/>
      </c>
      <c r="Z269" s="21">
        <f t="shared" si="20"/>
      </c>
      <c r="AA269" s="21">
        <f t="shared" si="21"/>
      </c>
      <c r="AB269" s="94">
        <f t="shared" si="27"/>
      </c>
      <c r="AC269" s="96">
        <f t="shared" si="28"/>
      </c>
      <c r="AD269" s="94">
        <f t="shared" si="29"/>
      </c>
      <c r="BA269" s="2">
        <f>IF(OR(往来单位!$B$272="",$AF$3=0),0,SUMIFS(期初余额!$R$5:$R$204,期初余额!$P$5:$P$204,往来单位!$B$272,期初余额!$Q$5:$Q$204,$C$3)+SUMIFS(应付登记!$G$5:$G$1004,应付登记!$D$5:$D$1004,往来单位!$B$272,应付登记!$E$5:$E$1004,$C$3,应付登记!$J$5:$J$1004,"&gt;="&amp;_辅助!$J$4,应付登记!$J$5:$J$1004,"&lt;="&amp;_辅助!$J$2))</f>
        <v>0</v>
      </c>
      <c r="BB269" s="2">
        <f>BB250+SUM(CA251:CA269)</f>
        <v>2</v>
      </c>
      <c r="BC269" s="2">
        <f>IF(OR(往来单位!$B$272="",$AF$3=0,NOT(OR(往来单位!$C$272="管理人员",往来单位!$C$272="工人"))),0,SUMIFS(考勤工资!$E$5:$E$1004,考勤工资!$C$5:$C$1004,往来单位!$B$272,考勤工资!$D$5:$D$1004,$C$3,考勤工资!$Y$5:$Y$1004,"&gt;="&amp;_辅助!$J$4,考勤工资!$Y$5:$Y$1004,"&lt;="&amp;_辅助!$J$2)+SUMIFS(考勤工资!$G$5:$G$1004,考勤工资!$C$5:$C$1004,往来单位!$B$272,考勤工资!$F$5:$F$1004,$C$3,考勤工资!$Y$5:$Y$1004,"&gt;="&amp;_辅助!$J$4,考勤工资!$Y$5:$Y$1004,"&lt;="&amp;_辅助!$J$2)+SUMIFS(考勤工资!$I$5:$I$1004,考勤工资!$C$5:$C$1004,往来单位!$B$272,考勤工资!$H$5:$H$1004,$C$3,考勤工资!$Y$5:$Y$1004,"&gt;="&amp;_辅助!$J$4,考勤工资!$Y$5:$Y$1004,"&lt;="&amp;_辅助!$J$2)+SUMIFS(考勤工资!$K$5:$K$1004,考勤工资!$C$5:$C$1004,往来单位!$B$272,考勤工资!$J$5:$J$1004,$C$3,考勤工资!$Y$5:$Y$1004,"&gt;="&amp;_辅助!$J$4,考勤工资!$Y$5:$Y$1004,"&lt;="&amp;_辅助!$J$2))</f>
        <v>0</v>
      </c>
      <c r="BD269" s="2">
        <f>IF(BC269=0,0,SUMIFS(考勤工资!$AC$5:$AC$1004,考勤工资!$C$5:$C$1004,往来单位!$B$272,考勤工资!$D$5:$D$1004,$C$3,考勤工资!$Y$5:$Y$1004,"&gt;="&amp;_辅助!$J$4,考勤工资!$Y$5:$Y$1004,"&lt;="&amp;_辅助!$J$2)+SUMIFS(考勤工资!$AD$5:$AD$1004,考勤工资!$C$5:$C$1004,往来单位!$B$272,考勤工资!$F$5:$F$1004,$C$3,考勤工资!$Y$5:$Y$1004,"&gt;="&amp;_辅助!$J$4,考勤工资!$Y$5:$Y$1004,"&lt;="&amp;_辅助!$J$2)+SUMIFS(考勤工资!$AE$5:$AE$1004,考勤工资!$C$5:$C$1004,往来单位!$B$272,考勤工资!$H$5:$H$1004,$C$3,考勤工资!$Y$5:$Y$1004,"&gt;="&amp;_辅助!$J$4,考勤工资!$Y$5:$Y$1004,"&lt;="&amp;_辅助!$J$2)+SUMIFS(考勤工资!$AF$5:$AF$1004,考勤工资!$C$5:$C$1004,往来单位!$B$272,考勤工资!$J$5:$J$1004,$C$3,考勤工资!$Y$5:$Y$1004,"&gt;="&amp;_辅助!$J$4,考勤工资!$Y$5:$Y$1004,"&lt;="&amp;_辅助!$J$2))</f>
        <v>0</v>
      </c>
      <c r="BE269" s="2">
        <f>BE250+SUM(CB251:CB269)</f>
        <v>0</v>
      </c>
      <c r="BF269" s="2">
        <f>IF(AND($AF$3&gt;0,发票登记!$T$272=$C$3,ISNUMBER(发票登记!$X$272),发票登记!$AB$272&lt;&gt;0,发票登记!$Y$272&gt;=_辅助!$J$4,发票登记!$Y$272&lt;=_辅助!$J$2),INT(发票登记!$X$272)*10000+268,"")</f>
      </c>
      <c r="BG269" s="2">
        <f>IF(AND($AF$3&gt;0,资金流水!$H$273=$C$3,ISNUMBER(资金流水!$B$273),ISNUMBER(资金流水!$S$273),资金流水!$S$273&gt;=_辅助!$J$4,资金流水!$S$273&lt;=_辅助!$J$2),INT(资金流水!$B$273)*10000+268,"")</f>
      </c>
      <c r="BJ269" s="2">
        <f>IF(234&gt;$BG$1,0,MOD(SMALL($BG$2:$BG$2001,234),10000))</f>
        <v>0</v>
      </c>
      <c r="CA269" s="2">
        <f t="shared" si="0"/>
        <v>0</v>
      </c>
      <c r="CB269" s="2">
        <f t="shared" si="1"/>
        <v>0</v>
      </c>
    </row>
    <row r="270">
      <c r="W270" s="95">
        <f t="shared" si="19"/>
      </c>
      <c r="X270" s="94">
        <f t="shared" si="25"/>
      </c>
      <c r="Y270" s="96">
        <f t="shared" si="26"/>
      </c>
      <c r="Z270" s="21">
        <f t="shared" si="20"/>
      </c>
      <c r="AA270" s="21">
        <f t="shared" si="21"/>
      </c>
      <c r="AB270" s="94">
        <f t="shared" si="27"/>
      </c>
      <c r="AC270" s="96">
        <f t="shared" si="28"/>
      </c>
      <c r="AD270" s="94">
        <f t="shared" si="29"/>
      </c>
      <c r="BA270" s="2">
        <f>IF(OR(往来单位!$B$273="",$AF$3=0),0,SUMIFS(期初余额!$R$5:$R$204,期初余额!$P$5:$P$204,往来单位!$B$273,期初余额!$Q$5:$Q$204,$C$3)+SUMIFS(应付登记!$G$5:$G$1004,应付登记!$D$5:$D$1004,往来单位!$B$273,应付登记!$E$5:$E$1004,$C$3,应付登记!$J$5:$J$1004,"&gt;="&amp;_辅助!$J$4,应付登记!$J$5:$J$1004,"&lt;="&amp;_辅助!$J$2))</f>
        <v>0</v>
      </c>
      <c r="BB270" s="2">
        <f>BB250+SUM(CA251:CA270)</f>
        <v>2</v>
      </c>
      <c r="BC270" s="2">
        <f>IF(OR(往来单位!$B$273="",$AF$3=0,NOT(OR(往来单位!$C$273="管理人员",往来单位!$C$273="工人"))),0,SUMIFS(考勤工资!$E$5:$E$1004,考勤工资!$C$5:$C$1004,往来单位!$B$273,考勤工资!$D$5:$D$1004,$C$3,考勤工资!$Y$5:$Y$1004,"&gt;="&amp;_辅助!$J$4,考勤工资!$Y$5:$Y$1004,"&lt;="&amp;_辅助!$J$2)+SUMIFS(考勤工资!$G$5:$G$1004,考勤工资!$C$5:$C$1004,往来单位!$B$273,考勤工资!$F$5:$F$1004,$C$3,考勤工资!$Y$5:$Y$1004,"&gt;="&amp;_辅助!$J$4,考勤工资!$Y$5:$Y$1004,"&lt;="&amp;_辅助!$J$2)+SUMIFS(考勤工资!$I$5:$I$1004,考勤工资!$C$5:$C$1004,往来单位!$B$273,考勤工资!$H$5:$H$1004,$C$3,考勤工资!$Y$5:$Y$1004,"&gt;="&amp;_辅助!$J$4,考勤工资!$Y$5:$Y$1004,"&lt;="&amp;_辅助!$J$2)+SUMIFS(考勤工资!$K$5:$K$1004,考勤工资!$C$5:$C$1004,往来单位!$B$273,考勤工资!$J$5:$J$1004,$C$3,考勤工资!$Y$5:$Y$1004,"&gt;="&amp;_辅助!$J$4,考勤工资!$Y$5:$Y$1004,"&lt;="&amp;_辅助!$J$2))</f>
        <v>0</v>
      </c>
      <c r="BD270" s="2">
        <f>IF(BC270=0,0,SUMIFS(考勤工资!$AC$5:$AC$1004,考勤工资!$C$5:$C$1004,往来单位!$B$273,考勤工资!$D$5:$D$1004,$C$3,考勤工资!$Y$5:$Y$1004,"&gt;="&amp;_辅助!$J$4,考勤工资!$Y$5:$Y$1004,"&lt;="&amp;_辅助!$J$2)+SUMIFS(考勤工资!$AD$5:$AD$1004,考勤工资!$C$5:$C$1004,往来单位!$B$273,考勤工资!$F$5:$F$1004,$C$3,考勤工资!$Y$5:$Y$1004,"&gt;="&amp;_辅助!$J$4,考勤工资!$Y$5:$Y$1004,"&lt;="&amp;_辅助!$J$2)+SUMIFS(考勤工资!$AE$5:$AE$1004,考勤工资!$C$5:$C$1004,往来单位!$B$273,考勤工资!$H$5:$H$1004,$C$3,考勤工资!$Y$5:$Y$1004,"&gt;="&amp;_辅助!$J$4,考勤工资!$Y$5:$Y$1004,"&lt;="&amp;_辅助!$J$2)+SUMIFS(考勤工资!$AF$5:$AF$1004,考勤工资!$C$5:$C$1004,往来单位!$B$273,考勤工资!$J$5:$J$1004,$C$3,考勤工资!$Y$5:$Y$1004,"&gt;="&amp;_辅助!$J$4,考勤工资!$Y$5:$Y$1004,"&lt;="&amp;_辅助!$J$2))</f>
        <v>0</v>
      </c>
      <c r="BE270" s="2">
        <f>BE250+SUM(CB251:CB270)</f>
        <v>0</v>
      </c>
      <c r="BF270" s="2">
        <f>IF(AND($AF$3&gt;0,发票登记!$T$273=$C$3,ISNUMBER(发票登记!$X$273),发票登记!$AB$273&lt;&gt;0,发票登记!$Y$273&gt;=_辅助!$J$4,发票登记!$Y$273&lt;=_辅助!$J$2),INT(发票登记!$X$273)*10000+269,"")</f>
      </c>
      <c r="BG270" s="2">
        <f>IF(AND($AF$3&gt;0,资金流水!$H$274=$C$3,ISNUMBER(资金流水!$B$274),ISNUMBER(资金流水!$S$274),资金流水!$S$274&gt;=_辅助!$J$4,资金流水!$S$274&lt;=_辅助!$J$2),INT(资金流水!$B$274)*10000+269,"")</f>
      </c>
      <c r="BJ270" s="2">
        <f>IF(235&gt;$BG$1,0,MOD(SMALL($BG$2:$BG$2001,235),10000))</f>
        <v>0</v>
      </c>
      <c r="CA270" s="2">
        <f t="shared" si="0"/>
        <v>0</v>
      </c>
      <c r="CB270" s="2">
        <f t="shared" si="1"/>
        <v>0</v>
      </c>
    </row>
    <row r="271">
      <c r="W271" s="95">
        <f t="shared" si="19"/>
      </c>
      <c r="X271" s="94">
        <f t="shared" si="25"/>
      </c>
      <c r="Y271" s="96">
        <f t="shared" si="26"/>
      </c>
      <c r="Z271" s="21">
        <f t="shared" si="20"/>
      </c>
      <c r="AA271" s="21">
        <f t="shared" si="21"/>
      </c>
      <c r="AB271" s="94">
        <f t="shared" si="27"/>
      </c>
      <c r="AC271" s="96">
        <f t="shared" si="28"/>
      </c>
      <c r="AD271" s="94">
        <f t="shared" si="29"/>
      </c>
      <c r="BA271" s="2">
        <f>IF(OR(往来单位!$B$274="",$AF$3=0),0,SUMIFS(期初余额!$R$5:$R$204,期初余额!$P$5:$P$204,往来单位!$B$274,期初余额!$Q$5:$Q$204,$C$3)+SUMIFS(应付登记!$G$5:$G$1004,应付登记!$D$5:$D$1004,往来单位!$B$274,应付登记!$E$5:$E$1004,$C$3,应付登记!$J$5:$J$1004,"&gt;="&amp;_辅助!$J$4,应付登记!$J$5:$J$1004,"&lt;="&amp;_辅助!$J$2))</f>
        <v>0</v>
      </c>
      <c r="BB271" s="2">
        <f>BB250+SUM(CA251:CA271)</f>
        <v>2</v>
      </c>
      <c r="BC271" s="2">
        <f>IF(OR(往来单位!$B$274="",$AF$3=0,NOT(OR(往来单位!$C$274="管理人员",往来单位!$C$274="工人"))),0,SUMIFS(考勤工资!$E$5:$E$1004,考勤工资!$C$5:$C$1004,往来单位!$B$274,考勤工资!$D$5:$D$1004,$C$3,考勤工资!$Y$5:$Y$1004,"&gt;="&amp;_辅助!$J$4,考勤工资!$Y$5:$Y$1004,"&lt;="&amp;_辅助!$J$2)+SUMIFS(考勤工资!$G$5:$G$1004,考勤工资!$C$5:$C$1004,往来单位!$B$274,考勤工资!$F$5:$F$1004,$C$3,考勤工资!$Y$5:$Y$1004,"&gt;="&amp;_辅助!$J$4,考勤工资!$Y$5:$Y$1004,"&lt;="&amp;_辅助!$J$2)+SUMIFS(考勤工资!$I$5:$I$1004,考勤工资!$C$5:$C$1004,往来单位!$B$274,考勤工资!$H$5:$H$1004,$C$3,考勤工资!$Y$5:$Y$1004,"&gt;="&amp;_辅助!$J$4,考勤工资!$Y$5:$Y$1004,"&lt;="&amp;_辅助!$J$2)+SUMIFS(考勤工资!$K$5:$K$1004,考勤工资!$C$5:$C$1004,往来单位!$B$274,考勤工资!$J$5:$J$1004,$C$3,考勤工资!$Y$5:$Y$1004,"&gt;="&amp;_辅助!$J$4,考勤工资!$Y$5:$Y$1004,"&lt;="&amp;_辅助!$J$2))</f>
        <v>0</v>
      </c>
      <c r="BD271" s="2">
        <f>IF(BC271=0,0,SUMIFS(考勤工资!$AC$5:$AC$1004,考勤工资!$C$5:$C$1004,往来单位!$B$274,考勤工资!$D$5:$D$1004,$C$3,考勤工资!$Y$5:$Y$1004,"&gt;="&amp;_辅助!$J$4,考勤工资!$Y$5:$Y$1004,"&lt;="&amp;_辅助!$J$2)+SUMIFS(考勤工资!$AD$5:$AD$1004,考勤工资!$C$5:$C$1004,往来单位!$B$274,考勤工资!$F$5:$F$1004,$C$3,考勤工资!$Y$5:$Y$1004,"&gt;="&amp;_辅助!$J$4,考勤工资!$Y$5:$Y$1004,"&lt;="&amp;_辅助!$J$2)+SUMIFS(考勤工资!$AE$5:$AE$1004,考勤工资!$C$5:$C$1004,往来单位!$B$274,考勤工资!$H$5:$H$1004,$C$3,考勤工资!$Y$5:$Y$1004,"&gt;="&amp;_辅助!$J$4,考勤工资!$Y$5:$Y$1004,"&lt;="&amp;_辅助!$J$2)+SUMIFS(考勤工资!$AF$5:$AF$1004,考勤工资!$C$5:$C$1004,往来单位!$B$274,考勤工资!$J$5:$J$1004,$C$3,考勤工资!$Y$5:$Y$1004,"&gt;="&amp;_辅助!$J$4,考勤工资!$Y$5:$Y$1004,"&lt;="&amp;_辅助!$J$2))</f>
        <v>0</v>
      </c>
      <c r="BE271" s="2">
        <f>BE250+SUM(CB251:CB271)</f>
        <v>0</v>
      </c>
      <c r="BF271" s="2">
        <f>IF(AND($AF$3&gt;0,发票登记!$T$274=$C$3,ISNUMBER(发票登记!$X$274),发票登记!$AB$274&lt;&gt;0,发票登记!$Y$274&gt;=_辅助!$J$4,发票登记!$Y$274&lt;=_辅助!$J$2),INT(发票登记!$X$274)*10000+270,"")</f>
      </c>
      <c r="BG271" s="2">
        <f>IF(AND($AF$3&gt;0,资金流水!$H$275=$C$3,ISNUMBER(资金流水!$B$275),ISNUMBER(资金流水!$S$275),资金流水!$S$275&gt;=_辅助!$J$4,资金流水!$S$275&lt;=_辅助!$J$2),INT(资金流水!$B$275)*10000+270,"")</f>
      </c>
      <c r="BJ271" s="2">
        <f>IF(236&gt;$BG$1,0,MOD(SMALL($BG$2:$BG$2001,236),10000))</f>
        <v>0</v>
      </c>
      <c r="CA271" s="2">
        <f t="shared" si="0"/>
        <v>0</v>
      </c>
      <c r="CB271" s="2">
        <f t="shared" si="1"/>
        <v>0</v>
      </c>
    </row>
    <row r="272">
      <c r="W272" s="95">
        <f t="shared" si="19"/>
      </c>
      <c r="X272" s="94">
        <f t="shared" si="25"/>
      </c>
      <c r="Y272" s="96">
        <f t="shared" si="26"/>
      </c>
      <c r="Z272" s="21">
        <f t="shared" si="20"/>
      </c>
      <c r="AA272" s="21">
        <f t="shared" si="21"/>
      </c>
      <c r="AB272" s="94">
        <f t="shared" si="27"/>
      </c>
      <c r="AC272" s="96">
        <f t="shared" si="28"/>
      </c>
      <c r="AD272" s="94">
        <f t="shared" si="29"/>
      </c>
      <c r="BA272" s="2">
        <f>IF(OR(往来单位!$B$275="",$AF$3=0),0,SUMIFS(期初余额!$R$5:$R$204,期初余额!$P$5:$P$204,往来单位!$B$275,期初余额!$Q$5:$Q$204,$C$3)+SUMIFS(应付登记!$G$5:$G$1004,应付登记!$D$5:$D$1004,往来单位!$B$275,应付登记!$E$5:$E$1004,$C$3,应付登记!$J$5:$J$1004,"&gt;="&amp;_辅助!$J$4,应付登记!$J$5:$J$1004,"&lt;="&amp;_辅助!$J$2))</f>
        <v>0</v>
      </c>
      <c r="BB272" s="2">
        <f>BB250+SUM(CA251:CA272)</f>
        <v>2</v>
      </c>
      <c r="BC272" s="2">
        <f>IF(OR(往来单位!$B$275="",$AF$3=0,NOT(OR(往来单位!$C$275="管理人员",往来单位!$C$275="工人"))),0,SUMIFS(考勤工资!$E$5:$E$1004,考勤工资!$C$5:$C$1004,往来单位!$B$275,考勤工资!$D$5:$D$1004,$C$3,考勤工资!$Y$5:$Y$1004,"&gt;="&amp;_辅助!$J$4,考勤工资!$Y$5:$Y$1004,"&lt;="&amp;_辅助!$J$2)+SUMIFS(考勤工资!$G$5:$G$1004,考勤工资!$C$5:$C$1004,往来单位!$B$275,考勤工资!$F$5:$F$1004,$C$3,考勤工资!$Y$5:$Y$1004,"&gt;="&amp;_辅助!$J$4,考勤工资!$Y$5:$Y$1004,"&lt;="&amp;_辅助!$J$2)+SUMIFS(考勤工资!$I$5:$I$1004,考勤工资!$C$5:$C$1004,往来单位!$B$275,考勤工资!$H$5:$H$1004,$C$3,考勤工资!$Y$5:$Y$1004,"&gt;="&amp;_辅助!$J$4,考勤工资!$Y$5:$Y$1004,"&lt;="&amp;_辅助!$J$2)+SUMIFS(考勤工资!$K$5:$K$1004,考勤工资!$C$5:$C$1004,往来单位!$B$275,考勤工资!$J$5:$J$1004,$C$3,考勤工资!$Y$5:$Y$1004,"&gt;="&amp;_辅助!$J$4,考勤工资!$Y$5:$Y$1004,"&lt;="&amp;_辅助!$J$2))</f>
        <v>0</v>
      </c>
      <c r="BD272" s="2">
        <f>IF(BC272=0,0,SUMIFS(考勤工资!$AC$5:$AC$1004,考勤工资!$C$5:$C$1004,往来单位!$B$275,考勤工资!$D$5:$D$1004,$C$3,考勤工资!$Y$5:$Y$1004,"&gt;="&amp;_辅助!$J$4,考勤工资!$Y$5:$Y$1004,"&lt;="&amp;_辅助!$J$2)+SUMIFS(考勤工资!$AD$5:$AD$1004,考勤工资!$C$5:$C$1004,往来单位!$B$275,考勤工资!$F$5:$F$1004,$C$3,考勤工资!$Y$5:$Y$1004,"&gt;="&amp;_辅助!$J$4,考勤工资!$Y$5:$Y$1004,"&lt;="&amp;_辅助!$J$2)+SUMIFS(考勤工资!$AE$5:$AE$1004,考勤工资!$C$5:$C$1004,往来单位!$B$275,考勤工资!$H$5:$H$1004,$C$3,考勤工资!$Y$5:$Y$1004,"&gt;="&amp;_辅助!$J$4,考勤工资!$Y$5:$Y$1004,"&lt;="&amp;_辅助!$J$2)+SUMIFS(考勤工资!$AF$5:$AF$1004,考勤工资!$C$5:$C$1004,往来单位!$B$275,考勤工资!$J$5:$J$1004,$C$3,考勤工资!$Y$5:$Y$1004,"&gt;="&amp;_辅助!$J$4,考勤工资!$Y$5:$Y$1004,"&lt;="&amp;_辅助!$J$2))</f>
        <v>0</v>
      </c>
      <c r="BE272" s="2">
        <f>BE250+SUM(CB251:CB272)</f>
        <v>0</v>
      </c>
      <c r="BF272" s="2">
        <f>IF(AND($AF$3&gt;0,发票登记!$T$275=$C$3,ISNUMBER(发票登记!$X$275),发票登记!$AB$275&lt;&gt;0,发票登记!$Y$275&gt;=_辅助!$J$4,发票登记!$Y$275&lt;=_辅助!$J$2),INT(发票登记!$X$275)*10000+271,"")</f>
      </c>
      <c r="BG272" s="2">
        <f>IF(AND($AF$3&gt;0,资金流水!$H$276=$C$3,ISNUMBER(资金流水!$B$276),ISNUMBER(资金流水!$S$276),资金流水!$S$276&gt;=_辅助!$J$4,资金流水!$S$276&lt;=_辅助!$J$2),INT(资金流水!$B$276)*10000+271,"")</f>
      </c>
      <c r="BJ272" s="2">
        <f>IF(237&gt;$BG$1,0,MOD(SMALL($BG$2:$BG$2001,237),10000))</f>
        <v>0</v>
      </c>
      <c r="CA272" s="2">
        <f t="shared" si="0"/>
        <v>0</v>
      </c>
      <c r="CB272" s="2">
        <f t="shared" si="1"/>
        <v>0</v>
      </c>
    </row>
    <row r="273">
      <c r="W273" s="95">
        <f t="shared" si="19"/>
      </c>
      <c r="X273" s="94">
        <f t="shared" si="25"/>
      </c>
      <c r="Y273" s="96">
        <f t="shared" si="26"/>
      </c>
      <c r="Z273" s="21">
        <f t="shared" si="20"/>
      </c>
      <c r="AA273" s="21">
        <f t="shared" si="21"/>
      </c>
      <c r="AB273" s="94">
        <f t="shared" si="27"/>
      </c>
      <c r="AC273" s="96">
        <f t="shared" si="28"/>
      </c>
      <c r="AD273" s="94">
        <f t="shared" si="29"/>
      </c>
      <c r="BA273" s="2">
        <f>IF(OR(往来单位!$B$276="",$AF$3=0),0,SUMIFS(期初余额!$R$5:$R$204,期初余额!$P$5:$P$204,往来单位!$B$276,期初余额!$Q$5:$Q$204,$C$3)+SUMIFS(应付登记!$G$5:$G$1004,应付登记!$D$5:$D$1004,往来单位!$B$276,应付登记!$E$5:$E$1004,$C$3,应付登记!$J$5:$J$1004,"&gt;="&amp;_辅助!$J$4,应付登记!$J$5:$J$1004,"&lt;="&amp;_辅助!$J$2))</f>
        <v>0</v>
      </c>
      <c r="BB273" s="2">
        <f>BB250+SUM(CA251:CA273)</f>
        <v>2</v>
      </c>
      <c r="BC273" s="2">
        <f>IF(OR(往来单位!$B$276="",$AF$3=0,NOT(OR(往来单位!$C$276="管理人员",往来单位!$C$276="工人"))),0,SUMIFS(考勤工资!$E$5:$E$1004,考勤工资!$C$5:$C$1004,往来单位!$B$276,考勤工资!$D$5:$D$1004,$C$3,考勤工资!$Y$5:$Y$1004,"&gt;="&amp;_辅助!$J$4,考勤工资!$Y$5:$Y$1004,"&lt;="&amp;_辅助!$J$2)+SUMIFS(考勤工资!$G$5:$G$1004,考勤工资!$C$5:$C$1004,往来单位!$B$276,考勤工资!$F$5:$F$1004,$C$3,考勤工资!$Y$5:$Y$1004,"&gt;="&amp;_辅助!$J$4,考勤工资!$Y$5:$Y$1004,"&lt;="&amp;_辅助!$J$2)+SUMIFS(考勤工资!$I$5:$I$1004,考勤工资!$C$5:$C$1004,往来单位!$B$276,考勤工资!$H$5:$H$1004,$C$3,考勤工资!$Y$5:$Y$1004,"&gt;="&amp;_辅助!$J$4,考勤工资!$Y$5:$Y$1004,"&lt;="&amp;_辅助!$J$2)+SUMIFS(考勤工资!$K$5:$K$1004,考勤工资!$C$5:$C$1004,往来单位!$B$276,考勤工资!$J$5:$J$1004,$C$3,考勤工资!$Y$5:$Y$1004,"&gt;="&amp;_辅助!$J$4,考勤工资!$Y$5:$Y$1004,"&lt;="&amp;_辅助!$J$2))</f>
        <v>0</v>
      </c>
      <c r="BD273" s="2">
        <f>IF(BC273=0,0,SUMIFS(考勤工资!$AC$5:$AC$1004,考勤工资!$C$5:$C$1004,往来单位!$B$276,考勤工资!$D$5:$D$1004,$C$3,考勤工资!$Y$5:$Y$1004,"&gt;="&amp;_辅助!$J$4,考勤工资!$Y$5:$Y$1004,"&lt;="&amp;_辅助!$J$2)+SUMIFS(考勤工资!$AD$5:$AD$1004,考勤工资!$C$5:$C$1004,往来单位!$B$276,考勤工资!$F$5:$F$1004,$C$3,考勤工资!$Y$5:$Y$1004,"&gt;="&amp;_辅助!$J$4,考勤工资!$Y$5:$Y$1004,"&lt;="&amp;_辅助!$J$2)+SUMIFS(考勤工资!$AE$5:$AE$1004,考勤工资!$C$5:$C$1004,往来单位!$B$276,考勤工资!$H$5:$H$1004,$C$3,考勤工资!$Y$5:$Y$1004,"&gt;="&amp;_辅助!$J$4,考勤工资!$Y$5:$Y$1004,"&lt;="&amp;_辅助!$J$2)+SUMIFS(考勤工资!$AF$5:$AF$1004,考勤工资!$C$5:$C$1004,往来单位!$B$276,考勤工资!$J$5:$J$1004,$C$3,考勤工资!$Y$5:$Y$1004,"&gt;="&amp;_辅助!$J$4,考勤工资!$Y$5:$Y$1004,"&lt;="&amp;_辅助!$J$2))</f>
        <v>0</v>
      </c>
      <c r="BE273" s="2">
        <f>BE250+SUM(CB251:CB273)</f>
        <v>0</v>
      </c>
      <c r="BF273" s="2">
        <f>IF(AND($AF$3&gt;0,发票登记!$T$276=$C$3,ISNUMBER(发票登记!$X$276),发票登记!$AB$276&lt;&gt;0,发票登记!$Y$276&gt;=_辅助!$J$4,发票登记!$Y$276&lt;=_辅助!$J$2),INT(发票登记!$X$276)*10000+272,"")</f>
      </c>
      <c r="BG273" s="2">
        <f>IF(AND($AF$3&gt;0,资金流水!$H$277=$C$3,ISNUMBER(资金流水!$B$277),ISNUMBER(资金流水!$S$277),资金流水!$S$277&gt;=_辅助!$J$4,资金流水!$S$277&lt;=_辅助!$J$2),INT(资金流水!$B$277)*10000+272,"")</f>
      </c>
      <c r="BJ273" s="2">
        <f>IF(238&gt;$BG$1,0,MOD(SMALL($BG$2:$BG$2001,238),10000))</f>
        <v>0</v>
      </c>
      <c r="CA273" s="2">
        <f t="shared" si="0"/>
        <v>0</v>
      </c>
      <c r="CB273" s="2">
        <f t="shared" si="1"/>
        <v>0</v>
      </c>
    </row>
    <row r="274">
      <c r="W274" s="95">
        <f t="shared" si="19"/>
      </c>
      <c r="X274" s="94">
        <f t="shared" si="25"/>
      </c>
      <c r="Y274" s="96">
        <f t="shared" si="26"/>
      </c>
      <c r="Z274" s="21">
        <f t="shared" si="20"/>
      </c>
      <c r="AA274" s="21">
        <f t="shared" si="21"/>
      </c>
      <c r="AB274" s="94">
        <f t="shared" si="27"/>
      </c>
      <c r="AC274" s="96">
        <f t="shared" si="28"/>
      </c>
      <c r="AD274" s="94">
        <f t="shared" si="29"/>
      </c>
      <c r="BA274" s="2">
        <f>IF(OR(往来单位!$B$277="",$AF$3=0),0,SUMIFS(期初余额!$R$5:$R$204,期初余额!$P$5:$P$204,往来单位!$B$277,期初余额!$Q$5:$Q$204,$C$3)+SUMIFS(应付登记!$G$5:$G$1004,应付登记!$D$5:$D$1004,往来单位!$B$277,应付登记!$E$5:$E$1004,$C$3,应付登记!$J$5:$J$1004,"&gt;="&amp;_辅助!$J$4,应付登记!$J$5:$J$1004,"&lt;="&amp;_辅助!$J$2))</f>
        <v>0</v>
      </c>
      <c r="BB274" s="2">
        <f>BB250+SUM(CA251:CA274)</f>
        <v>2</v>
      </c>
      <c r="BC274" s="2">
        <f>IF(OR(往来单位!$B$277="",$AF$3=0,NOT(OR(往来单位!$C$277="管理人员",往来单位!$C$277="工人"))),0,SUMIFS(考勤工资!$E$5:$E$1004,考勤工资!$C$5:$C$1004,往来单位!$B$277,考勤工资!$D$5:$D$1004,$C$3,考勤工资!$Y$5:$Y$1004,"&gt;="&amp;_辅助!$J$4,考勤工资!$Y$5:$Y$1004,"&lt;="&amp;_辅助!$J$2)+SUMIFS(考勤工资!$G$5:$G$1004,考勤工资!$C$5:$C$1004,往来单位!$B$277,考勤工资!$F$5:$F$1004,$C$3,考勤工资!$Y$5:$Y$1004,"&gt;="&amp;_辅助!$J$4,考勤工资!$Y$5:$Y$1004,"&lt;="&amp;_辅助!$J$2)+SUMIFS(考勤工资!$I$5:$I$1004,考勤工资!$C$5:$C$1004,往来单位!$B$277,考勤工资!$H$5:$H$1004,$C$3,考勤工资!$Y$5:$Y$1004,"&gt;="&amp;_辅助!$J$4,考勤工资!$Y$5:$Y$1004,"&lt;="&amp;_辅助!$J$2)+SUMIFS(考勤工资!$K$5:$K$1004,考勤工资!$C$5:$C$1004,往来单位!$B$277,考勤工资!$J$5:$J$1004,$C$3,考勤工资!$Y$5:$Y$1004,"&gt;="&amp;_辅助!$J$4,考勤工资!$Y$5:$Y$1004,"&lt;="&amp;_辅助!$J$2))</f>
        <v>0</v>
      </c>
      <c r="BD274" s="2">
        <f>IF(BC274=0,0,SUMIFS(考勤工资!$AC$5:$AC$1004,考勤工资!$C$5:$C$1004,往来单位!$B$277,考勤工资!$D$5:$D$1004,$C$3,考勤工资!$Y$5:$Y$1004,"&gt;="&amp;_辅助!$J$4,考勤工资!$Y$5:$Y$1004,"&lt;="&amp;_辅助!$J$2)+SUMIFS(考勤工资!$AD$5:$AD$1004,考勤工资!$C$5:$C$1004,往来单位!$B$277,考勤工资!$F$5:$F$1004,$C$3,考勤工资!$Y$5:$Y$1004,"&gt;="&amp;_辅助!$J$4,考勤工资!$Y$5:$Y$1004,"&lt;="&amp;_辅助!$J$2)+SUMIFS(考勤工资!$AE$5:$AE$1004,考勤工资!$C$5:$C$1004,往来单位!$B$277,考勤工资!$H$5:$H$1004,$C$3,考勤工资!$Y$5:$Y$1004,"&gt;="&amp;_辅助!$J$4,考勤工资!$Y$5:$Y$1004,"&lt;="&amp;_辅助!$J$2)+SUMIFS(考勤工资!$AF$5:$AF$1004,考勤工资!$C$5:$C$1004,往来单位!$B$277,考勤工资!$J$5:$J$1004,$C$3,考勤工资!$Y$5:$Y$1004,"&gt;="&amp;_辅助!$J$4,考勤工资!$Y$5:$Y$1004,"&lt;="&amp;_辅助!$J$2))</f>
        <v>0</v>
      </c>
      <c r="BE274" s="2">
        <f>BE250+SUM(CB251:CB274)</f>
        <v>0</v>
      </c>
      <c r="BF274" s="2">
        <f>IF(AND($AF$3&gt;0,发票登记!$T$277=$C$3,ISNUMBER(发票登记!$X$277),发票登记!$AB$277&lt;&gt;0,发票登记!$Y$277&gt;=_辅助!$J$4,发票登记!$Y$277&lt;=_辅助!$J$2),INT(发票登记!$X$277)*10000+273,"")</f>
      </c>
      <c r="BG274" s="2">
        <f>IF(AND($AF$3&gt;0,资金流水!$H$278=$C$3,ISNUMBER(资金流水!$B$278),ISNUMBER(资金流水!$S$278),资金流水!$S$278&gt;=_辅助!$J$4,资金流水!$S$278&lt;=_辅助!$J$2),INT(资金流水!$B$278)*10000+273,"")</f>
      </c>
      <c r="BJ274" s="2">
        <f>IF(239&gt;$BG$1,0,MOD(SMALL($BG$2:$BG$2001,239),10000))</f>
        <v>0</v>
      </c>
      <c r="CA274" s="2">
        <f t="shared" si="0"/>
        <v>0</v>
      </c>
      <c r="CB274" s="2">
        <f t="shared" si="1"/>
        <v>0</v>
      </c>
    </row>
    <row r="275">
      <c r="W275" s="95">
        <f t="shared" si="19"/>
      </c>
      <c r="X275" s="94">
        <f t="shared" si="25"/>
      </c>
      <c r="Y275" s="96">
        <f t="shared" si="26"/>
      </c>
      <c r="Z275" s="21">
        <f t="shared" si="20"/>
      </c>
      <c r="AA275" s="21">
        <f t="shared" si="21"/>
      </c>
      <c r="AB275" s="94">
        <f t="shared" si="27"/>
      </c>
      <c r="AC275" s="96">
        <f t="shared" si="28"/>
      </c>
      <c r="AD275" s="94">
        <f t="shared" si="29"/>
      </c>
      <c r="BA275" s="2">
        <f>IF(OR(往来单位!$B$278="",$AF$3=0),0,SUMIFS(期初余额!$R$5:$R$204,期初余额!$P$5:$P$204,往来单位!$B$278,期初余额!$Q$5:$Q$204,$C$3)+SUMIFS(应付登记!$G$5:$G$1004,应付登记!$D$5:$D$1004,往来单位!$B$278,应付登记!$E$5:$E$1004,$C$3,应付登记!$J$5:$J$1004,"&gt;="&amp;_辅助!$J$4,应付登记!$J$5:$J$1004,"&lt;="&amp;_辅助!$J$2))</f>
        <v>0</v>
      </c>
      <c r="BB275" s="2">
        <f>BB250+SUM(CA251:CA275)</f>
        <v>2</v>
      </c>
      <c r="BC275" s="2">
        <f>IF(OR(往来单位!$B$278="",$AF$3=0,NOT(OR(往来单位!$C$278="管理人员",往来单位!$C$278="工人"))),0,SUMIFS(考勤工资!$E$5:$E$1004,考勤工资!$C$5:$C$1004,往来单位!$B$278,考勤工资!$D$5:$D$1004,$C$3,考勤工资!$Y$5:$Y$1004,"&gt;="&amp;_辅助!$J$4,考勤工资!$Y$5:$Y$1004,"&lt;="&amp;_辅助!$J$2)+SUMIFS(考勤工资!$G$5:$G$1004,考勤工资!$C$5:$C$1004,往来单位!$B$278,考勤工资!$F$5:$F$1004,$C$3,考勤工资!$Y$5:$Y$1004,"&gt;="&amp;_辅助!$J$4,考勤工资!$Y$5:$Y$1004,"&lt;="&amp;_辅助!$J$2)+SUMIFS(考勤工资!$I$5:$I$1004,考勤工资!$C$5:$C$1004,往来单位!$B$278,考勤工资!$H$5:$H$1004,$C$3,考勤工资!$Y$5:$Y$1004,"&gt;="&amp;_辅助!$J$4,考勤工资!$Y$5:$Y$1004,"&lt;="&amp;_辅助!$J$2)+SUMIFS(考勤工资!$K$5:$K$1004,考勤工资!$C$5:$C$1004,往来单位!$B$278,考勤工资!$J$5:$J$1004,$C$3,考勤工资!$Y$5:$Y$1004,"&gt;="&amp;_辅助!$J$4,考勤工资!$Y$5:$Y$1004,"&lt;="&amp;_辅助!$J$2))</f>
        <v>0</v>
      </c>
      <c r="BD275" s="2">
        <f>IF(BC275=0,0,SUMIFS(考勤工资!$AC$5:$AC$1004,考勤工资!$C$5:$C$1004,往来单位!$B$278,考勤工资!$D$5:$D$1004,$C$3,考勤工资!$Y$5:$Y$1004,"&gt;="&amp;_辅助!$J$4,考勤工资!$Y$5:$Y$1004,"&lt;="&amp;_辅助!$J$2)+SUMIFS(考勤工资!$AD$5:$AD$1004,考勤工资!$C$5:$C$1004,往来单位!$B$278,考勤工资!$F$5:$F$1004,$C$3,考勤工资!$Y$5:$Y$1004,"&gt;="&amp;_辅助!$J$4,考勤工资!$Y$5:$Y$1004,"&lt;="&amp;_辅助!$J$2)+SUMIFS(考勤工资!$AE$5:$AE$1004,考勤工资!$C$5:$C$1004,往来单位!$B$278,考勤工资!$H$5:$H$1004,$C$3,考勤工资!$Y$5:$Y$1004,"&gt;="&amp;_辅助!$J$4,考勤工资!$Y$5:$Y$1004,"&lt;="&amp;_辅助!$J$2)+SUMIFS(考勤工资!$AF$5:$AF$1004,考勤工资!$C$5:$C$1004,往来单位!$B$278,考勤工资!$J$5:$J$1004,$C$3,考勤工资!$Y$5:$Y$1004,"&gt;="&amp;_辅助!$J$4,考勤工资!$Y$5:$Y$1004,"&lt;="&amp;_辅助!$J$2))</f>
        <v>0</v>
      </c>
      <c r="BE275" s="2">
        <f>BE250+SUM(CB251:CB275)</f>
        <v>0</v>
      </c>
      <c r="BF275" s="2">
        <f>IF(AND($AF$3&gt;0,发票登记!$T$278=$C$3,ISNUMBER(发票登记!$X$278),发票登记!$AB$278&lt;&gt;0,发票登记!$Y$278&gt;=_辅助!$J$4,发票登记!$Y$278&lt;=_辅助!$J$2),INT(发票登记!$X$278)*10000+274,"")</f>
      </c>
      <c r="BG275" s="2">
        <f>IF(AND($AF$3&gt;0,资金流水!$H$279=$C$3,ISNUMBER(资金流水!$B$279),ISNUMBER(资金流水!$S$279),资金流水!$S$279&gt;=_辅助!$J$4,资金流水!$S$279&lt;=_辅助!$J$2),INT(资金流水!$B$279)*10000+274,"")</f>
      </c>
      <c r="BJ275" s="2">
        <f>IF(240&gt;$BG$1,0,MOD(SMALL($BG$2:$BG$2001,240),10000))</f>
        <v>0</v>
      </c>
      <c r="CA275" s="2">
        <f t="shared" si="0"/>
        <v>0</v>
      </c>
      <c r="CB275" s="2">
        <f t="shared" si="1"/>
        <v>0</v>
      </c>
    </row>
    <row r="276">
      <c r="W276" s="95">
        <f t="shared" si="19"/>
      </c>
      <c r="X276" s="94">
        <f t="shared" si="25"/>
      </c>
      <c r="Y276" s="96">
        <f t="shared" si="26"/>
      </c>
      <c r="Z276" s="21">
        <f t="shared" si="20"/>
      </c>
      <c r="AA276" s="21">
        <f t="shared" si="21"/>
      </c>
      <c r="AB276" s="94">
        <f t="shared" si="27"/>
      </c>
      <c r="AC276" s="96">
        <f t="shared" si="28"/>
      </c>
      <c r="AD276" s="94">
        <f t="shared" si="29"/>
      </c>
      <c r="BA276" s="2">
        <f>IF(OR(往来单位!$B$279="",$AF$3=0),0,SUMIFS(期初余额!$R$5:$R$204,期初余额!$P$5:$P$204,往来单位!$B$279,期初余额!$Q$5:$Q$204,$C$3)+SUMIFS(应付登记!$G$5:$G$1004,应付登记!$D$5:$D$1004,往来单位!$B$279,应付登记!$E$5:$E$1004,$C$3,应付登记!$J$5:$J$1004,"&gt;="&amp;_辅助!$J$4,应付登记!$J$5:$J$1004,"&lt;="&amp;_辅助!$J$2))</f>
        <v>0</v>
      </c>
      <c r="BB276" s="2">
        <f>BB250+SUM(CA251:CA276)</f>
        <v>2</v>
      </c>
      <c r="BC276" s="2">
        <f>IF(OR(往来单位!$B$279="",$AF$3=0,NOT(OR(往来单位!$C$279="管理人员",往来单位!$C$279="工人"))),0,SUMIFS(考勤工资!$E$5:$E$1004,考勤工资!$C$5:$C$1004,往来单位!$B$279,考勤工资!$D$5:$D$1004,$C$3,考勤工资!$Y$5:$Y$1004,"&gt;="&amp;_辅助!$J$4,考勤工资!$Y$5:$Y$1004,"&lt;="&amp;_辅助!$J$2)+SUMIFS(考勤工资!$G$5:$G$1004,考勤工资!$C$5:$C$1004,往来单位!$B$279,考勤工资!$F$5:$F$1004,$C$3,考勤工资!$Y$5:$Y$1004,"&gt;="&amp;_辅助!$J$4,考勤工资!$Y$5:$Y$1004,"&lt;="&amp;_辅助!$J$2)+SUMIFS(考勤工资!$I$5:$I$1004,考勤工资!$C$5:$C$1004,往来单位!$B$279,考勤工资!$H$5:$H$1004,$C$3,考勤工资!$Y$5:$Y$1004,"&gt;="&amp;_辅助!$J$4,考勤工资!$Y$5:$Y$1004,"&lt;="&amp;_辅助!$J$2)+SUMIFS(考勤工资!$K$5:$K$1004,考勤工资!$C$5:$C$1004,往来单位!$B$279,考勤工资!$J$5:$J$1004,$C$3,考勤工资!$Y$5:$Y$1004,"&gt;="&amp;_辅助!$J$4,考勤工资!$Y$5:$Y$1004,"&lt;="&amp;_辅助!$J$2))</f>
        <v>0</v>
      </c>
      <c r="BD276" s="2">
        <f>IF(BC276=0,0,SUMIFS(考勤工资!$AC$5:$AC$1004,考勤工资!$C$5:$C$1004,往来单位!$B$279,考勤工资!$D$5:$D$1004,$C$3,考勤工资!$Y$5:$Y$1004,"&gt;="&amp;_辅助!$J$4,考勤工资!$Y$5:$Y$1004,"&lt;="&amp;_辅助!$J$2)+SUMIFS(考勤工资!$AD$5:$AD$1004,考勤工资!$C$5:$C$1004,往来单位!$B$279,考勤工资!$F$5:$F$1004,$C$3,考勤工资!$Y$5:$Y$1004,"&gt;="&amp;_辅助!$J$4,考勤工资!$Y$5:$Y$1004,"&lt;="&amp;_辅助!$J$2)+SUMIFS(考勤工资!$AE$5:$AE$1004,考勤工资!$C$5:$C$1004,往来单位!$B$279,考勤工资!$H$5:$H$1004,$C$3,考勤工资!$Y$5:$Y$1004,"&gt;="&amp;_辅助!$J$4,考勤工资!$Y$5:$Y$1004,"&lt;="&amp;_辅助!$J$2)+SUMIFS(考勤工资!$AF$5:$AF$1004,考勤工资!$C$5:$C$1004,往来单位!$B$279,考勤工资!$J$5:$J$1004,$C$3,考勤工资!$Y$5:$Y$1004,"&gt;="&amp;_辅助!$J$4,考勤工资!$Y$5:$Y$1004,"&lt;="&amp;_辅助!$J$2))</f>
        <v>0</v>
      </c>
      <c r="BE276" s="2">
        <f>BE250+SUM(CB251:CB276)</f>
        <v>0</v>
      </c>
      <c r="BF276" s="2">
        <f>IF(AND($AF$3&gt;0,发票登记!$T$279=$C$3,ISNUMBER(发票登记!$X$279),发票登记!$AB$279&lt;&gt;0,发票登记!$Y$279&gt;=_辅助!$J$4,发票登记!$Y$279&lt;=_辅助!$J$2),INT(发票登记!$X$279)*10000+275,"")</f>
      </c>
      <c r="BG276" s="2">
        <f>IF(AND($AF$3&gt;0,资金流水!$H$280=$C$3,ISNUMBER(资金流水!$B$280),ISNUMBER(资金流水!$S$280),资金流水!$S$280&gt;=_辅助!$J$4,资金流水!$S$280&lt;=_辅助!$J$2),INT(资金流水!$B$280)*10000+275,"")</f>
      </c>
      <c r="BJ276" s="2">
        <f>IF(241&gt;$BG$1,0,MOD(SMALL($BG$2:$BG$2001,241),10000))</f>
        <v>0</v>
      </c>
      <c r="CA276" s="2">
        <f t="shared" si="0"/>
        <v>0</v>
      </c>
      <c r="CB276" s="2">
        <f t="shared" si="1"/>
        <v>0</v>
      </c>
    </row>
    <row r="277">
      <c r="W277" s="95">
        <f t="shared" si="19"/>
      </c>
      <c r="X277" s="94">
        <f t="shared" si="25"/>
      </c>
      <c r="Y277" s="96">
        <f t="shared" si="26"/>
      </c>
      <c r="Z277" s="21">
        <f t="shared" si="20"/>
      </c>
      <c r="AA277" s="21">
        <f t="shared" si="21"/>
      </c>
      <c r="AB277" s="94">
        <f t="shared" si="27"/>
      </c>
      <c r="AC277" s="96">
        <f t="shared" si="28"/>
      </c>
      <c r="AD277" s="94">
        <f t="shared" si="29"/>
      </c>
      <c r="BA277" s="2">
        <f>IF(OR(往来单位!$B$280="",$AF$3=0),0,SUMIFS(期初余额!$R$5:$R$204,期初余额!$P$5:$P$204,往来单位!$B$280,期初余额!$Q$5:$Q$204,$C$3)+SUMIFS(应付登记!$G$5:$G$1004,应付登记!$D$5:$D$1004,往来单位!$B$280,应付登记!$E$5:$E$1004,$C$3,应付登记!$J$5:$J$1004,"&gt;="&amp;_辅助!$J$4,应付登记!$J$5:$J$1004,"&lt;="&amp;_辅助!$J$2))</f>
        <v>0</v>
      </c>
      <c r="BB277" s="2">
        <f>BB250+SUM(CA251:CA277)</f>
        <v>2</v>
      </c>
      <c r="BC277" s="2">
        <f>IF(OR(往来单位!$B$280="",$AF$3=0,NOT(OR(往来单位!$C$280="管理人员",往来单位!$C$280="工人"))),0,SUMIFS(考勤工资!$E$5:$E$1004,考勤工资!$C$5:$C$1004,往来单位!$B$280,考勤工资!$D$5:$D$1004,$C$3,考勤工资!$Y$5:$Y$1004,"&gt;="&amp;_辅助!$J$4,考勤工资!$Y$5:$Y$1004,"&lt;="&amp;_辅助!$J$2)+SUMIFS(考勤工资!$G$5:$G$1004,考勤工资!$C$5:$C$1004,往来单位!$B$280,考勤工资!$F$5:$F$1004,$C$3,考勤工资!$Y$5:$Y$1004,"&gt;="&amp;_辅助!$J$4,考勤工资!$Y$5:$Y$1004,"&lt;="&amp;_辅助!$J$2)+SUMIFS(考勤工资!$I$5:$I$1004,考勤工资!$C$5:$C$1004,往来单位!$B$280,考勤工资!$H$5:$H$1004,$C$3,考勤工资!$Y$5:$Y$1004,"&gt;="&amp;_辅助!$J$4,考勤工资!$Y$5:$Y$1004,"&lt;="&amp;_辅助!$J$2)+SUMIFS(考勤工资!$K$5:$K$1004,考勤工资!$C$5:$C$1004,往来单位!$B$280,考勤工资!$J$5:$J$1004,$C$3,考勤工资!$Y$5:$Y$1004,"&gt;="&amp;_辅助!$J$4,考勤工资!$Y$5:$Y$1004,"&lt;="&amp;_辅助!$J$2))</f>
        <v>0</v>
      </c>
      <c r="BD277" s="2">
        <f>IF(BC277=0,0,SUMIFS(考勤工资!$AC$5:$AC$1004,考勤工资!$C$5:$C$1004,往来单位!$B$280,考勤工资!$D$5:$D$1004,$C$3,考勤工资!$Y$5:$Y$1004,"&gt;="&amp;_辅助!$J$4,考勤工资!$Y$5:$Y$1004,"&lt;="&amp;_辅助!$J$2)+SUMIFS(考勤工资!$AD$5:$AD$1004,考勤工资!$C$5:$C$1004,往来单位!$B$280,考勤工资!$F$5:$F$1004,$C$3,考勤工资!$Y$5:$Y$1004,"&gt;="&amp;_辅助!$J$4,考勤工资!$Y$5:$Y$1004,"&lt;="&amp;_辅助!$J$2)+SUMIFS(考勤工资!$AE$5:$AE$1004,考勤工资!$C$5:$C$1004,往来单位!$B$280,考勤工资!$H$5:$H$1004,$C$3,考勤工资!$Y$5:$Y$1004,"&gt;="&amp;_辅助!$J$4,考勤工资!$Y$5:$Y$1004,"&lt;="&amp;_辅助!$J$2)+SUMIFS(考勤工资!$AF$5:$AF$1004,考勤工资!$C$5:$C$1004,往来单位!$B$280,考勤工资!$J$5:$J$1004,$C$3,考勤工资!$Y$5:$Y$1004,"&gt;="&amp;_辅助!$J$4,考勤工资!$Y$5:$Y$1004,"&lt;="&amp;_辅助!$J$2))</f>
        <v>0</v>
      </c>
      <c r="BE277" s="2">
        <f>BE250+SUM(CB251:CB277)</f>
        <v>0</v>
      </c>
      <c r="BF277" s="2">
        <f>IF(AND($AF$3&gt;0,发票登记!$T$280=$C$3,ISNUMBER(发票登记!$X$280),发票登记!$AB$280&lt;&gt;0,发票登记!$Y$280&gt;=_辅助!$J$4,发票登记!$Y$280&lt;=_辅助!$J$2),INT(发票登记!$X$280)*10000+276,"")</f>
      </c>
      <c r="BG277" s="2">
        <f>IF(AND($AF$3&gt;0,资金流水!$H$281=$C$3,ISNUMBER(资金流水!$B$281),ISNUMBER(资金流水!$S$281),资金流水!$S$281&gt;=_辅助!$J$4,资金流水!$S$281&lt;=_辅助!$J$2),INT(资金流水!$B$281)*10000+276,"")</f>
      </c>
      <c r="BJ277" s="2">
        <f>IF(242&gt;$BG$1,0,MOD(SMALL($BG$2:$BG$2001,242),10000))</f>
        <v>0</v>
      </c>
      <c r="CA277" s="2">
        <f t="shared" si="0"/>
        <v>0</v>
      </c>
      <c r="CB277" s="2">
        <f t="shared" si="1"/>
        <v>0</v>
      </c>
    </row>
    <row r="278">
      <c r="W278" s="95">
        <f t="shared" si="19"/>
      </c>
      <c r="X278" s="94">
        <f t="shared" si="25"/>
      </c>
      <c r="Y278" s="96">
        <f t="shared" si="26"/>
      </c>
      <c r="Z278" s="21">
        <f t="shared" si="20"/>
      </c>
      <c r="AA278" s="21">
        <f t="shared" si="21"/>
      </c>
      <c r="AB278" s="94">
        <f t="shared" si="27"/>
      </c>
      <c r="AC278" s="96">
        <f t="shared" si="28"/>
      </c>
      <c r="AD278" s="94">
        <f t="shared" si="29"/>
      </c>
      <c r="BA278" s="2">
        <f>IF(OR(往来单位!$B$281="",$AF$3=0),0,SUMIFS(期初余额!$R$5:$R$204,期初余额!$P$5:$P$204,往来单位!$B$281,期初余额!$Q$5:$Q$204,$C$3)+SUMIFS(应付登记!$G$5:$G$1004,应付登记!$D$5:$D$1004,往来单位!$B$281,应付登记!$E$5:$E$1004,$C$3,应付登记!$J$5:$J$1004,"&gt;="&amp;_辅助!$J$4,应付登记!$J$5:$J$1004,"&lt;="&amp;_辅助!$J$2))</f>
        <v>0</v>
      </c>
      <c r="BB278" s="2">
        <f>BB250+SUM(CA251:CA278)</f>
        <v>2</v>
      </c>
      <c r="BC278" s="2">
        <f>IF(OR(往来单位!$B$281="",$AF$3=0,NOT(OR(往来单位!$C$281="管理人员",往来单位!$C$281="工人"))),0,SUMIFS(考勤工资!$E$5:$E$1004,考勤工资!$C$5:$C$1004,往来单位!$B$281,考勤工资!$D$5:$D$1004,$C$3,考勤工资!$Y$5:$Y$1004,"&gt;="&amp;_辅助!$J$4,考勤工资!$Y$5:$Y$1004,"&lt;="&amp;_辅助!$J$2)+SUMIFS(考勤工资!$G$5:$G$1004,考勤工资!$C$5:$C$1004,往来单位!$B$281,考勤工资!$F$5:$F$1004,$C$3,考勤工资!$Y$5:$Y$1004,"&gt;="&amp;_辅助!$J$4,考勤工资!$Y$5:$Y$1004,"&lt;="&amp;_辅助!$J$2)+SUMIFS(考勤工资!$I$5:$I$1004,考勤工资!$C$5:$C$1004,往来单位!$B$281,考勤工资!$H$5:$H$1004,$C$3,考勤工资!$Y$5:$Y$1004,"&gt;="&amp;_辅助!$J$4,考勤工资!$Y$5:$Y$1004,"&lt;="&amp;_辅助!$J$2)+SUMIFS(考勤工资!$K$5:$K$1004,考勤工资!$C$5:$C$1004,往来单位!$B$281,考勤工资!$J$5:$J$1004,$C$3,考勤工资!$Y$5:$Y$1004,"&gt;="&amp;_辅助!$J$4,考勤工资!$Y$5:$Y$1004,"&lt;="&amp;_辅助!$J$2))</f>
        <v>0</v>
      </c>
      <c r="BD278" s="2">
        <f>IF(BC278=0,0,SUMIFS(考勤工资!$AC$5:$AC$1004,考勤工资!$C$5:$C$1004,往来单位!$B$281,考勤工资!$D$5:$D$1004,$C$3,考勤工资!$Y$5:$Y$1004,"&gt;="&amp;_辅助!$J$4,考勤工资!$Y$5:$Y$1004,"&lt;="&amp;_辅助!$J$2)+SUMIFS(考勤工资!$AD$5:$AD$1004,考勤工资!$C$5:$C$1004,往来单位!$B$281,考勤工资!$F$5:$F$1004,$C$3,考勤工资!$Y$5:$Y$1004,"&gt;="&amp;_辅助!$J$4,考勤工资!$Y$5:$Y$1004,"&lt;="&amp;_辅助!$J$2)+SUMIFS(考勤工资!$AE$5:$AE$1004,考勤工资!$C$5:$C$1004,往来单位!$B$281,考勤工资!$H$5:$H$1004,$C$3,考勤工资!$Y$5:$Y$1004,"&gt;="&amp;_辅助!$J$4,考勤工资!$Y$5:$Y$1004,"&lt;="&amp;_辅助!$J$2)+SUMIFS(考勤工资!$AF$5:$AF$1004,考勤工资!$C$5:$C$1004,往来单位!$B$281,考勤工资!$J$5:$J$1004,$C$3,考勤工资!$Y$5:$Y$1004,"&gt;="&amp;_辅助!$J$4,考勤工资!$Y$5:$Y$1004,"&lt;="&amp;_辅助!$J$2))</f>
        <v>0</v>
      </c>
      <c r="BE278" s="2">
        <f>BE250+SUM(CB251:CB278)</f>
        <v>0</v>
      </c>
      <c r="BF278" s="2">
        <f>IF(AND($AF$3&gt;0,发票登记!$T$281=$C$3,ISNUMBER(发票登记!$X$281),发票登记!$AB$281&lt;&gt;0,发票登记!$Y$281&gt;=_辅助!$J$4,发票登记!$Y$281&lt;=_辅助!$J$2),INT(发票登记!$X$281)*10000+277,"")</f>
      </c>
      <c r="BG278" s="2">
        <f>IF(AND($AF$3&gt;0,资金流水!$H$282=$C$3,ISNUMBER(资金流水!$B$282),ISNUMBER(资金流水!$S$282),资金流水!$S$282&gt;=_辅助!$J$4,资金流水!$S$282&lt;=_辅助!$J$2),INT(资金流水!$B$282)*10000+277,"")</f>
      </c>
      <c r="BJ278" s="2">
        <f>IF(243&gt;$BG$1,0,MOD(SMALL($BG$2:$BG$2001,243),10000))</f>
        <v>0</v>
      </c>
      <c r="CA278" s="2">
        <f t="shared" si="0"/>
        <v>0</v>
      </c>
      <c r="CB278" s="2">
        <f t="shared" si="1"/>
        <v>0</v>
      </c>
    </row>
    <row r="279">
      <c r="W279" s="95">
        <f t="shared" si="19"/>
      </c>
      <c r="X279" s="94">
        <f t="shared" si="25"/>
      </c>
      <c r="Y279" s="96">
        <f t="shared" si="26"/>
      </c>
      <c r="Z279" s="21">
        <f t="shared" si="20"/>
      </c>
      <c r="AA279" s="21">
        <f t="shared" si="21"/>
      </c>
      <c r="AB279" s="94">
        <f t="shared" si="27"/>
      </c>
      <c r="AC279" s="96">
        <f t="shared" si="28"/>
      </c>
      <c r="AD279" s="94">
        <f t="shared" si="29"/>
      </c>
      <c r="BA279" s="2">
        <f>IF(OR(往来单位!$B$282="",$AF$3=0),0,SUMIFS(期初余额!$R$5:$R$204,期初余额!$P$5:$P$204,往来单位!$B$282,期初余额!$Q$5:$Q$204,$C$3)+SUMIFS(应付登记!$G$5:$G$1004,应付登记!$D$5:$D$1004,往来单位!$B$282,应付登记!$E$5:$E$1004,$C$3,应付登记!$J$5:$J$1004,"&gt;="&amp;_辅助!$J$4,应付登记!$J$5:$J$1004,"&lt;="&amp;_辅助!$J$2))</f>
        <v>0</v>
      </c>
      <c r="BB279" s="2">
        <f>BB250+SUM(CA251:CA279)</f>
        <v>2</v>
      </c>
      <c r="BC279" s="2">
        <f>IF(OR(往来单位!$B$282="",$AF$3=0,NOT(OR(往来单位!$C$282="管理人员",往来单位!$C$282="工人"))),0,SUMIFS(考勤工资!$E$5:$E$1004,考勤工资!$C$5:$C$1004,往来单位!$B$282,考勤工资!$D$5:$D$1004,$C$3,考勤工资!$Y$5:$Y$1004,"&gt;="&amp;_辅助!$J$4,考勤工资!$Y$5:$Y$1004,"&lt;="&amp;_辅助!$J$2)+SUMIFS(考勤工资!$G$5:$G$1004,考勤工资!$C$5:$C$1004,往来单位!$B$282,考勤工资!$F$5:$F$1004,$C$3,考勤工资!$Y$5:$Y$1004,"&gt;="&amp;_辅助!$J$4,考勤工资!$Y$5:$Y$1004,"&lt;="&amp;_辅助!$J$2)+SUMIFS(考勤工资!$I$5:$I$1004,考勤工资!$C$5:$C$1004,往来单位!$B$282,考勤工资!$H$5:$H$1004,$C$3,考勤工资!$Y$5:$Y$1004,"&gt;="&amp;_辅助!$J$4,考勤工资!$Y$5:$Y$1004,"&lt;="&amp;_辅助!$J$2)+SUMIFS(考勤工资!$K$5:$K$1004,考勤工资!$C$5:$C$1004,往来单位!$B$282,考勤工资!$J$5:$J$1004,$C$3,考勤工资!$Y$5:$Y$1004,"&gt;="&amp;_辅助!$J$4,考勤工资!$Y$5:$Y$1004,"&lt;="&amp;_辅助!$J$2))</f>
        <v>0</v>
      </c>
      <c r="BD279" s="2">
        <f>IF(BC279=0,0,SUMIFS(考勤工资!$AC$5:$AC$1004,考勤工资!$C$5:$C$1004,往来单位!$B$282,考勤工资!$D$5:$D$1004,$C$3,考勤工资!$Y$5:$Y$1004,"&gt;="&amp;_辅助!$J$4,考勤工资!$Y$5:$Y$1004,"&lt;="&amp;_辅助!$J$2)+SUMIFS(考勤工资!$AD$5:$AD$1004,考勤工资!$C$5:$C$1004,往来单位!$B$282,考勤工资!$F$5:$F$1004,$C$3,考勤工资!$Y$5:$Y$1004,"&gt;="&amp;_辅助!$J$4,考勤工资!$Y$5:$Y$1004,"&lt;="&amp;_辅助!$J$2)+SUMIFS(考勤工资!$AE$5:$AE$1004,考勤工资!$C$5:$C$1004,往来单位!$B$282,考勤工资!$H$5:$H$1004,$C$3,考勤工资!$Y$5:$Y$1004,"&gt;="&amp;_辅助!$J$4,考勤工资!$Y$5:$Y$1004,"&lt;="&amp;_辅助!$J$2)+SUMIFS(考勤工资!$AF$5:$AF$1004,考勤工资!$C$5:$C$1004,往来单位!$B$282,考勤工资!$J$5:$J$1004,$C$3,考勤工资!$Y$5:$Y$1004,"&gt;="&amp;_辅助!$J$4,考勤工资!$Y$5:$Y$1004,"&lt;="&amp;_辅助!$J$2))</f>
        <v>0</v>
      </c>
      <c r="BE279" s="2">
        <f>BE250+SUM(CB251:CB279)</f>
        <v>0</v>
      </c>
      <c r="BF279" s="2">
        <f>IF(AND($AF$3&gt;0,发票登记!$T$282=$C$3,ISNUMBER(发票登记!$X$282),发票登记!$AB$282&lt;&gt;0,发票登记!$Y$282&gt;=_辅助!$J$4,发票登记!$Y$282&lt;=_辅助!$J$2),INT(发票登记!$X$282)*10000+278,"")</f>
      </c>
      <c r="BG279" s="2">
        <f>IF(AND($AF$3&gt;0,资金流水!$H$283=$C$3,ISNUMBER(资金流水!$B$283),ISNUMBER(资金流水!$S$283),资金流水!$S$283&gt;=_辅助!$J$4,资金流水!$S$283&lt;=_辅助!$J$2),INT(资金流水!$B$283)*10000+278,"")</f>
      </c>
      <c r="BJ279" s="2">
        <f>IF(244&gt;$BG$1,0,MOD(SMALL($BG$2:$BG$2001,244),10000))</f>
        <v>0</v>
      </c>
      <c r="CA279" s="2">
        <f t="shared" si="0"/>
        <v>0</v>
      </c>
      <c r="CB279" s="2">
        <f t="shared" si="1"/>
        <v>0</v>
      </c>
    </row>
    <row r="280">
      <c r="W280" s="95">
        <f t="shared" si="19"/>
      </c>
      <c r="X280" s="94">
        <f t="shared" si="25"/>
      </c>
      <c r="Y280" s="96">
        <f t="shared" si="26"/>
      </c>
      <c r="Z280" s="21">
        <f t="shared" si="20"/>
      </c>
      <c r="AA280" s="21">
        <f t="shared" si="21"/>
      </c>
      <c r="AB280" s="94">
        <f t="shared" si="27"/>
      </c>
      <c r="AC280" s="96">
        <f t="shared" si="28"/>
      </c>
      <c r="AD280" s="94">
        <f t="shared" si="29"/>
      </c>
      <c r="BA280" s="2">
        <f>IF(OR(往来单位!$B$283="",$AF$3=0),0,SUMIFS(期初余额!$R$5:$R$204,期初余额!$P$5:$P$204,往来单位!$B$283,期初余额!$Q$5:$Q$204,$C$3)+SUMIFS(应付登记!$G$5:$G$1004,应付登记!$D$5:$D$1004,往来单位!$B$283,应付登记!$E$5:$E$1004,$C$3,应付登记!$J$5:$J$1004,"&gt;="&amp;_辅助!$J$4,应付登记!$J$5:$J$1004,"&lt;="&amp;_辅助!$J$2))</f>
        <v>0</v>
      </c>
      <c r="BB280" s="2">
        <f>BB250+SUM(CA251:CA280)</f>
        <v>2</v>
      </c>
      <c r="BC280" s="2">
        <f>IF(OR(往来单位!$B$283="",$AF$3=0,NOT(OR(往来单位!$C$283="管理人员",往来单位!$C$283="工人"))),0,SUMIFS(考勤工资!$E$5:$E$1004,考勤工资!$C$5:$C$1004,往来单位!$B$283,考勤工资!$D$5:$D$1004,$C$3,考勤工资!$Y$5:$Y$1004,"&gt;="&amp;_辅助!$J$4,考勤工资!$Y$5:$Y$1004,"&lt;="&amp;_辅助!$J$2)+SUMIFS(考勤工资!$G$5:$G$1004,考勤工资!$C$5:$C$1004,往来单位!$B$283,考勤工资!$F$5:$F$1004,$C$3,考勤工资!$Y$5:$Y$1004,"&gt;="&amp;_辅助!$J$4,考勤工资!$Y$5:$Y$1004,"&lt;="&amp;_辅助!$J$2)+SUMIFS(考勤工资!$I$5:$I$1004,考勤工资!$C$5:$C$1004,往来单位!$B$283,考勤工资!$H$5:$H$1004,$C$3,考勤工资!$Y$5:$Y$1004,"&gt;="&amp;_辅助!$J$4,考勤工资!$Y$5:$Y$1004,"&lt;="&amp;_辅助!$J$2)+SUMIFS(考勤工资!$K$5:$K$1004,考勤工资!$C$5:$C$1004,往来单位!$B$283,考勤工资!$J$5:$J$1004,$C$3,考勤工资!$Y$5:$Y$1004,"&gt;="&amp;_辅助!$J$4,考勤工资!$Y$5:$Y$1004,"&lt;="&amp;_辅助!$J$2))</f>
        <v>0</v>
      </c>
      <c r="BD280" s="2">
        <f>IF(BC280=0,0,SUMIFS(考勤工资!$AC$5:$AC$1004,考勤工资!$C$5:$C$1004,往来单位!$B$283,考勤工资!$D$5:$D$1004,$C$3,考勤工资!$Y$5:$Y$1004,"&gt;="&amp;_辅助!$J$4,考勤工资!$Y$5:$Y$1004,"&lt;="&amp;_辅助!$J$2)+SUMIFS(考勤工资!$AD$5:$AD$1004,考勤工资!$C$5:$C$1004,往来单位!$B$283,考勤工资!$F$5:$F$1004,$C$3,考勤工资!$Y$5:$Y$1004,"&gt;="&amp;_辅助!$J$4,考勤工资!$Y$5:$Y$1004,"&lt;="&amp;_辅助!$J$2)+SUMIFS(考勤工资!$AE$5:$AE$1004,考勤工资!$C$5:$C$1004,往来单位!$B$283,考勤工资!$H$5:$H$1004,$C$3,考勤工资!$Y$5:$Y$1004,"&gt;="&amp;_辅助!$J$4,考勤工资!$Y$5:$Y$1004,"&lt;="&amp;_辅助!$J$2)+SUMIFS(考勤工资!$AF$5:$AF$1004,考勤工资!$C$5:$C$1004,往来单位!$B$283,考勤工资!$J$5:$J$1004,$C$3,考勤工资!$Y$5:$Y$1004,"&gt;="&amp;_辅助!$J$4,考勤工资!$Y$5:$Y$1004,"&lt;="&amp;_辅助!$J$2))</f>
        <v>0</v>
      </c>
      <c r="BE280" s="2">
        <f>BE250+SUM(CB251:CB280)</f>
        <v>0</v>
      </c>
      <c r="BF280" s="2">
        <f>IF(AND($AF$3&gt;0,发票登记!$T$283=$C$3,ISNUMBER(发票登记!$X$283),发票登记!$AB$283&lt;&gt;0,发票登记!$Y$283&gt;=_辅助!$J$4,发票登记!$Y$283&lt;=_辅助!$J$2),INT(发票登记!$X$283)*10000+279,"")</f>
      </c>
      <c r="BG280" s="2">
        <f>IF(AND($AF$3&gt;0,资金流水!$H$284=$C$3,ISNUMBER(资金流水!$B$284),ISNUMBER(资金流水!$S$284),资金流水!$S$284&gt;=_辅助!$J$4,资金流水!$S$284&lt;=_辅助!$J$2),INT(资金流水!$B$284)*10000+279,"")</f>
      </c>
      <c r="BJ280" s="2">
        <f>IF(245&gt;$BG$1,0,MOD(SMALL($BG$2:$BG$2001,245),10000))</f>
        <v>0</v>
      </c>
      <c r="CA280" s="2">
        <f t="shared" si="0"/>
        <v>0</v>
      </c>
      <c r="CB280" s="2">
        <f t="shared" si="1"/>
        <v>0</v>
      </c>
    </row>
    <row r="281">
      <c r="W281" s="95">
        <f t="shared" si="19"/>
      </c>
      <c r="X281" s="94">
        <f t="shared" si="25"/>
      </c>
      <c r="Y281" s="96">
        <f t="shared" si="26"/>
      </c>
      <c r="Z281" s="21">
        <f t="shared" si="20"/>
      </c>
      <c r="AA281" s="21">
        <f t="shared" si="21"/>
      </c>
      <c r="AB281" s="94">
        <f t="shared" si="27"/>
      </c>
      <c r="AC281" s="96">
        <f t="shared" si="28"/>
      </c>
      <c r="AD281" s="94">
        <f t="shared" si="29"/>
      </c>
      <c r="BA281" s="2">
        <f>IF(OR(往来单位!$B$284="",$AF$3=0),0,SUMIFS(期初余额!$R$5:$R$204,期初余额!$P$5:$P$204,往来单位!$B$284,期初余额!$Q$5:$Q$204,$C$3)+SUMIFS(应付登记!$G$5:$G$1004,应付登记!$D$5:$D$1004,往来单位!$B$284,应付登记!$E$5:$E$1004,$C$3,应付登记!$J$5:$J$1004,"&gt;="&amp;_辅助!$J$4,应付登记!$J$5:$J$1004,"&lt;="&amp;_辅助!$J$2))</f>
        <v>0</v>
      </c>
      <c r="BB281" s="2">
        <f>BB250+SUM(CA251:CA281)</f>
        <v>2</v>
      </c>
      <c r="BC281" s="2">
        <f>IF(OR(往来单位!$B$284="",$AF$3=0,NOT(OR(往来单位!$C$284="管理人员",往来单位!$C$284="工人"))),0,SUMIFS(考勤工资!$E$5:$E$1004,考勤工资!$C$5:$C$1004,往来单位!$B$284,考勤工资!$D$5:$D$1004,$C$3,考勤工资!$Y$5:$Y$1004,"&gt;="&amp;_辅助!$J$4,考勤工资!$Y$5:$Y$1004,"&lt;="&amp;_辅助!$J$2)+SUMIFS(考勤工资!$G$5:$G$1004,考勤工资!$C$5:$C$1004,往来单位!$B$284,考勤工资!$F$5:$F$1004,$C$3,考勤工资!$Y$5:$Y$1004,"&gt;="&amp;_辅助!$J$4,考勤工资!$Y$5:$Y$1004,"&lt;="&amp;_辅助!$J$2)+SUMIFS(考勤工资!$I$5:$I$1004,考勤工资!$C$5:$C$1004,往来单位!$B$284,考勤工资!$H$5:$H$1004,$C$3,考勤工资!$Y$5:$Y$1004,"&gt;="&amp;_辅助!$J$4,考勤工资!$Y$5:$Y$1004,"&lt;="&amp;_辅助!$J$2)+SUMIFS(考勤工资!$K$5:$K$1004,考勤工资!$C$5:$C$1004,往来单位!$B$284,考勤工资!$J$5:$J$1004,$C$3,考勤工资!$Y$5:$Y$1004,"&gt;="&amp;_辅助!$J$4,考勤工资!$Y$5:$Y$1004,"&lt;="&amp;_辅助!$J$2))</f>
        <v>0</v>
      </c>
      <c r="BD281" s="2">
        <f>IF(BC281=0,0,SUMIFS(考勤工资!$AC$5:$AC$1004,考勤工资!$C$5:$C$1004,往来单位!$B$284,考勤工资!$D$5:$D$1004,$C$3,考勤工资!$Y$5:$Y$1004,"&gt;="&amp;_辅助!$J$4,考勤工资!$Y$5:$Y$1004,"&lt;="&amp;_辅助!$J$2)+SUMIFS(考勤工资!$AD$5:$AD$1004,考勤工资!$C$5:$C$1004,往来单位!$B$284,考勤工资!$F$5:$F$1004,$C$3,考勤工资!$Y$5:$Y$1004,"&gt;="&amp;_辅助!$J$4,考勤工资!$Y$5:$Y$1004,"&lt;="&amp;_辅助!$J$2)+SUMIFS(考勤工资!$AE$5:$AE$1004,考勤工资!$C$5:$C$1004,往来单位!$B$284,考勤工资!$H$5:$H$1004,$C$3,考勤工资!$Y$5:$Y$1004,"&gt;="&amp;_辅助!$J$4,考勤工资!$Y$5:$Y$1004,"&lt;="&amp;_辅助!$J$2)+SUMIFS(考勤工资!$AF$5:$AF$1004,考勤工资!$C$5:$C$1004,往来单位!$B$284,考勤工资!$J$5:$J$1004,$C$3,考勤工资!$Y$5:$Y$1004,"&gt;="&amp;_辅助!$J$4,考勤工资!$Y$5:$Y$1004,"&lt;="&amp;_辅助!$J$2))</f>
        <v>0</v>
      </c>
      <c r="BE281" s="2">
        <f>BE250+SUM(CB251:CB281)</f>
        <v>0</v>
      </c>
      <c r="BF281" s="2">
        <f>IF(AND($AF$3&gt;0,发票登记!$T$284=$C$3,ISNUMBER(发票登记!$X$284),发票登记!$AB$284&lt;&gt;0,发票登记!$Y$284&gt;=_辅助!$J$4,发票登记!$Y$284&lt;=_辅助!$J$2),INT(发票登记!$X$284)*10000+280,"")</f>
      </c>
      <c r="BG281" s="2">
        <f>IF(AND($AF$3&gt;0,资金流水!$H$285=$C$3,ISNUMBER(资金流水!$B$285),ISNUMBER(资金流水!$S$285),资金流水!$S$285&gt;=_辅助!$J$4,资金流水!$S$285&lt;=_辅助!$J$2),INT(资金流水!$B$285)*10000+280,"")</f>
      </c>
      <c r="BJ281" s="2">
        <f>IF(246&gt;$BG$1,0,MOD(SMALL($BG$2:$BG$2001,246),10000))</f>
        <v>0</v>
      </c>
      <c r="CA281" s="2">
        <f t="shared" si="0"/>
        <v>0</v>
      </c>
      <c r="CB281" s="2">
        <f t="shared" si="1"/>
        <v>0</v>
      </c>
    </row>
    <row r="282">
      <c r="W282" s="95">
        <f t="shared" si="19"/>
      </c>
      <c r="X282" s="94">
        <f t="shared" si="25"/>
      </c>
      <c r="Y282" s="96">
        <f t="shared" si="26"/>
      </c>
      <c r="Z282" s="21">
        <f t="shared" si="20"/>
      </c>
      <c r="AA282" s="21">
        <f t="shared" si="21"/>
      </c>
      <c r="AB282" s="94">
        <f t="shared" si="27"/>
      </c>
      <c r="AC282" s="96">
        <f t="shared" si="28"/>
      </c>
      <c r="AD282" s="94">
        <f t="shared" si="29"/>
      </c>
      <c r="BA282" s="2">
        <f>IF(OR(往来单位!$B$285="",$AF$3=0),0,SUMIFS(期初余额!$R$5:$R$204,期初余额!$P$5:$P$204,往来单位!$B$285,期初余额!$Q$5:$Q$204,$C$3)+SUMIFS(应付登记!$G$5:$G$1004,应付登记!$D$5:$D$1004,往来单位!$B$285,应付登记!$E$5:$E$1004,$C$3,应付登记!$J$5:$J$1004,"&gt;="&amp;_辅助!$J$4,应付登记!$J$5:$J$1004,"&lt;="&amp;_辅助!$J$2))</f>
        <v>0</v>
      </c>
      <c r="BB282" s="2">
        <f>BB250+SUM(CA251:CA282)</f>
        <v>2</v>
      </c>
      <c r="BC282" s="2">
        <f>IF(OR(往来单位!$B$285="",$AF$3=0,NOT(OR(往来单位!$C$285="管理人员",往来单位!$C$285="工人"))),0,SUMIFS(考勤工资!$E$5:$E$1004,考勤工资!$C$5:$C$1004,往来单位!$B$285,考勤工资!$D$5:$D$1004,$C$3,考勤工资!$Y$5:$Y$1004,"&gt;="&amp;_辅助!$J$4,考勤工资!$Y$5:$Y$1004,"&lt;="&amp;_辅助!$J$2)+SUMIFS(考勤工资!$G$5:$G$1004,考勤工资!$C$5:$C$1004,往来单位!$B$285,考勤工资!$F$5:$F$1004,$C$3,考勤工资!$Y$5:$Y$1004,"&gt;="&amp;_辅助!$J$4,考勤工资!$Y$5:$Y$1004,"&lt;="&amp;_辅助!$J$2)+SUMIFS(考勤工资!$I$5:$I$1004,考勤工资!$C$5:$C$1004,往来单位!$B$285,考勤工资!$H$5:$H$1004,$C$3,考勤工资!$Y$5:$Y$1004,"&gt;="&amp;_辅助!$J$4,考勤工资!$Y$5:$Y$1004,"&lt;="&amp;_辅助!$J$2)+SUMIFS(考勤工资!$K$5:$K$1004,考勤工资!$C$5:$C$1004,往来单位!$B$285,考勤工资!$J$5:$J$1004,$C$3,考勤工资!$Y$5:$Y$1004,"&gt;="&amp;_辅助!$J$4,考勤工资!$Y$5:$Y$1004,"&lt;="&amp;_辅助!$J$2))</f>
        <v>0</v>
      </c>
      <c r="BD282" s="2">
        <f>IF(BC282=0,0,SUMIFS(考勤工资!$AC$5:$AC$1004,考勤工资!$C$5:$C$1004,往来单位!$B$285,考勤工资!$D$5:$D$1004,$C$3,考勤工资!$Y$5:$Y$1004,"&gt;="&amp;_辅助!$J$4,考勤工资!$Y$5:$Y$1004,"&lt;="&amp;_辅助!$J$2)+SUMIFS(考勤工资!$AD$5:$AD$1004,考勤工资!$C$5:$C$1004,往来单位!$B$285,考勤工资!$F$5:$F$1004,$C$3,考勤工资!$Y$5:$Y$1004,"&gt;="&amp;_辅助!$J$4,考勤工资!$Y$5:$Y$1004,"&lt;="&amp;_辅助!$J$2)+SUMIFS(考勤工资!$AE$5:$AE$1004,考勤工资!$C$5:$C$1004,往来单位!$B$285,考勤工资!$H$5:$H$1004,$C$3,考勤工资!$Y$5:$Y$1004,"&gt;="&amp;_辅助!$J$4,考勤工资!$Y$5:$Y$1004,"&lt;="&amp;_辅助!$J$2)+SUMIFS(考勤工资!$AF$5:$AF$1004,考勤工资!$C$5:$C$1004,往来单位!$B$285,考勤工资!$J$5:$J$1004,$C$3,考勤工资!$Y$5:$Y$1004,"&gt;="&amp;_辅助!$J$4,考勤工资!$Y$5:$Y$1004,"&lt;="&amp;_辅助!$J$2))</f>
        <v>0</v>
      </c>
      <c r="BE282" s="2">
        <f>BE250+SUM(CB251:CB282)</f>
        <v>0</v>
      </c>
      <c r="BF282" s="2">
        <f>IF(AND($AF$3&gt;0,发票登记!$T$285=$C$3,ISNUMBER(发票登记!$X$285),发票登记!$AB$285&lt;&gt;0,发票登记!$Y$285&gt;=_辅助!$J$4,发票登记!$Y$285&lt;=_辅助!$J$2),INT(发票登记!$X$285)*10000+281,"")</f>
      </c>
      <c r="BG282" s="2">
        <f>IF(AND($AF$3&gt;0,资金流水!$H$286=$C$3,ISNUMBER(资金流水!$B$286),ISNUMBER(资金流水!$S$286),资金流水!$S$286&gt;=_辅助!$J$4,资金流水!$S$286&lt;=_辅助!$J$2),INT(资金流水!$B$286)*10000+281,"")</f>
      </c>
      <c r="BJ282" s="2">
        <f>IF(247&gt;$BG$1,0,MOD(SMALL($BG$2:$BG$2001,247),10000))</f>
        <v>0</v>
      </c>
      <c r="CA282" s="2">
        <f t="shared" si="0"/>
        <v>0</v>
      </c>
      <c r="CB282" s="2">
        <f t="shared" si="1"/>
        <v>0</v>
      </c>
    </row>
    <row r="283">
      <c r="W283" s="95">
        <f t="shared" si="19"/>
      </c>
      <c r="X283" s="94">
        <f t="shared" si="25"/>
      </c>
      <c r="Y283" s="96">
        <f t="shared" si="26"/>
      </c>
      <c r="Z283" s="21">
        <f t="shared" si="20"/>
      </c>
      <c r="AA283" s="21">
        <f t="shared" si="21"/>
      </c>
      <c r="AB283" s="94">
        <f t="shared" si="27"/>
      </c>
      <c r="AC283" s="96">
        <f t="shared" si="28"/>
      </c>
      <c r="AD283" s="94">
        <f t="shared" si="29"/>
      </c>
      <c r="BA283" s="2">
        <f>IF(OR(往来单位!$B$286="",$AF$3=0),0,SUMIFS(期初余额!$R$5:$R$204,期初余额!$P$5:$P$204,往来单位!$B$286,期初余额!$Q$5:$Q$204,$C$3)+SUMIFS(应付登记!$G$5:$G$1004,应付登记!$D$5:$D$1004,往来单位!$B$286,应付登记!$E$5:$E$1004,$C$3,应付登记!$J$5:$J$1004,"&gt;="&amp;_辅助!$J$4,应付登记!$J$5:$J$1004,"&lt;="&amp;_辅助!$J$2))</f>
        <v>0</v>
      </c>
      <c r="BB283" s="2">
        <f>BB250+SUM(CA251:CA283)</f>
        <v>2</v>
      </c>
      <c r="BC283" s="2">
        <f>IF(OR(往来单位!$B$286="",$AF$3=0,NOT(OR(往来单位!$C$286="管理人员",往来单位!$C$286="工人"))),0,SUMIFS(考勤工资!$E$5:$E$1004,考勤工资!$C$5:$C$1004,往来单位!$B$286,考勤工资!$D$5:$D$1004,$C$3,考勤工资!$Y$5:$Y$1004,"&gt;="&amp;_辅助!$J$4,考勤工资!$Y$5:$Y$1004,"&lt;="&amp;_辅助!$J$2)+SUMIFS(考勤工资!$G$5:$G$1004,考勤工资!$C$5:$C$1004,往来单位!$B$286,考勤工资!$F$5:$F$1004,$C$3,考勤工资!$Y$5:$Y$1004,"&gt;="&amp;_辅助!$J$4,考勤工资!$Y$5:$Y$1004,"&lt;="&amp;_辅助!$J$2)+SUMIFS(考勤工资!$I$5:$I$1004,考勤工资!$C$5:$C$1004,往来单位!$B$286,考勤工资!$H$5:$H$1004,$C$3,考勤工资!$Y$5:$Y$1004,"&gt;="&amp;_辅助!$J$4,考勤工资!$Y$5:$Y$1004,"&lt;="&amp;_辅助!$J$2)+SUMIFS(考勤工资!$K$5:$K$1004,考勤工资!$C$5:$C$1004,往来单位!$B$286,考勤工资!$J$5:$J$1004,$C$3,考勤工资!$Y$5:$Y$1004,"&gt;="&amp;_辅助!$J$4,考勤工资!$Y$5:$Y$1004,"&lt;="&amp;_辅助!$J$2))</f>
        <v>0</v>
      </c>
      <c r="BD283" s="2">
        <f>IF(BC283=0,0,SUMIFS(考勤工资!$AC$5:$AC$1004,考勤工资!$C$5:$C$1004,往来单位!$B$286,考勤工资!$D$5:$D$1004,$C$3,考勤工资!$Y$5:$Y$1004,"&gt;="&amp;_辅助!$J$4,考勤工资!$Y$5:$Y$1004,"&lt;="&amp;_辅助!$J$2)+SUMIFS(考勤工资!$AD$5:$AD$1004,考勤工资!$C$5:$C$1004,往来单位!$B$286,考勤工资!$F$5:$F$1004,$C$3,考勤工资!$Y$5:$Y$1004,"&gt;="&amp;_辅助!$J$4,考勤工资!$Y$5:$Y$1004,"&lt;="&amp;_辅助!$J$2)+SUMIFS(考勤工资!$AE$5:$AE$1004,考勤工资!$C$5:$C$1004,往来单位!$B$286,考勤工资!$H$5:$H$1004,$C$3,考勤工资!$Y$5:$Y$1004,"&gt;="&amp;_辅助!$J$4,考勤工资!$Y$5:$Y$1004,"&lt;="&amp;_辅助!$J$2)+SUMIFS(考勤工资!$AF$5:$AF$1004,考勤工资!$C$5:$C$1004,往来单位!$B$286,考勤工资!$J$5:$J$1004,$C$3,考勤工资!$Y$5:$Y$1004,"&gt;="&amp;_辅助!$J$4,考勤工资!$Y$5:$Y$1004,"&lt;="&amp;_辅助!$J$2))</f>
        <v>0</v>
      </c>
      <c r="BE283" s="2">
        <f>BE250+SUM(CB251:CB283)</f>
        <v>0</v>
      </c>
      <c r="BF283" s="2">
        <f>IF(AND($AF$3&gt;0,发票登记!$T$286=$C$3,ISNUMBER(发票登记!$X$286),发票登记!$AB$286&lt;&gt;0,发票登记!$Y$286&gt;=_辅助!$J$4,发票登记!$Y$286&lt;=_辅助!$J$2),INT(发票登记!$X$286)*10000+282,"")</f>
      </c>
      <c r="BG283" s="2">
        <f>IF(AND($AF$3&gt;0,资金流水!$H$287=$C$3,ISNUMBER(资金流水!$B$287),ISNUMBER(资金流水!$S$287),资金流水!$S$287&gt;=_辅助!$J$4,资金流水!$S$287&lt;=_辅助!$J$2),INT(资金流水!$B$287)*10000+282,"")</f>
      </c>
      <c r="BJ283" s="2">
        <f>IF(248&gt;$BG$1,0,MOD(SMALL($BG$2:$BG$2001,248),10000))</f>
        <v>0</v>
      </c>
      <c r="CA283" s="2">
        <f t="shared" si="0"/>
        <v>0</v>
      </c>
      <c r="CB283" s="2">
        <f t="shared" si="1"/>
        <v>0</v>
      </c>
    </row>
    <row r="284">
      <c r="W284" s="95">
        <f t="shared" si="19"/>
      </c>
      <c r="X284" s="94">
        <f t="shared" si="25"/>
      </c>
      <c r="Y284" s="96">
        <f t="shared" si="26"/>
      </c>
      <c r="Z284" s="21">
        <f t="shared" si="20"/>
      </c>
      <c r="AA284" s="21">
        <f t="shared" si="21"/>
      </c>
      <c r="AB284" s="94">
        <f t="shared" si="27"/>
      </c>
      <c r="AC284" s="96">
        <f t="shared" si="28"/>
      </c>
      <c r="AD284" s="94">
        <f t="shared" si="29"/>
      </c>
      <c r="BA284" s="2">
        <f>IF(OR(往来单位!$B$287="",$AF$3=0),0,SUMIFS(期初余额!$R$5:$R$204,期初余额!$P$5:$P$204,往来单位!$B$287,期初余额!$Q$5:$Q$204,$C$3)+SUMIFS(应付登记!$G$5:$G$1004,应付登记!$D$5:$D$1004,往来单位!$B$287,应付登记!$E$5:$E$1004,$C$3,应付登记!$J$5:$J$1004,"&gt;="&amp;_辅助!$J$4,应付登记!$J$5:$J$1004,"&lt;="&amp;_辅助!$J$2))</f>
        <v>0</v>
      </c>
      <c r="BB284" s="2">
        <f>BB250+SUM(CA251:CA284)</f>
        <v>2</v>
      </c>
      <c r="BC284" s="2">
        <f>IF(OR(往来单位!$B$287="",$AF$3=0,NOT(OR(往来单位!$C$287="管理人员",往来单位!$C$287="工人"))),0,SUMIFS(考勤工资!$E$5:$E$1004,考勤工资!$C$5:$C$1004,往来单位!$B$287,考勤工资!$D$5:$D$1004,$C$3,考勤工资!$Y$5:$Y$1004,"&gt;="&amp;_辅助!$J$4,考勤工资!$Y$5:$Y$1004,"&lt;="&amp;_辅助!$J$2)+SUMIFS(考勤工资!$G$5:$G$1004,考勤工资!$C$5:$C$1004,往来单位!$B$287,考勤工资!$F$5:$F$1004,$C$3,考勤工资!$Y$5:$Y$1004,"&gt;="&amp;_辅助!$J$4,考勤工资!$Y$5:$Y$1004,"&lt;="&amp;_辅助!$J$2)+SUMIFS(考勤工资!$I$5:$I$1004,考勤工资!$C$5:$C$1004,往来单位!$B$287,考勤工资!$H$5:$H$1004,$C$3,考勤工资!$Y$5:$Y$1004,"&gt;="&amp;_辅助!$J$4,考勤工资!$Y$5:$Y$1004,"&lt;="&amp;_辅助!$J$2)+SUMIFS(考勤工资!$K$5:$K$1004,考勤工资!$C$5:$C$1004,往来单位!$B$287,考勤工资!$J$5:$J$1004,$C$3,考勤工资!$Y$5:$Y$1004,"&gt;="&amp;_辅助!$J$4,考勤工资!$Y$5:$Y$1004,"&lt;="&amp;_辅助!$J$2))</f>
        <v>0</v>
      </c>
      <c r="BD284" s="2">
        <f>IF(BC284=0,0,SUMIFS(考勤工资!$AC$5:$AC$1004,考勤工资!$C$5:$C$1004,往来单位!$B$287,考勤工资!$D$5:$D$1004,$C$3,考勤工资!$Y$5:$Y$1004,"&gt;="&amp;_辅助!$J$4,考勤工资!$Y$5:$Y$1004,"&lt;="&amp;_辅助!$J$2)+SUMIFS(考勤工资!$AD$5:$AD$1004,考勤工资!$C$5:$C$1004,往来单位!$B$287,考勤工资!$F$5:$F$1004,$C$3,考勤工资!$Y$5:$Y$1004,"&gt;="&amp;_辅助!$J$4,考勤工资!$Y$5:$Y$1004,"&lt;="&amp;_辅助!$J$2)+SUMIFS(考勤工资!$AE$5:$AE$1004,考勤工资!$C$5:$C$1004,往来单位!$B$287,考勤工资!$H$5:$H$1004,$C$3,考勤工资!$Y$5:$Y$1004,"&gt;="&amp;_辅助!$J$4,考勤工资!$Y$5:$Y$1004,"&lt;="&amp;_辅助!$J$2)+SUMIFS(考勤工资!$AF$5:$AF$1004,考勤工资!$C$5:$C$1004,往来单位!$B$287,考勤工资!$J$5:$J$1004,$C$3,考勤工资!$Y$5:$Y$1004,"&gt;="&amp;_辅助!$J$4,考勤工资!$Y$5:$Y$1004,"&lt;="&amp;_辅助!$J$2))</f>
        <v>0</v>
      </c>
      <c r="BE284" s="2">
        <f>BE250+SUM(CB251:CB284)</f>
        <v>0</v>
      </c>
      <c r="BF284" s="2">
        <f>IF(AND($AF$3&gt;0,发票登记!$T$287=$C$3,ISNUMBER(发票登记!$X$287),发票登记!$AB$287&lt;&gt;0,发票登记!$Y$287&gt;=_辅助!$J$4,发票登记!$Y$287&lt;=_辅助!$J$2),INT(发票登记!$X$287)*10000+283,"")</f>
      </c>
      <c r="BG284" s="2">
        <f>IF(AND($AF$3&gt;0,资金流水!$H$288=$C$3,ISNUMBER(资金流水!$B$288),ISNUMBER(资金流水!$S$288),资金流水!$S$288&gt;=_辅助!$J$4,资金流水!$S$288&lt;=_辅助!$J$2),INT(资金流水!$B$288)*10000+283,"")</f>
      </c>
      <c r="BJ284" s="2">
        <f>IF(249&gt;$BG$1,0,MOD(SMALL($BG$2:$BG$2001,249),10000))</f>
        <v>0</v>
      </c>
      <c r="CA284" s="2">
        <f t="shared" si="0"/>
        <v>0</v>
      </c>
      <c r="CB284" s="2">
        <f t="shared" si="1"/>
        <v>0</v>
      </c>
    </row>
    <row r="285">
      <c r="W285" s="95">
        <f t="shared" si="19"/>
      </c>
      <c r="X285" s="94">
        <f t="shared" si="25"/>
      </c>
      <c r="Y285" s="96">
        <f t="shared" si="26"/>
      </c>
      <c r="Z285" s="21">
        <f t="shared" si="20"/>
      </c>
      <c r="AA285" s="21">
        <f t="shared" si="21"/>
      </c>
      <c r="AB285" s="94">
        <f t="shared" si="27"/>
      </c>
      <c r="AC285" s="96">
        <f t="shared" si="28"/>
      </c>
      <c r="AD285" s="94">
        <f t="shared" si="29"/>
      </c>
      <c r="BA285" s="2">
        <f>IF(OR(往来单位!$B$288="",$AF$3=0),0,SUMIFS(期初余额!$R$5:$R$204,期初余额!$P$5:$P$204,往来单位!$B$288,期初余额!$Q$5:$Q$204,$C$3)+SUMIFS(应付登记!$G$5:$G$1004,应付登记!$D$5:$D$1004,往来单位!$B$288,应付登记!$E$5:$E$1004,$C$3,应付登记!$J$5:$J$1004,"&gt;="&amp;_辅助!$J$4,应付登记!$J$5:$J$1004,"&lt;="&amp;_辅助!$J$2))</f>
        <v>0</v>
      </c>
      <c r="BB285" s="2">
        <f>BB250+SUM(CA251:CA285)</f>
        <v>2</v>
      </c>
      <c r="BC285" s="2">
        <f>IF(OR(往来单位!$B$288="",$AF$3=0,NOT(OR(往来单位!$C$288="管理人员",往来单位!$C$288="工人"))),0,SUMIFS(考勤工资!$E$5:$E$1004,考勤工资!$C$5:$C$1004,往来单位!$B$288,考勤工资!$D$5:$D$1004,$C$3,考勤工资!$Y$5:$Y$1004,"&gt;="&amp;_辅助!$J$4,考勤工资!$Y$5:$Y$1004,"&lt;="&amp;_辅助!$J$2)+SUMIFS(考勤工资!$G$5:$G$1004,考勤工资!$C$5:$C$1004,往来单位!$B$288,考勤工资!$F$5:$F$1004,$C$3,考勤工资!$Y$5:$Y$1004,"&gt;="&amp;_辅助!$J$4,考勤工资!$Y$5:$Y$1004,"&lt;="&amp;_辅助!$J$2)+SUMIFS(考勤工资!$I$5:$I$1004,考勤工资!$C$5:$C$1004,往来单位!$B$288,考勤工资!$H$5:$H$1004,$C$3,考勤工资!$Y$5:$Y$1004,"&gt;="&amp;_辅助!$J$4,考勤工资!$Y$5:$Y$1004,"&lt;="&amp;_辅助!$J$2)+SUMIFS(考勤工资!$K$5:$K$1004,考勤工资!$C$5:$C$1004,往来单位!$B$288,考勤工资!$J$5:$J$1004,$C$3,考勤工资!$Y$5:$Y$1004,"&gt;="&amp;_辅助!$J$4,考勤工资!$Y$5:$Y$1004,"&lt;="&amp;_辅助!$J$2))</f>
        <v>0</v>
      </c>
      <c r="BD285" s="2">
        <f>IF(BC285=0,0,SUMIFS(考勤工资!$AC$5:$AC$1004,考勤工资!$C$5:$C$1004,往来单位!$B$288,考勤工资!$D$5:$D$1004,$C$3,考勤工资!$Y$5:$Y$1004,"&gt;="&amp;_辅助!$J$4,考勤工资!$Y$5:$Y$1004,"&lt;="&amp;_辅助!$J$2)+SUMIFS(考勤工资!$AD$5:$AD$1004,考勤工资!$C$5:$C$1004,往来单位!$B$288,考勤工资!$F$5:$F$1004,$C$3,考勤工资!$Y$5:$Y$1004,"&gt;="&amp;_辅助!$J$4,考勤工资!$Y$5:$Y$1004,"&lt;="&amp;_辅助!$J$2)+SUMIFS(考勤工资!$AE$5:$AE$1004,考勤工资!$C$5:$C$1004,往来单位!$B$288,考勤工资!$H$5:$H$1004,$C$3,考勤工资!$Y$5:$Y$1004,"&gt;="&amp;_辅助!$J$4,考勤工资!$Y$5:$Y$1004,"&lt;="&amp;_辅助!$J$2)+SUMIFS(考勤工资!$AF$5:$AF$1004,考勤工资!$C$5:$C$1004,往来单位!$B$288,考勤工资!$J$5:$J$1004,$C$3,考勤工资!$Y$5:$Y$1004,"&gt;="&amp;_辅助!$J$4,考勤工资!$Y$5:$Y$1004,"&lt;="&amp;_辅助!$J$2))</f>
        <v>0</v>
      </c>
      <c r="BE285" s="2">
        <f>BE250+SUM(CB251:CB285)</f>
        <v>0</v>
      </c>
      <c r="BF285" s="2">
        <f>IF(AND($AF$3&gt;0,发票登记!$T$288=$C$3,ISNUMBER(发票登记!$X$288),发票登记!$AB$288&lt;&gt;0,发票登记!$Y$288&gt;=_辅助!$J$4,发票登记!$Y$288&lt;=_辅助!$J$2),INT(发票登记!$X$288)*10000+284,"")</f>
      </c>
      <c r="BG285" s="2">
        <f>IF(AND($AF$3&gt;0,资金流水!$H$289=$C$3,ISNUMBER(资金流水!$B$289),ISNUMBER(资金流水!$S$289),资金流水!$S$289&gt;=_辅助!$J$4,资金流水!$S$289&lt;=_辅助!$J$2),INT(资金流水!$B$289)*10000+284,"")</f>
      </c>
      <c r="BJ285" s="2">
        <f>IF(250&gt;$BG$1,0,MOD(SMALL($BG$2:$BG$2001,250),10000))</f>
        <v>0</v>
      </c>
      <c r="CA285" s="2">
        <f t="shared" si="0"/>
        <v>0</v>
      </c>
      <c r="CB285" s="2">
        <f t="shared" si="1"/>
        <v>0</v>
      </c>
    </row>
    <row r="286">
      <c r="W286" s="95">
        <f t="shared" si="19"/>
      </c>
      <c r="X286" s="94">
        <f t="shared" si="25"/>
      </c>
      <c r="Y286" s="96">
        <f t="shared" si="26"/>
      </c>
      <c r="Z286" s="21">
        <f t="shared" si="20"/>
      </c>
      <c r="AA286" s="21">
        <f t="shared" si="21"/>
      </c>
      <c r="AB286" s="94">
        <f t="shared" si="27"/>
      </c>
      <c r="AC286" s="96">
        <f t="shared" si="28"/>
      </c>
      <c r="AD286" s="94">
        <f t="shared" si="29"/>
      </c>
      <c r="BA286" s="2">
        <f>IF(OR(往来单位!$B$289="",$AF$3=0),0,SUMIFS(期初余额!$R$5:$R$204,期初余额!$P$5:$P$204,往来单位!$B$289,期初余额!$Q$5:$Q$204,$C$3)+SUMIFS(应付登记!$G$5:$G$1004,应付登记!$D$5:$D$1004,往来单位!$B$289,应付登记!$E$5:$E$1004,$C$3,应付登记!$J$5:$J$1004,"&gt;="&amp;_辅助!$J$4,应付登记!$J$5:$J$1004,"&lt;="&amp;_辅助!$J$2))</f>
        <v>0</v>
      </c>
      <c r="BB286" s="2">
        <f>BB250+SUM(CA251:CA286)</f>
        <v>2</v>
      </c>
      <c r="BC286" s="2">
        <f>IF(OR(往来单位!$B$289="",$AF$3=0,NOT(OR(往来单位!$C$289="管理人员",往来单位!$C$289="工人"))),0,SUMIFS(考勤工资!$E$5:$E$1004,考勤工资!$C$5:$C$1004,往来单位!$B$289,考勤工资!$D$5:$D$1004,$C$3,考勤工资!$Y$5:$Y$1004,"&gt;="&amp;_辅助!$J$4,考勤工资!$Y$5:$Y$1004,"&lt;="&amp;_辅助!$J$2)+SUMIFS(考勤工资!$G$5:$G$1004,考勤工资!$C$5:$C$1004,往来单位!$B$289,考勤工资!$F$5:$F$1004,$C$3,考勤工资!$Y$5:$Y$1004,"&gt;="&amp;_辅助!$J$4,考勤工资!$Y$5:$Y$1004,"&lt;="&amp;_辅助!$J$2)+SUMIFS(考勤工资!$I$5:$I$1004,考勤工资!$C$5:$C$1004,往来单位!$B$289,考勤工资!$H$5:$H$1004,$C$3,考勤工资!$Y$5:$Y$1004,"&gt;="&amp;_辅助!$J$4,考勤工资!$Y$5:$Y$1004,"&lt;="&amp;_辅助!$J$2)+SUMIFS(考勤工资!$K$5:$K$1004,考勤工资!$C$5:$C$1004,往来单位!$B$289,考勤工资!$J$5:$J$1004,$C$3,考勤工资!$Y$5:$Y$1004,"&gt;="&amp;_辅助!$J$4,考勤工资!$Y$5:$Y$1004,"&lt;="&amp;_辅助!$J$2))</f>
        <v>0</v>
      </c>
      <c r="BD286" s="2">
        <f>IF(BC286=0,0,SUMIFS(考勤工资!$AC$5:$AC$1004,考勤工资!$C$5:$C$1004,往来单位!$B$289,考勤工资!$D$5:$D$1004,$C$3,考勤工资!$Y$5:$Y$1004,"&gt;="&amp;_辅助!$J$4,考勤工资!$Y$5:$Y$1004,"&lt;="&amp;_辅助!$J$2)+SUMIFS(考勤工资!$AD$5:$AD$1004,考勤工资!$C$5:$C$1004,往来单位!$B$289,考勤工资!$F$5:$F$1004,$C$3,考勤工资!$Y$5:$Y$1004,"&gt;="&amp;_辅助!$J$4,考勤工资!$Y$5:$Y$1004,"&lt;="&amp;_辅助!$J$2)+SUMIFS(考勤工资!$AE$5:$AE$1004,考勤工资!$C$5:$C$1004,往来单位!$B$289,考勤工资!$H$5:$H$1004,$C$3,考勤工资!$Y$5:$Y$1004,"&gt;="&amp;_辅助!$J$4,考勤工资!$Y$5:$Y$1004,"&lt;="&amp;_辅助!$J$2)+SUMIFS(考勤工资!$AF$5:$AF$1004,考勤工资!$C$5:$C$1004,往来单位!$B$289,考勤工资!$J$5:$J$1004,$C$3,考勤工资!$Y$5:$Y$1004,"&gt;="&amp;_辅助!$J$4,考勤工资!$Y$5:$Y$1004,"&lt;="&amp;_辅助!$J$2))</f>
        <v>0</v>
      </c>
      <c r="BE286" s="2">
        <f>BE250+SUM(CB251:CB286)</f>
        <v>0</v>
      </c>
      <c r="BF286" s="2">
        <f>IF(AND($AF$3&gt;0,发票登记!$T$289=$C$3,ISNUMBER(发票登记!$X$289),发票登记!$AB$289&lt;&gt;0,发票登记!$Y$289&gt;=_辅助!$J$4,发票登记!$Y$289&lt;=_辅助!$J$2),INT(发票登记!$X$289)*10000+285,"")</f>
      </c>
      <c r="BG286" s="2">
        <f>IF(AND($AF$3&gt;0,资金流水!$H$290=$C$3,ISNUMBER(资金流水!$B$290),ISNUMBER(资金流水!$S$290),资金流水!$S$290&gt;=_辅助!$J$4,资金流水!$S$290&lt;=_辅助!$J$2),INT(资金流水!$B$290)*10000+285,"")</f>
      </c>
      <c r="BJ286" s="2">
        <f>IF(251&gt;$BG$1,0,MOD(SMALL($BG$2:$BG$2001,251),10000))</f>
        <v>0</v>
      </c>
      <c r="CA286" s="2">
        <f t="shared" si="0"/>
        <v>0</v>
      </c>
      <c r="CB286" s="2">
        <f t="shared" si="1"/>
        <v>0</v>
      </c>
    </row>
    <row r="287">
      <c r="W287" s="95">
        <f t="shared" si="19"/>
      </c>
      <c r="X287" s="94">
        <f t="shared" si="25"/>
      </c>
      <c r="Y287" s="96">
        <f t="shared" si="26"/>
      </c>
      <c r="Z287" s="21">
        <f t="shared" si="20"/>
      </c>
      <c r="AA287" s="21">
        <f t="shared" si="21"/>
      </c>
      <c r="AB287" s="94">
        <f t="shared" si="27"/>
      </c>
      <c r="AC287" s="96">
        <f t="shared" si="28"/>
      </c>
      <c r="AD287" s="94">
        <f t="shared" si="29"/>
      </c>
      <c r="BA287" s="2">
        <f>IF(OR(往来单位!$B$290="",$AF$3=0),0,SUMIFS(期初余额!$R$5:$R$204,期初余额!$P$5:$P$204,往来单位!$B$290,期初余额!$Q$5:$Q$204,$C$3)+SUMIFS(应付登记!$G$5:$G$1004,应付登记!$D$5:$D$1004,往来单位!$B$290,应付登记!$E$5:$E$1004,$C$3,应付登记!$J$5:$J$1004,"&gt;="&amp;_辅助!$J$4,应付登记!$J$5:$J$1004,"&lt;="&amp;_辅助!$J$2))</f>
        <v>0</v>
      </c>
      <c r="BB287" s="2">
        <f>BB250+SUM(CA251:CA287)</f>
        <v>2</v>
      </c>
      <c r="BC287" s="2">
        <f>IF(OR(往来单位!$B$290="",$AF$3=0,NOT(OR(往来单位!$C$290="管理人员",往来单位!$C$290="工人"))),0,SUMIFS(考勤工资!$E$5:$E$1004,考勤工资!$C$5:$C$1004,往来单位!$B$290,考勤工资!$D$5:$D$1004,$C$3,考勤工资!$Y$5:$Y$1004,"&gt;="&amp;_辅助!$J$4,考勤工资!$Y$5:$Y$1004,"&lt;="&amp;_辅助!$J$2)+SUMIFS(考勤工资!$G$5:$G$1004,考勤工资!$C$5:$C$1004,往来单位!$B$290,考勤工资!$F$5:$F$1004,$C$3,考勤工资!$Y$5:$Y$1004,"&gt;="&amp;_辅助!$J$4,考勤工资!$Y$5:$Y$1004,"&lt;="&amp;_辅助!$J$2)+SUMIFS(考勤工资!$I$5:$I$1004,考勤工资!$C$5:$C$1004,往来单位!$B$290,考勤工资!$H$5:$H$1004,$C$3,考勤工资!$Y$5:$Y$1004,"&gt;="&amp;_辅助!$J$4,考勤工资!$Y$5:$Y$1004,"&lt;="&amp;_辅助!$J$2)+SUMIFS(考勤工资!$K$5:$K$1004,考勤工资!$C$5:$C$1004,往来单位!$B$290,考勤工资!$J$5:$J$1004,$C$3,考勤工资!$Y$5:$Y$1004,"&gt;="&amp;_辅助!$J$4,考勤工资!$Y$5:$Y$1004,"&lt;="&amp;_辅助!$J$2))</f>
        <v>0</v>
      </c>
      <c r="BD287" s="2">
        <f>IF(BC287=0,0,SUMIFS(考勤工资!$AC$5:$AC$1004,考勤工资!$C$5:$C$1004,往来单位!$B$290,考勤工资!$D$5:$D$1004,$C$3,考勤工资!$Y$5:$Y$1004,"&gt;="&amp;_辅助!$J$4,考勤工资!$Y$5:$Y$1004,"&lt;="&amp;_辅助!$J$2)+SUMIFS(考勤工资!$AD$5:$AD$1004,考勤工资!$C$5:$C$1004,往来单位!$B$290,考勤工资!$F$5:$F$1004,$C$3,考勤工资!$Y$5:$Y$1004,"&gt;="&amp;_辅助!$J$4,考勤工资!$Y$5:$Y$1004,"&lt;="&amp;_辅助!$J$2)+SUMIFS(考勤工资!$AE$5:$AE$1004,考勤工资!$C$5:$C$1004,往来单位!$B$290,考勤工资!$H$5:$H$1004,$C$3,考勤工资!$Y$5:$Y$1004,"&gt;="&amp;_辅助!$J$4,考勤工资!$Y$5:$Y$1004,"&lt;="&amp;_辅助!$J$2)+SUMIFS(考勤工资!$AF$5:$AF$1004,考勤工资!$C$5:$C$1004,往来单位!$B$290,考勤工资!$J$5:$J$1004,$C$3,考勤工资!$Y$5:$Y$1004,"&gt;="&amp;_辅助!$J$4,考勤工资!$Y$5:$Y$1004,"&lt;="&amp;_辅助!$J$2))</f>
        <v>0</v>
      </c>
      <c r="BE287" s="2">
        <f>BE250+SUM(CB251:CB287)</f>
        <v>0</v>
      </c>
      <c r="BF287" s="2">
        <f>IF(AND($AF$3&gt;0,发票登记!$T$290=$C$3,ISNUMBER(发票登记!$X$290),发票登记!$AB$290&lt;&gt;0,发票登记!$Y$290&gt;=_辅助!$J$4,发票登记!$Y$290&lt;=_辅助!$J$2),INT(发票登记!$X$290)*10000+286,"")</f>
      </c>
      <c r="BG287" s="2">
        <f>IF(AND($AF$3&gt;0,资金流水!$H$291=$C$3,ISNUMBER(资金流水!$B$291),ISNUMBER(资金流水!$S$291),资金流水!$S$291&gt;=_辅助!$J$4,资金流水!$S$291&lt;=_辅助!$J$2),INT(资金流水!$B$291)*10000+286,"")</f>
      </c>
      <c r="BJ287" s="2">
        <f>IF(252&gt;$BG$1,0,MOD(SMALL($BG$2:$BG$2001,252),10000))</f>
        <v>0</v>
      </c>
      <c r="CA287" s="2">
        <f t="shared" si="0"/>
        <v>0</v>
      </c>
      <c r="CB287" s="2">
        <f t="shared" si="1"/>
        <v>0</v>
      </c>
    </row>
    <row r="288">
      <c r="W288" s="95">
        <f t="shared" si="19"/>
      </c>
      <c r="X288" s="94">
        <f t="shared" si="25"/>
      </c>
      <c r="Y288" s="96">
        <f t="shared" si="26"/>
      </c>
      <c r="Z288" s="21">
        <f t="shared" si="20"/>
      </c>
      <c r="AA288" s="21">
        <f t="shared" si="21"/>
      </c>
      <c r="AB288" s="94">
        <f t="shared" si="27"/>
      </c>
      <c r="AC288" s="96">
        <f t="shared" si="28"/>
      </c>
      <c r="AD288" s="94">
        <f t="shared" si="29"/>
      </c>
      <c r="BA288" s="2">
        <f>IF(OR(往来单位!$B$291="",$AF$3=0),0,SUMIFS(期初余额!$R$5:$R$204,期初余额!$P$5:$P$204,往来单位!$B$291,期初余额!$Q$5:$Q$204,$C$3)+SUMIFS(应付登记!$G$5:$G$1004,应付登记!$D$5:$D$1004,往来单位!$B$291,应付登记!$E$5:$E$1004,$C$3,应付登记!$J$5:$J$1004,"&gt;="&amp;_辅助!$J$4,应付登记!$J$5:$J$1004,"&lt;="&amp;_辅助!$J$2))</f>
        <v>0</v>
      </c>
      <c r="BB288" s="2">
        <f>BB250+SUM(CA251:CA288)</f>
        <v>2</v>
      </c>
      <c r="BC288" s="2">
        <f>IF(OR(往来单位!$B$291="",$AF$3=0,NOT(OR(往来单位!$C$291="管理人员",往来单位!$C$291="工人"))),0,SUMIFS(考勤工资!$E$5:$E$1004,考勤工资!$C$5:$C$1004,往来单位!$B$291,考勤工资!$D$5:$D$1004,$C$3,考勤工资!$Y$5:$Y$1004,"&gt;="&amp;_辅助!$J$4,考勤工资!$Y$5:$Y$1004,"&lt;="&amp;_辅助!$J$2)+SUMIFS(考勤工资!$G$5:$G$1004,考勤工资!$C$5:$C$1004,往来单位!$B$291,考勤工资!$F$5:$F$1004,$C$3,考勤工资!$Y$5:$Y$1004,"&gt;="&amp;_辅助!$J$4,考勤工资!$Y$5:$Y$1004,"&lt;="&amp;_辅助!$J$2)+SUMIFS(考勤工资!$I$5:$I$1004,考勤工资!$C$5:$C$1004,往来单位!$B$291,考勤工资!$H$5:$H$1004,$C$3,考勤工资!$Y$5:$Y$1004,"&gt;="&amp;_辅助!$J$4,考勤工资!$Y$5:$Y$1004,"&lt;="&amp;_辅助!$J$2)+SUMIFS(考勤工资!$K$5:$K$1004,考勤工资!$C$5:$C$1004,往来单位!$B$291,考勤工资!$J$5:$J$1004,$C$3,考勤工资!$Y$5:$Y$1004,"&gt;="&amp;_辅助!$J$4,考勤工资!$Y$5:$Y$1004,"&lt;="&amp;_辅助!$J$2))</f>
        <v>0</v>
      </c>
      <c r="BD288" s="2">
        <f>IF(BC288=0,0,SUMIFS(考勤工资!$AC$5:$AC$1004,考勤工资!$C$5:$C$1004,往来单位!$B$291,考勤工资!$D$5:$D$1004,$C$3,考勤工资!$Y$5:$Y$1004,"&gt;="&amp;_辅助!$J$4,考勤工资!$Y$5:$Y$1004,"&lt;="&amp;_辅助!$J$2)+SUMIFS(考勤工资!$AD$5:$AD$1004,考勤工资!$C$5:$C$1004,往来单位!$B$291,考勤工资!$F$5:$F$1004,$C$3,考勤工资!$Y$5:$Y$1004,"&gt;="&amp;_辅助!$J$4,考勤工资!$Y$5:$Y$1004,"&lt;="&amp;_辅助!$J$2)+SUMIFS(考勤工资!$AE$5:$AE$1004,考勤工资!$C$5:$C$1004,往来单位!$B$291,考勤工资!$H$5:$H$1004,$C$3,考勤工资!$Y$5:$Y$1004,"&gt;="&amp;_辅助!$J$4,考勤工资!$Y$5:$Y$1004,"&lt;="&amp;_辅助!$J$2)+SUMIFS(考勤工资!$AF$5:$AF$1004,考勤工资!$C$5:$C$1004,往来单位!$B$291,考勤工资!$J$5:$J$1004,$C$3,考勤工资!$Y$5:$Y$1004,"&gt;="&amp;_辅助!$J$4,考勤工资!$Y$5:$Y$1004,"&lt;="&amp;_辅助!$J$2))</f>
        <v>0</v>
      </c>
      <c r="BE288" s="2">
        <f>BE250+SUM(CB251:CB288)</f>
        <v>0</v>
      </c>
      <c r="BF288" s="2">
        <f>IF(AND($AF$3&gt;0,发票登记!$T$291=$C$3,ISNUMBER(发票登记!$X$291),发票登记!$AB$291&lt;&gt;0,发票登记!$Y$291&gt;=_辅助!$J$4,发票登记!$Y$291&lt;=_辅助!$J$2),INT(发票登记!$X$291)*10000+287,"")</f>
      </c>
      <c r="BG288" s="2">
        <f>IF(AND($AF$3&gt;0,资金流水!$H$292=$C$3,ISNUMBER(资金流水!$B$292),ISNUMBER(资金流水!$S$292),资金流水!$S$292&gt;=_辅助!$J$4,资金流水!$S$292&lt;=_辅助!$J$2),INT(资金流水!$B$292)*10000+287,"")</f>
      </c>
      <c r="BJ288" s="2">
        <f>IF(253&gt;$BG$1,0,MOD(SMALL($BG$2:$BG$2001,253),10000))</f>
        <v>0</v>
      </c>
      <c r="CA288" s="2">
        <f t="shared" si="0"/>
        <v>0</v>
      </c>
      <c r="CB288" s="2">
        <f t="shared" si="1"/>
        <v>0</v>
      </c>
    </row>
    <row r="289">
      <c r="W289" s="95">
        <f t="shared" si="19"/>
      </c>
      <c r="X289" s="94">
        <f t="shared" si="25"/>
      </c>
      <c r="Y289" s="96">
        <f t="shared" si="26"/>
      </c>
      <c r="Z289" s="21">
        <f t="shared" si="20"/>
      </c>
      <c r="AA289" s="21">
        <f t="shared" si="21"/>
      </c>
      <c r="AB289" s="94">
        <f t="shared" si="27"/>
      </c>
      <c r="AC289" s="96">
        <f t="shared" si="28"/>
      </c>
      <c r="AD289" s="94">
        <f t="shared" si="29"/>
      </c>
      <c r="BA289" s="2">
        <f>IF(OR(往来单位!$B$292="",$AF$3=0),0,SUMIFS(期初余额!$R$5:$R$204,期初余额!$P$5:$P$204,往来单位!$B$292,期初余额!$Q$5:$Q$204,$C$3)+SUMIFS(应付登记!$G$5:$G$1004,应付登记!$D$5:$D$1004,往来单位!$B$292,应付登记!$E$5:$E$1004,$C$3,应付登记!$J$5:$J$1004,"&gt;="&amp;_辅助!$J$4,应付登记!$J$5:$J$1004,"&lt;="&amp;_辅助!$J$2))</f>
        <v>0</v>
      </c>
      <c r="BB289" s="2">
        <f>BB250+SUM(CA251:CA289)</f>
        <v>2</v>
      </c>
      <c r="BC289" s="2">
        <f>IF(OR(往来单位!$B$292="",$AF$3=0,NOT(OR(往来单位!$C$292="管理人员",往来单位!$C$292="工人"))),0,SUMIFS(考勤工资!$E$5:$E$1004,考勤工资!$C$5:$C$1004,往来单位!$B$292,考勤工资!$D$5:$D$1004,$C$3,考勤工资!$Y$5:$Y$1004,"&gt;="&amp;_辅助!$J$4,考勤工资!$Y$5:$Y$1004,"&lt;="&amp;_辅助!$J$2)+SUMIFS(考勤工资!$G$5:$G$1004,考勤工资!$C$5:$C$1004,往来单位!$B$292,考勤工资!$F$5:$F$1004,$C$3,考勤工资!$Y$5:$Y$1004,"&gt;="&amp;_辅助!$J$4,考勤工资!$Y$5:$Y$1004,"&lt;="&amp;_辅助!$J$2)+SUMIFS(考勤工资!$I$5:$I$1004,考勤工资!$C$5:$C$1004,往来单位!$B$292,考勤工资!$H$5:$H$1004,$C$3,考勤工资!$Y$5:$Y$1004,"&gt;="&amp;_辅助!$J$4,考勤工资!$Y$5:$Y$1004,"&lt;="&amp;_辅助!$J$2)+SUMIFS(考勤工资!$K$5:$K$1004,考勤工资!$C$5:$C$1004,往来单位!$B$292,考勤工资!$J$5:$J$1004,$C$3,考勤工资!$Y$5:$Y$1004,"&gt;="&amp;_辅助!$J$4,考勤工资!$Y$5:$Y$1004,"&lt;="&amp;_辅助!$J$2))</f>
        <v>0</v>
      </c>
      <c r="BD289" s="2">
        <f>IF(BC289=0,0,SUMIFS(考勤工资!$AC$5:$AC$1004,考勤工资!$C$5:$C$1004,往来单位!$B$292,考勤工资!$D$5:$D$1004,$C$3,考勤工资!$Y$5:$Y$1004,"&gt;="&amp;_辅助!$J$4,考勤工资!$Y$5:$Y$1004,"&lt;="&amp;_辅助!$J$2)+SUMIFS(考勤工资!$AD$5:$AD$1004,考勤工资!$C$5:$C$1004,往来单位!$B$292,考勤工资!$F$5:$F$1004,$C$3,考勤工资!$Y$5:$Y$1004,"&gt;="&amp;_辅助!$J$4,考勤工资!$Y$5:$Y$1004,"&lt;="&amp;_辅助!$J$2)+SUMIFS(考勤工资!$AE$5:$AE$1004,考勤工资!$C$5:$C$1004,往来单位!$B$292,考勤工资!$H$5:$H$1004,$C$3,考勤工资!$Y$5:$Y$1004,"&gt;="&amp;_辅助!$J$4,考勤工资!$Y$5:$Y$1004,"&lt;="&amp;_辅助!$J$2)+SUMIFS(考勤工资!$AF$5:$AF$1004,考勤工资!$C$5:$C$1004,往来单位!$B$292,考勤工资!$J$5:$J$1004,$C$3,考勤工资!$Y$5:$Y$1004,"&gt;="&amp;_辅助!$J$4,考勤工资!$Y$5:$Y$1004,"&lt;="&amp;_辅助!$J$2))</f>
        <v>0</v>
      </c>
      <c r="BE289" s="2">
        <f>BE250+SUM(CB251:CB289)</f>
        <v>0</v>
      </c>
      <c r="BF289" s="2">
        <f>IF(AND($AF$3&gt;0,发票登记!$T$292=$C$3,ISNUMBER(发票登记!$X$292),发票登记!$AB$292&lt;&gt;0,发票登记!$Y$292&gt;=_辅助!$J$4,发票登记!$Y$292&lt;=_辅助!$J$2),INT(发票登记!$X$292)*10000+288,"")</f>
      </c>
      <c r="BG289" s="2">
        <f>IF(AND($AF$3&gt;0,资金流水!$H$293=$C$3,ISNUMBER(资金流水!$B$293),ISNUMBER(资金流水!$S$293),资金流水!$S$293&gt;=_辅助!$J$4,资金流水!$S$293&lt;=_辅助!$J$2),INT(资金流水!$B$293)*10000+288,"")</f>
      </c>
      <c r="BJ289" s="2">
        <f>IF(254&gt;$BG$1,0,MOD(SMALL($BG$2:$BG$2001,254),10000))</f>
        <v>0</v>
      </c>
      <c r="CA289" s="2">
        <f t="shared" si="0"/>
        <v>0</v>
      </c>
      <c r="CB289" s="2">
        <f t="shared" si="1"/>
        <v>0</v>
      </c>
    </row>
    <row r="290">
      <c r="W290" s="95">
        <f t="shared" si="19"/>
      </c>
      <c r="X290" s="94">
        <f t="shared" si="25"/>
      </c>
      <c r="Y290" s="96">
        <f t="shared" si="26"/>
      </c>
      <c r="Z290" s="21">
        <f t="shared" si="20"/>
      </c>
      <c r="AA290" s="21">
        <f t="shared" si="21"/>
      </c>
      <c r="AB290" s="94">
        <f t="shared" si="27"/>
      </c>
      <c r="AC290" s="96">
        <f t="shared" si="28"/>
      </c>
      <c r="AD290" s="94">
        <f t="shared" si="29"/>
      </c>
      <c r="BA290" s="2">
        <f>IF(OR(往来单位!$B$293="",$AF$3=0),0,SUMIFS(期初余额!$R$5:$R$204,期初余额!$P$5:$P$204,往来单位!$B$293,期初余额!$Q$5:$Q$204,$C$3)+SUMIFS(应付登记!$G$5:$G$1004,应付登记!$D$5:$D$1004,往来单位!$B$293,应付登记!$E$5:$E$1004,$C$3,应付登记!$J$5:$J$1004,"&gt;="&amp;_辅助!$J$4,应付登记!$J$5:$J$1004,"&lt;="&amp;_辅助!$J$2))</f>
        <v>0</v>
      </c>
      <c r="BB290" s="2">
        <f>BB250+SUM(CA251:CA290)</f>
        <v>2</v>
      </c>
      <c r="BC290" s="2">
        <f>IF(OR(往来单位!$B$293="",$AF$3=0,NOT(OR(往来单位!$C$293="管理人员",往来单位!$C$293="工人"))),0,SUMIFS(考勤工资!$E$5:$E$1004,考勤工资!$C$5:$C$1004,往来单位!$B$293,考勤工资!$D$5:$D$1004,$C$3,考勤工资!$Y$5:$Y$1004,"&gt;="&amp;_辅助!$J$4,考勤工资!$Y$5:$Y$1004,"&lt;="&amp;_辅助!$J$2)+SUMIFS(考勤工资!$G$5:$G$1004,考勤工资!$C$5:$C$1004,往来单位!$B$293,考勤工资!$F$5:$F$1004,$C$3,考勤工资!$Y$5:$Y$1004,"&gt;="&amp;_辅助!$J$4,考勤工资!$Y$5:$Y$1004,"&lt;="&amp;_辅助!$J$2)+SUMIFS(考勤工资!$I$5:$I$1004,考勤工资!$C$5:$C$1004,往来单位!$B$293,考勤工资!$H$5:$H$1004,$C$3,考勤工资!$Y$5:$Y$1004,"&gt;="&amp;_辅助!$J$4,考勤工资!$Y$5:$Y$1004,"&lt;="&amp;_辅助!$J$2)+SUMIFS(考勤工资!$K$5:$K$1004,考勤工资!$C$5:$C$1004,往来单位!$B$293,考勤工资!$J$5:$J$1004,$C$3,考勤工资!$Y$5:$Y$1004,"&gt;="&amp;_辅助!$J$4,考勤工资!$Y$5:$Y$1004,"&lt;="&amp;_辅助!$J$2))</f>
        <v>0</v>
      </c>
      <c r="BD290" s="2">
        <f>IF(BC290=0,0,SUMIFS(考勤工资!$AC$5:$AC$1004,考勤工资!$C$5:$C$1004,往来单位!$B$293,考勤工资!$D$5:$D$1004,$C$3,考勤工资!$Y$5:$Y$1004,"&gt;="&amp;_辅助!$J$4,考勤工资!$Y$5:$Y$1004,"&lt;="&amp;_辅助!$J$2)+SUMIFS(考勤工资!$AD$5:$AD$1004,考勤工资!$C$5:$C$1004,往来单位!$B$293,考勤工资!$F$5:$F$1004,$C$3,考勤工资!$Y$5:$Y$1004,"&gt;="&amp;_辅助!$J$4,考勤工资!$Y$5:$Y$1004,"&lt;="&amp;_辅助!$J$2)+SUMIFS(考勤工资!$AE$5:$AE$1004,考勤工资!$C$5:$C$1004,往来单位!$B$293,考勤工资!$H$5:$H$1004,$C$3,考勤工资!$Y$5:$Y$1004,"&gt;="&amp;_辅助!$J$4,考勤工资!$Y$5:$Y$1004,"&lt;="&amp;_辅助!$J$2)+SUMIFS(考勤工资!$AF$5:$AF$1004,考勤工资!$C$5:$C$1004,往来单位!$B$293,考勤工资!$J$5:$J$1004,$C$3,考勤工资!$Y$5:$Y$1004,"&gt;="&amp;_辅助!$J$4,考勤工资!$Y$5:$Y$1004,"&lt;="&amp;_辅助!$J$2))</f>
        <v>0</v>
      </c>
      <c r="BE290" s="2">
        <f>BE250+SUM(CB251:CB290)</f>
        <v>0</v>
      </c>
      <c r="BF290" s="2">
        <f>IF(AND($AF$3&gt;0,发票登记!$T$293=$C$3,ISNUMBER(发票登记!$X$293),发票登记!$AB$293&lt;&gt;0,发票登记!$Y$293&gt;=_辅助!$J$4,发票登记!$Y$293&lt;=_辅助!$J$2),INT(发票登记!$X$293)*10000+289,"")</f>
      </c>
      <c r="BG290" s="2">
        <f>IF(AND($AF$3&gt;0,资金流水!$H$294=$C$3,ISNUMBER(资金流水!$B$294),ISNUMBER(资金流水!$S$294),资金流水!$S$294&gt;=_辅助!$J$4,资金流水!$S$294&lt;=_辅助!$J$2),INT(资金流水!$B$294)*10000+289,"")</f>
      </c>
      <c r="BJ290" s="2">
        <f>IF(255&gt;$BG$1,0,MOD(SMALL($BG$2:$BG$2001,255),10000))</f>
        <v>0</v>
      </c>
      <c r="CA290" s="2">
        <f t="shared" si="0"/>
        <v>0</v>
      </c>
      <c r="CB290" s="2">
        <f t="shared" si="1"/>
        <v>0</v>
      </c>
    </row>
    <row r="291">
      <c r="W291" s="95">
        <f t="shared" si="19"/>
      </c>
      <c r="X291" s="94">
        <f t="shared" si="25"/>
      </c>
      <c r="Y291" s="96">
        <f t="shared" si="26"/>
      </c>
      <c r="Z291" s="21">
        <f t="shared" si="20"/>
      </c>
      <c r="AA291" s="21">
        <f t="shared" si="21"/>
      </c>
      <c r="AB291" s="94">
        <f t="shared" si="27"/>
      </c>
      <c r="AC291" s="96">
        <f t="shared" si="28"/>
      </c>
      <c r="AD291" s="94">
        <f t="shared" si="29"/>
      </c>
      <c r="BA291" s="2">
        <f>IF(OR(往来单位!$B$294="",$AF$3=0),0,SUMIFS(期初余额!$R$5:$R$204,期初余额!$P$5:$P$204,往来单位!$B$294,期初余额!$Q$5:$Q$204,$C$3)+SUMIFS(应付登记!$G$5:$G$1004,应付登记!$D$5:$D$1004,往来单位!$B$294,应付登记!$E$5:$E$1004,$C$3,应付登记!$J$5:$J$1004,"&gt;="&amp;_辅助!$J$4,应付登记!$J$5:$J$1004,"&lt;="&amp;_辅助!$J$2))</f>
        <v>0</v>
      </c>
      <c r="BB291" s="2">
        <f>BB250+SUM(CA251:CA291)</f>
        <v>2</v>
      </c>
      <c r="BC291" s="2">
        <f>IF(OR(往来单位!$B$294="",$AF$3=0,NOT(OR(往来单位!$C$294="管理人员",往来单位!$C$294="工人"))),0,SUMIFS(考勤工资!$E$5:$E$1004,考勤工资!$C$5:$C$1004,往来单位!$B$294,考勤工资!$D$5:$D$1004,$C$3,考勤工资!$Y$5:$Y$1004,"&gt;="&amp;_辅助!$J$4,考勤工资!$Y$5:$Y$1004,"&lt;="&amp;_辅助!$J$2)+SUMIFS(考勤工资!$G$5:$G$1004,考勤工资!$C$5:$C$1004,往来单位!$B$294,考勤工资!$F$5:$F$1004,$C$3,考勤工资!$Y$5:$Y$1004,"&gt;="&amp;_辅助!$J$4,考勤工资!$Y$5:$Y$1004,"&lt;="&amp;_辅助!$J$2)+SUMIFS(考勤工资!$I$5:$I$1004,考勤工资!$C$5:$C$1004,往来单位!$B$294,考勤工资!$H$5:$H$1004,$C$3,考勤工资!$Y$5:$Y$1004,"&gt;="&amp;_辅助!$J$4,考勤工资!$Y$5:$Y$1004,"&lt;="&amp;_辅助!$J$2)+SUMIFS(考勤工资!$K$5:$K$1004,考勤工资!$C$5:$C$1004,往来单位!$B$294,考勤工资!$J$5:$J$1004,$C$3,考勤工资!$Y$5:$Y$1004,"&gt;="&amp;_辅助!$J$4,考勤工资!$Y$5:$Y$1004,"&lt;="&amp;_辅助!$J$2))</f>
        <v>0</v>
      </c>
      <c r="BD291" s="2">
        <f>IF(BC291=0,0,SUMIFS(考勤工资!$AC$5:$AC$1004,考勤工资!$C$5:$C$1004,往来单位!$B$294,考勤工资!$D$5:$D$1004,$C$3,考勤工资!$Y$5:$Y$1004,"&gt;="&amp;_辅助!$J$4,考勤工资!$Y$5:$Y$1004,"&lt;="&amp;_辅助!$J$2)+SUMIFS(考勤工资!$AD$5:$AD$1004,考勤工资!$C$5:$C$1004,往来单位!$B$294,考勤工资!$F$5:$F$1004,$C$3,考勤工资!$Y$5:$Y$1004,"&gt;="&amp;_辅助!$J$4,考勤工资!$Y$5:$Y$1004,"&lt;="&amp;_辅助!$J$2)+SUMIFS(考勤工资!$AE$5:$AE$1004,考勤工资!$C$5:$C$1004,往来单位!$B$294,考勤工资!$H$5:$H$1004,$C$3,考勤工资!$Y$5:$Y$1004,"&gt;="&amp;_辅助!$J$4,考勤工资!$Y$5:$Y$1004,"&lt;="&amp;_辅助!$J$2)+SUMIFS(考勤工资!$AF$5:$AF$1004,考勤工资!$C$5:$C$1004,往来单位!$B$294,考勤工资!$J$5:$J$1004,$C$3,考勤工资!$Y$5:$Y$1004,"&gt;="&amp;_辅助!$J$4,考勤工资!$Y$5:$Y$1004,"&lt;="&amp;_辅助!$J$2))</f>
        <v>0</v>
      </c>
      <c r="BE291" s="2">
        <f>BE250+SUM(CB251:CB291)</f>
        <v>0</v>
      </c>
      <c r="BF291" s="2">
        <f>IF(AND($AF$3&gt;0,发票登记!$T$294=$C$3,ISNUMBER(发票登记!$X$294),发票登记!$AB$294&lt;&gt;0,发票登记!$Y$294&gt;=_辅助!$J$4,发票登记!$Y$294&lt;=_辅助!$J$2),INT(发票登记!$X$294)*10000+290,"")</f>
      </c>
      <c r="BG291" s="2">
        <f>IF(AND($AF$3&gt;0,资金流水!$H$295=$C$3,ISNUMBER(资金流水!$B$295),ISNUMBER(资金流水!$S$295),资金流水!$S$295&gt;=_辅助!$J$4,资金流水!$S$295&lt;=_辅助!$J$2),INT(资金流水!$B$295)*10000+290,"")</f>
      </c>
      <c r="BJ291" s="2">
        <f>IF(256&gt;$BG$1,0,MOD(SMALL($BG$2:$BG$2001,256),10000))</f>
        <v>0</v>
      </c>
      <c r="CA291" s="2">
        <f t="shared" si="0"/>
        <v>0</v>
      </c>
      <c r="CB291" s="2">
        <f t="shared" si="1"/>
        <v>0</v>
      </c>
    </row>
    <row r="292">
      <c r="W292" s="95">
        <f t="shared" si="19"/>
      </c>
      <c r="X292" s="94">
        <f t="shared" si="25"/>
      </c>
      <c r="Y292" s="96">
        <f t="shared" si="26"/>
      </c>
      <c r="Z292" s="21">
        <f t="shared" si="20"/>
      </c>
      <c r="AA292" s="21">
        <f t="shared" si="21"/>
      </c>
      <c r="AB292" s="94">
        <f t="shared" si="27"/>
      </c>
      <c r="AC292" s="96">
        <f t="shared" si="28"/>
      </c>
      <c r="AD292" s="94">
        <f t="shared" si="29"/>
      </c>
      <c r="BA292" s="2">
        <f>IF(OR(往来单位!$B$295="",$AF$3=0),0,SUMIFS(期初余额!$R$5:$R$204,期初余额!$P$5:$P$204,往来单位!$B$295,期初余额!$Q$5:$Q$204,$C$3)+SUMIFS(应付登记!$G$5:$G$1004,应付登记!$D$5:$D$1004,往来单位!$B$295,应付登记!$E$5:$E$1004,$C$3,应付登记!$J$5:$J$1004,"&gt;="&amp;_辅助!$J$4,应付登记!$J$5:$J$1004,"&lt;="&amp;_辅助!$J$2))</f>
        <v>0</v>
      </c>
      <c r="BB292" s="2">
        <f>BB250+SUM(CA251:CA292)</f>
        <v>2</v>
      </c>
      <c r="BC292" s="2">
        <f>IF(OR(往来单位!$B$295="",$AF$3=0,NOT(OR(往来单位!$C$295="管理人员",往来单位!$C$295="工人"))),0,SUMIFS(考勤工资!$E$5:$E$1004,考勤工资!$C$5:$C$1004,往来单位!$B$295,考勤工资!$D$5:$D$1004,$C$3,考勤工资!$Y$5:$Y$1004,"&gt;="&amp;_辅助!$J$4,考勤工资!$Y$5:$Y$1004,"&lt;="&amp;_辅助!$J$2)+SUMIFS(考勤工资!$G$5:$G$1004,考勤工资!$C$5:$C$1004,往来单位!$B$295,考勤工资!$F$5:$F$1004,$C$3,考勤工资!$Y$5:$Y$1004,"&gt;="&amp;_辅助!$J$4,考勤工资!$Y$5:$Y$1004,"&lt;="&amp;_辅助!$J$2)+SUMIFS(考勤工资!$I$5:$I$1004,考勤工资!$C$5:$C$1004,往来单位!$B$295,考勤工资!$H$5:$H$1004,$C$3,考勤工资!$Y$5:$Y$1004,"&gt;="&amp;_辅助!$J$4,考勤工资!$Y$5:$Y$1004,"&lt;="&amp;_辅助!$J$2)+SUMIFS(考勤工资!$K$5:$K$1004,考勤工资!$C$5:$C$1004,往来单位!$B$295,考勤工资!$J$5:$J$1004,$C$3,考勤工资!$Y$5:$Y$1004,"&gt;="&amp;_辅助!$J$4,考勤工资!$Y$5:$Y$1004,"&lt;="&amp;_辅助!$J$2))</f>
        <v>0</v>
      </c>
      <c r="BD292" s="2">
        <f>IF(BC292=0,0,SUMIFS(考勤工资!$AC$5:$AC$1004,考勤工资!$C$5:$C$1004,往来单位!$B$295,考勤工资!$D$5:$D$1004,$C$3,考勤工资!$Y$5:$Y$1004,"&gt;="&amp;_辅助!$J$4,考勤工资!$Y$5:$Y$1004,"&lt;="&amp;_辅助!$J$2)+SUMIFS(考勤工资!$AD$5:$AD$1004,考勤工资!$C$5:$C$1004,往来单位!$B$295,考勤工资!$F$5:$F$1004,$C$3,考勤工资!$Y$5:$Y$1004,"&gt;="&amp;_辅助!$J$4,考勤工资!$Y$5:$Y$1004,"&lt;="&amp;_辅助!$J$2)+SUMIFS(考勤工资!$AE$5:$AE$1004,考勤工资!$C$5:$C$1004,往来单位!$B$295,考勤工资!$H$5:$H$1004,$C$3,考勤工资!$Y$5:$Y$1004,"&gt;="&amp;_辅助!$J$4,考勤工资!$Y$5:$Y$1004,"&lt;="&amp;_辅助!$J$2)+SUMIFS(考勤工资!$AF$5:$AF$1004,考勤工资!$C$5:$C$1004,往来单位!$B$295,考勤工资!$J$5:$J$1004,$C$3,考勤工资!$Y$5:$Y$1004,"&gt;="&amp;_辅助!$J$4,考勤工资!$Y$5:$Y$1004,"&lt;="&amp;_辅助!$J$2))</f>
        <v>0</v>
      </c>
      <c r="BE292" s="2">
        <f>BE250+SUM(CB251:CB292)</f>
        <v>0</v>
      </c>
      <c r="BF292" s="2">
        <f>IF(AND($AF$3&gt;0,发票登记!$T$295=$C$3,ISNUMBER(发票登记!$X$295),发票登记!$AB$295&lt;&gt;0,发票登记!$Y$295&gt;=_辅助!$J$4,发票登记!$Y$295&lt;=_辅助!$J$2),INT(发票登记!$X$295)*10000+291,"")</f>
      </c>
      <c r="BG292" s="2">
        <f>IF(AND($AF$3&gt;0,资金流水!$H$296=$C$3,ISNUMBER(资金流水!$B$296),ISNUMBER(资金流水!$S$296),资金流水!$S$296&gt;=_辅助!$J$4,资金流水!$S$296&lt;=_辅助!$J$2),INT(资金流水!$B$296)*10000+291,"")</f>
      </c>
      <c r="BJ292" s="2">
        <f>IF(257&gt;$BG$1,0,MOD(SMALL($BG$2:$BG$2001,257),10000))</f>
        <v>0</v>
      </c>
      <c r="CA292" s="2">
        <f t="shared" si="0"/>
        <v>0</v>
      </c>
      <c r="CB292" s="2">
        <f t="shared" si="1"/>
        <v>0</v>
      </c>
    </row>
    <row r="293">
      <c r="W293" s="95">
        <f t="shared" si="19"/>
      </c>
      <c r="X293" s="94">
        <f t="shared" si="25"/>
      </c>
      <c r="Y293" s="96">
        <f t="shared" si="26"/>
      </c>
      <c r="Z293" s="21">
        <f t="shared" si="20"/>
      </c>
      <c r="AA293" s="21">
        <f t="shared" si="21"/>
      </c>
      <c r="AB293" s="94">
        <f t="shared" si="27"/>
      </c>
      <c r="AC293" s="96">
        <f t="shared" si="28"/>
      </c>
      <c r="AD293" s="94">
        <f t="shared" si="29"/>
      </c>
      <c r="BA293" s="2">
        <f>IF(OR(往来单位!$B$296="",$AF$3=0),0,SUMIFS(期初余额!$R$5:$R$204,期初余额!$P$5:$P$204,往来单位!$B$296,期初余额!$Q$5:$Q$204,$C$3)+SUMIFS(应付登记!$G$5:$G$1004,应付登记!$D$5:$D$1004,往来单位!$B$296,应付登记!$E$5:$E$1004,$C$3,应付登记!$J$5:$J$1004,"&gt;="&amp;_辅助!$J$4,应付登记!$J$5:$J$1004,"&lt;="&amp;_辅助!$J$2))</f>
        <v>0</v>
      </c>
      <c r="BB293" s="2">
        <f>BB250+SUM(CA251:CA293)</f>
        <v>2</v>
      </c>
      <c r="BC293" s="2">
        <f>IF(OR(往来单位!$B$296="",$AF$3=0,NOT(OR(往来单位!$C$296="管理人员",往来单位!$C$296="工人"))),0,SUMIFS(考勤工资!$E$5:$E$1004,考勤工资!$C$5:$C$1004,往来单位!$B$296,考勤工资!$D$5:$D$1004,$C$3,考勤工资!$Y$5:$Y$1004,"&gt;="&amp;_辅助!$J$4,考勤工资!$Y$5:$Y$1004,"&lt;="&amp;_辅助!$J$2)+SUMIFS(考勤工资!$G$5:$G$1004,考勤工资!$C$5:$C$1004,往来单位!$B$296,考勤工资!$F$5:$F$1004,$C$3,考勤工资!$Y$5:$Y$1004,"&gt;="&amp;_辅助!$J$4,考勤工资!$Y$5:$Y$1004,"&lt;="&amp;_辅助!$J$2)+SUMIFS(考勤工资!$I$5:$I$1004,考勤工资!$C$5:$C$1004,往来单位!$B$296,考勤工资!$H$5:$H$1004,$C$3,考勤工资!$Y$5:$Y$1004,"&gt;="&amp;_辅助!$J$4,考勤工资!$Y$5:$Y$1004,"&lt;="&amp;_辅助!$J$2)+SUMIFS(考勤工资!$K$5:$K$1004,考勤工资!$C$5:$C$1004,往来单位!$B$296,考勤工资!$J$5:$J$1004,$C$3,考勤工资!$Y$5:$Y$1004,"&gt;="&amp;_辅助!$J$4,考勤工资!$Y$5:$Y$1004,"&lt;="&amp;_辅助!$J$2))</f>
        <v>0</v>
      </c>
      <c r="BD293" s="2">
        <f>IF(BC293=0,0,SUMIFS(考勤工资!$AC$5:$AC$1004,考勤工资!$C$5:$C$1004,往来单位!$B$296,考勤工资!$D$5:$D$1004,$C$3,考勤工资!$Y$5:$Y$1004,"&gt;="&amp;_辅助!$J$4,考勤工资!$Y$5:$Y$1004,"&lt;="&amp;_辅助!$J$2)+SUMIFS(考勤工资!$AD$5:$AD$1004,考勤工资!$C$5:$C$1004,往来单位!$B$296,考勤工资!$F$5:$F$1004,$C$3,考勤工资!$Y$5:$Y$1004,"&gt;="&amp;_辅助!$J$4,考勤工资!$Y$5:$Y$1004,"&lt;="&amp;_辅助!$J$2)+SUMIFS(考勤工资!$AE$5:$AE$1004,考勤工资!$C$5:$C$1004,往来单位!$B$296,考勤工资!$H$5:$H$1004,$C$3,考勤工资!$Y$5:$Y$1004,"&gt;="&amp;_辅助!$J$4,考勤工资!$Y$5:$Y$1004,"&lt;="&amp;_辅助!$J$2)+SUMIFS(考勤工资!$AF$5:$AF$1004,考勤工资!$C$5:$C$1004,往来单位!$B$296,考勤工资!$J$5:$J$1004,$C$3,考勤工资!$Y$5:$Y$1004,"&gt;="&amp;_辅助!$J$4,考勤工资!$Y$5:$Y$1004,"&lt;="&amp;_辅助!$J$2))</f>
        <v>0</v>
      </c>
      <c r="BE293" s="2">
        <f>BE250+SUM(CB251:CB293)</f>
        <v>0</v>
      </c>
      <c r="BF293" s="2">
        <f>IF(AND($AF$3&gt;0,发票登记!$T$296=$C$3,ISNUMBER(发票登记!$X$296),发票登记!$AB$296&lt;&gt;0,发票登记!$Y$296&gt;=_辅助!$J$4,发票登记!$Y$296&lt;=_辅助!$J$2),INT(发票登记!$X$296)*10000+292,"")</f>
      </c>
      <c r="BG293" s="2">
        <f>IF(AND($AF$3&gt;0,资金流水!$H$297=$C$3,ISNUMBER(资金流水!$B$297),ISNUMBER(资金流水!$S$297),资金流水!$S$297&gt;=_辅助!$J$4,资金流水!$S$297&lt;=_辅助!$J$2),INT(资金流水!$B$297)*10000+292,"")</f>
      </c>
      <c r="BJ293" s="2">
        <f>IF(258&gt;$BG$1,0,MOD(SMALL($BG$2:$BG$2001,258),10000))</f>
        <v>0</v>
      </c>
      <c r="CA293" s="2">
        <f t="shared" si="0"/>
        <v>0</v>
      </c>
      <c r="CB293" s="2">
        <f t="shared" si="1"/>
        <v>0</v>
      </c>
    </row>
    <row r="294">
      <c r="W294" s="95">
        <f t="shared" si="19"/>
      </c>
      <c r="X294" s="94">
        <f t="shared" si="25"/>
      </c>
      <c r="Y294" s="96">
        <f t="shared" si="26"/>
      </c>
      <c r="Z294" s="21">
        <f t="shared" si="20"/>
      </c>
      <c r="AA294" s="21">
        <f t="shared" si="21"/>
      </c>
      <c r="AB294" s="94">
        <f t="shared" si="27"/>
      </c>
      <c r="AC294" s="96">
        <f t="shared" si="28"/>
      </c>
      <c r="AD294" s="94">
        <f t="shared" si="29"/>
      </c>
      <c r="BA294" s="2">
        <f>IF(OR(往来单位!$B$297="",$AF$3=0),0,SUMIFS(期初余额!$R$5:$R$204,期初余额!$P$5:$P$204,往来单位!$B$297,期初余额!$Q$5:$Q$204,$C$3)+SUMIFS(应付登记!$G$5:$G$1004,应付登记!$D$5:$D$1004,往来单位!$B$297,应付登记!$E$5:$E$1004,$C$3,应付登记!$J$5:$J$1004,"&gt;="&amp;_辅助!$J$4,应付登记!$J$5:$J$1004,"&lt;="&amp;_辅助!$J$2))</f>
        <v>0</v>
      </c>
      <c r="BB294" s="2">
        <f>BB250+SUM(CA251:CA294)</f>
        <v>2</v>
      </c>
      <c r="BC294" s="2">
        <f>IF(OR(往来单位!$B$297="",$AF$3=0,NOT(OR(往来单位!$C$297="管理人员",往来单位!$C$297="工人"))),0,SUMIFS(考勤工资!$E$5:$E$1004,考勤工资!$C$5:$C$1004,往来单位!$B$297,考勤工资!$D$5:$D$1004,$C$3,考勤工资!$Y$5:$Y$1004,"&gt;="&amp;_辅助!$J$4,考勤工资!$Y$5:$Y$1004,"&lt;="&amp;_辅助!$J$2)+SUMIFS(考勤工资!$G$5:$G$1004,考勤工资!$C$5:$C$1004,往来单位!$B$297,考勤工资!$F$5:$F$1004,$C$3,考勤工资!$Y$5:$Y$1004,"&gt;="&amp;_辅助!$J$4,考勤工资!$Y$5:$Y$1004,"&lt;="&amp;_辅助!$J$2)+SUMIFS(考勤工资!$I$5:$I$1004,考勤工资!$C$5:$C$1004,往来单位!$B$297,考勤工资!$H$5:$H$1004,$C$3,考勤工资!$Y$5:$Y$1004,"&gt;="&amp;_辅助!$J$4,考勤工资!$Y$5:$Y$1004,"&lt;="&amp;_辅助!$J$2)+SUMIFS(考勤工资!$K$5:$K$1004,考勤工资!$C$5:$C$1004,往来单位!$B$297,考勤工资!$J$5:$J$1004,$C$3,考勤工资!$Y$5:$Y$1004,"&gt;="&amp;_辅助!$J$4,考勤工资!$Y$5:$Y$1004,"&lt;="&amp;_辅助!$J$2))</f>
        <v>0</v>
      </c>
      <c r="BD294" s="2">
        <f>IF(BC294=0,0,SUMIFS(考勤工资!$AC$5:$AC$1004,考勤工资!$C$5:$C$1004,往来单位!$B$297,考勤工资!$D$5:$D$1004,$C$3,考勤工资!$Y$5:$Y$1004,"&gt;="&amp;_辅助!$J$4,考勤工资!$Y$5:$Y$1004,"&lt;="&amp;_辅助!$J$2)+SUMIFS(考勤工资!$AD$5:$AD$1004,考勤工资!$C$5:$C$1004,往来单位!$B$297,考勤工资!$F$5:$F$1004,$C$3,考勤工资!$Y$5:$Y$1004,"&gt;="&amp;_辅助!$J$4,考勤工资!$Y$5:$Y$1004,"&lt;="&amp;_辅助!$J$2)+SUMIFS(考勤工资!$AE$5:$AE$1004,考勤工资!$C$5:$C$1004,往来单位!$B$297,考勤工资!$H$5:$H$1004,$C$3,考勤工资!$Y$5:$Y$1004,"&gt;="&amp;_辅助!$J$4,考勤工资!$Y$5:$Y$1004,"&lt;="&amp;_辅助!$J$2)+SUMIFS(考勤工资!$AF$5:$AF$1004,考勤工资!$C$5:$C$1004,往来单位!$B$297,考勤工资!$J$5:$J$1004,$C$3,考勤工资!$Y$5:$Y$1004,"&gt;="&amp;_辅助!$J$4,考勤工资!$Y$5:$Y$1004,"&lt;="&amp;_辅助!$J$2))</f>
        <v>0</v>
      </c>
      <c r="BE294" s="2">
        <f>BE250+SUM(CB251:CB294)</f>
        <v>0</v>
      </c>
      <c r="BF294" s="2">
        <f>IF(AND($AF$3&gt;0,发票登记!$T$297=$C$3,ISNUMBER(发票登记!$X$297),发票登记!$AB$297&lt;&gt;0,发票登记!$Y$297&gt;=_辅助!$J$4,发票登记!$Y$297&lt;=_辅助!$J$2),INT(发票登记!$X$297)*10000+293,"")</f>
      </c>
      <c r="BG294" s="2">
        <f>IF(AND($AF$3&gt;0,资金流水!$H$298=$C$3,ISNUMBER(资金流水!$B$298),ISNUMBER(资金流水!$S$298),资金流水!$S$298&gt;=_辅助!$J$4,资金流水!$S$298&lt;=_辅助!$J$2),INT(资金流水!$B$298)*10000+293,"")</f>
      </c>
      <c r="BJ294" s="2">
        <f>IF(259&gt;$BG$1,0,MOD(SMALL($BG$2:$BG$2001,259),10000))</f>
        <v>0</v>
      </c>
      <c r="CA294" s="2">
        <f t="shared" si="0"/>
        <v>0</v>
      </c>
      <c r="CB294" s="2">
        <f t="shared" si="1"/>
        <v>0</v>
      </c>
    </row>
    <row r="295">
      <c r="W295" s="95">
        <f t="shared" si="19"/>
      </c>
      <c r="X295" s="94">
        <f t="shared" si="25"/>
      </c>
      <c r="Y295" s="96">
        <f t="shared" si="26"/>
      </c>
      <c r="Z295" s="21">
        <f t="shared" si="20"/>
      </c>
      <c r="AA295" s="21">
        <f t="shared" si="21"/>
      </c>
      <c r="AB295" s="94">
        <f t="shared" si="27"/>
      </c>
      <c r="AC295" s="96">
        <f t="shared" si="28"/>
      </c>
      <c r="AD295" s="94">
        <f t="shared" si="29"/>
      </c>
      <c r="BA295" s="2">
        <f>IF(OR(往来单位!$B$298="",$AF$3=0),0,SUMIFS(期初余额!$R$5:$R$204,期初余额!$P$5:$P$204,往来单位!$B$298,期初余额!$Q$5:$Q$204,$C$3)+SUMIFS(应付登记!$G$5:$G$1004,应付登记!$D$5:$D$1004,往来单位!$B$298,应付登记!$E$5:$E$1004,$C$3,应付登记!$J$5:$J$1004,"&gt;="&amp;_辅助!$J$4,应付登记!$J$5:$J$1004,"&lt;="&amp;_辅助!$J$2))</f>
        <v>0</v>
      </c>
      <c r="BB295" s="2">
        <f>BB250+SUM(CA251:CA295)</f>
        <v>2</v>
      </c>
      <c r="BC295" s="2">
        <f>IF(OR(往来单位!$B$298="",$AF$3=0,NOT(OR(往来单位!$C$298="管理人员",往来单位!$C$298="工人"))),0,SUMIFS(考勤工资!$E$5:$E$1004,考勤工资!$C$5:$C$1004,往来单位!$B$298,考勤工资!$D$5:$D$1004,$C$3,考勤工资!$Y$5:$Y$1004,"&gt;="&amp;_辅助!$J$4,考勤工资!$Y$5:$Y$1004,"&lt;="&amp;_辅助!$J$2)+SUMIFS(考勤工资!$G$5:$G$1004,考勤工资!$C$5:$C$1004,往来单位!$B$298,考勤工资!$F$5:$F$1004,$C$3,考勤工资!$Y$5:$Y$1004,"&gt;="&amp;_辅助!$J$4,考勤工资!$Y$5:$Y$1004,"&lt;="&amp;_辅助!$J$2)+SUMIFS(考勤工资!$I$5:$I$1004,考勤工资!$C$5:$C$1004,往来单位!$B$298,考勤工资!$H$5:$H$1004,$C$3,考勤工资!$Y$5:$Y$1004,"&gt;="&amp;_辅助!$J$4,考勤工资!$Y$5:$Y$1004,"&lt;="&amp;_辅助!$J$2)+SUMIFS(考勤工资!$K$5:$K$1004,考勤工资!$C$5:$C$1004,往来单位!$B$298,考勤工资!$J$5:$J$1004,$C$3,考勤工资!$Y$5:$Y$1004,"&gt;="&amp;_辅助!$J$4,考勤工资!$Y$5:$Y$1004,"&lt;="&amp;_辅助!$J$2))</f>
        <v>0</v>
      </c>
      <c r="BD295" s="2">
        <f>IF(BC295=0,0,SUMIFS(考勤工资!$AC$5:$AC$1004,考勤工资!$C$5:$C$1004,往来单位!$B$298,考勤工资!$D$5:$D$1004,$C$3,考勤工资!$Y$5:$Y$1004,"&gt;="&amp;_辅助!$J$4,考勤工资!$Y$5:$Y$1004,"&lt;="&amp;_辅助!$J$2)+SUMIFS(考勤工资!$AD$5:$AD$1004,考勤工资!$C$5:$C$1004,往来单位!$B$298,考勤工资!$F$5:$F$1004,$C$3,考勤工资!$Y$5:$Y$1004,"&gt;="&amp;_辅助!$J$4,考勤工资!$Y$5:$Y$1004,"&lt;="&amp;_辅助!$J$2)+SUMIFS(考勤工资!$AE$5:$AE$1004,考勤工资!$C$5:$C$1004,往来单位!$B$298,考勤工资!$H$5:$H$1004,$C$3,考勤工资!$Y$5:$Y$1004,"&gt;="&amp;_辅助!$J$4,考勤工资!$Y$5:$Y$1004,"&lt;="&amp;_辅助!$J$2)+SUMIFS(考勤工资!$AF$5:$AF$1004,考勤工资!$C$5:$C$1004,往来单位!$B$298,考勤工资!$J$5:$J$1004,$C$3,考勤工资!$Y$5:$Y$1004,"&gt;="&amp;_辅助!$J$4,考勤工资!$Y$5:$Y$1004,"&lt;="&amp;_辅助!$J$2))</f>
        <v>0</v>
      </c>
      <c r="BE295" s="2">
        <f>BE250+SUM(CB251:CB295)</f>
        <v>0</v>
      </c>
      <c r="BF295" s="2">
        <f>IF(AND($AF$3&gt;0,发票登记!$T$298=$C$3,ISNUMBER(发票登记!$X$298),发票登记!$AB$298&lt;&gt;0,发票登记!$Y$298&gt;=_辅助!$J$4,发票登记!$Y$298&lt;=_辅助!$J$2),INT(发票登记!$X$298)*10000+294,"")</f>
      </c>
      <c r="BG295" s="2">
        <f>IF(AND($AF$3&gt;0,资金流水!$H$299=$C$3,ISNUMBER(资金流水!$B$299),ISNUMBER(资金流水!$S$299),资金流水!$S$299&gt;=_辅助!$J$4,资金流水!$S$299&lt;=_辅助!$J$2),INT(资金流水!$B$299)*10000+294,"")</f>
      </c>
      <c r="BJ295" s="2">
        <f>IF(260&gt;$BG$1,0,MOD(SMALL($BG$2:$BG$2001,260),10000))</f>
        <v>0</v>
      </c>
      <c r="CA295" s="2">
        <f t="shared" si="0"/>
        <v>0</v>
      </c>
      <c r="CB295" s="2">
        <f t="shared" si="1"/>
        <v>0</v>
      </c>
    </row>
    <row r="296">
      <c r="W296" s="95">
        <f t="shared" si="19"/>
      </c>
      <c r="X296" s="94">
        <f t="shared" si="25"/>
      </c>
      <c r="Y296" s="96">
        <f t="shared" si="26"/>
      </c>
      <c r="Z296" s="21">
        <f t="shared" si="20"/>
      </c>
      <c r="AA296" s="21">
        <f t="shared" si="21"/>
      </c>
      <c r="AB296" s="94">
        <f t="shared" si="27"/>
      </c>
      <c r="AC296" s="96">
        <f t="shared" si="28"/>
      </c>
      <c r="AD296" s="94">
        <f t="shared" si="29"/>
      </c>
      <c r="BA296" s="2">
        <f>IF(OR(往来单位!$B$299="",$AF$3=0),0,SUMIFS(期初余额!$R$5:$R$204,期初余额!$P$5:$P$204,往来单位!$B$299,期初余额!$Q$5:$Q$204,$C$3)+SUMIFS(应付登记!$G$5:$G$1004,应付登记!$D$5:$D$1004,往来单位!$B$299,应付登记!$E$5:$E$1004,$C$3,应付登记!$J$5:$J$1004,"&gt;="&amp;_辅助!$J$4,应付登记!$J$5:$J$1004,"&lt;="&amp;_辅助!$J$2))</f>
        <v>0</v>
      </c>
      <c r="BB296" s="2">
        <f>BB250+SUM(CA251:CA296)</f>
        <v>2</v>
      </c>
      <c r="BC296" s="2">
        <f>IF(OR(往来单位!$B$299="",$AF$3=0,NOT(OR(往来单位!$C$299="管理人员",往来单位!$C$299="工人"))),0,SUMIFS(考勤工资!$E$5:$E$1004,考勤工资!$C$5:$C$1004,往来单位!$B$299,考勤工资!$D$5:$D$1004,$C$3,考勤工资!$Y$5:$Y$1004,"&gt;="&amp;_辅助!$J$4,考勤工资!$Y$5:$Y$1004,"&lt;="&amp;_辅助!$J$2)+SUMIFS(考勤工资!$G$5:$G$1004,考勤工资!$C$5:$C$1004,往来单位!$B$299,考勤工资!$F$5:$F$1004,$C$3,考勤工资!$Y$5:$Y$1004,"&gt;="&amp;_辅助!$J$4,考勤工资!$Y$5:$Y$1004,"&lt;="&amp;_辅助!$J$2)+SUMIFS(考勤工资!$I$5:$I$1004,考勤工资!$C$5:$C$1004,往来单位!$B$299,考勤工资!$H$5:$H$1004,$C$3,考勤工资!$Y$5:$Y$1004,"&gt;="&amp;_辅助!$J$4,考勤工资!$Y$5:$Y$1004,"&lt;="&amp;_辅助!$J$2)+SUMIFS(考勤工资!$K$5:$K$1004,考勤工资!$C$5:$C$1004,往来单位!$B$299,考勤工资!$J$5:$J$1004,$C$3,考勤工资!$Y$5:$Y$1004,"&gt;="&amp;_辅助!$J$4,考勤工资!$Y$5:$Y$1004,"&lt;="&amp;_辅助!$J$2))</f>
        <v>0</v>
      </c>
      <c r="BD296" s="2">
        <f>IF(BC296=0,0,SUMIFS(考勤工资!$AC$5:$AC$1004,考勤工资!$C$5:$C$1004,往来单位!$B$299,考勤工资!$D$5:$D$1004,$C$3,考勤工资!$Y$5:$Y$1004,"&gt;="&amp;_辅助!$J$4,考勤工资!$Y$5:$Y$1004,"&lt;="&amp;_辅助!$J$2)+SUMIFS(考勤工资!$AD$5:$AD$1004,考勤工资!$C$5:$C$1004,往来单位!$B$299,考勤工资!$F$5:$F$1004,$C$3,考勤工资!$Y$5:$Y$1004,"&gt;="&amp;_辅助!$J$4,考勤工资!$Y$5:$Y$1004,"&lt;="&amp;_辅助!$J$2)+SUMIFS(考勤工资!$AE$5:$AE$1004,考勤工资!$C$5:$C$1004,往来单位!$B$299,考勤工资!$H$5:$H$1004,$C$3,考勤工资!$Y$5:$Y$1004,"&gt;="&amp;_辅助!$J$4,考勤工资!$Y$5:$Y$1004,"&lt;="&amp;_辅助!$J$2)+SUMIFS(考勤工资!$AF$5:$AF$1004,考勤工资!$C$5:$C$1004,往来单位!$B$299,考勤工资!$J$5:$J$1004,$C$3,考勤工资!$Y$5:$Y$1004,"&gt;="&amp;_辅助!$J$4,考勤工资!$Y$5:$Y$1004,"&lt;="&amp;_辅助!$J$2))</f>
        <v>0</v>
      </c>
      <c r="BE296" s="2">
        <f>BE250+SUM(CB251:CB296)</f>
        <v>0</v>
      </c>
      <c r="BF296" s="2">
        <f>IF(AND($AF$3&gt;0,发票登记!$T$299=$C$3,ISNUMBER(发票登记!$X$299),发票登记!$AB$299&lt;&gt;0,发票登记!$Y$299&gt;=_辅助!$J$4,发票登记!$Y$299&lt;=_辅助!$J$2),INT(发票登记!$X$299)*10000+295,"")</f>
      </c>
      <c r="BG296" s="2">
        <f>IF(AND($AF$3&gt;0,资金流水!$H$300=$C$3,ISNUMBER(资金流水!$B$300),ISNUMBER(资金流水!$S$300),资金流水!$S$300&gt;=_辅助!$J$4,资金流水!$S$300&lt;=_辅助!$J$2),INT(资金流水!$B$300)*10000+295,"")</f>
      </c>
      <c r="BJ296" s="2">
        <f>IF(261&gt;$BG$1,0,MOD(SMALL($BG$2:$BG$2001,261),10000))</f>
        <v>0</v>
      </c>
      <c r="CA296" s="2">
        <f t="shared" si="0"/>
        <v>0</v>
      </c>
      <c r="CB296" s="2">
        <f t="shared" si="1"/>
        <v>0</v>
      </c>
    </row>
    <row r="297">
      <c r="W297" s="95">
        <f t="shared" si="19"/>
      </c>
      <c r="X297" s="94">
        <f t="shared" si="25"/>
      </c>
      <c r="Y297" s="96">
        <f t="shared" si="26"/>
      </c>
      <c r="Z297" s="21">
        <f t="shared" si="20"/>
      </c>
      <c r="AA297" s="21">
        <f t="shared" si="21"/>
      </c>
      <c r="AB297" s="94">
        <f t="shared" si="27"/>
      </c>
      <c r="AC297" s="96">
        <f t="shared" si="28"/>
      </c>
      <c r="AD297" s="94">
        <f t="shared" si="29"/>
      </c>
      <c r="BA297" s="2">
        <f>IF(OR(往来单位!$B$300="",$AF$3=0),0,SUMIFS(期初余额!$R$5:$R$204,期初余额!$P$5:$P$204,往来单位!$B$300,期初余额!$Q$5:$Q$204,$C$3)+SUMIFS(应付登记!$G$5:$G$1004,应付登记!$D$5:$D$1004,往来单位!$B$300,应付登记!$E$5:$E$1004,$C$3,应付登记!$J$5:$J$1004,"&gt;="&amp;_辅助!$J$4,应付登记!$J$5:$J$1004,"&lt;="&amp;_辅助!$J$2))</f>
        <v>0</v>
      </c>
      <c r="BB297" s="2">
        <f>BB250+SUM(CA251:CA297)</f>
        <v>2</v>
      </c>
      <c r="BC297" s="2">
        <f>IF(OR(往来单位!$B$300="",$AF$3=0,NOT(OR(往来单位!$C$300="管理人员",往来单位!$C$300="工人"))),0,SUMIFS(考勤工资!$E$5:$E$1004,考勤工资!$C$5:$C$1004,往来单位!$B$300,考勤工资!$D$5:$D$1004,$C$3,考勤工资!$Y$5:$Y$1004,"&gt;="&amp;_辅助!$J$4,考勤工资!$Y$5:$Y$1004,"&lt;="&amp;_辅助!$J$2)+SUMIFS(考勤工资!$G$5:$G$1004,考勤工资!$C$5:$C$1004,往来单位!$B$300,考勤工资!$F$5:$F$1004,$C$3,考勤工资!$Y$5:$Y$1004,"&gt;="&amp;_辅助!$J$4,考勤工资!$Y$5:$Y$1004,"&lt;="&amp;_辅助!$J$2)+SUMIFS(考勤工资!$I$5:$I$1004,考勤工资!$C$5:$C$1004,往来单位!$B$300,考勤工资!$H$5:$H$1004,$C$3,考勤工资!$Y$5:$Y$1004,"&gt;="&amp;_辅助!$J$4,考勤工资!$Y$5:$Y$1004,"&lt;="&amp;_辅助!$J$2)+SUMIFS(考勤工资!$K$5:$K$1004,考勤工资!$C$5:$C$1004,往来单位!$B$300,考勤工资!$J$5:$J$1004,$C$3,考勤工资!$Y$5:$Y$1004,"&gt;="&amp;_辅助!$J$4,考勤工资!$Y$5:$Y$1004,"&lt;="&amp;_辅助!$J$2))</f>
        <v>0</v>
      </c>
      <c r="BD297" s="2">
        <f>IF(BC297=0,0,SUMIFS(考勤工资!$AC$5:$AC$1004,考勤工资!$C$5:$C$1004,往来单位!$B$300,考勤工资!$D$5:$D$1004,$C$3,考勤工资!$Y$5:$Y$1004,"&gt;="&amp;_辅助!$J$4,考勤工资!$Y$5:$Y$1004,"&lt;="&amp;_辅助!$J$2)+SUMIFS(考勤工资!$AD$5:$AD$1004,考勤工资!$C$5:$C$1004,往来单位!$B$300,考勤工资!$F$5:$F$1004,$C$3,考勤工资!$Y$5:$Y$1004,"&gt;="&amp;_辅助!$J$4,考勤工资!$Y$5:$Y$1004,"&lt;="&amp;_辅助!$J$2)+SUMIFS(考勤工资!$AE$5:$AE$1004,考勤工资!$C$5:$C$1004,往来单位!$B$300,考勤工资!$H$5:$H$1004,$C$3,考勤工资!$Y$5:$Y$1004,"&gt;="&amp;_辅助!$J$4,考勤工资!$Y$5:$Y$1004,"&lt;="&amp;_辅助!$J$2)+SUMIFS(考勤工资!$AF$5:$AF$1004,考勤工资!$C$5:$C$1004,往来单位!$B$300,考勤工资!$J$5:$J$1004,$C$3,考勤工资!$Y$5:$Y$1004,"&gt;="&amp;_辅助!$J$4,考勤工资!$Y$5:$Y$1004,"&lt;="&amp;_辅助!$J$2))</f>
        <v>0</v>
      </c>
      <c r="BE297" s="2">
        <f>BE250+SUM(CB251:CB297)</f>
        <v>0</v>
      </c>
      <c r="BF297" s="2">
        <f>IF(AND($AF$3&gt;0,发票登记!$T$300=$C$3,ISNUMBER(发票登记!$X$300),发票登记!$AB$300&lt;&gt;0,发票登记!$Y$300&gt;=_辅助!$J$4,发票登记!$Y$300&lt;=_辅助!$J$2),INT(发票登记!$X$300)*10000+296,"")</f>
      </c>
      <c r="BG297" s="2">
        <f>IF(AND($AF$3&gt;0,资金流水!$H$301=$C$3,ISNUMBER(资金流水!$B$301),ISNUMBER(资金流水!$S$301),资金流水!$S$301&gt;=_辅助!$J$4,资金流水!$S$301&lt;=_辅助!$J$2),INT(资金流水!$B$301)*10000+296,"")</f>
      </c>
      <c r="BJ297" s="2">
        <f>IF(262&gt;$BG$1,0,MOD(SMALL($BG$2:$BG$2001,262),10000))</f>
        <v>0</v>
      </c>
      <c r="CA297" s="2">
        <f t="shared" si="0"/>
        <v>0</v>
      </c>
      <c r="CB297" s="2">
        <f t="shared" si="1"/>
        <v>0</v>
      </c>
    </row>
    <row r="298">
      <c r="W298" s="95">
        <f t="shared" si="19"/>
      </c>
      <c r="X298" s="94">
        <f t="shared" si="25"/>
      </c>
      <c r="Y298" s="96">
        <f t="shared" si="26"/>
      </c>
      <c r="Z298" s="21">
        <f t="shared" si="20"/>
      </c>
      <c r="AA298" s="21">
        <f t="shared" si="21"/>
      </c>
      <c r="AB298" s="94">
        <f t="shared" si="27"/>
      </c>
      <c r="AC298" s="96">
        <f t="shared" si="28"/>
      </c>
      <c r="AD298" s="94">
        <f t="shared" si="29"/>
      </c>
      <c r="BA298" s="2">
        <f>IF(OR(往来单位!$B$301="",$AF$3=0),0,SUMIFS(期初余额!$R$5:$R$204,期初余额!$P$5:$P$204,往来单位!$B$301,期初余额!$Q$5:$Q$204,$C$3)+SUMIFS(应付登记!$G$5:$G$1004,应付登记!$D$5:$D$1004,往来单位!$B$301,应付登记!$E$5:$E$1004,$C$3,应付登记!$J$5:$J$1004,"&gt;="&amp;_辅助!$J$4,应付登记!$J$5:$J$1004,"&lt;="&amp;_辅助!$J$2))</f>
        <v>0</v>
      </c>
      <c r="BB298" s="2">
        <f>BB250+SUM(CA251:CA298)</f>
        <v>2</v>
      </c>
      <c r="BC298" s="2">
        <f>IF(OR(往来单位!$B$301="",$AF$3=0,NOT(OR(往来单位!$C$301="管理人员",往来单位!$C$301="工人"))),0,SUMIFS(考勤工资!$E$5:$E$1004,考勤工资!$C$5:$C$1004,往来单位!$B$301,考勤工资!$D$5:$D$1004,$C$3,考勤工资!$Y$5:$Y$1004,"&gt;="&amp;_辅助!$J$4,考勤工资!$Y$5:$Y$1004,"&lt;="&amp;_辅助!$J$2)+SUMIFS(考勤工资!$G$5:$G$1004,考勤工资!$C$5:$C$1004,往来单位!$B$301,考勤工资!$F$5:$F$1004,$C$3,考勤工资!$Y$5:$Y$1004,"&gt;="&amp;_辅助!$J$4,考勤工资!$Y$5:$Y$1004,"&lt;="&amp;_辅助!$J$2)+SUMIFS(考勤工资!$I$5:$I$1004,考勤工资!$C$5:$C$1004,往来单位!$B$301,考勤工资!$H$5:$H$1004,$C$3,考勤工资!$Y$5:$Y$1004,"&gt;="&amp;_辅助!$J$4,考勤工资!$Y$5:$Y$1004,"&lt;="&amp;_辅助!$J$2)+SUMIFS(考勤工资!$K$5:$K$1004,考勤工资!$C$5:$C$1004,往来单位!$B$301,考勤工资!$J$5:$J$1004,$C$3,考勤工资!$Y$5:$Y$1004,"&gt;="&amp;_辅助!$J$4,考勤工资!$Y$5:$Y$1004,"&lt;="&amp;_辅助!$J$2))</f>
        <v>0</v>
      </c>
      <c r="BD298" s="2">
        <f>IF(BC298=0,0,SUMIFS(考勤工资!$AC$5:$AC$1004,考勤工资!$C$5:$C$1004,往来单位!$B$301,考勤工资!$D$5:$D$1004,$C$3,考勤工资!$Y$5:$Y$1004,"&gt;="&amp;_辅助!$J$4,考勤工资!$Y$5:$Y$1004,"&lt;="&amp;_辅助!$J$2)+SUMIFS(考勤工资!$AD$5:$AD$1004,考勤工资!$C$5:$C$1004,往来单位!$B$301,考勤工资!$F$5:$F$1004,$C$3,考勤工资!$Y$5:$Y$1004,"&gt;="&amp;_辅助!$J$4,考勤工资!$Y$5:$Y$1004,"&lt;="&amp;_辅助!$J$2)+SUMIFS(考勤工资!$AE$5:$AE$1004,考勤工资!$C$5:$C$1004,往来单位!$B$301,考勤工资!$H$5:$H$1004,$C$3,考勤工资!$Y$5:$Y$1004,"&gt;="&amp;_辅助!$J$4,考勤工资!$Y$5:$Y$1004,"&lt;="&amp;_辅助!$J$2)+SUMIFS(考勤工资!$AF$5:$AF$1004,考勤工资!$C$5:$C$1004,往来单位!$B$301,考勤工资!$J$5:$J$1004,$C$3,考勤工资!$Y$5:$Y$1004,"&gt;="&amp;_辅助!$J$4,考勤工资!$Y$5:$Y$1004,"&lt;="&amp;_辅助!$J$2))</f>
        <v>0</v>
      </c>
      <c r="BE298" s="2">
        <f>BE250+SUM(CB251:CB298)</f>
        <v>0</v>
      </c>
      <c r="BF298" s="2">
        <f>IF(AND($AF$3&gt;0,发票登记!$T$301=$C$3,ISNUMBER(发票登记!$X$301),发票登记!$AB$301&lt;&gt;0,发票登记!$Y$301&gt;=_辅助!$J$4,发票登记!$Y$301&lt;=_辅助!$J$2),INT(发票登记!$X$301)*10000+297,"")</f>
      </c>
      <c r="BG298" s="2">
        <f>IF(AND($AF$3&gt;0,资金流水!$H$302=$C$3,ISNUMBER(资金流水!$B$302),ISNUMBER(资金流水!$S$302),资金流水!$S$302&gt;=_辅助!$J$4,资金流水!$S$302&lt;=_辅助!$J$2),INT(资金流水!$B$302)*10000+297,"")</f>
      </c>
      <c r="BJ298" s="2">
        <f>IF(263&gt;$BG$1,0,MOD(SMALL($BG$2:$BG$2001,263),10000))</f>
        <v>0</v>
      </c>
      <c r="CA298" s="2">
        <f t="shared" si="0"/>
        <v>0</v>
      </c>
      <c r="CB298" s="2">
        <f t="shared" si="1"/>
        <v>0</v>
      </c>
    </row>
    <row r="299">
      <c r="W299" s="95">
        <f t="shared" si="19"/>
      </c>
      <c r="X299" s="94">
        <f t="shared" si="25"/>
      </c>
      <c r="Y299" s="96">
        <f t="shared" si="26"/>
      </c>
      <c r="Z299" s="21">
        <f t="shared" si="20"/>
      </c>
      <c r="AA299" s="21">
        <f t="shared" si="21"/>
      </c>
      <c r="AB299" s="94">
        <f t="shared" si="27"/>
      </c>
      <c r="AC299" s="96">
        <f t="shared" si="28"/>
      </c>
      <c r="AD299" s="94">
        <f t="shared" si="29"/>
      </c>
      <c r="BA299" s="2">
        <f>IF(OR(往来单位!$B$302="",$AF$3=0),0,SUMIFS(期初余额!$R$5:$R$204,期初余额!$P$5:$P$204,往来单位!$B$302,期初余额!$Q$5:$Q$204,$C$3)+SUMIFS(应付登记!$G$5:$G$1004,应付登记!$D$5:$D$1004,往来单位!$B$302,应付登记!$E$5:$E$1004,$C$3,应付登记!$J$5:$J$1004,"&gt;="&amp;_辅助!$J$4,应付登记!$J$5:$J$1004,"&lt;="&amp;_辅助!$J$2))</f>
        <v>0</v>
      </c>
      <c r="BB299" s="2">
        <f>BB250+SUM(CA251:CA299)</f>
        <v>2</v>
      </c>
      <c r="BC299" s="2">
        <f>IF(OR(往来单位!$B$302="",$AF$3=0,NOT(OR(往来单位!$C$302="管理人员",往来单位!$C$302="工人"))),0,SUMIFS(考勤工资!$E$5:$E$1004,考勤工资!$C$5:$C$1004,往来单位!$B$302,考勤工资!$D$5:$D$1004,$C$3,考勤工资!$Y$5:$Y$1004,"&gt;="&amp;_辅助!$J$4,考勤工资!$Y$5:$Y$1004,"&lt;="&amp;_辅助!$J$2)+SUMIFS(考勤工资!$G$5:$G$1004,考勤工资!$C$5:$C$1004,往来单位!$B$302,考勤工资!$F$5:$F$1004,$C$3,考勤工资!$Y$5:$Y$1004,"&gt;="&amp;_辅助!$J$4,考勤工资!$Y$5:$Y$1004,"&lt;="&amp;_辅助!$J$2)+SUMIFS(考勤工资!$I$5:$I$1004,考勤工资!$C$5:$C$1004,往来单位!$B$302,考勤工资!$H$5:$H$1004,$C$3,考勤工资!$Y$5:$Y$1004,"&gt;="&amp;_辅助!$J$4,考勤工资!$Y$5:$Y$1004,"&lt;="&amp;_辅助!$J$2)+SUMIFS(考勤工资!$K$5:$K$1004,考勤工资!$C$5:$C$1004,往来单位!$B$302,考勤工资!$J$5:$J$1004,$C$3,考勤工资!$Y$5:$Y$1004,"&gt;="&amp;_辅助!$J$4,考勤工资!$Y$5:$Y$1004,"&lt;="&amp;_辅助!$J$2))</f>
        <v>0</v>
      </c>
      <c r="BD299" s="2">
        <f>IF(BC299=0,0,SUMIFS(考勤工资!$AC$5:$AC$1004,考勤工资!$C$5:$C$1004,往来单位!$B$302,考勤工资!$D$5:$D$1004,$C$3,考勤工资!$Y$5:$Y$1004,"&gt;="&amp;_辅助!$J$4,考勤工资!$Y$5:$Y$1004,"&lt;="&amp;_辅助!$J$2)+SUMIFS(考勤工资!$AD$5:$AD$1004,考勤工资!$C$5:$C$1004,往来单位!$B$302,考勤工资!$F$5:$F$1004,$C$3,考勤工资!$Y$5:$Y$1004,"&gt;="&amp;_辅助!$J$4,考勤工资!$Y$5:$Y$1004,"&lt;="&amp;_辅助!$J$2)+SUMIFS(考勤工资!$AE$5:$AE$1004,考勤工资!$C$5:$C$1004,往来单位!$B$302,考勤工资!$H$5:$H$1004,$C$3,考勤工资!$Y$5:$Y$1004,"&gt;="&amp;_辅助!$J$4,考勤工资!$Y$5:$Y$1004,"&lt;="&amp;_辅助!$J$2)+SUMIFS(考勤工资!$AF$5:$AF$1004,考勤工资!$C$5:$C$1004,往来单位!$B$302,考勤工资!$J$5:$J$1004,$C$3,考勤工资!$Y$5:$Y$1004,"&gt;="&amp;_辅助!$J$4,考勤工资!$Y$5:$Y$1004,"&lt;="&amp;_辅助!$J$2))</f>
        <v>0</v>
      </c>
      <c r="BE299" s="2">
        <f>BE250+SUM(CB251:CB299)</f>
        <v>0</v>
      </c>
      <c r="BF299" s="2">
        <f>IF(AND($AF$3&gt;0,发票登记!$T$302=$C$3,ISNUMBER(发票登记!$X$302),发票登记!$AB$302&lt;&gt;0,发票登记!$Y$302&gt;=_辅助!$J$4,发票登记!$Y$302&lt;=_辅助!$J$2),INT(发票登记!$X$302)*10000+298,"")</f>
      </c>
      <c r="BG299" s="2">
        <f>IF(AND($AF$3&gt;0,资金流水!$H$303=$C$3,ISNUMBER(资金流水!$B$303),ISNUMBER(资金流水!$S$303),资金流水!$S$303&gt;=_辅助!$J$4,资金流水!$S$303&lt;=_辅助!$J$2),INT(资金流水!$B$303)*10000+298,"")</f>
      </c>
      <c r="BJ299" s="2">
        <f>IF(264&gt;$BG$1,0,MOD(SMALL($BG$2:$BG$2001,264),10000))</f>
        <v>0</v>
      </c>
      <c r="CA299" s="2">
        <f t="shared" si="0"/>
        <v>0</v>
      </c>
      <c r="CB299" s="2">
        <f t="shared" si="1"/>
        <v>0</v>
      </c>
    </row>
    <row r="300">
      <c r="W300" s="95">
        <f t="shared" si="19"/>
      </c>
      <c r="X300" s="94">
        <f t="shared" si="25"/>
      </c>
      <c r="Y300" s="96">
        <f t="shared" si="26"/>
      </c>
      <c r="Z300" s="21">
        <f t="shared" si="20"/>
      </c>
      <c r="AA300" s="21">
        <f t="shared" si="21"/>
      </c>
      <c r="AB300" s="94">
        <f t="shared" si="27"/>
      </c>
      <c r="AC300" s="96">
        <f t="shared" si="28"/>
      </c>
      <c r="AD300" s="94">
        <f t="shared" si="29"/>
      </c>
      <c r="BA300" s="2">
        <f>IF(OR(往来单位!$B$303="",$AF$3=0),0,SUMIFS(期初余额!$R$5:$R$204,期初余额!$P$5:$P$204,往来单位!$B$303,期初余额!$Q$5:$Q$204,$C$3)+SUMIFS(应付登记!$G$5:$G$1004,应付登记!$D$5:$D$1004,往来单位!$B$303,应付登记!$E$5:$E$1004,$C$3,应付登记!$J$5:$J$1004,"&gt;="&amp;_辅助!$J$4,应付登记!$J$5:$J$1004,"&lt;="&amp;_辅助!$J$2))</f>
        <v>0</v>
      </c>
      <c r="BB300" s="2">
        <f>BB250+SUM(CA251:CA300)</f>
        <v>2</v>
      </c>
      <c r="BC300" s="2">
        <f>IF(OR(往来单位!$B$303="",$AF$3=0,NOT(OR(往来单位!$C$303="管理人员",往来单位!$C$303="工人"))),0,SUMIFS(考勤工资!$E$5:$E$1004,考勤工资!$C$5:$C$1004,往来单位!$B$303,考勤工资!$D$5:$D$1004,$C$3,考勤工资!$Y$5:$Y$1004,"&gt;="&amp;_辅助!$J$4,考勤工资!$Y$5:$Y$1004,"&lt;="&amp;_辅助!$J$2)+SUMIFS(考勤工资!$G$5:$G$1004,考勤工资!$C$5:$C$1004,往来单位!$B$303,考勤工资!$F$5:$F$1004,$C$3,考勤工资!$Y$5:$Y$1004,"&gt;="&amp;_辅助!$J$4,考勤工资!$Y$5:$Y$1004,"&lt;="&amp;_辅助!$J$2)+SUMIFS(考勤工资!$I$5:$I$1004,考勤工资!$C$5:$C$1004,往来单位!$B$303,考勤工资!$H$5:$H$1004,$C$3,考勤工资!$Y$5:$Y$1004,"&gt;="&amp;_辅助!$J$4,考勤工资!$Y$5:$Y$1004,"&lt;="&amp;_辅助!$J$2)+SUMIFS(考勤工资!$K$5:$K$1004,考勤工资!$C$5:$C$1004,往来单位!$B$303,考勤工资!$J$5:$J$1004,$C$3,考勤工资!$Y$5:$Y$1004,"&gt;="&amp;_辅助!$J$4,考勤工资!$Y$5:$Y$1004,"&lt;="&amp;_辅助!$J$2))</f>
        <v>0</v>
      </c>
      <c r="BD300" s="2">
        <f>IF(BC300=0,0,SUMIFS(考勤工资!$AC$5:$AC$1004,考勤工资!$C$5:$C$1004,往来单位!$B$303,考勤工资!$D$5:$D$1004,$C$3,考勤工资!$Y$5:$Y$1004,"&gt;="&amp;_辅助!$J$4,考勤工资!$Y$5:$Y$1004,"&lt;="&amp;_辅助!$J$2)+SUMIFS(考勤工资!$AD$5:$AD$1004,考勤工资!$C$5:$C$1004,往来单位!$B$303,考勤工资!$F$5:$F$1004,$C$3,考勤工资!$Y$5:$Y$1004,"&gt;="&amp;_辅助!$J$4,考勤工资!$Y$5:$Y$1004,"&lt;="&amp;_辅助!$J$2)+SUMIFS(考勤工资!$AE$5:$AE$1004,考勤工资!$C$5:$C$1004,往来单位!$B$303,考勤工资!$H$5:$H$1004,$C$3,考勤工资!$Y$5:$Y$1004,"&gt;="&amp;_辅助!$J$4,考勤工资!$Y$5:$Y$1004,"&lt;="&amp;_辅助!$J$2)+SUMIFS(考勤工资!$AF$5:$AF$1004,考勤工资!$C$5:$C$1004,往来单位!$B$303,考勤工资!$J$5:$J$1004,$C$3,考勤工资!$Y$5:$Y$1004,"&gt;="&amp;_辅助!$J$4,考勤工资!$Y$5:$Y$1004,"&lt;="&amp;_辅助!$J$2))</f>
        <v>0</v>
      </c>
      <c r="BE300" s="2">
        <f>BE250+SUM(CB251:CB300)</f>
        <v>0</v>
      </c>
      <c r="BF300" s="2">
        <f>IF(AND($AF$3&gt;0,发票登记!$T$303=$C$3,ISNUMBER(发票登记!$X$303),发票登记!$AB$303&lt;&gt;0,发票登记!$Y$303&gt;=_辅助!$J$4,发票登记!$Y$303&lt;=_辅助!$J$2),INT(发票登记!$X$303)*10000+299,"")</f>
      </c>
      <c r="BG300" s="2">
        <f>IF(AND($AF$3&gt;0,资金流水!$H$304=$C$3,ISNUMBER(资金流水!$B$304),ISNUMBER(资金流水!$S$304),资金流水!$S$304&gt;=_辅助!$J$4,资金流水!$S$304&lt;=_辅助!$J$2),INT(资金流水!$B$304)*10000+299,"")</f>
      </c>
      <c r="BJ300" s="2">
        <f>IF(265&gt;$BG$1,0,MOD(SMALL($BG$2:$BG$2001,265),10000))</f>
        <v>0</v>
      </c>
      <c r="CA300" s="2">
        <f t="shared" si="0"/>
        <v>0</v>
      </c>
      <c r="CB300" s="2">
        <f t="shared" si="1"/>
        <v>0</v>
      </c>
    </row>
    <row r="301">
      <c r="W301" s="95">
        <f t="shared" si="19"/>
      </c>
      <c r="X301" s="94">
        <f t="shared" si="25"/>
      </c>
      <c r="Y301" s="96">
        <f t="shared" si="26"/>
      </c>
      <c r="Z301" s="21">
        <f t="shared" si="20"/>
      </c>
      <c r="AA301" s="21">
        <f t="shared" si="21"/>
      </c>
      <c r="AB301" s="94">
        <f t="shared" si="27"/>
      </c>
      <c r="AC301" s="96">
        <f t="shared" si="28"/>
      </c>
      <c r="AD301" s="94">
        <f t="shared" si="29"/>
      </c>
      <c r="BF301" s="2">
        <f>IF(AND($AF$3&gt;0,发票登记!$T$304=$C$3,ISNUMBER(发票登记!$X$304),发票登记!$AB$304&lt;&gt;0,发票登记!$Y$304&gt;=_辅助!$J$4,发票登记!$Y$304&lt;=_辅助!$J$2),INT(发票登记!$X$304)*10000+300,"")</f>
      </c>
      <c r="BG301" s="2">
        <f>IF(AND($AF$3&gt;0,资金流水!$H$305=$C$3,ISNUMBER(资金流水!$B$305),ISNUMBER(资金流水!$S$305),资金流水!$S$305&gt;=_辅助!$J$4,资金流水!$S$305&lt;=_辅助!$J$2),INT(资金流水!$B$305)*10000+300,"")</f>
      </c>
      <c r="BJ301" s="2">
        <f>IF(266&gt;$BG$1,0,MOD(SMALL($BG$2:$BG$2001,266),10000))</f>
        <v>0</v>
      </c>
    </row>
    <row r="302">
      <c r="W302" s="95">
        <f t="shared" si="19"/>
      </c>
      <c r="X302" s="94">
        <f t="shared" si="25"/>
      </c>
      <c r="Y302" s="96">
        <f t="shared" si="26"/>
      </c>
      <c r="Z302" s="21">
        <f t="shared" si="20"/>
      </c>
      <c r="AA302" s="21">
        <f t="shared" si="21"/>
      </c>
      <c r="AB302" s="94">
        <f t="shared" si="27"/>
      </c>
      <c r="AC302" s="96">
        <f t="shared" si="28"/>
      </c>
      <c r="AD302" s="94">
        <f t="shared" si="29"/>
      </c>
      <c r="BF302" s="2">
        <f>IF(AND($AF$3&gt;0,发票登记!$T$305=$C$3,ISNUMBER(发票登记!$X$305),发票登记!$AB$305&lt;&gt;0,发票登记!$Y$305&gt;=_辅助!$J$4,发票登记!$Y$305&lt;=_辅助!$J$2),INT(发票登记!$X$305)*10000+301,"")</f>
      </c>
      <c r="BG302" s="2">
        <f>IF(AND($AF$3&gt;0,资金流水!$H$306=$C$3,ISNUMBER(资金流水!$B$306),ISNUMBER(资金流水!$S$306),资金流水!$S$306&gt;=_辅助!$J$4,资金流水!$S$306&lt;=_辅助!$J$2),INT(资金流水!$B$306)*10000+301,"")</f>
      </c>
      <c r="BJ302" s="2">
        <f>IF(267&gt;$BG$1,0,MOD(SMALL($BG$2:$BG$2001,267),10000))</f>
        <v>0</v>
      </c>
    </row>
    <row r="303">
      <c r="W303" s="95">
        <f t="shared" si="19"/>
      </c>
      <c r="X303" s="94">
        <f t="shared" si="25"/>
      </c>
      <c r="Y303" s="96">
        <f t="shared" si="26"/>
      </c>
      <c r="Z303" s="21">
        <f t="shared" si="20"/>
      </c>
      <c r="AA303" s="21">
        <f t="shared" si="21"/>
      </c>
      <c r="AB303" s="94">
        <f t="shared" si="27"/>
      </c>
      <c r="AC303" s="96">
        <f t="shared" si="28"/>
      </c>
      <c r="AD303" s="94">
        <f t="shared" si="29"/>
      </c>
      <c r="BF303" s="2">
        <f>IF(AND($AF$3&gt;0,发票登记!$T$306=$C$3,ISNUMBER(发票登记!$X$306),发票登记!$AB$306&lt;&gt;0,发票登记!$Y$306&gt;=_辅助!$J$4,发票登记!$Y$306&lt;=_辅助!$J$2),INT(发票登记!$X$306)*10000+302,"")</f>
      </c>
      <c r="BG303" s="2">
        <f>IF(AND($AF$3&gt;0,资金流水!$H$307=$C$3,ISNUMBER(资金流水!$B$307),ISNUMBER(资金流水!$S$307),资金流水!$S$307&gt;=_辅助!$J$4,资金流水!$S$307&lt;=_辅助!$J$2),INT(资金流水!$B$307)*10000+302,"")</f>
      </c>
      <c r="BJ303" s="2">
        <f>IF(268&gt;$BG$1,0,MOD(SMALL($BG$2:$BG$2001,268),10000))</f>
        <v>0</v>
      </c>
    </row>
    <row r="304">
      <c r="W304" s="95">
        <f t="shared" si="19"/>
      </c>
      <c r="X304" s="94">
        <f t="shared" si="25"/>
      </c>
      <c r="Y304" s="96">
        <f t="shared" si="26"/>
      </c>
      <c r="Z304" s="21">
        <f t="shared" si="20"/>
      </c>
      <c r="AA304" s="21">
        <f t="shared" si="21"/>
      </c>
      <c r="AB304" s="94">
        <f t="shared" si="27"/>
      </c>
      <c r="AC304" s="96">
        <f t="shared" si="28"/>
      </c>
      <c r="AD304" s="94">
        <f t="shared" si="29"/>
      </c>
      <c r="BF304" s="2">
        <f>IF(AND($AF$3&gt;0,发票登记!$T$307=$C$3,ISNUMBER(发票登记!$X$307),发票登记!$AB$307&lt;&gt;0,发票登记!$Y$307&gt;=_辅助!$J$4,发票登记!$Y$307&lt;=_辅助!$J$2),INT(发票登记!$X$307)*10000+303,"")</f>
      </c>
      <c r="BG304" s="2">
        <f>IF(AND($AF$3&gt;0,资金流水!$H$308=$C$3,ISNUMBER(资金流水!$B$308),ISNUMBER(资金流水!$S$308),资金流水!$S$308&gt;=_辅助!$J$4,资金流水!$S$308&lt;=_辅助!$J$2),INT(资金流水!$B$308)*10000+303,"")</f>
      </c>
      <c r="BJ304" s="2">
        <f>IF(269&gt;$BG$1,0,MOD(SMALL($BG$2:$BG$2001,269),10000))</f>
        <v>0</v>
      </c>
    </row>
    <row r="305">
      <c r="W305" s="95">
        <f t="shared" si="19"/>
      </c>
      <c r="X305" s="94">
        <f t="shared" si="25"/>
      </c>
      <c r="Y305" s="96">
        <f t="shared" si="26"/>
      </c>
      <c r="Z305" s="21">
        <f t="shared" si="20"/>
      </c>
      <c r="AA305" s="21">
        <f t="shared" si="21"/>
      </c>
      <c r="AB305" s="94">
        <f t="shared" si="27"/>
      </c>
      <c r="AC305" s="96">
        <f t="shared" si="28"/>
      </c>
      <c r="AD305" s="94">
        <f t="shared" si="29"/>
      </c>
      <c r="BF305" s="2">
        <f>IF(AND($AF$3&gt;0,发票登记!$T$308=$C$3,ISNUMBER(发票登记!$X$308),发票登记!$AB$308&lt;&gt;0,发票登记!$Y$308&gt;=_辅助!$J$4,发票登记!$Y$308&lt;=_辅助!$J$2),INT(发票登记!$X$308)*10000+304,"")</f>
      </c>
      <c r="BG305" s="2">
        <f>IF(AND($AF$3&gt;0,资金流水!$H$309=$C$3,ISNUMBER(资金流水!$B$309),ISNUMBER(资金流水!$S$309),资金流水!$S$309&gt;=_辅助!$J$4,资金流水!$S$309&lt;=_辅助!$J$2),INT(资金流水!$B$309)*10000+304,"")</f>
      </c>
      <c r="BJ305" s="2">
        <f>IF(270&gt;$BG$1,0,MOD(SMALL($BG$2:$BG$2001,270),10000))</f>
        <v>0</v>
      </c>
    </row>
    <row r="306">
      <c r="W306" s="95">
        <f t="shared" si="19"/>
      </c>
      <c r="X306" s="94">
        <f t="shared" si="25"/>
      </c>
      <c r="Y306" s="96">
        <f t="shared" si="26"/>
      </c>
      <c r="Z306" s="21">
        <f t="shared" si="20"/>
      </c>
      <c r="AA306" s="21">
        <f t="shared" si="21"/>
      </c>
      <c r="AB306" s="94">
        <f t="shared" si="27"/>
      </c>
      <c r="AC306" s="96">
        <f t="shared" si="28"/>
      </c>
      <c r="AD306" s="94">
        <f t="shared" si="29"/>
      </c>
      <c r="BF306" s="2">
        <f>IF(AND($AF$3&gt;0,发票登记!$T$309=$C$3,ISNUMBER(发票登记!$X$309),发票登记!$AB$309&lt;&gt;0,发票登记!$Y$309&gt;=_辅助!$J$4,发票登记!$Y$309&lt;=_辅助!$J$2),INT(发票登记!$X$309)*10000+305,"")</f>
      </c>
      <c r="BG306" s="2">
        <f>IF(AND($AF$3&gt;0,资金流水!$H$310=$C$3,ISNUMBER(资金流水!$B$310),ISNUMBER(资金流水!$S$310),资金流水!$S$310&gt;=_辅助!$J$4,资金流水!$S$310&lt;=_辅助!$J$2),INT(资金流水!$B$310)*10000+305,"")</f>
      </c>
      <c r="BJ306" s="2">
        <f>IF(271&gt;$BG$1,0,MOD(SMALL($BG$2:$BG$2001,271),10000))</f>
        <v>0</v>
      </c>
    </row>
    <row r="307">
      <c r="W307" s="95">
        <f t="shared" si="19"/>
      </c>
      <c r="X307" s="94">
        <f t="shared" si="25"/>
      </c>
      <c r="Y307" s="96">
        <f t="shared" si="26"/>
      </c>
      <c r="Z307" s="21">
        <f t="shared" si="20"/>
      </c>
      <c r="AA307" s="21">
        <f t="shared" si="21"/>
      </c>
      <c r="AB307" s="94">
        <f t="shared" si="27"/>
      </c>
      <c r="AC307" s="96">
        <f t="shared" si="28"/>
      </c>
      <c r="AD307" s="94">
        <f t="shared" si="29"/>
      </c>
      <c r="BF307" s="2">
        <f>IF(AND($AF$3&gt;0,发票登记!$T$310=$C$3,ISNUMBER(发票登记!$X$310),发票登记!$AB$310&lt;&gt;0,发票登记!$Y$310&gt;=_辅助!$J$4,发票登记!$Y$310&lt;=_辅助!$J$2),INT(发票登记!$X$310)*10000+306,"")</f>
      </c>
      <c r="BG307" s="2">
        <f>IF(AND($AF$3&gt;0,资金流水!$H$311=$C$3,ISNUMBER(资金流水!$B$311),ISNUMBER(资金流水!$S$311),资金流水!$S$311&gt;=_辅助!$J$4,资金流水!$S$311&lt;=_辅助!$J$2),INT(资金流水!$B$311)*10000+306,"")</f>
      </c>
      <c r="BJ307" s="2">
        <f>IF(272&gt;$BG$1,0,MOD(SMALL($BG$2:$BG$2001,272),10000))</f>
        <v>0</v>
      </c>
    </row>
    <row r="308">
      <c r="W308" s="95">
        <f t="shared" si="19"/>
      </c>
      <c r="X308" s="94">
        <f t="shared" si="25"/>
      </c>
      <c r="Y308" s="96">
        <f t="shared" si="26"/>
      </c>
      <c r="Z308" s="21">
        <f t="shared" si="20"/>
      </c>
      <c r="AA308" s="21">
        <f t="shared" si="21"/>
      </c>
      <c r="AB308" s="94">
        <f t="shared" si="27"/>
      </c>
      <c r="AC308" s="96">
        <f t="shared" si="28"/>
      </c>
      <c r="AD308" s="94">
        <f t="shared" si="29"/>
      </c>
      <c r="BF308" s="2">
        <f>IF(AND($AF$3&gt;0,发票登记!$T$311=$C$3,ISNUMBER(发票登记!$X$311),发票登记!$AB$311&lt;&gt;0,发票登记!$Y$311&gt;=_辅助!$J$4,发票登记!$Y$311&lt;=_辅助!$J$2),INT(发票登记!$X$311)*10000+307,"")</f>
      </c>
      <c r="BG308" s="2">
        <f>IF(AND($AF$3&gt;0,资金流水!$H$312=$C$3,ISNUMBER(资金流水!$B$312),ISNUMBER(资金流水!$S$312),资金流水!$S$312&gt;=_辅助!$J$4,资金流水!$S$312&lt;=_辅助!$J$2),INT(资金流水!$B$312)*10000+307,"")</f>
      </c>
      <c r="BJ308" s="2">
        <f>IF(273&gt;$BG$1,0,MOD(SMALL($BG$2:$BG$2001,273),10000))</f>
        <v>0</v>
      </c>
    </row>
    <row r="309">
      <c r="W309" s="95">
        <f t="shared" si="19"/>
      </c>
      <c r="X309" s="94">
        <f t="shared" si="25"/>
      </c>
      <c r="Y309" s="96">
        <f t="shared" si="26"/>
      </c>
      <c r="Z309" s="21">
        <f t="shared" si="20"/>
      </c>
      <c r="AA309" s="21">
        <f t="shared" si="21"/>
      </c>
      <c r="AB309" s="94">
        <f t="shared" si="27"/>
      </c>
      <c r="AC309" s="96">
        <f t="shared" si="28"/>
      </c>
      <c r="AD309" s="94">
        <f t="shared" si="29"/>
      </c>
      <c r="BF309" s="2">
        <f>IF(AND($AF$3&gt;0,发票登记!$T$312=$C$3,ISNUMBER(发票登记!$X$312),发票登记!$AB$312&lt;&gt;0,发票登记!$Y$312&gt;=_辅助!$J$4,发票登记!$Y$312&lt;=_辅助!$J$2),INT(发票登记!$X$312)*10000+308,"")</f>
      </c>
      <c r="BG309" s="2">
        <f>IF(AND($AF$3&gt;0,资金流水!$H$313=$C$3,ISNUMBER(资金流水!$B$313),ISNUMBER(资金流水!$S$313),资金流水!$S$313&gt;=_辅助!$J$4,资金流水!$S$313&lt;=_辅助!$J$2),INT(资金流水!$B$313)*10000+308,"")</f>
      </c>
      <c r="BJ309" s="2">
        <f>IF(274&gt;$BG$1,0,MOD(SMALL($BG$2:$BG$2001,274),10000))</f>
        <v>0</v>
      </c>
    </row>
    <row r="310">
      <c r="W310" s="95">
        <f t="shared" si="19"/>
      </c>
      <c r="X310" s="94">
        <f t="shared" si="25"/>
      </c>
      <c r="Y310" s="96">
        <f t="shared" si="26"/>
      </c>
      <c r="Z310" s="21">
        <f t="shared" si="20"/>
      </c>
      <c r="AA310" s="21">
        <f t="shared" si="21"/>
      </c>
      <c r="AB310" s="94">
        <f t="shared" si="27"/>
      </c>
      <c r="AC310" s="96">
        <f t="shared" si="28"/>
      </c>
      <c r="AD310" s="94">
        <f t="shared" si="29"/>
      </c>
      <c r="BF310" s="2">
        <f>IF(AND($AF$3&gt;0,发票登记!$T$313=$C$3,ISNUMBER(发票登记!$X$313),发票登记!$AB$313&lt;&gt;0,发票登记!$Y$313&gt;=_辅助!$J$4,发票登记!$Y$313&lt;=_辅助!$J$2),INT(发票登记!$X$313)*10000+309,"")</f>
      </c>
      <c r="BG310" s="2">
        <f>IF(AND($AF$3&gt;0,资金流水!$H$314=$C$3,ISNUMBER(资金流水!$B$314),ISNUMBER(资金流水!$S$314),资金流水!$S$314&gt;=_辅助!$J$4,资金流水!$S$314&lt;=_辅助!$J$2),INT(资金流水!$B$314)*10000+309,"")</f>
      </c>
      <c r="BJ310" s="2">
        <f>IF(275&gt;$BG$1,0,MOD(SMALL($BG$2:$BG$2001,275),10000))</f>
        <v>0</v>
      </c>
    </row>
    <row r="311">
      <c r="W311" s="95">
        <f t="shared" si="19"/>
      </c>
      <c r="X311" s="94">
        <f t="shared" si="25"/>
      </c>
      <c r="Y311" s="96">
        <f t="shared" si="26"/>
      </c>
      <c r="Z311" s="21">
        <f t="shared" si="20"/>
      </c>
      <c r="AA311" s="21">
        <f t="shared" si="21"/>
      </c>
      <c r="AB311" s="94">
        <f t="shared" si="27"/>
      </c>
      <c r="AC311" s="96">
        <f t="shared" si="28"/>
      </c>
      <c r="AD311" s="94">
        <f t="shared" si="29"/>
      </c>
      <c r="BF311" s="2">
        <f>IF(AND($AF$3&gt;0,发票登记!$T$314=$C$3,ISNUMBER(发票登记!$X$314),发票登记!$AB$314&lt;&gt;0,发票登记!$Y$314&gt;=_辅助!$J$4,发票登记!$Y$314&lt;=_辅助!$J$2),INT(发票登记!$X$314)*10000+310,"")</f>
      </c>
      <c r="BG311" s="2">
        <f>IF(AND($AF$3&gt;0,资金流水!$H$315=$C$3,ISNUMBER(资金流水!$B$315),ISNUMBER(资金流水!$S$315),资金流水!$S$315&gt;=_辅助!$J$4,资金流水!$S$315&lt;=_辅助!$J$2),INT(资金流水!$B$315)*10000+310,"")</f>
      </c>
      <c r="BJ311" s="2">
        <f>IF(276&gt;$BG$1,0,MOD(SMALL($BG$2:$BG$2001,276),10000))</f>
        <v>0</v>
      </c>
    </row>
    <row r="312">
      <c r="W312" s="95">
        <f t="shared" si="19"/>
      </c>
      <c r="X312" s="94">
        <f t="shared" si="25"/>
      </c>
      <c r="Y312" s="96">
        <f t="shared" si="26"/>
      </c>
      <c r="Z312" s="21">
        <f t="shared" si="20"/>
      </c>
      <c r="AA312" s="21">
        <f t="shared" si="21"/>
      </c>
      <c r="AB312" s="94">
        <f t="shared" si="27"/>
      </c>
      <c r="AC312" s="96">
        <f t="shared" si="28"/>
      </c>
      <c r="AD312" s="94">
        <f t="shared" si="29"/>
      </c>
      <c r="BF312" s="2">
        <f>IF(AND($AF$3&gt;0,发票登记!$T$315=$C$3,ISNUMBER(发票登记!$X$315),发票登记!$AB$315&lt;&gt;0,发票登记!$Y$315&gt;=_辅助!$J$4,发票登记!$Y$315&lt;=_辅助!$J$2),INT(发票登记!$X$315)*10000+311,"")</f>
      </c>
      <c r="BG312" s="2">
        <f>IF(AND($AF$3&gt;0,资金流水!$H$316=$C$3,ISNUMBER(资金流水!$B$316),ISNUMBER(资金流水!$S$316),资金流水!$S$316&gt;=_辅助!$J$4,资金流水!$S$316&lt;=_辅助!$J$2),INT(资金流水!$B$316)*10000+311,"")</f>
      </c>
      <c r="BJ312" s="2">
        <f>IF(277&gt;$BG$1,0,MOD(SMALL($BG$2:$BG$2001,277),10000))</f>
        <v>0</v>
      </c>
    </row>
    <row r="313">
      <c r="W313" s="95">
        <f t="shared" si="19"/>
      </c>
      <c r="X313" s="94">
        <f t="shared" si="25"/>
      </c>
      <c r="Y313" s="96">
        <f t="shared" si="26"/>
      </c>
      <c r="Z313" s="21">
        <f t="shared" si="20"/>
      </c>
      <c r="AA313" s="21">
        <f t="shared" si="21"/>
      </c>
      <c r="AB313" s="94">
        <f t="shared" si="27"/>
      </c>
      <c r="AC313" s="96">
        <f t="shared" si="28"/>
      </c>
      <c r="AD313" s="94">
        <f t="shared" si="29"/>
      </c>
      <c r="BF313" s="2">
        <f>IF(AND($AF$3&gt;0,发票登记!$T$316=$C$3,ISNUMBER(发票登记!$X$316),发票登记!$AB$316&lt;&gt;0,发票登记!$Y$316&gt;=_辅助!$J$4,发票登记!$Y$316&lt;=_辅助!$J$2),INT(发票登记!$X$316)*10000+312,"")</f>
      </c>
      <c r="BG313" s="2">
        <f>IF(AND($AF$3&gt;0,资金流水!$H$317=$C$3,ISNUMBER(资金流水!$B$317),ISNUMBER(资金流水!$S$317),资金流水!$S$317&gt;=_辅助!$J$4,资金流水!$S$317&lt;=_辅助!$J$2),INT(资金流水!$B$317)*10000+312,"")</f>
      </c>
      <c r="BJ313" s="2">
        <f>IF(278&gt;$BG$1,0,MOD(SMALL($BG$2:$BG$2001,278),10000))</f>
        <v>0</v>
      </c>
    </row>
    <row r="314">
      <c r="W314" s="95">
        <f t="shared" si="19"/>
      </c>
      <c r="X314" s="94">
        <f t="shared" si="25"/>
      </c>
      <c r="Y314" s="96">
        <f t="shared" si="26"/>
      </c>
      <c r="Z314" s="21">
        <f t="shared" si="20"/>
      </c>
      <c r="AA314" s="21">
        <f t="shared" si="21"/>
      </c>
      <c r="AB314" s="94">
        <f t="shared" si="27"/>
      </c>
      <c r="AC314" s="96">
        <f t="shared" si="28"/>
      </c>
      <c r="AD314" s="94">
        <f t="shared" si="29"/>
      </c>
      <c r="BF314" s="2">
        <f>IF(AND($AF$3&gt;0,发票登记!$T$317=$C$3,ISNUMBER(发票登记!$X$317),发票登记!$AB$317&lt;&gt;0,发票登记!$Y$317&gt;=_辅助!$J$4,发票登记!$Y$317&lt;=_辅助!$J$2),INT(发票登记!$X$317)*10000+313,"")</f>
      </c>
      <c r="BG314" s="2">
        <f>IF(AND($AF$3&gt;0,资金流水!$H$318=$C$3,ISNUMBER(资金流水!$B$318),ISNUMBER(资金流水!$S$318),资金流水!$S$318&gt;=_辅助!$J$4,资金流水!$S$318&lt;=_辅助!$J$2),INT(资金流水!$B$318)*10000+313,"")</f>
      </c>
      <c r="BJ314" s="2">
        <f>IF(279&gt;$BG$1,0,MOD(SMALL($BG$2:$BG$2001,279),10000))</f>
        <v>0</v>
      </c>
    </row>
    <row r="315">
      <c r="W315" s="95">
        <f t="shared" si="19"/>
      </c>
      <c r="X315" s="94">
        <f t="shared" si="25"/>
      </c>
      <c r="Y315" s="96">
        <f t="shared" si="26"/>
      </c>
      <c r="Z315" s="21">
        <f t="shared" si="20"/>
      </c>
      <c r="AA315" s="21">
        <f t="shared" si="21"/>
      </c>
      <c r="AB315" s="94">
        <f t="shared" si="27"/>
      </c>
      <c r="AC315" s="96">
        <f t="shared" si="28"/>
      </c>
      <c r="AD315" s="94">
        <f t="shared" si="29"/>
      </c>
      <c r="BF315" s="2">
        <f>IF(AND($AF$3&gt;0,发票登记!$T$318=$C$3,ISNUMBER(发票登记!$X$318),发票登记!$AB$318&lt;&gt;0,发票登记!$Y$318&gt;=_辅助!$J$4,发票登记!$Y$318&lt;=_辅助!$J$2),INT(发票登记!$X$318)*10000+314,"")</f>
      </c>
      <c r="BG315" s="2">
        <f>IF(AND($AF$3&gt;0,资金流水!$H$319=$C$3,ISNUMBER(资金流水!$B$319),ISNUMBER(资金流水!$S$319),资金流水!$S$319&gt;=_辅助!$J$4,资金流水!$S$319&lt;=_辅助!$J$2),INT(资金流水!$B$319)*10000+314,"")</f>
      </c>
      <c r="BJ315" s="2">
        <f>IF(280&gt;$BG$1,0,MOD(SMALL($BG$2:$BG$2001,280),10000))</f>
        <v>0</v>
      </c>
    </row>
    <row r="316">
      <c r="W316" s="95">
        <f t="shared" si="19"/>
      </c>
      <c r="X316" s="94">
        <f t="shared" si="25"/>
      </c>
      <c r="Y316" s="96">
        <f t="shared" si="26"/>
      </c>
      <c r="Z316" s="21">
        <f t="shared" si="20"/>
      </c>
      <c r="AA316" s="21">
        <f t="shared" si="21"/>
      </c>
      <c r="AB316" s="94">
        <f t="shared" si="27"/>
      </c>
      <c r="AC316" s="96">
        <f t="shared" si="28"/>
      </c>
      <c r="AD316" s="94">
        <f t="shared" si="29"/>
      </c>
      <c r="BF316" s="2">
        <f>IF(AND($AF$3&gt;0,发票登记!$T$319=$C$3,ISNUMBER(发票登记!$X$319),发票登记!$AB$319&lt;&gt;0,发票登记!$Y$319&gt;=_辅助!$J$4,发票登记!$Y$319&lt;=_辅助!$J$2),INT(发票登记!$X$319)*10000+315,"")</f>
      </c>
      <c r="BG316" s="2">
        <f>IF(AND($AF$3&gt;0,资金流水!$H$320=$C$3,ISNUMBER(资金流水!$B$320),ISNUMBER(资金流水!$S$320),资金流水!$S$320&gt;=_辅助!$J$4,资金流水!$S$320&lt;=_辅助!$J$2),INT(资金流水!$B$320)*10000+315,"")</f>
      </c>
      <c r="BJ316" s="2">
        <f>IF(281&gt;$BG$1,0,MOD(SMALL($BG$2:$BG$2001,281),10000))</f>
        <v>0</v>
      </c>
    </row>
    <row r="317">
      <c r="W317" s="95">
        <f t="shared" si="19"/>
      </c>
      <c r="X317" s="94">
        <f t="shared" si="25"/>
      </c>
      <c r="Y317" s="96">
        <f t="shared" si="26"/>
      </c>
      <c r="Z317" s="21">
        <f t="shared" si="20"/>
      </c>
      <c r="AA317" s="21">
        <f t="shared" si="21"/>
      </c>
      <c r="AB317" s="94">
        <f t="shared" si="27"/>
      </c>
      <c r="AC317" s="96">
        <f t="shared" si="28"/>
      </c>
      <c r="AD317" s="94">
        <f t="shared" si="29"/>
      </c>
      <c r="BF317" s="2">
        <f>IF(AND($AF$3&gt;0,发票登记!$T$320=$C$3,ISNUMBER(发票登记!$X$320),发票登记!$AB$320&lt;&gt;0,发票登记!$Y$320&gt;=_辅助!$J$4,发票登记!$Y$320&lt;=_辅助!$J$2),INT(发票登记!$X$320)*10000+316,"")</f>
      </c>
      <c r="BG317" s="2">
        <f>IF(AND($AF$3&gt;0,资金流水!$H$321=$C$3,ISNUMBER(资金流水!$B$321),ISNUMBER(资金流水!$S$321),资金流水!$S$321&gt;=_辅助!$J$4,资金流水!$S$321&lt;=_辅助!$J$2),INT(资金流水!$B$321)*10000+316,"")</f>
      </c>
      <c r="BJ317" s="2">
        <f>IF(282&gt;$BG$1,0,MOD(SMALL($BG$2:$BG$2001,282),10000))</f>
        <v>0</v>
      </c>
    </row>
    <row r="318">
      <c r="W318" s="95">
        <f t="shared" si="19"/>
      </c>
      <c r="X318" s="94">
        <f t="shared" si="25"/>
      </c>
      <c r="Y318" s="96">
        <f t="shared" si="26"/>
      </c>
      <c r="Z318" s="21">
        <f t="shared" si="20"/>
      </c>
      <c r="AA318" s="21">
        <f t="shared" si="21"/>
      </c>
      <c r="AB318" s="94">
        <f t="shared" si="27"/>
      </c>
      <c r="AC318" s="96">
        <f t="shared" si="28"/>
      </c>
      <c r="AD318" s="94">
        <f t="shared" si="29"/>
      </c>
      <c r="BF318" s="2">
        <f>IF(AND($AF$3&gt;0,发票登记!$T$321=$C$3,ISNUMBER(发票登记!$X$321),发票登记!$AB$321&lt;&gt;0,发票登记!$Y$321&gt;=_辅助!$J$4,发票登记!$Y$321&lt;=_辅助!$J$2),INT(发票登记!$X$321)*10000+317,"")</f>
      </c>
      <c r="BG318" s="2">
        <f>IF(AND($AF$3&gt;0,资金流水!$H$322=$C$3,ISNUMBER(资金流水!$B$322),ISNUMBER(资金流水!$S$322),资金流水!$S$322&gt;=_辅助!$J$4,资金流水!$S$322&lt;=_辅助!$J$2),INT(资金流水!$B$322)*10000+317,"")</f>
      </c>
      <c r="BJ318" s="2">
        <f>IF(283&gt;$BG$1,0,MOD(SMALL($BG$2:$BG$2001,283),10000))</f>
        <v>0</v>
      </c>
    </row>
    <row r="319">
      <c r="W319" s="95">
        <f t="shared" si="19"/>
      </c>
      <c r="X319" s="94">
        <f t="shared" si="25"/>
      </c>
      <c r="Y319" s="96">
        <f t="shared" si="26"/>
      </c>
      <c r="Z319" s="21">
        <f t="shared" si="20"/>
      </c>
      <c r="AA319" s="21">
        <f t="shared" si="21"/>
      </c>
      <c r="AB319" s="94">
        <f t="shared" si="27"/>
      </c>
      <c r="AC319" s="96">
        <f t="shared" si="28"/>
      </c>
      <c r="AD319" s="94">
        <f t="shared" si="29"/>
      </c>
      <c r="BF319" s="2">
        <f>IF(AND($AF$3&gt;0,发票登记!$T$322=$C$3,ISNUMBER(发票登记!$X$322),发票登记!$AB$322&lt;&gt;0,发票登记!$Y$322&gt;=_辅助!$J$4,发票登记!$Y$322&lt;=_辅助!$J$2),INT(发票登记!$X$322)*10000+318,"")</f>
      </c>
      <c r="BG319" s="2">
        <f>IF(AND($AF$3&gt;0,资金流水!$H$323=$C$3,ISNUMBER(资金流水!$B$323),ISNUMBER(资金流水!$S$323),资金流水!$S$323&gt;=_辅助!$J$4,资金流水!$S$323&lt;=_辅助!$J$2),INT(资金流水!$B$323)*10000+318,"")</f>
      </c>
      <c r="BJ319" s="2">
        <f>IF(284&gt;$BG$1,0,MOD(SMALL($BG$2:$BG$2001,284),10000))</f>
        <v>0</v>
      </c>
    </row>
    <row r="320">
      <c r="W320" s="95">
        <f t="shared" si="19"/>
      </c>
      <c r="X320" s="94">
        <f t="shared" si="25"/>
      </c>
      <c r="Y320" s="96">
        <f t="shared" si="26"/>
      </c>
      <c r="Z320" s="21">
        <f t="shared" si="20"/>
      </c>
      <c r="AA320" s="21">
        <f t="shared" si="21"/>
      </c>
      <c r="AB320" s="94">
        <f t="shared" si="27"/>
      </c>
      <c r="AC320" s="96">
        <f t="shared" si="28"/>
      </c>
      <c r="AD320" s="94">
        <f t="shared" si="29"/>
      </c>
      <c r="BF320" s="2">
        <f>IF(AND($AF$3&gt;0,发票登记!$T$323=$C$3,ISNUMBER(发票登记!$X$323),发票登记!$AB$323&lt;&gt;0,发票登记!$Y$323&gt;=_辅助!$J$4,发票登记!$Y$323&lt;=_辅助!$J$2),INT(发票登记!$X$323)*10000+319,"")</f>
      </c>
      <c r="BG320" s="2">
        <f>IF(AND($AF$3&gt;0,资金流水!$H$324=$C$3,ISNUMBER(资金流水!$B$324),ISNUMBER(资金流水!$S$324),资金流水!$S$324&gt;=_辅助!$J$4,资金流水!$S$324&lt;=_辅助!$J$2),INT(资金流水!$B$324)*10000+319,"")</f>
      </c>
      <c r="BJ320" s="2">
        <f>IF(285&gt;$BG$1,0,MOD(SMALL($BG$2:$BG$2001,285),10000))</f>
        <v>0</v>
      </c>
    </row>
    <row r="321">
      <c r="W321" s="95">
        <f t="shared" si="19"/>
      </c>
      <c r="X321" s="94">
        <f t="shared" si="25"/>
      </c>
      <c r="Y321" s="96">
        <f t="shared" si="26"/>
      </c>
      <c r="Z321" s="21">
        <f t="shared" si="20"/>
      </c>
      <c r="AA321" s="21">
        <f t="shared" si="21"/>
      </c>
      <c r="AB321" s="94">
        <f t="shared" si="27"/>
      </c>
      <c r="AC321" s="96">
        <f t="shared" si="28"/>
      </c>
      <c r="AD321" s="94">
        <f t="shared" si="29"/>
      </c>
      <c r="BF321" s="2">
        <f>IF(AND($AF$3&gt;0,发票登记!$T$324=$C$3,ISNUMBER(发票登记!$X$324),发票登记!$AB$324&lt;&gt;0,发票登记!$Y$324&gt;=_辅助!$J$4,发票登记!$Y$324&lt;=_辅助!$J$2),INT(发票登记!$X$324)*10000+320,"")</f>
      </c>
      <c r="BG321" s="2">
        <f>IF(AND($AF$3&gt;0,资金流水!$H$325=$C$3,ISNUMBER(资金流水!$B$325),ISNUMBER(资金流水!$S$325),资金流水!$S$325&gt;=_辅助!$J$4,资金流水!$S$325&lt;=_辅助!$J$2),INT(资金流水!$B$325)*10000+320,"")</f>
      </c>
      <c r="BJ321" s="2">
        <f>IF(286&gt;$BG$1,0,MOD(SMALL($BG$2:$BG$2001,286),10000))</f>
        <v>0</v>
      </c>
    </row>
    <row r="322">
      <c r="W322" s="95">
        <f t="shared" si="19"/>
      </c>
      <c r="X322" s="94">
        <f t="shared" si="25"/>
      </c>
      <c r="Y322" s="96">
        <f t="shared" si="26"/>
      </c>
      <c r="Z322" s="21">
        <f t="shared" si="20"/>
      </c>
      <c r="AA322" s="21">
        <f t="shared" si="21"/>
      </c>
      <c r="AB322" s="94">
        <f t="shared" si="27"/>
      </c>
      <c r="AC322" s="96">
        <f t="shared" si="28"/>
      </c>
      <c r="AD322" s="94">
        <f t="shared" si="29"/>
      </c>
      <c r="BF322" s="2">
        <f>IF(AND($AF$3&gt;0,发票登记!$T$325=$C$3,ISNUMBER(发票登记!$X$325),发票登记!$AB$325&lt;&gt;0,发票登记!$Y$325&gt;=_辅助!$J$4,发票登记!$Y$325&lt;=_辅助!$J$2),INT(发票登记!$X$325)*10000+321,"")</f>
      </c>
      <c r="BG322" s="2">
        <f>IF(AND($AF$3&gt;0,资金流水!$H$326=$C$3,ISNUMBER(资金流水!$B$326),ISNUMBER(资金流水!$S$326),资金流水!$S$326&gt;=_辅助!$J$4,资金流水!$S$326&lt;=_辅助!$J$2),INT(资金流水!$B$326)*10000+321,"")</f>
      </c>
      <c r="BJ322" s="2">
        <f>IF(287&gt;$BG$1,0,MOD(SMALL($BG$2:$BG$2001,287),10000))</f>
        <v>0</v>
      </c>
    </row>
    <row r="323">
      <c r="W323" s="95">
        <f t="shared" si="19"/>
      </c>
      <c r="X323" s="94">
        <f t="shared" si="25"/>
      </c>
      <c r="Y323" s="96">
        <f t="shared" si="26"/>
      </c>
      <c r="Z323" s="21">
        <f t="shared" si="20"/>
      </c>
      <c r="AA323" s="21">
        <f t="shared" si="21"/>
      </c>
      <c r="AB323" s="94">
        <f t="shared" si="27"/>
      </c>
      <c r="AC323" s="96">
        <f t="shared" si="28"/>
      </c>
      <c r="AD323" s="94">
        <f t="shared" si="29"/>
      </c>
      <c r="BF323" s="2">
        <f>IF(AND($AF$3&gt;0,发票登记!$T$326=$C$3,ISNUMBER(发票登记!$X$326),发票登记!$AB$326&lt;&gt;0,发票登记!$Y$326&gt;=_辅助!$J$4,发票登记!$Y$326&lt;=_辅助!$J$2),INT(发票登记!$X$326)*10000+322,"")</f>
      </c>
      <c r="BG323" s="2">
        <f>IF(AND($AF$3&gt;0,资金流水!$H$327=$C$3,ISNUMBER(资金流水!$B$327),ISNUMBER(资金流水!$S$327),资金流水!$S$327&gt;=_辅助!$J$4,资金流水!$S$327&lt;=_辅助!$J$2),INT(资金流水!$B$327)*10000+322,"")</f>
      </c>
      <c r="BJ323" s="2">
        <f>IF(288&gt;$BG$1,0,MOD(SMALL($BG$2:$BG$2001,288),10000))</f>
        <v>0</v>
      </c>
    </row>
    <row r="324">
      <c r="W324" s="95">
        <f t="shared" si="19"/>
      </c>
      <c r="X324" s="94">
        <f t="shared" si="25"/>
      </c>
      <c r="Y324" s="96">
        <f t="shared" si="26"/>
      </c>
      <c r="Z324" s="21">
        <f t="shared" si="20"/>
      </c>
      <c r="AA324" s="21">
        <f t="shared" si="21"/>
      </c>
      <c r="AB324" s="94">
        <f t="shared" si="27"/>
      </c>
      <c r="AC324" s="96">
        <f t="shared" si="28"/>
      </c>
      <c r="AD324" s="94">
        <f t="shared" si="29"/>
      </c>
      <c r="BF324" s="2">
        <f>IF(AND($AF$3&gt;0,发票登记!$T$327=$C$3,ISNUMBER(发票登记!$X$327),发票登记!$AB$327&lt;&gt;0,发票登记!$Y$327&gt;=_辅助!$J$4,发票登记!$Y$327&lt;=_辅助!$J$2),INT(发票登记!$X$327)*10000+323,"")</f>
      </c>
      <c r="BG324" s="2">
        <f>IF(AND($AF$3&gt;0,资金流水!$H$328=$C$3,ISNUMBER(资金流水!$B$328),ISNUMBER(资金流水!$S$328),资金流水!$S$328&gt;=_辅助!$J$4,资金流水!$S$328&lt;=_辅助!$J$2),INT(资金流水!$B$328)*10000+323,"")</f>
      </c>
      <c r="BJ324" s="2">
        <f>IF(289&gt;$BG$1,0,MOD(SMALL($BG$2:$BG$2001,289),10000))</f>
        <v>0</v>
      </c>
    </row>
    <row r="325">
      <c r="W325" s="95">
        <f t="shared" si="19"/>
      </c>
      <c r="X325" s="94">
        <f t="shared" si="25"/>
      </c>
      <c r="Y325" s="96">
        <f t="shared" si="26"/>
      </c>
      <c r="Z325" s="21">
        <f t="shared" si="20"/>
      </c>
      <c r="AA325" s="21">
        <f t="shared" si="21"/>
      </c>
      <c r="AB325" s="94">
        <f t="shared" si="27"/>
      </c>
      <c r="AC325" s="96">
        <f t="shared" si="28"/>
      </c>
      <c r="AD325" s="94">
        <f t="shared" si="29"/>
      </c>
      <c r="BF325" s="2">
        <f>IF(AND($AF$3&gt;0,发票登记!$T$328=$C$3,ISNUMBER(发票登记!$X$328),发票登记!$AB$328&lt;&gt;0,发票登记!$Y$328&gt;=_辅助!$J$4,发票登记!$Y$328&lt;=_辅助!$J$2),INT(发票登记!$X$328)*10000+324,"")</f>
      </c>
      <c r="BG325" s="2">
        <f>IF(AND($AF$3&gt;0,资金流水!$H$329=$C$3,ISNUMBER(资金流水!$B$329),ISNUMBER(资金流水!$S$329),资金流水!$S$329&gt;=_辅助!$J$4,资金流水!$S$329&lt;=_辅助!$J$2),INT(资金流水!$B$329)*10000+324,"")</f>
      </c>
      <c r="BJ325" s="2">
        <f>IF(290&gt;$BG$1,0,MOD(SMALL($BG$2:$BG$2001,290),10000))</f>
        <v>0</v>
      </c>
    </row>
    <row r="326">
      <c r="W326" s="95">
        <f t="shared" si="19"/>
      </c>
      <c r="X326" s="94">
        <f t="shared" si="25"/>
      </c>
      <c r="Y326" s="96">
        <f t="shared" si="26"/>
      </c>
      <c r="Z326" s="21">
        <f t="shared" si="20"/>
      </c>
      <c r="AA326" s="21">
        <f t="shared" si="21"/>
      </c>
      <c r="AB326" s="94">
        <f t="shared" si="27"/>
      </c>
      <c r="AC326" s="96">
        <f t="shared" si="28"/>
      </c>
      <c r="AD326" s="94">
        <f t="shared" si="29"/>
      </c>
      <c r="BF326" s="2">
        <f>IF(AND($AF$3&gt;0,发票登记!$T$329=$C$3,ISNUMBER(发票登记!$X$329),发票登记!$AB$329&lt;&gt;0,发票登记!$Y$329&gt;=_辅助!$J$4,发票登记!$Y$329&lt;=_辅助!$J$2),INT(发票登记!$X$329)*10000+325,"")</f>
      </c>
      <c r="BG326" s="2">
        <f>IF(AND($AF$3&gt;0,资金流水!$H$330=$C$3,ISNUMBER(资金流水!$B$330),ISNUMBER(资金流水!$S$330),资金流水!$S$330&gt;=_辅助!$J$4,资金流水!$S$330&lt;=_辅助!$J$2),INT(资金流水!$B$330)*10000+325,"")</f>
      </c>
      <c r="BJ326" s="2">
        <f>IF(291&gt;$BG$1,0,MOD(SMALL($BG$2:$BG$2001,291),10000))</f>
        <v>0</v>
      </c>
    </row>
    <row r="327">
      <c r="W327" s="95">
        <f t="shared" si="19"/>
      </c>
      <c r="X327" s="94">
        <f t="shared" si="25"/>
      </c>
      <c r="Y327" s="96">
        <f t="shared" si="26"/>
      </c>
      <c r="Z327" s="21">
        <f t="shared" si="20"/>
      </c>
      <c r="AA327" s="21">
        <f t="shared" si="21"/>
      </c>
      <c r="AB327" s="94">
        <f t="shared" si="27"/>
      </c>
      <c r="AC327" s="96">
        <f t="shared" si="28"/>
      </c>
      <c r="AD327" s="94">
        <f t="shared" si="29"/>
      </c>
      <c r="BF327" s="2">
        <f>IF(AND($AF$3&gt;0,发票登记!$T$330=$C$3,ISNUMBER(发票登记!$X$330),发票登记!$AB$330&lt;&gt;0,发票登记!$Y$330&gt;=_辅助!$J$4,发票登记!$Y$330&lt;=_辅助!$J$2),INT(发票登记!$X$330)*10000+326,"")</f>
      </c>
      <c r="BG327" s="2">
        <f>IF(AND($AF$3&gt;0,资金流水!$H$331=$C$3,ISNUMBER(资金流水!$B$331),ISNUMBER(资金流水!$S$331),资金流水!$S$331&gt;=_辅助!$J$4,资金流水!$S$331&lt;=_辅助!$J$2),INT(资金流水!$B$331)*10000+326,"")</f>
      </c>
      <c r="BJ327" s="2">
        <f>IF(292&gt;$BG$1,0,MOD(SMALL($BG$2:$BG$2001,292),10000))</f>
        <v>0</v>
      </c>
    </row>
    <row r="328">
      <c r="W328" s="95">
        <f t="shared" si="19"/>
      </c>
      <c r="X328" s="94">
        <f t="shared" si="25"/>
      </c>
      <c r="Y328" s="96">
        <f t="shared" si="26"/>
      </c>
      <c r="Z328" s="21">
        <f t="shared" si="20"/>
      </c>
      <c r="AA328" s="21">
        <f t="shared" si="21"/>
      </c>
      <c r="AB328" s="94">
        <f t="shared" si="27"/>
      </c>
      <c r="AC328" s="96">
        <f t="shared" si="28"/>
      </c>
      <c r="AD328" s="94">
        <f t="shared" si="29"/>
      </c>
      <c r="BF328" s="2">
        <f>IF(AND($AF$3&gt;0,发票登记!$T$331=$C$3,ISNUMBER(发票登记!$X$331),发票登记!$AB$331&lt;&gt;0,发票登记!$Y$331&gt;=_辅助!$J$4,发票登记!$Y$331&lt;=_辅助!$J$2),INT(发票登记!$X$331)*10000+327,"")</f>
      </c>
      <c r="BG328" s="2">
        <f>IF(AND($AF$3&gt;0,资金流水!$H$332=$C$3,ISNUMBER(资金流水!$B$332),ISNUMBER(资金流水!$S$332),资金流水!$S$332&gt;=_辅助!$J$4,资金流水!$S$332&lt;=_辅助!$J$2),INT(资金流水!$B$332)*10000+327,"")</f>
      </c>
      <c r="BJ328" s="2">
        <f>IF(293&gt;$BG$1,0,MOD(SMALL($BG$2:$BG$2001,293),10000))</f>
        <v>0</v>
      </c>
    </row>
    <row r="329">
      <c r="W329" s="95">
        <f t="shared" si="19"/>
      </c>
      <c r="X329" s="94">
        <f t="shared" si="25"/>
      </c>
      <c r="Y329" s="96">
        <f t="shared" si="26"/>
      </c>
      <c r="Z329" s="21">
        <f t="shared" si="20"/>
      </c>
      <c r="AA329" s="21">
        <f t="shared" si="21"/>
      </c>
      <c r="AB329" s="94">
        <f t="shared" si="27"/>
      </c>
      <c r="AC329" s="96">
        <f t="shared" si="28"/>
      </c>
      <c r="AD329" s="94">
        <f t="shared" si="29"/>
      </c>
      <c r="BF329" s="2">
        <f>IF(AND($AF$3&gt;0,发票登记!$T$332=$C$3,ISNUMBER(发票登记!$X$332),发票登记!$AB$332&lt;&gt;0,发票登记!$Y$332&gt;=_辅助!$J$4,发票登记!$Y$332&lt;=_辅助!$J$2),INT(发票登记!$X$332)*10000+328,"")</f>
      </c>
      <c r="BG329" s="2">
        <f>IF(AND($AF$3&gt;0,资金流水!$H$333=$C$3,ISNUMBER(资金流水!$B$333),ISNUMBER(资金流水!$S$333),资金流水!$S$333&gt;=_辅助!$J$4,资金流水!$S$333&lt;=_辅助!$J$2),INT(资金流水!$B$333)*10000+328,"")</f>
      </c>
      <c r="BJ329" s="2">
        <f>IF(294&gt;$BG$1,0,MOD(SMALL($BG$2:$BG$2001,294),10000))</f>
        <v>0</v>
      </c>
    </row>
    <row r="330">
      <c r="W330" s="95">
        <f t="shared" si="19"/>
      </c>
      <c r="X330" s="94">
        <f t="shared" si="25"/>
      </c>
      <c r="Y330" s="96">
        <f t="shared" si="26"/>
      </c>
      <c r="Z330" s="21">
        <f t="shared" si="20"/>
      </c>
      <c r="AA330" s="21">
        <f t="shared" si="21"/>
      </c>
      <c r="AB330" s="94">
        <f t="shared" si="27"/>
      </c>
      <c r="AC330" s="96">
        <f t="shared" si="28"/>
      </c>
      <c r="AD330" s="94">
        <f t="shared" si="29"/>
      </c>
      <c r="BF330" s="2">
        <f>IF(AND($AF$3&gt;0,发票登记!$T$333=$C$3,ISNUMBER(发票登记!$X$333),发票登记!$AB$333&lt;&gt;0,发票登记!$Y$333&gt;=_辅助!$J$4,发票登记!$Y$333&lt;=_辅助!$J$2),INT(发票登记!$X$333)*10000+329,"")</f>
      </c>
      <c r="BG330" s="2">
        <f>IF(AND($AF$3&gt;0,资金流水!$H$334=$C$3,ISNUMBER(资金流水!$B$334),ISNUMBER(资金流水!$S$334),资金流水!$S$334&gt;=_辅助!$J$4,资金流水!$S$334&lt;=_辅助!$J$2),INT(资金流水!$B$334)*10000+329,"")</f>
      </c>
      <c r="BJ330" s="2">
        <f>IF(295&gt;$BG$1,0,MOD(SMALL($BG$2:$BG$2001,295),10000))</f>
        <v>0</v>
      </c>
    </row>
    <row r="331">
      <c r="W331" s="95">
        <f t="shared" si="19"/>
      </c>
      <c r="X331" s="94">
        <f t="shared" si="25"/>
      </c>
      <c r="Y331" s="96">
        <f t="shared" si="26"/>
      </c>
      <c r="Z331" s="21">
        <f t="shared" si="20"/>
      </c>
      <c r="AA331" s="21">
        <f t="shared" si="21"/>
      </c>
      <c r="AB331" s="94">
        <f t="shared" si="27"/>
      </c>
      <c r="AC331" s="96">
        <f t="shared" si="28"/>
      </c>
      <c r="AD331" s="94">
        <f t="shared" si="29"/>
      </c>
      <c r="BF331" s="2">
        <f>IF(AND($AF$3&gt;0,发票登记!$T$334=$C$3,ISNUMBER(发票登记!$X$334),发票登记!$AB$334&lt;&gt;0,发票登记!$Y$334&gt;=_辅助!$J$4,发票登记!$Y$334&lt;=_辅助!$J$2),INT(发票登记!$X$334)*10000+330,"")</f>
      </c>
      <c r="BG331" s="2">
        <f>IF(AND($AF$3&gt;0,资金流水!$H$335=$C$3,ISNUMBER(资金流水!$B$335),ISNUMBER(资金流水!$S$335),资金流水!$S$335&gt;=_辅助!$J$4,资金流水!$S$335&lt;=_辅助!$J$2),INT(资金流水!$B$335)*10000+330,"")</f>
      </c>
      <c r="BJ331" s="2">
        <f>IF(296&gt;$BG$1,0,MOD(SMALL($BG$2:$BG$2001,296),10000))</f>
        <v>0</v>
      </c>
    </row>
    <row r="332">
      <c r="W332" s="95">
        <f t="shared" si="19"/>
      </c>
      <c r="X332" s="94">
        <f t="shared" si="25"/>
      </c>
      <c r="Y332" s="96">
        <f t="shared" si="26"/>
      </c>
      <c r="Z332" s="21">
        <f t="shared" si="20"/>
      </c>
      <c r="AA332" s="21">
        <f t="shared" si="21"/>
      </c>
      <c r="AB332" s="94">
        <f t="shared" si="27"/>
      </c>
      <c r="AC332" s="96">
        <f t="shared" si="28"/>
      </c>
      <c r="AD332" s="94">
        <f t="shared" si="29"/>
      </c>
      <c r="BF332" s="2">
        <f>IF(AND($AF$3&gt;0,发票登记!$T$335=$C$3,ISNUMBER(发票登记!$X$335),发票登记!$AB$335&lt;&gt;0,发票登记!$Y$335&gt;=_辅助!$J$4,发票登记!$Y$335&lt;=_辅助!$J$2),INT(发票登记!$X$335)*10000+331,"")</f>
      </c>
      <c r="BG332" s="2">
        <f>IF(AND($AF$3&gt;0,资金流水!$H$336=$C$3,ISNUMBER(资金流水!$B$336),ISNUMBER(资金流水!$S$336),资金流水!$S$336&gt;=_辅助!$J$4,资金流水!$S$336&lt;=_辅助!$J$2),INT(资金流水!$B$336)*10000+331,"")</f>
      </c>
      <c r="BJ332" s="2">
        <f>IF(297&gt;$BG$1,0,MOD(SMALL($BG$2:$BG$2001,297),10000))</f>
        <v>0</v>
      </c>
    </row>
    <row r="333">
      <c r="W333" s="95">
        <f t="shared" si="19"/>
      </c>
      <c r="X333" s="94">
        <f t="shared" si="25"/>
      </c>
      <c r="Y333" s="96">
        <f t="shared" si="26"/>
      </c>
      <c r="Z333" s="21">
        <f t="shared" si="20"/>
      </c>
      <c r="AA333" s="21">
        <f t="shared" si="21"/>
      </c>
      <c r="AB333" s="94">
        <f t="shared" si="27"/>
      </c>
      <c r="AC333" s="96">
        <f t="shared" si="28"/>
      </c>
      <c r="AD333" s="94">
        <f t="shared" si="29"/>
      </c>
      <c r="BF333" s="2">
        <f>IF(AND($AF$3&gt;0,发票登记!$T$336=$C$3,ISNUMBER(发票登记!$X$336),发票登记!$AB$336&lt;&gt;0,发票登记!$Y$336&gt;=_辅助!$J$4,发票登记!$Y$336&lt;=_辅助!$J$2),INT(发票登记!$X$336)*10000+332,"")</f>
      </c>
      <c r="BG333" s="2">
        <f>IF(AND($AF$3&gt;0,资金流水!$H$337=$C$3,ISNUMBER(资金流水!$B$337),ISNUMBER(资金流水!$S$337),资金流水!$S$337&gt;=_辅助!$J$4,资金流水!$S$337&lt;=_辅助!$J$2),INT(资金流水!$B$337)*10000+332,"")</f>
      </c>
      <c r="BJ333" s="2">
        <f>IF(298&gt;$BG$1,0,MOD(SMALL($BG$2:$BG$2001,298),10000))</f>
        <v>0</v>
      </c>
    </row>
    <row r="334">
      <c r="W334" s="95">
        <f t="shared" si="19"/>
      </c>
      <c r="X334" s="94">
        <f t="shared" si="25"/>
      </c>
      <c r="Y334" s="96">
        <f t="shared" si="26"/>
      </c>
      <c r="Z334" s="21">
        <f t="shared" si="20"/>
      </c>
      <c r="AA334" s="21">
        <f t="shared" si="21"/>
      </c>
      <c r="AB334" s="94">
        <f t="shared" si="27"/>
      </c>
      <c r="AC334" s="96">
        <f t="shared" si="28"/>
      </c>
      <c r="AD334" s="94">
        <f t="shared" si="29"/>
      </c>
      <c r="BF334" s="2">
        <f>IF(AND($AF$3&gt;0,发票登记!$T$337=$C$3,ISNUMBER(发票登记!$X$337),发票登记!$AB$337&lt;&gt;0,发票登记!$Y$337&gt;=_辅助!$J$4,发票登记!$Y$337&lt;=_辅助!$J$2),INT(发票登记!$X$337)*10000+333,"")</f>
      </c>
      <c r="BG334" s="2">
        <f>IF(AND($AF$3&gt;0,资金流水!$H$338=$C$3,ISNUMBER(资金流水!$B$338),ISNUMBER(资金流水!$S$338),资金流水!$S$338&gt;=_辅助!$J$4,资金流水!$S$338&lt;=_辅助!$J$2),INT(资金流水!$B$338)*10000+333,"")</f>
      </c>
      <c r="BJ334" s="2">
        <f>IF(299&gt;$BG$1,0,MOD(SMALL($BG$2:$BG$2001,299),10000))</f>
        <v>0</v>
      </c>
    </row>
    <row r="335">
      <c r="W335" s="95">
        <f t="shared" si="19"/>
      </c>
      <c r="X335" s="94">
        <f t="shared" si="25"/>
      </c>
      <c r="Y335" s="96">
        <f t="shared" si="26"/>
      </c>
      <c r="Z335" s="21">
        <f t="shared" si="20"/>
      </c>
      <c r="AA335" s="21">
        <f t="shared" si="21"/>
      </c>
      <c r="AB335" s="94">
        <f t="shared" si="27"/>
      </c>
      <c r="AC335" s="96">
        <f t="shared" si="28"/>
      </c>
      <c r="AD335" s="94">
        <f t="shared" si="29"/>
      </c>
      <c r="BF335" s="2">
        <f>IF(AND($AF$3&gt;0,发票登记!$T$338=$C$3,ISNUMBER(发票登记!$X$338),发票登记!$AB$338&lt;&gt;0,发票登记!$Y$338&gt;=_辅助!$J$4,发票登记!$Y$338&lt;=_辅助!$J$2),INT(发票登记!$X$338)*10000+334,"")</f>
      </c>
      <c r="BG335" s="2">
        <f>IF(AND($AF$3&gt;0,资金流水!$H$339=$C$3,ISNUMBER(资金流水!$B$339),ISNUMBER(资金流水!$S$339),资金流水!$S$339&gt;=_辅助!$J$4,资金流水!$S$339&lt;=_辅助!$J$2),INT(资金流水!$B$339)*10000+334,"")</f>
      </c>
      <c r="BJ335" s="2">
        <f>IF(300&gt;$BG$1,0,MOD(SMALL($BG$2:$BG$2001,300),10000))</f>
        <v>0</v>
      </c>
    </row>
    <row r="336">
      <c r="BF336" s="2">
        <f>IF(AND($AF$3&gt;0,发票登记!$T$339=$C$3,ISNUMBER(发票登记!$X$339),发票登记!$AB$339&lt;&gt;0,发票登记!$Y$339&gt;=_辅助!$J$4,发票登记!$Y$339&lt;=_辅助!$J$2),INT(发票登记!$X$339)*10000+335,"")</f>
      </c>
      <c r="BG336" s="2">
        <f>IF(AND($AF$3&gt;0,资金流水!$H$340=$C$3,ISNUMBER(资金流水!$B$340),ISNUMBER(资金流水!$S$340),资金流水!$S$340&gt;=_辅助!$J$4,资金流水!$S$340&lt;=_辅助!$J$2),INT(资金流水!$B$340)*10000+335,"")</f>
      </c>
    </row>
    <row r="337">
      <c r="BF337" s="2">
        <f>IF(AND($AF$3&gt;0,发票登记!$T$340=$C$3,ISNUMBER(发票登记!$X$340),发票登记!$AB$340&lt;&gt;0,发票登记!$Y$340&gt;=_辅助!$J$4,发票登记!$Y$340&lt;=_辅助!$J$2),INT(发票登记!$X$340)*10000+336,"")</f>
      </c>
      <c r="BG337" s="2">
        <f>IF(AND($AF$3&gt;0,资金流水!$H$341=$C$3,ISNUMBER(资金流水!$B$341),ISNUMBER(资金流水!$S$341),资金流水!$S$341&gt;=_辅助!$J$4,资金流水!$S$341&lt;=_辅助!$J$2),INT(资金流水!$B$341)*10000+336,"")</f>
      </c>
    </row>
    <row r="338">
      <c r="BF338" s="2">
        <f>IF(AND($AF$3&gt;0,发票登记!$T$341=$C$3,ISNUMBER(发票登记!$X$341),发票登记!$AB$341&lt;&gt;0,发票登记!$Y$341&gt;=_辅助!$J$4,发票登记!$Y$341&lt;=_辅助!$J$2),INT(发票登记!$X$341)*10000+337,"")</f>
      </c>
      <c r="BG338" s="2">
        <f>IF(AND($AF$3&gt;0,资金流水!$H$342=$C$3,ISNUMBER(资金流水!$B$342),ISNUMBER(资金流水!$S$342),资金流水!$S$342&gt;=_辅助!$J$4,资金流水!$S$342&lt;=_辅助!$J$2),INT(资金流水!$B$342)*10000+337,"")</f>
      </c>
    </row>
    <row r="339">
      <c r="BF339" s="2">
        <f>IF(AND($AF$3&gt;0,发票登记!$T$342=$C$3,ISNUMBER(发票登记!$X$342),发票登记!$AB$342&lt;&gt;0,发票登记!$Y$342&gt;=_辅助!$J$4,发票登记!$Y$342&lt;=_辅助!$J$2),INT(发票登记!$X$342)*10000+338,"")</f>
      </c>
      <c r="BG339" s="2">
        <f>IF(AND($AF$3&gt;0,资金流水!$H$343=$C$3,ISNUMBER(资金流水!$B$343),ISNUMBER(资金流水!$S$343),资金流水!$S$343&gt;=_辅助!$J$4,资金流水!$S$343&lt;=_辅助!$J$2),INT(资金流水!$B$343)*10000+338,"")</f>
      </c>
    </row>
    <row r="340">
      <c r="BF340" s="2">
        <f>IF(AND($AF$3&gt;0,发票登记!$T$343=$C$3,ISNUMBER(发票登记!$X$343),发票登记!$AB$343&lt;&gt;0,发票登记!$Y$343&gt;=_辅助!$J$4,发票登记!$Y$343&lt;=_辅助!$J$2),INT(发票登记!$X$343)*10000+339,"")</f>
      </c>
      <c r="BG340" s="2">
        <f>IF(AND($AF$3&gt;0,资金流水!$H$344=$C$3,ISNUMBER(资金流水!$B$344),ISNUMBER(资金流水!$S$344),资金流水!$S$344&gt;=_辅助!$J$4,资金流水!$S$344&lt;=_辅助!$J$2),INT(资金流水!$B$344)*10000+339,"")</f>
      </c>
    </row>
    <row r="341">
      <c r="BF341" s="2">
        <f>IF(AND($AF$3&gt;0,发票登记!$T$344=$C$3,ISNUMBER(发票登记!$X$344),发票登记!$AB$344&lt;&gt;0,发票登记!$Y$344&gt;=_辅助!$J$4,发票登记!$Y$344&lt;=_辅助!$J$2),INT(发票登记!$X$344)*10000+340,"")</f>
      </c>
      <c r="BG341" s="2">
        <f>IF(AND($AF$3&gt;0,资金流水!$H$345=$C$3,ISNUMBER(资金流水!$B$345),ISNUMBER(资金流水!$S$345),资金流水!$S$345&gt;=_辅助!$J$4,资金流水!$S$345&lt;=_辅助!$J$2),INT(资金流水!$B$345)*10000+340,"")</f>
      </c>
    </row>
    <row r="342">
      <c r="BF342" s="2">
        <f>IF(AND($AF$3&gt;0,发票登记!$T$345=$C$3,ISNUMBER(发票登记!$X$345),发票登记!$AB$345&lt;&gt;0,发票登记!$Y$345&gt;=_辅助!$J$4,发票登记!$Y$345&lt;=_辅助!$J$2),INT(发票登记!$X$345)*10000+341,"")</f>
      </c>
      <c r="BG342" s="2">
        <f>IF(AND($AF$3&gt;0,资金流水!$H$346=$C$3,ISNUMBER(资金流水!$B$346),ISNUMBER(资金流水!$S$346),资金流水!$S$346&gt;=_辅助!$J$4,资金流水!$S$346&lt;=_辅助!$J$2),INT(资金流水!$B$346)*10000+341,"")</f>
      </c>
    </row>
    <row r="343">
      <c r="BF343" s="2">
        <f>IF(AND($AF$3&gt;0,发票登记!$T$346=$C$3,ISNUMBER(发票登记!$X$346),发票登记!$AB$346&lt;&gt;0,发票登记!$Y$346&gt;=_辅助!$J$4,发票登记!$Y$346&lt;=_辅助!$J$2),INT(发票登记!$X$346)*10000+342,"")</f>
      </c>
      <c r="BG343" s="2">
        <f>IF(AND($AF$3&gt;0,资金流水!$H$347=$C$3,ISNUMBER(资金流水!$B$347),ISNUMBER(资金流水!$S$347),资金流水!$S$347&gt;=_辅助!$J$4,资金流水!$S$347&lt;=_辅助!$J$2),INT(资金流水!$B$347)*10000+342,"")</f>
      </c>
    </row>
    <row r="344">
      <c r="BF344" s="2">
        <f>IF(AND($AF$3&gt;0,发票登记!$T$347=$C$3,ISNUMBER(发票登记!$X$347),发票登记!$AB$347&lt;&gt;0,发票登记!$Y$347&gt;=_辅助!$J$4,发票登记!$Y$347&lt;=_辅助!$J$2),INT(发票登记!$X$347)*10000+343,"")</f>
      </c>
      <c r="BG344" s="2">
        <f>IF(AND($AF$3&gt;0,资金流水!$H$348=$C$3,ISNUMBER(资金流水!$B$348),ISNUMBER(资金流水!$S$348),资金流水!$S$348&gt;=_辅助!$J$4,资金流水!$S$348&lt;=_辅助!$J$2),INT(资金流水!$B$348)*10000+343,"")</f>
      </c>
    </row>
    <row r="345">
      <c r="BF345" s="2">
        <f>IF(AND($AF$3&gt;0,发票登记!$T$348=$C$3,ISNUMBER(发票登记!$X$348),发票登记!$AB$348&lt;&gt;0,发票登记!$Y$348&gt;=_辅助!$J$4,发票登记!$Y$348&lt;=_辅助!$J$2),INT(发票登记!$X$348)*10000+344,"")</f>
      </c>
      <c r="BG345" s="2">
        <f>IF(AND($AF$3&gt;0,资金流水!$H$349=$C$3,ISNUMBER(资金流水!$B$349),ISNUMBER(资金流水!$S$349),资金流水!$S$349&gt;=_辅助!$J$4,资金流水!$S$349&lt;=_辅助!$J$2),INT(资金流水!$B$349)*10000+344,"")</f>
      </c>
    </row>
    <row r="346">
      <c r="BF346" s="2">
        <f>IF(AND($AF$3&gt;0,发票登记!$T$349=$C$3,ISNUMBER(发票登记!$X$349),发票登记!$AB$349&lt;&gt;0,发票登记!$Y$349&gt;=_辅助!$J$4,发票登记!$Y$349&lt;=_辅助!$J$2),INT(发票登记!$X$349)*10000+345,"")</f>
      </c>
      <c r="BG346" s="2">
        <f>IF(AND($AF$3&gt;0,资金流水!$H$350=$C$3,ISNUMBER(资金流水!$B$350),ISNUMBER(资金流水!$S$350),资金流水!$S$350&gt;=_辅助!$J$4,资金流水!$S$350&lt;=_辅助!$J$2),INT(资金流水!$B$350)*10000+345,"")</f>
      </c>
    </row>
    <row r="347">
      <c r="BF347" s="2">
        <f>IF(AND($AF$3&gt;0,发票登记!$T$350=$C$3,ISNUMBER(发票登记!$X$350),发票登记!$AB$350&lt;&gt;0,发票登记!$Y$350&gt;=_辅助!$J$4,发票登记!$Y$350&lt;=_辅助!$J$2),INT(发票登记!$X$350)*10000+346,"")</f>
      </c>
      <c r="BG347" s="2">
        <f>IF(AND($AF$3&gt;0,资金流水!$H$351=$C$3,ISNUMBER(资金流水!$B$351),ISNUMBER(资金流水!$S$351),资金流水!$S$351&gt;=_辅助!$J$4,资金流水!$S$351&lt;=_辅助!$J$2),INT(资金流水!$B$351)*10000+346,"")</f>
      </c>
    </row>
    <row r="348">
      <c r="BF348" s="2">
        <f>IF(AND($AF$3&gt;0,发票登记!$T$351=$C$3,ISNUMBER(发票登记!$X$351),发票登记!$AB$351&lt;&gt;0,发票登记!$Y$351&gt;=_辅助!$J$4,发票登记!$Y$351&lt;=_辅助!$J$2),INT(发票登记!$X$351)*10000+347,"")</f>
      </c>
      <c r="BG348" s="2">
        <f>IF(AND($AF$3&gt;0,资金流水!$H$352=$C$3,ISNUMBER(资金流水!$B$352),ISNUMBER(资金流水!$S$352),资金流水!$S$352&gt;=_辅助!$J$4,资金流水!$S$352&lt;=_辅助!$J$2),INT(资金流水!$B$352)*10000+347,"")</f>
      </c>
    </row>
    <row r="349">
      <c r="BF349" s="2">
        <f>IF(AND($AF$3&gt;0,发票登记!$T$352=$C$3,ISNUMBER(发票登记!$X$352),发票登记!$AB$352&lt;&gt;0,发票登记!$Y$352&gt;=_辅助!$J$4,发票登记!$Y$352&lt;=_辅助!$J$2),INT(发票登记!$X$352)*10000+348,"")</f>
      </c>
      <c r="BG349" s="2">
        <f>IF(AND($AF$3&gt;0,资金流水!$H$353=$C$3,ISNUMBER(资金流水!$B$353),ISNUMBER(资金流水!$S$353),资金流水!$S$353&gt;=_辅助!$J$4,资金流水!$S$353&lt;=_辅助!$J$2),INT(资金流水!$B$353)*10000+348,"")</f>
      </c>
    </row>
    <row r="350">
      <c r="BF350" s="2">
        <f>IF(AND($AF$3&gt;0,发票登记!$T$353=$C$3,ISNUMBER(发票登记!$X$353),发票登记!$AB$353&lt;&gt;0,发票登记!$Y$353&gt;=_辅助!$J$4,发票登记!$Y$353&lt;=_辅助!$J$2),INT(发票登记!$X$353)*10000+349,"")</f>
      </c>
      <c r="BG350" s="2">
        <f>IF(AND($AF$3&gt;0,资金流水!$H$354=$C$3,ISNUMBER(资金流水!$B$354),ISNUMBER(资金流水!$S$354),资金流水!$S$354&gt;=_辅助!$J$4,资金流水!$S$354&lt;=_辅助!$J$2),INT(资金流水!$B$354)*10000+349,"")</f>
      </c>
    </row>
    <row r="351">
      <c r="BF351" s="2">
        <f>IF(AND($AF$3&gt;0,发票登记!$T$354=$C$3,ISNUMBER(发票登记!$X$354),发票登记!$AB$354&lt;&gt;0,发票登记!$Y$354&gt;=_辅助!$J$4,发票登记!$Y$354&lt;=_辅助!$J$2),INT(发票登记!$X$354)*10000+350,"")</f>
      </c>
      <c r="BG351" s="2">
        <f>IF(AND($AF$3&gt;0,资金流水!$H$355=$C$3,ISNUMBER(资金流水!$B$355),ISNUMBER(资金流水!$S$355),资金流水!$S$355&gt;=_辅助!$J$4,资金流水!$S$355&lt;=_辅助!$J$2),INT(资金流水!$B$355)*10000+350,"")</f>
      </c>
    </row>
    <row r="352">
      <c r="BF352" s="2">
        <f>IF(AND($AF$3&gt;0,发票登记!$T$355=$C$3,ISNUMBER(发票登记!$X$355),发票登记!$AB$355&lt;&gt;0,发票登记!$Y$355&gt;=_辅助!$J$4,发票登记!$Y$355&lt;=_辅助!$J$2),INT(发票登记!$X$355)*10000+351,"")</f>
      </c>
      <c r="BG352" s="2">
        <f>IF(AND($AF$3&gt;0,资金流水!$H$356=$C$3,ISNUMBER(资金流水!$B$356),ISNUMBER(资金流水!$S$356),资金流水!$S$356&gt;=_辅助!$J$4,资金流水!$S$356&lt;=_辅助!$J$2),INT(资金流水!$B$356)*10000+351,"")</f>
      </c>
    </row>
    <row r="353">
      <c r="BF353" s="2">
        <f>IF(AND($AF$3&gt;0,发票登记!$T$356=$C$3,ISNUMBER(发票登记!$X$356),发票登记!$AB$356&lt;&gt;0,发票登记!$Y$356&gt;=_辅助!$J$4,发票登记!$Y$356&lt;=_辅助!$J$2),INT(发票登记!$X$356)*10000+352,"")</f>
      </c>
      <c r="BG353" s="2">
        <f>IF(AND($AF$3&gt;0,资金流水!$H$357=$C$3,ISNUMBER(资金流水!$B$357),ISNUMBER(资金流水!$S$357),资金流水!$S$357&gt;=_辅助!$J$4,资金流水!$S$357&lt;=_辅助!$J$2),INT(资金流水!$B$357)*10000+352,"")</f>
      </c>
    </row>
    <row r="354">
      <c r="BF354" s="2">
        <f>IF(AND($AF$3&gt;0,发票登记!$T$357=$C$3,ISNUMBER(发票登记!$X$357),发票登记!$AB$357&lt;&gt;0,发票登记!$Y$357&gt;=_辅助!$J$4,发票登记!$Y$357&lt;=_辅助!$J$2),INT(发票登记!$X$357)*10000+353,"")</f>
      </c>
      <c r="BG354" s="2">
        <f>IF(AND($AF$3&gt;0,资金流水!$H$358=$C$3,ISNUMBER(资金流水!$B$358),ISNUMBER(资金流水!$S$358),资金流水!$S$358&gt;=_辅助!$J$4,资金流水!$S$358&lt;=_辅助!$J$2),INT(资金流水!$B$358)*10000+353,"")</f>
      </c>
    </row>
    <row r="355">
      <c r="BF355" s="2">
        <f>IF(AND($AF$3&gt;0,发票登记!$T$358=$C$3,ISNUMBER(发票登记!$X$358),发票登记!$AB$358&lt;&gt;0,发票登记!$Y$358&gt;=_辅助!$J$4,发票登记!$Y$358&lt;=_辅助!$J$2),INT(发票登记!$X$358)*10000+354,"")</f>
      </c>
      <c r="BG355" s="2">
        <f>IF(AND($AF$3&gt;0,资金流水!$H$359=$C$3,ISNUMBER(资金流水!$B$359),ISNUMBER(资金流水!$S$359),资金流水!$S$359&gt;=_辅助!$J$4,资金流水!$S$359&lt;=_辅助!$J$2),INT(资金流水!$B$359)*10000+354,"")</f>
      </c>
    </row>
    <row r="356">
      <c r="BF356" s="2">
        <f>IF(AND($AF$3&gt;0,发票登记!$T$359=$C$3,ISNUMBER(发票登记!$X$359),发票登记!$AB$359&lt;&gt;0,发票登记!$Y$359&gt;=_辅助!$J$4,发票登记!$Y$359&lt;=_辅助!$J$2),INT(发票登记!$X$359)*10000+355,"")</f>
      </c>
      <c r="BG356" s="2">
        <f>IF(AND($AF$3&gt;0,资金流水!$H$360=$C$3,ISNUMBER(资金流水!$B$360),ISNUMBER(资金流水!$S$360),资金流水!$S$360&gt;=_辅助!$J$4,资金流水!$S$360&lt;=_辅助!$J$2),INT(资金流水!$B$360)*10000+355,"")</f>
      </c>
    </row>
    <row r="357">
      <c r="BF357" s="2">
        <f>IF(AND($AF$3&gt;0,发票登记!$T$360=$C$3,ISNUMBER(发票登记!$X$360),发票登记!$AB$360&lt;&gt;0,发票登记!$Y$360&gt;=_辅助!$J$4,发票登记!$Y$360&lt;=_辅助!$J$2),INT(发票登记!$X$360)*10000+356,"")</f>
      </c>
      <c r="BG357" s="2">
        <f>IF(AND($AF$3&gt;0,资金流水!$H$361=$C$3,ISNUMBER(资金流水!$B$361),ISNUMBER(资金流水!$S$361),资金流水!$S$361&gt;=_辅助!$J$4,资金流水!$S$361&lt;=_辅助!$J$2),INT(资金流水!$B$361)*10000+356,"")</f>
      </c>
    </row>
    <row r="358">
      <c r="BF358" s="2">
        <f>IF(AND($AF$3&gt;0,发票登记!$T$361=$C$3,ISNUMBER(发票登记!$X$361),发票登记!$AB$361&lt;&gt;0,发票登记!$Y$361&gt;=_辅助!$J$4,发票登记!$Y$361&lt;=_辅助!$J$2),INT(发票登记!$X$361)*10000+357,"")</f>
      </c>
      <c r="BG358" s="2">
        <f>IF(AND($AF$3&gt;0,资金流水!$H$362=$C$3,ISNUMBER(资金流水!$B$362),ISNUMBER(资金流水!$S$362),资金流水!$S$362&gt;=_辅助!$J$4,资金流水!$S$362&lt;=_辅助!$J$2),INT(资金流水!$B$362)*10000+357,"")</f>
      </c>
    </row>
    <row r="359">
      <c r="BF359" s="2">
        <f>IF(AND($AF$3&gt;0,发票登记!$T$362=$C$3,ISNUMBER(发票登记!$X$362),发票登记!$AB$362&lt;&gt;0,发票登记!$Y$362&gt;=_辅助!$J$4,发票登记!$Y$362&lt;=_辅助!$J$2),INT(发票登记!$X$362)*10000+358,"")</f>
      </c>
      <c r="BG359" s="2">
        <f>IF(AND($AF$3&gt;0,资金流水!$H$363=$C$3,ISNUMBER(资金流水!$B$363),ISNUMBER(资金流水!$S$363),资金流水!$S$363&gt;=_辅助!$J$4,资金流水!$S$363&lt;=_辅助!$J$2),INT(资金流水!$B$363)*10000+358,"")</f>
      </c>
    </row>
    <row r="360">
      <c r="BF360" s="2">
        <f>IF(AND($AF$3&gt;0,发票登记!$T$363=$C$3,ISNUMBER(发票登记!$X$363),发票登记!$AB$363&lt;&gt;0,发票登记!$Y$363&gt;=_辅助!$J$4,发票登记!$Y$363&lt;=_辅助!$J$2),INT(发票登记!$X$363)*10000+359,"")</f>
      </c>
      <c r="BG360" s="2">
        <f>IF(AND($AF$3&gt;0,资金流水!$H$364=$C$3,ISNUMBER(资金流水!$B$364),ISNUMBER(资金流水!$S$364),资金流水!$S$364&gt;=_辅助!$J$4,资金流水!$S$364&lt;=_辅助!$J$2),INT(资金流水!$B$364)*10000+359,"")</f>
      </c>
    </row>
    <row r="361">
      <c r="BF361" s="2">
        <f>IF(AND($AF$3&gt;0,发票登记!$T$364=$C$3,ISNUMBER(发票登记!$X$364),发票登记!$AB$364&lt;&gt;0,发票登记!$Y$364&gt;=_辅助!$J$4,发票登记!$Y$364&lt;=_辅助!$J$2),INT(发票登记!$X$364)*10000+360,"")</f>
      </c>
      <c r="BG361" s="2">
        <f>IF(AND($AF$3&gt;0,资金流水!$H$365=$C$3,ISNUMBER(资金流水!$B$365),ISNUMBER(资金流水!$S$365),资金流水!$S$365&gt;=_辅助!$J$4,资金流水!$S$365&lt;=_辅助!$J$2),INT(资金流水!$B$365)*10000+360,"")</f>
      </c>
    </row>
    <row r="362">
      <c r="BF362" s="2">
        <f>IF(AND($AF$3&gt;0,发票登记!$T$365=$C$3,ISNUMBER(发票登记!$X$365),发票登记!$AB$365&lt;&gt;0,发票登记!$Y$365&gt;=_辅助!$J$4,发票登记!$Y$365&lt;=_辅助!$J$2),INT(发票登记!$X$365)*10000+361,"")</f>
      </c>
      <c r="BG362" s="2">
        <f>IF(AND($AF$3&gt;0,资金流水!$H$366=$C$3,ISNUMBER(资金流水!$B$366),ISNUMBER(资金流水!$S$366),资金流水!$S$366&gt;=_辅助!$J$4,资金流水!$S$366&lt;=_辅助!$J$2),INT(资金流水!$B$366)*10000+361,"")</f>
      </c>
    </row>
    <row r="363">
      <c r="BF363" s="2">
        <f>IF(AND($AF$3&gt;0,发票登记!$T$366=$C$3,ISNUMBER(发票登记!$X$366),发票登记!$AB$366&lt;&gt;0,发票登记!$Y$366&gt;=_辅助!$J$4,发票登记!$Y$366&lt;=_辅助!$J$2),INT(发票登记!$X$366)*10000+362,"")</f>
      </c>
      <c r="BG363" s="2">
        <f>IF(AND($AF$3&gt;0,资金流水!$H$367=$C$3,ISNUMBER(资金流水!$B$367),ISNUMBER(资金流水!$S$367),资金流水!$S$367&gt;=_辅助!$J$4,资金流水!$S$367&lt;=_辅助!$J$2),INT(资金流水!$B$367)*10000+362,"")</f>
      </c>
    </row>
    <row r="364">
      <c r="BF364" s="2">
        <f>IF(AND($AF$3&gt;0,发票登记!$T$367=$C$3,ISNUMBER(发票登记!$X$367),发票登记!$AB$367&lt;&gt;0,发票登记!$Y$367&gt;=_辅助!$J$4,发票登记!$Y$367&lt;=_辅助!$J$2),INT(发票登记!$X$367)*10000+363,"")</f>
      </c>
      <c r="BG364" s="2">
        <f>IF(AND($AF$3&gt;0,资金流水!$H$368=$C$3,ISNUMBER(资金流水!$B$368),ISNUMBER(资金流水!$S$368),资金流水!$S$368&gt;=_辅助!$J$4,资金流水!$S$368&lt;=_辅助!$J$2),INT(资金流水!$B$368)*10000+363,"")</f>
      </c>
    </row>
    <row r="365">
      <c r="BF365" s="2">
        <f>IF(AND($AF$3&gt;0,发票登记!$T$368=$C$3,ISNUMBER(发票登记!$X$368),发票登记!$AB$368&lt;&gt;0,发票登记!$Y$368&gt;=_辅助!$J$4,发票登记!$Y$368&lt;=_辅助!$J$2),INT(发票登记!$X$368)*10000+364,"")</f>
      </c>
      <c r="BG365" s="2">
        <f>IF(AND($AF$3&gt;0,资金流水!$H$369=$C$3,ISNUMBER(资金流水!$B$369),ISNUMBER(资金流水!$S$369),资金流水!$S$369&gt;=_辅助!$J$4,资金流水!$S$369&lt;=_辅助!$J$2),INT(资金流水!$B$369)*10000+364,"")</f>
      </c>
    </row>
    <row r="366">
      <c r="BF366" s="2">
        <f>IF(AND($AF$3&gt;0,发票登记!$T$369=$C$3,ISNUMBER(发票登记!$X$369),发票登记!$AB$369&lt;&gt;0,发票登记!$Y$369&gt;=_辅助!$J$4,发票登记!$Y$369&lt;=_辅助!$J$2),INT(发票登记!$X$369)*10000+365,"")</f>
      </c>
      <c r="BG366" s="2">
        <f>IF(AND($AF$3&gt;0,资金流水!$H$370=$C$3,ISNUMBER(资金流水!$B$370),ISNUMBER(资金流水!$S$370),资金流水!$S$370&gt;=_辅助!$J$4,资金流水!$S$370&lt;=_辅助!$J$2),INT(资金流水!$B$370)*10000+365,"")</f>
      </c>
    </row>
    <row r="367">
      <c r="BF367" s="2">
        <f>IF(AND($AF$3&gt;0,发票登记!$T$370=$C$3,ISNUMBER(发票登记!$X$370),发票登记!$AB$370&lt;&gt;0,发票登记!$Y$370&gt;=_辅助!$J$4,发票登记!$Y$370&lt;=_辅助!$J$2),INT(发票登记!$X$370)*10000+366,"")</f>
      </c>
      <c r="BG367" s="2">
        <f>IF(AND($AF$3&gt;0,资金流水!$H$371=$C$3,ISNUMBER(资金流水!$B$371),ISNUMBER(资金流水!$S$371),资金流水!$S$371&gt;=_辅助!$J$4,资金流水!$S$371&lt;=_辅助!$J$2),INT(资金流水!$B$371)*10000+366,"")</f>
      </c>
    </row>
    <row r="368">
      <c r="BF368" s="2">
        <f>IF(AND($AF$3&gt;0,发票登记!$T$371=$C$3,ISNUMBER(发票登记!$X$371),发票登记!$AB$371&lt;&gt;0,发票登记!$Y$371&gt;=_辅助!$J$4,发票登记!$Y$371&lt;=_辅助!$J$2),INT(发票登记!$X$371)*10000+367,"")</f>
      </c>
      <c r="BG368" s="2">
        <f>IF(AND($AF$3&gt;0,资金流水!$H$372=$C$3,ISNUMBER(资金流水!$B$372),ISNUMBER(资金流水!$S$372),资金流水!$S$372&gt;=_辅助!$J$4,资金流水!$S$372&lt;=_辅助!$J$2),INT(资金流水!$B$372)*10000+367,"")</f>
      </c>
    </row>
    <row r="369">
      <c r="BF369" s="2">
        <f>IF(AND($AF$3&gt;0,发票登记!$T$372=$C$3,ISNUMBER(发票登记!$X$372),发票登记!$AB$372&lt;&gt;0,发票登记!$Y$372&gt;=_辅助!$J$4,发票登记!$Y$372&lt;=_辅助!$J$2),INT(发票登记!$X$372)*10000+368,"")</f>
      </c>
      <c r="BG369" s="2">
        <f>IF(AND($AF$3&gt;0,资金流水!$H$373=$C$3,ISNUMBER(资金流水!$B$373),ISNUMBER(资金流水!$S$373),资金流水!$S$373&gt;=_辅助!$J$4,资金流水!$S$373&lt;=_辅助!$J$2),INT(资金流水!$B$373)*10000+368,"")</f>
      </c>
    </row>
    <row r="370">
      <c r="BF370" s="2">
        <f>IF(AND($AF$3&gt;0,发票登记!$T$373=$C$3,ISNUMBER(发票登记!$X$373),发票登记!$AB$373&lt;&gt;0,发票登记!$Y$373&gt;=_辅助!$J$4,发票登记!$Y$373&lt;=_辅助!$J$2),INT(发票登记!$X$373)*10000+369,"")</f>
      </c>
      <c r="BG370" s="2">
        <f>IF(AND($AF$3&gt;0,资金流水!$H$374=$C$3,ISNUMBER(资金流水!$B$374),ISNUMBER(资金流水!$S$374),资金流水!$S$374&gt;=_辅助!$J$4,资金流水!$S$374&lt;=_辅助!$J$2),INT(资金流水!$B$374)*10000+369,"")</f>
      </c>
    </row>
    <row r="371">
      <c r="BF371" s="2">
        <f>IF(AND($AF$3&gt;0,发票登记!$T$374=$C$3,ISNUMBER(发票登记!$X$374),发票登记!$AB$374&lt;&gt;0,发票登记!$Y$374&gt;=_辅助!$J$4,发票登记!$Y$374&lt;=_辅助!$J$2),INT(发票登记!$X$374)*10000+370,"")</f>
      </c>
      <c r="BG371" s="2">
        <f>IF(AND($AF$3&gt;0,资金流水!$H$375=$C$3,ISNUMBER(资金流水!$B$375),ISNUMBER(资金流水!$S$375),资金流水!$S$375&gt;=_辅助!$J$4,资金流水!$S$375&lt;=_辅助!$J$2),INT(资金流水!$B$375)*10000+370,"")</f>
      </c>
    </row>
    <row r="372">
      <c r="BF372" s="2">
        <f>IF(AND($AF$3&gt;0,发票登记!$T$375=$C$3,ISNUMBER(发票登记!$X$375),发票登记!$AB$375&lt;&gt;0,发票登记!$Y$375&gt;=_辅助!$J$4,发票登记!$Y$375&lt;=_辅助!$J$2),INT(发票登记!$X$375)*10000+371,"")</f>
      </c>
      <c r="BG372" s="2">
        <f>IF(AND($AF$3&gt;0,资金流水!$H$376=$C$3,ISNUMBER(资金流水!$B$376),ISNUMBER(资金流水!$S$376),资金流水!$S$376&gt;=_辅助!$J$4,资金流水!$S$376&lt;=_辅助!$J$2),INT(资金流水!$B$376)*10000+371,"")</f>
      </c>
    </row>
    <row r="373">
      <c r="BF373" s="2">
        <f>IF(AND($AF$3&gt;0,发票登记!$T$376=$C$3,ISNUMBER(发票登记!$X$376),发票登记!$AB$376&lt;&gt;0,发票登记!$Y$376&gt;=_辅助!$J$4,发票登记!$Y$376&lt;=_辅助!$J$2),INT(发票登记!$X$376)*10000+372,"")</f>
      </c>
      <c r="BG373" s="2">
        <f>IF(AND($AF$3&gt;0,资金流水!$H$377=$C$3,ISNUMBER(资金流水!$B$377),ISNUMBER(资金流水!$S$377),资金流水!$S$377&gt;=_辅助!$J$4,资金流水!$S$377&lt;=_辅助!$J$2),INT(资金流水!$B$377)*10000+372,"")</f>
      </c>
    </row>
    <row r="374">
      <c r="BF374" s="2">
        <f>IF(AND($AF$3&gt;0,发票登记!$T$377=$C$3,ISNUMBER(发票登记!$X$377),发票登记!$AB$377&lt;&gt;0,发票登记!$Y$377&gt;=_辅助!$J$4,发票登记!$Y$377&lt;=_辅助!$J$2),INT(发票登记!$X$377)*10000+373,"")</f>
      </c>
      <c r="BG374" s="2">
        <f>IF(AND($AF$3&gt;0,资金流水!$H$378=$C$3,ISNUMBER(资金流水!$B$378),ISNUMBER(资金流水!$S$378),资金流水!$S$378&gt;=_辅助!$J$4,资金流水!$S$378&lt;=_辅助!$J$2),INT(资金流水!$B$378)*10000+373,"")</f>
      </c>
    </row>
    <row r="375">
      <c r="BF375" s="2">
        <f>IF(AND($AF$3&gt;0,发票登记!$T$378=$C$3,ISNUMBER(发票登记!$X$378),发票登记!$AB$378&lt;&gt;0,发票登记!$Y$378&gt;=_辅助!$J$4,发票登记!$Y$378&lt;=_辅助!$J$2),INT(发票登记!$X$378)*10000+374,"")</f>
      </c>
      <c r="BG375" s="2">
        <f>IF(AND($AF$3&gt;0,资金流水!$H$379=$C$3,ISNUMBER(资金流水!$B$379),ISNUMBER(资金流水!$S$379),资金流水!$S$379&gt;=_辅助!$J$4,资金流水!$S$379&lt;=_辅助!$J$2),INT(资金流水!$B$379)*10000+374,"")</f>
      </c>
    </row>
    <row r="376">
      <c r="BF376" s="2">
        <f>IF(AND($AF$3&gt;0,发票登记!$T$379=$C$3,ISNUMBER(发票登记!$X$379),发票登记!$AB$379&lt;&gt;0,发票登记!$Y$379&gt;=_辅助!$J$4,发票登记!$Y$379&lt;=_辅助!$J$2),INT(发票登记!$X$379)*10000+375,"")</f>
      </c>
      <c r="BG376" s="2">
        <f>IF(AND($AF$3&gt;0,资金流水!$H$380=$C$3,ISNUMBER(资金流水!$B$380),ISNUMBER(资金流水!$S$380),资金流水!$S$380&gt;=_辅助!$J$4,资金流水!$S$380&lt;=_辅助!$J$2),INT(资金流水!$B$380)*10000+375,"")</f>
      </c>
    </row>
    <row r="377">
      <c r="BF377" s="2">
        <f>IF(AND($AF$3&gt;0,发票登记!$T$380=$C$3,ISNUMBER(发票登记!$X$380),发票登记!$AB$380&lt;&gt;0,发票登记!$Y$380&gt;=_辅助!$J$4,发票登记!$Y$380&lt;=_辅助!$J$2),INT(发票登记!$X$380)*10000+376,"")</f>
      </c>
      <c r="BG377" s="2">
        <f>IF(AND($AF$3&gt;0,资金流水!$H$381=$C$3,ISNUMBER(资金流水!$B$381),ISNUMBER(资金流水!$S$381),资金流水!$S$381&gt;=_辅助!$J$4,资金流水!$S$381&lt;=_辅助!$J$2),INT(资金流水!$B$381)*10000+376,"")</f>
      </c>
    </row>
    <row r="378">
      <c r="BF378" s="2">
        <f>IF(AND($AF$3&gt;0,发票登记!$T$381=$C$3,ISNUMBER(发票登记!$X$381),发票登记!$AB$381&lt;&gt;0,发票登记!$Y$381&gt;=_辅助!$J$4,发票登记!$Y$381&lt;=_辅助!$J$2),INT(发票登记!$X$381)*10000+377,"")</f>
      </c>
      <c r="BG378" s="2">
        <f>IF(AND($AF$3&gt;0,资金流水!$H$382=$C$3,ISNUMBER(资金流水!$B$382),ISNUMBER(资金流水!$S$382),资金流水!$S$382&gt;=_辅助!$J$4,资金流水!$S$382&lt;=_辅助!$J$2),INT(资金流水!$B$382)*10000+377,"")</f>
      </c>
    </row>
    <row r="379">
      <c r="BF379" s="2">
        <f>IF(AND($AF$3&gt;0,发票登记!$T$382=$C$3,ISNUMBER(发票登记!$X$382),发票登记!$AB$382&lt;&gt;0,发票登记!$Y$382&gt;=_辅助!$J$4,发票登记!$Y$382&lt;=_辅助!$J$2),INT(发票登记!$X$382)*10000+378,"")</f>
      </c>
      <c r="BG379" s="2">
        <f>IF(AND($AF$3&gt;0,资金流水!$H$383=$C$3,ISNUMBER(资金流水!$B$383),ISNUMBER(资金流水!$S$383),资金流水!$S$383&gt;=_辅助!$J$4,资金流水!$S$383&lt;=_辅助!$J$2),INT(资金流水!$B$383)*10000+378,"")</f>
      </c>
    </row>
    <row r="380">
      <c r="BF380" s="2">
        <f>IF(AND($AF$3&gt;0,发票登记!$T$383=$C$3,ISNUMBER(发票登记!$X$383),发票登记!$AB$383&lt;&gt;0,发票登记!$Y$383&gt;=_辅助!$J$4,发票登记!$Y$383&lt;=_辅助!$J$2),INT(发票登记!$X$383)*10000+379,"")</f>
      </c>
      <c r="BG380" s="2">
        <f>IF(AND($AF$3&gt;0,资金流水!$H$384=$C$3,ISNUMBER(资金流水!$B$384),ISNUMBER(资金流水!$S$384),资金流水!$S$384&gt;=_辅助!$J$4,资金流水!$S$384&lt;=_辅助!$J$2),INT(资金流水!$B$384)*10000+379,"")</f>
      </c>
    </row>
    <row r="381">
      <c r="BF381" s="2">
        <f>IF(AND($AF$3&gt;0,发票登记!$T$384=$C$3,ISNUMBER(发票登记!$X$384),发票登记!$AB$384&lt;&gt;0,发票登记!$Y$384&gt;=_辅助!$J$4,发票登记!$Y$384&lt;=_辅助!$J$2),INT(发票登记!$X$384)*10000+380,"")</f>
      </c>
      <c r="BG381" s="2">
        <f>IF(AND($AF$3&gt;0,资金流水!$H$385=$C$3,ISNUMBER(资金流水!$B$385),ISNUMBER(资金流水!$S$385),资金流水!$S$385&gt;=_辅助!$J$4,资金流水!$S$385&lt;=_辅助!$J$2),INT(资金流水!$B$385)*10000+380,"")</f>
      </c>
    </row>
    <row r="382">
      <c r="BF382" s="2">
        <f>IF(AND($AF$3&gt;0,发票登记!$T$385=$C$3,ISNUMBER(发票登记!$X$385),发票登记!$AB$385&lt;&gt;0,发票登记!$Y$385&gt;=_辅助!$J$4,发票登记!$Y$385&lt;=_辅助!$J$2),INT(发票登记!$X$385)*10000+381,"")</f>
      </c>
      <c r="BG382" s="2">
        <f>IF(AND($AF$3&gt;0,资金流水!$H$386=$C$3,ISNUMBER(资金流水!$B$386),ISNUMBER(资金流水!$S$386),资金流水!$S$386&gt;=_辅助!$J$4,资金流水!$S$386&lt;=_辅助!$J$2),INT(资金流水!$B$386)*10000+381,"")</f>
      </c>
    </row>
    <row r="383">
      <c r="BF383" s="2">
        <f>IF(AND($AF$3&gt;0,发票登记!$T$386=$C$3,ISNUMBER(发票登记!$X$386),发票登记!$AB$386&lt;&gt;0,发票登记!$Y$386&gt;=_辅助!$J$4,发票登记!$Y$386&lt;=_辅助!$J$2),INT(发票登记!$X$386)*10000+382,"")</f>
      </c>
      <c r="BG383" s="2">
        <f>IF(AND($AF$3&gt;0,资金流水!$H$387=$C$3,ISNUMBER(资金流水!$B$387),ISNUMBER(资金流水!$S$387),资金流水!$S$387&gt;=_辅助!$J$4,资金流水!$S$387&lt;=_辅助!$J$2),INT(资金流水!$B$387)*10000+382,"")</f>
      </c>
    </row>
    <row r="384">
      <c r="BF384" s="2">
        <f>IF(AND($AF$3&gt;0,发票登记!$T$387=$C$3,ISNUMBER(发票登记!$X$387),发票登记!$AB$387&lt;&gt;0,发票登记!$Y$387&gt;=_辅助!$J$4,发票登记!$Y$387&lt;=_辅助!$J$2),INT(发票登记!$X$387)*10000+383,"")</f>
      </c>
      <c r="BG384" s="2">
        <f>IF(AND($AF$3&gt;0,资金流水!$H$388=$C$3,ISNUMBER(资金流水!$B$388),ISNUMBER(资金流水!$S$388),资金流水!$S$388&gt;=_辅助!$J$4,资金流水!$S$388&lt;=_辅助!$J$2),INT(资金流水!$B$388)*10000+383,"")</f>
      </c>
    </row>
    <row r="385">
      <c r="BF385" s="2">
        <f>IF(AND($AF$3&gt;0,发票登记!$T$388=$C$3,ISNUMBER(发票登记!$X$388),发票登记!$AB$388&lt;&gt;0,发票登记!$Y$388&gt;=_辅助!$J$4,发票登记!$Y$388&lt;=_辅助!$J$2),INT(发票登记!$X$388)*10000+384,"")</f>
      </c>
      <c r="BG385" s="2">
        <f>IF(AND($AF$3&gt;0,资金流水!$H$389=$C$3,ISNUMBER(资金流水!$B$389),ISNUMBER(资金流水!$S$389),资金流水!$S$389&gt;=_辅助!$J$4,资金流水!$S$389&lt;=_辅助!$J$2),INT(资金流水!$B$389)*10000+384,"")</f>
      </c>
    </row>
    <row r="386">
      <c r="BF386" s="2">
        <f>IF(AND($AF$3&gt;0,发票登记!$T$389=$C$3,ISNUMBER(发票登记!$X$389),发票登记!$AB$389&lt;&gt;0,发票登记!$Y$389&gt;=_辅助!$J$4,发票登记!$Y$389&lt;=_辅助!$J$2),INT(发票登记!$X$389)*10000+385,"")</f>
      </c>
      <c r="BG386" s="2">
        <f>IF(AND($AF$3&gt;0,资金流水!$H$390=$C$3,ISNUMBER(资金流水!$B$390),ISNUMBER(资金流水!$S$390),资金流水!$S$390&gt;=_辅助!$J$4,资金流水!$S$390&lt;=_辅助!$J$2),INT(资金流水!$B$390)*10000+385,"")</f>
      </c>
    </row>
    <row r="387">
      <c r="BF387" s="2">
        <f>IF(AND($AF$3&gt;0,发票登记!$T$390=$C$3,ISNUMBER(发票登记!$X$390),发票登记!$AB$390&lt;&gt;0,发票登记!$Y$390&gt;=_辅助!$J$4,发票登记!$Y$390&lt;=_辅助!$J$2),INT(发票登记!$X$390)*10000+386,"")</f>
      </c>
      <c r="BG387" s="2">
        <f>IF(AND($AF$3&gt;0,资金流水!$H$391=$C$3,ISNUMBER(资金流水!$B$391),ISNUMBER(资金流水!$S$391),资金流水!$S$391&gt;=_辅助!$J$4,资金流水!$S$391&lt;=_辅助!$J$2),INT(资金流水!$B$391)*10000+386,"")</f>
      </c>
    </row>
    <row r="388">
      <c r="BF388" s="2">
        <f>IF(AND($AF$3&gt;0,发票登记!$T$391=$C$3,ISNUMBER(发票登记!$X$391),发票登记!$AB$391&lt;&gt;0,发票登记!$Y$391&gt;=_辅助!$J$4,发票登记!$Y$391&lt;=_辅助!$J$2),INT(发票登记!$X$391)*10000+387,"")</f>
      </c>
      <c r="BG388" s="2">
        <f>IF(AND($AF$3&gt;0,资金流水!$H$392=$C$3,ISNUMBER(资金流水!$B$392),ISNUMBER(资金流水!$S$392),资金流水!$S$392&gt;=_辅助!$J$4,资金流水!$S$392&lt;=_辅助!$J$2),INT(资金流水!$B$392)*10000+387,"")</f>
      </c>
    </row>
    <row r="389">
      <c r="BF389" s="2">
        <f>IF(AND($AF$3&gt;0,发票登记!$T$392=$C$3,ISNUMBER(发票登记!$X$392),发票登记!$AB$392&lt;&gt;0,发票登记!$Y$392&gt;=_辅助!$J$4,发票登记!$Y$392&lt;=_辅助!$J$2),INT(发票登记!$X$392)*10000+388,"")</f>
      </c>
      <c r="BG389" s="2">
        <f>IF(AND($AF$3&gt;0,资金流水!$H$393=$C$3,ISNUMBER(资金流水!$B$393),ISNUMBER(资金流水!$S$393),资金流水!$S$393&gt;=_辅助!$J$4,资金流水!$S$393&lt;=_辅助!$J$2),INT(资金流水!$B$393)*10000+388,"")</f>
      </c>
    </row>
    <row r="390">
      <c r="BF390" s="2">
        <f>IF(AND($AF$3&gt;0,发票登记!$T$393=$C$3,ISNUMBER(发票登记!$X$393),发票登记!$AB$393&lt;&gt;0,发票登记!$Y$393&gt;=_辅助!$J$4,发票登记!$Y$393&lt;=_辅助!$J$2),INT(发票登记!$X$393)*10000+389,"")</f>
      </c>
      <c r="BG390" s="2">
        <f>IF(AND($AF$3&gt;0,资金流水!$H$394=$C$3,ISNUMBER(资金流水!$B$394),ISNUMBER(资金流水!$S$394),资金流水!$S$394&gt;=_辅助!$J$4,资金流水!$S$394&lt;=_辅助!$J$2),INT(资金流水!$B$394)*10000+389,"")</f>
      </c>
    </row>
    <row r="391">
      <c r="BF391" s="2">
        <f>IF(AND($AF$3&gt;0,发票登记!$T$394=$C$3,ISNUMBER(发票登记!$X$394),发票登记!$AB$394&lt;&gt;0,发票登记!$Y$394&gt;=_辅助!$J$4,发票登记!$Y$394&lt;=_辅助!$J$2),INT(发票登记!$X$394)*10000+390,"")</f>
      </c>
      <c r="BG391" s="2">
        <f>IF(AND($AF$3&gt;0,资金流水!$H$395=$C$3,ISNUMBER(资金流水!$B$395),ISNUMBER(资金流水!$S$395),资金流水!$S$395&gt;=_辅助!$J$4,资金流水!$S$395&lt;=_辅助!$J$2),INT(资金流水!$B$395)*10000+390,"")</f>
      </c>
    </row>
    <row r="392">
      <c r="BF392" s="2">
        <f>IF(AND($AF$3&gt;0,发票登记!$T$395=$C$3,ISNUMBER(发票登记!$X$395),发票登记!$AB$395&lt;&gt;0,发票登记!$Y$395&gt;=_辅助!$J$4,发票登记!$Y$395&lt;=_辅助!$J$2),INT(发票登记!$X$395)*10000+391,"")</f>
      </c>
      <c r="BG392" s="2">
        <f>IF(AND($AF$3&gt;0,资金流水!$H$396=$C$3,ISNUMBER(资金流水!$B$396),ISNUMBER(资金流水!$S$396),资金流水!$S$396&gt;=_辅助!$J$4,资金流水!$S$396&lt;=_辅助!$J$2),INT(资金流水!$B$396)*10000+391,"")</f>
      </c>
    </row>
    <row r="393">
      <c r="BF393" s="2">
        <f>IF(AND($AF$3&gt;0,发票登记!$T$396=$C$3,ISNUMBER(发票登记!$X$396),发票登记!$AB$396&lt;&gt;0,发票登记!$Y$396&gt;=_辅助!$J$4,发票登记!$Y$396&lt;=_辅助!$J$2),INT(发票登记!$X$396)*10000+392,"")</f>
      </c>
      <c r="BG393" s="2">
        <f>IF(AND($AF$3&gt;0,资金流水!$H$397=$C$3,ISNUMBER(资金流水!$B$397),ISNUMBER(资金流水!$S$397),资金流水!$S$397&gt;=_辅助!$J$4,资金流水!$S$397&lt;=_辅助!$J$2),INT(资金流水!$B$397)*10000+392,"")</f>
      </c>
    </row>
    <row r="394">
      <c r="BF394" s="2">
        <f>IF(AND($AF$3&gt;0,发票登记!$T$397=$C$3,ISNUMBER(发票登记!$X$397),发票登记!$AB$397&lt;&gt;0,发票登记!$Y$397&gt;=_辅助!$J$4,发票登记!$Y$397&lt;=_辅助!$J$2),INT(发票登记!$X$397)*10000+393,"")</f>
      </c>
      <c r="BG394" s="2">
        <f>IF(AND($AF$3&gt;0,资金流水!$H$398=$C$3,ISNUMBER(资金流水!$B$398),ISNUMBER(资金流水!$S$398),资金流水!$S$398&gt;=_辅助!$J$4,资金流水!$S$398&lt;=_辅助!$J$2),INT(资金流水!$B$398)*10000+393,"")</f>
      </c>
    </row>
    <row r="395">
      <c r="BF395" s="2">
        <f>IF(AND($AF$3&gt;0,发票登记!$T$398=$C$3,ISNUMBER(发票登记!$X$398),发票登记!$AB$398&lt;&gt;0,发票登记!$Y$398&gt;=_辅助!$J$4,发票登记!$Y$398&lt;=_辅助!$J$2),INT(发票登记!$X$398)*10000+394,"")</f>
      </c>
      <c r="BG395" s="2">
        <f>IF(AND($AF$3&gt;0,资金流水!$H$399=$C$3,ISNUMBER(资金流水!$B$399),ISNUMBER(资金流水!$S$399),资金流水!$S$399&gt;=_辅助!$J$4,资金流水!$S$399&lt;=_辅助!$J$2),INT(资金流水!$B$399)*10000+394,"")</f>
      </c>
    </row>
    <row r="396">
      <c r="BF396" s="2">
        <f>IF(AND($AF$3&gt;0,发票登记!$T$399=$C$3,ISNUMBER(发票登记!$X$399),发票登记!$AB$399&lt;&gt;0,发票登记!$Y$399&gt;=_辅助!$J$4,发票登记!$Y$399&lt;=_辅助!$J$2),INT(发票登记!$X$399)*10000+395,"")</f>
      </c>
      <c r="BG396" s="2">
        <f>IF(AND($AF$3&gt;0,资金流水!$H$400=$C$3,ISNUMBER(资金流水!$B$400),ISNUMBER(资金流水!$S$400),资金流水!$S$400&gt;=_辅助!$J$4,资金流水!$S$400&lt;=_辅助!$J$2),INT(资金流水!$B$400)*10000+395,"")</f>
      </c>
    </row>
    <row r="397">
      <c r="BF397" s="2">
        <f>IF(AND($AF$3&gt;0,发票登记!$T$400=$C$3,ISNUMBER(发票登记!$X$400),发票登记!$AB$400&lt;&gt;0,发票登记!$Y$400&gt;=_辅助!$J$4,发票登记!$Y$400&lt;=_辅助!$J$2),INT(发票登记!$X$400)*10000+396,"")</f>
      </c>
      <c r="BG397" s="2">
        <f>IF(AND($AF$3&gt;0,资金流水!$H$401=$C$3,ISNUMBER(资金流水!$B$401),ISNUMBER(资金流水!$S$401),资金流水!$S$401&gt;=_辅助!$J$4,资金流水!$S$401&lt;=_辅助!$J$2),INT(资金流水!$B$401)*10000+396,"")</f>
      </c>
    </row>
    <row r="398">
      <c r="BF398" s="2">
        <f>IF(AND($AF$3&gt;0,发票登记!$T$401=$C$3,ISNUMBER(发票登记!$X$401),发票登记!$AB$401&lt;&gt;0,发票登记!$Y$401&gt;=_辅助!$J$4,发票登记!$Y$401&lt;=_辅助!$J$2),INT(发票登记!$X$401)*10000+397,"")</f>
      </c>
      <c r="BG398" s="2">
        <f>IF(AND($AF$3&gt;0,资金流水!$H$402=$C$3,ISNUMBER(资金流水!$B$402),ISNUMBER(资金流水!$S$402),资金流水!$S$402&gt;=_辅助!$J$4,资金流水!$S$402&lt;=_辅助!$J$2),INT(资金流水!$B$402)*10000+397,"")</f>
      </c>
    </row>
    <row r="399">
      <c r="BF399" s="2">
        <f>IF(AND($AF$3&gt;0,发票登记!$T$402=$C$3,ISNUMBER(发票登记!$X$402),发票登记!$AB$402&lt;&gt;0,发票登记!$Y$402&gt;=_辅助!$J$4,发票登记!$Y$402&lt;=_辅助!$J$2),INT(发票登记!$X$402)*10000+398,"")</f>
      </c>
      <c r="BG399" s="2">
        <f>IF(AND($AF$3&gt;0,资金流水!$H$403=$C$3,ISNUMBER(资金流水!$B$403),ISNUMBER(资金流水!$S$403),资金流水!$S$403&gt;=_辅助!$J$4,资金流水!$S$403&lt;=_辅助!$J$2),INT(资金流水!$B$403)*10000+398,"")</f>
      </c>
    </row>
    <row r="400">
      <c r="BF400" s="2">
        <f>IF(AND($AF$3&gt;0,发票登记!$T$403=$C$3,ISNUMBER(发票登记!$X$403),发票登记!$AB$403&lt;&gt;0,发票登记!$Y$403&gt;=_辅助!$J$4,发票登记!$Y$403&lt;=_辅助!$J$2),INT(发票登记!$X$403)*10000+399,"")</f>
      </c>
      <c r="BG400" s="2">
        <f>IF(AND($AF$3&gt;0,资金流水!$H$404=$C$3,ISNUMBER(资金流水!$B$404),ISNUMBER(资金流水!$S$404),资金流水!$S$404&gt;=_辅助!$J$4,资金流水!$S$404&lt;=_辅助!$J$2),INT(资金流水!$B$404)*10000+399,"")</f>
      </c>
    </row>
    <row r="401">
      <c r="BF401" s="2">
        <f>IF(AND($AF$3&gt;0,发票登记!$T$404=$C$3,ISNUMBER(发票登记!$X$404),发票登记!$AB$404&lt;&gt;0,发票登记!$Y$404&gt;=_辅助!$J$4,发票登记!$Y$404&lt;=_辅助!$J$2),INT(发票登记!$X$404)*10000+400,"")</f>
      </c>
      <c r="BG401" s="2">
        <f>IF(AND($AF$3&gt;0,资金流水!$H$405=$C$3,ISNUMBER(资金流水!$B$405),ISNUMBER(资金流水!$S$405),资金流水!$S$405&gt;=_辅助!$J$4,资金流水!$S$405&lt;=_辅助!$J$2),INT(资金流水!$B$405)*10000+400,"")</f>
      </c>
    </row>
    <row r="402">
      <c r="BF402" s="2">
        <f>IF(AND($AF$3&gt;0,发票登记!$T$405=$C$3,ISNUMBER(发票登记!$X$405),发票登记!$AB$405&lt;&gt;0,发票登记!$Y$405&gt;=_辅助!$J$4,发票登记!$Y$405&lt;=_辅助!$J$2),INT(发票登记!$X$405)*10000+401,"")</f>
      </c>
      <c r="BG402" s="2">
        <f>IF(AND($AF$3&gt;0,资金流水!$H$406=$C$3,ISNUMBER(资金流水!$B$406),ISNUMBER(资金流水!$S$406),资金流水!$S$406&gt;=_辅助!$J$4,资金流水!$S$406&lt;=_辅助!$J$2),INT(资金流水!$B$406)*10000+401,"")</f>
      </c>
    </row>
    <row r="403">
      <c r="BF403" s="2">
        <f>IF(AND($AF$3&gt;0,发票登记!$T$406=$C$3,ISNUMBER(发票登记!$X$406),发票登记!$AB$406&lt;&gt;0,发票登记!$Y$406&gt;=_辅助!$J$4,发票登记!$Y$406&lt;=_辅助!$J$2),INT(发票登记!$X$406)*10000+402,"")</f>
      </c>
      <c r="BG403" s="2">
        <f>IF(AND($AF$3&gt;0,资金流水!$H$407=$C$3,ISNUMBER(资金流水!$B$407),ISNUMBER(资金流水!$S$407),资金流水!$S$407&gt;=_辅助!$J$4,资金流水!$S$407&lt;=_辅助!$J$2),INT(资金流水!$B$407)*10000+402,"")</f>
      </c>
    </row>
    <row r="404">
      <c r="BF404" s="2">
        <f>IF(AND($AF$3&gt;0,发票登记!$T$407=$C$3,ISNUMBER(发票登记!$X$407),发票登记!$AB$407&lt;&gt;0,发票登记!$Y$407&gt;=_辅助!$J$4,发票登记!$Y$407&lt;=_辅助!$J$2),INT(发票登记!$X$407)*10000+403,"")</f>
      </c>
      <c r="BG404" s="2">
        <f>IF(AND($AF$3&gt;0,资金流水!$H$408=$C$3,ISNUMBER(资金流水!$B$408),ISNUMBER(资金流水!$S$408),资金流水!$S$408&gt;=_辅助!$J$4,资金流水!$S$408&lt;=_辅助!$J$2),INT(资金流水!$B$408)*10000+403,"")</f>
      </c>
    </row>
    <row r="405">
      <c r="BF405" s="2">
        <f>IF(AND($AF$3&gt;0,发票登记!$T$408=$C$3,ISNUMBER(发票登记!$X$408),发票登记!$AB$408&lt;&gt;0,发票登记!$Y$408&gt;=_辅助!$J$4,发票登记!$Y$408&lt;=_辅助!$J$2),INT(发票登记!$X$408)*10000+404,"")</f>
      </c>
      <c r="BG405" s="2">
        <f>IF(AND($AF$3&gt;0,资金流水!$H$409=$C$3,ISNUMBER(资金流水!$B$409),ISNUMBER(资金流水!$S$409),资金流水!$S$409&gt;=_辅助!$J$4,资金流水!$S$409&lt;=_辅助!$J$2),INT(资金流水!$B$409)*10000+404,"")</f>
      </c>
    </row>
    <row r="406">
      <c r="BF406" s="2">
        <f>IF(AND($AF$3&gt;0,发票登记!$T$409=$C$3,ISNUMBER(发票登记!$X$409),发票登记!$AB$409&lt;&gt;0,发票登记!$Y$409&gt;=_辅助!$J$4,发票登记!$Y$409&lt;=_辅助!$J$2),INT(发票登记!$X$409)*10000+405,"")</f>
      </c>
      <c r="BG406" s="2">
        <f>IF(AND($AF$3&gt;0,资金流水!$H$410=$C$3,ISNUMBER(资金流水!$B$410),ISNUMBER(资金流水!$S$410),资金流水!$S$410&gt;=_辅助!$J$4,资金流水!$S$410&lt;=_辅助!$J$2),INT(资金流水!$B$410)*10000+405,"")</f>
      </c>
    </row>
    <row r="407">
      <c r="BF407" s="2">
        <f>IF(AND($AF$3&gt;0,发票登记!$T$410=$C$3,ISNUMBER(发票登记!$X$410),发票登记!$AB$410&lt;&gt;0,发票登记!$Y$410&gt;=_辅助!$J$4,发票登记!$Y$410&lt;=_辅助!$J$2),INT(发票登记!$X$410)*10000+406,"")</f>
      </c>
      <c r="BG407" s="2">
        <f>IF(AND($AF$3&gt;0,资金流水!$H$411=$C$3,ISNUMBER(资金流水!$B$411),ISNUMBER(资金流水!$S$411),资金流水!$S$411&gt;=_辅助!$J$4,资金流水!$S$411&lt;=_辅助!$J$2),INT(资金流水!$B$411)*10000+406,"")</f>
      </c>
    </row>
    <row r="408">
      <c r="BF408" s="2">
        <f>IF(AND($AF$3&gt;0,发票登记!$T$411=$C$3,ISNUMBER(发票登记!$X$411),发票登记!$AB$411&lt;&gt;0,发票登记!$Y$411&gt;=_辅助!$J$4,发票登记!$Y$411&lt;=_辅助!$J$2),INT(发票登记!$X$411)*10000+407,"")</f>
      </c>
      <c r="BG408" s="2">
        <f>IF(AND($AF$3&gt;0,资金流水!$H$412=$C$3,ISNUMBER(资金流水!$B$412),ISNUMBER(资金流水!$S$412),资金流水!$S$412&gt;=_辅助!$J$4,资金流水!$S$412&lt;=_辅助!$J$2),INT(资金流水!$B$412)*10000+407,"")</f>
      </c>
    </row>
    <row r="409">
      <c r="BF409" s="2">
        <f>IF(AND($AF$3&gt;0,发票登记!$T$412=$C$3,ISNUMBER(发票登记!$X$412),发票登记!$AB$412&lt;&gt;0,发票登记!$Y$412&gt;=_辅助!$J$4,发票登记!$Y$412&lt;=_辅助!$J$2),INT(发票登记!$X$412)*10000+408,"")</f>
      </c>
      <c r="BG409" s="2">
        <f>IF(AND($AF$3&gt;0,资金流水!$H$413=$C$3,ISNUMBER(资金流水!$B$413),ISNUMBER(资金流水!$S$413),资金流水!$S$413&gt;=_辅助!$J$4,资金流水!$S$413&lt;=_辅助!$J$2),INT(资金流水!$B$413)*10000+408,"")</f>
      </c>
    </row>
    <row r="410">
      <c r="BF410" s="2">
        <f>IF(AND($AF$3&gt;0,发票登记!$T$413=$C$3,ISNUMBER(发票登记!$X$413),发票登记!$AB$413&lt;&gt;0,发票登记!$Y$413&gt;=_辅助!$J$4,发票登记!$Y$413&lt;=_辅助!$J$2),INT(发票登记!$X$413)*10000+409,"")</f>
      </c>
      <c r="BG410" s="2">
        <f>IF(AND($AF$3&gt;0,资金流水!$H$414=$C$3,ISNUMBER(资金流水!$B$414),ISNUMBER(资金流水!$S$414),资金流水!$S$414&gt;=_辅助!$J$4,资金流水!$S$414&lt;=_辅助!$J$2),INT(资金流水!$B$414)*10000+409,"")</f>
      </c>
    </row>
    <row r="411">
      <c r="BF411" s="2">
        <f>IF(AND($AF$3&gt;0,发票登记!$T$414=$C$3,ISNUMBER(发票登记!$X$414),发票登记!$AB$414&lt;&gt;0,发票登记!$Y$414&gt;=_辅助!$J$4,发票登记!$Y$414&lt;=_辅助!$J$2),INT(发票登记!$X$414)*10000+410,"")</f>
      </c>
      <c r="BG411" s="2">
        <f>IF(AND($AF$3&gt;0,资金流水!$H$415=$C$3,ISNUMBER(资金流水!$B$415),ISNUMBER(资金流水!$S$415),资金流水!$S$415&gt;=_辅助!$J$4,资金流水!$S$415&lt;=_辅助!$J$2),INT(资金流水!$B$415)*10000+410,"")</f>
      </c>
    </row>
    <row r="412">
      <c r="BF412" s="2">
        <f>IF(AND($AF$3&gt;0,发票登记!$T$415=$C$3,ISNUMBER(发票登记!$X$415),发票登记!$AB$415&lt;&gt;0,发票登记!$Y$415&gt;=_辅助!$J$4,发票登记!$Y$415&lt;=_辅助!$J$2),INT(发票登记!$X$415)*10000+411,"")</f>
      </c>
      <c r="BG412" s="2">
        <f>IF(AND($AF$3&gt;0,资金流水!$H$416=$C$3,ISNUMBER(资金流水!$B$416),ISNUMBER(资金流水!$S$416),资金流水!$S$416&gt;=_辅助!$J$4,资金流水!$S$416&lt;=_辅助!$J$2),INT(资金流水!$B$416)*10000+411,"")</f>
      </c>
    </row>
    <row r="413">
      <c r="BF413" s="2">
        <f>IF(AND($AF$3&gt;0,发票登记!$T$416=$C$3,ISNUMBER(发票登记!$X$416),发票登记!$AB$416&lt;&gt;0,发票登记!$Y$416&gt;=_辅助!$J$4,发票登记!$Y$416&lt;=_辅助!$J$2),INT(发票登记!$X$416)*10000+412,"")</f>
      </c>
      <c r="BG413" s="2">
        <f>IF(AND($AF$3&gt;0,资金流水!$H$417=$C$3,ISNUMBER(资金流水!$B$417),ISNUMBER(资金流水!$S$417),资金流水!$S$417&gt;=_辅助!$J$4,资金流水!$S$417&lt;=_辅助!$J$2),INT(资金流水!$B$417)*10000+412,"")</f>
      </c>
    </row>
    <row r="414">
      <c r="BF414" s="2">
        <f>IF(AND($AF$3&gt;0,发票登记!$T$417=$C$3,ISNUMBER(发票登记!$X$417),发票登记!$AB$417&lt;&gt;0,发票登记!$Y$417&gt;=_辅助!$J$4,发票登记!$Y$417&lt;=_辅助!$J$2),INT(发票登记!$X$417)*10000+413,"")</f>
      </c>
      <c r="BG414" s="2">
        <f>IF(AND($AF$3&gt;0,资金流水!$H$418=$C$3,ISNUMBER(资金流水!$B$418),ISNUMBER(资金流水!$S$418),资金流水!$S$418&gt;=_辅助!$J$4,资金流水!$S$418&lt;=_辅助!$J$2),INT(资金流水!$B$418)*10000+413,"")</f>
      </c>
    </row>
    <row r="415">
      <c r="BF415" s="2">
        <f>IF(AND($AF$3&gt;0,发票登记!$T$418=$C$3,ISNUMBER(发票登记!$X$418),发票登记!$AB$418&lt;&gt;0,发票登记!$Y$418&gt;=_辅助!$J$4,发票登记!$Y$418&lt;=_辅助!$J$2),INT(发票登记!$X$418)*10000+414,"")</f>
      </c>
      <c r="BG415" s="2">
        <f>IF(AND($AF$3&gt;0,资金流水!$H$419=$C$3,ISNUMBER(资金流水!$B$419),ISNUMBER(资金流水!$S$419),资金流水!$S$419&gt;=_辅助!$J$4,资金流水!$S$419&lt;=_辅助!$J$2),INT(资金流水!$B$419)*10000+414,"")</f>
      </c>
    </row>
    <row r="416">
      <c r="BF416" s="2">
        <f>IF(AND($AF$3&gt;0,发票登记!$T$419=$C$3,ISNUMBER(发票登记!$X$419),发票登记!$AB$419&lt;&gt;0,发票登记!$Y$419&gt;=_辅助!$J$4,发票登记!$Y$419&lt;=_辅助!$J$2),INT(发票登记!$X$419)*10000+415,"")</f>
      </c>
      <c r="BG416" s="2">
        <f>IF(AND($AF$3&gt;0,资金流水!$H$420=$C$3,ISNUMBER(资金流水!$B$420),ISNUMBER(资金流水!$S$420),资金流水!$S$420&gt;=_辅助!$J$4,资金流水!$S$420&lt;=_辅助!$J$2),INT(资金流水!$B$420)*10000+415,"")</f>
      </c>
    </row>
    <row r="417">
      <c r="BF417" s="2">
        <f>IF(AND($AF$3&gt;0,发票登记!$T$420=$C$3,ISNUMBER(发票登记!$X$420),发票登记!$AB$420&lt;&gt;0,发票登记!$Y$420&gt;=_辅助!$J$4,发票登记!$Y$420&lt;=_辅助!$J$2),INT(发票登记!$X$420)*10000+416,"")</f>
      </c>
      <c r="BG417" s="2">
        <f>IF(AND($AF$3&gt;0,资金流水!$H$421=$C$3,ISNUMBER(资金流水!$B$421),ISNUMBER(资金流水!$S$421),资金流水!$S$421&gt;=_辅助!$J$4,资金流水!$S$421&lt;=_辅助!$J$2),INT(资金流水!$B$421)*10000+416,"")</f>
      </c>
    </row>
    <row r="418">
      <c r="BF418" s="2">
        <f>IF(AND($AF$3&gt;0,发票登记!$T$421=$C$3,ISNUMBER(发票登记!$X$421),发票登记!$AB$421&lt;&gt;0,发票登记!$Y$421&gt;=_辅助!$J$4,发票登记!$Y$421&lt;=_辅助!$J$2),INT(发票登记!$X$421)*10000+417,"")</f>
      </c>
      <c r="BG418" s="2">
        <f>IF(AND($AF$3&gt;0,资金流水!$H$422=$C$3,ISNUMBER(资金流水!$B$422),ISNUMBER(资金流水!$S$422),资金流水!$S$422&gt;=_辅助!$J$4,资金流水!$S$422&lt;=_辅助!$J$2),INT(资金流水!$B$422)*10000+417,"")</f>
      </c>
    </row>
    <row r="419">
      <c r="BF419" s="2">
        <f>IF(AND($AF$3&gt;0,发票登记!$T$422=$C$3,ISNUMBER(发票登记!$X$422),发票登记!$AB$422&lt;&gt;0,发票登记!$Y$422&gt;=_辅助!$J$4,发票登记!$Y$422&lt;=_辅助!$J$2),INT(发票登记!$X$422)*10000+418,"")</f>
      </c>
      <c r="BG419" s="2">
        <f>IF(AND($AF$3&gt;0,资金流水!$H$423=$C$3,ISNUMBER(资金流水!$B$423),ISNUMBER(资金流水!$S$423),资金流水!$S$423&gt;=_辅助!$J$4,资金流水!$S$423&lt;=_辅助!$J$2),INT(资金流水!$B$423)*10000+418,"")</f>
      </c>
    </row>
    <row r="420">
      <c r="BF420" s="2">
        <f>IF(AND($AF$3&gt;0,发票登记!$T$423=$C$3,ISNUMBER(发票登记!$X$423),发票登记!$AB$423&lt;&gt;0,发票登记!$Y$423&gt;=_辅助!$J$4,发票登记!$Y$423&lt;=_辅助!$J$2),INT(发票登记!$X$423)*10000+419,"")</f>
      </c>
      <c r="BG420" s="2">
        <f>IF(AND($AF$3&gt;0,资金流水!$H$424=$C$3,ISNUMBER(资金流水!$B$424),ISNUMBER(资金流水!$S$424),资金流水!$S$424&gt;=_辅助!$J$4,资金流水!$S$424&lt;=_辅助!$J$2),INT(资金流水!$B$424)*10000+419,"")</f>
      </c>
    </row>
    <row r="421">
      <c r="BF421" s="2">
        <f>IF(AND($AF$3&gt;0,发票登记!$T$424=$C$3,ISNUMBER(发票登记!$X$424),发票登记!$AB$424&lt;&gt;0,发票登记!$Y$424&gt;=_辅助!$J$4,发票登记!$Y$424&lt;=_辅助!$J$2),INT(发票登记!$X$424)*10000+420,"")</f>
      </c>
      <c r="BG421" s="2">
        <f>IF(AND($AF$3&gt;0,资金流水!$H$425=$C$3,ISNUMBER(资金流水!$B$425),ISNUMBER(资金流水!$S$425),资金流水!$S$425&gt;=_辅助!$J$4,资金流水!$S$425&lt;=_辅助!$J$2),INT(资金流水!$B$425)*10000+420,"")</f>
      </c>
    </row>
    <row r="422">
      <c r="BF422" s="2">
        <f>IF(AND($AF$3&gt;0,发票登记!$T$425=$C$3,ISNUMBER(发票登记!$X$425),发票登记!$AB$425&lt;&gt;0,发票登记!$Y$425&gt;=_辅助!$J$4,发票登记!$Y$425&lt;=_辅助!$J$2),INT(发票登记!$X$425)*10000+421,"")</f>
      </c>
      <c r="BG422" s="2">
        <f>IF(AND($AF$3&gt;0,资金流水!$H$426=$C$3,ISNUMBER(资金流水!$B$426),ISNUMBER(资金流水!$S$426),资金流水!$S$426&gt;=_辅助!$J$4,资金流水!$S$426&lt;=_辅助!$J$2),INT(资金流水!$B$426)*10000+421,"")</f>
      </c>
    </row>
    <row r="423">
      <c r="BF423" s="2">
        <f>IF(AND($AF$3&gt;0,发票登记!$T$426=$C$3,ISNUMBER(发票登记!$X$426),发票登记!$AB$426&lt;&gt;0,发票登记!$Y$426&gt;=_辅助!$J$4,发票登记!$Y$426&lt;=_辅助!$J$2),INT(发票登记!$X$426)*10000+422,"")</f>
      </c>
      <c r="BG423" s="2">
        <f>IF(AND($AF$3&gt;0,资金流水!$H$427=$C$3,ISNUMBER(资金流水!$B$427),ISNUMBER(资金流水!$S$427),资金流水!$S$427&gt;=_辅助!$J$4,资金流水!$S$427&lt;=_辅助!$J$2),INT(资金流水!$B$427)*10000+422,"")</f>
      </c>
    </row>
    <row r="424">
      <c r="BF424" s="2">
        <f>IF(AND($AF$3&gt;0,发票登记!$T$427=$C$3,ISNUMBER(发票登记!$X$427),发票登记!$AB$427&lt;&gt;0,发票登记!$Y$427&gt;=_辅助!$J$4,发票登记!$Y$427&lt;=_辅助!$J$2),INT(发票登记!$X$427)*10000+423,"")</f>
      </c>
      <c r="BG424" s="2">
        <f>IF(AND($AF$3&gt;0,资金流水!$H$428=$C$3,ISNUMBER(资金流水!$B$428),ISNUMBER(资金流水!$S$428),资金流水!$S$428&gt;=_辅助!$J$4,资金流水!$S$428&lt;=_辅助!$J$2),INT(资金流水!$B$428)*10000+423,"")</f>
      </c>
    </row>
    <row r="425">
      <c r="BF425" s="2">
        <f>IF(AND($AF$3&gt;0,发票登记!$T$428=$C$3,ISNUMBER(发票登记!$X$428),发票登记!$AB$428&lt;&gt;0,发票登记!$Y$428&gt;=_辅助!$J$4,发票登记!$Y$428&lt;=_辅助!$J$2),INT(发票登记!$X$428)*10000+424,"")</f>
      </c>
      <c r="BG425" s="2">
        <f>IF(AND($AF$3&gt;0,资金流水!$H$429=$C$3,ISNUMBER(资金流水!$B$429),ISNUMBER(资金流水!$S$429),资金流水!$S$429&gt;=_辅助!$J$4,资金流水!$S$429&lt;=_辅助!$J$2),INT(资金流水!$B$429)*10000+424,"")</f>
      </c>
    </row>
    <row r="426">
      <c r="BF426" s="2">
        <f>IF(AND($AF$3&gt;0,发票登记!$T$429=$C$3,ISNUMBER(发票登记!$X$429),发票登记!$AB$429&lt;&gt;0,发票登记!$Y$429&gt;=_辅助!$J$4,发票登记!$Y$429&lt;=_辅助!$J$2),INT(发票登记!$X$429)*10000+425,"")</f>
      </c>
      <c r="BG426" s="2">
        <f>IF(AND($AF$3&gt;0,资金流水!$H$430=$C$3,ISNUMBER(资金流水!$B$430),ISNUMBER(资金流水!$S$430),资金流水!$S$430&gt;=_辅助!$J$4,资金流水!$S$430&lt;=_辅助!$J$2),INT(资金流水!$B$430)*10000+425,"")</f>
      </c>
    </row>
    <row r="427">
      <c r="BF427" s="2">
        <f>IF(AND($AF$3&gt;0,发票登记!$T$430=$C$3,ISNUMBER(发票登记!$X$430),发票登记!$AB$430&lt;&gt;0,发票登记!$Y$430&gt;=_辅助!$J$4,发票登记!$Y$430&lt;=_辅助!$J$2),INT(发票登记!$X$430)*10000+426,"")</f>
      </c>
      <c r="BG427" s="2">
        <f>IF(AND($AF$3&gt;0,资金流水!$H$431=$C$3,ISNUMBER(资金流水!$B$431),ISNUMBER(资金流水!$S$431),资金流水!$S$431&gt;=_辅助!$J$4,资金流水!$S$431&lt;=_辅助!$J$2),INT(资金流水!$B$431)*10000+426,"")</f>
      </c>
    </row>
    <row r="428">
      <c r="BF428" s="2">
        <f>IF(AND($AF$3&gt;0,发票登记!$T$431=$C$3,ISNUMBER(发票登记!$X$431),发票登记!$AB$431&lt;&gt;0,发票登记!$Y$431&gt;=_辅助!$J$4,发票登记!$Y$431&lt;=_辅助!$J$2),INT(发票登记!$X$431)*10000+427,"")</f>
      </c>
      <c r="BG428" s="2">
        <f>IF(AND($AF$3&gt;0,资金流水!$H$432=$C$3,ISNUMBER(资金流水!$B$432),ISNUMBER(资金流水!$S$432),资金流水!$S$432&gt;=_辅助!$J$4,资金流水!$S$432&lt;=_辅助!$J$2),INT(资金流水!$B$432)*10000+427,"")</f>
      </c>
    </row>
    <row r="429">
      <c r="BF429" s="2">
        <f>IF(AND($AF$3&gt;0,发票登记!$T$432=$C$3,ISNUMBER(发票登记!$X$432),发票登记!$AB$432&lt;&gt;0,发票登记!$Y$432&gt;=_辅助!$J$4,发票登记!$Y$432&lt;=_辅助!$J$2),INT(发票登记!$X$432)*10000+428,"")</f>
      </c>
      <c r="BG429" s="2">
        <f>IF(AND($AF$3&gt;0,资金流水!$H$433=$C$3,ISNUMBER(资金流水!$B$433),ISNUMBER(资金流水!$S$433),资金流水!$S$433&gt;=_辅助!$J$4,资金流水!$S$433&lt;=_辅助!$J$2),INT(资金流水!$B$433)*10000+428,"")</f>
      </c>
    </row>
    <row r="430">
      <c r="BF430" s="2">
        <f>IF(AND($AF$3&gt;0,发票登记!$T$433=$C$3,ISNUMBER(发票登记!$X$433),发票登记!$AB$433&lt;&gt;0,发票登记!$Y$433&gt;=_辅助!$J$4,发票登记!$Y$433&lt;=_辅助!$J$2),INT(发票登记!$X$433)*10000+429,"")</f>
      </c>
      <c r="BG430" s="2">
        <f>IF(AND($AF$3&gt;0,资金流水!$H$434=$C$3,ISNUMBER(资金流水!$B$434),ISNUMBER(资金流水!$S$434),资金流水!$S$434&gt;=_辅助!$J$4,资金流水!$S$434&lt;=_辅助!$J$2),INT(资金流水!$B$434)*10000+429,"")</f>
      </c>
    </row>
    <row r="431">
      <c r="BF431" s="2">
        <f>IF(AND($AF$3&gt;0,发票登记!$T$434=$C$3,ISNUMBER(发票登记!$X$434),发票登记!$AB$434&lt;&gt;0,发票登记!$Y$434&gt;=_辅助!$J$4,发票登记!$Y$434&lt;=_辅助!$J$2),INT(发票登记!$X$434)*10000+430,"")</f>
      </c>
      <c r="BG431" s="2">
        <f>IF(AND($AF$3&gt;0,资金流水!$H$435=$C$3,ISNUMBER(资金流水!$B$435),ISNUMBER(资金流水!$S$435),资金流水!$S$435&gt;=_辅助!$J$4,资金流水!$S$435&lt;=_辅助!$J$2),INT(资金流水!$B$435)*10000+430,"")</f>
      </c>
    </row>
    <row r="432">
      <c r="BF432" s="2">
        <f>IF(AND($AF$3&gt;0,发票登记!$T$435=$C$3,ISNUMBER(发票登记!$X$435),发票登记!$AB$435&lt;&gt;0,发票登记!$Y$435&gt;=_辅助!$J$4,发票登记!$Y$435&lt;=_辅助!$J$2),INT(发票登记!$X$435)*10000+431,"")</f>
      </c>
      <c r="BG432" s="2">
        <f>IF(AND($AF$3&gt;0,资金流水!$H$436=$C$3,ISNUMBER(资金流水!$B$436),ISNUMBER(资金流水!$S$436),资金流水!$S$436&gt;=_辅助!$J$4,资金流水!$S$436&lt;=_辅助!$J$2),INT(资金流水!$B$436)*10000+431,"")</f>
      </c>
    </row>
    <row r="433">
      <c r="BF433" s="2">
        <f>IF(AND($AF$3&gt;0,发票登记!$T$436=$C$3,ISNUMBER(发票登记!$X$436),发票登记!$AB$436&lt;&gt;0,发票登记!$Y$436&gt;=_辅助!$J$4,发票登记!$Y$436&lt;=_辅助!$J$2),INT(发票登记!$X$436)*10000+432,"")</f>
      </c>
      <c r="BG433" s="2">
        <f>IF(AND($AF$3&gt;0,资金流水!$H$437=$C$3,ISNUMBER(资金流水!$B$437),ISNUMBER(资金流水!$S$437),资金流水!$S$437&gt;=_辅助!$J$4,资金流水!$S$437&lt;=_辅助!$J$2),INT(资金流水!$B$437)*10000+432,"")</f>
      </c>
    </row>
    <row r="434">
      <c r="BF434" s="2">
        <f>IF(AND($AF$3&gt;0,发票登记!$T$437=$C$3,ISNUMBER(发票登记!$X$437),发票登记!$AB$437&lt;&gt;0,发票登记!$Y$437&gt;=_辅助!$J$4,发票登记!$Y$437&lt;=_辅助!$J$2),INT(发票登记!$X$437)*10000+433,"")</f>
      </c>
      <c r="BG434" s="2">
        <f>IF(AND($AF$3&gt;0,资金流水!$H$438=$C$3,ISNUMBER(资金流水!$B$438),ISNUMBER(资金流水!$S$438),资金流水!$S$438&gt;=_辅助!$J$4,资金流水!$S$438&lt;=_辅助!$J$2),INT(资金流水!$B$438)*10000+433,"")</f>
      </c>
    </row>
    <row r="435">
      <c r="BF435" s="2">
        <f>IF(AND($AF$3&gt;0,发票登记!$T$438=$C$3,ISNUMBER(发票登记!$X$438),发票登记!$AB$438&lt;&gt;0,发票登记!$Y$438&gt;=_辅助!$J$4,发票登记!$Y$438&lt;=_辅助!$J$2),INT(发票登记!$X$438)*10000+434,"")</f>
      </c>
      <c r="BG435" s="2">
        <f>IF(AND($AF$3&gt;0,资金流水!$H$439=$C$3,ISNUMBER(资金流水!$B$439),ISNUMBER(资金流水!$S$439),资金流水!$S$439&gt;=_辅助!$J$4,资金流水!$S$439&lt;=_辅助!$J$2),INT(资金流水!$B$439)*10000+434,"")</f>
      </c>
    </row>
    <row r="436">
      <c r="BF436" s="2">
        <f>IF(AND($AF$3&gt;0,发票登记!$T$439=$C$3,ISNUMBER(发票登记!$X$439),发票登记!$AB$439&lt;&gt;0,发票登记!$Y$439&gt;=_辅助!$J$4,发票登记!$Y$439&lt;=_辅助!$J$2),INT(发票登记!$X$439)*10000+435,"")</f>
      </c>
      <c r="BG436" s="2">
        <f>IF(AND($AF$3&gt;0,资金流水!$H$440=$C$3,ISNUMBER(资金流水!$B$440),ISNUMBER(资金流水!$S$440),资金流水!$S$440&gt;=_辅助!$J$4,资金流水!$S$440&lt;=_辅助!$J$2),INT(资金流水!$B$440)*10000+435,"")</f>
      </c>
    </row>
    <row r="437">
      <c r="BF437" s="2">
        <f>IF(AND($AF$3&gt;0,发票登记!$T$440=$C$3,ISNUMBER(发票登记!$X$440),发票登记!$AB$440&lt;&gt;0,发票登记!$Y$440&gt;=_辅助!$J$4,发票登记!$Y$440&lt;=_辅助!$J$2),INT(发票登记!$X$440)*10000+436,"")</f>
      </c>
      <c r="BG437" s="2">
        <f>IF(AND($AF$3&gt;0,资金流水!$H$441=$C$3,ISNUMBER(资金流水!$B$441),ISNUMBER(资金流水!$S$441),资金流水!$S$441&gt;=_辅助!$J$4,资金流水!$S$441&lt;=_辅助!$J$2),INT(资金流水!$B$441)*10000+436,"")</f>
      </c>
    </row>
    <row r="438">
      <c r="BF438" s="2">
        <f>IF(AND($AF$3&gt;0,发票登记!$T$441=$C$3,ISNUMBER(发票登记!$X$441),发票登记!$AB$441&lt;&gt;0,发票登记!$Y$441&gt;=_辅助!$J$4,发票登记!$Y$441&lt;=_辅助!$J$2),INT(发票登记!$X$441)*10000+437,"")</f>
      </c>
      <c r="BG438" s="2">
        <f>IF(AND($AF$3&gt;0,资金流水!$H$442=$C$3,ISNUMBER(资金流水!$B$442),ISNUMBER(资金流水!$S$442),资金流水!$S$442&gt;=_辅助!$J$4,资金流水!$S$442&lt;=_辅助!$J$2),INT(资金流水!$B$442)*10000+437,"")</f>
      </c>
    </row>
    <row r="439">
      <c r="BF439" s="2">
        <f>IF(AND($AF$3&gt;0,发票登记!$T$442=$C$3,ISNUMBER(发票登记!$X$442),发票登记!$AB$442&lt;&gt;0,发票登记!$Y$442&gt;=_辅助!$J$4,发票登记!$Y$442&lt;=_辅助!$J$2),INT(发票登记!$X$442)*10000+438,"")</f>
      </c>
      <c r="BG439" s="2">
        <f>IF(AND($AF$3&gt;0,资金流水!$H$443=$C$3,ISNUMBER(资金流水!$B$443),ISNUMBER(资金流水!$S$443),资金流水!$S$443&gt;=_辅助!$J$4,资金流水!$S$443&lt;=_辅助!$J$2),INT(资金流水!$B$443)*10000+438,"")</f>
      </c>
    </row>
    <row r="440">
      <c r="BF440" s="2">
        <f>IF(AND($AF$3&gt;0,发票登记!$T$443=$C$3,ISNUMBER(发票登记!$X$443),发票登记!$AB$443&lt;&gt;0,发票登记!$Y$443&gt;=_辅助!$J$4,发票登记!$Y$443&lt;=_辅助!$J$2),INT(发票登记!$X$443)*10000+439,"")</f>
      </c>
      <c r="BG440" s="2">
        <f>IF(AND($AF$3&gt;0,资金流水!$H$444=$C$3,ISNUMBER(资金流水!$B$444),ISNUMBER(资金流水!$S$444),资金流水!$S$444&gt;=_辅助!$J$4,资金流水!$S$444&lt;=_辅助!$J$2),INT(资金流水!$B$444)*10000+439,"")</f>
      </c>
    </row>
    <row r="441">
      <c r="BF441" s="2">
        <f>IF(AND($AF$3&gt;0,发票登记!$T$444=$C$3,ISNUMBER(发票登记!$X$444),发票登记!$AB$444&lt;&gt;0,发票登记!$Y$444&gt;=_辅助!$J$4,发票登记!$Y$444&lt;=_辅助!$J$2),INT(发票登记!$X$444)*10000+440,"")</f>
      </c>
      <c r="BG441" s="2">
        <f>IF(AND($AF$3&gt;0,资金流水!$H$445=$C$3,ISNUMBER(资金流水!$B$445),ISNUMBER(资金流水!$S$445),资金流水!$S$445&gt;=_辅助!$J$4,资金流水!$S$445&lt;=_辅助!$J$2),INT(资金流水!$B$445)*10000+440,"")</f>
      </c>
    </row>
    <row r="442">
      <c r="BF442" s="2">
        <f>IF(AND($AF$3&gt;0,发票登记!$T$445=$C$3,ISNUMBER(发票登记!$X$445),发票登记!$AB$445&lt;&gt;0,发票登记!$Y$445&gt;=_辅助!$J$4,发票登记!$Y$445&lt;=_辅助!$J$2),INT(发票登记!$X$445)*10000+441,"")</f>
      </c>
      <c r="BG442" s="2">
        <f>IF(AND($AF$3&gt;0,资金流水!$H$446=$C$3,ISNUMBER(资金流水!$B$446),ISNUMBER(资金流水!$S$446),资金流水!$S$446&gt;=_辅助!$J$4,资金流水!$S$446&lt;=_辅助!$J$2),INT(资金流水!$B$446)*10000+441,"")</f>
      </c>
    </row>
    <row r="443">
      <c r="BF443" s="2">
        <f>IF(AND($AF$3&gt;0,发票登记!$T$446=$C$3,ISNUMBER(发票登记!$X$446),发票登记!$AB$446&lt;&gt;0,发票登记!$Y$446&gt;=_辅助!$J$4,发票登记!$Y$446&lt;=_辅助!$J$2),INT(发票登记!$X$446)*10000+442,"")</f>
      </c>
      <c r="BG443" s="2">
        <f>IF(AND($AF$3&gt;0,资金流水!$H$447=$C$3,ISNUMBER(资金流水!$B$447),ISNUMBER(资金流水!$S$447),资金流水!$S$447&gt;=_辅助!$J$4,资金流水!$S$447&lt;=_辅助!$J$2),INT(资金流水!$B$447)*10000+442,"")</f>
      </c>
    </row>
    <row r="444">
      <c r="BF444" s="2">
        <f>IF(AND($AF$3&gt;0,发票登记!$T$447=$C$3,ISNUMBER(发票登记!$X$447),发票登记!$AB$447&lt;&gt;0,发票登记!$Y$447&gt;=_辅助!$J$4,发票登记!$Y$447&lt;=_辅助!$J$2),INT(发票登记!$X$447)*10000+443,"")</f>
      </c>
      <c r="BG444" s="2">
        <f>IF(AND($AF$3&gt;0,资金流水!$H$448=$C$3,ISNUMBER(资金流水!$B$448),ISNUMBER(资金流水!$S$448),资金流水!$S$448&gt;=_辅助!$J$4,资金流水!$S$448&lt;=_辅助!$J$2),INT(资金流水!$B$448)*10000+443,"")</f>
      </c>
    </row>
    <row r="445">
      <c r="BF445" s="2">
        <f>IF(AND($AF$3&gt;0,发票登记!$T$448=$C$3,ISNUMBER(发票登记!$X$448),发票登记!$AB$448&lt;&gt;0,发票登记!$Y$448&gt;=_辅助!$J$4,发票登记!$Y$448&lt;=_辅助!$J$2),INT(发票登记!$X$448)*10000+444,"")</f>
      </c>
      <c r="BG445" s="2">
        <f>IF(AND($AF$3&gt;0,资金流水!$H$449=$C$3,ISNUMBER(资金流水!$B$449),ISNUMBER(资金流水!$S$449),资金流水!$S$449&gt;=_辅助!$J$4,资金流水!$S$449&lt;=_辅助!$J$2),INT(资金流水!$B$449)*10000+444,"")</f>
      </c>
    </row>
    <row r="446">
      <c r="BF446" s="2">
        <f>IF(AND($AF$3&gt;0,发票登记!$T$449=$C$3,ISNUMBER(发票登记!$X$449),发票登记!$AB$449&lt;&gt;0,发票登记!$Y$449&gt;=_辅助!$J$4,发票登记!$Y$449&lt;=_辅助!$J$2),INT(发票登记!$X$449)*10000+445,"")</f>
      </c>
      <c r="BG446" s="2">
        <f>IF(AND($AF$3&gt;0,资金流水!$H$450=$C$3,ISNUMBER(资金流水!$B$450),ISNUMBER(资金流水!$S$450),资金流水!$S$450&gt;=_辅助!$J$4,资金流水!$S$450&lt;=_辅助!$J$2),INT(资金流水!$B$450)*10000+445,"")</f>
      </c>
    </row>
    <row r="447">
      <c r="BF447" s="2">
        <f>IF(AND($AF$3&gt;0,发票登记!$T$450=$C$3,ISNUMBER(发票登记!$X$450),发票登记!$AB$450&lt;&gt;0,发票登记!$Y$450&gt;=_辅助!$J$4,发票登记!$Y$450&lt;=_辅助!$J$2),INT(发票登记!$X$450)*10000+446,"")</f>
      </c>
      <c r="BG447" s="2">
        <f>IF(AND($AF$3&gt;0,资金流水!$H$451=$C$3,ISNUMBER(资金流水!$B$451),ISNUMBER(资金流水!$S$451),资金流水!$S$451&gt;=_辅助!$J$4,资金流水!$S$451&lt;=_辅助!$J$2),INT(资金流水!$B$451)*10000+446,"")</f>
      </c>
    </row>
    <row r="448">
      <c r="BF448" s="2">
        <f>IF(AND($AF$3&gt;0,发票登记!$T$451=$C$3,ISNUMBER(发票登记!$X$451),发票登记!$AB$451&lt;&gt;0,发票登记!$Y$451&gt;=_辅助!$J$4,发票登记!$Y$451&lt;=_辅助!$J$2),INT(发票登记!$X$451)*10000+447,"")</f>
      </c>
      <c r="BG448" s="2">
        <f>IF(AND($AF$3&gt;0,资金流水!$H$452=$C$3,ISNUMBER(资金流水!$B$452),ISNUMBER(资金流水!$S$452),资金流水!$S$452&gt;=_辅助!$J$4,资金流水!$S$452&lt;=_辅助!$J$2),INT(资金流水!$B$452)*10000+447,"")</f>
      </c>
    </row>
    <row r="449">
      <c r="BF449" s="2">
        <f>IF(AND($AF$3&gt;0,发票登记!$T$452=$C$3,ISNUMBER(发票登记!$X$452),发票登记!$AB$452&lt;&gt;0,发票登记!$Y$452&gt;=_辅助!$J$4,发票登记!$Y$452&lt;=_辅助!$J$2),INT(发票登记!$X$452)*10000+448,"")</f>
      </c>
      <c r="BG449" s="2">
        <f>IF(AND($AF$3&gt;0,资金流水!$H$453=$C$3,ISNUMBER(资金流水!$B$453),ISNUMBER(资金流水!$S$453),资金流水!$S$453&gt;=_辅助!$J$4,资金流水!$S$453&lt;=_辅助!$J$2),INT(资金流水!$B$453)*10000+448,"")</f>
      </c>
    </row>
    <row r="450">
      <c r="BF450" s="2">
        <f>IF(AND($AF$3&gt;0,发票登记!$T$453=$C$3,ISNUMBER(发票登记!$X$453),发票登记!$AB$453&lt;&gt;0,发票登记!$Y$453&gt;=_辅助!$J$4,发票登记!$Y$453&lt;=_辅助!$J$2),INT(发票登记!$X$453)*10000+449,"")</f>
      </c>
      <c r="BG450" s="2">
        <f>IF(AND($AF$3&gt;0,资金流水!$H$454=$C$3,ISNUMBER(资金流水!$B$454),ISNUMBER(资金流水!$S$454),资金流水!$S$454&gt;=_辅助!$J$4,资金流水!$S$454&lt;=_辅助!$J$2),INT(资金流水!$B$454)*10000+449,"")</f>
      </c>
    </row>
    <row r="451">
      <c r="BF451" s="2">
        <f>IF(AND($AF$3&gt;0,发票登记!$T$454=$C$3,ISNUMBER(发票登记!$X$454),发票登记!$AB$454&lt;&gt;0,发票登记!$Y$454&gt;=_辅助!$J$4,发票登记!$Y$454&lt;=_辅助!$J$2),INT(发票登记!$X$454)*10000+450,"")</f>
      </c>
      <c r="BG451" s="2">
        <f>IF(AND($AF$3&gt;0,资金流水!$H$455=$C$3,ISNUMBER(资金流水!$B$455),ISNUMBER(资金流水!$S$455),资金流水!$S$455&gt;=_辅助!$J$4,资金流水!$S$455&lt;=_辅助!$J$2),INT(资金流水!$B$455)*10000+450,"")</f>
      </c>
    </row>
    <row r="452">
      <c r="BF452" s="2">
        <f>IF(AND($AF$3&gt;0,发票登记!$T$455=$C$3,ISNUMBER(发票登记!$X$455),发票登记!$AB$455&lt;&gt;0,发票登记!$Y$455&gt;=_辅助!$J$4,发票登记!$Y$455&lt;=_辅助!$J$2),INT(发票登记!$X$455)*10000+451,"")</f>
      </c>
      <c r="BG452" s="2">
        <f>IF(AND($AF$3&gt;0,资金流水!$H$456=$C$3,ISNUMBER(资金流水!$B$456),ISNUMBER(资金流水!$S$456),资金流水!$S$456&gt;=_辅助!$J$4,资金流水!$S$456&lt;=_辅助!$J$2),INT(资金流水!$B$456)*10000+451,"")</f>
      </c>
    </row>
    <row r="453">
      <c r="BF453" s="2">
        <f>IF(AND($AF$3&gt;0,发票登记!$T$456=$C$3,ISNUMBER(发票登记!$X$456),发票登记!$AB$456&lt;&gt;0,发票登记!$Y$456&gt;=_辅助!$J$4,发票登记!$Y$456&lt;=_辅助!$J$2),INT(发票登记!$X$456)*10000+452,"")</f>
      </c>
      <c r="BG453" s="2">
        <f>IF(AND($AF$3&gt;0,资金流水!$H$457=$C$3,ISNUMBER(资金流水!$B$457),ISNUMBER(资金流水!$S$457),资金流水!$S$457&gt;=_辅助!$J$4,资金流水!$S$457&lt;=_辅助!$J$2),INT(资金流水!$B$457)*10000+452,"")</f>
      </c>
    </row>
    <row r="454">
      <c r="BF454" s="2">
        <f>IF(AND($AF$3&gt;0,发票登记!$T$457=$C$3,ISNUMBER(发票登记!$X$457),发票登记!$AB$457&lt;&gt;0,发票登记!$Y$457&gt;=_辅助!$J$4,发票登记!$Y$457&lt;=_辅助!$J$2),INT(发票登记!$X$457)*10000+453,"")</f>
      </c>
      <c r="BG454" s="2">
        <f>IF(AND($AF$3&gt;0,资金流水!$H$458=$C$3,ISNUMBER(资金流水!$B$458),ISNUMBER(资金流水!$S$458),资金流水!$S$458&gt;=_辅助!$J$4,资金流水!$S$458&lt;=_辅助!$J$2),INT(资金流水!$B$458)*10000+453,"")</f>
      </c>
    </row>
    <row r="455">
      <c r="BF455" s="2">
        <f>IF(AND($AF$3&gt;0,发票登记!$T$458=$C$3,ISNUMBER(发票登记!$X$458),发票登记!$AB$458&lt;&gt;0,发票登记!$Y$458&gt;=_辅助!$J$4,发票登记!$Y$458&lt;=_辅助!$J$2),INT(发票登记!$X$458)*10000+454,"")</f>
      </c>
      <c r="BG455" s="2">
        <f>IF(AND($AF$3&gt;0,资金流水!$H$459=$C$3,ISNUMBER(资金流水!$B$459),ISNUMBER(资金流水!$S$459),资金流水!$S$459&gt;=_辅助!$J$4,资金流水!$S$459&lt;=_辅助!$J$2),INT(资金流水!$B$459)*10000+454,"")</f>
      </c>
    </row>
    <row r="456">
      <c r="BF456" s="2">
        <f>IF(AND($AF$3&gt;0,发票登记!$T$459=$C$3,ISNUMBER(发票登记!$X$459),发票登记!$AB$459&lt;&gt;0,发票登记!$Y$459&gt;=_辅助!$J$4,发票登记!$Y$459&lt;=_辅助!$J$2),INT(发票登记!$X$459)*10000+455,"")</f>
      </c>
      <c r="BG456" s="2">
        <f>IF(AND($AF$3&gt;0,资金流水!$H$460=$C$3,ISNUMBER(资金流水!$B$460),ISNUMBER(资金流水!$S$460),资金流水!$S$460&gt;=_辅助!$J$4,资金流水!$S$460&lt;=_辅助!$J$2),INT(资金流水!$B$460)*10000+455,"")</f>
      </c>
    </row>
    <row r="457">
      <c r="BF457" s="2">
        <f>IF(AND($AF$3&gt;0,发票登记!$T$460=$C$3,ISNUMBER(发票登记!$X$460),发票登记!$AB$460&lt;&gt;0,发票登记!$Y$460&gt;=_辅助!$J$4,发票登记!$Y$460&lt;=_辅助!$J$2),INT(发票登记!$X$460)*10000+456,"")</f>
      </c>
      <c r="BG457" s="2">
        <f>IF(AND($AF$3&gt;0,资金流水!$H$461=$C$3,ISNUMBER(资金流水!$B$461),ISNUMBER(资金流水!$S$461),资金流水!$S$461&gt;=_辅助!$J$4,资金流水!$S$461&lt;=_辅助!$J$2),INT(资金流水!$B$461)*10000+456,"")</f>
      </c>
    </row>
    <row r="458">
      <c r="BF458" s="2">
        <f>IF(AND($AF$3&gt;0,发票登记!$T$461=$C$3,ISNUMBER(发票登记!$X$461),发票登记!$AB$461&lt;&gt;0,发票登记!$Y$461&gt;=_辅助!$J$4,发票登记!$Y$461&lt;=_辅助!$J$2),INT(发票登记!$X$461)*10000+457,"")</f>
      </c>
      <c r="BG458" s="2">
        <f>IF(AND($AF$3&gt;0,资金流水!$H$462=$C$3,ISNUMBER(资金流水!$B$462),ISNUMBER(资金流水!$S$462),资金流水!$S$462&gt;=_辅助!$J$4,资金流水!$S$462&lt;=_辅助!$J$2),INT(资金流水!$B$462)*10000+457,"")</f>
      </c>
    </row>
    <row r="459">
      <c r="BF459" s="2">
        <f>IF(AND($AF$3&gt;0,发票登记!$T$462=$C$3,ISNUMBER(发票登记!$X$462),发票登记!$AB$462&lt;&gt;0,发票登记!$Y$462&gt;=_辅助!$J$4,发票登记!$Y$462&lt;=_辅助!$J$2),INT(发票登记!$X$462)*10000+458,"")</f>
      </c>
      <c r="BG459" s="2">
        <f>IF(AND($AF$3&gt;0,资金流水!$H$463=$C$3,ISNUMBER(资金流水!$B$463),ISNUMBER(资金流水!$S$463),资金流水!$S$463&gt;=_辅助!$J$4,资金流水!$S$463&lt;=_辅助!$J$2),INT(资金流水!$B$463)*10000+458,"")</f>
      </c>
    </row>
    <row r="460">
      <c r="BF460" s="2">
        <f>IF(AND($AF$3&gt;0,发票登记!$T$463=$C$3,ISNUMBER(发票登记!$X$463),发票登记!$AB$463&lt;&gt;0,发票登记!$Y$463&gt;=_辅助!$J$4,发票登记!$Y$463&lt;=_辅助!$J$2),INT(发票登记!$X$463)*10000+459,"")</f>
      </c>
      <c r="BG460" s="2">
        <f>IF(AND($AF$3&gt;0,资金流水!$H$464=$C$3,ISNUMBER(资金流水!$B$464),ISNUMBER(资金流水!$S$464),资金流水!$S$464&gt;=_辅助!$J$4,资金流水!$S$464&lt;=_辅助!$J$2),INT(资金流水!$B$464)*10000+459,"")</f>
      </c>
    </row>
    <row r="461">
      <c r="BF461" s="2">
        <f>IF(AND($AF$3&gt;0,发票登记!$T$464=$C$3,ISNUMBER(发票登记!$X$464),发票登记!$AB$464&lt;&gt;0,发票登记!$Y$464&gt;=_辅助!$J$4,发票登记!$Y$464&lt;=_辅助!$J$2),INT(发票登记!$X$464)*10000+460,"")</f>
      </c>
      <c r="BG461" s="2">
        <f>IF(AND($AF$3&gt;0,资金流水!$H$465=$C$3,ISNUMBER(资金流水!$B$465),ISNUMBER(资金流水!$S$465),资金流水!$S$465&gt;=_辅助!$J$4,资金流水!$S$465&lt;=_辅助!$J$2),INT(资金流水!$B$465)*10000+460,"")</f>
      </c>
    </row>
    <row r="462">
      <c r="BF462" s="2">
        <f>IF(AND($AF$3&gt;0,发票登记!$T$465=$C$3,ISNUMBER(发票登记!$X$465),发票登记!$AB$465&lt;&gt;0,发票登记!$Y$465&gt;=_辅助!$J$4,发票登记!$Y$465&lt;=_辅助!$J$2),INT(发票登记!$X$465)*10000+461,"")</f>
      </c>
      <c r="BG462" s="2">
        <f>IF(AND($AF$3&gt;0,资金流水!$H$466=$C$3,ISNUMBER(资金流水!$B$466),ISNUMBER(资金流水!$S$466),资金流水!$S$466&gt;=_辅助!$J$4,资金流水!$S$466&lt;=_辅助!$J$2),INT(资金流水!$B$466)*10000+461,"")</f>
      </c>
    </row>
    <row r="463">
      <c r="BF463" s="2">
        <f>IF(AND($AF$3&gt;0,发票登记!$T$466=$C$3,ISNUMBER(发票登记!$X$466),发票登记!$AB$466&lt;&gt;0,发票登记!$Y$466&gt;=_辅助!$J$4,发票登记!$Y$466&lt;=_辅助!$J$2),INT(发票登记!$X$466)*10000+462,"")</f>
      </c>
      <c r="BG463" s="2">
        <f>IF(AND($AF$3&gt;0,资金流水!$H$467=$C$3,ISNUMBER(资金流水!$B$467),ISNUMBER(资金流水!$S$467),资金流水!$S$467&gt;=_辅助!$J$4,资金流水!$S$467&lt;=_辅助!$J$2),INT(资金流水!$B$467)*10000+462,"")</f>
      </c>
    </row>
    <row r="464">
      <c r="BF464" s="2">
        <f>IF(AND($AF$3&gt;0,发票登记!$T$467=$C$3,ISNUMBER(发票登记!$X$467),发票登记!$AB$467&lt;&gt;0,发票登记!$Y$467&gt;=_辅助!$J$4,发票登记!$Y$467&lt;=_辅助!$J$2),INT(发票登记!$X$467)*10000+463,"")</f>
      </c>
      <c r="BG464" s="2">
        <f>IF(AND($AF$3&gt;0,资金流水!$H$468=$C$3,ISNUMBER(资金流水!$B$468),ISNUMBER(资金流水!$S$468),资金流水!$S$468&gt;=_辅助!$J$4,资金流水!$S$468&lt;=_辅助!$J$2),INT(资金流水!$B$468)*10000+463,"")</f>
      </c>
    </row>
    <row r="465">
      <c r="BF465" s="2">
        <f>IF(AND($AF$3&gt;0,发票登记!$T$468=$C$3,ISNUMBER(发票登记!$X$468),发票登记!$AB$468&lt;&gt;0,发票登记!$Y$468&gt;=_辅助!$J$4,发票登记!$Y$468&lt;=_辅助!$J$2),INT(发票登记!$X$468)*10000+464,"")</f>
      </c>
      <c r="BG465" s="2">
        <f>IF(AND($AF$3&gt;0,资金流水!$H$469=$C$3,ISNUMBER(资金流水!$B$469),ISNUMBER(资金流水!$S$469),资金流水!$S$469&gt;=_辅助!$J$4,资金流水!$S$469&lt;=_辅助!$J$2),INT(资金流水!$B$469)*10000+464,"")</f>
      </c>
    </row>
    <row r="466">
      <c r="BF466" s="2">
        <f>IF(AND($AF$3&gt;0,发票登记!$T$469=$C$3,ISNUMBER(发票登记!$X$469),发票登记!$AB$469&lt;&gt;0,发票登记!$Y$469&gt;=_辅助!$J$4,发票登记!$Y$469&lt;=_辅助!$J$2),INT(发票登记!$X$469)*10000+465,"")</f>
      </c>
      <c r="BG466" s="2">
        <f>IF(AND($AF$3&gt;0,资金流水!$H$470=$C$3,ISNUMBER(资金流水!$B$470),ISNUMBER(资金流水!$S$470),资金流水!$S$470&gt;=_辅助!$J$4,资金流水!$S$470&lt;=_辅助!$J$2),INT(资金流水!$B$470)*10000+465,"")</f>
      </c>
    </row>
    <row r="467">
      <c r="BF467" s="2">
        <f>IF(AND($AF$3&gt;0,发票登记!$T$470=$C$3,ISNUMBER(发票登记!$X$470),发票登记!$AB$470&lt;&gt;0,发票登记!$Y$470&gt;=_辅助!$J$4,发票登记!$Y$470&lt;=_辅助!$J$2),INT(发票登记!$X$470)*10000+466,"")</f>
      </c>
      <c r="BG467" s="2">
        <f>IF(AND($AF$3&gt;0,资金流水!$H$471=$C$3,ISNUMBER(资金流水!$B$471),ISNUMBER(资金流水!$S$471),资金流水!$S$471&gt;=_辅助!$J$4,资金流水!$S$471&lt;=_辅助!$J$2),INT(资金流水!$B$471)*10000+466,"")</f>
      </c>
    </row>
    <row r="468">
      <c r="BF468" s="2">
        <f>IF(AND($AF$3&gt;0,发票登记!$T$471=$C$3,ISNUMBER(发票登记!$X$471),发票登记!$AB$471&lt;&gt;0,发票登记!$Y$471&gt;=_辅助!$J$4,发票登记!$Y$471&lt;=_辅助!$J$2),INT(发票登记!$X$471)*10000+467,"")</f>
      </c>
      <c r="BG468" s="2">
        <f>IF(AND($AF$3&gt;0,资金流水!$H$472=$C$3,ISNUMBER(资金流水!$B$472),ISNUMBER(资金流水!$S$472),资金流水!$S$472&gt;=_辅助!$J$4,资金流水!$S$472&lt;=_辅助!$J$2),INT(资金流水!$B$472)*10000+467,"")</f>
      </c>
    </row>
    <row r="469">
      <c r="BF469" s="2">
        <f>IF(AND($AF$3&gt;0,发票登记!$T$472=$C$3,ISNUMBER(发票登记!$X$472),发票登记!$AB$472&lt;&gt;0,发票登记!$Y$472&gt;=_辅助!$J$4,发票登记!$Y$472&lt;=_辅助!$J$2),INT(发票登记!$X$472)*10000+468,"")</f>
      </c>
      <c r="BG469" s="2">
        <f>IF(AND($AF$3&gt;0,资金流水!$H$473=$C$3,ISNUMBER(资金流水!$B$473),ISNUMBER(资金流水!$S$473),资金流水!$S$473&gt;=_辅助!$J$4,资金流水!$S$473&lt;=_辅助!$J$2),INT(资金流水!$B$473)*10000+468,"")</f>
      </c>
    </row>
    <row r="470">
      <c r="BF470" s="2">
        <f>IF(AND($AF$3&gt;0,发票登记!$T$473=$C$3,ISNUMBER(发票登记!$X$473),发票登记!$AB$473&lt;&gt;0,发票登记!$Y$473&gt;=_辅助!$J$4,发票登记!$Y$473&lt;=_辅助!$J$2),INT(发票登记!$X$473)*10000+469,"")</f>
      </c>
      <c r="BG470" s="2">
        <f>IF(AND($AF$3&gt;0,资金流水!$H$474=$C$3,ISNUMBER(资金流水!$B$474),ISNUMBER(资金流水!$S$474),资金流水!$S$474&gt;=_辅助!$J$4,资金流水!$S$474&lt;=_辅助!$J$2),INT(资金流水!$B$474)*10000+469,"")</f>
      </c>
    </row>
    <row r="471">
      <c r="BF471" s="2">
        <f>IF(AND($AF$3&gt;0,发票登记!$T$474=$C$3,ISNUMBER(发票登记!$X$474),发票登记!$AB$474&lt;&gt;0,发票登记!$Y$474&gt;=_辅助!$J$4,发票登记!$Y$474&lt;=_辅助!$J$2),INT(发票登记!$X$474)*10000+470,"")</f>
      </c>
      <c r="BG471" s="2">
        <f>IF(AND($AF$3&gt;0,资金流水!$H$475=$C$3,ISNUMBER(资金流水!$B$475),ISNUMBER(资金流水!$S$475),资金流水!$S$475&gt;=_辅助!$J$4,资金流水!$S$475&lt;=_辅助!$J$2),INT(资金流水!$B$475)*10000+470,"")</f>
      </c>
    </row>
    <row r="472">
      <c r="BF472" s="2">
        <f>IF(AND($AF$3&gt;0,发票登记!$T$475=$C$3,ISNUMBER(发票登记!$X$475),发票登记!$AB$475&lt;&gt;0,发票登记!$Y$475&gt;=_辅助!$J$4,发票登记!$Y$475&lt;=_辅助!$J$2),INT(发票登记!$X$475)*10000+471,"")</f>
      </c>
      <c r="BG472" s="2">
        <f>IF(AND($AF$3&gt;0,资金流水!$H$476=$C$3,ISNUMBER(资金流水!$B$476),ISNUMBER(资金流水!$S$476),资金流水!$S$476&gt;=_辅助!$J$4,资金流水!$S$476&lt;=_辅助!$J$2),INT(资金流水!$B$476)*10000+471,"")</f>
      </c>
    </row>
    <row r="473">
      <c r="BF473" s="2">
        <f>IF(AND($AF$3&gt;0,发票登记!$T$476=$C$3,ISNUMBER(发票登记!$X$476),发票登记!$AB$476&lt;&gt;0,发票登记!$Y$476&gt;=_辅助!$J$4,发票登记!$Y$476&lt;=_辅助!$J$2),INT(发票登记!$X$476)*10000+472,"")</f>
      </c>
      <c r="BG473" s="2">
        <f>IF(AND($AF$3&gt;0,资金流水!$H$477=$C$3,ISNUMBER(资金流水!$B$477),ISNUMBER(资金流水!$S$477),资金流水!$S$477&gt;=_辅助!$J$4,资金流水!$S$477&lt;=_辅助!$J$2),INT(资金流水!$B$477)*10000+472,"")</f>
      </c>
    </row>
    <row r="474">
      <c r="BF474" s="2">
        <f>IF(AND($AF$3&gt;0,发票登记!$T$477=$C$3,ISNUMBER(发票登记!$X$477),发票登记!$AB$477&lt;&gt;0,发票登记!$Y$477&gt;=_辅助!$J$4,发票登记!$Y$477&lt;=_辅助!$J$2),INT(发票登记!$X$477)*10000+473,"")</f>
      </c>
      <c r="BG474" s="2">
        <f>IF(AND($AF$3&gt;0,资金流水!$H$478=$C$3,ISNUMBER(资金流水!$B$478),ISNUMBER(资金流水!$S$478),资金流水!$S$478&gt;=_辅助!$J$4,资金流水!$S$478&lt;=_辅助!$J$2),INT(资金流水!$B$478)*10000+473,"")</f>
      </c>
    </row>
    <row r="475">
      <c r="BF475" s="2">
        <f>IF(AND($AF$3&gt;0,发票登记!$T$478=$C$3,ISNUMBER(发票登记!$X$478),发票登记!$AB$478&lt;&gt;0,发票登记!$Y$478&gt;=_辅助!$J$4,发票登记!$Y$478&lt;=_辅助!$J$2),INT(发票登记!$X$478)*10000+474,"")</f>
      </c>
      <c r="BG475" s="2">
        <f>IF(AND($AF$3&gt;0,资金流水!$H$479=$C$3,ISNUMBER(资金流水!$B$479),ISNUMBER(资金流水!$S$479),资金流水!$S$479&gt;=_辅助!$J$4,资金流水!$S$479&lt;=_辅助!$J$2),INT(资金流水!$B$479)*10000+474,"")</f>
      </c>
    </row>
    <row r="476">
      <c r="BF476" s="2">
        <f>IF(AND($AF$3&gt;0,发票登记!$T$479=$C$3,ISNUMBER(发票登记!$X$479),发票登记!$AB$479&lt;&gt;0,发票登记!$Y$479&gt;=_辅助!$J$4,发票登记!$Y$479&lt;=_辅助!$J$2),INT(发票登记!$X$479)*10000+475,"")</f>
      </c>
      <c r="BG476" s="2">
        <f>IF(AND($AF$3&gt;0,资金流水!$H$480=$C$3,ISNUMBER(资金流水!$B$480),ISNUMBER(资金流水!$S$480),资金流水!$S$480&gt;=_辅助!$J$4,资金流水!$S$480&lt;=_辅助!$J$2),INT(资金流水!$B$480)*10000+475,"")</f>
      </c>
    </row>
    <row r="477">
      <c r="BF477" s="2">
        <f>IF(AND($AF$3&gt;0,发票登记!$T$480=$C$3,ISNUMBER(发票登记!$X$480),发票登记!$AB$480&lt;&gt;0,发票登记!$Y$480&gt;=_辅助!$J$4,发票登记!$Y$480&lt;=_辅助!$J$2),INT(发票登记!$X$480)*10000+476,"")</f>
      </c>
      <c r="BG477" s="2">
        <f>IF(AND($AF$3&gt;0,资金流水!$H$481=$C$3,ISNUMBER(资金流水!$B$481),ISNUMBER(资金流水!$S$481),资金流水!$S$481&gt;=_辅助!$J$4,资金流水!$S$481&lt;=_辅助!$J$2),INT(资金流水!$B$481)*10000+476,"")</f>
      </c>
    </row>
    <row r="478">
      <c r="BF478" s="2">
        <f>IF(AND($AF$3&gt;0,发票登记!$T$481=$C$3,ISNUMBER(发票登记!$X$481),发票登记!$AB$481&lt;&gt;0,发票登记!$Y$481&gt;=_辅助!$J$4,发票登记!$Y$481&lt;=_辅助!$J$2),INT(发票登记!$X$481)*10000+477,"")</f>
      </c>
      <c r="BG478" s="2">
        <f>IF(AND($AF$3&gt;0,资金流水!$H$482=$C$3,ISNUMBER(资金流水!$B$482),ISNUMBER(资金流水!$S$482),资金流水!$S$482&gt;=_辅助!$J$4,资金流水!$S$482&lt;=_辅助!$J$2),INT(资金流水!$B$482)*10000+477,"")</f>
      </c>
    </row>
    <row r="479">
      <c r="BF479" s="2">
        <f>IF(AND($AF$3&gt;0,发票登记!$T$482=$C$3,ISNUMBER(发票登记!$X$482),发票登记!$AB$482&lt;&gt;0,发票登记!$Y$482&gt;=_辅助!$J$4,发票登记!$Y$482&lt;=_辅助!$J$2),INT(发票登记!$X$482)*10000+478,"")</f>
      </c>
      <c r="BG479" s="2">
        <f>IF(AND($AF$3&gt;0,资金流水!$H$483=$C$3,ISNUMBER(资金流水!$B$483),ISNUMBER(资金流水!$S$483),资金流水!$S$483&gt;=_辅助!$J$4,资金流水!$S$483&lt;=_辅助!$J$2),INT(资金流水!$B$483)*10000+478,"")</f>
      </c>
    </row>
    <row r="480">
      <c r="BF480" s="2">
        <f>IF(AND($AF$3&gt;0,发票登记!$T$483=$C$3,ISNUMBER(发票登记!$X$483),发票登记!$AB$483&lt;&gt;0,发票登记!$Y$483&gt;=_辅助!$J$4,发票登记!$Y$483&lt;=_辅助!$J$2),INT(发票登记!$X$483)*10000+479,"")</f>
      </c>
      <c r="BG480" s="2">
        <f>IF(AND($AF$3&gt;0,资金流水!$H$484=$C$3,ISNUMBER(资金流水!$B$484),ISNUMBER(资金流水!$S$484),资金流水!$S$484&gt;=_辅助!$J$4,资金流水!$S$484&lt;=_辅助!$J$2),INT(资金流水!$B$484)*10000+479,"")</f>
      </c>
    </row>
    <row r="481">
      <c r="BF481" s="2">
        <f>IF(AND($AF$3&gt;0,发票登记!$T$484=$C$3,ISNUMBER(发票登记!$X$484),发票登记!$AB$484&lt;&gt;0,发票登记!$Y$484&gt;=_辅助!$J$4,发票登记!$Y$484&lt;=_辅助!$J$2),INT(发票登记!$X$484)*10000+480,"")</f>
      </c>
      <c r="BG481" s="2">
        <f>IF(AND($AF$3&gt;0,资金流水!$H$485=$C$3,ISNUMBER(资金流水!$B$485),ISNUMBER(资金流水!$S$485),资金流水!$S$485&gt;=_辅助!$J$4,资金流水!$S$485&lt;=_辅助!$J$2),INT(资金流水!$B$485)*10000+480,"")</f>
      </c>
    </row>
    <row r="482">
      <c r="BF482" s="2">
        <f>IF(AND($AF$3&gt;0,发票登记!$T$485=$C$3,ISNUMBER(发票登记!$X$485),发票登记!$AB$485&lt;&gt;0,发票登记!$Y$485&gt;=_辅助!$J$4,发票登记!$Y$485&lt;=_辅助!$J$2),INT(发票登记!$X$485)*10000+481,"")</f>
      </c>
      <c r="BG482" s="2">
        <f>IF(AND($AF$3&gt;0,资金流水!$H$486=$C$3,ISNUMBER(资金流水!$B$486),ISNUMBER(资金流水!$S$486),资金流水!$S$486&gt;=_辅助!$J$4,资金流水!$S$486&lt;=_辅助!$J$2),INT(资金流水!$B$486)*10000+481,"")</f>
      </c>
    </row>
    <row r="483">
      <c r="BF483" s="2">
        <f>IF(AND($AF$3&gt;0,发票登记!$T$486=$C$3,ISNUMBER(发票登记!$X$486),发票登记!$AB$486&lt;&gt;0,发票登记!$Y$486&gt;=_辅助!$J$4,发票登记!$Y$486&lt;=_辅助!$J$2),INT(发票登记!$X$486)*10000+482,"")</f>
      </c>
      <c r="BG483" s="2">
        <f>IF(AND($AF$3&gt;0,资金流水!$H$487=$C$3,ISNUMBER(资金流水!$B$487),ISNUMBER(资金流水!$S$487),资金流水!$S$487&gt;=_辅助!$J$4,资金流水!$S$487&lt;=_辅助!$J$2),INT(资金流水!$B$487)*10000+482,"")</f>
      </c>
    </row>
    <row r="484">
      <c r="BF484" s="2">
        <f>IF(AND($AF$3&gt;0,发票登记!$T$487=$C$3,ISNUMBER(发票登记!$X$487),发票登记!$AB$487&lt;&gt;0,发票登记!$Y$487&gt;=_辅助!$J$4,发票登记!$Y$487&lt;=_辅助!$J$2),INT(发票登记!$X$487)*10000+483,"")</f>
      </c>
      <c r="BG484" s="2">
        <f>IF(AND($AF$3&gt;0,资金流水!$H$488=$C$3,ISNUMBER(资金流水!$B$488),ISNUMBER(资金流水!$S$488),资金流水!$S$488&gt;=_辅助!$J$4,资金流水!$S$488&lt;=_辅助!$J$2),INT(资金流水!$B$488)*10000+483,"")</f>
      </c>
    </row>
    <row r="485">
      <c r="BF485" s="2">
        <f>IF(AND($AF$3&gt;0,发票登记!$T$488=$C$3,ISNUMBER(发票登记!$X$488),发票登记!$AB$488&lt;&gt;0,发票登记!$Y$488&gt;=_辅助!$J$4,发票登记!$Y$488&lt;=_辅助!$J$2),INT(发票登记!$X$488)*10000+484,"")</f>
      </c>
      <c r="BG485" s="2">
        <f>IF(AND($AF$3&gt;0,资金流水!$H$489=$C$3,ISNUMBER(资金流水!$B$489),ISNUMBER(资金流水!$S$489),资金流水!$S$489&gt;=_辅助!$J$4,资金流水!$S$489&lt;=_辅助!$J$2),INT(资金流水!$B$489)*10000+484,"")</f>
      </c>
    </row>
    <row r="486">
      <c r="BF486" s="2">
        <f>IF(AND($AF$3&gt;0,发票登记!$T$489=$C$3,ISNUMBER(发票登记!$X$489),发票登记!$AB$489&lt;&gt;0,发票登记!$Y$489&gt;=_辅助!$J$4,发票登记!$Y$489&lt;=_辅助!$J$2),INT(发票登记!$X$489)*10000+485,"")</f>
      </c>
      <c r="BG486" s="2">
        <f>IF(AND($AF$3&gt;0,资金流水!$H$490=$C$3,ISNUMBER(资金流水!$B$490),ISNUMBER(资金流水!$S$490),资金流水!$S$490&gt;=_辅助!$J$4,资金流水!$S$490&lt;=_辅助!$J$2),INT(资金流水!$B$490)*10000+485,"")</f>
      </c>
    </row>
    <row r="487">
      <c r="BF487" s="2">
        <f>IF(AND($AF$3&gt;0,发票登记!$T$490=$C$3,ISNUMBER(发票登记!$X$490),发票登记!$AB$490&lt;&gt;0,发票登记!$Y$490&gt;=_辅助!$J$4,发票登记!$Y$490&lt;=_辅助!$J$2),INT(发票登记!$X$490)*10000+486,"")</f>
      </c>
      <c r="BG487" s="2">
        <f>IF(AND($AF$3&gt;0,资金流水!$H$491=$C$3,ISNUMBER(资金流水!$B$491),ISNUMBER(资金流水!$S$491),资金流水!$S$491&gt;=_辅助!$J$4,资金流水!$S$491&lt;=_辅助!$J$2),INT(资金流水!$B$491)*10000+486,"")</f>
      </c>
    </row>
    <row r="488">
      <c r="BF488" s="2">
        <f>IF(AND($AF$3&gt;0,发票登记!$T$491=$C$3,ISNUMBER(发票登记!$X$491),发票登记!$AB$491&lt;&gt;0,发票登记!$Y$491&gt;=_辅助!$J$4,发票登记!$Y$491&lt;=_辅助!$J$2),INT(发票登记!$X$491)*10000+487,"")</f>
      </c>
      <c r="BG488" s="2">
        <f>IF(AND($AF$3&gt;0,资金流水!$H$492=$C$3,ISNUMBER(资金流水!$B$492),ISNUMBER(资金流水!$S$492),资金流水!$S$492&gt;=_辅助!$J$4,资金流水!$S$492&lt;=_辅助!$J$2),INT(资金流水!$B$492)*10000+487,"")</f>
      </c>
    </row>
    <row r="489">
      <c r="BF489" s="2">
        <f>IF(AND($AF$3&gt;0,发票登记!$T$492=$C$3,ISNUMBER(发票登记!$X$492),发票登记!$AB$492&lt;&gt;0,发票登记!$Y$492&gt;=_辅助!$J$4,发票登记!$Y$492&lt;=_辅助!$J$2),INT(发票登记!$X$492)*10000+488,"")</f>
      </c>
      <c r="BG489" s="2">
        <f>IF(AND($AF$3&gt;0,资金流水!$H$493=$C$3,ISNUMBER(资金流水!$B$493),ISNUMBER(资金流水!$S$493),资金流水!$S$493&gt;=_辅助!$J$4,资金流水!$S$493&lt;=_辅助!$J$2),INT(资金流水!$B$493)*10000+488,"")</f>
      </c>
    </row>
    <row r="490">
      <c r="BF490" s="2">
        <f>IF(AND($AF$3&gt;0,发票登记!$T$493=$C$3,ISNUMBER(发票登记!$X$493),发票登记!$AB$493&lt;&gt;0,发票登记!$Y$493&gt;=_辅助!$J$4,发票登记!$Y$493&lt;=_辅助!$J$2),INT(发票登记!$X$493)*10000+489,"")</f>
      </c>
      <c r="BG490" s="2">
        <f>IF(AND($AF$3&gt;0,资金流水!$H$494=$C$3,ISNUMBER(资金流水!$B$494),ISNUMBER(资金流水!$S$494),资金流水!$S$494&gt;=_辅助!$J$4,资金流水!$S$494&lt;=_辅助!$J$2),INT(资金流水!$B$494)*10000+489,"")</f>
      </c>
    </row>
    <row r="491">
      <c r="BF491" s="2">
        <f>IF(AND($AF$3&gt;0,发票登记!$T$494=$C$3,ISNUMBER(发票登记!$X$494),发票登记!$AB$494&lt;&gt;0,发票登记!$Y$494&gt;=_辅助!$J$4,发票登记!$Y$494&lt;=_辅助!$J$2),INT(发票登记!$X$494)*10000+490,"")</f>
      </c>
      <c r="BG491" s="2">
        <f>IF(AND($AF$3&gt;0,资金流水!$H$495=$C$3,ISNUMBER(资金流水!$B$495),ISNUMBER(资金流水!$S$495),资金流水!$S$495&gt;=_辅助!$J$4,资金流水!$S$495&lt;=_辅助!$J$2),INT(资金流水!$B$495)*10000+490,"")</f>
      </c>
    </row>
    <row r="492">
      <c r="BF492" s="2">
        <f>IF(AND($AF$3&gt;0,发票登记!$T$495=$C$3,ISNUMBER(发票登记!$X$495),发票登记!$AB$495&lt;&gt;0,发票登记!$Y$495&gt;=_辅助!$J$4,发票登记!$Y$495&lt;=_辅助!$J$2),INT(发票登记!$X$495)*10000+491,"")</f>
      </c>
      <c r="BG492" s="2">
        <f>IF(AND($AF$3&gt;0,资金流水!$H$496=$C$3,ISNUMBER(资金流水!$B$496),ISNUMBER(资金流水!$S$496),资金流水!$S$496&gt;=_辅助!$J$4,资金流水!$S$496&lt;=_辅助!$J$2),INT(资金流水!$B$496)*10000+491,"")</f>
      </c>
    </row>
    <row r="493">
      <c r="BF493" s="2">
        <f>IF(AND($AF$3&gt;0,发票登记!$T$496=$C$3,ISNUMBER(发票登记!$X$496),发票登记!$AB$496&lt;&gt;0,发票登记!$Y$496&gt;=_辅助!$J$4,发票登记!$Y$496&lt;=_辅助!$J$2),INT(发票登记!$X$496)*10000+492,"")</f>
      </c>
      <c r="BG493" s="2">
        <f>IF(AND($AF$3&gt;0,资金流水!$H$497=$C$3,ISNUMBER(资金流水!$B$497),ISNUMBER(资金流水!$S$497),资金流水!$S$497&gt;=_辅助!$J$4,资金流水!$S$497&lt;=_辅助!$J$2),INT(资金流水!$B$497)*10000+492,"")</f>
      </c>
    </row>
    <row r="494">
      <c r="BF494" s="2">
        <f>IF(AND($AF$3&gt;0,发票登记!$T$497=$C$3,ISNUMBER(发票登记!$X$497),发票登记!$AB$497&lt;&gt;0,发票登记!$Y$497&gt;=_辅助!$J$4,发票登记!$Y$497&lt;=_辅助!$J$2),INT(发票登记!$X$497)*10000+493,"")</f>
      </c>
      <c r="BG494" s="2">
        <f>IF(AND($AF$3&gt;0,资金流水!$H$498=$C$3,ISNUMBER(资金流水!$B$498),ISNUMBER(资金流水!$S$498),资金流水!$S$498&gt;=_辅助!$J$4,资金流水!$S$498&lt;=_辅助!$J$2),INT(资金流水!$B$498)*10000+493,"")</f>
      </c>
    </row>
    <row r="495">
      <c r="BF495" s="2">
        <f>IF(AND($AF$3&gt;0,发票登记!$T$498=$C$3,ISNUMBER(发票登记!$X$498),发票登记!$AB$498&lt;&gt;0,发票登记!$Y$498&gt;=_辅助!$J$4,发票登记!$Y$498&lt;=_辅助!$J$2),INT(发票登记!$X$498)*10000+494,"")</f>
      </c>
      <c r="BG495" s="2">
        <f>IF(AND($AF$3&gt;0,资金流水!$H$499=$C$3,ISNUMBER(资金流水!$B$499),ISNUMBER(资金流水!$S$499),资金流水!$S$499&gt;=_辅助!$J$4,资金流水!$S$499&lt;=_辅助!$J$2),INT(资金流水!$B$499)*10000+494,"")</f>
      </c>
    </row>
    <row r="496">
      <c r="BF496" s="2">
        <f>IF(AND($AF$3&gt;0,发票登记!$T$499=$C$3,ISNUMBER(发票登记!$X$499),发票登记!$AB$499&lt;&gt;0,发票登记!$Y$499&gt;=_辅助!$J$4,发票登记!$Y$499&lt;=_辅助!$J$2),INT(发票登记!$X$499)*10000+495,"")</f>
      </c>
      <c r="BG496" s="2">
        <f>IF(AND($AF$3&gt;0,资金流水!$H$500=$C$3,ISNUMBER(资金流水!$B$500),ISNUMBER(资金流水!$S$500),资金流水!$S$500&gt;=_辅助!$J$4,资金流水!$S$500&lt;=_辅助!$J$2),INT(资金流水!$B$500)*10000+495,"")</f>
      </c>
    </row>
    <row r="497">
      <c r="BF497" s="2">
        <f>IF(AND($AF$3&gt;0,发票登记!$T$500=$C$3,ISNUMBER(发票登记!$X$500),发票登记!$AB$500&lt;&gt;0,发票登记!$Y$500&gt;=_辅助!$J$4,发票登记!$Y$500&lt;=_辅助!$J$2),INT(发票登记!$X$500)*10000+496,"")</f>
      </c>
      <c r="BG497" s="2">
        <f>IF(AND($AF$3&gt;0,资金流水!$H$501=$C$3,ISNUMBER(资金流水!$B$501),ISNUMBER(资金流水!$S$501),资金流水!$S$501&gt;=_辅助!$J$4,资金流水!$S$501&lt;=_辅助!$J$2),INT(资金流水!$B$501)*10000+496,"")</f>
      </c>
    </row>
    <row r="498">
      <c r="BF498" s="2">
        <f>IF(AND($AF$3&gt;0,发票登记!$T$501=$C$3,ISNUMBER(发票登记!$X$501),发票登记!$AB$501&lt;&gt;0,发票登记!$Y$501&gt;=_辅助!$J$4,发票登记!$Y$501&lt;=_辅助!$J$2),INT(发票登记!$X$501)*10000+497,"")</f>
      </c>
      <c r="BG498" s="2">
        <f>IF(AND($AF$3&gt;0,资金流水!$H$502=$C$3,ISNUMBER(资金流水!$B$502),ISNUMBER(资金流水!$S$502),资金流水!$S$502&gt;=_辅助!$J$4,资金流水!$S$502&lt;=_辅助!$J$2),INT(资金流水!$B$502)*10000+497,"")</f>
      </c>
    </row>
    <row r="499">
      <c r="BF499" s="2">
        <f>IF(AND($AF$3&gt;0,发票登记!$T$502=$C$3,ISNUMBER(发票登记!$X$502),发票登记!$AB$502&lt;&gt;0,发票登记!$Y$502&gt;=_辅助!$J$4,发票登记!$Y$502&lt;=_辅助!$J$2),INT(发票登记!$X$502)*10000+498,"")</f>
      </c>
      <c r="BG499" s="2">
        <f>IF(AND($AF$3&gt;0,资金流水!$H$503=$C$3,ISNUMBER(资金流水!$B$503),ISNUMBER(资金流水!$S$503),资金流水!$S$503&gt;=_辅助!$J$4,资金流水!$S$503&lt;=_辅助!$J$2),INT(资金流水!$B$503)*10000+498,"")</f>
      </c>
    </row>
    <row r="500">
      <c r="BF500" s="2">
        <f>IF(AND($AF$3&gt;0,发票登记!$T$503=$C$3,ISNUMBER(发票登记!$X$503),发票登记!$AB$503&lt;&gt;0,发票登记!$Y$503&gt;=_辅助!$J$4,发票登记!$Y$503&lt;=_辅助!$J$2),INT(发票登记!$X$503)*10000+499,"")</f>
      </c>
      <c r="BG500" s="2">
        <f>IF(AND($AF$3&gt;0,资金流水!$H$504=$C$3,ISNUMBER(资金流水!$B$504),ISNUMBER(资金流水!$S$504),资金流水!$S$504&gt;=_辅助!$J$4,资金流水!$S$504&lt;=_辅助!$J$2),INT(资金流水!$B$504)*10000+499,"")</f>
      </c>
    </row>
    <row r="501">
      <c r="BF501" s="2">
        <f>IF(AND($AF$3&gt;0,发票登记!$T$504=$C$3,ISNUMBER(发票登记!$X$504),发票登记!$AB$504&lt;&gt;0,发票登记!$Y$504&gt;=_辅助!$J$4,发票登记!$Y$504&lt;=_辅助!$J$2),INT(发票登记!$X$504)*10000+500,"")</f>
      </c>
      <c r="BG501" s="2">
        <f>IF(AND($AF$3&gt;0,资金流水!$H$505=$C$3,ISNUMBER(资金流水!$B$505),ISNUMBER(资金流水!$S$505),资金流水!$S$505&gt;=_辅助!$J$4,资金流水!$S$505&lt;=_辅助!$J$2),INT(资金流水!$B$505)*10000+500,"")</f>
      </c>
    </row>
    <row r="502">
      <c r="BF502" s="2">
        <f>IF(AND($AF$3&gt;0,发票登记!$T$505=$C$3,ISNUMBER(发票登记!$X$505),发票登记!$AB$505&lt;&gt;0,发票登记!$Y$505&gt;=_辅助!$J$4,发票登记!$Y$505&lt;=_辅助!$J$2),INT(发票登记!$X$505)*10000+501,"")</f>
      </c>
      <c r="BG502" s="2">
        <f>IF(AND($AF$3&gt;0,资金流水!$H$506=$C$3,ISNUMBER(资金流水!$B$506),ISNUMBER(资金流水!$S$506),资金流水!$S$506&gt;=_辅助!$J$4,资金流水!$S$506&lt;=_辅助!$J$2),INT(资金流水!$B$506)*10000+501,"")</f>
      </c>
    </row>
    <row r="503">
      <c r="BF503" s="2">
        <f>IF(AND($AF$3&gt;0,发票登记!$T$506=$C$3,ISNUMBER(发票登记!$X$506),发票登记!$AB$506&lt;&gt;0,发票登记!$Y$506&gt;=_辅助!$J$4,发票登记!$Y$506&lt;=_辅助!$J$2),INT(发票登记!$X$506)*10000+502,"")</f>
      </c>
      <c r="BG503" s="2">
        <f>IF(AND($AF$3&gt;0,资金流水!$H$507=$C$3,ISNUMBER(资金流水!$B$507),ISNUMBER(资金流水!$S$507),资金流水!$S$507&gt;=_辅助!$J$4,资金流水!$S$507&lt;=_辅助!$J$2),INT(资金流水!$B$507)*10000+502,"")</f>
      </c>
    </row>
    <row r="504">
      <c r="BF504" s="2">
        <f>IF(AND($AF$3&gt;0,发票登记!$T$507=$C$3,ISNUMBER(发票登记!$X$507),发票登记!$AB$507&lt;&gt;0,发票登记!$Y$507&gt;=_辅助!$J$4,发票登记!$Y$507&lt;=_辅助!$J$2),INT(发票登记!$X$507)*10000+503,"")</f>
      </c>
      <c r="BG504" s="2">
        <f>IF(AND($AF$3&gt;0,资金流水!$H$508=$C$3,ISNUMBER(资金流水!$B$508),ISNUMBER(资金流水!$S$508),资金流水!$S$508&gt;=_辅助!$J$4,资金流水!$S$508&lt;=_辅助!$J$2),INT(资金流水!$B$508)*10000+503,"")</f>
      </c>
    </row>
    <row r="505">
      <c r="BF505" s="2">
        <f>IF(AND($AF$3&gt;0,发票登记!$T$508=$C$3,ISNUMBER(发票登记!$X$508),发票登记!$AB$508&lt;&gt;0,发票登记!$Y$508&gt;=_辅助!$J$4,发票登记!$Y$508&lt;=_辅助!$J$2),INT(发票登记!$X$508)*10000+504,"")</f>
      </c>
      <c r="BG505" s="2">
        <f>IF(AND($AF$3&gt;0,资金流水!$H$509=$C$3,ISNUMBER(资金流水!$B$509),ISNUMBER(资金流水!$S$509),资金流水!$S$509&gt;=_辅助!$J$4,资金流水!$S$509&lt;=_辅助!$J$2),INT(资金流水!$B$509)*10000+504,"")</f>
      </c>
    </row>
    <row r="506">
      <c r="BF506" s="2">
        <f>IF(AND($AF$3&gt;0,发票登记!$T$509=$C$3,ISNUMBER(发票登记!$X$509),发票登记!$AB$509&lt;&gt;0,发票登记!$Y$509&gt;=_辅助!$J$4,发票登记!$Y$509&lt;=_辅助!$J$2),INT(发票登记!$X$509)*10000+505,"")</f>
      </c>
      <c r="BG506" s="2">
        <f>IF(AND($AF$3&gt;0,资金流水!$H$510=$C$3,ISNUMBER(资金流水!$B$510),ISNUMBER(资金流水!$S$510),资金流水!$S$510&gt;=_辅助!$J$4,资金流水!$S$510&lt;=_辅助!$J$2),INT(资金流水!$B$510)*10000+505,"")</f>
      </c>
    </row>
    <row r="507">
      <c r="BF507" s="2">
        <f>IF(AND($AF$3&gt;0,发票登记!$T$510=$C$3,ISNUMBER(发票登记!$X$510),发票登记!$AB$510&lt;&gt;0,发票登记!$Y$510&gt;=_辅助!$J$4,发票登记!$Y$510&lt;=_辅助!$J$2),INT(发票登记!$X$510)*10000+506,"")</f>
      </c>
      <c r="BG507" s="2">
        <f>IF(AND($AF$3&gt;0,资金流水!$H$511=$C$3,ISNUMBER(资金流水!$B$511),ISNUMBER(资金流水!$S$511),资金流水!$S$511&gt;=_辅助!$J$4,资金流水!$S$511&lt;=_辅助!$J$2),INT(资金流水!$B$511)*10000+506,"")</f>
      </c>
    </row>
    <row r="508">
      <c r="BF508" s="2">
        <f>IF(AND($AF$3&gt;0,发票登记!$T$511=$C$3,ISNUMBER(发票登记!$X$511),发票登记!$AB$511&lt;&gt;0,发票登记!$Y$511&gt;=_辅助!$J$4,发票登记!$Y$511&lt;=_辅助!$J$2),INT(发票登记!$X$511)*10000+507,"")</f>
      </c>
      <c r="BG508" s="2">
        <f>IF(AND($AF$3&gt;0,资金流水!$H$512=$C$3,ISNUMBER(资金流水!$B$512),ISNUMBER(资金流水!$S$512),资金流水!$S$512&gt;=_辅助!$J$4,资金流水!$S$512&lt;=_辅助!$J$2),INT(资金流水!$B$512)*10000+507,"")</f>
      </c>
    </row>
    <row r="509">
      <c r="BF509" s="2">
        <f>IF(AND($AF$3&gt;0,发票登记!$T$512=$C$3,ISNUMBER(发票登记!$X$512),发票登记!$AB$512&lt;&gt;0,发票登记!$Y$512&gt;=_辅助!$J$4,发票登记!$Y$512&lt;=_辅助!$J$2),INT(发票登记!$X$512)*10000+508,"")</f>
      </c>
      <c r="BG509" s="2">
        <f>IF(AND($AF$3&gt;0,资金流水!$H$513=$C$3,ISNUMBER(资金流水!$B$513),ISNUMBER(资金流水!$S$513),资金流水!$S$513&gt;=_辅助!$J$4,资金流水!$S$513&lt;=_辅助!$J$2),INT(资金流水!$B$513)*10000+508,"")</f>
      </c>
    </row>
    <row r="510">
      <c r="BF510" s="2">
        <f>IF(AND($AF$3&gt;0,发票登记!$T$513=$C$3,ISNUMBER(发票登记!$X$513),发票登记!$AB$513&lt;&gt;0,发票登记!$Y$513&gt;=_辅助!$J$4,发票登记!$Y$513&lt;=_辅助!$J$2),INT(发票登记!$X$513)*10000+509,"")</f>
      </c>
      <c r="BG510" s="2">
        <f>IF(AND($AF$3&gt;0,资金流水!$H$514=$C$3,ISNUMBER(资金流水!$B$514),ISNUMBER(资金流水!$S$514),资金流水!$S$514&gt;=_辅助!$J$4,资金流水!$S$514&lt;=_辅助!$J$2),INT(资金流水!$B$514)*10000+509,"")</f>
      </c>
    </row>
    <row r="511">
      <c r="BF511" s="2">
        <f>IF(AND($AF$3&gt;0,发票登记!$T$514=$C$3,ISNUMBER(发票登记!$X$514),发票登记!$AB$514&lt;&gt;0,发票登记!$Y$514&gt;=_辅助!$J$4,发票登记!$Y$514&lt;=_辅助!$J$2),INT(发票登记!$X$514)*10000+510,"")</f>
      </c>
      <c r="BG511" s="2">
        <f>IF(AND($AF$3&gt;0,资金流水!$H$515=$C$3,ISNUMBER(资金流水!$B$515),ISNUMBER(资金流水!$S$515),资金流水!$S$515&gt;=_辅助!$J$4,资金流水!$S$515&lt;=_辅助!$J$2),INT(资金流水!$B$515)*10000+510,"")</f>
      </c>
    </row>
    <row r="512">
      <c r="BF512" s="2">
        <f>IF(AND($AF$3&gt;0,发票登记!$T$515=$C$3,ISNUMBER(发票登记!$X$515),发票登记!$AB$515&lt;&gt;0,发票登记!$Y$515&gt;=_辅助!$J$4,发票登记!$Y$515&lt;=_辅助!$J$2),INT(发票登记!$X$515)*10000+511,"")</f>
      </c>
      <c r="BG512" s="2">
        <f>IF(AND($AF$3&gt;0,资金流水!$H$516=$C$3,ISNUMBER(资金流水!$B$516),ISNUMBER(资金流水!$S$516),资金流水!$S$516&gt;=_辅助!$J$4,资金流水!$S$516&lt;=_辅助!$J$2),INT(资金流水!$B$516)*10000+511,"")</f>
      </c>
    </row>
    <row r="513">
      <c r="BF513" s="2">
        <f>IF(AND($AF$3&gt;0,发票登记!$T$516=$C$3,ISNUMBER(发票登记!$X$516),发票登记!$AB$516&lt;&gt;0,发票登记!$Y$516&gt;=_辅助!$J$4,发票登记!$Y$516&lt;=_辅助!$J$2),INT(发票登记!$X$516)*10000+512,"")</f>
      </c>
      <c r="BG513" s="2">
        <f>IF(AND($AF$3&gt;0,资金流水!$H$517=$C$3,ISNUMBER(资金流水!$B$517),ISNUMBER(资金流水!$S$517),资金流水!$S$517&gt;=_辅助!$J$4,资金流水!$S$517&lt;=_辅助!$J$2),INT(资金流水!$B$517)*10000+512,"")</f>
      </c>
    </row>
    <row r="514">
      <c r="BF514" s="2">
        <f>IF(AND($AF$3&gt;0,发票登记!$T$517=$C$3,ISNUMBER(发票登记!$X$517),发票登记!$AB$517&lt;&gt;0,发票登记!$Y$517&gt;=_辅助!$J$4,发票登记!$Y$517&lt;=_辅助!$J$2),INT(发票登记!$X$517)*10000+513,"")</f>
      </c>
      <c r="BG514" s="2">
        <f>IF(AND($AF$3&gt;0,资金流水!$H$518=$C$3,ISNUMBER(资金流水!$B$518),ISNUMBER(资金流水!$S$518),资金流水!$S$518&gt;=_辅助!$J$4,资金流水!$S$518&lt;=_辅助!$J$2),INT(资金流水!$B$518)*10000+513,"")</f>
      </c>
    </row>
    <row r="515">
      <c r="BF515" s="2">
        <f>IF(AND($AF$3&gt;0,发票登记!$T$518=$C$3,ISNUMBER(发票登记!$X$518),发票登记!$AB$518&lt;&gt;0,发票登记!$Y$518&gt;=_辅助!$J$4,发票登记!$Y$518&lt;=_辅助!$J$2),INT(发票登记!$X$518)*10000+514,"")</f>
      </c>
      <c r="BG515" s="2">
        <f>IF(AND($AF$3&gt;0,资金流水!$H$519=$C$3,ISNUMBER(资金流水!$B$519),ISNUMBER(资金流水!$S$519),资金流水!$S$519&gt;=_辅助!$J$4,资金流水!$S$519&lt;=_辅助!$J$2),INT(资金流水!$B$519)*10000+514,"")</f>
      </c>
    </row>
    <row r="516">
      <c r="BF516" s="2">
        <f>IF(AND($AF$3&gt;0,发票登记!$T$519=$C$3,ISNUMBER(发票登记!$X$519),发票登记!$AB$519&lt;&gt;0,发票登记!$Y$519&gt;=_辅助!$J$4,发票登记!$Y$519&lt;=_辅助!$J$2),INT(发票登记!$X$519)*10000+515,"")</f>
      </c>
      <c r="BG516" s="2">
        <f>IF(AND($AF$3&gt;0,资金流水!$H$520=$C$3,ISNUMBER(资金流水!$B$520),ISNUMBER(资金流水!$S$520),资金流水!$S$520&gt;=_辅助!$J$4,资金流水!$S$520&lt;=_辅助!$J$2),INT(资金流水!$B$520)*10000+515,"")</f>
      </c>
    </row>
    <row r="517">
      <c r="BF517" s="2">
        <f>IF(AND($AF$3&gt;0,发票登记!$T$520=$C$3,ISNUMBER(发票登记!$X$520),发票登记!$AB$520&lt;&gt;0,发票登记!$Y$520&gt;=_辅助!$J$4,发票登记!$Y$520&lt;=_辅助!$J$2),INT(发票登记!$X$520)*10000+516,"")</f>
      </c>
      <c r="BG517" s="2">
        <f>IF(AND($AF$3&gt;0,资金流水!$H$521=$C$3,ISNUMBER(资金流水!$B$521),ISNUMBER(资金流水!$S$521),资金流水!$S$521&gt;=_辅助!$J$4,资金流水!$S$521&lt;=_辅助!$J$2),INT(资金流水!$B$521)*10000+516,"")</f>
      </c>
    </row>
    <row r="518">
      <c r="BF518" s="2">
        <f>IF(AND($AF$3&gt;0,发票登记!$T$521=$C$3,ISNUMBER(发票登记!$X$521),发票登记!$AB$521&lt;&gt;0,发票登记!$Y$521&gt;=_辅助!$J$4,发票登记!$Y$521&lt;=_辅助!$J$2),INT(发票登记!$X$521)*10000+517,"")</f>
      </c>
      <c r="BG518" s="2">
        <f>IF(AND($AF$3&gt;0,资金流水!$H$522=$C$3,ISNUMBER(资金流水!$B$522),ISNUMBER(资金流水!$S$522),资金流水!$S$522&gt;=_辅助!$J$4,资金流水!$S$522&lt;=_辅助!$J$2),INT(资金流水!$B$522)*10000+517,"")</f>
      </c>
    </row>
    <row r="519">
      <c r="BF519" s="2">
        <f>IF(AND($AF$3&gt;0,发票登记!$T$522=$C$3,ISNUMBER(发票登记!$X$522),发票登记!$AB$522&lt;&gt;0,发票登记!$Y$522&gt;=_辅助!$J$4,发票登记!$Y$522&lt;=_辅助!$J$2),INT(发票登记!$X$522)*10000+518,"")</f>
      </c>
      <c r="BG519" s="2">
        <f>IF(AND($AF$3&gt;0,资金流水!$H$523=$C$3,ISNUMBER(资金流水!$B$523),ISNUMBER(资金流水!$S$523),资金流水!$S$523&gt;=_辅助!$J$4,资金流水!$S$523&lt;=_辅助!$J$2),INT(资金流水!$B$523)*10000+518,"")</f>
      </c>
    </row>
    <row r="520">
      <c r="BF520" s="2">
        <f>IF(AND($AF$3&gt;0,发票登记!$T$523=$C$3,ISNUMBER(发票登记!$X$523),发票登记!$AB$523&lt;&gt;0,发票登记!$Y$523&gt;=_辅助!$J$4,发票登记!$Y$523&lt;=_辅助!$J$2),INT(发票登记!$X$523)*10000+519,"")</f>
      </c>
      <c r="BG520" s="2">
        <f>IF(AND($AF$3&gt;0,资金流水!$H$524=$C$3,ISNUMBER(资金流水!$B$524),ISNUMBER(资金流水!$S$524),资金流水!$S$524&gt;=_辅助!$J$4,资金流水!$S$524&lt;=_辅助!$J$2),INT(资金流水!$B$524)*10000+519,"")</f>
      </c>
    </row>
    <row r="521">
      <c r="BF521" s="2">
        <f>IF(AND($AF$3&gt;0,发票登记!$T$524=$C$3,ISNUMBER(发票登记!$X$524),发票登记!$AB$524&lt;&gt;0,发票登记!$Y$524&gt;=_辅助!$J$4,发票登记!$Y$524&lt;=_辅助!$J$2),INT(发票登记!$X$524)*10000+520,"")</f>
      </c>
      <c r="BG521" s="2">
        <f>IF(AND($AF$3&gt;0,资金流水!$H$525=$C$3,ISNUMBER(资金流水!$B$525),ISNUMBER(资金流水!$S$525),资金流水!$S$525&gt;=_辅助!$J$4,资金流水!$S$525&lt;=_辅助!$J$2),INT(资金流水!$B$525)*10000+520,"")</f>
      </c>
    </row>
    <row r="522">
      <c r="BF522" s="2">
        <f>IF(AND($AF$3&gt;0,发票登记!$T$525=$C$3,ISNUMBER(发票登记!$X$525),发票登记!$AB$525&lt;&gt;0,发票登记!$Y$525&gt;=_辅助!$J$4,发票登记!$Y$525&lt;=_辅助!$J$2),INT(发票登记!$X$525)*10000+521,"")</f>
      </c>
      <c r="BG522" s="2">
        <f>IF(AND($AF$3&gt;0,资金流水!$H$526=$C$3,ISNUMBER(资金流水!$B$526),ISNUMBER(资金流水!$S$526),资金流水!$S$526&gt;=_辅助!$J$4,资金流水!$S$526&lt;=_辅助!$J$2),INT(资金流水!$B$526)*10000+521,"")</f>
      </c>
    </row>
    <row r="523">
      <c r="BF523" s="2">
        <f>IF(AND($AF$3&gt;0,发票登记!$T$526=$C$3,ISNUMBER(发票登记!$X$526),发票登记!$AB$526&lt;&gt;0,发票登记!$Y$526&gt;=_辅助!$J$4,发票登记!$Y$526&lt;=_辅助!$J$2),INT(发票登记!$X$526)*10000+522,"")</f>
      </c>
      <c r="BG523" s="2">
        <f>IF(AND($AF$3&gt;0,资金流水!$H$527=$C$3,ISNUMBER(资金流水!$B$527),ISNUMBER(资金流水!$S$527),资金流水!$S$527&gt;=_辅助!$J$4,资金流水!$S$527&lt;=_辅助!$J$2),INT(资金流水!$B$527)*10000+522,"")</f>
      </c>
    </row>
    <row r="524">
      <c r="BF524" s="2">
        <f>IF(AND($AF$3&gt;0,发票登记!$T$527=$C$3,ISNUMBER(发票登记!$X$527),发票登记!$AB$527&lt;&gt;0,发票登记!$Y$527&gt;=_辅助!$J$4,发票登记!$Y$527&lt;=_辅助!$J$2),INT(发票登记!$X$527)*10000+523,"")</f>
      </c>
      <c r="BG524" s="2">
        <f>IF(AND($AF$3&gt;0,资金流水!$H$528=$C$3,ISNUMBER(资金流水!$B$528),ISNUMBER(资金流水!$S$528),资金流水!$S$528&gt;=_辅助!$J$4,资金流水!$S$528&lt;=_辅助!$J$2),INT(资金流水!$B$528)*10000+523,"")</f>
      </c>
    </row>
    <row r="525">
      <c r="BF525" s="2">
        <f>IF(AND($AF$3&gt;0,发票登记!$T$528=$C$3,ISNUMBER(发票登记!$X$528),发票登记!$AB$528&lt;&gt;0,发票登记!$Y$528&gt;=_辅助!$J$4,发票登记!$Y$528&lt;=_辅助!$J$2),INT(发票登记!$X$528)*10000+524,"")</f>
      </c>
      <c r="BG525" s="2">
        <f>IF(AND($AF$3&gt;0,资金流水!$H$529=$C$3,ISNUMBER(资金流水!$B$529),ISNUMBER(资金流水!$S$529),资金流水!$S$529&gt;=_辅助!$J$4,资金流水!$S$529&lt;=_辅助!$J$2),INT(资金流水!$B$529)*10000+524,"")</f>
      </c>
    </row>
    <row r="526">
      <c r="BF526" s="2">
        <f>IF(AND($AF$3&gt;0,发票登记!$T$529=$C$3,ISNUMBER(发票登记!$X$529),发票登记!$AB$529&lt;&gt;0,发票登记!$Y$529&gt;=_辅助!$J$4,发票登记!$Y$529&lt;=_辅助!$J$2),INT(发票登记!$X$529)*10000+525,"")</f>
      </c>
      <c r="BG526" s="2">
        <f>IF(AND($AF$3&gt;0,资金流水!$H$530=$C$3,ISNUMBER(资金流水!$B$530),ISNUMBER(资金流水!$S$530),资金流水!$S$530&gt;=_辅助!$J$4,资金流水!$S$530&lt;=_辅助!$J$2),INT(资金流水!$B$530)*10000+525,"")</f>
      </c>
    </row>
    <row r="527">
      <c r="BF527" s="2">
        <f>IF(AND($AF$3&gt;0,发票登记!$T$530=$C$3,ISNUMBER(发票登记!$X$530),发票登记!$AB$530&lt;&gt;0,发票登记!$Y$530&gt;=_辅助!$J$4,发票登记!$Y$530&lt;=_辅助!$J$2),INT(发票登记!$X$530)*10000+526,"")</f>
      </c>
      <c r="BG527" s="2">
        <f>IF(AND($AF$3&gt;0,资金流水!$H$531=$C$3,ISNUMBER(资金流水!$B$531),ISNUMBER(资金流水!$S$531),资金流水!$S$531&gt;=_辅助!$J$4,资金流水!$S$531&lt;=_辅助!$J$2),INT(资金流水!$B$531)*10000+526,"")</f>
      </c>
    </row>
    <row r="528">
      <c r="BF528" s="2">
        <f>IF(AND($AF$3&gt;0,发票登记!$T$531=$C$3,ISNUMBER(发票登记!$X$531),发票登记!$AB$531&lt;&gt;0,发票登记!$Y$531&gt;=_辅助!$J$4,发票登记!$Y$531&lt;=_辅助!$J$2),INT(发票登记!$X$531)*10000+527,"")</f>
      </c>
      <c r="BG528" s="2">
        <f>IF(AND($AF$3&gt;0,资金流水!$H$532=$C$3,ISNUMBER(资金流水!$B$532),ISNUMBER(资金流水!$S$532),资金流水!$S$532&gt;=_辅助!$J$4,资金流水!$S$532&lt;=_辅助!$J$2),INT(资金流水!$B$532)*10000+527,"")</f>
      </c>
    </row>
    <row r="529">
      <c r="BF529" s="2">
        <f>IF(AND($AF$3&gt;0,发票登记!$T$532=$C$3,ISNUMBER(发票登记!$X$532),发票登记!$AB$532&lt;&gt;0,发票登记!$Y$532&gt;=_辅助!$J$4,发票登记!$Y$532&lt;=_辅助!$J$2),INT(发票登记!$X$532)*10000+528,"")</f>
      </c>
      <c r="BG529" s="2">
        <f>IF(AND($AF$3&gt;0,资金流水!$H$533=$C$3,ISNUMBER(资金流水!$B$533),ISNUMBER(资金流水!$S$533),资金流水!$S$533&gt;=_辅助!$J$4,资金流水!$S$533&lt;=_辅助!$J$2),INT(资金流水!$B$533)*10000+528,"")</f>
      </c>
    </row>
    <row r="530">
      <c r="BF530" s="2">
        <f>IF(AND($AF$3&gt;0,发票登记!$T$533=$C$3,ISNUMBER(发票登记!$X$533),发票登记!$AB$533&lt;&gt;0,发票登记!$Y$533&gt;=_辅助!$J$4,发票登记!$Y$533&lt;=_辅助!$J$2),INT(发票登记!$X$533)*10000+529,"")</f>
      </c>
      <c r="BG530" s="2">
        <f>IF(AND($AF$3&gt;0,资金流水!$H$534=$C$3,ISNUMBER(资金流水!$B$534),ISNUMBER(资金流水!$S$534),资金流水!$S$534&gt;=_辅助!$J$4,资金流水!$S$534&lt;=_辅助!$J$2),INT(资金流水!$B$534)*10000+529,"")</f>
      </c>
    </row>
    <row r="531">
      <c r="BF531" s="2">
        <f>IF(AND($AF$3&gt;0,发票登记!$T$534=$C$3,ISNUMBER(发票登记!$X$534),发票登记!$AB$534&lt;&gt;0,发票登记!$Y$534&gt;=_辅助!$J$4,发票登记!$Y$534&lt;=_辅助!$J$2),INT(发票登记!$X$534)*10000+530,"")</f>
      </c>
      <c r="BG531" s="2">
        <f>IF(AND($AF$3&gt;0,资金流水!$H$535=$C$3,ISNUMBER(资金流水!$B$535),ISNUMBER(资金流水!$S$535),资金流水!$S$535&gt;=_辅助!$J$4,资金流水!$S$535&lt;=_辅助!$J$2),INT(资金流水!$B$535)*10000+530,"")</f>
      </c>
    </row>
    <row r="532">
      <c r="BF532" s="2">
        <f>IF(AND($AF$3&gt;0,发票登记!$T$535=$C$3,ISNUMBER(发票登记!$X$535),发票登记!$AB$535&lt;&gt;0,发票登记!$Y$535&gt;=_辅助!$J$4,发票登记!$Y$535&lt;=_辅助!$J$2),INT(发票登记!$X$535)*10000+531,"")</f>
      </c>
      <c r="BG532" s="2">
        <f>IF(AND($AF$3&gt;0,资金流水!$H$536=$C$3,ISNUMBER(资金流水!$B$536),ISNUMBER(资金流水!$S$536),资金流水!$S$536&gt;=_辅助!$J$4,资金流水!$S$536&lt;=_辅助!$J$2),INT(资金流水!$B$536)*10000+531,"")</f>
      </c>
    </row>
    <row r="533">
      <c r="BF533" s="2">
        <f>IF(AND($AF$3&gt;0,发票登记!$T$536=$C$3,ISNUMBER(发票登记!$X$536),发票登记!$AB$536&lt;&gt;0,发票登记!$Y$536&gt;=_辅助!$J$4,发票登记!$Y$536&lt;=_辅助!$J$2),INT(发票登记!$X$536)*10000+532,"")</f>
      </c>
      <c r="BG533" s="2">
        <f>IF(AND($AF$3&gt;0,资金流水!$H$537=$C$3,ISNUMBER(资金流水!$B$537),ISNUMBER(资金流水!$S$537),资金流水!$S$537&gt;=_辅助!$J$4,资金流水!$S$537&lt;=_辅助!$J$2),INT(资金流水!$B$537)*10000+532,"")</f>
      </c>
    </row>
    <row r="534">
      <c r="BF534" s="2">
        <f>IF(AND($AF$3&gt;0,发票登记!$T$537=$C$3,ISNUMBER(发票登记!$X$537),发票登记!$AB$537&lt;&gt;0,发票登记!$Y$537&gt;=_辅助!$J$4,发票登记!$Y$537&lt;=_辅助!$J$2),INT(发票登记!$X$537)*10000+533,"")</f>
      </c>
      <c r="BG534" s="2">
        <f>IF(AND($AF$3&gt;0,资金流水!$H$538=$C$3,ISNUMBER(资金流水!$B$538),ISNUMBER(资金流水!$S$538),资金流水!$S$538&gt;=_辅助!$J$4,资金流水!$S$538&lt;=_辅助!$J$2),INT(资金流水!$B$538)*10000+533,"")</f>
      </c>
    </row>
    <row r="535">
      <c r="BF535" s="2">
        <f>IF(AND($AF$3&gt;0,发票登记!$T$538=$C$3,ISNUMBER(发票登记!$X$538),发票登记!$AB$538&lt;&gt;0,发票登记!$Y$538&gt;=_辅助!$J$4,发票登记!$Y$538&lt;=_辅助!$J$2),INT(发票登记!$X$538)*10000+534,"")</f>
      </c>
      <c r="BG535" s="2">
        <f>IF(AND($AF$3&gt;0,资金流水!$H$539=$C$3,ISNUMBER(资金流水!$B$539),ISNUMBER(资金流水!$S$539),资金流水!$S$539&gt;=_辅助!$J$4,资金流水!$S$539&lt;=_辅助!$J$2),INT(资金流水!$B$539)*10000+534,"")</f>
      </c>
    </row>
    <row r="536">
      <c r="BF536" s="2">
        <f>IF(AND($AF$3&gt;0,发票登记!$T$539=$C$3,ISNUMBER(发票登记!$X$539),发票登记!$AB$539&lt;&gt;0,发票登记!$Y$539&gt;=_辅助!$J$4,发票登记!$Y$539&lt;=_辅助!$J$2),INT(发票登记!$X$539)*10000+535,"")</f>
      </c>
      <c r="BG536" s="2">
        <f>IF(AND($AF$3&gt;0,资金流水!$H$540=$C$3,ISNUMBER(资金流水!$B$540),ISNUMBER(资金流水!$S$540),资金流水!$S$540&gt;=_辅助!$J$4,资金流水!$S$540&lt;=_辅助!$J$2),INT(资金流水!$B$540)*10000+535,"")</f>
      </c>
    </row>
    <row r="537">
      <c r="BF537" s="2">
        <f>IF(AND($AF$3&gt;0,发票登记!$T$540=$C$3,ISNUMBER(发票登记!$X$540),发票登记!$AB$540&lt;&gt;0,发票登记!$Y$540&gt;=_辅助!$J$4,发票登记!$Y$540&lt;=_辅助!$J$2),INT(发票登记!$X$540)*10000+536,"")</f>
      </c>
      <c r="BG537" s="2">
        <f>IF(AND($AF$3&gt;0,资金流水!$H$541=$C$3,ISNUMBER(资金流水!$B$541),ISNUMBER(资金流水!$S$541),资金流水!$S$541&gt;=_辅助!$J$4,资金流水!$S$541&lt;=_辅助!$J$2),INT(资金流水!$B$541)*10000+536,"")</f>
      </c>
    </row>
    <row r="538">
      <c r="BF538" s="2">
        <f>IF(AND($AF$3&gt;0,发票登记!$T$541=$C$3,ISNUMBER(发票登记!$X$541),发票登记!$AB$541&lt;&gt;0,发票登记!$Y$541&gt;=_辅助!$J$4,发票登记!$Y$541&lt;=_辅助!$J$2),INT(发票登记!$X$541)*10000+537,"")</f>
      </c>
      <c r="BG538" s="2">
        <f>IF(AND($AF$3&gt;0,资金流水!$H$542=$C$3,ISNUMBER(资金流水!$B$542),ISNUMBER(资金流水!$S$542),资金流水!$S$542&gt;=_辅助!$J$4,资金流水!$S$542&lt;=_辅助!$J$2),INT(资金流水!$B$542)*10000+537,"")</f>
      </c>
    </row>
    <row r="539">
      <c r="BF539" s="2">
        <f>IF(AND($AF$3&gt;0,发票登记!$T$542=$C$3,ISNUMBER(发票登记!$X$542),发票登记!$AB$542&lt;&gt;0,发票登记!$Y$542&gt;=_辅助!$J$4,发票登记!$Y$542&lt;=_辅助!$J$2),INT(发票登记!$X$542)*10000+538,"")</f>
      </c>
      <c r="BG539" s="2">
        <f>IF(AND($AF$3&gt;0,资金流水!$H$543=$C$3,ISNUMBER(资金流水!$B$543),ISNUMBER(资金流水!$S$543),资金流水!$S$543&gt;=_辅助!$J$4,资金流水!$S$543&lt;=_辅助!$J$2),INT(资金流水!$B$543)*10000+538,"")</f>
      </c>
    </row>
    <row r="540">
      <c r="BF540" s="2">
        <f>IF(AND($AF$3&gt;0,发票登记!$T$543=$C$3,ISNUMBER(发票登记!$X$543),发票登记!$AB$543&lt;&gt;0,发票登记!$Y$543&gt;=_辅助!$J$4,发票登记!$Y$543&lt;=_辅助!$J$2),INT(发票登记!$X$543)*10000+539,"")</f>
      </c>
      <c r="BG540" s="2">
        <f>IF(AND($AF$3&gt;0,资金流水!$H$544=$C$3,ISNUMBER(资金流水!$B$544),ISNUMBER(资金流水!$S$544),资金流水!$S$544&gt;=_辅助!$J$4,资金流水!$S$544&lt;=_辅助!$J$2),INT(资金流水!$B$544)*10000+539,"")</f>
      </c>
    </row>
    <row r="541">
      <c r="BF541" s="2">
        <f>IF(AND($AF$3&gt;0,发票登记!$T$544=$C$3,ISNUMBER(发票登记!$X$544),发票登记!$AB$544&lt;&gt;0,发票登记!$Y$544&gt;=_辅助!$J$4,发票登记!$Y$544&lt;=_辅助!$J$2),INT(发票登记!$X$544)*10000+540,"")</f>
      </c>
      <c r="BG541" s="2">
        <f>IF(AND($AF$3&gt;0,资金流水!$H$545=$C$3,ISNUMBER(资金流水!$B$545),ISNUMBER(资金流水!$S$545),资金流水!$S$545&gt;=_辅助!$J$4,资金流水!$S$545&lt;=_辅助!$J$2),INT(资金流水!$B$545)*10000+540,"")</f>
      </c>
    </row>
    <row r="542">
      <c r="BF542" s="2">
        <f>IF(AND($AF$3&gt;0,发票登记!$T$545=$C$3,ISNUMBER(发票登记!$X$545),发票登记!$AB$545&lt;&gt;0,发票登记!$Y$545&gt;=_辅助!$J$4,发票登记!$Y$545&lt;=_辅助!$J$2),INT(发票登记!$X$545)*10000+541,"")</f>
      </c>
      <c r="BG542" s="2">
        <f>IF(AND($AF$3&gt;0,资金流水!$H$546=$C$3,ISNUMBER(资金流水!$B$546),ISNUMBER(资金流水!$S$546),资金流水!$S$546&gt;=_辅助!$J$4,资金流水!$S$546&lt;=_辅助!$J$2),INT(资金流水!$B$546)*10000+541,"")</f>
      </c>
    </row>
    <row r="543">
      <c r="BF543" s="2">
        <f>IF(AND($AF$3&gt;0,发票登记!$T$546=$C$3,ISNUMBER(发票登记!$X$546),发票登记!$AB$546&lt;&gt;0,发票登记!$Y$546&gt;=_辅助!$J$4,发票登记!$Y$546&lt;=_辅助!$J$2),INT(发票登记!$X$546)*10000+542,"")</f>
      </c>
      <c r="BG543" s="2">
        <f>IF(AND($AF$3&gt;0,资金流水!$H$547=$C$3,ISNUMBER(资金流水!$B$547),ISNUMBER(资金流水!$S$547),资金流水!$S$547&gt;=_辅助!$J$4,资金流水!$S$547&lt;=_辅助!$J$2),INT(资金流水!$B$547)*10000+542,"")</f>
      </c>
    </row>
    <row r="544">
      <c r="BF544" s="2">
        <f>IF(AND($AF$3&gt;0,发票登记!$T$547=$C$3,ISNUMBER(发票登记!$X$547),发票登记!$AB$547&lt;&gt;0,发票登记!$Y$547&gt;=_辅助!$J$4,发票登记!$Y$547&lt;=_辅助!$J$2),INT(发票登记!$X$547)*10000+543,"")</f>
      </c>
      <c r="BG544" s="2">
        <f>IF(AND($AF$3&gt;0,资金流水!$H$548=$C$3,ISNUMBER(资金流水!$B$548),ISNUMBER(资金流水!$S$548),资金流水!$S$548&gt;=_辅助!$J$4,资金流水!$S$548&lt;=_辅助!$J$2),INT(资金流水!$B$548)*10000+543,"")</f>
      </c>
    </row>
    <row r="545">
      <c r="BF545" s="2">
        <f>IF(AND($AF$3&gt;0,发票登记!$T$548=$C$3,ISNUMBER(发票登记!$X$548),发票登记!$AB$548&lt;&gt;0,发票登记!$Y$548&gt;=_辅助!$J$4,发票登记!$Y$548&lt;=_辅助!$J$2),INT(发票登记!$X$548)*10000+544,"")</f>
      </c>
      <c r="BG545" s="2">
        <f>IF(AND($AF$3&gt;0,资金流水!$H$549=$C$3,ISNUMBER(资金流水!$B$549),ISNUMBER(资金流水!$S$549),资金流水!$S$549&gt;=_辅助!$J$4,资金流水!$S$549&lt;=_辅助!$J$2),INT(资金流水!$B$549)*10000+544,"")</f>
      </c>
    </row>
    <row r="546">
      <c r="BF546" s="2">
        <f>IF(AND($AF$3&gt;0,发票登记!$T$549=$C$3,ISNUMBER(发票登记!$X$549),发票登记!$AB$549&lt;&gt;0,发票登记!$Y$549&gt;=_辅助!$J$4,发票登记!$Y$549&lt;=_辅助!$J$2),INT(发票登记!$X$549)*10000+545,"")</f>
      </c>
      <c r="BG546" s="2">
        <f>IF(AND($AF$3&gt;0,资金流水!$H$550=$C$3,ISNUMBER(资金流水!$B$550),ISNUMBER(资金流水!$S$550),资金流水!$S$550&gt;=_辅助!$J$4,资金流水!$S$550&lt;=_辅助!$J$2),INT(资金流水!$B$550)*10000+545,"")</f>
      </c>
    </row>
    <row r="547">
      <c r="BF547" s="2">
        <f>IF(AND($AF$3&gt;0,发票登记!$T$550=$C$3,ISNUMBER(发票登记!$X$550),发票登记!$AB$550&lt;&gt;0,发票登记!$Y$550&gt;=_辅助!$J$4,发票登记!$Y$550&lt;=_辅助!$J$2),INT(发票登记!$X$550)*10000+546,"")</f>
      </c>
      <c r="BG547" s="2">
        <f>IF(AND($AF$3&gt;0,资金流水!$H$551=$C$3,ISNUMBER(资金流水!$B$551),ISNUMBER(资金流水!$S$551),资金流水!$S$551&gt;=_辅助!$J$4,资金流水!$S$551&lt;=_辅助!$J$2),INT(资金流水!$B$551)*10000+546,"")</f>
      </c>
    </row>
    <row r="548">
      <c r="BF548" s="2">
        <f>IF(AND($AF$3&gt;0,发票登记!$T$551=$C$3,ISNUMBER(发票登记!$X$551),发票登记!$AB$551&lt;&gt;0,发票登记!$Y$551&gt;=_辅助!$J$4,发票登记!$Y$551&lt;=_辅助!$J$2),INT(发票登记!$X$551)*10000+547,"")</f>
      </c>
      <c r="BG548" s="2">
        <f>IF(AND($AF$3&gt;0,资金流水!$H$552=$C$3,ISNUMBER(资金流水!$B$552),ISNUMBER(资金流水!$S$552),资金流水!$S$552&gt;=_辅助!$J$4,资金流水!$S$552&lt;=_辅助!$J$2),INT(资金流水!$B$552)*10000+547,"")</f>
      </c>
    </row>
    <row r="549">
      <c r="BF549" s="2">
        <f>IF(AND($AF$3&gt;0,发票登记!$T$552=$C$3,ISNUMBER(发票登记!$X$552),发票登记!$AB$552&lt;&gt;0,发票登记!$Y$552&gt;=_辅助!$J$4,发票登记!$Y$552&lt;=_辅助!$J$2),INT(发票登记!$X$552)*10000+548,"")</f>
      </c>
      <c r="BG549" s="2">
        <f>IF(AND($AF$3&gt;0,资金流水!$H$553=$C$3,ISNUMBER(资金流水!$B$553),ISNUMBER(资金流水!$S$553),资金流水!$S$553&gt;=_辅助!$J$4,资金流水!$S$553&lt;=_辅助!$J$2),INT(资金流水!$B$553)*10000+548,"")</f>
      </c>
    </row>
    <row r="550">
      <c r="BF550" s="2">
        <f>IF(AND($AF$3&gt;0,发票登记!$T$553=$C$3,ISNUMBER(发票登记!$X$553),发票登记!$AB$553&lt;&gt;0,发票登记!$Y$553&gt;=_辅助!$J$4,发票登记!$Y$553&lt;=_辅助!$J$2),INT(发票登记!$X$553)*10000+549,"")</f>
      </c>
      <c r="BG550" s="2">
        <f>IF(AND($AF$3&gt;0,资金流水!$H$554=$C$3,ISNUMBER(资金流水!$B$554),ISNUMBER(资金流水!$S$554),资金流水!$S$554&gt;=_辅助!$J$4,资金流水!$S$554&lt;=_辅助!$J$2),INT(资金流水!$B$554)*10000+549,"")</f>
      </c>
    </row>
    <row r="551">
      <c r="BF551" s="2">
        <f>IF(AND($AF$3&gt;0,发票登记!$T$554=$C$3,ISNUMBER(发票登记!$X$554),发票登记!$AB$554&lt;&gt;0,发票登记!$Y$554&gt;=_辅助!$J$4,发票登记!$Y$554&lt;=_辅助!$J$2),INT(发票登记!$X$554)*10000+550,"")</f>
      </c>
      <c r="BG551" s="2">
        <f>IF(AND($AF$3&gt;0,资金流水!$H$555=$C$3,ISNUMBER(资金流水!$B$555),ISNUMBER(资金流水!$S$555),资金流水!$S$555&gt;=_辅助!$J$4,资金流水!$S$555&lt;=_辅助!$J$2),INT(资金流水!$B$555)*10000+550,"")</f>
      </c>
    </row>
    <row r="552">
      <c r="BF552" s="2">
        <f>IF(AND($AF$3&gt;0,发票登记!$T$555=$C$3,ISNUMBER(发票登记!$X$555),发票登记!$AB$555&lt;&gt;0,发票登记!$Y$555&gt;=_辅助!$J$4,发票登记!$Y$555&lt;=_辅助!$J$2),INT(发票登记!$X$555)*10000+551,"")</f>
      </c>
      <c r="BG552" s="2">
        <f>IF(AND($AF$3&gt;0,资金流水!$H$556=$C$3,ISNUMBER(资金流水!$B$556),ISNUMBER(资金流水!$S$556),资金流水!$S$556&gt;=_辅助!$J$4,资金流水!$S$556&lt;=_辅助!$J$2),INT(资金流水!$B$556)*10000+551,"")</f>
      </c>
    </row>
    <row r="553">
      <c r="BF553" s="2">
        <f>IF(AND($AF$3&gt;0,发票登记!$T$556=$C$3,ISNUMBER(发票登记!$X$556),发票登记!$AB$556&lt;&gt;0,发票登记!$Y$556&gt;=_辅助!$J$4,发票登记!$Y$556&lt;=_辅助!$J$2),INT(发票登记!$X$556)*10000+552,"")</f>
      </c>
      <c r="BG553" s="2">
        <f>IF(AND($AF$3&gt;0,资金流水!$H$557=$C$3,ISNUMBER(资金流水!$B$557),ISNUMBER(资金流水!$S$557),资金流水!$S$557&gt;=_辅助!$J$4,资金流水!$S$557&lt;=_辅助!$J$2),INT(资金流水!$B$557)*10000+552,"")</f>
      </c>
    </row>
    <row r="554">
      <c r="BF554" s="2">
        <f>IF(AND($AF$3&gt;0,发票登记!$T$557=$C$3,ISNUMBER(发票登记!$X$557),发票登记!$AB$557&lt;&gt;0,发票登记!$Y$557&gt;=_辅助!$J$4,发票登记!$Y$557&lt;=_辅助!$J$2),INT(发票登记!$X$557)*10000+553,"")</f>
      </c>
      <c r="BG554" s="2">
        <f>IF(AND($AF$3&gt;0,资金流水!$H$558=$C$3,ISNUMBER(资金流水!$B$558),ISNUMBER(资金流水!$S$558),资金流水!$S$558&gt;=_辅助!$J$4,资金流水!$S$558&lt;=_辅助!$J$2),INT(资金流水!$B$558)*10000+553,"")</f>
      </c>
    </row>
    <row r="555">
      <c r="BF555" s="2">
        <f>IF(AND($AF$3&gt;0,发票登记!$T$558=$C$3,ISNUMBER(发票登记!$X$558),发票登记!$AB$558&lt;&gt;0,发票登记!$Y$558&gt;=_辅助!$J$4,发票登记!$Y$558&lt;=_辅助!$J$2),INT(发票登记!$X$558)*10000+554,"")</f>
      </c>
      <c r="BG555" s="2">
        <f>IF(AND($AF$3&gt;0,资金流水!$H$559=$C$3,ISNUMBER(资金流水!$B$559),ISNUMBER(资金流水!$S$559),资金流水!$S$559&gt;=_辅助!$J$4,资金流水!$S$559&lt;=_辅助!$J$2),INT(资金流水!$B$559)*10000+554,"")</f>
      </c>
    </row>
    <row r="556">
      <c r="BF556" s="2">
        <f>IF(AND($AF$3&gt;0,发票登记!$T$559=$C$3,ISNUMBER(发票登记!$X$559),发票登记!$AB$559&lt;&gt;0,发票登记!$Y$559&gt;=_辅助!$J$4,发票登记!$Y$559&lt;=_辅助!$J$2),INT(发票登记!$X$559)*10000+555,"")</f>
      </c>
      <c r="BG556" s="2">
        <f>IF(AND($AF$3&gt;0,资金流水!$H$560=$C$3,ISNUMBER(资金流水!$B$560),ISNUMBER(资金流水!$S$560),资金流水!$S$560&gt;=_辅助!$J$4,资金流水!$S$560&lt;=_辅助!$J$2),INT(资金流水!$B$560)*10000+555,"")</f>
      </c>
    </row>
    <row r="557">
      <c r="BF557" s="2">
        <f>IF(AND($AF$3&gt;0,发票登记!$T$560=$C$3,ISNUMBER(发票登记!$X$560),发票登记!$AB$560&lt;&gt;0,发票登记!$Y$560&gt;=_辅助!$J$4,发票登记!$Y$560&lt;=_辅助!$J$2),INT(发票登记!$X$560)*10000+556,"")</f>
      </c>
      <c r="BG557" s="2">
        <f>IF(AND($AF$3&gt;0,资金流水!$H$561=$C$3,ISNUMBER(资金流水!$B$561),ISNUMBER(资金流水!$S$561),资金流水!$S$561&gt;=_辅助!$J$4,资金流水!$S$561&lt;=_辅助!$J$2),INT(资金流水!$B$561)*10000+556,"")</f>
      </c>
    </row>
    <row r="558">
      <c r="BF558" s="2">
        <f>IF(AND($AF$3&gt;0,发票登记!$T$561=$C$3,ISNUMBER(发票登记!$X$561),发票登记!$AB$561&lt;&gt;0,发票登记!$Y$561&gt;=_辅助!$J$4,发票登记!$Y$561&lt;=_辅助!$J$2),INT(发票登记!$X$561)*10000+557,"")</f>
      </c>
      <c r="BG558" s="2">
        <f>IF(AND($AF$3&gt;0,资金流水!$H$562=$C$3,ISNUMBER(资金流水!$B$562),ISNUMBER(资金流水!$S$562),资金流水!$S$562&gt;=_辅助!$J$4,资金流水!$S$562&lt;=_辅助!$J$2),INT(资金流水!$B$562)*10000+557,"")</f>
      </c>
    </row>
    <row r="559">
      <c r="BF559" s="2">
        <f>IF(AND($AF$3&gt;0,发票登记!$T$562=$C$3,ISNUMBER(发票登记!$X$562),发票登记!$AB$562&lt;&gt;0,发票登记!$Y$562&gt;=_辅助!$J$4,发票登记!$Y$562&lt;=_辅助!$J$2),INT(发票登记!$X$562)*10000+558,"")</f>
      </c>
      <c r="BG559" s="2">
        <f>IF(AND($AF$3&gt;0,资金流水!$H$563=$C$3,ISNUMBER(资金流水!$B$563),ISNUMBER(资金流水!$S$563),资金流水!$S$563&gt;=_辅助!$J$4,资金流水!$S$563&lt;=_辅助!$J$2),INT(资金流水!$B$563)*10000+558,"")</f>
      </c>
    </row>
    <row r="560">
      <c r="BF560" s="2">
        <f>IF(AND($AF$3&gt;0,发票登记!$T$563=$C$3,ISNUMBER(发票登记!$X$563),发票登记!$AB$563&lt;&gt;0,发票登记!$Y$563&gt;=_辅助!$J$4,发票登记!$Y$563&lt;=_辅助!$J$2),INT(发票登记!$X$563)*10000+559,"")</f>
      </c>
      <c r="BG560" s="2">
        <f>IF(AND($AF$3&gt;0,资金流水!$H$564=$C$3,ISNUMBER(资金流水!$B$564),ISNUMBER(资金流水!$S$564),资金流水!$S$564&gt;=_辅助!$J$4,资金流水!$S$564&lt;=_辅助!$J$2),INT(资金流水!$B$564)*10000+559,"")</f>
      </c>
    </row>
    <row r="561">
      <c r="BF561" s="2">
        <f>IF(AND($AF$3&gt;0,发票登记!$T$564=$C$3,ISNUMBER(发票登记!$X$564),发票登记!$AB$564&lt;&gt;0,发票登记!$Y$564&gt;=_辅助!$J$4,发票登记!$Y$564&lt;=_辅助!$J$2),INT(发票登记!$X$564)*10000+560,"")</f>
      </c>
      <c r="BG561" s="2">
        <f>IF(AND($AF$3&gt;0,资金流水!$H$565=$C$3,ISNUMBER(资金流水!$B$565),ISNUMBER(资金流水!$S$565),资金流水!$S$565&gt;=_辅助!$J$4,资金流水!$S$565&lt;=_辅助!$J$2),INT(资金流水!$B$565)*10000+560,"")</f>
      </c>
    </row>
    <row r="562">
      <c r="BF562" s="2">
        <f>IF(AND($AF$3&gt;0,发票登记!$T$565=$C$3,ISNUMBER(发票登记!$X$565),发票登记!$AB$565&lt;&gt;0,发票登记!$Y$565&gt;=_辅助!$J$4,发票登记!$Y$565&lt;=_辅助!$J$2),INT(发票登记!$X$565)*10000+561,"")</f>
      </c>
      <c r="BG562" s="2">
        <f>IF(AND($AF$3&gt;0,资金流水!$H$566=$C$3,ISNUMBER(资金流水!$B$566),ISNUMBER(资金流水!$S$566),资金流水!$S$566&gt;=_辅助!$J$4,资金流水!$S$566&lt;=_辅助!$J$2),INT(资金流水!$B$566)*10000+561,"")</f>
      </c>
    </row>
    <row r="563">
      <c r="BF563" s="2">
        <f>IF(AND($AF$3&gt;0,发票登记!$T$566=$C$3,ISNUMBER(发票登记!$X$566),发票登记!$AB$566&lt;&gt;0,发票登记!$Y$566&gt;=_辅助!$J$4,发票登记!$Y$566&lt;=_辅助!$J$2),INT(发票登记!$X$566)*10000+562,"")</f>
      </c>
      <c r="BG563" s="2">
        <f>IF(AND($AF$3&gt;0,资金流水!$H$567=$C$3,ISNUMBER(资金流水!$B$567),ISNUMBER(资金流水!$S$567),资金流水!$S$567&gt;=_辅助!$J$4,资金流水!$S$567&lt;=_辅助!$J$2),INT(资金流水!$B$567)*10000+562,"")</f>
      </c>
    </row>
    <row r="564">
      <c r="BF564" s="2">
        <f>IF(AND($AF$3&gt;0,发票登记!$T$567=$C$3,ISNUMBER(发票登记!$X$567),发票登记!$AB$567&lt;&gt;0,发票登记!$Y$567&gt;=_辅助!$J$4,发票登记!$Y$567&lt;=_辅助!$J$2),INT(发票登记!$X$567)*10000+563,"")</f>
      </c>
      <c r="BG564" s="2">
        <f>IF(AND($AF$3&gt;0,资金流水!$H$568=$C$3,ISNUMBER(资金流水!$B$568),ISNUMBER(资金流水!$S$568),资金流水!$S$568&gt;=_辅助!$J$4,资金流水!$S$568&lt;=_辅助!$J$2),INT(资金流水!$B$568)*10000+563,"")</f>
      </c>
    </row>
    <row r="565">
      <c r="BF565" s="2">
        <f>IF(AND($AF$3&gt;0,发票登记!$T$568=$C$3,ISNUMBER(发票登记!$X$568),发票登记!$AB$568&lt;&gt;0,发票登记!$Y$568&gt;=_辅助!$J$4,发票登记!$Y$568&lt;=_辅助!$J$2),INT(发票登记!$X$568)*10000+564,"")</f>
      </c>
      <c r="BG565" s="2">
        <f>IF(AND($AF$3&gt;0,资金流水!$H$569=$C$3,ISNUMBER(资金流水!$B$569),ISNUMBER(资金流水!$S$569),资金流水!$S$569&gt;=_辅助!$J$4,资金流水!$S$569&lt;=_辅助!$J$2),INT(资金流水!$B$569)*10000+564,"")</f>
      </c>
    </row>
    <row r="566">
      <c r="BF566" s="2">
        <f>IF(AND($AF$3&gt;0,发票登记!$T$569=$C$3,ISNUMBER(发票登记!$X$569),发票登记!$AB$569&lt;&gt;0,发票登记!$Y$569&gt;=_辅助!$J$4,发票登记!$Y$569&lt;=_辅助!$J$2),INT(发票登记!$X$569)*10000+565,"")</f>
      </c>
      <c r="BG566" s="2">
        <f>IF(AND($AF$3&gt;0,资金流水!$H$570=$C$3,ISNUMBER(资金流水!$B$570),ISNUMBER(资金流水!$S$570),资金流水!$S$570&gt;=_辅助!$J$4,资金流水!$S$570&lt;=_辅助!$J$2),INT(资金流水!$B$570)*10000+565,"")</f>
      </c>
    </row>
    <row r="567">
      <c r="BF567" s="2">
        <f>IF(AND($AF$3&gt;0,发票登记!$T$570=$C$3,ISNUMBER(发票登记!$X$570),发票登记!$AB$570&lt;&gt;0,发票登记!$Y$570&gt;=_辅助!$J$4,发票登记!$Y$570&lt;=_辅助!$J$2),INT(发票登记!$X$570)*10000+566,"")</f>
      </c>
      <c r="BG567" s="2">
        <f>IF(AND($AF$3&gt;0,资金流水!$H$571=$C$3,ISNUMBER(资金流水!$B$571),ISNUMBER(资金流水!$S$571),资金流水!$S$571&gt;=_辅助!$J$4,资金流水!$S$571&lt;=_辅助!$J$2),INT(资金流水!$B$571)*10000+566,"")</f>
      </c>
    </row>
    <row r="568">
      <c r="BF568" s="2">
        <f>IF(AND($AF$3&gt;0,发票登记!$T$571=$C$3,ISNUMBER(发票登记!$X$571),发票登记!$AB$571&lt;&gt;0,发票登记!$Y$571&gt;=_辅助!$J$4,发票登记!$Y$571&lt;=_辅助!$J$2),INT(发票登记!$X$571)*10000+567,"")</f>
      </c>
      <c r="BG568" s="2">
        <f>IF(AND($AF$3&gt;0,资金流水!$H$572=$C$3,ISNUMBER(资金流水!$B$572),ISNUMBER(资金流水!$S$572),资金流水!$S$572&gt;=_辅助!$J$4,资金流水!$S$572&lt;=_辅助!$J$2),INT(资金流水!$B$572)*10000+567,"")</f>
      </c>
    </row>
    <row r="569">
      <c r="BF569" s="2">
        <f>IF(AND($AF$3&gt;0,发票登记!$T$572=$C$3,ISNUMBER(发票登记!$X$572),发票登记!$AB$572&lt;&gt;0,发票登记!$Y$572&gt;=_辅助!$J$4,发票登记!$Y$572&lt;=_辅助!$J$2),INT(发票登记!$X$572)*10000+568,"")</f>
      </c>
      <c r="BG569" s="2">
        <f>IF(AND($AF$3&gt;0,资金流水!$H$573=$C$3,ISNUMBER(资金流水!$B$573),ISNUMBER(资金流水!$S$573),资金流水!$S$573&gt;=_辅助!$J$4,资金流水!$S$573&lt;=_辅助!$J$2),INT(资金流水!$B$573)*10000+568,"")</f>
      </c>
    </row>
    <row r="570">
      <c r="BF570" s="2">
        <f>IF(AND($AF$3&gt;0,发票登记!$T$573=$C$3,ISNUMBER(发票登记!$X$573),发票登记!$AB$573&lt;&gt;0,发票登记!$Y$573&gt;=_辅助!$J$4,发票登记!$Y$573&lt;=_辅助!$J$2),INT(发票登记!$X$573)*10000+569,"")</f>
      </c>
      <c r="BG570" s="2">
        <f>IF(AND($AF$3&gt;0,资金流水!$H$574=$C$3,ISNUMBER(资金流水!$B$574),ISNUMBER(资金流水!$S$574),资金流水!$S$574&gt;=_辅助!$J$4,资金流水!$S$574&lt;=_辅助!$J$2),INT(资金流水!$B$574)*10000+569,"")</f>
      </c>
    </row>
    <row r="571">
      <c r="BF571" s="2">
        <f>IF(AND($AF$3&gt;0,发票登记!$T$574=$C$3,ISNUMBER(发票登记!$X$574),发票登记!$AB$574&lt;&gt;0,发票登记!$Y$574&gt;=_辅助!$J$4,发票登记!$Y$574&lt;=_辅助!$J$2),INT(发票登记!$X$574)*10000+570,"")</f>
      </c>
      <c r="BG571" s="2">
        <f>IF(AND($AF$3&gt;0,资金流水!$H$575=$C$3,ISNUMBER(资金流水!$B$575),ISNUMBER(资金流水!$S$575),资金流水!$S$575&gt;=_辅助!$J$4,资金流水!$S$575&lt;=_辅助!$J$2),INT(资金流水!$B$575)*10000+570,"")</f>
      </c>
    </row>
    <row r="572">
      <c r="BF572" s="2">
        <f>IF(AND($AF$3&gt;0,发票登记!$T$575=$C$3,ISNUMBER(发票登记!$X$575),发票登记!$AB$575&lt;&gt;0,发票登记!$Y$575&gt;=_辅助!$J$4,发票登记!$Y$575&lt;=_辅助!$J$2),INT(发票登记!$X$575)*10000+571,"")</f>
      </c>
      <c r="BG572" s="2">
        <f>IF(AND($AF$3&gt;0,资金流水!$H$576=$C$3,ISNUMBER(资金流水!$B$576),ISNUMBER(资金流水!$S$576),资金流水!$S$576&gt;=_辅助!$J$4,资金流水!$S$576&lt;=_辅助!$J$2),INT(资金流水!$B$576)*10000+571,"")</f>
      </c>
    </row>
    <row r="573">
      <c r="BF573" s="2">
        <f>IF(AND($AF$3&gt;0,发票登记!$T$576=$C$3,ISNUMBER(发票登记!$X$576),发票登记!$AB$576&lt;&gt;0,发票登记!$Y$576&gt;=_辅助!$J$4,发票登记!$Y$576&lt;=_辅助!$J$2),INT(发票登记!$X$576)*10000+572,"")</f>
      </c>
      <c r="BG573" s="2">
        <f>IF(AND($AF$3&gt;0,资金流水!$H$577=$C$3,ISNUMBER(资金流水!$B$577),ISNUMBER(资金流水!$S$577),资金流水!$S$577&gt;=_辅助!$J$4,资金流水!$S$577&lt;=_辅助!$J$2),INT(资金流水!$B$577)*10000+572,"")</f>
      </c>
    </row>
    <row r="574">
      <c r="BF574" s="2">
        <f>IF(AND($AF$3&gt;0,发票登记!$T$577=$C$3,ISNUMBER(发票登记!$X$577),发票登记!$AB$577&lt;&gt;0,发票登记!$Y$577&gt;=_辅助!$J$4,发票登记!$Y$577&lt;=_辅助!$J$2),INT(发票登记!$X$577)*10000+573,"")</f>
      </c>
      <c r="BG574" s="2">
        <f>IF(AND($AF$3&gt;0,资金流水!$H$578=$C$3,ISNUMBER(资金流水!$B$578),ISNUMBER(资金流水!$S$578),资金流水!$S$578&gt;=_辅助!$J$4,资金流水!$S$578&lt;=_辅助!$J$2),INT(资金流水!$B$578)*10000+573,"")</f>
      </c>
    </row>
    <row r="575">
      <c r="BF575" s="2">
        <f>IF(AND($AF$3&gt;0,发票登记!$T$578=$C$3,ISNUMBER(发票登记!$X$578),发票登记!$AB$578&lt;&gt;0,发票登记!$Y$578&gt;=_辅助!$J$4,发票登记!$Y$578&lt;=_辅助!$J$2),INT(发票登记!$X$578)*10000+574,"")</f>
      </c>
      <c r="BG575" s="2">
        <f>IF(AND($AF$3&gt;0,资金流水!$H$579=$C$3,ISNUMBER(资金流水!$B$579),ISNUMBER(资金流水!$S$579),资金流水!$S$579&gt;=_辅助!$J$4,资金流水!$S$579&lt;=_辅助!$J$2),INT(资金流水!$B$579)*10000+574,"")</f>
      </c>
    </row>
    <row r="576">
      <c r="BF576" s="2">
        <f>IF(AND($AF$3&gt;0,发票登记!$T$579=$C$3,ISNUMBER(发票登记!$X$579),发票登记!$AB$579&lt;&gt;0,发票登记!$Y$579&gt;=_辅助!$J$4,发票登记!$Y$579&lt;=_辅助!$J$2),INT(发票登记!$X$579)*10000+575,"")</f>
      </c>
      <c r="BG576" s="2">
        <f>IF(AND($AF$3&gt;0,资金流水!$H$580=$C$3,ISNUMBER(资金流水!$B$580),ISNUMBER(资金流水!$S$580),资金流水!$S$580&gt;=_辅助!$J$4,资金流水!$S$580&lt;=_辅助!$J$2),INT(资金流水!$B$580)*10000+575,"")</f>
      </c>
    </row>
    <row r="577">
      <c r="BF577" s="2">
        <f>IF(AND($AF$3&gt;0,发票登记!$T$580=$C$3,ISNUMBER(发票登记!$X$580),发票登记!$AB$580&lt;&gt;0,发票登记!$Y$580&gt;=_辅助!$J$4,发票登记!$Y$580&lt;=_辅助!$J$2),INT(发票登记!$X$580)*10000+576,"")</f>
      </c>
      <c r="BG577" s="2">
        <f>IF(AND($AF$3&gt;0,资金流水!$H$581=$C$3,ISNUMBER(资金流水!$B$581),ISNUMBER(资金流水!$S$581),资金流水!$S$581&gt;=_辅助!$J$4,资金流水!$S$581&lt;=_辅助!$J$2),INT(资金流水!$B$581)*10000+576,"")</f>
      </c>
    </row>
    <row r="578">
      <c r="BF578" s="2">
        <f>IF(AND($AF$3&gt;0,发票登记!$T$581=$C$3,ISNUMBER(发票登记!$X$581),发票登记!$AB$581&lt;&gt;0,发票登记!$Y$581&gt;=_辅助!$J$4,发票登记!$Y$581&lt;=_辅助!$J$2),INT(发票登记!$X$581)*10000+577,"")</f>
      </c>
      <c r="BG578" s="2">
        <f>IF(AND($AF$3&gt;0,资金流水!$H$582=$C$3,ISNUMBER(资金流水!$B$582),ISNUMBER(资金流水!$S$582),资金流水!$S$582&gt;=_辅助!$J$4,资金流水!$S$582&lt;=_辅助!$J$2),INT(资金流水!$B$582)*10000+577,"")</f>
      </c>
    </row>
    <row r="579">
      <c r="BF579" s="2">
        <f>IF(AND($AF$3&gt;0,发票登记!$T$582=$C$3,ISNUMBER(发票登记!$X$582),发票登记!$AB$582&lt;&gt;0,发票登记!$Y$582&gt;=_辅助!$J$4,发票登记!$Y$582&lt;=_辅助!$J$2),INT(发票登记!$X$582)*10000+578,"")</f>
      </c>
      <c r="BG579" s="2">
        <f>IF(AND($AF$3&gt;0,资金流水!$H$583=$C$3,ISNUMBER(资金流水!$B$583),ISNUMBER(资金流水!$S$583),资金流水!$S$583&gt;=_辅助!$J$4,资金流水!$S$583&lt;=_辅助!$J$2),INT(资金流水!$B$583)*10000+578,"")</f>
      </c>
    </row>
    <row r="580">
      <c r="BF580" s="2">
        <f>IF(AND($AF$3&gt;0,发票登记!$T$583=$C$3,ISNUMBER(发票登记!$X$583),发票登记!$AB$583&lt;&gt;0,发票登记!$Y$583&gt;=_辅助!$J$4,发票登记!$Y$583&lt;=_辅助!$J$2),INT(发票登记!$X$583)*10000+579,"")</f>
      </c>
      <c r="BG580" s="2">
        <f>IF(AND($AF$3&gt;0,资金流水!$H$584=$C$3,ISNUMBER(资金流水!$B$584),ISNUMBER(资金流水!$S$584),资金流水!$S$584&gt;=_辅助!$J$4,资金流水!$S$584&lt;=_辅助!$J$2),INT(资金流水!$B$584)*10000+579,"")</f>
      </c>
    </row>
    <row r="581">
      <c r="BF581" s="2">
        <f>IF(AND($AF$3&gt;0,发票登记!$T$584=$C$3,ISNUMBER(发票登记!$X$584),发票登记!$AB$584&lt;&gt;0,发票登记!$Y$584&gt;=_辅助!$J$4,发票登记!$Y$584&lt;=_辅助!$J$2),INT(发票登记!$X$584)*10000+580,"")</f>
      </c>
      <c r="BG581" s="2">
        <f>IF(AND($AF$3&gt;0,资金流水!$H$585=$C$3,ISNUMBER(资金流水!$B$585),ISNUMBER(资金流水!$S$585),资金流水!$S$585&gt;=_辅助!$J$4,资金流水!$S$585&lt;=_辅助!$J$2),INT(资金流水!$B$585)*10000+580,"")</f>
      </c>
    </row>
    <row r="582">
      <c r="BF582" s="2">
        <f>IF(AND($AF$3&gt;0,发票登记!$T$585=$C$3,ISNUMBER(发票登记!$X$585),发票登记!$AB$585&lt;&gt;0,发票登记!$Y$585&gt;=_辅助!$J$4,发票登记!$Y$585&lt;=_辅助!$J$2),INT(发票登记!$X$585)*10000+581,"")</f>
      </c>
      <c r="BG582" s="2">
        <f>IF(AND($AF$3&gt;0,资金流水!$H$586=$C$3,ISNUMBER(资金流水!$B$586),ISNUMBER(资金流水!$S$586),资金流水!$S$586&gt;=_辅助!$J$4,资金流水!$S$586&lt;=_辅助!$J$2),INT(资金流水!$B$586)*10000+581,"")</f>
      </c>
    </row>
    <row r="583">
      <c r="BF583" s="2">
        <f>IF(AND($AF$3&gt;0,发票登记!$T$586=$C$3,ISNUMBER(发票登记!$X$586),发票登记!$AB$586&lt;&gt;0,发票登记!$Y$586&gt;=_辅助!$J$4,发票登记!$Y$586&lt;=_辅助!$J$2),INT(发票登记!$X$586)*10000+582,"")</f>
      </c>
      <c r="BG583" s="2">
        <f>IF(AND($AF$3&gt;0,资金流水!$H$587=$C$3,ISNUMBER(资金流水!$B$587),ISNUMBER(资金流水!$S$587),资金流水!$S$587&gt;=_辅助!$J$4,资金流水!$S$587&lt;=_辅助!$J$2),INT(资金流水!$B$587)*10000+582,"")</f>
      </c>
    </row>
    <row r="584">
      <c r="BF584" s="2">
        <f>IF(AND($AF$3&gt;0,发票登记!$T$587=$C$3,ISNUMBER(发票登记!$X$587),发票登记!$AB$587&lt;&gt;0,发票登记!$Y$587&gt;=_辅助!$J$4,发票登记!$Y$587&lt;=_辅助!$J$2),INT(发票登记!$X$587)*10000+583,"")</f>
      </c>
      <c r="BG584" s="2">
        <f>IF(AND($AF$3&gt;0,资金流水!$H$588=$C$3,ISNUMBER(资金流水!$B$588),ISNUMBER(资金流水!$S$588),资金流水!$S$588&gt;=_辅助!$J$4,资金流水!$S$588&lt;=_辅助!$J$2),INT(资金流水!$B$588)*10000+583,"")</f>
      </c>
    </row>
    <row r="585">
      <c r="BF585" s="2">
        <f>IF(AND($AF$3&gt;0,发票登记!$T$588=$C$3,ISNUMBER(发票登记!$X$588),发票登记!$AB$588&lt;&gt;0,发票登记!$Y$588&gt;=_辅助!$J$4,发票登记!$Y$588&lt;=_辅助!$J$2),INT(发票登记!$X$588)*10000+584,"")</f>
      </c>
      <c r="BG585" s="2">
        <f>IF(AND($AF$3&gt;0,资金流水!$H$589=$C$3,ISNUMBER(资金流水!$B$589),ISNUMBER(资金流水!$S$589),资金流水!$S$589&gt;=_辅助!$J$4,资金流水!$S$589&lt;=_辅助!$J$2),INT(资金流水!$B$589)*10000+584,"")</f>
      </c>
    </row>
    <row r="586">
      <c r="BF586" s="2">
        <f>IF(AND($AF$3&gt;0,发票登记!$T$589=$C$3,ISNUMBER(发票登记!$X$589),发票登记!$AB$589&lt;&gt;0,发票登记!$Y$589&gt;=_辅助!$J$4,发票登记!$Y$589&lt;=_辅助!$J$2),INT(发票登记!$X$589)*10000+585,"")</f>
      </c>
      <c r="BG586" s="2">
        <f>IF(AND($AF$3&gt;0,资金流水!$H$590=$C$3,ISNUMBER(资金流水!$B$590),ISNUMBER(资金流水!$S$590),资金流水!$S$590&gt;=_辅助!$J$4,资金流水!$S$590&lt;=_辅助!$J$2),INT(资金流水!$B$590)*10000+585,"")</f>
      </c>
    </row>
    <row r="587">
      <c r="BF587" s="2">
        <f>IF(AND($AF$3&gt;0,发票登记!$T$590=$C$3,ISNUMBER(发票登记!$X$590),发票登记!$AB$590&lt;&gt;0,发票登记!$Y$590&gt;=_辅助!$J$4,发票登记!$Y$590&lt;=_辅助!$J$2),INT(发票登记!$X$590)*10000+586,"")</f>
      </c>
      <c r="BG587" s="2">
        <f>IF(AND($AF$3&gt;0,资金流水!$H$591=$C$3,ISNUMBER(资金流水!$B$591),ISNUMBER(资金流水!$S$591),资金流水!$S$591&gt;=_辅助!$J$4,资金流水!$S$591&lt;=_辅助!$J$2),INT(资金流水!$B$591)*10000+586,"")</f>
      </c>
    </row>
    <row r="588">
      <c r="BF588" s="2">
        <f>IF(AND($AF$3&gt;0,发票登记!$T$591=$C$3,ISNUMBER(发票登记!$X$591),发票登记!$AB$591&lt;&gt;0,发票登记!$Y$591&gt;=_辅助!$J$4,发票登记!$Y$591&lt;=_辅助!$J$2),INT(发票登记!$X$591)*10000+587,"")</f>
      </c>
      <c r="BG588" s="2">
        <f>IF(AND($AF$3&gt;0,资金流水!$H$592=$C$3,ISNUMBER(资金流水!$B$592),ISNUMBER(资金流水!$S$592),资金流水!$S$592&gt;=_辅助!$J$4,资金流水!$S$592&lt;=_辅助!$J$2),INT(资金流水!$B$592)*10000+587,"")</f>
      </c>
    </row>
    <row r="589">
      <c r="BF589" s="2">
        <f>IF(AND($AF$3&gt;0,发票登记!$T$592=$C$3,ISNUMBER(发票登记!$X$592),发票登记!$AB$592&lt;&gt;0,发票登记!$Y$592&gt;=_辅助!$J$4,发票登记!$Y$592&lt;=_辅助!$J$2),INT(发票登记!$X$592)*10000+588,"")</f>
      </c>
      <c r="BG589" s="2">
        <f>IF(AND($AF$3&gt;0,资金流水!$H$593=$C$3,ISNUMBER(资金流水!$B$593),ISNUMBER(资金流水!$S$593),资金流水!$S$593&gt;=_辅助!$J$4,资金流水!$S$593&lt;=_辅助!$J$2),INT(资金流水!$B$593)*10000+588,"")</f>
      </c>
    </row>
    <row r="590">
      <c r="BF590" s="2">
        <f>IF(AND($AF$3&gt;0,发票登记!$T$593=$C$3,ISNUMBER(发票登记!$X$593),发票登记!$AB$593&lt;&gt;0,发票登记!$Y$593&gt;=_辅助!$J$4,发票登记!$Y$593&lt;=_辅助!$J$2),INT(发票登记!$X$593)*10000+589,"")</f>
      </c>
      <c r="BG590" s="2">
        <f>IF(AND($AF$3&gt;0,资金流水!$H$594=$C$3,ISNUMBER(资金流水!$B$594),ISNUMBER(资金流水!$S$594),资金流水!$S$594&gt;=_辅助!$J$4,资金流水!$S$594&lt;=_辅助!$J$2),INT(资金流水!$B$594)*10000+589,"")</f>
      </c>
    </row>
    <row r="591">
      <c r="BF591" s="2">
        <f>IF(AND($AF$3&gt;0,发票登记!$T$594=$C$3,ISNUMBER(发票登记!$X$594),发票登记!$AB$594&lt;&gt;0,发票登记!$Y$594&gt;=_辅助!$J$4,发票登记!$Y$594&lt;=_辅助!$J$2),INT(发票登记!$X$594)*10000+590,"")</f>
      </c>
      <c r="BG591" s="2">
        <f>IF(AND($AF$3&gt;0,资金流水!$H$595=$C$3,ISNUMBER(资金流水!$B$595),ISNUMBER(资金流水!$S$595),资金流水!$S$595&gt;=_辅助!$J$4,资金流水!$S$595&lt;=_辅助!$J$2),INT(资金流水!$B$595)*10000+590,"")</f>
      </c>
    </row>
    <row r="592">
      <c r="BF592" s="2">
        <f>IF(AND($AF$3&gt;0,发票登记!$T$595=$C$3,ISNUMBER(发票登记!$X$595),发票登记!$AB$595&lt;&gt;0,发票登记!$Y$595&gt;=_辅助!$J$4,发票登记!$Y$595&lt;=_辅助!$J$2),INT(发票登记!$X$595)*10000+591,"")</f>
      </c>
      <c r="BG592" s="2">
        <f>IF(AND($AF$3&gt;0,资金流水!$H$596=$C$3,ISNUMBER(资金流水!$B$596),ISNUMBER(资金流水!$S$596),资金流水!$S$596&gt;=_辅助!$J$4,资金流水!$S$596&lt;=_辅助!$J$2),INT(资金流水!$B$596)*10000+591,"")</f>
      </c>
    </row>
    <row r="593">
      <c r="BF593" s="2">
        <f>IF(AND($AF$3&gt;0,发票登记!$T$596=$C$3,ISNUMBER(发票登记!$X$596),发票登记!$AB$596&lt;&gt;0,发票登记!$Y$596&gt;=_辅助!$J$4,发票登记!$Y$596&lt;=_辅助!$J$2),INT(发票登记!$X$596)*10000+592,"")</f>
      </c>
      <c r="BG593" s="2">
        <f>IF(AND($AF$3&gt;0,资金流水!$H$597=$C$3,ISNUMBER(资金流水!$B$597),ISNUMBER(资金流水!$S$597),资金流水!$S$597&gt;=_辅助!$J$4,资金流水!$S$597&lt;=_辅助!$J$2),INT(资金流水!$B$597)*10000+592,"")</f>
      </c>
    </row>
    <row r="594">
      <c r="BF594" s="2">
        <f>IF(AND($AF$3&gt;0,发票登记!$T$597=$C$3,ISNUMBER(发票登记!$X$597),发票登记!$AB$597&lt;&gt;0,发票登记!$Y$597&gt;=_辅助!$J$4,发票登记!$Y$597&lt;=_辅助!$J$2),INT(发票登记!$X$597)*10000+593,"")</f>
      </c>
      <c r="BG594" s="2">
        <f>IF(AND($AF$3&gt;0,资金流水!$H$598=$C$3,ISNUMBER(资金流水!$B$598),ISNUMBER(资金流水!$S$598),资金流水!$S$598&gt;=_辅助!$J$4,资金流水!$S$598&lt;=_辅助!$J$2),INT(资金流水!$B$598)*10000+593,"")</f>
      </c>
    </row>
    <row r="595">
      <c r="BF595" s="2">
        <f>IF(AND($AF$3&gt;0,发票登记!$T$598=$C$3,ISNUMBER(发票登记!$X$598),发票登记!$AB$598&lt;&gt;0,发票登记!$Y$598&gt;=_辅助!$J$4,发票登记!$Y$598&lt;=_辅助!$J$2),INT(发票登记!$X$598)*10000+594,"")</f>
      </c>
      <c r="BG595" s="2">
        <f>IF(AND($AF$3&gt;0,资金流水!$H$599=$C$3,ISNUMBER(资金流水!$B$599),ISNUMBER(资金流水!$S$599),资金流水!$S$599&gt;=_辅助!$J$4,资金流水!$S$599&lt;=_辅助!$J$2),INT(资金流水!$B$599)*10000+594,"")</f>
      </c>
    </row>
    <row r="596">
      <c r="BF596" s="2">
        <f>IF(AND($AF$3&gt;0,发票登记!$T$599=$C$3,ISNUMBER(发票登记!$X$599),发票登记!$AB$599&lt;&gt;0,发票登记!$Y$599&gt;=_辅助!$J$4,发票登记!$Y$599&lt;=_辅助!$J$2),INT(发票登记!$X$599)*10000+595,"")</f>
      </c>
      <c r="BG596" s="2">
        <f>IF(AND($AF$3&gt;0,资金流水!$H$600=$C$3,ISNUMBER(资金流水!$B$600),ISNUMBER(资金流水!$S$600),资金流水!$S$600&gt;=_辅助!$J$4,资金流水!$S$600&lt;=_辅助!$J$2),INT(资金流水!$B$600)*10000+595,"")</f>
      </c>
    </row>
    <row r="597">
      <c r="BF597" s="2">
        <f>IF(AND($AF$3&gt;0,发票登记!$T$600=$C$3,ISNUMBER(发票登记!$X$600),发票登记!$AB$600&lt;&gt;0,发票登记!$Y$600&gt;=_辅助!$J$4,发票登记!$Y$600&lt;=_辅助!$J$2),INT(发票登记!$X$600)*10000+596,"")</f>
      </c>
      <c r="BG597" s="2">
        <f>IF(AND($AF$3&gt;0,资金流水!$H$601=$C$3,ISNUMBER(资金流水!$B$601),ISNUMBER(资金流水!$S$601),资金流水!$S$601&gt;=_辅助!$J$4,资金流水!$S$601&lt;=_辅助!$J$2),INT(资金流水!$B$601)*10000+596,"")</f>
      </c>
    </row>
    <row r="598">
      <c r="BF598" s="2">
        <f>IF(AND($AF$3&gt;0,发票登记!$T$601=$C$3,ISNUMBER(发票登记!$X$601),发票登记!$AB$601&lt;&gt;0,发票登记!$Y$601&gt;=_辅助!$J$4,发票登记!$Y$601&lt;=_辅助!$J$2),INT(发票登记!$X$601)*10000+597,"")</f>
      </c>
      <c r="BG598" s="2">
        <f>IF(AND($AF$3&gt;0,资金流水!$H$602=$C$3,ISNUMBER(资金流水!$B$602),ISNUMBER(资金流水!$S$602),资金流水!$S$602&gt;=_辅助!$J$4,资金流水!$S$602&lt;=_辅助!$J$2),INT(资金流水!$B$602)*10000+597,"")</f>
      </c>
    </row>
    <row r="599">
      <c r="BF599" s="2">
        <f>IF(AND($AF$3&gt;0,发票登记!$T$602=$C$3,ISNUMBER(发票登记!$X$602),发票登记!$AB$602&lt;&gt;0,发票登记!$Y$602&gt;=_辅助!$J$4,发票登记!$Y$602&lt;=_辅助!$J$2),INT(发票登记!$X$602)*10000+598,"")</f>
      </c>
      <c r="BG599" s="2">
        <f>IF(AND($AF$3&gt;0,资金流水!$H$603=$C$3,ISNUMBER(资金流水!$B$603),ISNUMBER(资金流水!$S$603),资金流水!$S$603&gt;=_辅助!$J$4,资金流水!$S$603&lt;=_辅助!$J$2),INT(资金流水!$B$603)*10000+598,"")</f>
      </c>
    </row>
    <row r="600">
      <c r="BF600" s="2">
        <f>IF(AND($AF$3&gt;0,发票登记!$T$603=$C$3,ISNUMBER(发票登记!$X$603),发票登记!$AB$603&lt;&gt;0,发票登记!$Y$603&gt;=_辅助!$J$4,发票登记!$Y$603&lt;=_辅助!$J$2),INT(发票登记!$X$603)*10000+599,"")</f>
      </c>
      <c r="BG600" s="2">
        <f>IF(AND($AF$3&gt;0,资金流水!$H$604=$C$3,ISNUMBER(资金流水!$B$604),ISNUMBER(资金流水!$S$604),资金流水!$S$604&gt;=_辅助!$J$4,资金流水!$S$604&lt;=_辅助!$J$2),INT(资金流水!$B$604)*10000+599,"")</f>
      </c>
    </row>
    <row r="601">
      <c r="BF601" s="2">
        <f>IF(AND($AF$3&gt;0,发票登记!$T$604=$C$3,ISNUMBER(发票登记!$X$604),发票登记!$AB$604&lt;&gt;0,发票登记!$Y$604&gt;=_辅助!$J$4,发票登记!$Y$604&lt;=_辅助!$J$2),INT(发票登记!$X$604)*10000+600,"")</f>
      </c>
      <c r="BG601" s="2">
        <f>IF(AND($AF$3&gt;0,资金流水!$H$605=$C$3,ISNUMBER(资金流水!$B$605),ISNUMBER(资金流水!$S$605),资金流水!$S$605&gt;=_辅助!$J$4,资金流水!$S$605&lt;=_辅助!$J$2),INT(资金流水!$B$605)*10000+600,"")</f>
      </c>
    </row>
    <row r="602">
      <c r="BF602" s="2">
        <f>IF(AND($AF$3&gt;0,发票登记!$T$605=$C$3,ISNUMBER(发票登记!$X$605),发票登记!$AB$605&lt;&gt;0,发票登记!$Y$605&gt;=_辅助!$J$4,发票登记!$Y$605&lt;=_辅助!$J$2),INT(发票登记!$X$605)*10000+601,"")</f>
      </c>
      <c r="BG602" s="2">
        <f>IF(AND($AF$3&gt;0,资金流水!$H$606=$C$3,ISNUMBER(资金流水!$B$606),ISNUMBER(资金流水!$S$606),资金流水!$S$606&gt;=_辅助!$J$4,资金流水!$S$606&lt;=_辅助!$J$2),INT(资金流水!$B$606)*10000+601,"")</f>
      </c>
    </row>
    <row r="603">
      <c r="BF603" s="2">
        <f>IF(AND($AF$3&gt;0,发票登记!$T$606=$C$3,ISNUMBER(发票登记!$X$606),发票登记!$AB$606&lt;&gt;0,发票登记!$Y$606&gt;=_辅助!$J$4,发票登记!$Y$606&lt;=_辅助!$J$2),INT(发票登记!$X$606)*10000+602,"")</f>
      </c>
      <c r="BG603" s="2">
        <f>IF(AND($AF$3&gt;0,资金流水!$H$607=$C$3,ISNUMBER(资金流水!$B$607),ISNUMBER(资金流水!$S$607),资金流水!$S$607&gt;=_辅助!$J$4,资金流水!$S$607&lt;=_辅助!$J$2),INT(资金流水!$B$607)*10000+602,"")</f>
      </c>
    </row>
    <row r="604">
      <c r="BF604" s="2">
        <f>IF(AND($AF$3&gt;0,发票登记!$T$607=$C$3,ISNUMBER(发票登记!$X$607),发票登记!$AB$607&lt;&gt;0,发票登记!$Y$607&gt;=_辅助!$J$4,发票登记!$Y$607&lt;=_辅助!$J$2),INT(发票登记!$X$607)*10000+603,"")</f>
      </c>
      <c r="BG604" s="2">
        <f>IF(AND($AF$3&gt;0,资金流水!$H$608=$C$3,ISNUMBER(资金流水!$B$608),ISNUMBER(资金流水!$S$608),资金流水!$S$608&gt;=_辅助!$J$4,资金流水!$S$608&lt;=_辅助!$J$2),INT(资金流水!$B$608)*10000+603,"")</f>
      </c>
    </row>
    <row r="605">
      <c r="BF605" s="2">
        <f>IF(AND($AF$3&gt;0,发票登记!$T$608=$C$3,ISNUMBER(发票登记!$X$608),发票登记!$AB$608&lt;&gt;0,发票登记!$Y$608&gt;=_辅助!$J$4,发票登记!$Y$608&lt;=_辅助!$J$2),INT(发票登记!$X$608)*10000+604,"")</f>
      </c>
      <c r="BG605" s="2">
        <f>IF(AND($AF$3&gt;0,资金流水!$H$609=$C$3,ISNUMBER(资金流水!$B$609),ISNUMBER(资金流水!$S$609),资金流水!$S$609&gt;=_辅助!$J$4,资金流水!$S$609&lt;=_辅助!$J$2),INT(资金流水!$B$609)*10000+604,"")</f>
      </c>
    </row>
    <row r="606">
      <c r="BF606" s="2">
        <f>IF(AND($AF$3&gt;0,发票登记!$T$609=$C$3,ISNUMBER(发票登记!$X$609),发票登记!$AB$609&lt;&gt;0,发票登记!$Y$609&gt;=_辅助!$J$4,发票登记!$Y$609&lt;=_辅助!$J$2),INT(发票登记!$X$609)*10000+605,"")</f>
      </c>
      <c r="BG606" s="2">
        <f>IF(AND($AF$3&gt;0,资金流水!$H$610=$C$3,ISNUMBER(资金流水!$B$610),ISNUMBER(资金流水!$S$610),资金流水!$S$610&gt;=_辅助!$J$4,资金流水!$S$610&lt;=_辅助!$J$2),INT(资金流水!$B$610)*10000+605,"")</f>
      </c>
    </row>
    <row r="607">
      <c r="BF607" s="2">
        <f>IF(AND($AF$3&gt;0,发票登记!$T$610=$C$3,ISNUMBER(发票登记!$X$610),发票登记!$AB$610&lt;&gt;0,发票登记!$Y$610&gt;=_辅助!$J$4,发票登记!$Y$610&lt;=_辅助!$J$2),INT(发票登记!$X$610)*10000+606,"")</f>
      </c>
      <c r="BG607" s="2">
        <f>IF(AND($AF$3&gt;0,资金流水!$H$611=$C$3,ISNUMBER(资金流水!$B$611),ISNUMBER(资金流水!$S$611),资金流水!$S$611&gt;=_辅助!$J$4,资金流水!$S$611&lt;=_辅助!$J$2),INT(资金流水!$B$611)*10000+606,"")</f>
      </c>
    </row>
    <row r="608">
      <c r="BF608" s="2">
        <f>IF(AND($AF$3&gt;0,发票登记!$T$611=$C$3,ISNUMBER(发票登记!$X$611),发票登记!$AB$611&lt;&gt;0,发票登记!$Y$611&gt;=_辅助!$J$4,发票登记!$Y$611&lt;=_辅助!$J$2),INT(发票登记!$X$611)*10000+607,"")</f>
      </c>
      <c r="BG608" s="2">
        <f>IF(AND($AF$3&gt;0,资金流水!$H$612=$C$3,ISNUMBER(资金流水!$B$612),ISNUMBER(资金流水!$S$612),资金流水!$S$612&gt;=_辅助!$J$4,资金流水!$S$612&lt;=_辅助!$J$2),INT(资金流水!$B$612)*10000+607,"")</f>
      </c>
    </row>
    <row r="609">
      <c r="BF609" s="2">
        <f>IF(AND($AF$3&gt;0,发票登记!$T$612=$C$3,ISNUMBER(发票登记!$X$612),发票登记!$AB$612&lt;&gt;0,发票登记!$Y$612&gt;=_辅助!$J$4,发票登记!$Y$612&lt;=_辅助!$J$2),INT(发票登记!$X$612)*10000+608,"")</f>
      </c>
      <c r="BG609" s="2">
        <f>IF(AND($AF$3&gt;0,资金流水!$H$613=$C$3,ISNUMBER(资金流水!$B$613),ISNUMBER(资金流水!$S$613),资金流水!$S$613&gt;=_辅助!$J$4,资金流水!$S$613&lt;=_辅助!$J$2),INT(资金流水!$B$613)*10000+608,"")</f>
      </c>
    </row>
    <row r="610">
      <c r="BF610" s="2">
        <f>IF(AND($AF$3&gt;0,发票登记!$T$613=$C$3,ISNUMBER(发票登记!$X$613),发票登记!$AB$613&lt;&gt;0,发票登记!$Y$613&gt;=_辅助!$J$4,发票登记!$Y$613&lt;=_辅助!$J$2),INT(发票登记!$X$613)*10000+609,"")</f>
      </c>
      <c r="BG610" s="2">
        <f>IF(AND($AF$3&gt;0,资金流水!$H$614=$C$3,ISNUMBER(资金流水!$B$614),ISNUMBER(资金流水!$S$614),资金流水!$S$614&gt;=_辅助!$J$4,资金流水!$S$614&lt;=_辅助!$J$2),INT(资金流水!$B$614)*10000+609,"")</f>
      </c>
    </row>
    <row r="611">
      <c r="BF611" s="2">
        <f>IF(AND($AF$3&gt;0,发票登记!$T$614=$C$3,ISNUMBER(发票登记!$X$614),发票登记!$AB$614&lt;&gt;0,发票登记!$Y$614&gt;=_辅助!$J$4,发票登记!$Y$614&lt;=_辅助!$J$2),INT(发票登记!$X$614)*10000+610,"")</f>
      </c>
      <c r="BG611" s="2">
        <f>IF(AND($AF$3&gt;0,资金流水!$H$615=$C$3,ISNUMBER(资金流水!$B$615),ISNUMBER(资金流水!$S$615),资金流水!$S$615&gt;=_辅助!$J$4,资金流水!$S$615&lt;=_辅助!$J$2),INT(资金流水!$B$615)*10000+610,"")</f>
      </c>
    </row>
    <row r="612">
      <c r="BF612" s="2">
        <f>IF(AND($AF$3&gt;0,发票登记!$T$615=$C$3,ISNUMBER(发票登记!$X$615),发票登记!$AB$615&lt;&gt;0,发票登记!$Y$615&gt;=_辅助!$J$4,发票登记!$Y$615&lt;=_辅助!$J$2),INT(发票登记!$X$615)*10000+611,"")</f>
      </c>
      <c r="BG612" s="2">
        <f>IF(AND($AF$3&gt;0,资金流水!$H$616=$C$3,ISNUMBER(资金流水!$B$616),ISNUMBER(资金流水!$S$616),资金流水!$S$616&gt;=_辅助!$J$4,资金流水!$S$616&lt;=_辅助!$J$2),INT(资金流水!$B$616)*10000+611,"")</f>
      </c>
    </row>
    <row r="613">
      <c r="BF613" s="2">
        <f>IF(AND($AF$3&gt;0,发票登记!$T$616=$C$3,ISNUMBER(发票登记!$X$616),发票登记!$AB$616&lt;&gt;0,发票登记!$Y$616&gt;=_辅助!$J$4,发票登记!$Y$616&lt;=_辅助!$J$2),INT(发票登记!$X$616)*10000+612,"")</f>
      </c>
      <c r="BG613" s="2">
        <f>IF(AND($AF$3&gt;0,资金流水!$H$617=$C$3,ISNUMBER(资金流水!$B$617),ISNUMBER(资金流水!$S$617),资金流水!$S$617&gt;=_辅助!$J$4,资金流水!$S$617&lt;=_辅助!$J$2),INT(资金流水!$B$617)*10000+612,"")</f>
      </c>
    </row>
    <row r="614">
      <c r="BF614" s="2">
        <f>IF(AND($AF$3&gt;0,发票登记!$T$617=$C$3,ISNUMBER(发票登记!$X$617),发票登记!$AB$617&lt;&gt;0,发票登记!$Y$617&gt;=_辅助!$J$4,发票登记!$Y$617&lt;=_辅助!$J$2),INT(发票登记!$X$617)*10000+613,"")</f>
      </c>
      <c r="BG614" s="2">
        <f>IF(AND($AF$3&gt;0,资金流水!$H$618=$C$3,ISNUMBER(资金流水!$B$618),ISNUMBER(资金流水!$S$618),资金流水!$S$618&gt;=_辅助!$J$4,资金流水!$S$618&lt;=_辅助!$J$2),INT(资金流水!$B$618)*10000+613,"")</f>
      </c>
    </row>
    <row r="615">
      <c r="BF615" s="2">
        <f>IF(AND($AF$3&gt;0,发票登记!$T$618=$C$3,ISNUMBER(发票登记!$X$618),发票登记!$AB$618&lt;&gt;0,发票登记!$Y$618&gt;=_辅助!$J$4,发票登记!$Y$618&lt;=_辅助!$J$2),INT(发票登记!$X$618)*10000+614,"")</f>
      </c>
      <c r="BG615" s="2">
        <f>IF(AND($AF$3&gt;0,资金流水!$H$619=$C$3,ISNUMBER(资金流水!$B$619),ISNUMBER(资金流水!$S$619),资金流水!$S$619&gt;=_辅助!$J$4,资金流水!$S$619&lt;=_辅助!$J$2),INT(资金流水!$B$619)*10000+614,"")</f>
      </c>
    </row>
    <row r="616">
      <c r="BF616" s="2">
        <f>IF(AND($AF$3&gt;0,发票登记!$T$619=$C$3,ISNUMBER(发票登记!$X$619),发票登记!$AB$619&lt;&gt;0,发票登记!$Y$619&gt;=_辅助!$J$4,发票登记!$Y$619&lt;=_辅助!$J$2),INT(发票登记!$X$619)*10000+615,"")</f>
      </c>
      <c r="BG616" s="2">
        <f>IF(AND($AF$3&gt;0,资金流水!$H$620=$C$3,ISNUMBER(资金流水!$B$620),ISNUMBER(资金流水!$S$620),资金流水!$S$620&gt;=_辅助!$J$4,资金流水!$S$620&lt;=_辅助!$J$2),INT(资金流水!$B$620)*10000+615,"")</f>
      </c>
    </row>
    <row r="617">
      <c r="BF617" s="2">
        <f>IF(AND($AF$3&gt;0,发票登记!$T$620=$C$3,ISNUMBER(发票登记!$X$620),发票登记!$AB$620&lt;&gt;0,发票登记!$Y$620&gt;=_辅助!$J$4,发票登记!$Y$620&lt;=_辅助!$J$2),INT(发票登记!$X$620)*10000+616,"")</f>
      </c>
      <c r="BG617" s="2">
        <f>IF(AND($AF$3&gt;0,资金流水!$H$621=$C$3,ISNUMBER(资金流水!$B$621),ISNUMBER(资金流水!$S$621),资金流水!$S$621&gt;=_辅助!$J$4,资金流水!$S$621&lt;=_辅助!$J$2),INT(资金流水!$B$621)*10000+616,"")</f>
      </c>
    </row>
    <row r="618">
      <c r="BF618" s="2">
        <f>IF(AND($AF$3&gt;0,发票登记!$T$621=$C$3,ISNUMBER(发票登记!$X$621),发票登记!$AB$621&lt;&gt;0,发票登记!$Y$621&gt;=_辅助!$J$4,发票登记!$Y$621&lt;=_辅助!$J$2),INT(发票登记!$X$621)*10000+617,"")</f>
      </c>
      <c r="BG618" s="2">
        <f>IF(AND($AF$3&gt;0,资金流水!$H$622=$C$3,ISNUMBER(资金流水!$B$622),ISNUMBER(资金流水!$S$622),资金流水!$S$622&gt;=_辅助!$J$4,资金流水!$S$622&lt;=_辅助!$J$2),INT(资金流水!$B$622)*10000+617,"")</f>
      </c>
    </row>
    <row r="619">
      <c r="BF619" s="2">
        <f>IF(AND($AF$3&gt;0,发票登记!$T$622=$C$3,ISNUMBER(发票登记!$X$622),发票登记!$AB$622&lt;&gt;0,发票登记!$Y$622&gt;=_辅助!$J$4,发票登记!$Y$622&lt;=_辅助!$J$2),INT(发票登记!$X$622)*10000+618,"")</f>
      </c>
      <c r="BG619" s="2">
        <f>IF(AND($AF$3&gt;0,资金流水!$H$623=$C$3,ISNUMBER(资金流水!$B$623),ISNUMBER(资金流水!$S$623),资金流水!$S$623&gt;=_辅助!$J$4,资金流水!$S$623&lt;=_辅助!$J$2),INT(资金流水!$B$623)*10000+618,"")</f>
      </c>
    </row>
    <row r="620">
      <c r="BF620" s="2">
        <f>IF(AND($AF$3&gt;0,发票登记!$T$623=$C$3,ISNUMBER(发票登记!$X$623),发票登记!$AB$623&lt;&gt;0,发票登记!$Y$623&gt;=_辅助!$J$4,发票登记!$Y$623&lt;=_辅助!$J$2),INT(发票登记!$X$623)*10000+619,"")</f>
      </c>
      <c r="BG620" s="2">
        <f>IF(AND($AF$3&gt;0,资金流水!$H$624=$C$3,ISNUMBER(资金流水!$B$624),ISNUMBER(资金流水!$S$624),资金流水!$S$624&gt;=_辅助!$J$4,资金流水!$S$624&lt;=_辅助!$J$2),INT(资金流水!$B$624)*10000+619,"")</f>
      </c>
    </row>
    <row r="621">
      <c r="BF621" s="2">
        <f>IF(AND($AF$3&gt;0,发票登记!$T$624=$C$3,ISNUMBER(发票登记!$X$624),发票登记!$AB$624&lt;&gt;0,发票登记!$Y$624&gt;=_辅助!$J$4,发票登记!$Y$624&lt;=_辅助!$J$2),INT(发票登记!$X$624)*10000+620,"")</f>
      </c>
      <c r="BG621" s="2">
        <f>IF(AND($AF$3&gt;0,资金流水!$H$625=$C$3,ISNUMBER(资金流水!$B$625),ISNUMBER(资金流水!$S$625),资金流水!$S$625&gt;=_辅助!$J$4,资金流水!$S$625&lt;=_辅助!$J$2),INT(资金流水!$B$625)*10000+620,"")</f>
      </c>
    </row>
    <row r="622">
      <c r="BF622" s="2">
        <f>IF(AND($AF$3&gt;0,发票登记!$T$625=$C$3,ISNUMBER(发票登记!$X$625),发票登记!$AB$625&lt;&gt;0,发票登记!$Y$625&gt;=_辅助!$J$4,发票登记!$Y$625&lt;=_辅助!$J$2),INT(发票登记!$X$625)*10000+621,"")</f>
      </c>
      <c r="BG622" s="2">
        <f>IF(AND($AF$3&gt;0,资金流水!$H$626=$C$3,ISNUMBER(资金流水!$B$626),ISNUMBER(资金流水!$S$626),资金流水!$S$626&gt;=_辅助!$J$4,资金流水!$S$626&lt;=_辅助!$J$2),INT(资金流水!$B$626)*10000+621,"")</f>
      </c>
    </row>
    <row r="623">
      <c r="BF623" s="2">
        <f>IF(AND($AF$3&gt;0,发票登记!$T$626=$C$3,ISNUMBER(发票登记!$X$626),发票登记!$AB$626&lt;&gt;0,发票登记!$Y$626&gt;=_辅助!$J$4,发票登记!$Y$626&lt;=_辅助!$J$2),INT(发票登记!$X$626)*10000+622,"")</f>
      </c>
      <c r="BG623" s="2">
        <f>IF(AND($AF$3&gt;0,资金流水!$H$627=$C$3,ISNUMBER(资金流水!$B$627),ISNUMBER(资金流水!$S$627),资金流水!$S$627&gt;=_辅助!$J$4,资金流水!$S$627&lt;=_辅助!$J$2),INT(资金流水!$B$627)*10000+622,"")</f>
      </c>
    </row>
    <row r="624">
      <c r="BF624" s="2">
        <f>IF(AND($AF$3&gt;0,发票登记!$T$627=$C$3,ISNUMBER(发票登记!$X$627),发票登记!$AB$627&lt;&gt;0,发票登记!$Y$627&gt;=_辅助!$J$4,发票登记!$Y$627&lt;=_辅助!$J$2),INT(发票登记!$X$627)*10000+623,"")</f>
      </c>
      <c r="BG624" s="2">
        <f>IF(AND($AF$3&gt;0,资金流水!$H$628=$C$3,ISNUMBER(资金流水!$B$628),ISNUMBER(资金流水!$S$628),资金流水!$S$628&gt;=_辅助!$J$4,资金流水!$S$628&lt;=_辅助!$J$2),INT(资金流水!$B$628)*10000+623,"")</f>
      </c>
    </row>
    <row r="625">
      <c r="BF625" s="2">
        <f>IF(AND($AF$3&gt;0,发票登记!$T$628=$C$3,ISNUMBER(发票登记!$X$628),发票登记!$AB$628&lt;&gt;0,发票登记!$Y$628&gt;=_辅助!$J$4,发票登记!$Y$628&lt;=_辅助!$J$2),INT(发票登记!$X$628)*10000+624,"")</f>
      </c>
      <c r="BG625" s="2">
        <f>IF(AND($AF$3&gt;0,资金流水!$H$629=$C$3,ISNUMBER(资金流水!$B$629),ISNUMBER(资金流水!$S$629),资金流水!$S$629&gt;=_辅助!$J$4,资金流水!$S$629&lt;=_辅助!$J$2),INT(资金流水!$B$629)*10000+624,"")</f>
      </c>
    </row>
    <row r="626">
      <c r="BF626" s="2">
        <f>IF(AND($AF$3&gt;0,发票登记!$T$629=$C$3,ISNUMBER(发票登记!$X$629),发票登记!$AB$629&lt;&gt;0,发票登记!$Y$629&gt;=_辅助!$J$4,发票登记!$Y$629&lt;=_辅助!$J$2),INT(发票登记!$X$629)*10000+625,"")</f>
      </c>
      <c r="BG626" s="2">
        <f>IF(AND($AF$3&gt;0,资金流水!$H$630=$C$3,ISNUMBER(资金流水!$B$630),ISNUMBER(资金流水!$S$630),资金流水!$S$630&gt;=_辅助!$J$4,资金流水!$S$630&lt;=_辅助!$J$2),INT(资金流水!$B$630)*10000+625,"")</f>
      </c>
    </row>
    <row r="627">
      <c r="BF627" s="2">
        <f>IF(AND($AF$3&gt;0,发票登记!$T$630=$C$3,ISNUMBER(发票登记!$X$630),发票登记!$AB$630&lt;&gt;0,发票登记!$Y$630&gt;=_辅助!$J$4,发票登记!$Y$630&lt;=_辅助!$J$2),INT(发票登记!$X$630)*10000+626,"")</f>
      </c>
      <c r="BG627" s="2">
        <f>IF(AND($AF$3&gt;0,资金流水!$H$631=$C$3,ISNUMBER(资金流水!$B$631),ISNUMBER(资金流水!$S$631),资金流水!$S$631&gt;=_辅助!$J$4,资金流水!$S$631&lt;=_辅助!$J$2),INT(资金流水!$B$631)*10000+626,"")</f>
      </c>
    </row>
    <row r="628">
      <c r="BF628" s="2">
        <f>IF(AND($AF$3&gt;0,发票登记!$T$631=$C$3,ISNUMBER(发票登记!$X$631),发票登记!$AB$631&lt;&gt;0,发票登记!$Y$631&gt;=_辅助!$J$4,发票登记!$Y$631&lt;=_辅助!$J$2),INT(发票登记!$X$631)*10000+627,"")</f>
      </c>
      <c r="BG628" s="2">
        <f>IF(AND($AF$3&gt;0,资金流水!$H$632=$C$3,ISNUMBER(资金流水!$B$632),ISNUMBER(资金流水!$S$632),资金流水!$S$632&gt;=_辅助!$J$4,资金流水!$S$632&lt;=_辅助!$J$2),INT(资金流水!$B$632)*10000+627,"")</f>
      </c>
    </row>
    <row r="629">
      <c r="BF629" s="2">
        <f>IF(AND($AF$3&gt;0,发票登记!$T$632=$C$3,ISNUMBER(发票登记!$X$632),发票登记!$AB$632&lt;&gt;0,发票登记!$Y$632&gt;=_辅助!$J$4,发票登记!$Y$632&lt;=_辅助!$J$2),INT(发票登记!$X$632)*10000+628,"")</f>
      </c>
      <c r="BG629" s="2">
        <f>IF(AND($AF$3&gt;0,资金流水!$H$633=$C$3,ISNUMBER(资金流水!$B$633),ISNUMBER(资金流水!$S$633),资金流水!$S$633&gt;=_辅助!$J$4,资金流水!$S$633&lt;=_辅助!$J$2),INT(资金流水!$B$633)*10000+628,"")</f>
      </c>
    </row>
    <row r="630">
      <c r="BF630" s="2">
        <f>IF(AND($AF$3&gt;0,发票登记!$T$633=$C$3,ISNUMBER(发票登记!$X$633),发票登记!$AB$633&lt;&gt;0,发票登记!$Y$633&gt;=_辅助!$J$4,发票登记!$Y$633&lt;=_辅助!$J$2),INT(发票登记!$X$633)*10000+629,"")</f>
      </c>
      <c r="BG630" s="2">
        <f>IF(AND($AF$3&gt;0,资金流水!$H$634=$C$3,ISNUMBER(资金流水!$B$634),ISNUMBER(资金流水!$S$634),资金流水!$S$634&gt;=_辅助!$J$4,资金流水!$S$634&lt;=_辅助!$J$2),INT(资金流水!$B$634)*10000+629,"")</f>
      </c>
    </row>
    <row r="631">
      <c r="BF631" s="2">
        <f>IF(AND($AF$3&gt;0,发票登记!$T$634=$C$3,ISNUMBER(发票登记!$X$634),发票登记!$AB$634&lt;&gt;0,发票登记!$Y$634&gt;=_辅助!$J$4,发票登记!$Y$634&lt;=_辅助!$J$2),INT(发票登记!$X$634)*10000+630,"")</f>
      </c>
      <c r="BG631" s="2">
        <f>IF(AND($AF$3&gt;0,资金流水!$H$635=$C$3,ISNUMBER(资金流水!$B$635),ISNUMBER(资金流水!$S$635),资金流水!$S$635&gt;=_辅助!$J$4,资金流水!$S$635&lt;=_辅助!$J$2),INT(资金流水!$B$635)*10000+630,"")</f>
      </c>
    </row>
    <row r="632">
      <c r="BF632" s="2">
        <f>IF(AND($AF$3&gt;0,发票登记!$T$635=$C$3,ISNUMBER(发票登记!$X$635),发票登记!$AB$635&lt;&gt;0,发票登记!$Y$635&gt;=_辅助!$J$4,发票登记!$Y$635&lt;=_辅助!$J$2),INT(发票登记!$X$635)*10000+631,"")</f>
      </c>
      <c r="BG632" s="2">
        <f>IF(AND($AF$3&gt;0,资金流水!$H$636=$C$3,ISNUMBER(资金流水!$B$636),ISNUMBER(资金流水!$S$636),资金流水!$S$636&gt;=_辅助!$J$4,资金流水!$S$636&lt;=_辅助!$J$2),INT(资金流水!$B$636)*10000+631,"")</f>
      </c>
    </row>
    <row r="633">
      <c r="BF633" s="2">
        <f>IF(AND($AF$3&gt;0,发票登记!$T$636=$C$3,ISNUMBER(发票登记!$X$636),发票登记!$AB$636&lt;&gt;0,发票登记!$Y$636&gt;=_辅助!$J$4,发票登记!$Y$636&lt;=_辅助!$J$2),INT(发票登记!$X$636)*10000+632,"")</f>
      </c>
      <c r="BG633" s="2">
        <f>IF(AND($AF$3&gt;0,资金流水!$H$637=$C$3,ISNUMBER(资金流水!$B$637),ISNUMBER(资金流水!$S$637),资金流水!$S$637&gt;=_辅助!$J$4,资金流水!$S$637&lt;=_辅助!$J$2),INT(资金流水!$B$637)*10000+632,"")</f>
      </c>
    </row>
    <row r="634">
      <c r="BF634" s="2">
        <f>IF(AND($AF$3&gt;0,发票登记!$T$637=$C$3,ISNUMBER(发票登记!$X$637),发票登记!$AB$637&lt;&gt;0,发票登记!$Y$637&gt;=_辅助!$J$4,发票登记!$Y$637&lt;=_辅助!$J$2),INT(发票登记!$X$637)*10000+633,"")</f>
      </c>
      <c r="BG634" s="2">
        <f>IF(AND($AF$3&gt;0,资金流水!$H$638=$C$3,ISNUMBER(资金流水!$B$638),ISNUMBER(资金流水!$S$638),资金流水!$S$638&gt;=_辅助!$J$4,资金流水!$S$638&lt;=_辅助!$J$2),INT(资金流水!$B$638)*10000+633,"")</f>
      </c>
    </row>
    <row r="635">
      <c r="BF635" s="2">
        <f>IF(AND($AF$3&gt;0,发票登记!$T$638=$C$3,ISNUMBER(发票登记!$X$638),发票登记!$AB$638&lt;&gt;0,发票登记!$Y$638&gt;=_辅助!$J$4,发票登记!$Y$638&lt;=_辅助!$J$2),INT(发票登记!$X$638)*10000+634,"")</f>
      </c>
      <c r="BG635" s="2">
        <f>IF(AND($AF$3&gt;0,资金流水!$H$639=$C$3,ISNUMBER(资金流水!$B$639),ISNUMBER(资金流水!$S$639),资金流水!$S$639&gt;=_辅助!$J$4,资金流水!$S$639&lt;=_辅助!$J$2),INT(资金流水!$B$639)*10000+634,"")</f>
      </c>
    </row>
    <row r="636">
      <c r="BF636" s="2">
        <f>IF(AND($AF$3&gt;0,发票登记!$T$639=$C$3,ISNUMBER(发票登记!$X$639),发票登记!$AB$639&lt;&gt;0,发票登记!$Y$639&gt;=_辅助!$J$4,发票登记!$Y$639&lt;=_辅助!$J$2),INT(发票登记!$X$639)*10000+635,"")</f>
      </c>
      <c r="BG636" s="2">
        <f>IF(AND($AF$3&gt;0,资金流水!$H$640=$C$3,ISNUMBER(资金流水!$B$640),ISNUMBER(资金流水!$S$640),资金流水!$S$640&gt;=_辅助!$J$4,资金流水!$S$640&lt;=_辅助!$J$2),INT(资金流水!$B$640)*10000+635,"")</f>
      </c>
    </row>
    <row r="637">
      <c r="BF637" s="2">
        <f>IF(AND($AF$3&gt;0,发票登记!$T$640=$C$3,ISNUMBER(发票登记!$X$640),发票登记!$AB$640&lt;&gt;0,发票登记!$Y$640&gt;=_辅助!$J$4,发票登记!$Y$640&lt;=_辅助!$J$2),INT(发票登记!$X$640)*10000+636,"")</f>
      </c>
      <c r="BG637" s="2">
        <f>IF(AND($AF$3&gt;0,资金流水!$H$641=$C$3,ISNUMBER(资金流水!$B$641),ISNUMBER(资金流水!$S$641),资金流水!$S$641&gt;=_辅助!$J$4,资金流水!$S$641&lt;=_辅助!$J$2),INT(资金流水!$B$641)*10000+636,"")</f>
      </c>
    </row>
    <row r="638">
      <c r="BF638" s="2">
        <f>IF(AND($AF$3&gt;0,发票登记!$T$641=$C$3,ISNUMBER(发票登记!$X$641),发票登记!$AB$641&lt;&gt;0,发票登记!$Y$641&gt;=_辅助!$J$4,发票登记!$Y$641&lt;=_辅助!$J$2),INT(发票登记!$X$641)*10000+637,"")</f>
      </c>
      <c r="BG638" s="2">
        <f>IF(AND($AF$3&gt;0,资金流水!$H$642=$C$3,ISNUMBER(资金流水!$B$642),ISNUMBER(资金流水!$S$642),资金流水!$S$642&gt;=_辅助!$J$4,资金流水!$S$642&lt;=_辅助!$J$2),INT(资金流水!$B$642)*10000+637,"")</f>
      </c>
    </row>
    <row r="639">
      <c r="BF639" s="2">
        <f>IF(AND($AF$3&gt;0,发票登记!$T$642=$C$3,ISNUMBER(发票登记!$X$642),发票登记!$AB$642&lt;&gt;0,发票登记!$Y$642&gt;=_辅助!$J$4,发票登记!$Y$642&lt;=_辅助!$J$2),INT(发票登记!$X$642)*10000+638,"")</f>
      </c>
      <c r="BG639" s="2">
        <f>IF(AND($AF$3&gt;0,资金流水!$H$643=$C$3,ISNUMBER(资金流水!$B$643),ISNUMBER(资金流水!$S$643),资金流水!$S$643&gt;=_辅助!$J$4,资金流水!$S$643&lt;=_辅助!$J$2),INT(资金流水!$B$643)*10000+638,"")</f>
      </c>
    </row>
    <row r="640">
      <c r="BF640" s="2">
        <f>IF(AND($AF$3&gt;0,发票登记!$T$643=$C$3,ISNUMBER(发票登记!$X$643),发票登记!$AB$643&lt;&gt;0,发票登记!$Y$643&gt;=_辅助!$J$4,发票登记!$Y$643&lt;=_辅助!$J$2),INT(发票登记!$X$643)*10000+639,"")</f>
      </c>
      <c r="BG640" s="2">
        <f>IF(AND($AF$3&gt;0,资金流水!$H$644=$C$3,ISNUMBER(资金流水!$B$644),ISNUMBER(资金流水!$S$644),资金流水!$S$644&gt;=_辅助!$J$4,资金流水!$S$644&lt;=_辅助!$J$2),INT(资金流水!$B$644)*10000+639,"")</f>
      </c>
    </row>
    <row r="641">
      <c r="BF641" s="2">
        <f>IF(AND($AF$3&gt;0,发票登记!$T$644=$C$3,ISNUMBER(发票登记!$X$644),发票登记!$AB$644&lt;&gt;0,发票登记!$Y$644&gt;=_辅助!$J$4,发票登记!$Y$644&lt;=_辅助!$J$2),INT(发票登记!$X$644)*10000+640,"")</f>
      </c>
      <c r="BG641" s="2">
        <f>IF(AND($AF$3&gt;0,资金流水!$H$645=$C$3,ISNUMBER(资金流水!$B$645),ISNUMBER(资金流水!$S$645),资金流水!$S$645&gt;=_辅助!$J$4,资金流水!$S$645&lt;=_辅助!$J$2),INT(资金流水!$B$645)*10000+640,"")</f>
      </c>
    </row>
    <row r="642">
      <c r="BF642" s="2">
        <f>IF(AND($AF$3&gt;0,发票登记!$T$645=$C$3,ISNUMBER(发票登记!$X$645),发票登记!$AB$645&lt;&gt;0,发票登记!$Y$645&gt;=_辅助!$J$4,发票登记!$Y$645&lt;=_辅助!$J$2),INT(发票登记!$X$645)*10000+641,"")</f>
      </c>
      <c r="BG642" s="2">
        <f>IF(AND($AF$3&gt;0,资金流水!$H$646=$C$3,ISNUMBER(资金流水!$B$646),ISNUMBER(资金流水!$S$646),资金流水!$S$646&gt;=_辅助!$J$4,资金流水!$S$646&lt;=_辅助!$J$2),INT(资金流水!$B$646)*10000+641,"")</f>
      </c>
    </row>
    <row r="643">
      <c r="BF643" s="2">
        <f>IF(AND($AF$3&gt;0,发票登记!$T$646=$C$3,ISNUMBER(发票登记!$X$646),发票登记!$AB$646&lt;&gt;0,发票登记!$Y$646&gt;=_辅助!$J$4,发票登记!$Y$646&lt;=_辅助!$J$2),INT(发票登记!$X$646)*10000+642,"")</f>
      </c>
      <c r="BG643" s="2">
        <f>IF(AND($AF$3&gt;0,资金流水!$H$647=$C$3,ISNUMBER(资金流水!$B$647),ISNUMBER(资金流水!$S$647),资金流水!$S$647&gt;=_辅助!$J$4,资金流水!$S$647&lt;=_辅助!$J$2),INT(资金流水!$B$647)*10000+642,"")</f>
      </c>
    </row>
    <row r="644">
      <c r="BF644" s="2">
        <f>IF(AND($AF$3&gt;0,发票登记!$T$647=$C$3,ISNUMBER(发票登记!$X$647),发票登记!$AB$647&lt;&gt;0,发票登记!$Y$647&gt;=_辅助!$J$4,发票登记!$Y$647&lt;=_辅助!$J$2),INT(发票登记!$X$647)*10000+643,"")</f>
      </c>
      <c r="BG644" s="2">
        <f>IF(AND($AF$3&gt;0,资金流水!$H$648=$C$3,ISNUMBER(资金流水!$B$648),ISNUMBER(资金流水!$S$648),资金流水!$S$648&gt;=_辅助!$J$4,资金流水!$S$648&lt;=_辅助!$J$2),INT(资金流水!$B$648)*10000+643,"")</f>
      </c>
    </row>
    <row r="645">
      <c r="BF645" s="2">
        <f>IF(AND($AF$3&gt;0,发票登记!$T$648=$C$3,ISNUMBER(发票登记!$X$648),发票登记!$AB$648&lt;&gt;0,发票登记!$Y$648&gt;=_辅助!$J$4,发票登记!$Y$648&lt;=_辅助!$J$2),INT(发票登记!$X$648)*10000+644,"")</f>
      </c>
      <c r="BG645" s="2">
        <f>IF(AND($AF$3&gt;0,资金流水!$H$649=$C$3,ISNUMBER(资金流水!$B$649),ISNUMBER(资金流水!$S$649),资金流水!$S$649&gt;=_辅助!$J$4,资金流水!$S$649&lt;=_辅助!$J$2),INT(资金流水!$B$649)*10000+644,"")</f>
      </c>
    </row>
    <row r="646">
      <c r="BF646" s="2">
        <f>IF(AND($AF$3&gt;0,发票登记!$T$649=$C$3,ISNUMBER(发票登记!$X$649),发票登记!$AB$649&lt;&gt;0,发票登记!$Y$649&gt;=_辅助!$J$4,发票登记!$Y$649&lt;=_辅助!$J$2),INT(发票登记!$X$649)*10000+645,"")</f>
      </c>
      <c r="BG646" s="2">
        <f>IF(AND($AF$3&gt;0,资金流水!$H$650=$C$3,ISNUMBER(资金流水!$B$650),ISNUMBER(资金流水!$S$650),资金流水!$S$650&gt;=_辅助!$J$4,资金流水!$S$650&lt;=_辅助!$J$2),INT(资金流水!$B$650)*10000+645,"")</f>
      </c>
    </row>
    <row r="647">
      <c r="BF647" s="2">
        <f>IF(AND($AF$3&gt;0,发票登记!$T$650=$C$3,ISNUMBER(发票登记!$X$650),发票登记!$AB$650&lt;&gt;0,发票登记!$Y$650&gt;=_辅助!$J$4,发票登记!$Y$650&lt;=_辅助!$J$2),INT(发票登记!$X$650)*10000+646,"")</f>
      </c>
      <c r="BG647" s="2">
        <f>IF(AND($AF$3&gt;0,资金流水!$H$651=$C$3,ISNUMBER(资金流水!$B$651),ISNUMBER(资金流水!$S$651),资金流水!$S$651&gt;=_辅助!$J$4,资金流水!$S$651&lt;=_辅助!$J$2),INT(资金流水!$B$651)*10000+646,"")</f>
      </c>
    </row>
    <row r="648">
      <c r="BF648" s="2">
        <f>IF(AND($AF$3&gt;0,发票登记!$T$651=$C$3,ISNUMBER(发票登记!$X$651),发票登记!$AB$651&lt;&gt;0,发票登记!$Y$651&gt;=_辅助!$J$4,发票登记!$Y$651&lt;=_辅助!$J$2),INT(发票登记!$X$651)*10000+647,"")</f>
      </c>
      <c r="BG648" s="2">
        <f>IF(AND($AF$3&gt;0,资金流水!$H$652=$C$3,ISNUMBER(资金流水!$B$652),ISNUMBER(资金流水!$S$652),资金流水!$S$652&gt;=_辅助!$J$4,资金流水!$S$652&lt;=_辅助!$J$2),INT(资金流水!$B$652)*10000+647,"")</f>
      </c>
    </row>
    <row r="649">
      <c r="BF649" s="2">
        <f>IF(AND($AF$3&gt;0,发票登记!$T$652=$C$3,ISNUMBER(发票登记!$X$652),发票登记!$AB$652&lt;&gt;0,发票登记!$Y$652&gt;=_辅助!$J$4,发票登记!$Y$652&lt;=_辅助!$J$2),INT(发票登记!$X$652)*10000+648,"")</f>
      </c>
      <c r="BG649" s="2">
        <f>IF(AND($AF$3&gt;0,资金流水!$H$653=$C$3,ISNUMBER(资金流水!$B$653),ISNUMBER(资金流水!$S$653),资金流水!$S$653&gt;=_辅助!$J$4,资金流水!$S$653&lt;=_辅助!$J$2),INT(资金流水!$B$653)*10000+648,"")</f>
      </c>
    </row>
    <row r="650">
      <c r="BF650" s="2">
        <f>IF(AND($AF$3&gt;0,发票登记!$T$653=$C$3,ISNUMBER(发票登记!$X$653),发票登记!$AB$653&lt;&gt;0,发票登记!$Y$653&gt;=_辅助!$J$4,发票登记!$Y$653&lt;=_辅助!$J$2),INT(发票登记!$X$653)*10000+649,"")</f>
      </c>
      <c r="BG650" s="2">
        <f>IF(AND($AF$3&gt;0,资金流水!$H$654=$C$3,ISNUMBER(资金流水!$B$654),ISNUMBER(资金流水!$S$654),资金流水!$S$654&gt;=_辅助!$J$4,资金流水!$S$654&lt;=_辅助!$J$2),INT(资金流水!$B$654)*10000+649,"")</f>
      </c>
    </row>
    <row r="651">
      <c r="BF651" s="2">
        <f>IF(AND($AF$3&gt;0,发票登记!$T$654=$C$3,ISNUMBER(发票登记!$X$654),发票登记!$AB$654&lt;&gt;0,发票登记!$Y$654&gt;=_辅助!$J$4,发票登记!$Y$654&lt;=_辅助!$J$2),INT(发票登记!$X$654)*10000+650,"")</f>
      </c>
      <c r="BG651" s="2">
        <f>IF(AND($AF$3&gt;0,资金流水!$H$655=$C$3,ISNUMBER(资金流水!$B$655),ISNUMBER(资金流水!$S$655),资金流水!$S$655&gt;=_辅助!$J$4,资金流水!$S$655&lt;=_辅助!$J$2),INT(资金流水!$B$655)*10000+650,"")</f>
      </c>
    </row>
    <row r="652">
      <c r="BF652" s="2">
        <f>IF(AND($AF$3&gt;0,发票登记!$T$655=$C$3,ISNUMBER(发票登记!$X$655),发票登记!$AB$655&lt;&gt;0,发票登记!$Y$655&gt;=_辅助!$J$4,发票登记!$Y$655&lt;=_辅助!$J$2),INT(发票登记!$X$655)*10000+651,"")</f>
      </c>
      <c r="BG652" s="2">
        <f>IF(AND($AF$3&gt;0,资金流水!$H$656=$C$3,ISNUMBER(资金流水!$B$656),ISNUMBER(资金流水!$S$656),资金流水!$S$656&gt;=_辅助!$J$4,资金流水!$S$656&lt;=_辅助!$J$2),INT(资金流水!$B$656)*10000+651,"")</f>
      </c>
    </row>
    <row r="653">
      <c r="BF653" s="2">
        <f>IF(AND($AF$3&gt;0,发票登记!$T$656=$C$3,ISNUMBER(发票登记!$X$656),发票登记!$AB$656&lt;&gt;0,发票登记!$Y$656&gt;=_辅助!$J$4,发票登记!$Y$656&lt;=_辅助!$J$2),INT(发票登记!$X$656)*10000+652,"")</f>
      </c>
      <c r="BG653" s="2">
        <f>IF(AND($AF$3&gt;0,资金流水!$H$657=$C$3,ISNUMBER(资金流水!$B$657),ISNUMBER(资金流水!$S$657),资金流水!$S$657&gt;=_辅助!$J$4,资金流水!$S$657&lt;=_辅助!$J$2),INT(资金流水!$B$657)*10000+652,"")</f>
      </c>
    </row>
    <row r="654">
      <c r="BF654" s="2">
        <f>IF(AND($AF$3&gt;0,发票登记!$T$657=$C$3,ISNUMBER(发票登记!$X$657),发票登记!$AB$657&lt;&gt;0,发票登记!$Y$657&gt;=_辅助!$J$4,发票登记!$Y$657&lt;=_辅助!$J$2),INT(发票登记!$X$657)*10000+653,"")</f>
      </c>
      <c r="BG654" s="2">
        <f>IF(AND($AF$3&gt;0,资金流水!$H$658=$C$3,ISNUMBER(资金流水!$B$658),ISNUMBER(资金流水!$S$658),资金流水!$S$658&gt;=_辅助!$J$4,资金流水!$S$658&lt;=_辅助!$J$2),INT(资金流水!$B$658)*10000+653,"")</f>
      </c>
    </row>
    <row r="655">
      <c r="BF655" s="2">
        <f>IF(AND($AF$3&gt;0,发票登记!$T$658=$C$3,ISNUMBER(发票登记!$X$658),发票登记!$AB$658&lt;&gt;0,发票登记!$Y$658&gt;=_辅助!$J$4,发票登记!$Y$658&lt;=_辅助!$J$2),INT(发票登记!$X$658)*10000+654,"")</f>
      </c>
      <c r="BG655" s="2">
        <f>IF(AND($AF$3&gt;0,资金流水!$H$659=$C$3,ISNUMBER(资金流水!$B$659),ISNUMBER(资金流水!$S$659),资金流水!$S$659&gt;=_辅助!$J$4,资金流水!$S$659&lt;=_辅助!$J$2),INT(资金流水!$B$659)*10000+654,"")</f>
      </c>
    </row>
    <row r="656">
      <c r="BF656" s="2">
        <f>IF(AND($AF$3&gt;0,发票登记!$T$659=$C$3,ISNUMBER(发票登记!$X$659),发票登记!$AB$659&lt;&gt;0,发票登记!$Y$659&gt;=_辅助!$J$4,发票登记!$Y$659&lt;=_辅助!$J$2),INT(发票登记!$X$659)*10000+655,"")</f>
      </c>
      <c r="BG656" s="2">
        <f>IF(AND($AF$3&gt;0,资金流水!$H$660=$C$3,ISNUMBER(资金流水!$B$660),ISNUMBER(资金流水!$S$660),资金流水!$S$660&gt;=_辅助!$J$4,资金流水!$S$660&lt;=_辅助!$J$2),INT(资金流水!$B$660)*10000+655,"")</f>
      </c>
    </row>
    <row r="657">
      <c r="BF657" s="2">
        <f>IF(AND($AF$3&gt;0,发票登记!$T$660=$C$3,ISNUMBER(发票登记!$X$660),发票登记!$AB$660&lt;&gt;0,发票登记!$Y$660&gt;=_辅助!$J$4,发票登记!$Y$660&lt;=_辅助!$J$2),INT(发票登记!$X$660)*10000+656,"")</f>
      </c>
      <c r="BG657" s="2">
        <f>IF(AND($AF$3&gt;0,资金流水!$H$661=$C$3,ISNUMBER(资金流水!$B$661),ISNUMBER(资金流水!$S$661),资金流水!$S$661&gt;=_辅助!$J$4,资金流水!$S$661&lt;=_辅助!$J$2),INT(资金流水!$B$661)*10000+656,"")</f>
      </c>
    </row>
    <row r="658">
      <c r="BF658" s="2">
        <f>IF(AND($AF$3&gt;0,发票登记!$T$661=$C$3,ISNUMBER(发票登记!$X$661),发票登记!$AB$661&lt;&gt;0,发票登记!$Y$661&gt;=_辅助!$J$4,发票登记!$Y$661&lt;=_辅助!$J$2),INT(发票登记!$X$661)*10000+657,"")</f>
      </c>
      <c r="BG658" s="2">
        <f>IF(AND($AF$3&gt;0,资金流水!$H$662=$C$3,ISNUMBER(资金流水!$B$662),ISNUMBER(资金流水!$S$662),资金流水!$S$662&gt;=_辅助!$J$4,资金流水!$S$662&lt;=_辅助!$J$2),INT(资金流水!$B$662)*10000+657,"")</f>
      </c>
    </row>
    <row r="659">
      <c r="BF659" s="2">
        <f>IF(AND($AF$3&gt;0,发票登记!$T$662=$C$3,ISNUMBER(发票登记!$X$662),发票登记!$AB$662&lt;&gt;0,发票登记!$Y$662&gt;=_辅助!$J$4,发票登记!$Y$662&lt;=_辅助!$J$2),INT(发票登记!$X$662)*10000+658,"")</f>
      </c>
      <c r="BG659" s="2">
        <f>IF(AND($AF$3&gt;0,资金流水!$H$663=$C$3,ISNUMBER(资金流水!$B$663),ISNUMBER(资金流水!$S$663),资金流水!$S$663&gt;=_辅助!$J$4,资金流水!$S$663&lt;=_辅助!$J$2),INT(资金流水!$B$663)*10000+658,"")</f>
      </c>
    </row>
    <row r="660">
      <c r="BF660" s="2">
        <f>IF(AND($AF$3&gt;0,发票登记!$T$663=$C$3,ISNUMBER(发票登记!$X$663),发票登记!$AB$663&lt;&gt;0,发票登记!$Y$663&gt;=_辅助!$J$4,发票登记!$Y$663&lt;=_辅助!$J$2),INT(发票登记!$X$663)*10000+659,"")</f>
      </c>
      <c r="BG660" s="2">
        <f>IF(AND($AF$3&gt;0,资金流水!$H$664=$C$3,ISNUMBER(资金流水!$B$664),ISNUMBER(资金流水!$S$664),资金流水!$S$664&gt;=_辅助!$J$4,资金流水!$S$664&lt;=_辅助!$J$2),INT(资金流水!$B$664)*10000+659,"")</f>
      </c>
    </row>
    <row r="661">
      <c r="BF661" s="2">
        <f>IF(AND($AF$3&gt;0,发票登记!$T$664=$C$3,ISNUMBER(发票登记!$X$664),发票登记!$AB$664&lt;&gt;0,发票登记!$Y$664&gt;=_辅助!$J$4,发票登记!$Y$664&lt;=_辅助!$J$2),INT(发票登记!$X$664)*10000+660,"")</f>
      </c>
      <c r="BG661" s="2">
        <f>IF(AND($AF$3&gt;0,资金流水!$H$665=$C$3,ISNUMBER(资金流水!$B$665),ISNUMBER(资金流水!$S$665),资金流水!$S$665&gt;=_辅助!$J$4,资金流水!$S$665&lt;=_辅助!$J$2),INT(资金流水!$B$665)*10000+660,"")</f>
      </c>
    </row>
    <row r="662">
      <c r="BF662" s="2">
        <f>IF(AND($AF$3&gt;0,发票登记!$T$665=$C$3,ISNUMBER(发票登记!$X$665),发票登记!$AB$665&lt;&gt;0,发票登记!$Y$665&gt;=_辅助!$J$4,发票登记!$Y$665&lt;=_辅助!$J$2),INT(发票登记!$X$665)*10000+661,"")</f>
      </c>
      <c r="BG662" s="2">
        <f>IF(AND($AF$3&gt;0,资金流水!$H$666=$C$3,ISNUMBER(资金流水!$B$666),ISNUMBER(资金流水!$S$666),资金流水!$S$666&gt;=_辅助!$J$4,资金流水!$S$666&lt;=_辅助!$J$2),INT(资金流水!$B$666)*10000+661,"")</f>
      </c>
    </row>
    <row r="663">
      <c r="BF663" s="2">
        <f>IF(AND($AF$3&gt;0,发票登记!$T$666=$C$3,ISNUMBER(发票登记!$X$666),发票登记!$AB$666&lt;&gt;0,发票登记!$Y$666&gt;=_辅助!$J$4,发票登记!$Y$666&lt;=_辅助!$J$2),INT(发票登记!$X$666)*10000+662,"")</f>
      </c>
      <c r="BG663" s="2">
        <f>IF(AND($AF$3&gt;0,资金流水!$H$667=$C$3,ISNUMBER(资金流水!$B$667),ISNUMBER(资金流水!$S$667),资金流水!$S$667&gt;=_辅助!$J$4,资金流水!$S$667&lt;=_辅助!$J$2),INT(资金流水!$B$667)*10000+662,"")</f>
      </c>
    </row>
    <row r="664">
      <c r="BF664" s="2">
        <f>IF(AND($AF$3&gt;0,发票登记!$T$667=$C$3,ISNUMBER(发票登记!$X$667),发票登记!$AB$667&lt;&gt;0,发票登记!$Y$667&gt;=_辅助!$J$4,发票登记!$Y$667&lt;=_辅助!$J$2),INT(发票登记!$X$667)*10000+663,"")</f>
      </c>
      <c r="BG664" s="2">
        <f>IF(AND($AF$3&gt;0,资金流水!$H$668=$C$3,ISNUMBER(资金流水!$B$668),ISNUMBER(资金流水!$S$668),资金流水!$S$668&gt;=_辅助!$J$4,资金流水!$S$668&lt;=_辅助!$J$2),INT(资金流水!$B$668)*10000+663,"")</f>
      </c>
    </row>
    <row r="665">
      <c r="BF665" s="2">
        <f>IF(AND($AF$3&gt;0,发票登记!$T$668=$C$3,ISNUMBER(发票登记!$X$668),发票登记!$AB$668&lt;&gt;0,发票登记!$Y$668&gt;=_辅助!$J$4,发票登记!$Y$668&lt;=_辅助!$J$2),INT(发票登记!$X$668)*10000+664,"")</f>
      </c>
      <c r="BG665" s="2">
        <f>IF(AND($AF$3&gt;0,资金流水!$H$669=$C$3,ISNUMBER(资金流水!$B$669),ISNUMBER(资金流水!$S$669),资金流水!$S$669&gt;=_辅助!$J$4,资金流水!$S$669&lt;=_辅助!$J$2),INT(资金流水!$B$669)*10000+664,"")</f>
      </c>
    </row>
    <row r="666">
      <c r="BF666" s="2">
        <f>IF(AND($AF$3&gt;0,发票登记!$T$669=$C$3,ISNUMBER(发票登记!$X$669),发票登记!$AB$669&lt;&gt;0,发票登记!$Y$669&gt;=_辅助!$J$4,发票登记!$Y$669&lt;=_辅助!$J$2),INT(发票登记!$X$669)*10000+665,"")</f>
      </c>
      <c r="BG666" s="2">
        <f>IF(AND($AF$3&gt;0,资金流水!$H$670=$C$3,ISNUMBER(资金流水!$B$670),ISNUMBER(资金流水!$S$670),资金流水!$S$670&gt;=_辅助!$J$4,资金流水!$S$670&lt;=_辅助!$J$2),INT(资金流水!$B$670)*10000+665,"")</f>
      </c>
    </row>
    <row r="667">
      <c r="BF667" s="2">
        <f>IF(AND($AF$3&gt;0,发票登记!$T$670=$C$3,ISNUMBER(发票登记!$X$670),发票登记!$AB$670&lt;&gt;0,发票登记!$Y$670&gt;=_辅助!$J$4,发票登记!$Y$670&lt;=_辅助!$J$2),INT(发票登记!$X$670)*10000+666,"")</f>
      </c>
      <c r="BG667" s="2">
        <f>IF(AND($AF$3&gt;0,资金流水!$H$671=$C$3,ISNUMBER(资金流水!$B$671),ISNUMBER(资金流水!$S$671),资金流水!$S$671&gt;=_辅助!$J$4,资金流水!$S$671&lt;=_辅助!$J$2),INT(资金流水!$B$671)*10000+666,"")</f>
      </c>
    </row>
    <row r="668">
      <c r="BF668" s="2">
        <f>IF(AND($AF$3&gt;0,发票登记!$T$671=$C$3,ISNUMBER(发票登记!$X$671),发票登记!$AB$671&lt;&gt;0,发票登记!$Y$671&gt;=_辅助!$J$4,发票登记!$Y$671&lt;=_辅助!$J$2),INT(发票登记!$X$671)*10000+667,"")</f>
      </c>
      <c r="BG668" s="2">
        <f>IF(AND($AF$3&gt;0,资金流水!$H$672=$C$3,ISNUMBER(资金流水!$B$672),ISNUMBER(资金流水!$S$672),资金流水!$S$672&gt;=_辅助!$J$4,资金流水!$S$672&lt;=_辅助!$J$2),INT(资金流水!$B$672)*10000+667,"")</f>
      </c>
    </row>
    <row r="669">
      <c r="BF669" s="2">
        <f>IF(AND($AF$3&gt;0,发票登记!$T$672=$C$3,ISNUMBER(发票登记!$X$672),发票登记!$AB$672&lt;&gt;0,发票登记!$Y$672&gt;=_辅助!$J$4,发票登记!$Y$672&lt;=_辅助!$J$2),INT(发票登记!$X$672)*10000+668,"")</f>
      </c>
      <c r="BG669" s="2">
        <f>IF(AND($AF$3&gt;0,资金流水!$H$673=$C$3,ISNUMBER(资金流水!$B$673),ISNUMBER(资金流水!$S$673),资金流水!$S$673&gt;=_辅助!$J$4,资金流水!$S$673&lt;=_辅助!$J$2),INT(资金流水!$B$673)*10000+668,"")</f>
      </c>
    </row>
    <row r="670">
      <c r="BF670" s="2">
        <f>IF(AND($AF$3&gt;0,发票登记!$T$673=$C$3,ISNUMBER(发票登记!$X$673),发票登记!$AB$673&lt;&gt;0,发票登记!$Y$673&gt;=_辅助!$J$4,发票登记!$Y$673&lt;=_辅助!$J$2),INT(发票登记!$X$673)*10000+669,"")</f>
      </c>
      <c r="BG670" s="2">
        <f>IF(AND($AF$3&gt;0,资金流水!$H$674=$C$3,ISNUMBER(资金流水!$B$674),ISNUMBER(资金流水!$S$674),资金流水!$S$674&gt;=_辅助!$J$4,资金流水!$S$674&lt;=_辅助!$J$2),INT(资金流水!$B$674)*10000+669,"")</f>
      </c>
    </row>
    <row r="671">
      <c r="BF671" s="2">
        <f>IF(AND($AF$3&gt;0,发票登记!$T$674=$C$3,ISNUMBER(发票登记!$X$674),发票登记!$AB$674&lt;&gt;0,发票登记!$Y$674&gt;=_辅助!$J$4,发票登记!$Y$674&lt;=_辅助!$J$2),INT(发票登记!$X$674)*10000+670,"")</f>
      </c>
      <c r="BG671" s="2">
        <f>IF(AND($AF$3&gt;0,资金流水!$H$675=$C$3,ISNUMBER(资金流水!$B$675),ISNUMBER(资金流水!$S$675),资金流水!$S$675&gt;=_辅助!$J$4,资金流水!$S$675&lt;=_辅助!$J$2),INT(资金流水!$B$675)*10000+670,"")</f>
      </c>
    </row>
    <row r="672">
      <c r="BF672" s="2">
        <f>IF(AND($AF$3&gt;0,发票登记!$T$675=$C$3,ISNUMBER(发票登记!$X$675),发票登记!$AB$675&lt;&gt;0,发票登记!$Y$675&gt;=_辅助!$J$4,发票登记!$Y$675&lt;=_辅助!$J$2),INT(发票登记!$X$675)*10000+671,"")</f>
      </c>
      <c r="BG672" s="2">
        <f>IF(AND($AF$3&gt;0,资金流水!$H$676=$C$3,ISNUMBER(资金流水!$B$676),ISNUMBER(资金流水!$S$676),资金流水!$S$676&gt;=_辅助!$J$4,资金流水!$S$676&lt;=_辅助!$J$2),INT(资金流水!$B$676)*10000+671,"")</f>
      </c>
    </row>
    <row r="673">
      <c r="BF673" s="2">
        <f>IF(AND($AF$3&gt;0,发票登记!$T$676=$C$3,ISNUMBER(发票登记!$X$676),发票登记!$AB$676&lt;&gt;0,发票登记!$Y$676&gt;=_辅助!$J$4,发票登记!$Y$676&lt;=_辅助!$J$2),INT(发票登记!$X$676)*10000+672,"")</f>
      </c>
      <c r="BG673" s="2">
        <f>IF(AND($AF$3&gt;0,资金流水!$H$677=$C$3,ISNUMBER(资金流水!$B$677),ISNUMBER(资金流水!$S$677),资金流水!$S$677&gt;=_辅助!$J$4,资金流水!$S$677&lt;=_辅助!$J$2),INT(资金流水!$B$677)*10000+672,"")</f>
      </c>
    </row>
    <row r="674">
      <c r="BF674" s="2">
        <f>IF(AND($AF$3&gt;0,发票登记!$T$677=$C$3,ISNUMBER(发票登记!$X$677),发票登记!$AB$677&lt;&gt;0,发票登记!$Y$677&gt;=_辅助!$J$4,发票登记!$Y$677&lt;=_辅助!$J$2),INT(发票登记!$X$677)*10000+673,"")</f>
      </c>
      <c r="BG674" s="2">
        <f>IF(AND($AF$3&gt;0,资金流水!$H$678=$C$3,ISNUMBER(资金流水!$B$678),ISNUMBER(资金流水!$S$678),资金流水!$S$678&gt;=_辅助!$J$4,资金流水!$S$678&lt;=_辅助!$J$2),INT(资金流水!$B$678)*10000+673,"")</f>
      </c>
    </row>
    <row r="675">
      <c r="BF675" s="2">
        <f>IF(AND($AF$3&gt;0,发票登记!$T$678=$C$3,ISNUMBER(发票登记!$X$678),发票登记!$AB$678&lt;&gt;0,发票登记!$Y$678&gt;=_辅助!$J$4,发票登记!$Y$678&lt;=_辅助!$J$2),INT(发票登记!$X$678)*10000+674,"")</f>
      </c>
      <c r="BG675" s="2">
        <f>IF(AND($AF$3&gt;0,资金流水!$H$679=$C$3,ISNUMBER(资金流水!$B$679),ISNUMBER(资金流水!$S$679),资金流水!$S$679&gt;=_辅助!$J$4,资金流水!$S$679&lt;=_辅助!$J$2),INT(资金流水!$B$679)*10000+674,"")</f>
      </c>
    </row>
    <row r="676">
      <c r="BF676" s="2">
        <f>IF(AND($AF$3&gt;0,发票登记!$T$679=$C$3,ISNUMBER(发票登记!$X$679),发票登记!$AB$679&lt;&gt;0,发票登记!$Y$679&gt;=_辅助!$J$4,发票登记!$Y$679&lt;=_辅助!$J$2),INT(发票登记!$X$679)*10000+675,"")</f>
      </c>
      <c r="BG676" s="2">
        <f>IF(AND($AF$3&gt;0,资金流水!$H$680=$C$3,ISNUMBER(资金流水!$B$680),ISNUMBER(资金流水!$S$680),资金流水!$S$680&gt;=_辅助!$J$4,资金流水!$S$680&lt;=_辅助!$J$2),INT(资金流水!$B$680)*10000+675,"")</f>
      </c>
    </row>
    <row r="677">
      <c r="BF677" s="2">
        <f>IF(AND($AF$3&gt;0,发票登记!$T$680=$C$3,ISNUMBER(发票登记!$X$680),发票登记!$AB$680&lt;&gt;0,发票登记!$Y$680&gt;=_辅助!$J$4,发票登记!$Y$680&lt;=_辅助!$J$2),INT(发票登记!$X$680)*10000+676,"")</f>
      </c>
      <c r="BG677" s="2">
        <f>IF(AND($AF$3&gt;0,资金流水!$H$681=$C$3,ISNUMBER(资金流水!$B$681),ISNUMBER(资金流水!$S$681),资金流水!$S$681&gt;=_辅助!$J$4,资金流水!$S$681&lt;=_辅助!$J$2),INT(资金流水!$B$681)*10000+676,"")</f>
      </c>
    </row>
    <row r="678">
      <c r="BF678" s="2">
        <f>IF(AND($AF$3&gt;0,发票登记!$T$681=$C$3,ISNUMBER(发票登记!$X$681),发票登记!$AB$681&lt;&gt;0,发票登记!$Y$681&gt;=_辅助!$J$4,发票登记!$Y$681&lt;=_辅助!$J$2),INT(发票登记!$X$681)*10000+677,"")</f>
      </c>
      <c r="BG678" s="2">
        <f>IF(AND($AF$3&gt;0,资金流水!$H$682=$C$3,ISNUMBER(资金流水!$B$682),ISNUMBER(资金流水!$S$682),资金流水!$S$682&gt;=_辅助!$J$4,资金流水!$S$682&lt;=_辅助!$J$2),INT(资金流水!$B$682)*10000+677,"")</f>
      </c>
    </row>
    <row r="679">
      <c r="BF679" s="2">
        <f>IF(AND($AF$3&gt;0,发票登记!$T$682=$C$3,ISNUMBER(发票登记!$X$682),发票登记!$AB$682&lt;&gt;0,发票登记!$Y$682&gt;=_辅助!$J$4,发票登记!$Y$682&lt;=_辅助!$J$2),INT(发票登记!$X$682)*10000+678,"")</f>
      </c>
      <c r="BG679" s="2">
        <f>IF(AND($AF$3&gt;0,资金流水!$H$683=$C$3,ISNUMBER(资金流水!$B$683),ISNUMBER(资金流水!$S$683),资金流水!$S$683&gt;=_辅助!$J$4,资金流水!$S$683&lt;=_辅助!$J$2),INT(资金流水!$B$683)*10000+678,"")</f>
      </c>
    </row>
    <row r="680">
      <c r="BF680" s="2">
        <f>IF(AND($AF$3&gt;0,发票登记!$T$683=$C$3,ISNUMBER(发票登记!$X$683),发票登记!$AB$683&lt;&gt;0,发票登记!$Y$683&gt;=_辅助!$J$4,发票登记!$Y$683&lt;=_辅助!$J$2),INT(发票登记!$X$683)*10000+679,"")</f>
      </c>
      <c r="BG680" s="2">
        <f>IF(AND($AF$3&gt;0,资金流水!$H$684=$C$3,ISNUMBER(资金流水!$B$684),ISNUMBER(资金流水!$S$684),资金流水!$S$684&gt;=_辅助!$J$4,资金流水!$S$684&lt;=_辅助!$J$2),INT(资金流水!$B$684)*10000+679,"")</f>
      </c>
    </row>
    <row r="681">
      <c r="BF681" s="2">
        <f>IF(AND($AF$3&gt;0,发票登记!$T$684=$C$3,ISNUMBER(发票登记!$X$684),发票登记!$AB$684&lt;&gt;0,发票登记!$Y$684&gt;=_辅助!$J$4,发票登记!$Y$684&lt;=_辅助!$J$2),INT(发票登记!$X$684)*10000+680,"")</f>
      </c>
      <c r="BG681" s="2">
        <f>IF(AND($AF$3&gt;0,资金流水!$H$685=$C$3,ISNUMBER(资金流水!$B$685),ISNUMBER(资金流水!$S$685),资金流水!$S$685&gt;=_辅助!$J$4,资金流水!$S$685&lt;=_辅助!$J$2),INT(资金流水!$B$685)*10000+680,"")</f>
      </c>
    </row>
    <row r="682">
      <c r="BF682" s="2">
        <f>IF(AND($AF$3&gt;0,发票登记!$T$685=$C$3,ISNUMBER(发票登记!$X$685),发票登记!$AB$685&lt;&gt;0,发票登记!$Y$685&gt;=_辅助!$J$4,发票登记!$Y$685&lt;=_辅助!$J$2),INT(发票登记!$X$685)*10000+681,"")</f>
      </c>
      <c r="BG682" s="2">
        <f>IF(AND($AF$3&gt;0,资金流水!$H$686=$C$3,ISNUMBER(资金流水!$B$686),ISNUMBER(资金流水!$S$686),资金流水!$S$686&gt;=_辅助!$J$4,资金流水!$S$686&lt;=_辅助!$J$2),INT(资金流水!$B$686)*10000+681,"")</f>
      </c>
    </row>
    <row r="683">
      <c r="BF683" s="2">
        <f>IF(AND($AF$3&gt;0,发票登记!$T$686=$C$3,ISNUMBER(发票登记!$X$686),发票登记!$AB$686&lt;&gt;0,发票登记!$Y$686&gt;=_辅助!$J$4,发票登记!$Y$686&lt;=_辅助!$J$2),INT(发票登记!$X$686)*10000+682,"")</f>
      </c>
      <c r="BG683" s="2">
        <f>IF(AND($AF$3&gt;0,资金流水!$H$687=$C$3,ISNUMBER(资金流水!$B$687),ISNUMBER(资金流水!$S$687),资金流水!$S$687&gt;=_辅助!$J$4,资金流水!$S$687&lt;=_辅助!$J$2),INT(资金流水!$B$687)*10000+682,"")</f>
      </c>
    </row>
    <row r="684">
      <c r="BF684" s="2">
        <f>IF(AND($AF$3&gt;0,发票登记!$T$687=$C$3,ISNUMBER(发票登记!$X$687),发票登记!$AB$687&lt;&gt;0,发票登记!$Y$687&gt;=_辅助!$J$4,发票登记!$Y$687&lt;=_辅助!$J$2),INT(发票登记!$X$687)*10000+683,"")</f>
      </c>
      <c r="BG684" s="2">
        <f>IF(AND($AF$3&gt;0,资金流水!$H$688=$C$3,ISNUMBER(资金流水!$B$688),ISNUMBER(资金流水!$S$688),资金流水!$S$688&gt;=_辅助!$J$4,资金流水!$S$688&lt;=_辅助!$J$2),INT(资金流水!$B$688)*10000+683,"")</f>
      </c>
    </row>
    <row r="685">
      <c r="BF685" s="2">
        <f>IF(AND($AF$3&gt;0,发票登记!$T$688=$C$3,ISNUMBER(发票登记!$X$688),发票登记!$AB$688&lt;&gt;0,发票登记!$Y$688&gt;=_辅助!$J$4,发票登记!$Y$688&lt;=_辅助!$J$2),INT(发票登记!$X$688)*10000+684,"")</f>
      </c>
      <c r="BG685" s="2">
        <f>IF(AND($AF$3&gt;0,资金流水!$H$689=$C$3,ISNUMBER(资金流水!$B$689),ISNUMBER(资金流水!$S$689),资金流水!$S$689&gt;=_辅助!$J$4,资金流水!$S$689&lt;=_辅助!$J$2),INT(资金流水!$B$689)*10000+684,"")</f>
      </c>
    </row>
    <row r="686">
      <c r="BF686" s="2">
        <f>IF(AND($AF$3&gt;0,发票登记!$T$689=$C$3,ISNUMBER(发票登记!$X$689),发票登记!$AB$689&lt;&gt;0,发票登记!$Y$689&gt;=_辅助!$J$4,发票登记!$Y$689&lt;=_辅助!$J$2),INT(发票登记!$X$689)*10000+685,"")</f>
      </c>
      <c r="BG686" s="2">
        <f>IF(AND($AF$3&gt;0,资金流水!$H$690=$C$3,ISNUMBER(资金流水!$B$690),ISNUMBER(资金流水!$S$690),资金流水!$S$690&gt;=_辅助!$J$4,资金流水!$S$690&lt;=_辅助!$J$2),INT(资金流水!$B$690)*10000+685,"")</f>
      </c>
    </row>
    <row r="687">
      <c r="BF687" s="2">
        <f>IF(AND($AF$3&gt;0,发票登记!$T$690=$C$3,ISNUMBER(发票登记!$X$690),发票登记!$AB$690&lt;&gt;0,发票登记!$Y$690&gt;=_辅助!$J$4,发票登记!$Y$690&lt;=_辅助!$J$2),INT(发票登记!$X$690)*10000+686,"")</f>
      </c>
      <c r="BG687" s="2">
        <f>IF(AND($AF$3&gt;0,资金流水!$H$691=$C$3,ISNUMBER(资金流水!$B$691),ISNUMBER(资金流水!$S$691),资金流水!$S$691&gt;=_辅助!$J$4,资金流水!$S$691&lt;=_辅助!$J$2),INT(资金流水!$B$691)*10000+686,"")</f>
      </c>
    </row>
    <row r="688">
      <c r="BF688" s="2">
        <f>IF(AND($AF$3&gt;0,发票登记!$T$691=$C$3,ISNUMBER(发票登记!$X$691),发票登记!$AB$691&lt;&gt;0,发票登记!$Y$691&gt;=_辅助!$J$4,发票登记!$Y$691&lt;=_辅助!$J$2),INT(发票登记!$X$691)*10000+687,"")</f>
      </c>
      <c r="BG688" s="2">
        <f>IF(AND($AF$3&gt;0,资金流水!$H$692=$C$3,ISNUMBER(资金流水!$B$692),ISNUMBER(资金流水!$S$692),资金流水!$S$692&gt;=_辅助!$J$4,资金流水!$S$692&lt;=_辅助!$J$2),INT(资金流水!$B$692)*10000+687,"")</f>
      </c>
    </row>
    <row r="689">
      <c r="BF689" s="2">
        <f>IF(AND($AF$3&gt;0,发票登记!$T$692=$C$3,ISNUMBER(发票登记!$X$692),发票登记!$AB$692&lt;&gt;0,发票登记!$Y$692&gt;=_辅助!$J$4,发票登记!$Y$692&lt;=_辅助!$J$2),INT(发票登记!$X$692)*10000+688,"")</f>
      </c>
      <c r="BG689" s="2">
        <f>IF(AND($AF$3&gt;0,资金流水!$H$693=$C$3,ISNUMBER(资金流水!$B$693),ISNUMBER(资金流水!$S$693),资金流水!$S$693&gt;=_辅助!$J$4,资金流水!$S$693&lt;=_辅助!$J$2),INT(资金流水!$B$693)*10000+688,"")</f>
      </c>
    </row>
    <row r="690">
      <c r="BF690" s="2">
        <f>IF(AND($AF$3&gt;0,发票登记!$T$693=$C$3,ISNUMBER(发票登记!$X$693),发票登记!$AB$693&lt;&gt;0,发票登记!$Y$693&gt;=_辅助!$J$4,发票登记!$Y$693&lt;=_辅助!$J$2),INT(发票登记!$X$693)*10000+689,"")</f>
      </c>
      <c r="BG690" s="2">
        <f>IF(AND($AF$3&gt;0,资金流水!$H$694=$C$3,ISNUMBER(资金流水!$B$694),ISNUMBER(资金流水!$S$694),资金流水!$S$694&gt;=_辅助!$J$4,资金流水!$S$694&lt;=_辅助!$J$2),INT(资金流水!$B$694)*10000+689,"")</f>
      </c>
    </row>
    <row r="691">
      <c r="BF691" s="2">
        <f>IF(AND($AF$3&gt;0,发票登记!$T$694=$C$3,ISNUMBER(发票登记!$X$694),发票登记!$AB$694&lt;&gt;0,发票登记!$Y$694&gt;=_辅助!$J$4,发票登记!$Y$694&lt;=_辅助!$J$2),INT(发票登记!$X$694)*10000+690,"")</f>
      </c>
      <c r="BG691" s="2">
        <f>IF(AND($AF$3&gt;0,资金流水!$H$695=$C$3,ISNUMBER(资金流水!$B$695),ISNUMBER(资金流水!$S$695),资金流水!$S$695&gt;=_辅助!$J$4,资金流水!$S$695&lt;=_辅助!$J$2),INT(资金流水!$B$695)*10000+690,"")</f>
      </c>
    </row>
    <row r="692">
      <c r="BF692" s="2">
        <f>IF(AND($AF$3&gt;0,发票登记!$T$695=$C$3,ISNUMBER(发票登记!$X$695),发票登记!$AB$695&lt;&gt;0,发票登记!$Y$695&gt;=_辅助!$J$4,发票登记!$Y$695&lt;=_辅助!$J$2),INT(发票登记!$X$695)*10000+691,"")</f>
      </c>
      <c r="BG692" s="2">
        <f>IF(AND($AF$3&gt;0,资金流水!$H$696=$C$3,ISNUMBER(资金流水!$B$696),ISNUMBER(资金流水!$S$696),资金流水!$S$696&gt;=_辅助!$J$4,资金流水!$S$696&lt;=_辅助!$J$2),INT(资金流水!$B$696)*10000+691,"")</f>
      </c>
    </row>
    <row r="693">
      <c r="BF693" s="2">
        <f>IF(AND($AF$3&gt;0,发票登记!$T$696=$C$3,ISNUMBER(发票登记!$X$696),发票登记!$AB$696&lt;&gt;0,发票登记!$Y$696&gt;=_辅助!$J$4,发票登记!$Y$696&lt;=_辅助!$J$2),INT(发票登记!$X$696)*10000+692,"")</f>
      </c>
      <c r="BG693" s="2">
        <f>IF(AND($AF$3&gt;0,资金流水!$H$697=$C$3,ISNUMBER(资金流水!$B$697),ISNUMBER(资金流水!$S$697),资金流水!$S$697&gt;=_辅助!$J$4,资金流水!$S$697&lt;=_辅助!$J$2),INT(资金流水!$B$697)*10000+692,"")</f>
      </c>
    </row>
    <row r="694">
      <c r="BF694" s="2">
        <f>IF(AND($AF$3&gt;0,发票登记!$T$697=$C$3,ISNUMBER(发票登记!$X$697),发票登记!$AB$697&lt;&gt;0,发票登记!$Y$697&gt;=_辅助!$J$4,发票登记!$Y$697&lt;=_辅助!$J$2),INT(发票登记!$X$697)*10000+693,"")</f>
      </c>
      <c r="BG694" s="2">
        <f>IF(AND($AF$3&gt;0,资金流水!$H$698=$C$3,ISNUMBER(资金流水!$B$698),ISNUMBER(资金流水!$S$698),资金流水!$S$698&gt;=_辅助!$J$4,资金流水!$S$698&lt;=_辅助!$J$2),INT(资金流水!$B$698)*10000+693,"")</f>
      </c>
    </row>
    <row r="695">
      <c r="BF695" s="2">
        <f>IF(AND($AF$3&gt;0,发票登记!$T$698=$C$3,ISNUMBER(发票登记!$X$698),发票登记!$AB$698&lt;&gt;0,发票登记!$Y$698&gt;=_辅助!$J$4,发票登记!$Y$698&lt;=_辅助!$J$2),INT(发票登记!$X$698)*10000+694,"")</f>
      </c>
      <c r="BG695" s="2">
        <f>IF(AND($AF$3&gt;0,资金流水!$H$699=$C$3,ISNUMBER(资金流水!$B$699),ISNUMBER(资金流水!$S$699),资金流水!$S$699&gt;=_辅助!$J$4,资金流水!$S$699&lt;=_辅助!$J$2),INT(资金流水!$B$699)*10000+694,"")</f>
      </c>
    </row>
    <row r="696">
      <c r="BF696" s="2">
        <f>IF(AND($AF$3&gt;0,发票登记!$T$699=$C$3,ISNUMBER(发票登记!$X$699),发票登记!$AB$699&lt;&gt;0,发票登记!$Y$699&gt;=_辅助!$J$4,发票登记!$Y$699&lt;=_辅助!$J$2),INT(发票登记!$X$699)*10000+695,"")</f>
      </c>
      <c r="BG696" s="2">
        <f>IF(AND($AF$3&gt;0,资金流水!$H$700=$C$3,ISNUMBER(资金流水!$B$700),ISNUMBER(资金流水!$S$700),资金流水!$S$700&gt;=_辅助!$J$4,资金流水!$S$700&lt;=_辅助!$J$2),INT(资金流水!$B$700)*10000+695,"")</f>
      </c>
    </row>
    <row r="697">
      <c r="BF697" s="2">
        <f>IF(AND($AF$3&gt;0,发票登记!$T$700=$C$3,ISNUMBER(发票登记!$X$700),发票登记!$AB$700&lt;&gt;0,发票登记!$Y$700&gt;=_辅助!$J$4,发票登记!$Y$700&lt;=_辅助!$J$2),INT(发票登记!$X$700)*10000+696,"")</f>
      </c>
      <c r="BG697" s="2">
        <f>IF(AND($AF$3&gt;0,资金流水!$H$701=$C$3,ISNUMBER(资金流水!$B$701),ISNUMBER(资金流水!$S$701),资金流水!$S$701&gt;=_辅助!$J$4,资金流水!$S$701&lt;=_辅助!$J$2),INT(资金流水!$B$701)*10000+696,"")</f>
      </c>
    </row>
    <row r="698">
      <c r="BF698" s="2">
        <f>IF(AND($AF$3&gt;0,发票登记!$T$701=$C$3,ISNUMBER(发票登记!$X$701),发票登记!$AB$701&lt;&gt;0,发票登记!$Y$701&gt;=_辅助!$J$4,发票登记!$Y$701&lt;=_辅助!$J$2),INT(发票登记!$X$701)*10000+697,"")</f>
      </c>
      <c r="BG698" s="2">
        <f>IF(AND($AF$3&gt;0,资金流水!$H$702=$C$3,ISNUMBER(资金流水!$B$702),ISNUMBER(资金流水!$S$702),资金流水!$S$702&gt;=_辅助!$J$4,资金流水!$S$702&lt;=_辅助!$J$2),INT(资金流水!$B$702)*10000+697,"")</f>
      </c>
    </row>
    <row r="699">
      <c r="BF699" s="2">
        <f>IF(AND($AF$3&gt;0,发票登记!$T$702=$C$3,ISNUMBER(发票登记!$X$702),发票登记!$AB$702&lt;&gt;0,发票登记!$Y$702&gt;=_辅助!$J$4,发票登记!$Y$702&lt;=_辅助!$J$2),INT(发票登记!$X$702)*10000+698,"")</f>
      </c>
      <c r="BG699" s="2">
        <f>IF(AND($AF$3&gt;0,资金流水!$H$703=$C$3,ISNUMBER(资金流水!$B$703),ISNUMBER(资金流水!$S$703),资金流水!$S$703&gt;=_辅助!$J$4,资金流水!$S$703&lt;=_辅助!$J$2),INT(资金流水!$B$703)*10000+698,"")</f>
      </c>
    </row>
    <row r="700">
      <c r="BF700" s="2">
        <f>IF(AND($AF$3&gt;0,发票登记!$T$703=$C$3,ISNUMBER(发票登记!$X$703),发票登记!$AB$703&lt;&gt;0,发票登记!$Y$703&gt;=_辅助!$J$4,发票登记!$Y$703&lt;=_辅助!$J$2),INT(发票登记!$X$703)*10000+699,"")</f>
      </c>
      <c r="BG700" s="2">
        <f>IF(AND($AF$3&gt;0,资金流水!$H$704=$C$3,ISNUMBER(资金流水!$B$704),ISNUMBER(资金流水!$S$704),资金流水!$S$704&gt;=_辅助!$J$4,资金流水!$S$704&lt;=_辅助!$J$2),INT(资金流水!$B$704)*10000+699,"")</f>
      </c>
    </row>
    <row r="701">
      <c r="BF701" s="2">
        <f>IF(AND($AF$3&gt;0,发票登记!$T$704=$C$3,ISNUMBER(发票登记!$X$704),发票登记!$AB$704&lt;&gt;0,发票登记!$Y$704&gt;=_辅助!$J$4,发票登记!$Y$704&lt;=_辅助!$J$2),INT(发票登记!$X$704)*10000+700,"")</f>
      </c>
      <c r="BG701" s="2">
        <f>IF(AND($AF$3&gt;0,资金流水!$H$705=$C$3,ISNUMBER(资金流水!$B$705),ISNUMBER(资金流水!$S$705),资金流水!$S$705&gt;=_辅助!$J$4,资金流水!$S$705&lt;=_辅助!$J$2),INT(资金流水!$B$705)*10000+700,"")</f>
      </c>
    </row>
    <row r="702">
      <c r="BF702" s="2">
        <f>IF(AND($AF$3&gt;0,发票登记!$T$705=$C$3,ISNUMBER(发票登记!$X$705),发票登记!$AB$705&lt;&gt;0,发票登记!$Y$705&gt;=_辅助!$J$4,发票登记!$Y$705&lt;=_辅助!$J$2),INT(发票登记!$X$705)*10000+701,"")</f>
      </c>
      <c r="BG702" s="2">
        <f>IF(AND($AF$3&gt;0,资金流水!$H$706=$C$3,ISNUMBER(资金流水!$B$706),ISNUMBER(资金流水!$S$706),资金流水!$S$706&gt;=_辅助!$J$4,资金流水!$S$706&lt;=_辅助!$J$2),INT(资金流水!$B$706)*10000+701,"")</f>
      </c>
    </row>
    <row r="703">
      <c r="BF703" s="2">
        <f>IF(AND($AF$3&gt;0,发票登记!$T$706=$C$3,ISNUMBER(发票登记!$X$706),发票登记!$AB$706&lt;&gt;0,发票登记!$Y$706&gt;=_辅助!$J$4,发票登记!$Y$706&lt;=_辅助!$J$2),INT(发票登记!$X$706)*10000+702,"")</f>
      </c>
      <c r="BG703" s="2">
        <f>IF(AND($AF$3&gt;0,资金流水!$H$707=$C$3,ISNUMBER(资金流水!$B$707),ISNUMBER(资金流水!$S$707),资金流水!$S$707&gt;=_辅助!$J$4,资金流水!$S$707&lt;=_辅助!$J$2),INT(资金流水!$B$707)*10000+702,"")</f>
      </c>
    </row>
    <row r="704">
      <c r="BF704" s="2">
        <f>IF(AND($AF$3&gt;0,发票登记!$T$707=$C$3,ISNUMBER(发票登记!$X$707),发票登记!$AB$707&lt;&gt;0,发票登记!$Y$707&gt;=_辅助!$J$4,发票登记!$Y$707&lt;=_辅助!$J$2),INT(发票登记!$X$707)*10000+703,"")</f>
      </c>
      <c r="BG704" s="2">
        <f>IF(AND($AF$3&gt;0,资金流水!$H$708=$C$3,ISNUMBER(资金流水!$B$708),ISNUMBER(资金流水!$S$708),资金流水!$S$708&gt;=_辅助!$J$4,资金流水!$S$708&lt;=_辅助!$J$2),INT(资金流水!$B$708)*10000+703,"")</f>
      </c>
    </row>
    <row r="705">
      <c r="BF705" s="2">
        <f>IF(AND($AF$3&gt;0,发票登记!$T$708=$C$3,ISNUMBER(发票登记!$X$708),发票登记!$AB$708&lt;&gt;0,发票登记!$Y$708&gt;=_辅助!$J$4,发票登记!$Y$708&lt;=_辅助!$J$2),INT(发票登记!$X$708)*10000+704,"")</f>
      </c>
      <c r="BG705" s="2">
        <f>IF(AND($AF$3&gt;0,资金流水!$H$709=$C$3,ISNUMBER(资金流水!$B$709),ISNUMBER(资金流水!$S$709),资金流水!$S$709&gt;=_辅助!$J$4,资金流水!$S$709&lt;=_辅助!$J$2),INT(资金流水!$B$709)*10000+704,"")</f>
      </c>
    </row>
    <row r="706">
      <c r="BF706" s="2">
        <f>IF(AND($AF$3&gt;0,发票登记!$T$709=$C$3,ISNUMBER(发票登记!$X$709),发票登记!$AB$709&lt;&gt;0,发票登记!$Y$709&gt;=_辅助!$J$4,发票登记!$Y$709&lt;=_辅助!$J$2),INT(发票登记!$X$709)*10000+705,"")</f>
      </c>
      <c r="BG706" s="2">
        <f>IF(AND($AF$3&gt;0,资金流水!$H$710=$C$3,ISNUMBER(资金流水!$B$710),ISNUMBER(资金流水!$S$710),资金流水!$S$710&gt;=_辅助!$J$4,资金流水!$S$710&lt;=_辅助!$J$2),INT(资金流水!$B$710)*10000+705,"")</f>
      </c>
    </row>
    <row r="707">
      <c r="BF707" s="2">
        <f>IF(AND($AF$3&gt;0,发票登记!$T$710=$C$3,ISNUMBER(发票登记!$X$710),发票登记!$AB$710&lt;&gt;0,发票登记!$Y$710&gt;=_辅助!$J$4,发票登记!$Y$710&lt;=_辅助!$J$2),INT(发票登记!$X$710)*10000+706,"")</f>
      </c>
      <c r="BG707" s="2">
        <f>IF(AND($AF$3&gt;0,资金流水!$H$711=$C$3,ISNUMBER(资金流水!$B$711),ISNUMBER(资金流水!$S$711),资金流水!$S$711&gt;=_辅助!$J$4,资金流水!$S$711&lt;=_辅助!$J$2),INT(资金流水!$B$711)*10000+706,"")</f>
      </c>
    </row>
    <row r="708">
      <c r="BF708" s="2">
        <f>IF(AND($AF$3&gt;0,发票登记!$T$711=$C$3,ISNUMBER(发票登记!$X$711),发票登记!$AB$711&lt;&gt;0,发票登记!$Y$711&gt;=_辅助!$J$4,发票登记!$Y$711&lt;=_辅助!$J$2),INT(发票登记!$X$711)*10000+707,"")</f>
      </c>
      <c r="BG708" s="2">
        <f>IF(AND($AF$3&gt;0,资金流水!$H$712=$C$3,ISNUMBER(资金流水!$B$712),ISNUMBER(资金流水!$S$712),资金流水!$S$712&gt;=_辅助!$J$4,资金流水!$S$712&lt;=_辅助!$J$2),INT(资金流水!$B$712)*10000+707,"")</f>
      </c>
    </row>
    <row r="709">
      <c r="BF709" s="2">
        <f>IF(AND($AF$3&gt;0,发票登记!$T$712=$C$3,ISNUMBER(发票登记!$X$712),发票登记!$AB$712&lt;&gt;0,发票登记!$Y$712&gt;=_辅助!$J$4,发票登记!$Y$712&lt;=_辅助!$J$2),INT(发票登记!$X$712)*10000+708,"")</f>
      </c>
      <c r="BG709" s="2">
        <f>IF(AND($AF$3&gt;0,资金流水!$H$713=$C$3,ISNUMBER(资金流水!$B$713),ISNUMBER(资金流水!$S$713),资金流水!$S$713&gt;=_辅助!$J$4,资金流水!$S$713&lt;=_辅助!$J$2),INT(资金流水!$B$713)*10000+708,"")</f>
      </c>
    </row>
    <row r="710">
      <c r="BF710" s="2">
        <f>IF(AND($AF$3&gt;0,发票登记!$T$713=$C$3,ISNUMBER(发票登记!$X$713),发票登记!$AB$713&lt;&gt;0,发票登记!$Y$713&gt;=_辅助!$J$4,发票登记!$Y$713&lt;=_辅助!$J$2),INT(发票登记!$X$713)*10000+709,"")</f>
      </c>
      <c r="BG710" s="2">
        <f>IF(AND($AF$3&gt;0,资金流水!$H$714=$C$3,ISNUMBER(资金流水!$B$714),ISNUMBER(资金流水!$S$714),资金流水!$S$714&gt;=_辅助!$J$4,资金流水!$S$714&lt;=_辅助!$J$2),INT(资金流水!$B$714)*10000+709,"")</f>
      </c>
    </row>
    <row r="711">
      <c r="BF711" s="2">
        <f>IF(AND($AF$3&gt;0,发票登记!$T$714=$C$3,ISNUMBER(发票登记!$X$714),发票登记!$AB$714&lt;&gt;0,发票登记!$Y$714&gt;=_辅助!$J$4,发票登记!$Y$714&lt;=_辅助!$J$2),INT(发票登记!$X$714)*10000+710,"")</f>
      </c>
      <c r="BG711" s="2">
        <f>IF(AND($AF$3&gt;0,资金流水!$H$715=$C$3,ISNUMBER(资金流水!$B$715),ISNUMBER(资金流水!$S$715),资金流水!$S$715&gt;=_辅助!$J$4,资金流水!$S$715&lt;=_辅助!$J$2),INT(资金流水!$B$715)*10000+710,"")</f>
      </c>
    </row>
    <row r="712">
      <c r="BF712" s="2">
        <f>IF(AND($AF$3&gt;0,发票登记!$T$715=$C$3,ISNUMBER(发票登记!$X$715),发票登记!$AB$715&lt;&gt;0,发票登记!$Y$715&gt;=_辅助!$J$4,发票登记!$Y$715&lt;=_辅助!$J$2),INT(发票登记!$X$715)*10000+711,"")</f>
      </c>
      <c r="BG712" s="2">
        <f>IF(AND($AF$3&gt;0,资金流水!$H$716=$C$3,ISNUMBER(资金流水!$B$716),ISNUMBER(资金流水!$S$716),资金流水!$S$716&gt;=_辅助!$J$4,资金流水!$S$716&lt;=_辅助!$J$2),INT(资金流水!$B$716)*10000+711,"")</f>
      </c>
    </row>
    <row r="713">
      <c r="BF713" s="2">
        <f>IF(AND($AF$3&gt;0,发票登记!$T$716=$C$3,ISNUMBER(发票登记!$X$716),发票登记!$AB$716&lt;&gt;0,发票登记!$Y$716&gt;=_辅助!$J$4,发票登记!$Y$716&lt;=_辅助!$J$2),INT(发票登记!$X$716)*10000+712,"")</f>
      </c>
      <c r="BG713" s="2">
        <f>IF(AND($AF$3&gt;0,资金流水!$H$717=$C$3,ISNUMBER(资金流水!$B$717),ISNUMBER(资金流水!$S$717),资金流水!$S$717&gt;=_辅助!$J$4,资金流水!$S$717&lt;=_辅助!$J$2),INT(资金流水!$B$717)*10000+712,"")</f>
      </c>
    </row>
    <row r="714">
      <c r="BF714" s="2">
        <f>IF(AND($AF$3&gt;0,发票登记!$T$717=$C$3,ISNUMBER(发票登记!$X$717),发票登记!$AB$717&lt;&gt;0,发票登记!$Y$717&gt;=_辅助!$J$4,发票登记!$Y$717&lt;=_辅助!$J$2),INT(发票登记!$X$717)*10000+713,"")</f>
      </c>
      <c r="BG714" s="2">
        <f>IF(AND($AF$3&gt;0,资金流水!$H$718=$C$3,ISNUMBER(资金流水!$B$718),ISNUMBER(资金流水!$S$718),资金流水!$S$718&gt;=_辅助!$J$4,资金流水!$S$718&lt;=_辅助!$J$2),INT(资金流水!$B$718)*10000+713,"")</f>
      </c>
    </row>
    <row r="715">
      <c r="BF715" s="2">
        <f>IF(AND($AF$3&gt;0,发票登记!$T$718=$C$3,ISNUMBER(发票登记!$X$718),发票登记!$AB$718&lt;&gt;0,发票登记!$Y$718&gt;=_辅助!$J$4,发票登记!$Y$718&lt;=_辅助!$J$2),INT(发票登记!$X$718)*10000+714,"")</f>
      </c>
      <c r="BG715" s="2">
        <f>IF(AND($AF$3&gt;0,资金流水!$H$719=$C$3,ISNUMBER(资金流水!$B$719),ISNUMBER(资金流水!$S$719),资金流水!$S$719&gt;=_辅助!$J$4,资金流水!$S$719&lt;=_辅助!$J$2),INT(资金流水!$B$719)*10000+714,"")</f>
      </c>
    </row>
    <row r="716">
      <c r="BF716" s="2">
        <f>IF(AND($AF$3&gt;0,发票登记!$T$719=$C$3,ISNUMBER(发票登记!$X$719),发票登记!$AB$719&lt;&gt;0,发票登记!$Y$719&gt;=_辅助!$J$4,发票登记!$Y$719&lt;=_辅助!$J$2),INT(发票登记!$X$719)*10000+715,"")</f>
      </c>
      <c r="BG716" s="2">
        <f>IF(AND($AF$3&gt;0,资金流水!$H$720=$C$3,ISNUMBER(资金流水!$B$720),ISNUMBER(资金流水!$S$720),资金流水!$S$720&gt;=_辅助!$J$4,资金流水!$S$720&lt;=_辅助!$J$2),INT(资金流水!$B$720)*10000+715,"")</f>
      </c>
    </row>
    <row r="717">
      <c r="BF717" s="2">
        <f>IF(AND($AF$3&gt;0,发票登记!$T$720=$C$3,ISNUMBER(发票登记!$X$720),发票登记!$AB$720&lt;&gt;0,发票登记!$Y$720&gt;=_辅助!$J$4,发票登记!$Y$720&lt;=_辅助!$J$2),INT(发票登记!$X$720)*10000+716,"")</f>
      </c>
      <c r="BG717" s="2">
        <f>IF(AND($AF$3&gt;0,资金流水!$H$721=$C$3,ISNUMBER(资金流水!$B$721),ISNUMBER(资金流水!$S$721),资金流水!$S$721&gt;=_辅助!$J$4,资金流水!$S$721&lt;=_辅助!$J$2),INT(资金流水!$B$721)*10000+716,"")</f>
      </c>
    </row>
    <row r="718">
      <c r="BF718" s="2">
        <f>IF(AND($AF$3&gt;0,发票登记!$T$721=$C$3,ISNUMBER(发票登记!$X$721),发票登记!$AB$721&lt;&gt;0,发票登记!$Y$721&gt;=_辅助!$J$4,发票登记!$Y$721&lt;=_辅助!$J$2),INT(发票登记!$X$721)*10000+717,"")</f>
      </c>
      <c r="BG718" s="2">
        <f>IF(AND($AF$3&gt;0,资金流水!$H$722=$C$3,ISNUMBER(资金流水!$B$722),ISNUMBER(资金流水!$S$722),资金流水!$S$722&gt;=_辅助!$J$4,资金流水!$S$722&lt;=_辅助!$J$2),INT(资金流水!$B$722)*10000+717,"")</f>
      </c>
    </row>
    <row r="719">
      <c r="BF719" s="2">
        <f>IF(AND($AF$3&gt;0,发票登记!$T$722=$C$3,ISNUMBER(发票登记!$X$722),发票登记!$AB$722&lt;&gt;0,发票登记!$Y$722&gt;=_辅助!$J$4,发票登记!$Y$722&lt;=_辅助!$J$2),INT(发票登记!$X$722)*10000+718,"")</f>
      </c>
      <c r="BG719" s="2">
        <f>IF(AND($AF$3&gt;0,资金流水!$H$723=$C$3,ISNUMBER(资金流水!$B$723),ISNUMBER(资金流水!$S$723),资金流水!$S$723&gt;=_辅助!$J$4,资金流水!$S$723&lt;=_辅助!$J$2),INT(资金流水!$B$723)*10000+718,"")</f>
      </c>
    </row>
    <row r="720">
      <c r="BF720" s="2">
        <f>IF(AND($AF$3&gt;0,发票登记!$T$723=$C$3,ISNUMBER(发票登记!$X$723),发票登记!$AB$723&lt;&gt;0,发票登记!$Y$723&gt;=_辅助!$J$4,发票登记!$Y$723&lt;=_辅助!$J$2),INT(发票登记!$X$723)*10000+719,"")</f>
      </c>
      <c r="BG720" s="2">
        <f>IF(AND($AF$3&gt;0,资金流水!$H$724=$C$3,ISNUMBER(资金流水!$B$724),ISNUMBER(资金流水!$S$724),资金流水!$S$724&gt;=_辅助!$J$4,资金流水!$S$724&lt;=_辅助!$J$2),INT(资金流水!$B$724)*10000+719,"")</f>
      </c>
    </row>
    <row r="721">
      <c r="BF721" s="2">
        <f>IF(AND($AF$3&gt;0,发票登记!$T$724=$C$3,ISNUMBER(发票登记!$X$724),发票登记!$AB$724&lt;&gt;0,发票登记!$Y$724&gt;=_辅助!$J$4,发票登记!$Y$724&lt;=_辅助!$J$2),INT(发票登记!$X$724)*10000+720,"")</f>
      </c>
      <c r="BG721" s="2">
        <f>IF(AND($AF$3&gt;0,资金流水!$H$725=$C$3,ISNUMBER(资金流水!$B$725),ISNUMBER(资金流水!$S$725),资金流水!$S$725&gt;=_辅助!$J$4,资金流水!$S$725&lt;=_辅助!$J$2),INT(资金流水!$B$725)*10000+720,"")</f>
      </c>
    </row>
    <row r="722">
      <c r="BF722" s="2">
        <f>IF(AND($AF$3&gt;0,发票登记!$T$725=$C$3,ISNUMBER(发票登记!$X$725),发票登记!$AB$725&lt;&gt;0,发票登记!$Y$725&gt;=_辅助!$J$4,发票登记!$Y$725&lt;=_辅助!$J$2),INT(发票登记!$X$725)*10000+721,"")</f>
      </c>
      <c r="BG722" s="2">
        <f>IF(AND($AF$3&gt;0,资金流水!$H$726=$C$3,ISNUMBER(资金流水!$B$726),ISNUMBER(资金流水!$S$726),资金流水!$S$726&gt;=_辅助!$J$4,资金流水!$S$726&lt;=_辅助!$J$2),INT(资金流水!$B$726)*10000+721,"")</f>
      </c>
    </row>
    <row r="723">
      <c r="BF723" s="2">
        <f>IF(AND($AF$3&gt;0,发票登记!$T$726=$C$3,ISNUMBER(发票登记!$X$726),发票登记!$AB$726&lt;&gt;0,发票登记!$Y$726&gt;=_辅助!$J$4,发票登记!$Y$726&lt;=_辅助!$J$2),INT(发票登记!$X$726)*10000+722,"")</f>
      </c>
      <c r="BG723" s="2">
        <f>IF(AND($AF$3&gt;0,资金流水!$H$727=$C$3,ISNUMBER(资金流水!$B$727),ISNUMBER(资金流水!$S$727),资金流水!$S$727&gt;=_辅助!$J$4,资金流水!$S$727&lt;=_辅助!$J$2),INT(资金流水!$B$727)*10000+722,"")</f>
      </c>
    </row>
    <row r="724">
      <c r="BF724" s="2">
        <f>IF(AND($AF$3&gt;0,发票登记!$T$727=$C$3,ISNUMBER(发票登记!$X$727),发票登记!$AB$727&lt;&gt;0,发票登记!$Y$727&gt;=_辅助!$J$4,发票登记!$Y$727&lt;=_辅助!$J$2),INT(发票登记!$X$727)*10000+723,"")</f>
      </c>
      <c r="BG724" s="2">
        <f>IF(AND($AF$3&gt;0,资金流水!$H$728=$C$3,ISNUMBER(资金流水!$B$728),ISNUMBER(资金流水!$S$728),资金流水!$S$728&gt;=_辅助!$J$4,资金流水!$S$728&lt;=_辅助!$J$2),INT(资金流水!$B$728)*10000+723,"")</f>
      </c>
    </row>
    <row r="725">
      <c r="BF725" s="2">
        <f>IF(AND($AF$3&gt;0,发票登记!$T$728=$C$3,ISNUMBER(发票登记!$X$728),发票登记!$AB$728&lt;&gt;0,发票登记!$Y$728&gt;=_辅助!$J$4,发票登记!$Y$728&lt;=_辅助!$J$2),INT(发票登记!$X$728)*10000+724,"")</f>
      </c>
      <c r="BG725" s="2">
        <f>IF(AND($AF$3&gt;0,资金流水!$H$729=$C$3,ISNUMBER(资金流水!$B$729),ISNUMBER(资金流水!$S$729),资金流水!$S$729&gt;=_辅助!$J$4,资金流水!$S$729&lt;=_辅助!$J$2),INT(资金流水!$B$729)*10000+724,"")</f>
      </c>
    </row>
    <row r="726">
      <c r="BF726" s="2">
        <f>IF(AND($AF$3&gt;0,发票登记!$T$729=$C$3,ISNUMBER(发票登记!$X$729),发票登记!$AB$729&lt;&gt;0,发票登记!$Y$729&gt;=_辅助!$J$4,发票登记!$Y$729&lt;=_辅助!$J$2),INT(发票登记!$X$729)*10000+725,"")</f>
      </c>
      <c r="BG726" s="2">
        <f>IF(AND($AF$3&gt;0,资金流水!$H$730=$C$3,ISNUMBER(资金流水!$B$730),ISNUMBER(资金流水!$S$730),资金流水!$S$730&gt;=_辅助!$J$4,资金流水!$S$730&lt;=_辅助!$J$2),INT(资金流水!$B$730)*10000+725,"")</f>
      </c>
    </row>
    <row r="727">
      <c r="BF727" s="2">
        <f>IF(AND($AF$3&gt;0,发票登记!$T$730=$C$3,ISNUMBER(发票登记!$X$730),发票登记!$AB$730&lt;&gt;0,发票登记!$Y$730&gt;=_辅助!$J$4,发票登记!$Y$730&lt;=_辅助!$J$2),INT(发票登记!$X$730)*10000+726,"")</f>
      </c>
      <c r="BG727" s="2">
        <f>IF(AND($AF$3&gt;0,资金流水!$H$731=$C$3,ISNUMBER(资金流水!$B$731),ISNUMBER(资金流水!$S$731),资金流水!$S$731&gt;=_辅助!$J$4,资金流水!$S$731&lt;=_辅助!$J$2),INT(资金流水!$B$731)*10000+726,"")</f>
      </c>
    </row>
    <row r="728">
      <c r="BF728" s="2">
        <f>IF(AND($AF$3&gt;0,发票登记!$T$731=$C$3,ISNUMBER(发票登记!$X$731),发票登记!$AB$731&lt;&gt;0,发票登记!$Y$731&gt;=_辅助!$J$4,发票登记!$Y$731&lt;=_辅助!$J$2),INT(发票登记!$X$731)*10000+727,"")</f>
      </c>
      <c r="BG728" s="2">
        <f>IF(AND($AF$3&gt;0,资金流水!$H$732=$C$3,ISNUMBER(资金流水!$B$732),ISNUMBER(资金流水!$S$732),资金流水!$S$732&gt;=_辅助!$J$4,资金流水!$S$732&lt;=_辅助!$J$2),INT(资金流水!$B$732)*10000+727,"")</f>
      </c>
    </row>
    <row r="729">
      <c r="BF729" s="2">
        <f>IF(AND($AF$3&gt;0,发票登记!$T$732=$C$3,ISNUMBER(发票登记!$X$732),发票登记!$AB$732&lt;&gt;0,发票登记!$Y$732&gt;=_辅助!$J$4,发票登记!$Y$732&lt;=_辅助!$J$2),INT(发票登记!$X$732)*10000+728,"")</f>
      </c>
      <c r="BG729" s="2">
        <f>IF(AND($AF$3&gt;0,资金流水!$H$733=$C$3,ISNUMBER(资金流水!$B$733),ISNUMBER(资金流水!$S$733),资金流水!$S$733&gt;=_辅助!$J$4,资金流水!$S$733&lt;=_辅助!$J$2),INT(资金流水!$B$733)*10000+728,"")</f>
      </c>
    </row>
    <row r="730">
      <c r="BF730" s="2">
        <f>IF(AND($AF$3&gt;0,发票登记!$T$733=$C$3,ISNUMBER(发票登记!$X$733),发票登记!$AB$733&lt;&gt;0,发票登记!$Y$733&gt;=_辅助!$J$4,发票登记!$Y$733&lt;=_辅助!$J$2),INT(发票登记!$X$733)*10000+729,"")</f>
      </c>
      <c r="BG730" s="2">
        <f>IF(AND($AF$3&gt;0,资金流水!$H$734=$C$3,ISNUMBER(资金流水!$B$734),ISNUMBER(资金流水!$S$734),资金流水!$S$734&gt;=_辅助!$J$4,资金流水!$S$734&lt;=_辅助!$J$2),INT(资金流水!$B$734)*10000+729,"")</f>
      </c>
    </row>
    <row r="731">
      <c r="BF731" s="2">
        <f>IF(AND($AF$3&gt;0,发票登记!$T$734=$C$3,ISNUMBER(发票登记!$X$734),发票登记!$AB$734&lt;&gt;0,发票登记!$Y$734&gt;=_辅助!$J$4,发票登记!$Y$734&lt;=_辅助!$J$2),INT(发票登记!$X$734)*10000+730,"")</f>
      </c>
      <c r="BG731" s="2">
        <f>IF(AND($AF$3&gt;0,资金流水!$H$735=$C$3,ISNUMBER(资金流水!$B$735),ISNUMBER(资金流水!$S$735),资金流水!$S$735&gt;=_辅助!$J$4,资金流水!$S$735&lt;=_辅助!$J$2),INT(资金流水!$B$735)*10000+730,"")</f>
      </c>
    </row>
    <row r="732">
      <c r="BF732" s="2">
        <f>IF(AND($AF$3&gt;0,发票登记!$T$735=$C$3,ISNUMBER(发票登记!$X$735),发票登记!$AB$735&lt;&gt;0,发票登记!$Y$735&gt;=_辅助!$J$4,发票登记!$Y$735&lt;=_辅助!$J$2),INT(发票登记!$X$735)*10000+731,"")</f>
      </c>
      <c r="BG732" s="2">
        <f>IF(AND($AF$3&gt;0,资金流水!$H$736=$C$3,ISNUMBER(资金流水!$B$736),ISNUMBER(资金流水!$S$736),资金流水!$S$736&gt;=_辅助!$J$4,资金流水!$S$736&lt;=_辅助!$J$2),INT(资金流水!$B$736)*10000+731,"")</f>
      </c>
    </row>
    <row r="733">
      <c r="BF733" s="2">
        <f>IF(AND($AF$3&gt;0,发票登记!$T$736=$C$3,ISNUMBER(发票登记!$X$736),发票登记!$AB$736&lt;&gt;0,发票登记!$Y$736&gt;=_辅助!$J$4,发票登记!$Y$736&lt;=_辅助!$J$2),INT(发票登记!$X$736)*10000+732,"")</f>
      </c>
      <c r="BG733" s="2">
        <f>IF(AND($AF$3&gt;0,资金流水!$H$737=$C$3,ISNUMBER(资金流水!$B$737),ISNUMBER(资金流水!$S$737),资金流水!$S$737&gt;=_辅助!$J$4,资金流水!$S$737&lt;=_辅助!$J$2),INT(资金流水!$B$737)*10000+732,"")</f>
      </c>
    </row>
    <row r="734">
      <c r="BF734" s="2">
        <f>IF(AND($AF$3&gt;0,发票登记!$T$737=$C$3,ISNUMBER(发票登记!$X$737),发票登记!$AB$737&lt;&gt;0,发票登记!$Y$737&gt;=_辅助!$J$4,发票登记!$Y$737&lt;=_辅助!$J$2),INT(发票登记!$X$737)*10000+733,"")</f>
      </c>
      <c r="BG734" s="2">
        <f>IF(AND($AF$3&gt;0,资金流水!$H$738=$C$3,ISNUMBER(资金流水!$B$738),ISNUMBER(资金流水!$S$738),资金流水!$S$738&gt;=_辅助!$J$4,资金流水!$S$738&lt;=_辅助!$J$2),INT(资金流水!$B$738)*10000+733,"")</f>
      </c>
    </row>
    <row r="735">
      <c r="BF735" s="2">
        <f>IF(AND($AF$3&gt;0,发票登记!$T$738=$C$3,ISNUMBER(发票登记!$X$738),发票登记!$AB$738&lt;&gt;0,发票登记!$Y$738&gt;=_辅助!$J$4,发票登记!$Y$738&lt;=_辅助!$J$2),INT(发票登记!$X$738)*10000+734,"")</f>
      </c>
      <c r="BG735" s="2">
        <f>IF(AND($AF$3&gt;0,资金流水!$H$739=$C$3,ISNUMBER(资金流水!$B$739),ISNUMBER(资金流水!$S$739),资金流水!$S$739&gt;=_辅助!$J$4,资金流水!$S$739&lt;=_辅助!$J$2),INT(资金流水!$B$739)*10000+734,"")</f>
      </c>
    </row>
    <row r="736">
      <c r="BF736" s="2">
        <f>IF(AND($AF$3&gt;0,发票登记!$T$739=$C$3,ISNUMBER(发票登记!$X$739),发票登记!$AB$739&lt;&gt;0,发票登记!$Y$739&gt;=_辅助!$J$4,发票登记!$Y$739&lt;=_辅助!$J$2),INT(发票登记!$X$739)*10000+735,"")</f>
      </c>
      <c r="BG736" s="2">
        <f>IF(AND($AF$3&gt;0,资金流水!$H$740=$C$3,ISNUMBER(资金流水!$B$740),ISNUMBER(资金流水!$S$740),资金流水!$S$740&gt;=_辅助!$J$4,资金流水!$S$740&lt;=_辅助!$J$2),INT(资金流水!$B$740)*10000+735,"")</f>
      </c>
    </row>
    <row r="737">
      <c r="BF737" s="2">
        <f>IF(AND($AF$3&gt;0,发票登记!$T$740=$C$3,ISNUMBER(发票登记!$X$740),发票登记!$AB$740&lt;&gt;0,发票登记!$Y$740&gt;=_辅助!$J$4,发票登记!$Y$740&lt;=_辅助!$J$2),INT(发票登记!$X$740)*10000+736,"")</f>
      </c>
      <c r="BG737" s="2">
        <f>IF(AND($AF$3&gt;0,资金流水!$H$741=$C$3,ISNUMBER(资金流水!$B$741),ISNUMBER(资金流水!$S$741),资金流水!$S$741&gt;=_辅助!$J$4,资金流水!$S$741&lt;=_辅助!$J$2),INT(资金流水!$B$741)*10000+736,"")</f>
      </c>
    </row>
    <row r="738">
      <c r="BF738" s="2">
        <f>IF(AND($AF$3&gt;0,发票登记!$T$741=$C$3,ISNUMBER(发票登记!$X$741),发票登记!$AB$741&lt;&gt;0,发票登记!$Y$741&gt;=_辅助!$J$4,发票登记!$Y$741&lt;=_辅助!$J$2),INT(发票登记!$X$741)*10000+737,"")</f>
      </c>
      <c r="BG738" s="2">
        <f>IF(AND($AF$3&gt;0,资金流水!$H$742=$C$3,ISNUMBER(资金流水!$B$742),ISNUMBER(资金流水!$S$742),资金流水!$S$742&gt;=_辅助!$J$4,资金流水!$S$742&lt;=_辅助!$J$2),INT(资金流水!$B$742)*10000+737,"")</f>
      </c>
    </row>
    <row r="739">
      <c r="BF739" s="2">
        <f>IF(AND($AF$3&gt;0,发票登记!$T$742=$C$3,ISNUMBER(发票登记!$X$742),发票登记!$AB$742&lt;&gt;0,发票登记!$Y$742&gt;=_辅助!$J$4,发票登记!$Y$742&lt;=_辅助!$J$2),INT(发票登记!$X$742)*10000+738,"")</f>
      </c>
      <c r="BG739" s="2">
        <f>IF(AND($AF$3&gt;0,资金流水!$H$743=$C$3,ISNUMBER(资金流水!$B$743),ISNUMBER(资金流水!$S$743),资金流水!$S$743&gt;=_辅助!$J$4,资金流水!$S$743&lt;=_辅助!$J$2),INT(资金流水!$B$743)*10000+738,"")</f>
      </c>
    </row>
    <row r="740">
      <c r="BF740" s="2">
        <f>IF(AND($AF$3&gt;0,发票登记!$T$743=$C$3,ISNUMBER(发票登记!$X$743),发票登记!$AB$743&lt;&gt;0,发票登记!$Y$743&gt;=_辅助!$J$4,发票登记!$Y$743&lt;=_辅助!$J$2),INT(发票登记!$X$743)*10000+739,"")</f>
      </c>
      <c r="BG740" s="2">
        <f>IF(AND($AF$3&gt;0,资金流水!$H$744=$C$3,ISNUMBER(资金流水!$B$744),ISNUMBER(资金流水!$S$744),资金流水!$S$744&gt;=_辅助!$J$4,资金流水!$S$744&lt;=_辅助!$J$2),INT(资金流水!$B$744)*10000+739,"")</f>
      </c>
    </row>
    <row r="741">
      <c r="BF741" s="2">
        <f>IF(AND($AF$3&gt;0,发票登记!$T$744=$C$3,ISNUMBER(发票登记!$X$744),发票登记!$AB$744&lt;&gt;0,发票登记!$Y$744&gt;=_辅助!$J$4,发票登记!$Y$744&lt;=_辅助!$J$2),INT(发票登记!$X$744)*10000+740,"")</f>
      </c>
      <c r="BG741" s="2">
        <f>IF(AND($AF$3&gt;0,资金流水!$H$745=$C$3,ISNUMBER(资金流水!$B$745),ISNUMBER(资金流水!$S$745),资金流水!$S$745&gt;=_辅助!$J$4,资金流水!$S$745&lt;=_辅助!$J$2),INT(资金流水!$B$745)*10000+740,"")</f>
      </c>
    </row>
    <row r="742">
      <c r="BF742" s="2">
        <f>IF(AND($AF$3&gt;0,发票登记!$T$745=$C$3,ISNUMBER(发票登记!$X$745),发票登记!$AB$745&lt;&gt;0,发票登记!$Y$745&gt;=_辅助!$J$4,发票登记!$Y$745&lt;=_辅助!$J$2),INT(发票登记!$X$745)*10000+741,"")</f>
      </c>
      <c r="BG742" s="2">
        <f>IF(AND($AF$3&gt;0,资金流水!$H$746=$C$3,ISNUMBER(资金流水!$B$746),ISNUMBER(资金流水!$S$746),资金流水!$S$746&gt;=_辅助!$J$4,资金流水!$S$746&lt;=_辅助!$J$2),INT(资金流水!$B$746)*10000+741,"")</f>
      </c>
    </row>
    <row r="743">
      <c r="BF743" s="2">
        <f>IF(AND($AF$3&gt;0,发票登记!$T$746=$C$3,ISNUMBER(发票登记!$X$746),发票登记!$AB$746&lt;&gt;0,发票登记!$Y$746&gt;=_辅助!$J$4,发票登记!$Y$746&lt;=_辅助!$J$2),INT(发票登记!$X$746)*10000+742,"")</f>
      </c>
      <c r="BG743" s="2">
        <f>IF(AND($AF$3&gt;0,资金流水!$H$747=$C$3,ISNUMBER(资金流水!$B$747),ISNUMBER(资金流水!$S$747),资金流水!$S$747&gt;=_辅助!$J$4,资金流水!$S$747&lt;=_辅助!$J$2),INT(资金流水!$B$747)*10000+742,"")</f>
      </c>
    </row>
    <row r="744">
      <c r="BF744" s="2">
        <f>IF(AND($AF$3&gt;0,发票登记!$T$747=$C$3,ISNUMBER(发票登记!$X$747),发票登记!$AB$747&lt;&gt;0,发票登记!$Y$747&gt;=_辅助!$J$4,发票登记!$Y$747&lt;=_辅助!$J$2),INT(发票登记!$X$747)*10000+743,"")</f>
      </c>
      <c r="BG744" s="2">
        <f>IF(AND($AF$3&gt;0,资金流水!$H$748=$C$3,ISNUMBER(资金流水!$B$748),ISNUMBER(资金流水!$S$748),资金流水!$S$748&gt;=_辅助!$J$4,资金流水!$S$748&lt;=_辅助!$J$2),INT(资金流水!$B$748)*10000+743,"")</f>
      </c>
    </row>
    <row r="745">
      <c r="BF745" s="2">
        <f>IF(AND($AF$3&gt;0,发票登记!$T$748=$C$3,ISNUMBER(发票登记!$X$748),发票登记!$AB$748&lt;&gt;0,发票登记!$Y$748&gt;=_辅助!$J$4,发票登记!$Y$748&lt;=_辅助!$J$2),INT(发票登记!$X$748)*10000+744,"")</f>
      </c>
      <c r="BG745" s="2">
        <f>IF(AND($AF$3&gt;0,资金流水!$H$749=$C$3,ISNUMBER(资金流水!$B$749),ISNUMBER(资金流水!$S$749),资金流水!$S$749&gt;=_辅助!$J$4,资金流水!$S$749&lt;=_辅助!$J$2),INT(资金流水!$B$749)*10000+744,"")</f>
      </c>
    </row>
    <row r="746">
      <c r="BF746" s="2">
        <f>IF(AND($AF$3&gt;0,发票登记!$T$749=$C$3,ISNUMBER(发票登记!$X$749),发票登记!$AB$749&lt;&gt;0,发票登记!$Y$749&gt;=_辅助!$J$4,发票登记!$Y$749&lt;=_辅助!$J$2),INT(发票登记!$X$749)*10000+745,"")</f>
      </c>
      <c r="BG746" s="2">
        <f>IF(AND($AF$3&gt;0,资金流水!$H$750=$C$3,ISNUMBER(资金流水!$B$750),ISNUMBER(资金流水!$S$750),资金流水!$S$750&gt;=_辅助!$J$4,资金流水!$S$750&lt;=_辅助!$J$2),INT(资金流水!$B$750)*10000+745,"")</f>
      </c>
    </row>
    <row r="747">
      <c r="BF747" s="2">
        <f>IF(AND($AF$3&gt;0,发票登记!$T$750=$C$3,ISNUMBER(发票登记!$X$750),发票登记!$AB$750&lt;&gt;0,发票登记!$Y$750&gt;=_辅助!$J$4,发票登记!$Y$750&lt;=_辅助!$J$2),INT(发票登记!$X$750)*10000+746,"")</f>
      </c>
      <c r="BG747" s="2">
        <f>IF(AND($AF$3&gt;0,资金流水!$H$751=$C$3,ISNUMBER(资金流水!$B$751),ISNUMBER(资金流水!$S$751),资金流水!$S$751&gt;=_辅助!$J$4,资金流水!$S$751&lt;=_辅助!$J$2),INT(资金流水!$B$751)*10000+746,"")</f>
      </c>
    </row>
    <row r="748">
      <c r="BF748" s="2">
        <f>IF(AND($AF$3&gt;0,发票登记!$T$751=$C$3,ISNUMBER(发票登记!$X$751),发票登记!$AB$751&lt;&gt;0,发票登记!$Y$751&gt;=_辅助!$J$4,发票登记!$Y$751&lt;=_辅助!$J$2),INT(发票登记!$X$751)*10000+747,"")</f>
      </c>
      <c r="BG748" s="2">
        <f>IF(AND($AF$3&gt;0,资金流水!$H$752=$C$3,ISNUMBER(资金流水!$B$752),ISNUMBER(资金流水!$S$752),资金流水!$S$752&gt;=_辅助!$J$4,资金流水!$S$752&lt;=_辅助!$J$2),INT(资金流水!$B$752)*10000+747,"")</f>
      </c>
    </row>
    <row r="749">
      <c r="BF749" s="2">
        <f>IF(AND($AF$3&gt;0,发票登记!$T$752=$C$3,ISNUMBER(发票登记!$X$752),发票登记!$AB$752&lt;&gt;0,发票登记!$Y$752&gt;=_辅助!$J$4,发票登记!$Y$752&lt;=_辅助!$J$2),INT(发票登记!$X$752)*10000+748,"")</f>
      </c>
      <c r="BG749" s="2">
        <f>IF(AND($AF$3&gt;0,资金流水!$H$753=$C$3,ISNUMBER(资金流水!$B$753),ISNUMBER(资金流水!$S$753),资金流水!$S$753&gt;=_辅助!$J$4,资金流水!$S$753&lt;=_辅助!$J$2),INT(资金流水!$B$753)*10000+748,"")</f>
      </c>
    </row>
    <row r="750">
      <c r="BF750" s="2">
        <f>IF(AND($AF$3&gt;0,发票登记!$T$753=$C$3,ISNUMBER(发票登记!$X$753),发票登记!$AB$753&lt;&gt;0,发票登记!$Y$753&gt;=_辅助!$J$4,发票登记!$Y$753&lt;=_辅助!$J$2),INT(发票登记!$X$753)*10000+749,"")</f>
      </c>
      <c r="BG750" s="2">
        <f>IF(AND($AF$3&gt;0,资金流水!$H$754=$C$3,ISNUMBER(资金流水!$B$754),ISNUMBER(资金流水!$S$754),资金流水!$S$754&gt;=_辅助!$J$4,资金流水!$S$754&lt;=_辅助!$J$2),INT(资金流水!$B$754)*10000+749,"")</f>
      </c>
    </row>
    <row r="751">
      <c r="BF751" s="2">
        <f>IF(AND($AF$3&gt;0,发票登记!$T$754=$C$3,ISNUMBER(发票登记!$X$754),发票登记!$AB$754&lt;&gt;0,发票登记!$Y$754&gt;=_辅助!$J$4,发票登记!$Y$754&lt;=_辅助!$J$2),INT(发票登记!$X$754)*10000+750,"")</f>
      </c>
      <c r="BG751" s="2">
        <f>IF(AND($AF$3&gt;0,资金流水!$H$755=$C$3,ISNUMBER(资金流水!$B$755),ISNUMBER(资金流水!$S$755),资金流水!$S$755&gt;=_辅助!$J$4,资金流水!$S$755&lt;=_辅助!$J$2),INT(资金流水!$B$755)*10000+750,"")</f>
      </c>
    </row>
    <row r="752">
      <c r="BF752" s="2">
        <f>IF(AND($AF$3&gt;0,发票登记!$T$755=$C$3,ISNUMBER(发票登记!$X$755),发票登记!$AB$755&lt;&gt;0,发票登记!$Y$755&gt;=_辅助!$J$4,发票登记!$Y$755&lt;=_辅助!$J$2),INT(发票登记!$X$755)*10000+751,"")</f>
      </c>
      <c r="BG752" s="2">
        <f>IF(AND($AF$3&gt;0,资金流水!$H$756=$C$3,ISNUMBER(资金流水!$B$756),ISNUMBER(资金流水!$S$756),资金流水!$S$756&gt;=_辅助!$J$4,资金流水!$S$756&lt;=_辅助!$J$2),INT(资金流水!$B$756)*10000+751,"")</f>
      </c>
    </row>
    <row r="753">
      <c r="BF753" s="2">
        <f>IF(AND($AF$3&gt;0,发票登记!$T$756=$C$3,ISNUMBER(发票登记!$X$756),发票登记!$AB$756&lt;&gt;0,发票登记!$Y$756&gt;=_辅助!$J$4,发票登记!$Y$756&lt;=_辅助!$J$2),INT(发票登记!$X$756)*10000+752,"")</f>
      </c>
      <c r="BG753" s="2">
        <f>IF(AND($AF$3&gt;0,资金流水!$H$757=$C$3,ISNUMBER(资金流水!$B$757),ISNUMBER(资金流水!$S$757),资金流水!$S$757&gt;=_辅助!$J$4,资金流水!$S$757&lt;=_辅助!$J$2),INT(资金流水!$B$757)*10000+752,"")</f>
      </c>
    </row>
    <row r="754">
      <c r="BF754" s="2">
        <f>IF(AND($AF$3&gt;0,发票登记!$T$757=$C$3,ISNUMBER(发票登记!$X$757),发票登记!$AB$757&lt;&gt;0,发票登记!$Y$757&gt;=_辅助!$J$4,发票登记!$Y$757&lt;=_辅助!$J$2),INT(发票登记!$X$757)*10000+753,"")</f>
      </c>
      <c r="BG754" s="2">
        <f>IF(AND($AF$3&gt;0,资金流水!$H$758=$C$3,ISNUMBER(资金流水!$B$758),ISNUMBER(资金流水!$S$758),资金流水!$S$758&gt;=_辅助!$J$4,资金流水!$S$758&lt;=_辅助!$J$2),INT(资金流水!$B$758)*10000+753,"")</f>
      </c>
    </row>
    <row r="755">
      <c r="BF755" s="2">
        <f>IF(AND($AF$3&gt;0,发票登记!$T$758=$C$3,ISNUMBER(发票登记!$X$758),发票登记!$AB$758&lt;&gt;0,发票登记!$Y$758&gt;=_辅助!$J$4,发票登记!$Y$758&lt;=_辅助!$J$2),INT(发票登记!$X$758)*10000+754,"")</f>
      </c>
      <c r="BG755" s="2">
        <f>IF(AND($AF$3&gt;0,资金流水!$H$759=$C$3,ISNUMBER(资金流水!$B$759),ISNUMBER(资金流水!$S$759),资金流水!$S$759&gt;=_辅助!$J$4,资金流水!$S$759&lt;=_辅助!$J$2),INT(资金流水!$B$759)*10000+754,"")</f>
      </c>
    </row>
    <row r="756">
      <c r="BF756" s="2">
        <f>IF(AND($AF$3&gt;0,发票登记!$T$759=$C$3,ISNUMBER(发票登记!$X$759),发票登记!$AB$759&lt;&gt;0,发票登记!$Y$759&gt;=_辅助!$J$4,发票登记!$Y$759&lt;=_辅助!$J$2),INT(发票登记!$X$759)*10000+755,"")</f>
      </c>
      <c r="BG756" s="2">
        <f>IF(AND($AF$3&gt;0,资金流水!$H$760=$C$3,ISNUMBER(资金流水!$B$760),ISNUMBER(资金流水!$S$760),资金流水!$S$760&gt;=_辅助!$J$4,资金流水!$S$760&lt;=_辅助!$J$2),INT(资金流水!$B$760)*10000+755,"")</f>
      </c>
    </row>
    <row r="757">
      <c r="BF757" s="2">
        <f>IF(AND($AF$3&gt;0,发票登记!$T$760=$C$3,ISNUMBER(发票登记!$X$760),发票登记!$AB$760&lt;&gt;0,发票登记!$Y$760&gt;=_辅助!$J$4,发票登记!$Y$760&lt;=_辅助!$J$2),INT(发票登记!$X$760)*10000+756,"")</f>
      </c>
      <c r="BG757" s="2">
        <f>IF(AND($AF$3&gt;0,资金流水!$H$761=$C$3,ISNUMBER(资金流水!$B$761),ISNUMBER(资金流水!$S$761),资金流水!$S$761&gt;=_辅助!$J$4,资金流水!$S$761&lt;=_辅助!$J$2),INT(资金流水!$B$761)*10000+756,"")</f>
      </c>
    </row>
    <row r="758">
      <c r="BF758" s="2">
        <f>IF(AND($AF$3&gt;0,发票登记!$T$761=$C$3,ISNUMBER(发票登记!$X$761),发票登记!$AB$761&lt;&gt;0,发票登记!$Y$761&gt;=_辅助!$J$4,发票登记!$Y$761&lt;=_辅助!$J$2),INT(发票登记!$X$761)*10000+757,"")</f>
      </c>
      <c r="BG758" s="2">
        <f>IF(AND($AF$3&gt;0,资金流水!$H$762=$C$3,ISNUMBER(资金流水!$B$762),ISNUMBER(资金流水!$S$762),资金流水!$S$762&gt;=_辅助!$J$4,资金流水!$S$762&lt;=_辅助!$J$2),INT(资金流水!$B$762)*10000+757,"")</f>
      </c>
    </row>
    <row r="759">
      <c r="BF759" s="2">
        <f>IF(AND($AF$3&gt;0,发票登记!$T$762=$C$3,ISNUMBER(发票登记!$X$762),发票登记!$AB$762&lt;&gt;0,发票登记!$Y$762&gt;=_辅助!$J$4,发票登记!$Y$762&lt;=_辅助!$J$2),INT(发票登记!$X$762)*10000+758,"")</f>
      </c>
      <c r="BG759" s="2">
        <f>IF(AND($AF$3&gt;0,资金流水!$H$763=$C$3,ISNUMBER(资金流水!$B$763),ISNUMBER(资金流水!$S$763),资金流水!$S$763&gt;=_辅助!$J$4,资金流水!$S$763&lt;=_辅助!$J$2),INT(资金流水!$B$763)*10000+758,"")</f>
      </c>
    </row>
    <row r="760">
      <c r="BF760" s="2">
        <f>IF(AND($AF$3&gt;0,发票登记!$T$763=$C$3,ISNUMBER(发票登记!$X$763),发票登记!$AB$763&lt;&gt;0,发票登记!$Y$763&gt;=_辅助!$J$4,发票登记!$Y$763&lt;=_辅助!$J$2),INT(发票登记!$X$763)*10000+759,"")</f>
      </c>
      <c r="BG760" s="2">
        <f>IF(AND($AF$3&gt;0,资金流水!$H$764=$C$3,ISNUMBER(资金流水!$B$764),ISNUMBER(资金流水!$S$764),资金流水!$S$764&gt;=_辅助!$J$4,资金流水!$S$764&lt;=_辅助!$J$2),INT(资金流水!$B$764)*10000+759,"")</f>
      </c>
    </row>
    <row r="761">
      <c r="BF761" s="2">
        <f>IF(AND($AF$3&gt;0,发票登记!$T$764=$C$3,ISNUMBER(发票登记!$X$764),发票登记!$AB$764&lt;&gt;0,发票登记!$Y$764&gt;=_辅助!$J$4,发票登记!$Y$764&lt;=_辅助!$J$2),INT(发票登记!$X$764)*10000+760,"")</f>
      </c>
      <c r="BG761" s="2">
        <f>IF(AND($AF$3&gt;0,资金流水!$H$765=$C$3,ISNUMBER(资金流水!$B$765),ISNUMBER(资金流水!$S$765),资金流水!$S$765&gt;=_辅助!$J$4,资金流水!$S$765&lt;=_辅助!$J$2),INT(资金流水!$B$765)*10000+760,"")</f>
      </c>
    </row>
    <row r="762">
      <c r="BF762" s="2">
        <f>IF(AND($AF$3&gt;0,发票登记!$T$765=$C$3,ISNUMBER(发票登记!$X$765),发票登记!$AB$765&lt;&gt;0,发票登记!$Y$765&gt;=_辅助!$J$4,发票登记!$Y$765&lt;=_辅助!$J$2),INT(发票登记!$X$765)*10000+761,"")</f>
      </c>
      <c r="BG762" s="2">
        <f>IF(AND($AF$3&gt;0,资金流水!$H$766=$C$3,ISNUMBER(资金流水!$B$766),ISNUMBER(资金流水!$S$766),资金流水!$S$766&gt;=_辅助!$J$4,资金流水!$S$766&lt;=_辅助!$J$2),INT(资金流水!$B$766)*10000+761,"")</f>
      </c>
    </row>
    <row r="763">
      <c r="BF763" s="2">
        <f>IF(AND($AF$3&gt;0,发票登记!$T$766=$C$3,ISNUMBER(发票登记!$X$766),发票登记!$AB$766&lt;&gt;0,发票登记!$Y$766&gt;=_辅助!$J$4,发票登记!$Y$766&lt;=_辅助!$J$2),INT(发票登记!$X$766)*10000+762,"")</f>
      </c>
      <c r="BG763" s="2">
        <f>IF(AND($AF$3&gt;0,资金流水!$H$767=$C$3,ISNUMBER(资金流水!$B$767),ISNUMBER(资金流水!$S$767),资金流水!$S$767&gt;=_辅助!$J$4,资金流水!$S$767&lt;=_辅助!$J$2),INT(资金流水!$B$767)*10000+762,"")</f>
      </c>
    </row>
    <row r="764">
      <c r="BF764" s="2">
        <f>IF(AND($AF$3&gt;0,发票登记!$T$767=$C$3,ISNUMBER(发票登记!$X$767),发票登记!$AB$767&lt;&gt;0,发票登记!$Y$767&gt;=_辅助!$J$4,发票登记!$Y$767&lt;=_辅助!$J$2),INT(发票登记!$X$767)*10000+763,"")</f>
      </c>
      <c r="BG764" s="2">
        <f>IF(AND($AF$3&gt;0,资金流水!$H$768=$C$3,ISNUMBER(资金流水!$B$768),ISNUMBER(资金流水!$S$768),资金流水!$S$768&gt;=_辅助!$J$4,资金流水!$S$768&lt;=_辅助!$J$2),INT(资金流水!$B$768)*10000+763,"")</f>
      </c>
    </row>
    <row r="765">
      <c r="BF765" s="2">
        <f>IF(AND($AF$3&gt;0,发票登记!$T$768=$C$3,ISNUMBER(发票登记!$X$768),发票登记!$AB$768&lt;&gt;0,发票登记!$Y$768&gt;=_辅助!$J$4,发票登记!$Y$768&lt;=_辅助!$J$2),INT(发票登记!$X$768)*10000+764,"")</f>
      </c>
      <c r="BG765" s="2">
        <f>IF(AND($AF$3&gt;0,资金流水!$H$769=$C$3,ISNUMBER(资金流水!$B$769),ISNUMBER(资金流水!$S$769),资金流水!$S$769&gt;=_辅助!$J$4,资金流水!$S$769&lt;=_辅助!$J$2),INT(资金流水!$B$769)*10000+764,"")</f>
      </c>
    </row>
    <row r="766">
      <c r="BF766" s="2">
        <f>IF(AND($AF$3&gt;0,发票登记!$T$769=$C$3,ISNUMBER(发票登记!$X$769),发票登记!$AB$769&lt;&gt;0,发票登记!$Y$769&gt;=_辅助!$J$4,发票登记!$Y$769&lt;=_辅助!$J$2),INT(发票登记!$X$769)*10000+765,"")</f>
      </c>
      <c r="BG766" s="2">
        <f>IF(AND($AF$3&gt;0,资金流水!$H$770=$C$3,ISNUMBER(资金流水!$B$770),ISNUMBER(资金流水!$S$770),资金流水!$S$770&gt;=_辅助!$J$4,资金流水!$S$770&lt;=_辅助!$J$2),INT(资金流水!$B$770)*10000+765,"")</f>
      </c>
    </row>
    <row r="767">
      <c r="BF767" s="2">
        <f>IF(AND($AF$3&gt;0,发票登记!$T$770=$C$3,ISNUMBER(发票登记!$X$770),发票登记!$AB$770&lt;&gt;0,发票登记!$Y$770&gt;=_辅助!$J$4,发票登记!$Y$770&lt;=_辅助!$J$2),INT(发票登记!$X$770)*10000+766,"")</f>
      </c>
      <c r="BG767" s="2">
        <f>IF(AND($AF$3&gt;0,资金流水!$H$771=$C$3,ISNUMBER(资金流水!$B$771),ISNUMBER(资金流水!$S$771),资金流水!$S$771&gt;=_辅助!$J$4,资金流水!$S$771&lt;=_辅助!$J$2),INT(资金流水!$B$771)*10000+766,"")</f>
      </c>
    </row>
    <row r="768">
      <c r="BF768" s="2">
        <f>IF(AND($AF$3&gt;0,发票登记!$T$771=$C$3,ISNUMBER(发票登记!$X$771),发票登记!$AB$771&lt;&gt;0,发票登记!$Y$771&gt;=_辅助!$J$4,发票登记!$Y$771&lt;=_辅助!$J$2),INT(发票登记!$X$771)*10000+767,"")</f>
      </c>
      <c r="BG768" s="2">
        <f>IF(AND($AF$3&gt;0,资金流水!$H$772=$C$3,ISNUMBER(资金流水!$B$772),ISNUMBER(资金流水!$S$772),资金流水!$S$772&gt;=_辅助!$J$4,资金流水!$S$772&lt;=_辅助!$J$2),INT(资金流水!$B$772)*10000+767,"")</f>
      </c>
    </row>
    <row r="769">
      <c r="BF769" s="2">
        <f>IF(AND($AF$3&gt;0,发票登记!$T$772=$C$3,ISNUMBER(发票登记!$X$772),发票登记!$AB$772&lt;&gt;0,发票登记!$Y$772&gt;=_辅助!$J$4,发票登记!$Y$772&lt;=_辅助!$J$2),INT(发票登记!$X$772)*10000+768,"")</f>
      </c>
      <c r="BG769" s="2">
        <f>IF(AND($AF$3&gt;0,资金流水!$H$773=$C$3,ISNUMBER(资金流水!$B$773),ISNUMBER(资金流水!$S$773),资金流水!$S$773&gt;=_辅助!$J$4,资金流水!$S$773&lt;=_辅助!$J$2),INT(资金流水!$B$773)*10000+768,"")</f>
      </c>
    </row>
    <row r="770">
      <c r="BF770" s="2">
        <f>IF(AND($AF$3&gt;0,发票登记!$T$773=$C$3,ISNUMBER(发票登记!$X$773),发票登记!$AB$773&lt;&gt;0,发票登记!$Y$773&gt;=_辅助!$J$4,发票登记!$Y$773&lt;=_辅助!$J$2),INT(发票登记!$X$773)*10000+769,"")</f>
      </c>
      <c r="BG770" s="2">
        <f>IF(AND($AF$3&gt;0,资金流水!$H$774=$C$3,ISNUMBER(资金流水!$B$774),ISNUMBER(资金流水!$S$774),资金流水!$S$774&gt;=_辅助!$J$4,资金流水!$S$774&lt;=_辅助!$J$2),INT(资金流水!$B$774)*10000+769,"")</f>
      </c>
    </row>
    <row r="771">
      <c r="BF771" s="2">
        <f>IF(AND($AF$3&gt;0,发票登记!$T$774=$C$3,ISNUMBER(发票登记!$X$774),发票登记!$AB$774&lt;&gt;0,发票登记!$Y$774&gt;=_辅助!$J$4,发票登记!$Y$774&lt;=_辅助!$J$2),INT(发票登记!$X$774)*10000+770,"")</f>
      </c>
      <c r="BG771" s="2">
        <f>IF(AND($AF$3&gt;0,资金流水!$H$775=$C$3,ISNUMBER(资金流水!$B$775),ISNUMBER(资金流水!$S$775),资金流水!$S$775&gt;=_辅助!$J$4,资金流水!$S$775&lt;=_辅助!$J$2),INT(资金流水!$B$775)*10000+770,"")</f>
      </c>
    </row>
    <row r="772">
      <c r="BF772" s="2">
        <f>IF(AND($AF$3&gt;0,发票登记!$T$775=$C$3,ISNUMBER(发票登记!$X$775),发票登记!$AB$775&lt;&gt;0,发票登记!$Y$775&gt;=_辅助!$J$4,发票登记!$Y$775&lt;=_辅助!$J$2),INT(发票登记!$X$775)*10000+771,"")</f>
      </c>
      <c r="BG772" s="2">
        <f>IF(AND($AF$3&gt;0,资金流水!$H$776=$C$3,ISNUMBER(资金流水!$B$776),ISNUMBER(资金流水!$S$776),资金流水!$S$776&gt;=_辅助!$J$4,资金流水!$S$776&lt;=_辅助!$J$2),INT(资金流水!$B$776)*10000+771,"")</f>
      </c>
    </row>
    <row r="773">
      <c r="BF773" s="2">
        <f>IF(AND($AF$3&gt;0,发票登记!$T$776=$C$3,ISNUMBER(发票登记!$X$776),发票登记!$AB$776&lt;&gt;0,发票登记!$Y$776&gt;=_辅助!$J$4,发票登记!$Y$776&lt;=_辅助!$J$2),INT(发票登记!$X$776)*10000+772,"")</f>
      </c>
      <c r="BG773" s="2">
        <f>IF(AND($AF$3&gt;0,资金流水!$H$777=$C$3,ISNUMBER(资金流水!$B$777),ISNUMBER(资金流水!$S$777),资金流水!$S$777&gt;=_辅助!$J$4,资金流水!$S$777&lt;=_辅助!$J$2),INT(资金流水!$B$777)*10000+772,"")</f>
      </c>
    </row>
    <row r="774">
      <c r="BF774" s="2">
        <f>IF(AND($AF$3&gt;0,发票登记!$T$777=$C$3,ISNUMBER(发票登记!$X$777),发票登记!$AB$777&lt;&gt;0,发票登记!$Y$777&gt;=_辅助!$J$4,发票登记!$Y$777&lt;=_辅助!$J$2),INT(发票登记!$X$777)*10000+773,"")</f>
      </c>
      <c r="BG774" s="2">
        <f>IF(AND($AF$3&gt;0,资金流水!$H$778=$C$3,ISNUMBER(资金流水!$B$778),ISNUMBER(资金流水!$S$778),资金流水!$S$778&gt;=_辅助!$J$4,资金流水!$S$778&lt;=_辅助!$J$2),INT(资金流水!$B$778)*10000+773,"")</f>
      </c>
    </row>
    <row r="775">
      <c r="BF775" s="2">
        <f>IF(AND($AF$3&gt;0,发票登记!$T$778=$C$3,ISNUMBER(发票登记!$X$778),发票登记!$AB$778&lt;&gt;0,发票登记!$Y$778&gt;=_辅助!$J$4,发票登记!$Y$778&lt;=_辅助!$J$2),INT(发票登记!$X$778)*10000+774,"")</f>
      </c>
      <c r="BG775" s="2">
        <f>IF(AND($AF$3&gt;0,资金流水!$H$779=$C$3,ISNUMBER(资金流水!$B$779),ISNUMBER(资金流水!$S$779),资金流水!$S$779&gt;=_辅助!$J$4,资金流水!$S$779&lt;=_辅助!$J$2),INT(资金流水!$B$779)*10000+774,"")</f>
      </c>
    </row>
    <row r="776">
      <c r="BF776" s="2">
        <f>IF(AND($AF$3&gt;0,发票登记!$T$779=$C$3,ISNUMBER(发票登记!$X$779),发票登记!$AB$779&lt;&gt;0,发票登记!$Y$779&gt;=_辅助!$J$4,发票登记!$Y$779&lt;=_辅助!$J$2),INT(发票登记!$X$779)*10000+775,"")</f>
      </c>
      <c r="BG776" s="2">
        <f>IF(AND($AF$3&gt;0,资金流水!$H$780=$C$3,ISNUMBER(资金流水!$B$780),ISNUMBER(资金流水!$S$780),资金流水!$S$780&gt;=_辅助!$J$4,资金流水!$S$780&lt;=_辅助!$J$2),INT(资金流水!$B$780)*10000+775,"")</f>
      </c>
    </row>
    <row r="777">
      <c r="BF777" s="2">
        <f>IF(AND($AF$3&gt;0,发票登记!$T$780=$C$3,ISNUMBER(发票登记!$X$780),发票登记!$AB$780&lt;&gt;0,发票登记!$Y$780&gt;=_辅助!$J$4,发票登记!$Y$780&lt;=_辅助!$J$2),INT(发票登记!$X$780)*10000+776,"")</f>
      </c>
      <c r="BG777" s="2">
        <f>IF(AND($AF$3&gt;0,资金流水!$H$781=$C$3,ISNUMBER(资金流水!$B$781),ISNUMBER(资金流水!$S$781),资金流水!$S$781&gt;=_辅助!$J$4,资金流水!$S$781&lt;=_辅助!$J$2),INT(资金流水!$B$781)*10000+776,"")</f>
      </c>
    </row>
    <row r="778">
      <c r="BF778" s="2">
        <f>IF(AND($AF$3&gt;0,发票登记!$T$781=$C$3,ISNUMBER(发票登记!$X$781),发票登记!$AB$781&lt;&gt;0,发票登记!$Y$781&gt;=_辅助!$J$4,发票登记!$Y$781&lt;=_辅助!$J$2),INT(发票登记!$X$781)*10000+777,"")</f>
      </c>
      <c r="BG778" s="2">
        <f>IF(AND($AF$3&gt;0,资金流水!$H$782=$C$3,ISNUMBER(资金流水!$B$782),ISNUMBER(资金流水!$S$782),资金流水!$S$782&gt;=_辅助!$J$4,资金流水!$S$782&lt;=_辅助!$J$2),INT(资金流水!$B$782)*10000+777,"")</f>
      </c>
    </row>
    <row r="779">
      <c r="BF779" s="2">
        <f>IF(AND($AF$3&gt;0,发票登记!$T$782=$C$3,ISNUMBER(发票登记!$X$782),发票登记!$AB$782&lt;&gt;0,发票登记!$Y$782&gt;=_辅助!$J$4,发票登记!$Y$782&lt;=_辅助!$J$2),INT(发票登记!$X$782)*10000+778,"")</f>
      </c>
      <c r="BG779" s="2">
        <f>IF(AND($AF$3&gt;0,资金流水!$H$783=$C$3,ISNUMBER(资金流水!$B$783),ISNUMBER(资金流水!$S$783),资金流水!$S$783&gt;=_辅助!$J$4,资金流水!$S$783&lt;=_辅助!$J$2),INT(资金流水!$B$783)*10000+778,"")</f>
      </c>
    </row>
    <row r="780">
      <c r="BF780" s="2">
        <f>IF(AND($AF$3&gt;0,发票登记!$T$783=$C$3,ISNUMBER(发票登记!$X$783),发票登记!$AB$783&lt;&gt;0,发票登记!$Y$783&gt;=_辅助!$J$4,发票登记!$Y$783&lt;=_辅助!$J$2),INT(发票登记!$X$783)*10000+779,"")</f>
      </c>
      <c r="BG780" s="2">
        <f>IF(AND($AF$3&gt;0,资金流水!$H$784=$C$3,ISNUMBER(资金流水!$B$784),ISNUMBER(资金流水!$S$784),资金流水!$S$784&gt;=_辅助!$J$4,资金流水!$S$784&lt;=_辅助!$J$2),INT(资金流水!$B$784)*10000+779,"")</f>
      </c>
    </row>
    <row r="781">
      <c r="BF781" s="2">
        <f>IF(AND($AF$3&gt;0,发票登记!$T$784=$C$3,ISNUMBER(发票登记!$X$784),发票登记!$AB$784&lt;&gt;0,发票登记!$Y$784&gt;=_辅助!$J$4,发票登记!$Y$784&lt;=_辅助!$J$2),INT(发票登记!$X$784)*10000+780,"")</f>
      </c>
      <c r="BG781" s="2">
        <f>IF(AND($AF$3&gt;0,资金流水!$H$785=$C$3,ISNUMBER(资金流水!$B$785),ISNUMBER(资金流水!$S$785),资金流水!$S$785&gt;=_辅助!$J$4,资金流水!$S$785&lt;=_辅助!$J$2),INT(资金流水!$B$785)*10000+780,"")</f>
      </c>
    </row>
    <row r="782">
      <c r="BF782" s="2">
        <f>IF(AND($AF$3&gt;0,发票登记!$T$785=$C$3,ISNUMBER(发票登记!$X$785),发票登记!$AB$785&lt;&gt;0,发票登记!$Y$785&gt;=_辅助!$J$4,发票登记!$Y$785&lt;=_辅助!$J$2),INT(发票登记!$X$785)*10000+781,"")</f>
      </c>
      <c r="BG782" s="2">
        <f>IF(AND($AF$3&gt;0,资金流水!$H$786=$C$3,ISNUMBER(资金流水!$B$786),ISNUMBER(资金流水!$S$786),资金流水!$S$786&gt;=_辅助!$J$4,资金流水!$S$786&lt;=_辅助!$J$2),INT(资金流水!$B$786)*10000+781,"")</f>
      </c>
    </row>
    <row r="783">
      <c r="BF783" s="2">
        <f>IF(AND($AF$3&gt;0,发票登记!$T$786=$C$3,ISNUMBER(发票登记!$X$786),发票登记!$AB$786&lt;&gt;0,发票登记!$Y$786&gt;=_辅助!$J$4,发票登记!$Y$786&lt;=_辅助!$J$2),INT(发票登记!$X$786)*10000+782,"")</f>
      </c>
      <c r="BG783" s="2">
        <f>IF(AND($AF$3&gt;0,资金流水!$H$787=$C$3,ISNUMBER(资金流水!$B$787),ISNUMBER(资金流水!$S$787),资金流水!$S$787&gt;=_辅助!$J$4,资金流水!$S$787&lt;=_辅助!$J$2),INT(资金流水!$B$787)*10000+782,"")</f>
      </c>
    </row>
    <row r="784">
      <c r="BF784" s="2">
        <f>IF(AND($AF$3&gt;0,发票登记!$T$787=$C$3,ISNUMBER(发票登记!$X$787),发票登记!$AB$787&lt;&gt;0,发票登记!$Y$787&gt;=_辅助!$J$4,发票登记!$Y$787&lt;=_辅助!$J$2),INT(发票登记!$X$787)*10000+783,"")</f>
      </c>
      <c r="BG784" s="2">
        <f>IF(AND($AF$3&gt;0,资金流水!$H$788=$C$3,ISNUMBER(资金流水!$B$788),ISNUMBER(资金流水!$S$788),资金流水!$S$788&gt;=_辅助!$J$4,资金流水!$S$788&lt;=_辅助!$J$2),INT(资金流水!$B$788)*10000+783,"")</f>
      </c>
    </row>
    <row r="785">
      <c r="BF785" s="2">
        <f>IF(AND($AF$3&gt;0,发票登记!$T$788=$C$3,ISNUMBER(发票登记!$X$788),发票登记!$AB$788&lt;&gt;0,发票登记!$Y$788&gt;=_辅助!$J$4,发票登记!$Y$788&lt;=_辅助!$J$2),INT(发票登记!$X$788)*10000+784,"")</f>
      </c>
      <c r="BG785" s="2">
        <f>IF(AND($AF$3&gt;0,资金流水!$H$789=$C$3,ISNUMBER(资金流水!$B$789),ISNUMBER(资金流水!$S$789),资金流水!$S$789&gt;=_辅助!$J$4,资金流水!$S$789&lt;=_辅助!$J$2),INT(资金流水!$B$789)*10000+784,"")</f>
      </c>
    </row>
    <row r="786">
      <c r="BF786" s="2">
        <f>IF(AND($AF$3&gt;0,发票登记!$T$789=$C$3,ISNUMBER(发票登记!$X$789),发票登记!$AB$789&lt;&gt;0,发票登记!$Y$789&gt;=_辅助!$J$4,发票登记!$Y$789&lt;=_辅助!$J$2),INT(发票登记!$X$789)*10000+785,"")</f>
      </c>
      <c r="BG786" s="2">
        <f>IF(AND($AF$3&gt;0,资金流水!$H$790=$C$3,ISNUMBER(资金流水!$B$790),ISNUMBER(资金流水!$S$790),资金流水!$S$790&gt;=_辅助!$J$4,资金流水!$S$790&lt;=_辅助!$J$2),INT(资金流水!$B$790)*10000+785,"")</f>
      </c>
    </row>
    <row r="787">
      <c r="BF787" s="2">
        <f>IF(AND($AF$3&gt;0,发票登记!$T$790=$C$3,ISNUMBER(发票登记!$X$790),发票登记!$AB$790&lt;&gt;0,发票登记!$Y$790&gt;=_辅助!$J$4,发票登记!$Y$790&lt;=_辅助!$J$2),INT(发票登记!$X$790)*10000+786,"")</f>
      </c>
      <c r="BG787" s="2">
        <f>IF(AND($AF$3&gt;0,资金流水!$H$791=$C$3,ISNUMBER(资金流水!$B$791),ISNUMBER(资金流水!$S$791),资金流水!$S$791&gt;=_辅助!$J$4,资金流水!$S$791&lt;=_辅助!$J$2),INT(资金流水!$B$791)*10000+786,"")</f>
      </c>
    </row>
    <row r="788">
      <c r="BF788" s="2">
        <f>IF(AND($AF$3&gt;0,发票登记!$T$791=$C$3,ISNUMBER(发票登记!$X$791),发票登记!$AB$791&lt;&gt;0,发票登记!$Y$791&gt;=_辅助!$J$4,发票登记!$Y$791&lt;=_辅助!$J$2),INT(发票登记!$X$791)*10000+787,"")</f>
      </c>
      <c r="BG788" s="2">
        <f>IF(AND($AF$3&gt;0,资金流水!$H$792=$C$3,ISNUMBER(资金流水!$B$792),ISNUMBER(资金流水!$S$792),资金流水!$S$792&gt;=_辅助!$J$4,资金流水!$S$792&lt;=_辅助!$J$2),INT(资金流水!$B$792)*10000+787,"")</f>
      </c>
    </row>
    <row r="789">
      <c r="BF789" s="2">
        <f>IF(AND($AF$3&gt;0,发票登记!$T$792=$C$3,ISNUMBER(发票登记!$X$792),发票登记!$AB$792&lt;&gt;0,发票登记!$Y$792&gt;=_辅助!$J$4,发票登记!$Y$792&lt;=_辅助!$J$2),INT(发票登记!$X$792)*10000+788,"")</f>
      </c>
      <c r="BG789" s="2">
        <f>IF(AND($AF$3&gt;0,资金流水!$H$793=$C$3,ISNUMBER(资金流水!$B$793),ISNUMBER(资金流水!$S$793),资金流水!$S$793&gt;=_辅助!$J$4,资金流水!$S$793&lt;=_辅助!$J$2),INT(资金流水!$B$793)*10000+788,"")</f>
      </c>
    </row>
    <row r="790">
      <c r="BF790" s="2">
        <f>IF(AND($AF$3&gt;0,发票登记!$T$793=$C$3,ISNUMBER(发票登记!$X$793),发票登记!$AB$793&lt;&gt;0,发票登记!$Y$793&gt;=_辅助!$J$4,发票登记!$Y$793&lt;=_辅助!$J$2),INT(发票登记!$X$793)*10000+789,"")</f>
      </c>
      <c r="BG790" s="2">
        <f>IF(AND($AF$3&gt;0,资金流水!$H$794=$C$3,ISNUMBER(资金流水!$B$794),ISNUMBER(资金流水!$S$794),资金流水!$S$794&gt;=_辅助!$J$4,资金流水!$S$794&lt;=_辅助!$J$2),INT(资金流水!$B$794)*10000+789,"")</f>
      </c>
    </row>
    <row r="791">
      <c r="BF791" s="2">
        <f>IF(AND($AF$3&gt;0,发票登记!$T$794=$C$3,ISNUMBER(发票登记!$X$794),发票登记!$AB$794&lt;&gt;0,发票登记!$Y$794&gt;=_辅助!$J$4,发票登记!$Y$794&lt;=_辅助!$J$2),INT(发票登记!$X$794)*10000+790,"")</f>
      </c>
      <c r="BG791" s="2">
        <f>IF(AND($AF$3&gt;0,资金流水!$H$795=$C$3,ISNUMBER(资金流水!$B$795),ISNUMBER(资金流水!$S$795),资金流水!$S$795&gt;=_辅助!$J$4,资金流水!$S$795&lt;=_辅助!$J$2),INT(资金流水!$B$795)*10000+790,"")</f>
      </c>
    </row>
    <row r="792">
      <c r="BF792" s="2">
        <f>IF(AND($AF$3&gt;0,发票登记!$T$795=$C$3,ISNUMBER(发票登记!$X$795),发票登记!$AB$795&lt;&gt;0,发票登记!$Y$795&gt;=_辅助!$J$4,发票登记!$Y$795&lt;=_辅助!$J$2),INT(发票登记!$X$795)*10000+791,"")</f>
      </c>
      <c r="BG792" s="2">
        <f>IF(AND($AF$3&gt;0,资金流水!$H$796=$C$3,ISNUMBER(资金流水!$B$796),ISNUMBER(资金流水!$S$796),资金流水!$S$796&gt;=_辅助!$J$4,资金流水!$S$796&lt;=_辅助!$J$2),INT(资金流水!$B$796)*10000+791,"")</f>
      </c>
    </row>
    <row r="793">
      <c r="BF793" s="2">
        <f>IF(AND($AF$3&gt;0,发票登记!$T$796=$C$3,ISNUMBER(发票登记!$X$796),发票登记!$AB$796&lt;&gt;0,发票登记!$Y$796&gt;=_辅助!$J$4,发票登记!$Y$796&lt;=_辅助!$J$2),INT(发票登记!$X$796)*10000+792,"")</f>
      </c>
      <c r="BG793" s="2">
        <f>IF(AND($AF$3&gt;0,资金流水!$H$797=$C$3,ISNUMBER(资金流水!$B$797),ISNUMBER(资金流水!$S$797),资金流水!$S$797&gt;=_辅助!$J$4,资金流水!$S$797&lt;=_辅助!$J$2),INT(资金流水!$B$797)*10000+792,"")</f>
      </c>
    </row>
    <row r="794">
      <c r="BF794" s="2">
        <f>IF(AND($AF$3&gt;0,发票登记!$T$797=$C$3,ISNUMBER(发票登记!$X$797),发票登记!$AB$797&lt;&gt;0,发票登记!$Y$797&gt;=_辅助!$J$4,发票登记!$Y$797&lt;=_辅助!$J$2),INT(发票登记!$X$797)*10000+793,"")</f>
      </c>
      <c r="BG794" s="2">
        <f>IF(AND($AF$3&gt;0,资金流水!$H$798=$C$3,ISNUMBER(资金流水!$B$798),ISNUMBER(资金流水!$S$798),资金流水!$S$798&gt;=_辅助!$J$4,资金流水!$S$798&lt;=_辅助!$J$2),INT(资金流水!$B$798)*10000+793,"")</f>
      </c>
    </row>
    <row r="795">
      <c r="BF795" s="2">
        <f>IF(AND($AF$3&gt;0,发票登记!$T$798=$C$3,ISNUMBER(发票登记!$X$798),发票登记!$AB$798&lt;&gt;0,发票登记!$Y$798&gt;=_辅助!$J$4,发票登记!$Y$798&lt;=_辅助!$J$2),INT(发票登记!$X$798)*10000+794,"")</f>
      </c>
      <c r="BG795" s="2">
        <f>IF(AND($AF$3&gt;0,资金流水!$H$799=$C$3,ISNUMBER(资金流水!$B$799),ISNUMBER(资金流水!$S$799),资金流水!$S$799&gt;=_辅助!$J$4,资金流水!$S$799&lt;=_辅助!$J$2),INT(资金流水!$B$799)*10000+794,"")</f>
      </c>
    </row>
    <row r="796">
      <c r="BF796" s="2">
        <f>IF(AND($AF$3&gt;0,发票登记!$T$799=$C$3,ISNUMBER(发票登记!$X$799),发票登记!$AB$799&lt;&gt;0,发票登记!$Y$799&gt;=_辅助!$J$4,发票登记!$Y$799&lt;=_辅助!$J$2),INT(发票登记!$X$799)*10000+795,"")</f>
      </c>
      <c r="BG796" s="2">
        <f>IF(AND($AF$3&gt;0,资金流水!$H$800=$C$3,ISNUMBER(资金流水!$B$800),ISNUMBER(资金流水!$S$800),资金流水!$S$800&gt;=_辅助!$J$4,资金流水!$S$800&lt;=_辅助!$J$2),INT(资金流水!$B$800)*10000+795,"")</f>
      </c>
    </row>
    <row r="797">
      <c r="BF797" s="2">
        <f>IF(AND($AF$3&gt;0,发票登记!$T$800=$C$3,ISNUMBER(发票登记!$X$800),发票登记!$AB$800&lt;&gt;0,发票登记!$Y$800&gt;=_辅助!$J$4,发票登记!$Y$800&lt;=_辅助!$J$2),INT(发票登记!$X$800)*10000+796,"")</f>
      </c>
      <c r="BG797" s="2">
        <f>IF(AND($AF$3&gt;0,资金流水!$H$801=$C$3,ISNUMBER(资金流水!$B$801),ISNUMBER(资金流水!$S$801),资金流水!$S$801&gt;=_辅助!$J$4,资金流水!$S$801&lt;=_辅助!$J$2),INT(资金流水!$B$801)*10000+796,"")</f>
      </c>
    </row>
    <row r="798">
      <c r="BF798" s="2">
        <f>IF(AND($AF$3&gt;0,发票登记!$T$801=$C$3,ISNUMBER(发票登记!$X$801),发票登记!$AB$801&lt;&gt;0,发票登记!$Y$801&gt;=_辅助!$J$4,发票登记!$Y$801&lt;=_辅助!$J$2),INT(发票登记!$X$801)*10000+797,"")</f>
      </c>
      <c r="BG798" s="2">
        <f>IF(AND($AF$3&gt;0,资金流水!$H$802=$C$3,ISNUMBER(资金流水!$B$802),ISNUMBER(资金流水!$S$802),资金流水!$S$802&gt;=_辅助!$J$4,资金流水!$S$802&lt;=_辅助!$J$2),INT(资金流水!$B$802)*10000+797,"")</f>
      </c>
    </row>
    <row r="799">
      <c r="BF799" s="2">
        <f>IF(AND($AF$3&gt;0,发票登记!$T$802=$C$3,ISNUMBER(发票登记!$X$802),发票登记!$AB$802&lt;&gt;0,发票登记!$Y$802&gt;=_辅助!$J$4,发票登记!$Y$802&lt;=_辅助!$J$2),INT(发票登记!$X$802)*10000+798,"")</f>
      </c>
      <c r="BG799" s="2">
        <f>IF(AND($AF$3&gt;0,资金流水!$H$803=$C$3,ISNUMBER(资金流水!$B$803),ISNUMBER(资金流水!$S$803),资金流水!$S$803&gt;=_辅助!$J$4,资金流水!$S$803&lt;=_辅助!$J$2),INT(资金流水!$B$803)*10000+798,"")</f>
      </c>
    </row>
    <row r="800">
      <c r="BF800" s="2">
        <f>IF(AND($AF$3&gt;0,发票登记!$T$803=$C$3,ISNUMBER(发票登记!$X$803),发票登记!$AB$803&lt;&gt;0,发票登记!$Y$803&gt;=_辅助!$J$4,发票登记!$Y$803&lt;=_辅助!$J$2),INT(发票登记!$X$803)*10000+799,"")</f>
      </c>
      <c r="BG800" s="2">
        <f>IF(AND($AF$3&gt;0,资金流水!$H$804=$C$3,ISNUMBER(资金流水!$B$804),ISNUMBER(资金流水!$S$804),资金流水!$S$804&gt;=_辅助!$J$4,资金流水!$S$804&lt;=_辅助!$J$2),INT(资金流水!$B$804)*10000+799,"")</f>
      </c>
    </row>
    <row r="801">
      <c r="BF801" s="2">
        <f>IF(AND($AF$3&gt;0,发票登记!$T$804=$C$3,ISNUMBER(发票登记!$X$804),发票登记!$AB$804&lt;&gt;0,发票登记!$Y$804&gt;=_辅助!$J$4,发票登记!$Y$804&lt;=_辅助!$J$2),INT(发票登记!$X$804)*10000+800,"")</f>
      </c>
      <c r="BG801" s="2">
        <f>IF(AND($AF$3&gt;0,资金流水!$H$805=$C$3,ISNUMBER(资金流水!$B$805),ISNUMBER(资金流水!$S$805),资金流水!$S$805&gt;=_辅助!$J$4,资金流水!$S$805&lt;=_辅助!$J$2),INT(资金流水!$B$805)*10000+800,"")</f>
      </c>
    </row>
    <row r="802">
      <c r="BF802" s="2">
        <f>IF(AND($AF$3&gt;0,发票登记!$T$805=$C$3,ISNUMBER(发票登记!$X$805),发票登记!$AB$805&lt;&gt;0,发票登记!$Y$805&gt;=_辅助!$J$4,发票登记!$Y$805&lt;=_辅助!$J$2),INT(发票登记!$X$805)*10000+801,"")</f>
      </c>
      <c r="BG802" s="2">
        <f>IF(AND($AF$3&gt;0,资金流水!$H$806=$C$3,ISNUMBER(资金流水!$B$806),ISNUMBER(资金流水!$S$806),资金流水!$S$806&gt;=_辅助!$J$4,资金流水!$S$806&lt;=_辅助!$J$2),INT(资金流水!$B$806)*10000+801,"")</f>
      </c>
    </row>
    <row r="803">
      <c r="BF803" s="2">
        <f>IF(AND($AF$3&gt;0,发票登记!$T$806=$C$3,ISNUMBER(发票登记!$X$806),发票登记!$AB$806&lt;&gt;0,发票登记!$Y$806&gt;=_辅助!$J$4,发票登记!$Y$806&lt;=_辅助!$J$2),INT(发票登记!$X$806)*10000+802,"")</f>
      </c>
      <c r="BG803" s="2">
        <f>IF(AND($AF$3&gt;0,资金流水!$H$807=$C$3,ISNUMBER(资金流水!$B$807),ISNUMBER(资金流水!$S$807),资金流水!$S$807&gt;=_辅助!$J$4,资金流水!$S$807&lt;=_辅助!$J$2),INT(资金流水!$B$807)*10000+802,"")</f>
      </c>
    </row>
    <row r="804">
      <c r="BF804" s="2">
        <f>IF(AND($AF$3&gt;0,发票登记!$T$807=$C$3,ISNUMBER(发票登记!$X$807),发票登记!$AB$807&lt;&gt;0,发票登记!$Y$807&gt;=_辅助!$J$4,发票登记!$Y$807&lt;=_辅助!$J$2),INT(发票登记!$X$807)*10000+803,"")</f>
      </c>
      <c r="BG804" s="2">
        <f>IF(AND($AF$3&gt;0,资金流水!$H$808=$C$3,ISNUMBER(资金流水!$B$808),ISNUMBER(资金流水!$S$808),资金流水!$S$808&gt;=_辅助!$J$4,资金流水!$S$808&lt;=_辅助!$J$2),INT(资金流水!$B$808)*10000+803,"")</f>
      </c>
    </row>
    <row r="805">
      <c r="BF805" s="2">
        <f>IF(AND($AF$3&gt;0,发票登记!$T$808=$C$3,ISNUMBER(发票登记!$X$808),发票登记!$AB$808&lt;&gt;0,发票登记!$Y$808&gt;=_辅助!$J$4,发票登记!$Y$808&lt;=_辅助!$J$2),INT(发票登记!$X$808)*10000+804,"")</f>
      </c>
      <c r="BG805" s="2">
        <f>IF(AND($AF$3&gt;0,资金流水!$H$809=$C$3,ISNUMBER(资金流水!$B$809),ISNUMBER(资金流水!$S$809),资金流水!$S$809&gt;=_辅助!$J$4,资金流水!$S$809&lt;=_辅助!$J$2),INT(资金流水!$B$809)*10000+804,"")</f>
      </c>
    </row>
    <row r="806">
      <c r="BF806" s="2">
        <f>IF(AND($AF$3&gt;0,发票登记!$T$809=$C$3,ISNUMBER(发票登记!$X$809),发票登记!$AB$809&lt;&gt;0,发票登记!$Y$809&gt;=_辅助!$J$4,发票登记!$Y$809&lt;=_辅助!$J$2),INT(发票登记!$X$809)*10000+805,"")</f>
      </c>
      <c r="BG806" s="2">
        <f>IF(AND($AF$3&gt;0,资金流水!$H$810=$C$3,ISNUMBER(资金流水!$B$810),ISNUMBER(资金流水!$S$810),资金流水!$S$810&gt;=_辅助!$J$4,资金流水!$S$810&lt;=_辅助!$J$2),INT(资金流水!$B$810)*10000+805,"")</f>
      </c>
    </row>
    <row r="807">
      <c r="BF807" s="2">
        <f>IF(AND($AF$3&gt;0,发票登记!$T$810=$C$3,ISNUMBER(发票登记!$X$810),发票登记!$AB$810&lt;&gt;0,发票登记!$Y$810&gt;=_辅助!$J$4,发票登记!$Y$810&lt;=_辅助!$J$2),INT(发票登记!$X$810)*10000+806,"")</f>
      </c>
      <c r="BG807" s="2">
        <f>IF(AND($AF$3&gt;0,资金流水!$H$811=$C$3,ISNUMBER(资金流水!$B$811),ISNUMBER(资金流水!$S$811),资金流水!$S$811&gt;=_辅助!$J$4,资金流水!$S$811&lt;=_辅助!$J$2),INT(资金流水!$B$811)*10000+806,"")</f>
      </c>
    </row>
    <row r="808">
      <c r="BF808" s="2">
        <f>IF(AND($AF$3&gt;0,发票登记!$T$811=$C$3,ISNUMBER(发票登记!$X$811),发票登记!$AB$811&lt;&gt;0,发票登记!$Y$811&gt;=_辅助!$J$4,发票登记!$Y$811&lt;=_辅助!$J$2),INT(发票登记!$X$811)*10000+807,"")</f>
      </c>
      <c r="BG808" s="2">
        <f>IF(AND($AF$3&gt;0,资金流水!$H$812=$C$3,ISNUMBER(资金流水!$B$812),ISNUMBER(资金流水!$S$812),资金流水!$S$812&gt;=_辅助!$J$4,资金流水!$S$812&lt;=_辅助!$J$2),INT(资金流水!$B$812)*10000+807,"")</f>
      </c>
    </row>
    <row r="809">
      <c r="BF809" s="2">
        <f>IF(AND($AF$3&gt;0,发票登记!$T$812=$C$3,ISNUMBER(发票登记!$X$812),发票登记!$AB$812&lt;&gt;0,发票登记!$Y$812&gt;=_辅助!$J$4,发票登记!$Y$812&lt;=_辅助!$J$2),INT(发票登记!$X$812)*10000+808,"")</f>
      </c>
      <c r="BG809" s="2">
        <f>IF(AND($AF$3&gt;0,资金流水!$H$813=$C$3,ISNUMBER(资金流水!$B$813),ISNUMBER(资金流水!$S$813),资金流水!$S$813&gt;=_辅助!$J$4,资金流水!$S$813&lt;=_辅助!$J$2),INT(资金流水!$B$813)*10000+808,"")</f>
      </c>
    </row>
    <row r="810">
      <c r="BF810" s="2">
        <f>IF(AND($AF$3&gt;0,发票登记!$T$813=$C$3,ISNUMBER(发票登记!$X$813),发票登记!$AB$813&lt;&gt;0,发票登记!$Y$813&gt;=_辅助!$J$4,发票登记!$Y$813&lt;=_辅助!$J$2),INT(发票登记!$X$813)*10000+809,"")</f>
      </c>
      <c r="BG810" s="2">
        <f>IF(AND($AF$3&gt;0,资金流水!$H$814=$C$3,ISNUMBER(资金流水!$B$814),ISNUMBER(资金流水!$S$814),资金流水!$S$814&gt;=_辅助!$J$4,资金流水!$S$814&lt;=_辅助!$J$2),INT(资金流水!$B$814)*10000+809,"")</f>
      </c>
    </row>
    <row r="811">
      <c r="BF811" s="2">
        <f>IF(AND($AF$3&gt;0,发票登记!$T$814=$C$3,ISNUMBER(发票登记!$X$814),发票登记!$AB$814&lt;&gt;0,发票登记!$Y$814&gt;=_辅助!$J$4,发票登记!$Y$814&lt;=_辅助!$J$2),INT(发票登记!$X$814)*10000+810,"")</f>
      </c>
      <c r="BG811" s="2">
        <f>IF(AND($AF$3&gt;0,资金流水!$H$815=$C$3,ISNUMBER(资金流水!$B$815),ISNUMBER(资金流水!$S$815),资金流水!$S$815&gt;=_辅助!$J$4,资金流水!$S$815&lt;=_辅助!$J$2),INT(资金流水!$B$815)*10000+810,"")</f>
      </c>
    </row>
    <row r="812">
      <c r="BF812" s="2">
        <f>IF(AND($AF$3&gt;0,发票登记!$T$815=$C$3,ISNUMBER(发票登记!$X$815),发票登记!$AB$815&lt;&gt;0,发票登记!$Y$815&gt;=_辅助!$J$4,发票登记!$Y$815&lt;=_辅助!$J$2),INT(发票登记!$X$815)*10000+811,"")</f>
      </c>
      <c r="BG812" s="2">
        <f>IF(AND($AF$3&gt;0,资金流水!$H$816=$C$3,ISNUMBER(资金流水!$B$816),ISNUMBER(资金流水!$S$816),资金流水!$S$816&gt;=_辅助!$J$4,资金流水!$S$816&lt;=_辅助!$J$2),INT(资金流水!$B$816)*10000+811,"")</f>
      </c>
    </row>
    <row r="813">
      <c r="BF813" s="2">
        <f>IF(AND($AF$3&gt;0,发票登记!$T$816=$C$3,ISNUMBER(发票登记!$X$816),发票登记!$AB$816&lt;&gt;0,发票登记!$Y$816&gt;=_辅助!$J$4,发票登记!$Y$816&lt;=_辅助!$J$2),INT(发票登记!$X$816)*10000+812,"")</f>
      </c>
      <c r="BG813" s="2">
        <f>IF(AND($AF$3&gt;0,资金流水!$H$817=$C$3,ISNUMBER(资金流水!$B$817),ISNUMBER(资金流水!$S$817),资金流水!$S$817&gt;=_辅助!$J$4,资金流水!$S$817&lt;=_辅助!$J$2),INT(资金流水!$B$817)*10000+812,"")</f>
      </c>
    </row>
    <row r="814">
      <c r="BF814" s="2">
        <f>IF(AND($AF$3&gt;0,发票登记!$T$817=$C$3,ISNUMBER(发票登记!$X$817),发票登记!$AB$817&lt;&gt;0,发票登记!$Y$817&gt;=_辅助!$J$4,发票登记!$Y$817&lt;=_辅助!$J$2),INT(发票登记!$X$817)*10000+813,"")</f>
      </c>
      <c r="BG814" s="2">
        <f>IF(AND($AF$3&gt;0,资金流水!$H$818=$C$3,ISNUMBER(资金流水!$B$818),ISNUMBER(资金流水!$S$818),资金流水!$S$818&gt;=_辅助!$J$4,资金流水!$S$818&lt;=_辅助!$J$2),INT(资金流水!$B$818)*10000+813,"")</f>
      </c>
    </row>
    <row r="815">
      <c r="BF815" s="2">
        <f>IF(AND($AF$3&gt;0,发票登记!$T$818=$C$3,ISNUMBER(发票登记!$X$818),发票登记!$AB$818&lt;&gt;0,发票登记!$Y$818&gt;=_辅助!$J$4,发票登记!$Y$818&lt;=_辅助!$J$2),INT(发票登记!$X$818)*10000+814,"")</f>
      </c>
      <c r="BG815" s="2">
        <f>IF(AND($AF$3&gt;0,资金流水!$H$819=$C$3,ISNUMBER(资金流水!$B$819),ISNUMBER(资金流水!$S$819),资金流水!$S$819&gt;=_辅助!$J$4,资金流水!$S$819&lt;=_辅助!$J$2),INT(资金流水!$B$819)*10000+814,"")</f>
      </c>
    </row>
    <row r="816">
      <c r="BF816" s="2">
        <f>IF(AND($AF$3&gt;0,发票登记!$T$819=$C$3,ISNUMBER(发票登记!$X$819),发票登记!$AB$819&lt;&gt;0,发票登记!$Y$819&gt;=_辅助!$J$4,发票登记!$Y$819&lt;=_辅助!$J$2),INT(发票登记!$X$819)*10000+815,"")</f>
      </c>
      <c r="BG816" s="2">
        <f>IF(AND($AF$3&gt;0,资金流水!$H$820=$C$3,ISNUMBER(资金流水!$B$820),ISNUMBER(资金流水!$S$820),资金流水!$S$820&gt;=_辅助!$J$4,资金流水!$S$820&lt;=_辅助!$J$2),INT(资金流水!$B$820)*10000+815,"")</f>
      </c>
    </row>
    <row r="817">
      <c r="BF817" s="2">
        <f>IF(AND($AF$3&gt;0,发票登记!$T$820=$C$3,ISNUMBER(发票登记!$X$820),发票登记!$AB$820&lt;&gt;0,发票登记!$Y$820&gt;=_辅助!$J$4,发票登记!$Y$820&lt;=_辅助!$J$2),INT(发票登记!$X$820)*10000+816,"")</f>
      </c>
      <c r="BG817" s="2">
        <f>IF(AND($AF$3&gt;0,资金流水!$H$821=$C$3,ISNUMBER(资金流水!$B$821),ISNUMBER(资金流水!$S$821),资金流水!$S$821&gt;=_辅助!$J$4,资金流水!$S$821&lt;=_辅助!$J$2),INT(资金流水!$B$821)*10000+816,"")</f>
      </c>
    </row>
    <row r="818">
      <c r="BF818" s="2">
        <f>IF(AND($AF$3&gt;0,发票登记!$T$821=$C$3,ISNUMBER(发票登记!$X$821),发票登记!$AB$821&lt;&gt;0,发票登记!$Y$821&gt;=_辅助!$J$4,发票登记!$Y$821&lt;=_辅助!$J$2),INT(发票登记!$X$821)*10000+817,"")</f>
      </c>
      <c r="BG818" s="2">
        <f>IF(AND($AF$3&gt;0,资金流水!$H$822=$C$3,ISNUMBER(资金流水!$B$822),ISNUMBER(资金流水!$S$822),资金流水!$S$822&gt;=_辅助!$J$4,资金流水!$S$822&lt;=_辅助!$J$2),INT(资金流水!$B$822)*10000+817,"")</f>
      </c>
    </row>
    <row r="819">
      <c r="BF819" s="2">
        <f>IF(AND($AF$3&gt;0,发票登记!$T$822=$C$3,ISNUMBER(发票登记!$X$822),发票登记!$AB$822&lt;&gt;0,发票登记!$Y$822&gt;=_辅助!$J$4,发票登记!$Y$822&lt;=_辅助!$J$2),INT(发票登记!$X$822)*10000+818,"")</f>
      </c>
      <c r="BG819" s="2">
        <f>IF(AND($AF$3&gt;0,资金流水!$H$823=$C$3,ISNUMBER(资金流水!$B$823),ISNUMBER(资金流水!$S$823),资金流水!$S$823&gt;=_辅助!$J$4,资金流水!$S$823&lt;=_辅助!$J$2),INT(资金流水!$B$823)*10000+818,"")</f>
      </c>
    </row>
    <row r="820">
      <c r="BF820" s="2">
        <f>IF(AND($AF$3&gt;0,发票登记!$T$823=$C$3,ISNUMBER(发票登记!$X$823),发票登记!$AB$823&lt;&gt;0,发票登记!$Y$823&gt;=_辅助!$J$4,发票登记!$Y$823&lt;=_辅助!$J$2),INT(发票登记!$X$823)*10000+819,"")</f>
      </c>
      <c r="BG820" s="2">
        <f>IF(AND($AF$3&gt;0,资金流水!$H$824=$C$3,ISNUMBER(资金流水!$B$824),ISNUMBER(资金流水!$S$824),资金流水!$S$824&gt;=_辅助!$J$4,资金流水!$S$824&lt;=_辅助!$J$2),INT(资金流水!$B$824)*10000+819,"")</f>
      </c>
    </row>
    <row r="821">
      <c r="BF821" s="2">
        <f>IF(AND($AF$3&gt;0,发票登记!$T$824=$C$3,ISNUMBER(发票登记!$X$824),发票登记!$AB$824&lt;&gt;0,发票登记!$Y$824&gt;=_辅助!$J$4,发票登记!$Y$824&lt;=_辅助!$J$2),INT(发票登记!$X$824)*10000+820,"")</f>
      </c>
      <c r="BG821" s="2">
        <f>IF(AND($AF$3&gt;0,资金流水!$H$825=$C$3,ISNUMBER(资金流水!$B$825),ISNUMBER(资金流水!$S$825),资金流水!$S$825&gt;=_辅助!$J$4,资金流水!$S$825&lt;=_辅助!$J$2),INT(资金流水!$B$825)*10000+820,"")</f>
      </c>
    </row>
    <row r="822">
      <c r="BF822" s="2">
        <f>IF(AND($AF$3&gt;0,发票登记!$T$825=$C$3,ISNUMBER(发票登记!$X$825),发票登记!$AB$825&lt;&gt;0,发票登记!$Y$825&gt;=_辅助!$J$4,发票登记!$Y$825&lt;=_辅助!$J$2),INT(发票登记!$X$825)*10000+821,"")</f>
      </c>
      <c r="BG822" s="2">
        <f>IF(AND($AF$3&gt;0,资金流水!$H$826=$C$3,ISNUMBER(资金流水!$B$826),ISNUMBER(资金流水!$S$826),资金流水!$S$826&gt;=_辅助!$J$4,资金流水!$S$826&lt;=_辅助!$J$2),INT(资金流水!$B$826)*10000+821,"")</f>
      </c>
    </row>
    <row r="823">
      <c r="BF823" s="2">
        <f>IF(AND($AF$3&gt;0,发票登记!$T$826=$C$3,ISNUMBER(发票登记!$X$826),发票登记!$AB$826&lt;&gt;0,发票登记!$Y$826&gt;=_辅助!$J$4,发票登记!$Y$826&lt;=_辅助!$J$2),INT(发票登记!$X$826)*10000+822,"")</f>
      </c>
      <c r="BG823" s="2">
        <f>IF(AND($AF$3&gt;0,资金流水!$H$827=$C$3,ISNUMBER(资金流水!$B$827),ISNUMBER(资金流水!$S$827),资金流水!$S$827&gt;=_辅助!$J$4,资金流水!$S$827&lt;=_辅助!$J$2),INT(资金流水!$B$827)*10000+822,"")</f>
      </c>
    </row>
    <row r="824">
      <c r="BF824" s="2">
        <f>IF(AND($AF$3&gt;0,发票登记!$T$827=$C$3,ISNUMBER(发票登记!$X$827),发票登记!$AB$827&lt;&gt;0,发票登记!$Y$827&gt;=_辅助!$J$4,发票登记!$Y$827&lt;=_辅助!$J$2),INT(发票登记!$X$827)*10000+823,"")</f>
      </c>
      <c r="BG824" s="2">
        <f>IF(AND($AF$3&gt;0,资金流水!$H$828=$C$3,ISNUMBER(资金流水!$B$828),ISNUMBER(资金流水!$S$828),资金流水!$S$828&gt;=_辅助!$J$4,资金流水!$S$828&lt;=_辅助!$J$2),INT(资金流水!$B$828)*10000+823,"")</f>
      </c>
    </row>
    <row r="825">
      <c r="BF825" s="2">
        <f>IF(AND($AF$3&gt;0,发票登记!$T$828=$C$3,ISNUMBER(发票登记!$X$828),发票登记!$AB$828&lt;&gt;0,发票登记!$Y$828&gt;=_辅助!$J$4,发票登记!$Y$828&lt;=_辅助!$J$2),INT(发票登记!$X$828)*10000+824,"")</f>
      </c>
      <c r="BG825" s="2">
        <f>IF(AND($AF$3&gt;0,资金流水!$H$829=$C$3,ISNUMBER(资金流水!$B$829),ISNUMBER(资金流水!$S$829),资金流水!$S$829&gt;=_辅助!$J$4,资金流水!$S$829&lt;=_辅助!$J$2),INT(资金流水!$B$829)*10000+824,"")</f>
      </c>
    </row>
    <row r="826">
      <c r="BF826" s="2">
        <f>IF(AND($AF$3&gt;0,发票登记!$T$829=$C$3,ISNUMBER(发票登记!$X$829),发票登记!$AB$829&lt;&gt;0,发票登记!$Y$829&gt;=_辅助!$J$4,发票登记!$Y$829&lt;=_辅助!$J$2),INT(发票登记!$X$829)*10000+825,"")</f>
      </c>
      <c r="BG826" s="2">
        <f>IF(AND($AF$3&gt;0,资金流水!$H$830=$C$3,ISNUMBER(资金流水!$B$830),ISNUMBER(资金流水!$S$830),资金流水!$S$830&gt;=_辅助!$J$4,资金流水!$S$830&lt;=_辅助!$J$2),INT(资金流水!$B$830)*10000+825,"")</f>
      </c>
    </row>
    <row r="827">
      <c r="BF827" s="2">
        <f>IF(AND($AF$3&gt;0,发票登记!$T$830=$C$3,ISNUMBER(发票登记!$X$830),发票登记!$AB$830&lt;&gt;0,发票登记!$Y$830&gt;=_辅助!$J$4,发票登记!$Y$830&lt;=_辅助!$J$2),INT(发票登记!$X$830)*10000+826,"")</f>
      </c>
      <c r="BG827" s="2">
        <f>IF(AND($AF$3&gt;0,资金流水!$H$831=$C$3,ISNUMBER(资金流水!$B$831),ISNUMBER(资金流水!$S$831),资金流水!$S$831&gt;=_辅助!$J$4,资金流水!$S$831&lt;=_辅助!$J$2),INT(资金流水!$B$831)*10000+826,"")</f>
      </c>
    </row>
    <row r="828">
      <c r="BF828" s="2">
        <f>IF(AND($AF$3&gt;0,发票登记!$T$831=$C$3,ISNUMBER(发票登记!$X$831),发票登记!$AB$831&lt;&gt;0,发票登记!$Y$831&gt;=_辅助!$J$4,发票登记!$Y$831&lt;=_辅助!$J$2),INT(发票登记!$X$831)*10000+827,"")</f>
      </c>
      <c r="BG828" s="2">
        <f>IF(AND($AF$3&gt;0,资金流水!$H$832=$C$3,ISNUMBER(资金流水!$B$832),ISNUMBER(资金流水!$S$832),资金流水!$S$832&gt;=_辅助!$J$4,资金流水!$S$832&lt;=_辅助!$J$2),INT(资金流水!$B$832)*10000+827,"")</f>
      </c>
    </row>
    <row r="829">
      <c r="BF829" s="2">
        <f>IF(AND($AF$3&gt;0,发票登记!$T$832=$C$3,ISNUMBER(发票登记!$X$832),发票登记!$AB$832&lt;&gt;0,发票登记!$Y$832&gt;=_辅助!$J$4,发票登记!$Y$832&lt;=_辅助!$J$2),INT(发票登记!$X$832)*10000+828,"")</f>
      </c>
      <c r="BG829" s="2">
        <f>IF(AND($AF$3&gt;0,资金流水!$H$833=$C$3,ISNUMBER(资金流水!$B$833),ISNUMBER(资金流水!$S$833),资金流水!$S$833&gt;=_辅助!$J$4,资金流水!$S$833&lt;=_辅助!$J$2),INT(资金流水!$B$833)*10000+828,"")</f>
      </c>
    </row>
    <row r="830">
      <c r="BF830" s="2">
        <f>IF(AND($AF$3&gt;0,发票登记!$T$833=$C$3,ISNUMBER(发票登记!$X$833),发票登记!$AB$833&lt;&gt;0,发票登记!$Y$833&gt;=_辅助!$J$4,发票登记!$Y$833&lt;=_辅助!$J$2),INT(发票登记!$X$833)*10000+829,"")</f>
      </c>
      <c r="BG830" s="2">
        <f>IF(AND($AF$3&gt;0,资金流水!$H$834=$C$3,ISNUMBER(资金流水!$B$834),ISNUMBER(资金流水!$S$834),资金流水!$S$834&gt;=_辅助!$J$4,资金流水!$S$834&lt;=_辅助!$J$2),INT(资金流水!$B$834)*10000+829,"")</f>
      </c>
    </row>
    <row r="831">
      <c r="BF831" s="2">
        <f>IF(AND($AF$3&gt;0,发票登记!$T$834=$C$3,ISNUMBER(发票登记!$X$834),发票登记!$AB$834&lt;&gt;0,发票登记!$Y$834&gt;=_辅助!$J$4,发票登记!$Y$834&lt;=_辅助!$J$2),INT(发票登记!$X$834)*10000+830,"")</f>
      </c>
      <c r="BG831" s="2">
        <f>IF(AND($AF$3&gt;0,资金流水!$H$835=$C$3,ISNUMBER(资金流水!$B$835),ISNUMBER(资金流水!$S$835),资金流水!$S$835&gt;=_辅助!$J$4,资金流水!$S$835&lt;=_辅助!$J$2),INT(资金流水!$B$835)*10000+830,"")</f>
      </c>
    </row>
    <row r="832">
      <c r="BF832" s="2">
        <f>IF(AND($AF$3&gt;0,发票登记!$T$835=$C$3,ISNUMBER(发票登记!$X$835),发票登记!$AB$835&lt;&gt;0,发票登记!$Y$835&gt;=_辅助!$J$4,发票登记!$Y$835&lt;=_辅助!$J$2),INT(发票登记!$X$835)*10000+831,"")</f>
      </c>
      <c r="BG832" s="2">
        <f>IF(AND($AF$3&gt;0,资金流水!$H$836=$C$3,ISNUMBER(资金流水!$B$836),ISNUMBER(资金流水!$S$836),资金流水!$S$836&gt;=_辅助!$J$4,资金流水!$S$836&lt;=_辅助!$J$2),INT(资金流水!$B$836)*10000+831,"")</f>
      </c>
    </row>
    <row r="833">
      <c r="BF833" s="2">
        <f>IF(AND($AF$3&gt;0,发票登记!$T$836=$C$3,ISNUMBER(发票登记!$X$836),发票登记!$AB$836&lt;&gt;0,发票登记!$Y$836&gt;=_辅助!$J$4,发票登记!$Y$836&lt;=_辅助!$J$2),INT(发票登记!$X$836)*10000+832,"")</f>
      </c>
      <c r="BG833" s="2">
        <f>IF(AND($AF$3&gt;0,资金流水!$H$837=$C$3,ISNUMBER(资金流水!$B$837),ISNUMBER(资金流水!$S$837),资金流水!$S$837&gt;=_辅助!$J$4,资金流水!$S$837&lt;=_辅助!$J$2),INT(资金流水!$B$837)*10000+832,"")</f>
      </c>
    </row>
    <row r="834">
      <c r="BF834" s="2">
        <f>IF(AND($AF$3&gt;0,发票登记!$T$837=$C$3,ISNUMBER(发票登记!$X$837),发票登记!$AB$837&lt;&gt;0,发票登记!$Y$837&gt;=_辅助!$J$4,发票登记!$Y$837&lt;=_辅助!$J$2),INT(发票登记!$X$837)*10000+833,"")</f>
      </c>
      <c r="BG834" s="2">
        <f>IF(AND($AF$3&gt;0,资金流水!$H$838=$C$3,ISNUMBER(资金流水!$B$838),ISNUMBER(资金流水!$S$838),资金流水!$S$838&gt;=_辅助!$J$4,资金流水!$S$838&lt;=_辅助!$J$2),INT(资金流水!$B$838)*10000+833,"")</f>
      </c>
    </row>
    <row r="835">
      <c r="BF835" s="2">
        <f>IF(AND($AF$3&gt;0,发票登记!$T$838=$C$3,ISNUMBER(发票登记!$X$838),发票登记!$AB$838&lt;&gt;0,发票登记!$Y$838&gt;=_辅助!$J$4,发票登记!$Y$838&lt;=_辅助!$J$2),INT(发票登记!$X$838)*10000+834,"")</f>
      </c>
      <c r="BG835" s="2">
        <f>IF(AND($AF$3&gt;0,资金流水!$H$839=$C$3,ISNUMBER(资金流水!$B$839),ISNUMBER(资金流水!$S$839),资金流水!$S$839&gt;=_辅助!$J$4,资金流水!$S$839&lt;=_辅助!$J$2),INT(资金流水!$B$839)*10000+834,"")</f>
      </c>
    </row>
    <row r="836">
      <c r="BF836" s="2">
        <f>IF(AND($AF$3&gt;0,发票登记!$T$839=$C$3,ISNUMBER(发票登记!$X$839),发票登记!$AB$839&lt;&gt;0,发票登记!$Y$839&gt;=_辅助!$J$4,发票登记!$Y$839&lt;=_辅助!$J$2),INT(发票登记!$X$839)*10000+835,"")</f>
      </c>
      <c r="BG836" s="2">
        <f>IF(AND($AF$3&gt;0,资金流水!$H$840=$C$3,ISNUMBER(资金流水!$B$840),ISNUMBER(资金流水!$S$840),资金流水!$S$840&gt;=_辅助!$J$4,资金流水!$S$840&lt;=_辅助!$J$2),INT(资金流水!$B$840)*10000+835,"")</f>
      </c>
    </row>
    <row r="837">
      <c r="BF837" s="2">
        <f>IF(AND($AF$3&gt;0,发票登记!$T$840=$C$3,ISNUMBER(发票登记!$X$840),发票登记!$AB$840&lt;&gt;0,发票登记!$Y$840&gt;=_辅助!$J$4,发票登记!$Y$840&lt;=_辅助!$J$2),INT(发票登记!$X$840)*10000+836,"")</f>
      </c>
      <c r="BG837" s="2">
        <f>IF(AND($AF$3&gt;0,资金流水!$H$841=$C$3,ISNUMBER(资金流水!$B$841),ISNUMBER(资金流水!$S$841),资金流水!$S$841&gt;=_辅助!$J$4,资金流水!$S$841&lt;=_辅助!$J$2),INT(资金流水!$B$841)*10000+836,"")</f>
      </c>
    </row>
    <row r="838">
      <c r="BF838" s="2">
        <f>IF(AND($AF$3&gt;0,发票登记!$T$841=$C$3,ISNUMBER(发票登记!$X$841),发票登记!$AB$841&lt;&gt;0,发票登记!$Y$841&gt;=_辅助!$J$4,发票登记!$Y$841&lt;=_辅助!$J$2),INT(发票登记!$X$841)*10000+837,"")</f>
      </c>
      <c r="BG838" s="2">
        <f>IF(AND($AF$3&gt;0,资金流水!$H$842=$C$3,ISNUMBER(资金流水!$B$842),ISNUMBER(资金流水!$S$842),资金流水!$S$842&gt;=_辅助!$J$4,资金流水!$S$842&lt;=_辅助!$J$2),INT(资金流水!$B$842)*10000+837,"")</f>
      </c>
    </row>
    <row r="839">
      <c r="BF839" s="2">
        <f>IF(AND($AF$3&gt;0,发票登记!$T$842=$C$3,ISNUMBER(发票登记!$X$842),发票登记!$AB$842&lt;&gt;0,发票登记!$Y$842&gt;=_辅助!$J$4,发票登记!$Y$842&lt;=_辅助!$J$2),INT(发票登记!$X$842)*10000+838,"")</f>
      </c>
      <c r="BG839" s="2">
        <f>IF(AND($AF$3&gt;0,资金流水!$H$843=$C$3,ISNUMBER(资金流水!$B$843),ISNUMBER(资金流水!$S$843),资金流水!$S$843&gt;=_辅助!$J$4,资金流水!$S$843&lt;=_辅助!$J$2),INT(资金流水!$B$843)*10000+838,"")</f>
      </c>
    </row>
    <row r="840">
      <c r="BF840" s="2">
        <f>IF(AND($AF$3&gt;0,发票登记!$T$843=$C$3,ISNUMBER(发票登记!$X$843),发票登记!$AB$843&lt;&gt;0,发票登记!$Y$843&gt;=_辅助!$J$4,发票登记!$Y$843&lt;=_辅助!$J$2),INT(发票登记!$X$843)*10000+839,"")</f>
      </c>
      <c r="BG840" s="2">
        <f>IF(AND($AF$3&gt;0,资金流水!$H$844=$C$3,ISNUMBER(资金流水!$B$844),ISNUMBER(资金流水!$S$844),资金流水!$S$844&gt;=_辅助!$J$4,资金流水!$S$844&lt;=_辅助!$J$2),INT(资金流水!$B$844)*10000+839,"")</f>
      </c>
    </row>
    <row r="841">
      <c r="BF841" s="2">
        <f>IF(AND($AF$3&gt;0,发票登记!$T$844=$C$3,ISNUMBER(发票登记!$X$844),发票登记!$AB$844&lt;&gt;0,发票登记!$Y$844&gt;=_辅助!$J$4,发票登记!$Y$844&lt;=_辅助!$J$2),INT(发票登记!$X$844)*10000+840,"")</f>
      </c>
      <c r="BG841" s="2">
        <f>IF(AND($AF$3&gt;0,资金流水!$H$845=$C$3,ISNUMBER(资金流水!$B$845),ISNUMBER(资金流水!$S$845),资金流水!$S$845&gt;=_辅助!$J$4,资金流水!$S$845&lt;=_辅助!$J$2),INT(资金流水!$B$845)*10000+840,"")</f>
      </c>
    </row>
    <row r="842">
      <c r="BF842" s="2">
        <f>IF(AND($AF$3&gt;0,发票登记!$T$845=$C$3,ISNUMBER(发票登记!$X$845),发票登记!$AB$845&lt;&gt;0,发票登记!$Y$845&gt;=_辅助!$J$4,发票登记!$Y$845&lt;=_辅助!$J$2),INT(发票登记!$X$845)*10000+841,"")</f>
      </c>
      <c r="BG842" s="2">
        <f>IF(AND($AF$3&gt;0,资金流水!$H$846=$C$3,ISNUMBER(资金流水!$B$846),ISNUMBER(资金流水!$S$846),资金流水!$S$846&gt;=_辅助!$J$4,资金流水!$S$846&lt;=_辅助!$J$2),INT(资金流水!$B$846)*10000+841,"")</f>
      </c>
    </row>
    <row r="843">
      <c r="BF843" s="2">
        <f>IF(AND($AF$3&gt;0,发票登记!$T$846=$C$3,ISNUMBER(发票登记!$X$846),发票登记!$AB$846&lt;&gt;0,发票登记!$Y$846&gt;=_辅助!$J$4,发票登记!$Y$846&lt;=_辅助!$J$2),INT(发票登记!$X$846)*10000+842,"")</f>
      </c>
      <c r="BG843" s="2">
        <f>IF(AND($AF$3&gt;0,资金流水!$H$847=$C$3,ISNUMBER(资金流水!$B$847),ISNUMBER(资金流水!$S$847),资金流水!$S$847&gt;=_辅助!$J$4,资金流水!$S$847&lt;=_辅助!$J$2),INT(资金流水!$B$847)*10000+842,"")</f>
      </c>
    </row>
    <row r="844">
      <c r="BF844" s="2">
        <f>IF(AND($AF$3&gt;0,发票登记!$T$847=$C$3,ISNUMBER(发票登记!$X$847),发票登记!$AB$847&lt;&gt;0,发票登记!$Y$847&gt;=_辅助!$J$4,发票登记!$Y$847&lt;=_辅助!$J$2),INT(发票登记!$X$847)*10000+843,"")</f>
      </c>
      <c r="BG844" s="2">
        <f>IF(AND($AF$3&gt;0,资金流水!$H$848=$C$3,ISNUMBER(资金流水!$B$848),ISNUMBER(资金流水!$S$848),资金流水!$S$848&gt;=_辅助!$J$4,资金流水!$S$848&lt;=_辅助!$J$2),INT(资金流水!$B$848)*10000+843,"")</f>
      </c>
    </row>
    <row r="845">
      <c r="BF845" s="2">
        <f>IF(AND($AF$3&gt;0,发票登记!$T$848=$C$3,ISNUMBER(发票登记!$X$848),发票登记!$AB$848&lt;&gt;0,发票登记!$Y$848&gt;=_辅助!$J$4,发票登记!$Y$848&lt;=_辅助!$J$2),INT(发票登记!$X$848)*10000+844,"")</f>
      </c>
      <c r="BG845" s="2">
        <f>IF(AND($AF$3&gt;0,资金流水!$H$849=$C$3,ISNUMBER(资金流水!$B$849),ISNUMBER(资金流水!$S$849),资金流水!$S$849&gt;=_辅助!$J$4,资金流水!$S$849&lt;=_辅助!$J$2),INT(资金流水!$B$849)*10000+844,"")</f>
      </c>
    </row>
    <row r="846">
      <c r="BF846" s="2">
        <f>IF(AND($AF$3&gt;0,发票登记!$T$849=$C$3,ISNUMBER(发票登记!$X$849),发票登记!$AB$849&lt;&gt;0,发票登记!$Y$849&gt;=_辅助!$J$4,发票登记!$Y$849&lt;=_辅助!$J$2),INT(发票登记!$X$849)*10000+845,"")</f>
      </c>
      <c r="BG846" s="2">
        <f>IF(AND($AF$3&gt;0,资金流水!$H$850=$C$3,ISNUMBER(资金流水!$B$850),ISNUMBER(资金流水!$S$850),资金流水!$S$850&gt;=_辅助!$J$4,资金流水!$S$850&lt;=_辅助!$J$2),INT(资金流水!$B$850)*10000+845,"")</f>
      </c>
    </row>
    <row r="847">
      <c r="BF847" s="2">
        <f>IF(AND($AF$3&gt;0,发票登记!$T$850=$C$3,ISNUMBER(发票登记!$X$850),发票登记!$AB$850&lt;&gt;0,发票登记!$Y$850&gt;=_辅助!$J$4,发票登记!$Y$850&lt;=_辅助!$J$2),INT(发票登记!$X$850)*10000+846,"")</f>
      </c>
      <c r="BG847" s="2">
        <f>IF(AND($AF$3&gt;0,资金流水!$H$851=$C$3,ISNUMBER(资金流水!$B$851),ISNUMBER(资金流水!$S$851),资金流水!$S$851&gt;=_辅助!$J$4,资金流水!$S$851&lt;=_辅助!$J$2),INT(资金流水!$B$851)*10000+846,"")</f>
      </c>
    </row>
    <row r="848">
      <c r="BF848" s="2">
        <f>IF(AND($AF$3&gt;0,发票登记!$T$851=$C$3,ISNUMBER(发票登记!$X$851),发票登记!$AB$851&lt;&gt;0,发票登记!$Y$851&gt;=_辅助!$J$4,发票登记!$Y$851&lt;=_辅助!$J$2),INT(发票登记!$X$851)*10000+847,"")</f>
      </c>
      <c r="BG848" s="2">
        <f>IF(AND($AF$3&gt;0,资金流水!$H$852=$C$3,ISNUMBER(资金流水!$B$852),ISNUMBER(资金流水!$S$852),资金流水!$S$852&gt;=_辅助!$J$4,资金流水!$S$852&lt;=_辅助!$J$2),INT(资金流水!$B$852)*10000+847,"")</f>
      </c>
    </row>
    <row r="849">
      <c r="BF849" s="2">
        <f>IF(AND($AF$3&gt;0,发票登记!$T$852=$C$3,ISNUMBER(发票登记!$X$852),发票登记!$AB$852&lt;&gt;0,发票登记!$Y$852&gt;=_辅助!$J$4,发票登记!$Y$852&lt;=_辅助!$J$2),INT(发票登记!$X$852)*10000+848,"")</f>
      </c>
      <c r="BG849" s="2">
        <f>IF(AND($AF$3&gt;0,资金流水!$H$853=$C$3,ISNUMBER(资金流水!$B$853),ISNUMBER(资金流水!$S$853),资金流水!$S$853&gt;=_辅助!$J$4,资金流水!$S$853&lt;=_辅助!$J$2),INT(资金流水!$B$853)*10000+848,"")</f>
      </c>
    </row>
    <row r="850">
      <c r="BF850" s="2">
        <f>IF(AND($AF$3&gt;0,发票登记!$T$853=$C$3,ISNUMBER(发票登记!$X$853),发票登记!$AB$853&lt;&gt;0,发票登记!$Y$853&gt;=_辅助!$J$4,发票登记!$Y$853&lt;=_辅助!$J$2),INT(发票登记!$X$853)*10000+849,"")</f>
      </c>
      <c r="BG850" s="2">
        <f>IF(AND($AF$3&gt;0,资金流水!$H$854=$C$3,ISNUMBER(资金流水!$B$854),ISNUMBER(资金流水!$S$854),资金流水!$S$854&gt;=_辅助!$J$4,资金流水!$S$854&lt;=_辅助!$J$2),INT(资金流水!$B$854)*10000+849,"")</f>
      </c>
    </row>
    <row r="851">
      <c r="BF851" s="2">
        <f>IF(AND($AF$3&gt;0,发票登记!$T$854=$C$3,ISNUMBER(发票登记!$X$854),发票登记!$AB$854&lt;&gt;0,发票登记!$Y$854&gt;=_辅助!$J$4,发票登记!$Y$854&lt;=_辅助!$J$2),INT(发票登记!$X$854)*10000+850,"")</f>
      </c>
      <c r="BG851" s="2">
        <f>IF(AND($AF$3&gt;0,资金流水!$H$855=$C$3,ISNUMBER(资金流水!$B$855),ISNUMBER(资金流水!$S$855),资金流水!$S$855&gt;=_辅助!$J$4,资金流水!$S$855&lt;=_辅助!$J$2),INT(资金流水!$B$855)*10000+850,"")</f>
      </c>
    </row>
    <row r="852">
      <c r="BF852" s="2">
        <f>IF(AND($AF$3&gt;0,发票登记!$T$855=$C$3,ISNUMBER(发票登记!$X$855),发票登记!$AB$855&lt;&gt;0,发票登记!$Y$855&gt;=_辅助!$J$4,发票登记!$Y$855&lt;=_辅助!$J$2),INT(发票登记!$X$855)*10000+851,"")</f>
      </c>
      <c r="BG852" s="2">
        <f>IF(AND($AF$3&gt;0,资金流水!$H$856=$C$3,ISNUMBER(资金流水!$B$856),ISNUMBER(资金流水!$S$856),资金流水!$S$856&gt;=_辅助!$J$4,资金流水!$S$856&lt;=_辅助!$J$2),INT(资金流水!$B$856)*10000+851,"")</f>
      </c>
    </row>
    <row r="853">
      <c r="BF853" s="2">
        <f>IF(AND($AF$3&gt;0,发票登记!$T$856=$C$3,ISNUMBER(发票登记!$X$856),发票登记!$AB$856&lt;&gt;0,发票登记!$Y$856&gt;=_辅助!$J$4,发票登记!$Y$856&lt;=_辅助!$J$2),INT(发票登记!$X$856)*10000+852,"")</f>
      </c>
      <c r="BG853" s="2">
        <f>IF(AND($AF$3&gt;0,资金流水!$H$857=$C$3,ISNUMBER(资金流水!$B$857),ISNUMBER(资金流水!$S$857),资金流水!$S$857&gt;=_辅助!$J$4,资金流水!$S$857&lt;=_辅助!$J$2),INT(资金流水!$B$857)*10000+852,"")</f>
      </c>
    </row>
    <row r="854">
      <c r="BF854" s="2">
        <f>IF(AND($AF$3&gt;0,发票登记!$T$857=$C$3,ISNUMBER(发票登记!$X$857),发票登记!$AB$857&lt;&gt;0,发票登记!$Y$857&gt;=_辅助!$J$4,发票登记!$Y$857&lt;=_辅助!$J$2),INT(发票登记!$X$857)*10000+853,"")</f>
      </c>
      <c r="BG854" s="2">
        <f>IF(AND($AF$3&gt;0,资金流水!$H$858=$C$3,ISNUMBER(资金流水!$B$858),ISNUMBER(资金流水!$S$858),资金流水!$S$858&gt;=_辅助!$J$4,资金流水!$S$858&lt;=_辅助!$J$2),INT(资金流水!$B$858)*10000+853,"")</f>
      </c>
    </row>
    <row r="855">
      <c r="BF855" s="2">
        <f>IF(AND($AF$3&gt;0,发票登记!$T$858=$C$3,ISNUMBER(发票登记!$X$858),发票登记!$AB$858&lt;&gt;0,发票登记!$Y$858&gt;=_辅助!$J$4,发票登记!$Y$858&lt;=_辅助!$J$2),INT(发票登记!$X$858)*10000+854,"")</f>
      </c>
      <c r="BG855" s="2">
        <f>IF(AND($AF$3&gt;0,资金流水!$H$859=$C$3,ISNUMBER(资金流水!$B$859),ISNUMBER(资金流水!$S$859),资金流水!$S$859&gt;=_辅助!$J$4,资金流水!$S$859&lt;=_辅助!$J$2),INT(资金流水!$B$859)*10000+854,"")</f>
      </c>
    </row>
    <row r="856">
      <c r="BF856" s="2">
        <f>IF(AND($AF$3&gt;0,发票登记!$T$859=$C$3,ISNUMBER(发票登记!$X$859),发票登记!$AB$859&lt;&gt;0,发票登记!$Y$859&gt;=_辅助!$J$4,发票登记!$Y$859&lt;=_辅助!$J$2),INT(发票登记!$X$859)*10000+855,"")</f>
      </c>
      <c r="BG856" s="2">
        <f>IF(AND($AF$3&gt;0,资金流水!$H$860=$C$3,ISNUMBER(资金流水!$B$860),ISNUMBER(资金流水!$S$860),资金流水!$S$860&gt;=_辅助!$J$4,资金流水!$S$860&lt;=_辅助!$J$2),INT(资金流水!$B$860)*10000+855,"")</f>
      </c>
    </row>
    <row r="857">
      <c r="BF857" s="2">
        <f>IF(AND($AF$3&gt;0,发票登记!$T$860=$C$3,ISNUMBER(发票登记!$X$860),发票登记!$AB$860&lt;&gt;0,发票登记!$Y$860&gt;=_辅助!$J$4,发票登记!$Y$860&lt;=_辅助!$J$2),INT(发票登记!$X$860)*10000+856,"")</f>
      </c>
      <c r="BG857" s="2">
        <f>IF(AND($AF$3&gt;0,资金流水!$H$861=$C$3,ISNUMBER(资金流水!$B$861),ISNUMBER(资金流水!$S$861),资金流水!$S$861&gt;=_辅助!$J$4,资金流水!$S$861&lt;=_辅助!$J$2),INT(资金流水!$B$861)*10000+856,"")</f>
      </c>
    </row>
    <row r="858">
      <c r="BF858" s="2">
        <f>IF(AND($AF$3&gt;0,发票登记!$T$861=$C$3,ISNUMBER(发票登记!$X$861),发票登记!$AB$861&lt;&gt;0,发票登记!$Y$861&gt;=_辅助!$J$4,发票登记!$Y$861&lt;=_辅助!$J$2),INT(发票登记!$X$861)*10000+857,"")</f>
      </c>
      <c r="BG858" s="2">
        <f>IF(AND($AF$3&gt;0,资金流水!$H$862=$C$3,ISNUMBER(资金流水!$B$862),ISNUMBER(资金流水!$S$862),资金流水!$S$862&gt;=_辅助!$J$4,资金流水!$S$862&lt;=_辅助!$J$2),INT(资金流水!$B$862)*10000+857,"")</f>
      </c>
    </row>
    <row r="859">
      <c r="BF859" s="2">
        <f>IF(AND($AF$3&gt;0,发票登记!$T$862=$C$3,ISNUMBER(发票登记!$X$862),发票登记!$AB$862&lt;&gt;0,发票登记!$Y$862&gt;=_辅助!$J$4,发票登记!$Y$862&lt;=_辅助!$J$2),INT(发票登记!$X$862)*10000+858,"")</f>
      </c>
      <c r="BG859" s="2">
        <f>IF(AND($AF$3&gt;0,资金流水!$H$863=$C$3,ISNUMBER(资金流水!$B$863),ISNUMBER(资金流水!$S$863),资金流水!$S$863&gt;=_辅助!$J$4,资金流水!$S$863&lt;=_辅助!$J$2),INT(资金流水!$B$863)*10000+858,"")</f>
      </c>
    </row>
    <row r="860">
      <c r="BF860" s="2">
        <f>IF(AND($AF$3&gt;0,发票登记!$T$863=$C$3,ISNUMBER(发票登记!$X$863),发票登记!$AB$863&lt;&gt;0,发票登记!$Y$863&gt;=_辅助!$J$4,发票登记!$Y$863&lt;=_辅助!$J$2),INT(发票登记!$X$863)*10000+859,"")</f>
      </c>
      <c r="BG860" s="2">
        <f>IF(AND($AF$3&gt;0,资金流水!$H$864=$C$3,ISNUMBER(资金流水!$B$864),ISNUMBER(资金流水!$S$864),资金流水!$S$864&gt;=_辅助!$J$4,资金流水!$S$864&lt;=_辅助!$J$2),INT(资金流水!$B$864)*10000+859,"")</f>
      </c>
    </row>
    <row r="861">
      <c r="BF861" s="2">
        <f>IF(AND($AF$3&gt;0,发票登记!$T$864=$C$3,ISNUMBER(发票登记!$X$864),发票登记!$AB$864&lt;&gt;0,发票登记!$Y$864&gt;=_辅助!$J$4,发票登记!$Y$864&lt;=_辅助!$J$2),INT(发票登记!$X$864)*10000+860,"")</f>
      </c>
      <c r="BG861" s="2">
        <f>IF(AND($AF$3&gt;0,资金流水!$H$865=$C$3,ISNUMBER(资金流水!$B$865),ISNUMBER(资金流水!$S$865),资金流水!$S$865&gt;=_辅助!$J$4,资金流水!$S$865&lt;=_辅助!$J$2),INT(资金流水!$B$865)*10000+860,"")</f>
      </c>
    </row>
    <row r="862">
      <c r="BF862" s="2">
        <f>IF(AND($AF$3&gt;0,发票登记!$T$865=$C$3,ISNUMBER(发票登记!$X$865),发票登记!$AB$865&lt;&gt;0,发票登记!$Y$865&gt;=_辅助!$J$4,发票登记!$Y$865&lt;=_辅助!$J$2),INT(发票登记!$X$865)*10000+861,"")</f>
      </c>
      <c r="BG862" s="2">
        <f>IF(AND($AF$3&gt;0,资金流水!$H$866=$C$3,ISNUMBER(资金流水!$B$866),ISNUMBER(资金流水!$S$866),资金流水!$S$866&gt;=_辅助!$J$4,资金流水!$S$866&lt;=_辅助!$J$2),INT(资金流水!$B$866)*10000+861,"")</f>
      </c>
    </row>
    <row r="863">
      <c r="BF863" s="2">
        <f>IF(AND($AF$3&gt;0,发票登记!$T$866=$C$3,ISNUMBER(发票登记!$X$866),发票登记!$AB$866&lt;&gt;0,发票登记!$Y$866&gt;=_辅助!$J$4,发票登记!$Y$866&lt;=_辅助!$J$2),INT(发票登记!$X$866)*10000+862,"")</f>
      </c>
      <c r="BG863" s="2">
        <f>IF(AND($AF$3&gt;0,资金流水!$H$867=$C$3,ISNUMBER(资金流水!$B$867),ISNUMBER(资金流水!$S$867),资金流水!$S$867&gt;=_辅助!$J$4,资金流水!$S$867&lt;=_辅助!$J$2),INT(资金流水!$B$867)*10000+862,"")</f>
      </c>
    </row>
    <row r="864">
      <c r="BF864" s="2">
        <f>IF(AND($AF$3&gt;0,发票登记!$T$867=$C$3,ISNUMBER(发票登记!$X$867),发票登记!$AB$867&lt;&gt;0,发票登记!$Y$867&gt;=_辅助!$J$4,发票登记!$Y$867&lt;=_辅助!$J$2),INT(发票登记!$X$867)*10000+863,"")</f>
      </c>
      <c r="BG864" s="2">
        <f>IF(AND($AF$3&gt;0,资金流水!$H$868=$C$3,ISNUMBER(资金流水!$B$868),ISNUMBER(资金流水!$S$868),资金流水!$S$868&gt;=_辅助!$J$4,资金流水!$S$868&lt;=_辅助!$J$2),INT(资金流水!$B$868)*10000+863,"")</f>
      </c>
    </row>
    <row r="865">
      <c r="BF865" s="2">
        <f>IF(AND($AF$3&gt;0,发票登记!$T$868=$C$3,ISNUMBER(发票登记!$X$868),发票登记!$AB$868&lt;&gt;0,发票登记!$Y$868&gt;=_辅助!$J$4,发票登记!$Y$868&lt;=_辅助!$J$2),INT(发票登记!$X$868)*10000+864,"")</f>
      </c>
      <c r="BG865" s="2">
        <f>IF(AND($AF$3&gt;0,资金流水!$H$869=$C$3,ISNUMBER(资金流水!$B$869),ISNUMBER(资金流水!$S$869),资金流水!$S$869&gt;=_辅助!$J$4,资金流水!$S$869&lt;=_辅助!$J$2),INT(资金流水!$B$869)*10000+864,"")</f>
      </c>
    </row>
    <row r="866">
      <c r="BF866" s="2">
        <f>IF(AND($AF$3&gt;0,发票登记!$T$869=$C$3,ISNUMBER(发票登记!$X$869),发票登记!$AB$869&lt;&gt;0,发票登记!$Y$869&gt;=_辅助!$J$4,发票登记!$Y$869&lt;=_辅助!$J$2),INT(发票登记!$X$869)*10000+865,"")</f>
      </c>
      <c r="BG866" s="2">
        <f>IF(AND($AF$3&gt;0,资金流水!$H$870=$C$3,ISNUMBER(资金流水!$B$870),ISNUMBER(资金流水!$S$870),资金流水!$S$870&gt;=_辅助!$J$4,资金流水!$S$870&lt;=_辅助!$J$2),INT(资金流水!$B$870)*10000+865,"")</f>
      </c>
    </row>
    <row r="867">
      <c r="BF867" s="2">
        <f>IF(AND($AF$3&gt;0,发票登记!$T$870=$C$3,ISNUMBER(发票登记!$X$870),发票登记!$AB$870&lt;&gt;0,发票登记!$Y$870&gt;=_辅助!$J$4,发票登记!$Y$870&lt;=_辅助!$J$2),INT(发票登记!$X$870)*10000+866,"")</f>
      </c>
      <c r="BG867" s="2">
        <f>IF(AND($AF$3&gt;0,资金流水!$H$871=$C$3,ISNUMBER(资金流水!$B$871),ISNUMBER(资金流水!$S$871),资金流水!$S$871&gt;=_辅助!$J$4,资金流水!$S$871&lt;=_辅助!$J$2),INT(资金流水!$B$871)*10000+866,"")</f>
      </c>
    </row>
    <row r="868">
      <c r="BF868" s="2">
        <f>IF(AND($AF$3&gt;0,发票登记!$T$871=$C$3,ISNUMBER(发票登记!$X$871),发票登记!$AB$871&lt;&gt;0,发票登记!$Y$871&gt;=_辅助!$J$4,发票登记!$Y$871&lt;=_辅助!$J$2),INT(发票登记!$X$871)*10000+867,"")</f>
      </c>
      <c r="BG868" s="2">
        <f>IF(AND($AF$3&gt;0,资金流水!$H$872=$C$3,ISNUMBER(资金流水!$B$872),ISNUMBER(资金流水!$S$872),资金流水!$S$872&gt;=_辅助!$J$4,资金流水!$S$872&lt;=_辅助!$J$2),INT(资金流水!$B$872)*10000+867,"")</f>
      </c>
    </row>
    <row r="869">
      <c r="BF869" s="2">
        <f>IF(AND($AF$3&gt;0,发票登记!$T$872=$C$3,ISNUMBER(发票登记!$X$872),发票登记!$AB$872&lt;&gt;0,发票登记!$Y$872&gt;=_辅助!$J$4,发票登记!$Y$872&lt;=_辅助!$J$2),INT(发票登记!$X$872)*10000+868,"")</f>
      </c>
      <c r="BG869" s="2">
        <f>IF(AND($AF$3&gt;0,资金流水!$H$873=$C$3,ISNUMBER(资金流水!$B$873),ISNUMBER(资金流水!$S$873),资金流水!$S$873&gt;=_辅助!$J$4,资金流水!$S$873&lt;=_辅助!$J$2),INT(资金流水!$B$873)*10000+868,"")</f>
      </c>
    </row>
    <row r="870">
      <c r="BF870" s="2">
        <f>IF(AND($AF$3&gt;0,发票登记!$T$873=$C$3,ISNUMBER(发票登记!$X$873),发票登记!$AB$873&lt;&gt;0,发票登记!$Y$873&gt;=_辅助!$J$4,发票登记!$Y$873&lt;=_辅助!$J$2),INT(发票登记!$X$873)*10000+869,"")</f>
      </c>
      <c r="BG870" s="2">
        <f>IF(AND($AF$3&gt;0,资金流水!$H$874=$C$3,ISNUMBER(资金流水!$B$874),ISNUMBER(资金流水!$S$874),资金流水!$S$874&gt;=_辅助!$J$4,资金流水!$S$874&lt;=_辅助!$J$2),INT(资金流水!$B$874)*10000+869,"")</f>
      </c>
    </row>
    <row r="871">
      <c r="BF871" s="2">
        <f>IF(AND($AF$3&gt;0,发票登记!$T$874=$C$3,ISNUMBER(发票登记!$X$874),发票登记!$AB$874&lt;&gt;0,发票登记!$Y$874&gt;=_辅助!$J$4,发票登记!$Y$874&lt;=_辅助!$J$2),INT(发票登记!$X$874)*10000+870,"")</f>
      </c>
      <c r="BG871" s="2">
        <f>IF(AND($AF$3&gt;0,资金流水!$H$875=$C$3,ISNUMBER(资金流水!$B$875),ISNUMBER(资金流水!$S$875),资金流水!$S$875&gt;=_辅助!$J$4,资金流水!$S$875&lt;=_辅助!$J$2),INT(资金流水!$B$875)*10000+870,"")</f>
      </c>
    </row>
    <row r="872">
      <c r="BF872" s="2">
        <f>IF(AND($AF$3&gt;0,发票登记!$T$875=$C$3,ISNUMBER(发票登记!$X$875),发票登记!$AB$875&lt;&gt;0,发票登记!$Y$875&gt;=_辅助!$J$4,发票登记!$Y$875&lt;=_辅助!$J$2),INT(发票登记!$X$875)*10000+871,"")</f>
      </c>
      <c r="BG872" s="2">
        <f>IF(AND($AF$3&gt;0,资金流水!$H$876=$C$3,ISNUMBER(资金流水!$B$876),ISNUMBER(资金流水!$S$876),资金流水!$S$876&gt;=_辅助!$J$4,资金流水!$S$876&lt;=_辅助!$J$2),INT(资金流水!$B$876)*10000+871,"")</f>
      </c>
    </row>
    <row r="873">
      <c r="BF873" s="2">
        <f>IF(AND($AF$3&gt;0,发票登记!$T$876=$C$3,ISNUMBER(发票登记!$X$876),发票登记!$AB$876&lt;&gt;0,发票登记!$Y$876&gt;=_辅助!$J$4,发票登记!$Y$876&lt;=_辅助!$J$2),INT(发票登记!$X$876)*10000+872,"")</f>
      </c>
      <c r="BG873" s="2">
        <f>IF(AND($AF$3&gt;0,资金流水!$H$877=$C$3,ISNUMBER(资金流水!$B$877),ISNUMBER(资金流水!$S$877),资金流水!$S$877&gt;=_辅助!$J$4,资金流水!$S$877&lt;=_辅助!$J$2),INT(资金流水!$B$877)*10000+872,"")</f>
      </c>
    </row>
    <row r="874">
      <c r="BF874" s="2">
        <f>IF(AND($AF$3&gt;0,发票登记!$T$877=$C$3,ISNUMBER(发票登记!$X$877),发票登记!$AB$877&lt;&gt;0,发票登记!$Y$877&gt;=_辅助!$J$4,发票登记!$Y$877&lt;=_辅助!$J$2),INT(发票登记!$X$877)*10000+873,"")</f>
      </c>
      <c r="BG874" s="2">
        <f>IF(AND($AF$3&gt;0,资金流水!$H$878=$C$3,ISNUMBER(资金流水!$B$878),ISNUMBER(资金流水!$S$878),资金流水!$S$878&gt;=_辅助!$J$4,资金流水!$S$878&lt;=_辅助!$J$2),INT(资金流水!$B$878)*10000+873,"")</f>
      </c>
    </row>
    <row r="875">
      <c r="BF875" s="2">
        <f>IF(AND($AF$3&gt;0,发票登记!$T$878=$C$3,ISNUMBER(发票登记!$X$878),发票登记!$AB$878&lt;&gt;0,发票登记!$Y$878&gt;=_辅助!$J$4,发票登记!$Y$878&lt;=_辅助!$J$2),INT(发票登记!$X$878)*10000+874,"")</f>
      </c>
      <c r="BG875" s="2">
        <f>IF(AND($AF$3&gt;0,资金流水!$H$879=$C$3,ISNUMBER(资金流水!$B$879),ISNUMBER(资金流水!$S$879),资金流水!$S$879&gt;=_辅助!$J$4,资金流水!$S$879&lt;=_辅助!$J$2),INT(资金流水!$B$879)*10000+874,"")</f>
      </c>
    </row>
    <row r="876">
      <c r="BF876" s="2">
        <f>IF(AND($AF$3&gt;0,发票登记!$T$879=$C$3,ISNUMBER(发票登记!$X$879),发票登记!$AB$879&lt;&gt;0,发票登记!$Y$879&gt;=_辅助!$J$4,发票登记!$Y$879&lt;=_辅助!$J$2),INT(发票登记!$X$879)*10000+875,"")</f>
      </c>
      <c r="BG876" s="2">
        <f>IF(AND($AF$3&gt;0,资金流水!$H$880=$C$3,ISNUMBER(资金流水!$B$880),ISNUMBER(资金流水!$S$880),资金流水!$S$880&gt;=_辅助!$J$4,资金流水!$S$880&lt;=_辅助!$J$2),INT(资金流水!$B$880)*10000+875,"")</f>
      </c>
    </row>
    <row r="877">
      <c r="BF877" s="2">
        <f>IF(AND($AF$3&gt;0,发票登记!$T$880=$C$3,ISNUMBER(发票登记!$X$880),发票登记!$AB$880&lt;&gt;0,发票登记!$Y$880&gt;=_辅助!$J$4,发票登记!$Y$880&lt;=_辅助!$J$2),INT(发票登记!$X$880)*10000+876,"")</f>
      </c>
      <c r="BG877" s="2">
        <f>IF(AND($AF$3&gt;0,资金流水!$H$881=$C$3,ISNUMBER(资金流水!$B$881),ISNUMBER(资金流水!$S$881),资金流水!$S$881&gt;=_辅助!$J$4,资金流水!$S$881&lt;=_辅助!$J$2),INT(资金流水!$B$881)*10000+876,"")</f>
      </c>
    </row>
    <row r="878">
      <c r="BF878" s="2">
        <f>IF(AND($AF$3&gt;0,发票登记!$T$881=$C$3,ISNUMBER(发票登记!$X$881),发票登记!$AB$881&lt;&gt;0,发票登记!$Y$881&gt;=_辅助!$J$4,发票登记!$Y$881&lt;=_辅助!$J$2),INT(发票登记!$X$881)*10000+877,"")</f>
      </c>
      <c r="BG878" s="2">
        <f>IF(AND($AF$3&gt;0,资金流水!$H$882=$C$3,ISNUMBER(资金流水!$B$882),ISNUMBER(资金流水!$S$882),资金流水!$S$882&gt;=_辅助!$J$4,资金流水!$S$882&lt;=_辅助!$J$2),INT(资金流水!$B$882)*10000+877,"")</f>
      </c>
    </row>
    <row r="879">
      <c r="BF879" s="2">
        <f>IF(AND($AF$3&gt;0,发票登记!$T$882=$C$3,ISNUMBER(发票登记!$X$882),发票登记!$AB$882&lt;&gt;0,发票登记!$Y$882&gt;=_辅助!$J$4,发票登记!$Y$882&lt;=_辅助!$J$2),INT(发票登记!$X$882)*10000+878,"")</f>
      </c>
      <c r="BG879" s="2">
        <f>IF(AND($AF$3&gt;0,资金流水!$H$883=$C$3,ISNUMBER(资金流水!$B$883),ISNUMBER(资金流水!$S$883),资金流水!$S$883&gt;=_辅助!$J$4,资金流水!$S$883&lt;=_辅助!$J$2),INT(资金流水!$B$883)*10000+878,"")</f>
      </c>
    </row>
    <row r="880">
      <c r="BF880" s="2">
        <f>IF(AND($AF$3&gt;0,发票登记!$T$883=$C$3,ISNUMBER(发票登记!$X$883),发票登记!$AB$883&lt;&gt;0,发票登记!$Y$883&gt;=_辅助!$J$4,发票登记!$Y$883&lt;=_辅助!$J$2),INT(发票登记!$X$883)*10000+879,"")</f>
      </c>
      <c r="BG880" s="2">
        <f>IF(AND($AF$3&gt;0,资金流水!$H$884=$C$3,ISNUMBER(资金流水!$B$884),ISNUMBER(资金流水!$S$884),资金流水!$S$884&gt;=_辅助!$J$4,资金流水!$S$884&lt;=_辅助!$J$2),INT(资金流水!$B$884)*10000+879,"")</f>
      </c>
    </row>
    <row r="881">
      <c r="BF881" s="2">
        <f>IF(AND($AF$3&gt;0,发票登记!$T$884=$C$3,ISNUMBER(发票登记!$X$884),发票登记!$AB$884&lt;&gt;0,发票登记!$Y$884&gt;=_辅助!$J$4,发票登记!$Y$884&lt;=_辅助!$J$2),INT(发票登记!$X$884)*10000+880,"")</f>
      </c>
      <c r="BG881" s="2">
        <f>IF(AND($AF$3&gt;0,资金流水!$H$885=$C$3,ISNUMBER(资金流水!$B$885),ISNUMBER(资金流水!$S$885),资金流水!$S$885&gt;=_辅助!$J$4,资金流水!$S$885&lt;=_辅助!$J$2),INT(资金流水!$B$885)*10000+880,"")</f>
      </c>
    </row>
    <row r="882">
      <c r="BF882" s="2">
        <f>IF(AND($AF$3&gt;0,发票登记!$T$885=$C$3,ISNUMBER(发票登记!$X$885),发票登记!$AB$885&lt;&gt;0,发票登记!$Y$885&gt;=_辅助!$J$4,发票登记!$Y$885&lt;=_辅助!$J$2),INT(发票登记!$X$885)*10000+881,"")</f>
      </c>
      <c r="BG882" s="2">
        <f>IF(AND($AF$3&gt;0,资金流水!$H$886=$C$3,ISNUMBER(资金流水!$B$886),ISNUMBER(资金流水!$S$886),资金流水!$S$886&gt;=_辅助!$J$4,资金流水!$S$886&lt;=_辅助!$J$2),INT(资金流水!$B$886)*10000+881,"")</f>
      </c>
    </row>
    <row r="883">
      <c r="BF883" s="2">
        <f>IF(AND($AF$3&gt;0,发票登记!$T$886=$C$3,ISNUMBER(发票登记!$X$886),发票登记!$AB$886&lt;&gt;0,发票登记!$Y$886&gt;=_辅助!$J$4,发票登记!$Y$886&lt;=_辅助!$J$2),INT(发票登记!$X$886)*10000+882,"")</f>
      </c>
      <c r="BG883" s="2">
        <f>IF(AND($AF$3&gt;0,资金流水!$H$887=$C$3,ISNUMBER(资金流水!$B$887),ISNUMBER(资金流水!$S$887),资金流水!$S$887&gt;=_辅助!$J$4,资金流水!$S$887&lt;=_辅助!$J$2),INT(资金流水!$B$887)*10000+882,"")</f>
      </c>
    </row>
    <row r="884">
      <c r="BF884" s="2">
        <f>IF(AND($AF$3&gt;0,发票登记!$T$887=$C$3,ISNUMBER(发票登记!$X$887),发票登记!$AB$887&lt;&gt;0,发票登记!$Y$887&gt;=_辅助!$J$4,发票登记!$Y$887&lt;=_辅助!$J$2),INT(发票登记!$X$887)*10000+883,"")</f>
      </c>
      <c r="BG884" s="2">
        <f>IF(AND($AF$3&gt;0,资金流水!$H$888=$C$3,ISNUMBER(资金流水!$B$888),ISNUMBER(资金流水!$S$888),资金流水!$S$888&gt;=_辅助!$J$4,资金流水!$S$888&lt;=_辅助!$J$2),INT(资金流水!$B$888)*10000+883,"")</f>
      </c>
    </row>
    <row r="885">
      <c r="BF885" s="2">
        <f>IF(AND($AF$3&gt;0,发票登记!$T$888=$C$3,ISNUMBER(发票登记!$X$888),发票登记!$AB$888&lt;&gt;0,发票登记!$Y$888&gt;=_辅助!$J$4,发票登记!$Y$888&lt;=_辅助!$J$2),INT(发票登记!$X$888)*10000+884,"")</f>
      </c>
      <c r="BG885" s="2">
        <f>IF(AND($AF$3&gt;0,资金流水!$H$889=$C$3,ISNUMBER(资金流水!$B$889),ISNUMBER(资金流水!$S$889),资金流水!$S$889&gt;=_辅助!$J$4,资金流水!$S$889&lt;=_辅助!$J$2),INT(资金流水!$B$889)*10000+884,"")</f>
      </c>
    </row>
    <row r="886">
      <c r="BF886" s="2">
        <f>IF(AND($AF$3&gt;0,发票登记!$T$889=$C$3,ISNUMBER(发票登记!$X$889),发票登记!$AB$889&lt;&gt;0,发票登记!$Y$889&gt;=_辅助!$J$4,发票登记!$Y$889&lt;=_辅助!$J$2),INT(发票登记!$X$889)*10000+885,"")</f>
      </c>
      <c r="BG886" s="2">
        <f>IF(AND($AF$3&gt;0,资金流水!$H$890=$C$3,ISNUMBER(资金流水!$B$890),ISNUMBER(资金流水!$S$890),资金流水!$S$890&gt;=_辅助!$J$4,资金流水!$S$890&lt;=_辅助!$J$2),INT(资金流水!$B$890)*10000+885,"")</f>
      </c>
    </row>
    <row r="887">
      <c r="BF887" s="2">
        <f>IF(AND($AF$3&gt;0,发票登记!$T$890=$C$3,ISNUMBER(发票登记!$X$890),发票登记!$AB$890&lt;&gt;0,发票登记!$Y$890&gt;=_辅助!$J$4,发票登记!$Y$890&lt;=_辅助!$J$2),INT(发票登记!$X$890)*10000+886,"")</f>
      </c>
      <c r="BG887" s="2">
        <f>IF(AND($AF$3&gt;0,资金流水!$H$891=$C$3,ISNUMBER(资金流水!$B$891),ISNUMBER(资金流水!$S$891),资金流水!$S$891&gt;=_辅助!$J$4,资金流水!$S$891&lt;=_辅助!$J$2),INT(资金流水!$B$891)*10000+886,"")</f>
      </c>
    </row>
    <row r="888">
      <c r="BF888" s="2">
        <f>IF(AND($AF$3&gt;0,发票登记!$T$891=$C$3,ISNUMBER(发票登记!$X$891),发票登记!$AB$891&lt;&gt;0,发票登记!$Y$891&gt;=_辅助!$J$4,发票登记!$Y$891&lt;=_辅助!$J$2),INT(发票登记!$X$891)*10000+887,"")</f>
      </c>
      <c r="BG888" s="2">
        <f>IF(AND($AF$3&gt;0,资金流水!$H$892=$C$3,ISNUMBER(资金流水!$B$892),ISNUMBER(资金流水!$S$892),资金流水!$S$892&gt;=_辅助!$J$4,资金流水!$S$892&lt;=_辅助!$J$2),INT(资金流水!$B$892)*10000+887,"")</f>
      </c>
    </row>
    <row r="889">
      <c r="BF889" s="2">
        <f>IF(AND($AF$3&gt;0,发票登记!$T$892=$C$3,ISNUMBER(发票登记!$X$892),发票登记!$AB$892&lt;&gt;0,发票登记!$Y$892&gt;=_辅助!$J$4,发票登记!$Y$892&lt;=_辅助!$J$2),INT(发票登记!$X$892)*10000+888,"")</f>
      </c>
      <c r="BG889" s="2">
        <f>IF(AND($AF$3&gt;0,资金流水!$H$893=$C$3,ISNUMBER(资金流水!$B$893),ISNUMBER(资金流水!$S$893),资金流水!$S$893&gt;=_辅助!$J$4,资金流水!$S$893&lt;=_辅助!$J$2),INT(资金流水!$B$893)*10000+888,"")</f>
      </c>
    </row>
    <row r="890">
      <c r="BF890" s="2">
        <f>IF(AND($AF$3&gt;0,发票登记!$T$893=$C$3,ISNUMBER(发票登记!$X$893),发票登记!$AB$893&lt;&gt;0,发票登记!$Y$893&gt;=_辅助!$J$4,发票登记!$Y$893&lt;=_辅助!$J$2),INT(发票登记!$X$893)*10000+889,"")</f>
      </c>
      <c r="BG890" s="2">
        <f>IF(AND($AF$3&gt;0,资金流水!$H$894=$C$3,ISNUMBER(资金流水!$B$894),ISNUMBER(资金流水!$S$894),资金流水!$S$894&gt;=_辅助!$J$4,资金流水!$S$894&lt;=_辅助!$J$2),INT(资金流水!$B$894)*10000+889,"")</f>
      </c>
    </row>
    <row r="891">
      <c r="BF891" s="2">
        <f>IF(AND($AF$3&gt;0,发票登记!$T$894=$C$3,ISNUMBER(发票登记!$X$894),发票登记!$AB$894&lt;&gt;0,发票登记!$Y$894&gt;=_辅助!$J$4,发票登记!$Y$894&lt;=_辅助!$J$2),INT(发票登记!$X$894)*10000+890,"")</f>
      </c>
      <c r="BG891" s="2">
        <f>IF(AND($AF$3&gt;0,资金流水!$H$895=$C$3,ISNUMBER(资金流水!$B$895),ISNUMBER(资金流水!$S$895),资金流水!$S$895&gt;=_辅助!$J$4,资金流水!$S$895&lt;=_辅助!$J$2),INT(资金流水!$B$895)*10000+890,"")</f>
      </c>
    </row>
    <row r="892">
      <c r="BF892" s="2">
        <f>IF(AND($AF$3&gt;0,发票登记!$T$895=$C$3,ISNUMBER(发票登记!$X$895),发票登记!$AB$895&lt;&gt;0,发票登记!$Y$895&gt;=_辅助!$J$4,发票登记!$Y$895&lt;=_辅助!$J$2),INT(发票登记!$X$895)*10000+891,"")</f>
      </c>
      <c r="BG892" s="2">
        <f>IF(AND($AF$3&gt;0,资金流水!$H$896=$C$3,ISNUMBER(资金流水!$B$896),ISNUMBER(资金流水!$S$896),资金流水!$S$896&gt;=_辅助!$J$4,资金流水!$S$896&lt;=_辅助!$J$2),INT(资金流水!$B$896)*10000+891,"")</f>
      </c>
    </row>
    <row r="893">
      <c r="BF893" s="2">
        <f>IF(AND($AF$3&gt;0,发票登记!$T$896=$C$3,ISNUMBER(发票登记!$X$896),发票登记!$AB$896&lt;&gt;0,发票登记!$Y$896&gt;=_辅助!$J$4,发票登记!$Y$896&lt;=_辅助!$J$2),INT(发票登记!$X$896)*10000+892,"")</f>
      </c>
      <c r="BG893" s="2">
        <f>IF(AND($AF$3&gt;0,资金流水!$H$897=$C$3,ISNUMBER(资金流水!$B$897),ISNUMBER(资金流水!$S$897),资金流水!$S$897&gt;=_辅助!$J$4,资金流水!$S$897&lt;=_辅助!$J$2),INT(资金流水!$B$897)*10000+892,"")</f>
      </c>
    </row>
    <row r="894">
      <c r="BF894" s="2">
        <f>IF(AND($AF$3&gt;0,发票登记!$T$897=$C$3,ISNUMBER(发票登记!$X$897),发票登记!$AB$897&lt;&gt;0,发票登记!$Y$897&gt;=_辅助!$J$4,发票登记!$Y$897&lt;=_辅助!$J$2),INT(发票登记!$X$897)*10000+893,"")</f>
      </c>
      <c r="BG894" s="2">
        <f>IF(AND($AF$3&gt;0,资金流水!$H$898=$C$3,ISNUMBER(资金流水!$B$898),ISNUMBER(资金流水!$S$898),资金流水!$S$898&gt;=_辅助!$J$4,资金流水!$S$898&lt;=_辅助!$J$2),INT(资金流水!$B$898)*10000+893,"")</f>
      </c>
    </row>
    <row r="895">
      <c r="BF895" s="2">
        <f>IF(AND($AF$3&gt;0,发票登记!$T$898=$C$3,ISNUMBER(发票登记!$X$898),发票登记!$AB$898&lt;&gt;0,发票登记!$Y$898&gt;=_辅助!$J$4,发票登记!$Y$898&lt;=_辅助!$J$2),INT(发票登记!$X$898)*10000+894,"")</f>
      </c>
      <c r="BG895" s="2">
        <f>IF(AND($AF$3&gt;0,资金流水!$H$899=$C$3,ISNUMBER(资金流水!$B$899),ISNUMBER(资金流水!$S$899),资金流水!$S$899&gt;=_辅助!$J$4,资金流水!$S$899&lt;=_辅助!$J$2),INT(资金流水!$B$899)*10000+894,"")</f>
      </c>
    </row>
    <row r="896">
      <c r="BF896" s="2">
        <f>IF(AND($AF$3&gt;0,发票登记!$T$899=$C$3,ISNUMBER(发票登记!$X$899),发票登记!$AB$899&lt;&gt;0,发票登记!$Y$899&gt;=_辅助!$J$4,发票登记!$Y$899&lt;=_辅助!$J$2),INT(发票登记!$X$899)*10000+895,"")</f>
      </c>
      <c r="BG896" s="2">
        <f>IF(AND($AF$3&gt;0,资金流水!$H$900=$C$3,ISNUMBER(资金流水!$B$900),ISNUMBER(资金流水!$S$900),资金流水!$S$900&gt;=_辅助!$J$4,资金流水!$S$900&lt;=_辅助!$J$2),INT(资金流水!$B$900)*10000+895,"")</f>
      </c>
    </row>
    <row r="897">
      <c r="BF897" s="2">
        <f>IF(AND($AF$3&gt;0,发票登记!$T$900=$C$3,ISNUMBER(发票登记!$X$900),发票登记!$AB$900&lt;&gt;0,发票登记!$Y$900&gt;=_辅助!$J$4,发票登记!$Y$900&lt;=_辅助!$J$2),INT(发票登记!$X$900)*10000+896,"")</f>
      </c>
      <c r="BG897" s="2">
        <f>IF(AND($AF$3&gt;0,资金流水!$H$901=$C$3,ISNUMBER(资金流水!$B$901),ISNUMBER(资金流水!$S$901),资金流水!$S$901&gt;=_辅助!$J$4,资金流水!$S$901&lt;=_辅助!$J$2),INT(资金流水!$B$901)*10000+896,"")</f>
      </c>
    </row>
    <row r="898">
      <c r="BF898" s="2">
        <f>IF(AND($AF$3&gt;0,发票登记!$T$901=$C$3,ISNUMBER(发票登记!$X$901),发票登记!$AB$901&lt;&gt;0,发票登记!$Y$901&gt;=_辅助!$J$4,发票登记!$Y$901&lt;=_辅助!$J$2),INT(发票登记!$X$901)*10000+897,"")</f>
      </c>
      <c r="BG898" s="2">
        <f>IF(AND($AF$3&gt;0,资金流水!$H$902=$C$3,ISNUMBER(资金流水!$B$902),ISNUMBER(资金流水!$S$902),资金流水!$S$902&gt;=_辅助!$J$4,资金流水!$S$902&lt;=_辅助!$J$2),INT(资金流水!$B$902)*10000+897,"")</f>
      </c>
    </row>
    <row r="899">
      <c r="BF899" s="2">
        <f>IF(AND($AF$3&gt;0,发票登记!$T$902=$C$3,ISNUMBER(发票登记!$X$902),发票登记!$AB$902&lt;&gt;0,发票登记!$Y$902&gt;=_辅助!$J$4,发票登记!$Y$902&lt;=_辅助!$J$2),INT(发票登记!$X$902)*10000+898,"")</f>
      </c>
      <c r="BG899" s="2">
        <f>IF(AND($AF$3&gt;0,资金流水!$H$903=$C$3,ISNUMBER(资金流水!$B$903),ISNUMBER(资金流水!$S$903),资金流水!$S$903&gt;=_辅助!$J$4,资金流水!$S$903&lt;=_辅助!$J$2),INT(资金流水!$B$903)*10000+898,"")</f>
      </c>
    </row>
    <row r="900">
      <c r="BF900" s="2">
        <f>IF(AND($AF$3&gt;0,发票登记!$T$903=$C$3,ISNUMBER(发票登记!$X$903),发票登记!$AB$903&lt;&gt;0,发票登记!$Y$903&gt;=_辅助!$J$4,发票登记!$Y$903&lt;=_辅助!$J$2),INT(发票登记!$X$903)*10000+899,"")</f>
      </c>
      <c r="BG900" s="2">
        <f>IF(AND($AF$3&gt;0,资金流水!$H$904=$C$3,ISNUMBER(资金流水!$B$904),ISNUMBER(资金流水!$S$904),资金流水!$S$904&gt;=_辅助!$J$4,资金流水!$S$904&lt;=_辅助!$J$2),INT(资金流水!$B$904)*10000+899,"")</f>
      </c>
    </row>
    <row r="901">
      <c r="BF901" s="2">
        <f>IF(AND($AF$3&gt;0,发票登记!$T$904=$C$3,ISNUMBER(发票登记!$X$904),发票登记!$AB$904&lt;&gt;0,发票登记!$Y$904&gt;=_辅助!$J$4,发票登记!$Y$904&lt;=_辅助!$J$2),INT(发票登记!$X$904)*10000+900,"")</f>
      </c>
      <c r="BG901" s="2">
        <f>IF(AND($AF$3&gt;0,资金流水!$H$905=$C$3,ISNUMBER(资金流水!$B$905),ISNUMBER(资金流水!$S$905),资金流水!$S$905&gt;=_辅助!$J$4,资金流水!$S$905&lt;=_辅助!$J$2),INT(资金流水!$B$905)*10000+900,"")</f>
      </c>
    </row>
    <row r="902">
      <c r="BF902" s="2">
        <f>IF(AND($AF$3&gt;0,发票登记!$T$905=$C$3,ISNUMBER(发票登记!$X$905),发票登记!$AB$905&lt;&gt;0,发票登记!$Y$905&gt;=_辅助!$J$4,发票登记!$Y$905&lt;=_辅助!$J$2),INT(发票登记!$X$905)*10000+901,"")</f>
      </c>
      <c r="BG902" s="2">
        <f>IF(AND($AF$3&gt;0,资金流水!$H$906=$C$3,ISNUMBER(资金流水!$B$906),ISNUMBER(资金流水!$S$906),资金流水!$S$906&gt;=_辅助!$J$4,资金流水!$S$906&lt;=_辅助!$J$2),INT(资金流水!$B$906)*10000+901,"")</f>
      </c>
    </row>
    <row r="903">
      <c r="BF903" s="2">
        <f>IF(AND($AF$3&gt;0,发票登记!$T$906=$C$3,ISNUMBER(发票登记!$X$906),发票登记!$AB$906&lt;&gt;0,发票登记!$Y$906&gt;=_辅助!$J$4,发票登记!$Y$906&lt;=_辅助!$J$2),INT(发票登记!$X$906)*10000+902,"")</f>
      </c>
      <c r="BG903" s="2">
        <f>IF(AND($AF$3&gt;0,资金流水!$H$907=$C$3,ISNUMBER(资金流水!$B$907),ISNUMBER(资金流水!$S$907),资金流水!$S$907&gt;=_辅助!$J$4,资金流水!$S$907&lt;=_辅助!$J$2),INT(资金流水!$B$907)*10000+902,"")</f>
      </c>
    </row>
    <row r="904">
      <c r="BF904" s="2">
        <f>IF(AND($AF$3&gt;0,发票登记!$T$907=$C$3,ISNUMBER(发票登记!$X$907),发票登记!$AB$907&lt;&gt;0,发票登记!$Y$907&gt;=_辅助!$J$4,发票登记!$Y$907&lt;=_辅助!$J$2),INT(发票登记!$X$907)*10000+903,"")</f>
      </c>
      <c r="BG904" s="2">
        <f>IF(AND($AF$3&gt;0,资金流水!$H$908=$C$3,ISNUMBER(资金流水!$B$908),ISNUMBER(资金流水!$S$908),资金流水!$S$908&gt;=_辅助!$J$4,资金流水!$S$908&lt;=_辅助!$J$2),INT(资金流水!$B$908)*10000+903,"")</f>
      </c>
    </row>
    <row r="905">
      <c r="BF905" s="2">
        <f>IF(AND($AF$3&gt;0,发票登记!$T$908=$C$3,ISNUMBER(发票登记!$X$908),发票登记!$AB$908&lt;&gt;0,发票登记!$Y$908&gt;=_辅助!$J$4,发票登记!$Y$908&lt;=_辅助!$J$2),INT(发票登记!$X$908)*10000+904,"")</f>
      </c>
      <c r="BG905" s="2">
        <f>IF(AND($AF$3&gt;0,资金流水!$H$909=$C$3,ISNUMBER(资金流水!$B$909),ISNUMBER(资金流水!$S$909),资金流水!$S$909&gt;=_辅助!$J$4,资金流水!$S$909&lt;=_辅助!$J$2),INT(资金流水!$B$909)*10000+904,"")</f>
      </c>
    </row>
    <row r="906">
      <c r="BF906" s="2">
        <f>IF(AND($AF$3&gt;0,发票登记!$T$909=$C$3,ISNUMBER(发票登记!$X$909),发票登记!$AB$909&lt;&gt;0,发票登记!$Y$909&gt;=_辅助!$J$4,发票登记!$Y$909&lt;=_辅助!$J$2),INT(发票登记!$X$909)*10000+905,"")</f>
      </c>
      <c r="BG906" s="2">
        <f>IF(AND($AF$3&gt;0,资金流水!$H$910=$C$3,ISNUMBER(资金流水!$B$910),ISNUMBER(资金流水!$S$910),资金流水!$S$910&gt;=_辅助!$J$4,资金流水!$S$910&lt;=_辅助!$J$2),INT(资金流水!$B$910)*10000+905,"")</f>
      </c>
    </row>
    <row r="907">
      <c r="BF907" s="2">
        <f>IF(AND($AF$3&gt;0,发票登记!$T$910=$C$3,ISNUMBER(发票登记!$X$910),发票登记!$AB$910&lt;&gt;0,发票登记!$Y$910&gt;=_辅助!$J$4,发票登记!$Y$910&lt;=_辅助!$J$2),INT(发票登记!$X$910)*10000+906,"")</f>
      </c>
      <c r="BG907" s="2">
        <f>IF(AND($AF$3&gt;0,资金流水!$H$911=$C$3,ISNUMBER(资金流水!$B$911),ISNUMBER(资金流水!$S$911),资金流水!$S$911&gt;=_辅助!$J$4,资金流水!$S$911&lt;=_辅助!$J$2),INT(资金流水!$B$911)*10000+906,"")</f>
      </c>
    </row>
    <row r="908">
      <c r="BF908" s="2">
        <f>IF(AND($AF$3&gt;0,发票登记!$T$911=$C$3,ISNUMBER(发票登记!$X$911),发票登记!$AB$911&lt;&gt;0,发票登记!$Y$911&gt;=_辅助!$J$4,发票登记!$Y$911&lt;=_辅助!$J$2),INT(发票登记!$X$911)*10000+907,"")</f>
      </c>
      <c r="BG908" s="2">
        <f>IF(AND($AF$3&gt;0,资金流水!$H$912=$C$3,ISNUMBER(资金流水!$B$912),ISNUMBER(资金流水!$S$912),资金流水!$S$912&gt;=_辅助!$J$4,资金流水!$S$912&lt;=_辅助!$J$2),INT(资金流水!$B$912)*10000+907,"")</f>
      </c>
    </row>
    <row r="909">
      <c r="BF909" s="2">
        <f>IF(AND($AF$3&gt;0,发票登记!$T$912=$C$3,ISNUMBER(发票登记!$X$912),发票登记!$AB$912&lt;&gt;0,发票登记!$Y$912&gt;=_辅助!$J$4,发票登记!$Y$912&lt;=_辅助!$J$2),INT(发票登记!$X$912)*10000+908,"")</f>
      </c>
      <c r="BG909" s="2">
        <f>IF(AND($AF$3&gt;0,资金流水!$H$913=$C$3,ISNUMBER(资金流水!$B$913),ISNUMBER(资金流水!$S$913),资金流水!$S$913&gt;=_辅助!$J$4,资金流水!$S$913&lt;=_辅助!$J$2),INT(资金流水!$B$913)*10000+908,"")</f>
      </c>
    </row>
    <row r="910">
      <c r="BF910" s="2">
        <f>IF(AND($AF$3&gt;0,发票登记!$T$913=$C$3,ISNUMBER(发票登记!$X$913),发票登记!$AB$913&lt;&gt;0,发票登记!$Y$913&gt;=_辅助!$J$4,发票登记!$Y$913&lt;=_辅助!$J$2),INT(发票登记!$X$913)*10000+909,"")</f>
      </c>
      <c r="BG910" s="2">
        <f>IF(AND($AF$3&gt;0,资金流水!$H$914=$C$3,ISNUMBER(资金流水!$B$914),ISNUMBER(资金流水!$S$914),资金流水!$S$914&gt;=_辅助!$J$4,资金流水!$S$914&lt;=_辅助!$J$2),INT(资金流水!$B$914)*10000+909,"")</f>
      </c>
    </row>
    <row r="911">
      <c r="BF911" s="2">
        <f>IF(AND($AF$3&gt;0,发票登记!$T$914=$C$3,ISNUMBER(发票登记!$X$914),发票登记!$AB$914&lt;&gt;0,发票登记!$Y$914&gt;=_辅助!$J$4,发票登记!$Y$914&lt;=_辅助!$J$2),INT(发票登记!$X$914)*10000+910,"")</f>
      </c>
      <c r="BG911" s="2">
        <f>IF(AND($AF$3&gt;0,资金流水!$H$915=$C$3,ISNUMBER(资金流水!$B$915),ISNUMBER(资金流水!$S$915),资金流水!$S$915&gt;=_辅助!$J$4,资金流水!$S$915&lt;=_辅助!$J$2),INT(资金流水!$B$915)*10000+910,"")</f>
      </c>
    </row>
    <row r="912">
      <c r="BF912" s="2">
        <f>IF(AND($AF$3&gt;0,发票登记!$T$915=$C$3,ISNUMBER(发票登记!$X$915),发票登记!$AB$915&lt;&gt;0,发票登记!$Y$915&gt;=_辅助!$J$4,发票登记!$Y$915&lt;=_辅助!$J$2),INT(发票登记!$X$915)*10000+911,"")</f>
      </c>
      <c r="BG912" s="2">
        <f>IF(AND($AF$3&gt;0,资金流水!$H$916=$C$3,ISNUMBER(资金流水!$B$916),ISNUMBER(资金流水!$S$916),资金流水!$S$916&gt;=_辅助!$J$4,资金流水!$S$916&lt;=_辅助!$J$2),INT(资金流水!$B$916)*10000+911,"")</f>
      </c>
    </row>
    <row r="913">
      <c r="BF913" s="2">
        <f>IF(AND($AF$3&gt;0,发票登记!$T$916=$C$3,ISNUMBER(发票登记!$X$916),发票登记!$AB$916&lt;&gt;0,发票登记!$Y$916&gt;=_辅助!$J$4,发票登记!$Y$916&lt;=_辅助!$J$2),INT(发票登记!$X$916)*10000+912,"")</f>
      </c>
      <c r="BG913" s="2">
        <f>IF(AND($AF$3&gt;0,资金流水!$H$917=$C$3,ISNUMBER(资金流水!$B$917),ISNUMBER(资金流水!$S$917),资金流水!$S$917&gt;=_辅助!$J$4,资金流水!$S$917&lt;=_辅助!$J$2),INT(资金流水!$B$917)*10000+912,"")</f>
      </c>
    </row>
    <row r="914">
      <c r="BF914" s="2">
        <f>IF(AND($AF$3&gt;0,发票登记!$T$917=$C$3,ISNUMBER(发票登记!$X$917),发票登记!$AB$917&lt;&gt;0,发票登记!$Y$917&gt;=_辅助!$J$4,发票登记!$Y$917&lt;=_辅助!$J$2),INT(发票登记!$X$917)*10000+913,"")</f>
      </c>
      <c r="BG914" s="2">
        <f>IF(AND($AF$3&gt;0,资金流水!$H$918=$C$3,ISNUMBER(资金流水!$B$918),ISNUMBER(资金流水!$S$918),资金流水!$S$918&gt;=_辅助!$J$4,资金流水!$S$918&lt;=_辅助!$J$2),INT(资金流水!$B$918)*10000+913,"")</f>
      </c>
    </row>
    <row r="915">
      <c r="BF915" s="2">
        <f>IF(AND($AF$3&gt;0,发票登记!$T$918=$C$3,ISNUMBER(发票登记!$X$918),发票登记!$AB$918&lt;&gt;0,发票登记!$Y$918&gt;=_辅助!$J$4,发票登记!$Y$918&lt;=_辅助!$J$2),INT(发票登记!$X$918)*10000+914,"")</f>
      </c>
      <c r="BG915" s="2">
        <f>IF(AND($AF$3&gt;0,资金流水!$H$919=$C$3,ISNUMBER(资金流水!$B$919),ISNUMBER(资金流水!$S$919),资金流水!$S$919&gt;=_辅助!$J$4,资金流水!$S$919&lt;=_辅助!$J$2),INT(资金流水!$B$919)*10000+914,"")</f>
      </c>
    </row>
    <row r="916">
      <c r="BF916" s="2">
        <f>IF(AND($AF$3&gt;0,发票登记!$T$919=$C$3,ISNUMBER(发票登记!$X$919),发票登记!$AB$919&lt;&gt;0,发票登记!$Y$919&gt;=_辅助!$J$4,发票登记!$Y$919&lt;=_辅助!$J$2),INT(发票登记!$X$919)*10000+915,"")</f>
      </c>
      <c r="BG916" s="2">
        <f>IF(AND($AF$3&gt;0,资金流水!$H$920=$C$3,ISNUMBER(资金流水!$B$920),ISNUMBER(资金流水!$S$920),资金流水!$S$920&gt;=_辅助!$J$4,资金流水!$S$920&lt;=_辅助!$J$2),INT(资金流水!$B$920)*10000+915,"")</f>
      </c>
    </row>
    <row r="917">
      <c r="BF917" s="2">
        <f>IF(AND($AF$3&gt;0,发票登记!$T$920=$C$3,ISNUMBER(发票登记!$X$920),发票登记!$AB$920&lt;&gt;0,发票登记!$Y$920&gt;=_辅助!$J$4,发票登记!$Y$920&lt;=_辅助!$J$2),INT(发票登记!$X$920)*10000+916,"")</f>
      </c>
      <c r="BG917" s="2">
        <f>IF(AND($AF$3&gt;0,资金流水!$H$921=$C$3,ISNUMBER(资金流水!$B$921),ISNUMBER(资金流水!$S$921),资金流水!$S$921&gt;=_辅助!$J$4,资金流水!$S$921&lt;=_辅助!$J$2),INT(资金流水!$B$921)*10000+916,"")</f>
      </c>
    </row>
    <row r="918">
      <c r="BF918" s="2">
        <f>IF(AND($AF$3&gt;0,发票登记!$T$921=$C$3,ISNUMBER(发票登记!$X$921),发票登记!$AB$921&lt;&gt;0,发票登记!$Y$921&gt;=_辅助!$J$4,发票登记!$Y$921&lt;=_辅助!$J$2),INT(发票登记!$X$921)*10000+917,"")</f>
      </c>
      <c r="BG918" s="2">
        <f>IF(AND($AF$3&gt;0,资金流水!$H$922=$C$3,ISNUMBER(资金流水!$B$922),ISNUMBER(资金流水!$S$922),资金流水!$S$922&gt;=_辅助!$J$4,资金流水!$S$922&lt;=_辅助!$J$2),INT(资金流水!$B$922)*10000+917,"")</f>
      </c>
    </row>
    <row r="919">
      <c r="BF919" s="2">
        <f>IF(AND($AF$3&gt;0,发票登记!$T$922=$C$3,ISNUMBER(发票登记!$X$922),发票登记!$AB$922&lt;&gt;0,发票登记!$Y$922&gt;=_辅助!$J$4,发票登记!$Y$922&lt;=_辅助!$J$2),INT(发票登记!$X$922)*10000+918,"")</f>
      </c>
      <c r="BG919" s="2">
        <f>IF(AND($AF$3&gt;0,资金流水!$H$923=$C$3,ISNUMBER(资金流水!$B$923),ISNUMBER(资金流水!$S$923),资金流水!$S$923&gt;=_辅助!$J$4,资金流水!$S$923&lt;=_辅助!$J$2),INT(资金流水!$B$923)*10000+918,"")</f>
      </c>
    </row>
    <row r="920">
      <c r="BF920" s="2">
        <f>IF(AND($AF$3&gt;0,发票登记!$T$923=$C$3,ISNUMBER(发票登记!$X$923),发票登记!$AB$923&lt;&gt;0,发票登记!$Y$923&gt;=_辅助!$J$4,发票登记!$Y$923&lt;=_辅助!$J$2),INT(发票登记!$X$923)*10000+919,"")</f>
      </c>
      <c r="BG920" s="2">
        <f>IF(AND($AF$3&gt;0,资金流水!$H$924=$C$3,ISNUMBER(资金流水!$B$924),ISNUMBER(资金流水!$S$924),资金流水!$S$924&gt;=_辅助!$J$4,资金流水!$S$924&lt;=_辅助!$J$2),INT(资金流水!$B$924)*10000+919,"")</f>
      </c>
    </row>
    <row r="921">
      <c r="BF921" s="2">
        <f>IF(AND($AF$3&gt;0,发票登记!$T$924=$C$3,ISNUMBER(发票登记!$X$924),发票登记!$AB$924&lt;&gt;0,发票登记!$Y$924&gt;=_辅助!$J$4,发票登记!$Y$924&lt;=_辅助!$J$2),INT(发票登记!$X$924)*10000+920,"")</f>
      </c>
      <c r="BG921" s="2">
        <f>IF(AND($AF$3&gt;0,资金流水!$H$925=$C$3,ISNUMBER(资金流水!$B$925),ISNUMBER(资金流水!$S$925),资金流水!$S$925&gt;=_辅助!$J$4,资金流水!$S$925&lt;=_辅助!$J$2),INT(资金流水!$B$925)*10000+920,"")</f>
      </c>
    </row>
    <row r="922">
      <c r="BF922" s="2">
        <f>IF(AND($AF$3&gt;0,发票登记!$T$925=$C$3,ISNUMBER(发票登记!$X$925),发票登记!$AB$925&lt;&gt;0,发票登记!$Y$925&gt;=_辅助!$J$4,发票登记!$Y$925&lt;=_辅助!$J$2),INT(发票登记!$X$925)*10000+921,"")</f>
      </c>
      <c r="BG922" s="2">
        <f>IF(AND($AF$3&gt;0,资金流水!$H$926=$C$3,ISNUMBER(资金流水!$B$926),ISNUMBER(资金流水!$S$926),资金流水!$S$926&gt;=_辅助!$J$4,资金流水!$S$926&lt;=_辅助!$J$2),INT(资金流水!$B$926)*10000+921,"")</f>
      </c>
    </row>
    <row r="923">
      <c r="BF923" s="2">
        <f>IF(AND($AF$3&gt;0,发票登记!$T$926=$C$3,ISNUMBER(发票登记!$X$926),发票登记!$AB$926&lt;&gt;0,发票登记!$Y$926&gt;=_辅助!$J$4,发票登记!$Y$926&lt;=_辅助!$J$2),INT(发票登记!$X$926)*10000+922,"")</f>
      </c>
      <c r="BG923" s="2">
        <f>IF(AND($AF$3&gt;0,资金流水!$H$927=$C$3,ISNUMBER(资金流水!$B$927),ISNUMBER(资金流水!$S$927),资金流水!$S$927&gt;=_辅助!$J$4,资金流水!$S$927&lt;=_辅助!$J$2),INT(资金流水!$B$927)*10000+922,"")</f>
      </c>
    </row>
    <row r="924">
      <c r="BF924" s="2">
        <f>IF(AND($AF$3&gt;0,发票登记!$T$927=$C$3,ISNUMBER(发票登记!$X$927),发票登记!$AB$927&lt;&gt;0,发票登记!$Y$927&gt;=_辅助!$J$4,发票登记!$Y$927&lt;=_辅助!$J$2),INT(发票登记!$X$927)*10000+923,"")</f>
      </c>
      <c r="BG924" s="2">
        <f>IF(AND($AF$3&gt;0,资金流水!$H$928=$C$3,ISNUMBER(资金流水!$B$928),ISNUMBER(资金流水!$S$928),资金流水!$S$928&gt;=_辅助!$J$4,资金流水!$S$928&lt;=_辅助!$J$2),INT(资金流水!$B$928)*10000+923,"")</f>
      </c>
    </row>
    <row r="925">
      <c r="BF925" s="2">
        <f>IF(AND($AF$3&gt;0,发票登记!$T$928=$C$3,ISNUMBER(发票登记!$X$928),发票登记!$AB$928&lt;&gt;0,发票登记!$Y$928&gt;=_辅助!$J$4,发票登记!$Y$928&lt;=_辅助!$J$2),INT(发票登记!$X$928)*10000+924,"")</f>
      </c>
      <c r="BG925" s="2">
        <f>IF(AND($AF$3&gt;0,资金流水!$H$929=$C$3,ISNUMBER(资金流水!$B$929),ISNUMBER(资金流水!$S$929),资金流水!$S$929&gt;=_辅助!$J$4,资金流水!$S$929&lt;=_辅助!$J$2),INT(资金流水!$B$929)*10000+924,"")</f>
      </c>
    </row>
    <row r="926">
      <c r="BF926" s="2">
        <f>IF(AND($AF$3&gt;0,发票登记!$T$929=$C$3,ISNUMBER(发票登记!$X$929),发票登记!$AB$929&lt;&gt;0,发票登记!$Y$929&gt;=_辅助!$J$4,发票登记!$Y$929&lt;=_辅助!$J$2),INT(发票登记!$X$929)*10000+925,"")</f>
      </c>
      <c r="BG926" s="2">
        <f>IF(AND($AF$3&gt;0,资金流水!$H$930=$C$3,ISNUMBER(资金流水!$B$930),ISNUMBER(资金流水!$S$930),资金流水!$S$930&gt;=_辅助!$J$4,资金流水!$S$930&lt;=_辅助!$J$2),INT(资金流水!$B$930)*10000+925,"")</f>
      </c>
    </row>
    <row r="927">
      <c r="BF927" s="2">
        <f>IF(AND($AF$3&gt;0,发票登记!$T$930=$C$3,ISNUMBER(发票登记!$X$930),发票登记!$AB$930&lt;&gt;0,发票登记!$Y$930&gt;=_辅助!$J$4,发票登记!$Y$930&lt;=_辅助!$J$2),INT(发票登记!$X$930)*10000+926,"")</f>
      </c>
      <c r="BG927" s="2">
        <f>IF(AND($AF$3&gt;0,资金流水!$H$931=$C$3,ISNUMBER(资金流水!$B$931),ISNUMBER(资金流水!$S$931),资金流水!$S$931&gt;=_辅助!$J$4,资金流水!$S$931&lt;=_辅助!$J$2),INT(资金流水!$B$931)*10000+926,"")</f>
      </c>
    </row>
    <row r="928">
      <c r="BF928" s="2">
        <f>IF(AND($AF$3&gt;0,发票登记!$T$931=$C$3,ISNUMBER(发票登记!$X$931),发票登记!$AB$931&lt;&gt;0,发票登记!$Y$931&gt;=_辅助!$J$4,发票登记!$Y$931&lt;=_辅助!$J$2),INT(发票登记!$X$931)*10000+927,"")</f>
      </c>
      <c r="BG928" s="2">
        <f>IF(AND($AF$3&gt;0,资金流水!$H$932=$C$3,ISNUMBER(资金流水!$B$932),ISNUMBER(资金流水!$S$932),资金流水!$S$932&gt;=_辅助!$J$4,资金流水!$S$932&lt;=_辅助!$J$2),INT(资金流水!$B$932)*10000+927,"")</f>
      </c>
    </row>
    <row r="929">
      <c r="BF929" s="2">
        <f>IF(AND($AF$3&gt;0,发票登记!$T$932=$C$3,ISNUMBER(发票登记!$X$932),发票登记!$AB$932&lt;&gt;0,发票登记!$Y$932&gt;=_辅助!$J$4,发票登记!$Y$932&lt;=_辅助!$J$2),INT(发票登记!$X$932)*10000+928,"")</f>
      </c>
      <c r="BG929" s="2">
        <f>IF(AND($AF$3&gt;0,资金流水!$H$933=$C$3,ISNUMBER(资金流水!$B$933),ISNUMBER(资金流水!$S$933),资金流水!$S$933&gt;=_辅助!$J$4,资金流水!$S$933&lt;=_辅助!$J$2),INT(资金流水!$B$933)*10000+928,"")</f>
      </c>
    </row>
    <row r="930">
      <c r="BF930" s="2">
        <f>IF(AND($AF$3&gt;0,发票登记!$T$933=$C$3,ISNUMBER(发票登记!$X$933),发票登记!$AB$933&lt;&gt;0,发票登记!$Y$933&gt;=_辅助!$J$4,发票登记!$Y$933&lt;=_辅助!$J$2),INT(发票登记!$X$933)*10000+929,"")</f>
      </c>
      <c r="BG930" s="2">
        <f>IF(AND($AF$3&gt;0,资金流水!$H$934=$C$3,ISNUMBER(资金流水!$B$934),ISNUMBER(资金流水!$S$934),资金流水!$S$934&gt;=_辅助!$J$4,资金流水!$S$934&lt;=_辅助!$J$2),INT(资金流水!$B$934)*10000+929,"")</f>
      </c>
    </row>
    <row r="931">
      <c r="BF931" s="2">
        <f>IF(AND($AF$3&gt;0,发票登记!$T$934=$C$3,ISNUMBER(发票登记!$X$934),发票登记!$AB$934&lt;&gt;0,发票登记!$Y$934&gt;=_辅助!$J$4,发票登记!$Y$934&lt;=_辅助!$J$2),INT(发票登记!$X$934)*10000+930,"")</f>
      </c>
      <c r="BG931" s="2">
        <f>IF(AND($AF$3&gt;0,资金流水!$H$935=$C$3,ISNUMBER(资金流水!$B$935),ISNUMBER(资金流水!$S$935),资金流水!$S$935&gt;=_辅助!$J$4,资金流水!$S$935&lt;=_辅助!$J$2),INT(资金流水!$B$935)*10000+930,"")</f>
      </c>
    </row>
    <row r="932">
      <c r="BF932" s="2">
        <f>IF(AND($AF$3&gt;0,发票登记!$T$935=$C$3,ISNUMBER(发票登记!$X$935),发票登记!$AB$935&lt;&gt;0,发票登记!$Y$935&gt;=_辅助!$J$4,发票登记!$Y$935&lt;=_辅助!$J$2),INT(发票登记!$X$935)*10000+931,"")</f>
      </c>
      <c r="BG932" s="2">
        <f>IF(AND($AF$3&gt;0,资金流水!$H$936=$C$3,ISNUMBER(资金流水!$B$936),ISNUMBER(资金流水!$S$936),资金流水!$S$936&gt;=_辅助!$J$4,资金流水!$S$936&lt;=_辅助!$J$2),INT(资金流水!$B$936)*10000+931,"")</f>
      </c>
    </row>
    <row r="933">
      <c r="BF933" s="2">
        <f>IF(AND($AF$3&gt;0,发票登记!$T$936=$C$3,ISNUMBER(发票登记!$X$936),发票登记!$AB$936&lt;&gt;0,发票登记!$Y$936&gt;=_辅助!$J$4,发票登记!$Y$936&lt;=_辅助!$J$2),INT(发票登记!$X$936)*10000+932,"")</f>
      </c>
      <c r="BG933" s="2">
        <f>IF(AND($AF$3&gt;0,资金流水!$H$937=$C$3,ISNUMBER(资金流水!$B$937),ISNUMBER(资金流水!$S$937),资金流水!$S$937&gt;=_辅助!$J$4,资金流水!$S$937&lt;=_辅助!$J$2),INT(资金流水!$B$937)*10000+932,"")</f>
      </c>
    </row>
    <row r="934">
      <c r="BF934" s="2">
        <f>IF(AND($AF$3&gt;0,发票登记!$T$937=$C$3,ISNUMBER(发票登记!$X$937),发票登记!$AB$937&lt;&gt;0,发票登记!$Y$937&gt;=_辅助!$J$4,发票登记!$Y$937&lt;=_辅助!$J$2),INT(发票登记!$X$937)*10000+933,"")</f>
      </c>
      <c r="BG934" s="2">
        <f>IF(AND($AF$3&gt;0,资金流水!$H$938=$C$3,ISNUMBER(资金流水!$B$938),ISNUMBER(资金流水!$S$938),资金流水!$S$938&gt;=_辅助!$J$4,资金流水!$S$938&lt;=_辅助!$J$2),INT(资金流水!$B$938)*10000+933,"")</f>
      </c>
    </row>
    <row r="935">
      <c r="BF935" s="2">
        <f>IF(AND($AF$3&gt;0,发票登记!$T$938=$C$3,ISNUMBER(发票登记!$X$938),发票登记!$AB$938&lt;&gt;0,发票登记!$Y$938&gt;=_辅助!$J$4,发票登记!$Y$938&lt;=_辅助!$J$2),INT(发票登记!$X$938)*10000+934,"")</f>
      </c>
      <c r="BG935" s="2">
        <f>IF(AND($AF$3&gt;0,资金流水!$H$939=$C$3,ISNUMBER(资金流水!$B$939),ISNUMBER(资金流水!$S$939),资金流水!$S$939&gt;=_辅助!$J$4,资金流水!$S$939&lt;=_辅助!$J$2),INT(资金流水!$B$939)*10000+934,"")</f>
      </c>
    </row>
    <row r="936">
      <c r="BF936" s="2">
        <f>IF(AND($AF$3&gt;0,发票登记!$T$939=$C$3,ISNUMBER(发票登记!$X$939),发票登记!$AB$939&lt;&gt;0,发票登记!$Y$939&gt;=_辅助!$J$4,发票登记!$Y$939&lt;=_辅助!$J$2),INT(发票登记!$X$939)*10000+935,"")</f>
      </c>
      <c r="BG936" s="2">
        <f>IF(AND($AF$3&gt;0,资金流水!$H$940=$C$3,ISNUMBER(资金流水!$B$940),ISNUMBER(资金流水!$S$940),资金流水!$S$940&gt;=_辅助!$J$4,资金流水!$S$940&lt;=_辅助!$J$2),INT(资金流水!$B$940)*10000+935,"")</f>
      </c>
    </row>
    <row r="937">
      <c r="BF937" s="2">
        <f>IF(AND($AF$3&gt;0,发票登记!$T$940=$C$3,ISNUMBER(发票登记!$X$940),发票登记!$AB$940&lt;&gt;0,发票登记!$Y$940&gt;=_辅助!$J$4,发票登记!$Y$940&lt;=_辅助!$J$2),INT(发票登记!$X$940)*10000+936,"")</f>
      </c>
      <c r="BG937" s="2">
        <f>IF(AND($AF$3&gt;0,资金流水!$H$941=$C$3,ISNUMBER(资金流水!$B$941),ISNUMBER(资金流水!$S$941),资金流水!$S$941&gt;=_辅助!$J$4,资金流水!$S$941&lt;=_辅助!$J$2),INT(资金流水!$B$941)*10000+936,"")</f>
      </c>
    </row>
    <row r="938">
      <c r="BF938" s="2">
        <f>IF(AND($AF$3&gt;0,发票登记!$T$941=$C$3,ISNUMBER(发票登记!$X$941),发票登记!$AB$941&lt;&gt;0,发票登记!$Y$941&gt;=_辅助!$J$4,发票登记!$Y$941&lt;=_辅助!$J$2),INT(发票登记!$X$941)*10000+937,"")</f>
      </c>
      <c r="BG938" s="2">
        <f>IF(AND($AF$3&gt;0,资金流水!$H$942=$C$3,ISNUMBER(资金流水!$B$942),ISNUMBER(资金流水!$S$942),资金流水!$S$942&gt;=_辅助!$J$4,资金流水!$S$942&lt;=_辅助!$J$2),INT(资金流水!$B$942)*10000+937,"")</f>
      </c>
    </row>
    <row r="939">
      <c r="BF939" s="2">
        <f>IF(AND($AF$3&gt;0,发票登记!$T$942=$C$3,ISNUMBER(发票登记!$X$942),发票登记!$AB$942&lt;&gt;0,发票登记!$Y$942&gt;=_辅助!$J$4,发票登记!$Y$942&lt;=_辅助!$J$2),INT(发票登记!$X$942)*10000+938,"")</f>
      </c>
      <c r="BG939" s="2">
        <f>IF(AND($AF$3&gt;0,资金流水!$H$943=$C$3,ISNUMBER(资金流水!$B$943),ISNUMBER(资金流水!$S$943),资金流水!$S$943&gt;=_辅助!$J$4,资金流水!$S$943&lt;=_辅助!$J$2),INT(资金流水!$B$943)*10000+938,"")</f>
      </c>
    </row>
    <row r="940">
      <c r="BF940" s="2">
        <f>IF(AND($AF$3&gt;0,发票登记!$T$943=$C$3,ISNUMBER(发票登记!$X$943),发票登记!$AB$943&lt;&gt;0,发票登记!$Y$943&gt;=_辅助!$J$4,发票登记!$Y$943&lt;=_辅助!$J$2),INT(发票登记!$X$943)*10000+939,"")</f>
      </c>
      <c r="BG940" s="2">
        <f>IF(AND($AF$3&gt;0,资金流水!$H$944=$C$3,ISNUMBER(资金流水!$B$944),ISNUMBER(资金流水!$S$944),资金流水!$S$944&gt;=_辅助!$J$4,资金流水!$S$944&lt;=_辅助!$J$2),INT(资金流水!$B$944)*10000+939,"")</f>
      </c>
    </row>
    <row r="941">
      <c r="BF941" s="2">
        <f>IF(AND($AF$3&gt;0,发票登记!$T$944=$C$3,ISNUMBER(发票登记!$X$944),发票登记!$AB$944&lt;&gt;0,发票登记!$Y$944&gt;=_辅助!$J$4,发票登记!$Y$944&lt;=_辅助!$J$2),INT(发票登记!$X$944)*10000+940,"")</f>
      </c>
      <c r="BG941" s="2">
        <f>IF(AND($AF$3&gt;0,资金流水!$H$945=$C$3,ISNUMBER(资金流水!$B$945),ISNUMBER(资金流水!$S$945),资金流水!$S$945&gt;=_辅助!$J$4,资金流水!$S$945&lt;=_辅助!$J$2),INT(资金流水!$B$945)*10000+940,"")</f>
      </c>
    </row>
    <row r="942">
      <c r="BF942" s="2">
        <f>IF(AND($AF$3&gt;0,发票登记!$T$945=$C$3,ISNUMBER(发票登记!$X$945),发票登记!$AB$945&lt;&gt;0,发票登记!$Y$945&gt;=_辅助!$J$4,发票登记!$Y$945&lt;=_辅助!$J$2),INT(发票登记!$X$945)*10000+941,"")</f>
      </c>
      <c r="BG942" s="2">
        <f>IF(AND($AF$3&gt;0,资金流水!$H$946=$C$3,ISNUMBER(资金流水!$B$946),ISNUMBER(资金流水!$S$946),资金流水!$S$946&gt;=_辅助!$J$4,资金流水!$S$946&lt;=_辅助!$J$2),INT(资金流水!$B$946)*10000+941,"")</f>
      </c>
    </row>
    <row r="943">
      <c r="BF943" s="2">
        <f>IF(AND($AF$3&gt;0,发票登记!$T$946=$C$3,ISNUMBER(发票登记!$X$946),发票登记!$AB$946&lt;&gt;0,发票登记!$Y$946&gt;=_辅助!$J$4,发票登记!$Y$946&lt;=_辅助!$J$2),INT(发票登记!$X$946)*10000+942,"")</f>
      </c>
      <c r="BG943" s="2">
        <f>IF(AND($AF$3&gt;0,资金流水!$H$947=$C$3,ISNUMBER(资金流水!$B$947),ISNUMBER(资金流水!$S$947),资金流水!$S$947&gt;=_辅助!$J$4,资金流水!$S$947&lt;=_辅助!$J$2),INT(资金流水!$B$947)*10000+942,"")</f>
      </c>
    </row>
    <row r="944">
      <c r="BF944" s="2">
        <f>IF(AND($AF$3&gt;0,发票登记!$T$947=$C$3,ISNUMBER(发票登记!$X$947),发票登记!$AB$947&lt;&gt;0,发票登记!$Y$947&gt;=_辅助!$J$4,发票登记!$Y$947&lt;=_辅助!$J$2),INT(发票登记!$X$947)*10000+943,"")</f>
      </c>
      <c r="BG944" s="2">
        <f>IF(AND($AF$3&gt;0,资金流水!$H$948=$C$3,ISNUMBER(资金流水!$B$948),ISNUMBER(资金流水!$S$948),资金流水!$S$948&gt;=_辅助!$J$4,资金流水!$S$948&lt;=_辅助!$J$2),INT(资金流水!$B$948)*10000+943,"")</f>
      </c>
    </row>
    <row r="945">
      <c r="BF945" s="2">
        <f>IF(AND($AF$3&gt;0,发票登记!$T$948=$C$3,ISNUMBER(发票登记!$X$948),发票登记!$AB$948&lt;&gt;0,发票登记!$Y$948&gt;=_辅助!$J$4,发票登记!$Y$948&lt;=_辅助!$J$2),INT(发票登记!$X$948)*10000+944,"")</f>
      </c>
      <c r="BG945" s="2">
        <f>IF(AND($AF$3&gt;0,资金流水!$H$949=$C$3,ISNUMBER(资金流水!$B$949),ISNUMBER(资金流水!$S$949),资金流水!$S$949&gt;=_辅助!$J$4,资金流水!$S$949&lt;=_辅助!$J$2),INT(资金流水!$B$949)*10000+944,"")</f>
      </c>
    </row>
    <row r="946">
      <c r="BF946" s="2">
        <f>IF(AND($AF$3&gt;0,发票登记!$T$949=$C$3,ISNUMBER(发票登记!$X$949),发票登记!$AB$949&lt;&gt;0,发票登记!$Y$949&gt;=_辅助!$J$4,发票登记!$Y$949&lt;=_辅助!$J$2),INT(发票登记!$X$949)*10000+945,"")</f>
      </c>
      <c r="BG946" s="2">
        <f>IF(AND($AF$3&gt;0,资金流水!$H$950=$C$3,ISNUMBER(资金流水!$B$950),ISNUMBER(资金流水!$S$950),资金流水!$S$950&gt;=_辅助!$J$4,资金流水!$S$950&lt;=_辅助!$J$2),INT(资金流水!$B$950)*10000+945,"")</f>
      </c>
    </row>
    <row r="947">
      <c r="BF947" s="2">
        <f>IF(AND($AF$3&gt;0,发票登记!$T$950=$C$3,ISNUMBER(发票登记!$X$950),发票登记!$AB$950&lt;&gt;0,发票登记!$Y$950&gt;=_辅助!$J$4,发票登记!$Y$950&lt;=_辅助!$J$2),INT(发票登记!$X$950)*10000+946,"")</f>
      </c>
      <c r="BG947" s="2">
        <f>IF(AND($AF$3&gt;0,资金流水!$H$951=$C$3,ISNUMBER(资金流水!$B$951),ISNUMBER(资金流水!$S$951),资金流水!$S$951&gt;=_辅助!$J$4,资金流水!$S$951&lt;=_辅助!$J$2),INT(资金流水!$B$951)*10000+946,"")</f>
      </c>
    </row>
    <row r="948">
      <c r="BF948" s="2">
        <f>IF(AND($AF$3&gt;0,发票登记!$T$951=$C$3,ISNUMBER(发票登记!$X$951),发票登记!$AB$951&lt;&gt;0,发票登记!$Y$951&gt;=_辅助!$J$4,发票登记!$Y$951&lt;=_辅助!$J$2),INT(发票登记!$X$951)*10000+947,"")</f>
      </c>
      <c r="BG948" s="2">
        <f>IF(AND($AF$3&gt;0,资金流水!$H$952=$C$3,ISNUMBER(资金流水!$B$952),ISNUMBER(资金流水!$S$952),资金流水!$S$952&gt;=_辅助!$J$4,资金流水!$S$952&lt;=_辅助!$J$2),INT(资金流水!$B$952)*10000+947,"")</f>
      </c>
    </row>
    <row r="949">
      <c r="BF949" s="2">
        <f>IF(AND($AF$3&gt;0,发票登记!$T$952=$C$3,ISNUMBER(发票登记!$X$952),发票登记!$AB$952&lt;&gt;0,发票登记!$Y$952&gt;=_辅助!$J$4,发票登记!$Y$952&lt;=_辅助!$J$2),INT(发票登记!$X$952)*10000+948,"")</f>
      </c>
      <c r="BG949" s="2">
        <f>IF(AND($AF$3&gt;0,资金流水!$H$953=$C$3,ISNUMBER(资金流水!$B$953),ISNUMBER(资金流水!$S$953),资金流水!$S$953&gt;=_辅助!$J$4,资金流水!$S$953&lt;=_辅助!$J$2),INT(资金流水!$B$953)*10000+948,"")</f>
      </c>
    </row>
    <row r="950">
      <c r="BF950" s="2">
        <f>IF(AND($AF$3&gt;0,发票登记!$T$953=$C$3,ISNUMBER(发票登记!$X$953),发票登记!$AB$953&lt;&gt;0,发票登记!$Y$953&gt;=_辅助!$J$4,发票登记!$Y$953&lt;=_辅助!$J$2),INT(发票登记!$X$953)*10000+949,"")</f>
      </c>
      <c r="BG950" s="2">
        <f>IF(AND($AF$3&gt;0,资金流水!$H$954=$C$3,ISNUMBER(资金流水!$B$954),ISNUMBER(资金流水!$S$954),资金流水!$S$954&gt;=_辅助!$J$4,资金流水!$S$954&lt;=_辅助!$J$2),INT(资金流水!$B$954)*10000+949,"")</f>
      </c>
    </row>
    <row r="951">
      <c r="BF951" s="2">
        <f>IF(AND($AF$3&gt;0,发票登记!$T$954=$C$3,ISNUMBER(发票登记!$X$954),发票登记!$AB$954&lt;&gt;0,发票登记!$Y$954&gt;=_辅助!$J$4,发票登记!$Y$954&lt;=_辅助!$J$2),INT(发票登记!$X$954)*10000+950,"")</f>
      </c>
      <c r="BG951" s="2">
        <f>IF(AND($AF$3&gt;0,资金流水!$H$955=$C$3,ISNUMBER(资金流水!$B$955),ISNUMBER(资金流水!$S$955),资金流水!$S$955&gt;=_辅助!$J$4,资金流水!$S$955&lt;=_辅助!$J$2),INT(资金流水!$B$955)*10000+950,"")</f>
      </c>
    </row>
    <row r="952">
      <c r="BF952" s="2">
        <f>IF(AND($AF$3&gt;0,发票登记!$T$955=$C$3,ISNUMBER(发票登记!$X$955),发票登记!$AB$955&lt;&gt;0,发票登记!$Y$955&gt;=_辅助!$J$4,发票登记!$Y$955&lt;=_辅助!$J$2),INT(发票登记!$X$955)*10000+951,"")</f>
      </c>
      <c r="BG952" s="2">
        <f>IF(AND($AF$3&gt;0,资金流水!$H$956=$C$3,ISNUMBER(资金流水!$B$956),ISNUMBER(资金流水!$S$956),资金流水!$S$956&gt;=_辅助!$J$4,资金流水!$S$956&lt;=_辅助!$J$2),INT(资金流水!$B$956)*10000+951,"")</f>
      </c>
    </row>
    <row r="953">
      <c r="BF953" s="2">
        <f>IF(AND($AF$3&gt;0,发票登记!$T$956=$C$3,ISNUMBER(发票登记!$X$956),发票登记!$AB$956&lt;&gt;0,发票登记!$Y$956&gt;=_辅助!$J$4,发票登记!$Y$956&lt;=_辅助!$J$2),INT(发票登记!$X$956)*10000+952,"")</f>
      </c>
      <c r="BG953" s="2">
        <f>IF(AND($AF$3&gt;0,资金流水!$H$957=$C$3,ISNUMBER(资金流水!$B$957),ISNUMBER(资金流水!$S$957),资金流水!$S$957&gt;=_辅助!$J$4,资金流水!$S$957&lt;=_辅助!$J$2),INT(资金流水!$B$957)*10000+952,"")</f>
      </c>
    </row>
    <row r="954">
      <c r="BF954" s="2">
        <f>IF(AND($AF$3&gt;0,发票登记!$T$957=$C$3,ISNUMBER(发票登记!$X$957),发票登记!$AB$957&lt;&gt;0,发票登记!$Y$957&gt;=_辅助!$J$4,发票登记!$Y$957&lt;=_辅助!$J$2),INT(发票登记!$X$957)*10000+953,"")</f>
      </c>
      <c r="BG954" s="2">
        <f>IF(AND($AF$3&gt;0,资金流水!$H$958=$C$3,ISNUMBER(资金流水!$B$958),ISNUMBER(资金流水!$S$958),资金流水!$S$958&gt;=_辅助!$J$4,资金流水!$S$958&lt;=_辅助!$J$2),INT(资金流水!$B$958)*10000+953,"")</f>
      </c>
    </row>
    <row r="955">
      <c r="BF955" s="2">
        <f>IF(AND($AF$3&gt;0,发票登记!$T$958=$C$3,ISNUMBER(发票登记!$X$958),发票登记!$AB$958&lt;&gt;0,发票登记!$Y$958&gt;=_辅助!$J$4,发票登记!$Y$958&lt;=_辅助!$J$2),INT(发票登记!$X$958)*10000+954,"")</f>
      </c>
      <c r="BG955" s="2">
        <f>IF(AND($AF$3&gt;0,资金流水!$H$959=$C$3,ISNUMBER(资金流水!$B$959),ISNUMBER(资金流水!$S$959),资金流水!$S$959&gt;=_辅助!$J$4,资金流水!$S$959&lt;=_辅助!$J$2),INT(资金流水!$B$959)*10000+954,"")</f>
      </c>
    </row>
    <row r="956">
      <c r="BF956" s="2">
        <f>IF(AND($AF$3&gt;0,发票登记!$T$959=$C$3,ISNUMBER(发票登记!$X$959),发票登记!$AB$959&lt;&gt;0,发票登记!$Y$959&gt;=_辅助!$J$4,发票登记!$Y$959&lt;=_辅助!$J$2),INT(发票登记!$X$959)*10000+955,"")</f>
      </c>
      <c r="BG956" s="2">
        <f>IF(AND($AF$3&gt;0,资金流水!$H$960=$C$3,ISNUMBER(资金流水!$B$960),ISNUMBER(资金流水!$S$960),资金流水!$S$960&gt;=_辅助!$J$4,资金流水!$S$960&lt;=_辅助!$J$2),INT(资金流水!$B$960)*10000+955,"")</f>
      </c>
    </row>
    <row r="957">
      <c r="BF957" s="2">
        <f>IF(AND($AF$3&gt;0,发票登记!$T$960=$C$3,ISNUMBER(发票登记!$X$960),发票登记!$AB$960&lt;&gt;0,发票登记!$Y$960&gt;=_辅助!$J$4,发票登记!$Y$960&lt;=_辅助!$J$2),INT(发票登记!$X$960)*10000+956,"")</f>
      </c>
      <c r="BG957" s="2">
        <f>IF(AND($AF$3&gt;0,资金流水!$H$961=$C$3,ISNUMBER(资金流水!$B$961),ISNUMBER(资金流水!$S$961),资金流水!$S$961&gt;=_辅助!$J$4,资金流水!$S$961&lt;=_辅助!$J$2),INT(资金流水!$B$961)*10000+956,"")</f>
      </c>
    </row>
    <row r="958">
      <c r="BF958" s="2">
        <f>IF(AND($AF$3&gt;0,发票登记!$T$961=$C$3,ISNUMBER(发票登记!$X$961),发票登记!$AB$961&lt;&gt;0,发票登记!$Y$961&gt;=_辅助!$J$4,发票登记!$Y$961&lt;=_辅助!$J$2),INT(发票登记!$X$961)*10000+957,"")</f>
      </c>
      <c r="BG958" s="2">
        <f>IF(AND($AF$3&gt;0,资金流水!$H$962=$C$3,ISNUMBER(资金流水!$B$962),ISNUMBER(资金流水!$S$962),资金流水!$S$962&gt;=_辅助!$J$4,资金流水!$S$962&lt;=_辅助!$J$2),INT(资金流水!$B$962)*10000+957,"")</f>
      </c>
    </row>
    <row r="959">
      <c r="BF959" s="2">
        <f>IF(AND($AF$3&gt;0,发票登记!$T$962=$C$3,ISNUMBER(发票登记!$X$962),发票登记!$AB$962&lt;&gt;0,发票登记!$Y$962&gt;=_辅助!$J$4,发票登记!$Y$962&lt;=_辅助!$J$2),INT(发票登记!$X$962)*10000+958,"")</f>
      </c>
      <c r="BG959" s="2">
        <f>IF(AND($AF$3&gt;0,资金流水!$H$963=$C$3,ISNUMBER(资金流水!$B$963),ISNUMBER(资金流水!$S$963),资金流水!$S$963&gt;=_辅助!$J$4,资金流水!$S$963&lt;=_辅助!$J$2),INT(资金流水!$B$963)*10000+958,"")</f>
      </c>
    </row>
    <row r="960">
      <c r="BF960" s="2">
        <f>IF(AND($AF$3&gt;0,发票登记!$T$963=$C$3,ISNUMBER(发票登记!$X$963),发票登记!$AB$963&lt;&gt;0,发票登记!$Y$963&gt;=_辅助!$J$4,发票登记!$Y$963&lt;=_辅助!$J$2),INT(发票登记!$X$963)*10000+959,"")</f>
      </c>
      <c r="BG960" s="2">
        <f>IF(AND($AF$3&gt;0,资金流水!$H$964=$C$3,ISNUMBER(资金流水!$B$964),ISNUMBER(资金流水!$S$964),资金流水!$S$964&gt;=_辅助!$J$4,资金流水!$S$964&lt;=_辅助!$J$2),INT(资金流水!$B$964)*10000+959,"")</f>
      </c>
    </row>
    <row r="961">
      <c r="BF961" s="2">
        <f>IF(AND($AF$3&gt;0,发票登记!$T$964=$C$3,ISNUMBER(发票登记!$X$964),发票登记!$AB$964&lt;&gt;0,发票登记!$Y$964&gt;=_辅助!$J$4,发票登记!$Y$964&lt;=_辅助!$J$2),INT(发票登记!$X$964)*10000+960,"")</f>
      </c>
      <c r="BG961" s="2">
        <f>IF(AND($AF$3&gt;0,资金流水!$H$965=$C$3,ISNUMBER(资金流水!$B$965),ISNUMBER(资金流水!$S$965),资金流水!$S$965&gt;=_辅助!$J$4,资金流水!$S$965&lt;=_辅助!$J$2),INT(资金流水!$B$965)*10000+960,"")</f>
      </c>
    </row>
    <row r="962">
      <c r="BF962" s="2">
        <f>IF(AND($AF$3&gt;0,发票登记!$T$965=$C$3,ISNUMBER(发票登记!$X$965),发票登记!$AB$965&lt;&gt;0,发票登记!$Y$965&gt;=_辅助!$J$4,发票登记!$Y$965&lt;=_辅助!$J$2),INT(发票登记!$X$965)*10000+961,"")</f>
      </c>
      <c r="BG962" s="2">
        <f>IF(AND($AF$3&gt;0,资金流水!$H$966=$C$3,ISNUMBER(资金流水!$B$966),ISNUMBER(资金流水!$S$966),资金流水!$S$966&gt;=_辅助!$J$4,资金流水!$S$966&lt;=_辅助!$J$2),INT(资金流水!$B$966)*10000+961,"")</f>
      </c>
    </row>
    <row r="963">
      <c r="BF963" s="2">
        <f>IF(AND($AF$3&gt;0,发票登记!$T$966=$C$3,ISNUMBER(发票登记!$X$966),发票登记!$AB$966&lt;&gt;0,发票登记!$Y$966&gt;=_辅助!$J$4,发票登记!$Y$966&lt;=_辅助!$J$2),INT(发票登记!$X$966)*10000+962,"")</f>
      </c>
      <c r="BG963" s="2">
        <f>IF(AND($AF$3&gt;0,资金流水!$H$967=$C$3,ISNUMBER(资金流水!$B$967),ISNUMBER(资金流水!$S$967),资金流水!$S$967&gt;=_辅助!$J$4,资金流水!$S$967&lt;=_辅助!$J$2),INT(资金流水!$B$967)*10000+962,"")</f>
      </c>
    </row>
    <row r="964">
      <c r="BF964" s="2">
        <f>IF(AND($AF$3&gt;0,发票登记!$T$967=$C$3,ISNUMBER(发票登记!$X$967),发票登记!$AB$967&lt;&gt;0,发票登记!$Y$967&gt;=_辅助!$J$4,发票登记!$Y$967&lt;=_辅助!$J$2),INT(发票登记!$X$967)*10000+963,"")</f>
      </c>
      <c r="BG964" s="2">
        <f>IF(AND($AF$3&gt;0,资金流水!$H$968=$C$3,ISNUMBER(资金流水!$B$968),ISNUMBER(资金流水!$S$968),资金流水!$S$968&gt;=_辅助!$J$4,资金流水!$S$968&lt;=_辅助!$J$2),INT(资金流水!$B$968)*10000+963,"")</f>
      </c>
    </row>
    <row r="965">
      <c r="BF965" s="2">
        <f>IF(AND($AF$3&gt;0,发票登记!$T$968=$C$3,ISNUMBER(发票登记!$X$968),发票登记!$AB$968&lt;&gt;0,发票登记!$Y$968&gt;=_辅助!$J$4,发票登记!$Y$968&lt;=_辅助!$J$2),INT(发票登记!$X$968)*10000+964,"")</f>
      </c>
      <c r="BG965" s="2">
        <f>IF(AND($AF$3&gt;0,资金流水!$H$969=$C$3,ISNUMBER(资金流水!$B$969),ISNUMBER(资金流水!$S$969),资金流水!$S$969&gt;=_辅助!$J$4,资金流水!$S$969&lt;=_辅助!$J$2),INT(资金流水!$B$969)*10000+964,"")</f>
      </c>
    </row>
    <row r="966">
      <c r="BF966" s="2">
        <f>IF(AND($AF$3&gt;0,发票登记!$T$969=$C$3,ISNUMBER(发票登记!$X$969),发票登记!$AB$969&lt;&gt;0,发票登记!$Y$969&gt;=_辅助!$J$4,发票登记!$Y$969&lt;=_辅助!$J$2),INT(发票登记!$X$969)*10000+965,"")</f>
      </c>
      <c r="BG966" s="2">
        <f>IF(AND($AF$3&gt;0,资金流水!$H$970=$C$3,ISNUMBER(资金流水!$B$970),ISNUMBER(资金流水!$S$970),资金流水!$S$970&gt;=_辅助!$J$4,资金流水!$S$970&lt;=_辅助!$J$2),INT(资金流水!$B$970)*10000+965,"")</f>
      </c>
    </row>
    <row r="967">
      <c r="BF967" s="2">
        <f>IF(AND($AF$3&gt;0,发票登记!$T$970=$C$3,ISNUMBER(发票登记!$X$970),发票登记!$AB$970&lt;&gt;0,发票登记!$Y$970&gt;=_辅助!$J$4,发票登记!$Y$970&lt;=_辅助!$J$2),INT(发票登记!$X$970)*10000+966,"")</f>
      </c>
      <c r="BG967" s="2">
        <f>IF(AND($AF$3&gt;0,资金流水!$H$971=$C$3,ISNUMBER(资金流水!$B$971),ISNUMBER(资金流水!$S$971),资金流水!$S$971&gt;=_辅助!$J$4,资金流水!$S$971&lt;=_辅助!$J$2),INT(资金流水!$B$971)*10000+966,"")</f>
      </c>
    </row>
    <row r="968">
      <c r="BF968" s="2">
        <f>IF(AND($AF$3&gt;0,发票登记!$T$971=$C$3,ISNUMBER(发票登记!$X$971),发票登记!$AB$971&lt;&gt;0,发票登记!$Y$971&gt;=_辅助!$J$4,发票登记!$Y$971&lt;=_辅助!$J$2),INT(发票登记!$X$971)*10000+967,"")</f>
      </c>
      <c r="BG968" s="2">
        <f>IF(AND($AF$3&gt;0,资金流水!$H$972=$C$3,ISNUMBER(资金流水!$B$972),ISNUMBER(资金流水!$S$972),资金流水!$S$972&gt;=_辅助!$J$4,资金流水!$S$972&lt;=_辅助!$J$2),INT(资金流水!$B$972)*10000+967,"")</f>
      </c>
    </row>
    <row r="969">
      <c r="BF969" s="2">
        <f>IF(AND($AF$3&gt;0,发票登记!$T$972=$C$3,ISNUMBER(发票登记!$X$972),发票登记!$AB$972&lt;&gt;0,发票登记!$Y$972&gt;=_辅助!$J$4,发票登记!$Y$972&lt;=_辅助!$J$2),INT(发票登记!$X$972)*10000+968,"")</f>
      </c>
      <c r="BG969" s="2">
        <f>IF(AND($AF$3&gt;0,资金流水!$H$973=$C$3,ISNUMBER(资金流水!$B$973),ISNUMBER(资金流水!$S$973),资金流水!$S$973&gt;=_辅助!$J$4,资金流水!$S$973&lt;=_辅助!$J$2),INT(资金流水!$B$973)*10000+968,"")</f>
      </c>
    </row>
    <row r="970">
      <c r="BF970" s="2">
        <f>IF(AND($AF$3&gt;0,发票登记!$T$973=$C$3,ISNUMBER(发票登记!$X$973),发票登记!$AB$973&lt;&gt;0,发票登记!$Y$973&gt;=_辅助!$J$4,发票登记!$Y$973&lt;=_辅助!$J$2),INT(发票登记!$X$973)*10000+969,"")</f>
      </c>
      <c r="BG970" s="2">
        <f>IF(AND($AF$3&gt;0,资金流水!$H$974=$C$3,ISNUMBER(资金流水!$B$974),ISNUMBER(资金流水!$S$974),资金流水!$S$974&gt;=_辅助!$J$4,资金流水!$S$974&lt;=_辅助!$J$2),INT(资金流水!$B$974)*10000+969,"")</f>
      </c>
    </row>
    <row r="971">
      <c r="BF971" s="2">
        <f>IF(AND($AF$3&gt;0,发票登记!$T$974=$C$3,ISNUMBER(发票登记!$X$974),发票登记!$AB$974&lt;&gt;0,发票登记!$Y$974&gt;=_辅助!$J$4,发票登记!$Y$974&lt;=_辅助!$J$2),INT(发票登记!$X$974)*10000+970,"")</f>
      </c>
      <c r="BG971" s="2">
        <f>IF(AND($AF$3&gt;0,资金流水!$H$975=$C$3,ISNUMBER(资金流水!$B$975),ISNUMBER(资金流水!$S$975),资金流水!$S$975&gt;=_辅助!$J$4,资金流水!$S$975&lt;=_辅助!$J$2),INT(资金流水!$B$975)*10000+970,"")</f>
      </c>
    </row>
    <row r="972">
      <c r="BF972" s="2">
        <f>IF(AND($AF$3&gt;0,发票登记!$T$975=$C$3,ISNUMBER(发票登记!$X$975),发票登记!$AB$975&lt;&gt;0,发票登记!$Y$975&gt;=_辅助!$J$4,发票登记!$Y$975&lt;=_辅助!$J$2),INT(发票登记!$X$975)*10000+971,"")</f>
      </c>
      <c r="BG972" s="2">
        <f>IF(AND($AF$3&gt;0,资金流水!$H$976=$C$3,ISNUMBER(资金流水!$B$976),ISNUMBER(资金流水!$S$976),资金流水!$S$976&gt;=_辅助!$J$4,资金流水!$S$976&lt;=_辅助!$J$2),INT(资金流水!$B$976)*10000+971,"")</f>
      </c>
    </row>
    <row r="973">
      <c r="BF973" s="2">
        <f>IF(AND($AF$3&gt;0,发票登记!$T$976=$C$3,ISNUMBER(发票登记!$X$976),发票登记!$AB$976&lt;&gt;0,发票登记!$Y$976&gt;=_辅助!$J$4,发票登记!$Y$976&lt;=_辅助!$J$2),INT(发票登记!$X$976)*10000+972,"")</f>
      </c>
      <c r="BG973" s="2">
        <f>IF(AND($AF$3&gt;0,资金流水!$H$977=$C$3,ISNUMBER(资金流水!$B$977),ISNUMBER(资金流水!$S$977),资金流水!$S$977&gt;=_辅助!$J$4,资金流水!$S$977&lt;=_辅助!$J$2),INT(资金流水!$B$977)*10000+972,"")</f>
      </c>
    </row>
    <row r="974">
      <c r="BF974" s="2">
        <f>IF(AND($AF$3&gt;0,发票登记!$T$977=$C$3,ISNUMBER(发票登记!$X$977),发票登记!$AB$977&lt;&gt;0,发票登记!$Y$977&gt;=_辅助!$J$4,发票登记!$Y$977&lt;=_辅助!$J$2),INT(发票登记!$X$977)*10000+973,"")</f>
      </c>
      <c r="BG974" s="2">
        <f>IF(AND($AF$3&gt;0,资金流水!$H$978=$C$3,ISNUMBER(资金流水!$B$978),ISNUMBER(资金流水!$S$978),资金流水!$S$978&gt;=_辅助!$J$4,资金流水!$S$978&lt;=_辅助!$J$2),INT(资金流水!$B$978)*10000+973,"")</f>
      </c>
    </row>
    <row r="975">
      <c r="BF975" s="2">
        <f>IF(AND($AF$3&gt;0,发票登记!$T$978=$C$3,ISNUMBER(发票登记!$X$978),发票登记!$AB$978&lt;&gt;0,发票登记!$Y$978&gt;=_辅助!$J$4,发票登记!$Y$978&lt;=_辅助!$J$2),INT(发票登记!$X$978)*10000+974,"")</f>
      </c>
      <c r="BG975" s="2">
        <f>IF(AND($AF$3&gt;0,资金流水!$H$979=$C$3,ISNUMBER(资金流水!$B$979),ISNUMBER(资金流水!$S$979),资金流水!$S$979&gt;=_辅助!$J$4,资金流水!$S$979&lt;=_辅助!$J$2),INT(资金流水!$B$979)*10000+974,"")</f>
      </c>
    </row>
    <row r="976">
      <c r="BF976" s="2">
        <f>IF(AND($AF$3&gt;0,发票登记!$T$979=$C$3,ISNUMBER(发票登记!$X$979),发票登记!$AB$979&lt;&gt;0,发票登记!$Y$979&gt;=_辅助!$J$4,发票登记!$Y$979&lt;=_辅助!$J$2),INT(发票登记!$X$979)*10000+975,"")</f>
      </c>
      <c r="BG976" s="2">
        <f>IF(AND($AF$3&gt;0,资金流水!$H$980=$C$3,ISNUMBER(资金流水!$B$980),ISNUMBER(资金流水!$S$980),资金流水!$S$980&gt;=_辅助!$J$4,资金流水!$S$980&lt;=_辅助!$J$2),INT(资金流水!$B$980)*10000+975,"")</f>
      </c>
    </row>
    <row r="977">
      <c r="BF977" s="2">
        <f>IF(AND($AF$3&gt;0,发票登记!$T$980=$C$3,ISNUMBER(发票登记!$X$980),发票登记!$AB$980&lt;&gt;0,发票登记!$Y$980&gt;=_辅助!$J$4,发票登记!$Y$980&lt;=_辅助!$J$2),INT(发票登记!$X$980)*10000+976,"")</f>
      </c>
      <c r="BG977" s="2">
        <f>IF(AND($AF$3&gt;0,资金流水!$H$981=$C$3,ISNUMBER(资金流水!$B$981),ISNUMBER(资金流水!$S$981),资金流水!$S$981&gt;=_辅助!$J$4,资金流水!$S$981&lt;=_辅助!$J$2),INT(资金流水!$B$981)*10000+976,"")</f>
      </c>
    </row>
    <row r="978">
      <c r="BF978" s="2">
        <f>IF(AND($AF$3&gt;0,发票登记!$T$981=$C$3,ISNUMBER(发票登记!$X$981),发票登记!$AB$981&lt;&gt;0,发票登记!$Y$981&gt;=_辅助!$J$4,发票登记!$Y$981&lt;=_辅助!$J$2),INT(发票登记!$X$981)*10000+977,"")</f>
      </c>
      <c r="BG978" s="2">
        <f>IF(AND($AF$3&gt;0,资金流水!$H$982=$C$3,ISNUMBER(资金流水!$B$982),ISNUMBER(资金流水!$S$982),资金流水!$S$982&gt;=_辅助!$J$4,资金流水!$S$982&lt;=_辅助!$J$2),INT(资金流水!$B$982)*10000+977,"")</f>
      </c>
    </row>
    <row r="979">
      <c r="BF979" s="2">
        <f>IF(AND($AF$3&gt;0,发票登记!$T$982=$C$3,ISNUMBER(发票登记!$X$982),发票登记!$AB$982&lt;&gt;0,发票登记!$Y$982&gt;=_辅助!$J$4,发票登记!$Y$982&lt;=_辅助!$J$2),INT(发票登记!$X$982)*10000+978,"")</f>
      </c>
      <c r="BG979" s="2">
        <f>IF(AND($AF$3&gt;0,资金流水!$H$983=$C$3,ISNUMBER(资金流水!$B$983),ISNUMBER(资金流水!$S$983),资金流水!$S$983&gt;=_辅助!$J$4,资金流水!$S$983&lt;=_辅助!$J$2),INT(资金流水!$B$983)*10000+978,"")</f>
      </c>
    </row>
    <row r="980">
      <c r="BF980" s="2">
        <f>IF(AND($AF$3&gt;0,发票登记!$T$983=$C$3,ISNUMBER(发票登记!$X$983),发票登记!$AB$983&lt;&gt;0,发票登记!$Y$983&gt;=_辅助!$J$4,发票登记!$Y$983&lt;=_辅助!$J$2),INT(发票登记!$X$983)*10000+979,"")</f>
      </c>
      <c r="BG980" s="2">
        <f>IF(AND($AF$3&gt;0,资金流水!$H$984=$C$3,ISNUMBER(资金流水!$B$984),ISNUMBER(资金流水!$S$984),资金流水!$S$984&gt;=_辅助!$J$4,资金流水!$S$984&lt;=_辅助!$J$2),INT(资金流水!$B$984)*10000+979,"")</f>
      </c>
    </row>
    <row r="981">
      <c r="BF981" s="2">
        <f>IF(AND($AF$3&gt;0,发票登记!$T$984=$C$3,ISNUMBER(发票登记!$X$984),发票登记!$AB$984&lt;&gt;0,发票登记!$Y$984&gt;=_辅助!$J$4,发票登记!$Y$984&lt;=_辅助!$J$2),INT(发票登记!$X$984)*10000+980,"")</f>
      </c>
      <c r="BG981" s="2">
        <f>IF(AND($AF$3&gt;0,资金流水!$H$985=$C$3,ISNUMBER(资金流水!$B$985),ISNUMBER(资金流水!$S$985),资金流水!$S$985&gt;=_辅助!$J$4,资金流水!$S$985&lt;=_辅助!$J$2),INT(资金流水!$B$985)*10000+980,"")</f>
      </c>
    </row>
    <row r="982">
      <c r="BF982" s="2">
        <f>IF(AND($AF$3&gt;0,发票登记!$T$985=$C$3,ISNUMBER(发票登记!$X$985),发票登记!$AB$985&lt;&gt;0,发票登记!$Y$985&gt;=_辅助!$J$4,发票登记!$Y$985&lt;=_辅助!$J$2),INT(发票登记!$X$985)*10000+981,"")</f>
      </c>
      <c r="BG982" s="2">
        <f>IF(AND($AF$3&gt;0,资金流水!$H$986=$C$3,ISNUMBER(资金流水!$B$986),ISNUMBER(资金流水!$S$986),资金流水!$S$986&gt;=_辅助!$J$4,资金流水!$S$986&lt;=_辅助!$J$2),INT(资金流水!$B$986)*10000+981,"")</f>
      </c>
    </row>
    <row r="983">
      <c r="BF983" s="2">
        <f>IF(AND($AF$3&gt;0,发票登记!$T$986=$C$3,ISNUMBER(发票登记!$X$986),发票登记!$AB$986&lt;&gt;0,发票登记!$Y$986&gt;=_辅助!$J$4,发票登记!$Y$986&lt;=_辅助!$J$2),INT(发票登记!$X$986)*10000+982,"")</f>
      </c>
      <c r="BG983" s="2">
        <f>IF(AND($AF$3&gt;0,资金流水!$H$987=$C$3,ISNUMBER(资金流水!$B$987),ISNUMBER(资金流水!$S$987),资金流水!$S$987&gt;=_辅助!$J$4,资金流水!$S$987&lt;=_辅助!$J$2),INT(资金流水!$B$987)*10000+982,"")</f>
      </c>
    </row>
    <row r="984">
      <c r="BF984" s="2">
        <f>IF(AND($AF$3&gt;0,发票登记!$T$987=$C$3,ISNUMBER(发票登记!$X$987),发票登记!$AB$987&lt;&gt;0,发票登记!$Y$987&gt;=_辅助!$J$4,发票登记!$Y$987&lt;=_辅助!$J$2),INT(发票登记!$X$987)*10000+983,"")</f>
      </c>
      <c r="BG984" s="2">
        <f>IF(AND($AF$3&gt;0,资金流水!$H$988=$C$3,ISNUMBER(资金流水!$B$988),ISNUMBER(资金流水!$S$988),资金流水!$S$988&gt;=_辅助!$J$4,资金流水!$S$988&lt;=_辅助!$J$2),INT(资金流水!$B$988)*10000+983,"")</f>
      </c>
    </row>
    <row r="985">
      <c r="BF985" s="2">
        <f>IF(AND($AF$3&gt;0,发票登记!$T$988=$C$3,ISNUMBER(发票登记!$X$988),发票登记!$AB$988&lt;&gt;0,发票登记!$Y$988&gt;=_辅助!$J$4,发票登记!$Y$988&lt;=_辅助!$J$2),INT(发票登记!$X$988)*10000+984,"")</f>
      </c>
      <c r="BG985" s="2">
        <f>IF(AND($AF$3&gt;0,资金流水!$H$989=$C$3,ISNUMBER(资金流水!$B$989),ISNUMBER(资金流水!$S$989),资金流水!$S$989&gt;=_辅助!$J$4,资金流水!$S$989&lt;=_辅助!$J$2),INT(资金流水!$B$989)*10000+984,"")</f>
      </c>
    </row>
    <row r="986">
      <c r="BF986" s="2">
        <f>IF(AND($AF$3&gt;0,发票登记!$T$989=$C$3,ISNUMBER(发票登记!$X$989),发票登记!$AB$989&lt;&gt;0,发票登记!$Y$989&gt;=_辅助!$J$4,发票登记!$Y$989&lt;=_辅助!$J$2),INT(发票登记!$X$989)*10000+985,"")</f>
      </c>
      <c r="BG986" s="2">
        <f>IF(AND($AF$3&gt;0,资金流水!$H$990=$C$3,ISNUMBER(资金流水!$B$990),ISNUMBER(资金流水!$S$990),资金流水!$S$990&gt;=_辅助!$J$4,资金流水!$S$990&lt;=_辅助!$J$2),INT(资金流水!$B$990)*10000+985,"")</f>
      </c>
    </row>
    <row r="987">
      <c r="BF987" s="2">
        <f>IF(AND($AF$3&gt;0,发票登记!$T$990=$C$3,ISNUMBER(发票登记!$X$990),发票登记!$AB$990&lt;&gt;0,发票登记!$Y$990&gt;=_辅助!$J$4,发票登记!$Y$990&lt;=_辅助!$J$2),INT(发票登记!$X$990)*10000+986,"")</f>
      </c>
      <c r="BG987" s="2">
        <f>IF(AND($AF$3&gt;0,资金流水!$H$991=$C$3,ISNUMBER(资金流水!$B$991),ISNUMBER(资金流水!$S$991),资金流水!$S$991&gt;=_辅助!$J$4,资金流水!$S$991&lt;=_辅助!$J$2),INT(资金流水!$B$991)*10000+986,"")</f>
      </c>
    </row>
    <row r="988">
      <c r="BF988" s="2">
        <f>IF(AND($AF$3&gt;0,发票登记!$T$991=$C$3,ISNUMBER(发票登记!$X$991),发票登记!$AB$991&lt;&gt;0,发票登记!$Y$991&gt;=_辅助!$J$4,发票登记!$Y$991&lt;=_辅助!$J$2),INT(发票登记!$X$991)*10000+987,"")</f>
      </c>
      <c r="BG988" s="2">
        <f>IF(AND($AF$3&gt;0,资金流水!$H$992=$C$3,ISNUMBER(资金流水!$B$992),ISNUMBER(资金流水!$S$992),资金流水!$S$992&gt;=_辅助!$J$4,资金流水!$S$992&lt;=_辅助!$J$2),INT(资金流水!$B$992)*10000+987,"")</f>
      </c>
    </row>
    <row r="989">
      <c r="BF989" s="2">
        <f>IF(AND($AF$3&gt;0,发票登记!$T$992=$C$3,ISNUMBER(发票登记!$X$992),发票登记!$AB$992&lt;&gt;0,发票登记!$Y$992&gt;=_辅助!$J$4,发票登记!$Y$992&lt;=_辅助!$J$2),INT(发票登记!$X$992)*10000+988,"")</f>
      </c>
      <c r="BG989" s="2">
        <f>IF(AND($AF$3&gt;0,资金流水!$H$993=$C$3,ISNUMBER(资金流水!$B$993),ISNUMBER(资金流水!$S$993),资金流水!$S$993&gt;=_辅助!$J$4,资金流水!$S$993&lt;=_辅助!$J$2),INT(资金流水!$B$993)*10000+988,"")</f>
      </c>
    </row>
    <row r="990">
      <c r="BF990" s="2">
        <f>IF(AND($AF$3&gt;0,发票登记!$T$993=$C$3,ISNUMBER(发票登记!$X$993),发票登记!$AB$993&lt;&gt;0,发票登记!$Y$993&gt;=_辅助!$J$4,发票登记!$Y$993&lt;=_辅助!$J$2),INT(发票登记!$X$993)*10000+989,"")</f>
      </c>
      <c r="BG990" s="2">
        <f>IF(AND($AF$3&gt;0,资金流水!$H$994=$C$3,ISNUMBER(资金流水!$B$994),ISNUMBER(资金流水!$S$994),资金流水!$S$994&gt;=_辅助!$J$4,资金流水!$S$994&lt;=_辅助!$J$2),INT(资金流水!$B$994)*10000+989,"")</f>
      </c>
    </row>
    <row r="991">
      <c r="BF991" s="2">
        <f>IF(AND($AF$3&gt;0,发票登记!$T$994=$C$3,ISNUMBER(发票登记!$X$994),发票登记!$AB$994&lt;&gt;0,发票登记!$Y$994&gt;=_辅助!$J$4,发票登记!$Y$994&lt;=_辅助!$J$2),INT(发票登记!$X$994)*10000+990,"")</f>
      </c>
      <c r="BG991" s="2">
        <f>IF(AND($AF$3&gt;0,资金流水!$H$995=$C$3,ISNUMBER(资金流水!$B$995),ISNUMBER(资金流水!$S$995),资金流水!$S$995&gt;=_辅助!$J$4,资金流水!$S$995&lt;=_辅助!$J$2),INT(资金流水!$B$995)*10000+990,"")</f>
      </c>
    </row>
    <row r="992">
      <c r="BF992" s="2">
        <f>IF(AND($AF$3&gt;0,发票登记!$T$995=$C$3,ISNUMBER(发票登记!$X$995),发票登记!$AB$995&lt;&gt;0,发票登记!$Y$995&gt;=_辅助!$J$4,发票登记!$Y$995&lt;=_辅助!$J$2),INT(发票登记!$X$995)*10000+991,"")</f>
      </c>
      <c r="BG992" s="2">
        <f>IF(AND($AF$3&gt;0,资金流水!$H$996=$C$3,ISNUMBER(资金流水!$B$996),ISNUMBER(资金流水!$S$996),资金流水!$S$996&gt;=_辅助!$J$4,资金流水!$S$996&lt;=_辅助!$J$2),INT(资金流水!$B$996)*10000+991,"")</f>
      </c>
    </row>
    <row r="993">
      <c r="BF993" s="2">
        <f>IF(AND($AF$3&gt;0,发票登记!$T$996=$C$3,ISNUMBER(发票登记!$X$996),发票登记!$AB$996&lt;&gt;0,发票登记!$Y$996&gt;=_辅助!$J$4,发票登记!$Y$996&lt;=_辅助!$J$2),INT(发票登记!$X$996)*10000+992,"")</f>
      </c>
      <c r="BG993" s="2">
        <f>IF(AND($AF$3&gt;0,资金流水!$H$997=$C$3,ISNUMBER(资金流水!$B$997),ISNUMBER(资金流水!$S$997),资金流水!$S$997&gt;=_辅助!$J$4,资金流水!$S$997&lt;=_辅助!$J$2),INT(资金流水!$B$997)*10000+992,"")</f>
      </c>
    </row>
    <row r="994">
      <c r="BF994" s="2">
        <f>IF(AND($AF$3&gt;0,发票登记!$T$997=$C$3,ISNUMBER(发票登记!$X$997),发票登记!$AB$997&lt;&gt;0,发票登记!$Y$997&gt;=_辅助!$J$4,发票登记!$Y$997&lt;=_辅助!$J$2),INT(发票登记!$X$997)*10000+993,"")</f>
      </c>
      <c r="BG994" s="2">
        <f>IF(AND($AF$3&gt;0,资金流水!$H$998=$C$3,ISNUMBER(资金流水!$B$998),ISNUMBER(资金流水!$S$998),资金流水!$S$998&gt;=_辅助!$J$4,资金流水!$S$998&lt;=_辅助!$J$2),INT(资金流水!$B$998)*10000+993,"")</f>
      </c>
    </row>
    <row r="995">
      <c r="BF995" s="2">
        <f>IF(AND($AF$3&gt;0,发票登记!$T$998=$C$3,ISNUMBER(发票登记!$X$998),发票登记!$AB$998&lt;&gt;0,发票登记!$Y$998&gt;=_辅助!$J$4,发票登记!$Y$998&lt;=_辅助!$J$2),INT(发票登记!$X$998)*10000+994,"")</f>
      </c>
      <c r="BG995" s="2">
        <f>IF(AND($AF$3&gt;0,资金流水!$H$999=$C$3,ISNUMBER(资金流水!$B$999),ISNUMBER(资金流水!$S$999),资金流水!$S$999&gt;=_辅助!$J$4,资金流水!$S$999&lt;=_辅助!$J$2),INT(资金流水!$B$999)*10000+994,"")</f>
      </c>
    </row>
    <row r="996">
      <c r="BF996" s="2">
        <f>IF(AND($AF$3&gt;0,发票登记!$T$999=$C$3,ISNUMBER(发票登记!$X$999),发票登记!$AB$999&lt;&gt;0,发票登记!$Y$999&gt;=_辅助!$J$4,发票登记!$Y$999&lt;=_辅助!$J$2),INT(发票登记!$X$999)*10000+995,"")</f>
      </c>
      <c r="BG996" s="2">
        <f>IF(AND($AF$3&gt;0,资金流水!$H$1000=$C$3,ISNUMBER(资金流水!$B$1000),ISNUMBER(资金流水!$S$1000),资金流水!$S$1000&gt;=_辅助!$J$4,资金流水!$S$1000&lt;=_辅助!$J$2),INT(资金流水!$B$1000)*10000+995,"")</f>
      </c>
    </row>
    <row r="997">
      <c r="BF997" s="2">
        <f>IF(AND($AF$3&gt;0,发票登记!$T$1000=$C$3,ISNUMBER(发票登记!$X$1000),发票登记!$AB$1000&lt;&gt;0,发票登记!$Y$1000&gt;=_辅助!$J$4,发票登记!$Y$1000&lt;=_辅助!$J$2),INT(发票登记!$X$1000)*10000+996,"")</f>
      </c>
      <c r="BG997" s="2">
        <f>IF(AND($AF$3&gt;0,资金流水!$H$1001=$C$3,ISNUMBER(资金流水!$B$1001),ISNUMBER(资金流水!$S$1001),资金流水!$S$1001&gt;=_辅助!$J$4,资金流水!$S$1001&lt;=_辅助!$J$2),INT(资金流水!$B$1001)*10000+996,"")</f>
      </c>
    </row>
    <row r="998">
      <c r="BF998" s="2">
        <f>IF(AND($AF$3&gt;0,发票登记!$T$1001=$C$3,ISNUMBER(发票登记!$X$1001),发票登记!$AB$1001&lt;&gt;0,发票登记!$Y$1001&gt;=_辅助!$J$4,发票登记!$Y$1001&lt;=_辅助!$J$2),INT(发票登记!$X$1001)*10000+997,"")</f>
      </c>
      <c r="BG998" s="2">
        <f>IF(AND($AF$3&gt;0,资金流水!$H$1002=$C$3,ISNUMBER(资金流水!$B$1002),ISNUMBER(资金流水!$S$1002),资金流水!$S$1002&gt;=_辅助!$J$4,资金流水!$S$1002&lt;=_辅助!$J$2),INT(资金流水!$B$1002)*10000+997,"")</f>
      </c>
    </row>
    <row r="999">
      <c r="BF999" s="2">
        <f>IF(AND($AF$3&gt;0,发票登记!$T$1002=$C$3,ISNUMBER(发票登记!$X$1002),发票登记!$AB$1002&lt;&gt;0,发票登记!$Y$1002&gt;=_辅助!$J$4,发票登记!$Y$1002&lt;=_辅助!$J$2),INT(发票登记!$X$1002)*10000+998,"")</f>
      </c>
      <c r="BG999" s="2">
        <f>IF(AND($AF$3&gt;0,资金流水!$H$1003=$C$3,ISNUMBER(资金流水!$B$1003),ISNUMBER(资金流水!$S$1003),资金流水!$S$1003&gt;=_辅助!$J$4,资金流水!$S$1003&lt;=_辅助!$J$2),INT(资金流水!$B$1003)*10000+998,"")</f>
      </c>
    </row>
    <row r="1000">
      <c r="BF1000" s="2">
        <f>IF(AND($AF$3&gt;0,发票登记!$T$1003=$C$3,ISNUMBER(发票登记!$X$1003),发票登记!$AB$1003&lt;&gt;0,发票登记!$Y$1003&gt;=_辅助!$J$4,发票登记!$Y$1003&lt;=_辅助!$J$2),INT(发票登记!$X$1003)*10000+999,"")</f>
      </c>
      <c r="BG1000" s="2">
        <f>IF(AND($AF$3&gt;0,资金流水!$H$1004=$C$3,ISNUMBER(资金流水!$B$1004),ISNUMBER(资金流水!$S$1004),资金流水!$S$1004&gt;=_辅助!$J$4,资金流水!$S$1004&lt;=_辅助!$J$2),INT(资金流水!$B$1004)*10000+999,"")</f>
      </c>
    </row>
    <row r="1001">
      <c r="BF1001" s="2">
        <f>IF(AND($AF$3&gt;0,发票登记!$T$1004=$C$3,ISNUMBER(发票登记!$X$1004),发票登记!$AB$1004&lt;&gt;0,发票登记!$Y$1004&gt;=_辅助!$J$4,发票登记!$Y$1004&lt;=_辅助!$J$2),INT(发票登记!$X$1004)*10000+1000,"")</f>
      </c>
      <c r="BG1001" s="2">
        <f>IF(AND($AF$3&gt;0,资金流水!$H$1005=$C$3,ISNUMBER(资金流水!$B$1005),ISNUMBER(资金流水!$S$1005),资金流水!$S$1005&gt;=_辅助!$J$4,资金流水!$S$1005&lt;=_辅助!$J$2),INT(资金流水!$B$1005)*10000+1000,"")</f>
      </c>
    </row>
    <row r="1002">
      <c r="BG1002" s="2">
        <f>IF(AND($AF$3&gt;0,资金流水!$H$1006=$C$3,ISNUMBER(资金流水!$B$1006),ISNUMBER(资金流水!$S$1006),资金流水!$S$1006&gt;=_辅助!$J$4,资金流水!$S$1006&lt;=_辅助!$J$2),INT(资金流水!$B$1006)*10000+1001,"")</f>
      </c>
    </row>
    <row r="1003">
      <c r="BG1003" s="2">
        <f>IF(AND($AF$3&gt;0,资金流水!$H$1007=$C$3,ISNUMBER(资金流水!$B$1007),ISNUMBER(资金流水!$S$1007),资金流水!$S$1007&gt;=_辅助!$J$4,资金流水!$S$1007&lt;=_辅助!$J$2),INT(资金流水!$B$1007)*10000+1002,"")</f>
      </c>
    </row>
    <row r="1004">
      <c r="BG1004" s="2">
        <f>IF(AND($AF$3&gt;0,资金流水!$H$1008=$C$3,ISNUMBER(资金流水!$B$1008),ISNUMBER(资金流水!$S$1008),资金流水!$S$1008&gt;=_辅助!$J$4,资金流水!$S$1008&lt;=_辅助!$J$2),INT(资金流水!$B$1008)*10000+1003,"")</f>
      </c>
    </row>
    <row r="1005">
      <c r="BG1005" s="2">
        <f>IF(AND($AF$3&gt;0,资金流水!$H$1009=$C$3,ISNUMBER(资金流水!$B$1009),ISNUMBER(资金流水!$S$1009),资金流水!$S$1009&gt;=_辅助!$J$4,资金流水!$S$1009&lt;=_辅助!$J$2),INT(资金流水!$B$1009)*10000+1004,"")</f>
      </c>
    </row>
    <row r="1006">
      <c r="BG1006" s="2">
        <f>IF(AND($AF$3&gt;0,资金流水!$H$1010=$C$3,ISNUMBER(资金流水!$B$1010),ISNUMBER(资金流水!$S$1010),资金流水!$S$1010&gt;=_辅助!$J$4,资金流水!$S$1010&lt;=_辅助!$J$2),INT(资金流水!$B$1010)*10000+1005,"")</f>
      </c>
    </row>
    <row r="1007">
      <c r="BG1007" s="2">
        <f>IF(AND($AF$3&gt;0,资金流水!$H$1011=$C$3,ISNUMBER(资金流水!$B$1011),ISNUMBER(资金流水!$S$1011),资金流水!$S$1011&gt;=_辅助!$J$4,资金流水!$S$1011&lt;=_辅助!$J$2),INT(资金流水!$B$1011)*10000+1006,"")</f>
      </c>
    </row>
    <row r="1008">
      <c r="BG1008" s="2">
        <f>IF(AND($AF$3&gt;0,资金流水!$H$1012=$C$3,ISNUMBER(资金流水!$B$1012),ISNUMBER(资金流水!$S$1012),资金流水!$S$1012&gt;=_辅助!$J$4,资金流水!$S$1012&lt;=_辅助!$J$2),INT(资金流水!$B$1012)*10000+1007,"")</f>
      </c>
    </row>
    <row r="1009">
      <c r="BG1009" s="2">
        <f>IF(AND($AF$3&gt;0,资金流水!$H$1013=$C$3,ISNUMBER(资金流水!$B$1013),ISNUMBER(资金流水!$S$1013),资金流水!$S$1013&gt;=_辅助!$J$4,资金流水!$S$1013&lt;=_辅助!$J$2),INT(资金流水!$B$1013)*10000+1008,"")</f>
      </c>
    </row>
    <row r="1010">
      <c r="BG1010" s="2">
        <f>IF(AND($AF$3&gt;0,资金流水!$H$1014=$C$3,ISNUMBER(资金流水!$B$1014),ISNUMBER(资金流水!$S$1014),资金流水!$S$1014&gt;=_辅助!$J$4,资金流水!$S$1014&lt;=_辅助!$J$2),INT(资金流水!$B$1014)*10000+1009,"")</f>
      </c>
    </row>
    <row r="1011">
      <c r="BG1011" s="2">
        <f>IF(AND($AF$3&gt;0,资金流水!$H$1015=$C$3,ISNUMBER(资金流水!$B$1015),ISNUMBER(资金流水!$S$1015),资金流水!$S$1015&gt;=_辅助!$J$4,资金流水!$S$1015&lt;=_辅助!$J$2),INT(资金流水!$B$1015)*10000+1010,"")</f>
      </c>
    </row>
    <row r="1012">
      <c r="BG1012" s="2">
        <f>IF(AND($AF$3&gt;0,资金流水!$H$1016=$C$3,ISNUMBER(资金流水!$B$1016),ISNUMBER(资金流水!$S$1016),资金流水!$S$1016&gt;=_辅助!$J$4,资金流水!$S$1016&lt;=_辅助!$J$2),INT(资金流水!$B$1016)*10000+1011,"")</f>
      </c>
    </row>
    <row r="1013">
      <c r="BG1013" s="2">
        <f>IF(AND($AF$3&gt;0,资金流水!$H$1017=$C$3,ISNUMBER(资金流水!$B$1017),ISNUMBER(资金流水!$S$1017),资金流水!$S$1017&gt;=_辅助!$J$4,资金流水!$S$1017&lt;=_辅助!$J$2),INT(资金流水!$B$1017)*10000+1012,"")</f>
      </c>
    </row>
    <row r="1014">
      <c r="BG1014" s="2">
        <f>IF(AND($AF$3&gt;0,资金流水!$H$1018=$C$3,ISNUMBER(资金流水!$B$1018),ISNUMBER(资金流水!$S$1018),资金流水!$S$1018&gt;=_辅助!$J$4,资金流水!$S$1018&lt;=_辅助!$J$2),INT(资金流水!$B$1018)*10000+1013,"")</f>
      </c>
    </row>
    <row r="1015">
      <c r="BG1015" s="2">
        <f>IF(AND($AF$3&gt;0,资金流水!$H$1019=$C$3,ISNUMBER(资金流水!$B$1019),ISNUMBER(资金流水!$S$1019),资金流水!$S$1019&gt;=_辅助!$J$4,资金流水!$S$1019&lt;=_辅助!$J$2),INT(资金流水!$B$1019)*10000+1014,"")</f>
      </c>
    </row>
    <row r="1016">
      <c r="BG1016" s="2">
        <f>IF(AND($AF$3&gt;0,资金流水!$H$1020=$C$3,ISNUMBER(资金流水!$B$1020),ISNUMBER(资金流水!$S$1020),资金流水!$S$1020&gt;=_辅助!$J$4,资金流水!$S$1020&lt;=_辅助!$J$2),INT(资金流水!$B$1020)*10000+1015,"")</f>
      </c>
    </row>
    <row r="1017">
      <c r="BG1017" s="2">
        <f>IF(AND($AF$3&gt;0,资金流水!$H$1021=$C$3,ISNUMBER(资金流水!$B$1021),ISNUMBER(资金流水!$S$1021),资金流水!$S$1021&gt;=_辅助!$J$4,资金流水!$S$1021&lt;=_辅助!$J$2),INT(资金流水!$B$1021)*10000+1016,"")</f>
      </c>
    </row>
    <row r="1018">
      <c r="BG1018" s="2">
        <f>IF(AND($AF$3&gt;0,资金流水!$H$1022=$C$3,ISNUMBER(资金流水!$B$1022),ISNUMBER(资金流水!$S$1022),资金流水!$S$1022&gt;=_辅助!$J$4,资金流水!$S$1022&lt;=_辅助!$J$2),INT(资金流水!$B$1022)*10000+1017,"")</f>
      </c>
    </row>
    <row r="1019">
      <c r="BG1019" s="2">
        <f>IF(AND($AF$3&gt;0,资金流水!$H$1023=$C$3,ISNUMBER(资金流水!$B$1023),ISNUMBER(资金流水!$S$1023),资金流水!$S$1023&gt;=_辅助!$J$4,资金流水!$S$1023&lt;=_辅助!$J$2),INT(资金流水!$B$1023)*10000+1018,"")</f>
      </c>
    </row>
    <row r="1020">
      <c r="BG1020" s="2">
        <f>IF(AND($AF$3&gt;0,资金流水!$H$1024=$C$3,ISNUMBER(资金流水!$B$1024),ISNUMBER(资金流水!$S$1024),资金流水!$S$1024&gt;=_辅助!$J$4,资金流水!$S$1024&lt;=_辅助!$J$2),INT(资金流水!$B$1024)*10000+1019,"")</f>
      </c>
    </row>
    <row r="1021">
      <c r="BG1021" s="2">
        <f>IF(AND($AF$3&gt;0,资金流水!$H$1025=$C$3,ISNUMBER(资金流水!$B$1025),ISNUMBER(资金流水!$S$1025),资金流水!$S$1025&gt;=_辅助!$J$4,资金流水!$S$1025&lt;=_辅助!$J$2),INT(资金流水!$B$1025)*10000+1020,"")</f>
      </c>
    </row>
    <row r="1022">
      <c r="BG1022" s="2">
        <f>IF(AND($AF$3&gt;0,资金流水!$H$1026=$C$3,ISNUMBER(资金流水!$B$1026),ISNUMBER(资金流水!$S$1026),资金流水!$S$1026&gt;=_辅助!$J$4,资金流水!$S$1026&lt;=_辅助!$J$2),INT(资金流水!$B$1026)*10000+1021,"")</f>
      </c>
    </row>
    <row r="1023">
      <c r="BG1023" s="2">
        <f>IF(AND($AF$3&gt;0,资金流水!$H$1027=$C$3,ISNUMBER(资金流水!$B$1027),ISNUMBER(资金流水!$S$1027),资金流水!$S$1027&gt;=_辅助!$J$4,资金流水!$S$1027&lt;=_辅助!$J$2),INT(资金流水!$B$1027)*10000+1022,"")</f>
      </c>
    </row>
    <row r="1024">
      <c r="BG1024" s="2">
        <f>IF(AND($AF$3&gt;0,资金流水!$H$1028=$C$3,ISNUMBER(资金流水!$B$1028),ISNUMBER(资金流水!$S$1028),资金流水!$S$1028&gt;=_辅助!$J$4,资金流水!$S$1028&lt;=_辅助!$J$2),INT(资金流水!$B$1028)*10000+1023,"")</f>
      </c>
    </row>
    <row r="1025">
      <c r="BG1025" s="2">
        <f>IF(AND($AF$3&gt;0,资金流水!$H$1029=$C$3,ISNUMBER(资金流水!$B$1029),ISNUMBER(资金流水!$S$1029),资金流水!$S$1029&gt;=_辅助!$J$4,资金流水!$S$1029&lt;=_辅助!$J$2),INT(资金流水!$B$1029)*10000+1024,"")</f>
      </c>
    </row>
    <row r="1026">
      <c r="BG1026" s="2">
        <f>IF(AND($AF$3&gt;0,资金流水!$H$1030=$C$3,ISNUMBER(资金流水!$B$1030),ISNUMBER(资金流水!$S$1030),资金流水!$S$1030&gt;=_辅助!$J$4,资金流水!$S$1030&lt;=_辅助!$J$2),INT(资金流水!$B$1030)*10000+1025,"")</f>
      </c>
    </row>
    <row r="1027">
      <c r="BG1027" s="2">
        <f>IF(AND($AF$3&gt;0,资金流水!$H$1031=$C$3,ISNUMBER(资金流水!$B$1031),ISNUMBER(资金流水!$S$1031),资金流水!$S$1031&gt;=_辅助!$J$4,资金流水!$S$1031&lt;=_辅助!$J$2),INT(资金流水!$B$1031)*10000+1026,"")</f>
      </c>
    </row>
    <row r="1028">
      <c r="BG1028" s="2">
        <f>IF(AND($AF$3&gt;0,资金流水!$H$1032=$C$3,ISNUMBER(资金流水!$B$1032),ISNUMBER(资金流水!$S$1032),资金流水!$S$1032&gt;=_辅助!$J$4,资金流水!$S$1032&lt;=_辅助!$J$2),INT(资金流水!$B$1032)*10000+1027,"")</f>
      </c>
    </row>
    <row r="1029">
      <c r="BG1029" s="2">
        <f>IF(AND($AF$3&gt;0,资金流水!$H$1033=$C$3,ISNUMBER(资金流水!$B$1033),ISNUMBER(资金流水!$S$1033),资金流水!$S$1033&gt;=_辅助!$J$4,资金流水!$S$1033&lt;=_辅助!$J$2),INT(资金流水!$B$1033)*10000+1028,"")</f>
      </c>
    </row>
    <row r="1030">
      <c r="BG1030" s="2">
        <f>IF(AND($AF$3&gt;0,资金流水!$H$1034=$C$3,ISNUMBER(资金流水!$B$1034),ISNUMBER(资金流水!$S$1034),资金流水!$S$1034&gt;=_辅助!$J$4,资金流水!$S$1034&lt;=_辅助!$J$2),INT(资金流水!$B$1034)*10000+1029,"")</f>
      </c>
    </row>
    <row r="1031">
      <c r="BG1031" s="2">
        <f>IF(AND($AF$3&gt;0,资金流水!$H$1035=$C$3,ISNUMBER(资金流水!$B$1035),ISNUMBER(资金流水!$S$1035),资金流水!$S$1035&gt;=_辅助!$J$4,资金流水!$S$1035&lt;=_辅助!$J$2),INT(资金流水!$B$1035)*10000+1030,"")</f>
      </c>
    </row>
    <row r="1032">
      <c r="BG1032" s="2">
        <f>IF(AND($AF$3&gt;0,资金流水!$H$1036=$C$3,ISNUMBER(资金流水!$B$1036),ISNUMBER(资金流水!$S$1036),资金流水!$S$1036&gt;=_辅助!$J$4,资金流水!$S$1036&lt;=_辅助!$J$2),INT(资金流水!$B$1036)*10000+1031,"")</f>
      </c>
    </row>
    <row r="1033">
      <c r="BG1033" s="2">
        <f>IF(AND($AF$3&gt;0,资金流水!$H$1037=$C$3,ISNUMBER(资金流水!$B$1037),ISNUMBER(资金流水!$S$1037),资金流水!$S$1037&gt;=_辅助!$J$4,资金流水!$S$1037&lt;=_辅助!$J$2),INT(资金流水!$B$1037)*10000+1032,"")</f>
      </c>
    </row>
    <row r="1034">
      <c r="BG1034" s="2">
        <f>IF(AND($AF$3&gt;0,资金流水!$H$1038=$C$3,ISNUMBER(资金流水!$B$1038),ISNUMBER(资金流水!$S$1038),资金流水!$S$1038&gt;=_辅助!$J$4,资金流水!$S$1038&lt;=_辅助!$J$2),INT(资金流水!$B$1038)*10000+1033,"")</f>
      </c>
    </row>
    <row r="1035">
      <c r="BG1035" s="2">
        <f>IF(AND($AF$3&gt;0,资金流水!$H$1039=$C$3,ISNUMBER(资金流水!$B$1039),ISNUMBER(资金流水!$S$1039),资金流水!$S$1039&gt;=_辅助!$J$4,资金流水!$S$1039&lt;=_辅助!$J$2),INT(资金流水!$B$1039)*10000+1034,"")</f>
      </c>
    </row>
    <row r="1036">
      <c r="BG1036" s="2">
        <f>IF(AND($AF$3&gt;0,资金流水!$H$1040=$C$3,ISNUMBER(资金流水!$B$1040),ISNUMBER(资金流水!$S$1040),资金流水!$S$1040&gt;=_辅助!$J$4,资金流水!$S$1040&lt;=_辅助!$J$2),INT(资金流水!$B$1040)*10000+1035,"")</f>
      </c>
    </row>
    <row r="1037">
      <c r="BG1037" s="2">
        <f>IF(AND($AF$3&gt;0,资金流水!$H$1041=$C$3,ISNUMBER(资金流水!$B$1041),ISNUMBER(资金流水!$S$1041),资金流水!$S$1041&gt;=_辅助!$J$4,资金流水!$S$1041&lt;=_辅助!$J$2),INT(资金流水!$B$1041)*10000+1036,"")</f>
      </c>
    </row>
    <row r="1038">
      <c r="BG1038" s="2">
        <f>IF(AND($AF$3&gt;0,资金流水!$H$1042=$C$3,ISNUMBER(资金流水!$B$1042),ISNUMBER(资金流水!$S$1042),资金流水!$S$1042&gt;=_辅助!$J$4,资金流水!$S$1042&lt;=_辅助!$J$2),INT(资金流水!$B$1042)*10000+1037,"")</f>
      </c>
    </row>
    <row r="1039">
      <c r="BG1039" s="2">
        <f>IF(AND($AF$3&gt;0,资金流水!$H$1043=$C$3,ISNUMBER(资金流水!$B$1043),ISNUMBER(资金流水!$S$1043),资金流水!$S$1043&gt;=_辅助!$J$4,资金流水!$S$1043&lt;=_辅助!$J$2),INT(资金流水!$B$1043)*10000+1038,"")</f>
      </c>
    </row>
    <row r="1040">
      <c r="BG1040" s="2">
        <f>IF(AND($AF$3&gt;0,资金流水!$H$1044=$C$3,ISNUMBER(资金流水!$B$1044),ISNUMBER(资金流水!$S$1044),资金流水!$S$1044&gt;=_辅助!$J$4,资金流水!$S$1044&lt;=_辅助!$J$2),INT(资金流水!$B$1044)*10000+1039,"")</f>
      </c>
    </row>
    <row r="1041">
      <c r="BG1041" s="2">
        <f>IF(AND($AF$3&gt;0,资金流水!$H$1045=$C$3,ISNUMBER(资金流水!$B$1045),ISNUMBER(资金流水!$S$1045),资金流水!$S$1045&gt;=_辅助!$J$4,资金流水!$S$1045&lt;=_辅助!$J$2),INT(资金流水!$B$1045)*10000+1040,"")</f>
      </c>
    </row>
    <row r="1042">
      <c r="BG1042" s="2">
        <f>IF(AND($AF$3&gt;0,资金流水!$H$1046=$C$3,ISNUMBER(资金流水!$B$1046),ISNUMBER(资金流水!$S$1046),资金流水!$S$1046&gt;=_辅助!$J$4,资金流水!$S$1046&lt;=_辅助!$J$2),INT(资金流水!$B$1046)*10000+1041,"")</f>
      </c>
    </row>
    <row r="1043">
      <c r="BG1043" s="2">
        <f>IF(AND($AF$3&gt;0,资金流水!$H$1047=$C$3,ISNUMBER(资金流水!$B$1047),ISNUMBER(资金流水!$S$1047),资金流水!$S$1047&gt;=_辅助!$J$4,资金流水!$S$1047&lt;=_辅助!$J$2),INT(资金流水!$B$1047)*10000+1042,"")</f>
      </c>
    </row>
    <row r="1044">
      <c r="BG1044" s="2">
        <f>IF(AND($AF$3&gt;0,资金流水!$H$1048=$C$3,ISNUMBER(资金流水!$B$1048),ISNUMBER(资金流水!$S$1048),资金流水!$S$1048&gt;=_辅助!$J$4,资金流水!$S$1048&lt;=_辅助!$J$2),INT(资金流水!$B$1048)*10000+1043,"")</f>
      </c>
    </row>
    <row r="1045">
      <c r="BG1045" s="2">
        <f>IF(AND($AF$3&gt;0,资金流水!$H$1049=$C$3,ISNUMBER(资金流水!$B$1049),ISNUMBER(资金流水!$S$1049),资金流水!$S$1049&gt;=_辅助!$J$4,资金流水!$S$1049&lt;=_辅助!$J$2),INT(资金流水!$B$1049)*10000+1044,"")</f>
      </c>
    </row>
    <row r="1046">
      <c r="BG1046" s="2">
        <f>IF(AND($AF$3&gt;0,资金流水!$H$1050=$C$3,ISNUMBER(资金流水!$B$1050),ISNUMBER(资金流水!$S$1050),资金流水!$S$1050&gt;=_辅助!$J$4,资金流水!$S$1050&lt;=_辅助!$J$2),INT(资金流水!$B$1050)*10000+1045,"")</f>
      </c>
    </row>
    <row r="1047">
      <c r="BG1047" s="2">
        <f>IF(AND($AF$3&gt;0,资金流水!$H$1051=$C$3,ISNUMBER(资金流水!$B$1051),ISNUMBER(资金流水!$S$1051),资金流水!$S$1051&gt;=_辅助!$J$4,资金流水!$S$1051&lt;=_辅助!$J$2),INT(资金流水!$B$1051)*10000+1046,"")</f>
      </c>
    </row>
    <row r="1048">
      <c r="BG1048" s="2">
        <f>IF(AND($AF$3&gt;0,资金流水!$H$1052=$C$3,ISNUMBER(资金流水!$B$1052),ISNUMBER(资金流水!$S$1052),资金流水!$S$1052&gt;=_辅助!$J$4,资金流水!$S$1052&lt;=_辅助!$J$2),INT(资金流水!$B$1052)*10000+1047,"")</f>
      </c>
    </row>
    <row r="1049">
      <c r="BG1049" s="2">
        <f>IF(AND($AF$3&gt;0,资金流水!$H$1053=$C$3,ISNUMBER(资金流水!$B$1053),ISNUMBER(资金流水!$S$1053),资金流水!$S$1053&gt;=_辅助!$J$4,资金流水!$S$1053&lt;=_辅助!$J$2),INT(资金流水!$B$1053)*10000+1048,"")</f>
      </c>
    </row>
    <row r="1050">
      <c r="BG1050" s="2">
        <f>IF(AND($AF$3&gt;0,资金流水!$H$1054=$C$3,ISNUMBER(资金流水!$B$1054),ISNUMBER(资金流水!$S$1054),资金流水!$S$1054&gt;=_辅助!$J$4,资金流水!$S$1054&lt;=_辅助!$J$2),INT(资金流水!$B$1054)*10000+1049,"")</f>
      </c>
    </row>
    <row r="1051">
      <c r="BG1051" s="2">
        <f>IF(AND($AF$3&gt;0,资金流水!$H$1055=$C$3,ISNUMBER(资金流水!$B$1055),ISNUMBER(资金流水!$S$1055),资金流水!$S$1055&gt;=_辅助!$J$4,资金流水!$S$1055&lt;=_辅助!$J$2),INT(资金流水!$B$1055)*10000+1050,"")</f>
      </c>
    </row>
    <row r="1052">
      <c r="BG1052" s="2">
        <f>IF(AND($AF$3&gt;0,资金流水!$H$1056=$C$3,ISNUMBER(资金流水!$B$1056),ISNUMBER(资金流水!$S$1056),资金流水!$S$1056&gt;=_辅助!$J$4,资金流水!$S$1056&lt;=_辅助!$J$2),INT(资金流水!$B$1056)*10000+1051,"")</f>
      </c>
    </row>
    <row r="1053">
      <c r="BG1053" s="2">
        <f>IF(AND($AF$3&gt;0,资金流水!$H$1057=$C$3,ISNUMBER(资金流水!$B$1057),ISNUMBER(资金流水!$S$1057),资金流水!$S$1057&gt;=_辅助!$J$4,资金流水!$S$1057&lt;=_辅助!$J$2),INT(资金流水!$B$1057)*10000+1052,"")</f>
      </c>
    </row>
    <row r="1054">
      <c r="BG1054" s="2">
        <f>IF(AND($AF$3&gt;0,资金流水!$H$1058=$C$3,ISNUMBER(资金流水!$B$1058),ISNUMBER(资金流水!$S$1058),资金流水!$S$1058&gt;=_辅助!$J$4,资金流水!$S$1058&lt;=_辅助!$J$2),INT(资金流水!$B$1058)*10000+1053,"")</f>
      </c>
    </row>
    <row r="1055">
      <c r="BG1055" s="2">
        <f>IF(AND($AF$3&gt;0,资金流水!$H$1059=$C$3,ISNUMBER(资金流水!$B$1059),ISNUMBER(资金流水!$S$1059),资金流水!$S$1059&gt;=_辅助!$J$4,资金流水!$S$1059&lt;=_辅助!$J$2),INT(资金流水!$B$1059)*10000+1054,"")</f>
      </c>
    </row>
    <row r="1056">
      <c r="BG1056" s="2">
        <f>IF(AND($AF$3&gt;0,资金流水!$H$1060=$C$3,ISNUMBER(资金流水!$B$1060),ISNUMBER(资金流水!$S$1060),资金流水!$S$1060&gt;=_辅助!$J$4,资金流水!$S$1060&lt;=_辅助!$J$2),INT(资金流水!$B$1060)*10000+1055,"")</f>
      </c>
    </row>
    <row r="1057">
      <c r="BG1057" s="2">
        <f>IF(AND($AF$3&gt;0,资金流水!$H$1061=$C$3,ISNUMBER(资金流水!$B$1061),ISNUMBER(资金流水!$S$1061),资金流水!$S$1061&gt;=_辅助!$J$4,资金流水!$S$1061&lt;=_辅助!$J$2),INT(资金流水!$B$1061)*10000+1056,"")</f>
      </c>
    </row>
    <row r="1058">
      <c r="BG1058" s="2">
        <f>IF(AND($AF$3&gt;0,资金流水!$H$1062=$C$3,ISNUMBER(资金流水!$B$1062),ISNUMBER(资金流水!$S$1062),资金流水!$S$1062&gt;=_辅助!$J$4,资金流水!$S$1062&lt;=_辅助!$J$2),INT(资金流水!$B$1062)*10000+1057,"")</f>
      </c>
    </row>
    <row r="1059">
      <c r="BG1059" s="2">
        <f>IF(AND($AF$3&gt;0,资金流水!$H$1063=$C$3,ISNUMBER(资金流水!$B$1063),ISNUMBER(资金流水!$S$1063),资金流水!$S$1063&gt;=_辅助!$J$4,资金流水!$S$1063&lt;=_辅助!$J$2),INT(资金流水!$B$1063)*10000+1058,"")</f>
      </c>
    </row>
    <row r="1060">
      <c r="BG1060" s="2">
        <f>IF(AND($AF$3&gt;0,资金流水!$H$1064=$C$3,ISNUMBER(资金流水!$B$1064),ISNUMBER(资金流水!$S$1064),资金流水!$S$1064&gt;=_辅助!$J$4,资金流水!$S$1064&lt;=_辅助!$J$2),INT(资金流水!$B$1064)*10000+1059,"")</f>
      </c>
    </row>
    <row r="1061">
      <c r="BG1061" s="2">
        <f>IF(AND($AF$3&gt;0,资金流水!$H$1065=$C$3,ISNUMBER(资金流水!$B$1065),ISNUMBER(资金流水!$S$1065),资金流水!$S$1065&gt;=_辅助!$J$4,资金流水!$S$1065&lt;=_辅助!$J$2),INT(资金流水!$B$1065)*10000+1060,"")</f>
      </c>
    </row>
    <row r="1062">
      <c r="BG1062" s="2">
        <f>IF(AND($AF$3&gt;0,资金流水!$H$1066=$C$3,ISNUMBER(资金流水!$B$1066),ISNUMBER(资金流水!$S$1066),资金流水!$S$1066&gt;=_辅助!$J$4,资金流水!$S$1066&lt;=_辅助!$J$2),INT(资金流水!$B$1066)*10000+1061,"")</f>
      </c>
    </row>
    <row r="1063">
      <c r="BG1063" s="2">
        <f>IF(AND($AF$3&gt;0,资金流水!$H$1067=$C$3,ISNUMBER(资金流水!$B$1067),ISNUMBER(资金流水!$S$1067),资金流水!$S$1067&gt;=_辅助!$J$4,资金流水!$S$1067&lt;=_辅助!$J$2),INT(资金流水!$B$1067)*10000+1062,"")</f>
      </c>
    </row>
    <row r="1064">
      <c r="BG1064" s="2">
        <f>IF(AND($AF$3&gt;0,资金流水!$H$1068=$C$3,ISNUMBER(资金流水!$B$1068),ISNUMBER(资金流水!$S$1068),资金流水!$S$1068&gt;=_辅助!$J$4,资金流水!$S$1068&lt;=_辅助!$J$2),INT(资金流水!$B$1068)*10000+1063,"")</f>
      </c>
    </row>
    <row r="1065">
      <c r="BG1065" s="2">
        <f>IF(AND($AF$3&gt;0,资金流水!$H$1069=$C$3,ISNUMBER(资金流水!$B$1069),ISNUMBER(资金流水!$S$1069),资金流水!$S$1069&gt;=_辅助!$J$4,资金流水!$S$1069&lt;=_辅助!$J$2),INT(资金流水!$B$1069)*10000+1064,"")</f>
      </c>
    </row>
    <row r="1066">
      <c r="BG1066" s="2">
        <f>IF(AND($AF$3&gt;0,资金流水!$H$1070=$C$3,ISNUMBER(资金流水!$B$1070),ISNUMBER(资金流水!$S$1070),资金流水!$S$1070&gt;=_辅助!$J$4,资金流水!$S$1070&lt;=_辅助!$J$2),INT(资金流水!$B$1070)*10000+1065,"")</f>
      </c>
    </row>
    <row r="1067">
      <c r="BG1067" s="2">
        <f>IF(AND($AF$3&gt;0,资金流水!$H$1071=$C$3,ISNUMBER(资金流水!$B$1071),ISNUMBER(资金流水!$S$1071),资金流水!$S$1071&gt;=_辅助!$J$4,资金流水!$S$1071&lt;=_辅助!$J$2),INT(资金流水!$B$1071)*10000+1066,"")</f>
      </c>
    </row>
    <row r="1068">
      <c r="BG1068" s="2">
        <f>IF(AND($AF$3&gt;0,资金流水!$H$1072=$C$3,ISNUMBER(资金流水!$B$1072),ISNUMBER(资金流水!$S$1072),资金流水!$S$1072&gt;=_辅助!$J$4,资金流水!$S$1072&lt;=_辅助!$J$2),INT(资金流水!$B$1072)*10000+1067,"")</f>
      </c>
    </row>
    <row r="1069">
      <c r="BG1069" s="2">
        <f>IF(AND($AF$3&gt;0,资金流水!$H$1073=$C$3,ISNUMBER(资金流水!$B$1073),ISNUMBER(资金流水!$S$1073),资金流水!$S$1073&gt;=_辅助!$J$4,资金流水!$S$1073&lt;=_辅助!$J$2),INT(资金流水!$B$1073)*10000+1068,"")</f>
      </c>
    </row>
    <row r="1070">
      <c r="BG1070" s="2">
        <f>IF(AND($AF$3&gt;0,资金流水!$H$1074=$C$3,ISNUMBER(资金流水!$B$1074),ISNUMBER(资金流水!$S$1074),资金流水!$S$1074&gt;=_辅助!$J$4,资金流水!$S$1074&lt;=_辅助!$J$2),INT(资金流水!$B$1074)*10000+1069,"")</f>
      </c>
    </row>
    <row r="1071">
      <c r="BG1071" s="2">
        <f>IF(AND($AF$3&gt;0,资金流水!$H$1075=$C$3,ISNUMBER(资金流水!$B$1075),ISNUMBER(资金流水!$S$1075),资金流水!$S$1075&gt;=_辅助!$J$4,资金流水!$S$1075&lt;=_辅助!$J$2),INT(资金流水!$B$1075)*10000+1070,"")</f>
      </c>
    </row>
    <row r="1072">
      <c r="BG1072" s="2">
        <f>IF(AND($AF$3&gt;0,资金流水!$H$1076=$C$3,ISNUMBER(资金流水!$B$1076),ISNUMBER(资金流水!$S$1076),资金流水!$S$1076&gt;=_辅助!$J$4,资金流水!$S$1076&lt;=_辅助!$J$2),INT(资金流水!$B$1076)*10000+1071,"")</f>
      </c>
    </row>
    <row r="1073">
      <c r="BG1073" s="2">
        <f>IF(AND($AF$3&gt;0,资金流水!$H$1077=$C$3,ISNUMBER(资金流水!$B$1077),ISNUMBER(资金流水!$S$1077),资金流水!$S$1077&gt;=_辅助!$J$4,资金流水!$S$1077&lt;=_辅助!$J$2),INT(资金流水!$B$1077)*10000+1072,"")</f>
      </c>
    </row>
    <row r="1074">
      <c r="BG1074" s="2">
        <f>IF(AND($AF$3&gt;0,资金流水!$H$1078=$C$3,ISNUMBER(资金流水!$B$1078),ISNUMBER(资金流水!$S$1078),资金流水!$S$1078&gt;=_辅助!$J$4,资金流水!$S$1078&lt;=_辅助!$J$2),INT(资金流水!$B$1078)*10000+1073,"")</f>
      </c>
    </row>
    <row r="1075">
      <c r="BG1075" s="2">
        <f>IF(AND($AF$3&gt;0,资金流水!$H$1079=$C$3,ISNUMBER(资金流水!$B$1079),ISNUMBER(资金流水!$S$1079),资金流水!$S$1079&gt;=_辅助!$J$4,资金流水!$S$1079&lt;=_辅助!$J$2),INT(资金流水!$B$1079)*10000+1074,"")</f>
      </c>
    </row>
    <row r="1076">
      <c r="BG1076" s="2">
        <f>IF(AND($AF$3&gt;0,资金流水!$H$1080=$C$3,ISNUMBER(资金流水!$B$1080),ISNUMBER(资金流水!$S$1080),资金流水!$S$1080&gt;=_辅助!$J$4,资金流水!$S$1080&lt;=_辅助!$J$2),INT(资金流水!$B$1080)*10000+1075,"")</f>
      </c>
    </row>
    <row r="1077">
      <c r="BG1077" s="2">
        <f>IF(AND($AF$3&gt;0,资金流水!$H$1081=$C$3,ISNUMBER(资金流水!$B$1081),ISNUMBER(资金流水!$S$1081),资金流水!$S$1081&gt;=_辅助!$J$4,资金流水!$S$1081&lt;=_辅助!$J$2),INT(资金流水!$B$1081)*10000+1076,"")</f>
      </c>
    </row>
    <row r="1078">
      <c r="BG1078" s="2">
        <f>IF(AND($AF$3&gt;0,资金流水!$H$1082=$C$3,ISNUMBER(资金流水!$B$1082),ISNUMBER(资金流水!$S$1082),资金流水!$S$1082&gt;=_辅助!$J$4,资金流水!$S$1082&lt;=_辅助!$J$2),INT(资金流水!$B$1082)*10000+1077,"")</f>
      </c>
    </row>
    <row r="1079">
      <c r="BG1079" s="2">
        <f>IF(AND($AF$3&gt;0,资金流水!$H$1083=$C$3,ISNUMBER(资金流水!$B$1083),ISNUMBER(资金流水!$S$1083),资金流水!$S$1083&gt;=_辅助!$J$4,资金流水!$S$1083&lt;=_辅助!$J$2),INT(资金流水!$B$1083)*10000+1078,"")</f>
      </c>
    </row>
    <row r="1080">
      <c r="BG1080" s="2">
        <f>IF(AND($AF$3&gt;0,资金流水!$H$1084=$C$3,ISNUMBER(资金流水!$B$1084),ISNUMBER(资金流水!$S$1084),资金流水!$S$1084&gt;=_辅助!$J$4,资金流水!$S$1084&lt;=_辅助!$J$2),INT(资金流水!$B$1084)*10000+1079,"")</f>
      </c>
    </row>
    <row r="1081">
      <c r="BG1081" s="2">
        <f>IF(AND($AF$3&gt;0,资金流水!$H$1085=$C$3,ISNUMBER(资金流水!$B$1085),ISNUMBER(资金流水!$S$1085),资金流水!$S$1085&gt;=_辅助!$J$4,资金流水!$S$1085&lt;=_辅助!$J$2),INT(资金流水!$B$1085)*10000+1080,"")</f>
      </c>
    </row>
    <row r="1082">
      <c r="BG1082" s="2">
        <f>IF(AND($AF$3&gt;0,资金流水!$H$1086=$C$3,ISNUMBER(资金流水!$B$1086),ISNUMBER(资金流水!$S$1086),资金流水!$S$1086&gt;=_辅助!$J$4,资金流水!$S$1086&lt;=_辅助!$J$2),INT(资金流水!$B$1086)*10000+1081,"")</f>
      </c>
    </row>
    <row r="1083">
      <c r="BG1083" s="2">
        <f>IF(AND($AF$3&gt;0,资金流水!$H$1087=$C$3,ISNUMBER(资金流水!$B$1087),ISNUMBER(资金流水!$S$1087),资金流水!$S$1087&gt;=_辅助!$J$4,资金流水!$S$1087&lt;=_辅助!$J$2),INT(资金流水!$B$1087)*10000+1082,"")</f>
      </c>
    </row>
    <row r="1084">
      <c r="BG1084" s="2">
        <f>IF(AND($AF$3&gt;0,资金流水!$H$1088=$C$3,ISNUMBER(资金流水!$B$1088),ISNUMBER(资金流水!$S$1088),资金流水!$S$1088&gt;=_辅助!$J$4,资金流水!$S$1088&lt;=_辅助!$J$2),INT(资金流水!$B$1088)*10000+1083,"")</f>
      </c>
    </row>
    <row r="1085">
      <c r="BG1085" s="2">
        <f>IF(AND($AF$3&gt;0,资金流水!$H$1089=$C$3,ISNUMBER(资金流水!$B$1089),ISNUMBER(资金流水!$S$1089),资金流水!$S$1089&gt;=_辅助!$J$4,资金流水!$S$1089&lt;=_辅助!$J$2),INT(资金流水!$B$1089)*10000+1084,"")</f>
      </c>
    </row>
    <row r="1086">
      <c r="BG1086" s="2">
        <f>IF(AND($AF$3&gt;0,资金流水!$H$1090=$C$3,ISNUMBER(资金流水!$B$1090),ISNUMBER(资金流水!$S$1090),资金流水!$S$1090&gt;=_辅助!$J$4,资金流水!$S$1090&lt;=_辅助!$J$2),INT(资金流水!$B$1090)*10000+1085,"")</f>
      </c>
    </row>
    <row r="1087">
      <c r="BG1087" s="2">
        <f>IF(AND($AF$3&gt;0,资金流水!$H$1091=$C$3,ISNUMBER(资金流水!$B$1091),ISNUMBER(资金流水!$S$1091),资金流水!$S$1091&gt;=_辅助!$J$4,资金流水!$S$1091&lt;=_辅助!$J$2),INT(资金流水!$B$1091)*10000+1086,"")</f>
      </c>
    </row>
    <row r="1088">
      <c r="BG1088" s="2">
        <f>IF(AND($AF$3&gt;0,资金流水!$H$1092=$C$3,ISNUMBER(资金流水!$B$1092),ISNUMBER(资金流水!$S$1092),资金流水!$S$1092&gt;=_辅助!$J$4,资金流水!$S$1092&lt;=_辅助!$J$2),INT(资金流水!$B$1092)*10000+1087,"")</f>
      </c>
    </row>
    <row r="1089">
      <c r="BG1089" s="2">
        <f>IF(AND($AF$3&gt;0,资金流水!$H$1093=$C$3,ISNUMBER(资金流水!$B$1093),ISNUMBER(资金流水!$S$1093),资金流水!$S$1093&gt;=_辅助!$J$4,资金流水!$S$1093&lt;=_辅助!$J$2),INT(资金流水!$B$1093)*10000+1088,"")</f>
      </c>
    </row>
    <row r="1090">
      <c r="BG1090" s="2">
        <f>IF(AND($AF$3&gt;0,资金流水!$H$1094=$C$3,ISNUMBER(资金流水!$B$1094),ISNUMBER(资金流水!$S$1094),资金流水!$S$1094&gt;=_辅助!$J$4,资金流水!$S$1094&lt;=_辅助!$J$2),INT(资金流水!$B$1094)*10000+1089,"")</f>
      </c>
    </row>
    <row r="1091">
      <c r="BG1091" s="2">
        <f>IF(AND($AF$3&gt;0,资金流水!$H$1095=$C$3,ISNUMBER(资金流水!$B$1095),ISNUMBER(资金流水!$S$1095),资金流水!$S$1095&gt;=_辅助!$J$4,资金流水!$S$1095&lt;=_辅助!$J$2),INT(资金流水!$B$1095)*10000+1090,"")</f>
      </c>
    </row>
    <row r="1092">
      <c r="BG1092" s="2">
        <f>IF(AND($AF$3&gt;0,资金流水!$H$1096=$C$3,ISNUMBER(资金流水!$B$1096),ISNUMBER(资金流水!$S$1096),资金流水!$S$1096&gt;=_辅助!$J$4,资金流水!$S$1096&lt;=_辅助!$J$2),INT(资金流水!$B$1096)*10000+1091,"")</f>
      </c>
    </row>
    <row r="1093">
      <c r="BG1093" s="2">
        <f>IF(AND($AF$3&gt;0,资金流水!$H$1097=$C$3,ISNUMBER(资金流水!$B$1097),ISNUMBER(资金流水!$S$1097),资金流水!$S$1097&gt;=_辅助!$J$4,资金流水!$S$1097&lt;=_辅助!$J$2),INT(资金流水!$B$1097)*10000+1092,"")</f>
      </c>
    </row>
    <row r="1094">
      <c r="BG1094" s="2">
        <f>IF(AND($AF$3&gt;0,资金流水!$H$1098=$C$3,ISNUMBER(资金流水!$B$1098),ISNUMBER(资金流水!$S$1098),资金流水!$S$1098&gt;=_辅助!$J$4,资金流水!$S$1098&lt;=_辅助!$J$2),INT(资金流水!$B$1098)*10000+1093,"")</f>
      </c>
    </row>
    <row r="1095">
      <c r="BG1095" s="2">
        <f>IF(AND($AF$3&gt;0,资金流水!$H$1099=$C$3,ISNUMBER(资金流水!$B$1099),ISNUMBER(资金流水!$S$1099),资金流水!$S$1099&gt;=_辅助!$J$4,资金流水!$S$1099&lt;=_辅助!$J$2),INT(资金流水!$B$1099)*10000+1094,"")</f>
      </c>
    </row>
    <row r="1096">
      <c r="BG1096" s="2">
        <f>IF(AND($AF$3&gt;0,资金流水!$H$1100=$C$3,ISNUMBER(资金流水!$B$1100),ISNUMBER(资金流水!$S$1100),资金流水!$S$1100&gt;=_辅助!$J$4,资金流水!$S$1100&lt;=_辅助!$J$2),INT(资金流水!$B$1100)*10000+1095,"")</f>
      </c>
    </row>
    <row r="1097">
      <c r="BG1097" s="2">
        <f>IF(AND($AF$3&gt;0,资金流水!$H$1101=$C$3,ISNUMBER(资金流水!$B$1101),ISNUMBER(资金流水!$S$1101),资金流水!$S$1101&gt;=_辅助!$J$4,资金流水!$S$1101&lt;=_辅助!$J$2),INT(资金流水!$B$1101)*10000+1096,"")</f>
      </c>
    </row>
    <row r="1098">
      <c r="BG1098" s="2">
        <f>IF(AND($AF$3&gt;0,资金流水!$H$1102=$C$3,ISNUMBER(资金流水!$B$1102),ISNUMBER(资金流水!$S$1102),资金流水!$S$1102&gt;=_辅助!$J$4,资金流水!$S$1102&lt;=_辅助!$J$2),INT(资金流水!$B$1102)*10000+1097,"")</f>
      </c>
    </row>
    <row r="1099">
      <c r="BG1099" s="2">
        <f>IF(AND($AF$3&gt;0,资金流水!$H$1103=$C$3,ISNUMBER(资金流水!$B$1103),ISNUMBER(资金流水!$S$1103),资金流水!$S$1103&gt;=_辅助!$J$4,资金流水!$S$1103&lt;=_辅助!$J$2),INT(资金流水!$B$1103)*10000+1098,"")</f>
      </c>
    </row>
    <row r="1100">
      <c r="BG1100" s="2">
        <f>IF(AND($AF$3&gt;0,资金流水!$H$1104=$C$3,ISNUMBER(资金流水!$B$1104),ISNUMBER(资金流水!$S$1104),资金流水!$S$1104&gt;=_辅助!$J$4,资金流水!$S$1104&lt;=_辅助!$J$2),INT(资金流水!$B$1104)*10000+1099,"")</f>
      </c>
    </row>
    <row r="1101">
      <c r="BG1101" s="2">
        <f>IF(AND($AF$3&gt;0,资金流水!$H$1105=$C$3,ISNUMBER(资金流水!$B$1105),ISNUMBER(资金流水!$S$1105),资金流水!$S$1105&gt;=_辅助!$J$4,资金流水!$S$1105&lt;=_辅助!$J$2),INT(资金流水!$B$1105)*10000+1100,"")</f>
      </c>
    </row>
    <row r="1102">
      <c r="BG1102" s="2">
        <f>IF(AND($AF$3&gt;0,资金流水!$H$1106=$C$3,ISNUMBER(资金流水!$B$1106),ISNUMBER(资金流水!$S$1106),资金流水!$S$1106&gt;=_辅助!$J$4,资金流水!$S$1106&lt;=_辅助!$J$2),INT(资金流水!$B$1106)*10000+1101,"")</f>
      </c>
    </row>
    <row r="1103">
      <c r="BG1103" s="2">
        <f>IF(AND($AF$3&gt;0,资金流水!$H$1107=$C$3,ISNUMBER(资金流水!$B$1107),ISNUMBER(资金流水!$S$1107),资金流水!$S$1107&gt;=_辅助!$J$4,资金流水!$S$1107&lt;=_辅助!$J$2),INT(资金流水!$B$1107)*10000+1102,"")</f>
      </c>
    </row>
    <row r="1104">
      <c r="BG1104" s="2">
        <f>IF(AND($AF$3&gt;0,资金流水!$H$1108=$C$3,ISNUMBER(资金流水!$B$1108),ISNUMBER(资金流水!$S$1108),资金流水!$S$1108&gt;=_辅助!$J$4,资金流水!$S$1108&lt;=_辅助!$J$2),INT(资金流水!$B$1108)*10000+1103,"")</f>
      </c>
    </row>
    <row r="1105">
      <c r="BG1105" s="2">
        <f>IF(AND($AF$3&gt;0,资金流水!$H$1109=$C$3,ISNUMBER(资金流水!$B$1109),ISNUMBER(资金流水!$S$1109),资金流水!$S$1109&gt;=_辅助!$J$4,资金流水!$S$1109&lt;=_辅助!$J$2),INT(资金流水!$B$1109)*10000+1104,"")</f>
      </c>
    </row>
    <row r="1106">
      <c r="BG1106" s="2">
        <f>IF(AND($AF$3&gt;0,资金流水!$H$1110=$C$3,ISNUMBER(资金流水!$B$1110),ISNUMBER(资金流水!$S$1110),资金流水!$S$1110&gt;=_辅助!$J$4,资金流水!$S$1110&lt;=_辅助!$J$2),INT(资金流水!$B$1110)*10000+1105,"")</f>
      </c>
    </row>
    <row r="1107">
      <c r="BG1107" s="2">
        <f>IF(AND($AF$3&gt;0,资金流水!$H$1111=$C$3,ISNUMBER(资金流水!$B$1111),ISNUMBER(资金流水!$S$1111),资金流水!$S$1111&gt;=_辅助!$J$4,资金流水!$S$1111&lt;=_辅助!$J$2),INT(资金流水!$B$1111)*10000+1106,"")</f>
      </c>
    </row>
    <row r="1108">
      <c r="BG1108" s="2">
        <f>IF(AND($AF$3&gt;0,资金流水!$H$1112=$C$3,ISNUMBER(资金流水!$B$1112),ISNUMBER(资金流水!$S$1112),资金流水!$S$1112&gt;=_辅助!$J$4,资金流水!$S$1112&lt;=_辅助!$J$2),INT(资金流水!$B$1112)*10000+1107,"")</f>
      </c>
    </row>
    <row r="1109">
      <c r="BG1109" s="2">
        <f>IF(AND($AF$3&gt;0,资金流水!$H$1113=$C$3,ISNUMBER(资金流水!$B$1113),ISNUMBER(资金流水!$S$1113),资金流水!$S$1113&gt;=_辅助!$J$4,资金流水!$S$1113&lt;=_辅助!$J$2),INT(资金流水!$B$1113)*10000+1108,"")</f>
      </c>
    </row>
    <row r="1110">
      <c r="BG1110" s="2">
        <f>IF(AND($AF$3&gt;0,资金流水!$H$1114=$C$3,ISNUMBER(资金流水!$B$1114),ISNUMBER(资金流水!$S$1114),资金流水!$S$1114&gt;=_辅助!$J$4,资金流水!$S$1114&lt;=_辅助!$J$2),INT(资金流水!$B$1114)*10000+1109,"")</f>
      </c>
    </row>
    <row r="1111">
      <c r="BG1111" s="2">
        <f>IF(AND($AF$3&gt;0,资金流水!$H$1115=$C$3,ISNUMBER(资金流水!$B$1115),ISNUMBER(资金流水!$S$1115),资金流水!$S$1115&gt;=_辅助!$J$4,资金流水!$S$1115&lt;=_辅助!$J$2),INT(资金流水!$B$1115)*10000+1110,"")</f>
      </c>
    </row>
    <row r="1112">
      <c r="BG1112" s="2">
        <f>IF(AND($AF$3&gt;0,资金流水!$H$1116=$C$3,ISNUMBER(资金流水!$B$1116),ISNUMBER(资金流水!$S$1116),资金流水!$S$1116&gt;=_辅助!$J$4,资金流水!$S$1116&lt;=_辅助!$J$2),INT(资金流水!$B$1116)*10000+1111,"")</f>
      </c>
    </row>
    <row r="1113">
      <c r="BG1113" s="2">
        <f>IF(AND($AF$3&gt;0,资金流水!$H$1117=$C$3,ISNUMBER(资金流水!$B$1117),ISNUMBER(资金流水!$S$1117),资金流水!$S$1117&gt;=_辅助!$J$4,资金流水!$S$1117&lt;=_辅助!$J$2),INT(资金流水!$B$1117)*10000+1112,"")</f>
      </c>
    </row>
    <row r="1114">
      <c r="BG1114" s="2">
        <f>IF(AND($AF$3&gt;0,资金流水!$H$1118=$C$3,ISNUMBER(资金流水!$B$1118),ISNUMBER(资金流水!$S$1118),资金流水!$S$1118&gt;=_辅助!$J$4,资金流水!$S$1118&lt;=_辅助!$J$2),INT(资金流水!$B$1118)*10000+1113,"")</f>
      </c>
    </row>
    <row r="1115">
      <c r="BG1115" s="2">
        <f>IF(AND($AF$3&gt;0,资金流水!$H$1119=$C$3,ISNUMBER(资金流水!$B$1119),ISNUMBER(资金流水!$S$1119),资金流水!$S$1119&gt;=_辅助!$J$4,资金流水!$S$1119&lt;=_辅助!$J$2),INT(资金流水!$B$1119)*10000+1114,"")</f>
      </c>
    </row>
    <row r="1116">
      <c r="BG1116" s="2">
        <f>IF(AND($AF$3&gt;0,资金流水!$H$1120=$C$3,ISNUMBER(资金流水!$B$1120),ISNUMBER(资金流水!$S$1120),资金流水!$S$1120&gt;=_辅助!$J$4,资金流水!$S$1120&lt;=_辅助!$J$2),INT(资金流水!$B$1120)*10000+1115,"")</f>
      </c>
    </row>
    <row r="1117">
      <c r="BG1117" s="2">
        <f>IF(AND($AF$3&gt;0,资金流水!$H$1121=$C$3,ISNUMBER(资金流水!$B$1121),ISNUMBER(资金流水!$S$1121),资金流水!$S$1121&gt;=_辅助!$J$4,资金流水!$S$1121&lt;=_辅助!$J$2),INT(资金流水!$B$1121)*10000+1116,"")</f>
      </c>
    </row>
    <row r="1118">
      <c r="BG1118" s="2">
        <f>IF(AND($AF$3&gt;0,资金流水!$H$1122=$C$3,ISNUMBER(资金流水!$B$1122),ISNUMBER(资金流水!$S$1122),资金流水!$S$1122&gt;=_辅助!$J$4,资金流水!$S$1122&lt;=_辅助!$J$2),INT(资金流水!$B$1122)*10000+1117,"")</f>
      </c>
    </row>
    <row r="1119">
      <c r="BG1119" s="2">
        <f>IF(AND($AF$3&gt;0,资金流水!$H$1123=$C$3,ISNUMBER(资金流水!$B$1123),ISNUMBER(资金流水!$S$1123),资金流水!$S$1123&gt;=_辅助!$J$4,资金流水!$S$1123&lt;=_辅助!$J$2),INT(资金流水!$B$1123)*10000+1118,"")</f>
      </c>
    </row>
    <row r="1120">
      <c r="BG1120" s="2">
        <f>IF(AND($AF$3&gt;0,资金流水!$H$1124=$C$3,ISNUMBER(资金流水!$B$1124),ISNUMBER(资金流水!$S$1124),资金流水!$S$1124&gt;=_辅助!$J$4,资金流水!$S$1124&lt;=_辅助!$J$2),INT(资金流水!$B$1124)*10000+1119,"")</f>
      </c>
    </row>
    <row r="1121">
      <c r="BG1121" s="2">
        <f>IF(AND($AF$3&gt;0,资金流水!$H$1125=$C$3,ISNUMBER(资金流水!$B$1125),ISNUMBER(资金流水!$S$1125),资金流水!$S$1125&gt;=_辅助!$J$4,资金流水!$S$1125&lt;=_辅助!$J$2),INT(资金流水!$B$1125)*10000+1120,"")</f>
      </c>
    </row>
    <row r="1122">
      <c r="BG1122" s="2">
        <f>IF(AND($AF$3&gt;0,资金流水!$H$1126=$C$3,ISNUMBER(资金流水!$B$1126),ISNUMBER(资金流水!$S$1126),资金流水!$S$1126&gt;=_辅助!$J$4,资金流水!$S$1126&lt;=_辅助!$J$2),INT(资金流水!$B$1126)*10000+1121,"")</f>
      </c>
    </row>
    <row r="1123">
      <c r="BG1123" s="2">
        <f>IF(AND($AF$3&gt;0,资金流水!$H$1127=$C$3,ISNUMBER(资金流水!$B$1127),ISNUMBER(资金流水!$S$1127),资金流水!$S$1127&gt;=_辅助!$J$4,资金流水!$S$1127&lt;=_辅助!$J$2),INT(资金流水!$B$1127)*10000+1122,"")</f>
      </c>
    </row>
    <row r="1124">
      <c r="BG1124" s="2">
        <f>IF(AND($AF$3&gt;0,资金流水!$H$1128=$C$3,ISNUMBER(资金流水!$B$1128),ISNUMBER(资金流水!$S$1128),资金流水!$S$1128&gt;=_辅助!$J$4,资金流水!$S$1128&lt;=_辅助!$J$2),INT(资金流水!$B$1128)*10000+1123,"")</f>
      </c>
    </row>
    <row r="1125">
      <c r="BG1125" s="2">
        <f>IF(AND($AF$3&gt;0,资金流水!$H$1129=$C$3,ISNUMBER(资金流水!$B$1129),ISNUMBER(资金流水!$S$1129),资金流水!$S$1129&gt;=_辅助!$J$4,资金流水!$S$1129&lt;=_辅助!$J$2),INT(资金流水!$B$1129)*10000+1124,"")</f>
      </c>
    </row>
    <row r="1126">
      <c r="BG1126" s="2">
        <f>IF(AND($AF$3&gt;0,资金流水!$H$1130=$C$3,ISNUMBER(资金流水!$B$1130),ISNUMBER(资金流水!$S$1130),资金流水!$S$1130&gt;=_辅助!$J$4,资金流水!$S$1130&lt;=_辅助!$J$2),INT(资金流水!$B$1130)*10000+1125,"")</f>
      </c>
    </row>
    <row r="1127">
      <c r="BG1127" s="2">
        <f>IF(AND($AF$3&gt;0,资金流水!$H$1131=$C$3,ISNUMBER(资金流水!$B$1131),ISNUMBER(资金流水!$S$1131),资金流水!$S$1131&gt;=_辅助!$J$4,资金流水!$S$1131&lt;=_辅助!$J$2),INT(资金流水!$B$1131)*10000+1126,"")</f>
      </c>
    </row>
    <row r="1128">
      <c r="BG1128" s="2">
        <f>IF(AND($AF$3&gt;0,资金流水!$H$1132=$C$3,ISNUMBER(资金流水!$B$1132),ISNUMBER(资金流水!$S$1132),资金流水!$S$1132&gt;=_辅助!$J$4,资金流水!$S$1132&lt;=_辅助!$J$2),INT(资金流水!$B$1132)*10000+1127,"")</f>
      </c>
    </row>
    <row r="1129">
      <c r="BG1129" s="2">
        <f>IF(AND($AF$3&gt;0,资金流水!$H$1133=$C$3,ISNUMBER(资金流水!$B$1133),ISNUMBER(资金流水!$S$1133),资金流水!$S$1133&gt;=_辅助!$J$4,资金流水!$S$1133&lt;=_辅助!$J$2),INT(资金流水!$B$1133)*10000+1128,"")</f>
      </c>
    </row>
    <row r="1130">
      <c r="BG1130" s="2">
        <f>IF(AND($AF$3&gt;0,资金流水!$H$1134=$C$3,ISNUMBER(资金流水!$B$1134),ISNUMBER(资金流水!$S$1134),资金流水!$S$1134&gt;=_辅助!$J$4,资金流水!$S$1134&lt;=_辅助!$J$2),INT(资金流水!$B$1134)*10000+1129,"")</f>
      </c>
    </row>
    <row r="1131">
      <c r="BG1131" s="2">
        <f>IF(AND($AF$3&gt;0,资金流水!$H$1135=$C$3,ISNUMBER(资金流水!$B$1135),ISNUMBER(资金流水!$S$1135),资金流水!$S$1135&gt;=_辅助!$J$4,资金流水!$S$1135&lt;=_辅助!$J$2),INT(资金流水!$B$1135)*10000+1130,"")</f>
      </c>
    </row>
    <row r="1132">
      <c r="BG1132" s="2">
        <f>IF(AND($AF$3&gt;0,资金流水!$H$1136=$C$3,ISNUMBER(资金流水!$B$1136),ISNUMBER(资金流水!$S$1136),资金流水!$S$1136&gt;=_辅助!$J$4,资金流水!$S$1136&lt;=_辅助!$J$2),INT(资金流水!$B$1136)*10000+1131,"")</f>
      </c>
    </row>
    <row r="1133">
      <c r="BG1133" s="2">
        <f>IF(AND($AF$3&gt;0,资金流水!$H$1137=$C$3,ISNUMBER(资金流水!$B$1137),ISNUMBER(资金流水!$S$1137),资金流水!$S$1137&gt;=_辅助!$J$4,资金流水!$S$1137&lt;=_辅助!$J$2),INT(资金流水!$B$1137)*10000+1132,"")</f>
      </c>
    </row>
    <row r="1134">
      <c r="BG1134" s="2">
        <f>IF(AND($AF$3&gt;0,资金流水!$H$1138=$C$3,ISNUMBER(资金流水!$B$1138),ISNUMBER(资金流水!$S$1138),资金流水!$S$1138&gt;=_辅助!$J$4,资金流水!$S$1138&lt;=_辅助!$J$2),INT(资金流水!$B$1138)*10000+1133,"")</f>
      </c>
    </row>
    <row r="1135">
      <c r="BG1135" s="2">
        <f>IF(AND($AF$3&gt;0,资金流水!$H$1139=$C$3,ISNUMBER(资金流水!$B$1139),ISNUMBER(资金流水!$S$1139),资金流水!$S$1139&gt;=_辅助!$J$4,资金流水!$S$1139&lt;=_辅助!$J$2),INT(资金流水!$B$1139)*10000+1134,"")</f>
      </c>
    </row>
    <row r="1136">
      <c r="BG1136" s="2">
        <f>IF(AND($AF$3&gt;0,资金流水!$H$1140=$C$3,ISNUMBER(资金流水!$B$1140),ISNUMBER(资金流水!$S$1140),资金流水!$S$1140&gt;=_辅助!$J$4,资金流水!$S$1140&lt;=_辅助!$J$2),INT(资金流水!$B$1140)*10000+1135,"")</f>
      </c>
    </row>
    <row r="1137">
      <c r="BG1137" s="2">
        <f>IF(AND($AF$3&gt;0,资金流水!$H$1141=$C$3,ISNUMBER(资金流水!$B$1141),ISNUMBER(资金流水!$S$1141),资金流水!$S$1141&gt;=_辅助!$J$4,资金流水!$S$1141&lt;=_辅助!$J$2),INT(资金流水!$B$1141)*10000+1136,"")</f>
      </c>
    </row>
    <row r="1138">
      <c r="BG1138" s="2">
        <f>IF(AND($AF$3&gt;0,资金流水!$H$1142=$C$3,ISNUMBER(资金流水!$B$1142),ISNUMBER(资金流水!$S$1142),资金流水!$S$1142&gt;=_辅助!$J$4,资金流水!$S$1142&lt;=_辅助!$J$2),INT(资金流水!$B$1142)*10000+1137,"")</f>
      </c>
    </row>
    <row r="1139">
      <c r="BG1139" s="2">
        <f>IF(AND($AF$3&gt;0,资金流水!$H$1143=$C$3,ISNUMBER(资金流水!$B$1143),ISNUMBER(资金流水!$S$1143),资金流水!$S$1143&gt;=_辅助!$J$4,资金流水!$S$1143&lt;=_辅助!$J$2),INT(资金流水!$B$1143)*10000+1138,"")</f>
      </c>
    </row>
    <row r="1140">
      <c r="BG1140" s="2">
        <f>IF(AND($AF$3&gt;0,资金流水!$H$1144=$C$3,ISNUMBER(资金流水!$B$1144),ISNUMBER(资金流水!$S$1144),资金流水!$S$1144&gt;=_辅助!$J$4,资金流水!$S$1144&lt;=_辅助!$J$2),INT(资金流水!$B$1144)*10000+1139,"")</f>
      </c>
    </row>
    <row r="1141">
      <c r="BG1141" s="2">
        <f>IF(AND($AF$3&gt;0,资金流水!$H$1145=$C$3,ISNUMBER(资金流水!$B$1145),ISNUMBER(资金流水!$S$1145),资金流水!$S$1145&gt;=_辅助!$J$4,资金流水!$S$1145&lt;=_辅助!$J$2),INT(资金流水!$B$1145)*10000+1140,"")</f>
      </c>
    </row>
    <row r="1142">
      <c r="BG1142" s="2">
        <f>IF(AND($AF$3&gt;0,资金流水!$H$1146=$C$3,ISNUMBER(资金流水!$B$1146),ISNUMBER(资金流水!$S$1146),资金流水!$S$1146&gt;=_辅助!$J$4,资金流水!$S$1146&lt;=_辅助!$J$2),INT(资金流水!$B$1146)*10000+1141,"")</f>
      </c>
    </row>
    <row r="1143">
      <c r="BG1143" s="2">
        <f>IF(AND($AF$3&gt;0,资金流水!$H$1147=$C$3,ISNUMBER(资金流水!$B$1147),ISNUMBER(资金流水!$S$1147),资金流水!$S$1147&gt;=_辅助!$J$4,资金流水!$S$1147&lt;=_辅助!$J$2),INT(资金流水!$B$1147)*10000+1142,"")</f>
      </c>
    </row>
    <row r="1144">
      <c r="BG1144" s="2">
        <f>IF(AND($AF$3&gt;0,资金流水!$H$1148=$C$3,ISNUMBER(资金流水!$B$1148),ISNUMBER(资金流水!$S$1148),资金流水!$S$1148&gt;=_辅助!$J$4,资金流水!$S$1148&lt;=_辅助!$J$2),INT(资金流水!$B$1148)*10000+1143,"")</f>
      </c>
    </row>
    <row r="1145">
      <c r="BG1145" s="2">
        <f>IF(AND($AF$3&gt;0,资金流水!$H$1149=$C$3,ISNUMBER(资金流水!$B$1149),ISNUMBER(资金流水!$S$1149),资金流水!$S$1149&gt;=_辅助!$J$4,资金流水!$S$1149&lt;=_辅助!$J$2),INT(资金流水!$B$1149)*10000+1144,"")</f>
      </c>
    </row>
    <row r="1146">
      <c r="BG1146" s="2">
        <f>IF(AND($AF$3&gt;0,资金流水!$H$1150=$C$3,ISNUMBER(资金流水!$B$1150),ISNUMBER(资金流水!$S$1150),资金流水!$S$1150&gt;=_辅助!$J$4,资金流水!$S$1150&lt;=_辅助!$J$2),INT(资金流水!$B$1150)*10000+1145,"")</f>
      </c>
    </row>
    <row r="1147">
      <c r="BG1147" s="2">
        <f>IF(AND($AF$3&gt;0,资金流水!$H$1151=$C$3,ISNUMBER(资金流水!$B$1151),ISNUMBER(资金流水!$S$1151),资金流水!$S$1151&gt;=_辅助!$J$4,资金流水!$S$1151&lt;=_辅助!$J$2),INT(资金流水!$B$1151)*10000+1146,"")</f>
      </c>
    </row>
    <row r="1148">
      <c r="BG1148" s="2">
        <f>IF(AND($AF$3&gt;0,资金流水!$H$1152=$C$3,ISNUMBER(资金流水!$B$1152),ISNUMBER(资金流水!$S$1152),资金流水!$S$1152&gt;=_辅助!$J$4,资金流水!$S$1152&lt;=_辅助!$J$2),INT(资金流水!$B$1152)*10000+1147,"")</f>
      </c>
    </row>
    <row r="1149">
      <c r="BG1149" s="2">
        <f>IF(AND($AF$3&gt;0,资金流水!$H$1153=$C$3,ISNUMBER(资金流水!$B$1153),ISNUMBER(资金流水!$S$1153),资金流水!$S$1153&gt;=_辅助!$J$4,资金流水!$S$1153&lt;=_辅助!$J$2),INT(资金流水!$B$1153)*10000+1148,"")</f>
      </c>
    </row>
    <row r="1150">
      <c r="BG1150" s="2">
        <f>IF(AND($AF$3&gt;0,资金流水!$H$1154=$C$3,ISNUMBER(资金流水!$B$1154),ISNUMBER(资金流水!$S$1154),资金流水!$S$1154&gt;=_辅助!$J$4,资金流水!$S$1154&lt;=_辅助!$J$2),INT(资金流水!$B$1154)*10000+1149,"")</f>
      </c>
    </row>
    <row r="1151">
      <c r="BG1151" s="2">
        <f>IF(AND($AF$3&gt;0,资金流水!$H$1155=$C$3,ISNUMBER(资金流水!$B$1155),ISNUMBER(资金流水!$S$1155),资金流水!$S$1155&gt;=_辅助!$J$4,资金流水!$S$1155&lt;=_辅助!$J$2),INT(资金流水!$B$1155)*10000+1150,"")</f>
      </c>
    </row>
    <row r="1152">
      <c r="BG1152" s="2">
        <f>IF(AND($AF$3&gt;0,资金流水!$H$1156=$C$3,ISNUMBER(资金流水!$B$1156),ISNUMBER(资金流水!$S$1156),资金流水!$S$1156&gt;=_辅助!$J$4,资金流水!$S$1156&lt;=_辅助!$J$2),INT(资金流水!$B$1156)*10000+1151,"")</f>
      </c>
    </row>
    <row r="1153">
      <c r="BG1153" s="2">
        <f>IF(AND($AF$3&gt;0,资金流水!$H$1157=$C$3,ISNUMBER(资金流水!$B$1157),ISNUMBER(资金流水!$S$1157),资金流水!$S$1157&gt;=_辅助!$J$4,资金流水!$S$1157&lt;=_辅助!$J$2),INT(资金流水!$B$1157)*10000+1152,"")</f>
      </c>
    </row>
    <row r="1154">
      <c r="BG1154" s="2">
        <f>IF(AND($AF$3&gt;0,资金流水!$H$1158=$C$3,ISNUMBER(资金流水!$B$1158),ISNUMBER(资金流水!$S$1158),资金流水!$S$1158&gt;=_辅助!$J$4,资金流水!$S$1158&lt;=_辅助!$J$2),INT(资金流水!$B$1158)*10000+1153,"")</f>
      </c>
    </row>
    <row r="1155">
      <c r="BG1155" s="2">
        <f>IF(AND($AF$3&gt;0,资金流水!$H$1159=$C$3,ISNUMBER(资金流水!$B$1159),ISNUMBER(资金流水!$S$1159),资金流水!$S$1159&gt;=_辅助!$J$4,资金流水!$S$1159&lt;=_辅助!$J$2),INT(资金流水!$B$1159)*10000+1154,"")</f>
      </c>
    </row>
    <row r="1156">
      <c r="BG1156" s="2">
        <f>IF(AND($AF$3&gt;0,资金流水!$H$1160=$C$3,ISNUMBER(资金流水!$B$1160),ISNUMBER(资金流水!$S$1160),资金流水!$S$1160&gt;=_辅助!$J$4,资金流水!$S$1160&lt;=_辅助!$J$2),INT(资金流水!$B$1160)*10000+1155,"")</f>
      </c>
    </row>
    <row r="1157">
      <c r="BG1157" s="2">
        <f>IF(AND($AF$3&gt;0,资金流水!$H$1161=$C$3,ISNUMBER(资金流水!$B$1161),ISNUMBER(资金流水!$S$1161),资金流水!$S$1161&gt;=_辅助!$J$4,资金流水!$S$1161&lt;=_辅助!$J$2),INT(资金流水!$B$1161)*10000+1156,"")</f>
      </c>
    </row>
    <row r="1158">
      <c r="BG1158" s="2">
        <f>IF(AND($AF$3&gt;0,资金流水!$H$1162=$C$3,ISNUMBER(资金流水!$B$1162),ISNUMBER(资金流水!$S$1162),资金流水!$S$1162&gt;=_辅助!$J$4,资金流水!$S$1162&lt;=_辅助!$J$2),INT(资金流水!$B$1162)*10000+1157,"")</f>
      </c>
    </row>
    <row r="1159">
      <c r="BG1159" s="2">
        <f>IF(AND($AF$3&gt;0,资金流水!$H$1163=$C$3,ISNUMBER(资金流水!$B$1163),ISNUMBER(资金流水!$S$1163),资金流水!$S$1163&gt;=_辅助!$J$4,资金流水!$S$1163&lt;=_辅助!$J$2),INT(资金流水!$B$1163)*10000+1158,"")</f>
      </c>
    </row>
    <row r="1160">
      <c r="BG1160" s="2">
        <f>IF(AND($AF$3&gt;0,资金流水!$H$1164=$C$3,ISNUMBER(资金流水!$B$1164),ISNUMBER(资金流水!$S$1164),资金流水!$S$1164&gt;=_辅助!$J$4,资金流水!$S$1164&lt;=_辅助!$J$2),INT(资金流水!$B$1164)*10000+1159,"")</f>
      </c>
    </row>
    <row r="1161">
      <c r="BG1161" s="2">
        <f>IF(AND($AF$3&gt;0,资金流水!$H$1165=$C$3,ISNUMBER(资金流水!$B$1165),ISNUMBER(资金流水!$S$1165),资金流水!$S$1165&gt;=_辅助!$J$4,资金流水!$S$1165&lt;=_辅助!$J$2),INT(资金流水!$B$1165)*10000+1160,"")</f>
      </c>
    </row>
    <row r="1162">
      <c r="BG1162" s="2">
        <f>IF(AND($AF$3&gt;0,资金流水!$H$1166=$C$3,ISNUMBER(资金流水!$B$1166),ISNUMBER(资金流水!$S$1166),资金流水!$S$1166&gt;=_辅助!$J$4,资金流水!$S$1166&lt;=_辅助!$J$2),INT(资金流水!$B$1166)*10000+1161,"")</f>
      </c>
    </row>
    <row r="1163">
      <c r="BG1163" s="2">
        <f>IF(AND($AF$3&gt;0,资金流水!$H$1167=$C$3,ISNUMBER(资金流水!$B$1167),ISNUMBER(资金流水!$S$1167),资金流水!$S$1167&gt;=_辅助!$J$4,资金流水!$S$1167&lt;=_辅助!$J$2),INT(资金流水!$B$1167)*10000+1162,"")</f>
      </c>
    </row>
    <row r="1164">
      <c r="BG1164" s="2">
        <f>IF(AND($AF$3&gt;0,资金流水!$H$1168=$C$3,ISNUMBER(资金流水!$B$1168),ISNUMBER(资金流水!$S$1168),资金流水!$S$1168&gt;=_辅助!$J$4,资金流水!$S$1168&lt;=_辅助!$J$2),INT(资金流水!$B$1168)*10000+1163,"")</f>
      </c>
    </row>
    <row r="1165">
      <c r="BG1165" s="2">
        <f>IF(AND($AF$3&gt;0,资金流水!$H$1169=$C$3,ISNUMBER(资金流水!$B$1169),ISNUMBER(资金流水!$S$1169),资金流水!$S$1169&gt;=_辅助!$J$4,资金流水!$S$1169&lt;=_辅助!$J$2),INT(资金流水!$B$1169)*10000+1164,"")</f>
      </c>
    </row>
    <row r="1166">
      <c r="BG1166" s="2">
        <f>IF(AND($AF$3&gt;0,资金流水!$H$1170=$C$3,ISNUMBER(资金流水!$B$1170),ISNUMBER(资金流水!$S$1170),资金流水!$S$1170&gt;=_辅助!$J$4,资金流水!$S$1170&lt;=_辅助!$J$2),INT(资金流水!$B$1170)*10000+1165,"")</f>
      </c>
    </row>
    <row r="1167">
      <c r="BG1167" s="2">
        <f>IF(AND($AF$3&gt;0,资金流水!$H$1171=$C$3,ISNUMBER(资金流水!$B$1171),ISNUMBER(资金流水!$S$1171),资金流水!$S$1171&gt;=_辅助!$J$4,资金流水!$S$1171&lt;=_辅助!$J$2),INT(资金流水!$B$1171)*10000+1166,"")</f>
      </c>
    </row>
    <row r="1168">
      <c r="BG1168" s="2">
        <f>IF(AND($AF$3&gt;0,资金流水!$H$1172=$C$3,ISNUMBER(资金流水!$B$1172),ISNUMBER(资金流水!$S$1172),资金流水!$S$1172&gt;=_辅助!$J$4,资金流水!$S$1172&lt;=_辅助!$J$2),INT(资金流水!$B$1172)*10000+1167,"")</f>
      </c>
    </row>
    <row r="1169">
      <c r="BG1169" s="2">
        <f>IF(AND($AF$3&gt;0,资金流水!$H$1173=$C$3,ISNUMBER(资金流水!$B$1173),ISNUMBER(资金流水!$S$1173),资金流水!$S$1173&gt;=_辅助!$J$4,资金流水!$S$1173&lt;=_辅助!$J$2),INT(资金流水!$B$1173)*10000+1168,"")</f>
      </c>
    </row>
    <row r="1170">
      <c r="BG1170" s="2">
        <f>IF(AND($AF$3&gt;0,资金流水!$H$1174=$C$3,ISNUMBER(资金流水!$B$1174),ISNUMBER(资金流水!$S$1174),资金流水!$S$1174&gt;=_辅助!$J$4,资金流水!$S$1174&lt;=_辅助!$J$2),INT(资金流水!$B$1174)*10000+1169,"")</f>
      </c>
    </row>
    <row r="1171">
      <c r="BG1171" s="2">
        <f>IF(AND($AF$3&gt;0,资金流水!$H$1175=$C$3,ISNUMBER(资金流水!$B$1175),ISNUMBER(资金流水!$S$1175),资金流水!$S$1175&gt;=_辅助!$J$4,资金流水!$S$1175&lt;=_辅助!$J$2),INT(资金流水!$B$1175)*10000+1170,"")</f>
      </c>
    </row>
    <row r="1172">
      <c r="BG1172" s="2">
        <f>IF(AND($AF$3&gt;0,资金流水!$H$1176=$C$3,ISNUMBER(资金流水!$B$1176),ISNUMBER(资金流水!$S$1176),资金流水!$S$1176&gt;=_辅助!$J$4,资金流水!$S$1176&lt;=_辅助!$J$2),INT(资金流水!$B$1176)*10000+1171,"")</f>
      </c>
    </row>
    <row r="1173">
      <c r="BG1173" s="2">
        <f>IF(AND($AF$3&gt;0,资金流水!$H$1177=$C$3,ISNUMBER(资金流水!$B$1177),ISNUMBER(资金流水!$S$1177),资金流水!$S$1177&gt;=_辅助!$J$4,资金流水!$S$1177&lt;=_辅助!$J$2),INT(资金流水!$B$1177)*10000+1172,"")</f>
      </c>
    </row>
    <row r="1174">
      <c r="BG1174" s="2">
        <f>IF(AND($AF$3&gt;0,资金流水!$H$1178=$C$3,ISNUMBER(资金流水!$B$1178),ISNUMBER(资金流水!$S$1178),资金流水!$S$1178&gt;=_辅助!$J$4,资金流水!$S$1178&lt;=_辅助!$J$2),INT(资金流水!$B$1178)*10000+1173,"")</f>
      </c>
    </row>
    <row r="1175">
      <c r="BG1175" s="2">
        <f>IF(AND($AF$3&gt;0,资金流水!$H$1179=$C$3,ISNUMBER(资金流水!$B$1179),ISNUMBER(资金流水!$S$1179),资金流水!$S$1179&gt;=_辅助!$J$4,资金流水!$S$1179&lt;=_辅助!$J$2),INT(资金流水!$B$1179)*10000+1174,"")</f>
      </c>
    </row>
    <row r="1176">
      <c r="BG1176" s="2">
        <f>IF(AND($AF$3&gt;0,资金流水!$H$1180=$C$3,ISNUMBER(资金流水!$B$1180),ISNUMBER(资金流水!$S$1180),资金流水!$S$1180&gt;=_辅助!$J$4,资金流水!$S$1180&lt;=_辅助!$J$2),INT(资金流水!$B$1180)*10000+1175,"")</f>
      </c>
    </row>
    <row r="1177">
      <c r="BG1177" s="2">
        <f>IF(AND($AF$3&gt;0,资金流水!$H$1181=$C$3,ISNUMBER(资金流水!$B$1181),ISNUMBER(资金流水!$S$1181),资金流水!$S$1181&gt;=_辅助!$J$4,资金流水!$S$1181&lt;=_辅助!$J$2),INT(资金流水!$B$1181)*10000+1176,"")</f>
      </c>
    </row>
    <row r="1178">
      <c r="BG1178" s="2">
        <f>IF(AND($AF$3&gt;0,资金流水!$H$1182=$C$3,ISNUMBER(资金流水!$B$1182),ISNUMBER(资金流水!$S$1182),资金流水!$S$1182&gt;=_辅助!$J$4,资金流水!$S$1182&lt;=_辅助!$J$2),INT(资金流水!$B$1182)*10000+1177,"")</f>
      </c>
    </row>
    <row r="1179">
      <c r="BG1179" s="2">
        <f>IF(AND($AF$3&gt;0,资金流水!$H$1183=$C$3,ISNUMBER(资金流水!$B$1183),ISNUMBER(资金流水!$S$1183),资金流水!$S$1183&gt;=_辅助!$J$4,资金流水!$S$1183&lt;=_辅助!$J$2),INT(资金流水!$B$1183)*10000+1178,"")</f>
      </c>
    </row>
    <row r="1180">
      <c r="BG1180" s="2">
        <f>IF(AND($AF$3&gt;0,资金流水!$H$1184=$C$3,ISNUMBER(资金流水!$B$1184),ISNUMBER(资金流水!$S$1184),资金流水!$S$1184&gt;=_辅助!$J$4,资金流水!$S$1184&lt;=_辅助!$J$2),INT(资金流水!$B$1184)*10000+1179,"")</f>
      </c>
    </row>
    <row r="1181">
      <c r="BG1181" s="2">
        <f>IF(AND($AF$3&gt;0,资金流水!$H$1185=$C$3,ISNUMBER(资金流水!$B$1185),ISNUMBER(资金流水!$S$1185),资金流水!$S$1185&gt;=_辅助!$J$4,资金流水!$S$1185&lt;=_辅助!$J$2),INT(资金流水!$B$1185)*10000+1180,"")</f>
      </c>
    </row>
    <row r="1182">
      <c r="BG1182" s="2">
        <f>IF(AND($AF$3&gt;0,资金流水!$H$1186=$C$3,ISNUMBER(资金流水!$B$1186),ISNUMBER(资金流水!$S$1186),资金流水!$S$1186&gt;=_辅助!$J$4,资金流水!$S$1186&lt;=_辅助!$J$2),INT(资金流水!$B$1186)*10000+1181,"")</f>
      </c>
    </row>
    <row r="1183">
      <c r="BG1183" s="2">
        <f>IF(AND($AF$3&gt;0,资金流水!$H$1187=$C$3,ISNUMBER(资金流水!$B$1187),ISNUMBER(资金流水!$S$1187),资金流水!$S$1187&gt;=_辅助!$J$4,资金流水!$S$1187&lt;=_辅助!$J$2),INT(资金流水!$B$1187)*10000+1182,"")</f>
      </c>
    </row>
    <row r="1184">
      <c r="BG1184" s="2">
        <f>IF(AND($AF$3&gt;0,资金流水!$H$1188=$C$3,ISNUMBER(资金流水!$B$1188),ISNUMBER(资金流水!$S$1188),资金流水!$S$1188&gt;=_辅助!$J$4,资金流水!$S$1188&lt;=_辅助!$J$2),INT(资金流水!$B$1188)*10000+1183,"")</f>
      </c>
    </row>
    <row r="1185">
      <c r="BG1185" s="2">
        <f>IF(AND($AF$3&gt;0,资金流水!$H$1189=$C$3,ISNUMBER(资金流水!$B$1189),ISNUMBER(资金流水!$S$1189),资金流水!$S$1189&gt;=_辅助!$J$4,资金流水!$S$1189&lt;=_辅助!$J$2),INT(资金流水!$B$1189)*10000+1184,"")</f>
      </c>
    </row>
    <row r="1186">
      <c r="BG1186" s="2">
        <f>IF(AND($AF$3&gt;0,资金流水!$H$1190=$C$3,ISNUMBER(资金流水!$B$1190),ISNUMBER(资金流水!$S$1190),资金流水!$S$1190&gt;=_辅助!$J$4,资金流水!$S$1190&lt;=_辅助!$J$2),INT(资金流水!$B$1190)*10000+1185,"")</f>
      </c>
    </row>
    <row r="1187">
      <c r="BG1187" s="2">
        <f>IF(AND($AF$3&gt;0,资金流水!$H$1191=$C$3,ISNUMBER(资金流水!$B$1191),ISNUMBER(资金流水!$S$1191),资金流水!$S$1191&gt;=_辅助!$J$4,资金流水!$S$1191&lt;=_辅助!$J$2),INT(资金流水!$B$1191)*10000+1186,"")</f>
      </c>
    </row>
    <row r="1188">
      <c r="BG1188" s="2">
        <f>IF(AND($AF$3&gt;0,资金流水!$H$1192=$C$3,ISNUMBER(资金流水!$B$1192),ISNUMBER(资金流水!$S$1192),资金流水!$S$1192&gt;=_辅助!$J$4,资金流水!$S$1192&lt;=_辅助!$J$2),INT(资金流水!$B$1192)*10000+1187,"")</f>
      </c>
    </row>
    <row r="1189">
      <c r="BG1189" s="2">
        <f>IF(AND($AF$3&gt;0,资金流水!$H$1193=$C$3,ISNUMBER(资金流水!$B$1193),ISNUMBER(资金流水!$S$1193),资金流水!$S$1193&gt;=_辅助!$J$4,资金流水!$S$1193&lt;=_辅助!$J$2),INT(资金流水!$B$1193)*10000+1188,"")</f>
      </c>
    </row>
    <row r="1190">
      <c r="BG1190" s="2">
        <f>IF(AND($AF$3&gt;0,资金流水!$H$1194=$C$3,ISNUMBER(资金流水!$B$1194),ISNUMBER(资金流水!$S$1194),资金流水!$S$1194&gt;=_辅助!$J$4,资金流水!$S$1194&lt;=_辅助!$J$2),INT(资金流水!$B$1194)*10000+1189,"")</f>
      </c>
    </row>
    <row r="1191">
      <c r="BG1191" s="2">
        <f>IF(AND($AF$3&gt;0,资金流水!$H$1195=$C$3,ISNUMBER(资金流水!$B$1195),ISNUMBER(资金流水!$S$1195),资金流水!$S$1195&gt;=_辅助!$J$4,资金流水!$S$1195&lt;=_辅助!$J$2),INT(资金流水!$B$1195)*10000+1190,"")</f>
      </c>
    </row>
    <row r="1192">
      <c r="BG1192" s="2">
        <f>IF(AND($AF$3&gt;0,资金流水!$H$1196=$C$3,ISNUMBER(资金流水!$B$1196),ISNUMBER(资金流水!$S$1196),资金流水!$S$1196&gt;=_辅助!$J$4,资金流水!$S$1196&lt;=_辅助!$J$2),INT(资金流水!$B$1196)*10000+1191,"")</f>
      </c>
    </row>
    <row r="1193">
      <c r="BG1193" s="2">
        <f>IF(AND($AF$3&gt;0,资金流水!$H$1197=$C$3,ISNUMBER(资金流水!$B$1197),ISNUMBER(资金流水!$S$1197),资金流水!$S$1197&gt;=_辅助!$J$4,资金流水!$S$1197&lt;=_辅助!$J$2),INT(资金流水!$B$1197)*10000+1192,"")</f>
      </c>
    </row>
    <row r="1194">
      <c r="BG1194" s="2">
        <f>IF(AND($AF$3&gt;0,资金流水!$H$1198=$C$3,ISNUMBER(资金流水!$B$1198),ISNUMBER(资金流水!$S$1198),资金流水!$S$1198&gt;=_辅助!$J$4,资金流水!$S$1198&lt;=_辅助!$J$2),INT(资金流水!$B$1198)*10000+1193,"")</f>
      </c>
    </row>
    <row r="1195">
      <c r="BG1195" s="2">
        <f>IF(AND($AF$3&gt;0,资金流水!$H$1199=$C$3,ISNUMBER(资金流水!$B$1199),ISNUMBER(资金流水!$S$1199),资金流水!$S$1199&gt;=_辅助!$J$4,资金流水!$S$1199&lt;=_辅助!$J$2),INT(资金流水!$B$1199)*10000+1194,"")</f>
      </c>
    </row>
    <row r="1196">
      <c r="BG1196" s="2">
        <f>IF(AND($AF$3&gt;0,资金流水!$H$1200=$C$3,ISNUMBER(资金流水!$B$1200),ISNUMBER(资金流水!$S$1200),资金流水!$S$1200&gt;=_辅助!$J$4,资金流水!$S$1200&lt;=_辅助!$J$2),INT(资金流水!$B$1200)*10000+1195,"")</f>
      </c>
    </row>
    <row r="1197">
      <c r="BG1197" s="2">
        <f>IF(AND($AF$3&gt;0,资金流水!$H$1201=$C$3,ISNUMBER(资金流水!$B$1201),ISNUMBER(资金流水!$S$1201),资金流水!$S$1201&gt;=_辅助!$J$4,资金流水!$S$1201&lt;=_辅助!$J$2),INT(资金流水!$B$1201)*10000+1196,"")</f>
      </c>
    </row>
    <row r="1198">
      <c r="BG1198" s="2">
        <f>IF(AND($AF$3&gt;0,资金流水!$H$1202=$C$3,ISNUMBER(资金流水!$B$1202),ISNUMBER(资金流水!$S$1202),资金流水!$S$1202&gt;=_辅助!$J$4,资金流水!$S$1202&lt;=_辅助!$J$2),INT(资金流水!$B$1202)*10000+1197,"")</f>
      </c>
    </row>
    <row r="1199">
      <c r="BG1199" s="2">
        <f>IF(AND($AF$3&gt;0,资金流水!$H$1203=$C$3,ISNUMBER(资金流水!$B$1203),ISNUMBER(资金流水!$S$1203),资金流水!$S$1203&gt;=_辅助!$J$4,资金流水!$S$1203&lt;=_辅助!$J$2),INT(资金流水!$B$1203)*10000+1198,"")</f>
      </c>
    </row>
    <row r="1200">
      <c r="BG1200" s="2">
        <f>IF(AND($AF$3&gt;0,资金流水!$H$1204=$C$3,ISNUMBER(资金流水!$B$1204),ISNUMBER(资金流水!$S$1204),资金流水!$S$1204&gt;=_辅助!$J$4,资金流水!$S$1204&lt;=_辅助!$J$2),INT(资金流水!$B$1204)*10000+1199,"")</f>
      </c>
    </row>
    <row r="1201">
      <c r="BG1201" s="2">
        <f>IF(AND($AF$3&gt;0,资金流水!$H$1205=$C$3,ISNUMBER(资金流水!$B$1205),ISNUMBER(资金流水!$S$1205),资金流水!$S$1205&gt;=_辅助!$J$4,资金流水!$S$1205&lt;=_辅助!$J$2),INT(资金流水!$B$1205)*10000+1200,"")</f>
      </c>
    </row>
    <row r="1202">
      <c r="BG1202" s="2">
        <f>IF(AND($AF$3&gt;0,资金流水!$H$1206=$C$3,ISNUMBER(资金流水!$B$1206),ISNUMBER(资金流水!$S$1206),资金流水!$S$1206&gt;=_辅助!$J$4,资金流水!$S$1206&lt;=_辅助!$J$2),INT(资金流水!$B$1206)*10000+1201,"")</f>
      </c>
    </row>
    <row r="1203">
      <c r="BG1203" s="2">
        <f>IF(AND($AF$3&gt;0,资金流水!$H$1207=$C$3,ISNUMBER(资金流水!$B$1207),ISNUMBER(资金流水!$S$1207),资金流水!$S$1207&gt;=_辅助!$J$4,资金流水!$S$1207&lt;=_辅助!$J$2),INT(资金流水!$B$1207)*10000+1202,"")</f>
      </c>
    </row>
    <row r="1204">
      <c r="BG1204" s="2">
        <f>IF(AND($AF$3&gt;0,资金流水!$H$1208=$C$3,ISNUMBER(资金流水!$B$1208),ISNUMBER(资金流水!$S$1208),资金流水!$S$1208&gt;=_辅助!$J$4,资金流水!$S$1208&lt;=_辅助!$J$2),INT(资金流水!$B$1208)*10000+1203,"")</f>
      </c>
    </row>
    <row r="1205">
      <c r="BG1205" s="2">
        <f>IF(AND($AF$3&gt;0,资金流水!$H$1209=$C$3,ISNUMBER(资金流水!$B$1209),ISNUMBER(资金流水!$S$1209),资金流水!$S$1209&gt;=_辅助!$J$4,资金流水!$S$1209&lt;=_辅助!$J$2),INT(资金流水!$B$1209)*10000+1204,"")</f>
      </c>
    </row>
    <row r="1206">
      <c r="BG1206" s="2">
        <f>IF(AND($AF$3&gt;0,资金流水!$H$1210=$C$3,ISNUMBER(资金流水!$B$1210),ISNUMBER(资金流水!$S$1210),资金流水!$S$1210&gt;=_辅助!$J$4,资金流水!$S$1210&lt;=_辅助!$J$2),INT(资金流水!$B$1210)*10000+1205,"")</f>
      </c>
    </row>
    <row r="1207">
      <c r="BG1207" s="2">
        <f>IF(AND($AF$3&gt;0,资金流水!$H$1211=$C$3,ISNUMBER(资金流水!$B$1211),ISNUMBER(资金流水!$S$1211),资金流水!$S$1211&gt;=_辅助!$J$4,资金流水!$S$1211&lt;=_辅助!$J$2),INT(资金流水!$B$1211)*10000+1206,"")</f>
      </c>
    </row>
    <row r="1208">
      <c r="BG1208" s="2">
        <f>IF(AND($AF$3&gt;0,资金流水!$H$1212=$C$3,ISNUMBER(资金流水!$B$1212),ISNUMBER(资金流水!$S$1212),资金流水!$S$1212&gt;=_辅助!$J$4,资金流水!$S$1212&lt;=_辅助!$J$2),INT(资金流水!$B$1212)*10000+1207,"")</f>
      </c>
    </row>
    <row r="1209">
      <c r="BG1209" s="2">
        <f>IF(AND($AF$3&gt;0,资金流水!$H$1213=$C$3,ISNUMBER(资金流水!$B$1213),ISNUMBER(资金流水!$S$1213),资金流水!$S$1213&gt;=_辅助!$J$4,资金流水!$S$1213&lt;=_辅助!$J$2),INT(资金流水!$B$1213)*10000+1208,"")</f>
      </c>
    </row>
    <row r="1210">
      <c r="BG1210" s="2">
        <f>IF(AND($AF$3&gt;0,资金流水!$H$1214=$C$3,ISNUMBER(资金流水!$B$1214),ISNUMBER(资金流水!$S$1214),资金流水!$S$1214&gt;=_辅助!$J$4,资金流水!$S$1214&lt;=_辅助!$J$2),INT(资金流水!$B$1214)*10000+1209,"")</f>
      </c>
    </row>
    <row r="1211">
      <c r="BG1211" s="2">
        <f>IF(AND($AF$3&gt;0,资金流水!$H$1215=$C$3,ISNUMBER(资金流水!$B$1215),ISNUMBER(资金流水!$S$1215),资金流水!$S$1215&gt;=_辅助!$J$4,资金流水!$S$1215&lt;=_辅助!$J$2),INT(资金流水!$B$1215)*10000+1210,"")</f>
      </c>
    </row>
    <row r="1212">
      <c r="BG1212" s="2">
        <f>IF(AND($AF$3&gt;0,资金流水!$H$1216=$C$3,ISNUMBER(资金流水!$B$1216),ISNUMBER(资金流水!$S$1216),资金流水!$S$1216&gt;=_辅助!$J$4,资金流水!$S$1216&lt;=_辅助!$J$2),INT(资金流水!$B$1216)*10000+1211,"")</f>
      </c>
    </row>
    <row r="1213">
      <c r="BG1213" s="2">
        <f>IF(AND($AF$3&gt;0,资金流水!$H$1217=$C$3,ISNUMBER(资金流水!$B$1217),ISNUMBER(资金流水!$S$1217),资金流水!$S$1217&gt;=_辅助!$J$4,资金流水!$S$1217&lt;=_辅助!$J$2),INT(资金流水!$B$1217)*10000+1212,"")</f>
      </c>
    </row>
    <row r="1214">
      <c r="BG1214" s="2">
        <f>IF(AND($AF$3&gt;0,资金流水!$H$1218=$C$3,ISNUMBER(资金流水!$B$1218),ISNUMBER(资金流水!$S$1218),资金流水!$S$1218&gt;=_辅助!$J$4,资金流水!$S$1218&lt;=_辅助!$J$2),INT(资金流水!$B$1218)*10000+1213,"")</f>
      </c>
    </row>
    <row r="1215">
      <c r="BG1215" s="2">
        <f>IF(AND($AF$3&gt;0,资金流水!$H$1219=$C$3,ISNUMBER(资金流水!$B$1219),ISNUMBER(资金流水!$S$1219),资金流水!$S$1219&gt;=_辅助!$J$4,资金流水!$S$1219&lt;=_辅助!$J$2),INT(资金流水!$B$1219)*10000+1214,"")</f>
      </c>
    </row>
    <row r="1216">
      <c r="BG1216" s="2">
        <f>IF(AND($AF$3&gt;0,资金流水!$H$1220=$C$3,ISNUMBER(资金流水!$B$1220),ISNUMBER(资金流水!$S$1220),资金流水!$S$1220&gt;=_辅助!$J$4,资金流水!$S$1220&lt;=_辅助!$J$2),INT(资金流水!$B$1220)*10000+1215,"")</f>
      </c>
    </row>
    <row r="1217">
      <c r="BG1217" s="2">
        <f>IF(AND($AF$3&gt;0,资金流水!$H$1221=$C$3,ISNUMBER(资金流水!$B$1221),ISNUMBER(资金流水!$S$1221),资金流水!$S$1221&gt;=_辅助!$J$4,资金流水!$S$1221&lt;=_辅助!$J$2),INT(资金流水!$B$1221)*10000+1216,"")</f>
      </c>
    </row>
    <row r="1218">
      <c r="BG1218" s="2">
        <f>IF(AND($AF$3&gt;0,资金流水!$H$1222=$C$3,ISNUMBER(资金流水!$B$1222),ISNUMBER(资金流水!$S$1222),资金流水!$S$1222&gt;=_辅助!$J$4,资金流水!$S$1222&lt;=_辅助!$J$2),INT(资金流水!$B$1222)*10000+1217,"")</f>
      </c>
    </row>
    <row r="1219">
      <c r="BG1219" s="2">
        <f>IF(AND($AF$3&gt;0,资金流水!$H$1223=$C$3,ISNUMBER(资金流水!$B$1223),ISNUMBER(资金流水!$S$1223),资金流水!$S$1223&gt;=_辅助!$J$4,资金流水!$S$1223&lt;=_辅助!$J$2),INT(资金流水!$B$1223)*10000+1218,"")</f>
      </c>
    </row>
    <row r="1220">
      <c r="BG1220" s="2">
        <f>IF(AND($AF$3&gt;0,资金流水!$H$1224=$C$3,ISNUMBER(资金流水!$B$1224),ISNUMBER(资金流水!$S$1224),资金流水!$S$1224&gt;=_辅助!$J$4,资金流水!$S$1224&lt;=_辅助!$J$2),INT(资金流水!$B$1224)*10000+1219,"")</f>
      </c>
    </row>
    <row r="1221">
      <c r="BG1221" s="2">
        <f>IF(AND($AF$3&gt;0,资金流水!$H$1225=$C$3,ISNUMBER(资金流水!$B$1225),ISNUMBER(资金流水!$S$1225),资金流水!$S$1225&gt;=_辅助!$J$4,资金流水!$S$1225&lt;=_辅助!$J$2),INT(资金流水!$B$1225)*10000+1220,"")</f>
      </c>
    </row>
    <row r="1222">
      <c r="BG1222" s="2">
        <f>IF(AND($AF$3&gt;0,资金流水!$H$1226=$C$3,ISNUMBER(资金流水!$B$1226),ISNUMBER(资金流水!$S$1226),资金流水!$S$1226&gt;=_辅助!$J$4,资金流水!$S$1226&lt;=_辅助!$J$2),INT(资金流水!$B$1226)*10000+1221,"")</f>
      </c>
    </row>
    <row r="1223">
      <c r="BG1223" s="2">
        <f>IF(AND($AF$3&gt;0,资金流水!$H$1227=$C$3,ISNUMBER(资金流水!$B$1227),ISNUMBER(资金流水!$S$1227),资金流水!$S$1227&gt;=_辅助!$J$4,资金流水!$S$1227&lt;=_辅助!$J$2),INT(资金流水!$B$1227)*10000+1222,"")</f>
      </c>
    </row>
    <row r="1224">
      <c r="BG1224" s="2">
        <f>IF(AND($AF$3&gt;0,资金流水!$H$1228=$C$3,ISNUMBER(资金流水!$B$1228),ISNUMBER(资金流水!$S$1228),资金流水!$S$1228&gt;=_辅助!$J$4,资金流水!$S$1228&lt;=_辅助!$J$2),INT(资金流水!$B$1228)*10000+1223,"")</f>
      </c>
    </row>
    <row r="1225">
      <c r="BG1225" s="2">
        <f>IF(AND($AF$3&gt;0,资金流水!$H$1229=$C$3,ISNUMBER(资金流水!$B$1229),ISNUMBER(资金流水!$S$1229),资金流水!$S$1229&gt;=_辅助!$J$4,资金流水!$S$1229&lt;=_辅助!$J$2),INT(资金流水!$B$1229)*10000+1224,"")</f>
      </c>
    </row>
    <row r="1226">
      <c r="BG1226" s="2">
        <f>IF(AND($AF$3&gt;0,资金流水!$H$1230=$C$3,ISNUMBER(资金流水!$B$1230),ISNUMBER(资金流水!$S$1230),资金流水!$S$1230&gt;=_辅助!$J$4,资金流水!$S$1230&lt;=_辅助!$J$2),INT(资金流水!$B$1230)*10000+1225,"")</f>
      </c>
    </row>
    <row r="1227">
      <c r="BG1227" s="2">
        <f>IF(AND($AF$3&gt;0,资金流水!$H$1231=$C$3,ISNUMBER(资金流水!$B$1231),ISNUMBER(资金流水!$S$1231),资金流水!$S$1231&gt;=_辅助!$J$4,资金流水!$S$1231&lt;=_辅助!$J$2),INT(资金流水!$B$1231)*10000+1226,"")</f>
      </c>
    </row>
    <row r="1228">
      <c r="BG1228" s="2">
        <f>IF(AND($AF$3&gt;0,资金流水!$H$1232=$C$3,ISNUMBER(资金流水!$B$1232),ISNUMBER(资金流水!$S$1232),资金流水!$S$1232&gt;=_辅助!$J$4,资金流水!$S$1232&lt;=_辅助!$J$2),INT(资金流水!$B$1232)*10000+1227,"")</f>
      </c>
    </row>
    <row r="1229">
      <c r="BG1229" s="2">
        <f>IF(AND($AF$3&gt;0,资金流水!$H$1233=$C$3,ISNUMBER(资金流水!$B$1233),ISNUMBER(资金流水!$S$1233),资金流水!$S$1233&gt;=_辅助!$J$4,资金流水!$S$1233&lt;=_辅助!$J$2),INT(资金流水!$B$1233)*10000+1228,"")</f>
      </c>
    </row>
    <row r="1230">
      <c r="BG1230" s="2">
        <f>IF(AND($AF$3&gt;0,资金流水!$H$1234=$C$3,ISNUMBER(资金流水!$B$1234),ISNUMBER(资金流水!$S$1234),资金流水!$S$1234&gt;=_辅助!$J$4,资金流水!$S$1234&lt;=_辅助!$J$2),INT(资金流水!$B$1234)*10000+1229,"")</f>
      </c>
    </row>
    <row r="1231">
      <c r="BG1231" s="2">
        <f>IF(AND($AF$3&gt;0,资金流水!$H$1235=$C$3,ISNUMBER(资金流水!$B$1235),ISNUMBER(资金流水!$S$1235),资金流水!$S$1235&gt;=_辅助!$J$4,资金流水!$S$1235&lt;=_辅助!$J$2),INT(资金流水!$B$1235)*10000+1230,"")</f>
      </c>
    </row>
    <row r="1232">
      <c r="BG1232" s="2">
        <f>IF(AND($AF$3&gt;0,资金流水!$H$1236=$C$3,ISNUMBER(资金流水!$B$1236),ISNUMBER(资金流水!$S$1236),资金流水!$S$1236&gt;=_辅助!$J$4,资金流水!$S$1236&lt;=_辅助!$J$2),INT(资金流水!$B$1236)*10000+1231,"")</f>
      </c>
    </row>
    <row r="1233">
      <c r="BG1233" s="2">
        <f>IF(AND($AF$3&gt;0,资金流水!$H$1237=$C$3,ISNUMBER(资金流水!$B$1237),ISNUMBER(资金流水!$S$1237),资金流水!$S$1237&gt;=_辅助!$J$4,资金流水!$S$1237&lt;=_辅助!$J$2),INT(资金流水!$B$1237)*10000+1232,"")</f>
      </c>
    </row>
    <row r="1234">
      <c r="BG1234" s="2">
        <f>IF(AND($AF$3&gt;0,资金流水!$H$1238=$C$3,ISNUMBER(资金流水!$B$1238),ISNUMBER(资金流水!$S$1238),资金流水!$S$1238&gt;=_辅助!$J$4,资金流水!$S$1238&lt;=_辅助!$J$2),INT(资金流水!$B$1238)*10000+1233,"")</f>
      </c>
    </row>
    <row r="1235">
      <c r="BG1235" s="2">
        <f>IF(AND($AF$3&gt;0,资金流水!$H$1239=$C$3,ISNUMBER(资金流水!$B$1239),ISNUMBER(资金流水!$S$1239),资金流水!$S$1239&gt;=_辅助!$J$4,资金流水!$S$1239&lt;=_辅助!$J$2),INT(资金流水!$B$1239)*10000+1234,"")</f>
      </c>
    </row>
    <row r="1236">
      <c r="BG1236" s="2">
        <f>IF(AND($AF$3&gt;0,资金流水!$H$1240=$C$3,ISNUMBER(资金流水!$B$1240),ISNUMBER(资金流水!$S$1240),资金流水!$S$1240&gt;=_辅助!$J$4,资金流水!$S$1240&lt;=_辅助!$J$2),INT(资金流水!$B$1240)*10000+1235,"")</f>
      </c>
    </row>
    <row r="1237">
      <c r="BG1237" s="2">
        <f>IF(AND($AF$3&gt;0,资金流水!$H$1241=$C$3,ISNUMBER(资金流水!$B$1241),ISNUMBER(资金流水!$S$1241),资金流水!$S$1241&gt;=_辅助!$J$4,资金流水!$S$1241&lt;=_辅助!$J$2),INT(资金流水!$B$1241)*10000+1236,"")</f>
      </c>
    </row>
    <row r="1238">
      <c r="BG1238" s="2">
        <f>IF(AND($AF$3&gt;0,资金流水!$H$1242=$C$3,ISNUMBER(资金流水!$B$1242),ISNUMBER(资金流水!$S$1242),资金流水!$S$1242&gt;=_辅助!$J$4,资金流水!$S$1242&lt;=_辅助!$J$2),INT(资金流水!$B$1242)*10000+1237,"")</f>
      </c>
    </row>
    <row r="1239">
      <c r="BG1239" s="2">
        <f>IF(AND($AF$3&gt;0,资金流水!$H$1243=$C$3,ISNUMBER(资金流水!$B$1243),ISNUMBER(资金流水!$S$1243),资金流水!$S$1243&gt;=_辅助!$J$4,资金流水!$S$1243&lt;=_辅助!$J$2),INT(资金流水!$B$1243)*10000+1238,"")</f>
      </c>
    </row>
    <row r="1240">
      <c r="BG1240" s="2">
        <f>IF(AND($AF$3&gt;0,资金流水!$H$1244=$C$3,ISNUMBER(资金流水!$B$1244),ISNUMBER(资金流水!$S$1244),资金流水!$S$1244&gt;=_辅助!$J$4,资金流水!$S$1244&lt;=_辅助!$J$2),INT(资金流水!$B$1244)*10000+1239,"")</f>
      </c>
    </row>
    <row r="1241">
      <c r="BG1241" s="2">
        <f>IF(AND($AF$3&gt;0,资金流水!$H$1245=$C$3,ISNUMBER(资金流水!$B$1245),ISNUMBER(资金流水!$S$1245),资金流水!$S$1245&gt;=_辅助!$J$4,资金流水!$S$1245&lt;=_辅助!$J$2),INT(资金流水!$B$1245)*10000+1240,"")</f>
      </c>
    </row>
    <row r="1242">
      <c r="BG1242" s="2">
        <f>IF(AND($AF$3&gt;0,资金流水!$H$1246=$C$3,ISNUMBER(资金流水!$B$1246),ISNUMBER(资金流水!$S$1246),资金流水!$S$1246&gt;=_辅助!$J$4,资金流水!$S$1246&lt;=_辅助!$J$2),INT(资金流水!$B$1246)*10000+1241,"")</f>
      </c>
    </row>
    <row r="1243">
      <c r="BG1243" s="2">
        <f>IF(AND($AF$3&gt;0,资金流水!$H$1247=$C$3,ISNUMBER(资金流水!$B$1247),ISNUMBER(资金流水!$S$1247),资金流水!$S$1247&gt;=_辅助!$J$4,资金流水!$S$1247&lt;=_辅助!$J$2),INT(资金流水!$B$1247)*10000+1242,"")</f>
      </c>
    </row>
    <row r="1244">
      <c r="BG1244" s="2">
        <f>IF(AND($AF$3&gt;0,资金流水!$H$1248=$C$3,ISNUMBER(资金流水!$B$1248),ISNUMBER(资金流水!$S$1248),资金流水!$S$1248&gt;=_辅助!$J$4,资金流水!$S$1248&lt;=_辅助!$J$2),INT(资金流水!$B$1248)*10000+1243,"")</f>
      </c>
    </row>
    <row r="1245">
      <c r="BG1245" s="2">
        <f>IF(AND($AF$3&gt;0,资金流水!$H$1249=$C$3,ISNUMBER(资金流水!$B$1249),ISNUMBER(资金流水!$S$1249),资金流水!$S$1249&gt;=_辅助!$J$4,资金流水!$S$1249&lt;=_辅助!$J$2),INT(资金流水!$B$1249)*10000+1244,"")</f>
      </c>
    </row>
    <row r="1246">
      <c r="BG1246" s="2">
        <f>IF(AND($AF$3&gt;0,资金流水!$H$1250=$C$3,ISNUMBER(资金流水!$B$1250),ISNUMBER(资金流水!$S$1250),资金流水!$S$1250&gt;=_辅助!$J$4,资金流水!$S$1250&lt;=_辅助!$J$2),INT(资金流水!$B$1250)*10000+1245,"")</f>
      </c>
    </row>
    <row r="1247">
      <c r="BG1247" s="2">
        <f>IF(AND($AF$3&gt;0,资金流水!$H$1251=$C$3,ISNUMBER(资金流水!$B$1251),ISNUMBER(资金流水!$S$1251),资金流水!$S$1251&gt;=_辅助!$J$4,资金流水!$S$1251&lt;=_辅助!$J$2),INT(资金流水!$B$1251)*10000+1246,"")</f>
      </c>
    </row>
    <row r="1248">
      <c r="BG1248" s="2">
        <f>IF(AND($AF$3&gt;0,资金流水!$H$1252=$C$3,ISNUMBER(资金流水!$B$1252),ISNUMBER(资金流水!$S$1252),资金流水!$S$1252&gt;=_辅助!$J$4,资金流水!$S$1252&lt;=_辅助!$J$2),INT(资金流水!$B$1252)*10000+1247,"")</f>
      </c>
    </row>
    <row r="1249">
      <c r="BG1249" s="2">
        <f>IF(AND($AF$3&gt;0,资金流水!$H$1253=$C$3,ISNUMBER(资金流水!$B$1253),ISNUMBER(资金流水!$S$1253),资金流水!$S$1253&gt;=_辅助!$J$4,资金流水!$S$1253&lt;=_辅助!$J$2),INT(资金流水!$B$1253)*10000+1248,"")</f>
      </c>
    </row>
    <row r="1250">
      <c r="BG1250" s="2">
        <f>IF(AND($AF$3&gt;0,资金流水!$H$1254=$C$3,ISNUMBER(资金流水!$B$1254),ISNUMBER(资金流水!$S$1254),资金流水!$S$1254&gt;=_辅助!$J$4,资金流水!$S$1254&lt;=_辅助!$J$2),INT(资金流水!$B$1254)*10000+1249,"")</f>
      </c>
    </row>
    <row r="1251">
      <c r="BG1251" s="2">
        <f>IF(AND($AF$3&gt;0,资金流水!$H$1255=$C$3,ISNUMBER(资金流水!$B$1255),ISNUMBER(资金流水!$S$1255),资金流水!$S$1255&gt;=_辅助!$J$4,资金流水!$S$1255&lt;=_辅助!$J$2),INT(资金流水!$B$1255)*10000+1250,"")</f>
      </c>
    </row>
    <row r="1252">
      <c r="BG1252" s="2">
        <f>IF(AND($AF$3&gt;0,资金流水!$H$1256=$C$3,ISNUMBER(资金流水!$B$1256),ISNUMBER(资金流水!$S$1256),资金流水!$S$1256&gt;=_辅助!$J$4,资金流水!$S$1256&lt;=_辅助!$J$2),INT(资金流水!$B$1256)*10000+1251,"")</f>
      </c>
    </row>
    <row r="1253">
      <c r="BG1253" s="2">
        <f>IF(AND($AF$3&gt;0,资金流水!$H$1257=$C$3,ISNUMBER(资金流水!$B$1257),ISNUMBER(资金流水!$S$1257),资金流水!$S$1257&gt;=_辅助!$J$4,资金流水!$S$1257&lt;=_辅助!$J$2),INT(资金流水!$B$1257)*10000+1252,"")</f>
      </c>
    </row>
    <row r="1254">
      <c r="BG1254" s="2">
        <f>IF(AND($AF$3&gt;0,资金流水!$H$1258=$C$3,ISNUMBER(资金流水!$B$1258),ISNUMBER(资金流水!$S$1258),资金流水!$S$1258&gt;=_辅助!$J$4,资金流水!$S$1258&lt;=_辅助!$J$2),INT(资金流水!$B$1258)*10000+1253,"")</f>
      </c>
    </row>
    <row r="1255">
      <c r="BG1255" s="2">
        <f>IF(AND($AF$3&gt;0,资金流水!$H$1259=$C$3,ISNUMBER(资金流水!$B$1259),ISNUMBER(资金流水!$S$1259),资金流水!$S$1259&gt;=_辅助!$J$4,资金流水!$S$1259&lt;=_辅助!$J$2),INT(资金流水!$B$1259)*10000+1254,"")</f>
      </c>
    </row>
    <row r="1256">
      <c r="BG1256" s="2">
        <f>IF(AND($AF$3&gt;0,资金流水!$H$1260=$C$3,ISNUMBER(资金流水!$B$1260),ISNUMBER(资金流水!$S$1260),资金流水!$S$1260&gt;=_辅助!$J$4,资金流水!$S$1260&lt;=_辅助!$J$2),INT(资金流水!$B$1260)*10000+1255,"")</f>
      </c>
    </row>
    <row r="1257">
      <c r="BG1257" s="2">
        <f>IF(AND($AF$3&gt;0,资金流水!$H$1261=$C$3,ISNUMBER(资金流水!$B$1261),ISNUMBER(资金流水!$S$1261),资金流水!$S$1261&gt;=_辅助!$J$4,资金流水!$S$1261&lt;=_辅助!$J$2),INT(资金流水!$B$1261)*10000+1256,"")</f>
      </c>
    </row>
    <row r="1258">
      <c r="BG1258" s="2">
        <f>IF(AND($AF$3&gt;0,资金流水!$H$1262=$C$3,ISNUMBER(资金流水!$B$1262),ISNUMBER(资金流水!$S$1262),资金流水!$S$1262&gt;=_辅助!$J$4,资金流水!$S$1262&lt;=_辅助!$J$2),INT(资金流水!$B$1262)*10000+1257,"")</f>
      </c>
    </row>
    <row r="1259">
      <c r="BG1259" s="2">
        <f>IF(AND($AF$3&gt;0,资金流水!$H$1263=$C$3,ISNUMBER(资金流水!$B$1263),ISNUMBER(资金流水!$S$1263),资金流水!$S$1263&gt;=_辅助!$J$4,资金流水!$S$1263&lt;=_辅助!$J$2),INT(资金流水!$B$1263)*10000+1258,"")</f>
      </c>
    </row>
    <row r="1260">
      <c r="BG1260" s="2">
        <f>IF(AND($AF$3&gt;0,资金流水!$H$1264=$C$3,ISNUMBER(资金流水!$B$1264),ISNUMBER(资金流水!$S$1264),资金流水!$S$1264&gt;=_辅助!$J$4,资金流水!$S$1264&lt;=_辅助!$J$2),INT(资金流水!$B$1264)*10000+1259,"")</f>
      </c>
    </row>
    <row r="1261">
      <c r="BG1261" s="2">
        <f>IF(AND($AF$3&gt;0,资金流水!$H$1265=$C$3,ISNUMBER(资金流水!$B$1265),ISNUMBER(资金流水!$S$1265),资金流水!$S$1265&gt;=_辅助!$J$4,资金流水!$S$1265&lt;=_辅助!$J$2),INT(资金流水!$B$1265)*10000+1260,"")</f>
      </c>
    </row>
    <row r="1262">
      <c r="BG1262" s="2">
        <f>IF(AND($AF$3&gt;0,资金流水!$H$1266=$C$3,ISNUMBER(资金流水!$B$1266),ISNUMBER(资金流水!$S$1266),资金流水!$S$1266&gt;=_辅助!$J$4,资金流水!$S$1266&lt;=_辅助!$J$2),INT(资金流水!$B$1266)*10000+1261,"")</f>
      </c>
    </row>
    <row r="1263">
      <c r="BG1263" s="2">
        <f>IF(AND($AF$3&gt;0,资金流水!$H$1267=$C$3,ISNUMBER(资金流水!$B$1267),ISNUMBER(资金流水!$S$1267),资金流水!$S$1267&gt;=_辅助!$J$4,资金流水!$S$1267&lt;=_辅助!$J$2),INT(资金流水!$B$1267)*10000+1262,"")</f>
      </c>
    </row>
    <row r="1264">
      <c r="BG1264" s="2">
        <f>IF(AND($AF$3&gt;0,资金流水!$H$1268=$C$3,ISNUMBER(资金流水!$B$1268),ISNUMBER(资金流水!$S$1268),资金流水!$S$1268&gt;=_辅助!$J$4,资金流水!$S$1268&lt;=_辅助!$J$2),INT(资金流水!$B$1268)*10000+1263,"")</f>
      </c>
    </row>
    <row r="1265">
      <c r="BG1265" s="2">
        <f>IF(AND($AF$3&gt;0,资金流水!$H$1269=$C$3,ISNUMBER(资金流水!$B$1269),ISNUMBER(资金流水!$S$1269),资金流水!$S$1269&gt;=_辅助!$J$4,资金流水!$S$1269&lt;=_辅助!$J$2),INT(资金流水!$B$1269)*10000+1264,"")</f>
      </c>
    </row>
    <row r="1266">
      <c r="BG1266" s="2">
        <f>IF(AND($AF$3&gt;0,资金流水!$H$1270=$C$3,ISNUMBER(资金流水!$B$1270),ISNUMBER(资金流水!$S$1270),资金流水!$S$1270&gt;=_辅助!$J$4,资金流水!$S$1270&lt;=_辅助!$J$2),INT(资金流水!$B$1270)*10000+1265,"")</f>
      </c>
    </row>
    <row r="1267">
      <c r="BG1267" s="2">
        <f>IF(AND($AF$3&gt;0,资金流水!$H$1271=$C$3,ISNUMBER(资金流水!$B$1271),ISNUMBER(资金流水!$S$1271),资金流水!$S$1271&gt;=_辅助!$J$4,资金流水!$S$1271&lt;=_辅助!$J$2),INT(资金流水!$B$1271)*10000+1266,"")</f>
      </c>
    </row>
    <row r="1268">
      <c r="BG1268" s="2">
        <f>IF(AND($AF$3&gt;0,资金流水!$H$1272=$C$3,ISNUMBER(资金流水!$B$1272),ISNUMBER(资金流水!$S$1272),资金流水!$S$1272&gt;=_辅助!$J$4,资金流水!$S$1272&lt;=_辅助!$J$2),INT(资金流水!$B$1272)*10000+1267,"")</f>
      </c>
    </row>
    <row r="1269">
      <c r="BG1269" s="2">
        <f>IF(AND($AF$3&gt;0,资金流水!$H$1273=$C$3,ISNUMBER(资金流水!$B$1273),ISNUMBER(资金流水!$S$1273),资金流水!$S$1273&gt;=_辅助!$J$4,资金流水!$S$1273&lt;=_辅助!$J$2),INT(资金流水!$B$1273)*10000+1268,"")</f>
      </c>
    </row>
    <row r="1270">
      <c r="BG1270" s="2">
        <f>IF(AND($AF$3&gt;0,资金流水!$H$1274=$C$3,ISNUMBER(资金流水!$B$1274),ISNUMBER(资金流水!$S$1274),资金流水!$S$1274&gt;=_辅助!$J$4,资金流水!$S$1274&lt;=_辅助!$J$2),INT(资金流水!$B$1274)*10000+1269,"")</f>
      </c>
    </row>
    <row r="1271">
      <c r="BG1271" s="2">
        <f>IF(AND($AF$3&gt;0,资金流水!$H$1275=$C$3,ISNUMBER(资金流水!$B$1275),ISNUMBER(资金流水!$S$1275),资金流水!$S$1275&gt;=_辅助!$J$4,资金流水!$S$1275&lt;=_辅助!$J$2),INT(资金流水!$B$1275)*10000+1270,"")</f>
      </c>
    </row>
    <row r="1272">
      <c r="BG1272" s="2">
        <f>IF(AND($AF$3&gt;0,资金流水!$H$1276=$C$3,ISNUMBER(资金流水!$B$1276),ISNUMBER(资金流水!$S$1276),资金流水!$S$1276&gt;=_辅助!$J$4,资金流水!$S$1276&lt;=_辅助!$J$2),INT(资金流水!$B$1276)*10000+1271,"")</f>
      </c>
    </row>
    <row r="1273">
      <c r="BG1273" s="2">
        <f>IF(AND($AF$3&gt;0,资金流水!$H$1277=$C$3,ISNUMBER(资金流水!$B$1277),ISNUMBER(资金流水!$S$1277),资金流水!$S$1277&gt;=_辅助!$J$4,资金流水!$S$1277&lt;=_辅助!$J$2),INT(资金流水!$B$1277)*10000+1272,"")</f>
      </c>
    </row>
    <row r="1274">
      <c r="BG1274" s="2">
        <f>IF(AND($AF$3&gt;0,资金流水!$H$1278=$C$3,ISNUMBER(资金流水!$B$1278),ISNUMBER(资金流水!$S$1278),资金流水!$S$1278&gt;=_辅助!$J$4,资金流水!$S$1278&lt;=_辅助!$J$2),INT(资金流水!$B$1278)*10000+1273,"")</f>
      </c>
    </row>
    <row r="1275">
      <c r="BG1275" s="2">
        <f>IF(AND($AF$3&gt;0,资金流水!$H$1279=$C$3,ISNUMBER(资金流水!$B$1279),ISNUMBER(资金流水!$S$1279),资金流水!$S$1279&gt;=_辅助!$J$4,资金流水!$S$1279&lt;=_辅助!$J$2),INT(资金流水!$B$1279)*10000+1274,"")</f>
      </c>
    </row>
    <row r="1276">
      <c r="BG1276" s="2">
        <f>IF(AND($AF$3&gt;0,资金流水!$H$1280=$C$3,ISNUMBER(资金流水!$B$1280),ISNUMBER(资金流水!$S$1280),资金流水!$S$1280&gt;=_辅助!$J$4,资金流水!$S$1280&lt;=_辅助!$J$2),INT(资金流水!$B$1280)*10000+1275,"")</f>
      </c>
    </row>
    <row r="1277">
      <c r="BG1277" s="2">
        <f>IF(AND($AF$3&gt;0,资金流水!$H$1281=$C$3,ISNUMBER(资金流水!$B$1281),ISNUMBER(资金流水!$S$1281),资金流水!$S$1281&gt;=_辅助!$J$4,资金流水!$S$1281&lt;=_辅助!$J$2),INT(资金流水!$B$1281)*10000+1276,"")</f>
      </c>
    </row>
    <row r="1278">
      <c r="BG1278" s="2">
        <f>IF(AND($AF$3&gt;0,资金流水!$H$1282=$C$3,ISNUMBER(资金流水!$B$1282),ISNUMBER(资金流水!$S$1282),资金流水!$S$1282&gt;=_辅助!$J$4,资金流水!$S$1282&lt;=_辅助!$J$2),INT(资金流水!$B$1282)*10000+1277,"")</f>
      </c>
    </row>
    <row r="1279">
      <c r="BG1279" s="2">
        <f>IF(AND($AF$3&gt;0,资金流水!$H$1283=$C$3,ISNUMBER(资金流水!$B$1283),ISNUMBER(资金流水!$S$1283),资金流水!$S$1283&gt;=_辅助!$J$4,资金流水!$S$1283&lt;=_辅助!$J$2),INT(资金流水!$B$1283)*10000+1278,"")</f>
      </c>
    </row>
    <row r="1280">
      <c r="BG1280" s="2">
        <f>IF(AND($AF$3&gt;0,资金流水!$H$1284=$C$3,ISNUMBER(资金流水!$B$1284),ISNUMBER(资金流水!$S$1284),资金流水!$S$1284&gt;=_辅助!$J$4,资金流水!$S$1284&lt;=_辅助!$J$2),INT(资金流水!$B$1284)*10000+1279,"")</f>
      </c>
    </row>
    <row r="1281">
      <c r="BG1281" s="2">
        <f>IF(AND($AF$3&gt;0,资金流水!$H$1285=$C$3,ISNUMBER(资金流水!$B$1285),ISNUMBER(资金流水!$S$1285),资金流水!$S$1285&gt;=_辅助!$J$4,资金流水!$S$1285&lt;=_辅助!$J$2),INT(资金流水!$B$1285)*10000+1280,"")</f>
      </c>
    </row>
    <row r="1282">
      <c r="BG1282" s="2">
        <f>IF(AND($AF$3&gt;0,资金流水!$H$1286=$C$3,ISNUMBER(资金流水!$B$1286),ISNUMBER(资金流水!$S$1286),资金流水!$S$1286&gt;=_辅助!$J$4,资金流水!$S$1286&lt;=_辅助!$J$2),INT(资金流水!$B$1286)*10000+1281,"")</f>
      </c>
    </row>
    <row r="1283">
      <c r="BG1283" s="2">
        <f>IF(AND($AF$3&gt;0,资金流水!$H$1287=$C$3,ISNUMBER(资金流水!$B$1287),ISNUMBER(资金流水!$S$1287),资金流水!$S$1287&gt;=_辅助!$J$4,资金流水!$S$1287&lt;=_辅助!$J$2),INT(资金流水!$B$1287)*10000+1282,"")</f>
      </c>
    </row>
    <row r="1284">
      <c r="BG1284" s="2">
        <f>IF(AND($AF$3&gt;0,资金流水!$H$1288=$C$3,ISNUMBER(资金流水!$B$1288),ISNUMBER(资金流水!$S$1288),资金流水!$S$1288&gt;=_辅助!$J$4,资金流水!$S$1288&lt;=_辅助!$J$2),INT(资金流水!$B$1288)*10000+1283,"")</f>
      </c>
    </row>
    <row r="1285">
      <c r="BG1285" s="2">
        <f>IF(AND($AF$3&gt;0,资金流水!$H$1289=$C$3,ISNUMBER(资金流水!$B$1289),ISNUMBER(资金流水!$S$1289),资金流水!$S$1289&gt;=_辅助!$J$4,资金流水!$S$1289&lt;=_辅助!$J$2),INT(资金流水!$B$1289)*10000+1284,"")</f>
      </c>
    </row>
    <row r="1286">
      <c r="BG1286" s="2">
        <f>IF(AND($AF$3&gt;0,资金流水!$H$1290=$C$3,ISNUMBER(资金流水!$B$1290),ISNUMBER(资金流水!$S$1290),资金流水!$S$1290&gt;=_辅助!$J$4,资金流水!$S$1290&lt;=_辅助!$J$2),INT(资金流水!$B$1290)*10000+1285,"")</f>
      </c>
    </row>
    <row r="1287">
      <c r="BG1287" s="2">
        <f>IF(AND($AF$3&gt;0,资金流水!$H$1291=$C$3,ISNUMBER(资金流水!$B$1291),ISNUMBER(资金流水!$S$1291),资金流水!$S$1291&gt;=_辅助!$J$4,资金流水!$S$1291&lt;=_辅助!$J$2),INT(资金流水!$B$1291)*10000+1286,"")</f>
      </c>
    </row>
    <row r="1288">
      <c r="BG1288" s="2">
        <f>IF(AND($AF$3&gt;0,资金流水!$H$1292=$C$3,ISNUMBER(资金流水!$B$1292),ISNUMBER(资金流水!$S$1292),资金流水!$S$1292&gt;=_辅助!$J$4,资金流水!$S$1292&lt;=_辅助!$J$2),INT(资金流水!$B$1292)*10000+1287,"")</f>
      </c>
    </row>
    <row r="1289">
      <c r="BG1289" s="2">
        <f>IF(AND($AF$3&gt;0,资金流水!$H$1293=$C$3,ISNUMBER(资金流水!$B$1293),ISNUMBER(资金流水!$S$1293),资金流水!$S$1293&gt;=_辅助!$J$4,资金流水!$S$1293&lt;=_辅助!$J$2),INT(资金流水!$B$1293)*10000+1288,"")</f>
      </c>
    </row>
    <row r="1290">
      <c r="BG1290" s="2">
        <f>IF(AND($AF$3&gt;0,资金流水!$H$1294=$C$3,ISNUMBER(资金流水!$B$1294),ISNUMBER(资金流水!$S$1294),资金流水!$S$1294&gt;=_辅助!$J$4,资金流水!$S$1294&lt;=_辅助!$J$2),INT(资金流水!$B$1294)*10000+1289,"")</f>
      </c>
    </row>
    <row r="1291">
      <c r="BG1291" s="2">
        <f>IF(AND($AF$3&gt;0,资金流水!$H$1295=$C$3,ISNUMBER(资金流水!$B$1295),ISNUMBER(资金流水!$S$1295),资金流水!$S$1295&gt;=_辅助!$J$4,资金流水!$S$1295&lt;=_辅助!$J$2),INT(资金流水!$B$1295)*10000+1290,"")</f>
      </c>
    </row>
    <row r="1292">
      <c r="BG1292" s="2">
        <f>IF(AND($AF$3&gt;0,资金流水!$H$1296=$C$3,ISNUMBER(资金流水!$B$1296),ISNUMBER(资金流水!$S$1296),资金流水!$S$1296&gt;=_辅助!$J$4,资金流水!$S$1296&lt;=_辅助!$J$2),INT(资金流水!$B$1296)*10000+1291,"")</f>
      </c>
    </row>
    <row r="1293">
      <c r="BG1293" s="2">
        <f>IF(AND($AF$3&gt;0,资金流水!$H$1297=$C$3,ISNUMBER(资金流水!$B$1297),ISNUMBER(资金流水!$S$1297),资金流水!$S$1297&gt;=_辅助!$J$4,资金流水!$S$1297&lt;=_辅助!$J$2),INT(资金流水!$B$1297)*10000+1292,"")</f>
      </c>
    </row>
    <row r="1294">
      <c r="BG1294" s="2">
        <f>IF(AND($AF$3&gt;0,资金流水!$H$1298=$C$3,ISNUMBER(资金流水!$B$1298),ISNUMBER(资金流水!$S$1298),资金流水!$S$1298&gt;=_辅助!$J$4,资金流水!$S$1298&lt;=_辅助!$J$2),INT(资金流水!$B$1298)*10000+1293,"")</f>
      </c>
    </row>
    <row r="1295">
      <c r="BG1295" s="2">
        <f>IF(AND($AF$3&gt;0,资金流水!$H$1299=$C$3,ISNUMBER(资金流水!$B$1299),ISNUMBER(资金流水!$S$1299),资金流水!$S$1299&gt;=_辅助!$J$4,资金流水!$S$1299&lt;=_辅助!$J$2),INT(资金流水!$B$1299)*10000+1294,"")</f>
      </c>
    </row>
    <row r="1296">
      <c r="BG1296" s="2">
        <f>IF(AND($AF$3&gt;0,资金流水!$H$1300=$C$3,ISNUMBER(资金流水!$B$1300),ISNUMBER(资金流水!$S$1300),资金流水!$S$1300&gt;=_辅助!$J$4,资金流水!$S$1300&lt;=_辅助!$J$2),INT(资金流水!$B$1300)*10000+1295,"")</f>
      </c>
    </row>
    <row r="1297">
      <c r="BG1297" s="2">
        <f>IF(AND($AF$3&gt;0,资金流水!$H$1301=$C$3,ISNUMBER(资金流水!$B$1301),ISNUMBER(资金流水!$S$1301),资金流水!$S$1301&gt;=_辅助!$J$4,资金流水!$S$1301&lt;=_辅助!$J$2),INT(资金流水!$B$1301)*10000+1296,"")</f>
      </c>
    </row>
    <row r="1298">
      <c r="BG1298" s="2">
        <f>IF(AND($AF$3&gt;0,资金流水!$H$1302=$C$3,ISNUMBER(资金流水!$B$1302),ISNUMBER(资金流水!$S$1302),资金流水!$S$1302&gt;=_辅助!$J$4,资金流水!$S$1302&lt;=_辅助!$J$2),INT(资金流水!$B$1302)*10000+1297,"")</f>
      </c>
    </row>
    <row r="1299">
      <c r="BG1299" s="2">
        <f>IF(AND($AF$3&gt;0,资金流水!$H$1303=$C$3,ISNUMBER(资金流水!$B$1303),ISNUMBER(资金流水!$S$1303),资金流水!$S$1303&gt;=_辅助!$J$4,资金流水!$S$1303&lt;=_辅助!$J$2),INT(资金流水!$B$1303)*10000+1298,"")</f>
      </c>
    </row>
    <row r="1300">
      <c r="BG1300" s="2">
        <f>IF(AND($AF$3&gt;0,资金流水!$H$1304=$C$3,ISNUMBER(资金流水!$B$1304),ISNUMBER(资金流水!$S$1304),资金流水!$S$1304&gt;=_辅助!$J$4,资金流水!$S$1304&lt;=_辅助!$J$2),INT(资金流水!$B$1304)*10000+1299,"")</f>
      </c>
    </row>
    <row r="1301">
      <c r="BG1301" s="2">
        <f>IF(AND($AF$3&gt;0,资金流水!$H$1305=$C$3,ISNUMBER(资金流水!$B$1305),ISNUMBER(资金流水!$S$1305),资金流水!$S$1305&gt;=_辅助!$J$4,资金流水!$S$1305&lt;=_辅助!$J$2),INT(资金流水!$B$1305)*10000+1300,"")</f>
      </c>
    </row>
    <row r="1302">
      <c r="BG1302" s="2">
        <f>IF(AND($AF$3&gt;0,资金流水!$H$1306=$C$3,ISNUMBER(资金流水!$B$1306),ISNUMBER(资金流水!$S$1306),资金流水!$S$1306&gt;=_辅助!$J$4,资金流水!$S$1306&lt;=_辅助!$J$2),INT(资金流水!$B$1306)*10000+1301,"")</f>
      </c>
    </row>
    <row r="1303">
      <c r="BG1303" s="2">
        <f>IF(AND($AF$3&gt;0,资金流水!$H$1307=$C$3,ISNUMBER(资金流水!$B$1307),ISNUMBER(资金流水!$S$1307),资金流水!$S$1307&gt;=_辅助!$J$4,资金流水!$S$1307&lt;=_辅助!$J$2),INT(资金流水!$B$1307)*10000+1302,"")</f>
      </c>
    </row>
    <row r="1304">
      <c r="BG1304" s="2">
        <f>IF(AND($AF$3&gt;0,资金流水!$H$1308=$C$3,ISNUMBER(资金流水!$B$1308),ISNUMBER(资金流水!$S$1308),资金流水!$S$1308&gt;=_辅助!$J$4,资金流水!$S$1308&lt;=_辅助!$J$2),INT(资金流水!$B$1308)*10000+1303,"")</f>
      </c>
    </row>
    <row r="1305">
      <c r="BG1305" s="2">
        <f>IF(AND($AF$3&gt;0,资金流水!$H$1309=$C$3,ISNUMBER(资金流水!$B$1309),ISNUMBER(资金流水!$S$1309),资金流水!$S$1309&gt;=_辅助!$J$4,资金流水!$S$1309&lt;=_辅助!$J$2),INT(资金流水!$B$1309)*10000+1304,"")</f>
      </c>
    </row>
    <row r="1306">
      <c r="BG1306" s="2">
        <f>IF(AND($AF$3&gt;0,资金流水!$H$1310=$C$3,ISNUMBER(资金流水!$B$1310),ISNUMBER(资金流水!$S$1310),资金流水!$S$1310&gt;=_辅助!$J$4,资金流水!$S$1310&lt;=_辅助!$J$2),INT(资金流水!$B$1310)*10000+1305,"")</f>
      </c>
    </row>
    <row r="1307">
      <c r="BG1307" s="2">
        <f>IF(AND($AF$3&gt;0,资金流水!$H$1311=$C$3,ISNUMBER(资金流水!$B$1311),ISNUMBER(资金流水!$S$1311),资金流水!$S$1311&gt;=_辅助!$J$4,资金流水!$S$1311&lt;=_辅助!$J$2),INT(资金流水!$B$1311)*10000+1306,"")</f>
      </c>
    </row>
    <row r="1308">
      <c r="BG1308" s="2">
        <f>IF(AND($AF$3&gt;0,资金流水!$H$1312=$C$3,ISNUMBER(资金流水!$B$1312),ISNUMBER(资金流水!$S$1312),资金流水!$S$1312&gt;=_辅助!$J$4,资金流水!$S$1312&lt;=_辅助!$J$2),INT(资金流水!$B$1312)*10000+1307,"")</f>
      </c>
    </row>
    <row r="1309">
      <c r="BG1309" s="2">
        <f>IF(AND($AF$3&gt;0,资金流水!$H$1313=$C$3,ISNUMBER(资金流水!$B$1313),ISNUMBER(资金流水!$S$1313),资金流水!$S$1313&gt;=_辅助!$J$4,资金流水!$S$1313&lt;=_辅助!$J$2),INT(资金流水!$B$1313)*10000+1308,"")</f>
      </c>
    </row>
    <row r="1310">
      <c r="BG1310" s="2">
        <f>IF(AND($AF$3&gt;0,资金流水!$H$1314=$C$3,ISNUMBER(资金流水!$B$1314),ISNUMBER(资金流水!$S$1314),资金流水!$S$1314&gt;=_辅助!$J$4,资金流水!$S$1314&lt;=_辅助!$J$2),INT(资金流水!$B$1314)*10000+1309,"")</f>
      </c>
    </row>
    <row r="1311">
      <c r="BG1311" s="2">
        <f>IF(AND($AF$3&gt;0,资金流水!$H$1315=$C$3,ISNUMBER(资金流水!$B$1315),ISNUMBER(资金流水!$S$1315),资金流水!$S$1315&gt;=_辅助!$J$4,资金流水!$S$1315&lt;=_辅助!$J$2),INT(资金流水!$B$1315)*10000+1310,"")</f>
      </c>
    </row>
    <row r="1312">
      <c r="BG1312" s="2">
        <f>IF(AND($AF$3&gt;0,资金流水!$H$1316=$C$3,ISNUMBER(资金流水!$B$1316),ISNUMBER(资金流水!$S$1316),资金流水!$S$1316&gt;=_辅助!$J$4,资金流水!$S$1316&lt;=_辅助!$J$2),INT(资金流水!$B$1316)*10000+1311,"")</f>
      </c>
    </row>
    <row r="1313">
      <c r="BG1313" s="2">
        <f>IF(AND($AF$3&gt;0,资金流水!$H$1317=$C$3,ISNUMBER(资金流水!$B$1317),ISNUMBER(资金流水!$S$1317),资金流水!$S$1317&gt;=_辅助!$J$4,资金流水!$S$1317&lt;=_辅助!$J$2),INT(资金流水!$B$1317)*10000+1312,"")</f>
      </c>
    </row>
    <row r="1314">
      <c r="BG1314" s="2">
        <f>IF(AND($AF$3&gt;0,资金流水!$H$1318=$C$3,ISNUMBER(资金流水!$B$1318),ISNUMBER(资金流水!$S$1318),资金流水!$S$1318&gt;=_辅助!$J$4,资金流水!$S$1318&lt;=_辅助!$J$2),INT(资金流水!$B$1318)*10000+1313,"")</f>
      </c>
    </row>
    <row r="1315">
      <c r="BG1315" s="2">
        <f>IF(AND($AF$3&gt;0,资金流水!$H$1319=$C$3,ISNUMBER(资金流水!$B$1319),ISNUMBER(资金流水!$S$1319),资金流水!$S$1319&gt;=_辅助!$J$4,资金流水!$S$1319&lt;=_辅助!$J$2),INT(资金流水!$B$1319)*10000+1314,"")</f>
      </c>
    </row>
    <row r="1316">
      <c r="BG1316" s="2">
        <f>IF(AND($AF$3&gt;0,资金流水!$H$1320=$C$3,ISNUMBER(资金流水!$B$1320),ISNUMBER(资金流水!$S$1320),资金流水!$S$1320&gt;=_辅助!$J$4,资金流水!$S$1320&lt;=_辅助!$J$2),INT(资金流水!$B$1320)*10000+1315,"")</f>
      </c>
    </row>
    <row r="1317">
      <c r="BG1317" s="2">
        <f>IF(AND($AF$3&gt;0,资金流水!$H$1321=$C$3,ISNUMBER(资金流水!$B$1321),ISNUMBER(资金流水!$S$1321),资金流水!$S$1321&gt;=_辅助!$J$4,资金流水!$S$1321&lt;=_辅助!$J$2),INT(资金流水!$B$1321)*10000+1316,"")</f>
      </c>
    </row>
    <row r="1318">
      <c r="BG1318" s="2">
        <f>IF(AND($AF$3&gt;0,资金流水!$H$1322=$C$3,ISNUMBER(资金流水!$B$1322),ISNUMBER(资金流水!$S$1322),资金流水!$S$1322&gt;=_辅助!$J$4,资金流水!$S$1322&lt;=_辅助!$J$2),INT(资金流水!$B$1322)*10000+1317,"")</f>
      </c>
    </row>
    <row r="1319">
      <c r="BG1319" s="2">
        <f>IF(AND($AF$3&gt;0,资金流水!$H$1323=$C$3,ISNUMBER(资金流水!$B$1323),ISNUMBER(资金流水!$S$1323),资金流水!$S$1323&gt;=_辅助!$J$4,资金流水!$S$1323&lt;=_辅助!$J$2),INT(资金流水!$B$1323)*10000+1318,"")</f>
      </c>
    </row>
    <row r="1320">
      <c r="BG1320" s="2">
        <f>IF(AND($AF$3&gt;0,资金流水!$H$1324=$C$3,ISNUMBER(资金流水!$B$1324),ISNUMBER(资金流水!$S$1324),资金流水!$S$1324&gt;=_辅助!$J$4,资金流水!$S$1324&lt;=_辅助!$J$2),INT(资金流水!$B$1324)*10000+1319,"")</f>
      </c>
    </row>
    <row r="1321">
      <c r="BG1321" s="2">
        <f>IF(AND($AF$3&gt;0,资金流水!$H$1325=$C$3,ISNUMBER(资金流水!$B$1325),ISNUMBER(资金流水!$S$1325),资金流水!$S$1325&gt;=_辅助!$J$4,资金流水!$S$1325&lt;=_辅助!$J$2),INT(资金流水!$B$1325)*10000+1320,"")</f>
      </c>
    </row>
    <row r="1322">
      <c r="BG1322" s="2">
        <f>IF(AND($AF$3&gt;0,资金流水!$H$1326=$C$3,ISNUMBER(资金流水!$B$1326),ISNUMBER(资金流水!$S$1326),资金流水!$S$1326&gt;=_辅助!$J$4,资金流水!$S$1326&lt;=_辅助!$J$2),INT(资金流水!$B$1326)*10000+1321,"")</f>
      </c>
    </row>
    <row r="1323">
      <c r="BG1323" s="2">
        <f>IF(AND($AF$3&gt;0,资金流水!$H$1327=$C$3,ISNUMBER(资金流水!$B$1327),ISNUMBER(资金流水!$S$1327),资金流水!$S$1327&gt;=_辅助!$J$4,资金流水!$S$1327&lt;=_辅助!$J$2),INT(资金流水!$B$1327)*10000+1322,"")</f>
      </c>
    </row>
    <row r="1324">
      <c r="BG1324" s="2">
        <f>IF(AND($AF$3&gt;0,资金流水!$H$1328=$C$3,ISNUMBER(资金流水!$B$1328),ISNUMBER(资金流水!$S$1328),资金流水!$S$1328&gt;=_辅助!$J$4,资金流水!$S$1328&lt;=_辅助!$J$2),INT(资金流水!$B$1328)*10000+1323,"")</f>
      </c>
    </row>
    <row r="1325">
      <c r="BG1325" s="2">
        <f>IF(AND($AF$3&gt;0,资金流水!$H$1329=$C$3,ISNUMBER(资金流水!$B$1329),ISNUMBER(资金流水!$S$1329),资金流水!$S$1329&gt;=_辅助!$J$4,资金流水!$S$1329&lt;=_辅助!$J$2),INT(资金流水!$B$1329)*10000+1324,"")</f>
      </c>
    </row>
    <row r="1326">
      <c r="BG1326" s="2">
        <f>IF(AND($AF$3&gt;0,资金流水!$H$1330=$C$3,ISNUMBER(资金流水!$B$1330),ISNUMBER(资金流水!$S$1330),资金流水!$S$1330&gt;=_辅助!$J$4,资金流水!$S$1330&lt;=_辅助!$J$2),INT(资金流水!$B$1330)*10000+1325,"")</f>
      </c>
    </row>
    <row r="1327">
      <c r="BG1327" s="2">
        <f>IF(AND($AF$3&gt;0,资金流水!$H$1331=$C$3,ISNUMBER(资金流水!$B$1331),ISNUMBER(资金流水!$S$1331),资金流水!$S$1331&gt;=_辅助!$J$4,资金流水!$S$1331&lt;=_辅助!$J$2),INT(资金流水!$B$1331)*10000+1326,"")</f>
      </c>
    </row>
    <row r="1328">
      <c r="BG1328" s="2">
        <f>IF(AND($AF$3&gt;0,资金流水!$H$1332=$C$3,ISNUMBER(资金流水!$B$1332),ISNUMBER(资金流水!$S$1332),资金流水!$S$1332&gt;=_辅助!$J$4,资金流水!$S$1332&lt;=_辅助!$J$2),INT(资金流水!$B$1332)*10000+1327,"")</f>
      </c>
    </row>
    <row r="1329">
      <c r="BG1329" s="2">
        <f>IF(AND($AF$3&gt;0,资金流水!$H$1333=$C$3,ISNUMBER(资金流水!$B$1333),ISNUMBER(资金流水!$S$1333),资金流水!$S$1333&gt;=_辅助!$J$4,资金流水!$S$1333&lt;=_辅助!$J$2),INT(资金流水!$B$1333)*10000+1328,"")</f>
      </c>
    </row>
    <row r="1330">
      <c r="BG1330" s="2">
        <f>IF(AND($AF$3&gt;0,资金流水!$H$1334=$C$3,ISNUMBER(资金流水!$B$1334),ISNUMBER(资金流水!$S$1334),资金流水!$S$1334&gt;=_辅助!$J$4,资金流水!$S$1334&lt;=_辅助!$J$2),INT(资金流水!$B$1334)*10000+1329,"")</f>
      </c>
    </row>
    <row r="1331">
      <c r="BG1331" s="2">
        <f>IF(AND($AF$3&gt;0,资金流水!$H$1335=$C$3,ISNUMBER(资金流水!$B$1335),ISNUMBER(资金流水!$S$1335),资金流水!$S$1335&gt;=_辅助!$J$4,资金流水!$S$1335&lt;=_辅助!$J$2),INT(资金流水!$B$1335)*10000+1330,"")</f>
      </c>
    </row>
    <row r="1332">
      <c r="BG1332" s="2">
        <f>IF(AND($AF$3&gt;0,资金流水!$H$1336=$C$3,ISNUMBER(资金流水!$B$1336),ISNUMBER(资金流水!$S$1336),资金流水!$S$1336&gt;=_辅助!$J$4,资金流水!$S$1336&lt;=_辅助!$J$2),INT(资金流水!$B$1336)*10000+1331,"")</f>
      </c>
    </row>
    <row r="1333">
      <c r="BG1333" s="2">
        <f>IF(AND($AF$3&gt;0,资金流水!$H$1337=$C$3,ISNUMBER(资金流水!$B$1337),ISNUMBER(资金流水!$S$1337),资金流水!$S$1337&gt;=_辅助!$J$4,资金流水!$S$1337&lt;=_辅助!$J$2),INT(资金流水!$B$1337)*10000+1332,"")</f>
      </c>
    </row>
    <row r="1334">
      <c r="BG1334" s="2">
        <f>IF(AND($AF$3&gt;0,资金流水!$H$1338=$C$3,ISNUMBER(资金流水!$B$1338),ISNUMBER(资金流水!$S$1338),资金流水!$S$1338&gt;=_辅助!$J$4,资金流水!$S$1338&lt;=_辅助!$J$2),INT(资金流水!$B$1338)*10000+1333,"")</f>
      </c>
    </row>
    <row r="1335">
      <c r="BG1335" s="2">
        <f>IF(AND($AF$3&gt;0,资金流水!$H$1339=$C$3,ISNUMBER(资金流水!$B$1339),ISNUMBER(资金流水!$S$1339),资金流水!$S$1339&gt;=_辅助!$J$4,资金流水!$S$1339&lt;=_辅助!$J$2),INT(资金流水!$B$1339)*10000+1334,"")</f>
      </c>
    </row>
    <row r="1336">
      <c r="BG1336" s="2">
        <f>IF(AND($AF$3&gt;0,资金流水!$H$1340=$C$3,ISNUMBER(资金流水!$B$1340),ISNUMBER(资金流水!$S$1340),资金流水!$S$1340&gt;=_辅助!$J$4,资金流水!$S$1340&lt;=_辅助!$J$2),INT(资金流水!$B$1340)*10000+1335,"")</f>
      </c>
    </row>
    <row r="1337">
      <c r="BG1337" s="2">
        <f>IF(AND($AF$3&gt;0,资金流水!$H$1341=$C$3,ISNUMBER(资金流水!$B$1341),ISNUMBER(资金流水!$S$1341),资金流水!$S$1341&gt;=_辅助!$J$4,资金流水!$S$1341&lt;=_辅助!$J$2),INT(资金流水!$B$1341)*10000+1336,"")</f>
      </c>
    </row>
    <row r="1338">
      <c r="BG1338" s="2">
        <f>IF(AND($AF$3&gt;0,资金流水!$H$1342=$C$3,ISNUMBER(资金流水!$B$1342),ISNUMBER(资金流水!$S$1342),资金流水!$S$1342&gt;=_辅助!$J$4,资金流水!$S$1342&lt;=_辅助!$J$2),INT(资金流水!$B$1342)*10000+1337,"")</f>
      </c>
    </row>
    <row r="1339">
      <c r="BG1339" s="2">
        <f>IF(AND($AF$3&gt;0,资金流水!$H$1343=$C$3,ISNUMBER(资金流水!$B$1343),ISNUMBER(资金流水!$S$1343),资金流水!$S$1343&gt;=_辅助!$J$4,资金流水!$S$1343&lt;=_辅助!$J$2),INT(资金流水!$B$1343)*10000+1338,"")</f>
      </c>
    </row>
    <row r="1340">
      <c r="BG1340" s="2">
        <f>IF(AND($AF$3&gt;0,资金流水!$H$1344=$C$3,ISNUMBER(资金流水!$B$1344),ISNUMBER(资金流水!$S$1344),资金流水!$S$1344&gt;=_辅助!$J$4,资金流水!$S$1344&lt;=_辅助!$J$2),INT(资金流水!$B$1344)*10000+1339,"")</f>
      </c>
    </row>
    <row r="1341">
      <c r="BG1341" s="2">
        <f>IF(AND($AF$3&gt;0,资金流水!$H$1345=$C$3,ISNUMBER(资金流水!$B$1345),ISNUMBER(资金流水!$S$1345),资金流水!$S$1345&gt;=_辅助!$J$4,资金流水!$S$1345&lt;=_辅助!$J$2),INT(资金流水!$B$1345)*10000+1340,"")</f>
      </c>
    </row>
    <row r="1342">
      <c r="BG1342" s="2">
        <f>IF(AND($AF$3&gt;0,资金流水!$H$1346=$C$3,ISNUMBER(资金流水!$B$1346),ISNUMBER(资金流水!$S$1346),资金流水!$S$1346&gt;=_辅助!$J$4,资金流水!$S$1346&lt;=_辅助!$J$2),INT(资金流水!$B$1346)*10000+1341,"")</f>
      </c>
    </row>
    <row r="1343">
      <c r="BG1343" s="2">
        <f>IF(AND($AF$3&gt;0,资金流水!$H$1347=$C$3,ISNUMBER(资金流水!$B$1347),ISNUMBER(资金流水!$S$1347),资金流水!$S$1347&gt;=_辅助!$J$4,资金流水!$S$1347&lt;=_辅助!$J$2),INT(资金流水!$B$1347)*10000+1342,"")</f>
      </c>
    </row>
    <row r="1344">
      <c r="BG1344" s="2">
        <f>IF(AND($AF$3&gt;0,资金流水!$H$1348=$C$3,ISNUMBER(资金流水!$B$1348),ISNUMBER(资金流水!$S$1348),资金流水!$S$1348&gt;=_辅助!$J$4,资金流水!$S$1348&lt;=_辅助!$J$2),INT(资金流水!$B$1348)*10000+1343,"")</f>
      </c>
    </row>
    <row r="1345">
      <c r="BG1345" s="2">
        <f>IF(AND($AF$3&gt;0,资金流水!$H$1349=$C$3,ISNUMBER(资金流水!$B$1349),ISNUMBER(资金流水!$S$1349),资金流水!$S$1349&gt;=_辅助!$J$4,资金流水!$S$1349&lt;=_辅助!$J$2),INT(资金流水!$B$1349)*10000+1344,"")</f>
      </c>
    </row>
    <row r="1346">
      <c r="BG1346" s="2">
        <f>IF(AND($AF$3&gt;0,资金流水!$H$1350=$C$3,ISNUMBER(资金流水!$B$1350),ISNUMBER(资金流水!$S$1350),资金流水!$S$1350&gt;=_辅助!$J$4,资金流水!$S$1350&lt;=_辅助!$J$2),INT(资金流水!$B$1350)*10000+1345,"")</f>
      </c>
    </row>
    <row r="1347">
      <c r="BG1347" s="2">
        <f>IF(AND($AF$3&gt;0,资金流水!$H$1351=$C$3,ISNUMBER(资金流水!$B$1351),ISNUMBER(资金流水!$S$1351),资金流水!$S$1351&gt;=_辅助!$J$4,资金流水!$S$1351&lt;=_辅助!$J$2),INT(资金流水!$B$1351)*10000+1346,"")</f>
      </c>
    </row>
    <row r="1348">
      <c r="BG1348" s="2">
        <f>IF(AND($AF$3&gt;0,资金流水!$H$1352=$C$3,ISNUMBER(资金流水!$B$1352),ISNUMBER(资金流水!$S$1352),资金流水!$S$1352&gt;=_辅助!$J$4,资金流水!$S$1352&lt;=_辅助!$J$2),INT(资金流水!$B$1352)*10000+1347,"")</f>
      </c>
    </row>
    <row r="1349">
      <c r="BG1349" s="2">
        <f>IF(AND($AF$3&gt;0,资金流水!$H$1353=$C$3,ISNUMBER(资金流水!$B$1353),ISNUMBER(资金流水!$S$1353),资金流水!$S$1353&gt;=_辅助!$J$4,资金流水!$S$1353&lt;=_辅助!$J$2),INT(资金流水!$B$1353)*10000+1348,"")</f>
      </c>
    </row>
    <row r="1350">
      <c r="BG1350" s="2">
        <f>IF(AND($AF$3&gt;0,资金流水!$H$1354=$C$3,ISNUMBER(资金流水!$B$1354),ISNUMBER(资金流水!$S$1354),资金流水!$S$1354&gt;=_辅助!$J$4,资金流水!$S$1354&lt;=_辅助!$J$2),INT(资金流水!$B$1354)*10000+1349,"")</f>
      </c>
    </row>
    <row r="1351">
      <c r="BG1351" s="2">
        <f>IF(AND($AF$3&gt;0,资金流水!$H$1355=$C$3,ISNUMBER(资金流水!$B$1355),ISNUMBER(资金流水!$S$1355),资金流水!$S$1355&gt;=_辅助!$J$4,资金流水!$S$1355&lt;=_辅助!$J$2),INT(资金流水!$B$1355)*10000+1350,"")</f>
      </c>
    </row>
    <row r="1352">
      <c r="BG1352" s="2">
        <f>IF(AND($AF$3&gt;0,资金流水!$H$1356=$C$3,ISNUMBER(资金流水!$B$1356),ISNUMBER(资金流水!$S$1356),资金流水!$S$1356&gt;=_辅助!$J$4,资金流水!$S$1356&lt;=_辅助!$J$2),INT(资金流水!$B$1356)*10000+1351,"")</f>
      </c>
    </row>
    <row r="1353">
      <c r="BG1353" s="2">
        <f>IF(AND($AF$3&gt;0,资金流水!$H$1357=$C$3,ISNUMBER(资金流水!$B$1357),ISNUMBER(资金流水!$S$1357),资金流水!$S$1357&gt;=_辅助!$J$4,资金流水!$S$1357&lt;=_辅助!$J$2),INT(资金流水!$B$1357)*10000+1352,"")</f>
      </c>
    </row>
    <row r="1354">
      <c r="BG1354" s="2">
        <f>IF(AND($AF$3&gt;0,资金流水!$H$1358=$C$3,ISNUMBER(资金流水!$B$1358),ISNUMBER(资金流水!$S$1358),资金流水!$S$1358&gt;=_辅助!$J$4,资金流水!$S$1358&lt;=_辅助!$J$2),INT(资金流水!$B$1358)*10000+1353,"")</f>
      </c>
    </row>
    <row r="1355">
      <c r="BG1355" s="2">
        <f>IF(AND($AF$3&gt;0,资金流水!$H$1359=$C$3,ISNUMBER(资金流水!$B$1359),ISNUMBER(资金流水!$S$1359),资金流水!$S$1359&gt;=_辅助!$J$4,资金流水!$S$1359&lt;=_辅助!$J$2),INT(资金流水!$B$1359)*10000+1354,"")</f>
      </c>
    </row>
    <row r="1356">
      <c r="BG1356" s="2">
        <f>IF(AND($AF$3&gt;0,资金流水!$H$1360=$C$3,ISNUMBER(资金流水!$B$1360),ISNUMBER(资金流水!$S$1360),资金流水!$S$1360&gt;=_辅助!$J$4,资金流水!$S$1360&lt;=_辅助!$J$2),INT(资金流水!$B$1360)*10000+1355,"")</f>
      </c>
    </row>
    <row r="1357">
      <c r="BG1357" s="2">
        <f>IF(AND($AF$3&gt;0,资金流水!$H$1361=$C$3,ISNUMBER(资金流水!$B$1361),ISNUMBER(资金流水!$S$1361),资金流水!$S$1361&gt;=_辅助!$J$4,资金流水!$S$1361&lt;=_辅助!$J$2),INT(资金流水!$B$1361)*10000+1356,"")</f>
      </c>
    </row>
    <row r="1358">
      <c r="BG1358" s="2">
        <f>IF(AND($AF$3&gt;0,资金流水!$H$1362=$C$3,ISNUMBER(资金流水!$B$1362),ISNUMBER(资金流水!$S$1362),资金流水!$S$1362&gt;=_辅助!$J$4,资金流水!$S$1362&lt;=_辅助!$J$2),INT(资金流水!$B$1362)*10000+1357,"")</f>
      </c>
    </row>
    <row r="1359">
      <c r="BG1359" s="2">
        <f>IF(AND($AF$3&gt;0,资金流水!$H$1363=$C$3,ISNUMBER(资金流水!$B$1363),ISNUMBER(资金流水!$S$1363),资金流水!$S$1363&gt;=_辅助!$J$4,资金流水!$S$1363&lt;=_辅助!$J$2),INT(资金流水!$B$1363)*10000+1358,"")</f>
      </c>
    </row>
    <row r="1360">
      <c r="BG1360" s="2">
        <f>IF(AND($AF$3&gt;0,资金流水!$H$1364=$C$3,ISNUMBER(资金流水!$B$1364),ISNUMBER(资金流水!$S$1364),资金流水!$S$1364&gt;=_辅助!$J$4,资金流水!$S$1364&lt;=_辅助!$J$2),INT(资金流水!$B$1364)*10000+1359,"")</f>
      </c>
    </row>
    <row r="1361">
      <c r="BG1361" s="2">
        <f>IF(AND($AF$3&gt;0,资金流水!$H$1365=$C$3,ISNUMBER(资金流水!$B$1365),ISNUMBER(资金流水!$S$1365),资金流水!$S$1365&gt;=_辅助!$J$4,资金流水!$S$1365&lt;=_辅助!$J$2),INT(资金流水!$B$1365)*10000+1360,"")</f>
      </c>
    </row>
    <row r="1362">
      <c r="BG1362" s="2">
        <f>IF(AND($AF$3&gt;0,资金流水!$H$1366=$C$3,ISNUMBER(资金流水!$B$1366),ISNUMBER(资金流水!$S$1366),资金流水!$S$1366&gt;=_辅助!$J$4,资金流水!$S$1366&lt;=_辅助!$J$2),INT(资金流水!$B$1366)*10000+1361,"")</f>
      </c>
    </row>
    <row r="1363">
      <c r="BG1363" s="2">
        <f>IF(AND($AF$3&gt;0,资金流水!$H$1367=$C$3,ISNUMBER(资金流水!$B$1367),ISNUMBER(资金流水!$S$1367),资金流水!$S$1367&gt;=_辅助!$J$4,资金流水!$S$1367&lt;=_辅助!$J$2),INT(资金流水!$B$1367)*10000+1362,"")</f>
      </c>
    </row>
    <row r="1364">
      <c r="BG1364" s="2">
        <f>IF(AND($AF$3&gt;0,资金流水!$H$1368=$C$3,ISNUMBER(资金流水!$B$1368),ISNUMBER(资金流水!$S$1368),资金流水!$S$1368&gt;=_辅助!$J$4,资金流水!$S$1368&lt;=_辅助!$J$2),INT(资金流水!$B$1368)*10000+1363,"")</f>
      </c>
    </row>
    <row r="1365">
      <c r="BG1365" s="2">
        <f>IF(AND($AF$3&gt;0,资金流水!$H$1369=$C$3,ISNUMBER(资金流水!$B$1369),ISNUMBER(资金流水!$S$1369),资金流水!$S$1369&gt;=_辅助!$J$4,资金流水!$S$1369&lt;=_辅助!$J$2),INT(资金流水!$B$1369)*10000+1364,"")</f>
      </c>
    </row>
    <row r="1366">
      <c r="BG1366" s="2">
        <f>IF(AND($AF$3&gt;0,资金流水!$H$1370=$C$3,ISNUMBER(资金流水!$B$1370),ISNUMBER(资金流水!$S$1370),资金流水!$S$1370&gt;=_辅助!$J$4,资金流水!$S$1370&lt;=_辅助!$J$2),INT(资金流水!$B$1370)*10000+1365,"")</f>
      </c>
    </row>
    <row r="1367">
      <c r="BG1367" s="2">
        <f>IF(AND($AF$3&gt;0,资金流水!$H$1371=$C$3,ISNUMBER(资金流水!$B$1371),ISNUMBER(资金流水!$S$1371),资金流水!$S$1371&gt;=_辅助!$J$4,资金流水!$S$1371&lt;=_辅助!$J$2),INT(资金流水!$B$1371)*10000+1366,"")</f>
      </c>
    </row>
    <row r="1368">
      <c r="BG1368" s="2">
        <f>IF(AND($AF$3&gt;0,资金流水!$H$1372=$C$3,ISNUMBER(资金流水!$B$1372),ISNUMBER(资金流水!$S$1372),资金流水!$S$1372&gt;=_辅助!$J$4,资金流水!$S$1372&lt;=_辅助!$J$2),INT(资金流水!$B$1372)*10000+1367,"")</f>
      </c>
    </row>
    <row r="1369">
      <c r="BG1369" s="2">
        <f>IF(AND($AF$3&gt;0,资金流水!$H$1373=$C$3,ISNUMBER(资金流水!$B$1373),ISNUMBER(资金流水!$S$1373),资金流水!$S$1373&gt;=_辅助!$J$4,资金流水!$S$1373&lt;=_辅助!$J$2),INT(资金流水!$B$1373)*10000+1368,"")</f>
      </c>
    </row>
    <row r="1370">
      <c r="BG1370" s="2">
        <f>IF(AND($AF$3&gt;0,资金流水!$H$1374=$C$3,ISNUMBER(资金流水!$B$1374),ISNUMBER(资金流水!$S$1374),资金流水!$S$1374&gt;=_辅助!$J$4,资金流水!$S$1374&lt;=_辅助!$J$2),INT(资金流水!$B$1374)*10000+1369,"")</f>
      </c>
    </row>
    <row r="1371">
      <c r="BG1371" s="2">
        <f>IF(AND($AF$3&gt;0,资金流水!$H$1375=$C$3,ISNUMBER(资金流水!$B$1375),ISNUMBER(资金流水!$S$1375),资金流水!$S$1375&gt;=_辅助!$J$4,资金流水!$S$1375&lt;=_辅助!$J$2),INT(资金流水!$B$1375)*10000+1370,"")</f>
      </c>
    </row>
    <row r="1372">
      <c r="BG1372" s="2">
        <f>IF(AND($AF$3&gt;0,资金流水!$H$1376=$C$3,ISNUMBER(资金流水!$B$1376),ISNUMBER(资金流水!$S$1376),资金流水!$S$1376&gt;=_辅助!$J$4,资金流水!$S$1376&lt;=_辅助!$J$2),INT(资金流水!$B$1376)*10000+1371,"")</f>
      </c>
    </row>
    <row r="1373">
      <c r="BG1373" s="2">
        <f>IF(AND($AF$3&gt;0,资金流水!$H$1377=$C$3,ISNUMBER(资金流水!$B$1377),ISNUMBER(资金流水!$S$1377),资金流水!$S$1377&gt;=_辅助!$J$4,资金流水!$S$1377&lt;=_辅助!$J$2),INT(资金流水!$B$1377)*10000+1372,"")</f>
      </c>
    </row>
    <row r="1374">
      <c r="BG1374" s="2">
        <f>IF(AND($AF$3&gt;0,资金流水!$H$1378=$C$3,ISNUMBER(资金流水!$B$1378),ISNUMBER(资金流水!$S$1378),资金流水!$S$1378&gt;=_辅助!$J$4,资金流水!$S$1378&lt;=_辅助!$J$2),INT(资金流水!$B$1378)*10000+1373,"")</f>
      </c>
    </row>
    <row r="1375">
      <c r="BG1375" s="2">
        <f>IF(AND($AF$3&gt;0,资金流水!$H$1379=$C$3,ISNUMBER(资金流水!$B$1379),ISNUMBER(资金流水!$S$1379),资金流水!$S$1379&gt;=_辅助!$J$4,资金流水!$S$1379&lt;=_辅助!$J$2),INT(资金流水!$B$1379)*10000+1374,"")</f>
      </c>
    </row>
    <row r="1376">
      <c r="BG1376" s="2">
        <f>IF(AND($AF$3&gt;0,资金流水!$H$1380=$C$3,ISNUMBER(资金流水!$B$1380),ISNUMBER(资金流水!$S$1380),资金流水!$S$1380&gt;=_辅助!$J$4,资金流水!$S$1380&lt;=_辅助!$J$2),INT(资金流水!$B$1380)*10000+1375,"")</f>
      </c>
    </row>
    <row r="1377">
      <c r="BG1377" s="2">
        <f>IF(AND($AF$3&gt;0,资金流水!$H$1381=$C$3,ISNUMBER(资金流水!$B$1381),ISNUMBER(资金流水!$S$1381),资金流水!$S$1381&gt;=_辅助!$J$4,资金流水!$S$1381&lt;=_辅助!$J$2),INT(资金流水!$B$1381)*10000+1376,"")</f>
      </c>
    </row>
    <row r="1378">
      <c r="BG1378" s="2">
        <f>IF(AND($AF$3&gt;0,资金流水!$H$1382=$C$3,ISNUMBER(资金流水!$B$1382),ISNUMBER(资金流水!$S$1382),资金流水!$S$1382&gt;=_辅助!$J$4,资金流水!$S$1382&lt;=_辅助!$J$2),INT(资金流水!$B$1382)*10000+1377,"")</f>
      </c>
    </row>
    <row r="1379">
      <c r="BG1379" s="2">
        <f>IF(AND($AF$3&gt;0,资金流水!$H$1383=$C$3,ISNUMBER(资金流水!$B$1383),ISNUMBER(资金流水!$S$1383),资金流水!$S$1383&gt;=_辅助!$J$4,资金流水!$S$1383&lt;=_辅助!$J$2),INT(资金流水!$B$1383)*10000+1378,"")</f>
      </c>
    </row>
    <row r="1380">
      <c r="BG1380" s="2">
        <f>IF(AND($AF$3&gt;0,资金流水!$H$1384=$C$3,ISNUMBER(资金流水!$B$1384),ISNUMBER(资金流水!$S$1384),资金流水!$S$1384&gt;=_辅助!$J$4,资金流水!$S$1384&lt;=_辅助!$J$2),INT(资金流水!$B$1384)*10000+1379,"")</f>
      </c>
    </row>
    <row r="1381">
      <c r="BG1381" s="2">
        <f>IF(AND($AF$3&gt;0,资金流水!$H$1385=$C$3,ISNUMBER(资金流水!$B$1385),ISNUMBER(资金流水!$S$1385),资金流水!$S$1385&gt;=_辅助!$J$4,资金流水!$S$1385&lt;=_辅助!$J$2),INT(资金流水!$B$1385)*10000+1380,"")</f>
      </c>
    </row>
    <row r="1382">
      <c r="BG1382" s="2">
        <f>IF(AND($AF$3&gt;0,资金流水!$H$1386=$C$3,ISNUMBER(资金流水!$B$1386),ISNUMBER(资金流水!$S$1386),资金流水!$S$1386&gt;=_辅助!$J$4,资金流水!$S$1386&lt;=_辅助!$J$2),INT(资金流水!$B$1386)*10000+1381,"")</f>
      </c>
    </row>
    <row r="1383">
      <c r="BG1383" s="2">
        <f>IF(AND($AF$3&gt;0,资金流水!$H$1387=$C$3,ISNUMBER(资金流水!$B$1387),ISNUMBER(资金流水!$S$1387),资金流水!$S$1387&gt;=_辅助!$J$4,资金流水!$S$1387&lt;=_辅助!$J$2),INT(资金流水!$B$1387)*10000+1382,"")</f>
      </c>
    </row>
    <row r="1384">
      <c r="BG1384" s="2">
        <f>IF(AND($AF$3&gt;0,资金流水!$H$1388=$C$3,ISNUMBER(资金流水!$B$1388),ISNUMBER(资金流水!$S$1388),资金流水!$S$1388&gt;=_辅助!$J$4,资金流水!$S$1388&lt;=_辅助!$J$2),INT(资金流水!$B$1388)*10000+1383,"")</f>
      </c>
    </row>
    <row r="1385">
      <c r="BG1385" s="2">
        <f>IF(AND($AF$3&gt;0,资金流水!$H$1389=$C$3,ISNUMBER(资金流水!$B$1389),ISNUMBER(资金流水!$S$1389),资金流水!$S$1389&gt;=_辅助!$J$4,资金流水!$S$1389&lt;=_辅助!$J$2),INT(资金流水!$B$1389)*10000+1384,"")</f>
      </c>
    </row>
    <row r="1386">
      <c r="BG1386" s="2">
        <f>IF(AND($AF$3&gt;0,资金流水!$H$1390=$C$3,ISNUMBER(资金流水!$B$1390),ISNUMBER(资金流水!$S$1390),资金流水!$S$1390&gt;=_辅助!$J$4,资金流水!$S$1390&lt;=_辅助!$J$2),INT(资金流水!$B$1390)*10000+1385,"")</f>
      </c>
    </row>
    <row r="1387">
      <c r="BG1387" s="2">
        <f>IF(AND($AF$3&gt;0,资金流水!$H$1391=$C$3,ISNUMBER(资金流水!$B$1391),ISNUMBER(资金流水!$S$1391),资金流水!$S$1391&gt;=_辅助!$J$4,资金流水!$S$1391&lt;=_辅助!$J$2),INT(资金流水!$B$1391)*10000+1386,"")</f>
      </c>
    </row>
    <row r="1388">
      <c r="BG1388" s="2">
        <f>IF(AND($AF$3&gt;0,资金流水!$H$1392=$C$3,ISNUMBER(资金流水!$B$1392),ISNUMBER(资金流水!$S$1392),资金流水!$S$1392&gt;=_辅助!$J$4,资金流水!$S$1392&lt;=_辅助!$J$2),INT(资金流水!$B$1392)*10000+1387,"")</f>
      </c>
    </row>
    <row r="1389">
      <c r="BG1389" s="2">
        <f>IF(AND($AF$3&gt;0,资金流水!$H$1393=$C$3,ISNUMBER(资金流水!$B$1393),ISNUMBER(资金流水!$S$1393),资金流水!$S$1393&gt;=_辅助!$J$4,资金流水!$S$1393&lt;=_辅助!$J$2),INT(资金流水!$B$1393)*10000+1388,"")</f>
      </c>
    </row>
    <row r="1390">
      <c r="BG1390" s="2">
        <f>IF(AND($AF$3&gt;0,资金流水!$H$1394=$C$3,ISNUMBER(资金流水!$B$1394),ISNUMBER(资金流水!$S$1394),资金流水!$S$1394&gt;=_辅助!$J$4,资金流水!$S$1394&lt;=_辅助!$J$2),INT(资金流水!$B$1394)*10000+1389,"")</f>
      </c>
    </row>
    <row r="1391">
      <c r="BG1391" s="2">
        <f>IF(AND($AF$3&gt;0,资金流水!$H$1395=$C$3,ISNUMBER(资金流水!$B$1395),ISNUMBER(资金流水!$S$1395),资金流水!$S$1395&gt;=_辅助!$J$4,资金流水!$S$1395&lt;=_辅助!$J$2),INT(资金流水!$B$1395)*10000+1390,"")</f>
      </c>
    </row>
    <row r="1392">
      <c r="BG1392" s="2">
        <f>IF(AND($AF$3&gt;0,资金流水!$H$1396=$C$3,ISNUMBER(资金流水!$B$1396),ISNUMBER(资金流水!$S$1396),资金流水!$S$1396&gt;=_辅助!$J$4,资金流水!$S$1396&lt;=_辅助!$J$2),INT(资金流水!$B$1396)*10000+1391,"")</f>
      </c>
    </row>
    <row r="1393">
      <c r="BG1393" s="2">
        <f>IF(AND($AF$3&gt;0,资金流水!$H$1397=$C$3,ISNUMBER(资金流水!$B$1397),ISNUMBER(资金流水!$S$1397),资金流水!$S$1397&gt;=_辅助!$J$4,资金流水!$S$1397&lt;=_辅助!$J$2),INT(资金流水!$B$1397)*10000+1392,"")</f>
      </c>
    </row>
    <row r="1394">
      <c r="BG1394" s="2">
        <f>IF(AND($AF$3&gt;0,资金流水!$H$1398=$C$3,ISNUMBER(资金流水!$B$1398),ISNUMBER(资金流水!$S$1398),资金流水!$S$1398&gt;=_辅助!$J$4,资金流水!$S$1398&lt;=_辅助!$J$2),INT(资金流水!$B$1398)*10000+1393,"")</f>
      </c>
    </row>
    <row r="1395">
      <c r="BG1395" s="2">
        <f>IF(AND($AF$3&gt;0,资金流水!$H$1399=$C$3,ISNUMBER(资金流水!$B$1399),ISNUMBER(资金流水!$S$1399),资金流水!$S$1399&gt;=_辅助!$J$4,资金流水!$S$1399&lt;=_辅助!$J$2),INT(资金流水!$B$1399)*10000+1394,"")</f>
      </c>
    </row>
    <row r="1396">
      <c r="BG1396" s="2">
        <f>IF(AND($AF$3&gt;0,资金流水!$H$1400=$C$3,ISNUMBER(资金流水!$B$1400),ISNUMBER(资金流水!$S$1400),资金流水!$S$1400&gt;=_辅助!$J$4,资金流水!$S$1400&lt;=_辅助!$J$2),INT(资金流水!$B$1400)*10000+1395,"")</f>
      </c>
    </row>
    <row r="1397">
      <c r="BG1397" s="2">
        <f>IF(AND($AF$3&gt;0,资金流水!$H$1401=$C$3,ISNUMBER(资金流水!$B$1401),ISNUMBER(资金流水!$S$1401),资金流水!$S$1401&gt;=_辅助!$J$4,资金流水!$S$1401&lt;=_辅助!$J$2),INT(资金流水!$B$1401)*10000+1396,"")</f>
      </c>
    </row>
    <row r="1398">
      <c r="BG1398" s="2">
        <f>IF(AND($AF$3&gt;0,资金流水!$H$1402=$C$3,ISNUMBER(资金流水!$B$1402),ISNUMBER(资金流水!$S$1402),资金流水!$S$1402&gt;=_辅助!$J$4,资金流水!$S$1402&lt;=_辅助!$J$2),INT(资金流水!$B$1402)*10000+1397,"")</f>
      </c>
    </row>
    <row r="1399">
      <c r="BG1399" s="2">
        <f>IF(AND($AF$3&gt;0,资金流水!$H$1403=$C$3,ISNUMBER(资金流水!$B$1403),ISNUMBER(资金流水!$S$1403),资金流水!$S$1403&gt;=_辅助!$J$4,资金流水!$S$1403&lt;=_辅助!$J$2),INT(资金流水!$B$1403)*10000+1398,"")</f>
      </c>
    </row>
    <row r="1400">
      <c r="BG1400" s="2">
        <f>IF(AND($AF$3&gt;0,资金流水!$H$1404=$C$3,ISNUMBER(资金流水!$B$1404),ISNUMBER(资金流水!$S$1404),资金流水!$S$1404&gt;=_辅助!$J$4,资金流水!$S$1404&lt;=_辅助!$J$2),INT(资金流水!$B$1404)*10000+1399,"")</f>
      </c>
    </row>
    <row r="1401">
      <c r="BG1401" s="2">
        <f>IF(AND($AF$3&gt;0,资金流水!$H$1405=$C$3,ISNUMBER(资金流水!$B$1405),ISNUMBER(资金流水!$S$1405),资金流水!$S$1405&gt;=_辅助!$J$4,资金流水!$S$1405&lt;=_辅助!$J$2),INT(资金流水!$B$1405)*10000+1400,"")</f>
      </c>
    </row>
    <row r="1402">
      <c r="BG1402" s="2">
        <f>IF(AND($AF$3&gt;0,资金流水!$H$1406=$C$3,ISNUMBER(资金流水!$B$1406),ISNUMBER(资金流水!$S$1406),资金流水!$S$1406&gt;=_辅助!$J$4,资金流水!$S$1406&lt;=_辅助!$J$2),INT(资金流水!$B$1406)*10000+1401,"")</f>
      </c>
    </row>
    <row r="1403">
      <c r="BG1403" s="2">
        <f>IF(AND($AF$3&gt;0,资金流水!$H$1407=$C$3,ISNUMBER(资金流水!$B$1407),ISNUMBER(资金流水!$S$1407),资金流水!$S$1407&gt;=_辅助!$J$4,资金流水!$S$1407&lt;=_辅助!$J$2),INT(资金流水!$B$1407)*10000+1402,"")</f>
      </c>
    </row>
    <row r="1404">
      <c r="BG1404" s="2">
        <f>IF(AND($AF$3&gt;0,资金流水!$H$1408=$C$3,ISNUMBER(资金流水!$B$1408),ISNUMBER(资金流水!$S$1408),资金流水!$S$1408&gt;=_辅助!$J$4,资金流水!$S$1408&lt;=_辅助!$J$2),INT(资金流水!$B$1408)*10000+1403,"")</f>
      </c>
    </row>
    <row r="1405">
      <c r="BG1405" s="2">
        <f>IF(AND($AF$3&gt;0,资金流水!$H$1409=$C$3,ISNUMBER(资金流水!$B$1409),ISNUMBER(资金流水!$S$1409),资金流水!$S$1409&gt;=_辅助!$J$4,资金流水!$S$1409&lt;=_辅助!$J$2),INT(资金流水!$B$1409)*10000+1404,"")</f>
      </c>
    </row>
    <row r="1406">
      <c r="BG1406" s="2">
        <f>IF(AND($AF$3&gt;0,资金流水!$H$1410=$C$3,ISNUMBER(资金流水!$B$1410),ISNUMBER(资金流水!$S$1410),资金流水!$S$1410&gt;=_辅助!$J$4,资金流水!$S$1410&lt;=_辅助!$J$2),INT(资金流水!$B$1410)*10000+1405,"")</f>
      </c>
    </row>
    <row r="1407">
      <c r="BG1407" s="2">
        <f>IF(AND($AF$3&gt;0,资金流水!$H$1411=$C$3,ISNUMBER(资金流水!$B$1411),ISNUMBER(资金流水!$S$1411),资金流水!$S$1411&gt;=_辅助!$J$4,资金流水!$S$1411&lt;=_辅助!$J$2),INT(资金流水!$B$1411)*10000+1406,"")</f>
      </c>
    </row>
    <row r="1408">
      <c r="BG1408" s="2">
        <f>IF(AND($AF$3&gt;0,资金流水!$H$1412=$C$3,ISNUMBER(资金流水!$B$1412),ISNUMBER(资金流水!$S$1412),资金流水!$S$1412&gt;=_辅助!$J$4,资金流水!$S$1412&lt;=_辅助!$J$2),INT(资金流水!$B$1412)*10000+1407,"")</f>
      </c>
    </row>
    <row r="1409">
      <c r="BG1409" s="2">
        <f>IF(AND($AF$3&gt;0,资金流水!$H$1413=$C$3,ISNUMBER(资金流水!$B$1413),ISNUMBER(资金流水!$S$1413),资金流水!$S$1413&gt;=_辅助!$J$4,资金流水!$S$1413&lt;=_辅助!$J$2),INT(资金流水!$B$1413)*10000+1408,"")</f>
      </c>
    </row>
    <row r="1410">
      <c r="BG1410" s="2">
        <f>IF(AND($AF$3&gt;0,资金流水!$H$1414=$C$3,ISNUMBER(资金流水!$B$1414),ISNUMBER(资金流水!$S$1414),资金流水!$S$1414&gt;=_辅助!$J$4,资金流水!$S$1414&lt;=_辅助!$J$2),INT(资金流水!$B$1414)*10000+1409,"")</f>
      </c>
    </row>
    <row r="1411">
      <c r="BG1411" s="2">
        <f>IF(AND($AF$3&gt;0,资金流水!$H$1415=$C$3,ISNUMBER(资金流水!$B$1415),ISNUMBER(资金流水!$S$1415),资金流水!$S$1415&gt;=_辅助!$J$4,资金流水!$S$1415&lt;=_辅助!$J$2),INT(资金流水!$B$1415)*10000+1410,"")</f>
      </c>
    </row>
    <row r="1412">
      <c r="BG1412" s="2">
        <f>IF(AND($AF$3&gt;0,资金流水!$H$1416=$C$3,ISNUMBER(资金流水!$B$1416),ISNUMBER(资金流水!$S$1416),资金流水!$S$1416&gt;=_辅助!$J$4,资金流水!$S$1416&lt;=_辅助!$J$2),INT(资金流水!$B$1416)*10000+1411,"")</f>
      </c>
    </row>
    <row r="1413">
      <c r="BG1413" s="2">
        <f>IF(AND($AF$3&gt;0,资金流水!$H$1417=$C$3,ISNUMBER(资金流水!$B$1417),ISNUMBER(资金流水!$S$1417),资金流水!$S$1417&gt;=_辅助!$J$4,资金流水!$S$1417&lt;=_辅助!$J$2),INT(资金流水!$B$1417)*10000+1412,"")</f>
      </c>
    </row>
    <row r="1414">
      <c r="BG1414" s="2">
        <f>IF(AND($AF$3&gt;0,资金流水!$H$1418=$C$3,ISNUMBER(资金流水!$B$1418),ISNUMBER(资金流水!$S$1418),资金流水!$S$1418&gt;=_辅助!$J$4,资金流水!$S$1418&lt;=_辅助!$J$2),INT(资金流水!$B$1418)*10000+1413,"")</f>
      </c>
    </row>
    <row r="1415">
      <c r="BG1415" s="2">
        <f>IF(AND($AF$3&gt;0,资金流水!$H$1419=$C$3,ISNUMBER(资金流水!$B$1419),ISNUMBER(资金流水!$S$1419),资金流水!$S$1419&gt;=_辅助!$J$4,资金流水!$S$1419&lt;=_辅助!$J$2),INT(资金流水!$B$1419)*10000+1414,"")</f>
      </c>
    </row>
    <row r="1416">
      <c r="BG1416" s="2">
        <f>IF(AND($AF$3&gt;0,资金流水!$H$1420=$C$3,ISNUMBER(资金流水!$B$1420),ISNUMBER(资金流水!$S$1420),资金流水!$S$1420&gt;=_辅助!$J$4,资金流水!$S$1420&lt;=_辅助!$J$2),INT(资金流水!$B$1420)*10000+1415,"")</f>
      </c>
    </row>
    <row r="1417">
      <c r="BG1417" s="2">
        <f>IF(AND($AF$3&gt;0,资金流水!$H$1421=$C$3,ISNUMBER(资金流水!$B$1421),ISNUMBER(资金流水!$S$1421),资金流水!$S$1421&gt;=_辅助!$J$4,资金流水!$S$1421&lt;=_辅助!$J$2),INT(资金流水!$B$1421)*10000+1416,"")</f>
      </c>
    </row>
    <row r="1418">
      <c r="BG1418" s="2">
        <f>IF(AND($AF$3&gt;0,资金流水!$H$1422=$C$3,ISNUMBER(资金流水!$B$1422),ISNUMBER(资金流水!$S$1422),资金流水!$S$1422&gt;=_辅助!$J$4,资金流水!$S$1422&lt;=_辅助!$J$2),INT(资金流水!$B$1422)*10000+1417,"")</f>
      </c>
    </row>
    <row r="1419">
      <c r="BG1419" s="2">
        <f>IF(AND($AF$3&gt;0,资金流水!$H$1423=$C$3,ISNUMBER(资金流水!$B$1423),ISNUMBER(资金流水!$S$1423),资金流水!$S$1423&gt;=_辅助!$J$4,资金流水!$S$1423&lt;=_辅助!$J$2),INT(资金流水!$B$1423)*10000+1418,"")</f>
      </c>
    </row>
    <row r="1420">
      <c r="BG1420" s="2">
        <f>IF(AND($AF$3&gt;0,资金流水!$H$1424=$C$3,ISNUMBER(资金流水!$B$1424),ISNUMBER(资金流水!$S$1424),资金流水!$S$1424&gt;=_辅助!$J$4,资金流水!$S$1424&lt;=_辅助!$J$2),INT(资金流水!$B$1424)*10000+1419,"")</f>
      </c>
    </row>
    <row r="1421">
      <c r="BG1421" s="2">
        <f>IF(AND($AF$3&gt;0,资金流水!$H$1425=$C$3,ISNUMBER(资金流水!$B$1425),ISNUMBER(资金流水!$S$1425),资金流水!$S$1425&gt;=_辅助!$J$4,资金流水!$S$1425&lt;=_辅助!$J$2),INT(资金流水!$B$1425)*10000+1420,"")</f>
      </c>
    </row>
    <row r="1422">
      <c r="BG1422" s="2">
        <f>IF(AND($AF$3&gt;0,资金流水!$H$1426=$C$3,ISNUMBER(资金流水!$B$1426),ISNUMBER(资金流水!$S$1426),资金流水!$S$1426&gt;=_辅助!$J$4,资金流水!$S$1426&lt;=_辅助!$J$2),INT(资金流水!$B$1426)*10000+1421,"")</f>
      </c>
    </row>
    <row r="1423">
      <c r="BG1423" s="2">
        <f>IF(AND($AF$3&gt;0,资金流水!$H$1427=$C$3,ISNUMBER(资金流水!$B$1427),ISNUMBER(资金流水!$S$1427),资金流水!$S$1427&gt;=_辅助!$J$4,资金流水!$S$1427&lt;=_辅助!$J$2),INT(资金流水!$B$1427)*10000+1422,"")</f>
      </c>
    </row>
    <row r="1424">
      <c r="BG1424" s="2">
        <f>IF(AND($AF$3&gt;0,资金流水!$H$1428=$C$3,ISNUMBER(资金流水!$B$1428),ISNUMBER(资金流水!$S$1428),资金流水!$S$1428&gt;=_辅助!$J$4,资金流水!$S$1428&lt;=_辅助!$J$2),INT(资金流水!$B$1428)*10000+1423,"")</f>
      </c>
    </row>
    <row r="1425">
      <c r="BG1425" s="2">
        <f>IF(AND($AF$3&gt;0,资金流水!$H$1429=$C$3,ISNUMBER(资金流水!$B$1429),ISNUMBER(资金流水!$S$1429),资金流水!$S$1429&gt;=_辅助!$J$4,资金流水!$S$1429&lt;=_辅助!$J$2),INT(资金流水!$B$1429)*10000+1424,"")</f>
      </c>
    </row>
    <row r="1426">
      <c r="BG1426" s="2">
        <f>IF(AND($AF$3&gt;0,资金流水!$H$1430=$C$3,ISNUMBER(资金流水!$B$1430),ISNUMBER(资金流水!$S$1430),资金流水!$S$1430&gt;=_辅助!$J$4,资金流水!$S$1430&lt;=_辅助!$J$2),INT(资金流水!$B$1430)*10000+1425,"")</f>
      </c>
    </row>
    <row r="1427">
      <c r="BG1427" s="2">
        <f>IF(AND($AF$3&gt;0,资金流水!$H$1431=$C$3,ISNUMBER(资金流水!$B$1431),ISNUMBER(资金流水!$S$1431),资金流水!$S$1431&gt;=_辅助!$J$4,资金流水!$S$1431&lt;=_辅助!$J$2),INT(资金流水!$B$1431)*10000+1426,"")</f>
      </c>
    </row>
    <row r="1428">
      <c r="BG1428" s="2">
        <f>IF(AND($AF$3&gt;0,资金流水!$H$1432=$C$3,ISNUMBER(资金流水!$B$1432),ISNUMBER(资金流水!$S$1432),资金流水!$S$1432&gt;=_辅助!$J$4,资金流水!$S$1432&lt;=_辅助!$J$2),INT(资金流水!$B$1432)*10000+1427,"")</f>
      </c>
    </row>
    <row r="1429">
      <c r="BG1429" s="2">
        <f>IF(AND($AF$3&gt;0,资金流水!$H$1433=$C$3,ISNUMBER(资金流水!$B$1433),ISNUMBER(资金流水!$S$1433),资金流水!$S$1433&gt;=_辅助!$J$4,资金流水!$S$1433&lt;=_辅助!$J$2),INT(资金流水!$B$1433)*10000+1428,"")</f>
      </c>
    </row>
    <row r="1430">
      <c r="BG1430" s="2">
        <f>IF(AND($AF$3&gt;0,资金流水!$H$1434=$C$3,ISNUMBER(资金流水!$B$1434),ISNUMBER(资金流水!$S$1434),资金流水!$S$1434&gt;=_辅助!$J$4,资金流水!$S$1434&lt;=_辅助!$J$2),INT(资金流水!$B$1434)*10000+1429,"")</f>
      </c>
    </row>
    <row r="1431">
      <c r="BG1431" s="2">
        <f>IF(AND($AF$3&gt;0,资金流水!$H$1435=$C$3,ISNUMBER(资金流水!$B$1435),ISNUMBER(资金流水!$S$1435),资金流水!$S$1435&gt;=_辅助!$J$4,资金流水!$S$1435&lt;=_辅助!$J$2),INT(资金流水!$B$1435)*10000+1430,"")</f>
      </c>
    </row>
    <row r="1432">
      <c r="BG1432" s="2">
        <f>IF(AND($AF$3&gt;0,资金流水!$H$1436=$C$3,ISNUMBER(资金流水!$B$1436),ISNUMBER(资金流水!$S$1436),资金流水!$S$1436&gt;=_辅助!$J$4,资金流水!$S$1436&lt;=_辅助!$J$2),INT(资金流水!$B$1436)*10000+1431,"")</f>
      </c>
    </row>
    <row r="1433">
      <c r="BG1433" s="2">
        <f>IF(AND($AF$3&gt;0,资金流水!$H$1437=$C$3,ISNUMBER(资金流水!$B$1437),ISNUMBER(资金流水!$S$1437),资金流水!$S$1437&gt;=_辅助!$J$4,资金流水!$S$1437&lt;=_辅助!$J$2),INT(资金流水!$B$1437)*10000+1432,"")</f>
      </c>
    </row>
    <row r="1434">
      <c r="BG1434" s="2">
        <f>IF(AND($AF$3&gt;0,资金流水!$H$1438=$C$3,ISNUMBER(资金流水!$B$1438),ISNUMBER(资金流水!$S$1438),资金流水!$S$1438&gt;=_辅助!$J$4,资金流水!$S$1438&lt;=_辅助!$J$2),INT(资金流水!$B$1438)*10000+1433,"")</f>
      </c>
    </row>
    <row r="1435">
      <c r="BG1435" s="2">
        <f>IF(AND($AF$3&gt;0,资金流水!$H$1439=$C$3,ISNUMBER(资金流水!$B$1439),ISNUMBER(资金流水!$S$1439),资金流水!$S$1439&gt;=_辅助!$J$4,资金流水!$S$1439&lt;=_辅助!$J$2),INT(资金流水!$B$1439)*10000+1434,"")</f>
      </c>
    </row>
    <row r="1436">
      <c r="BG1436" s="2">
        <f>IF(AND($AF$3&gt;0,资金流水!$H$1440=$C$3,ISNUMBER(资金流水!$B$1440),ISNUMBER(资金流水!$S$1440),资金流水!$S$1440&gt;=_辅助!$J$4,资金流水!$S$1440&lt;=_辅助!$J$2),INT(资金流水!$B$1440)*10000+1435,"")</f>
      </c>
    </row>
    <row r="1437">
      <c r="BG1437" s="2">
        <f>IF(AND($AF$3&gt;0,资金流水!$H$1441=$C$3,ISNUMBER(资金流水!$B$1441),ISNUMBER(资金流水!$S$1441),资金流水!$S$1441&gt;=_辅助!$J$4,资金流水!$S$1441&lt;=_辅助!$J$2),INT(资金流水!$B$1441)*10000+1436,"")</f>
      </c>
    </row>
    <row r="1438">
      <c r="BG1438" s="2">
        <f>IF(AND($AF$3&gt;0,资金流水!$H$1442=$C$3,ISNUMBER(资金流水!$B$1442),ISNUMBER(资金流水!$S$1442),资金流水!$S$1442&gt;=_辅助!$J$4,资金流水!$S$1442&lt;=_辅助!$J$2),INT(资金流水!$B$1442)*10000+1437,"")</f>
      </c>
    </row>
    <row r="1439">
      <c r="BG1439" s="2">
        <f>IF(AND($AF$3&gt;0,资金流水!$H$1443=$C$3,ISNUMBER(资金流水!$B$1443),ISNUMBER(资金流水!$S$1443),资金流水!$S$1443&gt;=_辅助!$J$4,资金流水!$S$1443&lt;=_辅助!$J$2),INT(资金流水!$B$1443)*10000+1438,"")</f>
      </c>
    </row>
    <row r="1440">
      <c r="BG1440" s="2">
        <f>IF(AND($AF$3&gt;0,资金流水!$H$1444=$C$3,ISNUMBER(资金流水!$B$1444),ISNUMBER(资金流水!$S$1444),资金流水!$S$1444&gt;=_辅助!$J$4,资金流水!$S$1444&lt;=_辅助!$J$2),INT(资金流水!$B$1444)*10000+1439,"")</f>
      </c>
    </row>
    <row r="1441">
      <c r="BG1441" s="2">
        <f>IF(AND($AF$3&gt;0,资金流水!$H$1445=$C$3,ISNUMBER(资金流水!$B$1445),ISNUMBER(资金流水!$S$1445),资金流水!$S$1445&gt;=_辅助!$J$4,资金流水!$S$1445&lt;=_辅助!$J$2),INT(资金流水!$B$1445)*10000+1440,"")</f>
      </c>
    </row>
    <row r="1442">
      <c r="BG1442" s="2">
        <f>IF(AND($AF$3&gt;0,资金流水!$H$1446=$C$3,ISNUMBER(资金流水!$B$1446),ISNUMBER(资金流水!$S$1446),资金流水!$S$1446&gt;=_辅助!$J$4,资金流水!$S$1446&lt;=_辅助!$J$2),INT(资金流水!$B$1446)*10000+1441,"")</f>
      </c>
    </row>
    <row r="1443">
      <c r="BG1443" s="2">
        <f>IF(AND($AF$3&gt;0,资金流水!$H$1447=$C$3,ISNUMBER(资金流水!$B$1447),ISNUMBER(资金流水!$S$1447),资金流水!$S$1447&gt;=_辅助!$J$4,资金流水!$S$1447&lt;=_辅助!$J$2),INT(资金流水!$B$1447)*10000+1442,"")</f>
      </c>
    </row>
    <row r="1444">
      <c r="BG1444" s="2">
        <f>IF(AND($AF$3&gt;0,资金流水!$H$1448=$C$3,ISNUMBER(资金流水!$B$1448),ISNUMBER(资金流水!$S$1448),资金流水!$S$1448&gt;=_辅助!$J$4,资金流水!$S$1448&lt;=_辅助!$J$2),INT(资金流水!$B$1448)*10000+1443,"")</f>
      </c>
    </row>
    <row r="1445">
      <c r="BG1445" s="2">
        <f>IF(AND($AF$3&gt;0,资金流水!$H$1449=$C$3,ISNUMBER(资金流水!$B$1449),ISNUMBER(资金流水!$S$1449),资金流水!$S$1449&gt;=_辅助!$J$4,资金流水!$S$1449&lt;=_辅助!$J$2),INT(资金流水!$B$1449)*10000+1444,"")</f>
      </c>
    </row>
    <row r="1446">
      <c r="BG1446" s="2">
        <f>IF(AND($AF$3&gt;0,资金流水!$H$1450=$C$3,ISNUMBER(资金流水!$B$1450),ISNUMBER(资金流水!$S$1450),资金流水!$S$1450&gt;=_辅助!$J$4,资金流水!$S$1450&lt;=_辅助!$J$2),INT(资金流水!$B$1450)*10000+1445,"")</f>
      </c>
    </row>
    <row r="1447">
      <c r="BG1447" s="2">
        <f>IF(AND($AF$3&gt;0,资金流水!$H$1451=$C$3,ISNUMBER(资金流水!$B$1451),ISNUMBER(资金流水!$S$1451),资金流水!$S$1451&gt;=_辅助!$J$4,资金流水!$S$1451&lt;=_辅助!$J$2),INT(资金流水!$B$1451)*10000+1446,"")</f>
      </c>
    </row>
    <row r="1448">
      <c r="BG1448" s="2">
        <f>IF(AND($AF$3&gt;0,资金流水!$H$1452=$C$3,ISNUMBER(资金流水!$B$1452),ISNUMBER(资金流水!$S$1452),资金流水!$S$1452&gt;=_辅助!$J$4,资金流水!$S$1452&lt;=_辅助!$J$2),INT(资金流水!$B$1452)*10000+1447,"")</f>
      </c>
    </row>
    <row r="1449">
      <c r="BG1449" s="2">
        <f>IF(AND($AF$3&gt;0,资金流水!$H$1453=$C$3,ISNUMBER(资金流水!$B$1453),ISNUMBER(资金流水!$S$1453),资金流水!$S$1453&gt;=_辅助!$J$4,资金流水!$S$1453&lt;=_辅助!$J$2),INT(资金流水!$B$1453)*10000+1448,"")</f>
      </c>
    </row>
    <row r="1450">
      <c r="BG1450" s="2">
        <f>IF(AND($AF$3&gt;0,资金流水!$H$1454=$C$3,ISNUMBER(资金流水!$B$1454),ISNUMBER(资金流水!$S$1454),资金流水!$S$1454&gt;=_辅助!$J$4,资金流水!$S$1454&lt;=_辅助!$J$2),INT(资金流水!$B$1454)*10000+1449,"")</f>
      </c>
    </row>
    <row r="1451">
      <c r="BG1451" s="2">
        <f>IF(AND($AF$3&gt;0,资金流水!$H$1455=$C$3,ISNUMBER(资金流水!$B$1455),ISNUMBER(资金流水!$S$1455),资金流水!$S$1455&gt;=_辅助!$J$4,资金流水!$S$1455&lt;=_辅助!$J$2),INT(资金流水!$B$1455)*10000+1450,"")</f>
      </c>
    </row>
    <row r="1452">
      <c r="BG1452" s="2">
        <f>IF(AND($AF$3&gt;0,资金流水!$H$1456=$C$3,ISNUMBER(资金流水!$B$1456),ISNUMBER(资金流水!$S$1456),资金流水!$S$1456&gt;=_辅助!$J$4,资金流水!$S$1456&lt;=_辅助!$J$2),INT(资金流水!$B$1456)*10000+1451,"")</f>
      </c>
    </row>
    <row r="1453">
      <c r="BG1453" s="2">
        <f>IF(AND($AF$3&gt;0,资金流水!$H$1457=$C$3,ISNUMBER(资金流水!$B$1457),ISNUMBER(资金流水!$S$1457),资金流水!$S$1457&gt;=_辅助!$J$4,资金流水!$S$1457&lt;=_辅助!$J$2),INT(资金流水!$B$1457)*10000+1452,"")</f>
      </c>
    </row>
    <row r="1454">
      <c r="BG1454" s="2">
        <f>IF(AND($AF$3&gt;0,资金流水!$H$1458=$C$3,ISNUMBER(资金流水!$B$1458),ISNUMBER(资金流水!$S$1458),资金流水!$S$1458&gt;=_辅助!$J$4,资金流水!$S$1458&lt;=_辅助!$J$2),INT(资金流水!$B$1458)*10000+1453,"")</f>
      </c>
    </row>
    <row r="1455">
      <c r="BG1455" s="2">
        <f>IF(AND($AF$3&gt;0,资金流水!$H$1459=$C$3,ISNUMBER(资金流水!$B$1459),ISNUMBER(资金流水!$S$1459),资金流水!$S$1459&gt;=_辅助!$J$4,资金流水!$S$1459&lt;=_辅助!$J$2),INT(资金流水!$B$1459)*10000+1454,"")</f>
      </c>
    </row>
    <row r="1456">
      <c r="BG1456" s="2">
        <f>IF(AND($AF$3&gt;0,资金流水!$H$1460=$C$3,ISNUMBER(资金流水!$B$1460),ISNUMBER(资金流水!$S$1460),资金流水!$S$1460&gt;=_辅助!$J$4,资金流水!$S$1460&lt;=_辅助!$J$2),INT(资金流水!$B$1460)*10000+1455,"")</f>
      </c>
    </row>
    <row r="1457">
      <c r="BG1457" s="2">
        <f>IF(AND($AF$3&gt;0,资金流水!$H$1461=$C$3,ISNUMBER(资金流水!$B$1461),ISNUMBER(资金流水!$S$1461),资金流水!$S$1461&gt;=_辅助!$J$4,资金流水!$S$1461&lt;=_辅助!$J$2),INT(资金流水!$B$1461)*10000+1456,"")</f>
      </c>
    </row>
    <row r="1458">
      <c r="BG1458" s="2">
        <f>IF(AND($AF$3&gt;0,资金流水!$H$1462=$C$3,ISNUMBER(资金流水!$B$1462),ISNUMBER(资金流水!$S$1462),资金流水!$S$1462&gt;=_辅助!$J$4,资金流水!$S$1462&lt;=_辅助!$J$2),INT(资金流水!$B$1462)*10000+1457,"")</f>
      </c>
    </row>
    <row r="1459">
      <c r="BG1459" s="2">
        <f>IF(AND($AF$3&gt;0,资金流水!$H$1463=$C$3,ISNUMBER(资金流水!$B$1463),ISNUMBER(资金流水!$S$1463),资金流水!$S$1463&gt;=_辅助!$J$4,资金流水!$S$1463&lt;=_辅助!$J$2),INT(资金流水!$B$1463)*10000+1458,"")</f>
      </c>
    </row>
    <row r="1460">
      <c r="BG1460" s="2">
        <f>IF(AND($AF$3&gt;0,资金流水!$H$1464=$C$3,ISNUMBER(资金流水!$B$1464),ISNUMBER(资金流水!$S$1464),资金流水!$S$1464&gt;=_辅助!$J$4,资金流水!$S$1464&lt;=_辅助!$J$2),INT(资金流水!$B$1464)*10000+1459,"")</f>
      </c>
    </row>
    <row r="1461">
      <c r="BG1461" s="2">
        <f>IF(AND($AF$3&gt;0,资金流水!$H$1465=$C$3,ISNUMBER(资金流水!$B$1465),ISNUMBER(资金流水!$S$1465),资金流水!$S$1465&gt;=_辅助!$J$4,资金流水!$S$1465&lt;=_辅助!$J$2),INT(资金流水!$B$1465)*10000+1460,"")</f>
      </c>
    </row>
    <row r="1462">
      <c r="BG1462" s="2">
        <f>IF(AND($AF$3&gt;0,资金流水!$H$1466=$C$3,ISNUMBER(资金流水!$B$1466),ISNUMBER(资金流水!$S$1466),资金流水!$S$1466&gt;=_辅助!$J$4,资金流水!$S$1466&lt;=_辅助!$J$2),INT(资金流水!$B$1466)*10000+1461,"")</f>
      </c>
    </row>
    <row r="1463">
      <c r="BG1463" s="2">
        <f>IF(AND($AF$3&gt;0,资金流水!$H$1467=$C$3,ISNUMBER(资金流水!$B$1467),ISNUMBER(资金流水!$S$1467),资金流水!$S$1467&gt;=_辅助!$J$4,资金流水!$S$1467&lt;=_辅助!$J$2),INT(资金流水!$B$1467)*10000+1462,"")</f>
      </c>
    </row>
    <row r="1464">
      <c r="BG1464" s="2">
        <f>IF(AND($AF$3&gt;0,资金流水!$H$1468=$C$3,ISNUMBER(资金流水!$B$1468),ISNUMBER(资金流水!$S$1468),资金流水!$S$1468&gt;=_辅助!$J$4,资金流水!$S$1468&lt;=_辅助!$J$2),INT(资金流水!$B$1468)*10000+1463,"")</f>
      </c>
    </row>
    <row r="1465">
      <c r="BG1465" s="2">
        <f>IF(AND($AF$3&gt;0,资金流水!$H$1469=$C$3,ISNUMBER(资金流水!$B$1469),ISNUMBER(资金流水!$S$1469),资金流水!$S$1469&gt;=_辅助!$J$4,资金流水!$S$1469&lt;=_辅助!$J$2),INT(资金流水!$B$1469)*10000+1464,"")</f>
      </c>
    </row>
    <row r="1466">
      <c r="BG1466" s="2">
        <f>IF(AND($AF$3&gt;0,资金流水!$H$1470=$C$3,ISNUMBER(资金流水!$B$1470),ISNUMBER(资金流水!$S$1470),资金流水!$S$1470&gt;=_辅助!$J$4,资金流水!$S$1470&lt;=_辅助!$J$2),INT(资金流水!$B$1470)*10000+1465,"")</f>
      </c>
    </row>
    <row r="1467">
      <c r="BG1467" s="2">
        <f>IF(AND($AF$3&gt;0,资金流水!$H$1471=$C$3,ISNUMBER(资金流水!$B$1471),ISNUMBER(资金流水!$S$1471),资金流水!$S$1471&gt;=_辅助!$J$4,资金流水!$S$1471&lt;=_辅助!$J$2),INT(资金流水!$B$1471)*10000+1466,"")</f>
      </c>
    </row>
    <row r="1468">
      <c r="BG1468" s="2">
        <f>IF(AND($AF$3&gt;0,资金流水!$H$1472=$C$3,ISNUMBER(资金流水!$B$1472),ISNUMBER(资金流水!$S$1472),资金流水!$S$1472&gt;=_辅助!$J$4,资金流水!$S$1472&lt;=_辅助!$J$2),INT(资金流水!$B$1472)*10000+1467,"")</f>
      </c>
    </row>
    <row r="1469">
      <c r="BG1469" s="2">
        <f>IF(AND($AF$3&gt;0,资金流水!$H$1473=$C$3,ISNUMBER(资金流水!$B$1473),ISNUMBER(资金流水!$S$1473),资金流水!$S$1473&gt;=_辅助!$J$4,资金流水!$S$1473&lt;=_辅助!$J$2),INT(资金流水!$B$1473)*10000+1468,"")</f>
      </c>
    </row>
    <row r="1470">
      <c r="BG1470" s="2">
        <f>IF(AND($AF$3&gt;0,资金流水!$H$1474=$C$3,ISNUMBER(资金流水!$B$1474),ISNUMBER(资金流水!$S$1474),资金流水!$S$1474&gt;=_辅助!$J$4,资金流水!$S$1474&lt;=_辅助!$J$2),INT(资金流水!$B$1474)*10000+1469,"")</f>
      </c>
    </row>
    <row r="1471">
      <c r="BG1471" s="2">
        <f>IF(AND($AF$3&gt;0,资金流水!$H$1475=$C$3,ISNUMBER(资金流水!$B$1475),ISNUMBER(资金流水!$S$1475),资金流水!$S$1475&gt;=_辅助!$J$4,资金流水!$S$1475&lt;=_辅助!$J$2),INT(资金流水!$B$1475)*10000+1470,"")</f>
      </c>
    </row>
    <row r="1472">
      <c r="BG1472" s="2">
        <f>IF(AND($AF$3&gt;0,资金流水!$H$1476=$C$3,ISNUMBER(资金流水!$B$1476),ISNUMBER(资金流水!$S$1476),资金流水!$S$1476&gt;=_辅助!$J$4,资金流水!$S$1476&lt;=_辅助!$J$2),INT(资金流水!$B$1476)*10000+1471,"")</f>
      </c>
    </row>
    <row r="1473">
      <c r="BG1473" s="2">
        <f>IF(AND($AF$3&gt;0,资金流水!$H$1477=$C$3,ISNUMBER(资金流水!$B$1477),ISNUMBER(资金流水!$S$1477),资金流水!$S$1477&gt;=_辅助!$J$4,资金流水!$S$1477&lt;=_辅助!$J$2),INT(资金流水!$B$1477)*10000+1472,"")</f>
      </c>
    </row>
    <row r="1474">
      <c r="BG1474" s="2">
        <f>IF(AND($AF$3&gt;0,资金流水!$H$1478=$C$3,ISNUMBER(资金流水!$B$1478),ISNUMBER(资金流水!$S$1478),资金流水!$S$1478&gt;=_辅助!$J$4,资金流水!$S$1478&lt;=_辅助!$J$2),INT(资金流水!$B$1478)*10000+1473,"")</f>
      </c>
    </row>
    <row r="1475">
      <c r="BG1475" s="2">
        <f>IF(AND($AF$3&gt;0,资金流水!$H$1479=$C$3,ISNUMBER(资金流水!$B$1479),ISNUMBER(资金流水!$S$1479),资金流水!$S$1479&gt;=_辅助!$J$4,资金流水!$S$1479&lt;=_辅助!$J$2),INT(资金流水!$B$1479)*10000+1474,"")</f>
      </c>
    </row>
    <row r="1476">
      <c r="BG1476" s="2">
        <f>IF(AND($AF$3&gt;0,资金流水!$H$1480=$C$3,ISNUMBER(资金流水!$B$1480),ISNUMBER(资金流水!$S$1480),资金流水!$S$1480&gt;=_辅助!$J$4,资金流水!$S$1480&lt;=_辅助!$J$2),INT(资金流水!$B$1480)*10000+1475,"")</f>
      </c>
    </row>
    <row r="1477">
      <c r="BG1477" s="2">
        <f>IF(AND($AF$3&gt;0,资金流水!$H$1481=$C$3,ISNUMBER(资金流水!$B$1481),ISNUMBER(资金流水!$S$1481),资金流水!$S$1481&gt;=_辅助!$J$4,资金流水!$S$1481&lt;=_辅助!$J$2),INT(资金流水!$B$1481)*10000+1476,"")</f>
      </c>
    </row>
    <row r="1478">
      <c r="BG1478" s="2">
        <f>IF(AND($AF$3&gt;0,资金流水!$H$1482=$C$3,ISNUMBER(资金流水!$B$1482),ISNUMBER(资金流水!$S$1482),资金流水!$S$1482&gt;=_辅助!$J$4,资金流水!$S$1482&lt;=_辅助!$J$2),INT(资金流水!$B$1482)*10000+1477,"")</f>
      </c>
    </row>
    <row r="1479">
      <c r="BG1479" s="2">
        <f>IF(AND($AF$3&gt;0,资金流水!$H$1483=$C$3,ISNUMBER(资金流水!$B$1483),ISNUMBER(资金流水!$S$1483),资金流水!$S$1483&gt;=_辅助!$J$4,资金流水!$S$1483&lt;=_辅助!$J$2),INT(资金流水!$B$1483)*10000+1478,"")</f>
      </c>
    </row>
    <row r="1480">
      <c r="BG1480" s="2">
        <f>IF(AND($AF$3&gt;0,资金流水!$H$1484=$C$3,ISNUMBER(资金流水!$B$1484),ISNUMBER(资金流水!$S$1484),资金流水!$S$1484&gt;=_辅助!$J$4,资金流水!$S$1484&lt;=_辅助!$J$2),INT(资金流水!$B$1484)*10000+1479,"")</f>
      </c>
    </row>
    <row r="1481">
      <c r="BG1481" s="2">
        <f>IF(AND($AF$3&gt;0,资金流水!$H$1485=$C$3,ISNUMBER(资金流水!$B$1485),ISNUMBER(资金流水!$S$1485),资金流水!$S$1485&gt;=_辅助!$J$4,资金流水!$S$1485&lt;=_辅助!$J$2),INT(资金流水!$B$1485)*10000+1480,"")</f>
      </c>
    </row>
    <row r="1482">
      <c r="BG1482" s="2">
        <f>IF(AND($AF$3&gt;0,资金流水!$H$1486=$C$3,ISNUMBER(资金流水!$B$1486),ISNUMBER(资金流水!$S$1486),资金流水!$S$1486&gt;=_辅助!$J$4,资金流水!$S$1486&lt;=_辅助!$J$2),INT(资金流水!$B$1486)*10000+1481,"")</f>
      </c>
    </row>
    <row r="1483">
      <c r="BG1483" s="2">
        <f>IF(AND($AF$3&gt;0,资金流水!$H$1487=$C$3,ISNUMBER(资金流水!$B$1487),ISNUMBER(资金流水!$S$1487),资金流水!$S$1487&gt;=_辅助!$J$4,资金流水!$S$1487&lt;=_辅助!$J$2),INT(资金流水!$B$1487)*10000+1482,"")</f>
      </c>
    </row>
    <row r="1484">
      <c r="BG1484" s="2">
        <f>IF(AND($AF$3&gt;0,资金流水!$H$1488=$C$3,ISNUMBER(资金流水!$B$1488),ISNUMBER(资金流水!$S$1488),资金流水!$S$1488&gt;=_辅助!$J$4,资金流水!$S$1488&lt;=_辅助!$J$2),INT(资金流水!$B$1488)*10000+1483,"")</f>
      </c>
    </row>
    <row r="1485">
      <c r="BG1485" s="2">
        <f>IF(AND($AF$3&gt;0,资金流水!$H$1489=$C$3,ISNUMBER(资金流水!$B$1489),ISNUMBER(资金流水!$S$1489),资金流水!$S$1489&gt;=_辅助!$J$4,资金流水!$S$1489&lt;=_辅助!$J$2),INT(资金流水!$B$1489)*10000+1484,"")</f>
      </c>
    </row>
    <row r="1486">
      <c r="BG1486" s="2">
        <f>IF(AND($AF$3&gt;0,资金流水!$H$1490=$C$3,ISNUMBER(资金流水!$B$1490),ISNUMBER(资金流水!$S$1490),资金流水!$S$1490&gt;=_辅助!$J$4,资金流水!$S$1490&lt;=_辅助!$J$2),INT(资金流水!$B$1490)*10000+1485,"")</f>
      </c>
    </row>
    <row r="1487">
      <c r="BG1487" s="2">
        <f>IF(AND($AF$3&gt;0,资金流水!$H$1491=$C$3,ISNUMBER(资金流水!$B$1491),ISNUMBER(资金流水!$S$1491),资金流水!$S$1491&gt;=_辅助!$J$4,资金流水!$S$1491&lt;=_辅助!$J$2),INT(资金流水!$B$1491)*10000+1486,"")</f>
      </c>
    </row>
    <row r="1488">
      <c r="BG1488" s="2">
        <f>IF(AND($AF$3&gt;0,资金流水!$H$1492=$C$3,ISNUMBER(资金流水!$B$1492),ISNUMBER(资金流水!$S$1492),资金流水!$S$1492&gt;=_辅助!$J$4,资金流水!$S$1492&lt;=_辅助!$J$2),INT(资金流水!$B$1492)*10000+1487,"")</f>
      </c>
    </row>
    <row r="1489">
      <c r="BG1489" s="2">
        <f>IF(AND($AF$3&gt;0,资金流水!$H$1493=$C$3,ISNUMBER(资金流水!$B$1493),ISNUMBER(资金流水!$S$1493),资金流水!$S$1493&gt;=_辅助!$J$4,资金流水!$S$1493&lt;=_辅助!$J$2),INT(资金流水!$B$1493)*10000+1488,"")</f>
      </c>
    </row>
    <row r="1490">
      <c r="BG1490" s="2">
        <f>IF(AND($AF$3&gt;0,资金流水!$H$1494=$C$3,ISNUMBER(资金流水!$B$1494),ISNUMBER(资金流水!$S$1494),资金流水!$S$1494&gt;=_辅助!$J$4,资金流水!$S$1494&lt;=_辅助!$J$2),INT(资金流水!$B$1494)*10000+1489,"")</f>
      </c>
    </row>
    <row r="1491">
      <c r="BG1491" s="2">
        <f>IF(AND($AF$3&gt;0,资金流水!$H$1495=$C$3,ISNUMBER(资金流水!$B$1495),ISNUMBER(资金流水!$S$1495),资金流水!$S$1495&gt;=_辅助!$J$4,资金流水!$S$1495&lt;=_辅助!$J$2),INT(资金流水!$B$1495)*10000+1490,"")</f>
      </c>
    </row>
    <row r="1492">
      <c r="BG1492" s="2">
        <f>IF(AND($AF$3&gt;0,资金流水!$H$1496=$C$3,ISNUMBER(资金流水!$B$1496),ISNUMBER(资金流水!$S$1496),资金流水!$S$1496&gt;=_辅助!$J$4,资金流水!$S$1496&lt;=_辅助!$J$2),INT(资金流水!$B$1496)*10000+1491,"")</f>
      </c>
    </row>
    <row r="1493">
      <c r="BG1493" s="2">
        <f>IF(AND($AF$3&gt;0,资金流水!$H$1497=$C$3,ISNUMBER(资金流水!$B$1497),ISNUMBER(资金流水!$S$1497),资金流水!$S$1497&gt;=_辅助!$J$4,资金流水!$S$1497&lt;=_辅助!$J$2),INT(资金流水!$B$1497)*10000+1492,"")</f>
      </c>
    </row>
    <row r="1494">
      <c r="BG1494" s="2">
        <f>IF(AND($AF$3&gt;0,资金流水!$H$1498=$C$3,ISNUMBER(资金流水!$B$1498),ISNUMBER(资金流水!$S$1498),资金流水!$S$1498&gt;=_辅助!$J$4,资金流水!$S$1498&lt;=_辅助!$J$2),INT(资金流水!$B$1498)*10000+1493,"")</f>
      </c>
    </row>
    <row r="1495">
      <c r="BG1495" s="2">
        <f>IF(AND($AF$3&gt;0,资金流水!$H$1499=$C$3,ISNUMBER(资金流水!$B$1499),ISNUMBER(资金流水!$S$1499),资金流水!$S$1499&gt;=_辅助!$J$4,资金流水!$S$1499&lt;=_辅助!$J$2),INT(资金流水!$B$1499)*10000+1494,"")</f>
      </c>
    </row>
    <row r="1496">
      <c r="BG1496" s="2">
        <f>IF(AND($AF$3&gt;0,资金流水!$H$1500=$C$3,ISNUMBER(资金流水!$B$1500),ISNUMBER(资金流水!$S$1500),资金流水!$S$1500&gt;=_辅助!$J$4,资金流水!$S$1500&lt;=_辅助!$J$2),INT(资金流水!$B$1500)*10000+1495,"")</f>
      </c>
    </row>
    <row r="1497">
      <c r="BG1497" s="2">
        <f>IF(AND($AF$3&gt;0,资金流水!$H$1501=$C$3,ISNUMBER(资金流水!$B$1501),ISNUMBER(资金流水!$S$1501),资金流水!$S$1501&gt;=_辅助!$J$4,资金流水!$S$1501&lt;=_辅助!$J$2),INT(资金流水!$B$1501)*10000+1496,"")</f>
      </c>
    </row>
    <row r="1498">
      <c r="BG1498" s="2">
        <f>IF(AND($AF$3&gt;0,资金流水!$H$1502=$C$3,ISNUMBER(资金流水!$B$1502),ISNUMBER(资金流水!$S$1502),资金流水!$S$1502&gt;=_辅助!$J$4,资金流水!$S$1502&lt;=_辅助!$J$2),INT(资金流水!$B$1502)*10000+1497,"")</f>
      </c>
    </row>
    <row r="1499">
      <c r="BG1499" s="2">
        <f>IF(AND($AF$3&gt;0,资金流水!$H$1503=$C$3,ISNUMBER(资金流水!$B$1503),ISNUMBER(资金流水!$S$1503),资金流水!$S$1503&gt;=_辅助!$J$4,资金流水!$S$1503&lt;=_辅助!$J$2),INT(资金流水!$B$1503)*10000+1498,"")</f>
      </c>
    </row>
    <row r="1500">
      <c r="BG1500" s="2">
        <f>IF(AND($AF$3&gt;0,资金流水!$H$1504=$C$3,ISNUMBER(资金流水!$B$1504),ISNUMBER(资金流水!$S$1504),资金流水!$S$1504&gt;=_辅助!$J$4,资金流水!$S$1504&lt;=_辅助!$J$2),INT(资金流水!$B$1504)*10000+1499,"")</f>
      </c>
    </row>
    <row r="1501">
      <c r="BG1501" s="2">
        <f>IF(AND($AF$3&gt;0,资金流水!$H$1505=$C$3,ISNUMBER(资金流水!$B$1505),ISNUMBER(资金流水!$S$1505),资金流水!$S$1505&gt;=_辅助!$J$4,资金流水!$S$1505&lt;=_辅助!$J$2),INT(资金流水!$B$1505)*10000+1500,"")</f>
      </c>
    </row>
    <row r="1502">
      <c r="BG1502" s="2">
        <f>IF(AND($AF$3&gt;0,资金流水!$H$1506=$C$3,ISNUMBER(资金流水!$B$1506),ISNUMBER(资金流水!$S$1506),资金流水!$S$1506&gt;=_辅助!$J$4,资金流水!$S$1506&lt;=_辅助!$J$2),INT(资金流水!$B$1506)*10000+1501,"")</f>
      </c>
    </row>
    <row r="1503">
      <c r="BG1503" s="2">
        <f>IF(AND($AF$3&gt;0,资金流水!$H$1507=$C$3,ISNUMBER(资金流水!$B$1507),ISNUMBER(资金流水!$S$1507),资金流水!$S$1507&gt;=_辅助!$J$4,资金流水!$S$1507&lt;=_辅助!$J$2),INT(资金流水!$B$1507)*10000+1502,"")</f>
      </c>
    </row>
    <row r="1504">
      <c r="BG1504" s="2">
        <f>IF(AND($AF$3&gt;0,资金流水!$H$1508=$C$3,ISNUMBER(资金流水!$B$1508),ISNUMBER(资金流水!$S$1508),资金流水!$S$1508&gt;=_辅助!$J$4,资金流水!$S$1508&lt;=_辅助!$J$2),INT(资金流水!$B$1508)*10000+1503,"")</f>
      </c>
    </row>
    <row r="1505">
      <c r="BG1505" s="2">
        <f>IF(AND($AF$3&gt;0,资金流水!$H$1509=$C$3,ISNUMBER(资金流水!$B$1509),ISNUMBER(资金流水!$S$1509),资金流水!$S$1509&gt;=_辅助!$J$4,资金流水!$S$1509&lt;=_辅助!$J$2),INT(资金流水!$B$1509)*10000+1504,"")</f>
      </c>
    </row>
    <row r="1506">
      <c r="BG1506" s="2">
        <f>IF(AND($AF$3&gt;0,资金流水!$H$1510=$C$3,ISNUMBER(资金流水!$B$1510),ISNUMBER(资金流水!$S$1510),资金流水!$S$1510&gt;=_辅助!$J$4,资金流水!$S$1510&lt;=_辅助!$J$2),INT(资金流水!$B$1510)*10000+1505,"")</f>
      </c>
    </row>
    <row r="1507">
      <c r="BG1507" s="2">
        <f>IF(AND($AF$3&gt;0,资金流水!$H$1511=$C$3,ISNUMBER(资金流水!$B$1511),ISNUMBER(资金流水!$S$1511),资金流水!$S$1511&gt;=_辅助!$J$4,资金流水!$S$1511&lt;=_辅助!$J$2),INT(资金流水!$B$1511)*10000+1506,"")</f>
      </c>
    </row>
    <row r="1508">
      <c r="BG1508" s="2">
        <f>IF(AND($AF$3&gt;0,资金流水!$H$1512=$C$3,ISNUMBER(资金流水!$B$1512),ISNUMBER(资金流水!$S$1512),资金流水!$S$1512&gt;=_辅助!$J$4,资金流水!$S$1512&lt;=_辅助!$J$2),INT(资金流水!$B$1512)*10000+1507,"")</f>
      </c>
    </row>
    <row r="1509">
      <c r="BG1509" s="2">
        <f>IF(AND($AF$3&gt;0,资金流水!$H$1513=$C$3,ISNUMBER(资金流水!$B$1513),ISNUMBER(资金流水!$S$1513),资金流水!$S$1513&gt;=_辅助!$J$4,资金流水!$S$1513&lt;=_辅助!$J$2),INT(资金流水!$B$1513)*10000+1508,"")</f>
      </c>
    </row>
    <row r="1510">
      <c r="BG1510" s="2">
        <f>IF(AND($AF$3&gt;0,资金流水!$H$1514=$C$3,ISNUMBER(资金流水!$B$1514),ISNUMBER(资金流水!$S$1514),资金流水!$S$1514&gt;=_辅助!$J$4,资金流水!$S$1514&lt;=_辅助!$J$2),INT(资金流水!$B$1514)*10000+1509,"")</f>
      </c>
    </row>
    <row r="1511">
      <c r="BG1511" s="2">
        <f>IF(AND($AF$3&gt;0,资金流水!$H$1515=$C$3,ISNUMBER(资金流水!$B$1515),ISNUMBER(资金流水!$S$1515),资金流水!$S$1515&gt;=_辅助!$J$4,资金流水!$S$1515&lt;=_辅助!$J$2),INT(资金流水!$B$1515)*10000+1510,"")</f>
      </c>
    </row>
    <row r="1512">
      <c r="BG1512" s="2">
        <f>IF(AND($AF$3&gt;0,资金流水!$H$1516=$C$3,ISNUMBER(资金流水!$B$1516),ISNUMBER(资金流水!$S$1516),资金流水!$S$1516&gt;=_辅助!$J$4,资金流水!$S$1516&lt;=_辅助!$J$2),INT(资金流水!$B$1516)*10000+1511,"")</f>
      </c>
    </row>
    <row r="1513">
      <c r="BG1513" s="2">
        <f>IF(AND($AF$3&gt;0,资金流水!$H$1517=$C$3,ISNUMBER(资金流水!$B$1517),ISNUMBER(资金流水!$S$1517),资金流水!$S$1517&gt;=_辅助!$J$4,资金流水!$S$1517&lt;=_辅助!$J$2),INT(资金流水!$B$1517)*10000+1512,"")</f>
      </c>
    </row>
    <row r="1514">
      <c r="BG1514" s="2">
        <f>IF(AND($AF$3&gt;0,资金流水!$H$1518=$C$3,ISNUMBER(资金流水!$B$1518),ISNUMBER(资金流水!$S$1518),资金流水!$S$1518&gt;=_辅助!$J$4,资金流水!$S$1518&lt;=_辅助!$J$2),INT(资金流水!$B$1518)*10000+1513,"")</f>
      </c>
    </row>
    <row r="1515">
      <c r="BG1515" s="2">
        <f>IF(AND($AF$3&gt;0,资金流水!$H$1519=$C$3,ISNUMBER(资金流水!$B$1519),ISNUMBER(资金流水!$S$1519),资金流水!$S$1519&gt;=_辅助!$J$4,资金流水!$S$1519&lt;=_辅助!$J$2),INT(资金流水!$B$1519)*10000+1514,"")</f>
      </c>
    </row>
    <row r="1516">
      <c r="BG1516" s="2">
        <f>IF(AND($AF$3&gt;0,资金流水!$H$1520=$C$3,ISNUMBER(资金流水!$B$1520),ISNUMBER(资金流水!$S$1520),资金流水!$S$1520&gt;=_辅助!$J$4,资金流水!$S$1520&lt;=_辅助!$J$2),INT(资金流水!$B$1520)*10000+1515,"")</f>
      </c>
    </row>
    <row r="1517">
      <c r="BG1517" s="2">
        <f>IF(AND($AF$3&gt;0,资金流水!$H$1521=$C$3,ISNUMBER(资金流水!$B$1521),ISNUMBER(资金流水!$S$1521),资金流水!$S$1521&gt;=_辅助!$J$4,资金流水!$S$1521&lt;=_辅助!$J$2),INT(资金流水!$B$1521)*10000+1516,"")</f>
      </c>
    </row>
    <row r="1518">
      <c r="BG1518" s="2">
        <f>IF(AND($AF$3&gt;0,资金流水!$H$1522=$C$3,ISNUMBER(资金流水!$B$1522),ISNUMBER(资金流水!$S$1522),资金流水!$S$1522&gt;=_辅助!$J$4,资金流水!$S$1522&lt;=_辅助!$J$2),INT(资金流水!$B$1522)*10000+1517,"")</f>
      </c>
    </row>
    <row r="1519">
      <c r="BG1519" s="2">
        <f>IF(AND($AF$3&gt;0,资金流水!$H$1523=$C$3,ISNUMBER(资金流水!$B$1523),ISNUMBER(资金流水!$S$1523),资金流水!$S$1523&gt;=_辅助!$J$4,资金流水!$S$1523&lt;=_辅助!$J$2),INT(资金流水!$B$1523)*10000+1518,"")</f>
      </c>
    </row>
    <row r="1520">
      <c r="BG1520" s="2">
        <f>IF(AND($AF$3&gt;0,资金流水!$H$1524=$C$3,ISNUMBER(资金流水!$B$1524),ISNUMBER(资金流水!$S$1524),资金流水!$S$1524&gt;=_辅助!$J$4,资金流水!$S$1524&lt;=_辅助!$J$2),INT(资金流水!$B$1524)*10000+1519,"")</f>
      </c>
    </row>
    <row r="1521">
      <c r="BG1521" s="2">
        <f>IF(AND($AF$3&gt;0,资金流水!$H$1525=$C$3,ISNUMBER(资金流水!$B$1525),ISNUMBER(资金流水!$S$1525),资金流水!$S$1525&gt;=_辅助!$J$4,资金流水!$S$1525&lt;=_辅助!$J$2),INT(资金流水!$B$1525)*10000+1520,"")</f>
      </c>
    </row>
    <row r="1522">
      <c r="BG1522" s="2">
        <f>IF(AND($AF$3&gt;0,资金流水!$H$1526=$C$3,ISNUMBER(资金流水!$B$1526),ISNUMBER(资金流水!$S$1526),资金流水!$S$1526&gt;=_辅助!$J$4,资金流水!$S$1526&lt;=_辅助!$J$2),INT(资金流水!$B$1526)*10000+1521,"")</f>
      </c>
    </row>
    <row r="1523">
      <c r="BG1523" s="2">
        <f>IF(AND($AF$3&gt;0,资金流水!$H$1527=$C$3,ISNUMBER(资金流水!$B$1527),ISNUMBER(资金流水!$S$1527),资金流水!$S$1527&gt;=_辅助!$J$4,资金流水!$S$1527&lt;=_辅助!$J$2),INT(资金流水!$B$1527)*10000+1522,"")</f>
      </c>
    </row>
    <row r="1524">
      <c r="BG1524" s="2">
        <f>IF(AND($AF$3&gt;0,资金流水!$H$1528=$C$3,ISNUMBER(资金流水!$B$1528),ISNUMBER(资金流水!$S$1528),资金流水!$S$1528&gt;=_辅助!$J$4,资金流水!$S$1528&lt;=_辅助!$J$2),INT(资金流水!$B$1528)*10000+1523,"")</f>
      </c>
    </row>
    <row r="1525">
      <c r="BG1525" s="2">
        <f>IF(AND($AF$3&gt;0,资金流水!$H$1529=$C$3,ISNUMBER(资金流水!$B$1529),ISNUMBER(资金流水!$S$1529),资金流水!$S$1529&gt;=_辅助!$J$4,资金流水!$S$1529&lt;=_辅助!$J$2),INT(资金流水!$B$1529)*10000+1524,"")</f>
      </c>
    </row>
    <row r="1526">
      <c r="BG1526" s="2">
        <f>IF(AND($AF$3&gt;0,资金流水!$H$1530=$C$3,ISNUMBER(资金流水!$B$1530),ISNUMBER(资金流水!$S$1530),资金流水!$S$1530&gt;=_辅助!$J$4,资金流水!$S$1530&lt;=_辅助!$J$2),INT(资金流水!$B$1530)*10000+1525,"")</f>
      </c>
    </row>
    <row r="1527">
      <c r="BG1527" s="2">
        <f>IF(AND($AF$3&gt;0,资金流水!$H$1531=$C$3,ISNUMBER(资金流水!$B$1531),ISNUMBER(资金流水!$S$1531),资金流水!$S$1531&gt;=_辅助!$J$4,资金流水!$S$1531&lt;=_辅助!$J$2),INT(资金流水!$B$1531)*10000+1526,"")</f>
      </c>
    </row>
    <row r="1528">
      <c r="BG1528" s="2">
        <f>IF(AND($AF$3&gt;0,资金流水!$H$1532=$C$3,ISNUMBER(资金流水!$B$1532),ISNUMBER(资金流水!$S$1532),资金流水!$S$1532&gt;=_辅助!$J$4,资金流水!$S$1532&lt;=_辅助!$J$2),INT(资金流水!$B$1532)*10000+1527,"")</f>
      </c>
    </row>
    <row r="1529">
      <c r="BG1529" s="2">
        <f>IF(AND($AF$3&gt;0,资金流水!$H$1533=$C$3,ISNUMBER(资金流水!$B$1533),ISNUMBER(资金流水!$S$1533),资金流水!$S$1533&gt;=_辅助!$J$4,资金流水!$S$1533&lt;=_辅助!$J$2),INT(资金流水!$B$1533)*10000+1528,"")</f>
      </c>
    </row>
    <row r="1530">
      <c r="BG1530" s="2">
        <f>IF(AND($AF$3&gt;0,资金流水!$H$1534=$C$3,ISNUMBER(资金流水!$B$1534),ISNUMBER(资金流水!$S$1534),资金流水!$S$1534&gt;=_辅助!$J$4,资金流水!$S$1534&lt;=_辅助!$J$2),INT(资金流水!$B$1534)*10000+1529,"")</f>
      </c>
    </row>
    <row r="1531">
      <c r="BG1531" s="2">
        <f>IF(AND($AF$3&gt;0,资金流水!$H$1535=$C$3,ISNUMBER(资金流水!$B$1535),ISNUMBER(资金流水!$S$1535),资金流水!$S$1535&gt;=_辅助!$J$4,资金流水!$S$1535&lt;=_辅助!$J$2),INT(资金流水!$B$1535)*10000+1530,"")</f>
      </c>
    </row>
    <row r="1532">
      <c r="BG1532" s="2">
        <f>IF(AND($AF$3&gt;0,资金流水!$H$1536=$C$3,ISNUMBER(资金流水!$B$1536),ISNUMBER(资金流水!$S$1536),资金流水!$S$1536&gt;=_辅助!$J$4,资金流水!$S$1536&lt;=_辅助!$J$2),INT(资金流水!$B$1536)*10000+1531,"")</f>
      </c>
    </row>
    <row r="1533">
      <c r="BG1533" s="2">
        <f>IF(AND($AF$3&gt;0,资金流水!$H$1537=$C$3,ISNUMBER(资金流水!$B$1537),ISNUMBER(资金流水!$S$1537),资金流水!$S$1537&gt;=_辅助!$J$4,资金流水!$S$1537&lt;=_辅助!$J$2),INT(资金流水!$B$1537)*10000+1532,"")</f>
      </c>
    </row>
    <row r="1534">
      <c r="BG1534" s="2">
        <f>IF(AND($AF$3&gt;0,资金流水!$H$1538=$C$3,ISNUMBER(资金流水!$B$1538),ISNUMBER(资金流水!$S$1538),资金流水!$S$1538&gt;=_辅助!$J$4,资金流水!$S$1538&lt;=_辅助!$J$2),INT(资金流水!$B$1538)*10000+1533,"")</f>
      </c>
    </row>
    <row r="1535">
      <c r="BG1535" s="2">
        <f>IF(AND($AF$3&gt;0,资金流水!$H$1539=$C$3,ISNUMBER(资金流水!$B$1539),ISNUMBER(资金流水!$S$1539),资金流水!$S$1539&gt;=_辅助!$J$4,资金流水!$S$1539&lt;=_辅助!$J$2),INT(资金流水!$B$1539)*10000+1534,"")</f>
      </c>
    </row>
    <row r="1536">
      <c r="BG1536" s="2">
        <f>IF(AND($AF$3&gt;0,资金流水!$H$1540=$C$3,ISNUMBER(资金流水!$B$1540),ISNUMBER(资金流水!$S$1540),资金流水!$S$1540&gt;=_辅助!$J$4,资金流水!$S$1540&lt;=_辅助!$J$2),INT(资金流水!$B$1540)*10000+1535,"")</f>
      </c>
    </row>
    <row r="1537">
      <c r="BG1537" s="2">
        <f>IF(AND($AF$3&gt;0,资金流水!$H$1541=$C$3,ISNUMBER(资金流水!$B$1541),ISNUMBER(资金流水!$S$1541),资金流水!$S$1541&gt;=_辅助!$J$4,资金流水!$S$1541&lt;=_辅助!$J$2),INT(资金流水!$B$1541)*10000+1536,"")</f>
      </c>
    </row>
    <row r="1538">
      <c r="BG1538" s="2">
        <f>IF(AND($AF$3&gt;0,资金流水!$H$1542=$C$3,ISNUMBER(资金流水!$B$1542),ISNUMBER(资金流水!$S$1542),资金流水!$S$1542&gt;=_辅助!$J$4,资金流水!$S$1542&lt;=_辅助!$J$2),INT(资金流水!$B$1542)*10000+1537,"")</f>
      </c>
    </row>
    <row r="1539">
      <c r="BG1539" s="2">
        <f>IF(AND($AF$3&gt;0,资金流水!$H$1543=$C$3,ISNUMBER(资金流水!$B$1543),ISNUMBER(资金流水!$S$1543),资金流水!$S$1543&gt;=_辅助!$J$4,资金流水!$S$1543&lt;=_辅助!$J$2),INT(资金流水!$B$1543)*10000+1538,"")</f>
      </c>
    </row>
    <row r="1540">
      <c r="BG1540" s="2">
        <f>IF(AND($AF$3&gt;0,资金流水!$H$1544=$C$3,ISNUMBER(资金流水!$B$1544),ISNUMBER(资金流水!$S$1544),资金流水!$S$1544&gt;=_辅助!$J$4,资金流水!$S$1544&lt;=_辅助!$J$2),INT(资金流水!$B$1544)*10000+1539,"")</f>
      </c>
    </row>
    <row r="1541">
      <c r="BG1541" s="2">
        <f>IF(AND($AF$3&gt;0,资金流水!$H$1545=$C$3,ISNUMBER(资金流水!$B$1545),ISNUMBER(资金流水!$S$1545),资金流水!$S$1545&gt;=_辅助!$J$4,资金流水!$S$1545&lt;=_辅助!$J$2),INT(资金流水!$B$1545)*10000+1540,"")</f>
      </c>
    </row>
    <row r="1542">
      <c r="BG1542" s="2">
        <f>IF(AND($AF$3&gt;0,资金流水!$H$1546=$C$3,ISNUMBER(资金流水!$B$1546),ISNUMBER(资金流水!$S$1546),资金流水!$S$1546&gt;=_辅助!$J$4,资金流水!$S$1546&lt;=_辅助!$J$2),INT(资金流水!$B$1546)*10000+1541,"")</f>
      </c>
    </row>
    <row r="1543">
      <c r="BG1543" s="2">
        <f>IF(AND($AF$3&gt;0,资金流水!$H$1547=$C$3,ISNUMBER(资金流水!$B$1547),ISNUMBER(资金流水!$S$1547),资金流水!$S$1547&gt;=_辅助!$J$4,资金流水!$S$1547&lt;=_辅助!$J$2),INT(资金流水!$B$1547)*10000+1542,"")</f>
      </c>
    </row>
    <row r="1544">
      <c r="BG1544" s="2">
        <f>IF(AND($AF$3&gt;0,资金流水!$H$1548=$C$3,ISNUMBER(资金流水!$B$1548),ISNUMBER(资金流水!$S$1548),资金流水!$S$1548&gt;=_辅助!$J$4,资金流水!$S$1548&lt;=_辅助!$J$2),INT(资金流水!$B$1548)*10000+1543,"")</f>
      </c>
    </row>
    <row r="1545">
      <c r="BG1545" s="2">
        <f>IF(AND($AF$3&gt;0,资金流水!$H$1549=$C$3,ISNUMBER(资金流水!$B$1549),ISNUMBER(资金流水!$S$1549),资金流水!$S$1549&gt;=_辅助!$J$4,资金流水!$S$1549&lt;=_辅助!$J$2),INT(资金流水!$B$1549)*10000+1544,"")</f>
      </c>
    </row>
    <row r="1546">
      <c r="BG1546" s="2">
        <f>IF(AND($AF$3&gt;0,资金流水!$H$1550=$C$3,ISNUMBER(资金流水!$B$1550),ISNUMBER(资金流水!$S$1550),资金流水!$S$1550&gt;=_辅助!$J$4,资金流水!$S$1550&lt;=_辅助!$J$2),INT(资金流水!$B$1550)*10000+1545,"")</f>
      </c>
    </row>
    <row r="1547">
      <c r="BG1547" s="2">
        <f>IF(AND($AF$3&gt;0,资金流水!$H$1551=$C$3,ISNUMBER(资金流水!$B$1551),ISNUMBER(资金流水!$S$1551),资金流水!$S$1551&gt;=_辅助!$J$4,资金流水!$S$1551&lt;=_辅助!$J$2),INT(资金流水!$B$1551)*10000+1546,"")</f>
      </c>
    </row>
    <row r="1548">
      <c r="BG1548" s="2">
        <f>IF(AND($AF$3&gt;0,资金流水!$H$1552=$C$3,ISNUMBER(资金流水!$B$1552),ISNUMBER(资金流水!$S$1552),资金流水!$S$1552&gt;=_辅助!$J$4,资金流水!$S$1552&lt;=_辅助!$J$2),INT(资金流水!$B$1552)*10000+1547,"")</f>
      </c>
    </row>
    <row r="1549">
      <c r="BG1549" s="2">
        <f>IF(AND($AF$3&gt;0,资金流水!$H$1553=$C$3,ISNUMBER(资金流水!$B$1553),ISNUMBER(资金流水!$S$1553),资金流水!$S$1553&gt;=_辅助!$J$4,资金流水!$S$1553&lt;=_辅助!$J$2),INT(资金流水!$B$1553)*10000+1548,"")</f>
      </c>
    </row>
    <row r="1550">
      <c r="BG1550" s="2">
        <f>IF(AND($AF$3&gt;0,资金流水!$H$1554=$C$3,ISNUMBER(资金流水!$B$1554),ISNUMBER(资金流水!$S$1554),资金流水!$S$1554&gt;=_辅助!$J$4,资金流水!$S$1554&lt;=_辅助!$J$2),INT(资金流水!$B$1554)*10000+1549,"")</f>
      </c>
    </row>
    <row r="1551">
      <c r="BG1551" s="2">
        <f>IF(AND($AF$3&gt;0,资金流水!$H$1555=$C$3,ISNUMBER(资金流水!$B$1555),ISNUMBER(资金流水!$S$1555),资金流水!$S$1555&gt;=_辅助!$J$4,资金流水!$S$1555&lt;=_辅助!$J$2),INT(资金流水!$B$1555)*10000+1550,"")</f>
      </c>
    </row>
    <row r="1552">
      <c r="BG1552" s="2">
        <f>IF(AND($AF$3&gt;0,资金流水!$H$1556=$C$3,ISNUMBER(资金流水!$B$1556),ISNUMBER(资金流水!$S$1556),资金流水!$S$1556&gt;=_辅助!$J$4,资金流水!$S$1556&lt;=_辅助!$J$2),INT(资金流水!$B$1556)*10000+1551,"")</f>
      </c>
    </row>
    <row r="1553">
      <c r="BG1553" s="2">
        <f>IF(AND($AF$3&gt;0,资金流水!$H$1557=$C$3,ISNUMBER(资金流水!$B$1557),ISNUMBER(资金流水!$S$1557),资金流水!$S$1557&gt;=_辅助!$J$4,资金流水!$S$1557&lt;=_辅助!$J$2),INT(资金流水!$B$1557)*10000+1552,"")</f>
      </c>
    </row>
    <row r="1554">
      <c r="BG1554" s="2">
        <f>IF(AND($AF$3&gt;0,资金流水!$H$1558=$C$3,ISNUMBER(资金流水!$B$1558),ISNUMBER(资金流水!$S$1558),资金流水!$S$1558&gt;=_辅助!$J$4,资金流水!$S$1558&lt;=_辅助!$J$2),INT(资金流水!$B$1558)*10000+1553,"")</f>
      </c>
    </row>
    <row r="1555">
      <c r="BG1555" s="2">
        <f>IF(AND($AF$3&gt;0,资金流水!$H$1559=$C$3,ISNUMBER(资金流水!$B$1559),ISNUMBER(资金流水!$S$1559),资金流水!$S$1559&gt;=_辅助!$J$4,资金流水!$S$1559&lt;=_辅助!$J$2),INT(资金流水!$B$1559)*10000+1554,"")</f>
      </c>
    </row>
    <row r="1556">
      <c r="BG1556" s="2">
        <f>IF(AND($AF$3&gt;0,资金流水!$H$1560=$C$3,ISNUMBER(资金流水!$B$1560),ISNUMBER(资金流水!$S$1560),资金流水!$S$1560&gt;=_辅助!$J$4,资金流水!$S$1560&lt;=_辅助!$J$2),INT(资金流水!$B$1560)*10000+1555,"")</f>
      </c>
    </row>
    <row r="1557">
      <c r="BG1557" s="2">
        <f>IF(AND($AF$3&gt;0,资金流水!$H$1561=$C$3,ISNUMBER(资金流水!$B$1561),ISNUMBER(资金流水!$S$1561),资金流水!$S$1561&gt;=_辅助!$J$4,资金流水!$S$1561&lt;=_辅助!$J$2),INT(资金流水!$B$1561)*10000+1556,"")</f>
      </c>
    </row>
    <row r="1558">
      <c r="BG1558" s="2">
        <f>IF(AND($AF$3&gt;0,资金流水!$H$1562=$C$3,ISNUMBER(资金流水!$B$1562),ISNUMBER(资金流水!$S$1562),资金流水!$S$1562&gt;=_辅助!$J$4,资金流水!$S$1562&lt;=_辅助!$J$2),INT(资金流水!$B$1562)*10000+1557,"")</f>
      </c>
    </row>
    <row r="1559">
      <c r="BG1559" s="2">
        <f>IF(AND($AF$3&gt;0,资金流水!$H$1563=$C$3,ISNUMBER(资金流水!$B$1563),ISNUMBER(资金流水!$S$1563),资金流水!$S$1563&gt;=_辅助!$J$4,资金流水!$S$1563&lt;=_辅助!$J$2),INT(资金流水!$B$1563)*10000+1558,"")</f>
      </c>
    </row>
    <row r="1560">
      <c r="BG1560" s="2">
        <f>IF(AND($AF$3&gt;0,资金流水!$H$1564=$C$3,ISNUMBER(资金流水!$B$1564),ISNUMBER(资金流水!$S$1564),资金流水!$S$1564&gt;=_辅助!$J$4,资金流水!$S$1564&lt;=_辅助!$J$2),INT(资金流水!$B$1564)*10000+1559,"")</f>
      </c>
    </row>
    <row r="1561">
      <c r="BG1561" s="2">
        <f>IF(AND($AF$3&gt;0,资金流水!$H$1565=$C$3,ISNUMBER(资金流水!$B$1565),ISNUMBER(资金流水!$S$1565),资金流水!$S$1565&gt;=_辅助!$J$4,资金流水!$S$1565&lt;=_辅助!$J$2),INT(资金流水!$B$1565)*10000+1560,"")</f>
      </c>
    </row>
    <row r="1562">
      <c r="BG1562" s="2">
        <f>IF(AND($AF$3&gt;0,资金流水!$H$1566=$C$3,ISNUMBER(资金流水!$B$1566),ISNUMBER(资金流水!$S$1566),资金流水!$S$1566&gt;=_辅助!$J$4,资金流水!$S$1566&lt;=_辅助!$J$2),INT(资金流水!$B$1566)*10000+1561,"")</f>
      </c>
    </row>
    <row r="1563">
      <c r="BG1563" s="2">
        <f>IF(AND($AF$3&gt;0,资金流水!$H$1567=$C$3,ISNUMBER(资金流水!$B$1567),ISNUMBER(资金流水!$S$1567),资金流水!$S$1567&gt;=_辅助!$J$4,资金流水!$S$1567&lt;=_辅助!$J$2),INT(资金流水!$B$1567)*10000+1562,"")</f>
      </c>
    </row>
    <row r="1564">
      <c r="BG1564" s="2">
        <f>IF(AND($AF$3&gt;0,资金流水!$H$1568=$C$3,ISNUMBER(资金流水!$B$1568),ISNUMBER(资金流水!$S$1568),资金流水!$S$1568&gt;=_辅助!$J$4,资金流水!$S$1568&lt;=_辅助!$J$2),INT(资金流水!$B$1568)*10000+1563,"")</f>
      </c>
    </row>
    <row r="1565">
      <c r="BG1565" s="2">
        <f>IF(AND($AF$3&gt;0,资金流水!$H$1569=$C$3,ISNUMBER(资金流水!$B$1569),ISNUMBER(资金流水!$S$1569),资金流水!$S$1569&gt;=_辅助!$J$4,资金流水!$S$1569&lt;=_辅助!$J$2),INT(资金流水!$B$1569)*10000+1564,"")</f>
      </c>
    </row>
    <row r="1566">
      <c r="BG1566" s="2">
        <f>IF(AND($AF$3&gt;0,资金流水!$H$1570=$C$3,ISNUMBER(资金流水!$B$1570),ISNUMBER(资金流水!$S$1570),资金流水!$S$1570&gt;=_辅助!$J$4,资金流水!$S$1570&lt;=_辅助!$J$2),INT(资金流水!$B$1570)*10000+1565,"")</f>
      </c>
    </row>
    <row r="1567">
      <c r="BG1567" s="2">
        <f>IF(AND($AF$3&gt;0,资金流水!$H$1571=$C$3,ISNUMBER(资金流水!$B$1571),ISNUMBER(资金流水!$S$1571),资金流水!$S$1571&gt;=_辅助!$J$4,资金流水!$S$1571&lt;=_辅助!$J$2),INT(资金流水!$B$1571)*10000+1566,"")</f>
      </c>
    </row>
    <row r="1568">
      <c r="BG1568" s="2">
        <f>IF(AND($AF$3&gt;0,资金流水!$H$1572=$C$3,ISNUMBER(资金流水!$B$1572),ISNUMBER(资金流水!$S$1572),资金流水!$S$1572&gt;=_辅助!$J$4,资金流水!$S$1572&lt;=_辅助!$J$2),INT(资金流水!$B$1572)*10000+1567,"")</f>
      </c>
    </row>
    <row r="1569">
      <c r="BG1569" s="2">
        <f>IF(AND($AF$3&gt;0,资金流水!$H$1573=$C$3,ISNUMBER(资金流水!$B$1573),ISNUMBER(资金流水!$S$1573),资金流水!$S$1573&gt;=_辅助!$J$4,资金流水!$S$1573&lt;=_辅助!$J$2),INT(资金流水!$B$1573)*10000+1568,"")</f>
      </c>
    </row>
    <row r="1570">
      <c r="BG1570" s="2">
        <f>IF(AND($AF$3&gt;0,资金流水!$H$1574=$C$3,ISNUMBER(资金流水!$B$1574),ISNUMBER(资金流水!$S$1574),资金流水!$S$1574&gt;=_辅助!$J$4,资金流水!$S$1574&lt;=_辅助!$J$2),INT(资金流水!$B$1574)*10000+1569,"")</f>
      </c>
    </row>
    <row r="1571">
      <c r="BG1571" s="2">
        <f>IF(AND($AF$3&gt;0,资金流水!$H$1575=$C$3,ISNUMBER(资金流水!$B$1575),ISNUMBER(资金流水!$S$1575),资金流水!$S$1575&gt;=_辅助!$J$4,资金流水!$S$1575&lt;=_辅助!$J$2),INT(资金流水!$B$1575)*10000+1570,"")</f>
      </c>
    </row>
    <row r="1572">
      <c r="BG1572" s="2">
        <f>IF(AND($AF$3&gt;0,资金流水!$H$1576=$C$3,ISNUMBER(资金流水!$B$1576),ISNUMBER(资金流水!$S$1576),资金流水!$S$1576&gt;=_辅助!$J$4,资金流水!$S$1576&lt;=_辅助!$J$2),INT(资金流水!$B$1576)*10000+1571,"")</f>
      </c>
    </row>
    <row r="1573">
      <c r="BG1573" s="2">
        <f>IF(AND($AF$3&gt;0,资金流水!$H$1577=$C$3,ISNUMBER(资金流水!$B$1577),ISNUMBER(资金流水!$S$1577),资金流水!$S$1577&gt;=_辅助!$J$4,资金流水!$S$1577&lt;=_辅助!$J$2),INT(资金流水!$B$1577)*10000+1572,"")</f>
      </c>
    </row>
    <row r="1574">
      <c r="BG1574" s="2">
        <f>IF(AND($AF$3&gt;0,资金流水!$H$1578=$C$3,ISNUMBER(资金流水!$B$1578),ISNUMBER(资金流水!$S$1578),资金流水!$S$1578&gt;=_辅助!$J$4,资金流水!$S$1578&lt;=_辅助!$J$2),INT(资金流水!$B$1578)*10000+1573,"")</f>
      </c>
    </row>
    <row r="1575">
      <c r="BG1575" s="2">
        <f>IF(AND($AF$3&gt;0,资金流水!$H$1579=$C$3,ISNUMBER(资金流水!$B$1579),ISNUMBER(资金流水!$S$1579),资金流水!$S$1579&gt;=_辅助!$J$4,资金流水!$S$1579&lt;=_辅助!$J$2),INT(资金流水!$B$1579)*10000+1574,"")</f>
      </c>
    </row>
    <row r="1576">
      <c r="BG1576" s="2">
        <f>IF(AND($AF$3&gt;0,资金流水!$H$1580=$C$3,ISNUMBER(资金流水!$B$1580),ISNUMBER(资金流水!$S$1580),资金流水!$S$1580&gt;=_辅助!$J$4,资金流水!$S$1580&lt;=_辅助!$J$2),INT(资金流水!$B$1580)*10000+1575,"")</f>
      </c>
    </row>
    <row r="1577">
      <c r="BG1577" s="2">
        <f>IF(AND($AF$3&gt;0,资金流水!$H$1581=$C$3,ISNUMBER(资金流水!$B$1581),ISNUMBER(资金流水!$S$1581),资金流水!$S$1581&gt;=_辅助!$J$4,资金流水!$S$1581&lt;=_辅助!$J$2),INT(资金流水!$B$1581)*10000+1576,"")</f>
      </c>
    </row>
    <row r="1578">
      <c r="BG1578" s="2">
        <f>IF(AND($AF$3&gt;0,资金流水!$H$1582=$C$3,ISNUMBER(资金流水!$B$1582),ISNUMBER(资金流水!$S$1582),资金流水!$S$1582&gt;=_辅助!$J$4,资金流水!$S$1582&lt;=_辅助!$J$2),INT(资金流水!$B$1582)*10000+1577,"")</f>
      </c>
    </row>
    <row r="1579">
      <c r="BG1579" s="2">
        <f>IF(AND($AF$3&gt;0,资金流水!$H$1583=$C$3,ISNUMBER(资金流水!$B$1583),ISNUMBER(资金流水!$S$1583),资金流水!$S$1583&gt;=_辅助!$J$4,资金流水!$S$1583&lt;=_辅助!$J$2),INT(资金流水!$B$1583)*10000+1578,"")</f>
      </c>
    </row>
    <row r="1580">
      <c r="BG1580" s="2">
        <f>IF(AND($AF$3&gt;0,资金流水!$H$1584=$C$3,ISNUMBER(资金流水!$B$1584),ISNUMBER(资金流水!$S$1584),资金流水!$S$1584&gt;=_辅助!$J$4,资金流水!$S$1584&lt;=_辅助!$J$2),INT(资金流水!$B$1584)*10000+1579,"")</f>
      </c>
    </row>
    <row r="1581">
      <c r="BG1581" s="2">
        <f>IF(AND($AF$3&gt;0,资金流水!$H$1585=$C$3,ISNUMBER(资金流水!$B$1585),ISNUMBER(资金流水!$S$1585),资金流水!$S$1585&gt;=_辅助!$J$4,资金流水!$S$1585&lt;=_辅助!$J$2),INT(资金流水!$B$1585)*10000+1580,"")</f>
      </c>
    </row>
    <row r="1582">
      <c r="BG1582" s="2">
        <f>IF(AND($AF$3&gt;0,资金流水!$H$1586=$C$3,ISNUMBER(资金流水!$B$1586),ISNUMBER(资金流水!$S$1586),资金流水!$S$1586&gt;=_辅助!$J$4,资金流水!$S$1586&lt;=_辅助!$J$2),INT(资金流水!$B$1586)*10000+1581,"")</f>
      </c>
    </row>
    <row r="1583">
      <c r="BG1583" s="2">
        <f>IF(AND($AF$3&gt;0,资金流水!$H$1587=$C$3,ISNUMBER(资金流水!$B$1587),ISNUMBER(资金流水!$S$1587),资金流水!$S$1587&gt;=_辅助!$J$4,资金流水!$S$1587&lt;=_辅助!$J$2),INT(资金流水!$B$1587)*10000+1582,"")</f>
      </c>
    </row>
    <row r="1584">
      <c r="BG1584" s="2">
        <f>IF(AND($AF$3&gt;0,资金流水!$H$1588=$C$3,ISNUMBER(资金流水!$B$1588),ISNUMBER(资金流水!$S$1588),资金流水!$S$1588&gt;=_辅助!$J$4,资金流水!$S$1588&lt;=_辅助!$J$2),INT(资金流水!$B$1588)*10000+1583,"")</f>
      </c>
    </row>
    <row r="1585">
      <c r="BG1585" s="2">
        <f>IF(AND($AF$3&gt;0,资金流水!$H$1589=$C$3,ISNUMBER(资金流水!$B$1589),ISNUMBER(资金流水!$S$1589),资金流水!$S$1589&gt;=_辅助!$J$4,资金流水!$S$1589&lt;=_辅助!$J$2),INT(资金流水!$B$1589)*10000+1584,"")</f>
      </c>
    </row>
    <row r="1586">
      <c r="BG1586" s="2">
        <f>IF(AND($AF$3&gt;0,资金流水!$H$1590=$C$3,ISNUMBER(资金流水!$B$1590),ISNUMBER(资金流水!$S$1590),资金流水!$S$1590&gt;=_辅助!$J$4,资金流水!$S$1590&lt;=_辅助!$J$2),INT(资金流水!$B$1590)*10000+1585,"")</f>
      </c>
    </row>
    <row r="1587">
      <c r="BG1587" s="2">
        <f>IF(AND($AF$3&gt;0,资金流水!$H$1591=$C$3,ISNUMBER(资金流水!$B$1591),ISNUMBER(资金流水!$S$1591),资金流水!$S$1591&gt;=_辅助!$J$4,资金流水!$S$1591&lt;=_辅助!$J$2),INT(资金流水!$B$1591)*10000+1586,"")</f>
      </c>
    </row>
    <row r="1588">
      <c r="BG1588" s="2">
        <f>IF(AND($AF$3&gt;0,资金流水!$H$1592=$C$3,ISNUMBER(资金流水!$B$1592),ISNUMBER(资金流水!$S$1592),资金流水!$S$1592&gt;=_辅助!$J$4,资金流水!$S$1592&lt;=_辅助!$J$2),INT(资金流水!$B$1592)*10000+1587,"")</f>
      </c>
    </row>
    <row r="1589">
      <c r="BG1589" s="2">
        <f>IF(AND($AF$3&gt;0,资金流水!$H$1593=$C$3,ISNUMBER(资金流水!$B$1593),ISNUMBER(资金流水!$S$1593),资金流水!$S$1593&gt;=_辅助!$J$4,资金流水!$S$1593&lt;=_辅助!$J$2),INT(资金流水!$B$1593)*10000+1588,"")</f>
      </c>
    </row>
    <row r="1590">
      <c r="BG1590" s="2">
        <f>IF(AND($AF$3&gt;0,资金流水!$H$1594=$C$3,ISNUMBER(资金流水!$B$1594),ISNUMBER(资金流水!$S$1594),资金流水!$S$1594&gt;=_辅助!$J$4,资金流水!$S$1594&lt;=_辅助!$J$2),INT(资金流水!$B$1594)*10000+1589,"")</f>
      </c>
    </row>
    <row r="1591">
      <c r="BG1591" s="2">
        <f>IF(AND($AF$3&gt;0,资金流水!$H$1595=$C$3,ISNUMBER(资金流水!$B$1595),ISNUMBER(资金流水!$S$1595),资金流水!$S$1595&gt;=_辅助!$J$4,资金流水!$S$1595&lt;=_辅助!$J$2),INT(资金流水!$B$1595)*10000+1590,"")</f>
      </c>
    </row>
    <row r="1592">
      <c r="BG1592" s="2">
        <f>IF(AND($AF$3&gt;0,资金流水!$H$1596=$C$3,ISNUMBER(资金流水!$B$1596),ISNUMBER(资金流水!$S$1596),资金流水!$S$1596&gt;=_辅助!$J$4,资金流水!$S$1596&lt;=_辅助!$J$2),INT(资金流水!$B$1596)*10000+1591,"")</f>
      </c>
    </row>
    <row r="1593">
      <c r="BG1593" s="2">
        <f>IF(AND($AF$3&gt;0,资金流水!$H$1597=$C$3,ISNUMBER(资金流水!$B$1597),ISNUMBER(资金流水!$S$1597),资金流水!$S$1597&gt;=_辅助!$J$4,资金流水!$S$1597&lt;=_辅助!$J$2),INT(资金流水!$B$1597)*10000+1592,"")</f>
      </c>
    </row>
    <row r="1594">
      <c r="BG1594" s="2">
        <f>IF(AND($AF$3&gt;0,资金流水!$H$1598=$C$3,ISNUMBER(资金流水!$B$1598),ISNUMBER(资金流水!$S$1598),资金流水!$S$1598&gt;=_辅助!$J$4,资金流水!$S$1598&lt;=_辅助!$J$2),INT(资金流水!$B$1598)*10000+1593,"")</f>
      </c>
    </row>
    <row r="1595">
      <c r="BG1595" s="2">
        <f>IF(AND($AF$3&gt;0,资金流水!$H$1599=$C$3,ISNUMBER(资金流水!$B$1599),ISNUMBER(资金流水!$S$1599),资金流水!$S$1599&gt;=_辅助!$J$4,资金流水!$S$1599&lt;=_辅助!$J$2),INT(资金流水!$B$1599)*10000+1594,"")</f>
      </c>
    </row>
    <row r="1596">
      <c r="BG1596" s="2">
        <f>IF(AND($AF$3&gt;0,资金流水!$H$1600=$C$3,ISNUMBER(资金流水!$B$1600),ISNUMBER(资金流水!$S$1600),资金流水!$S$1600&gt;=_辅助!$J$4,资金流水!$S$1600&lt;=_辅助!$J$2),INT(资金流水!$B$1600)*10000+1595,"")</f>
      </c>
    </row>
    <row r="1597">
      <c r="BG1597" s="2">
        <f>IF(AND($AF$3&gt;0,资金流水!$H$1601=$C$3,ISNUMBER(资金流水!$B$1601),ISNUMBER(资金流水!$S$1601),资金流水!$S$1601&gt;=_辅助!$J$4,资金流水!$S$1601&lt;=_辅助!$J$2),INT(资金流水!$B$1601)*10000+1596,"")</f>
      </c>
    </row>
    <row r="1598">
      <c r="BG1598" s="2">
        <f>IF(AND($AF$3&gt;0,资金流水!$H$1602=$C$3,ISNUMBER(资金流水!$B$1602),ISNUMBER(资金流水!$S$1602),资金流水!$S$1602&gt;=_辅助!$J$4,资金流水!$S$1602&lt;=_辅助!$J$2),INT(资金流水!$B$1602)*10000+1597,"")</f>
      </c>
    </row>
    <row r="1599">
      <c r="BG1599" s="2">
        <f>IF(AND($AF$3&gt;0,资金流水!$H$1603=$C$3,ISNUMBER(资金流水!$B$1603),ISNUMBER(资金流水!$S$1603),资金流水!$S$1603&gt;=_辅助!$J$4,资金流水!$S$1603&lt;=_辅助!$J$2),INT(资金流水!$B$1603)*10000+1598,"")</f>
      </c>
    </row>
    <row r="1600">
      <c r="BG1600" s="2">
        <f>IF(AND($AF$3&gt;0,资金流水!$H$1604=$C$3,ISNUMBER(资金流水!$B$1604),ISNUMBER(资金流水!$S$1604),资金流水!$S$1604&gt;=_辅助!$J$4,资金流水!$S$1604&lt;=_辅助!$J$2),INT(资金流水!$B$1604)*10000+1599,"")</f>
      </c>
    </row>
    <row r="1601">
      <c r="BG1601" s="2">
        <f>IF(AND($AF$3&gt;0,资金流水!$H$1605=$C$3,ISNUMBER(资金流水!$B$1605),ISNUMBER(资金流水!$S$1605),资金流水!$S$1605&gt;=_辅助!$J$4,资金流水!$S$1605&lt;=_辅助!$J$2),INT(资金流水!$B$1605)*10000+1600,"")</f>
      </c>
    </row>
    <row r="1602">
      <c r="BG1602" s="2">
        <f>IF(AND($AF$3&gt;0,资金流水!$H$1606=$C$3,ISNUMBER(资金流水!$B$1606),ISNUMBER(资金流水!$S$1606),资金流水!$S$1606&gt;=_辅助!$J$4,资金流水!$S$1606&lt;=_辅助!$J$2),INT(资金流水!$B$1606)*10000+1601,"")</f>
      </c>
    </row>
    <row r="1603">
      <c r="BG1603" s="2">
        <f>IF(AND($AF$3&gt;0,资金流水!$H$1607=$C$3,ISNUMBER(资金流水!$B$1607),ISNUMBER(资金流水!$S$1607),资金流水!$S$1607&gt;=_辅助!$J$4,资金流水!$S$1607&lt;=_辅助!$J$2),INT(资金流水!$B$1607)*10000+1602,"")</f>
      </c>
    </row>
    <row r="1604">
      <c r="BG1604" s="2">
        <f>IF(AND($AF$3&gt;0,资金流水!$H$1608=$C$3,ISNUMBER(资金流水!$B$1608),ISNUMBER(资金流水!$S$1608),资金流水!$S$1608&gt;=_辅助!$J$4,资金流水!$S$1608&lt;=_辅助!$J$2),INT(资金流水!$B$1608)*10000+1603,"")</f>
      </c>
    </row>
    <row r="1605">
      <c r="BG1605" s="2">
        <f>IF(AND($AF$3&gt;0,资金流水!$H$1609=$C$3,ISNUMBER(资金流水!$B$1609),ISNUMBER(资金流水!$S$1609),资金流水!$S$1609&gt;=_辅助!$J$4,资金流水!$S$1609&lt;=_辅助!$J$2),INT(资金流水!$B$1609)*10000+1604,"")</f>
      </c>
    </row>
    <row r="1606">
      <c r="BG1606" s="2">
        <f>IF(AND($AF$3&gt;0,资金流水!$H$1610=$C$3,ISNUMBER(资金流水!$B$1610),ISNUMBER(资金流水!$S$1610),资金流水!$S$1610&gt;=_辅助!$J$4,资金流水!$S$1610&lt;=_辅助!$J$2),INT(资金流水!$B$1610)*10000+1605,"")</f>
      </c>
    </row>
    <row r="1607">
      <c r="BG1607" s="2">
        <f>IF(AND($AF$3&gt;0,资金流水!$H$1611=$C$3,ISNUMBER(资金流水!$B$1611),ISNUMBER(资金流水!$S$1611),资金流水!$S$1611&gt;=_辅助!$J$4,资金流水!$S$1611&lt;=_辅助!$J$2),INT(资金流水!$B$1611)*10000+1606,"")</f>
      </c>
    </row>
    <row r="1608">
      <c r="BG1608" s="2">
        <f>IF(AND($AF$3&gt;0,资金流水!$H$1612=$C$3,ISNUMBER(资金流水!$B$1612),ISNUMBER(资金流水!$S$1612),资金流水!$S$1612&gt;=_辅助!$J$4,资金流水!$S$1612&lt;=_辅助!$J$2),INT(资金流水!$B$1612)*10000+1607,"")</f>
      </c>
    </row>
    <row r="1609">
      <c r="BG1609" s="2">
        <f>IF(AND($AF$3&gt;0,资金流水!$H$1613=$C$3,ISNUMBER(资金流水!$B$1613),ISNUMBER(资金流水!$S$1613),资金流水!$S$1613&gt;=_辅助!$J$4,资金流水!$S$1613&lt;=_辅助!$J$2),INT(资金流水!$B$1613)*10000+1608,"")</f>
      </c>
    </row>
    <row r="1610">
      <c r="BG1610" s="2">
        <f>IF(AND($AF$3&gt;0,资金流水!$H$1614=$C$3,ISNUMBER(资金流水!$B$1614),ISNUMBER(资金流水!$S$1614),资金流水!$S$1614&gt;=_辅助!$J$4,资金流水!$S$1614&lt;=_辅助!$J$2),INT(资金流水!$B$1614)*10000+1609,"")</f>
      </c>
    </row>
    <row r="1611">
      <c r="BG1611" s="2">
        <f>IF(AND($AF$3&gt;0,资金流水!$H$1615=$C$3,ISNUMBER(资金流水!$B$1615),ISNUMBER(资金流水!$S$1615),资金流水!$S$1615&gt;=_辅助!$J$4,资金流水!$S$1615&lt;=_辅助!$J$2),INT(资金流水!$B$1615)*10000+1610,"")</f>
      </c>
    </row>
    <row r="1612">
      <c r="BG1612" s="2">
        <f>IF(AND($AF$3&gt;0,资金流水!$H$1616=$C$3,ISNUMBER(资金流水!$B$1616),ISNUMBER(资金流水!$S$1616),资金流水!$S$1616&gt;=_辅助!$J$4,资金流水!$S$1616&lt;=_辅助!$J$2),INT(资金流水!$B$1616)*10000+1611,"")</f>
      </c>
    </row>
    <row r="1613">
      <c r="BG1613" s="2">
        <f>IF(AND($AF$3&gt;0,资金流水!$H$1617=$C$3,ISNUMBER(资金流水!$B$1617),ISNUMBER(资金流水!$S$1617),资金流水!$S$1617&gt;=_辅助!$J$4,资金流水!$S$1617&lt;=_辅助!$J$2),INT(资金流水!$B$1617)*10000+1612,"")</f>
      </c>
    </row>
    <row r="1614">
      <c r="BG1614" s="2">
        <f>IF(AND($AF$3&gt;0,资金流水!$H$1618=$C$3,ISNUMBER(资金流水!$B$1618),ISNUMBER(资金流水!$S$1618),资金流水!$S$1618&gt;=_辅助!$J$4,资金流水!$S$1618&lt;=_辅助!$J$2),INT(资金流水!$B$1618)*10000+1613,"")</f>
      </c>
    </row>
    <row r="1615">
      <c r="BG1615" s="2">
        <f>IF(AND($AF$3&gt;0,资金流水!$H$1619=$C$3,ISNUMBER(资金流水!$B$1619),ISNUMBER(资金流水!$S$1619),资金流水!$S$1619&gt;=_辅助!$J$4,资金流水!$S$1619&lt;=_辅助!$J$2),INT(资金流水!$B$1619)*10000+1614,"")</f>
      </c>
    </row>
    <row r="1616">
      <c r="BG1616" s="2">
        <f>IF(AND($AF$3&gt;0,资金流水!$H$1620=$C$3,ISNUMBER(资金流水!$B$1620),ISNUMBER(资金流水!$S$1620),资金流水!$S$1620&gt;=_辅助!$J$4,资金流水!$S$1620&lt;=_辅助!$J$2),INT(资金流水!$B$1620)*10000+1615,"")</f>
      </c>
    </row>
    <row r="1617">
      <c r="BG1617" s="2">
        <f>IF(AND($AF$3&gt;0,资金流水!$H$1621=$C$3,ISNUMBER(资金流水!$B$1621),ISNUMBER(资金流水!$S$1621),资金流水!$S$1621&gt;=_辅助!$J$4,资金流水!$S$1621&lt;=_辅助!$J$2),INT(资金流水!$B$1621)*10000+1616,"")</f>
      </c>
    </row>
    <row r="1618">
      <c r="BG1618" s="2">
        <f>IF(AND($AF$3&gt;0,资金流水!$H$1622=$C$3,ISNUMBER(资金流水!$B$1622),ISNUMBER(资金流水!$S$1622),资金流水!$S$1622&gt;=_辅助!$J$4,资金流水!$S$1622&lt;=_辅助!$J$2),INT(资金流水!$B$1622)*10000+1617,"")</f>
      </c>
    </row>
    <row r="1619">
      <c r="BG1619" s="2">
        <f>IF(AND($AF$3&gt;0,资金流水!$H$1623=$C$3,ISNUMBER(资金流水!$B$1623),ISNUMBER(资金流水!$S$1623),资金流水!$S$1623&gt;=_辅助!$J$4,资金流水!$S$1623&lt;=_辅助!$J$2),INT(资金流水!$B$1623)*10000+1618,"")</f>
      </c>
    </row>
    <row r="1620">
      <c r="BG1620" s="2">
        <f>IF(AND($AF$3&gt;0,资金流水!$H$1624=$C$3,ISNUMBER(资金流水!$B$1624),ISNUMBER(资金流水!$S$1624),资金流水!$S$1624&gt;=_辅助!$J$4,资金流水!$S$1624&lt;=_辅助!$J$2),INT(资金流水!$B$1624)*10000+1619,"")</f>
      </c>
    </row>
    <row r="1621">
      <c r="BG1621" s="2">
        <f>IF(AND($AF$3&gt;0,资金流水!$H$1625=$C$3,ISNUMBER(资金流水!$B$1625),ISNUMBER(资金流水!$S$1625),资金流水!$S$1625&gt;=_辅助!$J$4,资金流水!$S$1625&lt;=_辅助!$J$2),INT(资金流水!$B$1625)*10000+1620,"")</f>
      </c>
    </row>
    <row r="1622">
      <c r="BG1622" s="2">
        <f>IF(AND($AF$3&gt;0,资金流水!$H$1626=$C$3,ISNUMBER(资金流水!$B$1626),ISNUMBER(资金流水!$S$1626),资金流水!$S$1626&gt;=_辅助!$J$4,资金流水!$S$1626&lt;=_辅助!$J$2),INT(资金流水!$B$1626)*10000+1621,"")</f>
      </c>
    </row>
    <row r="1623">
      <c r="BG1623" s="2">
        <f>IF(AND($AF$3&gt;0,资金流水!$H$1627=$C$3,ISNUMBER(资金流水!$B$1627),ISNUMBER(资金流水!$S$1627),资金流水!$S$1627&gt;=_辅助!$J$4,资金流水!$S$1627&lt;=_辅助!$J$2),INT(资金流水!$B$1627)*10000+1622,"")</f>
      </c>
    </row>
    <row r="1624">
      <c r="BG1624" s="2">
        <f>IF(AND($AF$3&gt;0,资金流水!$H$1628=$C$3,ISNUMBER(资金流水!$B$1628),ISNUMBER(资金流水!$S$1628),资金流水!$S$1628&gt;=_辅助!$J$4,资金流水!$S$1628&lt;=_辅助!$J$2),INT(资金流水!$B$1628)*10000+1623,"")</f>
      </c>
    </row>
    <row r="1625">
      <c r="BG1625" s="2">
        <f>IF(AND($AF$3&gt;0,资金流水!$H$1629=$C$3,ISNUMBER(资金流水!$B$1629),ISNUMBER(资金流水!$S$1629),资金流水!$S$1629&gt;=_辅助!$J$4,资金流水!$S$1629&lt;=_辅助!$J$2),INT(资金流水!$B$1629)*10000+1624,"")</f>
      </c>
    </row>
    <row r="1626">
      <c r="BG1626" s="2">
        <f>IF(AND($AF$3&gt;0,资金流水!$H$1630=$C$3,ISNUMBER(资金流水!$B$1630),ISNUMBER(资金流水!$S$1630),资金流水!$S$1630&gt;=_辅助!$J$4,资金流水!$S$1630&lt;=_辅助!$J$2),INT(资金流水!$B$1630)*10000+1625,"")</f>
      </c>
    </row>
    <row r="1627">
      <c r="BG1627" s="2">
        <f>IF(AND($AF$3&gt;0,资金流水!$H$1631=$C$3,ISNUMBER(资金流水!$B$1631),ISNUMBER(资金流水!$S$1631),资金流水!$S$1631&gt;=_辅助!$J$4,资金流水!$S$1631&lt;=_辅助!$J$2),INT(资金流水!$B$1631)*10000+1626,"")</f>
      </c>
    </row>
    <row r="1628">
      <c r="BG1628" s="2">
        <f>IF(AND($AF$3&gt;0,资金流水!$H$1632=$C$3,ISNUMBER(资金流水!$B$1632),ISNUMBER(资金流水!$S$1632),资金流水!$S$1632&gt;=_辅助!$J$4,资金流水!$S$1632&lt;=_辅助!$J$2),INT(资金流水!$B$1632)*10000+1627,"")</f>
      </c>
    </row>
    <row r="1629">
      <c r="BG1629" s="2">
        <f>IF(AND($AF$3&gt;0,资金流水!$H$1633=$C$3,ISNUMBER(资金流水!$B$1633),ISNUMBER(资金流水!$S$1633),资金流水!$S$1633&gt;=_辅助!$J$4,资金流水!$S$1633&lt;=_辅助!$J$2),INT(资金流水!$B$1633)*10000+1628,"")</f>
      </c>
    </row>
    <row r="1630">
      <c r="BG1630" s="2">
        <f>IF(AND($AF$3&gt;0,资金流水!$H$1634=$C$3,ISNUMBER(资金流水!$B$1634),ISNUMBER(资金流水!$S$1634),资金流水!$S$1634&gt;=_辅助!$J$4,资金流水!$S$1634&lt;=_辅助!$J$2),INT(资金流水!$B$1634)*10000+1629,"")</f>
      </c>
    </row>
    <row r="1631">
      <c r="BG1631" s="2">
        <f>IF(AND($AF$3&gt;0,资金流水!$H$1635=$C$3,ISNUMBER(资金流水!$B$1635),ISNUMBER(资金流水!$S$1635),资金流水!$S$1635&gt;=_辅助!$J$4,资金流水!$S$1635&lt;=_辅助!$J$2),INT(资金流水!$B$1635)*10000+1630,"")</f>
      </c>
    </row>
    <row r="1632">
      <c r="BG1632" s="2">
        <f>IF(AND($AF$3&gt;0,资金流水!$H$1636=$C$3,ISNUMBER(资金流水!$B$1636),ISNUMBER(资金流水!$S$1636),资金流水!$S$1636&gt;=_辅助!$J$4,资金流水!$S$1636&lt;=_辅助!$J$2),INT(资金流水!$B$1636)*10000+1631,"")</f>
      </c>
    </row>
    <row r="1633">
      <c r="BG1633" s="2">
        <f>IF(AND($AF$3&gt;0,资金流水!$H$1637=$C$3,ISNUMBER(资金流水!$B$1637),ISNUMBER(资金流水!$S$1637),资金流水!$S$1637&gt;=_辅助!$J$4,资金流水!$S$1637&lt;=_辅助!$J$2),INT(资金流水!$B$1637)*10000+1632,"")</f>
      </c>
    </row>
    <row r="1634">
      <c r="BG1634" s="2">
        <f>IF(AND($AF$3&gt;0,资金流水!$H$1638=$C$3,ISNUMBER(资金流水!$B$1638),ISNUMBER(资金流水!$S$1638),资金流水!$S$1638&gt;=_辅助!$J$4,资金流水!$S$1638&lt;=_辅助!$J$2),INT(资金流水!$B$1638)*10000+1633,"")</f>
      </c>
    </row>
    <row r="1635">
      <c r="BG1635" s="2">
        <f>IF(AND($AF$3&gt;0,资金流水!$H$1639=$C$3,ISNUMBER(资金流水!$B$1639),ISNUMBER(资金流水!$S$1639),资金流水!$S$1639&gt;=_辅助!$J$4,资金流水!$S$1639&lt;=_辅助!$J$2),INT(资金流水!$B$1639)*10000+1634,"")</f>
      </c>
    </row>
    <row r="1636">
      <c r="BG1636" s="2">
        <f>IF(AND($AF$3&gt;0,资金流水!$H$1640=$C$3,ISNUMBER(资金流水!$B$1640),ISNUMBER(资金流水!$S$1640),资金流水!$S$1640&gt;=_辅助!$J$4,资金流水!$S$1640&lt;=_辅助!$J$2),INT(资金流水!$B$1640)*10000+1635,"")</f>
      </c>
    </row>
    <row r="1637">
      <c r="BG1637" s="2">
        <f>IF(AND($AF$3&gt;0,资金流水!$H$1641=$C$3,ISNUMBER(资金流水!$B$1641),ISNUMBER(资金流水!$S$1641),资金流水!$S$1641&gt;=_辅助!$J$4,资金流水!$S$1641&lt;=_辅助!$J$2),INT(资金流水!$B$1641)*10000+1636,"")</f>
      </c>
    </row>
    <row r="1638">
      <c r="BG1638" s="2">
        <f>IF(AND($AF$3&gt;0,资金流水!$H$1642=$C$3,ISNUMBER(资金流水!$B$1642),ISNUMBER(资金流水!$S$1642),资金流水!$S$1642&gt;=_辅助!$J$4,资金流水!$S$1642&lt;=_辅助!$J$2),INT(资金流水!$B$1642)*10000+1637,"")</f>
      </c>
    </row>
    <row r="1639">
      <c r="BG1639" s="2">
        <f>IF(AND($AF$3&gt;0,资金流水!$H$1643=$C$3,ISNUMBER(资金流水!$B$1643),ISNUMBER(资金流水!$S$1643),资金流水!$S$1643&gt;=_辅助!$J$4,资金流水!$S$1643&lt;=_辅助!$J$2),INT(资金流水!$B$1643)*10000+1638,"")</f>
      </c>
    </row>
    <row r="1640">
      <c r="BG1640" s="2">
        <f>IF(AND($AF$3&gt;0,资金流水!$H$1644=$C$3,ISNUMBER(资金流水!$B$1644),ISNUMBER(资金流水!$S$1644),资金流水!$S$1644&gt;=_辅助!$J$4,资金流水!$S$1644&lt;=_辅助!$J$2),INT(资金流水!$B$1644)*10000+1639,"")</f>
      </c>
    </row>
    <row r="1641">
      <c r="BG1641" s="2">
        <f>IF(AND($AF$3&gt;0,资金流水!$H$1645=$C$3,ISNUMBER(资金流水!$B$1645),ISNUMBER(资金流水!$S$1645),资金流水!$S$1645&gt;=_辅助!$J$4,资金流水!$S$1645&lt;=_辅助!$J$2),INT(资金流水!$B$1645)*10000+1640,"")</f>
      </c>
    </row>
    <row r="1642">
      <c r="BG1642" s="2">
        <f>IF(AND($AF$3&gt;0,资金流水!$H$1646=$C$3,ISNUMBER(资金流水!$B$1646),ISNUMBER(资金流水!$S$1646),资金流水!$S$1646&gt;=_辅助!$J$4,资金流水!$S$1646&lt;=_辅助!$J$2),INT(资金流水!$B$1646)*10000+1641,"")</f>
      </c>
    </row>
    <row r="1643">
      <c r="BG1643" s="2">
        <f>IF(AND($AF$3&gt;0,资金流水!$H$1647=$C$3,ISNUMBER(资金流水!$B$1647),ISNUMBER(资金流水!$S$1647),资金流水!$S$1647&gt;=_辅助!$J$4,资金流水!$S$1647&lt;=_辅助!$J$2),INT(资金流水!$B$1647)*10000+1642,"")</f>
      </c>
    </row>
    <row r="1644">
      <c r="BG1644" s="2">
        <f>IF(AND($AF$3&gt;0,资金流水!$H$1648=$C$3,ISNUMBER(资金流水!$B$1648),ISNUMBER(资金流水!$S$1648),资金流水!$S$1648&gt;=_辅助!$J$4,资金流水!$S$1648&lt;=_辅助!$J$2),INT(资金流水!$B$1648)*10000+1643,"")</f>
      </c>
    </row>
    <row r="1645">
      <c r="BG1645" s="2">
        <f>IF(AND($AF$3&gt;0,资金流水!$H$1649=$C$3,ISNUMBER(资金流水!$B$1649),ISNUMBER(资金流水!$S$1649),资金流水!$S$1649&gt;=_辅助!$J$4,资金流水!$S$1649&lt;=_辅助!$J$2),INT(资金流水!$B$1649)*10000+1644,"")</f>
      </c>
    </row>
    <row r="1646">
      <c r="BG1646" s="2">
        <f>IF(AND($AF$3&gt;0,资金流水!$H$1650=$C$3,ISNUMBER(资金流水!$B$1650),ISNUMBER(资金流水!$S$1650),资金流水!$S$1650&gt;=_辅助!$J$4,资金流水!$S$1650&lt;=_辅助!$J$2),INT(资金流水!$B$1650)*10000+1645,"")</f>
      </c>
    </row>
    <row r="1647">
      <c r="BG1647" s="2">
        <f>IF(AND($AF$3&gt;0,资金流水!$H$1651=$C$3,ISNUMBER(资金流水!$B$1651),ISNUMBER(资金流水!$S$1651),资金流水!$S$1651&gt;=_辅助!$J$4,资金流水!$S$1651&lt;=_辅助!$J$2),INT(资金流水!$B$1651)*10000+1646,"")</f>
      </c>
    </row>
    <row r="1648">
      <c r="BG1648" s="2">
        <f>IF(AND($AF$3&gt;0,资金流水!$H$1652=$C$3,ISNUMBER(资金流水!$B$1652),ISNUMBER(资金流水!$S$1652),资金流水!$S$1652&gt;=_辅助!$J$4,资金流水!$S$1652&lt;=_辅助!$J$2),INT(资金流水!$B$1652)*10000+1647,"")</f>
      </c>
    </row>
    <row r="1649">
      <c r="BG1649" s="2">
        <f>IF(AND($AF$3&gt;0,资金流水!$H$1653=$C$3,ISNUMBER(资金流水!$B$1653),ISNUMBER(资金流水!$S$1653),资金流水!$S$1653&gt;=_辅助!$J$4,资金流水!$S$1653&lt;=_辅助!$J$2),INT(资金流水!$B$1653)*10000+1648,"")</f>
      </c>
    </row>
    <row r="1650">
      <c r="BG1650" s="2">
        <f>IF(AND($AF$3&gt;0,资金流水!$H$1654=$C$3,ISNUMBER(资金流水!$B$1654),ISNUMBER(资金流水!$S$1654),资金流水!$S$1654&gt;=_辅助!$J$4,资金流水!$S$1654&lt;=_辅助!$J$2),INT(资金流水!$B$1654)*10000+1649,"")</f>
      </c>
    </row>
    <row r="1651">
      <c r="BG1651" s="2">
        <f>IF(AND($AF$3&gt;0,资金流水!$H$1655=$C$3,ISNUMBER(资金流水!$B$1655),ISNUMBER(资金流水!$S$1655),资金流水!$S$1655&gt;=_辅助!$J$4,资金流水!$S$1655&lt;=_辅助!$J$2),INT(资金流水!$B$1655)*10000+1650,"")</f>
      </c>
    </row>
    <row r="1652">
      <c r="BG1652" s="2">
        <f>IF(AND($AF$3&gt;0,资金流水!$H$1656=$C$3,ISNUMBER(资金流水!$B$1656),ISNUMBER(资金流水!$S$1656),资金流水!$S$1656&gt;=_辅助!$J$4,资金流水!$S$1656&lt;=_辅助!$J$2),INT(资金流水!$B$1656)*10000+1651,"")</f>
      </c>
    </row>
    <row r="1653">
      <c r="BG1653" s="2">
        <f>IF(AND($AF$3&gt;0,资金流水!$H$1657=$C$3,ISNUMBER(资金流水!$B$1657),ISNUMBER(资金流水!$S$1657),资金流水!$S$1657&gt;=_辅助!$J$4,资金流水!$S$1657&lt;=_辅助!$J$2),INT(资金流水!$B$1657)*10000+1652,"")</f>
      </c>
    </row>
    <row r="1654">
      <c r="BG1654" s="2">
        <f>IF(AND($AF$3&gt;0,资金流水!$H$1658=$C$3,ISNUMBER(资金流水!$B$1658),ISNUMBER(资金流水!$S$1658),资金流水!$S$1658&gt;=_辅助!$J$4,资金流水!$S$1658&lt;=_辅助!$J$2),INT(资金流水!$B$1658)*10000+1653,"")</f>
      </c>
    </row>
    <row r="1655">
      <c r="BG1655" s="2">
        <f>IF(AND($AF$3&gt;0,资金流水!$H$1659=$C$3,ISNUMBER(资金流水!$B$1659),ISNUMBER(资金流水!$S$1659),资金流水!$S$1659&gt;=_辅助!$J$4,资金流水!$S$1659&lt;=_辅助!$J$2),INT(资金流水!$B$1659)*10000+1654,"")</f>
      </c>
    </row>
    <row r="1656">
      <c r="BG1656" s="2">
        <f>IF(AND($AF$3&gt;0,资金流水!$H$1660=$C$3,ISNUMBER(资金流水!$B$1660),ISNUMBER(资金流水!$S$1660),资金流水!$S$1660&gt;=_辅助!$J$4,资金流水!$S$1660&lt;=_辅助!$J$2),INT(资金流水!$B$1660)*10000+1655,"")</f>
      </c>
    </row>
    <row r="1657">
      <c r="BG1657" s="2">
        <f>IF(AND($AF$3&gt;0,资金流水!$H$1661=$C$3,ISNUMBER(资金流水!$B$1661),ISNUMBER(资金流水!$S$1661),资金流水!$S$1661&gt;=_辅助!$J$4,资金流水!$S$1661&lt;=_辅助!$J$2),INT(资金流水!$B$1661)*10000+1656,"")</f>
      </c>
    </row>
    <row r="1658">
      <c r="BG1658" s="2">
        <f>IF(AND($AF$3&gt;0,资金流水!$H$1662=$C$3,ISNUMBER(资金流水!$B$1662),ISNUMBER(资金流水!$S$1662),资金流水!$S$1662&gt;=_辅助!$J$4,资金流水!$S$1662&lt;=_辅助!$J$2),INT(资金流水!$B$1662)*10000+1657,"")</f>
      </c>
    </row>
    <row r="1659">
      <c r="BG1659" s="2">
        <f>IF(AND($AF$3&gt;0,资金流水!$H$1663=$C$3,ISNUMBER(资金流水!$B$1663),ISNUMBER(资金流水!$S$1663),资金流水!$S$1663&gt;=_辅助!$J$4,资金流水!$S$1663&lt;=_辅助!$J$2),INT(资金流水!$B$1663)*10000+1658,"")</f>
      </c>
    </row>
    <row r="1660">
      <c r="BG1660" s="2">
        <f>IF(AND($AF$3&gt;0,资金流水!$H$1664=$C$3,ISNUMBER(资金流水!$B$1664),ISNUMBER(资金流水!$S$1664),资金流水!$S$1664&gt;=_辅助!$J$4,资金流水!$S$1664&lt;=_辅助!$J$2),INT(资金流水!$B$1664)*10000+1659,"")</f>
      </c>
    </row>
    <row r="1661">
      <c r="BG1661" s="2">
        <f>IF(AND($AF$3&gt;0,资金流水!$H$1665=$C$3,ISNUMBER(资金流水!$B$1665),ISNUMBER(资金流水!$S$1665),资金流水!$S$1665&gt;=_辅助!$J$4,资金流水!$S$1665&lt;=_辅助!$J$2),INT(资金流水!$B$1665)*10000+1660,"")</f>
      </c>
    </row>
    <row r="1662">
      <c r="BG1662" s="2">
        <f>IF(AND($AF$3&gt;0,资金流水!$H$1666=$C$3,ISNUMBER(资金流水!$B$1666),ISNUMBER(资金流水!$S$1666),资金流水!$S$1666&gt;=_辅助!$J$4,资金流水!$S$1666&lt;=_辅助!$J$2),INT(资金流水!$B$1666)*10000+1661,"")</f>
      </c>
    </row>
    <row r="1663">
      <c r="BG1663" s="2">
        <f>IF(AND($AF$3&gt;0,资金流水!$H$1667=$C$3,ISNUMBER(资金流水!$B$1667),ISNUMBER(资金流水!$S$1667),资金流水!$S$1667&gt;=_辅助!$J$4,资金流水!$S$1667&lt;=_辅助!$J$2),INT(资金流水!$B$1667)*10000+1662,"")</f>
      </c>
    </row>
    <row r="1664">
      <c r="BG1664" s="2">
        <f>IF(AND($AF$3&gt;0,资金流水!$H$1668=$C$3,ISNUMBER(资金流水!$B$1668),ISNUMBER(资金流水!$S$1668),资金流水!$S$1668&gt;=_辅助!$J$4,资金流水!$S$1668&lt;=_辅助!$J$2),INT(资金流水!$B$1668)*10000+1663,"")</f>
      </c>
    </row>
    <row r="1665">
      <c r="BG1665" s="2">
        <f>IF(AND($AF$3&gt;0,资金流水!$H$1669=$C$3,ISNUMBER(资金流水!$B$1669),ISNUMBER(资金流水!$S$1669),资金流水!$S$1669&gt;=_辅助!$J$4,资金流水!$S$1669&lt;=_辅助!$J$2),INT(资金流水!$B$1669)*10000+1664,"")</f>
      </c>
    </row>
    <row r="1666">
      <c r="BG1666" s="2">
        <f>IF(AND($AF$3&gt;0,资金流水!$H$1670=$C$3,ISNUMBER(资金流水!$B$1670),ISNUMBER(资金流水!$S$1670),资金流水!$S$1670&gt;=_辅助!$J$4,资金流水!$S$1670&lt;=_辅助!$J$2),INT(资金流水!$B$1670)*10000+1665,"")</f>
      </c>
    </row>
    <row r="1667">
      <c r="BG1667" s="2">
        <f>IF(AND($AF$3&gt;0,资金流水!$H$1671=$C$3,ISNUMBER(资金流水!$B$1671),ISNUMBER(资金流水!$S$1671),资金流水!$S$1671&gt;=_辅助!$J$4,资金流水!$S$1671&lt;=_辅助!$J$2),INT(资金流水!$B$1671)*10000+1666,"")</f>
      </c>
    </row>
    <row r="1668">
      <c r="BG1668" s="2">
        <f>IF(AND($AF$3&gt;0,资金流水!$H$1672=$C$3,ISNUMBER(资金流水!$B$1672),ISNUMBER(资金流水!$S$1672),资金流水!$S$1672&gt;=_辅助!$J$4,资金流水!$S$1672&lt;=_辅助!$J$2),INT(资金流水!$B$1672)*10000+1667,"")</f>
      </c>
    </row>
    <row r="1669">
      <c r="BG1669" s="2">
        <f>IF(AND($AF$3&gt;0,资金流水!$H$1673=$C$3,ISNUMBER(资金流水!$B$1673),ISNUMBER(资金流水!$S$1673),资金流水!$S$1673&gt;=_辅助!$J$4,资金流水!$S$1673&lt;=_辅助!$J$2),INT(资金流水!$B$1673)*10000+1668,"")</f>
      </c>
    </row>
    <row r="1670">
      <c r="BG1670" s="2">
        <f>IF(AND($AF$3&gt;0,资金流水!$H$1674=$C$3,ISNUMBER(资金流水!$B$1674),ISNUMBER(资金流水!$S$1674),资金流水!$S$1674&gt;=_辅助!$J$4,资金流水!$S$1674&lt;=_辅助!$J$2),INT(资金流水!$B$1674)*10000+1669,"")</f>
      </c>
    </row>
    <row r="1671">
      <c r="BG1671" s="2">
        <f>IF(AND($AF$3&gt;0,资金流水!$H$1675=$C$3,ISNUMBER(资金流水!$B$1675),ISNUMBER(资金流水!$S$1675),资金流水!$S$1675&gt;=_辅助!$J$4,资金流水!$S$1675&lt;=_辅助!$J$2),INT(资金流水!$B$1675)*10000+1670,"")</f>
      </c>
    </row>
    <row r="1672">
      <c r="BG1672" s="2">
        <f>IF(AND($AF$3&gt;0,资金流水!$H$1676=$C$3,ISNUMBER(资金流水!$B$1676),ISNUMBER(资金流水!$S$1676),资金流水!$S$1676&gt;=_辅助!$J$4,资金流水!$S$1676&lt;=_辅助!$J$2),INT(资金流水!$B$1676)*10000+1671,"")</f>
      </c>
    </row>
    <row r="1673">
      <c r="BG1673" s="2">
        <f>IF(AND($AF$3&gt;0,资金流水!$H$1677=$C$3,ISNUMBER(资金流水!$B$1677),ISNUMBER(资金流水!$S$1677),资金流水!$S$1677&gt;=_辅助!$J$4,资金流水!$S$1677&lt;=_辅助!$J$2),INT(资金流水!$B$1677)*10000+1672,"")</f>
      </c>
    </row>
    <row r="1674">
      <c r="BG1674" s="2">
        <f>IF(AND($AF$3&gt;0,资金流水!$H$1678=$C$3,ISNUMBER(资金流水!$B$1678),ISNUMBER(资金流水!$S$1678),资金流水!$S$1678&gt;=_辅助!$J$4,资金流水!$S$1678&lt;=_辅助!$J$2),INT(资金流水!$B$1678)*10000+1673,"")</f>
      </c>
    </row>
    <row r="1675">
      <c r="BG1675" s="2">
        <f>IF(AND($AF$3&gt;0,资金流水!$H$1679=$C$3,ISNUMBER(资金流水!$B$1679),ISNUMBER(资金流水!$S$1679),资金流水!$S$1679&gt;=_辅助!$J$4,资金流水!$S$1679&lt;=_辅助!$J$2),INT(资金流水!$B$1679)*10000+1674,"")</f>
      </c>
    </row>
    <row r="1676">
      <c r="BG1676" s="2">
        <f>IF(AND($AF$3&gt;0,资金流水!$H$1680=$C$3,ISNUMBER(资金流水!$B$1680),ISNUMBER(资金流水!$S$1680),资金流水!$S$1680&gt;=_辅助!$J$4,资金流水!$S$1680&lt;=_辅助!$J$2),INT(资金流水!$B$1680)*10000+1675,"")</f>
      </c>
    </row>
    <row r="1677">
      <c r="BG1677" s="2">
        <f>IF(AND($AF$3&gt;0,资金流水!$H$1681=$C$3,ISNUMBER(资金流水!$B$1681),ISNUMBER(资金流水!$S$1681),资金流水!$S$1681&gt;=_辅助!$J$4,资金流水!$S$1681&lt;=_辅助!$J$2),INT(资金流水!$B$1681)*10000+1676,"")</f>
      </c>
    </row>
    <row r="1678">
      <c r="BG1678" s="2">
        <f>IF(AND($AF$3&gt;0,资金流水!$H$1682=$C$3,ISNUMBER(资金流水!$B$1682),ISNUMBER(资金流水!$S$1682),资金流水!$S$1682&gt;=_辅助!$J$4,资金流水!$S$1682&lt;=_辅助!$J$2),INT(资金流水!$B$1682)*10000+1677,"")</f>
      </c>
    </row>
    <row r="1679">
      <c r="BG1679" s="2">
        <f>IF(AND($AF$3&gt;0,资金流水!$H$1683=$C$3,ISNUMBER(资金流水!$B$1683),ISNUMBER(资金流水!$S$1683),资金流水!$S$1683&gt;=_辅助!$J$4,资金流水!$S$1683&lt;=_辅助!$J$2),INT(资金流水!$B$1683)*10000+1678,"")</f>
      </c>
    </row>
    <row r="1680">
      <c r="BG1680" s="2">
        <f>IF(AND($AF$3&gt;0,资金流水!$H$1684=$C$3,ISNUMBER(资金流水!$B$1684),ISNUMBER(资金流水!$S$1684),资金流水!$S$1684&gt;=_辅助!$J$4,资金流水!$S$1684&lt;=_辅助!$J$2),INT(资金流水!$B$1684)*10000+1679,"")</f>
      </c>
    </row>
    <row r="1681">
      <c r="BG1681" s="2">
        <f>IF(AND($AF$3&gt;0,资金流水!$H$1685=$C$3,ISNUMBER(资金流水!$B$1685),ISNUMBER(资金流水!$S$1685),资金流水!$S$1685&gt;=_辅助!$J$4,资金流水!$S$1685&lt;=_辅助!$J$2),INT(资金流水!$B$1685)*10000+1680,"")</f>
      </c>
    </row>
    <row r="1682">
      <c r="BG1682" s="2">
        <f>IF(AND($AF$3&gt;0,资金流水!$H$1686=$C$3,ISNUMBER(资金流水!$B$1686),ISNUMBER(资金流水!$S$1686),资金流水!$S$1686&gt;=_辅助!$J$4,资金流水!$S$1686&lt;=_辅助!$J$2),INT(资金流水!$B$1686)*10000+1681,"")</f>
      </c>
    </row>
    <row r="1683">
      <c r="BG1683" s="2">
        <f>IF(AND($AF$3&gt;0,资金流水!$H$1687=$C$3,ISNUMBER(资金流水!$B$1687),ISNUMBER(资金流水!$S$1687),资金流水!$S$1687&gt;=_辅助!$J$4,资金流水!$S$1687&lt;=_辅助!$J$2),INT(资金流水!$B$1687)*10000+1682,"")</f>
      </c>
    </row>
    <row r="1684">
      <c r="BG1684" s="2">
        <f>IF(AND($AF$3&gt;0,资金流水!$H$1688=$C$3,ISNUMBER(资金流水!$B$1688),ISNUMBER(资金流水!$S$1688),资金流水!$S$1688&gt;=_辅助!$J$4,资金流水!$S$1688&lt;=_辅助!$J$2),INT(资金流水!$B$1688)*10000+1683,"")</f>
      </c>
    </row>
    <row r="1685">
      <c r="BG1685" s="2">
        <f>IF(AND($AF$3&gt;0,资金流水!$H$1689=$C$3,ISNUMBER(资金流水!$B$1689),ISNUMBER(资金流水!$S$1689),资金流水!$S$1689&gt;=_辅助!$J$4,资金流水!$S$1689&lt;=_辅助!$J$2),INT(资金流水!$B$1689)*10000+1684,"")</f>
      </c>
    </row>
    <row r="1686">
      <c r="BG1686" s="2">
        <f>IF(AND($AF$3&gt;0,资金流水!$H$1690=$C$3,ISNUMBER(资金流水!$B$1690),ISNUMBER(资金流水!$S$1690),资金流水!$S$1690&gt;=_辅助!$J$4,资金流水!$S$1690&lt;=_辅助!$J$2),INT(资金流水!$B$1690)*10000+1685,"")</f>
      </c>
    </row>
    <row r="1687">
      <c r="BG1687" s="2">
        <f>IF(AND($AF$3&gt;0,资金流水!$H$1691=$C$3,ISNUMBER(资金流水!$B$1691),ISNUMBER(资金流水!$S$1691),资金流水!$S$1691&gt;=_辅助!$J$4,资金流水!$S$1691&lt;=_辅助!$J$2),INT(资金流水!$B$1691)*10000+1686,"")</f>
      </c>
    </row>
    <row r="1688">
      <c r="BG1688" s="2">
        <f>IF(AND($AF$3&gt;0,资金流水!$H$1692=$C$3,ISNUMBER(资金流水!$B$1692),ISNUMBER(资金流水!$S$1692),资金流水!$S$1692&gt;=_辅助!$J$4,资金流水!$S$1692&lt;=_辅助!$J$2),INT(资金流水!$B$1692)*10000+1687,"")</f>
      </c>
    </row>
    <row r="1689">
      <c r="BG1689" s="2">
        <f>IF(AND($AF$3&gt;0,资金流水!$H$1693=$C$3,ISNUMBER(资金流水!$B$1693),ISNUMBER(资金流水!$S$1693),资金流水!$S$1693&gt;=_辅助!$J$4,资金流水!$S$1693&lt;=_辅助!$J$2),INT(资金流水!$B$1693)*10000+1688,"")</f>
      </c>
    </row>
    <row r="1690">
      <c r="BG1690" s="2">
        <f>IF(AND($AF$3&gt;0,资金流水!$H$1694=$C$3,ISNUMBER(资金流水!$B$1694),ISNUMBER(资金流水!$S$1694),资金流水!$S$1694&gt;=_辅助!$J$4,资金流水!$S$1694&lt;=_辅助!$J$2),INT(资金流水!$B$1694)*10000+1689,"")</f>
      </c>
    </row>
    <row r="1691">
      <c r="BG1691" s="2">
        <f>IF(AND($AF$3&gt;0,资金流水!$H$1695=$C$3,ISNUMBER(资金流水!$B$1695),ISNUMBER(资金流水!$S$1695),资金流水!$S$1695&gt;=_辅助!$J$4,资金流水!$S$1695&lt;=_辅助!$J$2),INT(资金流水!$B$1695)*10000+1690,"")</f>
      </c>
    </row>
    <row r="1692">
      <c r="BG1692" s="2">
        <f>IF(AND($AF$3&gt;0,资金流水!$H$1696=$C$3,ISNUMBER(资金流水!$B$1696),ISNUMBER(资金流水!$S$1696),资金流水!$S$1696&gt;=_辅助!$J$4,资金流水!$S$1696&lt;=_辅助!$J$2),INT(资金流水!$B$1696)*10000+1691,"")</f>
      </c>
    </row>
    <row r="1693">
      <c r="BG1693" s="2">
        <f>IF(AND($AF$3&gt;0,资金流水!$H$1697=$C$3,ISNUMBER(资金流水!$B$1697),ISNUMBER(资金流水!$S$1697),资金流水!$S$1697&gt;=_辅助!$J$4,资金流水!$S$1697&lt;=_辅助!$J$2),INT(资金流水!$B$1697)*10000+1692,"")</f>
      </c>
    </row>
    <row r="1694">
      <c r="BG1694" s="2">
        <f>IF(AND($AF$3&gt;0,资金流水!$H$1698=$C$3,ISNUMBER(资金流水!$B$1698),ISNUMBER(资金流水!$S$1698),资金流水!$S$1698&gt;=_辅助!$J$4,资金流水!$S$1698&lt;=_辅助!$J$2),INT(资金流水!$B$1698)*10000+1693,"")</f>
      </c>
    </row>
    <row r="1695">
      <c r="BG1695" s="2">
        <f>IF(AND($AF$3&gt;0,资金流水!$H$1699=$C$3,ISNUMBER(资金流水!$B$1699),ISNUMBER(资金流水!$S$1699),资金流水!$S$1699&gt;=_辅助!$J$4,资金流水!$S$1699&lt;=_辅助!$J$2),INT(资金流水!$B$1699)*10000+1694,"")</f>
      </c>
    </row>
    <row r="1696">
      <c r="BG1696" s="2">
        <f>IF(AND($AF$3&gt;0,资金流水!$H$1700=$C$3,ISNUMBER(资金流水!$B$1700),ISNUMBER(资金流水!$S$1700),资金流水!$S$1700&gt;=_辅助!$J$4,资金流水!$S$1700&lt;=_辅助!$J$2),INT(资金流水!$B$1700)*10000+1695,"")</f>
      </c>
    </row>
    <row r="1697">
      <c r="BG1697" s="2">
        <f>IF(AND($AF$3&gt;0,资金流水!$H$1701=$C$3,ISNUMBER(资金流水!$B$1701),ISNUMBER(资金流水!$S$1701),资金流水!$S$1701&gt;=_辅助!$J$4,资金流水!$S$1701&lt;=_辅助!$J$2),INT(资金流水!$B$1701)*10000+1696,"")</f>
      </c>
    </row>
    <row r="1698">
      <c r="BG1698" s="2">
        <f>IF(AND($AF$3&gt;0,资金流水!$H$1702=$C$3,ISNUMBER(资金流水!$B$1702),ISNUMBER(资金流水!$S$1702),资金流水!$S$1702&gt;=_辅助!$J$4,资金流水!$S$1702&lt;=_辅助!$J$2),INT(资金流水!$B$1702)*10000+1697,"")</f>
      </c>
    </row>
    <row r="1699">
      <c r="BG1699" s="2">
        <f>IF(AND($AF$3&gt;0,资金流水!$H$1703=$C$3,ISNUMBER(资金流水!$B$1703),ISNUMBER(资金流水!$S$1703),资金流水!$S$1703&gt;=_辅助!$J$4,资金流水!$S$1703&lt;=_辅助!$J$2),INT(资金流水!$B$1703)*10000+1698,"")</f>
      </c>
    </row>
    <row r="1700">
      <c r="BG1700" s="2">
        <f>IF(AND($AF$3&gt;0,资金流水!$H$1704=$C$3,ISNUMBER(资金流水!$B$1704),ISNUMBER(资金流水!$S$1704),资金流水!$S$1704&gt;=_辅助!$J$4,资金流水!$S$1704&lt;=_辅助!$J$2),INT(资金流水!$B$1704)*10000+1699,"")</f>
      </c>
    </row>
    <row r="1701">
      <c r="BG1701" s="2">
        <f>IF(AND($AF$3&gt;0,资金流水!$H$1705=$C$3,ISNUMBER(资金流水!$B$1705),ISNUMBER(资金流水!$S$1705),资金流水!$S$1705&gt;=_辅助!$J$4,资金流水!$S$1705&lt;=_辅助!$J$2),INT(资金流水!$B$1705)*10000+1700,"")</f>
      </c>
    </row>
    <row r="1702">
      <c r="BG1702" s="2">
        <f>IF(AND($AF$3&gt;0,资金流水!$H$1706=$C$3,ISNUMBER(资金流水!$B$1706),ISNUMBER(资金流水!$S$1706),资金流水!$S$1706&gt;=_辅助!$J$4,资金流水!$S$1706&lt;=_辅助!$J$2),INT(资金流水!$B$1706)*10000+1701,"")</f>
      </c>
    </row>
    <row r="1703">
      <c r="BG1703" s="2">
        <f>IF(AND($AF$3&gt;0,资金流水!$H$1707=$C$3,ISNUMBER(资金流水!$B$1707),ISNUMBER(资金流水!$S$1707),资金流水!$S$1707&gt;=_辅助!$J$4,资金流水!$S$1707&lt;=_辅助!$J$2),INT(资金流水!$B$1707)*10000+1702,"")</f>
      </c>
    </row>
    <row r="1704">
      <c r="BG1704" s="2">
        <f>IF(AND($AF$3&gt;0,资金流水!$H$1708=$C$3,ISNUMBER(资金流水!$B$1708),ISNUMBER(资金流水!$S$1708),资金流水!$S$1708&gt;=_辅助!$J$4,资金流水!$S$1708&lt;=_辅助!$J$2),INT(资金流水!$B$1708)*10000+1703,"")</f>
      </c>
    </row>
    <row r="1705">
      <c r="BG1705" s="2">
        <f>IF(AND($AF$3&gt;0,资金流水!$H$1709=$C$3,ISNUMBER(资金流水!$B$1709),ISNUMBER(资金流水!$S$1709),资金流水!$S$1709&gt;=_辅助!$J$4,资金流水!$S$1709&lt;=_辅助!$J$2),INT(资金流水!$B$1709)*10000+1704,"")</f>
      </c>
    </row>
    <row r="1706">
      <c r="BG1706" s="2">
        <f>IF(AND($AF$3&gt;0,资金流水!$H$1710=$C$3,ISNUMBER(资金流水!$B$1710),ISNUMBER(资金流水!$S$1710),资金流水!$S$1710&gt;=_辅助!$J$4,资金流水!$S$1710&lt;=_辅助!$J$2),INT(资金流水!$B$1710)*10000+1705,"")</f>
      </c>
    </row>
    <row r="1707">
      <c r="BG1707" s="2">
        <f>IF(AND($AF$3&gt;0,资金流水!$H$1711=$C$3,ISNUMBER(资金流水!$B$1711),ISNUMBER(资金流水!$S$1711),资金流水!$S$1711&gt;=_辅助!$J$4,资金流水!$S$1711&lt;=_辅助!$J$2),INT(资金流水!$B$1711)*10000+1706,"")</f>
      </c>
    </row>
    <row r="1708">
      <c r="BG1708" s="2">
        <f>IF(AND($AF$3&gt;0,资金流水!$H$1712=$C$3,ISNUMBER(资金流水!$B$1712),ISNUMBER(资金流水!$S$1712),资金流水!$S$1712&gt;=_辅助!$J$4,资金流水!$S$1712&lt;=_辅助!$J$2),INT(资金流水!$B$1712)*10000+1707,"")</f>
      </c>
    </row>
    <row r="1709">
      <c r="BG1709" s="2">
        <f>IF(AND($AF$3&gt;0,资金流水!$H$1713=$C$3,ISNUMBER(资金流水!$B$1713),ISNUMBER(资金流水!$S$1713),资金流水!$S$1713&gt;=_辅助!$J$4,资金流水!$S$1713&lt;=_辅助!$J$2),INT(资金流水!$B$1713)*10000+1708,"")</f>
      </c>
    </row>
    <row r="1710">
      <c r="BG1710" s="2">
        <f>IF(AND($AF$3&gt;0,资金流水!$H$1714=$C$3,ISNUMBER(资金流水!$B$1714),ISNUMBER(资金流水!$S$1714),资金流水!$S$1714&gt;=_辅助!$J$4,资金流水!$S$1714&lt;=_辅助!$J$2),INT(资金流水!$B$1714)*10000+1709,"")</f>
      </c>
    </row>
    <row r="1711">
      <c r="BG1711" s="2">
        <f>IF(AND($AF$3&gt;0,资金流水!$H$1715=$C$3,ISNUMBER(资金流水!$B$1715),ISNUMBER(资金流水!$S$1715),资金流水!$S$1715&gt;=_辅助!$J$4,资金流水!$S$1715&lt;=_辅助!$J$2),INT(资金流水!$B$1715)*10000+1710,"")</f>
      </c>
    </row>
    <row r="1712">
      <c r="BG1712" s="2">
        <f>IF(AND($AF$3&gt;0,资金流水!$H$1716=$C$3,ISNUMBER(资金流水!$B$1716),ISNUMBER(资金流水!$S$1716),资金流水!$S$1716&gt;=_辅助!$J$4,资金流水!$S$1716&lt;=_辅助!$J$2),INT(资金流水!$B$1716)*10000+1711,"")</f>
      </c>
    </row>
    <row r="1713">
      <c r="BG1713" s="2">
        <f>IF(AND($AF$3&gt;0,资金流水!$H$1717=$C$3,ISNUMBER(资金流水!$B$1717),ISNUMBER(资金流水!$S$1717),资金流水!$S$1717&gt;=_辅助!$J$4,资金流水!$S$1717&lt;=_辅助!$J$2),INT(资金流水!$B$1717)*10000+1712,"")</f>
      </c>
    </row>
    <row r="1714">
      <c r="BG1714" s="2">
        <f>IF(AND($AF$3&gt;0,资金流水!$H$1718=$C$3,ISNUMBER(资金流水!$B$1718),ISNUMBER(资金流水!$S$1718),资金流水!$S$1718&gt;=_辅助!$J$4,资金流水!$S$1718&lt;=_辅助!$J$2),INT(资金流水!$B$1718)*10000+1713,"")</f>
      </c>
    </row>
    <row r="1715">
      <c r="BG1715" s="2">
        <f>IF(AND($AF$3&gt;0,资金流水!$H$1719=$C$3,ISNUMBER(资金流水!$B$1719),ISNUMBER(资金流水!$S$1719),资金流水!$S$1719&gt;=_辅助!$J$4,资金流水!$S$1719&lt;=_辅助!$J$2),INT(资金流水!$B$1719)*10000+1714,"")</f>
      </c>
    </row>
    <row r="1716">
      <c r="BG1716" s="2">
        <f>IF(AND($AF$3&gt;0,资金流水!$H$1720=$C$3,ISNUMBER(资金流水!$B$1720),ISNUMBER(资金流水!$S$1720),资金流水!$S$1720&gt;=_辅助!$J$4,资金流水!$S$1720&lt;=_辅助!$J$2),INT(资金流水!$B$1720)*10000+1715,"")</f>
      </c>
    </row>
    <row r="1717">
      <c r="BG1717" s="2">
        <f>IF(AND($AF$3&gt;0,资金流水!$H$1721=$C$3,ISNUMBER(资金流水!$B$1721),ISNUMBER(资金流水!$S$1721),资金流水!$S$1721&gt;=_辅助!$J$4,资金流水!$S$1721&lt;=_辅助!$J$2),INT(资金流水!$B$1721)*10000+1716,"")</f>
      </c>
    </row>
    <row r="1718">
      <c r="BG1718" s="2">
        <f>IF(AND($AF$3&gt;0,资金流水!$H$1722=$C$3,ISNUMBER(资金流水!$B$1722),ISNUMBER(资金流水!$S$1722),资金流水!$S$1722&gt;=_辅助!$J$4,资金流水!$S$1722&lt;=_辅助!$J$2),INT(资金流水!$B$1722)*10000+1717,"")</f>
      </c>
    </row>
    <row r="1719">
      <c r="BG1719" s="2">
        <f>IF(AND($AF$3&gt;0,资金流水!$H$1723=$C$3,ISNUMBER(资金流水!$B$1723),ISNUMBER(资金流水!$S$1723),资金流水!$S$1723&gt;=_辅助!$J$4,资金流水!$S$1723&lt;=_辅助!$J$2),INT(资金流水!$B$1723)*10000+1718,"")</f>
      </c>
    </row>
    <row r="1720">
      <c r="BG1720" s="2">
        <f>IF(AND($AF$3&gt;0,资金流水!$H$1724=$C$3,ISNUMBER(资金流水!$B$1724),ISNUMBER(资金流水!$S$1724),资金流水!$S$1724&gt;=_辅助!$J$4,资金流水!$S$1724&lt;=_辅助!$J$2),INT(资金流水!$B$1724)*10000+1719,"")</f>
      </c>
    </row>
    <row r="1721">
      <c r="BG1721" s="2">
        <f>IF(AND($AF$3&gt;0,资金流水!$H$1725=$C$3,ISNUMBER(资金流水!$B$1725),ISNUMBER(资金流水!$S$1725),资金流水!$S$1725&gt;=_辅助!$J$4,资金流水!$S$1725&lt;=_辅助!$J$2),INT(资金流水!$B$1725)*10000+1720,"")</f>
      </c>
    </row>
    <row r="1722">
      <c r="BG1722" s="2">
        <f>IF(AND($AF$3&gt;0,资金流水!$H$1726=$C$3,ISNUMBER(资金流水!$B$1726),ISNUMBER(资金流水!$S$1726),资金流水!$S$1726&gt;=_辅助!$J$4,资金流水!$S$1726&lt;=_辅助!$J$2),INT(资金流水!$B$1726)*10000+1721,"")</f>
      </c>
    </row>
    <row r="1723">
      <c r="BG1723" s="2">
        <f>IF(AND($AF$3&gt;0,资金流水!$H$1727=$C$3,ISNUMBER(资金流水!$B$1727),ISNUMBER(资金流水!$S$1727),资金流水!$S$1727&gt;=_辅助!$J$4,资金流水!$S$1727&lt;=_辅助!$J$2),INT(资金流水!$B$1727)*10000+1722,"")</f>
      </c>
    </row>
    <row r="1724">
      <c r="BG1724" s="2">
        <f>IF(AND($AF$3&gt;0,资金流水!$H$1728=$C$3,ISNUMBER(资金流水!$B$1728),ISNUMBER(资金流水!$S$1728),资金流水!$S$1728&gt;=_辅助!$J$4,资金流水!$S$1728&lt;=_辅助!$J$2),INT(资金流水!$B$1728)*10000+1723,"")</f>
      </c>
    </row>
    <row r="1725">
      <c r="BG1725" s="2">
        <f>IF(AND($AF$3&gt;0,资金流水!$H$1729=$C$3,ISNUMBER(资金流水!$B$1729),ISNUMBER(资金流水!$S$1729),资金流水!$S$1729&gt;=_辅助!$J$4,资金流水!$S$1729&lt;=_辅助!$J$2),INT(资金流水!$B$1729)*10000+1724,"")</f>
      </c>
    </row>
    <row r="1726">
      <c r="BG1726" s="2">
        <f>IF(AND($AF$3&gt;0,资金流水!$H$1730=$C$3,ISNUMBER(资金流水!$B$1730),ISNUMBER(资金流水!$S$1730),资金流水!$S$1730&gt;=_辅助!$J$4,资金流水!$S$1730&lt;=_辅助!$J$2),INT(资金流水!$B$1730)*10000+1725,"")</f>
      </c>
    </row>
    <row r="1727">
      <c r="BG1727" s="2">
        <f>IF(AND($AF$3&gt;0,资金流水!$H$1731=$C$3,ISNUMBER(资金流水!$B$1731),ISNUMBER(资金流水!$S$1731),资金流水!$S$1731&gt;=_辅助!$J$4,资金流水!$S$1731&lt;=_辅助!$J$2),INT(资金流水!$B$1731)*10000+1726,"")</f>
      </c>
    </row>
    <row r="1728">
      <c r="BG1728" s="2">
        <f>IF(AND($AF$3&gt;0,资金流水!$H$1732=$C$3,ISNUMBER(资金流水!$B$1732),ISNUMBER(资金流水!$S$1732),资金流水!$S$1732&gt;=_辅助!$J$4,资金流水!$S$1732&lt;=_辅助!$J$2),INT(资金流水!$B$1732)*10000+1727,"")</f>
      </c>
    </row>
    <row r="1729">
      <c r="BG1729" s="2">
        <f>IF(AND($AF$3&gt;0,资金流水!$H$1733=$C$3,ISNUMBER(资金流水!$B$1733),ISNUMBER(资金流水!$S$1733),资金流水!$S$1733&gt;=_辅助!$J$4,资金流水!$S$1733&lt;=_辅助!$J$2),INT(资金流水!$B$1733)*10000+1728,"")</f>
      </c>
    </row>
    <row r="1730">
      <c r="BG1730" s="2">
        <f>IF(AND($AF$3&gt;0,资金流水!$H$1734=$C$3,ISNUMBER(资金流水!$B$1734),ISNUMBER(资金流水!$S$1734),资金流水!$S$1734&gt;=_辅助!$J$4,资金流水!$S$1734&lt;=_辅助!$J$2),INT(资金流水!$B$1734)*10000+1729,"")</f>
      </c>
    </row>
    <row r="1731">
      <c r="BG1731" s="2">
        <f>IF(AND($AF$3&gt;0,资金流水!$H$1735=$C$3,ISNUMBER(资金流水!$B$1735),ISNUMBER(资金流水!$S$1735),资金流水!$S$1735&gt;=_辅助!$J$4,资金流水!$S$1735&lt;=_辅助!$J$2),INT(资金流水!$B$1735)*10000+1730,"")</f>
      </c>
    </row>
    <row r="1732">
      <c r="BG1732" s="2">
        <f>IF(AND($AF$3&gt;0,资金流水!$H$1736=$C$3,ISNUMBER(资金流水!$B$1736),ISNUMBER(资金流水!$S$1736),资金流水!$S$1736&gt;=_辅助!$J$4,资金流水!$S$1736&lt;=_辅助!$J$2),INT(资金流水!$B$1736)*10000+1731,"")</f>
      </c>
    </row>
    <row r="1733">
      <c r="BG1733" s="2">
        <f>IF(AND($AF$3&gt;0,资金流水!$H$1737=$C$3,ISNUMBER(资金流水!$B$1737),ISNUMBER(资金流水!$S$1737),资金流水!$S$1737&gt;=_辅助!$J$4,资金流水!$S$1737&lt;=_辅助!$J$2),INT(资金流水!$B$1737)*10000+1732,"")</f>
      </c>
    </row>
    <row r="1734">
      <c r="BG1734" s="2">
        <f>IF(AND($AF$3&gt;0,资金流水!$H$1738=$C$3,ISNUMBER(资金流水!$B$1738),ISNUMBER(资金流水!$S$1738),资金流水!$S$1738&gt;=_辅助!$J$4,资金流水!$S$1738&lt;=_辅助!$J$2),INT(资金流水!$B$1738)*10000+1733,"")</f>
      </c>
    </row>
    <row r="1735">
      <c r="BG1735" s="2">
        <f>IF(AND($AF$3&gt;0,资金流水!$H$1739=$C$3,ISNUMBER(资金流水!$B$1739),ISNUMBER(资金流水!$S$1739),资金流水!$S$1739&gt;=_辅助!$J$4,资金流水!$S$1739&lt;=_辅助!$J$2),INT(资金流水!$B$1739)*10000+1734,"")</f>
      </c>
    </row>
    <row r="1736">
      <c r="BG1736" s="2">
        <f>IF(AND($AF$3&gt;0,资金流水!$H$1740=$C$3,ISNUMBER(资金流水!$B$1740),ISNUMBER(资金流水!$S$1740),资金流水!$S$1740&gt;=_辅助!$J$4,资金流水!$S$1740&lt;=_辅助!$J$2),INT(资金流水!$B$1740)*10000+1735,"")</f>
      </c>
    </row>
    <row r="1737">
      <c r="BG1737" s="2">
        <f>IF(AND($AF$3&gt;0,资金流水!$H$1741=$C$3,ISNUMBER(资金流水!$B$1741),ISNUMBER(资金流水!$S$1741),资金流水!$S$1741&gt;=_辅助!$J$4,资金流水!$S$1741&lt;=_辅助!$J$2),INT(资金流水!$B$1741)*10000+1736,"")</f>
      </c>
    </row>
    <row r="1738">
      <c r="BG1738" s="2">
        <f>IF(AND($AF$3&gt;0,资金流水!$H$1742=$C$3,ISNUMBER(资金流水!$B$1742),ISNUMBER(资金流水!$S$1742),资金流水!$S$1742&gt;=_辅助!$J$4,资金流水!$S$1742&lt;=_辅助!$J$2),INT(资金流水!$B$1742)*10000+1737,"")</f>
      </c>
    </row>
    <row r="1739">
      <c r="BG1739" s="2">
        <f>IF(AND($AF$3&gt;0,资金流水!$H$1743=$C$3,ISNUMBER(资金流水!$B$1743),ISNUMBER(资金流水!$S$1743),资金流水!$S$1743&gt;=_辅助!$J$4,资金流水!$S$1743&lt;=_辅助!$J$2),INT(资金流水!$B$1743)*10000+1738,"")</f>
      </c>
    </row>
    <row r="1740">
      <c r="BG1740" s="2">
        <f>IF(AND($AF$3&gt;0,资金流水!$H$1744=$C$3,ISNUMBER(资金流水!$B$1744),ISNUMBER(资金流水!$S$1744),资金流水!$S$1744&gt;=_辅助!$J$4,资金流水!$S$1744&lt;=_辅助!$J$2),INT(资金流水!$B$1744)*10000+1739,"")</f>
      </c>
    </row>
    <row r="1741">
      <c r="BG1741" s="2">
        <f>IF(AND($AF$3&gt;0,资金流水!$H$1745=$C$3,ISNUMBER(资金流水!$B$1745),ISNUMBER(资金流水!$S$1745),资金流水!$S$1745&gt;=_辅助!$J$4,资金流水!$S$1745&lt;=_辅助!$J$2),INT(资金流水!$B$1745)*10000+1740,"")</f>
      </c>
    </row>
    <row r="1742">
      <c r="BG1742" s="2">
        <f>IF(AND($AF$3&gt;0,资金流水!$H$1746=$C$3,ISNUMBER(资金流水!$B$1746),ISNUMBER(资金流水!$S$1746),资金流水!$S$1746&gt;=_辅助!$J$4,资金流水!$S$1746&lt;=_辅助!$J$2),INT(资金流水!$B$1746)*10000+1741,"")</f>
      </c>
    </row>
    <row r="1743">
      <c r="BG1743" s="2">
        <f>IF(AND($AF$3&gt;0,资金流水!$H$1747=$C$3,ISNUMBER(资金流水!$B$1747),ISNUMBER(资金流水!$S$1747),资金流水!$S$1747&gt;=_辅助!$J$4,资金流水!$S$1747&lt;=_辅助!$J$2),INT(资金流水!$B$1747)*10000+1742,"")</f>
      </c>
    </row>
    <row r="1744">
      <c r="BG1744" s="2">
        <f>IF(AND($AF$3&gt;0,资金流水!$H$1748=$C$3,ISNUMBER(资金流水!$B$1748),ISNUMBER(资金流水!$S$1748),资金流水!$S$1748&gt;=_辅助!$J$4,资金流水!$S$1748&lt;=_辅助!$J$2),INT(资金流水!$B$1748)*10000+1743,"")</f>
      </c>
    </row>
    <row r="1745">
      <c r="BG1745" s="2">
        <f>IF(AND($AF$3&gt;0,资金流水!$H$1749=$C$3,ISNUMBER(资金流水!$B$1749),ISNUMBER(资金流水!$S$1749),资金流水!$S$1749&gt;=_辅助!$J$4,资金流水!$S$1749&lt;=_辅助!$J$2),INT(资金流水!$B$1749)*10000+1744,"")</f>
      </c>
    </row>
    <row r="1746">
      <c r="BG1746" s="2">
        <f>IF(AND($AF$3&gt;0,资金流水!$H$1750=$C$3,ISNUMBER(资金流水!$B$1750),ISNUMBER(资金流水!$S$1750),资金流水!$S$1750&gt;=_辅助!$J$4,资金流水!$S$1750&lt;=_辅助!$J$2),INT(资金流水!$B$1750)*10000+1745,"")</f>
      </c>
    </row>
    <row r="1747">
      <c r="BG1747" s="2">
        <f>IF(AND($AF$3&gt;0,资金流水!$H$1751=$C$3,ISNUMBER(资金流水!$B$1751),ISNUMBER(资金流水!$S$1751),资金流水!$S$1751&gt;=_辅助!$J$4,资金流水!$S$1751&lt;=_辅助!$J$2),INT(资金流水!$B$1751)*10000+1746,"")</f>
      </c>
    </row>
    <row r="1748">
      <c r="BG1748" s="2">
        <f>IF(AND($AF$3&gt;0,资金流水!$H$1752=$C$3,ISNUMBER(资金流水!$B$1752),ISNUMBER(资金流水!$S$1752),资金流水!$S$1752&gt;=_辅助!$J$4,资金流水!$S$1752&lt;=_辅助!$J$2),INT(资金流水!$B$1752)*10000+1747,"")</f>
      </c>
    </row>
    <row r="1749">
      <c r="BG1749" s="2">
        <f>IF(AND($AF$3&gt;0,资金流水!$H$1753=$C$3,ISNUMBER(资金流水!$B$1753),ISNUMBER(资金流水!$S$1753),资金流水!$S$1753&gt;=_辅助!$J$4,资金流水!$S$1753&lt;=_辅助!$J$2),INT(资金流水!$B$1753)*10000+1748,"")</f>
      </c>
    </row>
    <row r="1750">
      <c r="BG1750" s="2">
        <f>IF(AND($AF$3&gt;0,资金流水!$H$1754=$C$3,ISNUMBER(资金流水!$B$1754),ISNUMBER(资金流水!$S$1754),资金流水!$S$1754&gt;=_辅助!$J$4,资金流水!$S$1754&lt;=_辅助!$J$2),INT(资金流水!$B$1754)*10000+1749,"")</f>
      </c>
    </row>
    <row r="1751">
      <c r="BG1751" s="2">
        <f>IF(AND($AF$3&gt;0,资金流水!$H$1755=$C$3,ISNUMBER(资金流水!$B$1755),ISNUMBER(资金流水!$S$1755),资金流水!$S$1755&gt;=_辅助!$J$4,资金流水!$S$1755&lt;=_辅助!$J$2),INT(资金流水!$B$1755)*10000+1750,"")</f>
      </c>
    </row>
    <row r="1752">
      <c r="BG1752" s="2">
        <f>IF(AND($AF$3&gt;0,资金流水!$H$1756=$C$3,ISNUMBER(资金流水!$B$1756),ISNUMBER(资金流水!$S$1756),资金流水!$S$1756&gt;=_辅助!$J$4,资金流水!$S$1756&lt;=_辅助!$J$2),INT(资金流水!$B$1756)*10000+1751,"")</f>
      </c>
    </row>
    <row r="1753">
      <c r="BG1753" s="2">
        <f>IF(AND($AF$3&gt;0,资金流水!$H$1757=$C$3,ISNUMBER(资金流水!$B$1757),ISNUMBER(资金流水!$S$1757),资金流水!$S$1757&gt;=_辅助!$J$4,资金流水!$S$1757&lt;=_辅助!$J$2),INT(资金流水!$B$1757)*10000+1752,"")</f>
      </c>
    </row>
    <row r="1754">
      <c r="BG1754" s="2">
        <f>IF(AND($AF$3&gt;0,资金流水!$H$1758=$C$3,ISNUMBER(资金流水!$B$1758),ISNUMBER(资金流水!$S$1758),资金流水!$S$1758&gt;=_辅助!$J$4,资金流水!$S$1758&lt;=_辅助!$J$2),INT(资金流水!$B$1758)*10000+1753,"")</f>
      </c>
    </row>
    <row r="1755">
      <c r="BG1755" s="2">
        <f>IF(AND($AF$3&gt;0,资金流水!$H$1759=$C$3,ISNUMBER(资金流水!$B$1759),ISNUMBER(资金流水!$S$1759),资金流水!$S$1759&gt;=_辅助!$J$4,资金流水!$S$1759&lt;=_辅助!$J$2),INT(资金流水!$B$1759)*10000+1754,"")</f>
      </c>
    </row>
    <row r="1756">
      <c r="BG1756" s="2">
        <f>IF(AND($AF$3&gt;0,资金流水!$H$1760=$C$3,ISNUMBER(资金流水!$B$1760),ISNUMBER(资金流水!$S$1760),资金流水!$S$1760&gt;=_辅助!$J$4,资金流水!$S$1760&lt;=_辅助!$J$2),INT(资金流水!$B$1760)*10000+1755,"")</f>
      </c>
    </row>
    <row r="1757">
      <c r="BG1757" s="2">
        <f>IF(AND($AF$3&gt;0,资金流水!$H$1761=$C$3,ISNUMBER(资金流水!$B$1761),ISNUMBER(资金流水!$S$1761),资金流水!$S$1761&gt;=_辅助!$J$4,资金流水!$S$1761&lt;=_辅助!$J$2),INT(资金流水!$B$1761)*10000+1756,"")</f>
      </c>
    </row>
    <row r="1758">
      <c r="BG1758" s="2">
        <f>IF(AND($AF$3&gt;0,资金流水!$H$1762=$C$3,ISNUMBER(资金流水!$B$1762),ISNUMBER(资金流水!$S$1762),资金流水!$S$1762&gt;=_辅助!$J$4,资金流水!$S$1762&lt;=_辅助!$J$2),INT(资金流水!$B$1762)*10000+1757,"")</f>
      </c>
    </row>
    <row r="1759">
      <c r="BG1759" s="2">
        <f>IF(AND($AF$3&gt;0,资金流水!$H$1763=$C$3,ISNUMBER(资金流水!$B$1763),ISNUMBER(资金流水!$S$1763),资金流水!$S$1763&gt;=_辅助!$J$4,资金流水!$S$1763&lt;=_辅助!$J$2),INT(资金流水!$B$1763)*10000+1758,"")</f>
      </c>
    </row>
    <row r="1760">
      <c r="BG1760" s="2">
        <f>IF(AND($AF$3&gt;0,资金流水!$H$1764=$C$3,ISNUMBER(资金流水!$B$1764),ISNUMBER(资金流水!$S$1764),资金流水!$S$1764&gt;=_辅助!$J$4,资金流水!$S$1764&lt;=_辅助!$J$2),INT(资金流水!$B$1764)*10000+1759,"")</f>
      </c>
    </row>
    <row r="1761">
      <c r="BG1761" s="2">
        <f>IF(AND($AF$3&gt;0,资金流水!$H$1765=$C$3,ISNUMBER(资金流水!$B$1765),ISNUMBER(资金流水!$S$1765),资金流水!$S$1765&gt;=_辅助!$J$4,资金流水!$S$1765&lt;=_辅助!$J$2),INT(资金流水!$B$1765)*10000+1760,"")</f>
      </c>
    </row>
    <row r="1762">
      <c r="BG1762" s="2">
        <f>IF(AND($AF$3&gt;0,资金流水!$H$1766=$C$3,ISNUMBER(资金流水!$B$1766),ISNUMBER(资金流水!$S$1766),资金流水!$S$1766&gt;=_辅助!$J$4,资金流水!$S$1766&lt;=_辅助!$J$2),INT(资金流水!$B$1766)*10000+1761,"")</f>
      </c>
    </row>
    <row r="1763">
      <c r="BG1763" s="2">
        <f>IF(AND($AF$3&gt;0,资金流水!$H$1767=$C$3,ISNUMBER(资金流水!$B$1767),ISNUMBER(资金流水!$S$1767),资金流水!$S$1767&gt;=_辅助!$J$4,资金流水!$S$1767&lt;=_辅助!$J$2),INT(资金流水!$B$1767)*10000+1762,"")</f>
      </c>
    </row>
    <row r="1764">
      <c r="BG1764" s="2">
        <f>IF(AND($AF$3&gt;0,资金流水!$H$1768=$C$3,ISNUMBER(资金流水!$B$1768),ISNUMBER(资金流水!$S$1768),资金流水!$S$1768&gt;=_辅助!$J$4,资金流水!$S$1768&lt;=_辅助!$J$2),INT(资金流水!$B$1768)*10000+1763,"")</f>
      </c>
    </row>
    <row r="1765">
      <c r="BG1765" s="2">
        <f>IF(AND($AF$3&gt;0,资金流水!$H$1769=$C$3,ISNUMBER(资金流水!$B$1769),ISNUMBER(资金流水!$S$1769),资金流水!$S$1769&gt;=_辅助!$J$4,资金流水!$S$1769&lt;=_辅助!$J$2),INT(资金流水!$B$1769)*10000+1764,"")</f>
      </c>
    </row>
    <row r="1766">
      <c r="BG1766" s="2">
        <f>IF(AND($AF$3&gt;0,资金流水!$H$1770=$C$3,ISNUMBER(资金流水!$B$1770),ISNUMBER(资金流水!$S$1770),资金流水!$S$1770&gt;=_辅助!$J$4,资金流水!$S$1770&lt;=_辅助!$J$2),INT(资金流水!$B$1770)*10000+1765,"")</f>
      </c>
    </row>
    <row r="1767">
      <c r="BG1767" s="2">
        <f>IF(AND($AF$3&gt;0,资金流水!$H$1771=$C$3,ISNUMBER(资金流水!$B$1771),ISNUMBER(资金流水!$S$1771),资金流水!$S$1771&gt;=_辅助!$J$4,资金流水!$S$1771&lt;=_辅助!$J$2),INT(资金流水!$B$1771)*10000+1766,"")</f>
      </c>
    </row>
    <row r="1768">
      <c r="BG1768" s="2">
        <f>IF(AND($AF$3&gt;0,资金流水!$H$1772=$C$3,ISNUMBER(资金流水!$B$1772),ISNUMBER(资金流水!$S$1772),资金流水!$S$1772&gt;=_辅助!$J$4,资金流水!$S$1772&lt;=_辅助!$J$2),INT(资金流水!$B$1772)*10000+1767,"")</f>
      </c>
    </row>
    <row r="1769">
      <c r="BG1769" s="2">
        <f>IF(AND($AF$3&gt;0,资金流水!$H$1773=$C$3,ISNUMBER(资金流水!$B$1773),ISNUMBER(资金流水!$S$1773),资金流水!$S$1773&gt;=_辅助!$J$4,资金流水!$S$1773&lt;=_辅助!$J$2),INT(资金流水!$B$1773)*10000+1768,"")</f>
      </c>
    </row>
    <row r="1770">
      <c r="BG1770" s="2">
        <f>IF(AND($AF$3&gt;0,资金流水!$H$1774=$C$3,ISNUMBER(资金流水!$B$1774),ISNUMBER(资金流水!$S$1774),资金流水!$S$1774&gt;=_辅助!$J$4,资金流水!$S$1774&lt;=_辅助!$J$2),INT(资金流水!$B$1774)*10000+1769,"")</f>
      </c>
    </row>
    <row r="1771">
      <c r="BG1771" s="2">
        <f>IF(AND($AF$3&gt;0,资金流水!$H$1775=$C$3,ISNUMBER(资金流水!$B$1775),ISNUMBER(资金流水!$S$1775),资金流水!$S$1775&gt;=_辅助!$J$4,资金流水!$S$1775&lt;=_辅助!$J$2),INT(资金流水!$B$1775)*10000+1770,"")</f>
      </c>
    </row>
    <row r="1772">
      <c r="BG1772" s="2">
        <f>IF(AND($AF$3&gt;0,资金流水!$H$1776=$C$3,ISNUMBER(资金流水!$B$1776),ISNUMBER(资金流水!$S$1776),资金流水!$S$1776&gt;=_辅助!$J$4,资金流水!$S$1776&lt;=_辅助!$J$2),INT(资金流水!$B$1776)*10000+1771,"")</f>
      </c>
    </row>
    <row r="1773">
      <c r="BG1773" s="2">
        <f>IF(AND($AF$3&gt;0,资金流水!$H$1777=$C$3,ISNUMBER(资金流水!$B$1777),ISNUMBER(资金流水!$S$1777),资金流水!$S$1777&gt;=_辅助!$J$4,资金流水!$S$1777&lt;=_辅助!$J$2),INT(资金流水!$B$1777)*10000+1772,"")</f>
      </c>
    </row>
    <row r="1774">
      <c r="BG1774" s="2">
        <f>IF(AND($AF$3&gt;0,资金流水!$H$1778=$C$3,ISNUMBER(资金流水!$B$1778),ISNUMBER(资金流水!$S$1778),资金流水!$S$1778&gt;=_辅助!$J$4,资金流水!$S$1778&lt;=_辅助!$J$2),INT(资金流水!$B$1778)*10000+1773,"")</f>
      </c>
    </row>
    <row r="1775">
      <c r="BG1775" s="2">
        <f>IF(AND($AF$3&gt;0,资金流水!$H$1779=$C$3,ISNUMBER(资金流水!$B$1779),ISNUMBER(资金流水!$S$1779),资金流水!$S$1779&gt;=_辅助!$J$4,资金流水!$S$1779&lt;=_辅助!$J$2),INT(资金流水!$B$1779)*10000+1774,"")</f>
      </c>
    </row>
    <row r="1776">
      <c r="BG1776" s="2">
        <f>IF(AND($AF$3&gt;0,资金流水!$H$1780=$C$3,ISNUMBER(资金流水!$B$1780),ISNUMBER(资金流水!$S$1780),资金流水!$S$1780&gt;=_辅助!$J$4,资金流水!$S$1780&lt;=_辅助!$J$2),INT(资金流水!$B$1780)*10000+1775,"")</f>
      </c>
    </row>
    <row r="1777">
      <c r="BG1777" s="2">
        <f>IF(AND($AF$3&gt;0,资金流水!$H$1781=$C$3,ISNUMBER(资金流水!$B$1781),ISNUMBER(资金流水!$S$1781),资金流水!$S$1781&gt;=_辅助!$J$4,资金流水!$S$1781&lt;=_辅助!$J$2),INT(资金流水!$B$1781)*10000+1776,"")</f>
      </c>
    </row>
    <row r="1778">
      <c r="BG1778" s="2">
        <f>IF(AND($AF$3&gt;0,资金流水!$H$1782=$C$3,ISNUMBER(资金流水!$B$1782),ISNUMBER(资金流水!$S$1782),资金流水!$S$1782&gt;=_辅助!$J$4,资金流水!$S$1782&lt;=_辅助!$J$2),INT(资金流水!$B$1782)*10000+1777,"")</f>
      </c>
    </row>
    <row r="1779">
      <c r="BG1779" s="2">
        <f>IF(AND($AF$3&gt;0,资金流水!$H$1783=$C$3,ISNUMBER(资金流水!$B$1783),ISNUMBER(资金流水!$S$1783),资金流水!$S$1783&gt;=_辅助!$J$4,资金流水!$S$1783&lt;=_辅助!$J$2),INT(资金流水!$B$1783)*10000+1778,"")</f>
      </c>
    </row>
    <row r="1780">
      <c r="BG1780" s="2">
        <f>IF(AND($AF$3&gt;0,资金流水!$H$1784=$C$3,ISNUMBER(资金流水!$B$1784),ISNUMBER(资金流水!$S$1784),资金流水!$S$1784&gt;=_辅助!$J$4,资金流水!$S$1784&lt;=_辅助!$J$2),INT(资金流水!$B$1784)*10000+1779,"")</f>
      </c>
    </row>
    <row r="1781">
      <c r="BG1781" s="2">
        <f>IF(AND($AF$3&gt;0,资金流水!$H$1785=$C$3,ISNUMBER(资金流水!$B$1785),ISNUMBER(资金流水!$S$1785),资金流水!$S$1785&gt;=_辅助!$J$4,资金流水!$S$1785&lt;=_辅助!$J$2),INT(资金流水!$B$1785)*10000+1780,"")</f>
      </c>
    </row>
    <row r="1782">
      <c r="BG1782" s="2">
        <f>IF(AND($AF$3&gt;0,资金流水!$H$1786=$C$3,ISNUMBER(资金流水!$B$1786),ISNUMBER(资金流水!$S$1786),资金流水!$S$1786&gt;=_辅助!$J$4,资金流水!$S$1786&lt;=_辅助!$J$2),INT(资金流水!$B$1786)*10000+1781,"")</f>
      </c>
    </row>
    <row r="1783">
      <c r="BG1783" s="2">
        <f>IF(AND($AF$3&gt;0,资金流水!$H$1787=$C$3,ISNUMBER(资金流水!$B$1787),ISNUMBER(资金流水!$S$1787),资金流水!$S$1787&gt;=_辅助!$J$4,资金流水!$S$1787&lt;=_辅助!$J$2),INT(资金流水!$B$1787)*10000+1782,"")</f>
      </c>
    </row>
    <row r="1784">
      <c r="BG1784" s="2">
        <f>IF(AND($AF$3&gt;0,资金流水!$H$1788=$C$3,ISNUMBER(资金流水!$B$1788),ISNUMBER(资金流水!$S$1788),资金流水!$S$1788&gt;=_辅助!$J$4,资金流水!$S$1788&lt;=_辅助!$J$2),INT(资金流水!$B$1788)*10000+1783,"")</f>
      </c>
    </row>
    <row r="1785">
      <c r="BG1785" s="2">
        <f>IF(AND($AF$3&gt;0,资金流水!$H$1789=$C$3,ISNUMBER(资金流水!$B$1789),ISNUMBER(资金流水!$S$1789),资金流水!$S$1789&gt;=_辅助!$J$4,资金流水!$S$1789&lt;=_辅助!$J$2),INT(资金流水!$B$1789)*10000+1784,"")</f>
      </c>
    </row>
    <row r="1786">
      <c r="BG1786" s="2">
        <f>IF(AND($AF$3&gt;0,资金流水!$H$1790=$C$3,ISNUMBER(资金流水!$B$1790),ISNUMBER(资金流水!$S$1790),资金流水!$S$1790&gt;=_辅助!$J$4,资金流水!$S$1790&lt;=_辅助!$J$2),INT(资金流水!$B$1790)*10000+1785,"")</f>
      </c>
    </row>
    <row r="1787">
      <c r="BG1787" s="2">
        <f>IF(AND($AF$3&gt;0,资金流水!$H$1791=$C$3,ISNUMBER(资金流水!$B$1791),ISNUMBER(资金流水!$S$1791),资金流水!$S$1791&gt;=_辅助!$J$4,资金流水!$S$1791&lt;=_辅助!$J$2),INT(资金流水!$B$1791)*10000+1786,"")</f>
      </c>
    </row>
    <row r="1788">
      <c r="BG1788" s="2">
        <f>IF(AND($AF$3&gt;0,资金流水!$H$1792=$C$3,ISNUMBER(资金流水!$B$1792),ISNUMBER(资金流水!$S$1792),资金流水!$S$1792&gt;=_辅助!$J$4,资金流水!$S$1792&lt;=_辅助!$J$2),INT(资金流水!$B$1792)*10000+1787,"")</f>
      </c>
    </row>
    <row r="1789">
      <c r="BG1789" s="2">
        <f>IF(AND($AF$3&gt;0,资金流水!$H$1793=$C$3,ISNUMBER(资金流水!$B$1793),ISNUMBER(资金流水!$S$1793),资金流水!$S$1793&gt;=_辅助!$J$4,资金流水!$S$1793&lt;=_辅助!$J$2),INT(资金流水!$B$1793)*10000+1788,"")</f>
      </c>
    </row>
    <row r="1790">
      <c r="BG1790" s="2">
        <f>IF(AND($AF$3&gt;0,资金流水!$H$1794=$C$3,ISNUMBER(资金流水!$B$1794),ISNUMBER(资金流水!$S$1794),资金流水!$S$1794&gt;=_辅助!$J$4,资金流水!$S$1794&lt;=_辅助!$J$2),INT(资金流水!$B$1794)*10000+1789,"")</f>
      </c>
    </row>
    <row r="1791">
      <c r="BG1791" s="2">
        <f>IF(AND($AF$3&gt;0,资金流水!$H$1795=$C$3,ISNUMBER(资金流水!$B$1795),ISNUMBER(资金流水!$S$1795),资金流水!$S$1795&gt;=_辅助!$J$4,资金流水!$S$1795&lt;=_辅助!$J$2),INT(资金流水!$B$1795)*10000+1790,"")</f>
      </c>
    </row>
    <row r="1792">
      <c r="BG1792" s="2">
        <f>IF(AND($AF$3&gt;0,资金流水!$H$1796=$C$3,ISNUMBER(资金流水!$B$1796),ISNUMBER(资金流水!$S$1796),资金流水!$S$1796&gt;=_辅助!$J$4,资金流水!$S$1796&lt;=_辅助!$J$2),INT(资金流水!$B$1796)*10000+1791,"")</f>
      </c>
    </row>
    <row r="1793">
      <c r="BG1793" s="2">
        <f>IF(AND($AF$3&gt;0,资金流水!$H$1797=$C$3,ISNUMBER(资金流水!$B$1797),ISNUMBER(资金流水!$S$1797),资金流水!$S$1797&gt;=_辅助!$J$4,资金流水!$S$1797&lt;=_辅助!$J$2),INT(资金流水!$B$1797)*10000+1792,"")</f>
      </c>
    </row>
    <row r="1794">
      <c r="BG1794" s="2">
        <f>IF(AND($AF$3&gt;0,资金流水!$H$1798=$C$3,ISNUMBER(资金流水!$B$1798),ISNUMBER(资金流水!$S$1798),资金流水!$S$1798&gt;=_辅助!$J$4,资金流水!$S$1798&lt;=_辅助!$J$2),INT(资金流水!$B$1798)*10000+1793,"")</f>
      </c>
    </row>
    <row r="1795">
      <c r="BG1795" s="2">
        <f>IF(AND($AF$3&gt;0,资金流水!$H$1799=$C$3,ISNUMBER(资金流水!$B$1799),ISNUMBER(资金流水!$S$1799),资金流水!$S$1799&gt;=_辅助!$J$4,资金流水!$S$1799&lt;=_辅助!$J$2),INT(资金流水!$B$1799)*10000+1794,"")</f>
      </c>
    </row>
    <row r="1796">
      <c r="BG1796" s="2">
        <f>IF(AND($AF$3&gt;0,资金流水!$H$1800=$C$3,ISNUMBER(资金流水!$B$1800),ISNUMBER(资金流水!$S$1800),资金流水!$S$1800&gt;=_辅助!$J$4,资金流水!$S$1800&lt;=_辅助!$J$2),INT(资金流水!$B$1800)*10000+1795,"")</f>
      </c>
    </row>
    <row r="1797">
      <c r="BG1797" s="2">
        <f>IF(AND($AF$3&gt;0,资金流水!$H$1801=$C$3,ISNUMBER(资金流水!$B$1801),ISNUMBER(资金流水!$S$1801),资金流水!$S$1801&gt;=_辅助!$J$4,资金流水!$S$1801&lt;=_辅助!$J$2),INT(资金流水!$B$1801)*10000+1796,"")</f>
      </c>
    </row>
    <row r="1798">
      <c r="BG1798" s="2">
        <f>IF(AND($AF$3&gt;0,资金流水!$H$1802=$C$3,ISNUMBER(资金流水!$B$1802),ISNUMBER(资金流水!$S$1802),资金流水!$S$1802&gt;=_辅助!$J$4,资金流水!$S$1802&lt;=_辅助!$J$2),INT(资金流水!$B$1802)*10000+1797,"")</f>
      </c>
    </row>
    <row r="1799">
      <c r="BG1799" s="2">
        <f>IF(AND($AF$3&gt;0,资金流水!$H$1803=$C$3,ISNUMBER(资金流水!$B$1803),ISNUMBER(资金流水!$S$1803),资金流水!$S$1803&gt;=_辅助!$J$4,资金流水!$S$1803&lt;=_辅助!$J$2),INT(资金流水!$B$1803)*10000+1798,"")</f>
      </c>
    </row>
    <row r="1800">
      <c r="BG1800" s="2">
        <f>IF(AND($AF$3&gt;0,资金流水!$H$1804=$C$3,ISNUMBER(资金流水!$B$1804),ISNUMBER(资金流水!$S$1804),资金流水!$S$1804&gt;=_辅助!$J$4,资金流水!$S$1804&lt;=_辅助!$J$2),INT(资金流水!$B$1804)*10000+1799,"")</f>
      </c>
    </row>
    <row r="1801">
      <c r="BG1801" s="2">
        <f>IF(AND($AF$3&gt;0,资金流水!$H$1805=$C$3,ISNUMBER(资金流水!$B$1805),ISNUMBER(资金流水!$S$1805),资金流水!$S$1805&gt;=_辅助!$J$4,资金流水!$S$1805&lt;=_辅助!$J$2),INT(资金流水!$B$1805)*10000+1800,"")</f>
      </c>
    </row>
    <row r="1802">
      <c r="BG1802" s="2">
        <f>IF(AND($AF$3&gt;0,资金流水!$H$1806=$C$3,ISNUMBER(资金流水!$B$1806),ISNUMBER(资金流水!$S$1806),资金流水!$S$1806&gt;=_辅助!$J$4,资金流水!$S$1806&lt;=_辅助!$J$2),INT(资金流水!$B$1806)*10000+1801,"")</f>
      </c>
    </row>
    <row r="1803">
      <c r="BG1803" s="2">
        <f>IF(AND($AF$3&gt;0,资金流水!$H$1807=$C$3,ISNUMBER(资金流水!$B$1807),ISNUMBER(资金流水!$S$1807),资金流水!$S$1807&gt;=_辅助!$J$4,资金流水!$S$1807&lt;=_辅助!$J$2),INT(资金流水!$B$1807)*10000+1802,"")</f>
      </c>
    </row>
    <row r="1804">
      <c r="BG1804" s="2">
        <f>IF(AND($AF$3&gt;0,资金流水!$H$1808=$C$3,ISNUMBER(资金流水!$B$1808),ISNUMBER(资金流水!$S$1808),资金流水!$S$1808&gt;=_辅助!$J$4,资金流水!$S$1808&lt;=_辅助!$J$2),INT(资金流水!$B$1808)*10000+1803,"")</f>
      </c>
    </row>
    <row r="1805">
      <c r="BG1805" s="2">
        <f>IF(AND($AF$3&gt;0,资金流水!$H$1809=$C$3,ISNUMBER(资金流水!$B$1809),ISNUMBER(资金流水!$S$1809),资金流水!$S$1809&gt;=_辅助!$J$4,资金流水!$S$1809&lt;=_辅助!$J$2),INT(资金流水!$B$1809)*10000+1804,"")</f>
      </c>
    </row>
    <row r="1806">
      <c r="BG1806" s="2">
        <f>IF(AND($AF$3&gt;0,资金流水!$H$1810=$C$3,ISNUMBER(资金流水!$B$1810),ISNUMBER(资金流水!$S$1810),资金流水!$S$1810&gt;=_辅助!$J$4,资金流水!$S$1810&lt;=_辅助!$J$2),INT(资金流水!$B$1810)*10000+1805,"")</f>
      </c>
    </row>
    <row r="1807">
      <c r="BG1807" s="2">
        <f>IF(AND($AF$3&gt;0,资金流水!$H$1811=$C$3,ISNUMBER(资金流水!$B$1811),ISNUMBER(资金流水!$S$1811),资金流水!$S$1811&gt;=_辅助!$J$4,资金流水!$S$1811&lt;=_辅助!$J$2),INT(资金流水!$B$1811)*10000+1806,"")</f>
      </c>
    </row>
    <row r="1808">
      <c r="BG1808" s="2">
        <f>IF(AND($AF$3&gt;0,资金流水!$H$1812=$C$3,ISNUMBER(资金流水!$B$1812),ISNUMBER(资金流水!$S$1812),资金流水!$S$1812&gt;=_辅助!$J$4,资金流水!$S$1812&lt;=_辅助!$J$2),INT(资金流水!$B$1812)*10000+1807,"")</f>
      </c>
    </row>
    <row r="1809">
      <c r="BG1809" s="2">
        <f>IF(AND($AF$3&gt;0,资金流水!$H$1813=$C$3,ISNUMBER(资金流水!$B$1813),ISNUMBER(资金流水!$S$1813),资金流水!$S$1813&gt;=_辅助!$J$4,资金流水!$S$1813&lt;=_辅助!$J$2),INT(资金流水!$B$1813)*10000+1808,"")</f>
      </c>
    </row>
    <row r="1810">
      <c r="BG1810" s="2">
        <f>IF(AND($AF$3&gt;0,资金流水!$H$1814=$C$3,ISNUMBER(资金流水!$B$1814),ISNUMBER(资金流水!$S$1814),资金流水!$S$1814&gt;=_辅助!$J$4,资金流水!$S$1814&lt;=_辅助!$J$2),INT(资金流水!$B$1814)*10000+1809,"")</f>
      </c>
    </row>
    <row r="1811">
      <c r="BG1811" s="2">
        <f>IF(AND($AF$3&gt;0,资金流水!$H$1815=$C$3,ISNUMBER(资金流水!$B$1815),ISNUMBER(资金流水!$S$1815),资金流水!$S$1815&gt;=_辅助!$J$4,资金流水!$S$1815&lt;=_辅助!$J$2),INT(资金流水!$B$1815)*10000+1810,"")</f>
      </c>
    </row>
    <row r="1812">
      <c r="BG1812" s="2">
        <f>IF(AND($AF$3&gt;0,资金流水!$H$1816=$C$3,ISNUMBER(资金流水!$B$1816),ISNUMBER(资金流水!$S$1816),资金流水!$S$1816&gt;=_辅助!$J$4,资金流水!$S$1816&lt;=_辅助!$J$2),INT(资金流水!$B$1816)*10000+1811,"")</f>
      </c>
    </row>
    <row r="1813">
      <c r="BG1813" s="2">
        <f>IF(AND($AF$3&gt;0,资金流水!$H$1817=$C$3,ISNUMBER(资金流水!$B$1817),ISNUMBER(资金流水!$S$1817),资金流水!$S$1817&gt;=_辅助!$J$4,资金流水!$S$1817&lt;=_辅助!$J$2),INT(资金流水!$B$1817)*10000+1812,"")</f>
      </c>
    </row>
    <row r="1814">
      <c r="BG1814" s="2">
        <f>IF(AND($AF$3&gt;0,资金流水!$H$1818=$C$3,ISNUMBER(资金流水!$B$1818),ISNUMBER(资金流水!$S$1818),资金流水!$S$1818&gt;=_辅助!$J$4,资金流水!$S$1818&lt;=_辅助!$J$2),INT(资金流水!$B$1818)*10000+1813,"")</f>
      </c>
    </row>
    <row r="1815">
      <c r="BG1815" s="2">
        <f>IF(AND($AF$3&gt;0,资金流水!$H$1819=$C$3,ISNUMBER(资金流水!$B$1819),ISNUMBER(资金流水!$S$1819),资金流水!$S$1819&gt;=_辅助!$J$4,资金流水!$S$1819&lt;=_辅助!$J$2),INT(资金流水!$B$1819)*10000+1814,"")</f>
      </c>
    </row>
    <row r="1816">
      <c r="BG1816" s="2">
        <f>IF(AND($AF$3&gt;0,资金流水!$H$1820=$C$3,ISNUMBER(资金流水!$B$1820),ISNUMBER(资金流水!$S$1820),资金流水!$S$1820&gt;=_辅助!$J$4,资金流水!$S$1820&lt;=_辅助!$J$2),INT(资金流水!$B$1820)*10000+1815,"")</f>
      </c>
    </row>
    <row r="1817">
      <c r="BG1817" s="2">
        <f>IF(AND($AF$3&gt;0,资金流水!$H$1821=$C$3,ISNUMBER(资金流水!$B$1821),ISNUMBER(资金流水!$S$1821),资金流水!$S$1821&gt;=_辅助!$J$4,资金流水!$S$1821&lt;=_辅助!$J$2),INT(资金流水!$B$1821)*10000+1816,"")</f>
      </c>
    </row>
    <row r="1818">
      <c r="BG1818" s="2">
        <f>IF(AND($AF$3&gt;0,资金流水!$H$1822=$C$3,ISNUMBER(资金流水!$B$1822),ISNUMBER(资金流水!$S$1822),资金流水!$S$1822&gt;=_辅助!$J$4,资金流水!$S$1822&lt;=_辅助!$J$2),INT(资金流水!$B$1822)*10000+1817,"")</f>
      </c>
    </row>
    <row r="1819">
      <c r="BG1819" s="2">
        <f>IF(AND($AF$3&gt;0,资金流水!$H$1823=$C$3,ISNUMBER(资金流水!$B$1823),ISNUMBER(资金流水!$S$1823),资金流水!$S$1823&gt;=_辅助!$J$4,资金流水!$S$1823&lt;=_辅助!$J$2),INT(资金流水!$B$1823)*10000+1818,"")</f>
      </c>
    </row>
    <row r="1820">
      <c r="BG1820" s="2">
        <f>IF(AND($AF$3&gt;0,资金流水!$H$1824=$C$3,ISNUMBER(资金流水!$B$1824),ISNUMBER(资金流水!$S$1824),资金流水!$S$1824&gt;=_辅助!$J$4,资金流水!$S$1824&lt;=_辅助!$J$2),INT(资金流水!$B$1824)*10000+1819,"")</f>
      </c>
    </row>
    <row r="1821">
      <c r="BG1821" s="2">
        <f>IF(AND($AF$3&gt;0,资金流水!$H$1825=$C$3,ISNUMBER(资金流水!$B$1825),ISNUMBER(资金流水!$S$1825),资金流水!$S$1825&gt;=_辅助!$J$4,资金流水!$S$1825&lt;=_辅助!$J$2),INT(资金流水!$B$1825)*10000+1820,"")</f>
      </c>
    </row>
    <row r="1822">
      <c r="BG1822" s="2">
        <f>IF(AND($AF$3&gt;0,资金流水!$H$1826=$C$3,ISNUMBER(资金流水!$B$1826),ISNUMBER(资金流水!$S$1826),资金流水!$S$1826&gt;=_辅助!$J$4,资金流水!$S$1826&lt;=_辅助!$J$2),INT(资金流水!$B$1826)*10000+1821,"")</f>
      </c>
    </row>
    <row r="1823">
      <c r="BG1823" s="2">
        <f>IF(AND($AF$3&gt;0,资金流水!$H$1827=$C$3,ISNUMBER(资金流水!$B$1827),ISNUMBER(资金流水!$S$1827),资金流水!$S$1827&gt;=_辅助!$J$4,资金流水!$S$1827&lt;=_辅助!$J$2),INT(资金流水!$B$1827)*10000+1822,"")</f>
      </c>
    </row>
    <row r="1824">
      <c r="BG1824" s="2">
        <f>IF(AND($AF$3&gt;0,资金流水!$H$1828=$C$3,ISNUMBER(资金流水!$B$1828),ISNUMBER(资金流水!$S$1828),资金流水!$S$1828&gt;=_辅助!$J$4,资金流水!$S$1828&lt;=_辅助!$J$2),INT(资金流水!$B$1828)*10000+1823,"")</f>
      </c>
    </row>
    <row r="1825">
      <c r="BG1825" s="2">
        <f>IF(AND($AF$3&gt;0,资金流水!$H$1829=$C$3,ISNUMBER(资金流水!$B$1829),ISNUMBER(资金流水!$S$1829),资金流水!$S$1829&gt;=_辅助!$J$4,资金流水!$S$1829&lt;=_辅助!$J$2),INT(资金流水!$B$1829)*10000+1824,"")</f>
      </c>
    </row>
    <row r="1826">
      <c r="BG1826" s="2">
        <f>IF(AND($AF$3&gt;0,资金流水!$H$1830=$C$3,ISNUMBER(资金流水!$B$1830),ISNUMBER(资金流水!$S$1830),资金流水!$S$1830&gt;=_辅助!$J$4,资金流水!$S$1830&lt;=_辅助!$J$2),INT(资金流水!$B$1830)*10000+1825,"")</f>
      </c>
    </row>
    <row r="1827">
      <c r="BG1827" s="2">
        <f>IF(AND($AF$3&gt;0,资金流水!$H$1831=$C$3,ISNUMBER(资金流水!$B$1831),ISNUMBER(资金流水!$S$1831),资金流水!$S$1831&gt;=_辅助!$J$4,资金流水!$S$1831&lt;=_辅助!$J$2),INT(资金流水!$B$1831)*10000+1826,"")</f>
      </c>
    </row>
    <row r="1828">
      <c r="BG1828" s="2">
        <f>IF(AND($AF$3&gt;0,资金流水!$H$1832=$C$3,ISNUMBER(资金流水!$B$1832),ISNUMBER(资金流水!$S$1832),资金流水!$S$1832&gt;=_辅助!$J$4,资金流水!$S$1832&lt;=_辅助!$J$2),INT(资金流水!$B$1832)*10000+1827,"")</f>
      </c>
    </row>
    <row r="1829">
      <c r="BG1829" s="2">
        <f>IF(AND($AF$3&gt;0,资金流水!$H$1833=$C$3,ISNUMBER(资金流水!$B$1833),ISNUMBER(资金流水!$S$1833),资金流水!$S$1833&gt;=_辅助!$J$4,资金流水!$S$1833&lt;=_辅助!$J$2),INT(资金流水!$B$1833)*10000+1828,"")</f>
      </c>
    </row>
    <row r="1830">
      <c r="BG1830" s="2">
        <f>IF(AND($AF$3&gt;0,资金流水!$H$1834=$C$3,ISNUMBER(资金流水!$B$1834),ISNUMBER(资金流水!$S$1834),资金流水!$S$1834&gt;=_辅助!$J$4,资金流水!$S$1834&lt;=_辅助!$J$2),INT(资金流水!$B$1834)*10000+1829,"")</f>
      </c>
    </row>
    <row r="1831">
      <c r="BG1831" s="2">
        <f>IF(AND($AF$3&gt;0,资金流水!$H$1835=$C$3,ISNUMBER(资金流水!$B$1835),ISNUMBER(资金流水!$S$1835),资金流水!$S$1835&gt;=_辅助!$J$4,资金流水!$S$1835&lt;=_辅助!$J$2),INT(资金流水!$B$1835)*10000+1830,"")</f>
      </c>
    </row>
    <row r="1832">
      <c r="BG1832" s="2">
        <f>IF(AND($AF$3&gt;0,资金流水!$H$1836=$C$3,ISNUMBER(资金流水!$B$1836),ISNUMBER(资金流水!$S$1836),资金流水!$S$1836&gt;=_辅助!$J$4,资金流水!$S$1836&lt;=_辅助!$J$2),INT(资金流水!$B$1836)*10000+1831,"")</f>
      </c>
    </row>
    <row r="1833">
      <c r="BG1833" s="2">
        <f>IF(AND($AF$3&gt;0,资金流水!$H$1837=$C$3,ISNUMBER(资金流水!$B$1837),ISNUMBER(资金流水!$S$1837),资金流水!$S$1837&gt;=_辅助!$J$4,资金流水!$S$1837&lt;=_辅助!$J$2),INT(资金流水!$B$1837)*10000+1832,"")</f>
      </c>
    </row>
    <row r="1834">
      <c r="BG1834" s="2">
        <f>IF(AND($AF$3&gt;0,资金流水!$H$1838=$C$3,ISNUMBER(资金流水!$B$1838),ISNUMBER(资金流水!$S$1838),资金流水!$S$1838&gt;=_辅助!$J$4,资金流水!$S$1838&lt;=_辅助!$J$2),INT(资金流水!$B$1838)*10000+1833,"")</f>
      </c>
    </row>
    <row r="1835">
      <c r="BG1835" s="2">
        <f>IF(AND($AF$3&gt;0,资金流水!$H$1839=$C$3,ISNUMBER(资金流水!$B$1839),ISNUMBER(资金流水!$S$1839),资金流水!$S$1839&gt;=_辅助!$J$4,资金流水!$S$1839&lt;=_辅助!$J$2),INT(资金流水!$B$1839)*10000+1834,"")</f>
      </c>
    </row>
    <row r="1836">
      <c r="BG1836" s="2">
        <f>IF(AND($AF$3&gt;0,资金流水!$H$1840=$C$3,ISNUMBER(资金流水!$B$1840),ISNUMBER(资金流水!$S$1840),资金流水!$S$1840&gt;=_辅助!$J$4,资金流水!$S$1840&lt;=_辅助!$J$2),INT(资金流水!$B$1840)*10000+1835,"")</f>
      </c>
    </row>
    <row r="1837">
      <c r="BG1837" s="2">
        <f>IF(AND($AF$3&gt;0,资金流水!$H$1841=$C$3,ISNUMBER(资金流水!$B$1841),ISNUMBER(资金流水!$S$1841),资金流水!$S$1841&gt;=_辅助!$J$4,资金流水!$S$1841&lt;=_辅助!$J$2),INT(资金流水!$B$1841)*10000+1836,"")</f>
      </c>
    </row>
    <row r="1838">
      <c r="BG1838" s="2">
        <f>IF(AND($AF$3&gt;0,资金流水!$H$1842=$C$3,ISNUMBER(资金流水!$B$1842),ISNUMBER(资金流水!$S$1842),资金流水!$S$1842&gt;=_辅助!$J$4,资金流水!$S$1842&lt;=_辅助!$J$2),INT(资金流水!$B$1842)*10000+1837,"")</f>
      </c>
    </row>
    <row r="1839">
      <c r="BG1839" s="2">
        <f>IF(AND($AF$3&gt;0,资金流水!$H$1843=$C$3,ISNUMBER(资金流水!$B$1843),ISNUMBER(资金流水!$S$1843),资金流水!$S$1843&gt;=_辅助!$J$4,资金流水!$S$1843&lt;=_辅助!$J$2),INT(资金流水!$B$1843)*10000+1838,"")</f>
      </c>
    </row>
    <row r="1840">
      <c r="BG1840" s="2">
        <f>IF(AND($AF$3&gt;0,资金流水!$H$1844=$C$3,ISNUMBER(资金流水!$B$1844),ISNUMBER(资金流水!$S$1844),资金流水!$S$1844&gt;=_辅助!$J$4,资金流水!$S$1844&lt;=_辅助!$J$2),INT(资金流水!$B$1844)*10000+1839,"")</f>
      </c>
    </row>
    <row r="1841">
      <c r="BG1841" s="2">
        <f>IF(AND($AF$3&gt;0,资金流水!$H$1845=$C$3,ISNUMBER(资金流水!$B$1845),ISNUMBER(资金流水!$S$1845),资金流水!$S$1845&gt;=_辅助!$J$4,资金流水!$S$1845&lt;=_辅助!$J$2),INT(资金流水!$B$1845)*10000+1840,"")</f>
      </c>
    </row>
    <row r="1842">
      <c r="BG1842" s="2">
        <f>IF(AND($AF$3&gt;0,资金流水!$H$1846=$C$3,ISNUMBER(资金流水!$B$1846),ISNUMBER(资金流水!$S$1846),资金流水!$S$1846&gt;=_辅助!$J$4,资金流水!$S$1846&lt;=_辅助!$J$2),INT(资金流水!$B$1846)*10000+1841,"")</f>
      </c>
    </row>
    <row r="1843">
      <c r="BG1843" s="2">
        <f>IF(AND($AF$3&gt;0,资金流水!$H$1847=$C$3,ISNUMBER(资金流水!$B$1847),ISNUMBER(资金流水!$S$1847),资金流水!$S$1847&gt;=_辅助!$J$4,资金流水!$S$1847&lt;=_辅助!$J$2),INT(资金流水!$B$1847)*10000+1842,"")</f>
      </c>
    </row>
    <row r="1844">
      <c r="BG1844" s="2">
        <f>IF(AND($AF$3&gt;0,资金流水!$H$1848=$C$3,ISNUMBER(资金流水!$B$1848),ISNUMBER(资金流水!$S$1848),资金流水!$S$1848&gt;=_辅助!$J$4,资金流水!$S$1848&lt;=_辅助!$J$2),INT(资金流水!$B$1848)*10000+1843,"")</f>
      </c>
    </row>
    <row r="1845">
      <c r="BG1845" s="2">
        <f>IF(AND($AF$3&gt;0,资金流水!$H$1849=$C$3,ISNUMBER(资金流水!$B$1849),ISNUMBER(资金流水!$S$1849),资金流水!$S$1849&gt;=_辅助!$J$4,资金流水!$S$1849&lt;=_辅助!$J$2),INT(资金流水!$B$1849)*10000+1844,"")</f>
      </c>
    </row>
    <row r="1846">
      <c r="BG1846" s="2">
        <f>IF(AND($AF$3&gt;0,资金流水!$H$1850=$C$3,ISNUMBER(资金流水!$B$1850),ISNUMBER(资金流水!$S$1850),资金流水!$S$1850&gt;=_辅助!$J$4,资金流水!$S$1850&lt;=_辅助!$J$2),INT(资金流水!$B$1850)*10000+1845,"")</f>
      </c>
    </row>
    <row r="1847">
      <c r="BG1847" s="2">
        <f>IF(AND($AF$3&gt;0,资金流水!$H$1851=$C$3,ISNUMBER(资金流水!$B$1851),ISNUMBER(资金流水!$S$1851),资金流水!$S$1851&gt;=_辅助!$J$4,资金流水!$S$1851&lt;=_辅助!$J$2),INT(资金流水!$B$1851)*10000+1846,"")</f>
      </c>
    </row>
    <row r="1848">
      <c r="BG1848" s="2">
        <f>IF(AND($AF$3&gt;0,资金流水!$H$1852=$C$3,ISNUMBER(资金流水!$B$1852),ISNUMBER(资金流水!$S$1852),资金流水!$S$1852&gt;=_辅助!$J$4,资金流水!$S$1852&lt;=_辅助!$J$2),INT(资金流水!$B$1852)*10000+1847,"")</f>
      </c>
    </row>
    <row r="1849">
      <c r="BG1849" s="2">
        <f>IF(AND($AF$3&gt;0,资金流水!$H$1853=$C$3,ISNUMBER(资金流水!$B$1853),ISNUMBER(资金流水!$S$1853),资金流水!$S$1853&gt;=_辅助!$J$4,资金流水!$S$1853&lt;=_辅助!$J$2),INT(资金流水!$B$1853)*10000+1848,"")</f>
      </c>
    </row>
    <row r="1850">
      <c r="BG1850" s="2">
        <f>IF(AND($AF$3&gt;0,资金流水!$H$1854=$C$3,ISNUMBER(资金流水!$B$1854),ISNUMBER(资金流水!$S$1854),资金流水!$S$1854&gt;=_辅助!$J$4,资金流水!$S$1854&lt;=_辅助!$J$2),INT(资金流水!$B$1854)*10000+1849,"")</f>
      </c>
    </row>
    <row r="1851">
      <c r="BG1851" s="2">
        <f>IF(AND($AF$3&gt;0,资金流水!$H$1855=$C$3,ISNUMBER(资金流水!$B$1855),ISNUMBER(资金流水!$S$1855),资金流水!$S$1855&gt;=_辅助!$J$4,资金流水!$S$1855&lt;=_辅助!$J$2),INT(资金流水!$B$1855)*10000+1850,"")</f>
      </c>
    </row>
    <row r="1852">
      <c r="BG1852" s="2">
        <f>IF(AND($AF$3&gt;0,资金流水!$H$1856=$C$3,ISNUMBER(资金流水!$B$1856),ISNUMBER(资金流水!$S$1856),资金流水!$S$1856&gt;=_辅助!$J$4,资金流水!$S$1856&lt;=_辅助!$J$2),INT(资金流水!$B$1856)*10000+1851,"")</f>
      </c>
    </row>
    <row r="1853">
      <c r="BG1853" s="2">
        <f>IF(AND($AF$3&gt;0,资金流水!$H$1857=$C$3,ISNUMBER(资金流水!$B$1857),ISNUMBER(资金流水!$S$1857),资金流水!$S$1857&gt;=_辅助!$J$4,资金流水!$S$1857&lt;=_辅助!$J$2),INT(资金流水!$B$1857)*10000+1852,"")</f>
      </c>
    </row>
    <row r="1854">
      <c r="BG1854" s="2">
        <f>IF(AND($AF$3&gt;0,资金流水!$H$1858=$C$3,ISNUMBER(资金流水!$B$1858),ISNUMBER(资金流水!$S$1858),资金流水!$S$1858&gt;=_辅助!$J$4,资金流水!$S$1858&lt;=_辅助!$J$2),INT(资金流水!$B$1858)*10000+1853,"")</f>
      </c>
    </row>
    <row r="1855">
      <c r="BG1855" s="2">
        <f>IF(AND($AF$3&gt;0,资金流水!$H$1859=$C$3,ISNUMBER(资金流水!$B$1859),ISNUMBER(资金流水!$S$1859),资金流水!$S$1859&gt;=_辅助!$J$4,资金流水!$S$1859&lt;=_辅助!$J$2),INT(资金流水!$B$1859)*10000+1854,"")</f>
      </c>
    </row>
    <row r="1856">
      <c r="BG1856" s="2">
        <f>IF(AND($AF$3&gt;0,资金流水!$H$1860=$C$3,ISNUMBER(资金流水!$B$1860),ISNUMBER(资金流水!$S$1860),资金流水!$S$1860&gt;=_辅助!$J$4,资金流水!$S$1860&lt;=_辅助!$J$2),INT(资金流水!$B$1860)*10000+1855,"")</f>
      </c>
    </row>
    <row r="1857">
      <c r="BG1857" s="2">
        <f>IF(AND($AF$3&gt;0,资金流水!$H$1861=$C$3,ISNUMBER(资金流水!$B$1861),ISNUMBER(资金流水!$S$1861),资金流水!$S$1861&gt;=_辅助!$J$4,资金流水!$S$1861&lt;=_辅助!$J$2),INT(资金流水!$B$1861)*10000+1856,"")</f>
      </c>
    </row>
    <row r="1858">
      <c r="BG1858" s="2">
        <f>IF(AND($AF$3&gt;0,资金流水!$H$1862=$C$3,ISNUMBER(资金流水!$B$1862),ISNUMBER(资金流水!$S$1862),资金流水!$S$1862&gt;=_辅助!$J$4,资金流水!$S$1862&lt;=_辅助!$J$2),INT(资金流水!$B$1862)*10000+1857,"")</f>
      </c>
    </row>
    <row r="1859">
      <c r="BG1859" s="2">
        <f>IF(AND($AF$3&gt;0,资金流水!$H$1863=$C$3,ISNUMBER(资金流水!$B$1863),ISNUMBER(资金流水!$S$1863),资金流水!$S$1863&gt;=_辅助!$J$4,资金流水!$S$1863&lt;=_辅助!$J$2),INT(资金流水!$B$1863)*10000+1858,"")</f>
      </c>
    </row>
    <row r="1860">
      <c r="BG1860" s="2">
        <f>IF(AND($AF$3&gt;0,资金流水!$H$1864=$C$3,ISNUMBER(资金流水!$B$1864),ISNUMBER(资金流水!$S$1864),资金流水!$S$1864&gt;=_辅助!$J$4,资金流水!$S$1864&lt;=_辅助!$J$2),INT(资金流水!$B$1864)*10000+1859,"")</f>
      </c>
    </row>
    <row r="1861">
      <c r="BG1861" s="2">
        <f>IF(AND($AF$3&gt;0,资金流水!$H$1865=$C$3,ISNUMBER(资金流水!$B$1865),ISNUMBER(资金流水!$S$1865),资金流水!$S$1865&gt;=_辅助!$J$4,资金流水!$S$1865&lt;=_辅助!$J$2),INT(资金流水!$B$1865)*10000+1860,"")</f>
      </c>
    </row>
    <row r="1862">
      <c r="BG1862" s="2">
        <f>IF(AND($AF$3&gt;0,资金流水!$H$1866=$C$3,ISNUMBER(资金流水!$B$1866),ISNUMBER(资金流水!$S$1866),资金流水!$S$1866&gt;=_辅助!$J$4,资金流水!$S$1866&lt;=_辅助!$J$2),INT(资金流水!$B$1866)*10000+1861,"")</f>
      </c>
    </row>
    <row r="1863">
      <c r="BG1863" s="2">
        <f>IF(AND($AF$3&gt;0,资金流水!$H$1867=$C$3,ISNUMBER(资金流水!$B$1867),ISNUMBER(资金流水!$S$1867),资金流水!$S$1867&gt;=_辅助!$J$4,资金流水!$S$1867&lt;=_辅助!$J$2),INT(资金流水!$B$1867)*10000+1862,"")</f>
      </c>
    </row>
    <row r="1864">
      <c r="BG1864" s="2">
        <f>IF(AND($AF$3&gt;0,资金流水!$H$1868=$C$3,ISNUMBER(资金流水!$B$1868),ISNUMBER(资金流水!$S$1868),资金流水!$S$1868&gt;=_辅助!$J$4,资金流水!$S$1868&lt;=_辅助!$J$2),INT(资金流水!$B$1868)*10000+1863,"")</f>
      </c>
    </row>
    <row r="1865">
      <c r="BG1865" s="2">
        <f>IF(AND($AF$3&gt;0,资金流水!$H$1869=$C$3,ISNUMBER(资金流水!$B$1869),ISNUMBER(资金流水!$S$1869),资金流水!$S$1869&gt;=_辅助!$J$4,资金流水!$S$1869&lt;=_辅助!$J$2),INT(资金流水!$B$1869)*10000+1864,"")</f>
      </c>
    </row>
    <row r="1866">
      <c r="BG1866" s="2">
        <f>IF(AND($AF$3&gt;0,资金流水!$H$1870=$C$3,ISNUMBER(资金流水!$B$1870),ISNUMBER(资金流水!$S$1870),资金流水!$S$1870&gt;=_辅助!$J$4,资金流水!$S$1870&lt;=_辅助!$J$2),INT(资金流水!$B$1870)*10000+1865,"")</f>
      </c>
    </row>
    <row r="1867">
      <c r="BG1867" s="2">
        <f>IF(AND($AF$3&gt;0,资金流水!$H$1871=$C$3,ISNUMBER(资金流水!$B$1871),ISNUMBER(资金流水!$S$1871),资金流水!$S$1871&gt;=_辅助!$J$4,资金流水!$S$1871&lt;=_辅助!$J$2),INT(资金流水!$B$1871)*10000+1866,"")</f>
      </c>
    </row>
    <row r="1868">
      <c r="BG1868" s="2">
        <f>IF(AND($AF$3&gt;0,资金流水!$H$1872=$C$3,ISNUMBER(资金流水!$B$1872),ISNUMBER(资金流水!$S$1872),资金流水!$S$1872&gt;=_辅助!$J$4,资金流水!$S$1872&lt;=_辅助!$J$2),INT(资金流水!$B$1872)*10000+1867,"")</f>
      </c>
    </row>
    <row r="1869">
      <c r="BG1869" s="2">
        <f>IF(AND($AF$3&gt;0,资金流水!$H$1873=$C$3,ISNUMBER(资金流水!$B$1873),ISNUMBER(资金流水!$S$1873),资金流水!$S$1873&gt;=_辅助!$J$4,资金流水!$S$1873&lt;=_辅助!$J$2),INT(资金流水!$B$1873)*10000+1868,"")</f>
      </c>
    </row>
    <row r="1870">
      <c r="BG1870" s="2">
        <f>IF(AND($AF$3&gt;0,资金流水!$H$1874=$C$3,ISNUMBER(资金流水!$B$1874),ISNUMBER(资金流水!$S$1874),资金流水!$S$1874&gt;=_辅助!$J$4,资金流水!$S$1874&lt;=_辅助!$J$2),INT(资金流水!$B$1874)*10000+1869,"")</f>
      </c>
    </row>
    <row r="1871">
      <c r="BG1871" s="2">
        <f>IF(AND($AF$3&gt;0,资金流水!$H$1875=$C$3,ISNUMBER(资金流水!$B$1875),ISNUMBER(资金流水!$S$1875),资金流水!$S$1875&gt;=_辅助!$J$4,资金流水!$S$1875&lt;=_辅助!$J$2),INT(资金流水!$B$1875)*10000+1870,"")</f>
      </c>
    </row>
    <row r="1872">
      <c r="BG1872" s="2">
        <f>IF(AND($AF$3&gt;0,资金流水!$H$1876=$C$3,ISNUMBER(资金流水!$B$1876),ISNUMBER(资金流水!$S$1876),资金流水!$S$1876&gt;=_辅助!$J$4,资金流水!$S$1876&lt;=_辅助!$J$2),INT(资金流水!$B$1876)*10000+1871,"")</f>
      </c>
    </row>
    <row r="1873">
      <c r="BG1873" s="2">
        <f>IF(AND($AF$3&gt;0,资金流水!$H$1877=$C$3,ISNUMBER(资金流水!$B$1877),ISNUMBER(资金流水!$S$1877),资金流水!$S$1877&gt;=_辅助!$J$4,资金流水!$S$1877&lt;=_辅助!$J$2),INT(资金流水!$B$1877)*10000+1872,"")</f>
      </c>
    </row>
    <row r="1874">
      <c r="BG1874" s="2">
        <f>IF(AND($AF$3&gt;0,资金流水!$H$1878=$C$3,ISNUMBER(资金流水!$B$1878),ISNUMBER(资金流水!$S$1878),资金流水!$S$1878&gt;=_辅助!$J$4,资金流水!$S$1878&lt;=_辅助!$J$2),INT(资金流水!$B$1878)*10000+1873,"")</f>
      </c>
    </row>
    <row r="1875">
      <c r="BG1875" s="2">
        <f>IF(AND($AF$3&gt;0,资金流水!$H$1879=$C$3,ISNUMBER(资金流水!$B$1879),ISNUMBER(资金流水!$S$1879),资金流水!$S$1879&gt;=_辅助!$J$4,资金流水!$S$1879&lt;=_辅助!$J$2),INT(资金流水!$B$1879)*10000+1874,"")</f>
      </c>
    </row>
    <row r="1876">
      <c r="BG1876" s="2">
        <f>IF(AND($AF$3&gt;0,资金流水!$H$1880=$C$3,ISNUMBER(资金流水!$B$1880),ISNUMBER(资金流水!$S$1880),资金流水!$S$1880&gt;=_辅助!$J$4,资金流水!$S$1880&lt;=_辅助!$J$2),INT(资金流水!$B$1880)*10000+1875,"")</f>
      </c>
    </row>
    <row r="1877">
      <c r="BG1877" s="2">
        <f>IF(AND($AF$3&gt;0,资金流水!$H$1881=$C$3,ISNUMBER(资金流水!$B$1881),ISNUMBER(资金流水!$S$1881),资金流水!$S$1881&gt;=_辅助!$J$4,资金流水!$S$1881&lt;=_辅助!$J$2),INT(资金流水!$B$1881)*10000+1876,"")</f>
      </c>
    </row>
    <row r="1878">
      <c r="BG1878" s="2">
        <f>IF(AND($AF$3&gt;0,资金流水!$H$1882=$C$3,ISNUMBER(资金流水!$B$1882),ISNUMBER(资金流水!$S$1882),资金流水!$S$1882&gt;=_辅助!$J$4,资金流水!$S$1882&lt;=_辅助!$J$2),INT(资金流水!$B$1882)*10000+1877,"")</f>
      </c>
    </row>
    <row r="1879">
      <c r="BG1879" s="2">
        <f>IF(AND($AF$3&gt;0,资金流水!$H$1883=$C$3,ISNUMBER(资金流水!$B$1883),ISNUMBER(资金流水!$S$1883),资金流水!$S$1883&gt;=_辅助!$J$4,资金流水!$S$1883&lt;=_辅助!$J$2),INT(资金流水!$B$1883)*10000+1878,"")</f>
      </c>
    </row>
    <row r="1880">
      <c r="BG1880" s="2">
        <f>IF(AND($AF$3&gt;0,资金流水!$H$1884=$C$3,ISNUMBER(资金流水!$B$1884),ISNUMBER(资金流水!$S$1884),资金流水!$S$1884&gt;=_辅助!$J$4,资金流水!$S$1884&lt;=_辅助!$J$2),INT(资金流水!$B$1884)*10000+1879,"")</f>
      </c>
    </row>
    <row r="1881">
      <c r="BG1881" s="2">
        <f>IF(AND($AF$3&gt;0,资金流水!$H$1885=$C$3,ISNUMBER(资金流水!$B$1885),ISNUMBER(资金流水!$S$1885),资金流水!$S$1885&gt;=_辅助!$J$4,资金流水!$S$1885&lt;=_辅助!$J$2),INT(资金流水!$B$1885)*10000+1880,"")</f>
      </c>
    </row>
    <row r="1882">
      <c r="BG1882" s="2">
        <f>IF(AND($AF$3&gt;0,资金流水!$H$1886=$C$3,ISNUMBER(资金流水!$B$1886),ISNUMBER(资金流水!$S$1886),资金流水!$S$1886&gt;=_辅助!$J$4,资金流水!$S$1886&lt;=_辅助!$J$2),INT(资金流水!$B$1886)*10000+1881,"")</f>
      </c>
    </row>
    <row r="1883">
      <c r="BG1883" s="2">
        <f>IF(AND($AF$3&gt;0,资金流水!$H$1887=$C$3,ISNUMBER(资金流水!$B$1887),ISNUMBER(资金流水!$S$1887),资金流水!$S$1887&gt;=_辅助!$J$4,资金流水!$S$1887&lt;=_辅助!$J$2),INT(资金流水!$B$1887)*10000+1882,"")</f>
      </c>
    </row>
    <row r="1884">
      <c r="BG1884" s="2">
        <f>IF(AND($AF$3&gt;0,资金流水!$H$1888=$C$3,ISNUMBER(资金流水!$B$1888),ISNUMBER(资金流水!$S$1888),资金流水!$S$1888&gt;=_辅助!$J$4,资金流水!$S$1888&lt;=_辅助!$J$2),INT(资金流水!$B$1888)*10000+1883,"")</f>
      </c>
    </row>
    <row r="1885">
      <c r="BG1885" s="2">
        <f>IF(AND($AF$3&gt;0,资金流水!$H$1889=$C$3,ISNUMBER(资金流水!$B$1889),ISNUMBER(资金流水!$S$1889),资金流水!$S$1889&gt;=_辅助!$J$4,资金流水!$S$1889&lt;=_辅助!$J$2),INT(资金流水!$B$1889)*10000+1884,"")</f>
      </c>
    </row>
    <row r="1886">
      <c r="BG1886" s="2">
        <f>IF(AND($AF$3&gt;0,资金流水!$H$1890=$C$3,ISNUMBER(资金流水!$B$1890),ISNUMBER(资金流水!$S$1890),资金流水!$S$1890&gt;=_辅助!$J$4,资金流水!$S$1890&lt;=_辅助!$J$2),INT(资金流水!$B$1890)*10000+1885,"")</f>
      </c>
    </row>
    <row r="1887">
      <c r="BG1887" s="2">
        <f>IF(AND($AF$3&gt;0,资金流水!$H$1891=$C$3,ISNUMBER(资金流水!$B$1891),ISNUMBER(资金流水!$S$1891),资金流水!$S$1891&gt;=_辅助!$J$4,资金流水!$S$1891&lt;=_辅助!$J$2),INT(资金流水!$B$1891)*10000+1886,"")</f>
      </c>
    </row>
    <row r="1888">
      <c r="BG1888" s="2">
        <f>IF(AND($AF$3&gt;0,资金流水!$H$1892=$C$3,ISNUMBER(资金流水!$B$1892),ISNUMBER(资金流水!$S$1892),资金流水!$S$1892&gt;=_辅助!$J$4,资金流水!$S$1892&lt;=_辅助!$J$2),INT(资金流水!$B$1892)*10000+1887,"")</f>
      </c>
    </row>
    <row r="1889">
      <c r="BG1889" s="2">
        <f>IF(AND($AF$3&gt;0,资金流水!$H$1893=$C$3,ISNUMBER(资金流水!$B$1893),ISNUMBER(资金流水!$S$1893),资金流水!$S$1893&gt;=_辅助!$J$4,资金流水!$S$1893&lt;=_辅助!$J$2),INT(资金流水!$B$1893)*10000+1888,"")</f>
      </c>
    </row>
    <row r="1890">
      <c r="BG1890" s="2">
        <f>IF(AND($AF$3&gt;0,资金流水!$H$1894=$C$3,ISNUMBER(资金流水!$B$1894),ISNUMBER(资金流水!$S$1894),资金流水!$S$1894&gt;=_辅助!$J$4,资金流水!$S$1894&lt;=_辅助!$J$2),INT(资金流水!$B$1894)*10000+1889,"")</f>
      </c>
    </row>
    <row r="1891">
      <c r="BG1891" s="2">
        <f>IF(AND($AF$3&gt;0,资金流水!$H$1895=$C$3,ISNUMBER(资金流水!$B$1895),ISNUMBER(资金流水!$S$1895),资金流水!$S$1895&gt;=_辅助!$J$4,资金流水!$S$1895&lt;=_辅助!$J$2),INT(资金流水!$B$1895)*10000+1890,"")</f>
      </c>
    </row>
    <row r="1892">
      <c r="BG1892" s="2">
        <f>IF(AND($AF$3&gt;0,资金流水!$H$1896=$C$3,ISNUMBER(资金流水!$B$1896),ISNUMBER(资金流水!$S$1896),资金流水!$S$1896&gt;=_辅助!$J$4,资金流水!$S$1896&lt;=_辅助!$J$2),INT(资金流水!$B$1896)*10000+1891,"")</f>
      </c>
    </row>
    <row r="1893">
      <c r="BG1893" s="2">
        <f>IF(AND($AF$3&gt;0,资金流水!$H$1897=$C$3,ISNUMBER(资金流水!$B$1897),ISNUMBER(资金流水!$S$1897),资金流水!$S$1897&gt;=_辅助!$J$4,资金流水!$S$1897&lt;=_辅助!$J$2),INT(资金流水!$B$1897)*10000+1892,"")</f>
      </c>
    </row>
    <row r="1894">
      <c r="BG1894" s="2">
        <f>IF(AND($AF$3&gt;0,资金流水!$H$1898=$C$3,ISNUMBER(资金流水!$B$1898),ISNUMBER(资金流水!$S$1898),资金流水!$S$1898&gt;=_辅助!$J$4,资金流水!$S$1898&lt;=_辅助!$J$2),INT(资金流水!$B$1898)*10000+1893,"")</f>
      </c>
    </row>
    <row r="1895">
      <c r="BG1895" s="2">
        <f>IF(AND($AF$3&gt;0,资金流水!$H$1899=$C$3,ISNUMBER(资金流水!$B$1899),ISNUMBER(资金流水!$S$1899),资金流水!$S$1899&gt;=_辅助!$J$4,资金流水!$S$1899&lt;=_辅助!$J$2),INT(资金流水!$B$1899)*10000+1894,"")</f>
      </c>
    </row>
    <row r="1896">
      <c r="BG1896" s="2">
        <f>IF(AND($AF$3&gt;0,资金流水!$H$1900=$C$3,ISNUMBER(资金流水!$B$1900),ISNUMBER(资金流水!$S$1900),资金流水!$S$1900&gt;=_辅助!$J$4,资金流水!$S$1900&lt;=_辅助!$J$2),INT(资金流水!$B$1900)*10000+1895,"")</f>
      </c>
    </row>
    <row r="1897">
      <c r="BG1897" s="2">
        <f>IF(AND($AF$3&gt;0,资金流水!$H$1901=$C$3,ISNUMBER(资金流水!$B$1901),ISNUMBER(资金流水!$S$1901),资金流水!$S$1901&gt;=_辅助!$J$4,资金流水!$S$1901&lt;=_辅助!$J$2),INT(资金流水!$B$1901)*10000+1896,"")</f>
      </c>
    </row>
    <row r="1898">
      <c r="BG1898" s="2">
        <f>IF(AND($AF$3&gt;0,资金流水!$H$1902=$C$3,ISNUMBER(资金流水!$B$1902),ISNUMBER(资金流水!$S$1902),资金流水!$S$1902&gt;=_辅助!$J$4,资金流水!$S$1902&lt;=_辅助!$J$2),INT(资金流水!$B$1902)*10000+1897,"")</f>
      </c>
    </row>
    <row r="1899">
      <c r="BG1899" s="2">
        <f>IF(AND($AF$3&gt;0,资金流水!$H$1903=$C$3,ISNUMBER(资金流水!$B$1903),ISNUMBER(资金流水!$S$1903),资金流水!$S$1903&gt;=_辅助!$J$4,资金流水!$S$1903&lt;=_辅助!$J$2),INT(资金流水!$B$1903)*10000+1898,"")</f>
      </c>
    </row>
    <row r="1900">
      <c r="BG1900" s="2">
        <f>IF(AND($AF$3&gt;0,资金流水!$H$1904=$C$3,ISNUMBER(资金流水!$B$1904),ISNUMBER(资金流水!$S$1904),资金流水!$S$1904&gt;=_辅助!$J$4,资金流水!$S$1904&lt;=_辅助!$J$2),INT(资金流水!$B$1904)*10000+1899,"")</f>
      </c>
    </row>
    <row r="1901">
      <c r="BG1901" s="2">
        <f>IF(AND($AF$3&gt;0,资金流水!$H$1905=$C$3,ISNUMBER(资金流水!$B$1905),ISNUMBER(资金流水!$S$1905),资金流水!$S$1905&gt;=_辅助!$J$4,资金流水!$S$1905&lt;=_辅助!$J$2),INT(资金流水!$B$1905)*10000+1900,"")</f>
      </c>
    </row>
    <row r="1902">
      <c r="BG1902" s="2">
        <f>IF(AND($AF$3&gt;0,资金流水!$H$1906=$C$3,ISNUMBER(资金流水!$B$1906),ISNUMBER(资金流水!$S$1906),资金流水!$S$1906&gt;=_辅助!$J$4,资金流水!$S$1906&lt;=_辅助!$J$2),INT(资金流水!$B$1906)*10000+1901,"")</f>
      </c>
    </row>
    <row r="1903">
      <c r="BG1903" s="2">
        <f>IF(AND($AF$3&gt;0,资金流水!$H$1907=$C$3,ISNUMBER(资金流水!$B$1907),ISNUMBER(资金流水!$S$1907),资金流水!$S$1907&gt;=_辅助!$J$4,资金流水!$S$1907&lt;=_辅助!$J$2),INT(资金流水!$B$1907)*10000+1902,"")</f>
      </c>
    </row>
    <row r="1904">
      <c r="BG1904" s="2">
        <f>IF(AND($AF$3&gt;0,资金流水!$H$1908=$C$3,ISNUMBER(资金流水!$B$1908),ISNUMBER(资金流水!$S$1908),资金流水!$S$1908&gt;=_辅助!$J$4,资金流水!$S$1908&lt;=_辅助!$J$2),INT(资金流水!$B$1908)*10000+1903,"")</f>
      </c>
    </row>
    <row r="1905">
      <c r="BG1905" s="2">
        <f>IF(AND($AF$3&gt;0,资金流水!$H$1909=$C$3,ISNUMBER(资金流水!$B$1909),ISNUMBER(资金流水!$S$1909),资金流水!$S$1909&gt;=_辅助!$J$4,资金流水!$S$1909&lt;=_辅助!$J$2),INT(资金流水!$B$1909)*10000+1904,"")</f>
      </c>
    </row>
    <row r="1906">
      <c r="BG1906" s="2">
        <f>IF(AND($AF$3&gt;0,资金流水!$H$1910=$C$3,ISNUMBER(资金流水!$B$1910),ISNUMBER(资金流水!$S$1910),资金流水!$S$1910&gt;=_辅助!$J$4,资金流水!$S$1910&lt;=_辅助!$J$2),INT(资金流水!$B$1910)*10000+1905,"")</f>
      </c>
    </row>
    <row r="1907">
      <c r="BG1907" s="2">
        <f>IF(AND($AF$3&gt;0,资金流水!$H$1911=$C$3,ISNUMBER(资金流水!$B$1911),ISNUMBER(资金流水!$S$1911),资金流水!$S$1911&gt;=_辅助!$J$4,资金流水!$S$1911&lt;=_辅助!$J$2),INT(资金流水!$B$1911)*10000+1906,"")</f>
      </c>
    </row>
    <row r="1908">
      <c r="BG1908" s="2">
        <f>IF(AND($AF$3&gt;0,资金流水!$H$1912=$C$3,ISNUMBER(资金流水!$B$1912),ISNUMBER(资金流水!$S$1912),资金流水!$S$1912&gt;=_辅助!$J$4,资金流水!$S$1912&lt;=_辅助!$J$2),INT(资金流水!$B$1912)*10000+1907,"")</f>
      </c>
    </row>
    <row r="1909">
      <c r="BG1909" s="2">
        <f>IF(AND($AF$3&gt;0,资金流水!$H$1913=$C$3,ISNUMBER(资金流水!$B$1913),ISNUMBER(资金流水!$S$1913),资金流水!$S$1913&gt;=_辅助!$J$4,资金流水!$S$1913&lt;=_辅助!$J$2),INT(资金流水!$B$1913)*10000+1908,"")</f>
      </c>
    </row>
    <row r="1910">
      <c r="BG1910" s="2">
        <f>IF(AND($AF$3&gt;0,资金流水!$H$1914=$C$3,ISNUMBER(资金流水!$B$1914),ISNUMBER(资金流水!$S$1914),资金流水!$S$1914&gt;=_辅助!$J$4,资金流水!$S$1914&lt;=_辅助!$J$2),INT(资金流水!$B$1914)*10000+1909,"")</f>
      </c>
    </row>
    <row r="1911">
      <c r="BG1911" s="2">
        <f>IF(AND($AF$3&gt;0,资金流水!$H$1915=$C$3,ISNUMBER(资金流水!$B$1915),ISNUMBER(资金流水!$S$1915),资金流水!$S$1915&gt;=_辅助!$J$4,资金流水!$S$1915&lt;=_辅助!$J$2),INT(资金流水!$B$1915)*10000+1910,"")</f>
      </c>
    </row>
    <row r="1912">
      <c r="BG1912" s="2">
        <f>IF(AND($AF$3&gt;0,资金流水!$H$1916=$C$3,ISNUMBER(资金流水!$B$1916),ISNUMBER(资金流水!$S$1916),资金流水!$S$1916&gt;=_辅助!$J$4,资金流水!$S$1916&lt;=_辅助!$J$2),INT(资金流水!$B$1916)*10000+1911,"")</f>
      </c>
    </row>
    <row r="1913">
      <c r="BG1913" s="2">
        <f>IF(AND($AF$3&gt;0,资金流水!$H$1917=$C$3,ISNUMBER(资金流水!$B$1917),ISNUMBER(资金流水!$S$1917),资金流水!$S$1917&gt;=_辅助!$J$4,资金流水!$S$1917&lt;=_辅助!$J$2),INT(资金流水!$B$1917)*10000+1912,"")</f>
      </c>
    </row>
    <row r="1914">
      <c r="BG1914" s="2">
        <f>IF(AND($AF$3&gt;0,资金流水!$H$1918=$C$3,ISNUMBER(资金流水!$B$1918),ISNUMBER(资金流水!$S$1918),资金流水!$S$1918&gt;=_辅助!$J$4,资金流水!$S$1918&lt;=_辅助!$J$2),INT(资金流水!$B$1918)*10000+1913,"")</f>
      </c>
    </row>
    <row r="1915">
      <c r="BG1915" s="2">
        <f>IF(AND($AF$3&gt;0,资金流水!$H$1919=$C$3,ISNUMBER(资金流水!$B$1919),ISNUMBER(资金流水!$S$1919),资金流水!$S$1919&gt;=_辅助!$J$4,资金流水!$S$1919&lt;=_辅助!$J$2),INT(资金流水!$B$1919)*10000+1914,"")</f>
      </c>
    </row>
    <row r="1916">
      <c r="BG1916" s="2">
        <f>IF(AND($AF$3&gt;0,资金流水!$H$1920=$C$3,ISNUMBER(资金流水!$B$1920),ISNUMBER(资金流水!$S$1920),资金流水!$S$1920&gt;=_辅助!$J$4,资金流水!$S$1920&lt;=_辅助!$J$2),INT(资金流水!$B$1920)*10000+1915,"")</f>
      </c>
    </row>
    <row r="1917">
      <c r="BG1917" s="2">
        <f>IF(AND($AF$3&gt;0,资金流水!$H$1921=$C$3,ISNUMBER(资金流水!$B$1921),ISNUMBER(资金流水!$S$1921),资金流水!$S$1921&gt;=_辅助!$J$4,资金流水!$S$1921&lt;=_辅助!$J$2),INT(资金流水!$B$1921)*10000+1916,"")</f>
      </c>
    </row>
    <row r="1918">
      <c r="BG1918" s="2">
        <f>IF(AND($AF$3&gt;0,资金流水!$H$1922=$C$3,ISNUMBER(资金流水!$B$1922),ISNUMBER(资金流水!$S$1922),资金流水!$S$1922&gt;=_辅助!$J$4,资金流水!$S$1922&lt;=_辅助!$J$2),INT(资金流水!$B$1922)*10000+1917,"")</f>
      </c>
    </row>
    <row r="1919">
      <c r="BG1919" s="2">
        <f>IF(AND($AF$3&gt;0,资金流水!$H$1923=$C$3,ISNUMBER(资金流水!$B$1923),ISNUMBER(资金流水!$S$1923),资金流水!$S$1923&gt;=_辅助!$J$4,资金流水!$S$1923&lt;=_辅助!$J$2),INT(资金流水!$B$1923)*10000+1918,"")</f>
      </c>
    </row>
    <row r="1920">
      <c r="BG1920" s="2">
        <f>IF(AND($AF$3&gt;0,资金流水!$H$1924=$C$3,ISNUMBER(资金流水!$B$1924),ISNUMBER(资金流水!$S$1924),资金流水!$S$1924&gt;=_辅助!$J$4,资金流水!$S$1924&lt;=_辅助!$J$2),INT(资金流水!$B$1924)*10000+1919,"")</f>
      </c>
    </row>
    <row r="1921">
      <c r="BG1921" s="2">
        <f>IF(AND($AF$3&gt;0,资金流水!$H$1925=$C$3,ISNUMBER(资金流水!$B$1925),ISNUMBER(资金流水!$S$1925),资金流水!$S$1925&gt;=_辅助!$J$4,资金流水!$S$1925&lt;=_辅助!$J$2),INT(资金流水!$B$1925)*10000+1920,"")</f>
      </c>
    </row>
    <row r="1922">
      <c r="BG1922" s="2">
        <f>IF(AND($AF$3&gt;0,资金流水!$H$1926=$C$3,ISNUMBER(资金流水!$B$1926),ISNUMBER(资金流水!$S$1926),资金流水!$S$1926&gt;=_辅助!$J$4,资金流水!$S$1926&lt;=_辅助!$J$2),INT(资金流水!$B$1926)*10000+1921,"")</f>
      </c>
    </row>
    <row r="1923">
      <c r="BG1923" s="2">
        <f>IF(AND($AF$3&gt;0,资金流水!$H$1927=$C$3,ISNUMBER(资金流水!$B$1927),ISNUMBER(资金流水!$S$1927),资金流水!$S$1927&gt;=_辅助!$J$4,资金流水!$S$1927&lt;=_辅助!$J$2),INT(资金流水!$B$1927)*10000+1922,"")</f>
      </c>
    </row>
    <row r="1924">
      <c r="BG1924" s="2">
        <f>IF(AND($AF$3&gt;0,资金流水!$H$1928=$C$3,ISNUMBER(资金流水!$B$1928),ISNUMBER(资金流水!$S$1928),资金流水!$S$1928&gt;=_辅助!$J$4,资金流水!$S$1928&lt;=_辅助!$J$2),INT(资金流水!$B$1928)*10000+1923,"")</f>
      </c>
    </row>
    <row r="1925">
      <c r="BG1925" s="2">
        <f>IF(AND($AF$3&gt;0,资金流水!$H$1929=$C$3,ISNUMBER(资金流水!$B$1929),ISNUMBER(资金流水!$S$1929),资金流水!$S$1929&gt;=_辅助!$J$4,资金流水!$S$1929&lt;=_辅助!$J$2),INT(资金流水!$B$1929)*10000+1924,"")</f>
      </c>
    </row>
    <row r="1926">
      <c r="BG1926" s="2">
        <f>IF(AND($AF$3&gt;0,资金流水!$H$1930=$C$3,ISNUMBER(资金流水!$B$1930),ISNUMBER(资金流水!$S$1930),资金流水!$S$1930&gt;=_辅助!$J$4,资金流水!$S$1930&lt;=_辅助!$J$2),INT(资金流水!$B$1930)*10000+1925,"")</f>
      </c>
    </row>
    <row r="1927">
      <c r="BG1927" s="2">
        <f>IF(AND($AF$3&gt;0,资金流水!$H$1931=$C$3,ISNUMBER(资金流水!$B$1931),ISNUMBER(资金流水!$S$1931),资金流水!$S$1931&gt;=_辅助!$J$4,资金流水!$S$1931&lt;=_辅助!$J$2),INT(资金流水!$B$1931)*10000+1926,"")</f>
      </c>
    </row>
    <row r="1928">
      <c r="BG1928" s="2">
        <f>IF(AND($AF$3&gt;0,资金流水!$H$1932=$C$3,ISNUMBER(资金流水!$B$1932),ISNUMBER(资金流水!$S$1932),资金流水!$S$1932&gt;=_辅助!$J$4,资金流水!$S$1932&lt;=_辅助!$J$2),INT(资金流水!$B$1932)*10000+1927,"")</f>
      </c>
    </row>
    <row r="1929">
      <c r="BG1929" s="2">
        <f>IF(AND($AF$3&gt;0,资金流水!$H$1933=$C$3,ISNUMBER(资金流水!$B$1933),ISNUMBER(资金流水!$S$1933),资金流水!$S$1933&gt;=_辅助!$J$4,资金流水!$S$1933&lt;=_辅助!$J$2),INT(资金流水!$B$1933)*10000+1928,"")</f>
      </c>
    </row>
    <row r="1930">
      <c r="BG1930" s="2">
        <f>IF(AND($AF$3&gt;0,资金流水!$H$1934=$C$3,ISNUMBER(资金流水!$B$1934),ISNUMBER(资金流水!$S$1934),资金流水!$S$1934&gt;=_辅助!$J$4,资金流水!$S$1934&lt;=_辅助!$J$2),INT(资金流水!$B$1934)*10000+1929,"")</f>
      </c>
    </row>
    <row r="1931">
      <c r="BG1931" s="2">
        <f>IF(AND($AF$3&gt;0,资金流水!$H$1935=$C$3,ISNUMBER(资金流水!$B$1935),ISNUMBER(资金流水!$S$1935),资金流水!$S$1935&gt;=_辅助!$J$4,资金流水!$S$1935&lt;=_辅助!$J$2),INT(资金流水!$B$1935)*10000+1930,"")</f>
      </c>
    </row>
    <row r="1932">
      <c r="BG1932" s="2">
        <f>IF(AND($AF$3&gt;0,资金流水!$H$1936=$C$3,ISNUMBER(资金流水!$B$1936),ISNUMBER(资金流水!$S$1936),资金流水!$S$1936&gt;=_辅助!$J$4,资金流水!$S$1936&lt;=_辅助!$J$2),INT(资金流水!$B$1936)*10000+1931,"")</f>
      </c>
    </row>
    <row r="1933">
      <c r="BG1933" s="2">
        <f>IF(AND($AF$3&gt;0,资金流水!$H$1937=$C$3,ISNUMBER(资金流水!$B$1937),ISNUMBER(资金流水!$S$1937),资金流水!$S$1937&gt;=_辅助!$J$4,资金流水!$S$1937&lt;=_辅助!$J$2),INT(资金流水!$B$1937)*10000+1932,"")</f>
      </c>
    </row>
    <row r="1934">
      <c r="BG1934" s="2">
        <f>IF(AND($AF$3&gt;0,资金流水!$H$1938=$C$3,ISNUMBER(资金流水!$B$1938),ISNUMBER(资金流水!$S$1938),资金流水!$S$1938&gt;=_辅助!$J$4,资金流水!$S$1938&lt;=_辅助!$J$2),INT(资金流水!$B$1938)*10000+1933,"")</f>
      </c>
    </row>
    <row r="1935">
      <c r="BG1935" s="2">
        <f>IF(AND($AF$3&gt;0,资金流水!$H$1939=$C$3,ISNUMBER(资金流水!$B$1939),ISNUMBER(资金流水!$S$1939),资金流水!$S$1939&gt;=_辅助!$J$4,资金流水!$S$1939&lt;=_辅助!$J$2),INT(资金流水!$B$1939)*10000+1934,"")</f>
      </c>
    </row>
    <row r="1936">
      <c r="BG1936" s="2">
        <f>IF(AND($AF$3&gt;0,资金流水!$H$1940=$C$3,ISNUMBER(资金流水!$B$1940),ISNUMBER(资金流水!$S$1940),资金流水!$S$1940&gt;=_辅助!$J$4,资金流水!$S$1940&lt;=_辅助!$J$2),INT(资金流水!$B$1940)*10000+1935,"")</f>
      </c>
    </row>
    <row r="1937">
      <c r="BG1937" s="2">
        <f>IF(AND($AF$3&gt;0,资金流水!$H$1941=$C$3,ISNUMBER(资金流水!$B$1941),ISNUMBER(资金流水!$S$1941),资金流水!$S$1941&gt;=_辅助!$J$4,资金流水!$S$1941&lt;=_辅助!$J$2),INT(资金流水!$B$1941)*10000+1936,"")</f>
      </c>
    </row>
    <row r="1938">
      <c r="BG1938" s="2">
        <f>IF(AND($AF$3&gt;0,资金流水!$H$1942=$C$3,ISNUMBER(资金流水!$B$1942),ISNUMBER(资金流水!$S$1942),资金流水!$S$1942&gt;=_辅助!$J$4,资金流水!$S$1942&lt;=_辅助!$J$2),INT(资金流水!$B$1942)*10000+1937,"")</f>
      </c>
    </row>
    <row r="1939">
      <c r="BG1939" s="2">
        <f>IF(AND($AF$3&gt;0,资金流水!$H$1943=$C$3,ISNUMBER(资金流水!$B$1943),ISNUMBER(资金流水!$S$1943),资金流水!$S$1943&gt;=_辅助!$J$4,资金流水!$S$1943&lt;=_辅助!$J$2),INT(资金流水!$B$1943)*10000+1938,"")</f>
      </c>
    </row>
    <row r="1940">
      <c r="BG1940" s="2">
        <f>IF(AND($AF$3&gt;0,资金流水!$H$1944=$C$3,ISNUMBER(资金流水!$B$1944),ISNUMBER(资金流水!$S$1944),资金流水!$S$1944&gt;=_辅助!$J$4,资金流水!$S$1944&lt;=_辅助!$J$2),INT(资金流水!$B$1944)*10000+1939,"")</f>
      </c>
    </row>
    <row r="1941">
      <c r="BG1941" s="2">
        <f>IF(AND($AF$3&gt;0,资金流水!$H$1945=$C$3,ISNUMBER(资金流水!$B$1945),ISNUMBER(资金流水!$S$1945),资金流水!$S$1945&gt;=_辅助!$J$4,资金流水!$S$1945&lt;=_辅助!$J$2),INT(资金流水!$B$1945)*10000+1940,"")</f>
      </c>
    </row>
    <row r="1942">
      <c r="BG1942" s="2">
        <f>IF(AND($AF$3&gt;0,资金流水!$H$1946=$C$3,ISNUMBER(资金流水!$B$1946),ISNUMBER(资金流水!$S$1946),资金流水!$S$1946&gt;=_辅助!$J$4,资金流水!$S$1946&lt;=_辅助!$J$2),INT(资金流水!$B$1946)*10000+1941,"")</f>
      </c>
    </row>
    <row r="1943">
      <c r="BG1943" s="2">
        <f>IF(AND($AF$3&gt;0,资金流水!$H$1947=$C$3,ISNUMBER(资金流水!$B$1947),ISNUMBER(资金流水!$S$1947),资金流水!$S$1947&gt;=_辅助!$J$4,资金流水!$S$1947&lt;=_辅助!$J$2),INT(资金流水!$B$1947)*10000+1942,"")</f>
      </c>
    </row>
    <row r="1944">
      <c r="BG1944" s="2">
        <f>IF(AND($AF$3&gt;0,资金流水!$H$1948=$C$3,ISNUMBER(资金流水!$B$1948),ISNUMBER(资金流水!$S$1948),资金流水!$S$1948&gt;=_辅助!$J$4,资金流水!$S$1948&lt;=_辅助!$J$2),INT(资金流水!$B$1948)*10000+1943,"")</f>
      </c>
    </row>
    <row r="1945">
      <c r="BG1945" s="2">
        <f>IF(AND($AF$3&gt;0,资金流水!$H$1949=$C$3,ISNUMBER(资金流水!$B$1949),ISNUMBER(资金流水!$S$1949),资金流水!$S$1949&gt;=_辅助!$J$4,资金流水!$S$1949&lt;=_辅助!$J$2),INT(资金流水!$B$1949)*10000+1944,"")</f>
      </c>
    </row>
    <row r="1946">
      <c r="BG1946" s="2">
        <f>IF(AND($AF$3&gt;0,资金流水!$H$1950=$C$3,ISNUMBER(资金流水!$B$1950),ISNUMBER(资金流水!$S$1950),资金流水!$S$1950&gt;=_辅助!$J$4,资金流水!$S$1950&lt;=_辅助!$J$2),INT(资金流水!$B$1950)*10000+1945,"")</f>
      </c>
    </row>
    <row r="1947">
      <c r="BG1947" s="2">
        <f>IF(AND($AF$3&gt;0,资金流水!$H$1951=$C$3,ISNUMBER(资金流水!$B$1951),ISNUMBER(资金流水!$S$1951),资金流水!$S$1951&gt;=_辅助!$J$4,资金流水!$S$1951&lt;=_辅助!$J$2),INT(资金流水!$B$1951)*10000+1946,"")</f>
      </c>
    </row>
    <row r="1948">
      <c r="BG1948" s="2">
        <f>IF(AND($AF$3&gt;0,资金流水!$H$1952=$C$3,ISNUMBER(资金流水!$B$1952),ISNUMBER(资金流水!$S$1952),资金流水!$S$1952&gt;=_辅助!$J$4,资金流水!$S$1952&lt;=_辅助!$J$2),INT(资金流水!$B$1952)*10000+1947,"")</f>
      </c>
    </row>
    <row r="1949">
      <c r="BG1949" s="2">
        <f>IF(AND($AF$3&gt;0,资金流水!$H$1953=$C$3,ISNUMBER(资金流水!$B$1953),ISNUMBER(资金流水!$S$1953),资金流水!$S$1953&gt;=_辅助!$J$4,资金流水!$S$1953&lt;=_辅助!$J$2),INT(资金流水!$B$1953)*10000+1948,"")</f>
      </c>
    </row>
    <row r="1950">
      <c r="BG1950" s="2">
        <f>IF(AND($AF$3&gt;0,资金流水!$H$1954=$C$3,ISNUMBER(资金流水!$B$1954),ISNUMBER(资金流水!$S$1954),资金流水!$S$1954&gt;=_辅助!$J$4,资金流水!$S$1954&lt;=_辅助!$J$2),INT(资金流水!$B$1954)*10000+1949,"")</f>
      </c>
    </row>
    <row r="1951">
      <c r="BG1951" s="2">
        <f>IF(AND($AF$3&gt;0,资金流水!$H$1955=$C$3,ISNUMBER(资金流水!$B$1955),ISNUMBER(资金流水!$S$1955),资金流水!$S$1955&gt;=_辅助!$J$4,资金流水!$S$1955&lt;=_辅助!$J$2),INT(资金流水!$B$1955)*10000+1950,"")</f>
      </c>
    </row>
    <row r="1952">
      <c r="BG1952" s="2">
        <f>IF(AND($AF$3&gt;0,资金流水!$H$1956=$C$3,ISNUMBER(资金流水!$B$1956),ISNUMBER(资金流水!$S$1956),资金流水!$S$1956&gt;=_辅助!$J$4,资金流水!$S$1956&lt;=_辅助!$J$2),INT(资金流水!$B$1956)*10000+1951,"")</f>
      </c>
    </row>
    <row r="1953">
      <c r="BG1953" s="2">
        <f>IF(AND($AF$3&gt;0,资金流水!$H$1957=$C$3,ISNUMBER(资金流水!$B$1957),ISNUMBER(资金流水!$S$1957),资金流水!$S$1957&gt;=_辅助!$J$4,资金流水!$S$1957&lt;=_辅助!$J$2),INT(资金流水!$B$1957)*10000+1952,"")</f>
      </c>
    </row>
    <row r="1954">
      <c r="BG1954" s="2">
        <f>IF(AND($AF$3&gt;0,资金流水!$H$1958=$C$3,ISNUMBER(资金流水!$B$1958),ISNUMBER(资金流水!$S$1958),资金流水!$S$1958&gt;=_辅助!$J$4,资金流水!$S$1958&lt;=_辅助!$J$2),INT(资金流水!$B$1958)*10000+1953,"")</f>
      </c>
    </row>
    <row r="1955">
      <c r="BG1955" s="2">
        <f>IF(AND($AF$3&gt;0,资金流水!$H$1959=$C$3,ISNUMBER(资金流水!$B$1959),ISNUMBER(资金流水!$S$1959),资金流水!$S$1959&gt;=_辅助!$J$4,资金流水!$S$1959&lt;=_辅助!$J$2),INT(资金流水!$B$1959)*10000+1954,"")</f>
      </c>
    </row>
    <row r="1956">
      <c r="BG1956" s="2">
        <f>IF(AND($AF$3&gt;0,资金流水!$H$1960=$C$3,ISNUMBER(资金流水!$B$1960),ISNUMBER(资金流水!$S$1960),资金流水!$S$1960&gt;=_辅助!$J$4,资金流水!$S$1960&lt;=_辅助!$J$2),INT(资金流水!$B$1960)*10000+1955,"")</f>
      </c>
    </row>
    <row r="1957">
      <c r="BG1957" s="2">
        <f>IF(AND($AF$3&gt;0,资金流水!$H$1961=$C$3,ISNUMBER(资金流水!$B$1961),ISNUMBER(资金流水!$S$1961),资金流水!$S$1961&gt;=_辅助!$J$4,资金流水!$S$1961&lt;=_辅助!$J$2),INT(资金流水!$B$1961)*10000+1956,"")</f>
      </c>
    </row>
    <row r="1958">
      <c r="BG1958" s="2">
        <f>IF(AND($AF$3&gt;0,资金流水!$H$1962=$C$3,ISNUMBER(资金流水!$B$1962),ISNUMBER(资金流水!$S$1962),资金流水!$S$1962&gt;=_辅助!$J$4,资金流水!$S$1962&lt;=_辅助!$J$2),INT(资金流水!$B$1962)*10000+1957,"")</f>
      </c>
    </row>
    <row r="1959">
      <c r="BG1959" s="2">
        <f>IF(AND($AF$3&gt;0,资金流水!$H$1963=$C$3,ISNUMBER(资金流水!$B$1963),ISNUMBER(资金流水!$S$1963),资金流水!$S$1963&gt;=_辅助!$J$4,资金流水!$S$1963&lt;=_辅助!$J$2),INT(资金流水!$B$1963)*10000+1958,"")</f>
      </c>
    </row>
    <row r="1960">
      <c r="BG1960" s="2">
        <f>IF(AND($AF$3&gt;0,资金流水!$H$1964=$C$3,ISNUMBER(资金流水!$B$1964),ISNUMBER(资金流水!$S$1964),资金流水!$S$1964&gt;=_辅助!$J$4,资金流水!$S$1964&lt;=_辅助!$J$2),INT(资金流水!$B$1964)*10000+1959,"")</f>
      </c>
    </row>
    <row r="1961">
      <c r="BG1961" s="2">
        <f>IF(AND($AF$3&gt;0,资金流水!$H$1965=$C$3,ISNUMBER(资金流水!$B$1965),ISNUMBER(资金流水!$S$1965),资金流水!$S$1965&gt;=_辅助!$J$4,资金流水!$S$1965&lt;=_辅助!$J$2),INT(资金流水!$B$1965)*10000+1960,"")</f>
      </c>
    </row>
    <row r="1962">
      <c r="BG1962" s="2">
        <f>IF(AND($AF$3&gt;0,资金流水!$H$1966=$C$3,ISNUMBER(资金流水!$B$1966),ISNUMBER(资金流水!$S$1966),资金流水!$S$1966&gt;=_辅助!$J$4,资金流水!$S$1966&lt;=_辅助!$J$2),INT(资金流水!$B$1966)*10000+1961,"")</f>
      </c>
    </row>
    <row r="1963">
      <c r="BG1963" s="2">
        <f>IF(AND($AF$3&gt;0,资金流水!$H$1967=$C$3,ISNUMBER(资金流水!$B$1967),ISNUMBER(资金流水!$S$1967),资金流水!$S$1967&gt;=_辅助!$J$4,资金流水!$S$1967&lt;=_辅助!$J$2),INT(资金流水!$B$1967)*10000+1962,"")</f>
      </c>
    </row>
    <row r="1964">
      <c r="BG1964" s="2">
        <f>IF(AND($AF$3&gt;0,资金流水!$H$1968=$C$3,ISNUMBER(资金流水!$B$1968),ISNUMBER(资金流水!$S$1968),资金流水!$S$1968&gt;=_辅助!$J$4,资金流水!$S$1968&lt;=_辅助!$J$2),INT(资金流水!$B$1968)*10000+1963,"")</f>
      </c>
    </row>
    <row r="1965">
      <c r="BG1965" s="2">
        <f>IF(AND($AF$3&gt;0,资金流水!$H$1969=$C$3,ISNUMBER(资金流水!$B$1969),ISNUMBER(资金流水!$S$1969),资金流水!$S$1969&gt;=_辅助!$J$4,资金流水!$S$1969&lt;=_辅助!$J$2),INT(资金流水!$B$1969)*10000+1964,"")</f>
      </c>
    </row>
    <row r="1966">
      <c r="BG1966" s="2">
        <f>IF(AND($AF$3&gt;0,资金流水!$H$1970=$C$3,ISNUMBER(资金流水!$B$1970),ISNUMBER(资金流水!$S$1970),资金流水!$S$1970&gt;=_辅助!$J$4,资金流水!$S$1970&lt;=_辅助!$J$2),INT(资金流水!$B$1970)*10000+1965,"")</f>
      </c>
    </row>
    <row r="1967">
      <c r="BG1967" s="2">
        <f>IF(AND($AF$3&gt;0,资金流水!$H$1971=$C$3,ISNUMBER(资金流水!$B$1971),ISNUMBER(资金流水!$S$1971),资金流水!$S$1971&gt;=_辅助!$J$4,资金流水!$S$1971&lt;=_辅助!$J$2),INT(资金流水!$B$1971)*10000+1966,"")</f>
      </c>
    </row>
    <row r="1968">
      <c r="BG1968" s="2">
        <f>IF(AND($AF$3&gt;0,资金流水!$H$1972=$C$3,ISNUMBER(资金流水!$B$1972),ISNUMBER(资金流水!$S$1972),资金流水!$S$1972&gt;=_辅助!$J$4,资金流水!$S$1972&lt;=_辅助!$J$2),INT(资金流水!$B$1972)*10000+1967,"")</f>
      </c>
    </row>
    <row r="1969">
      <c r="BG1969" s="2">
        <f>IF(AND($AF$3&gt;0,资金流水!$H$1973=$C$3,ISNUMBER(资金流水!$B$1973),ISNUMBER(资金流水!$S$1973),资金流水!$S$1973&gt;=_辅助!$J$4,资金流水!$S$1973&lt;=_辅助!$J$2),INT(资金流水!$B$1973)*10000+1968,"")</f>
      </c>
    </row>
    <row r="1970">
      <c r="BG1970" s="2">
        <f>IF(AND($AF$3&gt;0,资金流水!$H$1974=$C$3,ISNUMBER(资金流水!$B$1974),ISNUMBER(资金流水!$S$1974),资金流水!$S$1974&gt;=_辅助!$J$4,资金流水!$S$1974&lt;=_辅助!$J$2),INT(资金流水!$B$1974)*10000+1969,"")</f>
      </c>
    </row>
    <row r="1971">
      <c r="BG1971" s="2">
        <f>IF(AND($AF$3&gt;0,资金流水!$H$1975=$C$3,ISNUMBER(资金流水!$B$1975),ISNUMBER(资金流水!$S$1975),资金流水!$S$1975&gt;=_辅助!$J$4,资金流水!$S$1975&lt;=_辅助!$J$2),INT(资金流水!$B$1975)*10000+1970,"")</f>
      </c>
    </row>
    <row r="1972">
      <c r="BG1972" s="2">
        <f>IF(AND($AF$3&gt;0,资金流水!$H$1976=$C$3,ISNUMBER(资金流水!$B$1976),ISNUMBER(资金流水!$S$1976),资金流水!$S$1976&gt;=_辅助!$J$4,资金流水!$S$1976&lt;=_辅助!$J$2),INT(资金流水!$B$1976)*10000+1971,"")</f>
      </c>
    </row>
    <row r="1973">
      <c r="BG1973" s="2">
        <f>IF(AND($AF$3&gt;0,资金流水!$H$1977=$C$3,ISNUMBER(资金流水!$B$1977),ISNUMBER(资金流水!$S$1977),资金流水!$S$1977&gt;=_辅助!$J$4,资金流水!$S$1977&lt;=_辅助!$J$2),INT(资金流水!$B$1977)*10000+1972,"")</f>
      </c>
    </row>
    <row r="1974">
      <c r="BG1974" s="2">
        <f>IF(AND($AF$3&gt;0,资金流水!$H$1978=$C$3,ISNUMBER(资金流水!$B$1978),ISNUMBER(资金流水!$S$1978),资金流水!$S$1978&gt;=_辅助!$J$4,资金流水!$S$1978&lt;=_辅助!$J$2),INT(资金流水!$B$1978)*10000+1973,"")</f>
      </c>
    </row>
    <row r="1975">
      <c r="BG1975" s="2">
        <f>IF(AND($AF$3&gt;0,资金流水!$H$1979=$C$3,ISNUMBER(资金流水!$B$1979),ISNUMBER(资金流水!$S$1979),资金流水!$S$1979&gt;=_辅助!$J$4,资金流水!$S$1979&lt;=_辅助!$J$2),INT(资金流水!$B$1979)*10000+1974,"")</f>
      </c>
    </row>
    <row r="1976">
      <c r="BG1976" s="2">
        <f>IF(AND($AF$3&gt;0,资金流水!$H$1980=$C$3,ISNUMBER(资金流水!$B$1980),ISNUMBER(资金流水!$S$1980),资金流水!$S$1980&gt;=_辅助!$J$4,资金流水!$S$1980&lt;=_辅助!$J$2),INT(资金流水!$B$1980)*10000+1975,"")</f>
      </c>
    </row>
    <row r="1977">
      <c r="BG1977" s="2">
        <f>IF(AND($AF$3&gt;0,资金流水!$H$1981=$C$3,ISNUMBER(资金流水!$B$1981),ISNUMBER(资金流水!$S$1981),资金流水!$S$1981&gt;=_辅助!$J$4,资金流水!$S$1981&lt;=_辅助!$J$2),INT(资金流水!$B$1981)*10000+1976,"")</f>
      </c>
    </row>
    <row r="1978">
      <c r="BG1978" s="2">
        <f>IF(AND($AF$3&gt;0,资金流水!$H$1982=$C$3,ISNUMBER(资金流水!$B$1982),ISNUMBER(资金流水!$S$1982),资金流水!$S$1982&gt;=_辅助!$J$4,资金流水!$S$1982&lt;=_辅助!$J$2),INT(资金流水!$B$1982)*10000+1977,"")</f>
      </c>
    </row>
    <row r="1979">
      <c r="BG1979" s="2">
        <f>IF(AND($AF$3&gt;0,资金流水!$H$1983=$C$3,ISNUMBER(资金流水!$B$1983),ISNUMBER(资金流水!$S$1983),资金流水!$S$1983&gt;=_辅助!$J$4,资金流水!$S$1983&lt;=_辅助!$J$2),INT(资金流水!$B$1983)*10000+1978,"")</f>
      </c>
    </row>
    <row r="1980">
      <c r="BG1980" s="2">
        <f>IF(AND($AF$3&gt;0,资金流水!$H$1984=$C$3,ISNUMBER(资金流水!$B$1984),ISNUMBER(资金流水!$S$1984),资金流水!$S$1984&gt;=_辅助!$J$4,资金流水!$S$1984&lt;=_辅助!$J$2),INT(资金流水!$B$1984)*10000+1979,"")</f>
      </c>
    </row>
    <row r="1981">
      <c r="BG1981" s="2">
        <f>IF(AND($AF$3&gt;0,资金流水!$H$1985=$C$3,ISNUMBER(资金流水!$B$1985),ISNUMBER(资金流水!$S$1985),资金流水!$S$1985&gt;=_辅助!$J$4,资金流水!$S$1985&lt;=_辅助!$J$2),INT(资金流水!$B$1985)*10000+1980,"")</f>
      </c>
    </row>
    <row r="1982">
      <c r="BG1982" s="2">
        <f>IF(AND($AF$3&gt;0,资金流水!$H$1986=$C$3,ISNUMBER(资金流水!$B$1986),ISNUMBER(资金流水!$S$1986),资金流水!$S$1986&gt;=_辅助!$J$4,资金流水!$S$1986&lt;=_辅助!$J$2),INT(资金流水!$B$1986)*10000+1981,"")</f>
      </c>
    </row>
    <row r="1983">
      <c r="BG1983" s="2">
        <f>IF(AND($AF$3&gt;0,资金流水!$H$1987=$C$3,ISNUMBER(资金流水!$B$1987),ISNUMBER(资金流水!$S$1987),资金流水!$S$1987&gt;=_辅助!$J$4,资金流水!$S$1987&lt;=_辅助!$J$2),INT(资金流水!$B$1987)*10000+1982,"")</f>
      </c>
    </row>
    <row r="1984">
      <c r="BG1984" s="2">
        <f>IF(AND($AF$3&gt;0,资金流水!$H$1988=$C$3,ISNUMBER(资金流水!$B$1988),ISNUMBER(资金流水!$S$1988),资金流水!$S$1988&gt;=_辅助!$J$4,资金流水!$S$1988&lt;=_辅助!$J$2),INT(资金流水!$B$1988)*10000+1983,"")</f>
      </c>
    </row>
    <row r="1985">
      <c r="BG1985" s="2">
        <f>IF(AND($AF$3&gt;0,资金流水!$H$1989=$C$3,ISNUMBER(资金流水!$B$1989),ISNUMBER(资金流水!$S$1989),资金流水!$S$1989&gt;=_辅助!$J$4,资金流水!$S$1989&lt;=_辅助!$J$2),INT(资金流水!$B$1989)*10000+1984,"")</f>
      </c>
    </row>
    <row r="1986">
      <c r="BG1986" s="2">
        <f>IF(AND($AF$3&gt;0,资金流水!$H$1990=$C$3,ISNUMBER(资金流水!$B$1990),ISNUMBER(资金流水!$S$1990),资金流水!$S$1990&gt;=_辅助!$J$4,资金流水!$S$1990&lt;=_辅助!$J$2),INT(资金流水!$B$1990)*10000+1985,"")</f>
      </c>
    </row>
    <row r="1987">
      <c r="BG1987" s="2">
        <f>IF(AND($AF$3&gt;0,资金流水!$H$1991=$C$3,ISNUMBER(资金流水!$B$1991),ISNUMBER(资金流水!$S$1991),资金流水!$S$1991&gt;=_辅助!$J$4,资金流水!$S$1991&lt;=_辅助!$J$2),INT(资金流水!$B$1991)*10000+1986,"")</f>
      </c>
    </row>
    <row r="1988">
      <c r="BG1988" s="2">
        <f>IF(AND($AF$3&gt;0,资金流水!$H$1992=$C$3,ISNUMBER(资金流水!$B$1992),ISNUMBER(资金流水!$S$1992),资金流水!$S$1992&gt;=_辅助!$J$4,资金流水!$S$1992&lt;=_辅助!$J$2),INT(资金流水!$B$1992)*10000+1987,"")</f>
      </c>
    </row>
    <row r="1989">
      <c r="BG1989" s="2">
        <f>IF(AND($AF$3&gt;0,资金流水!$H$1993=$C$3,ISNUMBER(资金流水!$B$1993),ISNUMBER(资金流水!$S$1993),资金流水!$S$1993&gt;=_辅助!$J$4,资金流水!$S$1993&lt;=_辅助!$J$2),INT(资金流水!$B$1993)*10000+1988,"")</f>
      </c>
    </row>
    <row r="1990">
      <c r="BG1990" s="2">
        <f>IF(AND($AF$3&gt;0,资金流水!$H$1994=$C$3,ISNUMBER(资金流水!$B$1994),ISNUMBER(资金流水!$S$1994),资金流水!$S$1994&gt;=_辅助!$J$4,资金流水!$S$1994&lt;=_辅助!$J$2),INT(资金流水!$B$1994)*10000+1989,"")</f>
      </c>
    </row>
    <row r="1991">
      <c r="BG1991" s="2">
        <f>IF(AND($AF$3&gt;0,资金流水!$H$1995=$C$3,ISNUMBER(资金流水!$B$1995),ISNUMBER(资金流水!$S$1995),资金流水!$S$1995&gt;=_辅助!$J$4,资金流水!$S$1995&lt;=_辅助!$J$2),INT(资金流水!$B$1995)*10000+1990,"")</f>
      </c>
    </row>
    <row r="1992">
      <c r="BG1992" s="2">
        <f>IF(AND($AF$3&gt;0,资金流水!$H$1996=$C$3,ISNUMBER(资金流水!$B$1996),ISNUMBER(资金流水!$S$1996),资金流水!$S$1996&gt;=_辅助!$J$4,资金流水!$S$1996&lt;=_辅助!$J$2),INT(资金流水!$B$1996)*10000+1991,"")</f>
      </c>
    </row>
    <row r="1993">
      <c r="BG1993" s="2">
        <f>IF(AND($AF$3&gt;0,资金流水!$H$1997=$C$3,ISNUMBER(资金流水!$B$1997),ISNUMBER(资金流水!$S$1997),资金流水!$S$1997&gt;=_辅助!$J$4,资金流水!$S$1997&lt;=_辅助!$J$2),INT(资金流水!$B$1997)*10000+1992,"")</f>
      </c>
    </row>
    <row r="1994">
      <c r="BG1994" s="2">
        <f>IF(AND($AF$3&gt;0,资金流水!$H$1998=$C$3,ISNUMBER(资金流水!$B$1998),ISNUMBER(资金流水!$S$1998),资金流水!$S$1998&gt;=_辅助!$J$4,资金流水!$S$1998&lt;=_辅助!$J$2),INT(资金流水!$B$1998)*10000+1993,"")</f>
      </c>
    </row>
    <row r="1995">
      <c r="BG1995" s="2">
        <f>IF(AND($AF$3&gt;0,资金流水!$H$1999=$C$3,ISNUMBER(资金流水!$B$1999),ISNUMBER(资金流水!$S$1999),资金流水!$S$1999&gt;=_辅助!$J$4,资金流水!$S$1999&lt;=_辅助!$J$2),INT(资金流水!$B$1999)*10000+1994,"")</f>
      </c>
    </row>
    <row r="1996">
      <c r="BG1996" s="2">
        <f>IF(AND($AF$3&gt;0,资金流水!$H$2000=$C$3,ISNUMBER(资金流水!$B$2000),ISNUMBER(资金流水!$S$2000),资金流水!$S$2000&gt;=_辅助!$J$4,资金流水!$S$2000&lt;=_辅助!$J$2),INT(资金流水!$B$2000)*10000+1995,"")</f>
      </c>
    </row>
    <row r="1997">
      <c r="BG1997" s="2">
        <f>IF(AND($AF$3&gt;0,资金流水!$H$2001=$C$3,ISNUMBER(资金流水!$B$2001),ISNUMBER(资金流水!$S$2001),资金流水!$S$2001&gt;=_辅助!$J$4,资金流水!$S$2001&lt;=_辅助!$J$2),INT(资金流水!$B$2001)*10000+1996,"")</f>
      </c>
    </row>
    <row r="1998">
      <c r="BG1998" s="2">
        <f>IF(AND($AF$3&gt;0,资金流水!$H$2002=$C$3,ISNUMBER(资金流水!$B$2002),ISNUMBER(资金流水!$S$2002),资金流水!$S$2002&gt;=_辅助!$J$4,资金流水!$S$2002&lt;=_辅助!$J$2),INT(资金流水!$B$2002)*10000+1997,"")</f>
      </c>
    </row>
    <row r="1999">
      <c r="BG1999" s="2">
        <f>IF(AND($AF$3&gt;0,资金流水!$H$2003=$C$3,ISNUMBER(资金流水!$B$2003),ISNUMBER(资金流水!$S$2003),资金流水!$S$2003&gt;=_辅助!$J$4,资金流水!$S$2003&lt;=_辅助!$J$2),INT(资金流水!$B$2003)*10000+1998,"")</f>
      </c>
    </row>
    <row r="2000">
      <c r="BG2000" s="2">
        <f>IF(AND($AF$3&gt;0,资金流水!$H$2004=$C$3,ISNUMBER(资金流水!$B$2004),ISNUMBER(资金流水!$S$2004),资金流水!$S$2004&gt;=_辅助!$J$4,资金流水!$S$2004&lt;=_辅助!$J$2),INT(资金流水!$B$2004)*10000+1999,"")</f>
      </c>
    </row>
    <row r="2001">
      <c r="BG2001" s="2">
        <f>IF(AND($AF$3&gt;0,资金流水!$H$2005=$C$3,ISNUMBER(资金流水!$B$2005),ISNUMBER(资金流水!$S$2005),资金流水!$S$2005&gt;=_辅助!$J$4,资金流水!$S$2005&lt;=_辅助!$J$2),INT(资金流水!$B$2005)*10000+2000,"")</f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29">
    <mergeCell ref="Q13:R13"/>
    <mergeCell ref="Q16:R16"/>
    <mergeCell ref="Q7:R7"/>
    <mergeCell ref="C6:G6"/>
    <mergeCell ref="Q12:R12"/>
    <mergeCell ref="A5:G5"/>
    <mergeCell ref="W34:AD34"/>
    <mergeCell ref="Q18:R18"/>
    <mergeCell ref="Q8:R8"/>
    <mergeCell ref="A34:G34"/>
    <mergeCell ref="Q14:R14"/>
    <mergeCell ref="I34:O34"/>
    <mergeCell ref="Q10:R10"/>
    <mergeCell ref="A2:AD2"/>
    <mergeCell ref="Q34:U34"/>
    <mergeCell ref="Q15:R15"/>
    <mergeCell ref="Q6:R6"/>
    <mergeCell ref="I5:J5"/>
    <mergeCell ref="Q9:R9"/>
    <mergeCell ref="E3:G3"/>
    <mergeCell ref="Q5:T5"/>
    <mergeCell ref="I17:J17"/>
    <mergeCell ref="L5:O5"/>
    <mergeCell ref="Q17:R17"/>
    <mergeCell ref="Q11:R11"/>
    <mergeCell ref="A12:G12"/>
    <mergeCell ref="B27:G27"/>
    <mergeCell ref="C3:D3"/>
    <mergeCell ref="A1:AD1"/>
  </mergeCells>
  <conditionalFormatting sqref="C25:E25">
    <cfRule type="expression" priority="1" dxfId="10">
      <formula>N(C25)&lt;0</formula>
    </cfRule>
  </conditionalFormatting>
  <conditionalFormatting sqref="L8:O15">
    <cfRule type="expression" priority="2" dxfId="8">
      <formula>$L8&gt;_辅助!$J$7</formula>
    </cfRule>
  </conditionalFormatting>
  <conditionalFormatting sqref="Q7:T18">
    <cfRule type="expression" priority="3" dxfId="8">
      <formula>_辅助!$J$7*100+ROW()-6&gt;_辅助!$J$2</formula>
    </cfRule>
  </conditionalFormatting>
  <dataValidations count="1">
    <dataValidation sqref="C3" showDropDown="0" showInputMessage="1" showErrorMessage="1" allowBlank="1" errorTitle="不在清单里" error="请从下拉里选；清单里没有的，先到【基础资料】/【往来单位】里登记" promptTitle="提示" prompt="选项目" type="list" errorStyle="stop">
      <formula1>=项目档案!$B$4:$B$63</formula1>
    </dataValidation>
  </dataValidations>
  <hyperlinks>
    <hyperlink ref="AE1" location="'首页'!A1" display="← 回首页"/>
  </hyperlinks>
  <pageMargins left="0.3" right="0.3" top="0.5" bottom="0.5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AG78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8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8" customWidth="1" min="27" max="27"/>
    <col width="8" customWidth="1" min="28" max="28"/>
    <col width="8" customWidth="1" min="29" max="29"/>
    <col width="15" customWidth="1" min="30" max="30"/>
    <col width="15" customWidth="1" min="31" max="31"/>
    <col width="40" customWidth="1" min="32" max="32"/>
    <col width="13" customWidth="1" min="33" max="33"/>
  </cols>
  <sheetData>
    <row r="1" ht="33" customHeight="1">
      <c r="A1" s="125" t="inlineStr">
        <is>
          <t>项 目 利 润 表（每个项目：本年 ＋ 开工至今，赚了还是亏了）</t>
        </is>
      </c>
      <c r="AG1" s="33" t="inlineStr">
        <is>
          <t>← 回首页</t>
        </is>
      </c>
    </row>
    <row r="2" ht="24" customHeight="1">
      <c r="A2" s="3" t="inlineStr">
        <is>
          <t>💡 全自动。收入＝甲方确认的产值（不是收到的钱）；成本＝材料、人工、分包、机械、其他直接费（按发生，挂账没付的也算）；税金按确认产值估算；管理费按【费用分摊】的费率摊。左边「本年」＝首页选的年度到截止日，右边「开工至今」＝含建账前（【期初余额】）。最右「提示」：成本花得多、产值确认得少（该找甲方报量了）、完工没结算、亏损的，都会提醒。最下面是跟【利润表】对账。</t>
        </is>
      </c>
    </row>
    <row r="3">
      <c r="B3" s="98" t="str">
        <f>"本年＝"&amp;TEXT(MAX(DATE(_辅助!$J$7,1,1),基础资料!$C$9),"yyyy年m月d日")&amp;"～"&amp;TEXT(_辅助!$J$9,"m月d日")</f>
        <v>本年＝2026年3月1日～8月31日</v>
      </c>
    </row>
    <row r="4">
      <c r="E4" s="137" t="inlineStr">
        <is>
          <t>本  年</t>
        </is>
      </c>
      <c r="Q4" s="138" t="inlineStr">
        <is>
          <t>开 工 至 今（含建账前）</t>
        </is>
      </c>
    </row>
    <row r="5" ht="40" customHeight="1">
      <c r="A5" s="127" t="inlineStr">
        <is>
          <t>序号</t>
        </is>
      </c>
      <c r="B5" s="127" t="inlineStr">
        <is>
          <t>项目</t>
        </is>
      </c>
      <c r="C5" s="127" t="inlineStr">
        <is>
          <t>状态</t>
        </is>
      </c>
      <c r="D5" s="127" t="inlineStr">
        <is>
          <t>总价</t>
        </is>
      </c>
      <c r="E5" s="80" t="inlineStr">
        <is>
          <t>确认收入</t>
        </is>
      </c>
      <c r="F5" s="80" t="inlineStr">
        <is>
          <t>材料</t>
        </is>
      </c>
      <c r="G5" s="80" t="inlineStr">
        <is>
          <t>人工</t>
        </is>
      </c>
      <c r="H5" s="80" t="inlineStr">
        <is>
          <t>分包</t>
        </is>
      </c>
      <c r="I5" s="80" t="inlineStr">
        <is>
          <t>机械运输</t>
        </is>
      </c>
      <c r="J5" s="80" t="inlineStr">
        <is>
          <t>其他直接</t>
        </is>
      </c>
      <c r="K5" s="80" t="inlineStr">
        <is>
          <t>税金
(估算)</t>
        </is>
      </c>
      <c r="L5" s="80" t="inlineStr">
        <is>
          <t>票据贴息</t>
        </is>
      </c>
      <c r="M5" s="80" t="inlineStr">
        <is>
          <t>项目毛利</t>
        </is>
      </c>
      <c r="N5" s="80" t="inlineStr">
        <is>
          <t>摊管理费</t>
        </is>
      </c>
      <c r="O5" s="80" t="inlineStr">
        <is>
          <t>项目净利</t>
        </is>
      </c>
      <c r="P5" s="80" t="inlineStr">
        <is>
          <t>净利率</t>
        </is>
      </c>
      <c r="Q5" s="80" t="inlineStr">
        <is>
          <t>确认收入</t>
        </is>
      </c>
      <c r="R5" s="127" t="inlineStr">
        <is>
          <t>材料</t>
        </is>
      </c>
      <c r="S5" s="127" t="inlineStr">
        <is>
          <t>人工</t>
        </is>
      </c>
      <c r="T5" s="127" t="inlineStr">
        <is>
          <t>分包</t>
        </is>
      </c>
      <c r="U5" s="127" t="inlineStr">
        <is>
          <t>机械运输</t>
        </is>
      </c>
      <c r="V5" s="127" t="inlineStr">
        <is>
          <t>其他直接</t>
        </is>
      </c>
      <c r="W5" s="127" t="inlineStr">
        <is>
          <t>税金
(估算)</t>
        </is>
      </c>
      <c r="X5" s="127" t="inlineStr">
        <is>
          <t>票据贴息</t>
        </is>
      </c>
      <c r="Y5" s="127" t="inlineStr">
        <is>
          <t>摊管理费</t>
        </is>
      </c>
      <c r="Z5" s="127" t="inlineStr">
        <is>
          <t>项目净利</t>
        </is>
      </c>
      <c r="AA5" s="127" t="inlineStr">
        <is>
          <t>净利率</t>
        </is>
      </c>
      <c r="AB5" s="127" t="inlineStr">
        <is>
          <t>产值
确认进度</t>
        </is>
      </c>
      <c r="AC5" s="127" t="inlineStr">
        <is>
          <t>成本
进度</t>
        </is>
      </c>
      <c r="AD5" s="127" t="inlineStr">
        <is>
          <t>已收款
(含抵账)</t>
        </is>
      </c>
      <c r="AE5" s="127" t="inlineStr">
        <is>
          <t>应收余额</t>
        </is>
      </c>
      <c r="AF5" s="127" t="inlineStr">
        <is>
          <t>提示</t>
        </is>
      </c>
    </row>
    <row r="6">
      <c r="A6" s="105" t="n"/>
      <c r="B6" s="76" t="inlineStr">
        <is>
          <t>合计</t>
        </is>
      </c>
      <c r="C6" s="105" t="n"/>
      <c r="D6" s="77">
        <f>SUM(D7:D66)</f>
        <v>10164681.91</v>
      </c>
      <c r="E6" s="77">
        <f>SUM(E7:E66)</f>
        <v>8992</v>
      </c>
      <c r="F6" s="77">
        <f>SUM(F7:F66)</f>
        <v>110287.18</v>
      </c>
      <c r="G6" s="77">
        <f>SUM(G7:G66)</f>
        <v>219283.9</v>
      </c>
      <c r="H6" s="77">
        <f>SUM(H7:H66)</f>
        <v>0</v>
      </c>
      <c r="I6" s="77">
        <f>SUM(I7:I66)</f>
        <v>10080</v>
      </c>
      <c r="J6" s="77">
        <f>SUM(J7:J66)</f>
        <v>18547</v>
      </c>
      <c r="K6" s="77">
        <f>SUM(K7:K66)</f>
        <v>763.78</v>
      </c>
      <c r="L6" s="77">
        <f>SUM(L7:L66)</f>
        <v>0</v>
      </c>
      <c r="M6" s="77">
        <f>SUM(M7:M66)</f>
        <v>-349969.86</v>
      </c>
      <c r="N6" s="77">
        <f>SUM(N7:N66)</f>
        <v>86223.23</v>
      </c>
      <c r="O6" s="77">
        <f>SUM(O7:O66)</f>
        <v>-436193.09</v>
      </c>
      <c r="P6" s="109">
        <f>IF(N(E6)=0,"",O6/E6)</f>
        <v>-48.5090180160142</v>
      </c>
      <c r="Q6" s="77">
        <f>SUM(Q7:Q66)</f>
        <v>10164681.91</v>
      </c>
      <c r="R6" s="77">
        <f>SUM(R7:R66)</f>
        <v>2900058.38</v>
      </c>
      <c r="S6" s="77">
        <f>SUM(S7:S66)</f>
        <v>1792700.3</v>
      </c>
      <c r="T6" s="77">
        <f>SUM(T7:T66)</f>
        <v>1773184.03</v>
      </c>
      <c r="U6" s="77">
        <f>SUM(U7:U66)</f>
        <v>115855</v>
      </c>
      <c r="V6" s="77">
        <f>SUM(V7:V66)</f>
        <v>18547</v>
      </c>
      <c r="W6" s="77">
        <f>SUM(W7:W66)</f>
        <v>763.78</v>
      </c>
      <c r="X6" s="77">
        <f>SUM(X7:X66)</f>
        <v>0</v>
      </c>
      <c r="Y6" s="77">
        <f>SUM(Y7:Y66)</f>
        <v>361112.39</v>
      </c>
      <c r="Z6" s="77">
        <f>SUM(Z7:Z66)</f>
        <v>3202461.03</v>
      </c>
      <c r="AA6" s="109">
        <f>IF(N(Q6)=0,"",Z6/Q6)</f>
        <v>0.315057673063967</v>
      </c>
      <c r="AB6" s="105" t="n"/>
      <c r="AC6" s="105" t="n"/>
      <c r="AD6" s="77">
        <f>SUM(AD7:AD66)</f>
        <v>6837016.85</v>
      </c>
      <c r="AE6" s="77">
        <f>SUM(AE7:AE66)</f>
        <v>3327665.06</v>
      </c>
      <c r="AF6" s="105" t="n"/>
    </row>
    <row r="7">
      <c r="A7" s="94">
        <f>IF($B7="","",1)</f>
        <v>1</v>
      </c>
      <c r="B7" s="96" t="str">
        <f>项目档案!$B$4&amp;""</f>
        <v>德安养老中心</v>
      </c>
      <c r="C7" s="94" t="str">
        <f>项目档案!$M$4&amp;""</f>
        <v>在建</v>
      </c>
      <c r="D7" s="21">
        <f>IF($B7="","",N(项目档案!$T$4))</f>
        <v>4362576.49</v>
      </c>
      <c r="E7" s="21">
        <f>IF($B7="","",_项目汇总!$C$3)</f>
        <v>0</v>
      </c>
      <c r="F7" s="21">
        <f>IF($B7="","",_项目汇总!$O$3)</f>
        <v>53216</v>
      </c>
      <c r="G7" s="21">
        <f>IF($B7="","",_项目汇总!$Q$3)</f>
        <v>147283.9</v>
      </c>
      <c r="H7" s="21">
        <f>IF($B7="","",_项目汇总!$S$3)</f>
        <v>0</v>
      </c>
      <c r="I7" s="21">
        <f>IF($B7="","",_项目汇总!$U$3)</f>
        <v>0</v>
      </c>
      <c r="J7" s="21">
        <f>IF($B7="","",_项目汇总!$W$3+_项目汇总!$Y$3)</f>
        <v>12000</v>
      </c>
      <c r="K7" s="21">
        <f>IF($B7="","",ROUND((_项目汇总!$K$3-_项目汇总!$M$3)*(1+基础资料!$AF$6)+E7*基础资料!$AF$7,2))</f>
        <v>0</v>
      </c>
      <c r="L7" s="21">
        <f>IF($B7="","",_项目汇总!$AA$3)</f>
        <v>0</v>
      </c>
      <c r="M7" s="21">
        <f t="shared" ref="M7:M66" si="0">IF($B7="","",E7-SUM(F7:L7))</f>
        <v>-212499.9</v>
      </c>
      <c r="N7" s="21">
        <f>IF($B7="","",费用分摊!$O$21)</f>
        <v>55367.45</v>
      </c>
      <c r="O7" s="20">
        <f t="shared" ref="O7:O66" si="1">IF($B7="","",M7-N7)</f>
        <v>-267867.35</v>
      </c>
      <c r="P7" s="22">
        <f t="shared" ref="P7:P66" si="2">IF(OR($B7="",N(E7)=0),"",O7/E7)</f>
      </c>
      <c r="Q7" s="21">
        <f>IF($B7="","",SUMIFS(期初余额!$C$5:$C$64,期初余额!$B$5:$B$64,$B7)+_项目汇总!$B$3+_项目汇总!$C$3)</f>
        <v>4362576.49</v>
      </c>
      <c r="R7" s="21">
        <f>IF($B7="","",SUMIFS(期初余额!$R$5:$R$204,期初余额!$Q$5:$Q$204,$B7,期初余额!$V$5:$V$204,"材料供应商")+_项目汇总!$N$3+_项目汇总!$O$3)</f>
        <v>1541319.29</v>
      </c>
      <c r="S7" s="21">
        <f>IF($B7="","",SUMIFS(期初余额!$F$5:$F$64,期初余额!$B$5:$B$64,$B7)+_项目汇总!$P$3+_项目汇总!$Q$3)</f>
        <v>1220940.3</v>
      </c>
      <c r="T7" s="21">
        <f>IF($B7="","",SUMIFS(期初余额!$R$5:$R$204,期初余额!$Q$5:$Q$204,$B7,期初余额!$V$5:$V$204,"分包")+_项目汇总!$R$3+_项目汇总!$S$3)</f>
        <v>903907.03</v>
      </c>
      <c r="U7" s="21">
        <f>IF($B7="","",SUMIFS(期初余额!$R$5:$R$204,期初余额!$Q$5:$Q$204,$B7,期初余额!$V$5:$V$204,"机械运输")+_项目汇总!$T$3+_项目汇总!$U$3)</f>
        <v>0</v>
      </c>
      <c r="V7" s="21">
        <f>IF($B7="","",SUMIFS(期初余额!$G$5:$G$64,期初余额!$B$5:$B$64,$B7)+SUMIFS(期初余额!$R$5:$R$204,期初余额!$Q$5:$Q$204,$B7,期初余额!$V$5:$V$204,"其他")+_项目汇总!$V$3+_项目汇总!$W$3+_项目汇总!$X$3+_项目汇总!$Y$3)</f>
        <v>12000</v>
      </c>
      <c r="W7" s="21">
        <f>IF($B7="","",SUMIFS(期初余额!$H$5:$H$64,期初余额!$B$5:$B$64,$B7)+ROUND((_项目汇总!$J$3-_项目汇总!$L$3)*(1+基础资料!$AF$6)+_项目汇总!$B$3*基础资料!$AF$7,2)+K7)</f>
        <v>0</v>
      </c>
      <c r="X7" s="21">
        <f>IF($B7="","",_项目汇总!$Z$3+_项目汇总!$AA$3)</f>
        <v>0</v>
      </c>
      <c r="Y7" s="21">
        <f>IF($B7="","",费用分摊!$M$21)</f>
        <v>179763.52</v>
      </c>
      <c r="Z7" s="20">
        <f t="shared" ref="Z7:Z66" si="3">IF($B7="","",Q7-SUM(R7:Y7))</f>
        <v>504646.35</v>
      </c>
      <c r="AA7" s="22">
        <f t="shared" ref="AA7:AA66" si="4">IF(OR($B7="",N(Q7)=0),"",Z7/Q7)</f>
        <v>0.115676218206549</v>
      </c>
      <c r="AB7" s="22">
        <f t="shared" ref="AB7:AB66" si="5">IF(OR($B7="",N(D7)=0),"",Q7/D7)</f>
        <v>1</v>
      </c>
      <c r="AC7" s="22">
        <f t="shared" ref="AC7:AC66" si="6">IF(OR($B7="",N(D7)=0),"",SUM(R7:V7)/D7)</f>
        <v>0.843117966740796</v>
      </c>
      <c r="AD7" s="21">
        <f>IF($B7="","",应收账款总表!$G$6)</f>
        <v>2658453.36</v>
      </c>
      <c r="AE7" s="21">
        <f>IF($B7="","",应收账款总表!$I$6)</f>
        <v>1704123.13</v>
      </c>
      <c r="AF7" s="96">
        <f t="shared" ref="AF7:AF66" si="7">IF($B7="","",IF(AND(ISNUMBER(AC7),N(AC7)-N(AB7)&gt;基础资料!$AF$10),"成本花了"&amp;TEXT(AC7,"0%")&amp;"，产值才确认"&amp;TEXT(N(AB7),"0%")&amp;"：找甲方报量、补【收入确认】",IF(AND(N(Q7)=0,SUM(R7:V7)&gt;0),"有成本没收入：补【收入确认】（产值）",IF(AND(N(Q7)=0,N(AD7)&gt;0),"收了钱还没确认产值：补【收入确认】",IF(AND(N(Q7)&gt;0,SUM(R7:V7)=0),"有产值没成本：成本是不是没录？（建账前的在【期初余额】①）",IF(C7="完工未结算","完工了还没结算：抓紧结算",IF(AND(OR(C7="已结算",C7="质保期",C7="已完结"),N(Q7)&gt;0,SUM(R7:V7)&lt;N(Q7)*0.3),"已结算但成本不到产值三成：成本是不是没录全？",IF(N(Z7)&lt;0,"开工至今亏损",""))))))))</f>
      </c>
    </row>
    <row r="8">
      <c r="A8" s="94">
        <f>IF($B8="","",2)</f>
        <v>2</v>
      </c>
      <c r="B8" s="96" t="str">
        <f>项目档案!$B$5&amp;""</f>
        <v>科创中心</v>
      </c>
      <c r="C8" s="94" t="str">
        <f>项目档案!$M$5&amp;""</f>
        <v>在建</v>
      </c>
      <c r="D8" s="21">
        <f>IF($B8="","",N(项目档案!$T$5))</f>
        <v>1641809</v>
      </c>
      <c r="E8" s="21">
        <f>IF($B8="","",_项目汇总!$C$4)</f>
        <v>0</v>
      </c>
      <c r="F8" s="21">
        <f>IF($B8="","",_项目汇总!$O$4)</f>
        <v>0</v>
      </c>
      <c r="G8" s="21">
        <f>IF($B8="","",_项目汇总!$Q$4)</f>
        <v>21325</v>
      </c>
      <c r="H8" s="21">
        <f>IF($B8="","",_项目汇总!$S$4)</f>
        <v>0</v>
      </c>
      <c r="I8" s="21">
        <f>IF($B8="","",_项目汇总!$U$4)</f>
        <v>8000</v>
      </c>
      <c r="J8" s="21">
        <f>IF($B8="","",_项目汇总!$W$4+_项目汇总!$Y$4)</f>
        <v>0</v>
      </c>
      <c r="K8" s="21">
        <f>IF($B8="","",ROUND((_项目汇总!$K$4-_项目汇总!$M$4)*(1+基础资料!$AF$6)+E8*基础资料!$AF$7,2))</f>
        <v>0</v>
      </c>
      <c r="L8" s="21">
        <f>IF($B8="","",_项目汇总!$AA$4)</f>
        <v>0</v>
      </c>
      <c r="M8" s="21">
        <f t="shared" si="0"/>
        <v>-29325</v>
      </c>
      <c r="N8" s="21">
        <f>IF($B8="","",费用分摊!$O$22)</f>
        <v>11023.95</v>
      </c>
      <c r="O8" s="20">
        <f t="shared" si="1"/>
        <v>-40348.95</v>
      </c>
      <c r="P8" s="22">
        <f t="shared" si="2"/>
      </c>
      <c r="Q8" s="21">
        <f>IF($B8="","",SUMIFS(期初余额!$C$5:$C$64,期初余额!$B$5:$B$64,$B8)+_项目汇总!$B$4+_项目汇总!$C$4)</f>
        <v>1641809</v>
      </c>
      <c r="R8" s="21">
        <f>IF($B8="","",SUMIFS(期初余额!$R$5:$R$204,期初余额!$Q$5:$Q$204,$B8,期初余额!$V$5:$V$204,"材料供应商")+_项目汇总!$N$4+_项目汇总!$O$4)</f>
        <v>523267.88</v>
      </c>
      <c r="S8" s="21">
        <f>IF($B8="","",SUMIFS(期初余额!$F$5:$F$64,期初余额!$B$5:$B$64,$B8)+_项目汇总!$P$4+_项目汇总!$Q$4)</f>
        <v>424100</v>
      </c>
      <c r="T8" s="21">
        <f>IF($B8="","",SUMIFS(期初余额!$R$5:$R$204,期初余额!$Q$5:$Q$204,$B8,期初余额!$V$5:$V$204,"分包")+_项目汇总!$R$4+_项目汇总!$S$4)</f>
        <v>0</v>
      </c>
      <c r="U8" s="21">
        <f>IF($B8="","",SUMIFS(期初余额!$R$5:$R$204,期初余额!$Q$5:$Q$204,$B8,期初余额!$V$5:$V$204,"机械运输")+_项目汇总!$T$4+_项目汇总!$U$4)</f>
        <v>113775</v>
      </c>
      <c r="V8" s="21">
        <f>IF($B8="","",SUMIFS(期初余额!$G$5:$G$64,期初余额!$B$5:$B$64,$B8)+SUMIFS(期初余额!$R$5:$R$204,期初余额!$Q$5:$Q$204,$B8,期初余额!$V$5:$V$204,"其他")+_项目汇总!$V$4+_项目汇总!$W$4+_项目汇总!$X$4+_项目汇总!$Y$4)</f>
        <v>0</v>
      </c>
      <c r="W8" s="21">
        <f>IF($B8="","",SUMIFS(期初余额!$H$5:$H$64,期初余额!$B$5:$B$64,$B8)+ROUND((_项目汇总!$J$4-_项目汇总!$L$4)*(1+基础资料!$AF$6)+_项目汇总!$B$4*基础资料!$AF$7,2)+K8)</f>
        <v>0</v>
      </c>
      <c r="X8" s="21">
        <f>IF($B8="","",_项目汇总!$Z$4+_项目汇总!$AA$4)</f>
        <v>0</v>
      </c>
      <c r="Y8" s="21">
        <f>IF($B8="","",费用分摊!$M$22)</f>
        <v>57839.08</v>
      </c>
      <c r="Z8" s="20">
        <f t="shared" si="3"/>
        <v>522827.04</v>
      </c>
      <c r="AA8" s="22">
        <f t="shared" si="4"/>
        <v>0.318445714452777</v>
      </c>
      <c r="AB8" s="22">
        <f t="shared" si="5"/>
        <v>1</v>
      </c>
      <c r="AC8" s="22">
        <f t="shared" si="6"/>
        <v>0.646325413004801</v>
      </c>
      <c r="AD8" s="21">
        <f>IF($B8="","",应收账款总表!$G$7)</f>
        <v>1148361.8</v>
      </c>
      <c r="AE8" s="21">
        <f>IF($B8="","",应收账款总表!$I$7)</f>
        <v>493447.2</v>
      </c>
      <c r="AF8" s="96">
        <f t="shared" si="7"/>
      </c>
    </row>
    <row r="9">
      <c r="A9" s="94">
        <f>IF($B9="","",3)</f>
        <v>3</v>
      </c>
      <c r="B9" s="96" t="str">
        <f>项目档案!$B$6&amp;""</f>
        <v>九安架空层</v>
      </c>
      <c r="C9" s="94" t="str">
        <f>项目档案!$M$6&amp;""</f>
        <v>在建</v>
      </c>
      <c r="D9" s="21">
        <f>IF($B9="","",N(项目档案!$T$6))</f>
        <v>1500000</v>
      </c>
      <c r="E9" s="21">
        <f>IF($B9="","",_项目汇总!$C$5)</f>
        <v>0</v>
      </c>
      <c r="F9" s="21">
        <f>IF($B9="","",_项目汇总!$O$5)</f>
        <v>0</v>
      </c>
      <c r="G9" s="21">
        <f>IF($B9="","",_项目汇总!$Q$5)</f>
        <v>5610</v>
      </c>
      <c r="H9" s="21">
        <f>IF($B9="","",_项目汇总!$S$5)</f>
        <v>0</v>
      </c>
      <c r="I9" s="21">
        <f>IF($B9="","",_项目汇总!$U$5)</f>
        <v>0</v>
      </c>
      <c r="J9" s="21">
        <f>IF($B9="","",_项目汇总!$W$5+_项目汇总!$Y$5)</f>
        <v>77</v>
      </c>
      <c r="K9" s="21">
        <f>IF($B9="","",ROUND((_项目汇总!$K$5-_项目汇总!$M$5)*(1+基础资料!$AF$6)+E9*基础资料!$AF$7,2))</f>
        <v>0</v>
      </c>
      <c r="L9" s="21">
        <f>IF($B9="","",_项目汇总!$AA$5)</f>
        <v>0</v>
      </c>
      <c r="M9" s="21">
        <f t="shared" si="0"/>
        <v>-5687</v>
      </c>
      <c r="N9" s="21">
        <f>IF($B9="","",费用分摊!$O$23)</f>
        <v>2108.93</v>
      </c>
      <c r="O9" s="20">
        <f t="shared" si="1"/>
        <v>-7795.93</v>
      </c>
      <c r="P9" s="22">
        <f t="shared" si="2"/>
      </c>
      <c r="Q9" s="21">
        <f>IF($B9="","",SUMIFS(期初余额!$C$5:$C$64,期初余额!$B$5:$B$64,$B9)+_项目汇总!$B$5+_项目汇总!$C$5)</f>
        <v>1500000</v>
      </c>
      <c r="R9" s="21">
        <f>IF($B9="","",SUMIFS(期初余额!$R$5:$R$204,期初余额!$Q$5:$Q$204,$B9,期初余额!$V$5:$V$204,"材料供应商")+_项目汇总!$N$5+_项目汇总!$O$5)</f>
        <v>216998.97</v>
      </c>
      <c r="S9" s="21">
        <f>IF($B9="","",SUMIFS(期初余额!$F$5:$F$64,期初余额!$B$5:$B$64,$B9)+_项目汇总!$P$5+_项目汇总!$Q$5)</f>
        <v>102595</v>
      </c>
      <c r="T9" s="21">
        <f>IF($B9="","",SUMIFS(期初余额!$R$5:$R$204,期初余额!$Q$5:$Q$204,$B9,期初余额!$V$5:$V$204,"分包")+_项目汇总!$R$5+_项目汇总!$S$5)</f>
        <v>35960</v>
      </c>
      <c r="U9" s="21">
        <f>IF($B9="","",SUMIFS(期初余额!$R$5:$R$204,期初余额!$Q$5:$Q$204,$B9,期初余额!$V$5:$V$204,"机械运输")+_项目汇总!$T$5+_项目汇总!$U$5)</f>
        <v>0</v>
      </c>
      <c r="V9" s="21">
        <f>IF($B9="","",SUMIFS(期初余额!$G$5:$G$64,期初余额!$B$5:$B$64,$B9)+SUMIFS(期初余额!$R$5:$R$204,期初余额!$Q$5:$Q$204,$B9,期初余额!$V$5:$V$204,"其他")+_项目汇总!$V$5+_项目汇总!$W$5+_项目汇总!$X$5+_项目汇总!$Y$5)</f>
        <v>77</v>
      </c>
      <c r="W9" s="21">
        <f>IF($B9="","",SUMIFS(期初余额!$H$5:$H$64,期初余额!$B$5:$B$64,$B9)+ROUND((_项目汇总!$J$5-_项目汇总!$L$5)*(1+基础资料!$AF$6)+_项目汇总!$B$5*基础资料!$AF$7,2)+K9)</f>
        <v>0</v>
      </c>
      <c r="X9" s="21">
        <f>IF($B9="","",_项目汇总!$Z$5+_项目汇总!$AA$5)</f>
        <v>0</v>
      </c>
      <c r="Y9" s="21">
        <f>IF($B9="","",费用分摊!$M$23)</f>
        <v>44880.47</v>
      </c>
      <c r="Z9" s="20">
        <f t="shared" si="3"/>
        <v>1099488.56</v>
      </c>
      <c r="AA9" s="22">
        <f t="shared" si="4"/>
        <v>0.732992373333333</v>
      </c>
      <c r="AB9" s="22">
        <f t="shared" si="5"/>
        <v>1</v>
      </c>
      <c r="AC9" s="22">
        <f t="shared" si="6"/>
        <v>0.237087313333333</v>
      </c>
      <c r="AD9" s="21">
        <f>IF($B9="","",应收账款总表!$G$8)</f>
        <v>670000</v>
      </c>
      <c r="AE9" s="21">
        <f>IF($B9="","",应收账款总表!$I$8)</f>
        <v>830000</v>
      </c>
      <c r="AF9" s="96">
        <f t="shared" si="7"/>
      </c>
    </row>
    <row r="10">
      <c r="A10" s="94">
        <f>IF($B10="","",4)</f>
        <v>4</v>
      </c>
      <c r="B10" s="96" t="str">
        <f>项目档案!$B$7&amp;""</f>
        <v>数字产业园</v>
      </c>
      <c r="C10" s="94" t="str">
        <f>项目档案!$M$7&amp;""</f>
        <v>在建</v>
      </c>
      <c r="D10" s="21">
        <f>IF($B10="","",N(项目档案!$T$7))</f>
        <v>325612.18</v>
      </c>
      <c r="E10" s="21">
        <f>IF($B10="","",_项目汇总!$C$6)</f>
        <v>0</v>
      </c>
      <c r="F10" s="21">
        <f>IF($B10="","",_项目汇总!$O$6)</f>
        <v>0</v>
      </c>
      <c r="G10" s="21">
        <f>IF($B10="","",_项目汇总!$Q$6)</f>
        <v>0</v>
      </c>
      <c r="H10" s="21">
        <f>IF($B10="","",_项目汇总!$S$6)</f>
        <v>0</v>
      </c>
      <c r="I10" s="21">
        <f>IF($B10="","",_项目汇总!$U$6)</f>
        <v>0</v>
      </c>
      <c r="J10" s="21">
        <f>IF($B10="","",_项目汇总!$W$6+_项目汇总!$Y$6)</f>
        <v>0</v>
      </c>
      <c r="K10" s="21">
        <f>IF($B10="","",ROUND((_项目汇总!$K$6-_项目汇总!$M$6)*(1+基础资料!$AF$6)+E10*基础资料!$AF$7,2))</f>
        <v>0</v>
      </c>
      <c r="L10" s="21">
        <f>IF($B10="","",_项目汇总!$AA$6)</f>
        <v>0</v>
      </c>
      <c r="M10" s="21">
        <f t="shared" si="0"/>
        <v>0</v>
      </c>
      <c r="N10" s="21">
        <f>IF($B10="","",费用分摊!$O$24)</f>
        <v>0</v>
      </c>
      <c r="O10" s="20">
        <f t="shared" si="1"/>
        <v>0</v>
      </c>
      <c r="P10" s="22">
        <f t="shared" si="2"/>
      </c>
      <c r="Q10" s="21">
        <f>IF($B10="","",SUMIFS(期初余额!$C$5:$C$64,期初余额!$B$5:$B$64,$B10)+_项目汇总!$B$6+_项目汇总!$C$6)</f>
        <v>325612.18</v>
      </c>
      <c r="R10" s="21">
        <f>IF($B10="","",SUMIFS(期初余额!$R$5:$R$204,期初余额!$Q$5:$Q$204,$B10,期初余额!$V$5:$V$204,"材料供应商")+_项目汇总!$N$6+_项目汇总!$O$6)</f>
        <v>34875.01</v>
      </c>
      <c r="S10" s="21">
        <f>IF($B10="","",SUMIFS(期初余额!$F$5:$F$64,期初余额!$B$5:$B$64,$B10)+_项目汇总!$P$6+_项目汇总!$Q$6)</f>
        <v>0</v>
      </c>
      <c r="T10" s="21">
        <f>IF($B10="","",SUMIFS(期初余额!$R$5:$R$204,期初余额!$Q$5:$Q$204,$B10,期初余额!$V$5:$V$204,"分包")+_项目汇总!$R$6+_项目汇总!$S$6)</f>
        <v>70410</v>
      </c>
      <c r="U10" s="21">
        <f>IF($B10="","",SUMIFS(期初余额!$R$5:$R$204,期初余额!$Q$5:$Q$204,$B10,期初余额!$V$5:$V$204,"机械运输")+_项目汇总!$T$6+_项目汇总!$U$6)</f>
        <v>0</v>
      </c>
      <c r="V10" s="21">
        <f>IF($B10="","",SUMIFS(期初余额!$G$5:$G$64,期初余额!$B$5:$B$64,$B10)+SUMIFS(期初余额!$R$5:$R$204,期初余额!$Q$5:$Q$204,$B10,期初余额!$V$5:$V$204,"其他")+_项目汇总!$V$6+_项目汇总!$W$6+_项目汇总!$X$6+_项目汇总!$Y$6)</f>
        <v>0</v>
      </c>
      <c r="W10" s="21">
        <f>IF($B10="","",SUMIFS(期初余额!$H$5:$H$64,期初余额!$B$5:$B$64,$B10)+ROUND((_项目汇总!$J$6-_项目汇总!$L$6)*(1+基础资料!$AF$6)+_项目汇总!$B$6*基础资料!$AF$7,2)+K10)</f>
        <v>0</v>
      </c>
      <c r="X10" s="21">
        <f>IF($B10="","",_项目汇总!$Z$6+_项目汇总!$AA$6)</f>
        <v>0</v>
      </c>
      <c r="Y10" s="21">
        <f>IF($B10="","",费用分摊!$M$24)</f>
        <v>9284.62</v>
      </c>
      <c r="Z10" s="20">
        <f t="shared" si="3"/>
        <v>211042.55</v>
      </c>
      <c r="AA10" s="22">
        <f t="shared" si="4"/>
        <v>0.64814083428943</v>
      </c>
      <c r="AB10" s="22">
        <f t="shared" si="5"/>
        <v>1</v>
      </c>
      <c r="AC10" s="22">
        <f t="shared" si="6"/>
        <v>0.323344814681072</v>
      </c>
      <c r="AD10" s="21">
        <f>IF($B10="","",应收账款总表!$G$9)</f>
        <v>227000</v>
      </c>
      <c r="AE10" s="21">
        <f>IF($B10="","",应收账款总表!$I$9)</f>
        <v>98612.18</v>
      </c>
      <c r="AF10" s="96">
        <f t="shared" si="7"/>
      </c>
    </row>
    <row r="11">
      <c r="A11" s="94">
        <f>IF($B11="","",5)</f>
        <v>5</v>
      </c>
      <c r="B11" s="96" t="str">
        <f>项目档案!$B$8&amp;""</f>
        <v>邹桥派出所</v>
      </c>
      <c r="C11" s="94" t="str">
        <f>项目档案!$M$8&amp;""</f>
        <v>在建</v>
      </c>
      <c r="D11" s="21">
        <f>IF($B11="","",N(项目档案!$T$8))</f>
        <v>95560.56</v>
      </c>
      <c r="E11" s="21">
        <f>IF($B11="","",_项目汇总!$C$7)</f>
        <v>0</v>
      </c>
      <c r="F11" s="21">
        <f>IF($B11="","",_项目汇总!$O$7)</f>
        <v>303.2</v>
      </c>
      <c r="G11" s="21">
        <f>IF($B11="","",_项目汇总!$Q$7)</f>
        <v>37805</v>
      </c>
      <c r="H11" s="21">
        <f>IF($B11="","",_项目汇总!$S$7)</f>
        <v>0</v>
      </c>
      <c r="I11" s="21">
        <f>IF($B11="","",_项目汇总!$U$7)</f>
        <v>1280</v>
      </c>
      <c r="J11" s="21">
        <f>IF($B11="","",_项目汇总!$W$7+_项目汇总!$Y$7)</f>
        <v>2500</v>
      </c>
      <c r="K11" s="21">
        <f>IF($B11="","",ROUND((_项目汇总!$K$7-_项目汇总!$M$7)*(1+基础资料!$AF$6)+E11*基础资料!$AF$7,2))</f>
        <v>0</v>
      </c>
      <c r="L11" s="21">
        <f>IF($B11="","",_项目汇总!$AA$7)</f>
        <v>0</v>
      </c>
      <c r="M11" s="21">
        <f t="shared" si="0"/>
        <v>-41888.2</v>
      </c>
      <c r="N11" s="21">
        <f>IF($B11="","",费用分摊!$O$25)</f>
        <v>14692.96</v>
      </c>
      <c r="O11" s="20">
        <f t="shared" si="1"/>
        <v>-56581.16</v>
      </c>
      <c r="P11" s="22">
        <f t="shared" si="2"/>
      </c>
      <c r="Q11" s="21">
        <f>IF($B11="","",SUMIFS(期初余额!$C$5:$C$64,期初余额!$B$5:$B$64,$B11)+_项目汇总!$B$7+_项目汇总!$C$7)</f>
        <v>95560.56</v>
      </c>
      <c r="R11" s="21">
        <f>IF($B11="","",SUMIFS(期初余额!$R$5:$R$204,期初余额!$Q$5:$Q$204,$B11,期初余额!$V$5:$V$204,"材料供应商")+_项目汇总!$N$7+_项目汇总!$O$7)</f>
        <v>35603.2</v>
      </c>
      <c r="S11" s="21">
        <f>IF($B11="","",SUMIFS(期初余额!$F$5:$F$64,期初余额!$B$5:$B$64,$B11)+_项目汇总!$P$7+_项目汇总!$Q$7)</f>
        <v>37805</v>
      </c>
      <c r="T11" s="21">
        <f>IF($B11="","",SUMIFS(期初余额!$R$5:$R$204,期初余额!$Q$5:$Q$204,$B11,期初余额!$V$5:$V$204,"分包")+_项目汇总!$R$7+_项目汇总!$S$7)</f>
        <v>0</v>
      </c>
      <c r="U11" s="21">
        <f>IF($B11="","",SUMIFS(期初余额!$R$5:$R$204,期初余额!$Q$5:$Q$204,$B11,期初余额!$V$5:$V$204,"机械运输")+_项目汇总!$T$7+_项目汇总!$U$7)</f>
        <v>1280</v>
      </c>
      <c r="V11" s="21">
        <f>IF($B11="","",SUMIFS(期初余额!$G$5:$G$64,期初余额!$B$5:$B$64,$B11)+SUMIFS(期初余额!$R$5:$R$204,期初余额!$Q$5:$Q$204,$B11,期初余额!$V$5:$V$204,"其他")+_项目汇总!$V$7+_项目汇总!$W$7+_项目汇总!$X$7+_项目汇总!$Y$7)</f>
        <v>2500</v>
      </c>
      <c r="W11" s="21">
        <f>IF($B11="","",SUMIFS(期初余额!$H$5:$H$64,期初余额!$B$5:$B$64,$B11)+ROUND((_项目汇总!$J$7-_项目汇总!$L$7)*(1+基础资料!$AF$6)+_项目汇总!$B$7*基础资料!$AF$7,2)+K11)</f>
        <v>0</v>
      </c>
      <c r="X11" s="21">
        <f>IF($B11="","",_项目汇总!$Z$7+_项目汇总!$AA$7)</f>
        <v>0</v>
      </c>
      <c r="Y11" s="21">
        <f>IF($B11="","",费用分摊!$M$25)</f>
        <v>17287.95</v>
      </c>
      <c r="Z11" s="20">
        <f t="shared" si="3"/>
        <v>1084.41</v>
      </c>
      <c r="AA11" s="22">
        <f t="shared" si="4"/>
        <v>0.0113478824318317</v>
      </c>
      <c r="AB11" s="22">
        <f t="shared" si="5"/>
        <v>1</v>
      </c>
      <c r="AC11" s="22">
        <f t="shared" si="6"/>
        <v>0.807741185275599</v>
      </c>
      <c r="AD11" s="21">
        <f>IF($B11="","",应收账款总表!$G$10)</f>
        <v>63746.59</v>
      </c>
      <c r="AE11" s="21">
        <f>IF($B11="","",应收账款总表!$I$10)</f>
        <v>31813.97</v>
      </c>
      <c r="AF11" s="96">
        <f t="shared" si="7"/>
      </c>
    </row>
    <row r="12">
      <c r="A12" s="94">
        <f>IF($B12="","",6)</f>
        <v>6</v>
      </c>
      <c r="B12" s="96" t="str">
        <f>项目档案!$B$9&amp;""</f>
        <v>抚州1号楼</v>
      </c>
      <c r="C12" s="94" t="str">
        <f>项目档案!$M$9&amp;""</f>
        <v>在建</v>
      </c>
      <c r="D12" s="21">
        <f>IF($B12="","",N(项目档案!$T$9))</f>
        <v>695372.72</v>
      </c>
      <c r="E12" s="21">
        <f>IF($B12="","",_项目汇总!$C$8)</f>
        <v>0</v>
      </c>
      <c r="F12" s="21">
        <f>IF($B12="","",_项目汇总!$O$8)</f>
        <v>0</v>
      </c>
      <c r="G12" s="21">
        <f>IF($B12="","",_项目汇总!$Q$8)</f>
        <v>0</v>
      </c>
      <c r="H12" s="21">
        <f>IF($B12="","",_项目汇总!$S$8)</f>
        <v>0</v>
      </c>
      <c r="I12" s="21">
        <f>IF($B12="","",_项目汇总!$U$8)</f>
        <v>0</v>
      </c>
      <c r="J12" s="21">
        <f>IF($B12="","",_项目汇总!$W$8+_项目汇总!$Y$8)</f>
        <v>0</v>
      </c>
      <c r="K12" s="21">
        <f>IF($B12="","",ROUND((_项目汇总!$K$8-_项目汇总!$M$8)*(1+基础资料!$AF$6)+E12*基础资料!$AF$7,2))</f>
        <v>0</v>
      </c>
      <c r="L12" s="21">
        <f>IF($B12="","",_项目汇总!$AA$8)</f>
        <v>0</v>
      </c>
      <c r="M12" s="21">
        <f t="shared" si="0"/>
        <v>0</v>
      </c>
      <c r="N12" s="21">
        <f>IF($B12="","",费用分摊!$O$26)</f>
        <v>0</v>
      </c>
      <c r="O12" s="20">
        <f t="shared" si="1"/>
        <v>0</v>
      </c>
      <c r="P12" s="22">
        <f t="shared" si="2"/>
      </c>
      <c r="Q12" s="21">
        <f>IF($B12="","",SUMIFS(期初余额!$C$5:$C$64,期初余额!$B$5:$B$64,$B12)+_项目汇总!$B$8+_项目汇总!$C$8)</f>
        <v>695372.72</v>
      </c>
      <c r="R12" s="21">
        <f>IF($B12="","",SUMIFS(期初余额!$R$5:$R$204,期初余额!$Q$5:$Q$204,$B12,期初余额!$V$5:$V$204,"材料供应商")+_项目汇总!$N$8+_项目汇总!$O$8)</f>
        <v>259035.17</v>
      </c>
      <c r="S12" s="21">
        <f>IF($B12="","",SUMIFS(期初余额!$F$5:$F$64,期初余额!$B$5:$B$64,$B12)+_项目汇总!$P$8+_项目汇总!$Q$8)</f>
        <v>0</v>
      </c>
      <c r="T12" s="21">
        <f>IF($B12="","",SUMIFS(期初余额!$R$5:$R$204,期初余额!$Q$5:$Q$204,$B12,期初余额!$V$5:$V$204,"分包")+_项目汇总!$R$8+_项目汇总!$S$8)</f>
        <v>304727</v>
      </c>
      <c r="U12" s="21">
        <f>IF($B12="","",SUMIFS(期初余额!$R$5:$R$204,期初余额!$Q$5:$Q$204,$B12,期初余额!$V$5:$V$204,"机械运输")+_项目汇总!$T$8+_项目汇总!$U$8)</f>
        <v>0</v>
      </c>
      <c r="V12" s="21">
        <f>IF($B12="","",SUMIFS(期初余额!$G$5:$G$64,期初余额!$B$5:$B$64,$B12)+SUMIFS(期初余额!$R$5:$R$204,期初余额!$Q$5:$Q$204,$B12,期初余额!$V$5:$V$204,"其他")+_项目汇总!$V$8+_项目汇总!$W$8+_项目汇总!$X$8+_项目汇总!$Y$8)</f>
        <v>0</v>
      </c>
      <c r="W12" s="21">
        <f>IF($B12="","",SUMIFS(期初余额!$H$5:$H$64,期初余额!$B$5:$B$64,$B12)+ROUND((_项目汇总!$J$8-_项目汇总!$L$8)*(1+基础资料!$AF$6)+_项目汇总!$B$8*基础资料!$AF$7,2)+K12)</f>
        <v>0</v>
      </c>
      <c r="X12" s="21">
        <f>IF($B12="","",_项目汇总!$Z$8+_项目汇总!$AA$8)</f>
        <v>0</v>
      </c>
      <c r="Y12" s="21">
        <f>IF($B12="","",费用分摊!$M$26)</f>
        <v>19828.11</v>
      </c>
      <c r="Z12" s="20">
        <f t="shared" si="3"/>
        <v>111782.44</v>
      </c>
      <c r="AA12" s="22">
        <f t="shared" si="4"/>
        <v>0.160751833922964</v>
      </c>
      <c r="AB12" s="22">
        <f t="shared" si="5"/>
        <v>1</v>
      </c>
      <c r="AC12" s="22">
        <f t="shared" si="6"/>
        <v>0.810733803304795</v>
      </c>
      <c r="AD12" s="21">
        <f>IF($B12="","",应收账款总表!$G$11)</f>
        <v>562296</v>
      </c>
      <c r="AE12" s="21">
        <f>IF($B12="","",应收账款总表!$I$11)</f>
        <v>133076.72</v>
      </c>
      <c r="AF12" s="96">
        <f t="shared" si="7"/>
      </c>
    </row>
    <row r="13">
      <c r="A13" s="94">
        <f>IF($B13="","",7)</f>
        <v>7</v>
      </c>
      <c r="B13" s="96" t="str">
        <f>项目档案!$B$10&amp;""</f>
        <v>抚州8号楼</v>
      </c>
      <c r="C13" s="94" t="str">
        <f>项目档案!$M$10&amp;""</f>
        <v>在建</v>
      </c>
      <c r="D13" s="21">
        <f>IF($B13="","",N(项目档案!$T$10))</f>
        <v>960000</v>
      </c>
      <c r="E13" s="21">
        <f>IF($B13="","",_项目汇总!$C$9)</f>
        <v>0</v>
      </c>
      <c r="F13" s="21">
        <f>IF($B13="","",_项目汇总!$O$9)</f>
        <v>0</v>
      </c>
      <c r="G13" s="21">
        <f>IF($B13="","",_项目汇总!$Q$9)</f>
        <v>0</v>
      </c>
      <c r="H13" s="21">
        <f>IF($B13="","",_项目汇总!$S$9)</f>
        <v>0</v>
      </c>
      <c r="I13" s="21">
        <f>IF($B13="","",_项目汇总!$U$9)</f>
        <v>0</v>
      </c>
      <c r="J13" s="21">
        <f>IF($B13="","",_项目汇总!$W$9+_项目汇总!$Y$9)</f>
        <v>1470</v>
      </c>
      <c r="K13" s="21">
        <f>IF($B13="","",ROUND((_项目汇总!$K$9-_项目汇总!$M$9)*(1+基础资料!$AF$6)+E13*基础资料!$AF$7,2))</f>
        <v>0</v>
      </c>
      <c r="L13" s="21">
        <f>IF($B13="","",_项目汇总!$AA$9)</f>
        <v>0</v>
      </c>
      <c r="M13" s="21">
        <f t="shared" si="0"/>
        <v>-1470</v>
      </c>
      <c r="N13" s="21">
        <f>IF($B13="","",费用分摊!$O$27)</f>
        <v>0</v>
      </c>
      <c r="O13" s="20">
        <f t="shared" si="1"/>
        <v>-1470</v>
      </c>
      <c r="P13" s="22">
        <f t="shared" si="2"/>
      </c>
      <c r="Q13" s="21">
        <f>IF($B13="","",SUMIFS(期初余额!$C$5:$C$64,期初余额!$B$5:$B$64,$B13)+_项目汇总!$B$9+_项目汇总!$C$9)</f>
        <v>960000</v>
      </c>
      <c r="R13" s="21">
        <f>IF($B13="","",SUMIFS(期初余额!$R$5:$R$204,期初余额!$Q$5:$Q$204,$B13,期初余额!$V$5:$V$204,"材料供应商")+_项目汇总!$N$9+_项目汇总!$O$9)</f>
        <v>231643.94</v>
      </c>
      <c r="S13" s="21">
        <f>IF($B13="","",SUMIFS(期初余额!$F$5:$F$64,期初余额!$B$5:$B$64,$B13)+_项目汇总!$P$9+_项目汇总!$Q$9)</f>
        <v>0</v>
      </c>
      <c r="T13" s="21">
        <f>IF($B13="","",SUMIFS(期初余额!$R$5:$R$204,期初余额!$Q$5:$Q$204,$B13,期初余额!$V$5:$V$204,"分包")+_项目汇总!$R$9+_项目汇总!$S$9)</f>
        <v>458180</v>
      </c>
      <c r="U13" s="21">
        <f>IF($B13="","",SUMIFS(期初余额!$R$5:$R$204,期初余额!$Q$5:$Q$204,$B13,期初余额!$V$5:$V$204,"机械运输")+_项目汇总!$T$9+_项目汇总!$U$9)</f>
        <v>0</v>
      </c>
      <c r="V13" s="21">
        <f>IF($B13="","",SUMIFS(期初余额!$G$5:$G$64,期初余额!$B$5:$B$64,$B13)+SUMIFS(期初余额!$R$5:$R$204,期初余额!$Q$5:$Q$204,$B13,期初余额!$V$5:$V$204,"其他")+_项目汇总!$V$9+_项目汇总!$W$9+_项目汇总!$X$9+_项目汇总!$Y$9)</f>
        <v>1470</v>
      </c>
      <c r="W13" s="21">
        <f>IF($B13="","",SUMIFS(期初余额!$H$5:$H$64,期初余额!$B$5:$B$64,$B13)+ROUND((_项目汇总!$J$9-_项目汇总!$L$9)*(1+基础资料!$AF$6)+_项目汇总!$B$9*基础资料!$AF$7,2)+K13)</f>
        <v>0</v>
      </c>
      <c r="X13" s="21">
        <f>IF($B13="","",_项目汇总!$Z$9+_项目汇总!$AA$9)</f>
        <v>0</v>
      </c>
      <c r="Y13" s="21">
        <f>IF($B13="","",费用分摊!$M$27)</f>
        <v>27373.78</v>
      </c>
      <c r="Z13" s="20">
        <f t="shared" si="3"/>
        <v>241332.28</v>
      </c>
      <c r="AA13" s="22">
        <f t="shared" si="4"/>
        <v>0.251387791666667</v>
      </c>
      <c r="AB13" s="22">
        <f t="shared" si="5"/>
        <v>1</v>
      </c>
      <c r="AC13" s="22">
        <f t="shared" si="6"/>
        <v>0.720097854166667</v>
      </c>
      <c r="AD13" s="21">
        <f>IF($B13="","",应收账款总表!$G$12)</f>
        <v>670593.83</v>
      </c>
      <c r="AE13" s="21">
        <f>IF($B13="","",应收账款总表!$I$12)</f>
        <v>289406.17</v>
      </c>
      <c r="AF13" s="96">
        <f t="shared" si="7"/>
      </c>
    </row>
    <row r="14">
      <c r="A14" s="94">
        <f>IF($B14="","",8)</f>
        <v>8</v>
      </c>
      <c r="B14" s="96" t="str">
        <f>项目档案!$B$11&amp;""</f>
        <v>抚州2号楼</v>
      </c>
      <c r="C14" s="94" t="str">
        <f>项目档案!$M$11&amp;""</f>
        <v>在建</v>
      </c>
      <c r="D14" s="21">
        <f>IF($B14="","",N(项目档案!$T$11))</f>
        <v>64000</v>
      </c>
      <c r="E14" s="21">
        <f>IF($B14="","",_项目汇总!$C$10)</f>
        <v>0</v>
      </c>
      <c r="F14" s="21">
        <f>IF($B14="","",_项目汇总!$O$10)</f>
        <v>0</v>
      </c>
      <c r="G14" s="21">
        <f>IF($B14="","",_项目汇总!$Q$10)</f>
        <v>0</v>
      </c>
      <c r="H14" s="21">
        <f>IF($B14="","",_项目汇总!$S$10)</f>
        <v>0</v>
      </c>
      <c r="I14" s="21">
        <f>IF($B14="","",_项目汇总!$U$10)</f>
        <v>0</v>
      </c>
      <c r="J14" s="21">
        <f>IF($B14="","",_项目汇总!$W$10+_项目汇总!$Y$10)</f>
        <v>0</v>
      </c>
      <c r="K14" s="21">
        <f>IF($B14="","",ROUND((_项目汇总!$K$10-_项目汇总!$M$10)*(1+基础资料!$AF$6)+E14*基础资料!$AF$7,2))</f>
        <v>0</v>
      </c>
      <c r="L14" s="21">
        <f>IF($B14="","",_项目汇总!$AA$10)</f>
        <v>0</v>
      </c>
      <c r="M14" s="21">
        <f t="shared" si="0"/>
        <v>0</v>
      </c>
      <c r="N14" s="21">
        <f>IF($B14="","",费用分摊!$O$28)</f>
        <v>0</v>
      </c>
      <c r="O14" s="20">
        <f t="shared" si="1"/>
        <v>0</v>
      </c>
      <c r="P14" s="22">
        <f t="shared" si="2"/>
      </c>
      <c r="Q14" s="21">
        <f>IF($B14="","",SUMIFS(期初余额!$C$5:$C$64,期初余额!$B$5:$B$64,$B14)+_项目汇总!$B$10+_项目汇总!$C$10)</f>
        <v>64000</v>
      </c>
      <c r="R14" s="21">
        <f>IF($B14="","",SUMIFS(期初余额!$R$5:$R$204,期初余额!$Q$5:$Q$204,$B14,期初余额!$V$5:$V$204,"材料供应商")+_项目汇总!$N$10+_项目汇总!$O$10)</f>
        <v>0</v>
      </c>
      <c r="S14" s="21">
        <f>IF($B14="","",SUMIFS(期初余额!$F$5:$F$64,期初余额!$B$5:$B$64,$B14)+_项目汇总!$P$10+_项目汇总!$Q$10)</f>
        <v>0</v>
      </c>
      <c r="T14" s="21">
        <f>IF($B14="","",SUMIFS(期初余额!$R$5:$R$204,期初余额!$Q$5:$Q$204,$B14,期初余额!$V$5:$V$204,"分包")+_项目汇总!$R$10+_项目汇总!$S$10)</f>
        <v>0</v>
      </c>
      <c r="U14" s="21">
        <f>IF($B14="","",SUMIFS(期初余额!$R$5:$R$204,期初余额!$Q$5:$Q$204,$B14,期初余额!$V$5:$V$204,"机械运输")+_项目汇总!$T$10+_项目汇总!$U$10)</f>
        <v>0</v>
      </c>
      <c r="V14" s="21">
        <f>IF($B14="","",SUMIFS(期初余额!$G$5:$G$64,期初余额!$B$5:$B$64,$B14)+SUMIFS(期初余额!$R$5:$R$204,期初余额!$Q$5:$Q$204,$B14,期初余额!$V$5:$V$204,"其他")+_项目汇总!$V$10+_项目汇总!$W$10+_项目汇总!$X$10+_项目汇总!$Y$10)</f>
        <v>0</v>
      </c>
      <c r="W14" s="21">
        <f>IF($B14="","",SUMIFS(期初余额!$H$5:$H$64,期初余额!$B$5:$B$64,$B14)+ROUND((_项目汇总!$J$10-_项目汇总!$L$10)*(1+基础资料!$AF$6)+_项目汇总!$B$10*基础资料!$AF$7,2)+K14)</f>
        <v>0</v>
      </c>
      <c r="X14" s="21">
        <f>IF($B14="","",_项目汇总!$Z$10+_项目汇总!$AA$10)</f>
        <v>0</v>
      </c>
      <c r="Y14" s="21">
        <f>IF($B14="","",费用分摊!$M$28)</f>
        <v>1824.92</v>
      </c>
      <c r="Z14" s="20">
        <f t="shared" si="3"/>
        <v>62175.08</v>
      </c>
      <c r="AA14" s="22">
        <f t="shared" si="4"/>
        <v>0.971485625</v>
      </c>
      <c r="AB14" s="22">
        <f t="shared" si="5"/>
        <v>1</v>
      </c>
      <c r="AC14" s="22">
        <f t="shared" si="6"/>
        <v>0</v>
      </c>
      <c r="AD14" s="21">
        <f>IF($B14="","",应收账款总表!$G$13)</f>
        <v>51200</v>
      </c>
      <c r="AE14" s="21">
        <f>IF($B14="","",应收账款总表!$I$13)</f>
        <v>12800</v>
      </c>
      <c r="AF14" s="96" t="str">
        <f t="shared" si="7"/>
        <v>有产值没成本：成本是不是没录？（建账前的在【期初余额】①）</v>
      </c>
    </row>
    <row r="15">
      <c r="A15" s="94">
        <f>IF($B15="","",9)</f>
        <v>9</v>
      </c>
      <c r="B15" s="96" t="str">
        <f>项目档案!$B$12&amp;""</f>
        <v>博河科创中心</v>
      </c>
      <c r="C15" s="94" t="str">
        <f>项目档案!$M$12&amp;""</f>
        <v>在建</v>
      </c>
      <c r="D15" s="21">
        <f>IF($B15="","",N(项目档案!$T$12))</f>
        <v>510758.96</v>
      </c>
      <c r="E15" s="21">
        <f>IF($B15="","",_项目汇总!$C$11)</f>
        <v>0</v>
      </c>
      <c r="F15" s="21">
        <f>IF($B15="","",_项目汇总!$O$11)</f>
        <v>0</v>
      </c>
      <c r="G15" s="21">
        <f>IF($B15="","",_项目汇总!$Q$11)</f>
        <v>0</v>
      </c>
      <c r="H15" s="21">
        <f>IF($B15="","",_项目汇总!$S$11)</f>
        <v>0</v>
      </c>
      <c r="I15" s="21">
        <f>IF($B15="","",_项目汇总!$U$11)</f>
        <v>0</v>
      </c>
      <c r="J15" s="21">
        <f>IF($B15="","",_项目汇总!$W$11+_项目汇总!$Y$11)</f>
        <v>0</v>
      </c>
      <c r="K15" s="21">
        <f>IF($B15="","",ROUND((_项目汇总!$K$11-_项目汇总!$M$11)*(1+基础资料!$AF$6)+E15*基础资料!$AF$7,2))</f>
        <v>0</v>
      </c>
      <c r="L15" s="21">
        <f>IF($B15="","",_项目汇总!$AA$11)</f>
        <v>0</v>
      </c>
      <c r="M15" s="21">
        <f t="shared" si="0"/>
        <v>0</v>
      </c>
      <c r="N15" s="21">
        <f>IF($B15="","",费用分摊!$O$29)</f>
        <v>0</v>
      </c>
      <c r="O15" s="20">
        <f t="shared" si="1"/>
        <v>0</v>
      </c>
      <c r="P15" s="22">
        <f t="shared" si="2"/>
      </c>
      <c r="Q15" s="21">
        <f>IF($B15="","",SUMIFS(期初余额!$C$5:$C$64,期初余额!$B$5:$B$64,$B15)+_项目汇总!$B$11+_项目汇总!$C$11)</f>
        <v>510758.96</v>
      </c>
      <c r="R15" s="21">
        <f>IF($B15="","",SUMIFS(期初余额!$R$5:$R$204,期初余额!$Q$5:$Q$204,$B15,期初余额!$V$5:$V$204,"材料供应商")+_项目汇总!$N$11+_项目汇总!$O$11)</f>
        <v>0</v>
      </c>
      <c r="S15" s="21">
        <f>IF($B15="","",SUMIFS(期初余额!$F$5:$F$64,期初余额!$B$5:$B$64,$B15)+_项目汇总!$P$11+_项目汇总!$Q$11)</f>
        <v>0</v>
      </c>
      <c r="T15" s="21">
        <f>IF($B15="","",SUMIFS(期初余额!$R$5:$R$204,期初余额!$Q$5:$Q$204,$B15,期初余额!$V$5:$V$204,"分包")+_项目汇总!$R$11+_项目汇总!$S$11)</f>
        <v>0</v>
      </c>
      <c r="U15" s="21">
        <f>IF($B15="","",SUMIFS(期初余额!$R$5:$R$204,期初余额!$Q$5:$Q$204,$B15,期初余额!$V$5:$V$204,"机械运输")+_项目汇总!$T$11+_项目汇总!$U$11)</f>
        <v>0</v>
      </c>
      <c r="V15" s="21">
        <f>IF($B15="","",SUMIFS(期初余额!$G$5:$G$64,期初余额!$B$5:$B$64,$B15)+SUMIFS(期初余额!$R$5:$R$204,期初余额!$Q$5:$Q$204,$B15,期初余额!$V$5:$V$204,"其他")+_项目汇总!$V$11+_项目汇总!$W$11+_项目汇总!$X$11+_项目汇总!$Y$11)</f>
        <v>0</v>
      </c>
      <c r="W15" s="21">
        <f>IF($B15="","",SUMIFS(期初余额!$H$5:$H$64,期初余额!$B$5:$B$64,$B15)+ROUND((_项目汇总!$J$11-_项目汇总!$L$11)*(1+基础资料!$AF$6)+_项目汇总!$B$11*基础资料!$AF$7,2)+K15)</f>
        <v>0</v>
      </c>
      <c r="X15" s="21">
        <f>IF($B15="","",_项目汇总!$Z$11+_项目汇总!$AA$11)</f>
        <v>0</v>
      </c>
      <c r="Y15" s="21">
        <f>IF($B15="","",费用分摊!$M$29)</f>
        <v>0</v>
      </c>
      <c r="Z15" s="20">
        <f t="shared" si="3"/>
        <v>510758.96</v>
      </c>
      <c r="AA15" s="22">
        <f t="shared" si="4"/>
        <v>1</v>
      </c>
      <c r="AB15" s="22">
        <f t="shared" si="5"/>
        <v>1</v>
      </c>
      <c r="AC15" s="22">
        <f t="shared" si="6"/>
        <v>0</v>
      </c>
      <c r="AD15" s="21">
        <f>IF($B15="","",应收账款总表!$G$14)</f>
        <v>0</v>
      </c>
      <c r="AE15" s="21">
        <f>IF($B15="","",应收账款总表!$I$14)</f>
        <v>510758.96</v>
      </c>
      <c r="AF15" s="96" t="str">
        <f t="shared" si="7"/>
        <v>有产值没成本：成本是不是没录？（建账前的在【期初余额】①）</v>
      </c>
    </row>
    <row r="16">
      <c r="A16" s="94">
        <f>IF($B16="","",10)</f>
        <v>10</v>
      </c>
      <c r="B16" s="96" t="str">
        <f>项目档案!$B$13&amp;""</f>
        <v>德安农商行总部</v>
      </c>
      <c r="C16" s="94" t="str">
        <f>项目档案!$M$13&amp;""</f>
        <v>在建</v>
      </c>
      <c r="D16" s="21">
        <f>IF($B16="","",N(项目档案!$T$13))</f>
        <v>8992</v>
      </c>
      <c r="E16" s="21">
        <f>IF($B16="","",_项目汇总!$C$12)</f>
        <v>8992</v>
      </c>
      <c r="F16" s="21">
        <f>IF($B16="","",_项目汇总!$O$12)</f>
        <v>120</v>
      </c>
      <c r="G16" s="21">
        <f>IF($B16="","",_项目汇总!$Q$12)</f>
        <v>360</v>
      </c>
      <c r="H16" s="21">
        <f>IF($B16="","",_项目汇总!$S$12)</f>
        <v>0</v>
      </c>
      <c r="I16" s="21">
        <f>IF($B16="","",_项目汇总!$U$12)</f>
        <v>800</v>
      </c>
      <c r="J16" s="21">
        <f>IF($B16="","",_项目汇总!$W$12+_项目汇总!$Y$12)</f>
        <v>0</v>
      </c>
      <c r="K16" s="21">
        <f>IF($B16="","",ROUND((_项目汇总!$K$12-_项目汇总!$M$12)*(1+基础资料!$AF$6)+E16*基础资料!$AF$7,2))</f>
        <v>763.78</v>
      </c>
      <c r="L16" s="21">
        <f>IF($B16="","",_项目汇总!$AA$12)</f>
        <v>0</v>
      </c>
      <c r="M16" s="21">
        <f t="shared" si="0"/>
        <v>6948.22</v>
      </c>
      <c r="N16" s="21">
        <f>IF($B16="","",费用分摊!$O$30)</f>
        <v>436.07</v>
      </c>
      <c r="O16" s="20">
        <f t="shared" si="1"/>
        <v>6512.15</v>
      </c>
      <c r="P16" s="22">
        <f t="shared" si="2"/>
        <v>0.72421596975089</v>
      </c>
      <c r="Q16" s="21">
        <f>IF($B16="","",SUMIFS(期初余额!$C$5:$C$64,期初余额!$B$5:$B$64,$B16)+_项目汇总!$B$12+_项目汇总!$C$12)</f>
        <v>8992</v>
      </c>
      <c r="R16" s="21">
        <f>IF($B16="","",SUMIFS(期初余额!$R$5:$R$204,期初余额!$Q$5:$Q$204,$B16,期初余额!$V$5:$V$204,"材料供应商")+_项目汇总!$N$12+_项目汇总!$O$12)</f>
        <v>666.94</v>
      </c>
      <c r="S16" s="21">
        <f>IF($B16="","",SUMIFS(期初余额!$F$5:$F$64,期初余额!$B$5:$B$64,$B16)+_项目汇总!$P$12+_项目汇总!$Q$12)</f>
        <v>360</v>
      </c>
      <c r="T16" s="21">
        <f>IF($B16="","",SUMIFS(期初余额!$R$5:$R$204,期初余额!$Q$5:$Q$204,$B16,期初余额!$V$5:$V$204,"分包")+_项目汇总!$R$12+_项目汇总!$S$12)</f>
        <v>0</v>
      </c>
      <c r="U16" s="21">
        <f>IF($B16="","",SUMIFS(期初余额!$R$5:$R$204,期初余额!$Q$5:$Q$204,$B16,期初余额!$V$5:$V$204,"机械运输")+_项目汇总!$T$12+_项目汇总!$U$12)</f>
        <v>800</v>
      </c>
      <c r="V16" s="21">
        <f>IF($B16="","",SUMIFS(期初余额!$G$5:$G$64,期初余额!$B$5:$B$64,$B16)+SUMIFS(期初余额!$R$5:$R$204,期初余额!$Q$5:$Q$204,$B16,期初余额!$V$5:$V$204,"其他")+_项目汇总!$V$12+_项目汇总!$W$12+_项目汇总!$X$12+_项目汇总!$Y$12)</f>
        <v>0</v>
      </c>
      <c r="W16" s="21">
        <f>IF($B16="","",SUMIFS(期初余额!$H$5:$H$64,期初余额!$B$5:$B$64,$B16)+ROUND((_项目汇总!$J$12-_项目汇总!$L$12)*(1+基础资料!$AF$6)+_项目汇总!$B$12*基础资料!$AF$7,2)+K16)</f>
        <v>763.78</v>
      </c>
      <c r="X16" s="21">
        <f>IF($B16="","",_项目汇总!$Z$12+_项目汇总!$AA$12)</f>
        <v>0</v>
      </c>
      <c r="Y16" s="21">
        <f>IF($B16="","",费用分摊!$M$30)</f>
        <v>436.07</v>
      </c>
      <c r="Z16" s="20">
        <f t="shared" si="3"/>
        <v>5965.21</v>
      </c>
      <c r="AA16" s="22">
        <f t="shared" si="4"/>
        <v>0.663390791814947</v>
      </c>
      <c r="AB16" s="22">
        <f t="shared" si="5"/>
        <v>1</v>
      </c>
      <c r="AC16" s="22">
        <f t="shared" si="6"/>
        <v>0.203173932384342</v>
      </c>
      <c r="AD16" s="21">
        <f>IF($B16="","",应收账款总表!$G$15)</f>
        <v>0</v>
      </c>
      <c r="AE16" s="21">
        <f>IF($B16="","",应收账款总表!$I$15)</f>
        <v>8992</v>
      </c>
      <c r="AF16" s="96">
        <f t="shared" si="7"/>
      </c>
    </row>
    <row r="17">
      <c r="A17" s="94">
        <f>IF($B17="","",11)</f>
        <v>11</v>
      </c>
      <c r="B17" s="96" t="str">
        <f>项目档案!$B$14&amp;""</f>
        <v>示范园</v>
      </c>
      <c r="C17" s="94" t="str">
        <f>项目档案!$M$14&amp;""</f>
        <v>在建</v>
      </c>
      <c r="D17" s="21">
        <f>IF($B17="","",N(项目档案!$T$14))</f>
        <v>0</v>
      </c>
      <c r="E17" s="21">
        <f>IF($B17="","",_项目汇总!$C$13)</f>
        <v>0</v>
      </c>
      <c r="F17" s="21">
        <f>IF($B17="","",_项目汇总!$O$13)</f>
        <v>0</v>
      </c>
      <c r="G17" s="21">
        <f>IF($B17="","",_项目汇总!$Q$13)</f>
        <v>6900</v>
      </c>
      <c r="H17" s="21">
        <f>IF($B17="","",_项目汇总!$S$13)</f>
        <v>0</v>
      </c>
      <c r="I17" s="21">
        <f>IF($B17="","",_项目汇总!$U$13)</f>
        <v>0</v>
      </c>
      <c r="J17" s="21">
        <f>IF($B17="","",_项目汇总!$W$13+_项目汇总!$Y$13)</f>
        <v>0</v>
      </c>
      <c r="K17" s="21">
        <f>IF($B17="","",ROUND((_项目汇总!$K$13-_项目汇总!$M$13)*(1+基础资料!$AF$6)+E17*基础资料!$AF$7,2))</f>
        <v>0</v>
      </c>
      <c r="L17" s="21">
        <f>IF($B17="","",_项目汇总!$AA$13)</f>
        <v>0</v>
      </c>
      <c r="M17" s="21">
        <f t="shared" si="0"/>
        <v>-6900</v>
      </c>
      <c r="N17" s="21">
        <f>IF($B17="","",费用分摊!$O$31)</f>
        <v>2593.87</v>
      </c>
      <c r="O17" s="20">
        <f t="shared" si="1"/>
        <v>-9493.87</v>
      </c>
      <c r="P17" s="22">
        <f t="shared" si="2"/>
      </c>
      <c r="Q17" s="21">
        <f>IF($B17="","",SUMIFS(期初余额!$C$5:$C$64,期初余额!$B$5:$B$64,$B17)+_项目汇总!$B$13+_项目汇总!$C$13)</f>
        <v>0</v>
      </c>
      <c r="R17" s="21">
        <f>IF($B17="","",SUMIFS(期初余额!$R$5:$R$204,期初余额!$Q$5:$Q$204,$B17,期初余额!$V$5:$V$204,"材料供应商")+_项目汇总!$N$13+_项目汇总!$O$13)</f>
        <v>0</v>
      </c>
      <c r="S17" s="21">
        <f>IF($B17="","",SUMIFS(期初余额!$F$5:$F$64,期初余额!$B$5:$B$64,$B17)+_项目汇总!$P$13+_项目汇总!$Q$13)</f>
        <v>6900</v>
      </c>
      <c r="T17" s="21">
        <f>IF($B17="","",SUMIFS(期初余额!$R$5:$R$204,期初余额!$Q$5:$Q$204,$B17,期初余额!$V$5:$V$204,"分包")+_项目汇总!$R$13+_项目汇总!$S$13)</f>
        <v>0</v>
      </c>
      <c r="U17" s="21">
        <f>IF($B17="","",SUMIFS(期初余额!$R$5:$R$204,期初余额!$Q$5:$Q$204,$B17,期初余额!$V$5:$V$204,"机械运输")+_项目汇总!$T$13+_项目汇总!$U$13)</f>
        <v>0</v>
      </c>
      <c r="V17" s="21">
        <f>IF($B17="","",SUMIFS(期初余额!$G$5:$G$64,期初余额!$B$5:$B$64,$B17)+SUMIFS(期初余额!$R$5:$R$204,期初余额!$Q$5:$Q$204,$B17,期初余额!$V$5:$V$204,"其他")+_项目汇总!$V$13+_项目汇总!$W$13+_项目汇总!$X$13+_项目汇总!$Y$13)</f>
        <v>0</v>
      </c>
      <c r="W17" s="21">
        <f>IF($B17="","",SUMIFS(期初余额!$H$5:$H$64,期初余额!$B$5:$B$64,$B17)+ROUND((_项目汇总!$J$13-_项目汇总!$L$13)*(1+基础资料!$AF$6)+_项目汇总!$B$13*基础资料!$AF$7,2)+K17)</f>
        <v>0</v>
      </c>
      <c r="X17" s="21">
        <f>IF($B17="","",_项目汇总!$Z$13+_项目汇总!$AA$13)</f>
        <v>0</v>
      </c>
      <c r="Y17" s="21">
        <f>IF($B17="","",费用分摊!$M$31)</f>
        <v>2593.87</v>
      </c>
      <c r="Z17" s="20">
        <f t="shared" si="3"/>
        <v>-9493.87</v>
      </c>
      <c r="AA17" s="22">
        <f t="shared" si="4"/>
      </c>
      <c r="AB17" s="22">
        <f t="shared" si="5"/>
      </c>
      <c r="AC17" s="22">
        <f t="shared" si="6"/>
      </c>
      <c r="AD17" s="21">
        <f>IF($B17="","",应收账款总表!$G$16)</f>
        <v>0</v>
      </c>
      <c r="AE17" s="21">
        <f>IF($B17="","",应收账款总表!$I$16)</f>
        <v>0</v>
      </c>
      <c r="AF17" s="96" t="str">
        <f t="shared" si="7"/>
        <v>有成本没收入：补【收入确认】（产值）</v>
      </c>
    </row>
    <row r="18">
      <c r="A18" s="94">
        <f>IF($B18="","",12)</f>
        <v>12</v>
      </c>
      <c r="B18" s="96" t="str">
        <f>项目档案!$B$15&amp;""</f>
        <v>恒科华府</v>
      </c>
      <c r="C18" s="94" t="str">
        <f>项目档案!$M$15&amp;""</f>
        <v>在建</v>
      </c>
      <c r="D18" s="21">
        <f>IF($B18="","",N(项目档案!$T$15))</f>
        <v>0</v>
      </c>
      <c r="E18" s="21">
        <f>IF($B18="","",_项目汇总!$C$14)</f>
        <v>0</v>
      </c>
      <c r="F18" s="21">
        <f>IF($B18="","",_项目汇总!$O$14)</f>
        <v>0</v>
      </c>
      <c r="G18" s="21">
        <f>IF($B18="","",_项目汇总!$Q$14)</f>
        <v>0</v>
      </c>
      <c r="H18" s="21">
        <f>IF($B18="","",_项目汇总!$S$14)</f>
        <v>0</v>
      </c>
      <c r="I18" s="21">
        <f>IF($B18="","",_项目汇总!$U$14)</f>
        <v>0</v>
      </c>
      <c r="J18" s="21">
        <f>IF($B18="","",_项目汇总!$W$14+_项目汇总!$Y$14)</f>
        <v>0</v>
      </c>
      <c r="K18" s="21">
        <f>IF($B18="","",ROUND((_项目汇总!$K$14-_项目汇总!$M$14)*(1+基础资料!$AF$6)+E18*基础资料!$AF$7,2))</f>
        <v>0</v>
      </c>
      <c r="L18" s="21">
        <f>IF($B18="","",_项目汇总!$AA$14)</f>
        <v>0</v>
      </c>
      <c r="M18" s="21">
        <f t="shared" si="0"/>
        <v>0</v>
      </c>
      <c r="N18" s="21">
        <f>IF($B18="","",费用分摊!$O$32)</f>
        <v>0</v>
      </c>
      <c r="O18" s="20">
        <f t="shared" si="1"/>
        <v>0</v>
      </c>
      <c r="P18" s="22">
        <f t="shared" si="2"/>
      </c>
      <c r="Q18" s="21">
        <f>IF($B18="","",SUMIFS(期初余额!$C$5:$C$64,期初余额!$B$5:$B$64,$B18)+_项目汇总!$B$14+_项目汇总!$C$14)</f>
        <v>0</v>
      </c>
      <c r="R18" s="21">
        <f>IF($B18="","",SUMIFS(期初余额!$R$5:$R$204,期初余额!$Q$5:$Q$204,$B18,期初余额!$V$5:$V$204,"材料供应商")+_项目汇总!$N$14+_项目汇总!$O$14)</f>
        <v>0</v>
      </c>
      <c r="S18" s="21">
        <f>IF($B18="","",SUMIFS(期初余额!$F$5:$F$64,期初余额!$B$5:$B$64,$B18)+_项目汇总!$P$14+_项目汇总!$Q$14)</f>
        <v>0</v>
      </c>
      <c r="T18" s="21">
        <f>IF($B18="","",SUMIFS(期初余额!$R$5:$R$204,期初余额!$Q$5:$Q$204,$B18,期初余额!$V$5:$V$204,"分包")+_项目汇总!$R$14+_项目汇总!$S$14)</f>
        <v>0</v>
      </c>
      <c r="U18" s="21">
        <f>IF($B18="","",SUMIFS(期初余额!$R$5:$R$204,期初余额!$Q$5:$Q$204,$B18,期初余额!$V$5:$V$204,"机械运输")+_项目汇总!$T$14+_项目汇总!$U$14)</f>
        <v>0</v>
      </c>
      <c r="V18" s="21">
        <f>IF($B18="","",SUMIFS(期初余额!$G$5:$G$64,期初余额!$B$5:$B$64,$B18)+SUMIFS(期初余额!$R$5:$R$204,期初余额!$Q$5:$Q$204,$B18,期初余额!$V$5:$V$204,"其他")+_项目汇总!$V$14+_项目汇总!$W$14+_项目汇总!$X$14+_项目汇总!$Y$14)</f>
        <v>0</v>
      </c>
      <c r="W18" s="21">
        <f>IF($B18="","",SUMIFS(期初余额!$H$5:$H$64,期初余额!$B$5:$B$64,$B18)+ROUND((_项目汇总!$J$14-_项目汇总!$L$14)*(1+基础资料!$AF$6)+_项目汇总!$B$14*基础资料!$AF$7,2)+K18)</f>
        <v>0</v>
      </c>
      <c r="X18" s="21">
        <f>IF($B18="","",_项目汇总!$Z$14+_项目汇总!$AA$14)</f>
        <v>0</v>
      </c>
      <c r="Y18" s="21">
        <f>IF($B18="","",费用分摊!$M$32)</f>
        <v>0</v>
      </c>
      <c r="Z18" s="20">
        <f t="shared" si="3"/>
        <v>0</v>
      </c>
      <c r="AA18" s="22">
        <f t="shared" si="4"/>
      </c>
      <c r="AB18" s="22">
        <f t="shared" si="5"/>
      </c>
      <c r="AC18" s="22">
        <f t="shared" si="6"/>
      </c>
      <c r="AD18" s="21">
        <f>IF($B18="","",应收账款总表!$G$17)</f>
        <v>0</v>
      </c>
      <c r="AE18" s="21">
        <f>IF($B18="","",应收账款总表!$I$17)</f>
        <v>0</v>
      </c>
      <c r="AF18" s="96">
        <f t="shared" si="7"/>
      </c>
    </row>
    <row r="19">
      <c r="A19" s="94">
        <f>IF($B19="","",13)</f>
        <v>13</v>
      </c>
      <c r="B19" s="96" t="str">
        <f>项目档案!$B$16&amp;""</f>
        <v>赣粤高速</v>
      </c>
      <c r="C19" s="94" t="str">
        <f>项目档案!$M$16&amp;""</f>
        <v>在建</v>
      </c>
      <c r="D19" s="21">
        <f>IF($B19="","",N(项目档案!$T$16))</f>
        <v>0</v>
      </c>
      <c r="E19" s="21">
        <f>IF($B19="","",_项目汇总!$C$15)</f>
        <v>0</v>
      </c>
      <c r="F19" s="21">
        <f>IF($B19="","",_项目汇总!$O$15)</f>
        <v>0</v>
      </c>
      <c r="G19" s="21">
        <f>IF($B19="","",_项目汇总!$Q$15)</f>
        <v>0</v>
      </c>
      <c r="H19" s="21">
        <f>IF($B19="","",_项目汇总!$S$15)</f>
        <v>0</v>
      </c>
      <c r="I19" s="21">
        <f>IF($B19="","",_项目汇总!$U$15)</f>
        <v>0</v>
      </c>
      <c r="J19" s="21">
        <f>IF($B19="","",_项目汇总!$W$15+_项目汇总!$Y$15)</f>
        <v>0</v>
      </c>
      <c r="K19" s="21">
        <f>IF($B19="","",ROUND((_项目汇总!$K$15-_项目汇总!$M$15)*(1+基础资料!$AF$6)+E19*基础资料!$AF$7,2))</f>
        <v>0</v>
      </c>
      <c r="L19" s="21">
        <f>IF($B19="","",_项目汇总!$AA$15)</f>
        <v>0</v>
      </c>
      <c r="M19" s="21">
        <f t="shared" si="0"/>
        <v>0</v>
      </c>
      <c r="N19" s="21">
        <f>IF($B19="","",费用分摊!$O$33)</f>
        <v>0</v>
      </c>
      <c r="O19" s="20">
        <f t="shared" si="1"/>
        <v>0</v>
      </c>
      <c r="P19" s="22">
        <f t="shared" si="2"/>
      </c>
      <c r="Q19" s="21">
        <f>IF($B19="","",SUMIFS(期初余额!$C$5:$C$64,期初余额!$B$5:$B$64,$B19)+_项目汇总!$B$15+_项目汇总!$C$15)</f>
        <v>0</v>
      </c>
      <c r="R19" s="21">
        <f>IF($B19="","",SUMIFS(期初余额!$R$5:$R$204,期初余额!$Q$5:$Q$204,$B19,期初余额!$V$5:$V$204,"材料供应商")+_项目汇总!$N$15+_项目汇总!$O$15)</f>
        <v>0</v>
      </c>
      <c r="S19" s="21">
        <f>IF($B19="","",SUMIFS(期初余额!$F$5:$F$64,期初余额!$B$5:$B$64,$B19)+_项目汇总!$P$15+_项目汇总!$Q$15)</f>
        <v>0</v>
      </c>
      <c r="T19" s="21">
        <f>IF($B19="","",SUMIFS(期初余额!$R$5:$R$204,期初余额!$Q$5:$Q$204,$B19,期初余额!$V$5:$V$204,"分包")+_项目汇总!$R$15+_项目汇总!$S$15)</f>
        <v>0</v>
      </c>
      <c r="U19" s="21">
        <f>IF($B19="","",SUMIFS(期初余额!$R$5:$R$204,期初余额!$Q$5:$Q$204,$B19,期初余额!$V$5:$V$204,"机械运输")+_项目汇总!$T$15+_项目汇总!$U$15)</f>
        <v>0</v>
      </c>
      <c r="V19" s="21">
        <f>IF($B19="","",SUMIFS(期初余额!$G$5:$G$64,期初余额!$B$5:$B$64,$B19)+SUMIFS(期初余额!$R$5:$R$204,期初余额!$Q$5:$Q$204,$B19,期初余额!$V$5:$V$204,"其他")+_项目汇总!$V$15+_项目汇总!$W$15+_项目汇总!$X$15+_项目汇总!$Y$15)</f>
        <v>0</v>
      </c>
      <c r="W19" s="21">
        <f>IF($B19="","",SUMIFS(期初余额!$H$5:$H$64,期初余额!$B$5:$B$64,$B19)+ROUND((_项目汇总!$J$15-_项目汇总!$L$15)*(1+基础资料!$AF$6)+_项目汇总!$B$15*基础资料!$AF$7,2)+K19)</f>
        <v>0</v>
      </c>
      <c r="X19" s="21">
        <f>IF($B19="","",_项目汇总!$Z$15+_项目汇总!$AA$15)</f>
        <v>0</v>
      </c>
      <c r="Y19" s="21">
        <f>IF($B19="","",费用分摊!$M$33)</f>
        <v>0</v>
      </c>
      <c r="Z19" s="20">
        <f t="shared" si="3"/>
        <v>0</v>
      </c>
      <c r="AA19" s="22">
        <f t="shared" si="4"/>
      </c>
      <c r="AB19" s="22">
        <f t="shared" si="5"/>
      </c>
      <c r="AC19" s="22">
        <f t="shared" si="6"/>
      </c>
      <c r="AD19" s="21">
        <f>IF($B19="","",应收账款总表!$G$18)</f>
        <v>14502.87</v>
      </c>
      <c r="AE19" s="21">
        <f>IF($B19="","",应收账款总表!$I$18)</f>
        <v>-14502.87</v>
      </c>
      <c r="AF19" s="96" t="str">
        <f t="shared" si="7"/>
        <v>收了钱还没确认产值：补【收入确认】</v>
      </c>
    </row>
    <row r="20">
      <c r="A20" s="94">
        <f>IF($B20="","",14)</f>
        <v>14</v>
      </c>
      <c r="B20" s="96" t="str">
        <f>项目档案!$B$17&amp;""</f>
        <v>隆世光伏</v>
      </c>
      <c r="C20" s="94" t="str">
        <f>项目档案!$M$17&amp;""</f>
        <v>在建</v>
      </c>
      <c r="D20" s="21">
        <f>IF($B20="","",N(项目档案!$T$17))</f>
        <v>0</v>
      </c>
      <c r="E20" s="21">
        <f>IF($B20="","",_项目汇总!$C$16)</f>
        <v>0</v>
      </c>
      <c r="F20" s="21">
        <f>IF($B20="","",_项目汇总!$O$16)</f>
        <v>0</v>
      </c>
      <c r="G20" s="21">
        <f>IF($B20="","",_项目汇总!$Q$16)</f>
        <v>0</v>
      </c>
      <c r="H20" s="21">
        <f>IF($B20="","",_项目汇总!$S$16)</f>
        <v>0</v>
      </c>
      <c r="I20" s="21">
        <f>IF($B20="","",_项目汇总!$U$16)</f>
        <v>0</v>
      </c>
      <c r="J20" s="21">
        <f>IF($B20="","",_项目汇总!$W$16+_项目汇总!$Y$16)</f>
        <v>2500</v>
      </c>
      <c r="K20" s="21">
        <f>IF($B20="","",ROUND((_项目汇总!$K$16-_项目汇总!$M$16)*(1+基础资料!$AF$6)+E20*基础资料!$AF$7,2))</f>
        <v>0</v>
      </c>
      <c r="L20" s="21">
        <f>IF($B20="","",_项目汇总!$AA$16)</f>
        <v>0</v>
      </c>
      <c r="M20" s="21">
        <f t="shared" si="0"/>
        <v>-2500</v>
      </c>
      <c r="N20" s="21">
        <f>IF($B20="","",费用分摊!$O$34)</f>
        <v>0</v>
      </c>
      <c r="O20" s="20">
        <f t="shared" si="1"/>
        <v>-2500</v>
      </c>
      <c r="P20" s="22">
        <f t="shared" si="2"/>
      </c>
      <c r="Q20" s="21">
        <f>IF($B20="","",SUMIFS(期初余额!$C$5:$C$64,期初余额!$B$5:$B$64,$B20)+_项目汇总!$B$16+_项目汇总!$C$16)</f>
        <v>0</v>
      </c>
      <c r="R20" s="21">
        <f>IF($B20="","",SUMIFS(期初余额!$R$5:$R$204,期初余额!$Q$5:$Q$204,$B20,期初余额!$V$5:$V$204,"材料供应商")+_项目汇总!$N$16+_项目汇总!$O$16)</f>
        <v>0</v>
      </c>
      <c r="S20" s="21">
        <f>IF($B20="","",SUMIFS(期初余额!$F$5:$F$64,期初余额!$B$5:$B$64,$B20)+_项目汇总!$P$16+_项目汇总!$Q$16)</f>
        <v>0</v>
      </c>
      <c r="T20" s="21">
        <f>IF($B20="","",SUMIFS(期初余额!$R$5:$R$204,期初余额!$Q$5:$Q$204,$B20,期初余额!$V$5:$V$204,"分包")+_项目汇总!$R$16+_项目汇总!$S$16)</f>
        <v>0</v>
      </c>
      <c r="U20" s="21">
        <f>IF($B20="","",SUMIFS(期初余额!$R$5:$R$204,期初余额!$Q$5:$Q$204,$B20,期初余额!$V$5:$V$204,"机械运输")+_项目汇总!$T$16+_项目汇总!$U$16)</f>
        <v>0</v>
      </c>
      <c r="V20" s="21">
        <f>IF($B20="","",SUMIFS(期初余额!$G$5:$G$64,期初余额!$B$5:$B$64,$B20)+SUMIFS(期初余额!$R$5:$R$204,期初余额!$Q$5:$Q$204,$B20,期初余额!$V$5:$V$204,"其他")+_项目汇总!$V$16+_项目汇总!$W$16+_项目汇总!$X$16+_项目汇总!$Y$16)</f>
        <v>2500</v>
      </c>
      <c r="W20" s="21">
        <f>IF($B20="","",SUMIFS(期初余额!$H$5:$H$64,期初余额!$B$5:$B$64,$B20)+ROUND((_项目汇总!$J$16-_项目汇总!$L$16)*(1+基础资料!$AF$6)+_项目汇总!$B$16*基础资料!$AF$7,2)+K20)</f>
        <v>0</v>
      </c>
      <c r="X20" s="21">
        <f>IF($B20="","",_项目汇总!$Z$16+_项目汇总!$AA$16)</f>
        <v>0</v>
      </c>
      <c r="Y20" s="21">
        <f>IF($B20="","",费用分摊!$M$34)</f>
        <v>0</v>
      </c>
      <c r="Z20" s="20">
        <f t="shared" si="3"/>
        <v>-2500</v>
      </c>
      <c r="AA20" s="22">
        <f t="shared" si="4"/>
      </c>
      <c r="AB20" s="22">
        <f t="shared" si="5"/>
      </c>
      <c r="AC20" s="22">
        <f t="shared" si="6"/>
      </c>
      <c r="AD20" s="21">
        <f>IF($B20="","",应收账款总表!$G$19)</f>
        <v>120000</v>
      </c>
      <c r="AE20" s="21">
        <f>IF($B20="","",应收账款总表!$I$19)</f>
        <v>-120000</v>
      </c>
      <c r="AF20" s="96" t="str">
        <f t="shared" si="7"/>
        <v>有成本没收入：补【收入确认】（产值）</v>
      </c>
    </row>
    <row r="21">
      <c r="A21" s="94">
        <f>IF($B21="","",15)</f>
        <v>15</v>
      </c>
      <c r="B21" s="96" t="str">
        <f>项目档案!$B$18&amp;""</f>
        <v>中国联项目</v>
      </c>
      <c r="C21" s="94" t="str">
        <f>项目档案!$M$18&amp;""</f>
        <v>在建</v>
      </c>
      <c r="D21" s="21">
        <f>IF($B21="","",N(项目档案!$T$18))</f>
        <v>0</v>
      </c>
      <c r="E21" s="21">
        <f>IF($B21="","",_项目汇总!$C$17)</f>
        <v>0</v>
      </c>
      <c r="F21" s="21">
        <f>IF($B21="","",_项目汇总!$O$17)</f>
        <v>0</v>
      </c>
      <c r="G21" s="21">
        <f>IF($B21="","",_项目汇总!$Q$17)</f>
        <v>0</v>
      </c>
      <c r="H21" s="21">
        <f>IF($B21="","",_项目汇总!$S$17)</f>
        <v>0</v>
      </c>
      <c r="I21" s="21">
        <f>IF($B21="","",_项目汇总!$U$17)</f>
        <v>0</v>
      </c>
      <c r="J21" s="21">
        <f>IF($B21="","",_项目汇总!$W$17+_项目汇总!$Y$17)</f>
        <v>0</v>
      </c>
      <c r="K21" s="21">
        <f>IF($B21="","",ROUND((_项目汇总!$K$17-_项目汇总!$M$17)*(1+基础资料!$AF$6)+E21*基础资料!$AF$7,2))</f>
        <v>0</v>
      </c>
      <c r="L21" s="21">
        <f>IF($B21="","",_项目汇总!$AA$17)</f>
        <v>0</v>
      </c>
      <c r="M21" s="21">
        <f t="shared" si="0"/>
        <v>0</v>
      </c>
      <c r="N21" s="21">
        <f>IF($B21="","",费用分摊!$O$35)</f>
        <v>0</v>
      </c>
      <c r="O21" s="20">
        <f t="shared" si="1"/>
        <v>0</v>
      </c>
      <c r="P21" s="22">
        <f t="shared" si="2"/>
      </c>
      <c r="Q21" s="21">
        <f>IF($B21="","",SUMIFS(期初余额!$C$5:$C$64,期初余额!$B$5:$B$64,$B21)+_项目汇总!$B$17+_项目汇总!$C$17)</f>
        <v>0</v>
      </c>
      <c r="R21" s="21">
        <f>IF($B21="","",SUMIFS(期初余额!$R$5:$R$204,期初余额!$Q$5:$Q$204,$B21,期初余额!$V$5:$V$204,"材料供应商")+_项目汇总!$N$17+_项目汇总!$O$17)</f>
        <v>0</v>
      </c>
      <c r="S21" s="21">
        <f>IF($B21="","",SUMIFS(期初余额!$F$5:$F$64,期初余额!$B$5:$B$64,$B21)+_项目汇总!$P$17+_项目汇总!$Q$17)</f>
        <v>0</v>
      </c>
      <c r="T21" s="21">
        <f>IF($B21="","",SUMIFS(期初余额!$R$5:$R$204,期初余额!$Q$5:$Q$204,$B21,期初余额!$V$5:$V$204,"分包")+_项目汇总!$R$17+_项目汇总!$S$17)</f>
        <v>0</v>
      </c>
      <c r="U21" s="21">
        <f>IF($B21="","",SUMIFS(期初余额!$R$5:$R$204,期初余额!$Q$5:$Q$204,$B21,期初余额!$V$5:$V$204,"机械运输")+_项目汇总!$T$17+_项目汇总!$U$17)</f>
        <v>0</v>
      </c>
      <c r="V21" s="21">
        <f>IF($B21="","",SUMIFS(期初余额!$G$5:$G$64,期初余额!$B$5:$B$64,$B21)+SUMIFS(期初余额!$R$5:$R$204,期初余额!$Q$5:$Q$204,$B21,期初余额!$V$5:$V$204,"其他")+_项目汇总!$V$17+_项目汇总!$W$17+_项目汇总!$X$17+_项目汇总!$Y$17)</f>
        <v>0</v>
      </c>
      <c r="W21" s="21">
        <f>IF($B21="","",SUMIFS(期初余额!$H$5:$H$64,期初余额!$B$5:$B$64,$B21)+ROUND((_项目汇总!$J$17-_项目汇总!$L$17)*(1+基础资料!$AF$6)+_项目汇总!$B$17*基础资料!$AF$7,2)+K21)</f>
        <v>0</v>
      </c>
      <c r="X21" s="21">
        <f>IF($B21="","",_项目汇总!$Z$17+_项目汇总!$AA$17)</f>
        <v>0</v>
      </c>
      <c r="Y21" s="21">
        <f>IF($B21="","",费用分摊!$M$35)</f>
        <v>0</v>
      </c>
      <c r="Z21" s="20">
        <f t="shared" si="3"/>
        <v>0</v>
      </c>
      <c r="AA21" s="22">
        <f t="shared" si="4"/>
      </c>
      <c r="AB21" s="22">
        <f t="shared" si="5"/>
      </c>
      <c r="AC21" s="22">
        <f t="shared" si="6"/>
      </c>
      <c r="AD21" s="21">
        <f>IF($B21="","",应收账款总表!$G$20)</f>
        <v>650862.4</v>
      </c>
      <c r="AE21" s="21">
        <f>IF($B21="","",应收账款总表!$I$20)</f>
        <v>-650862.4</v>
      </c>
      <c r="AF21" s="96" t="str">
        <f t="shared" si="7"/>
        <v>收了钱还没确认产值：补【收入确认】</v>
      </c>
    </row>
    <row r="22">
      <c r="A22" s="94">
        <f>IF($B22="","",16)</f>
        <v>16</v>
      </c>
      <c r="B22" s="96" t="str">
        <f>项目档案!$B$19&amp;""</f>
        <v>吴山政府项目</v>
      </c>
      <c r="C22" s="94" t="str">
        <f>项目档案!$M$19&amp;""</f>
        <v>在建</v>
      </c>
      <c r="D22" s="21">
        <f>IF($B22="","",N(项目档案!$T$19))</f>
        <v>0</v>
      </c>
      <c r="E22" s="21">
        <f>IF($B22="","",_项目汇总!$C$18)</f>
        <v>0</v>
      </c>
      <c r="F22" s="21">
        <f>IF($B22="","",_项目汇总!$O$18)</f>
        <v>56647.98</v>
      </c>
      <c r="G22" s="21">
        <f>IF($B22="","",_项目汇总!$Q$18)</f>
        <v>0</v>
      </c>
      <c r="H22" s="21">
        <f>IF($B22="","",_项目汇总!$S$18)</f>
        <v>0</v>
      </c>
      <c r="I22" s="21">
        <f>IF($B22="","",_项目汇总!$U$18)</f>
        <v>0</v>
      </c>
      <c r="J22" s="21">
        <f>IF($B22="","",_项目汇总!$W$18+_项目汇总!$Y$18)</f>
        <v>0</v>
      </c>
      <c r="K22" s="21">
        <f>IF($B22="","",ROUND((_项目汇总!$K$18-_项目汇总!$M$18)*(1+基础资料!$AF$6)+E22*基础资料!$AF$7,2))</f>
        <v>0</v>
      </c>
      <c r="L22" s="21">
        <f>IF($B22="","",_项目汇总!$AA$18)</f>
        <v>0</v>
      </c>
      <c r="M22" s="21">
        <f t="shared" si="0"/>
        <v>-56647.98</v>
      </c>
      <c r="N22" s="21">
        <f>IF($B22="","",费用分摊!$O$36)</f>
        <v>0</v>
      </c>
      <c r="O22" s="20">
        <f t="shared" si="1"/>
        <v>-56647.98</v>
      </c>
      <c r="P22" s="22">
        <f t="shared" si="2"/>
      </c>
      <c r="Q22" s="21">
        <f>IF($B22="","",SUMIFS(期初余额!$C$5:$C$64,期初余额!$B$5:$B$64,$B22)+_项目汇总!$B$18+_项目汇总!$C$18)</f>
        <v>0</v>
      </c>
      <c r="R22" s="21">
        <f>IF($B22="","",SUMIFS(期初余额!$R$5:$R$204,期初余额!$Q$5:$Q$204,$B22,期初余额!$V$5:$V$204,"材料供应商")+_项目汇总!$N$18+_项目汇总!$O$18)</f>
        <v>56647.98</v>
      </c>
      <c r="S22" s="21">
        <f>IF($B22="","",SUMIFS(期初余额!$F$5:$F$64,期初余额!$B$5:$B$64,$B22)+_项目汇总!$P$18+_项目汇总!$Q$18)</f>
        <v>0</v>
      </c>
      <c r="T22" s="21">
        <f>IF($B22="","",SUMIFS(期初余额!$R$5:$R$204,期初余额!$Q$5:$Q$204,$B22,期初余额!$V$5:$V$204,"分包")+_项目汇总!$R$18+_项目汇总!$S$18)</f>
        <v>0</v>
      </c>
      <c r="U22" s="21">
        <f>IF($B22="","",SUMIFS(期初余额!$R$5:$R$204,期初余额!$Q$5:$Q$204,$B22,期初余额!$V$5:$V$204,"机械运输")+_项目汇总!$T$18+_项目汇总!$U$18)</f>
        <v>0</v>
      </c>
      <c r="V22" s="21">
        <f>IF($B22="","",SUMIFS(期初余额!$G$5:$G$64,期初余额!$B$5:$B$64,$B22)+SUMIFS(期初余额!$R$5:$R$204,期初余额!$Q$5:$Q$204,$B22,期初余额!$V$5:$V$204,"其他")+_项目汇总!$V$18+_项目汇总!$W$18+_项目汇总!$X$18+_项目汇总!$Y$18)</f>
        <v>0</v>
      </c>
      <c r="W22" s="21">
        <f>IF($B22="","",SUMIFS(期初余额!$H$5:$H$64,期初余额!$B$5:$B$64,$B22)+ROUND((_项目汇总!$J$18-_项目汇总!$L$18)*(1+基础资料!$AF$6)+_项目汇总!$B$18*基础资料!$AF$7,2)+K22)</f>
        <v>0</v>
      </c>
      <c r="X22" s="21">
        <f>IF($B22="","",_项目汇总!$Z$18+_项目汇总!$AA$18)</f>
        <v>0</v>
      </c>
      <c r="Y22" s="21">
        <f>IF($B22="","",费用分摊!$M$36)</f>
        <v>0</v>
      </c>
      <c r="Z22" s="20">
        <f t="shared" si="3"/>
        <v>-56647.98</v>
      </c>
      <c r="AA22" s="22">
        <f t="shared" si="4"/>
      </c>
      <c r="AB22" s="22">
        <f t="shared" si="5"/>
      </c>
      <c r="AC22" s="22">
        <f t="shared" si="6"/>
      </c>
      <c r="AD22" s="21">
        <f>IF($B22="","",应收账款总表!$G$21)</f>
        <v>0</v>
      </c>
      <c r="AE22" s="21">
        <f>IF($B22="","",应收账款总表!$I$21)</f>
        <v>0</v>
      </c>
      <c r="AF22" s="96" t="str">
        <f t="shared" si="7"/>
        <v>有成本没收入：补【收入确认】（产值）</v>
      </c>
    </row>
    <row r="23">
      <c r="A23" s="94">
        <f>IF($B23="","",17)</f>
      </c>
      <c r="B23" s="96">
        <f>项目档案!$B$20&amp;""</f>
      </c>
      <c r="C23" s="94">
        <f>项目档案!$M$20&amp;""</f>
      </c>
      <c r="D23" s="21">
        <f>IF($B23="","",N(项目档案!$T$20))</f>
      </c>
      <c r="E23" s="21">
        <f>IF($B23="","",_项目汇总!$C$19)</f>
      </c>
      <c r="F23" s="21">
        <f>IF($B23="","",_项目汇总!$O$19)</f>
      </c>
      <c r="G23" s="21">
        <f>IF($B23="","",_项目汇总!$Q$19)</f>
      </c>
      <c r="H23" s="21">
        <f>IF($B23="","",_项目汇总!$S$19)</f>
      </c>
      <c r="I23" s="21">
        <f>IF($B23="","",_项目汇总!$U$19)</f>
      </c>
      <c r="J23" s="21">
        <f>IF($B23="","",_项目汇总!$W$19+_项目汇总!$Y$19)</f>
      </c>
      <c r="K23" s="21">
        <f>IF($B23="","",ROUND((_项目汇总!$K$19-_项目汇总!$M$19)*(1+基础资料!$AF$6)+E23*基础资料!$AF$7,2))</f>
      </c>
      <c r="L23" s="21">
        <f>IF($B23="","",_项目汇总!$AA$19)</f>
      </c>
      <c r="M23" s="21">
        <f t="shared" si="0"/>
      </c>
      <c r="N23" s="21">
        <f>IF($B23="","",费用分摊!$O$37)</f>
      </c>
      <c r="O23" s="20">
        <f t="shared" si="1"/>
      </c>
      <c r="P23" s="22">
        <f t="shared" si="2"/>
      </c>
      <c r="Q23" s="21">
        <f>IF($B23="","",SUMIFS(期初余额!$C$5:$C$64,期初余额!$B$5:$B$64,$B23)+_项目汇总!$B$19+_项目汇总!$C$19)</f>
      </c>
      <c r="R23" s="21">
        <f>IF($B23="","",SUMIFS(期初余额!$R$5:$R$204,期初余额!$Q$5:$Q$204,$B23,期初余额!$V$5:$V$204,"材料供应商")+_项目汇总!$N$19+_项目汇总!$O$19)</f>
      </c>
      <c r="S23" s="21">
        <f>IF($B23="","",SUMIFS(期初余额!$F$5:$F$64,期初余额!$B$5:$B$64,$B23)+_项目汇总!$P$19+_项目汇总!$Q$19)</f>
      </c>
      <c r="T23" s="21">
        <f>IF($B23="","",SUMIFS(期初余额!$R$5:$R$204,期初余额!$Q$5:$Q$204,$B23,期初余额!$V$5:$V$204,"分包")+_项目汇总!$R$19+_项目汇总!$S$19)</f>
      </c>
      <c r="U23" s="21">
        <f>IF($B23="","",SUMIFS(期初余额!$R$5:$R$204,期初余额!$Q$5:$Q$204,$B23,期初余额!$V$5:$V$204,"机械运输")+_项目汇总!$T$19+_项目汇总!$U$19)</f>
      </c>
      <c r="V23" s="21">
        <f>IF($B23="","",SUMIFS(期初余额!$G$5:$G$64,期初余额!$B$5:$B$64,$B23)+SUMIFS(期初余额!$R$5:$R$204,期初余额!$Q$5:$Q$204,$B23,期初余额!$V$5:$V$204,"其他")+_项目汇总!$V$19+_项目汇总!$W$19+_项目汇总!$X$19+_项目汇总!$Y$19)</f>
      </c>
      <c r="W23" s="21">
        <f>IF($B23="","",SUMIFS(期初余额!$H$5:$H$64,期初余额!$B$5:$B$64,$B23)+ROUND((_项目汇总!$J$19-_项目汇总!$L$19)*(1+基础资料!$AF$6)+_项目汇总!$B$19*基础资料!$AF$7,2)+K23)</f>
      </c>
      <c r="X23" s="21">
        <f>IF($B23="","",_项目汇总!$Z$19+_项目汇总!$AA$19)</f>
      </c>
      <c r="Y23" s="21">
        <f>IF($B23="","",费用分摊!$M$37)</f>
      </c>
      <c r="Z23" s="20">
        <f t="shared" si="3"/>
      </c>
      <c r="AA23" s="22">
        <f t="shared" si="4"/>
      </c>
      <c r="AB23" s="22">
        <f t="shared" si="5"/>
      </c>
      <c r="AC23" s="22">
        <f t="shared" si="6"/>
      </c>
      <c r="AD23" s="21">
        <f>IF($B23="","",应收账款总表!$G$22)</f>
      </c>
      <c r="AE23" s="21">
        <f>IF($B23="","",应收账款总表!$I$22)</f>
      </c>
      <c r="AF23" s="96">
        <f t="shared" si="7"/>
      </c>
    </row>
    <row r="24">
      <c r="A24" s="94">
        <f>IF($B24="","",18)</f>
      </c>
      <c r="B24" s="96">
        <f>项目档案!$B$21&amp;""</f>
      </c>
      <c r="C24" s="94">
        <f>项目档案!$M$21&amp;""</f>
      </c>
      <c r="D24" s="21">
        <f>IF($B24="","",N(项目档案!$T$21))</f>
      </c>
      <c r="E24" s="21">
        <f>IF($B24="","",_项目汇总!$C$20)</f>
      </c>
      <c r="F24" s="21">
        <f>IF($B24="","",_项目汇总!$O$20)</f>
      </c>
      <c r="G24" s="21">
        <f>IF($B24="","",_项目汇总!$Q$20)</f>
      </c>
      <c r="H24" s="21">
        <f>IF($B24="","",_项目汇总!$S$20)</f>
      </c>
      <c r="I24" s="21">
        <f>IF($B24="","",_项目汇总!$U$20)</f>
      </c>
      <c r="J24" s="21">
        <f>IF($B24="","",_项目汇总!$W$20+_项目汇总!$Y$20)</f>
      </c>
      <c r="K24" s="21">
        <f>IF($B24="","",ROUND((_项目汇总!$K$20-_项目汇总!$M$20)*(1+基础资料!$AF$6)+E24*基础资料!$AF$7,2))</f>
      </c>
      <c r="L24" s="21">
        <f>IF($B24="","",_项目汇总!$AA$20)</f>
      </c>
      <c r="M24" s="21">
        <f t="shared" si="0"/>
      </c>
      <c r="N24" s="21">
        <f>IF($B24="","",费用分摊!$O$38)</f>
      </c>
      <c r="O24" s="20">
        <f t="shared" si="1"/>
      </c>
      <c r="P24" s="22">
        <f t="shared" si="2"/>
      </c>
      <c r="Q24" s="21">
        <f>IF($B24="","",SUMIFS(期初余额!$C$5:$C$64,期初余额!$B$5:$B$64,$B24)+_项目汇总!$B$20+_项目汇总!$C$20)</f>
      </c>
      <c r="R24" s="21">
        <f>IF($B24="","",SUMIFS(期初余额!$R$5:$R$204,期初余额!$Q$5:$Q$204,$B24,期初余额!$V$5:$V$204,"材料供应商")+_项目汇总!$N$20+_项目汇总!$O$20)</f>
      </c>
      <c r="S24" s="21">
        <f>IF($B24="","",SUMIFS(期初余额!$F$5:$F$64,期初余额!$B$5:$B$64,$B24)+_项目汇总!$P$20+_项目汇总!$Q$20)</f>
      </c>
      <c r="T24" s="21">
        <f>IF($B24="","",SUMIFS(期初余额!$R$5:$R$204,期初余额!$Q$5:$Q$204,$B24,期初余额!$V$5:$V$204,"分包")+_项目汇总!$R$20+_项目汇总!$S$20)</f>
      </c>
      <c r="U24" s="21">
        <f>IF($B24="","",SUMIFS(期初余额!$R$5:$R$204,期初余额!$Q$5:$Q$204,$B24,期初余额!$V$5:$V$204,"机械运输")+_项目汇总!$T$20+_项目汇总!$U$20)</f>
      </c>
      <c r="V24" s="21">
        <f>IF($B24="","",SUMIFS(期初余额!$G$5:$G$64,期初余额!$B$5:$B$64,$B24)+SUMIFS(期初余额!$R$5:$R$204,期初余额!$Q$5:$Q$204,$B24,期初余额!$V$5:$V$204,"其他")+_项目汇总!$V$20+_项目汇总!$W$20+_项目汇总!$X$20+_项目汇总!$Y$20)</f>
      </c>
      <c r="W24" s="21">
        <f>IF($B24="","",SUMIFS(期初余额!$H$5:$H$64,期初余额!$B$5:$B$64,$B24)+ROUND((_项目汇总!$J$20-_项目汇总!$L$20)*(1+基础资料!$AF$6)+_项目汇总!$B$20*基础资料!$AF$7,2)+K24)</f>
      </c>
      <c r="X24" s="21">
        <f>IF($B24="","",_项目汇总!$Z$20+_项目汇总!$AA$20)</f>
      </c>
      <c r="Y24" s="21">
        <f>IF($B24="","",费用分摊!$M$38)</f>
      </c>
      <c r="Z24" s="20">
        <f t="shared" si="3"/>
      </c>
      <c r="AA24" s="22">
        <f t="shared" si="4"/>
      </c>
      <c r="AB24" s="22">
        <f t="shared" si="5"/>
      </c>
      <c r="AC24" s="22">
        <f t="shared" si="6"/>
      </c>
      <c r="AD24" s="21">
        <f>IF($B24="","",应收账款总表!$G$23)</f>
      </c>
      <c r="AE24" s="21">
        <f>IF($B24="","",应收账款总表!$I$23)</f>
      </c>
      <c r="AF24" s="96">
        <f t="shared" si="7"/>
      </c>
    </row>
    <row r="25">
      <c r="A25" s="94">
        <f>IF($B25="","",19)</f>
      </c>
      <c r="B25" s="96">
        <f>项目档案!$B$22&amp;""</f>
      </c>
      <c r="C25" s="94">
        <f>项目档案!$M$22&amp;""</f>
      </c>
      <c r="D25" s="21">
        <f>IF($B25="","",N(项目档案!$T$22))</f>
      </c>
      <c r="E25" s="21">
        <f>IF($B25="","",_项目汇总!$C$21)</f>
      </c>
      <c r="F25" s="21">
        <f>IF($B25="","",_项目汇总!$O$21)</f>
      </c>
      <c r="G25" s="21">
        <f>IF($B25="","",_项目汇总!$Q$21)</f>
      </c>
      <c r="H25" s="21">
        <f>IF($B25="","",_项目汇总!$S$21)</f>
      </c>
      <c r="I25" s="21">
        <f>IF($B25="","",_项目汇总!$U$21)</f>
      </c>
      <c r="J25" s="21">
        <f>IF($B25="","",_项目汇总!$W$21+_项目汇总!$Y$21)</f>
      </c>
      <c r="K25" s="21">
        <f>IF($B25="","",ROUND((_项目汇总!$K$21-_项目汇总!$M$21)*(1+基础资料!$AF$6)+E25*基础资料!$AF$7,2))</f>
      </c>
      <c r="L25" s="21">
        <f>IF($B25="","",_项目汇总!$AA$21)</f>
      </c>
      <c r="M25" s="21">
        <f t="shared" si="0"/>
      </c>
      <c r="N25" s="21">
        <f>IF($B25="","",费用分摊!$O$39)</f>
      </c>
      <c r="O25" s="20">
        <f t="shared" si="1"/>
      </c>
      <c r="P25" s="22">
        <f t="shared" si="2"/>
      </c>
      <c r="Q25" s="21">
        <f>IF($B25="","",SUMIFS(期初余额!$C$5:$C$64,期初余额!$B$5:$B$64,$B25)+_项目汇总!$B$21+_项目汇总!$C$21)</f>
      </c>
      <c r="R25" s="21">
        <f>IF($B25="","",SUMIFS(期初余额!$R$5:$R$204,期初余额!$Q$5:$Q$204,$B25,期初余额!$V$5:$V$204,"材料供应商")+_项目汇总!$N$21+_项目汇总!$O$21)</f>
      </c>
      <c r="S25" s="21">
        <f>IF($B25="","",SUMIFS(期初余额!$F$5:$F$64,期初余额!$B$5:$B$64,$B25)+_项目汇总!$P$21+_项目汇总!$Q$21)</f>
      </c>
      <c r="T25" s="21">
        <f>IF($B25="","",SUMIFS(期初余额!$R$5:$R$204,期初余额!$Q$5:$Q$204,$B25,期初余额!$V$5:$V$204,"分包")+_项目汇总!$R$21+_项目汇总!$S$21)</f>
      </c>
      <c r="U25" s="21">
        <f>IF($B25="","",SUMIFS(期初余额!$R$5:$R$204,期初余额!$Q$5:$Q$204,$B25,期初余额!$V$5:$V$204,"机械运输")+_项目汇总!$T$21+_项目汇总!$U$21)</f>
      </c>
      <c r="V25" s="21">
        <f>IF($B25="","",SUMIFS(期初余额!$G$5:$G$64,期初余额!$B$5:$B$64,$B25)+SUMIFS(期初余额!$R$5:$R$204,期初余额!$Q$5:$Q$204,$B25,期初余额!$V$5:$V$204,"其他")+_项目汇总!$V$21+_项目汇总!$W$21+_项目汇总!$X$21+_项目汇总!$Y$21)</f>
      </c>
      <c r="W25" s="21">
        <f>IF($B25="","",SUMIFS(期初余额!$H$5:$H$64,期初余额!$B$5:$B$64,$B25)+ROUND((_项目汇总!$J$21-_项目汇总!$L$21)*(1+基础资料!$AF$6)+_项目汇总!$B$21*基础资料!$AF$7,2)+K25)</f>
      </c>
      <c r="X25" s="21">
        <f>IF($B25="","",_项目汇总!$Z$21+_项目汇总!$AA$21)</f>
      </c>
      <c r="Y25" s="21">
        <f>IF($B25="","",费用分摊!$M$39)</f>
      </c>
      <c r="Z25" s="20">
        <f t="shared" si="3"/>
      </c>
      <c r="AA25" s="22">
        <f t="shared" si="4"/>
      </c>
      <c r="AB25" s="22">
        <f t="shared" si="5"/>
      </c>
      <c r="AC25" s="22">
        <f t="shared" si="6"/>
      </c>
      <c r="AD25" s="21">
        <f>IF($B25="","",应收账款总表!$G$24)</f>
      </c>
      <c r="AE25" s="21">
        <f>IF($B25="","",应收账款总表!$I$24)</f>
      </c>
      <c r="AF25" s="96">
        <f t="shared" si="7"/>
      </c>
    </row>
    <row r="26">
      <c r="A26" s="94">
        <f>IF($B26="","",20)</f>
      </c>
      <c r="B26" s="96">
        <f>项目档案!$B$23&amp;""</f>
      </c>
      <c r="C26" s="94">
        <f>项目档案!$M$23&amp;""</f>
      </c>
      <c r="D26" s="21">
        <f>IF($B26="","",N(项目档案!$T$23))</f>
      </c>
      <c r="E26" s="21">
        <f>IF($B26="","",_项目汇总!$C$22)</f>
      </c>
      <c r="F26" s="21">
        <f>IF($B26="","",_项目汇总!$O$22)</f>
      </c>
      <c r="G26" s="21">
        <f>IF($B26="","",_项目汇总!$Q$22)</f>
      </c>
      <c r="H26" s="21">
        <f>IF($B26="","",_项目汇总!$S$22)</f>
      </c>
      <c r="I26" s="21">
        <f>IF($B26="","",_项目汇总!$U$22)</f>
      </c>
      <c r="J26" s="21">
        <f>IF($B26="","",_项目汇总!$W$22+_项目汇总!$Y$22)</f>
      </c>
      <c r="K26" s="21">
        <f>IF($B26="","",ROUND((_项目汇总!$K$22-_项目汇总!$M$22)*(1+基础资料!$AF$6)+E26*基础资料!$AF$7,2))</f>
      </c>
      <c r="L26" s="21">
        <f>IF($B26="","",_项目汇总!$AA$22)</f>
      </c>
      <c r="M26" s="21">
        <f t="shared" si="0"/>
      </c>
      <c r="N26" s="21">
        <f>IF($B26="","",费用分摊!$O$40)</f>
      </c>
      <c r="O26" s="20">
        <f t="shared" si="1"/>
      </c>
      <c r="P26" s="22">
        <f t="shared" si="2"/>
      </c>
      <c r="Q26" s="21">
        <f>IF($B26="","",SUMIFS(期初余额!$C$5:$C$64,期初余额!$B$5:$B$64,$B26)+_项目汇总!$B$22+_项目汇总!$C$22)</f>
      </c>
      <c r="R26" s="21">
        <f>IF($B26="","",SUMIFS(期初余额!$R$5:$R$204,期初余额!$Q$5:$Q$204,$B26,期初余额!$V$5:$V$204,"材料供应商")+_项目汇总!$N$22+_项目汇总!$O$22)</f>
      </c>
      <c r="S26" s="21">
        <f>IF($B26="","",SUMIFS(期初余额!$F$5:$F$64,期初余额!$B$5:$B$64,$B26)+_项目汇总!$P$22+_项目汇总!$Q$22)</f>
      </c>
      <c r="T26" s="21">
        <f>IF($B26="","",SUMIFS(期初余额!$R$5:$R$204,期初余额!$Q$5:$Q$204,$B26,期初余额!$V$5:$V$204,"分包")+_项目汇总!$R$22+_项目汇总!$S$22)</f>
      </c>
      <c r="U26" s="21">
        <f>IF($B26="","",SUMIFS(期初余额!$R$5:$R$204,期初余额!$Q$5:$Q$204,$B26,期初余额!$V$5:$V$204,"机械运输")+_项目汇总!$T$22+_项目汇总!$U$22)</f>
      </c>
      <c r="V26" s="21">
        <f>IF($B26="","",SUMIFS(期初余额!$G$5:$G$64,期初余额!$B$5:$B$64,$B26)+SUMIFS(期初余额!$R$5:$R$204,期初余额!$Q$5:$Q$204,$B26,期初余额!$V$5:$V$204,"其他")+_项目汇总!$V$22+_项目汇总!$W$22+_项目汇总!$X$22+_项目汇总!$Y$22)</f>
      </c>
      <c r="W26" s="21">
        <f>IF($B26="","",SUMIFS(期初余额!$H$5:$H$64,期初余额!$B$5:$B$64,$B26)+ROUND((_项目汇总!$J$22-_项目汇总!$L$22)*(1+基础资料!$AF$6)+_项目汇总!$B$22*基础资料!$AF$7,2)+K26)</f>
      </c>
      <c r="X26" s="21">
        <f>IF($B26="","",_项目汇总!$Z$22+_项目汇总!$AA$22)</f>
      </c>
      <c r="Y26" s="21">
        <f>IF($B26="","",费用分摊!$M$40)</f>
      </c>
      <c r="Z26" s="20">
        <f t="shared" si="3"/>
      </c>
      <c r="AA26" s="22">
        <f t="shared" si="4"/>
      </c>
      <c r="AB26" s="22">
        <f t="shared" si="5"/>
      </c>
      <c r="AC26" s="22">
        <f t="shared" si="6"/>
      </c>
      <c r="AD26" s="21">
        <f>IF($B26="","",应收账款总表!$G$25)</f>
      </c>
      <c r="AE26" s="21">
        <f>IF($B26="","",应收账款总表!$I$25)</f>
      </c>
      <c r="AF26" s="96">
        <f t="shared" si="7"/>
      </c>
    </row>
    <row r="27">
      <c r="A27" s="94">
        <f>IF($B27="","",21)</f>
      </c>
      <c r="B27" s="96">
        <f>项目档案!$B$24&amp;""</f>
      </c>
      <c r="C27" s="94">
        <f>项目档案!$M$24&amp;""</f>
      </c>
      <c r="D27" s="21">
        <f>IF($B27="","",N(项目档案!$T$24))</f>
      </c>
      <c r="E27" s="21">
        <f>IF($B27="","",_项目汇总!$C$23)</f>
      </c>
      <c r="F27" s="21">
        <f>IF($B27="","",_项目汇总!$O$23)</f>
      </c>
      <c r="G27" s="21">
        <f>IF($B27="","",_项目汇总!$Q$23)</f>
      </c>
      <c r="H27" s="21">
        <f>IF($B27="","",_项目汇总!$S$23)</f>
      </c>
      <c r="I27" s="21">
        <f>IF($B27="","",_项目汇总!$U$23)</f>
      </c>
      <c r="J27" s="21">
        <f>IF($B27="","",_项目汇总!$W$23+_项目汇总!$Y$23)</f>
      </c>
      <c r="K27" s="21">
        <f>IF($B27="","",ROUND((_项目汇总!$K$23-_项目汇总!$M$23)*(1+基础资料!$AF$6)+E27*基础资料!$AF$7,2))</f>
      </c>
      <c r="L27" s="21">
        <f>IF($B27="","",_项目汇总!$AA$23)</f>
      </c>
      <c r="M27" s="21">
        <f t="shared" si="0"/>
      </c>
      <c r="N27" s="21">
        <f>IF($B27="","",费用分摊!$O$41)</f>
      </c>
      <c r="O27" s="20">
        <f t="shared" si="1"/>
      </c>
      <c r="P27" s="22">
        <f t="shared" si="2"/>
      </c>
      <c r="Q27" s="21">
        <f>IF($B27="","",SUMIFS(期初余额!$C$5:$C$64,期初余额!$B$5:$B$64,$B27)+_项目汇总!$B$23+_项目汇总!$C$23)</f>
      </c>
      <c r="R27" s="21">
        <f>IF($B27="","",SUMIFS(期初余额!$R$5:$R$204,期初余额!$Q$5:$Q$204,$B27,期初余额!$V$5:$V$204,"材料供应商")+_项目汇总!$N$23+_项目汇总!$O$23)</f>
      </c>
      <c r="S27" s="21">
        <f>IF($B27="","",SUMIFS(期初余额!$F$5:$F$64,期初余额!$B$5:$B$64,$B27)+_项目汇总!$P$23+_项目汇总!$Q$23)</f>
      </c>
      <c r="T27" s="21">
        <f>IF($B27="","",SUMIFS(期初余额!$R$5:$R$204,期初余额!$Q$5:$Q$204,$B27,期初余额!$V$5:$V$204,"分包")+_项目汇总!$R$23+_项目汇总!$S$23)</f>
      </c>
      <c r="U27" s="21">
        <f>IF($B27="","",SUMIFS(期初余额!$R$5:$R$204,期初余额!$Q$5:$Q$204,$B27,期初余额!$V$5:$V$204,"机械运输")+_项目汇总!$T$23+_项目汇总!$U$23)</f>
      </c>
      <c r="V27" s="21">
        <f>IF($B27="","",SUMIFS(期初余额!$G$5:$G$64,期初余额!$B$5:$B$64,$B27)+SUMIFS(期初余额!$R$5:$R$204,期初余额!$Q$5:$Q$204,$B27,期初余额!$V$5:$V$204,"其他")+_项目汇总!$V$23+_项目汇总!$W$23+_项目汇总!$X$23+_项目汇总!$Y$23)</f>
      </c>
      <c r="W27" s="21">
        <f>IF($B27="","",SUMIFS(期初余额!$H$5:$H$64,期初余额!$B$5:$B$64,$B27)+ROUND((_项目汇总!$J$23-_项目汇总!$L$23)*(1+基础资料!$AF$6)+_项目汇总!$B$23*基础资料!$AF$7,2)+K27)</f>
      </c>
      <c r="X27" s="21">
        <f>IF($B27="","",_项目汇总!$Z$23+_项目汇总!$AA$23)</f>
      </c>
      <c r="Y27" s="21">
        <f>IF($B27="","",费用分摊!$M$41)</f>
      </c>
      <c r="Z27" s="20">
        <f t="shared" si="3"/>
      </c>
      <c r="AA27" s="22">
        <f t="shared" si="4"/>
      </c>
      <c r="AB27" s="22">
        <f t="shared" si="5"/>
      </c>
      <c r="AC27" s="22">
        <f t="shared" si="6"/>
      </c>
      <c r="AD27" s="21">
        <f>IF($B27="","",应收账款总表!$G$26)</f>
      </c>
      <c r="AE27" s="21">
        <f>IF($B27="","",应收账款总表!$I$26)</f>
      </c>
      <c r="AF27" s="96">
        <f t="shared" si="7"/>
      </c>
    </row>
    <row r="28">
      <c r="A28" s="94">
        <f>IF($B28="","",22)</f>
      </c>
      <c r="B28" s="96">
        <f>项目档案!$B$25&amp;""</f>
      </c>
      <c r="C28" s="94">
        <f>项目档案!$M$25&amp;""</f>
      </c>
      <c r="D28" s="21">
        <f>IF($B28="","",N(项目档案!$T$25))</f>
      </c>
      <c r="E28" s="21">
        <f>IF($B28="","",_项目汇总!$C$24)</f>
      </c>
      <c r="F28" s="21">
        <f>IF($B28="","",_项目汇总!$O$24)</f>
      </c>
      <c r="G28" s="21">
        <f>IF($B28="","",_项目汇总!$Q$24)</f>
      </c>
      <c r="H28" s="21">
        <f>IF($B28="","",_项目汇总!$S$24)</f>
      </c>
      <c r="I28" s="21">
        <f>IF($B28="","",_项目汇总!$U$24)</f>
      </c>
      <c r="J28" s="21">
        <f>IF($B28="","",_项目汇总!$W$24+_项目汇总!$Y$24)</f>
      </c>
      <c r="K28" s="21">
        <f>IF($B28="","",ROUND((_项目汇总!$K$24-_项目汇总!$M$24)*(1+基础资料!$AF$6)+E28*基础资料!$AF$7,2))</f>
      </c>
      <c r="L28" s="21">
        <f>IF($B28="","",_项目汇总!$AA$24)</f>
      </c>
      <c r="M28" s="21">
        <f t="shared" si="0"/>
      </c>
      <c r="N28" s="21">
        <f>IF($B28="","",费用分摊!$O$42)</f>
      </c>
      <c r="O28" s="20">
        <f t="shared" si="1"/>
      </c>
      <c r="P28" s="22">
        <f t="shared" si="2"/>
      </c>
      <c r="Q28" s="21">
        <f>IF($B28="","",SUMIFS(期初余额!$C$5:$C$64,期初余额!$B$5:$B$64,$B28)+_项目汇总!$B$24+_项目汇总!$C$24)</f>
      </c>
      <c r="R28" s="21">
        <f>IF($B28="","",SUMIFS(期初余额!$R$5:$R$204,期初余额!$Q$5:$Q$204,$B28,期初余额!$V$5:$V$204,"材料供应商")+_项目汇总!$N$24+_项目汇总!$O$24)</f>
      </c>
      <c r="S28" s="21">
        <f>IF($B28="","",SUMIFS(期初余额!$F$5:$F$64,期初余额!$B$5:$B$64,$B28)+_项目汇总!$P$24+_项目汇总!$Q$24)</f>
      </c>
      <c r="T28" s="21">
        <f>IF($B28="","",SUMIFS(期初余额!$R$5:$R$204,期初余额!$Q$5:$Q$204,$B28,期初余额!$V$5:$V$204,"分包")+_项目汇总!$R$24+_项目汇总!$S$24)</f>
      </c>
      <c r="U28" s="21">
        <f>IF($B28="","",SUMIFS(期初余额!$R$5:$R$204,期初余额!$Q$5:$Q$204,$B28,期初余额!$V$5:$V$204,"机械运输")+_项目汇总!$T$24+_项目汇总!$U$24)</f>
      </c>
      <c r="V28" s="21">
        <f>IF($B28="","",SUMIFS(期初余额!$G$5:$G$64,期初余额!$B$5:$B$64,$B28)+SUMIFS(期初余额!$R$5:$R$204,期初余额!$Q$5:$Q$204,$B28,期初余额!$V$5:$V$204,"其他")+_项目汇总!$V$24+_项目汇总!$W$24+_项目汇总!$X$24+_项目汇总!$Y$24)</f>
      </c>
      <c r="W28" s="21">
        <f>IF($B28="","",SUMIFS(期初余额!$H$5:$H$64,期初余额!$B$5:$B$64,$B28)+ROUND((_项目汇总!$J$24-_项目汇总!$L$24)*(1+基础资料!$AF$6)+_项目汇总!$B$24*基础资料!$AF$7,2)+K28)</f>
      </c>
      <c r="X28" s="21">
        <f>IF($B28="","",_项目汇总!$Z$24+_项目汇总!$AA$24)</f>
      </c>
      <c r="Y28" s="21">
        <f>IF($B28="","",费用分摊!$M$42)</f>
      </c>
      <c r="Z28" s="20">
        <f t="shared" si="3"/>
      </c>
      <c r="AA28" s="22">
        <f t="shared" si="4"/>
      </c>
      <c r="AB28" s="22">
        <f t="shared" si="5"/>
      </c>
      <c r="AC28" s="22">
        <f t="shared" si="6"/>
      </c>
      <c r="AD28" s="21">
        <f>IF($B28="","",应收账款总表!$G$27)</f>
      </c>
      <c r="AE28" s="21">
        <f>IF($B28="","",应收账款总表!$I$27)</f>
      </c>
      <c r="AF28" s="96">
        <f t="shared" si="7"/>
      </c>
    </row>
    <row r="29">
      <c r="A29" s="94">
        <f>IF($B29="","",23)</f>
      </c>
      <c r="B29" s="96">
        <f>项目档案!$B$26&amp;""</f>
      </c>
      <c r="C29" s="94">
        <f>项目档案!$M$26&amp;""</f>
      </c>
      <c r="D29" s="21">
        <f>IF($B29="","",N(项目档案!$T$26))</f>
      </c>
      <c r="E29" s="21">
        <f>IF($B29="","",_项目汇总!$C$25)</f>
      </c>
      <c r="F29" s="21">
        <f>IF($B29="","",_项目汇总!$O$25)</f>
      </c>
      <c r="G29" s="21">
        <f>IF($B29="","",_项目汇总!$Q$25)</f>
      </c>
      <c r="H29" s="21">
        <f>IF($B29="","",_项目汇总!$S$25)</f>
      </c>
      <c r="I29" s="21">
        <f>IF($B29="","",_项目汇总!$U$25)</f>
      </c>
      <c r="J29" s="21">
        <f>IF($B29="","",_项目汇总!$W$25+_项目汇总!$Y$25)</f>
      </c>
      <c r="K29" s="21">
        <f>IF($B29="","",ROUND((_项目汇总!$K$25-_项目汇总!$M$25)*(1+基础资料!$AF$6)+E29*基础资料!$AF$7,2))</f>
      </c>
      <c r="L29" s="21">
        <f>IF($B29="","",_项目汇总!$AA$25)</f>
      </c>
      <c r="M29" s="21">
        <f t="shared" si="0"/>
      </c>
      <c r="N29" s="21">
        <f>IF($B29="","",费用分摊!$O$43)</f>
      </c>
      <c r="O29" s="20">
        <f t="shared" si="1"/>
      </c>
      <c r="P29" s="22">
        <f t="shared" si="2"/>
      </c>
      <c r="Q29" s="21">
        <f>IF($B29="","",SUMIFS(期初余额!$C$5:$C$64,期初余额!$B$5:$B$64,$B29)+_项目汇总!$B$25+_项目汇总!$C$25)</f>
      </c>
      <c r="R29" s="21">
        <f>IF($B29="","",SUMIFS(期初余额!$R$5:$R$204,期初余额!$Q$5:$Q$204,$B29,期初余额!$V$5:$V$204,"材料供应商")+_项目汇总!$N$25+_项目汇总!$O$25)</f>
      </c>
      <c r="S29" s="21">
        <f>IF($B29="","",SUMIFS(期初余额!$F$5:$F$64,期初余额!$B$5:$B$64,$B29)+_项目汇总!$P$25+_项目汇总!$Q$25)</f>
      </c>
      <c r="T29" s="21">
        <f>IF($B29="","",SUMIFS(期初余额!$R$5:$R$204,期初余额!$Q$5:$Q$204,$B29,期初余额!$V$5:$V$204,"分包")+_项目汇总!$R$25+_项目汇总!$S$25)</f>
      </c>
      <c r="U29" s="21">
        <f>IF($B29="","",SUMIFS(期初余额!$R$5:$R$204,期初余额!$Q$5:$Q$204,$B29,期初余额!$V$5:$V$204,"机械运输")+_项目汇总!$T$25+_项目汇总!$U$25)</f>
      </c>
      <c r="V29" s="21">
        <f>IF($B29="","",SUMIFS(期初余额!$G$5:$G$64,期初余额!$B$5:$B$64,$B29)+SUMIFS(期初余额!$R$5:$R$204,期初余额!$Q$5:$Q$204,$B29,期初余额!$V$5:$V$204,"其他")+_项目汇总!$V$25+_项目汇总!$W$25+_项目汇总!$X$25+_项目汇总!$Y$25)</f>
      </c>
      <c r="W29" s="21">
        <f>IF($B29="","",SUMIFS(期初余额!$H$5:$H$64,期初余额!$B$5:$B$64,$B29)+ROUND((_项目汇总!$J$25-_项目汇总!$L$25)*(1+基础资料!$AF$6)+_项目汇总!$B$25*基础资料!$AF$7,2)+K29)</f>
      </c>
      <c r="X29" s="21">
        <f>IF($B29="","",_项目汇总!$Z$25+_项目汇总!$AA$25)</f>
      </c>
      <c r="Y29" s="21">
        <f>IF($B29="","",费用分摊!$M$43)</f>
      </c>
      <c r="Z29" s="20">
        <f t="shared" si="3"/>
      </c>
      <c r="AA29" s="22">
        <f t="shared" si="4"/>
      </c>
      <c r="AB29" s="22">
        <f t="shared" si="5"/>
      </c>
      <c r="AC29" s="22">
        <f t="shared" si="6"/>
      </c>
      <c r="AD29" s="21">
        <f>IF($B29="","",应收账款总表!$G$28)</f>
      </c>
      <c r="AE29" s="21">
        <f>IF($B29="","",应收账款总表!$I$28)</f>
      </c>
      <c r="AF29" s="96">
        <f t="shared" si="7"/>
      </c>
    </row>
    <row r="30">
      <c r="A30" s="94">
        <f>IF($B30="","",24)</f>
      </c>
      <c r="B30" s="96">
        <f>项目档案!$B$27&amp;""</f>
      </c>
      <c r="C30" s="94">
        <f>项目档案!$M$27&amp;""</f>
      </c>
      <c r="D30" s="21">
        <f>IF($B30="","",N(项目档案!$T$27))</f>
      </c>
      <c r="E30" s="21">
        <f>IF($B30="","",_项目汇总!$C$26)</f>
      </c>
      <c r="F30" s="21">
        <f>IF($B30="","",_项目汇总!$O$26)</f>
      </c>
      <c r="G30" s="21">
        <f>IF($B30="","",_项目汇总!$Q$26)</f>
      </c>
      <c r="H30" s="21">
        <f>IF($B30="","",_项目汇总!$S$26)</f>
      </c>
      <c r="I30" s="21">
        <f>IF($B30="","",_项目汇总!$U$26)</f>
      </c>
      <c r="J30" s="21">
        <f>IF($B30="","",_项目汇总!$W$26+_项目汇总!$Y$26)</f>
      </c>
      <c r="K30" s="21">
        <f>IF($B30="","",ROUND((_项目汇总!$K$26-_项目汇总!$M$26)*(1+基础资料!$AF$6)+E30*基础资料!$AF$7,2))</f>
      </c>
      <c r="L30" s="21">
        <f>IF($B30="","",_项目汇总!$AA$26)</f>
      </c>
      <c r="M30" s="21">
        <f t="shared" si="0"/>
      </c>
      <c r="N30" s="21">
        <f>IF($B30="","",费用分摊!$O$44)</f>
      </c>
      <c r="O30" s="20">
        <f t="shared" si="1"/>
      </c>
      <c r="P30" s="22">
        <f t="shared" si="2"/>
      </c>
      <c r="Q30" s="21">
        <f>IF($B30="","",SUMIFS(期初余额!$C$5:$C$64,期初余额!$B$5:$B$64,$B30)+_项目汇总!$B$26+_项目汇总!$C$26)</f>
      </c>
      <c r="R30" s="21">
        <f>IF($B30="","",SUMIFS(期初余额!$R$5:$R$204,期初余额!$Q$5:$Q$204,$B30,期初余额!$V$5:$V$204,"材料供应商")+_项目汇总!$N$26+_项目汇总!$O$26)</f>
      </c>
      <c r="S30" s="21">
        <f>IF($B30="","",SUMIFS(期初余额!$F$5:$F$64,期初余额!$B$5:$B$64,$B30)+_项目汇总!$P$26+_项目汇总!$Q$26)</f>
      </c>
      <c r="T30" s="21">
        <f>IF($B30="","",SUMIFS(期初余额!$R$5:$R$204,期初余额!$Q$5:$Q$204,$B30,期初余额!$V$5:$V$204,"分包")+_项目汇总!$R$26+_项目汇总!$S$26)</f>
      </c>
      <c r="U30" s="21">
        <f>IF($B30="","",SUMIFS(期初余额!$R$5:$R$204,期初余额!$Q$5:$Q$204,$B30,期初余额!$V$5:$V$204,"机械运输")+_项目汇总!$T$26+_项目汇总!$U$26)</f>
      </c>
      <c r="V30" s="21">
        <f>IF($B30="","",SUMIFS(期初余额!$G$5:$G$64,期初余额!$B$5:$B$64,$B30)+SUMIFS(期初余额!$R$5:$R$204,期初余额!$Q$5:$Q$204,$B30,期初余额!$V$5:$V$204,"其他")+_项目汇总!$V$26+_项目汇总!$W$26+_项目汇总!$X$26+_项目汇总!$Y$26)</f>
      </c>
      <c r="W30" s="21">
        <f>IF($B30="","",SUMIFS(期初余额!$H$5:$H$64,期初余额!$B$5:$B$64,$B30)+ROUND((_项目汇总!$J$26-_项目汇总!$L$26)*(1+基础资料!$AF$6)+_项目汇总!$B$26*基础资料!$AF$7,2)+K30)</f>
      </c>
      <c r="X30" s="21">
        <f>IF($B30="","",_项目汇总!$Z$26+_项目汇总!$AA$26)</f>
      </c>
      <c r="Y30" s="21">
        <f>IF($B30="","",费用分摊!$M$44)</f>
      </c>
      <c r="Z30" s="20">
        <f t="shared" si="3"/>
      </c>
      <c r="AA30" s="22">
        <f t="shared" si="4"/>
      </c>
      <c r="AB30" s="22">
        <f t="shared" si="5"/>
      </c>
      <c r="AC30" s="22">
        <f t="shared" si="6"/>
      </c>
      <c r="AD30" s="21">
        <f>IF($B30="","",应收账款总表!$G$29)</f>
      </c>
      <c r="AE30" s="21">
        <f>IF($B30="","",应收账款总表!$I$29)</f>
      </c>
      <c r="AF30" s="96">
        <f t="shared" si="7"/>
      </c>
    </row>
    <row r="31">
      <c r="A31" s="94">
        <f>IF($B31="","",25)</f>
      </c>
      <c r="B31" s="96">
        <f>项目档案!$B$28&amp;""</f>
      </c>
      <c r="C31" s="94">
        <f>项目档案!$M$28&amp;""</f>
      </c>
      <c r="D31" s="21">
        <f>IF($B31="","",N(项目档案!$T$28))</f>
      </c>
      <c r="E31" s="21">
        <f>IF($B31="","",_项目汇总!$C$27)</f>
      </c>
      <c r="F31" s="21">
        <f>IF($B31="","",_项目汇总!$O$27)</f>
      </c>
      <c r="G31" s="21">
        <f>IF($B31="","",_项目汇总!$Q$27)</f>
      </c>
      <c r="H31" s="21">
        <f>IF($B31="","",_项目汇总!$S$27)</f>
      </c>
      <c r="I31" s="21">
        <f>IF($B31="","",_项目汇总!$U$27)</f>
      </c>
      <c r="J31" s="21">
        <f>IF($B31="","",_项目汇总!$W$27+_项目汇总!$Y$27)</f>
      </c>
      <c r="K31" s="21">
        <f>IF($B31="","",ROUND((_项目汇总!$K$27-_项目汇总!$M$27)*(1+基础资料!$AF$6)+E31*基础资料!$AF$7,2))</f>
      </c>
      <c r="L31" s="21">
        <f>IF($B31="","",_项目汇总!$AA$27)</f>
      </c>
      <c r="M31" s="21">
        <f t="shared" si="0"/>
      </c>
      <c r="N31" s="21">
        <f>IF($B31="","",费用分摊!$O$45)</f>
      </c>
      <c r="O31" s="20">
        <f t="shared" si="1"/>
      </c>
      <c r="P31" s="22">
        <f t="shared" si="2"/>
      </c>
      <c r="Q31" s="21">
        <f>IF($B31="","",SUMIFS(期初余额!$C$5:$C$64,期初余额!$B$5:$B$64,$B31)+_项目汇总!$B$27+_项目汇总!$C$27)</f>
      </c>
      <c r="R31" s="21">
        <f>IF($B31="","",SUMIFS(期初余额!$R$5:$R$204,期初余额!$Q$5:$Q$204,$B31,期初余额!$V$5:$V$204,"材料供应商")+_项目汇总!$N$27+_项目汇总!$O$27)</f>
      </c>
      <c r="S31" s="21">
        <f>IF($B31="","",SUMIFS(期初余额!$F$5:$F$64,期初余额!$B$5:$B$64,$B31)+_项目汇总!$P$27+_项目汇总!$Q$27)</f>
      </c>
      <c r="T31" s="21">
        <f>IF($B31="","",SUMIFS(期初余额!$R$5:$R$204,期初余额!$Q$5:$Q$204,$B31,期初余额!$V$5:$V$204,"分包")+_项目汇总!$R$27+_项目汇总!$S$27)</f>
      </c>
      <c r="U31" s="21">
        <f>IF($B31="","",SUMIFS(期初余额!$R$5:$R$204,期初余额!$Q$5:$Q$204,$B31,期初余额!$V$5:$V$204,"机械运输")+_项目汇总!$T$27+_项目汇总!$U$27)</f>
      </c>
      <c r="V31" s="21">
        <f>IF($B31="","",SUMIFS(期初余额!$G$5:$G$64,期初余额!$B$5:$B$64,$B31)+SUMIFS(期初余额!$R$5:$R$204,期初余额!$Q$5:$Q$204,$B31,期初余额!$V$5:$V$204,"其他")+_项目汇总!$V$27+_项目汇总!$W$27+_项目汇总!$X$27+_项目汇总!$Y$27)</f>
      </c>
      <c r="W31" s="21">
        <f>IF($B31="","",SUMIFS(期初余额!$H$5:$H$64,期初余额!$B$5:$B$64,$B31)+ROUND((_项目汇总!$J$27-_项目汇总!$L$27)*(1+基础资料!$AF$6)+_项目汇总!$B$27*基础资料!$AF$7,2)+K31)</f>
      </c>
      <c r="X31" s="21">
        <f>IF($B31="","",_项目汇总!$Z$27+_项目汇总!$AA$27)</f>
      </c>
      <c r="Y31" s="21">
        <f>IF($B31="","",费用分摊!$M$45)</f>
      </c>
      <c r="Z31" s="20">
        <f t="shared" si="3"/>
      </c>
      <c r="AA31" s="22">
        <f t="shared" si="4"/>
      </c>
      <c r="AB31" s="22">
        <f t="shared" si="5"/>
      </c>
      <c r="AC31" s="22">
        <f t="shared" si="6"/>
      </c>
      <c r="AD31" s="21">
        <f>IF($B31="","",应收账款总表!$G$30)</f>
      </c>
      <c r="AE31" s="21">
        <f>IF($B31="","",应收账款总表!$I$30)</f>
      </c>
      <c r="AF31" s="96">
        <f t="shared" si="7"/>
      </c>
    </row>
    <row r="32">
      <c r="A32" s="94">
        <f>IF($B32="","",26)</f>
      </c>
      <c r="B32" s="96">
        <f>项目档案!$B$29&amp;""</f>
      </c>
      <c r="C32" s="94">
        <f>项目档案!$M$29&amp;""</f>
      </c>
      <c r="D32" s="21">
        <f>IF($B32="","",N(项目档案!$T$29))</f>
      </c>
      <c r="E32" s="21">
        <f>IF($B32="","",_项目汇总!$C$28)</f>
      </c>
      <c r="F32" s="21">
        <f>IF($B32="","",_项目汇总!$O$28)</f>
      </c>
      <c r="G32" s="21">
        <f>IF($B32="","",_项目汇总!$Q$28)</f>
      </c>
      <c r="H32" s="21">
        <f>IF($B32="","",_项目汇总!$S$28)</f>
      </c>
      <c r="I32" s="21">
        <f>IF($B32="","",_项目汇总!$U$28)</f>
      </c>
      <c r="J32" s="21">
        <f>IF($B32="","",_项目汇总!$W$28+_项目汇总!$Y$28)</f>
      </c>
      <c r="K32" s="21">
        <f>IF($B32="","",ROUND((_项目汇总!$K$28-_项目汇总!$M$28)*(1+基础资料!$AF$6)+E32*基础资料!$AF$7,2))</f>
      </c>
      <c r="L32" s="21">
        <f>IF($B32="","",_项目汇总!$AA$28)</f>
      </c>
      <c r="M32" s="21">
        <f t="shared" si="0"/>
      </c>
      <c r="N32" s="21">
        <f>IF($B32="","",费用分摊!$O$46)</f>
      </c>
      <c r="O32" s="20">
        <f t="shared" si="1"/>
      </c>
      <c r="P32" s="22">
        <f t="shared" si="2"/>
      </c>
      <c r="Q32" s="21">
        <f>IF($B32="","",SUMIFS(期初余额!$C$5:$C$64,期初余额!$B$5:$B$64,$B32)+_项目汇总!$B$28+_项目汇总!$C$28)</f>
      </c>
      <c r="R32" s="21">
        <f>IF($B32="","",SUMIFS(期初余额!$R$5:$R$204,期初余额!$Q$5:$Q$204,$B32,期初余额!$V$5:$V$204,"材料供应商")+_项目汇总!$N$28+_项目汇总!$O$28)</f>
      </c>
      <c r="S32" s="21">
        <f>IF($B32="","",SUMIFS(期初余额!$F$5:$F$64,期初余额!$B$5:$B$64,$B32)+_项目汇总!$P$28+_项目汇总!$Q$28)</f>
      </c>
      <c r="T32" s="21">
        <f>IF($B32="","",SUMIFS(期初余额!$R$5:$R$204,期初余额!$Q$5:$Q$204,$B32,期初余额!$V$5:$V$204,"分包")+_项目汇总!$R$28+_项目汇总!$S$28)</f>
      </c>
      <c r="U32" s="21">
        <f>IF($B32="","",SUMIFS(期初余额!$R$5:$R$204,期初余额!$Q$5:$Q$204,$B32,期初余额!$V$5:$V$204,"机械运输")+_项目汇总!$T$28+_项目汇总!$U$28)</f>
      </c>
      <c r="V32" s="21">
        <f>IF($B32="","",SUMIFS(期初余额!$G$5:$G$64,期初余额!$B$5:$B$64,$B32)+SUMIFS(期初余额!$R$5:$R$204,期初余额!$Q$5:$Q$204,$B32,期初余额!$V$5:$V$204,"其他")+_项目汇总!$V$28+_项目汇总!$W$28+_项目汇总!$X$28+_项目汇总!$Y$28)</f>
      </c>
      <c r="W32" s="21">
        <f>IF($B32="","",SUMIFS(期初余额!$H$5:$H$64,期初余额!$B$5:$B$64,$B32)+ROUND((_项目汇总!$J$28-_项目汇总!$L$28)*(1+基础资料!$AF$6)+_项目汇总!$B$28*基础资料!$AF$7,2)+K32)</f>
      </c>
      <c r="X32" s="21">
        <f>IF($B32="","",_项目汇总!$Z$28+_项目汇总!$AA$28)</f>
      </c>
      <c r="Y32" s="21">
        <f>IF($B32="","",费用分摊!$M$46)</f>
      </c>
      <c r="Z32" s="20">
        <f t="shared" si="3"/>
      </c>
      <c r="AA32" s="22">
        <f t="shared" si="4"/>
      </c>
      <c r="AB32" s="22">
        <f t="shared" si="5"/>
      </c>
      <c r="AC32" s="22">
        <f t="shared" si="6"/>
      </c>
      <c r="AD32" s="21">
        <f>IF($B32="","",应收账款总表!$G$31)</f>
      </c>
      <c r="AE32" s="21">
        <f>IF($B32="","",应收账款总表!$I$31)</f>
      </c>
      <c r="AF32" s="96">
        <f t="shared" si="7"/>
      </c>
    </row>
    <row r="33">
      <c r="A33" s="94">
        <f>IF($B33="","",27)</f>
      </c>
      <c r="B33" s="96">
        <f>项目档案!$B$30&amp;""</f>
      </c>
      <c r="C33" s="94">
        <f>项目档案!$M$30&amp;""</f>
      </c>
      <c r="D33" s="21">
        <f>IF($B33="","",N(项目档案!$T$30))</f>
      </c>
      <c r="E33" s="21">
        <f>IF($B33="","",_项目汇总!$C$29)</f>
      </c>
      <c r="F33" s="21">
        <f>IF($B33="","",_项目汇总!$O$29)</f>
      </c>
      <c r="G33" s="21">
        <f>IF($B33="","",_项目汇总!$Q$29)</f>
      </c>
      <c r="H33" s="21">
        <f>IF($B33="","",_项目汇总!$S$29)</f>
      </c>
      <c r="I33" s="21">
        <f>IF($B33="","",_项目汇总!$U$29)</f>
      </c>
      <c r="J33" s="21">
        <f>IF($B33="","",_项目汇总!$W$29+_项目汇总!$Y$29)</f>
      </c>
      <c r="K33" s="21">
        <f>IF($B33="","",ROUND((_项目汇总!$K$29-_项目汇总!$M$29)*(1+基础资料!$AF$6)+E33*基础资料!$AF$7,2))</f>
      </c>
      <c r="L33" s="21">
        <f>IF($B33="","",_项目汇总!$AA$29)</f>
      </c>
      <c r="M33" s="21">
        <f t="shared" si="0"/>
      </c>
      <c r="N33" s="21">
        <f>IF($B33="","",费用分摊!$O$47)</f>
      </c>
      <c r="O33" s="20">
        <f t="shared" si="1"/>
      </c>
      <c r="P33" s="22">
        <f t="shared" si="2"/>
      </c>
      <c r="Q33" s="21">
        <f>IF($B33="","",SUMIFS(期初余额!$C$5:$C$64,期初余额!$B$5:$B$64,$B33)+_项目汇总!$B$29+_项目汇总!$C$29)</f>
      </c>
      <c r="R33" s="21">
        <f>IF($B33="","",SUMIFS(期初余额!$R$5:$R$204,期初余额!$Q$5:$Q$204,$B33,期初余额!$V$5:$V$204,"材料供应商")+_项目汇总!$N$29+_项目汇总!$O$29)</f>
      </c>
      <c r="S33" s="21">
        <f>IF($B33="","",SUMIFS(期初余额!$F$5:$F$64,期初余额!$B$5:$B$64,$B33)+_项目汇总!$P$29+_项目汇总!$Q$29)</f>
      </c>
      <c r="T33" s="21">
        <f>IF($B33="","",SUMIFS(期初余额!$R$5:$R$204,期初余额!$Q$5:$Q$204,$B33,期初余额!$V$5:$V$204,"分包")+_项目汇总!$R$29+_项目汇总!$S$29)</f>
      </c>
      <c r="U33" s="21">
        <f>IF($B33="","",SUMIFS(期初余额!$R$5:$R$204,期初余额!$Q$5:$Q$204,$B33,期初余额!$V$5:$V$204,"机械运输")+_项目汇总!$T$29+_项目汇总!$U$29)</f>
      </c>
      <c r="V33" s="21">
        <f>IF($B33="","",SUMIFS(期初余额!$G$5:$G$64,期初余额!$B$5:$B$64,$B33)+SUMIFS(期初余额!$R$5:$R$204,期初余额!$Q$5:$Q$204,$B33,期初余额!$V$5:$V$204,"其他")+_项目汇总!$V$29+_项目汇总!$W$29+_项目汇总!$X$29+_项目汇总!$Y$29)</f>
      </c>
      <c r="W33" s="21">
        <f>IF($B33="","",SUMIFS(期初余额!$H$5:$H$64,期初余额!$B$5:$B$64,$B33)+ROUND((_项目汇总!$J$29-_项目汇总!$L$29)*(1+基础资料!$AF$6)+_项目汇总!$B$29*基础资料!$AF$7,2)+K33)</f>
      </c>
      <c r="X33" s="21">
        <f>IF($B33="","",_项目汇总!$Z$29+_项目汇总!$AA$29)</f>
      </c>
      <c r="Y33" s="21">
        <f>IF($B33="","",费用分摊!$M$47)</f>
      </c>
      <c r="Z33" s="20">
        <f t="shared" si="3"/>
      </c>
      <c r="AA33" s="22">
        <f t="shared" si="4"/>
      </c>
      <c r="AB33" s="22">
        <f t="shared" si="5"/>
      </c>
      <c r="AC33" s="22">
        <f t="shared" si="6"/>
      </c>
      <c r="AD33" s="21">
        <f>IF($B33="","",应收账款总表!$G$32)</f>
      </c>
      <c r="AE33" s="21">
        <f>IF($B33="","",应收账款总表!$I$32)</f>
      </c>
      <c r="AF33" s="96">
        <f t="shared" si="7"/>
      </c>
    </row>
    <row r="34">
      <c r="A34" s="94">
        <f>IF($B34="","",28)</f>
      </c>
      <c r="B34" s="96">
        <f>项目档案!$B$31&amp;""</f>
      </c>
      <c r="C34" s="94">
        <f>项目档案!$M$31&amp;""</f>
      </c>
      <c r="D34" s="21">
        <f>IF($B34="","",N(项目档案!$T$31))</f>
      </c>
      <c r="E34" s="21">
        <f>IF($B34="","",_项目汇总!$C$30)</f>
      </c>
      <c r="F34" s="21">
        <f>IF($B34="","",_项目汇总!$O$30)</f>
      </c>
      <c r="G34" s="21">
        <f>IF($B34="","",_项目汇总!$Q$30)</f>
      </c>
      <c r="H34" s="21">
        <f>IF($B34="","",_项目汇总!$S$30)</f>
      </c>
      <c r="I34" s="21">
        <f>IF($B34="","",_项目汇总!$U$30)</f>
      </c>
      <c r="J34" s="21">
        <f>IF($B34="","",_项目汇总!$W$30+_项目汇总!$Y$30)</f>
      </c>
      <c r="K34" s="21">
        <f>IF($B34="","",ROUND((_项目汇总!$K$30-_项目汇总!$M$30)*(1+基础资料!$AF$6)+E34*基础资料!$AF$7,2))</f>
      </c>
      <c r="L34" s="21">
        <f>IF($B34="","",_项目汇总!$AA$30)</f>
      </c>
      <c r="M34" s="21">
        <f t="shared" si="0"/>
      </c>
      <c r="N34" s="21">
        <f>IF($B34="","",费用分摊!$O$48)</f>
      </c>
      <c r="O34" s="20">
        <f t="shared" si="1"/>
      </c>
      <c r="P34" s="22">
        <f t="shared" si="2"/>
      </c>
      <c r="Q34" s="21">
        <f>IF($B34="","",SUMIFS(期初余额!$C$5:$C$64,期初余额!$B$5:$B$64,$B34)+_项目汇总!$B$30+_项目汇总!$C$30)</f>
      </c>
      <c r="R34" s="21">
        <f>IF($B34="","",SUMIFS(期初余额!$R$5:$R$204,期初余额!$Q$5:$Q$204,$B34,期初余额!$V$5:$V$204,"材料供应商")+_项目汇总!$N$30+_项目汇总!$O$30)</f>
      </c>
      <c r="S34" s="21">
        <f>IF($B34="","",SUMIFS(期初余额!$F$5:$F$64,期初余额!$B$5:$B$64,$B34)+_项目汇总!$P$30+_项目汇总!$Q$30)</f>
      </c>
      <c r="T34" s="21">
        <f>IF($B34="","",SUMIFS(期初余额!$R$5:$R$204,期初余额!$Q$5:$Q$204,$B34,期初余额!$V$5:$V$204,"分包")+_项目汇总!$R$30+_项目汇总!$S$30)</f>
      </c>
      <c r="U34" s="21">
        <f>IF($B34="","",SUMIFS(期初余额!$R$5:$R$204,期初余额!$Q$5:$Q$204,$B34,期初余额!$V$5:$V$204,"机械运输")+_项目汇总!$T$30+_项目汇总!$U$30)</f>
      </c>
      <c r="V34" s="21">
        <f>IF($B34="","",SUMIFS(期初余额!$G$5:$G$64,期初余额!$B$5:$B$64,$B34)+SUMIFS(期初余额!$R$5:$R$204,期初余额!$Q$5:$Q$204,$B34,期初余额!$V$5:$V$204,"其他")+_项目汇总!$V$30+_项目汇总!$W$30+_项目汇总!$X$30+_项目汇总!$Y$30)</f>
      </c>
      <c r="W34" s="21">
        <f>IF($B34="","",SUMIFS(期初余额!$H$5:$H$64,期初余额!$B$5:$B$64,$B34)+ROUND((_项目汇总!$J$30-_项目汇总!$L$30)*(1+基础资料!$AF$6)+_项目汇总!$B$30*基础资料!$AF$7,2)+K34)</f>
      </c>
      <c r="X34" s="21">
        <f>IF($B34="","",_项目汇总!$Z$30+_项目汇总!$AA$30)</f>
      </c>
      <c r="Y34" s="21">
        <f>IF($B34="","",费用分摊!$M$48)</f>
      </c>
      <c r="Z34" s="20">
        <f t="shared" si="3"/>
      </c>
      <c r="AA34" s="22">
        <f t="shared" si="4"/>
      </c>
      <c r="AB34" s="22">
        <f t="shared" si="5"/>
      </c>
      <c r="AC34" s="22">
        <f t="shared" si="6"/>
      </c>
      <c r="AD34" s="21">
        <f>IF($B34="","",应收账款总表!$G$33)</f>
      </c>
      <c r="AE34" s="21">
        <f>IF($B34="","",应收账款总表!$I$33)</f>
      </c>
      <c r="AF34" s="96">
        <f t="shared" si="7"/>
      </c>
    </row>
    <row r="35">
      <c r="A35" s="94">
        <f>IF($B35="","",29)</f>
      </c>
      <c r="B35" s="96">
        <f>项目档案!$B$32&amp;""</f>
      </c>
      <c r="C35" s="94">
        <f>项目档案!$M$32&amp;""</f>
      </c>
      <c r="D35" s="21">
        <f>IF($B35="","",N(项目档案!$T$32))</f>
      </c>
      <c r="E35" s="21">
        <f>IF($B35="","",_项目汇总!$C$31)</f>
      </c>
      <c r="F35" s="21">
        <f>IF($B35="","",_项目汇总!$O$31)</f>
      </c>
      <c r="G35" s="21">
        <f>IF($B35="","",_项目汇总!$Q$31)</f>
      </c>
      <c r="H35" s="21">
        <f>IF($B35="","",_项目汇总!$S$31)</f>
      </c>
      <c r="I35" s="21">
        <f>IF($B35="","",_项目汇总!$U$31)</f>
      </c>
      <c r="J35" s="21">
        <f>IF($B35="","",_项目汇总!$W$31+_项目汇总!$Y$31)</f>
      </c>
      <c r="K35" s="21">
        <f>IF($B35="","",ROUND((_项目汇总!$K$31-_项目汇总!$M$31)*(1+基础资料!$AF$6)+E35*基础资料!$AF$7,2))</f>
      </c>
      <c r="L35" s="21">
        <f>IF($B35="","",_项目汇总!$AA$31)</f>
      </c>
      <c r="M35" s="21">
        <f t="shared" si="0"/>
      </c>
      <c r="N35" s="21">
        <f>IF($B35="","",费用分摊!$O$49)</f>
      </c>
      <c r="O35" s="20">
        <f t="shared" si="1"/>
      </c>
      <c r="P35" s="22">
        <f t="shared" si="2"/>
      </c>
      <c r="Q35" s="21">
        <f>IF($B35="","",SUMIFS(期初余额!$C$5:$C$64,期初余额!$B$5:$B$64,$B35)+_项目汇总!$B$31+_项目汇总!$C$31)</f>
      </c>
      <c r="R35" s="21">
        <f>IF($B35="","",SUMIFS(期初余额!$R$5:$R$204,期初余额!$Q$5:$Q$204,$B35,期初余额!$V$5:$V$204,"材料供应商")+_项目汇总!$N$31+_项目汇总!$O$31)</f>
      </c>
      <c r="S35" s="21">
        <f>IF($B35="","",SUMIFS(期初余额!$F$5:$F$64,期初余额!$B$5:$B$64,$B35)+_项目汇总!$P$31+_项目汇总!$Q$31)</f>
      </c>
      <c r="T35" s="21">
        <f>IF($B35="","",SUMIFS(期初余额!$R$5:$R$204,期初余额!$Q$5:$Q$204,$B35,期初余额!$V$5:$V$204,"分包")+_项目汇总!$R$31+_项目汇总!$S$31)</f>
      </c>
      <c r="U35" s="21">
        <f>IF($B35="","",SUMIFS(期初余额!$R$5:$R$204,期初余额!$Q$5:$Q$204,$B35,期初余额!$V$5:$V$204,"机械运输")+_项目汇总!$T$31+_项目汇总!$U$31)</f>
      </c>
      <c r="V35" s="21">
        <f>IF($B35="","",SUMIFS(期初余额!$G$5:$G$64,期初余额!$B$5:$B$64,$B35)+SUMIFS(期初余额!$R$5:$R$204,期初余额!$Q$5:$Q$204,$B35,期初余额!$V$5:$V$204,"其他")+_项目汇总!$V$31+_项目汇总!$W$31+_项目汇总!$X$31+_项目汇总!$Y$31)</f>
      </c>
      <c r="W35" s="21">
        <f>IF($B35="","",SUMIFS(期初余额!$H$5:$H$64,期初余额!$B$5:$B$64,$B35)+ROUND((_项目汇总!$J$31-_项目汇总!$L$31)*(1+基础资料!$AF$6)+_项目汇总!$B$31*基础资料!$AF$7,2)+K35)</f>
      </c>
      <c r="X35" s="21">
        <f>IF($B35="","",_项目汇总!$Z$31+_项目汇总!$AA$31)</f>
      </c>
      <c r="Y35" s="21">
        <f>IF($B35="","",费用分摊!$M$49)</f>
      </c>
      <c r="Z35" s="20">
        <f t="shared" si="3"/>
      </c>
      <c r="AA35" s="22">
        <f t="shared" si="4"/>
      </c>
      <c r="AB35" s="22">
        <f t="shared" si="5"/>
      </c>
      <c r="AC35" s="22">
        <f t="shared" si="6"/>
      </c>
      <c r="AD35" s="21">
        <f>IF($B35="","",应收账款总表!$G$34)</f>
      </c>
      <c r="AE35" s="21">
        <f>IF($B35="","",应收账款总表!$I$34)</f>
      </c>
      <c r="AF35" s="96">
        <f t="shared" si="7"/>
      </c>
    </row>
    <row r="36">
      <c r="A36" s="94">
        <f>IF($B36="","",30)</f>
      </c>
      <c r="B36" s="96">
        <f>项目档案!$B$33&amp;""</f>
      </c>
      <c r="C36" s="94">
        <f>项目档案!$M$33&amp;""</f>
      </c>
      <c r="D36" s="21">
        <f>IF($B36="","",N(项目档案!$T$33))</f>
      </c>
      <c r="E36" s="21">
        <f>IF($B36="","",_项目汇总!$C$32)</f>
      </c>
      <c r="F36" s="21">
        <f>IF($B36="","",_项目汇总!$O$32)</f>
      </c>
      <c r="G36" s="21">
        <f>IF($B36="","",_项目汇总!$Q$32)</f>
      </c>
      <c r="H36" s="21">
        <f>IF($B36="","",_项目汇总!$S$32)</f>
      </c>
      <c r="I36" s="21">
        <f>IF($B36="","",_项目汇总!$U$32)</f>
      </c>
      <c r="J36" s="21">
        <f>IF($B36="","",_项目汇总!$W$32+_项目汇总!$Y$32)</f>
      </c>
      <c r="K36" s="21">
        <f>IF($B36="","",ROUND((_项目汇总!$K$32-_项目汇总!$M$32)*(1+基础资料!$AF$6)+E36*基础资料!$AF$7,2))</f>
      </c>
      <c r="L36" s="21">
        <f>IF($B36="","",_项目汇总!$AA$32)</f>
      </c>
      <c r="M36" s="21">
        <f t="shared" si="0"/>
      </c>
      <c r="N36" s="21">
        <f>IF($B36="","",费用分摊!$O$50)</f>
      </c>
      <c r="O36" s="20">
        <f t="shared" si="1"/>
      </c>
      <c r="P36" s="22">
        <f t="shared" si="2"/>
      </c>
      <c r="Q36" s="21">
        <f>IF($B36="","",SUMIFS(期初余额!$C$5:$C$64,期初余额!$B$5:$B$64,$B36)+_项目汇总!$B$32+_项目汇总!$C$32)</f>
      </c>
      <c r="R36" s="21">
        <f>IF($B36="","",SUMIFS(期初余额!$R$5:$R$204,期初余额!$Q$5:$Q$204,$B36,期初余额!$V$5:$V$204,"材料供应商")+_项目汇总!$N$32+_项目汇总!$O$32)</f>
      </c>
      <c r="S36" s="21">
        <f>IF($B36="","",SUMIFS(期初余额!$F$5:$F$64,期初余额!$B$5:$B$64,$B36)+_项目汇总!$P$32+_项目汇总!$Q$32)</f>
      </c>
      <c r="T36" s="21">
        <f>IF($B36="","",SUMIFS(期初余额!$R$5:$R$204,期初余额!$Q$5:$Q$204,$B36,期初余额!$V$5:$V$204,"分包")+_项目汇总!$R$32+_项目汇总!$S$32)</f>
      </c>
      <c r="U36" s="21">
        <f>IF($B36="","",SUMIFS(期初余额!$R$5:$R$204,期初余额!$Q$5:$Q$204,$B36,期初余额!$V$5:$V$204,"机械运输")+_项目汇总!$T$32+_项目汇总!$U$32)</f>
      </c>
      <c r="V36" s="21">
        <f>IF($B36="","",SUMIFS(期初余额!$G$5:$G$64,期初余额!$B$5:$B$64,$B36)+SUMIFS(期初余额!$R$5:$R$204,期初余额!$Q$5:$Q$204,$B36,期初余额!$V$5:$V$204,"其他")+_项目汇总!$V$32+_项目汇总!$W$32+_项目汇总!$X$32+_项目汇总!$Y$32)</f>
      </c>
      <c r="W36" s="21">
        <f>IF($B36="","",SUMIFS(期初余额!$H$5:$H$64,期初余额!$B$5:$B$64,$B36)+ROUND((_项目汇总!$J$32-_项目汇总!$L$32)*(1+基础资料!$AF$6)+_项目汇总!$B$32*基础资料!$AF$7,2)+K36)</f>
      </c>
      <c r="X36" s="21">
        <f>IF($B36="","",_项目汇总!$Z$32+_项目汇总!$AA$32)</f>
      </c>
      <c r="Y36" s="21">
        <f>IF($B36="","",费用分摊!$M$50)</f>
      </c>
      <c r="Z36" s="20">
        <f t="shared" si="3"/>
      </c>
      <c r="AA36" s="22">
        <f t="shared" si="4"/>
      </c>
      <c r="AB36" s="22">
        <f t="shared" si="5"/>
      </c>
      <c r="AC36" s="22">
        <f t="shared" si="6"/>
      </c>
      <c r="AD36" s="21">
        <f>IF($B36="","",应收账款总表!$G$35)</f>
      </c>
      <c r="AE36" s="21">
        <f>IF($B36="","",应收账款总表!$I$35)</f>
      </c>
      <c r="AF36" s="96">
        <f t="shared" si="7"/>
      </c>
    </row>
    <row r="37">
      <c r="A37" s="94">
        <f>IF($B37="","",31)</f>
      </c>
      <c r="B37" s="96">
        <f>项目档案!$B$34&amp;""</f>
      </c>
      <c r="C37" s="94">
        <f>项目档案!$M$34&amp;""</f>
      </c>
      <c r="D37" s="21">
        <f>IF($B37="","",N(项目档案!$T$34))</f>
      </c>
      <c r="E37" s="21">
        <f>IF($B37="","",_项目汇总!$C$33)</f>
      </c>
      <c r="F37" s="21">
        <f>IF($B37="","",_项目汇总!$O$33)</f>
      </c>
      <c r="G37" s="21">
        <f>IF($B37="","",_项目汇总!$Q$33)</f>
      </c>
      <c r="H37" s="21">
        <f>IF($B37="","",_项目汇总!$S$33)</f>
      </c>
      <c r="I37" s="21">
        <f>IF($B37="","",_项目汇总!$U$33)</f>
      </c>
      <c r="J37" s="21">
        <f>IF($B37="","",_项目汇总!$W$33+_项目汇总!$Y$33)</f>
      </c>
      <c r="K37" s="21">
        <f>IF($B37="","",ROUND((_项目汇总!$K$33-_项目汇总!$M$33)*(1+基础资料!$AF$6)+E37*基础资料!$AF$7,2))</f>
      </c>
      <c r="L37" s="21">
        <f>IF($B37="","",_项目汇总!$AA$33)</f>
      </c>
      <c r="M37" s="21">
        <f t="shared" si="0"/>
      </c>
      <c r="N37" s="21">
        <f>IF($B37="","",费用分摊!$O$51)</f>
      </c>
      <c r="O37" s="20">
        <f t="shared" si="1"/>
      </c>
      <c r="P37" s="22">
        <f t="shared" si="2"/>
      </c>
      <c r="Q37" s="21">
        <f>IF($B37="","",SUMIFS(期初余额!$C$5:$C$64,期初余额!$B$5:$B$64,$B37)+_项目汇总!$B$33+_项目汇总!$C$33)</f>
      </c>
      <c r="R37" s="21">
        <f>IF($B37="","",SUMIFS(期初余额!$R$5:$R$204,期初余额!$Q$5:$Q$204,$B37,期初余额!$V$5:$V$204,"材料供应商")+_项目汇总!$N$33+_项目汇总!$O$33)</f>
      </c>
      <c r="S37" s="21">
        <f>IF($B37="","",SUMIFS(期初余额!$F$5:$F$64,期初余额!$B$5:$B$64,$B37)+_项目汇总!$P$33+_项目汇总!$Q$33)</f>
      </c>
      <c r="T37" s="21">
        <f>IF($B37="","",SUMIFS(期初余额!$R$5:$R$204,期初余额!$Q$5:$Q$204,$B37,期初余额!$V$5:$V$204,"分包")+_项目汇总!$R$33+_项目汇总!$S$33)</f>
      </c>
      <c r="U37" s="21">
        <f>IF($B37="","",SUMIFS(期初余额!$R$5:$R$204,期初余额!$Q$5:$Q$204,$B37,期初余额!$V$5:$V$204,"机械运输")+_项目汇总!$T$33+_项目汇总!$U$33)</f>
      </c>
      <c r="V37" s="21">
        <f>IF($B37="","",SUMIFS(期初余额!$G$5:$G$64,期初余额!$B$5:$B$64,$B37)+SUMIFS(期初余额!$R$5:$R$204,期初余额!$Q$5:$Q$204,$B37,期初余额!$V$5:$V$204,"其他")+_项目汇总!$V$33+_项目汇总!$W$33+_项目汇总!$X$33+_项目汇总!$Y$33)</f>
      </c>
      <c r="W37" s="21">
        <f>IF($B37="","",SUMIFS(期初余额!$H$5:$H$64,期初余额!$B$5:$B$64,$B37)+ROUND((_项目汇总!$J$33-_项目汇总!$L$33)*(1+基础资料!$AF$6)+_项目汇总!$B$33*基础资料!$AF$7,2)+K37)</f>
      </c>
      <c r="X37" s="21">
        <f>IF($B37="","",_项目汇总!$Z$33+_项目汇总!$AA$33)</f>
      </c>
      <c r="Y37" s="21">
        <f>IF($B37="","",费用分摊!$M$51)</f>
      </c>
      <c r="Z37" s="20">
        <f t="shared" si="3"/>
      </c>
      <c r="AA37" s="22">
        <f t="shared" si="4"/>
      </c>
      <c r="AB37" s="22">
        <f t="shared" si="5"/>
      </c>
      <c r="AC37" s="22">
        <f t="shared" si="6"/>
      </c>
      <c r="AD37" s="21">
        <f>IF($B37="","",应收账款总表!$G$36)</f>
      </c>
      <c r="AE37" s="21">
        <f>IF($B37="","",应收账款总表!$I$36)</f>
      </c>
      <c r="AF37" s="96">
        <f t="shared" si="7"/>
      </c>
    </row>
    <row r="38">
      <c r="A38" s="94">
        <f>IF($B38="","",32)</f>
      </c>
      <c r="B38" s="96">
        <f>项目档案!$B$35&amp;""</f>
      </c>
      <c r="C38" s="94">
        <f>项目档案!$M$35&amp;""</f>
      </c>
      <c r="D38" s="21">
        <f>IF($B38="","",N(项目档案!$T$35))</f>
      </c>
      <c r="E38" s="21">
        <f>IF($B38="","",_项目汇总!$C$34)</f>
      </c>
      <c r="F38" s="21">
        <f>IF($B38="","",_项目汇总!$O$34)</f>
      </c>
      <c r="G38" s="21">
        <f>IF($B38="","",_项目汇总!$Q$34)</f>
      </c>
      <c r="H38" s="21">
        <f>IF($B38="","",_项目汇总!$S$34)</f>
      </c>
      <c r="I38" s="21">
        <f>IF($B38="","",_项目汇总!$U$34)</f>
      </c>
      <c r="J38" s="21">
        <f>IF($B38="","",_项目汇总!$W$34+_项目汇总!$Y$34)</f>
      </c>
      <c r="K38" s="21">
        <f>IF($B38="","",ROUND((_项目汇总!$K$34-_项目汇总!$M$34)*(1+基础资料!$AF$6)+E38*基础资料!$AF$7,2))</f>
      </c>
      <c r="L38" s="21">
        <f>IF($B38="","",_项目汇总!$AA$34)</f>
      </c>
      <c r="M38" s="21">
        <f t="shared" si="0"/>
      </c>
      <c r="N38" s="21">
        <f>IF($B38="","",费用分摊!$O$52)</f>
      </c>
      <c r="O38" s="20">
        <f t="shared" si="1"/>
      </c>
      <c r="P38" s="22">
        <f t="shared" si="2"/>
      </c>
      <c r="Q38" s="21">
        <f>IF($B38="","",SUMIFS(期初余额!$C$5:$C$64,期初余额!$B$5:$B$64,$B38)+_项目汇总!$B$34+_项目汇总!$C$34)</f>
      </c>
      <c r="R38" s="21">
        <f>IF($B38="","",SUMIFS(期初余额!$R$5:$R$204,期初余额!$Q$5:$Q$204,$B38,期初余额!$V$5:$V$204,"材料供应商")+_项目汇总!$N$34+_项目汇总!$O$34)</f>
      </c>
      <c r="S38" s="21">
        <f>IF($B38="","",SUMIFS(期初余额!$F$5:$F$64,期初余额!$B$5:$B$64,$B38)+_项目汇总!$P$34+_项目汇总!$Q$34)</f>
      </c>
      <c r="T38" s="21">
        <f>IF($B38="","",SUMIFS(期初余额!$R$5:$R$204,期初余额!$Q$5:$Q$204,$B38,期初余额!$V$5:$V$204,"分包")+_项目汇总!$R$34+_项目汇总!$S$34)</f>
      </c>
      <c r="U38" s="21">
        <f>IF($B38="","",SUMIFS(期初余额!$R$5:$R$204,期初余额!$Q$5:$Q$204,$B38,期初余额!$V$5:$V$204,"机械运输")+_项目汇总!$T$34+_项目汇总!$U$34)</f>
      </c>
      <c r="V38" s="21">
        <f>IF($B38="","",SUMIFS(期初余额!$G$5:$G$64,期初余额!$B$5:$B$64,$B38)+SUMIFS(期初余额!$R$5:$R$204,期初余额!$Q$5:$Q$204,$B38,期初余额!$V$5:$V$204,"其他")+_项目汇总!$V$34+_项目汇总!$W$34+_项目汇总!$X$34+_项目汇总!$Y$34)</f>
      </c>
      <c r="W38" s="21">
        <f>IF($B38="","",SUMIFS(期初余额!$H$5:$H$64,期初余额!$B$5:$B$64,$B38)+ROUND((_项目汇总!$J$34-_项目汇总!$L$34)*(1+基础资料!$AF$6)+_项目汇总!$B$34*基础资料!$AF$7,2)+K38)</f>
      </c>
      <c r="X38" s="21">
        <f>IF($B38="","",_项目汇总!$Z$34+_项目汇总!$AA$34)</f>
      </c>
      <c r="Y38" s="21">
        <f>IF($B38="","",费用分摊!$M$52)</f>
      </c>
      <c r="Z38" s="20">
        <f t="shared" si="3"/>
      </c>
      <c r="AA38" s="22">
        <f t="shared" si="4"/>
      </c>
      <c r="AB38" s="22">
        <f t="shared" si="5"/>
      </c>
      <c r="AC38" s="22">
        <f t="shared" si="6"/>
      </c>
      <c r="AD38" s="21">
        <f>IF($B38="","",应收账款总表!$G$37)</f>
      </c>
      <c r="AE38" s="21">
        <f>IF($B38="","",应收账款总表!$I$37)</f>
      </c>
      <c r="AF38" s="96">
        <f t="shared" si="7"/>
      </c>
    </row>
    <row r="39">
      <c r="A39" s="94">
        <f>IF($B39="","",33)</f>
      </c>
      <c r="B39" s="96">
        <f>项目档案!$B$36&amp;""</f>
      </c>
      <c r="C39" s="94">
        <f>项目档案!$M$36&amp;""</f>
      </c>
      <c r="D39" s="21">
        <f>IF($B39="","",N(项目档案!$T$36))</f>
      </c>
      <c r="E39" s="21">
        <f>IF($B39="","",_项目汇总!$C$35)</f>
      </c>
      <c r="F39" s="21">
        <f>IF($B39="","",_项目汇总!$O$35)</f>
      </c>
      <c r="G39" s="21">
        <f>IF($B39="","",_项目汇总!$Q$35)</f>
      </c>
      <c r="H39" s="21">
        <f>IF($B39="","",_项目汇总!$S$35)</f>
      </c>
      <c r="I39" s="21">
        <f>IF($B39="","",_项目汇总!$U$35)</f>
      </c>
      <c r="J39" s="21">
        <f>IF($B39="","",_项目汇总!$W$35+_项目汇总!$Y$35)</f>
      </c>
      <c r="K39" s="21">
        <f>IF($B39="","",ROUND((_项目汇总!$K$35-_项目汇总!$M$35)*(1+基础资料!$AF$6)+E39*基础资料!$AF$7,2))</f>
      </c>
      <c r="L39" s="21">
        <f>IF($B39="","",_项目汇总!$AA$35)</f>
      </c>
      <c r="M39" s="21">
        <f t="shared" si="0"/>
      </c>
      <c r="N39" s="21">
        <f>IF($B39="","",费用分摊!$O$53)</f>
      </c>
      <c r="O39" s="20">
        <f t="shared" si="1"/>
      </c>
      <c r="P39" s="22">
        <f t="shared" si="2"/>
      </c>
      <c r="Q39" s="21">
        <f>IF($B39="","",SUMIFS(期初余额!$C$5:$C$64,期初余额!$B$5:$B$64,$B39)+_项目汇总!$B$35+_项目汇总!$C$35)</f>
      </c>
      <c r="R39" s="21">
        <f>IF($B39="","",SUMIFS(期初余额!$R$5:$R$204,期初余额!$Q$5:$Q$204,$B39,期初余额!$V$5:$V$204,"材料供应商")+_项目汇总!$N$35+_项目汇总!$O$35)</f>
      </c>
      <c r="S39" s="21">
        <f>IF($B39="","",SUMIFS(期初余额!$F$5:$F$64,期初余额!$B$5:$B$64,$B39)+_项目汇总!$P$35+_项目汇总!$Q$35)</f>
      </c>
      <c r="T39" s="21">
        <f>IF($B39="","",SUMIFS(期初余额!$R$5:$R$204,期初余额!$Q$5:$Q$204,$B39,期初余额!$V$5:$V$204,"分包")+_项目汇总!$R$35+_项目汇总!$S$35)</f>
      </c>
      <c r="U39" s="21">
        <f>IF($B39="","",SUMIFS(期初余额!$R$5:$R$204,期初余额!$Q$5:$Q$204,$B39,期初余额!$V$5:$V$204,"机械运输")+_项目汇总!$T$35+_项目汇总!$U$35)</f>
      </c>
      <c r="V39" s="21">
        <f>IF($B39="","",SUMIFS(期初余额!$G$5:$G$64,期初余额!$B$5:$B$64,$B39)+SUMIFS(期初余额!$R$5:$R$204,期初余额!$Q$5:$Q$204,$B39,期初余额!$V$5:$V$204,"其他")+_项目汇总!$V$35+_项目汇总!$W$35+_项目汇总!$X$35+_项目汇总!$Y$35)</f>
      </c>
      <c r="W39" s="21">
        <f>IF($B39="","",SUMIFS(期初余额!$H$5:$H$64,期初余额!$B$5:$B$64,$B39)+ROUND((_项目汇总!$J$35-_项目汇总!$L$35)*(1+基础资料!$AF$6)+_项目汇总!$B$35*基础资料!$AF$7,2)+K39)</f>
      </c>
      <c r="X39" s="21">
        <f>IF($B39="","",_项目汇总!$Z$35+_项目汇总!$AA$35)</f>
      </c>
      <c r="Y39" s="21">
        <f>IF($B39="","",费用分摊!$M$53)</f>
      </c>
      <c r="Z39" s="20">
        <f t="shared" si="3"/>
      </c>
      <c r="AA39" s="22">
        <f t="shared" si="4"/>
      </c>
      <c r="AB39" s="22">
        <f t="shared" si="5"/>
      </c>
      <c r="AC39" s="22">
        <f t="shared" si="6"/>
      </c>
      <c r="AD39" s="21">
        <f>IF($B39="","",应收账款总表!$G$38)</f>
      </c>
      <c r="AE39" s="21">
        <f>IF($B39="","",应收账款总表!$I$38)</f>
      </c>
      <c r="AF39" s="96">
        <f t="shared" si="7"/>
      </c>
    </row>
    <row r="40">
      <c r="A40" s="94">
        <f>IF($B40="","",34)</f>
      </c>
      <c r="B40" s="96">
        <f>项目档案!$B$37&amp;""</f>
      </c>
      <c r="C40" s="94">
        <f>项目档案!$M$37&amp;""</f>
      </c>
      <c r="D40" s="21">
        <f>IF($B40="","",N(项目档案!$T$37))</f>
      </c>
      <c r="E40" s="21">
        <f>IF($B40="","",_项目汇总!$C$36)</f>
      </c>
      <c r="F40" s="21">
        <f>IF($B40="","",_项目汇总!$O$36)</f>
      </c>
      <c r="G40" s="21">
        <f>IF($B40="","",_项目汇总!$Q$36)</f>
      </c>
      <c r="H40" s="21">
        <f>IF($B40="","",_项目汇总!$S$36)</f>
      </c>
      <c r="I40" s="21">
        <f>IF($B40="","",_项目汇总!$U$36)</f>
      </c>
      <c r="J40" s="21">
        <f>IF($B40="","",_项目汇总!$W$36+_项目汇总!$Y$36)</f>
      </c>
      <c r="K40" s="21">
        <f>IF($B40="","",ROUND((_项目汇总!$K$36-_项目汇总!$M$36)*(1+基础资料!$AF$6)+E40*基础资料!$AF$7,2))</f>
      </c>
      <c r="L40" s="21">
        <f>IF($B40="","",_项目汇总!$AA$36)</f>
      </c>
      <c r="M40" s="21">
        <f t="shared" si="0"/>
      </c>
      <c r="N40" s="21">
        <f>IF($B40="","",费用分摊!$O$54)</f>
      </c>
      <c r="O40" s="20">
        <f t="shared" si="1"/>
      </c>
      <c r="P40" s="22">
        <f t="shared" si="2"/>
      </c>
      <c r="Q40" s="21">
        <f>IF($B40="","",SUMIFS(期初余额!$C$5:$C$64,期初余额!$B$5:$B$64,$B40)+_项目汇总!$B$36+_项目汇总!$C$36)</f>
      </c>
      <c r="R40" s="21">
        <f>IF($B40="","",SUMIFS(期初余额!$R$5:$R$204,期初余额!$Q$5:$Q$204,$B40,期初余额!$V$5:$V$204,"材料供应商")+_项目汇总!$N$36+_项目汇总!$O$36)</f>
      </c>
      <c r="S40" s="21">
        <f>IF($B40="","",SUMIFS(期初余额!$F$5:$F$64,期初余额!$B$5:$B$64,$B40)+_项目汇总!$P$36+_项目汇总!$Q$36)</f>
      </c>
      <c r="T40" s="21">
        <f>IF($B40="","",SUMIFS(期初余额!$R$5:$R$204,期初余额!$Q$5:$Q$204,$B40,期初余额!$V$5:$V$204,"分包")+_项目汇总!$R$36+_项目汇总!$S$36)</f>
      </c>
      <c r="U40" s="21">
        <f>IF($B40="","",SUMIFS(期初余额!$R$5:$R$204,期初余额!$Q$5:$Q$204,$B40,期初余额!$V$5:$V$204,"机械运输")+_项目汇总!$T$36+_项目汇总!$U$36)</f>
      </c>
      <c r="V40" s="21">
        <f>IF($B40="","",SUMIFS(期初余额!$G$5:$G$64,期初余额!$B$5:$B$64,$B40)+SUMIFS(期初余额!$R$5:$R$204,期初余额!$Q$5:$Q$204,$B40,期初余额!$V$5:$V$204,"其他")+_项目汇总!$V$36+_项目汇总!$W$36+_项目汇总!$X$36+_项目汇总!$Y$36)</f>
      </c>
      <c r="W40" s="21">
        <f>IF($B40="","",SUMIFS(期初余额!$H$5:$H$64,期初余额!$B$5:$B$64,$B40)+ROUND((_项目汇总!$J$36-_项目汇总!$L$36)*(1+基础资料!$AF$6)+_项目汇总!$B$36*基础资料!$AF$7,2)+K40)</f>
      </c>
      <c r="X40" s="21">
        <f>IF($B40="","",_项目汇总!$Z$36+_项目汇总!$AA$36)</f>
      </c>
      <c r="Y40" s="21">
        <f>IF($B40="","",费用分摊!$M$54)</f>
      </c>
      <c r="Z40" s="20">
        <f t="shared" si="3"/>
      </c>
      <c r="AA40" s="22">
        <f t="shared" si="4"/>
      </c>
      <c r="AB40" s="22">
        <f t="shared" si="5"/>
      </c>
      <c r="AC40" s="22">
        <f t="shared" si="6"/>
      </c>
      <c r="AD40" s="21">
        <f>IF($B40="","",应收账款总表!$G$39)</f>
      </c>
      <c r="AE40" s="21">
        <f>IF($B40="","",应收账款总表!$I$39)</f>
      </c>
      <c r="AF40" s="96">
        <f t="shared" si="7"/>
      </c>
    </row>
    <row r="41">
      <c r="A41" s="94">
        <f>IF($B41="","",35)</f>
      </c>
      <c r="B41" s="96">
        <f>项目档案!$B$38&amp;""</f>
      </c>
      <c r="C41" s="94">
        <f>项目档案!$M$38&amp;""</f>
      </c>
      <c r="D41" s="21">
        <f>IF($B41="","",N(项目档案!$T$38))</f>
      </c>
      <c r="E41" s="21">
        <f>IF($B41="","",_项目汇总!$C$37)</f>
      </c>
      <c r="F41" s="21">
        <f>IF($B41="","",_项目汇总!$O$37)</f>
      </c>
      <c r="G41" s="21">
        <f>IF($B41="","",_项目汇总!$Q$37)</f>
      </c>
      <c r="H41" s="21">
        <f>IF($B41="","",_项目汇总!$S$37)</f>
      </c>
      <c r="I41" s="21">
        <f>IF($B41="","",_项目汇总!$U$37)</f>
      </c>
      <c r="J41" s="21">
        <f>IF($B41="","",_项目汇总!$W$37+_项目汇总!$Y$37)</f>
      </c>
      <c r="K41" s="21">
        <f>IF($B41="","",ROUND((_项目汇总!$K$37-_项目汇总!$M$37)*(1+基础资料!$AF$6)+E41*基础资料!$AF$7,2))</f>
      </c>
      <c r="L41" s="21">
        <f>IF($B41="","",_项目汇总!$AA$37)</f>
      </c>
      <c r="M41" s="21">
        <f t="shared" si="0"/>
      </c>
      <c r="N41" s="21">
        <f>IF($B41="","",费用分摊!$O$55)</f>
      </c>
      <c r="O41" s="20">
        <f t="shared" si="1"/>
      </c>
      <c r="P41" s="22">
        <f t="shared" si="2"/>
      </c>
      <c r="Q41" s="21">
        <f>IF($B41="","",SUMIFS(期初余额!$C$5:$C$64,期初余额!$B$5:$B$64,$B41)+_项目汇总!$B$37+_项目汇总!$C$37)</f>
      </c>
      <c r="R41" s="21">
        <f>IF($B41="","",SUMIFS(期初余额!$R$5:$R$204,期初余额!$Q$5:$Q$204,$B41,期初余额!$V$5:$V$204,"材料供应商")+_项目汇总!$N$37+_项目汇总!$O$37)</f>
      </c>
      <c r="S41" s="21">
        <f>IF($B41="","",SUMIFS(期初余额!$F$5:$F$64,期初余额!$B$5:$B$64,$B41)+_项目汇总!$P$37+_项目汇总!$Q$37)</f>
      </c>
      <c r="T41" s="21">
        <f>IF($B41="","",SUMIFS(期初余额!$R$5:$R$204,期初余额!$Q$5:$Q$204,$B41,期初余额!$V$5:$V$204,"分包")+_项目汇总!$R$37+_项目汇总!$S$37)</f>
      </c>
      <c r="U41" s="21">
        <f>IF($B41="","",SUMIFS(期初余额!$R$5:$R$204,期初余额!$Q$5:$Q$204,$B41,期初余额!$V$5:$V$204,"机械运输")+_项目汇总!$T$37+_项目汇总!$U$37)</f>
      </c>
      <c r="V41" s="21">
        <f>IF($B41="","",SUMIFS(期初余额!$G$5:$G$64,期初余额!$B$5:$B$64,$B41)+SUMIFS(期初余额!$R$5:$R$204,期初余额!$Q$5:$Q$204,$B41,期初余额!$V$5:$V$204,"其他")+_项目汇总!$V$37+_项目汇总!$W$37+_项目汇总!$X$37+_项目汇总!$Y$37)</f>
      </c>
      <c r="W41" s="21">
        <f>IF($B41="","",SUMIFS(期初余额!$H$5:$H$64,期初余额!$B$5:$B$64,$B41)+ROUND((_项目汇总!$J$37-_项目汇总!$L$37)*(1+基础资料!$AF$6)+_项目汇总!$B$37*基础资料!$AF$7,2)+K41)</f>
      </c>
      <c r="X41" s="21">
        <f>IF($B41="","",_项目汇总!$Z$37+_项目汇总!$AA$37)</f>
      </c>
      <c r="Y41" s="21">
        <f>IF($B41="","",费用分摊!$M$55)</f>
      </c>
      <c r="Z41" s="20">
        <f t="shared" si="3"/>
      </c>
      <c r="AA41" s="22">
        <f t="shared" si="4"/>
      </c>
      <c r="AB41" s="22">
        <f t="shared" si="5"/>
      </c>
      <c r="AC41" s="22">
        <f t="shared" si="6"/>
      </c>
      <c r="AD41" s="21">
        <f>IF($B41="","",应收账款总表!$G$40)</f>
      </c>
      <c r="AE41" s="21">
        <f>IF($B41="","",应收账款总表!$I$40)</f>
      </c>
      <c r="AF41" s="96">
        <f t="shared" si="7"/>
      </c>
    </row>
    <row r="42">
      <c r="A42" s="94">
        <f>IF($B42="","",36)</f>
      </c>
      <c r="B42" s="96">
        <f>项目档案!$B$39&amp;""</f>
      </c>
      <c r="C42" s="94">
        <f>项目档案!$M$39&amp;""</f>
      </c>
      <c r="D42" s="21">
        <f>IF($B42="","",N(项目档案!$T$39))</f>
      </c>
      <c r="E42" s="21">
        <f>IF($B42="","",_项目汇总!$C$38)</f>
      </c>
      <c r="F42" s="21">
        <f>IF($B42="","",_项目汇总!$O$38)</f>
      </c>
      <c r="G42" s="21">
        <f>IF($B42="","",_项目汇总!$Q$38)</f>
      </c>
      <c r="H42" s="21">
        <f>IF($B42="","",_项目汇总!$S$38)</f>
      </c>
      <c r="I42" s="21">
        <f>IF($B42="","",_项目汇总!$U$38)</f>
      </c>
      <c r="J42" s="21">
        <f>IF($B42="","",_项目汇总!$W$38+_项目汇总!$Y$38)</f>
      </c>
      <c r="K42" s="21">
        <f>IF($B42="","",ROUND((_项目汇总!$K$38-_项目汇总!$M$38)*(1+基础资料!$AF$6)+E42*基础资料!$AF$7,2))</f>
      </c>
      <c r="L42" s="21">
        <f>IF($B42="","",_项目汇总!$AA$38)</f>
      </c>
      <c r="M42" s="21">
        <f t="shared" si="0"/>
      </c>
      <c r="N42" s="21">
        <f>IF($B42="","",费用分摊!$O$56)</f>
      </c>
      <c r="O42" s="20">
        <f t="shared" si="1"/>
      </c>
      <c r="P42" s="22">
        <f t="shared" si="2"/>
      </c>
      <c r="Q42" s="21">
        <f>IF($B42="","",SUMIFS(期初余额!$C$5:$C$64,期初余额!$B$5:$B$64,$B42)+_项目汇总!$B$38+_项目汇总!$C$38)</f>
      </c>
      <c r="R42" s="21">
        <f>IF($B42="","",SUMIFS(期初余额!$R$5:$R$204,期初余额!$Q$5:$Q$204,$B42,期初余额!$V$5:$V$204,"材料供应商")+_项目汇总!$N$38+_项目汇总!$O$38)</f>
      </c>
      <c r="S42" s="21">
        <f>IF($B42="","",SUMIFS(期初余额!$F$5:$F$64,期初余额!$B$5:$B$64,$B42)+_项目汇总!$P$38+_项目汇总!$Q$38)</f>
      </c>
      <c r="T42" s="21">
        <f>IF($B42="","",SUMIFS(期初余额!$R$5:$R$204,期初余额!$Q$5:$Q$204,$B42,期初余额!$V$5:$V$204,"分包")+_项目汇总!$R$38+_项目汇总!$S$38)</f>
      </c>
      <c r="U42" s="21">
        <f>IF($B42="","",SUMIFS(期初余额!$R$5:$R$204,期初余额!$Q$5:$Q$204,$B42,期初余额!$V$5:$V$204,"机械运输")+_项目汇总!$T$38+_项目汇总!$U$38)</f>
      </c>
      <c r="V42" s="21">
        <f>IF($B42="","",SUMIFS(期初余额!$G$5:$G$64,期初余额!$B$5:$B$64,$B42)+SUMIFS(期初余额!$R$5:$R$204,期初余额!$Q$5:$Q$204,$B42,期初余额!$V$5:$V$204,"其他")+_项目汇总!$V$38+_项目汇总!$W$38+_项目汇总!$X$38+_项目汇总!$Y$38)</f>
      </c>
      <c r="W42" s="21">
        <f>IF($B42="","",SUMIFS(期初余额!$H$5:$H$64,期初余额!$B$5:$B$64,$B42)+ROUND((_项目汇总!$J$38-_项目汇总!$L$38)*(1+基础资料!$AF$6)+_项目汇总!$B$38*基础资料!$AF$7,2)+K42)</f>
      </c>
      <c r="X42" s="21">
        <f>IF($B42="","",_项目汇总!$Z$38+_项目汇总!$AA$38)</f>
      </c>
      <c r="Y42" s="21">
        <f>IF($B42="","",费用分摊!$M$56)</f>
      </c>
      <c r="Z42" s="20">
        <f t="shared" si="3"/>
      </c>
      <c r="AA42" s="22">
        <f t="shared" si="4"/>
      </c>
      <c r="AB42" s="22">
        <f t="shared" si="5"/>
      </c>
      <c r="AC42" s="22">
        <f t="shared" si="6"/>
      </c>
      <c r="AD42" s="21">
        <f>IF($B42="","",应收账款总表!$G$41)</f>
      </c>
      <c r="AE42" s="21">
        <f>IF($B42="","",应收账款总表!$I$41)</f>
      </c>
      <c r="AF42" s="96">
        <f t="shared" si="7"/>
      </c>
    </row>
    <row r="43">
      <c r="A43" s="94">
        <f>IF($B43="","",37)</f>
      </c>
      <c r="B43" s="96">
        <f>项目档案!$B$40&amp;""</f>
      </c>
      <c r="C43" s="94">
        <f>项目档案!$M$40&amp;""</f>
      </c>
      <c r="D43" s="21">
        <f>IF($B43="","",N(项目档案!$T$40))</f>
      </c>
      <c r="E43" s="21">
        <f>IF($B43="","",_项目汇总!$C$39)</f>
      </c>
      <c r="F43" s="21">
        <f>IF($B43="","",_项目汇总!$O$39)</f>
      </c>
      <c r="G43" s="21">
        <f>IF($B43="","",_项目汇总!$Q$39)</f>
      </c>
      <c r="H43" s="21">
        <f>IF($B43="","",_项目汇总!$S$39)</f>
      </c>
      <c r="I43" s="21">
        <f>IF($B43="","",_项目汇总!$U$39)</f>
      </c>
      <c r="J43" s="21">
        <f>IF($B43="","",_项目汇总!$W$39+_项目汇总!$Y$39)</f>
      </c>
      <c r="K43" s="21">
        <f>IF($B43="","",ROUND((_项目汇总!$K$39-_项目汇总!$M$39)*(1+基础资料!$AF$6)+E43*基础资料!$AF$7,2))</f>
      </c>
      <c r="L43" s="21">
        <f>IF($B43="","",_项目汇总!$AA$39)</f>
      </c>
      <c r="M43" s="21">
        <f t="shared" si="0"/>
      </c>
      <c r="N43" s="21">
        <f>IF($B43="","",费用分摊!$O$57)</f>
      </c>
      <c r="O43" s="20">
        <f t="shared" si="1"/>
      </c>
      <c r="P43" s="22">
        <f t="shared" si="2"/>
      </c>
      <c r="Q43" s="21">
        <f>IF($B43="","",SUMIFS(期初余额!$C$5:$C$64,期初余额!$B$5:$B$64,$B43)+_项目汇总!$B$39+_项目汇总!$C$39)</f>
      </c>
      <c r="R43" s="21">
        <f>IF($B43="","",SUMIFS(期初余额!$R$5:$R$204,期初余额!$Q$5:$Q$204,$B43,期初余额!$V$5:$V$204,"材料供应商")+_项目汇总!$N$39+_项目汇总!$O$39)</f>
      </c>
      <c r="S43" s="21">
        <f>IF($B43="","",SUMIFS(期初余额!$F$5:$F$64,期初余额!$B$5:$B$64,$B43)+_项目汇总!$P$39+_项目汇总!$Q$39)</f>
      </c>
      <c r="T43" s="21">
        <f>IF($B43="","",SUMIFS(期初余额!$R$5:$R$204,期初余额!$Q$5:$Q$204,$B43,期初余额!$V$5:$V$204,"分包")+_项目汇总!$R$39+_项目汇总!$S$39)</f>
      </c>
      <c r="U43" s="21">
        <f>IF($B43="","",SUMIFS(期初余额!$R$5:$R$204,期初余额!$Q$5:$Q$204,$B43,期初余额!$V$5:$V$204,"机械运输")+_项目汇总!$T$39+_项目汇总!$U$39)</f>
      </c>
      <c r="V43" s="21">
        <f>IF($B43="","",SUMIFS(期初余额!$G$5:$G$64,期初余额!$B$5:$B$64,$B43)+SUMIFS(期初余额!$R$5:$R$204,期初余额!$Q$5:$Q$204,$B43,期初余额!$V$5:$V$204,"其他")+_项目汇总!$V$39+_项目汇总!$W$39+_项目汇总!$X$39+_项目汇总!$Y$39)</f>
      </c>
      <c r="W43" s="21">
        <f>IF($B43="","",SUMIFS(期初余额!$H$5:$H$64,期初余额!$B$5:$B$64,$B43)+ROUND((_项目汇总!$J$39-_项目汇总!$L$39)*(1+基础资料!$AF$6)+_项目汇总!$B$39*基础资料!$AF$7,2)+K43)</f>
      </c>
      <c r="X43" s="21">
        <f>IF($B43="","",_项目汇总!$Z$39+_项目汇总!$AA$39)</f>
      </c>
      <c r="Y43" s="21">
        <f>IF($B43="","",费用分摊!$M$57)</f>
      </c>
      <c r="Z43" s="20">
        <f t="shared" si="3"/>
      </c>
      <c r="AA43" s="22">
        <f t="shared" si="4"/>
      </c>
      <c r="AB43" s="22">
        <f t="shared" si="5"/>
      </c>
      <c r="AC43" s="22">
        <f t="shared" si="6"/>
      </c>
      <c r="AD43" s="21">
        <f>IF($B43="","",应收账款总表!$G$42)</f>
      </c>
      <c r="AE43" s="21">
        <f>IF($B43="","",应收账款总表!$I$42)</f>
      </c>
      <c r="AF43" s="96">
        <f t="shared" si="7"/>
      </c>
    </row>
    <row r="44">
      <c r="A44" s="94">
        <f>IF($B44="","",38)</f>
      </c>
      <c r="B44" s="96">
        <f>项目档案!$B$41&amp;""</f>
      </c>
      <c r="C44" s="94">
        <f>项目档案!$M$41&amp;""</f>
      </c>
      <c r="D44" s="21">
        <f>IF($B44="","",N(项目档案!$T$41))</f>
      </c>
      <c r="E44" s="21">
        <f>IF($B44="","",_项目汇总!$C$40)</f>
      </c>
      <c r="F44" s="21">
        <f>IF($B44="","",_项目汇总!$O$40)</f>
      </c>
      <c r="G44" s="21">
        <f>IF($B44="","",_项目汇总!$Q$40)</f>
      </c>
      <c r="H44" s="21">
        <f>IF($B44="","",_项目汇总!$S$40)</f>
      </c>
      <c r="I44" s="21">
        <f>IF($B44="","",_项目汇总!$U$40)</f>
      </c>
      <c r="J44" s="21">
        <f>IF($B44="","",_项目汇总!$W$40+_项目汇总!$Y$40)</f>
      </c>
      <c r="K44" s="21">
        <f>IF($B44="","",ROUND((_项目汇总!$K$40-_项目汇总!$M$40)*(1+基础资料!$AF$6)+E44*基础资料!$AF$7,2))</f>
      </c>
      <c r="L44" s="21">
        <f>IF($B44="","",_项目汇总!$AA$40)</f>
      </c>
      <c r="M44" s="21">
        <f t="shared" si="0"/>
      </c>
      <c r="N44" s="21">
        <f>IF($B44="","",费用分摊!$O$58)</f>
      </c>
      <c r="O44" s="20">
        <f t="shared" si="1"/>
      </c>
      <c r="P44" s="22">
        <f t="shared" si="2"/>
      </c>
      <c r="Q44" s="21">
        <f>IF($B44="","",SUMIFS(期初余额!$C$5:$C$64,期初余额!$B$5:$B$64,$B44)+_项目汇总!$B$40+_项目汇总!$C$40)</f>
      </c>
      <c r="R44" s="21">
        <f>IF($B44="","",SUMIFS(期初余额!$R$5:$R$204,期初余额!$Q$5:$Q$204,$B44,期初余额!$V$5:$V$204,"材料供应商")+_项目汇总!$N$40+_项目汇总!$O$40)</f>
      </c>
      <c r="S44" s="21">
        <f>IF($B44="","",SUMIFS(期初余额!$F$5:$F$64,期初余额!$B$5:$B$64,$B44)+_项目汇总!$P$40+_项目汇总!$Q$40)</f>
      </c>
      <c r="T44" s="21">
        <f>IF($B44="","",SUMIFS(期初余额!$R$5:$R$204,期初余额!$Q$5:$Q$204,$B44,期初余额!$V$5:$V$204,"分包")+_项目汇总!$R$40+_项目汇总!$S$40)</f>
      </c>
      <c r="U44" s="21">
        <f>IF($B44="","",SUMIFS(期初余额!$R$5:$R$204,期初余额!$Q$5:$Q$204,$B44,期初余额!$V$5:$V$204,"机械运输")+_项目汇总!$T$40+_项目汇总!$U$40)</f>
      </c>
      <c r="V44" s="21">
        <f>IF($B44="","",SUMIFS(期初余额!$G$5:$G$64,期初余额!$B$5:$B$64,$B44)+SUMIFS(期初余额!$R$5:$R$204,期初余额!$Q$5:$Q$204,$B44,期初余额!$V$5:$V$204,"其他")+_项目汇总!$V$40+_项目汇总!$W$40+_项目汇总!$X$40+_项目汇总!$Y$40)</f>
      </c>
      <c r="W44" s="21">
        <f>IF($B44="","",SUMIFS(期初余额!$H$5:$H$64,期初余额!$B$5:$B$64,$B44)+ROUND((_项目汇总!$J$40-_项目汇总!$L$40)*(1+基础资料!$AF$6)+_项目汇总!$B$40*基础资料!$AF$7,2)+K44)</f>
      </c>
      <c r="X44" s="21">
        <f>IF($B44="","",_项目汇总!$Z$40+_项目汇总!$AA$40)</f>
      </c>
      <c r="Y44" s="21">
        <f>IF($B44="","",费用分摊!$M$58)</f>
      </c>
      <c r="Z44" s="20">
        <f t="shared" si="3"/>
      </c>
      <c r="AA44" s="22">
        <f t="shared" si="4"/>
      </c>
      <c r="AB44" s="22">
        <f t="shared" si="5"/>
      </c>
      <c r="AC44" s="22">
        <f t="shared" si="6"/>
      </c>
      <c r="AD44" s="21">
        <f>IF($B44="","",应收账款总表!$G$43)</f>
      </c>
      <c r="AE44" s="21">
        <f>IF($B44="","",应收账款总表!$I$43)</f>
      </c>
      <c r="AF44" s="96">
        <f t="shared" si="7"/>
      </c>
    </row>
    <row r="45">
      <c r="A45" s="94">
        <f>IF($B45="","",39)</f>
      </c>
      <c r="B45" s="96">
        <f>项目档案!$B$42&amp;""</f>
      </c>
      <c r="C45" s="94">
        <f>项目档案!$M$42&amp;""</f>
      </c>
      <c r="D45" s="21">
        <f>IF($B45="","",N(项目档案!$T$42))</f>
      </c>
      <c r="E45" s="21">
        <f>IF($B45="","",_项目汇总!$C$41)</f>
      </c>
      <c r="F45" s="21">
        <f>IF($B45="","",_项目汇总!$O$41)</f>
      </c>
      <c r="G45" s="21">
        <f>IF($B45="","",_项目汇总!$Q$41)</f>
      </c>
      <c r="H45" s="21">
        <f>IF($B45="","",_项目汇总!$S$41)</f>
      </c>
      <c r="I45" s="21">
        <f>IF($B45="","",_项目汇总!$U$41)</f>
      </c>
      <c r="J45" s="21">
        <f>IF($B45="","",_项目汇总!$W$41+_项目汇总!$Y$41)</f>
      </c>
      <c r="K45" s="21">
        <f>IF($B45="","",ROUND((_项目汇总!$K$41-_项目汇总!$M$41)*(1+基础资料!$AF$6)+E45*基础资料!$AF$7,2))</f>
      </c>
      <c r="L45" s="21">
        <f>IF($B45="","",_项目汇总!$AA$41)</f>
      </c>
      <c r="M45" s="21">
        <f t="shared" si="0"/>
      </c>
      <c r="N45" s="21">
        <f>IF($B45="","",费用分摊!$O$59)</f>
      </c>
      <c r="O45" s="20">
        <f t="shared" si="1"/>
      </c>
      <c r="P45" s="22">
        <f t="shared" si="2"/>
      </c>
      <c r="Q45" s="21">
        <f>IF($B45="","",SUMIFS(期初余额!$C$5:$C$64,期初余额!$B$5:$B$64,$B45)+_项目汇总!$B$41+_项目汇总!$C$41)</f>
      </c>
      <c r="R45" s="21">
        <f>IF($B45="","",SUMIFS(期初余额!$R$5:$R$204,期初余额!$Q$5:$Q$204,$B45,期初余额!$V$5:$V$204,"材料供应商")+_项目汇总!$N$41+_项目汇总!$O$41)</f>
      </c>
      <c r="S45" s="21">
        <f>IF($B45="","",SUMIFS(期初余额!$F$5:$F$64,期初余额!$B$5:$B$64,$B45)+_项目汇总!$P$41+_项目汇总!$Q$41)</f>
      </c>
      <c r="T45" s="21">
        <f>IF($B45="","",SUMIFS(期初余额!$R$5:$R$204,期初余额!$Q$5:$Q$204,$B45,期初余额!$V$5:$V$204,"分包")+_项目汇总!$R$41+_项目汇总!$S$41)</f>
      </c>
      <c r="U45" s="21">
        <f>IF($B45="","",SUMIFS(期初余额!$R$5:$R$204,期初余额!$Q$5:$Q$204,$B45,期初余额!$V$5:$V$204,"机械运输")+_项目汇总!$T$41+_项目汇总!$U$41)</f>
      </c>
      <c r="V45" s="21">
        <f>IF($B45="","",SUMIFS(期初余额!$G$5:$G$64,期初余额!$B$5:$B$64,$B45)+SUMIFS(期初余额!$R$5:$R$204,期初余额!$Q$5:$Q$204,$B45,期初余额!$V$5:$V$204,"其他")+_项目汇总!$V$41+_项目汇总!$W$41+_项目汇总!$X$41+_项目汇总!$Y$41)</f>
      </c>
      <c r="W45" s="21">
        <f>IF($B45="","",SUMIFS(期初余额!$H$5:$H$64,期初余额!$B$5:$B$64,$B45)+ROUND((_项目汇总!$J$41-_项目汇总!$L$41)*(1+基础资料!$AF$6)+_项目汇总!$B$41*基础资料!$AF$7,2)+K45)</f>
      </c>
      <c r="X45" s="21">
        <f>IF($B45="","",_项目汇总!$Z$41+_项目汇总!$AA$41)</f>
      </c>
      <c r="Y45" s="21">
        <f>IF($B45="","",费用分摊!$M$59)</f>
      </c>
      <c r="Z45" s="20">
        <f t="shared" si="3"/>
      </c>
      <c r="AA45" s="22">
        <f t="shared" si="4"/>
      </c>
      <c r="AB45" s="22">
        <f t="shared" si="5"/>
      </c>
      <c r="AC45" s="22">
        <f t="shared" si="6"/>
      </c>
      <c r="AD45" s="21">
        <f>IF($B45="","",应收账款总表!$G$44)</f>
      </c>
      <c r="AE45" s="21">
        <f>IF($B45="","",应收账款总表!$I$44)</f>
      </c>
      <c r="AF45" s="96">
        <f t="shared" si="7"/>
      </c>
    </row>
    <row r="46">
      <c r="A46" s="94">
        <f>IF($B46="","",40)</f>
      </c>
      <c r="B46" s="96">
        <f>项目档案!$B$43&amp;""</f>
      </c>
      <c r="C46" s="94">
        <f>项目档案!$M$43&amp;""</f>
      </c>
      <c r="D46" s="21">
        <f>IF($B46="","",N(项目档案!$T$43))</f>
      </c>
      <c r="E46" s="21">
        <f>IF($B46="","",_项目汇总!$C$42)</f>
      </c>
      <c r="F46" s="21">
        <f>IF($B46="","",_项目汇总!$O$42)</f>
      </c>
      <c r="G46" s="21">
        <f>IF($B46="","",_项目汇总!$Q$42)</f>
      </c>
      <c r="H46" s="21">
        <f>IF($B46="","",_项目汇总!$S$42)</f>
      </c>
      <c r="I46" s="21">
        <f>IF($B46="","",_项目汇总!$U$42)</f>
      </c>
      <c r="J46" s="21">
        <f>IF($B46="","",_项目汇总!$W$42+_项目汇总!$Y$42)</f>
      </c>
      <c r="K46" s="21">
        <f>IF($B46="","",ROUND((_项目汇总!$K$42-_项目汇总!$M$42)*(1+基础资料!$AF$6)+E46*基础资料!$AF$7,2))</f>
      </c>
      <c r="L46" s="21">
        <f>IF($B46="","",_项目汇总!$AA$42)</f>
      </c>
      <c r="M46" s="21">
        <f t="shared" si="0"/>
      </c>
      <c r="N46" s="21">
        <f>IF($B46="","",费用分摊!$O$60)</f>
      </c>
      <c r="O46" s="20">
        <f t="shared" si="1"/>
      </c>
      <c r="P46" s="22">
        <f t="shared" si="2"/>
      </c>
      <c r="Q46" s="21">
        <f>IF($B46="","",SUMIFS(期初余额!$C$5:$C$64,期初余额!$B$5:$B$64,$B46)+_项目汇总!$B$42+_项目汇总!$C$42)</f>
      </c>
      <c r="R46" s="21">
        <f>IF($B46="","",SUMIFS(期初余额!$R$5:$R$204,期初余额!$Q$5:$Q$204,$B46,期初余额!$V$5:$V$204,"材料供应商")+_项目汇总!$N$42+_项目汇总!$O$42)</f>
      </c>
      <c r="S46" s="21">
        <f>IF($B46="","",SUMIFS(期初余额!$F$5:$F$64,期初余额!$B$5:$B$64,$B46)+_项目汇总!$P$42+_项目汇总!$Q$42)</f>
      </c>
      <c r="T46" s="21">
        <f>IF($B46="","",SUMIFS(期初余额!$R$5:$R$204,期初余额!$Q$5:$Q$204,$B46,期初余额!$V$5:$V$204,"分包")+_项目汇总!$R$42+_项目汇总!$S$42)</f>
      </c>
      <c r="U46" s="21">
        <f>IF($B46="","",SUMIFS(期初余额!$R$5:$R$204,期初余额!$Q$5:$Q$204,$B46,期初余额!$V$5:$V$204,"机械运输")+_项目汇总!$T$42+_项目汇总!$U$42)</f>
      </c>
      <c r="V46" s="21">
        <f>IF($B46="","",SUMIFS(期初余额!$G$5:$G$64,期初余额!$B$5:$B$64,$B46)+SUMIFS(期初余额!$R$5:$R$204,期初余额!$Q$5:$Q$204,$B46,期初余额!$V$5:$V$204,"其他")+_项目汇总!$V$42+_项目汇总!$W$42+_项目汇总!$X$42+_项目汇总!$Y$42)</f>
      </c>
      <c r="W46" s="21">
        <f>IF($B46="","",SUMIFS(期初余额!$H$5:$H$64,期初余额!$B$5:$B$64,$B46)+ROUND((_项目汇总!$J$42-_项目汇总!$L$42)*(1+基础资料!$AF$6)+_项目汇总!$B$42*基础资料!$AF$7,2)+K46)</f>
      </c>
      <c r="X46" s="21">
        <f>IF($B46="","",_项目汇总!$Z$42+_项目汇总!$AA$42)</f>
      </c>
      <c r="Y46" s="21">
        <f>IF($B46="","",费用分摊!$M$60)</f>
      </c>
      <c r="Z46" s="20">
        <f t="shared" si="3"/>
      </c>
      <c r="AA46" s="22">
        <f t="shared" si="4"/>
      </c>
      <c r="AB46" s="22">
        <f t="shared" si="5"/>
      </c>
      <c r="AC46" s="22">
        <f t="shared" si="6"/>
      </c>
      <c r="AD46" s="21">
        <f>IF($B46="","",应收账款总表!$G$45)</f>
      </c>
      <c r="AE46" s="21">
        <f>IF($B46="","",应收账款总表!$I$45)</f>
      </c>
      <c r="AF46" s="96">
        <f t="shared" si="7"/>
      </c>
    </row>
    <row r="47">
      <c r="A47" s="94">
        <f>IF($B47="","",41)</f>
      </c>
      <c r="B47" s="96">
        <f>项目档案!$B$44&amp;""</f>
      </c>
      <c r="C47" s="94">
        <f>项目档案!$M$44&amp;""</f>
      </c>
      <c r="D47" s="21">
        <f>IF($B47="","",N(项目档案!$T$44))</f>
      </c>
      <c r="E47" s="21">
        <f>IF($B47="","",_项目汇总!$C$43)</f>
      </c>
      <c r="F47" s="21">
        <f>IF($B47="","",_项目汇总!$O$43)</f>
      </c>
      <c r="G47" s="21">
        <f>IF($B47="","",_项目汇总!$Q$43)</f>
      </c>
      <c r="H47" s="21">
        <f>IF($B47="","",_项目汇总!$S$43)</f>
      </c>
      <c r="I47" s="21">
        <f>IF($B47="","",_项目汇总!$U$43)</f>
      </c>
      <c r="J47" s="21">
        <f>IF($B47="","",_项目汇总!$W$43+_项目汇总!$Y$43)</f>
      </c>
      <c r="K47" s="21">
        <f>IF($B47="","",ROUND((_项目汇总!$K$43-_项目汇总!$M$43)*(1+基础资料!$AF$6)+E47*基础资料!$AF$7,2))</f>
      </c>
      <c r="L47" s="21">
        <f>IF($B47="","",_项目汇总!$AA$43)</f>
      </c>
      <c r="M47" s="21">
        <f t="shared" si="0"/>
      </c>
      <c r="N47" s="21">
        <f>IF($B47="","",费用分摊!$O$61)</f>
      </c>
      <c r="O47" s="20">
        <f t="shared" si="1"/>
      </c>
      <c r="P47" s="22">
        <f t="shared" si="2"/>
      </c>
      <c r="Q47" s="21">
        <f>IF($B47="","",SUMIFS(期初余额!$C$5:$C$64,期初余额!$B$5:$B$64,$B47)+_项目汇总!$B$43+_项目汇总!$C$43)</f>
      </c>
      <c r="R47" s="21">
        <f>IF($B47="","",SUMIFS(期初余额!$R$5:$R$204,期初余额!$Q$5:$Q$204,$B47,期初余额!$V$5:$V$204,"材料供应商")+_项目汇总!$N$43+_项目汇总!$O$43)</f>
      </c>
      <c r="S47" s="21">
        <f>IF($B47="","",SUMIFS(期初余额!$F$5:$F$64,期初余额!$B$5:$B$64,$B47)+_项目汇总!$P$43+_项目汇总!$Q$43)</f>
      </c>
      <c r="T47" s="21">
        <f>IF($B47="","",SUMIFS(期初余额!$R$5:$R$204,期初余额!$Q$5:$Q$204,$B47,期初余额!$V$5:$V$204,"分包")+_项目汇总!$R$43+_项目汇总!$S$43)</f>
      </c>
      <c r="U47" s="21">
        <f>IF($B47="","",SUMIFS(期初余额!$R$5:$R$204,期初余额!$Q$5:$Q$204,$B47,期初余额!$V$5:$V$204,"机械运输")+_项目汇总!$T$43+_项目汇总!$U$43)</f>
      </c>
      <c r="V47" s="21">
        <f>IF($B47="","",SUMIFS(期初余额!$G$5:$G$64,期初余额!$B$5:$B$64,$B47)+SUMIFS(期初余额!$R$5:$R$204,期初余额!$Q$5:$Q$204,$B47,期初余额!$V$5:$V$204,"其他")+_项目汇总!$V$43+_项目汇总!$W$43+_项目汇总!$X$43+_项目汇总!$Y$43)</f>
      </c>
      <c r="W47" s="21">
        <f>IF($B47="","",SUMIFS(期初余额!$H$5:$H$64,期初余额!$B$5:$B$64,$B47)+ROUND((_项目汇总!$J$43-_项目汇总!$L$43)*(1+基础资料!$AF$6)+_项目汇总!$B$43*基础资料!$AF$7,2)+K47)</f>
      </c>
      <c r="X47" s="21">
        <f>IF($B47="","",_项目汇总!$Z$43+_项目汇总!$AA$43)</f>
      </c>
      <c r="Y47" s="21">
        <f>IF($B47="","",费用分摊!$M$61)</f>
      </c>
      <c r="Z47" s="20">
        <f t="shared" si="3"/>
      </c>
      <c r="AA47" s="22">
        <f t="shared" si="4"/>
      </c>
      <c r="AB47" s="22">
        <f t="shared" si="5"/>
      </c>
      <c r="AC47" s="22">
        <f t="shared" si="6"/>
      </c>
      <c r="AD47" s="21">
        <f>IF($B47="","",应收账款总表!$G$46)</f>
      </c>
      <c r="AE47" s="21">
        <f>IF($B47="","",应收账款总表!$I$46)</f>
      </c>
      <c r="AF47" s="96">
        <f t="shared" si="7"/>
      </c>
    </row>
    <row r="48">
      <c r="A48" s="94">
        <f>IF($B48="","",42)</f>
      </c>
      <c r="B48" s="96">
        <f>项目档案!$B$45&amp;""</f>
      </c>
      <c r="C48" s="94">
        <f>项目档案!$M$45&amp;""</f>
      </c>
      <c r="D48" s="21">
        <f>IF($B48="","",N(项目档案!$T$45))</f>
      </c>
      <c r="E48" s="21">
        <f>IF($B48="","",_项目汇总!$C$44)</f>
      </c>
      <c r="F48" s="21">
        <f>IF($B48="","",_项目汇总!$O$44)</f>
      </c>
      <c r="G48" s="21">
        <f>IF($B48="","",_项目汇总!$Q$44)</f>
      </c>
      <c r="H48" s="21">
        <f>IF($B48="","",_项目汇总!$S$44)</f>
      </c>
      <c r="I48" s="21">
        <f>IF($B48="","",_项目汇总!$U$44)</f>
      </c>
      <c r="J48" s="21">
        <f>IF($B48="","",_项目汇总!$W$44+_项目汇总!$Y$44)</f>
      </c>
      <c r="K48" s="21">
        <f>IF($B48="","",ROUND((_项目汇总!$K$44-_项目汇总!$M$44)*(1+基础资料!$AF$6)+E48*基础资料!$AF$7,2))</f>
      </c>
      <c r="L48" s="21">
        <f>IF($B48="","",_项目汇总!$AA$44)</f>
      </c>
      <c r="M48" s="21">
        <f t="shared" si="0"/>
      </c>
      <c r="N48" s="21">
        <f>IF($B48="","",费用分摊!$O$62)</f>
      </c>
      <c r="O48" s="20">
        <f t="shared" si="1"/>
      </c>
      <c r="P48" s="22">
        <f t="shared" si="2"/>
      </c>
      <c r="Q48" s="21">
        <f>IF($B48="","",SUMIFS(期初余额!$C$5:$C$64,期初余额!$B$5:$B$64,$B48)+_项目汇总!$B$44+_项目汇总!$C$44)</f>
      </c>
      <c r="R48" s="21">
        <f>IF($B48="","",SUMIFS(期初余额!$R$5:$R$204,期初余额!$Q$5:$Q$204,$B48,期初余额!$V$5:$V$204,"材料供应商")+_项目汇总!$N$44+_项目汇总!$O$44)</f>
      </c>
      <c r="S48" s="21">
        <f>IF($B48="","",SUMIFS(期初余额!$F$5:$F$64,期初余额!$B$5:$B$64,$B48)+_项目汇总!$P$44+_项目汇总!$Q$44)</f>
      </c>
      <c r="T48" s="21">
        <f>IF($B48="","",SUMIFS(期初余额!$R$5:$R$204,期初余额!$Q$5:$Q$204,$B48,期初余额!$V$5:$V$204,"分包")+_项目汇总!$R$44+_项目汇总!$S$44)</f>
      </c>
      <c r="U48" s="21">
        <f>IF($B48="","",SUMIFS(期初余额!$R$5:$R$204,期初余额!$Q$5:$Q$204,$B48,期初余额!$V$5:$V$204,"机械运输")+_项目汇总!$T$44+_项目汇总!$U$44)</f>
      </c>
      <c r="V48" s="21">
        <f>IF($B48="","",SUMIFS(期初余额!$G$5:$G$64,期初余额!$B$5:$B$64,$B48)+SUMIFS(期初余额!$R$5:$R$204,期初余额!$Q$5:$Q$204,$B48,期初余额!$V$5:$V$204,"其他")+_项目汇总!$V$44+_项目汇总!$W$44+_项目汇总!$X$44+_项目汇总!$Y$44)</f>
      </c>
      <c r="W48" s="21">
        <f>IF($B48="","",SUMIFS(期初余额!$H$5:$H$64,期初余额!$B$5:$B$64,$B48)+ROUND((_项目汇总!$J$44-_项目汇总!$L$44)*(1+基础资料!$AF$6)+_项目汇总!$B$44*基础资料!$AF$7,2)+K48)</f>
      </c>
      <c r="X48" s="21">
        <f>IF($B48="","",_项目汇总!$Z$44+_项目汇总!$AA$44)</f>
      </c>
      <c r="Y48" s="21">
        <f>IF($B48="","",费用分摊!$M$62)</f>
      </c>
      <c r="Z48" s="20">
        <f t="shared" si="3"/>
      </c>
      <c r="AA48" s="22">
        <f t="shared" si="4"/>
      </c>
      <c r="AB48" s="22">
        <f t="shared" si="5"/>
      </c>
      <c r="AC48" s="22">
        <f t="shared" si="6"/>
      </c>
      <c r="AD48" s="21">
        <f>IF($B48="","",应收账款总表!$G$47)</f>
      </c>
      <c r="AE48" s="21">
        <f>IF($B48="","",应收账款总表!$I$47)</f>
      </c>
      <c r="AF48" s="96">
        <f t="shared" si="7"/>
      </c>
    </row>
    <row r="49">
      <c r="A49" s="94">
        <f>IF($B49="","",43)</f>
      </c>
      <c r="B49" s="96">
        <f>项目档案!$B$46&amp;""</f>
      </c>
      <c r="C49" s="94">
        <f>项目档案!$M$46&amp;""</f>
      </c>
      <c r="D49" s="21">
        <f>IF($B49="","",N(项目档案!$T$46))</f>
      </c>
      <c r="E49" s="21">
        <f>IF($B49="","",_项目汇总!$C$45)</f>
      </c>
      <c r="F49" s="21">
        <f>IF($B49="","",_项目汇总!$O$45)</f>
      </c>
      <c r="G49" s="21">
        <f>IF($B49="","",_项目汇总!$Q$45)</f>
      </c>
      <c r="H49" s="21">
        <f>IF($B49="","",_项目汇总!$S$45)</f>
      </c>
      <c r="I49" s="21">
        <f>IF($B49="","",_项目汇总!$U$45)</f>
      </c>
      <c r="J49" s="21">
        <f>IF($B49="","",_项目汇总!$W$45+_项目汇总!$Y$45)</f>
      </c>
      <c r="K49" s="21">
        <f>IF($B49="","",ROUND((_项目汇总!$K$45-_项目汇总!$M$45)*(1+基础资料!$AF$6)+E49*基础资料!$AF$7,2))</f>
      </c>
      <c r="L49" s="21">
        <f>IF($B49="","",_项目汇总!$AA$45)</f>
      </c>
      <c r="M49" s="21">
        <f t="shared" si="0"/>
      </c>
      <c r="N49" s="21">
        <f>IF($B49="","",费用分摊!$O$63)</f>
      </c>
      <c r="O49" s="20">
        <f t="shared" si="1"/>
      </c>
      <c r="P49" s="22">
        <f t="shared" si="2"/>
      </c>
      <c r="Q49" s="21">
        <f>IF($B49="","",SUMIFS(期初余额!$C$5:$C$64,期初余额!$B$5:$B$64,$B49)+_项目汇总!$B$45+_项目汇总!$C$45)</f>
      </c>
      <c r="R49" s="21">
        <f>IF($B49="","",SUMIFS(期初余额!$R$5:$R$204,期初余额!$Q$5:$Q$204,$B49,期初余额!$V$5:$V$204,"材料供应商")+_项目汇总!$N$45+_项目汇总!$O$45)</f>
      </c>
      <c r="S49" s="21">
        <f>IF($B49="","",SUMIFS(期初余额!$F$5:$F$64,期初余额!$B$5:$B$64,$B49)+_项目汇总!$P$45+_项目汇总!$Q$45)</f>
      </c>
      <c r="T49" s="21">
        <f>IF($B49="","",SUMIFS(期初余额!$R$5:$R$204,期初余额!$Q$5:$Q$204,$B49,期初余额!$V$5:$V$204,"分包")+_项目汇总!$R$45+_项目汇总!$S$45)</f>
      </c>
      <c r="U49" s="21">
        <f>IF($B49="","",SUMIFS(期初余额!$R$5:$R$204,期初余额!$Q$5:$Q$204,$B49,期初余额!$V$5:$V$204,"机械运输")+_项目汇总!$T$45+_项目汇总!$U$45)</f>
      </c>
      <c r="V49" s="21">
        <f>IF($B49="","",SUMIFS(期初余额!$G$5:$G$64,期初余额!$B$5:$B$64,$B49)+SUMIFS(期初余额!$R$5:$R$204,期初余额!$Q$5:$Q$204,$B49,期初余额!$V$5:$V$204,"其他")+_项目汇总!$V$45+_项目汇总!$W$45+_项目汇总!$X$45+_项目汇总!$Y$45)</f>
      </c>
      <c r="W49" s="21">
        <f>IF($B49="","",SUMIFS(期初余额!$H$5:$H$64,期初余额!$B$5:$B$64,$B49)+ROUND((_项目汇总!$J$45-_项目汇总!$L$45)*(1+基础资料!$AF$6)+_项目汇总!$B$45*基础资料!$AF$7,2)+K49)</f>
      </c>
      <c r="X49" s="21">
        <f>IF($B49="","",_项目汇总!$Z$45+_项目汇总!$AA$45)</f>
      </c>
      <c r="Y49" s="21">
        <f>IF($B49="","",费用分摊!$M$63)</f>
      </c>
      <c r="Z49" s="20">
        <f t="shared" si="3"/>
      </c>
      <c r="AA49" s="22">
        <f t="shared" si="4"/>
      </c>
      <c r="AB49" s="22">
        <f t="shared" si="5"/>
      </c>
      <c r="AC49" s="22">
        <f t="shared" si="6"/>
      </c>
      <c r="AD49" s="21">
        <f>IF($B49="","",应收账款总表!$G$48)</f>
      </c>
      <c r="AE49" s="21">
        <f>IF($B49="","",应收账款总表!$I$48)</f>
      </c>
      <c r="AF49" s="96">
        <f t="shared" si="7"/>
      </c>
    </row>
    <row r="50">
      <c r="A50" s="94">
        <f>IF($B50="","",44)</f>
      </c>
      <c r="B50" s="96">
        <f>项目档案!$B$47&amp;""</f>
      </c>
      <c r="C50" s="94">
        <f>项目档案!$M$47&amp;""</f>
      </c>
      <c r="D50" s="21">
        <f>IF($B50="","",N(项目档案!$T$47))</f>
      </c>
      <c r="E50" s="21">
        <f>IF($B50="","",_项目汇总!$C$46)</f>
      </c>
      <c r="F50" s="21">
        <f>IF($B50="","",_项目汇总!$O$46)</f>
      </c>
      <c r="G50" s="21">
        <f>IF($B50="","",_项目汇总!$Q$46)</f>
      </c>
      <c r="H50" s="21">
        <f>IF($B50="","",_项目汇总!$S$46)</f>
      </c>
      <c r="I50" s="21">
        <f>IF($B50="","",_项目汇总!$U$46)</f>
      </c>
      <c r="J50" s="21">
        <f>IF($B50="","",_项目汇总!$W$46+_项目汇总!$Y$46)</f>
      </c>
      <c r="K50" s="21">
        <f>IF($B50="","",ROUND((_项目汇总!$K$46-_项目汇总!$M$46)*(1+基础资料!$AF$6)+E50*基础资料!$AF$7,2))</f>
      </c>
      <c r="L50" s="21">
        <f>IF($B50="","",_项目汇总!$AA$46)</f>
      </c>
      <c r="M50" s="21">
        <f t="shared" si="0"/>
      </c>
      <c r="N50" s="21">
        <f>IF($B50="","",费用分摊!$O$64)</f>
      </c>
      <c r="O50" s="20">
        <f t="shared" si="1"/>
      </c>
      <c r="P50" s="22">
        <f t="shared" si="2"/>
      </c>
      <c r="Q50" s="21">
        <f>IF($B50="","",SUMIFS(期初余额!$C$5:$C$64,期初余额!$B$5:$B$64,$B50)+_项目汇总!$B$46+_项目汇总!$C$46)</f>
      </c>
      <c r="R50" s="21">
        <f>IF($B50="","",SUMIFS(期初余额!$R$5:$R$204,期初余额!$Q$5:$Q$204,$B50,期初余额!$V$5:$V$204,"材料供应商")+_项目汇总!$N$46+_项目汇总!$O$46)</f>
      </c>
      <c r="S50" s="21">
        <f>IF($B50="","",SUMIFS(期初余额!$F$5:$F$64,期初余额!$B$5:$B$64,$B50)+_项目汇总!$P$46+_项目汇总!$Q$46)</f>
      </c>
      <c r="T50" s="21">
        <f>IF($B50="","",SUMIFS(期初余额!$R$5:$R$204,期初余额!$Q$5:$Q$204,$B50,期初余额!$V$5:$V$204,"分包")+_项目汇总!$R$46+_项目汇总!$S$46)</f>
      </c>
      <c r="U50" s="21">
        <f>IF($B50="","",SUMIFS(期初余额!$R$5:$R$204,期初余额!$Q$5:$Q$204,$B50,期初余额!$V$5:$V$204,"机械运输")+_项目汇总!$T$46+_项目汇总!$U$46)</f>
      </c>
      <c r="V50" s="21">
        <f>IF($B50="","",SUMIFS(期初余额!$G$5:$G$64,期初余额!$B$5:$B$64,$B50)+SUMIFS(期初余额!$R$5:$R$204,期初余额!$Q$5:$Q$204,$B50,期初余额!$V$5:$V$204,"其他")+_项目汇总!$V$46+_项目汇总!$W$46+_项目汇总!$X$46+_项目汇总!$Y$46)</f>
      </c>
      <c r="W50" s="21">
        <f>IF($B50="","",SUMIFS(期初余额!$H$5:$H$64,期初余额!$B$5:$B$64,$B50)+ROUND((_项目汇总!$J$46-_项目汇总!$L$46)*(1+基础资料!$AF$6)+_项目汇总!$B$46*基础资料!$AF$7,2)+K50)</f>
      </c>
      <c r="X50" s="21">
        <f>IF($B50="","",_项目汇总!$Z$46+_项目汇总!$AA$46)</f>
      </c>
      <c r="Y50" s="21">
        <f>IF($B50="","",费用分摊!$M$64)</f>
      </c>
      <c r="Z50" s="20">
        <f t="shared" si="3"/>
      </c>
      <c r="AA50" s="22">
        <f t="shared" si="4"/>
      </c>
      <c r="AB50" s="22">
        <f t="shared" si="5"/>
      </c>
      <c r="AC50" s="22">
        <f t="shared" si="6"/>
      </c>
      <c r="AD50" s="21">
        <f>IF($B50="","",应收账款总表!$G$49)</f>
      </c>
      <c r="AE50" s="21">
        <f>IF($B50="","",应收账款总表!$I$49)</f>
      </c>
      <c r="AF50" s="96">
        <f t="shared" si="7"/>
      </c>
    </row>
    <row r="51">
      <c r="A51" s="94">
        <f>IF($B51="","",45)</f>
      </c>
      <c r="B51" s="96">
        <f>项目档案!$B$48&amp;""</f>
      </c>
      <c r="C51" s="94">
        <f>项目档案!$M$48&amp;""</f>
      </c>
      <c r="D51" s="21">
        <f>IF($B51="","",N(项目档案!$T$48))</f>
      </c>
      <c r="E51" s="21">
        <f>IF($B51="","",_项目汇总!$C$47)</f>
      </c>
      <c r="F51" s="21">
        <f>IF($B51="","",_项目汇总!$O$47)</f>
      </c>
      <c r="G51" s="21">
        <f>IF($B51="","",_项目汇总!$Q$47)</f>
      </c>
      <c r="H51" s="21">
        <f>IF($B51="","",_项目汇总!$S$47)</f>
      </c>
      <c r="I51" s="21">
        <f>IF($B51="","",_项目汇总!$U$47)</f>
      </c>
      <c r="J51" s="21">
        <f>IF($B51="","",_项目汇总!$W$47+_项目汇总!$Y$47)</f>
      </c>
      <c r="K51" s="21">
        <f>IF($B51="","",ROUND((_项目汇总!$K$47-_项目汇总!$M$47)*(1+基础资料!$AF$6)+E51*基础资料!$AF$7,2))</f>
      </c>
      <c r="L51" s="21">
        <f>IF($B51="","",_项目汇总!$AA$47)</f>
      </c>
      <c r="M51" s="21">
        <f t="shared" si="0"/>
      </c>
      <c r="N51" s="21">
        <f>IF($B51="","",费用分摊!$O$65)</f>
      </c>
      <c r="O51" s="20">
        <f t="shared" si="1"/>
      </c>
      <c r="P51" s="22">
        <f t="shared" si="2"/>
      </c>
      <c r="Q51" s="21">
        <f>IF($B51="","",SUMIFS(期初余额!$C$5:$C$64,期初余额!$B$5:$B$64,$B51)+_项目汇总!$B$47+_项目汇总!$C$47)</f>
      </c>
      <c r="R51" s="21">
        <f>IF($B51="","",SUMIFS(期初余额!$R$5:$R$204,期初余额!$Q$5:$Q$204,$B51,期初余额!$V$5:$V$204,"材料供应商")+_项目汇总!$N$47+_项目汇总!$O$47)</f>
      </c>
      <c r="S51" s="21">
        <f>IF($B51="","",SUMIFS(期初余额!$F$5:$F$64,期初余额!$B$5:$B$64,$B51)+_项目汇总!$P$47+_项目汇总!$Q$47)</f>
      </c>
      <c r="T51" s="21">
        <f>IF($B51="","",SUMIFS(期初余额!$R$5:$R$204,期初余额!$Q$5:$Q$204,$B51,期初余额!$V$5:$V$204,"分包")+_项目汇总!$R$47+_项目汇总!$S$47)</f>
      </c>
      <c r="U51" s="21">
        <f>IF($B51="","",SUMIFS(期初余额!$R$5:$R$204,期初余额!$Q$5:$Q$204,$B51,期初余额!$V$5:$V$204,"机械运输")+_项目汇总!$T$47+_项目汇总!$U$47)</f>
      </c>
      <c r="V51" s="21">
        <f>IF($B51="","",SUMIFS(期初余额!$G$5:$G$64,期初余额!$B$5:$B$64,$B51)+SUMIFS(期初余额!$R$5:$R$204,期初余额!$Q$5:$Q$204,$B51,期初余额!$V$5:$V$204,"其他")+_项目汇总!$V$47+_项目汇总!$W$47+_项目汇总!$X$47+_项目汇总!$Y$47)</f>
      </c>
      <c r="W51" s="21">
        <f>IF($B51="","",SUMIFS(期初余额!$H$5:$H$64,期初余额!$B$5:$B$64,$B51)+ROUND((_项目汇总!$J$47-_项目汇总!$L$47)*(1+基础资料!$AF$6)+_项目汇总!$B$47*基础资料!$AF$7,2)+K51)</f>
      </c>
      <c r="X51" s="21">
        <f>IF($B51="","",_项目汇总!$Z$47+_项目汇总!$AA$47)</f>
      </c>
      <c r="Y51" s="21">
        <f>IF($B51="","",费用分摊!$M$65)</f>
      </c>
      <c r="Z51" s="20">
        <f t="shared" si="3"/>
      </c>
      <c r="AA51" s="22">
        <f t="shared" si="4"/>
      </c>
      <c r="AB51" s="22">
        <f t="shared" si="5"/>
      </c>
      <c r="AC51" s="22">
        <f t="shared" si="6"/>
      </c>
      <c r="AD51" s="21">
        <f>IF($B51="","",应收账款总表!$G$50)</f>
      </c>
      <c r="AE51" s="21">
        <f>IF($B51="","",应收账款总表!$I$50)</f>
      </c>
      <c r="AF51" s="96">
        <f t="shared" si="7"/>
      </c>
    </row>
    <row r="52">
      <c r="A52" s="94">
        <f>IF($B52="","",46)</f>
      </c>
      <c r="B52" s="96">
        <f>项目档案!$B$49&amp;""</f>
      </c>
      <c r="C52" s="94">
        <f>项目档案!$M$49&amp;""</f>
      </c>
      <c r="D52" s="21">
        <f>IF($B52="","",N(项目档案!$T$49))</f>
      </c>
      <c r="E52" s="21">
        <f>IF($B52="","",_项目汇总!$C$48)</f>
      </c>
      <c r="F52" s="21">
        <f>IF($B52="","",_项目汇总!$O$48)</f>
      </c>
      <c r="G52" s="21">
        <f>IF($B52="","",_项目汇总!$Q$48)</f>
      </c>
      <c r="H52" s="21">
        <f>IF($B52="","",_项目汇总!$S$48)</f>
      </c>
      <c r="I52" s="21">
        <f>IF($B52="","",_项目汇总!$U$48)</f>
      </c>
      <c r="J52" s="21">
        <f>IF($B52="","",_项目汇总!$W$48+_项目汇总!$Y$48)</f>
      </c>
      <c r="K52" s="21">
        <f>IF($B52="","",ROUND((_项目汇总!$K$48-_项目汇总!$M$48)*(1+基础资料!$AF$6)+E52*基础资料!$AF$7,2))</f>
      </c>
      <c r="L52" s="21">
        <f>IF($B52="","",_项目汇总!$AA$48)</f>
      </c>
      <c r="M52" s="21">
        <f t="shared" si="0"/>
      </c>
      <c r="N52" s="21">
        <f>IF($B52="","",费用分摊!$O$66)</f>
      </c>
      <c r="O52" s="20">
        <f t="shared" si="1"/>
      </c>
      <c r="P52" s="22">
        <f t="shared" si="2"/>
      </c>
      <c r="Q52" s="21">
        <f>IF($B52="","",SUMIFS(期初余额!$C$5:$C$64,期初余额!$B$5:$B$64,$B52)+_项目汇总!$B$48+_项目汇总!$C$48)</f>
      </c>
      <c r="R52" s="21">
        <f>IF($B52="","",SUMIFS(期初余额!$R$5:$R$204,期初余额!$Q$5:$Q$204,$B52,期初余额!$V$5:$V$204,"材料供应商")+_项目汇总!$N$48+_项目汇总!$O$48)</f>
      </c>
      <c r="S52" s="21">
        <f>IF($B52="","",SUMIFS(期初余额!$F$5:$F$64,期初余额!$B$5:$B$64,$B52)+_项目汇总!$P$48+_项目汇总!$Q$48)</f>
      </c>
      <c r="T52" s="21">
        <f>IF($B52="","",SUMIFS(期初余额!$R$5:$R$204,期初余额!$Q$5:$Q$204,$B52,期初余额!$V$5:$V$204,"分包")+_项目汇总!$R$48+_项目汇总!$S$48)</f>
      </c>
      <c r="U52" s="21">
        <f>IF($B52="","",SUMIFS(期初余额!$R$5:$R$204,期初余额!$Q$5:$Q$204,$B52,期初余额!$V$5:$V$204,"机械运输")+_项目汇总!$T$48+_项目汇总!$U$48)</f>
      </c>
      <c r="V52" s="21">
        <f>IF($B52="","",SUMIFS(期初余额!$G$5:$G$64,期初余额!$B$5:$B$64,$B52)+SUMIFS(期初余额!$R$5:$R$204,期初余额!$Q$5:$Q$204,$B52,期初余额!$V$5:$V$204,"其他")+_项目汇总!$V$48+_项目汇总!$W$48+_项目汇总!$X$48+_项目汇总!$Y$48)</f>
      </c>
      <c r="W52" s="21">
        <f>IF($B52="","",SUMIFS(期初余额!$H$5:$H$64,期初余额!$B$5:$B$64,$B52)+ROUND((_项目汇总!$J$48-_项目汇总!$L$48)*(1+基础资料!$AF$6)+_项目汇总!$B$48*基础资料!$AF$7,2)+K52)</f>
      </c>
      <c r="X52" s="21">
        <f>IF($B52="","",_项目汇总!$Z$48+_项目汇总!$AA$48)</f>
      </c>
      <c r="Y52" s="21">
        <f>IF($B52="","",费用分摊!$M$66)</f>
      </c>
      <c r="Z52" s="20">
        <f t="shared" si="3"/>
      </c>
      <c r="AA52" s="22">
        <f t="shared" si="4"/>
      </c>
      <c r="AB52" s="22">
        <f t="shared" si="5"/>
      </c>
      <c r="AC52" s="22">
        <f t="shared" si="6"/>
      </c>
      <c r="AD52" s="21">
        <f>IF($B52="","",应收账款总表!$G$51)</f>
      </c>
      <c r="AE52" s="21">
        <f>IF($B52="","",应收账款总表!$I$51)</f>
      </c>
      <c r="AF52" s="96">
        <f t="shared" si="7"/>
      </c>
    </row>
    <row r="53">
      <c r="A53" s="94">
        <f>IF($B53="","",47)</f>
      </c>
      <c r="B53" s="96">
        <f>项目档案!$B$50&amp;""</f>
      </c>
      <c r="C53" s="94">
        <f>项目档案!$M$50&amp;""</f>
      </c>
      <c r="D53" s="21">
        <f>IF($B53="","",N(项目档案!$T$50))</f>
      </c>
      <c r="E53" s="21">
        <f>IF($B53="","",_项目汇总!$C$49)</f>
      </c>
      <c r="F53" s="21">
        <f>IF($B53="","",_项目汇总!$O$49)</f>
      </c>
      <c r="G53" s="21">
        <f>IF($B53="","",_项目汇总!$Q$49)</f>
      </c>
      <c r="H53" s="21">
        <f>IF($B53="","",_项目汇总!$S$49)</f>
      </c>
      <c r="I53" s="21">
        <f>IF($B53="","",_项目汇总!$U$49)</f>
      </c>
      <c r="J53" s="21">
        <f>IF($B53="","",_项目汇总!$W$49+_项目汇总!$Y$49)</f>
      </c>
      <c r="K53" s="21">
        <f>IF($B53="","",ROUND((_项目汇总!$K$49-_项目汇总!$M$49)*(1+基础资料!$AF$6)+E53*基础资料!$AF$7,2))</f>
      </c>
      <c r="L53" s="21">
        <f>IF($B53="","",_项目汇总!$AA$49)</f>
      </c>
      <c r="M53" s="21">
        <f t="shared" si="0"/>
      </c>
      <c r="N53" s="21">
        <f>IF($B53="","",费用分摊!$O$67)</f>
      </c>
      <c r="O53" s="20">
        <f t="shared" si="1"/>
      </c>
      <c r="P53" s="22">
        <f t="shared" si="2"/>
      </c>
      <c r="Q53" s="21">
        <f>IF($B53="","",SUMIFS(期初余额!$C$5:$C$64,期初余额!$B$5:$B$64,$B53)+_项目汇总!$B$49+_项目汇总!$C$49)</f>
      </c>
      <c r="R53" s="21">
        <f>IF($B53="","",SUMIFS(期初余额!$R$5:$R$204,期初余额!$Q$5:$Q$204,$B53,期初余额!$V$5:$V$204,"材料供应商")+_项目汇总!$N$49+_项目汇总!$O$49)</f>
      </c>
      <c r="S53" s="21">
        <f>IF($B53="","",SUMIFS(期初余额!$F$5:$F$64,期初余额!$B$5:$B$64,$B53)+_项目汇总!$P$49+_项目汇总!$Q$49)</f>
      </c>
      <c r="T53" s="21">
        <f>IF($B53="","",SUMIFS(期初余额!$R$5:$R$204,期初余额!$Q$5:$Q$204,$B53,期初余额!$V$5:$V$204,"分包")+_项目汇总!$R$49+_项目汇总!$S$49)</f>
      </c>
      <c r="U53" s="21">
        <f>IF($B53="","",SUMIFS(期初余额!$R$5:$R$204,期初余额!$Q$5:$Q$204,$B53,期初余额!$V$5:$V$204,"机械运输")+_项目汇总!$T$49+_项目汇总!$U$49)</f>
      </c>
      <c r="V53" s="21">
        <f>IF($B53="","",SUMIFS(期初余额!$G$5:$G$64,期初余额!$B$5:$B$64,$B53)+SUMIFS(期初余额!$R$5:$R$204,期初余额!$Q$5:$Q$204,$B53,期初余额!$V$5:$V$204,"其他")+_项目汇总!$V$49+_项目汇总!$W$49+_项目汇总!$X$49+_项目汇总!$Y$49)</f>
      </c>
      <c r="W53" s="21">
        <f>IF($B53="","",SUMIFS(期初余额!$H$5:$H$64,期初余额!$B$5:$B$64,$B53)+ROUND((_项目汇总!$J$49-_项目汇总!$L$49)*(1+基础资料!$AF$6)+_项目汇总!$B$49*基础资料!$AF$7,2)+K53)</f>
      </c>
      <c r="X53" s="21">
        <f>IF($B53="","",_项目汇总!$Z$49+_项目汇总!$AA$49)</f>
      </c>
      <c r="Y53" s="21">
        <f>IF($B53="","",费用分摊!$M$67)</f>
      </c>
      <c r="Z53" s="20">
        <f t="shared" si="3"/>
      </c>
      <c r="AA53" s="22">
        <f t="shared" si="4"/>
      </c>
      <c r="AB53" s="22">
        <f t="shared" si="5"/>
      </c>
      <c r="AC53" s="22">
        <f t="shared" si="6"/>
      </c>
      <c r="AD53" s="21">
        <f>IF($B53="","",应收账款总表!$G$52)</f>
      </c>
      <c r="AE53" s="21">
        <f>IF($B53="","",应收账款总表!$I$52)</f>
      </c>
      <c r="AF53" s="96">
        <f t="shared" si="7"/>
      </c>
    </row>
    <row r="54">
      <c r="A54" s="94">
        <f>IF($B54="","",48)</f>
      </c>
      <c r="B54" s="96">
        <f>项目档案!$B$51&amp;""</f>
      </c>
      <c r="C54" s="94">
        <f>项目档案!$M$51&amp;""</f>
      </c>
      <c r="D54" s="21">
        <f>IF($B54="","",N(项目档案!$T$51))</f>
      </c>
      <c r="E54" s="21">
        <f>IF($B54="","",_项目汇总!$C$50)</f>
      </c>
      <c r="F54" s="21">
        <f>IF($B54="","",_项目汇总!$O$50)</f>
      </c>
      <c r="G54" s="21">
        <f>IF($B54="","",_项目汇总!$Q$50)</f>
      </c>
      <c r="H54" s="21">
        <f>IF($B54="","",_项目汇总!$S$50)</f>
      </c>
      <c r="I54" s="21">
        <f>IF($B54="","",_项目汇总!$U$50)</f>
      </c>
      <c r="J54" s="21">
        <f>IF($B54="","",_项目汇总!$W$50+_项目汇总!$Y$50)</f>
      </c>
      <c r="K54" s="21">
        <f>IF($B54="","",ROUND((_项目汇总!$K$50-_项目汇总!$M$50)*(1+基础资料!$AF$6)+E54*基础资料!$AF$7,2))</f>
      </c>
      <c r="L54" s="21">
        <f>IF($B54="","",_项目汇总!$AA$50)</f>
      </c>
      <c r="M54" s="21">
        <f t="shared" si="0"/>
      </c>
      <c r="N54" s="21">
        <f>IF($B54="","",费用分摊!$O$68)</f>
      </c>
      <c r="O54" s="20">
        <f t="shared" si="1"/>
      </c>
      <c r="P54" s="22">
        <f t="shared" si="2"/>
      </c>
      <c r="Q54" s="21">
        <f>IF($B54="","",SUMIFS(期初余额!$C$5:$C$64,期初余额!$B$5:$B$64,$B54)+_项目汇总!$B$50+_项目汇总!$C$50)</f>
      </c>
      <c r="R54" s="21">
        <f>IF($B54="","",SUMIFS(期初余额!$R$5:$R$204,期初余额!$Q$5:$Q$204,$B54,期初余额!$V$5:$V$204,"材料供应商")+_项目汇总!$N$50+_项目汇总!$O$50)</f>
      </c>
      <c r="S54" s="21">
        <f>IF($B54="","",SUMIFS(期初余额!$F$5:$F$64,期初余额!$B$5:$B$64,$B54)+_项目汇总!$P$50+_项目汇总!$Q$50)</f>
      </c>
      <c r="T54" s="21">
        <f>IF($B54="","",SUMIFS(期初余额!$R$5:$R$204,期初余额!$Q$5:$Q$204,$B54,期初余额!$V$5:$V$204,"分包")+_项目汇总!$R$50+_项目汇总!$S$50)</f>
      </c>
      <c r="U54" s="21">
        <f>IF($B54="","",SUMIFS(期初余额!$R$5:$R$204,期初余额!$Q$5:$Q$204,$B54,期初余额!$V$5:$V$204,"机械运输")+_项目汇总!$T$50+_项目汇总!$U$50)</f>
      </c>
      <c r="V54" s="21">
        <f>IF($B54="","",SUMIFS(期初余额!$G$5:$G$64,期初余额!$B$5:$B$64,$B54)+SUMIFS(期初余额!$R$5:$R$204,期初余额!$Q$5:$Q$204,$B54,期初余额!$V$5:$V$204,"其他")+_项目汇总!$V$50+_项目汇总!$W$50+_项目汇总!$X$50+_项目汇总!$Y$50)</f>
      </c>
      <c r="W54" s="21">
        <f>IF($B54="","",SUMIFS(期初余额!$H$5:$H$64,期初余额!$B$5:$B$64,$B54)+ROUND((_项目汇总!$J$50-_项目汇总!$L$50)*(1+基础资料!$AF$6)+_项目汇总!$B$50*基础资料!$AF$7,2)+K54)</f>
      </c>
      <c r="X54" s="21">
        <f>IF($B54="","",_项目汇总!$Z$50+_项目汇总!$AA$50)</f>
      </c>
      <c r="Y54" s="21">
        <f>IF($B54="","",费用分摊!$M$68)</f>
      </c>
      <c r="Z54" s="20">
        <f t="shared" si="3"/>
      </c>
      <c r="AA54" s="22">
        <f t="shared" si="4"/>
      </c>
      <c r="AB54" s="22">
        <f t="shared" si="5"/>
      </c>
      <c r="AC54" s="22">
        <f t="shared" si="6"/>
      </c>
      <c r="AD54" s="21">
        <f>IF($B54="","",应收账款总表!$G$53)</f>
      </c>
      <c r="AE54" s="21">
        <f>IF($B54="","",应收账款总表!$I$53)</f>
      </c>
      <c r="AF54" s="96">
        <f t="shared" si="7"/>
      </c>
    </row>
    <row r="55">
      <c r="A55" s="94">
        <f>IF($B55="","",49)</f>
      </c>
      <c r="B55" s="96">
        <f>项目档案!$B$52&amp;""</f>
      </c>
      <c r="C55" s="94">
        <f>项目档案!$M$52&amp;""</f>
      </c>
      <c r="D55" s="21">
        <f>IF($B55="","",N(项目档案!$T$52))</f>
      </c>
      <c r="E55" s="21">
        <f>IF($B55="","",_项目汇总!$C$51)</f>
      </c>
      <c r="F55" s="21">
        <f>IF($B55="","",_项目汇总!$O$51)</f>
      </c>
      <c r="G55" s="21">
        <f>IF($B55="","",_项目汇总!$Q$51)</f>
      </c>
      <c r="H55" s="21">
        <f>IF($B55="","",_项目汇总!$S$51)</f>
      </c>
      <c r="I55" s="21">
        <f>IF($B55="","",_项目汇总!$U$51)</f>
      </c>
      <c r="J55" s="21">
        <f>IF($B55="","",_项目汇总!$W$51+_项目汇总!$Y$51)</f>
      </c>
      <c r="K55" s="21">
        <f>IF($B55="","",ROUND((_项目汇总!$K$51-_项目汇总!$M$51)*(1+基础资料!$AF$6)+E55*基础资料!$AF$7,2))</f>
      </c>
      <c r="L55" s="21">
        <f>IF($B55="","",_项目汇总!$AA$51)</f>
      </c>
      <c r="M55" s="21">
        <f t="shared" si="0"/>
      </c>
      <c r="N55" s="21">
        <f>IF($B55="","",费用分摊!$O$69)</f>
      </c>
      <c r="O55" s="20">
        <f t="shared" si="1"/>
      </c>
      <c r="P55" s="22">
        <f t="shared" si="2"/>
      </c>
      <c r="Q55" s="21">
        <f>IF($B55="","",SUMIFS(期初余额!$C$5:$C$64,期初余额!$B$5:$B$64,$B55)+_项目汇总!$B$51+_项目汇总!$C$51)</f>
      </c>
      <c r="R55" s="21">
        <f>IF($B55="","",SUMIFS(期初余额!$R$5:$R$204,期初余额!$Q$5:$Q$204,$B55,期初余额!$V$5:$V$204,"材料供应商")+_项目汇总!$N$51+_项目汇总!$O$51)</f>
      </c>
      <c r="S55" s="21">
        <f>IF($B55="","",SUMIFS(期初余额!$F$5:$F$64,期初余额!$B$5:$B$64,$B55)+_项目汇总!$P$51+_项目汇总!$Q$51)</f>
      </c>
      <c r="T55" s="21">
        <f>IF($B55="","",SUMIFS(期初余额!$R$5:$R$204,期初余额!$Q$5:$Q$204,$B55,期初余额!$V$5:$V$204,"分包")+_项目汇总!$R$51+_项目汇总!$S$51)</f>
      </c>
      <c r="U55" s="21">
        <f>IF($B55="","",SUMIFS(期初余额!$R$5:$R$204,期初余额!$Q$5:$Q$204,$B55,期初余额!$V$5:$V$204,"机械运输")+_项目汇总!$T$51+_项目汇总!$U$51)</f>
      </c>
      <c r="V55" s="21">
        <f>IF($B55="","",SUMIFS(期初余额!$G$5:$G$64,期初余额!$B$5:$B$64,$B55)+SUMIFS(期初余额!$R$5:$R$204,期初余额!$Q$5:$Q$204,$B55,期初余额!$V$5:$V$204,"其他")+_项目汇总!$V$51+_项目汇总!$W$51+_项目汇总!$X$51+_项目汇总!$Y$51)</f>
      </c>
      <c r="W55" s="21">
        <f>IF($B55="","",SUMIFS(期初余额!$H$5:$H$64,期初余额!$B$5:$B$64,$B55)+ROUND((_项目汇总!$J$51-_项目汇总!$L$51)*(1+基础资料!$AF$6)+_项目汇总!$B$51*基础资料!$AF$7,2)+K55)</f>
      </c>
      <c r="X55" s="21">
        <f>IF($B55="","",_项目汇总!$Z$51+_项目汇总!$AA$51)</f>
      </c>
      <c r="Y55" s="21">
        <f>IF($B55="","",费用分摊!$M$69)</f>
      </c>
      <c r="Z55" s="20">
        <f t="shared" si="3"/>
      </c>
      <c r="AA55" s="22">
        <f t="shared" si="4"/>
      </c>
      <c r="AB55" s="22">
        <f t="shared" si="5"/>
      </c>
      <c r="AC55" s="22">
        <f t="shared" si="6"/>
      </c>
      <c r="AD55" s="21">
        <f>IF($B55="","",应收账款总表!$G$54)</f>
      </c>
      <c r="AE55" s="21">
        <f>IF($B55="","",应收账款总表!$I$54)</f>
      </c>
      <c r="AF55" s="96">
        <f t="shared" si="7"/>
      </c>
    </row>
    <row r="56">
      <c r="A56" s="94">
        <f>IF($B56="","",50)</f>
      </c>
      <c r="B56" s="96">
        <f>项目档案!$B$53&amp;""</f>
      </c>
      <c r="C56" s="94">
        <f>项目档案!$M$53&amp;""</f>
      </c>
      <c r="D56" s="21">
        <f>IF($B56="","",N(项目档案!$T$53))</f>
      </c>
      <c r="E56" s="21">
        <f>IF($B56="","",_项目汇总!$C$52)</f>
      </c>
      <c r="F56" s="21">
        <f>IF($B56="","",_项目汇总!$O$52)</f>
      </c>
      <c r="G56" s="21">
        <f>IF($B56="","",_项目汇总!$Q$52)</f>
      </c>
      <c r="H56" s="21">
        <f>IF($B56="","",_项目汇总!$S$52)</f>
      </c>
      <c r="I56" s="21">
        <f>IF($B56="","",_项目汇总!$U$52)</f>
      </c>
      <c r="J56" s="21">
        <f>IF($B56="","",_项目汇总!$W$52+_项目汇总!$Y$52)</f>
      </c>
      <c r="K56" s="21">
        <f>IF($B56="","",ROUND((_项目汇总!$K$52-_项目汇总!$M$52)*(1+基础资料!$AF$6)+E56*基础资料!$AF$7,2))</f>
      </c>
      <c r="L56" s="21">
        <f>IF($B56="","",_项目汇总!$AA$52)</f>
      </c>
      <c r="M56" s="21">
        <f t="shared" si="0"/>
      </c>
      <c r="N56" s="21">
        <f>IF($B56="","",费用分摊!$O$70)</f>
      </c>
      <c r="O56" s="20">
        <f t="shared" si="1"/>
      </c>
      <c r="P56" s="22">
        <f t="shared" si="2"/>
      </c>
      <c r="Q56" s="21">
        <f>IF($B56="","",SUMIFS(期初余额!$C$5:$C$64,期初余额!$B$5:$B$64,$B56)+_项目汇总!$B$52+_项目汇总!$C$52)</f>
      </c>
      <c r="R56" s="21">
        <f>IF($B56="","",SUMIFS(期初余额!$R$5:$R$204,期初余额!$Q$5:$Q$204,$B56,期初余额!$V$5:$V$204,"材料供应商")+_项目汇总!$N$52+_项目汇总!$O$52)</f>
      </c>
      <c r="S56" s="21">
        <f>IF($B56="","",SUMIFS(期初余额!$F$5:$F$64,期初余额!$B$5:$B$64,$B56)+_项目汇总!$P$52+_项目汇总!$Q$52)</f>
      </c>
      <c r="T56" s="21">
        <f>IF($B56="","",SUMIFS(期初余额!$R$5:$R$204,期初余额!$Q$5:$Q$204,$B56,期初余额!$V$5:$V$204,"分包")+_项目汇总!$R$52+_项目汇总!$S$52)</f>
      </c>
      <c r="U56" s="21">
        <f>IF($B56="","",SUMIFS(期初余额!$R$5:$R$204,期初余额!$Q$5:$Q$204,$B56,期初余额!$V$5:$V$204,"机械运输")+_项目汇总!$T$52+_项目汇总!$U$52)</f>
      </c>
      <c r="V56" s="21">
        <f>IF($B56="","",SUMIFS(期初余额!$G$5:$G$64,期初余额!$B$5:$B$64,$B56)+SUMIFS(期初余额!$R$5:$R$204,期初余额!$Q$5:$Q$204,$B56,期初余额!$V$5:$V$204,"其他")+_项目汇总!$V$52+_项目汇总!$W$52+_项目汇总!$X$52+_项目汇总!$Y$52)</f>
      </c>
      <c r="W56" s="21">
        <f>IF($B56="","",SUMIFS(期初余额!$H$5:$H$64,期初余额!$B$5:$B$64,$B56)+ROUND((_项目汇总!$J$52-_项目汇总!$L$52)*(1+基础资料!$AF$6)+_项目汇总!$B$52*基础资料!$AF$7,2)+K56)</f>
      </c>
      <c r="X56" s="21">
        <f>IF($B56="","",_项目汇总!$Z$52+_项目汇总!$AA$52)</f>
      </c>
      <c r="Y56" s="21">
        <f>IF($B56="","",费用分摊!$M$70)</f>
      </c>
      <c r="Z56" s="20">
        <f t="shared" si="3"/>
      </c>
      <c r="AA56" s="22">
        <f t="shared" si="4"/>
      </c>
      <c r="AB56" s="22">
        <f t="shared" si="5"/>
      </c>
      <c r="AC56" s="22">
        <f t="shared" si="6"/>
      </c>
      <c r="AD56" s="21">
        <f>IF($B56="","",应收账款总表!$G$55)</f>
      </c>
      <c r="AE56" s="21">
        <f>IF($B56="","",应收账款总表!$I$55)</f>
      </c>
      <c r="AF56" s="96">
        <f t="shared" si="7"/>
      </c>
    </row>
    <row r="57">
      <c r="A57" s="94">
        <f>IF($B57="","",51)</f>
      </c>
      <c r="B57" s="96">
        <f>项目档案!$B$54&amp;""</f>
      </c>
      <c r="C57" s="94">
        <f>项目档案!$M$54&amp;""</f>
      </c>
      <c r="D57" s="21">
        <f>IF($B57="","",N(项目档案!$T$54))</f>
      </c>
      <c r="E57" s="21">
        <f>IF($B57="","",_项目汇总!$C$53)</f>
      </c>
      <c r="F57" s="21">
        <f>IF($B57="","",_项目汇总!$O$53)</f>
      </c>
      <c r="G57" s="21">
        <f>IF($B57="","",_项目汇总!$Q$53)</f>
      </c>
      <c r="H57" s="21">
        <f>IF($B57="","",_项目汇总!$S$53)</f>
      </c>
      <c r="I57" s="21">
        <f>IF($B57="","",_项目汇总!$U$53)</f>
      </c>
      <c r="J57" s="21">
        <f>IF($B57="","",_项目汇总!$W$53+_项目汇总!$Y$53)</f>
      </c>
      <c r="K57" s="21">
        <f>IF($B57="","",ROUND((_项目汇总!$K$53-_项目汇总!$M$53)*(1+基础资料!$AF$6)+E57*基础资料!$AF$7,2))</f>
      </c>
      <c r="L57" s="21">
        <f>IF($B57="","",_项目汇总!$AA$53)</f>
      </c>
      <c r="M57" s="21">
        <f t="shared" si="0"/>
      </c>
      <c r="N57" s="21">
        <f>IF($B57="","",费用分摊!$O$71)</f>
      </c>
      <c r="O57" s="20">
        <f t="shared" si="1"/>
      </c>
      <c r="P57" s="22">
        <f t="shared" si="2"/>
      </c>
      <c r="Q57" s="21">
        <f>IF($B57="","",SUMIFS(期初余额!$C$5:$C$64,期初余额!$B$5:$B$64,$B57)+_项目汇总!$B$53+_项目汇总!$C$53)</f>
      </c>
      <c r="R57" s="21">
        <f>IF($B57="","",SUMIFS(期初余额!$R$5:$R$204,期初余额!$Q$5:$Q$204,$B57,期初余额!$V$5:$V$204,"材料供应商")+_项目汇总!$N$53+_项目汇总!$O$53)</f>
      </c>
      <c r="S57" s="21">
        <f>IF($B57="","",SUMIFS(期初余额!$F$5:$F$64,期初余额!$B$5:$B$64,$B57)+_项目汇总!$P$53+_项目汇总!$Q$53)</f>
      </c>
      <c r="T57" s="21">
        <f>IF($B57="","",SUMIFS(期初余额!$R$5:$R$204,期初余额!$Q$5:$Q$204,$B57,期初余额!$V$5:$V$204,"分包")+_项目汇总!$R$53+_项目汇总!$S$53)</f>
      </c>
      <c r="U57" s="21">
        <f>IF($B57="","",SUMIFS(期初余额!$R$5:$R$204,期初余额!$Q$5:$Q$204,$B57,期初余额!$V$5:$V$204,"机械运输")+_项目汇总!$T$53+_项目汇总!$U$53)</f>
      </c>
      <c r="V57" s="21">
        <f>IF($B57="","",SUMIFS(期初余额!$G$5:$G$64,期初余额!$B$5:$B$64,$B57)+SUMIFS(期初余额!$R$5:$R$204,期初余额!$Q$5:$Q$204,$B57,期初余额!$V$5:$V$204,"其他")+_项目汇总!$V$53+_项目汇总!$W$53+_项目汇总!$X$53+_项目汇总!$Y$53)</f>
      </c>
      <c r="W57" s="21">
        <f>IF($B57="","",SUMIFS(期初余额!$H$5:$H$64,期初余额!$B$5:$B$64,$B57)+ROUND((_项目汇总!$J$53-_项目汇总!$L$53)*(1+基础资料!$AF$6)+_项目汇总!$B$53*基础资料!$AF$7,2)+K57)</f>
      </c>
      <c r="X57" s="21">
        <f>IF($B57="","",_项目汇总!$Z$53+_项目汇总!$AA$53)</f>
      </c>
      <c r="Y57" s="21">
        <f>IF($B57="","",费用分摊!$M$71)</f>
      </c>
      <c r="Z57" s="20">
        <f t="shared" si="3"/>
      </c>
      <c r="AA57" s="22">
        <f t="shared" si="4"/>
      </c>
      <c r="AB57" s="22">
        <f t="shared" si="5"/>
      </c>
      <c r="AC57" s="22">
        <f t="shared" si="6"/>
      </c>
      <c r="AD57" s="21">
        <f>IF($B57="","",应收账款总表!$G$56)</f>
      </c>
      <c r="AE57" s="21">
        <f>IF($B57="","",应收账款总表!$I$56)</f>
      </c>
      <c r="AF57" s="96">
        <f t="shared" si="7"/>
      </c>
    </row>
    <row r="58">
      <c r="A58" s="94">
        <f>IF($B58="","",52)</f>
      </c>
      <c r="B58" s="96">
        <f>项目档案!$B$55&amp;""</f>
      </c>
      <c r="C58" s="94">
        <f>项目档案!$M$55&amp;""</f>
      </c>
      <c r="D58" s="21">
        <f>IF($B58="","",N(项目档案!$T$55))</f>
      </c>
      <c r="E58" s="21">
        <f>IF($B58="","",_项目汇总!$C$54)</f>
      </c>
      <c r="F58" s="21">
        <f>IF($B58="","",_项目汇总!$O$54)</f>
      </c>
      <c r="G58" s="21">
        <f>IF($B58="","",_项目汇总!$Q$54)</f>
      </c>
      <c r="H58" s="21">
        <f>IF($B58="","",_项目汇总!$S$54)</f>
      </c>
      <c r="I58" s="21">
        <f>IF($B58="","",_项目汇总!$U$54)</f>
      </c>
      <c r="J58" s="21">
        <f>IF($B58="","",_项目汇总!$W$54+_项目汇总!$Y$54)</f>
      </c>
      <c r="K58" s="21">
        <f>IF($B58="","",ROUND((_项目汇总!$K$54-_项目汇总!$M$54)*(1+基础资料!$AF$6)+E58*基础资料!$AF$7,2))</f>
      </c>
      <c r="L58" s="21">
        <f>IF($B58="","",_项目汇总!$AA$54)</f>
      </c>
      <c r="M58" s="21">
        <f t="shared" si="0"/>
      </c>
      <c r="N58" s="21">
        <f>IF($B58="","",费用分摊!$O$72)</f>
      </c>
      <c r="O58" s="20">
        <f t="shared" si="1"/>
      </c>
      <c r="P58" s="22">
        <f t="shared" si="2"/>
      </c>
      <c r="Q58" s="21">
        <f>IF($B58="","",SUMIFS(期初余额!$C$5:$C$64,期初余额!$B$5:$B$64,$B58)+_项目汇总!$B$54+_项目汇总!$C$54)</f>
      </c>
      <c r="R58" s="21">
        <f>IF($B58="","",SUMIFS(期初余额!$R$5:$R$204,期初余额!$Q$5:$Q$204,$B58,期初余额!$V$5:$V$204,"材料供应商")+_项目汇总!$N$54+_项目汇总!$O$54)</f>
      </c>
      <c r="S58" s="21">
        <f>IF($B58="","",SUMIFS(期初余额!$F$5:$F$64,期初余额!$B$5:$B$64,$B58)+_项目汇总!$P$54+_项目汇总!$Q$54)</f>
      </c>
      <c r="T58" s="21">
        <f>IF($B58="","",SUMIFS(期初余额!$R$5:$R$204,期初余额!$Q$5:$Q$204,$B58,期初余额!$V$5:$V$204,"分包")+_项目汇总!$R$54+_项目汇总!$S$54)</f>
      </c>
      <c r="U58" s="21">
        <f>IF($B58="","",SUMIFS(期初余额!$R$5:$R$204,期初余额!$Q$5:$Q$204,$B58,期初余额!$V$5:$V$204,"机械运输")+_项目汇总!$T$54+_项目汇总!$U$54)</f>
      </c>
      <c r="V58" s="21">
        <f>IF($B58="","",SUMIFS(期初余额!$G$5:$G$64,期初余额!$B$5:$B$64,$B58)+SUMIFS(期初余额!$R$5:$R$204,期初余额!$Q$5:$Q$204,$B58,期初余额!$V$5:$V$204,"其他")+_项目汇总!$V$54+_项目汇总!$W$54+_项目汇总!$X$54+_项目汇总!$Y$54)</f>
      </c>
      <c r="W58" s="21">
        <f>IF($B58="","",SUMIFS(期初余额!$H$5:$H$64,期初余额!$B$5:$B$64,$B58)+ROUND((_项目汇总!$J$54-_项目汇总!$L$54)*(1+基础资料!$AF$6)+_项目汇总!$B$54*基础资料!$AF$7,2)+K58)</f>
      </c>
      <c r="X58" s="21">
        <f>IF($B58="","",_项目汇总!$Z$54+_项目汇总!$AA$54)</f>
      </c>
      <c r="Y58" s="21">
        <f>IF($B58="","",费用分摊!$M$72)</f>
      </c>
      <c r="Z58" s="20">
        <f t="shared" si="3"/>
      </c>
      <c r="AA58" s="22">
        <f t="shared" si="4"/>
      </c>
      <c r="AB58" s="22">
        <f t="shared" si="5"/>
      </c>
      <c r="AC58" s="22">
        <f t="shared" si="6"/>
      </c>
      <c r="AD58" s="21">
        <f>IF($B58="","",应收账款总表!$G$57)</f>
      </c>
      <c r="AE58" s="21">
        <f>IF($B58="","",应收账款总表!$I$57)</f>
      </c>
      <c r="AF58" s="96">
        <f t="shared" si="7"/>
      </c>
    </row>
    <row r="59">
      <c r="A59" s="94">
        <f>IF($B59="","",53)</f>
      </c>
      <c r="B59" s="96">
        <f>项目档案!$B$56&amp;""</f>
      </c>
      <c r="C59" s="94">
        <f>项目档案!$M$56&amp;""</f>
      </c>
      <c r="D59" s="21">
        <f>IF($B59="","",N(项目档案!$T$56))</f>
      </c>
      <c r="E59" s="21">
        <f>IF($B59="","",_项目汇总!$C$55)</f>
      </c>
      <c r="F59" s="21">
        <f>IF($B59="","",_项目汇总!$O$55)</f>
      </c>
      <c r="G59" s="21">
        <f>IF($B59="","",_项目汇总!$Q$55)</f>
      </c>
      <c r="H59" s="21">
        <f>IF($B59="","",_项目汇总!$S$55)</f>
      </c>
      <c r="I59" s="21">
        <f>IF($B59="","",_项目汇总!$U$55)</f>
      </c>
      <c r="J59" s="21">
        <f>IF($B59="","",_项目汇总!$W$55+_项目汇总!$Y$55)</f>
      </c>
      <c r="K59" s="21">
        <f>IF($B59="","",ROUND((_项目汇总!$K$55-_项目汇总!$M$55)*(1+基础资料!$AF$6)+E59*基础资料!$AF$7,2))</f>
      </c>
      <c r="L59" s="21">
        <f>IF($B59="","",_项目汇总!$AA$55)</f>
      </c>
      <c r="M59" s="21">
        <f t="shared" si="0"/>
      </c>
      <c r="N59" s="21">
        <f>IF($B59="","",费用分摊!$O$73)</f>
      </c>
      <c r="O59" s="20">
        <f t="shared" si="1"/>
      </c>
      <c r="P59" s="22">
        <f t="shared" si="2"/>
      </c>
      <c r="Q59" s="21">
        <f>IF($B59="","",SUMIFS(期初余额!$C$5:$C$64,期初余额!$B$5:$B$64,$B59)+_项目汇总!$B$55+_项目汇总!$C$55)</f>
      </c>
      <c r="R59" s="21">
        <f>IF($B59="","",SUMIFS(期初余额!$R$5:$R$204,期初余额!$Q$5:$Q$204,$B59,期初余额!$V$5:$V$204,"材料供应商")+_项目汇总!$N$55+_项目汇总!$O$55)</f>
      </c>
      <c r="S59" s="21">
        <f>IF($B59="","",SUMIFS(期初余额!$F$5:$F$64,期初余额!$B$5:$B$64,$B59)+_项目汇总!$P$55+_项目汇总!$Q$55)</f>
      </c>
      <c r="T59" s="21">
        <f>IF($B59="","",SUMIFS(期初余额!$R$5:$R$204,期初余额!$Q$5:$Q$204,$B59,期初余额!$V$5:$V$204,"分包")+_项目汇总!$R$55+_项目汇总!$S$55)</f>
      </c>
      <c r="U59" s="21">
        <f>IF($B59="","",SUMIFS(期初余额!$R$5:$R$204,期初余额!$Q$5:$Q$204,$B59,期初余额!$V$5:$V$204,"机械运输")+_项目汇总!$T$55+_项目汇总!$U$55)</f>
      </c>
      <c r="V59" s="21">
        <f>IF($B59="","",SUMIFS(期初余额!$G$5:$G$64,期初余额!$B$5:$B$64,$B59)+SUMIFS(期初余额!$R$5:$R$204,期初余额!$Q$5:$Q$204,$B59,期初余额!$V$5:$V$204,"其他")+_项目汇总!$V$55+_项目汇总!$W$55+_项目汇总!$X$55+_项目汇总!$Y$55)</f>
      </c>
      <c r="W59" s="21">
        <f>IF($B59="","",SUMIFS(期初余额!$H$5:$H$64,期初余额!$B$5:$B$64,$B59)+ROUND((_项目汇总!$J$55-_项目汇总!$L$55)*(1+基础资料!$AF$6)+_项目汇总!$B$55*基础资料!$AF$7,2)+K59)</f>
      </c>
      <c r="X59" s="21">
        <f>IF($B59="","",_项目汇总!$Z$55+_项目汇总!$AA$55)</f>
      </c>
      <c r="Y59" s="21">
        <f>IF($B59="","",费用分摊!$M$73)</f>
      </c>
      <c r="Z59" s="20">
        <f t="shared" si="3"/>
      </c>
      <c r="AA59" s="22">
        <f t="shared" si="4"/>
      </c>
      <c r="AB59" s="22">
        <f t="shared" si="5"/>
      </c>
      <c r="AC59" s="22">
        <f t="shared" si="6"/>
      </c>
      <c r="AD59" s="21">
        <f>IF($B59="","",应收账款总表!$G$58)</f>
      </c>
      <c r="AE59" s="21">
        <f>IF($B59="","",应收账款总表!$I$58)</f>
      </c>
      <c r="AF59" s="96">
        <f t="shared" si="7"/>
      </c>
    </row>
    <row r="60">
      <c r="A60" s="94">
        <f>IF($B60="","",54)</f>
      </c>
      <c r="B60" s="96">
        <f>项目档案!$B$57&amp;""</f>
      </c>
      <c r="C60" s="94">
        <f>项目档案!$M$57&amp;""</f>
      </c>
      <c r="D60" s="21">
        <f>IF($B60="","",N(项目档案!$T$57))</f>
      </c>
      <c r="E60" s="21">
        <f>IF($B60="","",_项目汇总!$C$56)</f>
      </c>
      <c r="F60" s="21">
        <f>IF($B60="","",_项目汇总!$O$56)</f>
      </c>
      <c r="G60" s="21">
        <f>IF($B60="","",_项目汇总!$Q$56)</f>
      </c>
      <c r="H60" s="21">
        <f>IF($B60="","",_项目汇总!$S$56)</f>
      </c>
      <c r="I60" s="21">
        <f>IF($B60="","",_项目汇总!$U$56)</f>
      </c>
      <c r="J60" s="21">
        <f>IF($B60="","",_项目汇总!$W$56+_项目汇总!$Y$56)</f>
      </c>
      <c r="K60" s="21">
        <f>IF($B60="","",ROUND((_项目汇总!$K$56-_项目汇总!$M$56)*(1+基础资料!$AF$6)+E60*基础资料!$AF$7,2))</f>
      </c>
      <c r="L60" s="21">
        <f>IF($B60="","",_项目汇总!$AA$56)</f>
      </c>
      <c r="M60" s="21">
        <f t="shared" si="0"/>
      </c>
      <c r="N60" s="21">
        <f>IF($B60="","",费用分摊!$O$74)</f>
      </c>
      <c r="O60" s="20">
        <f t="shared" si="1"/>
      </c>
      <c r="P60" s="22">
        <f t="shared" si="2"/>
      </c>
      <c r="Q60" s="21">
        <f>IF($B60="","",SUMIFS(期初余额!$C$5:$C$64,期初余额!$B$5:$B$64,$B60)+_项目汇总!$B$56+_项目汇总!$C$56)</f>
      </c>
      <c r="R60" s="21">
        <f>IF($B60="","",SUMIFS(期初余额!$R$5:$R$204,期初余额!$Q$5:$Q$204,$B60,期初余额!$V$5:$V$204,"材料供应商")+_项目汇总!$N$56+_项目汇总!$O$56)</f>
      </c>
      <c r="S60" s="21">
        <f>IF($B60="","",SUMIFS(期初余额!$F$5:$F$64,期初余额!$B$5:$B$64,$B60)+_项目汇总!$P$56+_项目汇总!$Q$56)</f>
      </c>
      <c r="T60" s="21">
        <f>IF($B60="","",SUMIFS(期初余额!$R$5:$R$204,期初余额!$Q$5:$Q$204,$B60,期初余额!$V$5:$V$204,"分包")+_项目汇总!$R$56+_项目汇总!$S$56)</f>
      </c>
      <c r="U60" s="21">
        <f>IF($B60="","",SUMIFS(期初余额!$R$5:$R$204,期初余额!$Q$5:$Q$204,$B60,期初余额!$V$5:$V$204,"机械运输")+_项目汇总!$T$56+_项目汇总!$U$56)</f>
      </c>
      <c r="V60" s="21">
        <f>IF($B60="","",SUMIFS(期初余额!$G$5:$G$64,期初余额!$B$5:$B$64,$B60)+SUMIFS(期初余额!$R$5:$R$204,期初余额!$Q$5:$Q$204,$B60,期初余额!$V$5:$V$204,"其他")+_项目汇总!$V$56+_项目汇总!$W$56+_项目汇总!$X$56+_项目汇总!$Y$56)</f>
      </c>
      <c r="W60" s="21">
        <f>IF($B60="","",SUMIFS(期初余额!$H$5:$H$64,期初余额!$B$5:$B$64,$B60)+ROUND((_项目汇总!$J$56-_项目汇总!$L$56)*(1+基础资料!$AF$6)+_项目汇总!$B$56*基础资料!$AF$7,2)+K60)</f>
      </c>
      <c r="X60" s="21">
        <f>IF($B60="","",_项目汇总!$Z$56+_项目汇总!$AA$56)</f>
      </c>
      <c r="Y60" s="21">
        <f>IF($B60="","",费用分摊!$M$74)</f>
      </c>
      <c r="Z60" s="20">
        <f t="shared" si="3"/>
      </c>
      <c r="AA60" s="22">
        <f t="shared" si="4"/>
      </c>
      <c r="AB60" s="22">
        <f t="shared" si="5"/>
      </c>
      <c r="AC60" s="22">
        <f t="shared" si="6"/>
      </c>
      <c r="AD60" s="21">
        <f>IF($B60="","",应收账款总表!$G$59)</f>
      </c>
      <c r="AE60" s="21">
        <f>IF($B60="","",应收账款总表!$I$59)</f>
      </c>
      <c r="AF60" s="96">
        <f t="shared" si="7"/>
      </c>
    </row>
    <row r="61">
      <c r="A61" s="94">
        <f>IF($B61="","",55)</f>
      </c>
      <c r="B61" s="96">
        <f>项目档案!$B$58&amp;""</f>
      </c>
      <c r="C61" s="94">
        <f>项目档案!$M$58&amp;""</f>
      </c>
      <c r="D61" s="21">
        <f>IF($B61="","",N(项目档案!$T$58))</f>
      </c>
      <c r="E61" s="21">
        <f>IF($B61="","",_项目汇总!$C$57)</f>
      </c>
      <c r="F61" s="21">
        <f>IF($B61="","",_项目汇总!$O$57)</f>
      </c>
      <c r="G61" s="21">
        <f>IF($B61="","",_项目汇总!$Q$57)</f>
      </c>
      <c r="H61" s="21">
        <f>IF($B61="","",_项目汇总!$S$57)</f>
      </c>
      <c r="I61" s="21">
        <f>IF($B61="","",_项目汇总!$U$57)</f>
      </c>
      <c r="J61" s="21">
        <f>IF($B61="","",_项目汇总!$W$57+_项目汇总!$Y$57)</f>
      </c>
      <c r="K61" s="21">
        <f>IF($B61="","",ROUND((_项目汇总!$K$57-_项目汇总!$M$57)*(1+基础资料!$AF$6)+E61*基础资料!$AF$7,2))</f>
      </c>
      <c r="L61" s="21">
        <f>IF($B61="","",_项目汇总!$AA$57)</f>
      </c>
      <c r="M61" s="21">
        <f t="shared" si="0"/>
      </c>
      <c r="N61" s="21">
        <f>IF($B61="","",费用分摊!$O$75)</f>
      </c>
      <c r="O61" s="20">
        <f t="shared" si="1"/>
      </c>
      <c r="P61" s="22">
        <f t="shared" si="2"/>
      </c>
      <c r="Q61" s="21">
        <f>IF($B61="","",SUMIFS(期初余额!$C$5:$C$64,期初余额!$B$5:$B$64,$B61)+_项目汇总!$B$57+_项目汇总!$C$57)</f>
      </c>
      <c r="R61" s="21">
        <f>IF($B61="","",SUMIFS(期初余额!$R$5:$R$204,期初余额!$Q$5:$Q$204,$B61,期初余额!$V$5:$V$204,"材料供应商")+_项目汇总!$N$57+_项目汇总!$O$57)</f>
      </c>
      <c r="S61" s="21">
        <f>IF($B61="","",SUMIFS(期初余额!$F$5:$F$64,期初余额!$B$5:$B$64,$B61)+_项目汇总!$P$57+_项目汇总!$Q$57)</f>
      </c>
      <c r="T61" s="21">
        <f>IF($B61="","",SUMIFS(期初余额!$R$5:$R$204,期初余额!$Q$5:$Q$204,$B61,期初余额!$V$5:$V$204,"分包")+_项目汇总!$R$57+_项目汇总!$S$57)</f>
      </c>
      <c r="U61" s="21">
        <f>IF($B61="","",SUMIFS(期初余额!$R$5:$R$204,期初余额!$Q$5:$Q$204,$B61,期初余额!$V$5:$V$204,"机械运输")+_项目汇总!$T$57+_项目汇总!$U$57)</f>
      </c>
      <c r="V61" s="21">
        <f>IF($B61="","",SUMIFS(期初余额!$G$5:$G$64,期初余额!$B$5:$B$64,$B61)+SUMIFS(期初余额!$R$5:$R$204,期初余额!$Q$5:$Q$204,$B61,期初余额!$V$5:$V$204,"其他")+_项目汇总!$V$57+_项目汇总!$W$57+_项目汇总!$X$57+_项目汇总!$Y$57)</f>
      </c>
      <c r="W61" s="21">
        <f>IF($B61="","",SUMIFS(期初余额!$H$5:$H$64,期初余额!$B$5:$B$64,$B61)+ROUND((_项目汇总!$J$57-_项目汇总!$L$57)*(1+基础资料!$AF$6)+_项目汇总!$B$57*基础资料!$AF$7,2)+K61)</f>
      </c>
      <c r="X61" s="21">
        <f>IF($B61="","",_项目汇总!$Z$57+_项目汇总!$AA$57)</f>
      </c>
      <c r="Y61" s="21">
        <f>IF($B61="","",费用分摊!$M$75)</f>
      </c>
      <c r="Z61" s="20">
        <f t="shared" si="3"/>
      </c>
      <c r="AA61" s="22">
        <f t="shared" si="4"/>
      </c>
      <c r="AB61" s="22">
        <f t="shared" si="5"/>
      </c>
      <c r="AC61" s="22">
        <f t="shared" si="6"/>
      </c>
      <c r="AD61" s="21">
        <f>IF($B61="","",应收账款总表!$G$60)</f>
      </c>
      <c r="AE61" s="21">
        <f>IF($B61="","",应收账款总表!$I$60)</f>
      </c>
      <c r="AF61" s="96">
        <f t="shared" si="7"/>
      </c>
    </row>
    <row r="62">
      <c r="A62" s="94">
        <f>IF($B62="","",56)</f>
      </c>
      <c r="B62" s="96">
        <f>项目档案!$B$59&amp;""</f>
      </c>
      <c r="C62" s="94">
        <f>项目档案!$M$59&amp;""</f>
      </c>
      <c r="D62" s="21">
        <f>IF($B62="","",N(项目档案!$T$59))</f>
      </c>
      <c r="E62" s="21">
        <f>IF($B62="","",_项目汇总!$C$58)</f>
      </c>
      <c r="F62" s="21">
        <f>IF($B62="","",_项目汇总!$O$58)</f>
      </c>
      <c r="G62" s="21">
        <f>IF($B62="","",_项目汇总!$Q$58)</f>
      </c>
      <c r="H62" s="21">
        <f>IF($B62="","",_项目汇总!$S$58)</f>
      </c>
      <c r="I62" s="21">
        <f>IF($B62="","",_项目汇总!$U$58)</f>
      </c>
      <c r="J62" s="21">
        <f>IF($B62="","",_项目汇总!$W$58+_项目汇总!$Y$58)</f>
      </c>
      <c r="K62" s="21">
        <f>IF($B62="","",ROUND((_项目汇总!$K$58-_项目汇总!$M$58)*(1+基础资料!$AF$6)+E62*基础资料!$AF$7,2))</f>
      </c>
      <c r="L62" s="21">
        <f>IF($B62="","",_项目汇总!$AA$58)</f>
      </c>
      <c r="M62" s="21">
        <f t="shared" si="0"/>
      </c>
      <c r="N62" s="21">
        <f>IF($B62="","",费用分摊!$O$76)</f>
      </c>
      <c r="O62" s="20">
        <f t="shared" si="1"/>
      </c>
      <c r="P62" s="22">
        <f t="shared" si="2"/>
      </c>
      <c r="Q62" s="21">
        <f>IF($B62="","",SUMIFS(期初余额!$C$5:$C$64,期初余额!$B$5:$B$64,$B62)+_项目汇总!$B$58+_项目汇总!$C$58)</f>
      </c>
      <c r="R62" s="21">
        <f>IF($B62="","",SUMIFS(期初余额!$R$5:$R$204,期初余额!$Q$5:$Q$204,$B62,期初余额!$V$5:$V$204,"材料供应商")+_项目汇总!$N$58+_项目汇总!$O$58)</f>
      </c>
      <c r="S62" s="21">
        <f>IF($B62="","",SUMIFS(期初余额!$F$5:$F$64,期初余额!$B$5:$B$64,$B62)+_项目汇总!$P$58+_项目汇总!$Q$58)</f>
      </c>
      <c r="T62" s="21">
        <f>IF($B62="","",SUMIFS(期初余额!$R$5:$R$204,期初余额!$Q$5:$Q$204,$B62,期初余额!$V$5:$V$204,"分包")+_项目汇总!$R$58+_项目汇总!$S$58)</f>
      </c>
      <c r="U62" s="21">
        <f>IF($B62="","",SUMIFS(期初余额!$R$5:$R$204,期初余额!$Q$5:$Q$204,$B62,期初余额!$V$5:$V$204,"机械运输")+_项目汇总!$T$58+_项目汇总!$U$58)</f>
      </c>
      <c r="V62" s="21">
        <f>IF($B62="","",SUMIFS(期初余额!$G$5:$G$64,期初余额!$B$5:$B$64,$B62)+SUMIFS(期初余额!$R$5:$R$204,期初余额!$Q$5:$Q$204,$B62,期初余额!$V$5:$V$204,"其他")+_项目汇总!$V$58+_项目汇总!$W$58+_项目汇总!$X$58+_项目汇总!$Y$58)</f>
      </c>
      <c r="W62" s="21">
        <f>IF($B62="","",SUMIFS(期初余额!$H$5:$H$64,期初余额!$B$5:$B$64,$B62)+ROUND((_项目汇总!$J$58-_项目汇总!$L$58)*(1+基础资料!$AF$6)+_项目汇总!$B$58*基础资料!$AF$7,2)+K62)</f>
      </c>
      <c r="X62" s="21">
        <f>IF($B62="","",_项目汇总!$Z$58+_项目汇总!$AA$58)</f>
      </c>
      <c r="Y62" s="21">
        <f>IF($B62="","",费用分摊!$M$76)</f>
      </c>
      <c r="Z62" s="20">
        <f t="shared" si="3"/>
      </c>
      <c r="AA62" s="22">
        <f t="shared" si="4"/>
      </c>
      <c r="AB62" s="22">
        <f t="shared" si="5"/>
      </c>
      <c r="AC62" s="22">
        <f t="shared" si="6"/>
      </c>
      <c r="AD62" s="21">
        <f>IF($B62="","",应收账款总表!$G$61)</f>
      </c>
      <c r="AE62" s="21">
        <f>IF($B62="","",应收账款总表!$I$61)</f>
      </c>
      <c r="AF62" s="96">
        <f t="shared" si="7"/>
      </c>
    </row>
    <row r="63">
      <c r="A63" s="94">
        <f>IF($B63="","",57)</f>
      </c>
      <c r="B63" s="96">
        <f>项目档案!$B$60&amp;""</f>
      </c>
      <c r="C63" s="94">
        <f>项目档案!$M$60&amp;""</f>
      </c>
      <c r="D63" s="21">
        <f>IF($B63="","",N(项目档案!$T$60))</f>
      </c>
      <c r="E63" s="21">
        <f>IF($B63="","",_项目汇总!$C$59)</f>
      </c>
      <c r="F63" s="21">
        <f>IF($B63="","",_项目汇总!$O$59)</f>
      </c>
      <c r="G63" s="21">
        <f>IF($B63="","",_项目汇总!$Q$59)</f>
      </c>
      <c r="H63" s="21">
        <f>IF($B63="","",_项目汇总!$S$59)</f>
      </c>
      <c r="I63" s="21">
        <f>IF($B63="","",_项目汇总!$U$59)</f>
      </c>
      <c r="J63" s="21">
        <f>IF($B63="","",_项目汇总!$W$59+_项目汇总!$Y$59)</f>
      </c>
      <c r="K63" s="21">
        <f>IF($B63="","",ROUND((_项目汇总!$K$59-_项目汇总!$M$59)*(1+基础资料!$AF$6)+E63*基础资料!$AF$7,2))</f>
      </c>
      <c r="L63" s="21">
        <f>IF($B63="","",_项目汇总!$AA$59)</f>
      </c>
      <c r="M63" s="21">
        <f t="shared" si="0"/>
      </c>
      <c r="N63" s="21">
        <f>IF($B63="","",费用分摊!$O$77)</f>
      </c>
      <c r="O63" s="20">
        <f t="shared" si="1"/>
      </c>
      <c r="P63" s="22">
        <f t="shared" si="2"/>
      </c>
      <c r="Q63" s="21">
        <f>IF($B63="","",SUMIFS(期初余额!$C$5:$C$64,期初余额!$B$5:$B$64,$B63)+_项目汇总!$B$59+_项目汇总!$C$59)</f>
      </c>
      <c r="R63" s="21">
        <f>IF($B63="","",SUMIFS(期初余额!$R$5:$R$204,期初余额!$Q$5:$Q$204,$B63,期初余额!$V$5:$V$204,"材料供应商")+_项目汇总!$N$59+_项目汇总!$O$59)</f>
      </c>
      <c r="S63" s="21">
        <f>IF($B63="","",SUMIFS(期初余额!$F$5:$F$64,期初余额!$B$5:$B$64,$B63)+_项目汇总!$P$59+_项目汇总!$Q$59)</f>
      </c>
      <c r="T63" s="21">
        <f>IF($B63="","",SUMIFS(期初余额!$R$5:$R$204,期初余额!$Q$5:$Q$204,$B63,期初余额!$V$5:$V$204,"分包")+_项目汇总!$R$59+_项目汇总!$S$59)</f>
      </c>
      <c r="U63" s="21">
        <f>IF($B63="","",SUMIFS(期初余额!$R$5:$R$204,期初余额!$Q$5:$Q$204,$B63,期初余额!$V$5:$V$204,"机械运输")+_项目汇总!$T$59+_项目汇总!$U$59)</f>
      </c>
      <c r="V63" s="21">
        <f>IF($B63="","",SUMIFS(期初余额!$G$5:$G$64,期初余额!$B$5:$B$64,$B63)+SUMIFS(期初余额!$R$5:$R$204,期初余额!$Q$5:$Q$204,$B63,期初余额!$V$5:$V$204,"其他")+_项目汇总!$V$59+_项目汇总!$W$59+_项目汇总!$X$59+_项目汇总!$Y$59)</f>
      </c>
      <c r="W63" s="21">
        <f>IF($B63="","",SUMIFS(期初余额!$H$5:$H$64,期初余额!$B$5:$B$64,$B63)+ROUND((_项目汇总!$J$59-_项目汇总!$L$59)*(1+基础资料!$AF$6)+_项目汇总!$B$59*基础资料!$AF$7,2)+K63)</f>
      </c>
      <c r="X63" s="21">
        <f>IF($B63="","",_项目汇总!$Z$59+_项目汇总!$AA$59)</f>
      </c>
      <c r="Y63" s="21">
        <f>IF($B63="","",费用分摊!$M$77)</f>
      </c>
      <c r="Z63" s="20">
        <f t="shared" si="3"/>
      </c>
      <c r="AA63" s="22">
        <f t="shared" si="4"/>
      </c>
      <c r="AB63" s="22">
        <f t="shared" si="5"/>
      </c>
      <c r="AC63" s="22">
        <f t="shared" si="6"/>
      </c>
      <c r="AD63" s="21">
        <f>IF($B63="","",应收账款总表!$G$62)</f>
      </c>
      <c r="AE63" s="21">
        <f>IF($B63="","",应收账款总表!$I$62)</f>
      </c>
      <c r="AF63" s="96">
        <f t="shared" si="7"/>
      </c>
    </row>
    <row r="64">
      <c r="A64" s="94">
        <f>IF($B64="","",58)</f>
      </c>
      <c r="B64" s="96">
        <f>项目档案!$B$61&amp;""</f>
      </c>
      <c r="C64" s="94">
        <f>项目档案!$M$61&amp;""</f>
      </c>
      <c r="D64" s="21">
        <f>IF($B64="","",N(项目档案!$T$61))</f>
      </c>
      <c r="E64" s="21">
        <f>IF($B64="","",_项目汇总!$C$60)</f>
      </c>
      <c r="F64" s="21">
        <f>IF($B64="","",_项目汇总!$O$60)</f>
      </c>
      <c r="G64" s="21">
        <f>IF($B64="","",_项目汇总!$Q$60)</f>
      </c>
      <c r="H64" s="21">
        <f>IF($B64="","",_项目汇总!$S$60)</f>
      </c>
      <c r="I64" s="21">
        <f>IF($B64="","",_项目汇总!$U$60)</f>
      </c>
      <c r="J64" s="21">
        <f>IF($B64="","",_项目汇总!$W$60+_项目汇总!$Y$60)</f>
      </c>
      <c r="K64" s="21">
        <f>IF($B64="","",ROUND((_项目汇总!$K$60-_项目汇总!$M$60)*(1+基础资料!$AF$6)+E64*基础资料!$AF$7,2))</f>
      </c>
      <c r="L64" s="21">
        <f>IF($B64="","",_项目汇总!$AA$60)</f>
      </c>
      <c r="M64" s="21">
        <f t="shared" si="0"/>
      </c>
      <c r="N64" s="21">
        <f>IF($B64="","",费用分摊!$O$78)</f>
      </c>
      <c r="O64" s="20">
        <f t="shared" si="1"/>
      </c>
      <c r="P64" s="22">
        <f t="shared" si="2"/>
      </c>
      <c r="Q64" s="21">
        <f>IF($B64="","",SUMIFS(期初余额!$C$5:$C$64,期初余额!$B$5:$B$64,$B64)+_项目汇总!$B$60+_项目汇总!$C$60)</f>
      </c>
      <c r="R64" s="21">
        <f>IF($B64="","",SUMIFS(期初余额!$R$5:$R$204,期初余额!$Q$5:$Q$204,$B64,期初余额!$V$5:$V$204,"材料供应商")+_项目汇总!$N$60+_项目汇总!$O$60)</f>
      </c>
      <c r="S64" s="21">
        <f>IF($B64="","",SUMIFS(期初余额!$F$5:$F$64,期初余额!$B$5:$B$64,$B64)+_项目汇总!$P$60+_项目汇总!$Q$60)</f>
      </c>
      <c r="T64" s="21">
        <f>IF($B64="","",SUMIFS(期初余额!$R$5:$R$204,期初余额!$Q$5:$Q$204,$B64,期初余额!$V$5:$V$204,"分包")+_项目汇总!$R$60+_项目汇总!$S$60)</f>
      </c>
      <c r="U64" s="21">
        <f>IF($B64="","",SUMIFS(期初余额!$R$5:$R$204,期初余额!$Q$5:$Q$204,$B64,期初余额!$V$5:$V$204,"机械运输")+_项目汇总!$T$60+_项目汇总!$U$60)</f>
      </c>
      <c r="V64" s="21">
        <f>IF($B64="","",SUMIFS(期初余额!$G$5:$G$64,期初余额!$B$5:$B$64,$B64)+SUMIFS(期初余额!$R$5:$R$204,期初余额!$Q$5:$Q$204,$B64,期初余额!$V$5:$V$204,"其他")+_项目汇总!$V$60+_项目汇总!$W$60+_项目汇总!$X$60+_项目汇总!$Y$60)</f>
      </c>
      <c r="W64" s="21">
        <f>IF($B64="","",SUMIFS(期初余额!$H$5:$H$64,期初余额!$B$5:$B$64,$B64)+ROUND((_项目汇总!$J$60-_项目汇总!$L$60)*(1+基础资料!$AF$6)+_项目汇总!$B$60*基础资料!$AF$7,2)+K64)</f>
      </c>
      <c r="X64" s="21">
        <f>IF($B64="","",_项目汇总!$Z$60+_项目汇总!$AA$60)</f>
      </c>
      <c r="Y64" s="21">
        <f>IF($B64="","",费用分摊!$M$78)</f>
      </c>
      <c r="Z64" s="20">
        <f t="shared" si="3"/>
      </c>
      <c r="AA64" s="22">
        <f t="shared" si="4"/>
      </c>
      <c r="AB64" s="22">
        <f t="shared" si="5"/>
      </c>
      <c r="AC64" s="22">
        <f t="shared" si="6"/>
      </c>
      <c r="AD64" s="21">
        <f>IF($B64="","",应收账款总表!$G$63)</f>
      </c>
      <c r="AE64" s="21">
        <f>IF($B64="","",应收账款总表!$I$63)</f>
      </c>
      <c r="AF64" s="96">
        <f t="shared" si="7"/>
      </c>
    </row>
    <row r="65">
      <c r="A65" s="94">
        <f>IF($B65="","",59)</f>
      </c>
      <c r="B65" s="96">
        <f>项目档案!$B$62&amp;""</f>
      </c>
      <c r="C65" s="94">
        <f>项目档案!$M$62&amp;""</f>
      </c>
      <c r="D65" s="21">
        <f>IF($B65="","",N(项目档案!$T$62))</f>
      </c>
      <c r="E65" s="21">
        <f>IF($B65="","",_项目汇总!$C$61)</f>
      </c>
      <c r="F65" s="21">
        <f>IF($B65="","",_项目汇总!$O$61)</f>
      </c>
      <c r="G65" s="21">
        <f>IF($B65="","",_项目汇总!$Q$61)</f>
      </c>
      <c r="H65" s="21">
        <f>IF($B65="","",_项目汇总!$S$61)</f>
      </c>
      <c r="I65" s="21">
        <f>IF($B65="","",_项目汇总!$U$61)</f>
      </c>
      <c r="J65" s="21">
        <f>IF($B65="","",_项目汇总!$W$61+_项目汇总!$Y$61)</f>
      </c>
      <c r="K65" s="21">
        <f>IF($B65="","",ROUND((_项目汇总!$K$61-_项目汇总!$M$61)*(1+基础资料!$AF$6)+E65*基础资料!$AF$7,2))</f>
      </c>
      <c r="L65" s="21">
        <f>IF($B65="","",_项目汇总!$AA$61)</f>
      </c>
      <c r="M65" s="21">
        <f t="shared" si="0"/>
      </c>
      <c r="N65" s="21">
        <f>IF($B65="","",费用分摊!$O$79)</f>
      </c>
      <c r="O65" s="20">
        <f t="shared" si="1"/>
      </c>
      <c r="P65" s="22">
        <f t="shared" si="2"/>
      </c>
      <c r="Q65" s="21">
        <f>IF($B65="","",SUMIFS(期初余额!$C$5:$C$64,期初余额!$B$5:$B$64,$B65)+_项目汇总!$B$61+_项目汇总!$C$61)</f>
      </c>
      <c r="R65" s="21">
        <f>IF($B65="","",SUMIFS(期初余额!$R$5:$R$204,期初余额!$Q$5:$Q$204,$B65,期初余额!$V$5:$V$204,"材料供应商")+_项目汇总!$N$61+_项目汇总!$O$61)</f>
      </c>
      <c r="S65" s="21">
        <f>IF($B65="","",SUMIFS(期初余额!$F$5:$F$64,期初余额!$B$5:$B$64,$B65)+_项目汇总!$P$61+_项目汇总!$Q$61)</f>
      </c>
      <c r="T65" s="21">
        <f>IF($B65="","",SUMIFS(期初余额!$R$5:$R$204,期初余额!$Q$5:$Q$204,$B65,期初余额!$V$5:$V$204,"分包")+_项目汇总!$R$61+_项目汇总!$S$61)</f>
      </c>
      <c r="U65" s="21">
        <f>IF($B65="","",SUMIFS(期初余额!$R$5:$R$204,期初余额!$Q$5:$Q$204,$B65,期初余额!$V$5:$V$204,"机械运输")+_项目汇总!$T$61+_项目汇总!$U$61)</f>
      </c>
      <c r="V65" s="21">
        <f>IF($B65="","",SUMIFS(期初余额!$G$5:$G$64,期初余额!$B$5:$B$64,$B65)+SUMIFS(期初余额!$R$5:$R$204,期初余额!$Q$5:$Q$204,$B65,期初余额!$V$5:$V$204,"其他")+_项目汇总!$V$61+_项目汇总!$W$61+_项目汇总!$X$61+_项目汇总!$Y$61)</f>
      </c>
      <c r="W65" s="21">
        <f>IF($B65="","",SUMIFS(期初余额!$H$5:$H$64,期初余额!$B$5:$B$64,$B65)+ROUND((_项目汇总!$J$61-_项目汇总!$L$61)*(1+基础资料!$AF$6)+_项目汇总!$B$61*基础资料!$AF$7,2)+K65)</f>
      </c>
      <c r="X65" s="21">
        <f>IF($B65="","",_项目汇总!$Z$61+_项目汇总!$AA$61)</f>
      </c>
      <c r="Y65" s="21">
        <f>IF($B65="","",费用分摊!$M$79)</f>
      </c>
      <c r="Z65" s="20">
        <f t="shared" si="3"/>
      </c>
      <c r="AA65" s="22">
        <f t="shared" si="4"/>
      </c>
      <c r="AB65" s="22">
        <f t="shared" si="5"/>
      </c>
      <c r="AC65" s="22">
        <f t="shared" si="6"/>
      </c>
      <c r="AD65" s="21">
        <f>IF($B65="","",应收账款总表!$G$64)</f>
      </c>
      <c r="AE65" s="21">
        <f>IF($B65="","",应收账款总表!$I$64)</f>
      </c>
      <c r="AF65" s="96">
        <f t="shared" si="7"/>
      </c>
    </row>
    <row r="66">
      <c r="A66" s="94">
        <f>IF($B66="","",60)</f>
      </c>
      <c r="B66" s="96">
        <f>项目档案!$B$63&amp;""</f>
      </c>
      <c r="C66" s="94">
        <f>项目档案!$M$63&amp;""</f>
      </c>
      <c r="D66" s="21">
        <f>IF($B66="","",N(项目档案!$T$63))</f>
      </c>
      <c r="E66" s="21">
        <f>IF($B66="","",_项目汇总!$C$62)</f>
      </c>
      <c r="F66" s="21">
        <f>IF($B66="","",_项目汇总!$O$62)</f>
      </c>
      <c r="G66" s="21">
        <f>IF($B66="","",_项目汇总!$Q$62)</f>
      </c>
      <c r="H66" s="21">
        <f>IF($B66="","",_项目汇总!$S$62)</f>
      </c>
      <c r="I66" s="21">
        <f>IF($B66="","",_项目汇总!$U$62)</f>
      </c>
      <c r="J66" s="21">
        <f>IF($B66="","",_项目汇总!$W$62+_项目汇总!$Y$62)</f>
      </c>
      <c r="K66" s="21">
        <f>IF($B66="","",ROUND((_项目汇总!$K$62-_项目汇总!$M$62)*(1+基础资料!$AF$6)+E66*基础资料!$AF$7,2))</f>
      </c>
      <c r="L66" s="21">
        <f>IF($B66="","",_项目汇总!$AA$62)</f>
      </c>
      <c r="M66" s="21">
        <f t="shared" si="0"/>
      </c>
      <c r="N66" s="21">
        <f>IF($B66="","",费用分摊!$O$80)</f>
      </c>
      <c r="O66" s="20">
        <f t="shared" si="1"/>
      </c>
      <c r="P66" s="22">
        <f t="shared" si="2"/>
      </c>
      <c r="Q66" s="21">
        <f>IF($B66="","",SUMIFS(期初余额!$C$5:$C$64,期初余额!$B$5:$B$64,$B66)+_项目汇总!$B$62+_项目汇总!$C$62)</f>
      </c>
      <c r="R66" s="21">
        <f>IF($B66="","",SUMIFS(期初余额!$R$5:$R$204,期初余额!$Q$5:$Q$204,$B66,期初余额!$V$5:$V$204,"材料供应商")+_项目汇总!$N$62+_项目汇总!$O$62)</f>
      </c>
      <c r="S66" s="21">
        <f>IF($B66="","",SUMIFS(期初余额!$F$5:$F$64,期初余额!$B$5:$B$64,$B66)+_项目汇总!$P$62+_项目汇总!$Q$62)</f>
      </c>
      <c r="T66" s="21">
        <f>IF($B66="","",SUMIFS(期初余额!$R$5:$R$204,期初余额!$Q$5:$Q$204,$B66,期初余额!$V$5:$V$204,"分包")+_项目汇总!$R$62+_项目汇总!$S$62)</f>
      </c>
      <c r="U66" s="21">
        <f>IF($B66="","",SUMIFS(期初余额!$R$5:$R$204,期初余额!$Q$5:$Q$204,$B66,期初余额!$V$5:$V$204,"机械运输")+_项目汇总!$T$62+_项目汇总!$U$62)</f>
      </c>
      <c r="V66" s="21">
        <f>IF($B66="","",SUMIFS(期初余额!$G$5:$G$64,期初余额!$B$5:$B$64,$B66)+SUMIFS(期初余额!$R$5:$R$204,期初余额!$Q$5:$Q$204,$B66,期初余额!$V$5:$V$204,"其他")+_项目汇总!$V$62+_项目汇总!$W$62+_项目汇总!$X$62+_项目汇总!$Y$62)</f>
      </c>
      <c r="W66" s="21">
        <f>IF($B66="","",SUMIFS(期初余额!$H$5:$H$64,期初余额!$B$5:$B$64,$B66)+ROUND((_项目汇总!$J$62-_项目汇总!$L$62)*(1+基础资料!$AF$6)+_项目汇总!$B$62*基础资料!$AF$7,2)+K66)</f>
      </c>
      <c r="X66" s="21">
        <f>IF($B66="","",_项目汇总!$Z$62+_项目汇总!$AA$62)</f>
      </c>
      <c r="Y66" s="21">
        <f>IF($B66="","",费用分摊!$M$80)</f>
      </c>
      <c r="Z66" s="20">
        <f t="shared" si="3"/>
      </c>
      <c r="AA66" s="22">
        <f t="shared" si="4"/>
      </c>
      <c r="AB66" s="22">
        <f t="shared" si="5"/>
      </c>
      <c r="AC66" s="22">
        <f t="shared" si="6"/>
      </c>
      <c r="AD66" s="21">
        <f>IF($B66="","",应收账款总表!$G$65)</f>
      </c>
      <c r="AE66" s="21">
        <f>IF($B66="","",应收账款总表!$I$65)</f>
      </c>
      <c r="AF66" s="96">
        <f t="shared" si="7"/>
      </c>
    </row>
    <row r="67"/>
    <row r="68"/>
    <row r="69">
      <c r="A69" s="75" t="inlineStr">
        <is>
          <t>本年：各项目净利 → 公司利润表净利润（对得上才说明没漏没重）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</row>
    <row r="70">
      <c r="B70" s="19" t="inlineStr">
        <is>
          <t>各项目净利合计</t>
        </is>
      </c>
      <c r="C70" s="73">
        <f>O6</f>
        <v>-436193.09</v>
      </c>
      <c r="D70" s="7" t="inlineStr"/>
    </row>
    <row r="71">
      <c r="B71" s="19" t="inlineStr">
        <is>
          <t>加：没归到项目的收入</t>
        </is>
      </c>
      <c r="C71" s="73">
        <f>_月汇总!$O$3-E6</f>
        <v>0</v>
      </c>
      <c r="D71" s="7" t="inlineStr">
        <is>
          <t>收入确认里项目填错、没填的</t>
        </is>
      </c>
    </row>
    <row r="72">
      <c r="B72" s="19" t="inlineStr">
        <is>
          <t>减：没归到项目的直接成本、税金、贴息</t>
        </is>
      </c>
      <c r="C72" s="73">
        <f>-((_月汇总!$O$4+_月汇总!$O$5+_月汇总!$O$6+_月汇总!$O$7+_月汇总!$O$8+_月汇总!$O$9+_月汇总!$O$10)-(F6+G6+H6+I6+J6+K6+L6))</f>
        <v>-64316.3424</v>
      </c>
      <c r="D72" s="7" t="inlineStr">
        <is>
          <t>流水、应付登记里项目没选的（去看 ✗）</t>
        </is>
      </c>
    </row>
    <row r="73">
      <c r="B73" s="19" t="inlineStr">
        <is>
          <t>减：没摊完的管理费（多摊了是加）</t>
        </is>
      </c>
      <c r="C73" s="73">
        <f>-(_月汇总!$O$11+_月汇总!$O$12+_月汇总!$O$13+_月汇总!$O$14+_月汇总!$O$15+_月汇总!$O$16+_月汇总!$O$17+_月汇总!$O$18-N6)</f>
        <v>-0.0100000000093132</v>
      </c>
      <c r="D73" s="7" t="inlineStr">
        <is>
          <t>定稿费率跟算出来的不一样时的差额</t>
        </is>
      </c>
    </row>
    <row r="74">
      <c r="B74" s="19" t="inlineStr">
        <is>
          <t>减：公司不分摊的（利息、手续费、其他收支）</t>
        </is>
      </c>
      <c r="C74" s="73">
        <f>-(_月汇总!$O$19+_月汇总!$O$20+_月汇总!$O$21+_月汇总!$O$23+_月汇总!$O$24-_月汇总!$O$22)</f>
        <v>-6001.21</v>
      </c>
      <c r="D74" s="7" t="inlineStr">
        <is>
          <t>贷款利息、手续费、其他收支留在公司，不摊到项目</t>
        </is>
      </c>
    </row>
    <row r="75">
      <c r="B75" s="19" t="inlineStr">
        <is>
          <t>减：所得税</t>
        </is>
      </c>
      <c r="C75" s="73">
        <f>-_月汇总!$O$25</f>
        <v>-93.94</v>
      </c>
      <c r="D75" s="7" t="inlineStr"/>
    </row>
    <row r="76">
      <c r="B76" s="139" t="inlineStr">
        <is>
          <t>＝ 算出来的本年净利润</t>
        </is>
      </c>
      <c r="C76" s="77">
        <f>SUM(C70:C75)</f>
        <v>-506604.5924</v>
      </c>
      <c r="D76" s="7" t="inlineStr"/>
    </row>
    <row r="77">
      <c r="B77" s="139" t="inlineStr">
        <is>
          <t>【利润表】本年净利润</t>
        </is>
      </c>
      <c r="C77" s="73">
        <f>_月汇总!$O$3+_月汇总!$O$22-(_月汇总!$O$4+_月汇总!$O$5+_月汇总!$O$6+_月汇总!$O$7+_月汇总!$O$8+_月汇总!$O$9+_月汇总!$O$10+_月汇总!$O$11+_月汇总!$O$12+_月汇总!$O$13+_月汇总!$O$14+_月汇总!$O$15+_月汇总!$O$16+_月汇总!$O$17+_月汇总!$O$18+_月汇总!$O$19+_月汇总!$O$20+_月汇总!$O$21+_月汇总!$O$23+_月汇总!$O$24+_月汇总!$O$25)</f>
        <v>-506604.5924</v>
      </c>
      <c r="D77" s="7" t="inlineStr"/>
    </row>
    <row r="78">
      <c r="B78" s="139" t="inlineStr">
        <is>
          <t>差额（应该是 0）</t>
        </is>
      </c>
      <c r="C78" s="77">
        <f>ROUND(C76-C77,2)</f>
        <v>0</v>
      </c>
      <c r="D78" s="7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5:AF66"/>
  <mergeCells count="6">
    <mergeCell ref="E4:P4"/>
    <mergeCell ref="A1:AF1"/>
    <mergeCell ref="B3:F3"/>
    <mergeCell ref="Q4:AF4"/>
    <mergeCell ref="A69:M69"/>
    <mergeCell ref="A2:AF2"/>
  </mergeCells>
  <conditionalFormatting sqref="O7:O66">
    <cfRule type="expression" priority="1" dxfId="10">
      <formula>N($O7)&lt;0</formula>
    </cfRule>
  </conditionalFormatting>
  <conditionalFormatting sqref="Z7:Z66">
    <cfRule type="expression" priority="2" dxfId="10">
      <formula>N($Z7)&lt;0</formula>
    </cfRule>
  </conditionalFormatting>
  <conditionalFormatting sqref="AF7:AF66">
    <cfRule type="expression" priority="3" dxfId="1">
      <formula>$AF7&lt;&gt;""</formula>
    </cfRule>
  </conditionalFormatting>
  <conditionalFormatting sqref="C78">
    <cfRule type="expression" priority="4" dxfId="10">
      <formula>ABS(N(C78))&gt;0.01</formula>
    </cfRule>
  </conditionalFormatting>
  <hyperlinks>
    <hyperlink ref="AG1" location="'首页'!A1" display="← 回首页"/>
  </hyperlinks>
  <pageMargins left="0.3" right="0.3" top="0.5" bottom="0.5" header="0.5" footer="0.5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T90"/>
  <sheetViews>
    <sheetView showGridLines="0" tabSelected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3.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9" customWidth="1" min="16" max="16"/>
    <col width="15" customWidth="1" min="17" max="17"/>
    <col width="15" customWidth="1" min="18" max="18"/>
    <col width="8" customWidth="1" min="19" max="19"/>
    <col hidden="1" width="13" customWidth="1" min="20" max="20"/>
  </cols>
  <sheetData>
    <row r="1" ht="33" customHeight="1">
      <c r="A1" s="125" t="inlineStr">
        <is>
          <t>费 用 分 摊（老板工资、办公室开支怎么摊到每个项目）</t>
        </is>
      </c>
      <c r="T1" s="33" t="inlineStr">
        <is>
          <t>← 回首页</t>
        </is>
      </c>
    </row>
    <row r="2" ht="38" customHeight="1">
      <c r="A2" s="3" t="inlineStr">
        <is>
          <t>💡 办法：每年算一个「管理费率」＝这一年公司的间接费用（管理人员在公司的工资、社保、办公、招待、车辆、伙食、折旧等）÷ 这一年所有项目的施工费（人工＋分包＋机械），每个项目这一年摊到的管理费＝它这一年的施工费 × 费率。年中按到目前为止的费率先摊，年底在「定稿费率」填最后的数，以前年度就不会再变。好处：谁干的活多（工人、分包、机械用得多）谁多摊，工期长的自然摊得多，工期一周的只摊一周的；工程款几年收不到也不影响；同一年的间接费用全部摊完，一分不多一分不少。</t>
        </is>
      </c>
    </row>
    <row r="3">
      <c r="B3" s="98" t="str">
        <f>"分摊依据：【基础资料】⑤ 选的「"&amp;基础资料!$AF$9&amp;"」（"&amp;IF(基础资料!$AF$9="直接成本","材料＋人工＋分包＋机械＋其他直接费","人工＋分包＋机械")&amp;"）；截止 "&amp;TEXT(_辅助!$J$9,"yyyy年m月d日")</f>
        <v>分摊依据：【基础资料】⑤ 选的「施工费」（人工＋分包＋机械）；截止 2026年8月31日</v>
      </c>
    </row>
    <row r="4"/>
    <row r="5"/>
    <row r="6">
      <c r="A6" s="30" t="inlineStr">
        <is>
          <t>① 各年管理费率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</row>
    <row r="7" ht="40" customHeight="1">
      <c r="A7" s="127" t="inlineStr">
        <is>
          <t>年份</t>
        </is>
      </c>
      <c r="B7" s="127" t="inlineStr">
        <is>
          <t>间接费用合计</t>
        </is>
      </c>
      <c r="C7" s="127" t="inlineStr">
        <is>
          <t>分摊依据合计</t>
        </is>
      </c>
      <c r="D7" s="127" t="inlineStr">
        <is>
          <t>算出来的
费率</t>
        </is>
      </c>
      <c r="E7" s="127" t="inlineStr">
        <is>
          <t>定稿费率
（年底填）</t>
        </is>
      </c>
      <c r="F7" s="127" t="inlineStr">
        <is>
          <t>采用的费率</t>
        </is>
      </c>
      <c r="G7" s="127" t="inlineStr">
        <is>
          <t>摊到项目合计</t>
        </is>
      </c>
      <c r="H7" s="127" t="inlineStr">
        <is>
          <t>没摊完(＋)
多摊了(−)</t>
        </is>
      </c>
      <c r="I7" s="127" t="inlineStr">
        <is>
          <t>说明</t>
        </is>
      </c>
      <c r="J7" s="9" t="n"/>
      <c r="K7" s="9" t="n"/>
      <c r="L7" s="10" t="n"/>
    </row>
    <row r="8">
      <c r="A8" s="123">
        <f>_辅助!$J$6+0</f>
        <v>2026</v>
      </c>
      <c r="B8" s="21">
        <f t="shared" ref="B8:B15" si="0">IF($A8&lt;=_辅助!$J$7,IF($A8=_辅助!$J$7,_月汇总!$O$11+_月汇总!$O$12+_月汇总!$O$13+_月汇总!$O$14+_月汇总!$O$15+_月汇总!$O$16+_月汇总!$O$17+_月汇总!$O$18,((SUMIFS(考勤工资!$AG$5:$AG$1004,考勤工资!$Y$5:$Y$1004,"&gt;="&amp;MAX($A8*100+1,_辅助!$J$4),考勤工资!$Y$5:$Y$1004,"&lt;="&amp;MIN($A8*100+12,_辅助!$J$2))+(-SUMIFS(资金流水!$R$6:$R$2005,资金流水!$X$6:$X$2005,"管理人员工资",资金流水!$S$6:$S$2005,"&gt;="&amp;MAX($A8*100+1,_辅助!$J$4),资金流水!$S$6:$S$2005,"&lt;="&amp;MIN($A8*100+12,_辅助!$J$2))))+((-SUMIFS(资金流水!$R$6:$R$2005,资金流水!$X$6:$X$2005,"社保费",资金流水!$S$6:$S$2005,"&gt;="&amp;MAX($A8*100+1,_辅助!$J$4),资金流水!$S$6:$S$2005,"&lt;="&amp;MIN($A8*100+12,_辅助!$J$2)))-SUMIFS(考勤工资!$P$5:$P$1004,考勤工资!$Y$5:$Y$1004,"&gt;="&amp;MAX($A8*100+1,_辅助!$J$4),考勤工资!$Y$5:$Y$1004,"&lt;="&amp;MIN($A8*100+12,_辅助!$J$2)))+(-SUMIFS(资金流水!$R$6:$R$2005,资金流水!$X$6:$X$2005,"办公费",资金流水!$S$6:$S$2005,"&gt;="&amp;MAX($A8*100+1,_辅助!$J$4),资金流水!$S$6:$S$2005,"&lt;="&amp;MIN($A8*100+12,_辅助!$J$2)))+(-SUMIFS(资金流水!$R$6:$R$2005,资金流水!$X$6:$X$2005,"食堂伙食",资金流水!$S$6:$S$2005,"&gt;="&amp;MAX($A8*100+1,_辅助!$J$4),资金流水!$S$6:$S$2005,"&lt;="&amp;MIN($A8*100+12,_辅助!$J$2)))+(-SUMIFS(资金流水!$R$6:$R$2005,资金流水!$X$6:$X$2005,"业务招待费",资金流水!$S$6:$S$2005,"&gt;="&amp;MAX($A8*100+1,_辅助!$J$4),资金流水!$S$6:$S$2005,"&lt;="&amp;MIN($A8*100+12,_辅助!$J$2)))+(-SUMIFS(资金流水!$R$6:$R$2005,资金流水!$X$6:$X$2005,"车辆差旅",资金流水!$S$6:$S$2005,"&gt;="&amp;MAX($A8*100+1,_辅助!$J$4),资金流水!$S$6:$S$2005,"&lt;="&amp;MIN($A8*100+12,_辅助!$J$2)))+(SUMPRODUCT(基础资料!$AP$5:$AP$34*((基础资料!$AS$5:$AS$34+((INT(MIN($A8*100+12,_辅助!$J$2)/100)*12+MOD(MIN($A8*100+12,_辅助!$J$2),100))-基础资料!$AS$5:$AS$34)*((INT(MIN($A8*100+12,_辅助!$J$2)/100)*12+MOD(MIN($A8*100+12,_辅助!$J$2),100))&lt;基础资料!$AS$5:$AS$34))-(基础资料!$AR$5:$AR$34+((INT(MAX($A8*100+1,_辅助!$J$4)/100)*12+MOD(MAX($A8*100+1,_辅助!$J$4),100))-基础资料!$AR$5:$AR$34)*((INT(MAX($A8*100+1,_辅助!$J$4)/100)*12+MOD(MAX($A8*100+1,_辅助!$J$4),100))&gt;基础资料!$AR$5:$AR$34))+1)*(((基础资料!$AS$5:$AS$34+((INT(MIN($A8*100+12,_辅助!$J$2)/100)*12+MOD(MIN($A8*100+12,_辅助!$J$2),100))-基础资料!$AS$5:$AS$34)*((INT(MIN($A8*100+12,_辅助!$J$2)/100)*12+MOD(MIN($A8*100+12,_辅助!$J$2),100))&lt;基础资料!$AS$5:$AS$34))-(基础资料!$AR$5:$AR$34+((INT(MAX($A8*100+1,_辅助!$J$4)/100)*12+MOD(MAX($A8*100+1,_辅助!$J$4),100))-基础资料!$AR$5:$AR$34)*((INT(MAX($A8*100+1,_辅助!$J$4)/100)*12+MOD(MAX($A8*100+1,_辅助!$J$4),100))&gt;基础资料!$AR$5:$AR$34))+1)&gt;0)*(基础资料!$AO$5:$AO$34=""))+(-SUMIFS(资金流水!$R$6:$R$2005,资金流水!$X$6:$X$2005,"折旧费",资金流水!$S$6:$S$2005,"&gt;="&amp;MAX($A8*100+1,_辅助!$J$4),资金流水!$S$6:$S$2005,"&lt;="&amp;MIN($A8*100+12,_辅助!$J$2))))+(-SUMIFS(资金流水!$R$6:$R$2005,资金流水!$X$6:$X$2005,"其他管理费",资金流水!$S$6:$S$2005,"&gt;="&amp;MAX($A8*100+1,_辅助!$J$4),资金流水!$S$6:$S$2005,"&lt;="&amp;MIN($A8*100+12,_辅助!$J$2))))),"")</f>
        <v>86223.24</v>
      </c>
      <c r="C8" s="21">
        <f>IF($A8&lt;=_辅助!$J$7,SUM(_项目汇总!$AN$3:$AN$62),"")</f>
        <v>229363.9</v>
      </c>
      <c r="D8" s="22">
        <f t="shared" ref="D8:D15" si="1">IF(OR(NOT($A8&lt;=_辅助!$J$7),N(C8)=0),"",B8/C8)</f>
        <v>0.375923325335853</v>
      </c>
      <c r="E8" s="140" t="n"/>
      <c r="F8" s="141">
        <f t="shared" ref="F8:F15" si="3">IF(NOT($A8&lt;=_辅助!$J$7),"",IF(ISNUMBER(E8),E8,IF(ISNUMBER(D8),D8,0)))</f>
        <v>0.375923325335853</v>
      </c>
      <c r="G8" s="21">
        <f>IF(NOT($A8&lt;=_辅助!$J$7),"",ROUND(SUM(E$21:E$80),2))</f>
        <v>86223.23</v>
      </c>
      <c r="H8" s="21">
        <f t="shared" ref="H8:H15" si="4">IF(NOT($A8&lt;=_辅助!$J$7),"",ROUND(B8-G8,2))</f>
        <v>0.01</v>
      </c>
      <c r="I8" s="28" t="str">
        <f t="shared" ref="I8:I15" si="5">IF(NOT($A8&lt;=_辅助!$J$7),"",IF(AND($A8=_辅助!$J$7,NOT(ISNUMBER(E8))),"今年还没完，按到"&amp;_辅助!$J$8&amp;"月的费率先摊；年底填定稿费率",IF(NOT(ISNUMBER(E8)),"去年的账定了就把费率填到 E 列",IF(ABS(N(H8))&gt;1,"定稿费率跟算出来的不一样，差额留在公司",""))))</f>
        <v>今年还没完，按到8月的费率先摊；年底填定稿费率</v>
      </c>
      <c r="J8" s="9" t="n"/>
      <c r="K8" s="9" t="n"/>
      <c r="L8" s="10" t="n"/>
    </row>
    <row r="9">
      <c r="A9" s="123">
        <f>_辅助!$J$6+1</f>
        <v>2027</v>
      </c>
      <c r="B9" s="21">
        <f t="shared" si="0"/>
      </c>
      <c r="C9" s="21">
        <f>IF($A9&lt;=_辅助!$J$7,SUM(_项目汇总!$AO$3:$AO$62),"")</f>
      </c>
      <c r="D9" s="22">
        <f t="shared" si="1"/>
      </c>
      <c r="E9" s="140" t="n"/>
      <c r="F9" s="141">
        <f t="shared" si="3"/>
      </c>
      <c r="G9" s="21">
        <f>IF(NOT($A9&lt;=_辅助!$J$7),"",ROUND(SUM(F$21:F$80),2))</f>
      </c>
      <c r="H9" s="21">
        <f t="shared" si="4"/>
      </c>
      <c r="I9" s="28">
        <f t="shared" si="5"/>
      </c>
      <c r="J9" s="9" t="n"/>
      <c r="K9" s="9" t="n"/>
      <c r="L9" s="10" t="n"/>
    </row>
    <row r="10">
      <c r="A10" s="123">
        <f>_辅助!$J$6+2</f>
        <v>2028</v>
      </c>
      <c r="B10" s="21">
        <f t="shared" si="0"/>
      </c>
      <c r="C10" s="21">
        <f>IF($A10&lt;=_辅助!$J$7,SUM(_项目汇总!$AP$3:$AP$62),"")</f>
      </c>
      <c r="D10" s="22">
        <f t="shared" si="1"/>
      </c>
      <c r="E10" s="140" t="n"/>
      <c r="F10" s="141">
        <f t="shared" si="3"/>
      </c>
      <c r="G10" s="21">
        <f>IF(NOT($A10&lt;=_辅助!$J$7),"",ROUND(SUM(G$21:G$80),2))</f>
      </c>
      <c r="H10" s="21">
        <f t="shared" si="4"/>
      </c>
      <c r="I10" s="28">
        <f t="shared" si="5"/>
      </c>
      <c r="J10" s="9" t="n"/>
      <c r="K10" s="9" t="n"/>
      <c r="L10" s="10" t="n"/>
    </row>
    <row r="11">
      <c r="A11" s="123">
        <f>_辅助!$J$6+3</f>
        <v>2029</v>
      </c>
      <c r="B11" s="21">
        <f t="shared" si="0"/>
      </c>
      <c r="C11" s="21">
        <f>IF($A11&lt;=_辅助!$J$7,SUM(_项目汇总!$AQ$3:$AQ$62),"")</f>
      </c>
      <c r="D11" s="22">
        <f t="shared" si="1"/>
      </c>
      <c r="E11" s="140" t="n"/>
      <c r="F11" s="141">
        <f t="shared" si="3"/>
      </c>
      <c r="G11" s="21">
        <f>IF(NOT($A11&lt;=_辅助!$J$7),"",ROUND(SUM(H$21:H$80),2))</f>
      </c>
      <c r="H11" s="21">
        <f t="shared" si="4"/>
      </c>
      <c r="I11" s="28">
        <f t="shared" si="5"/>
      </c>
      <c r="J11" s="9" t="n"/>
      <c r="K11" s="9" t="n"/>
      <c r="L11" s="10" t="n"/>
    </row>
    <row r="12">
      <c r="A12" s="123">
        <f>_辅助!$J$6+4</f>
        <v>2030</v>
      </c>
      <c r="B12" s="21">
        <f t="shared" si="0"/>
      </c>
      <c r="C12" s="21">
        <f>IF($A12&lt;=_辅助!$J$7,SUM(_项目汇总!$AR$3:$AR$62),"")</f>
      </c>
      <c r="D12" s="22">
        <f t="shared" si="1"/>
      </c>
      <c r="E12" s="140" t="n"/>
      <c r="F12" s="141">
        <f t="shared" si="3"/>
      </c>
      <c r="G12" s="21">
        <f>IF(NOT($A12&lt;=_辅助!$J$7),"",ROUND(SUM(I$21:I$80),2))</f>
      </c>
      <c r="H12" s="21">
        <f t="shared" si="4"/>
      </c>
      <c r="I12" s="28">
        <f t="shared" si="5"/>
      </c>
      <c r="J12" s="9" t="n"/>
      <c r="K12" s="9" t="n"/>
      <c r="L12" s="10" t="n"/>
    </row>
    <row r="13">
      <c r="A13" s="123">
        <f>_辅助!$J$6+5</f>
        <v>2031</v>
      </c>
      <c r="B13" s="21">
        <f t="shared" si="0"/>
      </c>
      <c r="C13" s="21">
        <f>IF($A13&lt;=_辅助!$J$7,SUM(_项目汇总!$AS$3:$AS$62),"")</f>
      </c>
      <c r="D13" s="22">
        <f t="shared" si="1"/>
      </c>
      <c r="E13" s="140" t="n"/>
      <c r="F13" s="141">
        <f t="shared" si="3"/>
      </c>
      <c r="G13" s="21">
        <f>IF(NOT($A13&lt;=_辅助!$J$7),"",ROUND(SUM(J$21:J$80),2))</f>
      </c>
      <c r="H13" s="21">
        <f t="shared" si="4"/>
      </c>
      <c r="I13" s="28">
        <f t="shared" si="5"/>
      </c>
      <c r="J13" s="9" t="n"/>
      <c r="K13" s="9" t="n"/>
      <c r="L13" s="10" t="n"/>
    </row>
    <row r="14">
      <c r="A14" s="123">
        <f>_辅助!$J$6+6</f>
        <v>2032</v>
      </c>
      <c r="B14" s="21">
        <f t="shared" si="0"/>
      </c>
      <c r="C14" s="21">
        <f>IF($A14&lt;=_辅助!$J$7,SUM(_项目汇总!$AT$3:$AT$62),"")</f>
      </c>
      <c r="D14" s="22">
        <f t="shared" si="1"/>
      </c>
      <c r="E14" s="140" t="n"/>
      <c r="F14" s="141">
        <f t="shared" si="3"/>
      </c>
      <c r="G14" s="21">
        <f>IF(NOT($A14&lt;=_辅助!$J$7),"",ROUND(SUM(K$21:K$80),2))</f>
      </c>
      <c r="H14" s="21">
        <f t="shared" si="4"/>
      </c>
      <c r="I14" s="28">
        <f t="shared" si="5"/>
      </c>
      <c r="J14" s="9" t="n"/>
      <c r="K14" s="9" t="n"/>
      <c r="L14" s="10" t="n"/>
    </row>
    <row r="15">
      <c r="A15" s="123">
        <f>_辅助!$J$6+7</f>
        <v>2033</v>
      </c>
      <c r="B15" s="21">
        <f t="shared" si="0"/>
      </c>
      <c r="C15" s="21">
        <f>IF($A15&lt;=_辅助!$J$7,SUM(_项目汇总!$AU$3:$AU$62),"")</f>
      </c>
      <c r="D15" s="22">
        <f t="shared" si="1"/>
      </c>
      <c r="E15" s="140" t="n"/>
      <c r="F15" s="141">
        <f t="shared" si="3"/>
      </c>
      <c r="G15" s="21">
        <f>IF(NOT($A15&lt;=_辅助!$J$7),"",ROUND(SUM(L$21:L$80),2))</f>
      </c>
      <c r="H15" s="21">
        <f t="shared" si="4"/>
      </c>
      <c r="I15" s="28">
        <f t="shared" si="5"/>
      </c>
      <c r="J15" s="9" t="n"/>
      <c r="K15" s="9" t="n"/>
      <c r="L15" s="10" t="n"/>
    </row>
    <row r="16"/>
    <row r="17"/>
    <row r="18"/>
    <row r="19">
      <c r="A19" s="30" t="inlineStr">
        <is>
          <t>② 每个项目摊到的管理费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</row>
    <row r="20" ht="40" customHeight="1">
      <c r="A20" s="127" t="inlineStr">
        <is>
          <t>序号</t>
        </is>
      </c>
      <c r="B20" s="127" t="inlineStr">
        <is>
          <t>项目</t>
        </is>
      </c>
      <c r="C20" s="127" t="inlineStr">
        <is>
          <t>状态</t>
        </is>
      </c>
      <c r="D20" s="127" t="inlineStr">
        <is>
          <t>建账前
已摊</t>
        </is>
      </c>
      <c r="E20" s="142" t="str">
        <f>_辅助!$J$6+0&amp;"年"</f>
        <v>2026年</v>
      </c>
      <c r="F20" s="142" t="str">
        <f>_辅助!$J$6+1&amp;"年"</f>
        <v>2027年</v>
      </c>
      <c r="G20" s="142" t="str">
        <f>_辅助!$J$6+2&amp;"年"</f>
        <v>2028年</v>
      </c>
      <c r="H20" s="142" t="str">
        <f>_辅助!$J$6+3&amp;"年"</f>
        <v>2029年</v>
      </c>
      <c r="I20" s="142" t="str">
        <f>_辅助!$J$6+4&amp;"年"</f>
        <v>2030年</v>
      </c>
      <c r="J20" s="142" t="str">
        <f>_辅助!$J$6+5&amp;"年"</f>
        <v>2031年</v>
      </c>
      <c r="K20" s="142" t="str">
        <f>_辅助!$J$6+6&amp;"年"</f>
        <v>2032年</v>
      </c>
      <c r="L20" s="142" t="str">
        <f>_辅助!$J$6+7&amp;"年"</f>
        <v>2033年</v>
      </c>
      <c r="M20" s="127" t="inlineStr">
        <is>
          <t>开工至今
合计</t>
        </is>
      </c>
      <c r="N20" s="127" t="inlineStr">
        <is>
          <t>本年
分摊依据</t>
        </is>
      </c>
      <c r="O20" s="127" t="inlineStr">
        <is>
          <t>本年摊到</t>
        </is>
      </c>
      <c r="P20" s="127" t="inlineStr">
        <is>
          <t>本年
占比</t>
        </is>
      </c>
      <c r="Q20" s="127" t="inlineStr">
        <is>
          <t>老办法
(按合同额)</t>
        </is>
      </c>
      <c r="R20" s="127" t="inlineStr">
        <is>
          <t>差多少
(新−老)</t>
        </is>
      </c>
      <c r="S20" s="127" t="inlineStr">
        <is>
          <t>本年
干过活</t>
        </is>
      </c>
    </row>
    <row r="21">
      <c r="A21" s="94">
        <f>IF($B21="","",1)</f>
        <v>1</v>
      </c>
      <c r="B21" s="19" t="str">
        <f>项目档案!$B$4&amp;""</f>
        <v>德安养老中心</v>
      </c>
      <c r="C21" s="94" t="str">
        <f>项目档案!$M$4&amp;""</f>
        <v>在建</v>
      </c>
      <c r="D21" s="21">
        <f t="shared" ref="D21:D80" si="2">IF($B21="","",SUMIFS(期初余额!$I$5:$I$64,期初余额!$B$5:$B$64,$B21))</f>
        <v>124396.07</v>
      </c>
      <c r="E21" s="21">
        <f>IF($B21="","",ROUND(_项目汇总!$AN$3*N($F$8),2))</f>
        <v>55367.45</v>
      </c>
      <c r="F21" s="21">
        <f>IF($B21="","",ROUND(_项目汇总!$AO$3*N($F$9),2))</f>
        <v>0</v>
      </c>
      <c r="G21" s="21">
        <f>IF($B21="","",ROUND(_项目汇总!$AP$3*N($F$10),2))</f>
        <v>0</v>
      </c>
      <c r="H21" s="21">
        <f>IF($B21="","",ROUND(_项目汇总!$AQ$3*N($F$11),2))</f>
        <v>0</v>
      </c>
      <c r="I21" s="21">
        <f>IF($B21="","",ROUND(_项目汇总!$AR$3*N($F$12),2))</f>
        <v>0</v>
      </c>
      <c r="J21" s="21">
        <f>IF($B21="","",ROUND(_项目汇总!$AS$3*N($F$13),2))</f>
        <v>0</v>
      </c>
      <c r="K21" s="21">
        <f>IF($B21="","",ROUND(_项目汇总!$AT$3*N($F$14),2))</f>
        <v>0</v>
      </c>
      <c r="L21" s="21">
        <f>IF($B21="","",ROUND(_项目汇总!$AU$3*N($F$15),2))</f>
        <v>0</v>
      </c>
      <c r="M21" s="20">
        <f t="shared" ref="M21:M80" si="6">IF($B21="","",N(D21)+SUM(E21:L21))</f>
        <v>179763.52</v>
      </c>
      <c r="N21" s="21">
        <f>IF($B21="","",INDEX(_项目汇总!$AN$3:$AU$3,(_辅助!$J$7-_辅助!$J$6+1)))</f>
        <v>147283.9</v>
      </c>
      <c r="O21" s="20">
        <f t="shared" ref="O21:O80" si="7">IF($B21="","",INDEX(E21:L21,(_辅助!$J$7-_辅助!$J$6+1)))</f>
        <v>55367.45</v>
      </c>
      <c r="P21" s="22">
        <f t="shared" ref="P21:P80" si="8">IF(OR($B21="",N($O$81)=0),"",O21/$O$81)</f>
        <v>0.642140754875455</v>
      </c>
      <c r="Q21" s="21">
        <f>IF(OR($B21="",S21=0,SUM($T$21:$T$80)=0),0,ROUND(SUMIFS($B$8:$B$15,$A$8:$A$15,_辅助!$J$7)*N(项目档案!$T$4)/SUM($T$21:$T$80),2))</f>
        <v>43897.56</v>
      </c>
      <c r="R21" s="21">
        <f t="shared" ref="R21:R80" si="9">IF($B21="","",O21-Q21)</f>
        <v>11469.89</v>
      </c>
      <c r="S21" s="106">
        <f>IF($B21="",0,IF(N(N21)+_项目汇总!$C$3+_项目汇总!$O$3+_项目汇总!$W$3&lt;&gt;0,1,0))</f>
        <v>1</v>
      </c>
      <c r="T21" s="2">
        <f>N(项目档案!$T$4)*S21</f>
        <v>4362576.49</v>
      </c>
    </row>
    <row r="22">
      <c r="A22" s="94">
        <f>IF($B22="","",2)</f>
        <v>2</v>
      </c>
      <c r="B22" s="19" t="str">
        <f>项目档案!$B$5&amp;""</f>
        <v>科创中心</v>
      </c>
      <c r="C22" s="94" t="str">
        <f>项目档案!$M$5&amp;""</f>
        <v>在建</v>
      </c>
      <c r="D22" s="21">
        <f t="shared" si="2"/>
        <v>46815.13</v>
      </c>
      <c r="E22" s="21">
        <f>IF($B22="","",ROUND(_项目汇总!$AN$4*N($F$8),2))</f>
        <v>11023.95</v>
      </c>
      <c r="F22" s="21">
        <f>IF($B22="","",ROUND(_项目汇总!$AO$4*N($F$9),2))</f>
        <v>0</v>
      </c>
      <c r="G22" s="21">
        <f>IF($B22="","",ROUND(_项目汇总!$AP$4*N($F$10),2))</f>
        <v>0</v>
      </c>
      <c r="H22" s="21">
        <f>IF($B22="","",ROUND(_项目汇总!$AQ$4*N($F$11),2))</f>
        <v>0</v>
      </c>
      <c r="I22" s="21">
        <f>IF($B22="","",ROUND(_项目汇总!$AR$4*N($F$12),2))</f>
        <v>0</v>
      </c>
      <c r="J22" s="21">
        <f>IF($B22="","",ROUND(_项目汇总!$AS$4*N($F$13),2))</f>
        <v>0</v>
      </c>
      <c r="K22" s="21">
        <f>IF($B22="","",ROUND(_项目汇总!$AT$4*N($F$14),2))</f>
        <v>0</v>
      </c>
      <c r="L22" s="21">
        <f>IF($B22="","",ROUND(_项目汇总!$AU$4*N($F$15),2))</f>
        <v>0</v>
      </c>
      <c r="M22" s="20">
        <f t="shared" si="6"/>
        <v>57839.08</v>
      </c>
      <c r="N22" s="21">
        <f>IF($B22="","",INDEX(_项目汇总!$AN$4:$AU$4,(_辅助!$J$7-_辅助!$J$6+1)))</f>
        <v>29325</v>
      </c>
      <c r="O22" s="20">
        <f t="shared" si="7"/>
        <v>11023.95</v>
      </c>
      <c r="P22" s="22">
        <f t="shared" si="8"/>
        <v>0.127853595834904</v>
      </c>
      <c r="Q22" s="21">
        <f>IF(OR($B22="",S22=0,SUM($T$21:$T$80)=0),0,ROUND(SUMIFS($B$8:$B$15,$A$8:$A$15,_辅助!$J$7)*N(项目档案!$T$5)/SUM($T$21:$T$80),2))</f>
        <v>16520.38</v>
      </c>
      <c r="R22" s="21">
        <f t="shared" si="9"/>
        <v>-5496.43</v>
      </c>
      <c r="S22" s="106">
        <f>IF($B22="",0,IF(N(N22)+_项目汇总!$C$4+_项目汇总!$O$4+_项目汇总!$W$4&lt;&gt;0,1,0))</f>
        <v>1</v>
      </c>
      <c r="T22" s="2">
        <f>N(项目档案!$T$5)*S22</f>
        <v>1641809</v>
      </c>
    </row>
    <row r="23">
      <c r="A23" s="94">
        <f>IF($B23="","",3)</f>
        <v>3</v>
      </c>
      <c r="B23" s="19" t="str">
        <f>项目档案!$B$6&amp;""</f>
        <v>九安架空层</v>
      </c>
      <c r="C23" s="94" t="str">
        <f>项目档案!$M$6&amp;""</f>
        <v>在建</v>
      </c>
      <c r="D23" s="21">
        <f t="shared" si="2"/>
        <v>42771.54</v>
      </c>
      <c r="E23" s="21">
        <f>IF($B23="","",ROUND(_项目汇总!$AN$5*N($F$8),2))</f>
        <v>2108.93</v>
      </c>
      <c r="F23" s="21">
        <f>IF($B23="","",ROUND(_项目汇总!$AO$5*N($F$9),2))</f>
        <v>0</v>
      </c>
      <c r="G23" s="21">
        <f>IF($B23="","",ROUND(_项目汇总!$AP$5*N($F$10),2))</f>
        <v>0</v>
      </c>
      <c r="H23" s="21">
        <f>IF($B23="","",ROUND(_项目汇总!$AQ$5*N($F$11),2))</f>
        <v>0</v>
      </c>
      <c r="I23" s="21">
        <f>IF($B23="","",ROUND(_项目汇总!$AR$5*N($F$12),2))</f>
        <v>0</v>
      </c>
      <c r="J23" s="21">
        <f>IF($B23="","",ROUND(_项目汇总!$AS$5*N($F$13),2))</f>
        <v>0</v>
      </c>
      <c r="K23" s="21">
        <f>IF($B23="","",ROUND(_项目汇总!$AT$5*N($F$14),2))</f>
        <v>0</v>
      </c>
      <c r="L23" s="21">
        <f>IF($B23="","",ROUND(_项目汇总!$AU$5*N($F$15),2))</f>
        <v>0</v>
      </c>
      <c r="M23" s="20">
        <f t="shared" si="6"/>
        <v>44880.47</v>
      </c>
      <c r="N23" s="21">
        <f>IF($B23="","",INDEX(_项目汇总!$AN$5:$AU$5,(_辅助!$J$7-_辅助!$J$6+1)))</f>
        <v>5610</v>
      </c>
      <c r="O23" s="20">
        <f t="shared" si="7"/>
        <v>2108.93</v>
      </c>
      <c r="P23" s="22">
        <f t="shared" si="8"/>
        <v>0.0244589538109394</v>
      </c>
      <c r="Q23" s="21">
        <f>IF(OR($B23="",S23=0,SUM($T$21:$T$80)=0),0,ROUND(SUMIFS($B$8:$B$15,$A$8:$A$15,_辅助!$J$7)*N(项目档案!$T$6)/SUM($T$21:$T$80),2))</f>
        <v>15093.45</v>
      </c>
      <c r="R23" s="21">
        <f t="shared" si="9"/>
        <v>-12984.52</v>
      </c>
      <c r="S23" s="106">
        <f>IF($B23="",0,IF(N(N23)+_项目汇总!$C$5+_项目汇总!$O$5+_项目汇总!$W$5&lt;&gt;0,1,0))</f>
        <v>1</v>
      </c>
      <c r="T23" s="2">
        <f>N(项目档案!$T$6)*S23</f>
        <v>1500000</v>
      </c>
    </row>
    <row r="24">
      <c r="A24" s="94">
        <f>IF($B24="","",4)</f>
        <v>4</v>
      </c>
      <c r="B24" s="19" t="str">
        <f>项目档案!$B$7&amp;""</f>
        <v>数字产业园</v>
      </c>
      <c r="C24" s="94" t="str">
        <f>项目档案!$M$7&amp;""</f>
        <v>在建</v>
      </c>
      <c r="D24" s="21">
        <f t="shared" si="2"/>
        <v>9284.62</v>
      </c>
      <c r="E24" s="21">
        <f>IF($B24="","",ROUND(_项目汇总!$AN$6*N($F$8),2))</f>
        <v>0</v>
      </c>
      <c r="F24" s="21">
        <f>IF($B24="","",ROUND(_项目汇总!$AO$6*N($F$9),2))</f>
        <v>0</v>
      </c>
      <c r="G24" s="21">
        <f>IF($B24="","",ROUND(_项目汇总!$AP$6*N($F$10),2))</f>
        <v>0</v>
      </c>
      <c r="H24" s="21">
        <f>IF($B24="","",ROUND(_项目汇总!$AQ$6*N($F$11),2))</f>
        <v>0</v>
      </c>
      <c r="I24" s="21">
        <f>IF($B24="","",ROUND(_项目汇总!$AR$6*N($F$12),2))</f>
        <v>0</v>
      </c>
      <c r="J24" s="21">
        <f>IF($B24="","",ROUND(_项目汇总!$AS$6*N($F$13),2))</f>
        <v>0</v>
      </c>
      <c r="K24" s="21">
        <f>IF($B24="","",ROUND(_项目汇总!$AT$6*N($F$14),2))</f>
        <v>0</v>
      </c>
      <c r="L24" s="21">
        <f>IF($B24="","",ROUND(_项目汇总!$AU$6*N($F$15),2))</f>
        <v>0</v>
      </c>
      <c r="M24" s="20">
        <f t="shared" si="6"/>
        <v>9284.62</v>
      </c>
      <c r="N24" s="21">
        <f>IF($B24="","",INDEX(_项目汇总!$AN$6:$AU$6,(_辅助!$J$7-_辅助!$J$6+1)))</f>
        <v>0</v>
      </c>
      <c r="O24" s="20">
        <f t="shared" si="7"/>
        <v>0</v>
      </c>
      <c r="P24" s="22">
        <f t="shared" si="8"/>
        <v>0</v>
      </c>
      <c r="Q24" s="21">
        <f>IF(OR($B24="",S24=0,SUM($T$21:$T$80)=0),0,ROUND(SUMIFS($B$8:$B$15,$A$8:$A$15,_辅助!$J$7)*N(项目档案!$T$7)/SUM($T$21:$T$80),2))</f>
        <v>0</v>
      </c>
      <c r="R24" s="21">
        <f t="shared" si="9"/>
        <v>0</v>
      </c>
      <c r="S24" s="106">
        <f>IF($B24="",0,IF(N(N24)+_项目汇总!$C$6+_项目汇总!$O$6+_项目汇总!$W$6&lt;&gt;0,1,0))</f>
        <v>0</v>
      </c>
      <c r="T24" s="2">
        <f>N(项目档案!$T$7)*S24</f>
        <v>0</v>
      </c>
    </row>
    <row r="25">
      <c r="A25" s="94">
        <f>IF($B25="","",5)</f>
        <v>5</v>
      </c>
      <c r="B25" s="19" t="str">
        <f>项目档案!$B$8&amp;""</f>
        <v>邹桥派出所</v>
      </c>
      <c r="C25" s="94" t="str">
        <f>项目档案!$M$8&amp;""</f>
        <v>在建</v>
      </c>
      <c r="D25" s="21">
        <f t="shared" si="2"/>
        <v>2594.99</v>
      </c>
      <c r="E25" s="21">
        <f>IF($B25="","",ROUND(_项目汇总!$AN$7*N($F$8),2))</f>
        <v>14692.96</v>
      </c>
      <c r="F25" s="21">
        <f>IF($B25="","",ROUND(_项目汇总!$AO$7*N($F$9),2))</f>
        <v>0</v>
      </c>
      <c r="G25" s="21">
        <f>IF($B25="","",ROUND(_项目汇总!$AP$7*N($F$10),2))</f>
        <v>0</v>
      </c>
      <c r="H25" s="21">
        <f>IF($B25="","",ROUND(_项目汇总!$AQ$7*N($F$11),2))</f>
        <v>0</v>
      </c>
      <c r="I25" s="21">
        <f>IF($B25="","",ROUND(_项目汇总!$AR$7*N($F$12),2))</f>
        <v>0</v>
      </c>
      <c r="J25" s="21">
        <f>IF($B25="","",ROUND(_项目汇总!$AS$7*N($F$13),2))</f>
        <v>0</v>
      </c>
      <c r="K25" s="21">
        <f>IF($B25="","",ROUND(_项目汇总!$AT$7*N($F$14),2))</f>
        <v>0</v>
      </c>
      <c r="L25" s="21">
        <f>IF($B25="","",ROUND(_项目汇总!$AU$7*N($F$15),2))</f>
        <v>0</v>
      </c>
      <c r="M25" s="20">
        <f t="shared" si="6"/>
        <v>17287.95</v>
      </c>
      <c r="N25" s="21">
        <f>IF($B25="","",INDEX(_项目汇总!$AN$7:$AU$7,(_辅助!$J$7-_辅助!$J$6+1)))</f>
        <v>39085</v>
      </c>
      <c r="O25" s="20">
        <f t="shared" si="7"/>
        <v>14692.96</v>
      </c>
      <c r="P25" s="22">
        <f t="shared" si="8"/>
        <v>0.170406049506612</v>
      </c>
      <c r="Q25" s="21">
        <f>IF(OR($B25="",S25=0,SUM($T$21:$T$80)=0),0,ROUND(SUMIFS($B$8:$B$15,$A$8:$A$15,_辅助!$J$7)*N(项目档案!$T$8)/SUM($T$21:$T$80),2))</f>
        <v>961.56</v>
      </c>
      <c r="R25" s="21">
        <f t="shared" si="9"/>
        <v>13731.4</v>
      </c>
      <c r="S25" s="106">
        <f>IF($B25="",0,IF(N(N25)+_项目汇总!$C$7+_项目汇总!$O$7+_项目汇总!$W$7&lt;&gt;0,1,0))</f>
        <v>1</v>
      </c>
      <c r="T25" s="2">
        <f>N(项目档案!$T$8)*S25</f>
        <v>95560.56</v>
      </c>
    </row>
    <row r="26">
      <c r="A26" s="94">
        <f>IF($B26="","",6)</f>
        <v>6</v>
      </c>
      <c r="B26" s="19" t="str">
        <f>项目档案!$B$9&amp;""</f>
        <v>抚州1号楼</v>
      </c>
      <c r="C26" s="94" t="str">
        <f>项目档案!$M$9&amp;""</f>
        <v>在建</v>
      </c>
      <c r="D26" s="21">
        <f t="shared" si="2"/>
        <v>19828.11</v>
      </c>
      <c r="E26" s="21">
        <f>IF($B26="","",ROUND(_项目汇总!$AN$8*N($F$8),2))</f>
        <v>0</v>
      </c>
      <c r="F26" s="21">
        <f>IF($B26="","",ROUND(_项目汇总!$AO$8*N($F$9),2))</f>
        <v>0</v>
      </c>
      <c r="G26" s="21">
        <f>IF($B26="","",ROUND(_项目汇总!$AP$8*N($F$10),2))</f>
        <v>0</v>
      </c>
      <c r="H26" s="21">
        <f>IF($B26="","",ROUND(_项目汇总!$AQ$8*N($F$11),2))</f>
        <v>0</v>
      </c>
      <c r="I26" s="21">
        <f>IF($B26="","",ROUND(_项目汇总!$AR$8*N($F$12),2))</f>
        <v>0</v>
      </c>
      <c r="J26" s="21">
        <f>IF($B26="","",ROUND(_项目汇总!$AS$8*N($F$13),2))</f>
        <v>0</v>
      </c>
      <c r="K26" s="21">
        <f>IF($B26="","",ROUND(_项目汇总!$AT$8*N($F$14),2))</f>
        <v>0</v>
      </c>
      <c r="L26" s="21">
        <f>IF($B26="","",ROUND(_项目汇总!$AU$8*N($F$15),2))</f>
        <v>0</v>
      </c>
      <c r="M26" s="20">
        <f t="shared" si="6"/>
        <v>19828.11</v>
      </c>
      <c r="N26" s="21">
        <f>IF($B26="","",INDEX(_项目汇总!$AN$8:$AU$8,(_辅助!$J$7-_辅助!$J$6+1)))</f>
        <v>0</v>
      </c>
      <c r="O26" s="20">
        <f t="shared" si="7"/>
        <v>0</v>
      </c>
      <c r="P26" s="22">
        <f t="shared" si="8"/>
        <v>0</v>
      </c>
      <c r="Q26" s="21">
        <f>IF(OR($B26="",S26=0,SUM($T$21:$T$80)=0),0,ROUND(SUMIFS($B$8:$B$15,$A$8:$A$15,_辅助!$J$7)*N(项目档案!$T$9)/SUM($T$21:$T$80),2))</f>
        <v>0</v>
      </c>
      <c r="R26" s="21">
        <f t="shared" si="9"/>
        <v>0</v>
      </c>
      <c r="S26" s="106">
        <f>IF($B26="",0,IF(N(N26)+_项目汇总!$C$8+_项目汇总!$O$8+_项目汇总!$W$8&lt;&gt;0,1,0))</f>
        <v>0</v>
      </c>
      <c r="T26" s="2">
        <f>N(项目档案!$T$9)*S26</f>
        <v>0</v>
      </c>
    </row>
    <row r="27">
      <c r="A27" s="94">
        <f>IF($B27="","",7)</f>
        <v>7</v>
      </c>
      <c r="B27" s="19" t="str">
        <f>项目档案!$B$10&amp;""</f>
        <v>抚州8号楼</v>
      </c>
      <c r="C27" s="94" t="str">
        <f>项目档案!$M$10&amp;""</f>
        <v>在建</v>
      </c>
      <c r="D27" s="21">
        <f t="shared" si="2"/>
        <v>27373.78</v>
      </c>
      <c r="E27" s="21">
        <f>IF($B27="","",ROUND(_项目汇总!$AN$9*N($F$8),2))</f>
        <v>0</v>
      </c>
      <c r="F27" s="21">
        <f>IF($B27="","",ROUND(_项目汇总!$AO$9*N($F$9),2))</f>
        <v>0</v>
      </c>
      <c r="G27" s="21">
        <f>IF($B27="","",ROUND(_项目汇总!$AP$9*N($F$10),2))</f>
        <v>0</v>
      </c>
      <c r="H27" s="21">
        <f>IF($B27="","",ROUND(_项目汇总!$AQ$9*N($F$11),2))</f>
        <v>0</v>
      </c>
      <c r="I27" s="21">
        <f>IF($B27="","",ROUND(_项目汇总!$AR$9*N($F$12),2))</f>
        <v>0</v>
      </c>
      <c r="J27" s="21">
        <f>IF($B27="","",ROUND(_项目汇总!$AS$9*N($F$13),2))</f>
        <v>0</v>
      </c>
      <c r="K27" s="21">
        <f>IF($B27="","",ROUND(_项目汇总!$AT$9*N($F$14),2))</f>
        <v>0</v>
      </c>
      <c r="L27" s="21">
        <f>IF($B27="","",ROUND(_项目汇总!$AU$9*N($F$15),2))</f>
        <v>0</v>
      </c>
      <c r="M27" s="20">
        <f t="shared" si="6"/>
        <v>27373.78</v>
      </c>
      <c r="N27" s="21">
        <f>IF($B27="","",INDEX(_项目汇总!$AN$9:$AU$9,(_辅助!$J$7-_辅助!$J$6+1)))</f>
        <v>0</v>
      </c>
      <c r="O27" s="20">
        <f t="shared" si="7"/>
        <v>0</v>
      </c>
      <c r="P27" s="22">
        <f t="shared" si="8"/>
        <v>0</v>
      </c>
      <c r="Q27" s="21">
        <f>IF(OR($B27="",S27=0,SUM($T$21:$T$80)=0),0,ROUND(SUMIFS($B$8:$B$15,$A$8:$A$15,_辅助!$J$7)*N(项目档案!$T$10)/SUM($T$21:$T$80),2))</f>
        <v>9659.81</v>
      </c>
      <c r="R27" s="21">
        <f t="shared" si="9"/>
        <v>-9659.81</v>
      </c>
      <c r="S27" s="106">
        <f>IF($B27="",0,IF(N(N27)+_项目汇总!$C$9+_项目汇总!$O$9+_项目汇总!$W$9&lt;&gt;0,1,0))</f>
        <v>1</v>
      </c>
      <c r="T27" s="2">
        <f>N(项目档案!$T$10)*S27</f>
        <v>960000</v>
      </c>
    </row>
    <row r="28">
      <c r="A28" s="94">
        <f>IF($B28="","",8)</f>
        <v>8</v>
      </c>
      <c r="B28" s="19" t="str">
        <f>项目档案!$B$11&amp;""</f>
        <v>抚州2号楼</v>
      </c>
      <c r="C28" s="94" t="str">
        <f>项目档案!$M$11&amp;""</f>
        <v>在建</v>
      </c>
      <c r="D28" s="21">
        <f t="shared" si="2"/>
        <v>1824.92</v>
      </c>
      <c r="E28" s="21">
        <f>IF($B28="","",ROUND(_项目汇总!$AN$10*N($F$8),2))</f>
        <v>0</v>
      </c>
      <c r="F28" s="21">
        <f>IF($B28="","",ROUND(_项目汇总!$AO$10*N($F$9),2))</f>
        <v>0</v>
      </c>
      <c r="G28" s="21">
        <f>IF($B28="","",ROUND(_项目汇总!$AP$10*N($F$10),2))</f>
        <v>0</v>
      </c>
      <c r="H28" s="21">
        <f>IF($B28="","",ROUND(_项目汇总!$AQ$10*N($F$11),2))</f>
        <v>0</v>
      </c>
      <c r="I28" s="21">
        <f>IF($B28="","",ROUND(_项目汇总!$AR$10*N($F$12),2))</f>
        <v>0</v>
      </c>
      <c r="J28" s="21">
        <f>IF($B28="","",ROUND(_项目汇总!$AS$10*N($F$13),2))</f>
        <v>0</v>
      </c>
      <c r="K28" s="21">
        <f>IF($B28="","",ROUND(_项目汇总!$AT$10*N($F$14),2))</f>
        <v>0</v>
      </c>
      <c r="L28" s="21">
        <f>IF($B28="","",ROUND(_项目汇总!$AU$10*N($F$15),2))</f>
        <v>0</v>
      </c>
      <c r="M28" s="20">
        <f t="shared" si="6"/>
        <v>1824.92</v>
      </c>
      <c r="N28" s="21">
        <f>IF($B28="","",INDEX(_项目汇总!$AN$10:$AU$10,(_辅助!$J$7-_辅助!$J$6+1)))</f>
        <v>0</v>
      </c>
      <c r="O28" s="20">
        <f t="shared" si="7"/>
        <v>0</v>
      </c>
      <c r="P28" s="22">
        <f t="shared" si="8"/>
        <v>0</v>
      </c>
      <c r="Q28" s="21">
        <f>IF(OR($B28="",S28=0,SUM($T$21:$T$80)=0),0,ROUND(SUMIFS($B$8:$B$15,$A$8:$A$15,_辅助!$J$7)*N(项目档案!$T$11)/SUM($T$21:$T$80),2))</f>
        <v>0</v>
      </c>
      <c r="R28" s="21">
        <f t="shared" si="9"/>
        <v>0</v>
      </c>
      <c r="S28" s="106">
        <f>IF($B28="",0,IF(N(N28)+_项目汇总!$C$10+_项目汇总!$O$10+_项目汇总!$W$10&lt;&gt;0,1,0))</f>
        <v>0</v>
      </c>
      <c r="T28" s="2">
        <f>N(项目档案!$T$11)*S28</f>
        <v>0</v>
      </c>
    </row>
    <row r="29">
      <c r="A29" s="94">
        <f>IF($B29="","",9)</f>
        <v>9</v>
      </c>
      <c r="B29" s="19" t="str">
        <f>项目档案!$B$12&amp;""</f>
        <v>博河科创中心</v>
      </c>
      <c r="C29" s="94" t="str">
        <f>项目档案!$M$12&amp;""</f>
        <v>在建</v>
      </c>
      <c r="D29" s="21">
        <f t="shared" si="2"/>
        <v>0</v>
      </c>
      <c r="E29" s="21">
        <f>IF($B29="","",ROUND(_项目汇总!$AN$11*N($F$8),2))</f>
        <v>0</v>
      </c>
      <c r="F29" s="21">
        <f>IF($B29="","",ROUND(_项目汇总!$AO$11*N($F$9),2))</f>
        <v>0</v>
      </c>
      <c r="G29" s="21">
        <f>IF($B29="","",ROUND(_项目汇总!$AP$11*N($F$10),2))</f>
        <v>0</v>
      </c>
      <c r="H29" s="21">
        <f>IF($B29="","",ROUND(_项目汇总!$AQ$11*N($F$11),2))</f>
        <v>0</v>
      </c>
      <c r="I29" s="21">
        <f>IF($B29="","",ROUND(_项目汇总!$AR$11*N($F$12),2))</f>
        <v>0</v>
      </c>
      <c r="J29" s="21">
        <f>IF($B29="","",ROUND(_项目汇总!$AS$11*N($F$13),2))</f>
        <v>0</v>
      </c>
      <c r="K29" s="21">
        <f>IF($B29="","",ROUND(_项目汇总!$AT$11*N($F$14),2))</f>
        <v>0</v>
      </c>
      <c r="L29" s="21">
        <f>IF($B29="","",ROUND(_项目汇总!$AU$11*N($F$15),2))</f>
        <v>0</v>
      </c>
      <c r="M29" s="20">
        <f t="shared" si="6"/>
        <v>0</v>
      </c>
      <c r="N29" s="21">
        <f>IF($B29="","",INDEX(_项目汇总!$AN$11:$AU$11,(_辅助!$J$7-_辅助!$J$6+1)))</f>
        <v>0</v>
      </c>
      <c r="O29" s="20">
        <f t="shared" si="7"/>
        <v>0</v>
      </c>
      <c r="P29" s="22">
        <f t="shared" si="8"/>
        <v>0</v>
      </c>
      <c r="Q29" s="21">
        <f>IF(OR($B29="",S29=0,SUM($T$21:$T$80)=0),0,ROUND(SUMIFS($B$8:$B$15,$A$8:$A$15,_辅助!$J$7)*N(项目档案!$T$12)/SUM($T$21:$T$80),2))</f>
        <v>0</v>
      </c>
      <c r="R29" s="21">
        <f t="shared" si="9"/>
        <v>0</v>
      </c>
      <c r="S29" s="106">
        <f>IF($B29="",0,IF(N(N29)+_项目汇总!$C$11+_项目汇总!$O$11+_项目汇总!$W$11&lt;&gt;0,1,0))</f>
        <v>0</v>
      </c>
      <c r="T29" s="2">
        <f>N(项目档案!$T$12)*S29</f>
        <v>0</v>
      </c>
    </row>
    <row r="30">
      <c r="A30" s="94">
        <f>IF($B30="","",10)</f>
        <v>10</v>
      </c>
      <c r="B30" s="19" t="str">
        <f>项目档案!$B$13&amp;""</f>
        <v>德安农商行总部</v>
      </c>
      <c r="C30" s="94" t="str">
        <f>项目档案!$M$13&amp;""</f>
        <v>在建</v>
      </c>
      <c r="D30" s="21">
        <f t="shared" si="2"/>
        <v>0</v>
      </c>
      <c r="E30" s="21">
        <f>IF($B30="","",ROUND(_项目汇总!$AN$12*N($F$8),2))</f>
        <v>436.07</v>
      </c>
      <c r="F30" s="21">
        <f>IF($B30="","",ROUND(_项目汇总!$AO$12*N($F$9),2))</f>
        <v>0</v>
      </c>
      <c r="G30" s="21">
        <f>IF($B30="","",ROUND(_项目汇总!$AP$12*N($F$10),2))</f>
        <v>0</v>
      </c>
      <c r="H30" s="21">
        <f>IF($B30="","",ROUND(_项目汇总!$AQ$12*N($F$11),2))</f>
        <v>0</v>
      </c>
      <c r="I30" s="21">
        <f>IF($B30="","",ROUND(_项目汇总!$AR$12*N($F$12),2))</f>
        <v>0</v>
      </c>
      <c r="J30" s="21">
        <f>IF($B30="","",ROUND(_项目汇总!$AS$12*N($F$13),2))</f>
        <v>0</v>
      </c>
      <c r="K30" s="21">
        <f>IF($B30="","",ROUND(_项目汇总!$AT$12*N($F$14),2))</f>
        <v>0</v>
      </c>
      <c r="L30" s="21">
        <f>IF($B30="","",ROUND(_项目汇总!$AU$12*N($F$15),2))</f>
        <v>0</v>
      </c>
      <c r="M30" s="20">
        <f t="shared" si="6"/>
        <v>436.07</v>
      </c>
      <c r="N30" s="21">
        <f>IF($B30="","",INDEX(_项目汇总!$AN$12:$AU$12,(_辅助!$J$7-_辅助!$J$6+1)))</f>
        <v>1160</v>
      </c>
      <c r="O30" s="20">
        <f t="shared" si="7"/>
        <v>436.07</v>
      </c>
      <c r="P30" s="22">
        <f t="shared" si="8"/>
        <v>0.00505745377434828</v>
      </c>
      <c r="Q30" s="21">
        <f>IF(OR($B30="",S30=0,SUM($T$21:$T$80)=0),0,ROUND(SUMIFS($B$8:$B$15,$A$8:$A$15,_辅助!$J$7)*N(项目档案!$T$13)/SUM($T$21:$T$80),2))</f>
        <v>90.48</v>
      </c>
      <c r="R30" s="21">
        <f t="shared" si="9"/>
        <v>345.59</v>
      </c>
      <c r="S30" s="106">
        <f>IF($B30="",0,IF(N(N30)+_项目汇总!$C$12+_项目汇总!$O$12+_项目汇总!$W$12&lt;&gt;0,1,0))</f>
        <v>1</v>
      </c>
      <c r="T30" s="2">
        <f>N(项目档案!$T$13)*S30</f>
        <v>8992</v>
      </c>
    </row>
    <row r="31">
      <c r="A31" s="94">
        <f>IF($B31="","",11)</f>
        <v>11</v>
      </c>
      <c r="B31" s="19" t="str">
        <f>项目档案!$B$14&amp;""</f>
        <v>示范园</v>
      </c>
      <c r="C31" s="94" t="str">
        <f>项目档案!$M$14&amp;""</f>
        <v>在建</v>
      </c>
      <c r="D31" s="21">
        <f t="shared" si="2"/>
        <v>0</v>
      </c>
      <c r="E31" s="21">
        <f>IF($B31="","",ROUND(_项目汇总!$AN$13*N($F$8),2))</f>
        <v>2593.87</v>
      </c>
      <c r="F31" s="21">
        <f>IF($B31="","",ROUND(_项目汇总!$AO$13*N($F$9),2))</f>
        <v>0</v>
      </c>
      <c r="G31" s="21">
        <f>IF($B31="","",ROUND(_项目汇总!$AP$13*N($F$10),2))</f>
        <v>0</v>
      </c>
      <c r="H31" s="21">
        <f>IF($B31="","",ROUND(_项目汇总!$AQ$13*N($F$11),2))</f>
        <v>0</v>
      </c>
      <c r="I31" s="21">
        <f>IF($B31="","",ROUND(_项目汇总!$AR$13*N($F$12),2))</f>
        <v>0</v>
      </c>
      <c r="J31" s="21">
        <f>IF($B31="","",ROUND(_项目汇总!$AS$13*N($F$13),2))</f>
        <v>0</v>
      </c>
      <c r="K31" s="21">
        <f>IF($B31="","",ROUND(_项目汇总!$AT$13*N($F$14),2))</f>
        <v>0</v>
      </c>
      <c r="L31" s="21">
        <f>IF($B31="","",ROUND(_项目汇总!$AU$13*N($F$15),2))</f>
        <v>0</v>
      </c>
      <c r="M31" s="20">
        <f t="shared" si="6"/>
        <v>2593.87</v>
      </c>
      <c r="N31" s="21">
        <f>IF($B31="","",INDEX(_项目汇总!$AN$13:$AU$13,(_辅助!$J$7-_辅助!$J$6+1)))</f>
        <v>6900</v>
      </c>
      <c r="O31" s="20">
        <f t="shared" si="7"/>
        <v>2593.87</v>
      </c>
      <c r="P31" s="22">
        <f t="shared" si="8"/>
        <v>0.0300831921977407</v>
      </c>
      <c r="Q31" s="21">
        <f>IF(OR($B31="",S31=0,SUM($T$21:$T$80)=0),0,ROUND(SUMIFS($B$8:$B$15,$A$8:$A$15,_辅助!$J$7)*N(项目档案!$T$14)/SUM($T$21:$T$80),2))</f>
        <v>0</v>
      </c>
      <c r="R31" s="21">
        <f t="shared" si="9"/>
        <v>2593.87</v>
      </c>
      <c r="S31" s="106">
        <f>IF($B31="",0,IF(N(N31)+_项目汇总!$C$13+_项目汇总!$O$13+_项目汇总!$W$13&lt;&gt;0,1,0))</f>
        <v>1</v>
      </c>
      <c r="T31" s="2">
        <f>N(项目档案!$T$14)*S31</f>
        <v>0</v>
      </c>
    </row>
    <row r="32">
      <c r="A32" s="94">
        <f>IF($B32="","",12)</f>
        <v>12</v>
      </c>
      <c r="B32" s="19" t="str">
        <f>项目档案!$B$15&amp;""</f>
        <v>恒科华府</v>
      </c>
      <c r="C32" s="94" t="str">
        <f>项目档案!$M$15&amp;""</f>
        <v>在建</v>
      </c>
      <c r="D32" s="21">
        <f t="shared" si="2"/>
        <v>0</v>
      </c>
      <c r="E32" s="21">
        <f>IF($B32="","",ROUND(_项目汇总!$AN$14*N($F$8),2))</f>
        <v>0</v>
      </c>
      <c r="F32" s="21">
        <f>IF($B32="","",ROUND(_项目汇总!$AO$14*N($F$9),2))</f>
        <v>0</v>
      </c>
      <c r="G32" s="21">
        <f>IF($B32="","",ROUND(_项目汇总!$AP$14*N($F$10),2))</f>
        <v>0</v>
      </c>
      <c r="H32" s="21">
        <f>IF($B32="","",ROUND(_项目汇总!$AQ$14*N($F$11),2))</f>
        <v>0</v>
      </c>
      <c r="I32" s="21">
        <f>IF($B32="","",ROUND(_项目汇总!$AR$14*N($F$12),2))</f>
        <v>0</v>
      </c>
      <c r="J32" s="21">
        <f>IF($B32="","",ROUND(_项目汇总!$AS$14*N($F$13),2))</f>
        <v>0</v>
      </c>
      <c r="K32" s="21">
        <f>IF($B32="","",ROUND(_项目汇总!$AT$14*N($F$14),2))</f>
        <v>0</v>
      </c>
      <c r="L32" s="21">
        <f>IF($B32="","",ROUND(_项目汇总!$AU$14*N($F$15),2))</f>
        <v>0</v>
      </c>
      <c r="M32" s="20">
        <f t="shared" si="6"/>
        <v>0</v>
      </c>
      <c r="N32" s="21">
        <f>IF($B32="","",INDEX(_项目汇总!$AN$14:$AU$14,(_辅助!$J$7-_辅助!$J$6+1)))</f>
        <v>0</v>
      </c>
      <c r="O32" s="20">
        <f t="shared" si="7"/>
        <v>0</v>
      </c>
      <c r="P32" s="22">
        <f t="shared" si="8"/>
        <v>0</v>
      </c>
      <c r="Q32" s="21">
        <f>IF(OR($B32="",S32=0,SUM($T$21:$T$80)=0),0,ROUND(SUMIFS($B$8:$B$15,$A$8:$A$15,_辅助!$J$7)*N(项目档案!$T$15)/SUM($T$21:$T$80),2))</f>
        <v>0</v>
      </c>
      <c r="R32" s="21">
        <f t="shared" si="9"/>
        <v>0</v>
      </c>
      <c r="S32" s="106">
        <f>IF($B32="",0,IF(N(N32)+_项目汇总!$C$14+_项目汇总!$O$14+_项目汇总!$W$14&lt;&gt;0,1,0))</f>
        <v>0</v>
      </c>
      <c r="T32" s="2">
        <f>N(项目档案!$T$15)*S32</f>
        <v>0</v>
      </c>
    </row>
    <row r="33">
      <c r="A33" s="94">
        <f>IF($B33="","",13)</f>
        <v>13</v>
      </c>
      <c r="B33" s="19" t="str">
        <f>项目档案!$B$16&amp;""</f>
        <v>赣粤高速</v>
      </c>
      <c r="C33" s="94" t="str">
        <f>项目档案!$M$16&amp;""</f>
        <v>在建</v>
      </c>
      <c r="D33" s="21">
        <f t="shared" si="2"/>
        <v>0</v>
      </c>
      <c r="E33" s="21">
        <f>IF($B33="","",ROUND(_项目汇总!$AN$15*N($F$8),2))</f>
        <v>0</v>
      </c>
      <c r="F33" s="21">
        <f>IF($B33="","",ROUND(_项目汇总!$AO$15*N($F$9),2))</f>
        <v>0</v>
      </c>
      <c r="G33" s="21">
        <f>IF($B33="","",ROUND(_项目汇总!$AP$15*N($F$10),2))</f>
        <v>0</v>
      </c>
      <c r="H33" s="21">
        <f>IF($B33="","",ROUND(_项目汇总!$AQ$15*N($F$11),2))</f>
        <v>0</v>
      </c>
      <c r="I33" s="21">
        <f>IF($B33="","",ROUND(_项目汇总!$AR$15*N($F$12),2))</f>
        <v>0</v>
      </c>
      <c r="J33" s="21">
        <f>IF($B33="","",ROUND(_项目汇总!$AS$15*N($F$13),2))</f>
        <v>0</v>
      </c>
      <c r="K33" s="21">
        <f>IF($B33="","",ROUND(_项目汇总!$AT$15*N($F$14),2))</f>
        <v>0</v>
      </c>
      <c r="L33" s="21">
        <f>IF($B33="","",ROUND(_项目汇总!$AU$15*N($F$15),2))</f>
        <v>0</v>
      </c>
      <c r="M33" s="20">
        <f t="shared" si="6"/>
        <v>0</v>
      </c>
      <c r="N33" s="21">
        <f>IF($B33="","",INDEX(_项目汇总!$AN$15:$AU$15,(_辅助!$J$7-_辅助!$J$6+1)))</f>
        <v>0</v>
      </c>
      <c r="O33" s="20">
        <f t="shared" si="7"/>
        <v>0</v>
      </c>
      <c r="P33" s="22">
        <f t="shared" si="8"/>
        <v>0</v>
      </c>
      <c r="Q33" s="21">
        <f>IF(OR($B33="",S33=0,SUM($T$21:$T$80)=0),0,ROUND(SUMIFS($B$8:$B$15,$A$8:$A$15,_辅助!$J$7)*N(项目档案!$T$16)/SUM($T$21:$T$80),2))</f>
        <v>0</v>
      </c>
      <c r="R33" s="21">
        <f t="shared" si="9"/>
        <v>0</v>
      </c>
      <c r="S33" s="106">
        <f>IF($B33="",0,IF(N(N33)+_项目汇总!$C$15+_项目汇总!$O$15+_项目汇总!$W$15&lt;&gt;0,1,0))</f>
        <v>0</v>
      </c>
      <c r="T33" s="2">
        <f>N(项目档案!$T$16)*S33</f>
        <v>0</v>
      </c>
    </row>
    <row r="34">
      <c r="A34" s="94">
        <f>IF($B34="","",14)</f>
        <v>14</v>
      </c>
      <c r="B34" s="19" t="str">
        <f>项目档案!$B$17&amp;""</f>
        <v>隆世光伏</v>
      </c>
      <c r="C34" s="94" t="str">
        <f>项目档案!$M$17&amp;""</f>
        <v>在建</v>
      </c>
      <c r="D34" s="21">
        <f t="shared" si="2"/>
        <v>0</v>
      </c>
      <c r="E34" s="21">
        <f>IF($B34="","",ROUND(_项目汇总!$AN$16*N($F$8),2))</f>
        <v>0</v>
      </c>
      <c r="F34" s="21">
        <f>IF($B34="","",ROUND(_项目汇总!$AO$16*N($F$9),2))</f>
        <v>0</v>
      </c>
      <c r="G34" s="21">
        <f>IF($B34="","",ROUND(_项目汇总!$AP$16*N($F$10),2))</f>
        <v>0</v>
      </c>
      <c r="H34" s="21">
        <f>IF($B34="","",ROUND(_项目汇总!$AQ$16*N($F$11),2))</f>
        <v>0</v>
      </c>
      <c r="I34" s="21">
        <f>IF($B34="","",ROUND(_项目汇总!$AR$16*N($F$12),2))</f>
        <v>0</v>
      </c>
      <c r="J34" s="21">
        <f>IF($B34="","",ROUND(_项目汇总!$AS$16*N($F$13),2))</f>
        <v>0</v>
      </c>
      <c r="K34" s="21">
        <f>IF($B34="","",ROUND(_项目汇总!$AT$16*N($F$14),2))</f>
        <v>0</v>
      </c>
      <c r="L34" s="21">
        <f>IF($B34="","",ROUND(_项目汇总!$AU$16*N($F$15),2))</f>
        <v>0</v>
      </c>
      <c r="M34" s="20">
        <f t="shared" si="6"/>
        <v>0</v>
      </c>
      <c r="N34" s="21">
        <f>IF($B34="","",INDEX(_项目汇总!$AN$16:$AU$16,(_辅助!$J$7-_辅助!$J$6+1)))</f>
        <v>0</v>
      </c>
      <c r="O34" s="20">
        <f t="shared" si="7"/>
        <v>0</v>
      </c>
      <c r="P34" s="22">
        <f t="shared" si="8"/>
        <v>0</v>
      </c>
      <c r="Q34" s="21">
        <f>IF(OR($B34="",S34=0,SUM($T$21:$T$80)=0),0,ROUND(SUMIFS($B$8:$B$15,$A$8:$A$15,_辅助!$J$7)*N(项目档案!$T$17)/SUM($T$21:$T$80),2))</f>
        <v>0</v>
      </c>
      <c r="R34" s="21">
        <f t="shared" si="9"/>
        <v>0</v>
      </c>
      <c r="S34" s="106">
        <f>IF($B34="",0,IF(N(N34)+_项目汇总!$C$16+_项目汇总!$O$16+_项目汇总!$W$16&lt;&gt;0,1,0))</f>
        <v>1</v>
      </c>
      <c r="T34" s="2">
        <f>N(项目档案!$T$17)*S34</f>
        <v>0</v>
      </c>
    </row>
    <row r="35">
      <c r="A35" s="94">
        <f>IF($B35="","",15)</f>
        <v>15</v>
      </c>
      <c r="B35" s="19" t="str">
        <f>项目档案!$B$18&amp;""</f>
        <v>中国联项目</v>
      </c>
      <c r="C35" s="94" t="str">
        <f>项目档案!$M$18&amp;""</f>
        <v>在建</v>
      </c>
      <c r="D35" s="21">
        <f t="shared" si="2"/>
        <v>0</v>
      </c>
      <c r="E35" s="21">
        <f>IF($B35="","",ROUND(_项目汇总!$AN$17*N($F$8),2))</f>
        <v>0</v>
      </c>
      <c r="F35" s="21">
        <f>IF($B35="","",ROUND(_项目汇总!$AO$17*N($F$9),2))</f>
        <v>0</v>
      </c>
      <c r="G35" s="21">
        <f>IF($B35="","",ROUND(_项目汇总!$AP$17*N($F$10),2))</f>
        <v>0</v>
      </c>
      <c r="H35" s="21">
        <f>IF($B35="","",ROUND(_项目汇总!$AQ$17*N($F$11),2))</f>
        <v>0</v>
      </c>
      <c r="I35" s="21">
        <f>IF($B35="","",ROUND(_项目汇总!$AR$17*N($F$12),2))</f>
        <v>0</v>
      </c>
      <c r="J35" s="21">
        <f>IF($B35="","",ROUND(_项目汇总!$AS$17*N($F$13),2))</f>
        <v>0</v>
      </c>
      <c r="K35" s="21">
        <f>IF($B35="","",ROUND(_项目汇总!$AT$17*N($F$14),2))</f>
        <v>0</v>
      </c>
      <c r="L35" s="21">
        <f>IF($B35="","",ROUND(_项目汇总!$AU$17*N($F$15),2))</f>
        <v>0</v>
      </c>
      <c r="M35" s="20">
        <f t="shared" si="6"/>
        <v>0</v>
      </c>
      <c r="N35" s="21">
        <f>IF($B35="","",INDEX(_项目汇总!$AN$17:$AU$17,(_辅助!$J$7-_辅助!$J$6+1)))</f>
        <v>0</v>
      </c>
      <c r="O35" s="20">
        <f t="shared" si="7"/>
        <v>0</v>
      </c>
      <c r="P35" s="22">
        <f t="shared" si="8"/>
        <v>0</v>
      </c>
      <c r="Q35" s="21">
        <f>IF(OR($B35="",S35=0,SUM($T$21:$T$80)=0),0,ROUND(SUMIFS($B$8:$B$15,$A$8:$A$15,_辅助!$J$7)*N(项目档案!$T$18)/SUM($T$21:$T$80),2))</f>
        <v>0</v>
      </c>
      <c r="R35" s="21">
        <f t="shared" si="9"/>
        <v>0</v>
      </c>
      <c r="S35" s="106">
        <f>IF($B35="",0,IF(N(N35)+_项目汇总!$C$17+_项目汇总!$O$17+_项目汇总!$W$17&lt;&gt;0,1,0))</f>
        <v>0</v>
      </c>
      <c r="T35" s="2">
        <f>N(项目档案!$T$18)*S35</f>
        <v>0</v>
      </c>
    </row>
    <row r="36">
      <c r="A36" s="94">
        <f>IF($B36="","",16)</f>
        <v>16</v>
      </c>
      <c r="B36" s="19" t="str">
        <f>项目档案!$B$19&amp;""</f>
        <v>吴山政府项目</v>
      </c>
      <c r="C36" s="94" t="str">
        <f>项目档案!$M$19&amp;""</f>
        <v>在建</v>
      </c>
      <c r="D36" s="21">
        <f t="shared" si="2"/>
        <v>0</v>
      </c>
      <c r="E36" s="21">
        <f>IF($B36="","",ROUND(_项目汇总!$AN$18*N($F$8),2))</f>
        <v>0</v>
      </c>
      <c r="F36" s="21">
        <f>IF($B36="","",ROUND(_项目汇总!$AO$18*N($F$9),2))</f>
        <v>0</v>
      </c>
      <c r="G36" s="21">
        <f>IF($B36="","",ROUND(_项目汇总!$AP$18*N($F$10),2))</f>
        <v>0</v>
      </c>
      <c r="H36" s="21">
        <f>IF($B36="","",ROUND(_项目汇总!$AQ$18*N($F$11),2))</f>
        <v>0</v>
      </c>
      <c r="I36" s="21">
        <f>IF($B36="","",ROUND(_项目汇总!$AR$18*N($F$12),2))</f>
        <v>0</v>
      </c>
      <c r="J36" s="21">
        <f>IF($B36="","",ROUND(_项目汇总!$AS$18*N($F$13),2))</f>
        <v>0</v>
      </c>
      <c r="K36" s="21">
        <f>IF($B36="","",ROUND(_项目汇总!$AT$18*N($F$14),2))</f>
        <v>0</v>
      </c>
      <c r="L36" s="21">
        <f>IF($B36="","",ROUND(_项目汇总!$AU$18*N($F$15),2))</f>
        <v>0</v>
      </c>
      <c r="M36" s="20">
        <f t="shared" si="6"/>
        <v>0</v>
      </c>
      <c r="N36" s="21">
        <f>IF($B36="","",INDEX(_项目汇总!$AN$18:$AU$18,(_辅助!$J$7-_辅助!$J$6+1)))</f>
        <v>0</v>
      </c>
      <c r="O36" s="20">
        <f t="shared" si="7"/>
        <v>0</v>
      </c>
      <c r="P36" s="22">
        <f t="shared" si="8"/>
        <v>0</v>
      </c>
      <c r="Q36" s="21">
        <f>IF(OR($B36="",S36=0,SUM($T$21:$T$80)=0),0,ROUND(SUMIFS($B$8:$B$15,$A$8:$A$15,_辅助!$J$7)*N(项目档案!$T$19)/SUM($T$21:$T$80),2))</f>
        <v>0</v>
      </c>
      <c r="R36" s="21">
        <f t="shared" si="9"/>
        <v>0</v>
      </c>
      <c r="S36" s="106">
        <f>IF($B36="",0,IF(N(N36)+_项目汇总!$C$18+_项目汇总!$O$18+_项目汇总!$W$18&lt;&gt;0,1,0))</f>
        <v>1</v>
      </c>
      <c r="T36" s="2">
        <f>N(项目档案!$T$19)*S36</f>
        <v>0</v>
      </c>
    </row>
    <row r="37">
      <c r="A37" s="94">
        <f>IF($B37="","",17)</f>
      </c>
      <c r="B37" s="19">
        <f>项目档案!$B$20&amp;""</f>
      </c>
      <c r="C37" s="94">
        <f>项目档案!$M$20&amp;""</f>
      </c>
      <c r="D37" s="21">
        <f t="shared" si="2"/>
      </c>
      <c r="E37" s="21">
        <f>IF($B37="","",ROUND(_项目汇总!$AN$19*N($F$8),2))</f>
      </c>
      <c r="F37" s="21">
        <f>IF($B37="","",ROUND(_项目汇总!$AO$19*N($F$9),2))</f>
      </c>
      <c r="G37" s="21">
        <f>IF($B37="","",ROUND(_项目汇总!$AP$19*N($F$10),2))</f>
      </c>
      <c r="H37" s="21">
        <f>IF($B37="","",ROUND(_项目汇总!$AQ$19*N($F$11),2))</f>
      </c>
      <c r="I37" s="21">
        <f>IF($B37="","",ROUND(_项目汇总!$AR$19*N($F$12),2))</f>
      </c>
      <c r="J37" s="21">
        <f>IF($B37="","",ROUND(_项目汇总!$AS$19*N($F$13),2))</f>
      </c>
      <c r="K37" s="21">
        <f>IF($B37="","",ROUND(_项目汇总!$AT$19*N($F$14),2))</f>
      </c>
      <c r="L37" s="21">
        <f>IF($B37="","",ROUND(_项目汇总!$AU$19*N($F$15),2))</f>
      </c>
      <c r="M37" s="20">
        <f t="shared" si="6"/>
      </c>
      <c r="N37" s="21">
        <f>IF($B37="","",INDEX(_项目汇总!$AN$19:$AU$19,(_辅助!$J$7-_辅助!$J$6+1)))</f>
      </c>
      <c r="O37" s="20">
        <f t="shared" si="7"/>
      </c>
      <c r="P37" s="22">
        <f t="shared" si="8"/>
      </c>
      <c r="Q37" s="21">
        <f>IF(OR($B37="",S37=0,SUM($T$21:$T$80)=0),0,ROUND(SUMIFS($B$8:$B$15,$A$8:$A$15,_辅助!$J$7)*N(项目档案!$T$20)/SUM($T$21:$T$80),2))</f>
        <v>0</v>
      </c>
      <c r="R37" s="21">
        <f t="shared" si="9"/>
      </c>
      <c r="S37" s="106">
        <f>IF($B37="",0,IF(N(N37)+_项目汇总!$C$19+_项目汇总!$O$19+_项目汇总!$W$19&lt;&gt;0,1,0))</f>
        <v>0</v>
      </c>
      <c r="T37" s="2">
        <f>N(项目档案!$T$20)*S37</f>
        <v>0</v>
      </c>
    </row>
    <row r="38">
      <c r="A38" s="94">
        <f>IF($B38="","",18)</f>
      </c>
      <c r="B38" s="19">
        <f>项目档案!$B$21&amp;""</f>
      </c>
      <c r="C38" s="94">
        <f>项目档案!$M$21&amp;""</f>
      </c>
      <c r="D38" s="21">
        <f t="shared" si="2"/>
      </c>
      <c r="E38" s="21">
        <f>IF($B38="","",ROUND(_项目汇总!$AN$20*N($F$8),2))</f>
      </c>
      <c r="F38" s="21">
        <f>IF($B38="","",ROUND(_项目汇总!$AO$20*N($F$9),2))</f>
      </c>
      <c r="G38" s="21">
        <f>IF($B38="","",ROUND(_项目汇总!$AP$20*N($F$10),2))</f>
      </c>
      <c r="H38" s="21">
        <f>IF($B38="","",ROUND(_项目汇总!$AQ$20*N($F$11),2))</f>
      </c>
      <c r="I38" s="21">
        <f>IF($B38="","",ROUND(_项目汇总!$AR$20*N($F$12),2))</f>
      </c>
      <c r="J38" s="21">
        <f>IF($B38="","",ROUND(_项目汇总!$AS$20*N($F$13),2))</f>
      </c>
      <c r="K38" s="21">
        <f>IF($B38="","",ROUND(_项目汇总!$AT$20*N($F$14),2))</f>
      </c>
      <c r="L38" s="21">
        <f>IF($B38="","",ROUND(_项目汇总!$AU$20*N($F$15),2))</f>
      </c>
      <c r="M38" s="20">
        <f t="shared" si="6"/>
      </c>
      <c r="N38" s="21">
        <f>IF($B38="","",INDEX(_项目汇总!$AN$20:$AU$20,(_辅助!$J$7-_辅助!$J$6+1)))</f>
      </c>
      <c r="O38" s="20">
        <f t="shared" si="7"/>
      </c>
      <c r="P38" s="22">
        <f t="shared" si="8"/>
      </c>
      <c r="Q38" s="21">
        <f>IF(OR($B38="",S38=0,SUM($T$21:$T$80)=0),0,ROUND(SUMIFS($B$8:$B$15,$A$8:$A$15,_辅助!$J$7)*N(项目档案!$T$21)/SUM($T$21:$T$80),2))</f>
        <v>0</v>
      </c>
      <c r="R38" s="21">
        <f t="shared" si="9"/>
      </c>
      <c r="S38" s="106">
        <f>IF($B38="",0,IF(N(N38)+_项目汇总!$C$20+_项目汇总!$O$20+_项目汇总!$W$20&lt;&gt;0,1,0))</f>
        <v>0</v>
      </c>
      <c r="T38" s="2">
        <f>N(项目档案!$T$21)*S38</f>
        <v>0</v>
      </c>
    </row>
    <row r="39">
      <c r="A39" s="94">
        <f>IF($B39="","",19)</f>
      </c>
      <c r="B39" s="19">
        <f>项目档案!$B$22&amp;""</f>
      </c>
      <c r="C39" s="94">
        <f>项目档案!$M$22&amp;""</f>
      </c>
      <c r="D39" s="21">
        <f t="shared" si="2"/>
      </c>
      <c r="E39" s="21">
        <f>IF($B39="","",ROUND(_项目汇总!$AN$21*N($F$8),2))</f>
      </c>
      <c r="F39" s="21">
        <f>IF($B39="","",ROUND(_项目汇总!$AO$21*N($F$9),2))</f>
      </c>
      <c r="G39" s="21">
        <f>IF($B39="","",ROUND(_项目汇总!$AP$21*N($F$10),2))</f>
      </c>
      <c r="H39" s="21">
        <f>IF($B39="","",ROUND(_项目汇总!$AQ$21*N($F$11),2))</f>
      </c>
      <c r="I39" s="21">
        <f>IF($B39="","",ROUND(_项目汇总!$AR$21*N($F$12),2))</f>
      </c>
      <c r="J39" s="21">
        <f>IF($B39="","",ROUND(_项目汇总!$AS$21*N($F$13),2))</f>
      </c>
      <c r="K39" s="21">
        <f>IF($B39="","",ROUND(_项目汇总!$AT$21*N($F$14),2))</f>
      </c>
      <c r="L39" s="21">
        <f>IF($B39="","",ROUND(_项目汇总!$AU$21*N($F$15),2))</f>
      </c>
      <c r="M39" s="20">
        <f t="shared" si="6"/>
      </c>
      <c r="N39" s="21">
        <f>IF($B39="","",INDEX(_项目汇总!$AN$21:$AU$21,(_辅助!$J$7-_辅助!$J$6+1)))</f>
      </c>
      <c r="O39" s="20">
        <f t="shared" si="7"/>
      </c>
      <c r="P39" s="22">
        <f t="shared" si="8"/>
      </c>
      <c r="Q39" s="21">
        <f>IF(OR($B39="",S39=0,SUM($T$21:$T$80)=0),0,ROUND(SUMIFS($B$8:$B$15,$A$8:$A$15,_辅助!$J$7)*N(项目档案!$T$22)/SUM($T$21:$T$80),2))</f>
        <v>0</v>
      </c>
      <c r="R39" s="21">
        <f t="shared" si="9"/>
      </c>
      <c r="S39" s="106">
        <f>IF($B39="",0,IF(N(N39)+_项目汇总!$C$21+_项目汇总!$O$21+_项目汇总!$W$21&lt;&gt;0,1,0))</f>
        <v>0</v>
      </c>
      <c r="T39" s="2">
        <f>N(项目档案!$T$22)*S39</f>
        <v>0</v>
      </c>
    </row>
    <row r="40">
      <c r="A40" s="94">
        <f>IF($B40="","",20)</f>
      </c>
      <c r="B40" s="19">
        <f>项目档案!$B$23&amp;""</f>
      </c>
      <c r="C40" s="94">
        <f>项目档案!$M$23&amp;""</f>
      </c>
      <c r="D40" s="21">
        <f t="shared" si="2"/>
      </c>
      <c r="E40" s="21">
        <f>IF($B40="","",ROUND(_项目汇总!$AN$22*N($F$8),2))</f>
      </c>
      <c r="F40" s="21">
        <f>IF($B40="","",ROUND(_项目汇总!$AO$22*N($F$9),2))</f>
      </c>
      <c r="G40" s="21">
        <f>IF($B40="","",ROUND(_项目汇总!$AP$22*N($F$10),2))</f>
      </c>
      <c r="H40" s="21">
        <f>IF($B40="","",ROUND(_项目汇总!$AQ$22*N($F$11),2))</f>
      </c>
      <c r="I40" s="21">
        <f>IF($B40="","",ROUND(_项目汇总!$AR$22*N($F$12),2))</f>
      </c>
      <c r="J40" s="21">
        <f>IF($B40="","",ROUND(_项目汇总!$AS$22*N($F$13),2))</f>
      </c>
      <c r="K40" s="21">
        <f>IF($B40="","",ROUND(_项目汇总!$AT$22*N($F$14),2))</f>
      </c>
      <c r="L40" s="21">
        <f>IF($B40="","",ROUND(_项目汇总!$AU$22*N($F$15),2))</f>
      </c>
      <c r="M40" s="20">
        <f t="shared" si="6"/>
      </c>
      <c r="N40" s="21">
        <f>IF($B40="","",INDEX(_项目汇总!$AN$22:$AU$22,(_辅助!$J$7-_辅助!$J$6+1)))</f>
      </c>
      <c r="O40" s="20">
        <f t="shared" si="7"/>
      </c>
      <c r="P40" s="22">
        <f t="shared" si="8"/>
      </c>
      <c r="Q40" s="21">
        <f>IF(OR($B40="",S40=0,SUM($T$21:$T$80)=0),0,ROUND(SUMIFS($B$8:$B$15,$A$8:$A$15,_辅助!$J$7)*N(项目档案!$T$23)/SUM($T$21:$T$80),2))</f>
        <v>0</v>
      </c>
      <c r="R40" s="21">
        <f t="shared" si="9"/>
      </c>
      <c r="S40" s="106">
        <f>IF($B40="",0,IF(N(N40)+_项目汇总!$C$22+_项目汇总!$O$22+_项目汇总!$W$22&lt;&gt;0,1,0))</f>
        <v>0</v>
      </c>
      <c r="T40" s="2">
        <f>N(项目档案!$T$23)*S40</f>
        <v>0</v>
      </c>
    </row>
    <row r="41">
      <c r="A41" s="94">
        <f>IF($B41="","",21)</f>
      </c>
      <c r="B41" s="19">
        <f>项目档案!$B$24&amp;""</f>
      </c>
      <c r="C41" s="94">
        <f>项目档案!$M$24&amp;""</f>
      </c>
      <c r="D41" s="21">
        <f t="shared" si="2"/>
      </c>
      <c r="E41" s="21">
        <f>IF($B41="","",ROUND(_项目汇总!$AN$23*N($F$8),2))</f>
      </c>
      <c r="F41" s="21">
        <f>IF($B41="","",ROUND(_项目汇总!$AO$23*N($F$9),2))</f>
      </c>
      <c r="G41" s="21">
        <f>IF($B41="","",ROUND(_项目汇总!$AP$23*N($F$10),2))</f>
      </c>
      <c r="H41" s="21">
        <f>IF($B41="","",ROUND(_项目汇总!$AQ$23*N($F$11),2))</f>
      </c>
      <c r="I41" s="21">
        <f>IF($B41="","",ROUND(_项目汇总!$AR$23*N($F$12),2))</f>
      </c>
      <c r="J41" s="21">
        <f>IF($B41="","",ROUND(_项目汇总!$AS$23*N($F$13),2))</f>
      </c>
      <c r="K41" s="21">
        <f>IF($B41="","",ROUND(_项目汇总!$AT$23*N($F$14),2))</f>
      </c>
      <c r="L41" s="21">
        <f>IF($B41="","",ROUND(_项目汇总!$AU$23*N($F$15),2))</f>
      </c>
      <c r="M41" s="20">
        <f t="shared" si="6"/>
      </c>
      <c r="N41" s="21">
        <f>IF($B41="","",INDEX(_项目汇总!$AN$23:$AU$23,(_辅助!$J$7-_辅助!$J$6+1)))</f>
      </c>
      <c r="O41" s="20">
        <f t="shared" si="7"/>
      </c>
      <c r="P41" s="22">
        <f t="shared" si="8"/>
      </c>
      <c r="Q41" s="21">
        <f>IF(OR($B41="",S41=0,SUM($T$21:$T$80)=0),0,ROUND(SUMIFS($B$8:$B$15,$A$8:$A$15,_辅助!$J$7)*N(项目档案!$T$24)/SUM($T$21:$T$80),2))</f>
        <v>0</v>
      </c>
      <c r="R41" s="21">
        <f t="shared" si="9"/>
      </c>
      <c r="S41" s="106">
        <f>IF($B41="",0,IF(N(N41)+_项目汇总!$C$23+_项目汇总!$O$23+_项目汇总!$W$23&lt;&gt;0,1,0))</f>
        <v>0</v>
      </c>
      <c r="T41" s="2">
        <f>N(项目档案!$T$24)*S41</f>
        <v>0</v>
      </c>
    </row>
    <row r="42">
      <c r="A42" s="94">
        <f>IF($B42="","",22)</f>
      </c>
      <c r="B42" s="19">
        <f>项目档案!$B$25&amp;""</f>
      </c>
      <c r="C42" s="94">
        <f>项目档案!$M$25&amp;""</f>
      </c>
      <c r="D42" s="21">
        <f t="shared" si="2"/>
      </c>
      <c r="E42" s="21">
        <f>IF($B42="","",ROUND(_项目汇总!$AN$24*N($F$8),2))</f>
      </c>
      <c r="F42" s="21">
        <f>IF($B42="","",ROUND(_项目汇总!$AO$24*N($F$9),2))</f>
      </c>
      <c r="G42" s="21">
        <f>IF($B42="","",ROUND(_项目汇总!$AP$24*N($F$10),2))</f>
      </c>
      <c r="H42" s="21">
        <f>IF($B42="","",ROUND(_项目汇总!$AQ$24*N($F$11),2))</f>
      </c>
      <c r="I42" s="21">
        <f>IF($B42="","",ROUND(_项目汇总!$AR$24*N($F$12),2))</f>
      </c>
      <c r="J42" s="21">
        <f>IF($B42="","",ROUND(_项目汇总!$AS$24*N($F$13),2))</f>
      </c>
      <c r="K42" s="21">
        <f>IF($B42="","",ROUND(_项目汇总!$AT$24*N($F$14),2))</f>
      </c>
      <c r="L42" s="21">
        <f>IF($B42="","",ROUND(_项目汇总!$AU$24*N($F$15),2))</f>
      </c>
      <c r="M42" s="20">
        <f t="shared" si="6"/>
      </c>
      <c r="N42" s="21">
        <f>IF($B42="","",INDEX(_项目汇总!$AN$24:$AU$24,(_辅助!$J$7-_辅助!$J$6+1)))</f>
      </c>
      <c r="O42" s="20">
        <f t="shared" si="7"/>
      </c>
      <c r="P42" s="22">
        <f t="shared" si="8"/>
      </c>
      <c r="Q42" s="21">
        <f>IF(OR($B42="",S42=0,SUM($T$21:$T$80)=0),0,ROUND(SUMIFS($B$8:$B$15,$A$8:$A$15,_辅助!$J$7)*N(项目档案!$T$25)/SUM($T$21:$T$80),2))</f>
        <v>0</v>
      </c>
      <c r="R42" s="21">
        <f t="shared" si="9"/>
      </c>
      <c r="S42" s="106">
        <f>IF($B42="",0,IF(N(N42)+_项目汇总!$C$24+_项目汇总!$O$24+_项目汇总!$W$24&lt;&gt;0,1,0))</f>
        <v>0</v>
      </c>
      <c r="T42" s="2">
        <f>N(项目档案!$T$25)*S42</f>
        <v>0</v>
      </c>
    </row>
    <row r="43">
      <c r="A43" s="94">
        <f>IF($B43="","",23)</f>
      </c>
      <c r="B43" s="19">
        <f>项目档案!$B$26&amp;""</f>
      </c>
      <c r="C43" s="94">
        <f>项目档案!$M$26&amp;""</f>
      </c>
      <c r="D43" s="21">
        <f t="shared" si="2"/>
      </c>
      <c r="E43" s="21">
        <f>IF($B43="","",ROUND(_项目汇总!$AN$25*N($F$8),2))</f>
      </c>
      <c r="F43" s="21">
        <f>IF($B43="","",ROUND(_项目汇总!$AO$25*N($F$9),2))</f>
      </c>
      <c r="G43" s="21">
        <f>IF($B43="","",ROUND(_项目汇总!$AP$25*N($F$10),2))</f>
      </c>
      <c r="H43" s="21">
        <f>IF($B43="","",ROUND(_项目汇总!$AQ$25*N($F$11),2))</f>
      </c>
      <c r="I43" s="21">
        <f>IF($B43="","",ROUND(_项目汇总!$AR$25*N($F$12),2))</f>
      </c>
      <c r="J43" s="21">
        <f>IF($B43="","",ROUND(_项目汇总!$AS$25*N($F$13),2))</f>
      </c>
      <c r="K43" s="21">
        <f>IF($B43="","",ROUND(_项目汇总!$AT$25*N($F$14),2))</f>
      </c>
      <c r="L43" s="21">
        <f>IF($B43="","",ROUND(_项目汇总!$AU$25*N($F$15),2))</f>
      </c>
      <c r="M43" s="20">
        <f t="shared" si="6"/>
      </c>
      <c r="N43" s="21">
        <f>IF($B43="","",INDEX(_项目汇总!$AN$25:$AU$25,(_辅助!$J$7-_辅助!$J$6+1)))</f>
      </c>
      <c r="O43" s="20">
        <f t="shared" si="7"/>
      </c>
      <c r="P43" s="22">
        <f t="shared" si="8"/>
      </c>
      <c r="Q43" s="21">
        <f>IF(OR($B43="",S43=0,SUM($T$21:$T$80)=0),0,ROUND(SUMIFS($B$8:$B$15,$A$8:$A$15,_辅助!$J$7)*N(项目档案!$T$26)/SUM($T$21:$T$80),2))</f>
        <v>0</v>
      </c>
      <c r="R43" s="21">
        <f t="shared" si="9"/>
      </c>
      <c r="S43" s="106">
        <f>IF($B43="",0,IF(N(N43)+_项目汇总!$C$25+_项目汇总!$O$25+_项目汇总!$W$25&lt;&gt;0,1,0))</f>
        <v>0</v>
      </c>
      <c r="T43" s="2">
        <f>N(项目档案!$T$26)*S43</f>
        <v>0</v>
      </c>
    </row>
    <row r="44">
      <c r="A44" s="94">
        <f>IF($B44="","",24)</f>
      </c>
      <c r="B44" s="19">
        <f>项目档案!$B$27&amp;""</f>
      </c>
      <c r="C44" s="94">
        <f>项目档案!$M$27&amp;""</f>
      </c>
      <c r="D44" s="21">
        <f t="shared" si="2"/>
      </c>
      <c r="E44" s="21">
        <f>IF($B44="","",ROUND(_项目汇总!$AN$26*N($F$8),2))</f>
      </c>
      <c r="F44" s="21">
        <f>IF($B44="","",ROUND(_项目汇总!$AO$26*N($F$9),2))</f>
      </c>
      <c r="G44" s="21">
        <f>IF($B44="","",ROUND(_项目汇总!$AP$26*N($F$10),2))</f>
      </c>
      <c r="H44" s="21">
        <f>IF($B44="","",ROUND(_项目汇总!$AQ$26*N($F$11),2))</f>
      </c>
      <c r="I44" s="21">
        <f>IF($B44="","",ROUND(_项目汇总!$AR$26*N($F$12),2))</f>
      </c>
      <c r="J44" s="21">
        <f>IF($B44="","",ROUND(_项目汇总!$AS$26*N($F$13),2))</f>
      </c>
      <c r="K44" s="21">
        <f>IF($B44="","",ROUND(_项目汇总!$AT$26*N($F$14),2))</f>
      </c>
      <c r="L44" s="21">
        <f>IF($B44="","",ROUND(_项目汇总!$AU$26*N($F$15),2))</f>
      </c>
      <c r="M44" s="20">
        <f t="shared" si="6"/>
      </c>
      <c r="N44" s="21">
        <f>IF($B44="","",INDEX(_项目汇总!$AN$26:$AU$26,(_辅助!$J$7-_辅助!$J$6+1)))</f>
      </c>
      <c r="O44" s="20">
        <f t="shared" si="7"/>
      </c>
      <c r="P44" s="22">
        <f t="shared" si="8"/>
      </c>
      <c r="Q44" s="21">
        <f>IF(OR($B44="",S44=0,SUM($T$21:$T$80)=0),0,ROUND(SUMIFS($B$8:$B$15,$A$8:$A$15,_辅助!$J$7)*N(项目档案!$T$27)/SUM($T$21:$T$80),2))</f>
        <v>0</v>
      </c>
      <c r="R44" s="21">
        <f t="shared" si="9"/>
      </c>
      <c r="S44" s="106">
        <f>IF($B44="",0,IF(N(N44)+_项目汇总!$C$26+_项目汇总!$O$26+_项目汇总!$W$26&lt;&gt;0,1,0))</f>
        <v>0</v>
      </c>
      <c r="T44" s="2">
        <f>N(项目档案!$T$27)*S44</f>
        <v>0</v>
      </c>
    </row>
    <row r="45">
      <c r="A45" s="94">
        <f>IF($B45="","",25)</f>
      </c>
      <c r="B45" s="19">
        <f>项目档案!$B$28&amp;""</f>
      </c>
      <c r="C45" s="94">
        <f>项目档案!$M$28&amp;""</f>
      </c>
      <c r="D45" s="21">
        <f t="shared" si="2"/>
      </c>
      <c r="E45" s="21">
        <f>IF($B45="","",ROUND(_项目汇总!$AN$27*N($F$8),2))</f>
      </c>
      <c r="F45" s="21">
        <f>IF($B45="","",ROUND(_项目汇总!$AO$27*N($F$9),2))</f>
      </c>
      <c r="G45" s="21">
        <f>IF($B45="","",ROUND(_项目汇总!$AP$27*N($F$10),2))</f>
      </c>
      <c r="H45" s="21">
        <f>IF($B45="","",ROUND(_项目汇总!$AQ$27*N($F$11),2))</f>
      </c>
      <c r="I45" s="21">
        <f>IF($B45="","",ROUND(_项目汇总!$AR$27*N($F$12),2))</f>
      </c>
      <c r="J45" s="21">
        <f>IF($B45="","",ROUND(_项目汇总!$AS$27*N($F$13),2))</f>
      </c>
      <c r="K45" s="21">
        <f>IF($B45="","",ROUND(_项目汇总!$AT$27*N($F$14),2))</f>
      </c>
      <c r="L45" s="21">
        <f>IF($B45="","",ROUND(_项目汇总!$AU$27*N($F$15),2))</f>
      </c>
      <c r="M45" s="20">
        <f t="shared" si="6"/>
      </c>
      <c r="N45" s="21">
        <f>IF($B45="","",INDEX(_项目汇总!$AN$27:$AU$27,(_辅助!$J$7-_辅助!$J$6+1)))</f>
      </c>
      <c r="O45" s="20">
        <f t="shared" si="7"/>
      </c>
      <c r="P45" s="22">
        <f t="shared" si="8"/>
      </c>
      <c r="Q45" s="21">
        <f>IF(OR($B45="",S45=0,SUM($T$21:$T$80)=0),0,ROUND(SUMIFS($B$8:$B$15,$A$8:$A$15,_辅助!$J$7)*N(项目档案!$T$28)/SUM($T$21:$T$80),2))</f>
        <v>0</v>
      </c>
      <c r="R45" s="21">
        <f t="shared" si="9"/>
      </c>
      <c r="S45" s="106">
        <f>IF($B45="",0,IF(N(N45)+_项目汇总!$C$27+_项目汇总!$O$27+_项目汇总!$W$27&lt;&gt;0,1,0))</f>
        <v>0</v>
      </c>
      <c r="T45" s="2">
        <f>N(项目档案!$T$28)*S45</f>
        <v>0</v>
      </c>
    </row>
    <row r="46">
      <c r="A46" s="94">
        <f>IF($B46="","",26)</f>
      </c>
      <c r="B46" s="19">
        <f>项目档案!$B$29&amp;""</f>
      </c>
      <c r="C46" s="94">
        <f>项目档案!$M$29&amp;""</f>
      </c>
      <c r="D46" s="21">
        <f t="shared" si="2"/>
      </c>
      <c r="E46" s="21">
        <f>IF($B46="","",ROUND(_项目汇总!$AN$28*N($F$8),2))</f>
      </c>
      <c r="F46" s="21">
        <f>IF($B46="","",ROUND(_项目汇总!$AO$28*N($F$9),2))</f>
      </c>
      <c r="G46" s="21">
        <f>IF($B46="","",ROUND(_项目汇总!$AP$28*N($F$10),2))</f>
      </c>
      <c r="H46" s="21">
        <f>IF($B46="","",ROUND(_项目汇总!$AQ$28*N($F$11),2))</f>
      </c>
      <c r="I46" s="21">
        <f>IF($B46="","",ROUND(_项目汇总!$AR$28*N($F$12),2))</f>
      </c>
      <c r="J46" s="21">
        <f>IF($B46="","",ROUND(_项目汇总!$AS$28*N($F$13),2))</f>
      </c>
      <c r="K46" s="21">
        <f>IF($B46="","",ROUND(_项目汇总!$AT$28*N($F$14),2))</f>
      </c>
      <c r="L46" s="21">
        <f>IF($B46="","",ROUND(_项目汇总!$AU$28*N($F$15),2))</f>
      </c>
      <c r="M46" s="20">
        <f t="shared" si="6"/>
      </c>
      <c r="N46" s="21">
        <f>IF($B46="","",INDEX(_项目汇总!$AN$28:$AU$28,(_辅助!$J$7-_辅助!$J$6+1)))</f>
      </c>
      <c r="O46" s="20">
        <f t="shared" si="7"/>
      </c>
      <c r="P46" s="22">
        <f t="shared" si="8"/>
      </c>
      <c r="Q46" s="21">
        <f>IF(OR($B46="",S46=0,SUM($T$21:$T$80)=0),0,ROUND(SUMIFS($B$8:$B$15,$A$8:$A$15,_辅助!$J$7)*N(项目档案!$T$29)/SUM($T$21:$T$80),2))</f>
        <v>0</v>
      </c>
      <c r="R46" s="21">
        <f t="shared" si="9"/>
      </c>
      <c r="S46" s="106">
        <f>IF($B46="",0,IF(N(N46)+_项目汇总!$C$28+_项目汇总!$O$28+_项目汇总!$W$28&lt;&gt;0,1,0))</f>
        <v>0</v>
      </c>
      <c r="T46" s="2">
        <f>N(项目档案!$T$29)*S46</f>
        <v>0</v>
      </c>
    </row>
    <row r="47">
      <c r="A47" s="94">
        <f>IF($B47="","",27)</f>
      </c>
      <c r="B47" s="19">
        <f>项目档案!$B$30&amp;""</f>
      </c>
      <c r="C47" s="94">
        <f>项目档案!$M$30&amp;""</f>
      </c>
      <c r="D47" s="21">
        <f t="shared" si="2"/>
      </c>
      <c r="E47" s="21">
        <f>IF($B47="","",ROUND(_项目汇总!$AN$29*N($F$8),2))</f>
      </c>
      <c r="F47" s="21">
        <f>IF($B47="","",ROUND(_项目汇总!$AO$29*N($F$9),2))</f>
      </c>
      <c r="G47" s="21">
        <f>IF($B47="","",ROUND(_项目汇总!$AP$29*N($F$10),2))</f>
      </c>
      <c r="H47" s="21">
        <f>IF($B47="","",ROUND(_项目汇总!$AQ$29*N($F$11),2))</f>
      </c>
      <c r="I47" s="21">
        <f>IF($B47="","",ROUND(_项目汇总!$AR$29*N($F$12),2))</f>
      </c>
      <c r="J47" s="21">
        <f>IF($B47="","",ROUND(_项目汇总!$AS$29*N($F$13),2))</f>
      </c>
      <c r="K47" s="21">
        <f>IF($B47="","",ROUND(_项目汇总!$AT$29*N($F$14),2))</f>
      </c>
      <c r="L47" s="21">
        <f>IF($B47="","",ROUND(_项目汇总!$AU$29*N($F$15),2))</f>
      </c>
      <c r="M47" s="20">
        <f t="shared" si="6"/>
      </c>
      <c r="N47" s="21">
        <f>IF($B47="","",INDEX(_项目汇总!$AN$29:$AU$29,(_辅助!$J$7-_辅助!$J$6+1)))</f>
      </c>
      <c r="O47" s="20">
        <f t="shared" si="7"/>
      </c>
      <c r="P47" s="22">
        <f t="shared" si="8"/>
      </c>
      <c r="Q47" s="21">
        <f>IF(OR($B47="",S47=0,SUM($T$21:$T$80)=0),0,ROUND(SUMIFS($B$8:$B$15,$A$8:$A$15,_辅助!$J$7)*N(项目档案!$T$30)/SUM($T$21:$T$80),2))</f>
        <v>0</v>
      </c>
      <c r="R47" s="21">
        <f t="shared" si="9"/>
      </c>
      <c r="S47" s="106">
        <f>IF($B47="",0,IF(N(N47)+_项目汇总!$C$29+_项目汇总!$O$29+_项目汇总!$W$29&lt;&gt;0,1,0))</f>
        <v>0</v>
      </c>
      <c r="T47" s="2">
        <f>N(项目档案!$T$30)*S47</f>
        <v>0</v>
      </c>
    </row>
    <row r="48">
      <c r="A48" s="94">
        <f>IF($B48="","",28)</f>
      </c>
      <c r="B48" s="19">
        <f>项目档案!$B$31&amp;""</f>
      </c>
      <c r="C48" s="94">
        <f>项目档案!$M$31&amp;""</f>
      </c>
      <c r="D48" s="21">
        <f t="shared" si="2"/>
      </c>
      <c r="E48" s="21">
        <f>IF($B48="","",ROUND(_项目汇总!$AN$30*N($F$8),2))</f>
      </c>
      <c r="F48" s="21">
        <f>IF($B48="","",ROUND(_项目汇总!$AO$30*N($F$9),2))</f>
      </c>
      <c r="G48" s="21">
        <f>IF($B48="","",ROUND(_项目汇总!$AP$30*N($F$10),2))</f>
      </c>
      <c r="H48" s="21">
        <f>IF($B48="","",ROUND(_项目汇总!$AQ$30*N($F$11),2))</f>
      </c>
      <c r="I48" s="21">
        <f>IF($B48="","",ROUND(_项目汇总!$AR$30*N($F$12),2))</f>
      </c>
      <c r="J48" s="21">
        <f>IF($B48="","",ROUND(_项目汇总!$AS$30*N($F$13),2))</f>
      </c>
      <c r="K48" s="21">
        <f>IF($B48="","",ROUND(_项目汇总!$AT$30*N($F$14),2))</f>
      </c>
      <c r="L48" s="21">
        <f>IF($B48="","",ROUND(_项目汇总!$AU$30*N($F$15),2))</f>
      </c>
      <c r="M48" s="20">
        <f t="shared" si="6"/>
      </c>
      <c r="N48" s="21">
        <f>IF($B48="","",INDEX(_项目汇总!$AN$30:$AU$30,(_辅助!$J$7-_辅助!$J$6+1)))</f>
      </c>
      <c r="O48" s="20">
        <f t="shared" si="7"/>
      </c>
      <c r="P48" s="22">
        <f t="shared" si="8"/>
      </c>
      <c r="Q48" s="21">
        <f>IF(OR($B48="",S48=0,SUM($T$21:$T$80)=0),0,ROUND(SUMIFS($B$8:$B$15,$A$8:$A$15,_辅助!$J$7)*N(项目档案!$T$31)/SUM($T$21:$T$80),2))</f>
        <v>0</v>
      </c>
      <c r="R48" s="21">
        <f t="shared" si="9"/>
      </c>
      <c r="S48" s="106">
        <f>IF($B48="",0,IF(N(N48)+_项目汇总!$C$30+_项目汇总!$O$30+_项目汇总!$W$30&lt;&gt;0,1,0))</f>
        <v>0</v>
      </c>
      <c r="T48" s="2">
        <f>N(项目档案!$T$31)*S48</f>
        <v>0</v>
      </c>
    </row>
    <row r="49">
      <c r="A49" s="94">
        <f>IF($B49="","",29)</f>
      </c>
      <c r="B49" s="19">
        <f>项目档案!$B$32&amp;""</f>
      </c>
      <c r="C49" s="94">
        <f>项目档案!$M$32&amp;""</f>
      </c>
      <c r="D49" s="21">
        <f t="shared" si="2"/>
      </c>
      <c r="E49" s="21">
        <f>IF($B49="","",ROUND(_项目汇总!$AN$31*N($F$8),2))</f>
      </c>
      <c r="F49" s="21">
        <f>IF($B49="","",ROUND(_项目汇总!$AO$31*N($F$9),2))</f>
      </c>
      <c r="G49" s="21">
        <f>IF($B49="","",ROUND(_项目汇总!$AP$31*N($F$10),2))</f>
      </c>
      <c r="H49" s="21">
        <f>IF($B49="","",ROUND(_项目汇总!$AQ$31*N($F$11),2))</f>
      </c>
      <c r="I49" s="21">
        <f>IF($B49="","",ROUND(_项目汇总!$AR$31*N($F$12),2))</f>
      </c>
      <c r="J49" s="21">
        <f>IF($B49="","",ROUND(_项目汇总!$AS$31*N($F$13),2))</f>
      </c>
      <c r="K49" s="21">
        <f>IF($B49="","",ROUND(_项目汇总!$AT$31*N($F$14),2))</f>
      </c>
      <c r="L49" s="21">
        <f>IF($B49="","",ROUND(_项目汇总!$AU$31*N($F$15),2))</f>
      </c>
      <c r="M49" s="20">
        <f t="shared" si="6"/>
      </c>
      <c r="N49" s="21">
        <f>IF($B49="","",INDEX(_项目汇总!$AN$31:$AU$31,(_辅助!$J$7-_辅助!$J$6+1)))</f>
      </c>
      <c r="O49" s="20">
        <f t="shared" si="7"/>
      </c>
      <c r="P49" s="22">
        <f t="shared" si="8"/>
      </c>
      <c r="Q49" s="21">
        <f>IF(OR($B49="",S49=0,SUM($T$21:$T$80)=0),0,ROUND(SUMIFS($B$8:$B$15,$A$8:$A$15,_辅助!$J$7)*N(项目档案!$T$32)/SUM($T$21:$T$80),2))</f>
        <v>0</v>
      </c>
      <c r="R49" s="21">
        <f t="shared" si="9"/>
      </c>
      <c r="S49" s="106">
        <f>IF($B49="",0,IF(N(N49)+_项目汇总!$C$31+_项目汇总!$O$31+_项目汇总!$W$31&lt;&gt;0,1,0))</f>
        <v>0</v>
      </c>
      <c r="T49" s="2">
        <f>N(项目档案!$T$32)*S49</f>
        <v>0</v>
      </c>
    </row>
    <row r="50">
      <c r="A50" s="94">
        <f>IF($B50="","",30)</f>
      </c>
      <c r="B50" s="19">
        <f>项目档案!$B$33&amp;""</f>
      </c>
      <c r="C50" s="94">
        <f>项目档案!$M$33&amp;""</f>
      </c>
      <c r="D50" s="21">
        <f t="shared" si="2"/>
      </c>
      <c r="E50" s="21">
        <f>IF($B50="","",ROUND(_项目汇总!$AN$32*N($F$8),2))</f>
      </c>
      <c r="F50" s="21">
        <f>IF($B50="","",ROUND(_项目汇总!$AO$32*N($F$9),2))</f>
      </c>
      <c r="G50" s="21">
        <f>IF($B50="","",ROUND(_项目汇总!$AP$32*N($F$10),2))</f>
      </c>
      <c r="H50" s="21">
        <f>IF($B50="","",ROUND(_项目汇总!$AQ$32*N($F$11),2))</f>
      </c>
      <c r="I50" s="21">
        <f>IF($B50="","",ROUND(_项目汇总!$AR$32*N($F$12),2))</f>
      </c>
      <c r="J50" s="21">
        <f>IF($B50="","",ROUND(_项目汇总!$AS$32*N($F$13),2))</f>
      </c>
      <c r="K50" s="21">
        <f>IF($B50="","",ROUND(_项目汇总!$AT$32*N($F$14),2))</f>
      </c>
      <c r="L50" s="21">
        <f>IF($B50="","",ROUND(_项目汇总!$AU$32*N($F$15),2))</f>
      </c>
      <c r="M50" s="20">
        <f t="shared" si="6"/>
      </c>
      <c r="N50" s="21">
        <f>IF($B50="","",INDEX(_项目汇总!$AN$32:$AU$32,(_辅助!$J$7-_辅助!$J$6+1)))</f>
      </c>
      <c r="O50" s="20">
        <f t="shared" si="7"/>
      </c>
      <c r="P50" s="22">
        <f t="shared" si="8"/>
      </c>
      <c r="Q50" s="21">
        <f>IF(OR($B50="",S50=0,SUM($T$21:$T$80)=0),0,ROUND(SUMIFS($B$8:$B$15,$A$8:$A$15,_辅助!$J$7)*N(项目档案!$T$33)/SUM($T$21:$T$80),2))</f>
        <v>0</v>
      </c>
      <c r="R50" s="21">
        <f t="shared" si="9"/>
      </c>
      <c r="S50" s="106">
        <f>IF($B50="",0,IF(N(N50)+_项目汇总!$C$32+_项目汇总!$O$32+_项目汇总!$W$32&lt;&gt;0,1,0))</f>
        <v>0</v>
      </c>
      <c r="T50" s="2">
        <f>N(项目档案!$T$33)*S50</f>
        <v>0</v>
      </c>
    </row>
    <row r="51">
      <c r="A51" s="94">
        <f>IF($B51="","",31)</f>
      </c>
      <c r="B51" s="19">
        <f>项目档案!$B$34&amp;""</f>
      </c>
      <c r="C51" s="94">
        <f>项目档案!$M$34&amp;""</f>
      </c>
      <c r="D51" s="21">
        <f t="shared" si="2"/>
      </c>
      <c r="E51" s="21">
        <f>IF($B51="","",ROUND(_项目汇总!$AN$33*N($F$8),2))</f>
      </c>
      <c r="F51" s="21">
        <f>IF($B51="","",ROUND(_项目汇总!$AO$33*N($F$9),2))</f>
      </c>
      <c r="G51" s="21">
        <f>IF($B51="","",ROUND(_项目汇总!$AP$33*N($F$10),2))</f>
      </c>
      <c r="H51" s="21">
        <f>IF($B51="","",ROUND(_项目汇总!$AQ$33*N($F$11),2))</f>
      </c>
      <c r="I51" s="21">
        <f>IF($B51="","",ROUND(_项目汇总!$AR$33*N($F$12),2))</f>
      </c>
      <c r="J51" s="21">
        <f>IF($B51="","",ROUND(_项目汇总!$AS$33*N($F$13),2))</f>
      </c>
      <c r="K51" s="21">
        <f>IF($B51="","",ROUND(_项目汇总!$AT$33*N($F$14),2))</f>
      </c>
      <c r="L51" s="21">
        <f>IF($B51="","",ROUND(_项目汇总!$AU$33*N($F$15),2))</f>
      </c>
      <c r="M51" s="20">
        <f t="shared" si="6"/>
      </c>
      <c r="N51" s="21">
        <f>IF($B51="","",INDEX(_项目汇总!$AN$33:$AU$33,(_辅助!$J$7-_辅助!$J$6+1)))</f>
      </c>
      <c r="O51" s="20">
        <f t="shared" si="7"/>
      </c>
      <c r="P51" s="22">
        <f t="shared" si="8"/>
      </c>
      <c r="Q51" s="21">
        <f>IF(OR($B51="",S51=0,SUM($T$21:$T$80)=0),0,ROUND(SUMIFS($B$8:$B$15,$A$8:$A$15,_辅助!$J$7)*N(项目档案!$T$34)/SUM($T$21:$T$80),2))</f>
        <v>0</v>
      </c>
      <c r="R51" s="21">
        <f t="shared" si="9"/>
      </c>
      <c r="S51" s="106">
        <f>IF($B51="",0,IF(N(N51)+_项目汇总!$C$33+_项目汇总!$O$33+_项目汇总!$W$33&lt;&gt;0,1,0))</f>
        <v>0</v>
      </c>
      <c r="T51" s="2">
        <f>N(项目档案!$T$34)*S51</f>
        <v>0</v>
      </c>
    </row>
    <row r="52">
      <c r="A52" s="94">
        <f>IF($B52="","",32)</f>
      </c>
      <c r="B52" s="19">
        <f>项目档案!$B$35&amp;""</f>
      </c>
      <c r="C52" s="94">
        <f>项目档案!$M$35&amp;""</f>
      </c>
      <c r="D52" s="21">
        <f t="shared" si="2"/>
      </c>
      <c r="E52" s="21">
        <f>IF($B52="","",ROUND(_项目汇总!$AN$34*N($F$8),2))</f>
      </c>
      <c r="F52" s="21">
        <f>IF($B52="","",ROUND(_项目汇总!$AO$34*N($F$9),2))</f>
      </c>
      <c r="G52" s="21">
        <f>IF($B52="","",ROUND(_项目汇总!$AP$34*N($F$10),2))</f>
      </c>
      <c r="H52" s="21">
        <f>IF($B52="","",ROUND(_项目汇总!$AQ$34*N($F$11),2))</f>
      </c>
      <c r="I52" s="21">
        <f>IF($B52="","",ROUND(_项目汇总!$AR$34*N($F$12),2))</f>
      </c>
      <c r="J52" s="21">
        <f>IF($B52="","",ROUND(_项目汇总!$AS$34*N($F$13),2))</f>
      </c>
      <c r="K52" s="21">
        <f>IF($B52="","",ROUND(_项目汇总!$AT$34*N($F$14),2))</f>
      </c>
      <c r="L52" s="21">
        <f>IF($B52="","",ROUND(_项目汇总!$AU$34*N($F$15),2))</f>
      </c>
      <c r="M52" s="20">
        <f t="shared" si="6"/>
      </c>
      <c r="N52" s="21">
        <f>IF($B52="","",INDEX(_项目汇总!$AN$34:$AU$34,(_辅助!$J$7-_辅助!$J$6+1)))</f>
      </c>
      <c r="O52" s="20">
        <f t="shared" si="7"/>
      </c>
      <c r="P52" s="22">
        <f t="shared" si="8"/>
      </c>
      <c r="Q52" s="21">
        <f>IF(OR($B52="",S52=0,SUM($T$21:$T$80)=0),0,ROUND(SUMIFS($B$8:$B$15,$A$8:$A$15,_辅助!$J$7)*N(项目档案!$T$35)/SUM($T$21:$T$80),2))</f>
        <v>0</v>
      </c>
      <c r="R52" s="21">
        <f t="shared" si="9"/>
      </c>
      <c r="S52" s="106">
        <f>IF($B52="",0,IF(N(N52)+_项目汇总!$C$34+_项目汇总!$O$34+_项目汇总!$W$34&lt;&gt;0,1,0))</f>
        <v>0</v>
      </c>
      <c r="T52" s="2">
        <f>N(项目档案!$T$35)*S52</f>
        <v>0</v>
      </c>
    </row>
    <row r="53">
      <c r="A53" s="94">
        <f>IF($B53="","",33)</f>
      </c>
      <c r="B53" s="19">
        <f>项目档案!$B$36&amp;""</f>
      </c>
      <c r="C53" s="94">
        <f>项目档案!$M$36&amp;""</f>
      </c>
      <c r="D53" s="21">
        <f t="shared" si="2"/>
      </c>
      <c r="E53" s="21">
        <f>IF($B53="","",ROUND(_项目汇总!$AN$35*N($F$8),2))</f>
      </c>
      <c r="F53" s="21">
        <f>IF($B53="","",ROUND(_项目汇总!$AO$35*N($F$9),2))</f>
      </c>
      <c r="G53" s="21">
        <f>IF($B53="","",ROUND(_项目汇总!$AP$35*N($F$10),2))</f>
      </c>
      <c r="H53" s="21">
        <f>IF($B53="","",ROUND(_项目汇总!$AQ$35*N($F$11),2))</f>
      </c>
      <c r="I53" s="21">
        <f>IF($B53="","",ROUND(_项目汇总!$AR$35*N($F$12),2))</f>
      </c>
      <c r="J53" s="21">
        <f>IF($B53="","",ROUND(_项目汇总!$AS$35*N($F$13),2))</f>
      </c>
      <c r="K53" s="21">
        <f>IF($B53="","",ROUND(_项目汇总!$AT$35*N($F$14),2))</f>
      </c>
      <c r="L53" s="21">
        <f>IF($B53="","",ROUND(_项目汇总!$AU$35*N($F$15),2))</f>
      </c>
      <c r="M53" s="20">
        <f t="shared" si="6"/>
      </c>
      <c r="N53" s="21">
        <f>IF($B53="","",INDEX(_项目汇总!$AN$35:$AU$35,(_辅助!$J$7-_辅助!$J$6+1)))</f>
      </c>
      <c r="O53" s="20">
        <f t="shared" si="7"/>
      </c>
      <c r="P53" s="22">
        <f t="shared" si="8"/>
      </c>
      <c r="Q53" s="21">
        <f>IF(OR($B53="",S53=0,SUM($T$21:$T$80)=0),0,ROUND(SUMIFS($B$8:$B$15,$A$8:$A$15,_辅助!$J$7)*N(项目档案!$T$36)/SUM($T$21:$T$80),2))</f>
        <v>0</v>
      </c>
      <c r="R53" s="21">
        <f t="shared" si="9"/>
      </c>
      <c r="S53" s="106">
        <f>IF($B53="",0,IF(N(N53)+_项目汇总!$C$35+_项目汇总!$O$35+_项目汇总!$W$35&lt;&gt;0,1,0))</f>
        <v>0</v>
      </c>
      <c r="T53" s="2">
        <f>N(项目档案!$T$36)*S53</f>
        <v>0</v>
      </c>
    </row>
    <row r="54">
      <c r="A54" s="94">
        <f>IF($B54="","",34)</f>
      </c>
      <c r="B54" s="19">
        <f>项目档案!$B$37&amp;""</f>
      </c>
      <c r="C54" s="94">
        <f>项目档案!$M$37&amp;""</f>
      </c>
      <c r="D54" s="21">
        <f t="shared" si="2"/>
      </c>
      <c r="E54" s="21">
        <f>IF($B54="","",ROUND(_项目汇总!$AN$36*N($F$8),2))</f>
      </c>
      <c r="F54" s="21">
        <f>IF($B54="","",ROUND(_项目汇总!$AO$36*N($F$9),2))</f>
      </c>
      <c r="G54" s="21">
        <f>IF($B54="","",ROUND(_项目汇总!$AP$36*N($F$10),2))</f>
      </c>
      <c r="H54" s="21">
        <f>IF($B54="","",ROUND(_项目汇总!$AQ$36*N($F$11),2))</f>
      </c>
      <c r="I54" s="21">
        <f>IF($B54="","",ROUND(_项目汇总!$AR$36*N($F$12),2))</f>
      </c>
      <c r="J54" s="21">
        <f>IF($B54="","",ROUND(_项目汇总!$AS$36*N($F$13),2))</f>
      </c>
      <c r="K54" s="21">
        <f>IF($B54="","",ROUND(_项目汇总!$AT$36*N($F$14),2))</f>
      </c>
      <c r="L54" s="21">
        <f>IF($B54="","",ROUND(_项目汇总!$AU$36*N($F$15),2))</f>
      </c>
      <c r="M54" s="20">
        <f t="shared" si="6"/>
      </c>
      <c r="N54" s="21">
        <f>IF($B54="","",INDEX(_项目汇总!$AN$36:$AU$36,(_辅助!$J$7-_辅助!$J$6+1)))</f>
      </c>
      <c r="O54" s="20">
        <f t="shared" si="7"/>
      </c>
      <c r="P54" s="22">
        <f t="shared" si="8"/>
      </c>
      <c r="Q54" s="21">
        <f>IF(OR($B54="",S54=0,SUM($T$21:$T$80)=0),0,ROUND(SUMIFS($B$8:$B$15,$A$8:$A$15,_辅助!$J$7)*N(项目档案!$T$37)/SUM($T$21:$T$80),2))</f>
        <v>0</v>
      </c>
      <c r="R54" s="21">
        <f t="shared" si="9"/>
      </c>
      <c r="S54" s="106">
        <f>IF($B54="",0,IF(N(N54)+_项目汇总!$C$36+_项目汇总!$O$36+_项目汇总!$W$36&lt;&gt;0,1,0))</f>
        <v>0</v>
      </c>
      <c r="T54" s="2">
        <f>N(项目档案!$T$37)*S54</f>
        <v>0</v>
      </c>
    </row>
    <row r="55">
      <c r="A55" s="94">
        <f>IF($B55="","",35)</f>
      </c>
      <c r="B55" s="19">
        <f>项目档案!$B$38&amp;""</f>
      </c>
      <c r="C55" s="94">
        <f>项目档案!$M$38&amp;""</f>
      </c>
      <c r="D55" s="21">
        <f t="shared" si="2"/>
      </c>
      <c r="E55" s="21">
        <f>IF($B55="","",ROUND(_项目汇总!$AN$37*N($F$8),2))</f>
      </c>
      <c r="F55" s="21">
        <f>IF($B55="","",ROUND(_项目汇总!$AO$37*N($F$9),2))</f>
      </c>
      <c r="G55" s="21">
        <f>IF($B55="","",ROUND(_项目汇总!$AP$37*N($F$10),2))</f>
      </c>
      <c r="H55" s="21">
        <f>IF($B55="","",ROUND(_项目汇总!$AQ$37*N($F$11),2))</f>
      </c>
      <c r="I55" s="21">
        <f>IF($B55="","",ROUND(_项目汇总!$AR$37*N($F$12),2))</f>
      </c>
      <c r="J55" s="21">
        <f>IF($B55="","",ROUND(_项目汇总!$AS$37*N($F$13),2))</f>
      </c>
      <c r="K55" s="21">
        <f>IF($B55="","",ROUND(_项目汇总!$AT$37*N($F$14),2))</f>
      </c>
      <c r="L55" s="21">
        <f>IF($B55="","",ROUND(_项目汇总!$AU$37*N($F$15),2))</f>
      </c>
      <c r="M55" s="20">
        <f t="shared" si="6"/>
      </c>
      <c r="N55" s="21">
        <f>IF($B55="","",INDEX(_项目汇总!$AN$37:$AU$37,(_辅助!$J$7-_辅助!$J$6+1)))</f>
      </c>
      <c r="O55" s="20">
        <f t="shared" si="7"/>
      </c>
      <c r="P55" s="22">
        <f t="shared" si="8"/>
      </c>
      <c r="Q55" s="21">
        <f>IF(OR($B55="",S55=0,SUM($T$21:$T$80)=0),0,ROUND(SUMIFS($B$8:$B$15,$A$8:$A$15,_辅助!$J$7)*N(项目档案!$T$38)/SUM($T$21:$T$80),2))</f>
        <v>0</v>
      </c>
      <c r="R55" s="21">
        <f t="shared" si="9"/>
      </c>
      <c r="S55" s="106">
        <f>IF($B55="",0,IF(N(N55)+_项目汇总!$C$37+_项目汇总!$O$37+_项目汇总!$W$37&lt;&gt;0,1,0))</f>
        <v>0</v>
      </c>
      <c r="T55" s="2">
        <f>N(项目档案!$T$38)*S55</f>
        <v>0</v>
      </c>
    </row>
    <row r="56">
      <c r="A56" s="94">
        <f>IF($B56="","",36)</f>
      </c>
      <c r="B56" s="19">
        <f>项目档案!$B$39&amp;""</f>
      </c>
      <c r="C56" s="94">
        <f>项目档案!$M$39&amp;""</f>
      </c>
      <c r="D56" s="21">
        <f t="shared" si="2"/>
      </c>
      <c r="E56" s="21">
        <f>IF($B56="","",ROUND(_项目汇总!$AN$38*N($F$8),2))</f>
      </c>
      <c r="F56" s="21">
        <f>IF($B56="","",ROUND(_项目汇总!$AO$38*N($F$9),2))</f>
      </c>
      <c r="G56" s="21">
        <f>IF($B56="","",ROUND(_项目汇总!$AP$38*N($F$10),2))</f>
      </c>
      <c r="H56" s="21">
        <f>IF($B56="","",ROUND(_项目汇总!$AQ$38*N($F$11),2))</f>
      </c>
      <c r="I56" s="21">
        <f>IF($B56="","",ROUND(_项目汇总!$AR$38*N($F$12),2))</f>
      </c>
      <c r="J56" s="21">
        <f>IF($B56="","",ROUND(_项目汇总!$AS$38*N($F$13),2))</f>
      </c>
      <c r="K56" s="21">
        <f>IF($B56="","",ROUND(_项目汇总!$AT$38*N($F$14),2))</f>
      </c>
      <c r="L56" s="21">
        <f>IF($B56="","",ROUND(_项目汇总!$AU$38*N($F$15),2))</f>
      </c>
      <c r="M56" s="20">
        <f t="shared" si="6"/>
      </c>
      <c r="N56" s="21">
        <f>IF($B56="","",INDEX(_项目汇总!$AN$38:$AU$38,(_辅助!$J$7-_辅助!$J$6+1)))</f>
      </c>
      <c r="O56" s="20">
        <f t="shared" si="7"/>
      </c>
      <c r="P56" s="22">
        <f t="shared" si="8"/>
      </c>
      <c r="Q56" s="21">
        <f>IF(OR($B56="",S56=0,SUM($T$21:$T$80)=0),0,ROUND(SUMIFS($B$8:$B$15,$A$8:$A$15,_辅助!$J$7)*N(项目档案!$T$39)/SUM($T$21:$T$80),2))</f>
        <v>0</v>
      </c>
      <c r="R56" s="21">
        <f t="shared" si="9"/>
      </c>
      <c r="S56" s="106">
        <f>IF($B56="",0,IF(N(N56)+_项目汇总!$C$38+_项目汇总!$O$38+_项目汇总!$W$38&lt;&gt;0,1,0))</f>
        <v>0</v>
      </c>
      <c r="T56" s="2">
        <f>N(项目档案!$T$39)*S56</f>
        <v>0</v>
      </c>
    </row>
    <row r="57">
      <c r="A57" s="94">
        <f>IF($B57="","",37)</f>
      </c>
      <c r="B57" s="19">
        <f>项目档案!$B$40&amp;""</f>
      </c>
      <c r="C57" s="94">
        <f>项目档案!$M$40&amp;""</f>
      </c>
      <c r="D57" s="21">
        <f t="shared" si="2"/>
      </c>
      <c r="E57" s="21">
        <f>IF($B57="","",ROUND(_项目汇总!$AN$39*N($F$8),2))</f>
      </c>
      <c r="F57" s="21">
        <f>IF($B57="","",ROUND(_项目汇总!$AO$39*N($F$9),2))</f>
      </c>
      <c r="G57" s="21">
        <f>IF($B57="","",ROUND(_项目汇总!$AP$39*N($F$10),2))</f>
      </c>
      <c r="H57" s="21">
        <f>IF($B57="","",ROUND(_项目汇总!$AQ$39*N($F$11),2))</f>
      </c>
      <c r="I57" s="21">
        <f>IF($B57="","",ROUND(_项目汇总!$AR$39*N($F$12),2))</f>
      </c>
      <c r="J57" s="21">
        <f>IF($B57="","",ROUND(_项目汇总!$AS$39*N($F$13),2))</f>
      </c>
      <c r="K57" s="21">
        <f>IF($B57="","",ROUND(_项目汇总!$AT$39*N($F$14),2))</f>
      </c>
      <c r="L57" s="21">
        <f>IF($B57="","",ROUND(_项目汇总!$AU$39*N($F$15),2))</f>
      </c>
      <c r="M57" s="20">
        <f t="shared" si="6"/>
      </c>
      <c r="N57" s="21">
        <f>IF($B57="","",INDEX(_项目汇总!$AN$39:$AU$39,(_辅助!$J$7-_辅助!$J$6+1)))</f>
      </c>
      <c r="O57" s="20">
        <f t="shared" si="7"/>
      </c>
      <c r="P57" s="22">
        <f t="shared" si="8"/>
      </c>
      <c r="Q57" s="21">
        <f>IF(OR($B57="",S57=0,SUM($T$21:$T$80)=0),0,ROUND(SUMIFS($B$8:$B$15,$A$8:$A$15,_辅助!$J$7)*N(项目档案!$T$40)/SUM($T$21:$T$80),2))</f>
        <v>0</v>
      </c>
      <c r="R57" s="21">
        <f t="shared" si="9"/>
      </c>
      <c r="S57" s="106">
        <f>IF($B57="",0,IF(N(N57)+_项目汇总!$C$39+_项目汇总!$O$39+_项目汇总!$W$39&lt;&gt;0,1,0))</f>
        <v>0</v>
      </c>
      <c r="T57" s="2">
        <f>N(项目档案!$T$40)*S57</f>
        <v>0</v>
      </c>
    </row>
    <row r="58">
      <c r="A58" s="94">
        <f>IF($B58="","",38)</f>
      </c>
      <c r="B58" s="19">
        <f>项目档案!$B$41&amp;""</f>
      </c>
      <c r="C58" s="94">
        <f>项目档案!$M$41&amp;""</f>
      </c>
      <c r="D58" s="21">
        <f t="shared" si="2"/>
      </c>
      <c r="E58" s="21">
        <f>IF($B58="","",ROUND(_项目汇总!$AN$40*N($F$8),2))</f>
      </c>
      <c r="F58" s="21">
        <f>IF($B58="","",ROUND(_项目汇总!$AO$40*N($F$9),2))</f>
      </c>
      <c r="G58" s="21">
        <f>IF($B58="","",ROUND(_项目汇总!$AP$40*N($F$10),2))</f>
      </c>
      <c r="H58" s="21">
        <f>IF($B58="","",ROUND(_项目汇总!$AQ$40*N($F$11),2))</f>
      </c>
      <c r="I58" s="21">
        <f>IF($B58="","",ROUND(_项目汇总!$AR$40*N($F$12),2))</f>
      </c>
      <c r="J58" s="21">
        <f>IF($B58="","",ROUND(_项目汇总!$AS$40*N($F$13),2))</f>
      </c>
      <c r="K58" s="21">
        <f>IF($B58="","",ROUND(_项目汇总!$AT$40*N($F$14),2))</f>
      </c>
      <c r="L58" s="21">
        <f>IF($B58="","",ROUND(_项目汇总!$AU$40*N($F$15),2))</f>
      </c>
      <c r="M58" s="20">
        <f t="shared" si="6"/>
      </c>
      <c r="N58" s="21">
        <f>IF($B58="","",INDEX(_项目汇总!$AN$40:$AU$40,(_辅助!$J$7-_辅助!$J$6+1)))</f>
      </c>
      <c r="O58" s="20">
        <f t="shared" si="7"/>
      </c>
      <c r="P58" s="22">
        <f t="shared" si="8"/>
      </c>
      <c r="Q58" s="21">
        <f>IF(OR($B58="",S58=0,SUM($T$21:$T$80)=0),0,ROUND(SUMIFS($B$8:$B$15,$A$8:$A$15,_辅助!$J$7)*N(项目档案!$T$41)/SUM($T$21:$T$80),2))</f>
        <v>0</v>
      </c>
      <c r="R58" s="21">
        <f t="shared" si="9"/>
      </c>
      <c r="S58" s="106">
        <f>IF($B58="",0,IF(N(N58)+_项目汇总!$C$40+_项目汇总!$O$40+_项目汇总!$W$40&lt;&gt;0,1,0))</f>
        <v>0</v>
      </c>
      <c r="T58" s="2">
        <f>N(项目档案!$T$41)*S58</f>
        <v>0</v>
      </c>
    </row>
    <row r="59">
      <c r="A59" s="94">
        <f>IF($B59="","",39)</f>
      </c>
      <c r="B59" s="19">
        <f>项目档案!$B$42&amp;""</f>
      </c>
      <c r="C59" s="94">
        <f>项目档案!$M$42&amp;""</f>
      </c>
      <c r="D59" s="21">
        <f t="shared" si="2"/>
      </c>
      <c r="E59" s="21">
        <f>IF($B59="","",ROUND(_项目汇总!$AN$41*N($F$8),2))</f>
      </c>
      <c r="F59" s="21">
        <f>IF($B59="","",ROUND(_项目汇总!$AO$41*N($F$9),2))</f>
      </c>
      <c r="G59" s="21">
        <f>IF($B59="","",ROUND(_项目汇总!$AP$41*N($F$10),2))</f>
      </c>
      <c r="H59" s="21">
        <f>IF($B59="","",ROUND(_项目汇总!$AQ$41*N($F$11),2))</f>
      </c>
      <c r="I59" s="21">
        <f>IF($B59="","",ROUND(_项目汇总!$AR$41*N($F$12),2))</f>
      </c>
      <c r="J59" s="21">
        <f>IF($B59="","",ROUND(_项目汇总!$AS$41*N($F$13),2))</f>
      </c>
      <c r="K59" s="21">
        <f>IF($B59="","",ROUND(_项目汇总!$AT$41*N($F$14),2))</f>
      </c>
      <c r="L59" s="21">
        <f>IF($B59="","",ROUND(_项目汇总!$AU$41*N($F$15),2))</f>
      </c>
      <c r="M59" s="20">
        <f t="shared" si="6"/>
      </c>
      <c r="N59" s="21">
        <f>IF($B59="","",INDEX(_项目汇总!$AN$41:$AU$41,(_辅助!$J$7-_辅助!$J$6+1)))</f>
      </c>
      <c r="O59" s="20">
        <f t="shared" si="7"/>
      </c>
      <c r="P59" s="22">
        <f t="shared" si="8"/>
      </c>
      <c r="Q59" s="21">
        <f>IF(OR($B59="",S59=0,SUM($T$21:$T$80)=0),0,ROUND(SUMIFS($B$8:$B$15,$A$8:$A$15,_辅助!$J$7)*N(项目档案!$T$42)/SUM($T$21:$T$80),2))</f>
        <v>0</v>
      </c>
      <c r="R59" s="21">
        <f t="shared" si="9"/>
      </c>
      <c r="S59" s="106">
        <f>IF($B59="",0,IF(N(N59)+_项目汇总!$C$41+_项目汇总!$O$41+_项目汇总!$W$41&lt;&gt;0,1,0))</f>
        <v>0</v>
      </c>
      <c r="T59" s="2">
        <f>N(项目档案!$T$42)*S59</f>
        <v>0</v>
      </c>
    </row>
    <row r="60">
      <c r="A60" s="94">
        <f>IF($B60="","",40)</f>
      </c>
      <c r="B60" s="19">
        <f>项目档案!$B$43&amp;""</f>
      </c>
      <c r="C60" s="94">
        <f>项目档案!$M$43&amp;""</f>
      </c>
      <c r="D60" s="21">
        <f t="shared" si="2"/>
      </c>
      <c r="E60" s="21">
        <f>IF($B60="","",ROUND(_项目汇总!$AN$42*N($F$8),2))</f>
      </c>
      <c r="F60" s="21">
        <f>IF($B60="","",ROUND(_项目汇总!$AO$42*N($F$9),2))</f>
      </c>
      <c r="G60" s="21">
        <f>IF($B60="","",ROUND(_项目汇总!$AP$42*N($F$10),2))</f>
      </c>
      <c r="H60" s="21">
        <f>IF($B60="","",ROUND(_项目汇总!$AQ$42*N($F$11),2))</f>
      </c>
      <c r="I60" s="21">
        <f>IF($B60="","",ROUND(_项目汇总!$AR$42*N($F$12),2))</f>
      </c>
      <c r="J60" s="21">
        <f>IF($B60="","",ROUND(_项目汇总!$AS$42*N($F$13),2))</f>
      </c>
      <c r="K60" s="21">
        <f>IF($B60="","",ROUND(_项目汇总!$AT$42*N($F$14),2))</f>
      </c>
      <c r="L60" s="21">
        <f>IF($B60="","",ROUND(_项目汇总!$AU$42*N($F$15),2))</f>
      </c>
      <c r="M60" s="20">
        <f t="shared" si="6"/>
      </c>
      <c r="N60" s="21">
        <f>IF($B60="","",INDEX(_项目汇总!$AN$42:$AU$42,(_辅助!$J$7-_辅助!$J$6+1)))</f>
      </c>
      <c r="O60" s="20">
        <f t="shared" si="7"/>
      </c>
      <c r="P60" s="22">
        <f t="shared" si="8"/>
      </c>
      <c r="Q60" s="21">
        <f>IF(OR($B60="",S60=0,SUM($T$21:$T$80)=0),0,ROUND(SUMIFS($B$8:$B$15,$A$8:$A$15,_辅助!$J$7)*N(项目档案!$T$43)/SUM($T$21:$T$80),2))</f>
        <v>0</v>
      </c>
      <c r="R60" s="21">
        <f t="shared" si="9"/>
      </c>
      <c r="S60" s="106">
        <f>IF($B60="",0,IF(N(N60)+_项目汇总!$C$42+_项目汇总!$O$42+_项目汇总!$W$42&lt;&gt;0,1,0))</f>
        <v>0</v>
      </c>
      <c r="T60" s="2">
        <f>N(项目档案!$T$43)*S60</f>
        <v>0</v>
      </c>
    </row>
    <row r="61">
      <c r="A61" s="94">
        <f>IF($B61="","",41)</f>
      </c>
      <c r="B61" s="19">
        <f>项目档案!$B$44&amp;""</f>
      </c>
      <c r="C61" s="94">
        <f>项目档案!$M$44&amp;""</f>
      </c>
      <c r="D61" s="21">
        <f t="shared" si="2"/>
      </c>
      <c r="E61" s="21">
        <f>IF($B61="","",ROUND(_项目汇总!$AN$43*N($F$8),2))</f>
      </c>
      <c r="F61" s="21">
        <f>IF($B61="","",ROUND(_项目汇总!$AO$43*N($F$9),2))</f>
      </c>
      <c r="G61" s="21">
        <f>IF($B61="","",ROUND(_项目汇总!$AP$43*N($F$10),2))</f>
      </c>
      <c r="H61" s="21">
        <f>IF($B61="","",ROUND(_项目汇总!$AQ$43*N($F$11),2))</f>
      </c>
      <c r="I61" s="21">
        <f>IF($B61="","",ROUND(_项目汇总!$AR$43*N($F$12),2))</f>
      </c>
      <c r="J61" s="21">
        <f>IF($B61="","",ROUND(_项目汇总!$AS$43*N($F$13),2))</f>
      </c>
      <c r="K61" s="21">
        <f>IF($B61="","",ROUND(_项目汇总!$AT$43*N($F$14),2))</f>
      </c>
      <c r="L61" s="21">
        <f>IF($B61="","",ROUND(_项目汇总!$AU$43*N($F$15),2))</f>
      </c>
      <c r="M61" s="20">
        <f t="shared" si="6"/>
      </c>
      <c r="N61" s="21">
        <f>IF($B61="","",INDEX(_项目汇总!$AN$43:$AU$43,(_辅助!$J$7-_辅助!$J$6+1)))</f>
      </c>
      <c r="O61" s="20">
        <f t="shared" si="7"/>
      </c>
      <c r="P61" s="22">
        <f t="shared" si="8"/>
      </c>
      <c r="Q61" s="21">
        <f>IF(OR($B61="",S61=0,SUM($T$21:$T$80)=0),0,ROUND(SUMIFS($B$8:$B$15,$A$8:$A$15,_辅助!$J$7)*N(项目档案!$T$44)/SUM($T$21:$T$80),2))</f>
        <v>0</v>
      </c>
      <c r="R61" s="21">
        <f t="shared" si="9"/>
      </c>
      <c r="S61" s="106">
        <f>IF($B61="",0,IF(N(N61)+_项目汇总!$C$43+_项目汇总!$O$43+_项目汇总!$W$43&lt;&gt;0,1,0))</f>
        <v>0</v>
      </c>
      <c r="T61" s="2">
        <f>N(项目档案!$T$44)*S61</f>
        <v>0</v>
      </c>
    </row>
    <row r="62">
      <c r="A62" s="94">
        <f>IF($B62="","",42)</f>
      </c>
      <c r="B62" s="19">
        <f>项目档案!$B$45&amp;""</f>
      </c>
      <c r="C62" s="94">
        <f>项目档案!$M$45&amp;""</f>
      </c>
      <c r="D62" s="21">
        <f t="shared" si="2"/>
      </c>
      <c r="E62" s="21">
        <f>IF($B62="","",ROUND(_项目汇总!$AN$44*N($F$8),2))</f>
      </c>
      <c r="F62" s="21">
        <f>IF($B62="","",ROUND(_项目汇总!$AO$44*N($F$9),2))</f>
      </c>
      <c r="G62" s="21">
        <f>IF($B62="","",ROUND(_项目汇总!$AP$44*N($F$10),2))</f>
      </c>
      <c r="H62" s="21">
        <f>IF($B62="","",ROUND(_项目汇总!$AQ$44*N($F$11),2))</f>
      </c>
      <c r="I62" s="21">
        <f>IF($B62="","",ROUND(_项目汇总!$AR$44*N($F$12),2))</f>
      </c>
      <c r="J62" s="21">
        <f>IF($B62="","",ROUND(_项目汇总!$AS$44*N($F$13),2))</f>
      </c>
      <c r="K62" s="21">
        <f>IF($B62="","",ROUND(_项目汇总!$AT$44*N($F$14),2))</f>
      </c>
      <c r="L62" s="21">
        <f>IF($B62="","",ROUND(_项目汇总!$AU$44*N($F$15),2))</f>
      </c>
      <c r="M62" s="20">
        <f t="shared" si="6"/>
      </c>
      <c r="N62" s="21">
        <f>IF($B62="","",INDEX(_项目汇总!$AN$44:$AU$44,(_辅助!$J$7-_辅助!$J$6+1)))</f>
      </c>
      <c r="O62" s="20">
        <f t="shared" si="7"/>
      </c>
      <c r="P62" s="22">
        <f t="shared" si="8"/>
      </c>
      <c r="Q62" s="21">
        <f>IF(OR($B62="",S62=0,SUM($T$21:$T$80)=0),0,ROUND(SUMIFS($B$8:$B$15,$A$8:$A$15,_辅助!$J$7)*N(项目档案!$T$45)/SUM($T$21:$T$80),2))</f>
        <v>0</v>
      </c>
      <c r="R62" s="21">
        <f t="shared" si="9"/>
      </c>
      <c r="S62" s="106">
        <f>IF($B62="",0,IF(N(N62)+_项目汇总!$C$44+_项目汇总!$O$44+_项目汇总!$W$44&lt;&gt;0,1,0))</f>
        <v>0</v>
      </c>
      <c r="T62" s="2">
        <f>N(项目档案!$T$45)*S62</f>
        <v>0</v>
      </c>
    </row>
    <row r="63">
      <c r="A63" s="94">
        <f>IF($B63="","",43)</f>
      </c>
      <c r="B63" s="19">
        <f>项目档案!$B$46&amp;""</f>
      </c>
      <c r="C63" s="94">
        <f>项目档案!$M$46&amp;""</f>
      </c>
      <c r="D63" s="21">
        <f t="shared" si="2"/>
      </c>
      <c r="E63" s="21">
        <f>IF($B63="","",ROUND(_项目汇总!$AN$45*N($F$8),2))</f>
      </c>
      <c r="F63" s="21">
        <f>IF($B63="","",ROUND(_项目汇总!$AO$45*N($F$9),2))</f>
      </c>
      <c r="G63" s="21">
        <f>IF($B63="","",ROUND(_项目汇总!$AP$45*N($F$10),2))</f>
      </c>
      <c r="H63" s="21">
        <f>IF($B63="","",ROUND(_项目汇总!$AQ$45*N($F$11),2))</f>
      </c>
      <c r="I63" s="21">
        <f>IF($B63="","",ROUND(_项目汇总!$AR$45*N($F$12),2))</f>
      </c>
      <c r="J63" s="21">
        <f>IF($B63="","",ROUND(_项目汇总!$AS$45*N($F$13),2))</f>
      </c>
      <c r="K63" s="21">
        <f>IF($B63="","",ROUND(_项目汇总!$AT$45*N($F$14),2))</f>
      </c>
      <c r="L63" s="21">
        <f>IF($B63="","",ROUND(_项目汇总!$AU$45*N($F$15),2))</f>
      </c>
      <c r="M63" s="20">
        <f t="shared" si="6"/>
      </c>
      <c r="N63" s="21">
        <f>IF($B63="","",INDEX(_项目汇总!$AN$45:$AU$45,(_辅助!$J$7-_辅助!$J$6+1)))</f>
      </c>
      <c r="O63" s="20">
        <f t="shared" si="7"/>
      </c>
      <c r="P63" s="22">
        <f t="shared" si="8"/>
      </c>
      <c r="Q63" s="21">
        <f>IF(OR($B63="",S63=0,SUM($T$21:$T$80)=0),0,ROUND(SUMIFS($B$8:$B$15,$A$8:$A$15,_辅助!$J$7)*N(项目档案!$T$46)/SUM($T$21:$T$80),2))</f>
        <v>0</v>
      </c>
      <c r="R63" s="21">
        <f t="shared" si="9"/>
      </c>
      <c r="S63" s="106">
        <f>IF($B63="",0,IF(N(N63)+_项目汇总!$C$45+_项目汇总!$O$45+_项目汇总!$W$45&lt;&gt;0,1,0))</f>
        <v>0</v>
      </c>
      <c r="T63" s="2">
        <f>N(项目档案!$T$46)*S63</f>
        <v>0</v>
      </c>
    </row>
    <row r="64">
      <c r="A64" s="94">
        <f>IF($B64="","",44)</f>
      </c>
      <c r="B64" s="19">
        <f>项目档案!$B$47&amp;""</f>
      </c>
      <c r="C64" s="94">
        <f>项目档案!$M$47&amp;""</f>
      </c>
      <c r="D64" s="21">
        <f t="shared" si="2"/>
      </c>
      <c r="E64" s="21">
        <f>IF($B64="","",ROUND(_项目汇总!$AN$46*N($F$8),2))</f>
      </c>
      <c r="F64" s="21">
        <f>IF($B64="","",ROUND(_项目汇总!$AO$46*N($F$9),2))</f>
      </c>
      <c r="G64" s="21">
        <f>IF($B64="","",ROUND(_项目汇总!$AP$46*N($F$10),2))</f>
      </c>
      <c r="H64" s="21">
        <f>IF($B64="","",ROUND(_项目汇总!$AQ$46*N($F$11),2))</f>
      </c>
      <c r="I64" s="21">
        <f>IF($B64="","",ROUND(_项目汇总!$AR$46*N($F$12),2))</f>
      </c>
      <c r="J64" s="21">
        <f>IF($B64="","",ROUND(_项目汇总!$AS$46*N($F$13),2))</f>
      </c>
      <c r="K64" s="21">
        <f>IF($B64="","",ROUND(_项目汇总!$AT$46*N($F$14),2))</f>
      </c>
      <c r="L64" s="21">
        <f>IF($B64="","",ROUND(_项目汇总!$AU$46*N($F$15),2))</f>
      </c>
      <c r="M64" s="20">
        <f t="shared" si="6"/>
      </c>
      <c r="N64" s="21">
        <f>IF($B64="","",INDEX(_项目汇总!$AN$46:$AU$46,(_辅助!$J$7-_辅助!$J$6+1)))</f>
      </c>
      <c r="O64" s="20">
        <f t="shared" si="7"/>
      </c>
      <c r="P64" s="22">
        <f t="shared" si="8"/>
      </c>
      <c r="Q64" s="21">
        <f>IF(OR($B64="",S64=0,SUM($T$21:$T$80)=0),0,ROUND(SUMIFS($B$8:$B$15,$A$8:$A$15,_辅助!$J$7)*N(项目档案!$T$47)/SUM($T$21:$T$80),2))</f>
        <v>0</v>
      </c>
      <c r="R64" s="21">
        <f t="shared" si="9"/>
      </c>
      <c r="S64" s="106">
        <f>IF($B64="",0,IF(N(N64)+_项目汇总!$C$46+_项目汇总!$O$46+_项目汇总!$W$46&lt;&gt;0,1,0))</f>
        <v>0</v>
      </c>
      <c r="T64" s="2">
        <f>N(项目档案!$T$47)*S64</f>
        <v>0</v>
      </c>
    </row>
    <row r="65">
      <c r="A65" s="94">
        <f>IF($B65="","",45)</f>
      </c>
      <c r="B65" s="19">
        <f>项目档案!$B$48&amp;""</f>
      </c>
      <c r="C65" s="94">
        <f>项目档案!$M$48&amp;""</f>
      </c>
      <c r="D65" s="21">
        <f t="shared" si="2"/>
      </c>
      <c r="E65" s="21">
        <f>IF($B65="","",ROUND(_项目汇总!$AN$47*N($F$8),2))</f>
      </c>
      <c r="F65" s="21">
        <f>IF($B65="","",ROUND(_项目汇总!$AO$47*N($F$9),2))</f>
      </c>
      <c r="G65" s="21">
        <f>IF($B65="","",ROUND(_项目汇总!$AP$47*N($F$10),2))</f>
      </c>
      <c r="H65" s="21">
        <f>IF($B65="","",ROUND(_项目汇总!$AQ$47*N($F$11),2))</f>
      </c>
      <c r="I65" s="21">
        <f>IF($B65="","",ROUND(_项目汇总!$AR$47*N($F$12),2))</f>
      </c>
      <c r="J65" s="21">
        <f>IF($B65="","",ROUND(_项目汇总!$AS$47*N($F$13),2))</f>
      </c>
      <c r="K65" s="21">
        <f>IF($B65="","",ROUND(_项目汇总!$AT$47*N($F$14),2))</f>
      </c>
      <c r="L65" s="21">
        <f>IF($B65="","",ROUND(_项目汇总!$AU$47*N($F$15),2))</f>
      </c>
      <c r="M65" s="20">
        <f t="shared" si="6"/>
      </c>
      <c r="N65" s="21">
        <f>IF($B65="","",INDEX(_项目汇总!$AN$47:$AU$47,(_辅助!$J$7-_辅助!$J$6+1)))</f>
      </c>
      <c r="O65" s="20">
        <f t="shared" si="7"/>
      </c>
      <c r="P65" s="22">
        <f t="shared" si="8"/>
      </c>
      <c r="Q65" s="21">
        <f>IF(OR($B65="",S65=0,SUM($T$21:$T$80)=0),0,ROUND(SUMIFS($B$8:$B$15,$A$8:$A$15,_辅助!$J$7)*N(项目档案!$T$48)/SUM($T$21:$T$80),2))</f>
        <v>0</v>
      </c>
      <c r="R65" s="21">
        <f t="shared" si="9"/>
      </c>
      <c r="S65" s="106">
        <f>IF($B65="",0,IF(N(N65)+_项目汇总!$C$47+_项目汇总!$O$47+_项目汇总!$W$47&lt;&gt;0,1,0))</f>
        <v>0</v>
      </c>
      <c r="T65" s="2">
        <f>N(项目档案!$T$48)*S65</f>
        <v>0</v>
      </c>
    </row>
    <row r="66">
      <c r="A66" s="94">
        <f>IF($B66="","",46)</f>
      </c>
      <c r="B66" s="19">
        <f>项目档案!$B$49&amp;""</f>
      </c>
      <c r="C66" s="94">
        <f>项目档案!$M$49&amp;""</f>
      </c>
      <c r="D66" s="21">
        <f t="shared" si="2"/>
      </c>
      <c r="E66" s="21">
        <f>IF($B66="","",ROUND(_项目汇总!$AN$48*N($F$8),2))</f>
      </c>
      <c r="F66" s="21">
        <f>IF($B66="","",ROUND(_项目汇总!$AO$48*N($F$9),2))</f>
      </c>
      <c r="G66" s="21">
        <f>IF($B66="","",ROUND(_项目汇总!$AP$48*N($F$10),2))</f>
      </c>
      <c r="H66" s="21">
        <f>IF($B66="","",ROUND(_项目汇总!$AQ$48*N($F$11),2))</f>
      </c>
      <c r="I66" s="21">
        <f>IF($B66="","",ROUND(_项目汇总!$AR$48*N($F$12),2))</f>
      </c>
      <c r="J66" s="21">
        <f>IF($B66="","",ROUND(_项目汇总!$AS$48*N($F$13),2))</f>
      </c>
      <c r="K66" s="21">
        <f>IF($B66="","",ROUND(_项目汇总!$AT$48*N($F$14),2))</f>
      </c>
      <c r="L66" s="21">
        <f>IF($B66="","",ROUND(_项目汇总!$AU$48*N($F$15),2))</f>
      </c>
      <c r="M66" s="20">
        <f t="shared" si="6"/>
      </c>
      <c r="N66" s="21">
        <f>IF($B66="","",INDEX(_项目汇总!$AN$48:$AU$48,(_辅助!$J$7-_辅助!$J$6+1)))</f>
      </c>
      <c r="O66" s="20">
        <f t="shared" si="7"/>
      </c>
      <c r="P66" s="22">
        <f t="shared" si="8"/>
      </c>
      <c r="Q66" s="21">
        <f>IF(OR($B66="",S66=0,SUM($T$21:$T$80)=0),0,ROUND(SUMIFS($B$8:$B$15,$A$8:$A$15,_辅助!$J$7)*N(项目档案!$T$49)/SUM($T$21:$T$80),2))</f>
        <v>0</v>
      </c>
      <c r="R66" s="21">
        <f t="shared" si="9"/>
      </c>
      <c r="S66" s="106">
        <f>IF($B66="",0,IF(N(N66)+_项目汇总!$C$48+_项目汇总!$O$48+_项目汇总!$W$48&lt;&gt;0,1,0))</f>
        <v>0</v>
      </c>
      <c r="T66" s="2">
        <f>N(项目档案!$T$49)*S66</f>
        <v>0</v>
      </c>
    </row>
    <row r="67">
      <c r="A67" s="94">
        <f>IF($B67="","",47)</f>
      </c>
      <c r="B67" s="19">
        <f>项目档案!$B$50&amp;""</f>
      </c>
      <c r="C67" s="94">
        <f>项目档案!$M$50&amp;""</f>
      </c>
      <c r="D67" s="21">
        <f t="shared" si="2"/>
      </c>
      <c r="E67" s="21">
        <f>IF($B67="","",ROUND(_项目汇总!$AN$49*N($F$8),2))</f>
      </c>
      <c r="F67" s="21">
        <f>IF($B67="","",ROUND(_项目汇总!$AO$49*N($F$9),2))</f>
      </c>
      <c r="G67" s="21">
        <f>IF($B67="","",ROUND(_项目汇总!$AP$49*N($F$10),2))</f>
      </c>
      <c r="H67" s="21">
        <f>IF($B67="","",ROUND(_项目汇总!$AQ$49*N($F$11),2))</f>
      </c>
      <c r="I67" s="21">
        <f>IF($B67="","",ROUND(_项目汇总!$AR$49*N($F$12),2))</f>
      </c>
      <c r="J67" s="21">
        <f>IF($B67="","",ROUND(_项目汇总!$AS$49*N($F$13),2))</f>
      </c>
      <c r="K67" s="21">
        <f>IF($B67="","",ROUND(_项目汇总!$AT$49*N($F$14),2))</f>
      </c>
      <c r="L67" s="21">
        <f>IF($B67="","",ROUND(_项目汇总!$AU$49*N($F$15),2))</f>
      </c>
      <c r="M67" s="20">
        <f t="shared" si="6"/>
      </c>
      <c r="N67" s="21">
        <f>IF($B67="","",INDEX(_项目汇总!$AN$49:$AU$49,(_辅助!$J$7-_辅助!$J$6+1)))</f>
      </c>
      <c r="O67" s="20">
        <f t="shared" si="7"/>
      </c>
      <c r="P67" s="22">
        <f t="shared" si="8"/>
      </c>
      <c r="Q67" s="21">
        <f>IF(OR($B67="",S67=0,SUM($T$21:$T$80)=0),0,ROUND(SUMIFS($B$8:$B$15,$A$8:$A$15,_辅助!$J$7)*N(项目档案!$T$50)/SUM($T$21:$T$80),2))</f>
        <v>0</v>
      </c>
      <c r="R67" s="21">
        <f t="shared" si="9"/>
      </c>
      <c r="S67" s="106">
        <f>IF($B67="",0,IF(N(N67)+_项目汇总!$C$49+_项目汇总!$O$49+_项目汇总!$W$49&lt;&gt;0,1,0))</f>
        <v>0</v>
      </c>
      <c r="T67" s="2">
        <f>N(项目档案!$T$50)*S67</f>
        <v>0</v>
      </c>
    </row>
    <row r="68">
      <c r="A68" s="94">
        <f>IF($B68="","",48)</f>
      </c>
      <c r="B68" s="19">
        <f>项目档案!$B$51&amp;""</f>
      </c>
      <c r="C68" s="94">
        <f>项目档案!$M$51&amp;""</f>
      </c>
      <c r="D68" s="21">
        <f t="shared" si="2"/>
      </c>
      <c r="E68" s="21">
        <f>IF($B68="","",ROUND(_项目汇总!$AN$50*N($F$8),2))</f>
      </c>
      <c r="F68" s="21">
        <f>IF($B68="","",ROUND(_项目汇总!$AO$50*N($F$9),2))</f>
      </c>
      <c r="G68" s="21">
        <f>IF($B68="","",ROUND(_项目汇总!$AP$50*N($F$10),2))</f>
      </c>
      <c r="H68" s="21">
        <f>IF($B68="","",ROUND(_项目汇总!$AQ$50*N($F$11),2))</f>
      </c>
      <c r="I68" s="21">
        <f>IF($B68="","",ROUND(_项目汇总!$AR$50*N($F$12),2))</f>
      </c>
      <c r="J68" s="21">
        <f>IF($B68="","",ROUND(_项目汇总!$AS$50*N($F$13),2))</f>
      </c>
      <c r="K68" s="21">
        <f>IF($B68="","",ROUND(_项目汇总!$AT$50*N($F$14),2))</f>
      </c>
      <c r="L68" s="21">
        <f>IF($B68="","",ROUND(_项目汇总!$AU$50*N($F$15),2))</f>
      </c>
      <c r="M68" s="20">
        <f t="shared" si="6"/>
      </c>
      <c r="N68" s="21">
        <f>IF($B68="","",INDEX(_项目汇总!$AN$50:$AU$50,(_辅助!$J$7-_辅助!$J$6+1)))</f>
      </c>
      <c r="O68" s="20">
        <f t="shared" si="7"/>
      </c>
      <c r="P68" s="22">
        <f t="shared" si="8"/>
      </c>
      <c r="Q68" s="21">
        <f>IF(OR($B68="",S68=0,SUM($T$21:$T$80)=0),0,ROUND(SUMIFS($B$8:$B$15,$A$8:$A$15,_辅助!$J$7)*N(项目档案!$T$51)/SUM($T$21:$T$80),2))</f>
        <v>0</v>
      </c>
      <c r="R68" s="21">
        <f t="shared" si="9"/>
      </c>
      <c r="S68" s="106">
        <f>IF($B68="",0,IF(N(N68)+_项目汇总!$C$50+_项目汇总!$O$50+_项目汇总!$W$50&lt;&gt;0,1,0))</f>
        <v>0</v>
      </c>
      <c r="T68" s="2">
        <f>N(项目档案!$T$51)*S68</f>
        <v>0</v>
      </c>
    </row>
    <row r="69">
      <c r="A69" s="94">
        <f>IF($B69="","",49)</f>
      </c>
      <c r="B69" s="19">
        <f>项目档案!$B$52&amp;""</f>
      </c>
      <c r="C69" s="94">
        <f>项目档案!$M$52&amp;""</f>
      </c>
      <c r="D69" s="21">
        <f t="shared" si="2"/>
      </c>
      <c r="E69" s="21">
        <f>IF($B69="","",ROUND(_项目汇总!$AN$51*N($F$8),2))</f>
      </c>
      <c r="F69" s="21">
        <f>IF($B69="","",ROUND(_项目汇总!$AO$51*N($F$9),2))</f>
      </c>
      <c r="G69" s="21">
        <f>IF($B69="","",ROUND(_项目汇总!$AP$51*N($F$10),2))</f>
      </c>
      <c r="H69" s="21">
        <f>IF($B69="","",ROUND(_项目汇总!$AQ$51*N($F$11),2))</f>
      </c>
      <c r="I69" s="21">
        <f>IF($B69="","",ROUND(_项目汇总!$AR$51*N($F$12),2))</f>
      </c>
      <c r="J69" s="21">
        <f>IF($B69="","",ROUND(_项目汇总!$AS$51*N($F$13),2))</f>
      </c>
      <c r="K69" s="21">
        <f>IF($B69="","",ROUND(_项目汇总!$AT$51*N($F$14),2))</f>
      </c>
      <c r="L69" s="21">
        <f>IF($B69="","",ROUND(_项目汇总!$AU$51*N($F$15),2))</f>
      </c>
      <c r="M69" s="20">
        <f t="shared" si="6"/>
      </c>
      <c r="N69" s="21">
        <f>IF($B69="","",INDEX(_项目汇总!$AN$51:$AU$51,(_辅助!$J$7-_辅助!$J$6+1)))</f>
      </c>
      <c r="O69" s="20">
        <f t="shared" si="7"/>
      </c>
      <c r="P69" s="22">
        <f t="shared" si="8"/>
      </c>
      <c r="Q69" s="21">
        <f>IF(OR($B69="",S69=0,SUM($T$21:$T$80)=0),0,ROUND(SUMIFS($B$8:$B$15,$A$8:$A$15,_辅助!$J$7)*N(项目档案!$T$52)/SUM($T$21:$T$80),2))</f>
        <v>0</v>
      </c>
      <c r="R69" s="21">
        <f t="shared" si="9"/>
      </c>
      <c r="S69" s="106">
        <f>IF($B69="",0,IF(N(N69)+_项目汇总!$C$51+_项目汇总!$O$51+_项目汇总!$W$51&lt;&gt;0,1,0))</f>
        <v>0</v>
      </c>
      <c r="T69" s="2">
        <f>N(项目档案!$T$52)*S69</f>
        <v>0</v>
      </c>
    </row>
    <row r="70">
      <c r="A70" s="94">
        <f>IF($B70="","",50)</f>
      </c>
      <c r="B70" s="19">
        <f>项目档案!$B$53&amp;""</f>
      </c>
      <c r="C70" s="94">
        <f>项目档案!$M$53&amp;""</f>
      </c>
      <c r="D70" s="21">
        <f t="shared" si="2"/>
      </c>
      <c r="E70" s="21">
        <f>IF($B70="","",ROUND(_项目汇总!$AN$52*N($F$8),2))</f>
      </c>
      <c r="F70" s="21">
        <f>IF($B70="","",ROUND(_项目汇总!$AO$52*N($F$9),2))</f>
      </c>
      <c r="G70" s="21">
        <f>IF($B70="","",ROUND(_项目汇总!$AP$52*N($F$10),2))</f>
      </c>
      <c r="H70" s="21">
        <f>IF($B70="","",ROUND(_项目汇总!$AQ$52*N($F$11),2))</f>
      </c>
      <c r="I70" s="21">
        <f>IF($B70="","",ROUND(_项目汇总!$AR$52*N($F$12),2))</f>
      </c>
      <c r="J70" s="21">
        <f>IF($B70="","",ROUND(_项目汇总!$AS$52*N($F$13),2))</f>
      </c>
      <c r="K70" s="21">
        <f>IF($B70="","",ROUND(_项目汇总!$AT$52*N($F$14),2))</f>
      </c>
      <c r="L70" s="21">
        <f>IF($B70="","",ROUND(_项目汇总!$AU$52*N($F$15),2))</f>
      </c>
      <c r="M70" s="20">
        <f t="shared" si="6"/>
      </c>
      <c r="N70" s="21">
        <f>IF($B70="","",INDEX(_项目汇总!$AN$52:$AU$52,(_辅助!$J$7-_辅助!$J$6+1)))</f>
      </c>
      <c r="O70" s="20">
        <f t="shared" si="7"/>
      </c>
      <c r="P70" s="22">
        <f t="shared" si="8"/>
      </c>
      <c r="Q70" s="21">
        <f>IF(OR($B70="",S70=0,SUM($T$21:$T$80)=0),0,ROUND(SUMIFS($B$8:$B$15,$A$8:$A$15,_辅助!$J$7)*N(项目档案!$T$53)/SUM($T$21:$T$80),2))</f>
        <v>0</v>
      </c>
      <c r="R70" s="21">
        <f t="shared" si="9"/>
      </c>
      <c r="S70" s="106">
        <f>IF($B70="",0,IF(N(N70)+_项目汇总!$C$52+_项目汇总!$O$52+_项目汇总!$W$52&lt;&gt;0,1,0))</f>
        <v>0</v>
      </c>
      <c r="T70" s="2">
        <f>N(项目档案!$T$53)*S70</f>
        <v>0</v>
      </c>
    </row>
    <row r="71">
      <c r="A71" s="94">
        <f>IF($B71="","",51)</f>
      </c>
      <c r="B71" s="19">
        <f>项目档案!$B$54&amp;""</f>
      </c>
      <c r="C71" s="94">
        <f>项目档案!$M$54&amp;""</f>
      </c>
      <c r="D71" s="21">
        <f t="shared" si="2"/>
      </c>
      <c r="E71" s="21">
        <f>IF($B71="","",ROUND(_项目汇总!$AN$53*N($F$8),2))</f>
      </c>
      <c r="F71" s="21">
        <f>IF($B71="","",ROUND(_项目汇总!$AO$53*N($F$9),2))</f>
      </c>
      <c r="G71" s="21">
        <f>IF($B71="","",ROUND(_项目汇总!$AP$53*N($F$10),2))</f>
      </c>
      <c r="H71" s="21">
        <f>IF($B71="","",ROUND(_项目汇总!$AQ$53*N($F$11),2))</f>
      </c>
      <c r="I71" s="21">
        <f>IF($B71="","",ROUND(_项目汇总!$AR$53*N($F$12),2))</f>
      </c>
      <c r="J71" s="21">
        <f>IF($B71="","",ROUND(_项目汇总!$AS$53*N($F$13),2))</f>
      </c>
      <c r="K71" s="21">
        <f>IF($B71="","",ROUND(_项目汇总!$AT$53*N($F$14),2))</f>
      </c>
      <c r="L71" s="21">
        <f>IF($B71="","",ROUND(_项目汇总!$AU$53*N($F$15),2))</f>
      </c>
      <c r="M71" s="20">
        <f t="shared" si="6"/>
      </c>
      <c r="N71" s="21">
        <f>IF($B71="","",INDEX(_项目汇总!$AN$53:$AU$53,(_辅助!$J$7-_辅助!$J$6+1)))</f>
      </c>
      <c r="O71" s="20">
        <f t="shared" si="7"/>
      </c>
      <c r="P71" s="22">
        <f t="shared" si="8"/>
      </c>
      <c r="Q71" s="21">
        <f>IF(OR($B71="",S71=0,SUM($T$21:$T$80)=0),0,ROUND(SUMIFS($B$8:$B$15,$A$8:$A$15,_辅助!$J$7)*N(项目档案!$T$54)/SUM($T$21:$T$80),2))</f>
        <v>0</v>
      </c>
      <c r="R71" s="21">
        <f t="shared" si="9"/>
      </c>
      <c r="S71" s="106">
        <f>IF($B71="",0,IF(N(N71)+_项目汇总!$C$53+_项目汇总!$O$53+_项目汇总!$W$53&lt;&gt;0,1,0))</f>
        <v>0</v>
      </c>
      <c r="T71" s="2">
        <f>N(项目档案!$T$54)*S71</f>
        <v>0</v>
      </c>
    </row>
    <row r="72">
      <c r="A72" s="94">
        <f>IF($B72="","",52)</f>
      </c>
      <c r="B72" s="19">
        <f>项目档案!$B$55&amp;""</f>
      </c>
      <c r="C72" s="94">
        <f>项目档案!$M$55&amp;""</f>
      </c>
      <c r="D72" s="21">
        <f t="shared" si="2"/>
      </c>
      <c r="E72" s="21">
        <f>IF($B72="","",ROUND(_项目汇总!$AN$54*N($F$8),2))</f>
      </c>
      <c r="F72" s="21">
        <f>IF($B72="","",ROUND(_项目汇总!$AO$54*N($F$9),2))</f>
      </c>
      <c r="G72" s="21">
        <f>IF($B72="","",ROUND(_项目汇总!$AP$54*N($F$10),2))</f>
      </c>
      <c r="H72" s="21">
        <f>IF($B72="","",ROUND(_项目汇总!$AQ$54*N($F$11),2))</f>
      </c>
      <c r="I72" s="21">
        <f>IF($B72="","",ROUND(_项目汇总!$AR$54*N($F$12),2))</f>
      </c>
      <c r="J72" s="21">
        <f>IF($B72="","",ROUND(_项目汇总!$AS$54*N($F$13),2))</f>
      </c>
      <c r="K72" s="21">
        <f>IF($B72="","",ROUND(_项目汇总!$AT$54*N($F$14),2))</f>
      </c>
      <c r="L72" s="21">
        <f>IF($B72="","",ROUND(_项目汇总!$AU$54*N($F$15),2))</f>
      </c>
      <c r="M72" s="20">
        <f t="shared" si="6"/>
      </c>
      <c r="N72" s="21">
        <f>IF($B72="","",INDEX(_项目汇总!$AN$54:$AU$54,(_辅助!$J$7-_辅助!$J$6+1)))</f>
      </c>
      <c r="O72" s="20">
        <f t="shared" si="7"/>
      </c>
      <c r="P72" s="22">
        <f t="shared" si="8"/>
      </c>
      <c r="Q72" s="21">
        <f>IF(OR($B72="",S72=0,SUM($T$21:$T$80)=0),0,ROUND(SUMIFS($B$8:$B$15,$A$8:$A$15,_辅助!$J$7)*N(项目档案!$T$55)/SUM($T$21:$T$80),2))</f>
        <v>0</v>
      </c>
      <c r="R72" s="21">
        <f t="shared" si="9"/>
      </c>
      <c r="S72" s="106">
        <f>IF($B72="",0,IF(N(N72)+_项目汇总!$C$54+_项目汇总!$O$54+_项目汇总!$W$54&lt;&gt;0,1,0))</f>
        <v>0</v>
      </c>
      <c r="T72" s="2">
        <f>N(项目档案!$T$55)*S72</f>
        <v>0</v>
      </c>
    </row>
    <row r="73">
      <c r="A73" s="94">
        <f>IF($B73="","",53)</f>
      </c>
      <c r="B73" s="19">
        <f>项目档案!$B$56&amp;""</f>
      </c>
      <c r="C73" s="94">
        <f>项目档案!$M$56&amp;""</f>
      </c>
      <c r="D73" s="21">
        <f t="shared" si="2"/>
      </c>
      <c r="E73" s="21">
        <f>IF($B73="","",ROUND(_项目汇总!$AN$55*N($F$8),2))</f>
      </c>
      <c r="F73" s="21">
        <f>IF($B73="","",ROUND(_项目汇总!$AO$55*N($F$9),2))</f>
      </c>
      <c r="G73" s="21">
        <f>IF($B73="","",ROUND(_项目汇总!$AP$55*N($F$10),2))</f>
      </c>
      <c r="H73" s="21">
        <f>IF($B73="","",ROUND(_项目汇总!$AQ$55*N($F$11),2))</f>
      </c>
      <c r="I73" s="21">
        <f>IF($B73="","",ROUND(_项目汇总!$AR$55*N($F$12),2))</f>
      </c>
      <c r="J73" s="21">
        <f>IF($B73="","",ROUND(_项目汇总!$AS$55*N($F$13),2))</f>
      </c>
      <c r="K73" s="21">
        <f>IF($B73="","",ROUND(_项目汇总!$AT$55*N($F$14),2))</f>
      </c>
      <c r="L73" s="21">
        <f>IF($B73="","",ROUND(_项目汇总!$AU$55*N($F$15),2))</f>
      </c>
      <c r="M73" s="20">
        <f t="shared" si="6"/>
      </c>
      <c r="N73" s="21">
        <f>IF($B73="","",INDEX(_项目汇总!$AN$55:$AU$55,(_辅助!$J$7-_辅助!$J$6+1)))</f>
      </c>
      <c r="O73" s="20">
        <f t="shared" si="7"/>
      </c>
      <c r="P73" s="22">
        <f t="shared" si="8"/>
      </c>
      <c r="Q73" s="21">
        <f>IF(OR($B73="",S73=0,SUM($T$21:$T$80)=0),0,ROUND(SUMIFS($B$8:$B$15,$A$8:$A$15,_辅助!$J$7)*N(项目档案!$T$56)/SUM($T$21:$T$80),2))</f>
        <v>0</v>
      </c>
      <c r="R73" s="21">
        <f t="shared" si="9"/>
      </c>
      <c r="S73" s="106">
        <f>IF($B73="",0,IF(N(N73)+_项目汇总!$C$55+_项目汇总!$O$55+_项目汇总!$W$55&lt;&gt;0,1,0))</f>
        <v>0</v>
      </c>
      <c r="T73" s="2">
        <f>N(项目档案!$T$56)*S73</f>
        <v>0</v>
      </c>
    </row>
    <row r="74">
      <c r="A74" s="94">
        <f>IF($B74="","",54)</f>
      </c>
      <c r="B74" s="19">
        <f>项目档案!$B$57&amp;""</f>
      </c>
      <c r="C74" s="94">
        <f>项目档案!$M$57&amp;""</f>
      </c>
      <c r="D74" s="21">
        <f t="shared" si="2"/>
      </c>
      <c r="E74" s="21">
        <f>IF($B74="","",ROUND(_项目汇总!$AN$56*N($F$8),2))</f>
      </c>
      <c r="F74" s="21">
        <f>IF($B74="","",ROUND(_项目汇总!$AO$56*N($F$9),2))</f>
      </c>
      <c r="G74" s="21">
        <f>IF($B74="","",ROUND(_项目汇总!$AP$56*N($F$10),2))</f>
      </c>
      <c r="H74" s="21">
        <f>IF($B74="","",ROUND(_项目汇总!$AQ$56*N($F$11),2))</f>
      </c>
      <c r="I74" s="21">
        <f>IF($B74="","",ROUND(_项目汇总!$AR$56*N($F$12),2))</f>
      </c>
      <c r="J74" s="21">
        <f>IF($B74="","",ROUND(_项目汇总!$AS$56*N($F$13),2))</f>
      </c>
      <c r="K74" s="21">
        <f>IF($B74="","",ROUND(_项目汇总!$AT$56*N($F$14),2))</f>
      </c>
      <c r="L74" s="21">
        <f>IF($B74="","",ROUND(_项目汇总!$AU$56*N($F$15),2))</f>
      </c>
      <c r="M74" s="20">
        <f t="shared" si="6"/>
      </c>
      <c r="N74" s="21">
        <f>IF($B74="","",INDEX(_项目汇总!$AN$56:$AU$56,(_辅助!$J$7-_辅助!$J$6+1)))</f>
      </c>
      <c r="O74" s="20">
        <f t="shared" si="7"/>
      </c>
      <c r="P74" s="22">
        <f t="shared" si="8"/>
      </c>
      <c r="Q74" s="21">
        <f>IF(OR($B74="",S74=0,SUM($T$21:$T$80)=0),0,ROUND(SUMIFS($B$8:$B$15,$A$8:$A$15,_辅助!$J$7)*N(项目档案!$T$57)/SUM($T$21:$T$80),2))</f>
        <v>0</v>
      </c>
      <c r="R74" s="21">
        <f t="shared" si="9"/>
      </c>
      <c r="S74" s="106">
        <f>IF($B74="",0,IF(N(N74)+_项目汇总!$C$56+_项目汇总!$O$56+_项目汇总!$W$56&lt;&gt;0,1,0))</f>
        <v>0</v>
      </c>
      <c r="T74" s="2">
        <f>N(项目档案!$T$57)*S74</f>
        <v>0</v>
      </c>
    </row>
    <row r="75">
      <c r="A75" s="94">
        <f>IF($B75="","",55)</f>
      </c>
      <c r="B75" s="19">
        <f>项目档案!$B$58&amp;""</f>
      </c>
      <c r="C75" s="94">
        <f>项目档案!$M$58&amp;""</f>
      </c>
      <c r="D75" s="21">
        <f t="shared" si="2"/>
      </c>
      <c r="E75" s="21">
        <f>IF($B75="","",ROUND(_项目汇总!$AN$57*N($F$8),2))</f>
      </c>
      <c r="F75" s="21">
        <f>IF($B75="","",ROUND(_项目汇总!$AO$57*N($F$9),2))</f>
      </c>
      <c r="G75" s="21">
        <f>IF($B75="","",ROUND(_项目汇总!$AP$57*N($F$10),2))</f>
      </c>
      <c r="H75" s="21">
        <f>IF($B75="","",ROUND(_项目汇总!$AQ$57*N($F$11),2))</f>
      </c>
      <c r="I75" s="21">
        <f>IF($B75="","",ROUND(_项目汇总!$AR$57*N($F$12),2))</f>
      </c>
      <c r="J75" s="21">
        <f>IF($B75="","",ROUND(_项目汇总!$AS$57*N($F$13),2))</f>
      </c>
      <c r="K75" s="21">
        <f>IF($B75="","",ROUND(_项目汇总!$AT$57*N($F$14),2))</f>
      </c>
      <c r="L75" s="21">
        <f>IF($B75="","",ROUND(_项目汇总!$AU$57*N($F$15),2))</f>
      </c>
      <c r="M75" s="20">
        <f t="shared" si="6"/>
      </c>
      <c r="N75" s="21">
        <f>IF($B75="","",INDEX(_项目汇总!$AN$57:$AU$57,(_辅助!$J$7-_辅助!$J$6+1)))</f>
      </c>
      <c r="O75" s="20">
        <f t="shared" si="7"/>
      </c>
      <c r="P75" s="22">
        <f t="shared" si="8"/>
      </c>
      <c r="Q75" s="21">
        <f>IF(OR($B75="",S75=0,SUM($T$21:$T$80)=0),0,ROUND(SUMIFS($B$8:$B$15,$A$8:$A$15,_辅助!$J$7)*N(项目档案!$T$58)/SUM($T$21:$T$80),2))</f>
        <v>0</v>
      </c>
      <c r="R75" s="21">
        <f t="shared" si="9"/>
      </c>
      <c r="S75" s="106">
        <f>IF($B75="",0,IF(N(N75)+_项目汇总!$C$57+_项目汇总!$O$57+_项目汇总!$W$57&lt;&gt;0,1,0))</f>
        <v>0</v>
      </c>
      <c r="T75" s="2">
        <f>N(项目档案!$T$58)*S75</f>
        <v>0</v>
      </c>
    </row>
    <row r="76">
      <c r="A76" s="94">
        <f>IF($B76="","",56)</f>
      </c>
      <c r="B76" s="19">
        <f>项目档案!$B$59&amp;""</f>
      </c>
      <c r="C76" s="94">
        <f>项目档案!$M$59&amp;""</f>
      </c>
      <c r="D76" s="21">
        <f t="shared" si="2"/>
      </c>
      <c r="E76" s="21">
        <f>IF($B76="","",ROUND(_项目汇总!$AN$58*N($F$8),2))</f>
      </c>
      <c r="F76" s="21">
        <f>IF($B76="","",ROUND(_项目汇总!$AO$58*N($F$9),2))</f>
      </c>
      <c r="G76" s="21">
        <f>IF($B76="","",ROUND(_项目汇总!$AP$58*N($F$10),2))</f>
      </c>
      <c r="H76" s="21">
        <f>IF($B76="","",ROUND(_项目汇总!$AQ$58*N($F$11),2))</f>
      </c>
      <c r="I76" s="21">
        <f>IF($B76="","",ROUND(_项目汇总!$AR$58*N($F$12),2))</f>
      </c>
      <c r="J76" s="21">
        <f>IF($B76="","",ROUND(_项目汇总!$AS$58*N($F$13),2))</f>
      </c>
      <c r="K76" s="21">
        <f>IF($B76="","",ROUND(_项目汇总!$AT$58*N($F$14),2))</f>
      </c>
      <c r="L76" s="21">
        <f>IF($B76="","",ROUND(_项目汇总!$AU$58*N($F$15),2))</f>
      </c>
      <c r="M76" s="20">
        <f t="shared" si="6"/>
      </c>
      <c r="N76" s="21">
        <f>IF($B76="","",INDEX(_项目汇总!$AN$58:$AU$58,(_辅助!$J$7-_辅助!$J$6+1)))</f>
      </c>
      <c r="O76" s="20">
        <f t="shared" si="7"/>
      </c>
      <c r="P76" s="22">
        <f t="shared" si="8"/>
      </c>
      <c r="Q76" s="21">
        <f>IF(OR($B76="",S76=0,SUM($T$21:$T$80)=0),0,ROUND(SUMIFS($B$8:$B$15,$A$8:$A$15,_辅助!$J$7)*N(项目档案!$T$59)/SUM($T$21:$T$80),2))</f>
        <v>0</v>
      </c>
      <c r="R76" s="21">
        <f t="shared" si="9"/>
      </c>
      <c r="S76" s="106">
        <f>IF($B76="",0,IF(N(N76)+_项目汇总!$C$58+_项目汇总!$O$58+_项目汇总!$W$58&lt;&gt;0,1,0))</f>
        <v>0</v>
      </c>
      <c r="T76" s="2">
        <f>N(项目档案!$T$59)*S76</f>
        <v>0</v>
      </c>
    </row>
    <row r="77">
      <c r="A77" s="94">
        <f>IF($B77="","",57)</f>
      </c>
      <c r="B77" s="19">
        <f>项目档案!$B$60&amp;""</f>
      </c>
      <c r="C77" s="94">
        <f>项目档案!$M$60&amp;""</f>
      </c>
      <c r="D77" s="21">
        <f t="shared" si="2"/>
      </c>
      <c r="E77" s="21">
        <f>IF($B77="","",ROUND(_项目汇总!$AN$59*N($F$8),2))</f>
      </c>
      <c r="F77" s="21">
        <f>IF($B77="","",ROUND(_项目汇总!$AO$59*N($F$9),2))</f>
      </c>
      <c r="G77" s="21">
        <f>IF($B77="","",ROUND(_项目汇总!$AP$59*N($F$10),2))</f>
      </c>
      <c r="H77" s="21">
        <f>IF($B77="","",ROUND(_项目汇总!$AQ$59*N($F$11),2))</f>
      </c>
      <c r="I77" s="21">
        <f>IF($B77="","",ROUND(_项目汇总!$AR$59*N($F$12),2))</f>
      </c>
      <c r="J77" s="21">
        <f>IF($B77="","",ROUND(_项目汇总!$AS$59*N($F$13),2))</f>
      </c>
      <c r="K77" s="21">
        <f>IF($B77="","",ROUND(_项目汇总!$AT$59*N($F$14),2))</f>
      </c>
      <c r="L77" s="21">
        <f>IF($B77="","",ROUND(_项目汇总!$AU$59*N($F$15),2))</f>
      </c>
      <c r="M77" s="20">
        <f t="shared" si="6"/>
      </c>
      <c r="N77" s="21">
        <f>IF($B77="","",INDEX(_项目汇总!$AN$59:$AU$59,(_辅助!$J$7-_辅助!$J$6+1)))</f>
      </c>
      <c r="O77" s="20">
        <f t="shared" si="7"/>
      </c>
      <c r="P77" s="22">
        <f t="shared" si="8"/>
      </c>
      <c r="Q77" s="21">
        <f>IF(OR($B77="",S77=0,SUM($T$21:$T$80)=0),0,ROUND(SUMIFS($B$8:$B$15,$A$8:$A$15,_辅助!$J$7)*N(项目档案!$T$60)/SUM($T$21:$T$80),2))</f>
        <v>0</v>
      </c>
      <c r="R77" s="21">
        <f t="shared" si="9"/>
      </c>
      <c r="S77" s="106">
        <f>IF($B77="",0,IF(N(N77)+_项目汇总!$C$59+_项目汇总!$O$59+_项目汇总!$W$59&lt;&gt;0,1,0))</f>
        <v>0</v>
      </c>
      <c r="T77" s="2">
        <f>N(项目档案!$T$60)*S77</f>
        <v>0</v>
      </c>
    </row>
    <row r="78">
      <c r="A78" s="94">
        <f>IF($B78="","",58)</f>
      </c>
      <c r="B78" s="19">
        <f>项目档案!$B$61&amp;""</f>
      </c>
      <c r="C78" s="94">
        <f>项目档案!$M$61&amp;""</f>
      </c>
      <c r="D78" s="21">
        <f t="shared" si="2"/>
      </c>
      <c r="E78" s="21">
        <f>IF($B78="","",ROUND(_项目汇总!$AN$60*N($F$8),2))</f>
      </c>
      <c r="F78" s="21">
        <f>IF($B78="","",ROUND(_项目汇总!$AO$60*N($F$9),2))</f>
      </c>
      <c r="G78" s="21">
        <f>IF($B78="","",ROUND(_项目汇总!$AP$60*N($F$10),2))</f>
      </c>
      <c r="H78" s="21">
        <f>IF($B78="","",ROUND(_项目汇总!$AQ$60*N($F$11),2))</f>
      </c>
      <c r="I78" s="21">
        <f>IF($B78="","",ROUND(_项目汇总!$AR$60*N($F$12),2))</f>
      </c>
      <c r="J78" s="21">
        <f>IF($B78="","",ROUND(_项目汇总!$AS$60*N($F$13),2))</f>
      </c>
      <c r="K78" s="21">
        <f>IF($B78="","",ROUND(_项目汇总!$AT$60*N($F$14),2))</f>
      </c>
      <c r="L78" s="21">
        <f>IF($B78="","",ROUND(_项目汇总!$AU$60*N($F$15),2))</f>
      </c>
      <c r="M78" s="20">
        <f t="shared" si="6"/>
      </c>
      <c r="N78" s="21">
        <f>IF($B78="","",INDEX(_项目汇总!$AN$60:$AU$60,(_辅助!$J$7-_辅助!$J$6+1)))</f>
      </c>
      <c r="O78" s="20">
        <f t="shared" si="7"/>
      </c>
      <c r="P78" s="22">
        <f t="shared" si="8"/>
      </c>
      <c r="Q78" s="21">
        <f>IF(OR($B78="",S78=0,SUM($T$21:$T$80)=0),0,ROUND(SUMIFS($B$8:$B$15,$A$8:$A$15,_辅助!$J$7)*N(项目档案!$T$61)/SUM($T$21:$T$80),2))</f>
        <v>0</v>
      </c>
      <c r="R78" s="21">
        <f t="shared" si="9"/>
      </c>
      <c r="S78" s="106">
        <f>IF($B78="",0,IF(N(N78)+_项目汇总!$C$60+_项目汇总!$O$60+_项目汇总!$W$60&lt;&gt;0,1,0))</f>
        <v>0</v>
      </c>
      <c r="T78" s="2">
        <f>N(项目档案!$T$61)*S78</f>
        <v>0</v>
      </c>
    </row>
    <row r="79">
      <c r="A79" s="94">
        <f>IF($B79="","",59)</f>
      </c>
      <c r="B79" s="19">
        <f>项目档案!$B$62&amp;""</f>
      </c>
      <c r="C79" s="94">
        <f>项目档案!$M$62&amp;""</f>
      </c>
      <c r="D79" s="21">
        <f t="shared" si="2"/>
      </c>
      <c r="E79" s="21">
        <f>IF($B79="","",ROUND(_项目汇总!$AN$61*N($F$8),2))</f>
      </c>
      <c r="F79" s="21">
        <f>IF($B79="","",ROUND(_项目汇总!$AO$61*N($F$9),2))</f>
      </c>
      <c r="G79" s="21">
        <f>IF($B79="","",ROUND(_项目汇总!$AP$61*N($F$10),2))</f>
      </c>
      <c r="H79" s="21">
        <f>IF($B79="","",ROUND(_项目汇总!$AQ$61*N($F$11),2))</f>
      </c>
      <c r="I79" s="21">
        <f>IF($B79="","",ROUND(_项目汇总!$AR$61*N($F$12),2))</f>
      </c>
      <c r="J79" s="21">
        <f>IF($B79="","",ROUND(_项目汇总!$AS$61*N($F$13),2))</f>
      </c>
      <c r="K79" s="21">
        <f>IF($B79="","",ROUND(_项目汇总!$AT$61*N($F$14),2))</f>
      </c>
      <c r="L79" s="21">
        <f>IF($B79="","",ROUND(_项目汇总!$AU$61*N($F$15),2))</f>
      </c>
      <c r="M79" s="20">
        <f t="shared" si="6"/>
      </c>
      <c r="N79" s="21">
        <f>IF($B79="","",INDEX(_项目汇总!$AN$61:$AU$61,(_辅助!$J$7-_辅助!$J$6+1)))</f>
      </c>
      <c r="O79" s="20">
        <f t="shared" si="7"/>
      </c>
      <c r="P79" s="22">
        <f t="shared" si="8"/>
      </c>
      <c r="Q79" s="21">
        <f>IF(OR($B79="",S79=0,SUM($T$21:$T$80)=0),0,ROUND(SUMIFS($B$8:$B$15,$A$8:$A$15,_辅助!$J$7)*N(项目档案!$T$62)/SUM($T$21:$T$80),2))</f>
        <v>0</v>
      </c>
      <c r="R79" s="21">
        <f t="shared" si="9"/>
      </c>
      <c r="S79" s="106">
        <f>IF($B79="",0,IF(N(N79)+_项目汇总!$C$61+_项目汇总!$O$61+_项目汇总!$W$61&lt;&gt;0,1,0))</f>
        <v>0</v>
      </c>
      <c r="T79" s="2">
        <f>N(项目档案!$T$62)*S79</f>
        <v>0</v>
      </c>
    </row>
    <row r="80">
      <c r="A80" s="94">
        <f>IF($B80="","",60)</f>
      </c>
      <c r="B80" s="19">
        <f>项目档案!$B$63&amp;""</f>
      </c>
      <c r="C80" s="94">
        <f>项目档案!$M$63&amp;""</f>
      </c>
      <c r="D80" s="21">
        <f t="shared" si="2"/>
      </c>
      <c r="E80" s="21">
        <f>IF($B80="","",ROUND(_项目汇总!$AN$62*N($F$8),2))</f>
      </c>
      <c r="F80" s="21">
        <f>IF($B80="","",ROUND(_项目汇总!$AO$62*N($F$9),2))</f>
      </c>
      <c r="G80" s="21">
        <f>IF($B80="","",ROUND(_项目汇总!$AP$62*N($F$10),2))</f>
      </c>
      <c r="H80" s="21">
        <f>IF($B80="","",ROUND(_项目汇总!$AQ$62*N($F$11),2))</f>
      </c>
      <c r="I80" s="21">
        <f>IF($B80="","",ROUND(_项目汇总!$AR$62*N($F$12),2))</f>
      </c>
      <c r="J80" s="21">
        <f>IF($B80="","",ROUND(_项目汇总!$AS$62*N($F$13),2))</f>
      </c>
      <c r="K80" s="21">
        <f>IF($B80="","",ROUND(_项目汇总!$AT$62*N($F$14),2))</f>
      </c>
      <c r="L80" s="21">
        <f>IF($B80="","",ROUND(_项目汇总!$AU$62*N($F$15),2))</f>
      </c>
      <c r="M80" s="20">
        <f t="shared" si="6"/>
      </c>
      <c r="N80" s="21">
        <f>IF($B80="","",INDEX(_项目汇总!$AN$62:$AU$62,(_辅助!$J$7-_辅助!$J$6+1)))</f>
      </c>
      <c r="O80" s="20">
        <f t="shared" si="7"/>
      </c>
      <c r="P80" s="22">
        <f t="shared" si="8"/>
      </c>
      <c r="Q80" s="21">
        <f>IF(OR($B80="",S80=0,SUM($T$21:$T$80)=0),0,ROUND(SUMIFS($B$8:$B$15,$A$8:$A$15,_辅助!$J$7)*N(项目档案!$T$63)/SUM($T$21:$T$80),2))</f>
        <v>0</v>
      </c>
      <c r="R80" s="21">
        <f t="shared" si="9"/>
      </c>
      <c r="S80" s="106">
        <f>IF($B80="",0,IF(N(N80)+_项目汇总!$C$62+_项目汇总!$O$62+_项目汇总!$W$62&lt;&gt;0,1,0))</f>
        <v>0</v>
      </c>
      <c r="T80" s="2">
        <f>N(项目档案!$T$63)*S80</f>
        <v>0</v>
      </c>
    </row>
    <row r="81">
      <c r="A81" s="105" t="n"/>
      <c r="B81" s="76" t="inlineStr">
        <is>
          <t>合计</t>
        </is>
      </c>
      <c r="C81" s="105" t="n"/>
      <c r="D81" s="77">
        <f>SUM(D21:D80)</f>
        <v>274889.16</v>
      </c>
      <c r="E81" s="77">
        <f>SUM(E21:E80)</f>
        <v>86223.23</v>
      </c>
      <c r="F81" s="77">
        <f>SUM(F21:F80)</f>
        <v>0</v>
      </c>
      <c r="G81" s="77">
        <f>SUM(G21:G80)</f>
        <v>0</v>
      </c>
      <c r="H81" s="77">
        <f>SUM(H21:H80)</f>
        <v>0</v>
      </c>
      <c r="I81" s="77">
        <f>SUM(I21:I80)</f>
        <v>0</v>
      </c>
      <c r="J81" s="77">
        <f>SUM(J21:J80)</f>
        <v>0</v>
      </c>
      <c r="K81" s="77">
        <f>SUM(K21:K80)</f>
        <v>0</v>
      </c>
      <c r="L81" s="77">
        <f>SUM(L21:L80)</f>
        <v>0</v>
      </c>
      <c r="M81" s="77">
        <f>SUM(M21:M80)</f>
        <v>361112.39</v>
      </c>
      <c r="N81" s="77">
        <f>SUM(N21:N80)</f>
        <v>229363.9</v>
      </c>
      <c r="O81" s="77">
        <f>SUM(O21:O80)</f>
        <v>86223.23</v>
      </c>
      <c r="P81" s="105" t="n"/>
      <c r="Q81" s="77">
        <f>SUM(Q21:Q80)</f>
        <v>86223.24</v>
      </c>
      <c r="R81" s="77">
        <f>SUM(R21:R80)</f>
        <v>-0.0100000000011278</v>
      </c>
      <c r="S81" s="105" t="n"/>
    </row>
    <row r="82"/>
    <row r="83"/>
    <row r="84">
      <c r="A84" s="30" t="inlineStr">
        <is>
          <t>③ 为什么不按工程款、不按收入当月摊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</row>
    <row r="85" ht="20" customHeight="1">
      <c r="A85" s="31" t="inlineStr">
        <is>
          <t>· 按收入当月摊：工程款几年收不到的项目一直不摊，收到钱那个月突然摊一大笔，项目利润忽高忽低，看不出真实盈亏。</t>
        </is>
      </c>
    </row>
    <row r="86" ht="20" customHeight="1">
      <c r="A86" s="31" t="inlineStr">
        <is>
          <t>· 按合同额摊（Q 列老办法）：大合同但只做了一点点的项目摊多了，小合同但人工多、工期长的摊少了；工期一周的项目跟做一年的摊一样的比例也不合理。</t>
        </is>
      </c>
    </row>
    <row r="87" ht="20" customHeight="1">
      <c r="A87" s="31" t="inlineStr">
        <is>
          <t>· 按施工费摊：管理人员的精力、公司的车和办公室，主要花在带工人、盯分包、调机械上，施工费越多说明越费管理，最贴近实际；每月都有数，不用等收款。</t>
        </is>
      </c>
    </row>
    <row r="88" ht="20" customHeight="1">
      <c r="A88" s="31" t="inlineStr">
        <is>
          <t>· 月薪的管理人员在工地待了几天，【考勤工资】里填那个项目几天，那部分工资直接算项目人工（不进管理费）；在公司的天数才进管理费再摊。</t>
        </is>
      </c>
    </row>
    <row r="89" ht="20" customHeight="1">
      <c r="A89" s="31" t="inlineStr">
        <is>
          <t>· 年底把 E 列「定稿费率」填上（一般就填算出来的数），这一年就定了；以后改了以前的流水，只有差额显示在「没摊完/多摊了」，项目利润不会跟着乱变。</t>
        </is>
      </c>
    </row>
    <row r="90" ht="20" customHeight="1">
      <c r="A90" s="31" t="inlineStr">
        <is>
          <t>· 想改成按「直接成本」（含材料）摊：到【基础资料】⑤ 把「管理费分摊依据」改成「直接成本」。材料多的项目会多摊，一般建筑安装按施工费更公平。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21">
    <mergeCell ref="I14:L14"/>
    <mergeCell ref="A85:S85"/>
    <mergeCell ref="I8:L8"/>
    <mergeCell ref="I10:L10"/>
    <mergeCell ref="I13:L13"/>
    <mergeCell ref="A19:S19"/>
    <mergeCell ref="I9:L9"/>
    <mergeCell ref="I15:L15"/>
    <mergeCell ref="I11:L11"/>
    <mergeCell ref="A1:S1"/>
    <mergeCell ref="A88:S88"/>
    <mergeCell ref="I7:L7"/>
    <mergeCell ref="A87:S87"/>
    <mergeCell ref="A90:S90"/>
    <mergeCell ref="B3:M3"/>
    <mergeCell ref="A84:S84"/>
    <mergeCell ref="A89:S89"/>
    <mergeCell ref="I12:L12"/>
    <mergeCell ref="A6:I6"/>
    <mergeCell ref="A2:S2"/>
    <mergeCell ref="A86:S86"/>
  </mergeCells>
  <conditionalFormatting sqref="A8:L15">
    <cfRule type="expression" priority="1" dxfId="8">
      <formula>$A8&gt;_辅助!$J$7</formula>
    </cfRule>
  </conditionalFormatting>
  <conditionalFormatting sqref="E20:L80">
    <cfRule type="expression" priority="2" dxfId="8">
      <formula>E$20&gt;_辅助!$J$7&amp;"年"</formula>
    </cfRule>
  </conditionalFormatting>
  <dataValidations count="1">
    <dataValidation sqref="E8:E15" showDropDown="0" showInputMessage="0" showErrorMessage="1" allowBlank="1" errorTitle="费率" error="填百分比，比如 12%" type="decimal" operator="between">
      <formula1>0</formula1>
      <formula2>1</formula2>
    </dataValidation>
  </dataValidations>
  <hyperlinks>
    <hyperlink ref="T1" location="'首页'!A1" display="← 回首页"/>
  </hyperlinks>
  <pageMargins left="0.3" right="0.3" top="0.5" bottom="0.5" header="0.5" footer="0.5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tabColor rgb="00833C0C"/>
    <outlinePr summaryBelow="1" summaryRight="1"/>
    <pageSetUpPr fitToPage="1"/>
  </sheetPr>
  <dimension ref="A1:Q42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  <col width="15" customWidth="1" min="16" max="16"/>
    <col width="13" customWidth="1" min="17" max="17"/>
  </cols>
  <sheetData>
    <row r="1" ht="33" customHeight="1">
      <c r="A1" s="69" t="inlineStr">
        <is>
          <t>利 润 表（管理用 · 按月 · 收入按甲方确认的产值）</t>
        </is>
      </c>
      <c r="Q1" s="33" t="inlineStr">
        <is>
          <t>← 回首页</t>
        </is>
      </c>
    </row>
    <row r="2" ht="38" customHeight="1">
      <c r="A2" s="3" t="inlineStr">
        <is>
          <t>💡 全自动，年度和截止日在首页选。收入＝【收入确认】里甲方确认的产值（含税，不是收到的钱）；直接成本按发生（挂账没付的也算）；税金＝按产值估算的增值税（扣了进项专票）＋附加＋印花；间接费用＝公司日常开支和管理人员在公司那部分工资，在【费用分摊】摊到项目。这是给老板看赚没赚钱的管理报表，报税用的报表以代账会计的为准。</t>
        </is>
      </c>
    </row>
    <row r="3">
      <c r="A3" s="98" t="str">
        <f>_辅助!$J$7&amp;"年  截止 "&amp;TEXT(_辅助!$J$9,"m月d日")&amp;"（灰色的月份：还没到，或者在建账日之前——那些数在期初里）"</f>
        <v>2026年  截止 8月31日（灰色的月份：还没到，或者在建账日之前——那些数在期初里）</v>
      </c>
    </row>
    <row r="4"/>
    <row r="5" ht="36" customHeight="1">
      <c r="A5" s="70" t="inlineStr">
        <is>
          <t>项  目</t>
        </is>
      </c>
      <c r="B5" s="143" t="inlineStr">
        <is>
          <t>1月</t>
        </is>
      </c>
      <c r="C5" s="143" t="inlineStr">
        <is>
          <t>2月</t>
        </is>
      </c>
      <c r="D5" s="143" t="inlineStr">
        <is>
          <t>3月</t>
        </is>
      </c>
      <c r="E5" s="143" t="inlineStr">
        <is>
          <t>4月</t>
        </is>
      </c>
      <c r="F5" s="143" t="inlineStr">
        <is>
          <t>5月</t>
        </is>
      </c>
      <c r="G5" s="143" t="inlineStr">
        <is>
          <t>6月</t>
        </is>
      </c>
      <c r="H5" s="143" t="inlineStr">
        <is>
          <t>7月</t>
        </is>
      </c>
      <c r="I5" s="143" t="inlineStr">
        <is>
          <t>8月</t>
        </is>
      </c>
      <c r="J5" s="143" t="inlineStr">
        <is>
          <t>9月</t>
        </is>
      </c>
      <c r="K5" s="143" t="inlineStr">
        <is>
          <t>10月</t>
        </is>
      </c>
      <c r="L5" s="143" t="inlineStr">
        <is>
          <t>11月</t>
        </is>
      </c>
      <c r="M5" s="143" t="inlineStr">
        <is>
          <t>12月</t>
        </is>
      </c>
      <c r="N5" s="70" t="inlineStr">
        <is>
          <t>本年累计</t>
        </is>
      </c>
      <c r="O5" s="70" t="inlineStr">
        <is>
          <t>占收入</t>
        </is>
      </c>
      <c r="P5" s="70" t="inlineStr">
        <is>
          <t>以前年度
(建账起)</t>
        </is>
      </c>
    </row>
    <row r="6">
      <c r="A6" s="139" t="inlineStr">
        <is>
          <t>一、营业收入（确认产值）</t>
        </is>
      </c>
      <c r="B6" s="20">
        <f>_月汇总!$C$3</f>
        <v>0</v>
      </c>
      <c r="C6" s="20">
        <f>_月汇总!$D$3</f>
        <v>0</v>
      </c>
      <c r="D6" s="20">
        <f>_月汇总!$E$3</f>
        <v>0</v>
      </c>
      <c r="E6" s="20">
        <f>_月汇总!$F$3</f>
        <v>0</v>
      </c>
      <c r="F6" s="20">
        <f>_月汇总!$G$3</f>
        <v>0</v>
      </c>
      <c r="G6" s="20">
        <f>_月汇总!$H$3</f>
        <v>0</v>
      </c>
      <c r="H6" s="20">
        <f>_月汇总!$I$3</f>
        <v>8992</v>
      </c>
      <c r="I6" s="20">
        <f>_月汇总!$J$3</f>
        <v>0</v>
      </c>
      <c r="J6" s="20">
        <f>_月汇总!$K$3</f>
        <v>0</v>
      </c>
      <c r="K6" s="20">
        <f>_月汇总!$L$3</f>
        <v>0</v>
      </c>
      <c r="L6" s="20">
        <f>_月汇总!$M$3</f>
        <v>0</v>
      </c>
      <c r="M6" s="20">
        <f>_月汇总!$N$3</f>
        <v>0</v>
      </c>
      <c r="N6" s="20">
        <f>_月汇总!$O$3</f>
        <v>8992</v>
      </c>
      <c r="O6" s="130">
        <f t="shared" ref="O6:O35" si="0">IF(N(N$6)=0,"",N6/N$6)</f>
        <v>1</v>
      </c>
      <c r="P6" s="20">
        <f>_月汇总!$B$3</f>
        <v>0</v>
      </c>
    </row>
    <row r="7">
      <c r="A7" s="100" t="inlineStr">
        <is>
          <t>二、直接成本</t>
        </is>
      </c>
      <c r="B7" s="101">
        <f>_月汇总!$C$4+_月汇总!$C$5+_月汇总!$C$6+_月汇总!$C$7+_月汇总!$C$8</f>
        <v>0</v>
      </c>
      <c r="C7" s="101">
        <f>_月汇总!$D$4+_月汇总!$D$5+_月汇总!$D$6+_月汇总!$D$7+_月汇总!$D$8</f>
        <v>0</v>
      </c>
      <c r="D7" s="101">
        <f>_月汇总!$E$4+_月汇总!$E$5+_月汇总!$E$6+_月汇总!$E$7+_月汇总!$E$8</f>
        <v>134381</v>
      </c>
      <c r="E7" s="101">
        <f>_月汇总!$F$4+_月汇总!$F$5+_月汇总!$F$6+_月汇总!$F$7+_月汇总!$F$8</f>
        <v>136558.9</v>
      </c>
      <c r="F7" s="101">
        <f>_月汇总!$G$4+_月汇总!$G$5+_月汇总!$G$6+_月汇总!$G$7+_月汇总!$G$8</f>
        <v>5837</v>
      </c>
      <c r="G7" s="101">
        <f>_月汇总!$H$4+_月汇总!$H$5+_月汇总!$H$6+_月汇总!$H$7+_月汇总!$H$8</f>
        <v>67794.42</v>
      </c>
      <c r="H7" s="101">
        <f>_月汇总!$I$4+_月汇总!$I$5+_月汇总!$I$6+_月汇总!$I$7+_月汇总!$I$8</f>
        <v>74883.98</v>
      </c>
      <c r="I7" s="101">
        <f>_月汇总!$J$4+_月汇总!$J$5+_月汇总!$J$6+_月汇总!$J$7+_月汇总!$J$8</f>
        <v>1470</v>
      </c>
      <c r="J7" s="101">
        <f>_月汇总!$K$4+_月汇总!$K$5+_月汇总!$K$6+_月汇总!$K$7+_月汇总!$K$8</f>
        <v>0</v>
      </c>
      <c r="K7" s="101">
        <f>_月汇总!$L$4+_月汇总!$L$5+_月汇总!$L$6+_月汇总!$L$7+_月汇总!$L$8</f>
        <v>0</v>
      </c>
      <c r="L7" s="101">
        <f>_月汇总!$M$4+_月汇总!$M$5+_月汇总!$M$6+_月汇总!$M$7+_月汇总!$M$8</f>
        <v>0</v>
      </c>
      <c r="M7" s="101">
        <f>_月汇总!$N$4+_月汇总!$N$5+_月汇总!$N$6+_月汇总!$N$7+_月汇总!$N$8</f>
        <v>0</v>
      </c>
      <c r="N7" s="101">
        <f>_月汇总!$O$4+_月汇总!$O$5+_月汇总!$O$6+_月汇总!$O$7+_月汇总!$O$8</f>
        <v>420925.3</v>
      </c>
      <c r="O7" s="131">
        <f t="shared" si="0"/>
        <v>46.811087633452</v>
      </c>
      <c r="P7" s="101">
        <f>_月汇总!$B$4+_月汇总!$B$5+_月汇总!$B$6+_月汇总!$B$7+_月汇总!$B$8</f>
        <v>0</v>
      </c>
    </row>
    <row r="8">
      <c r="A8" s="19" t="inlineStr">
        <is>
          <t xml:space="preserve">　　材料费</t>
        </is>
      </c>
      <c r="B8" s="21">
        <f>_月汇总!$C$4</f>
        <v>0</v>
      </c>
      <c r="C8" s="21">
        <f>_月汇总!$D$4</f>
        <v>0</v>
      </c>
      <c r="D8" s="21">
        <f>_月汇总!$E$4</f>
        <v>53216</v>
      </c>
      <c r="E8" s="21">
        <f>_月汇总!$F$4</f>
        <v>0</v>
      </c>
      <c r="F8" s="21">
        <f>_月汇总!$G$4</f>
        <v>120</v>
      </c>
      <c r="G8" s="21">
        <f>_月汇总!$H$4</f>
        <v>61994.42</v>
      </c>
      <c r="H8" s="21">
        <f>_月汇总!$I$4</f>
        <v>57683.98</v>
      </c>
      <c r="I8" s="21">
        <f>_月汇总!$J$4</f>
        <v>0</v>
      </c>
      <c r="J8" s="21">
        <f>_月汇总!$K$4</f>
        <v>0</v>
      </c>
      <c r="K8" s="21">
        <f>_月汇总!$L$4</f>
        <v>0</v>
      </c>
      <c r="L8" s="21">
        <f>_月汇总!$M$4</f>
        <v>0</v>
      </c>
      <c r="M8" s="21">
        <f>_月汇总!$N$4</f>
        <v>0</v>
      </c>
      <c r="N8" s="21">
        <f>_月汇总!$O$4</f>
        <v>173014.4</v>
      </c>
      <c r="O8" s="130">
        <f t="shared" si="0"/>
        <v>19.2409252669039</v>
      </c>
      <c r="P8" s="21">
        <f>_月汇总!$B$4</f>
        <v>0</v>
      </c>
    </row>
    <row r="9">
      <c r="A9" s="19" t="inlineStr">
        <is>
          <t xml:space="preserve">　　人工费</t>
        </is>
      </c>
      <c r="B9" s="21">
        <f>_月汇总!$C$5</f>
        <v>0</v>
      </c>
      <c r="C9" s="21">
        <f>_月汇总!$D$5</f>
        <v>0</v>
      </c>
      <c r="D9" s="21">
        <f>_月汇总!$E$5</f>
        <v>81165</v>
      </c>
      <c r="E9" s="21">
        <f>_月汇总!$F$5</f>
        <v>136558.9</v>
      </c>
      <c r="F9" s="21">
        <f>_月汇总!$G$5</f>
        <v>360</v>
      </c>
      <c r="G9" s="21">
        <f>_月汇总!$H$5</f>
        <v>0</v>
      </c>
      <c r="H9" s="21">
        <f>_月汇总!$I$5</f>
        <v>1200</v>
      </c>
      <c r="I9" s="21">
        <f>_月汇总!$J$5</f>
        <v>0</v>
      </c>
      <c r="J9" s="21">
        <f>_月汇总!$K$5</f>
        <v>0</v>
      </c>
      <c r="K9" s="21">
        <f>_月汇总!$L$5</f>
        <v>0</v>
      </c>
      <c r="L9" s="21">
        <f>_月汇总!$M$5</f>
        <v>0</v>
      </c>
      <c r="M9" s="21">
        <f>_月汇总!$N$5</f>
        <v>0</v>
      </c>
      <c r="N9" s="21">
        <f>_月汇总!$O$5</f>
        <v>219283.9</v>
      </c>
      <c r="O9" s="130">
        <f t="shared" si="0"/>
        <v>24.3865547153025</v>
      </c>
      <c r="P9" s="21">
        <f>_月汇总!$B$5</f>
        <v>0</v>
      </c>
    </row>
    <row r="10">
      <c r="A10" s="19" t="inlineStr">
        <is>
          <t xml:space="preserve">　　分包费</t>
        </is>
      </c>
      <c r="B10" s="21">
        <f>_月汇总!$C$6</f>
        <v>0</v>
      </c>
      <c r="C10" s="21">
        <f>_月汇总!$D$6</f>
        <v>0</v>
      </c>
      <c r="D10" s="21">
        <f>_月汇总!$E$6</f>
        <v>0</v>
      </c>
      <c r="E10" s="21">
        <f>_月汇总!$F$6</f>
        <v>0</v>
      </c>
      <c r="F10" s="21">
        <f>_月汇总!$G$6</f>
        <v>0</v>
      </c>
      <c r="G10" s="21">
        <f>_月汇总!$H$6</f>
        <v>0</v>
      </c>
      <c r="H10" s="21">
        <f>_月汇总!$I$6</f>
        <v>0</v>
      </c>
      <c r="I10" s="21">
        <f>_月汇总!$J$6</f>
        <v>0</v>
      </c>
      <c r="J10" s="21">
        <f>_月汇总!$K$6</f>
        <v>0</v>
      </c>
      <c r="K10" s="21">
        <f>_月汇总!$L$6</f>
        <v>0</v>
      </c>
      <c r="L10" s="21">
        <f>_月汇总!$M$6</f>
        <v>0</v>
      </c>
      <c r="M10" s="21">
        <f>_月汇总!$N$6</f>
        <v>0</v>
      </c>
      <c r="N10" s="21">
        <f>_月汇总!$O$6</f>
        <v>0</v>
      </c>
      <c r="O10" s="130">
        <f t="shared" si="0"/>
        <v>0</v>
      </c>
      <c r="P10" s="21">
        <f>_月汇总!$B$6</f>
        <v>0</v>
      </c>
    </row>
    <row r="11">
      <c r="A11" s="19" t="inlineStr">
        <is>
          <t xml:space="preserve">　　机械运输费</t>
        </is>
      </c>
      <c r="B11" s="21">
        <f>_月汇总!$C$7</f>
        <v>0</v>
      </c>
      <c r="C11" s="21">
        <f>_月汇总!$D$7</f>
        <v>0</v>
      </c>
      <c r="D11" s="21">
        <f>_月汇总!$E$7</f>
        <v>0</v>
      </c>
      <c r="E11" s="21">
        <f>_月汇总!$F$7</f>
        <v>0</v>
      </c>
      <c r="F11" s="21">
        <f>_月汇总!$G$7</f>
        <v>1280</v>
      </c>
      <c r="G11" s="21">
        <f>_月汇总!$H$7</f>
        <v>800</v>
      </c>
      <c r="H11" s="21">
        <f>_月汇总!$I$7</f>
        <v>8000</v>
      </c>
      <c r="I11" s="21">
        <f>_月汇总!$J$7</f>
        <v>0</v>
      </c>
      <c r="J11" s="21">
        <f>_月汇总!$K$7</f>
        <v>0</v>
      </c>
      <c r="K11" s="21">
        <f>_月汇总!$L$7</f>
        <v>0</v>
      </c>
      <c r="L11" s="21">
        <f>_月汇总!$M$7</f>
        <v>0</v>
      </c>
      <c r="M11" s="21">
        <f>_月汇总!$N$7</f>
        <v>0</v>
      </c>
      <c r="N11" s="21">
        <f>_月汇总!$O$7</f>
        <v>10080</v>
      </c>
      <c r="O11" s="130">
        <f t="shared" si="0"/>
        <v>1.12099644128114</v>
      </c>
      <c r="P11" s="21">
        <f>_月汇总!$B$7</f>
        <v>0</v>
      </c>
    </row>
    <row r="12">
      <c r="A12" s="19" t="inlineStr">
        <is>
          <t xml:space="preserve">　　其他直接费</t>
        </is>
      </c>
      <c r="B12" s="21">
        <f>_月汇总!$C$8</f>
        <v>0</v>
      </c>
      <c r="C12" s="21">
        <f>_月汇总!$D$8</f>
        <v>0</v>
      </c>
      <c r="D12" s="21">
        <f>_月汇总!$E$8</f>
        <v>0</v>
      </c>
      <c r="E12" s="21">
        <f>_月汇总!$F$8</f>
        <v>0</v>
      </c>
      <c r="F12" s="21">
        <f>_月汇总!$G$8</f>
        <v>4077</v>
      </c>
      <c r="G12" s="21">
        <f>_月汇总!$H$8</f>
        <v>5000</v>
      </c>
      <c r="H12" s="21">
        <f>_月汇总!$I$8</f>
        <v>8000</v>
      </c>
      <c r="I12" s="21">
        <f>_月汇总!$J$8</f>
        <v>1470</v>
      </c>
      <c r="J12" s="21">
        <f>_月汇总!$K$8</f>
        <v>0</v>
      </c>
      <c r="K12" s="21">
        <f>_月汇总!$L$8</f>
        <v>0</v>
      </c>
      <c r="L12" s="21">
        <f>_月汇总!$M$8</f>
        <v>0</v>
      </c>
      <c r="M12" s="21">
        <f>_月汇总!$N$8</f>
        <v>0</v>
      </c>
      <c r="N12" s="21">
        <f>_月汇总!$O$8</f>
        <v>18547</v>
      </c>
      <c r="O12" s="130">
        <f t="shared" si="0"/>
        <v>2.06261120996441</v>
      </c>
      <c r="P12" s="21">
        <f>_月汇总!$B$8</f>
        <v>0</v>
      </c>
    </row>
    <row r="13">
      <c r="A13" s="139" t="inlineStr">
        <is>
          <t>三、税金（估算）</t>
        </is>
      </c>
      <c r="B13" s="20">
        <f>_月汇总!$C$9</f>
        <v>0</v>
      </c>
      <c r="C13" s="20">
        <f>_月汇总!$D$9</f>
        <v>0</v>
      </c>
      <c r="D13" s="20">
        <f>_月汇总!$E$9</f>
        <v>0</v>
      </c>
      <c r="E13" s="20">
        <f>_月汇总!$F$9</f>
        <v>0</v>
      </c>
      <c r="F13" s="20">
        <f>_月汇总!$G$9</f>
        <v>0</v>
      </c>
      <c r="G13" s="20">
        <f>_月汇总!$H$9</f>
        <v>-70.4704</v>
      </c>
      <c r="H13" s="20">
        <f>_月汇总!$I$9</f>
        <v>834.2528</v>
      </c>
      <c r="I13" s="20">
        <f>_月汇总!$J$9</f>
        <v>0</v>
      </c>
      <c r="J13" s="20">
        <f>_月汇总!$K$9</f>
        <v>0</v>
      </c>
      <c r="K13" s="20">
        <f>_月汇总!$L$9</f>
        <v>0</v>
      </c>
      <c r="L13" s="20">
        <f>_月汇总!$M$9</f>
        <v>0</v>
      </c>
      <c r="M13" s="20">
        <f>_月汇总!$N$9</f>
        <v>0</v>
      </c>
      <c r="N13" s="20">
        <f>_月汇总!$O$9</f>
        <v>763.7824</v>
      </c>
      <c r="O13" s="130">
        <f t="shared" si="0"/>
        <v>0.0849402135231317</v>
      </c>
      <c r="P13" s="20">
        <f>_月汇总!$B$9</f>
        <v>0</v>
      </c>
    </row>
    <row r="14">
      <c r="A14" s="139" t="inlineStr">
        <is>
          <t>四、票据贴息</t>
        </is>
      </c>
      <c r="B14" s="20">
        <f>_月汇总!$C$10</f>
        <v>0</v>
      </c>
      <c r="C14" s="20">
        <f>_月汇总!$D$10</f>
        <v>0</v>
      </c>
      <c r="D14" s="20">
        <f>_月汇总!$E$10</f>
        <v>0</v>
      </c>
      <c r="E14" s="20">
        <f>_月汇总!$F$10</f>
        <v>0</v>
      </c>
      <c r="F14" s="20">
        <f>_月汇总!$G$10</f>
        <v>0</v>
      </c>
      <c r="G14" s="20">
        <f>_月汇总!$H$10</f>
        <v>1589.12</v>
      </c>
      <c r="H14" s="20">
        <f>_月汇总!$I$10</f>
        <v>0</v>
      </c>
      <c r="I14" s="20">
        <f>_月汇总!$J$10</f>
        <v>0</v>
      </c>
      <c r="J14" s="20">
        <f>_月汇总!$K$10</f>
        <v>0</v>
      </c>
      <c r="K14" s="20">
        <f>_月汇总!$L$10</f>
        <v>0</v>
      </c>
      <c r="L14" s="20">
        <f>_月汇总!$M$10</f>
        <v>0</v>
      </c>
      <c r="M14" s="20">
        <f>_月汇总!$N$10</f>
        <v>0</v>
      </c>
      <c r="N14" s="20">
        <f>_月汇总!$O$10</f>
        <v>1589.12</v>
      </c>
      <c r="O14" s="130">
        <f t="shared" si="0"/>
        <v>0.176725978647687</v>
      </c>
      <c r="P14" s="20">
        <f>_月汇总!$B$10</f>
        <v>0</v>
      </c>
    </row>
    <row r="15">
      <c r="A15" s="107" t="inlineStr">
        <is>
          <t>项目毛利（一 − 二 − 三 − 四）</t>
        </is>
      </c>
      <c r="B15" s="77">
        <f>B6-B7-B13-B14</f>
        <v>0</v>
      </c>
      <c r="C15" s="77">
        <f>C6-C7-C13-C14</f>
        <v>0</v>
      </c>
      <c r="D15" s="77">
        <f>D6-D7-D13-D14</f>
        <v>-134381</v>
      </c>
      <c r="E15" s="77">
        <f>E6-E7-E13-E14</f>
        <v>-136558.9</v>
      </c>
      <c r="F15" s="77">
        <f>F6-F7-F13-F14</f>
        <v>-5837</v>
      </c>
      <c r="G15" s="77">
        <f>G6-G7-G13-G14</f>
        <v>-69313.0696</v>
      </c>
      <c r="H15" s="77">
        <f>H6-H7-H13-H14</f>
        <v>-66726.2328</v>
      </c>
      <c r="I15" s="77">
        <f>I6-I7-I13-I14</f>
        <v>-1470</v>
      </c>
      <c r="J15" s="77">
        <f>J6-J7-J13-J14</f>
        <v>0</v>
      </c>
      <c r="K15" s="77">
        <f>K6-K7-K13-K14</f>
        <v>0</v>
      </c>
      <c r="L15" s="77">
        <f>L6-L7-L13-L14</f>
        <v>0</v>
      </c>
      <c r="M15" s="77">
        <f>M6-M7-M13-M14</f>
        <v>0</v>
      </c>
      <c r="N15" s="77">
        <f>N6-N7-N13-N14</f>
        <v>-414286.2024</v>
      </c>
      <c r="O15" s="144">
        <f t="shared" si="0"/>
        <v>-46.0727538256228</v>
      </c>
      <c r="P15" s="77">
        <f>P6-P7-P13-P14</f>
        <v>0</v>
      </c>
    </row>
    <row r="16">
      <c r="A16" s="100" t="inlineStr">
        <is>
          <t>五、间接费用（管理费用）</t>
        </is>
      </c>
      <c r="B16" s="101">
        <f>_月汇总!$C$11+_月汇总!$C$12+_月汇总!$C$13+_月汇总!$C$14+_月汇总!$C$15+_月汇总!$C$16+_月汇总!$C$17+_月汇总!$C$18</f>
        <v>0</v>
      </c>
      <c r="C16" s="101">
        <f>_月汇总!$D$11+_月汇总!$D$12+_月汇总!$D$13+_月汇总!$D$14+_月汇总!$D$15+_月汇总!$D$16+_月汇总!$D$17+_月汇总!$D$18</f>
        <v>0</v>
      </c>
      <c r="D16" s="101">
        <f>_月汇总!$E$11+_月汇总!$E$12+_月汇总!$E$13+_月汇总!$E$14+_月汇总!$E$15+_月汇总!$E$16+_月汇总!$E$17+_月汇总!$E$18</f>
        <v>0</v>
      </c>
      <c r="E16" s="101">
        <f>_月汇总!$F$11+_月汇总!$F$12+_月汇总!$F$13+_月汇总!$F$14+_月汇总!$F$15+_月汇总!$F$16+_月汇总!$F$17+_月汇总!$F$18</f>
        <v>37500</v>
      </c>
      <c r="F16" s="101">
        <f>_月汇总!$G$11+_月汇总!$G$12+_月汇总!$G$13+_月汇总!$G$14+_月汇总!$G$15+_月汇总!$G$16+_月汇总!$G$17+_月汇总!$G$18</f>
        <v>27261.56</v>
      </c>
      <c r="G16" s="101">
        <f>_月汇总!$H$11+_月汇总!$H$12+_月汇总!$H$13+_月汇总!$H$14+_月汇总!$H$15+_月汇总!$H$16+_月汇总!$H$17+_月汇总!$H$18</f>
        <v>16433.76</v>
      </c>
      <c r="H16" s="101">
        <f>_月汇总!$I$11+_月汇总!$I$12+_月汇总!$I$13+_月汇总!$I$14+_月汇总!$I$15+_月汇总!$I$16+_月汇总!$I$17+_月汇总!$I$18</f>
        <v>2988.96</v>
      </c>
      <c r="I16" s="101">
        <f>_月汇总!$J$11+_月汇总!$J$12+_月汇总!$J$13+_月汇总!$J$14+_月汇总!$J$15+_月汇总!$J$16+_月汇总!$J$17+_月汇总!$J$18</f>
        <v>2038.96</v>
      </c>
      <c r="J16" s="101">
        <f>_月汇总!$K$11+_月汇总!$K$12+_月汇总!$K$13+_月汇总!$K$14+_月汇总!$K$15+_月汇总!$K$16+_月汇总!$K$17+_月汇总!$K$18</f>
        <v>0</v>
      </c>
      <c r="K16" s="101">
        <f>_月汇总!$L$11+_月汇总!$L$12+_月汇总!$L$13+_月汇总!$L$14+_月汇总!$L$15+_月汇总!$L$16+_月汇总!$L$17+_月汇总!$L$18</f>
        <v>0</v>
      </c>
      <c r="L16" s="101">
        <f>_月汇总!$M$11+_月汇总!$M$12+_月汇总!$M$13+_月汇总!$M$14+_月汇总!$M$15+_月汇总!$M$16+_月汇总!$M$17+_月汇总!$M$18</f>
        <v>0</v>
      </c>
      <c r="M16" s="101">
        <f>_月汇总!$N$11+_月汇总!$N$12+_月汇总!$N$13+_月汇总!$N$14+_月汇总!$N$15+_月汇总!$N$16+_月汇总!$N$17+_月汇总!$N$18</f>
        <v>0</v>
      </c>
      <c r="N16" s="101">
        <f>_月汇总!$O$11+_月汇总!$O$12+_月汇总!$O$13+_月汇总!$O$14+_月汇总!$O$15+_月汇总!$O$16+_月汇总!$O$17+_月汇总!$O$18</f>
        <v>86223.24</v>
      </c>
      <c r="O16" s="131">
        <f t="shared" si="0"/>
        <v>9.5888834519573</v>
      </c>
      <c r="P16" s="101">
        <f>_月汇总!$B$11+_月汇总!$B$12+_月汇总!$B$13+_月汇总!$B$14+_月汇总!$B$15+_月汇总!$B$16+_月汇总!$B$17+_月汇总!$B$18</f>
        <v>0</v>
      </c>
    </row>
    <row r="17">
      <c r="A17" s="19" t="inlineStr">
        <is>
          <t xml:space="preserve">　　管理人员工资</t>
        </is>
      </c>
      <c r="B17" s="21">
        <f>_月汇总!$C$11</f>
        <v>0</v>
      </c>
      <c r="C17" s="21">
        <f>_月汇总!$D$11</f>
        <v>0</v>
      </c>
      <c r="D17" s="21">
        <f>_月汇总!$E$11</f>
        <v>0</v>
      </c>
      <c r="E17" s="21">
        <f>_月汇总!$F$11</f>
        <v>37500</v>
      </c>
      <c r="F17" s="21">
        <f>_月汇总!$G$11</f>
        <v>0</v>
      </c>
      <c r="G17" s="21">
        <f>_月汇总!$H$11</f>
        <v>0</v>
      </c>
      <c r="H17" s="21">
        <f>_月汇总!$I$11</f>
        <v>0</v>
      </c>
      <c r="I17" s="21">
        <f>_月汇总!$J$11</f>
        <v>0</v>
      </c>
      <c r="J17" s="21">
        <f>_月汇总!$K$11</f>
        <v>0</v>
      </c>
      <c r="K17" s="21">
        <f>_月汇总!$L$11</f>
        <v>0</v>
      </c>
      <c r="L17" s="21">
        <f>_月汇总!$M$11</f>
        <v>0</v>
      </c>
      <c r="M17" s="21">
        <f>_月汇总!$N$11</f>
        <v>0</v>
      </c>
      <c r="N17" s="21">
        <f>_月汇总!$O$11</f>
        <v>37500</v>
      </c>
      <c r="O17" s="130">
        <f t="shared" si="0"/>
        <v>4.17037366548043</v>
      </c>
      <c r="P17" s="21">
        <f>_月汇总!$B$11</f>
        <v>0</v>
      </c>
    </row>
    <row r="18">
      <c r="A18" s="19" t="inlineStr">
        <is>
          <t xml:space="preserve">　　社保费</t>
        </is>
      </c>
      <c r="B18" s="21">
        <f>_月汇总!$C$12</f>
        <v>0</v>
      </c>
      <c r="C18" s="21">
        <f>_月汇总!$D$12</f>
        <v>0</v>
      </c>
      <c r="D18" s="21">
        <f>_月汇总!$E$12</f>
        <v>0</v>
      </c>
      <c r="E18" s="21">
        <f>_月汇总!$F$12</f>
        <v>0</v>
      </c>
      <c r="F18" s="21">
        <f>_月汇总!$G$12</f>
        <v>2038.96</v>
      </c>
      <c r="G18" s="21">
        <f>_月汇总!$H$12</f>
        <v>2038.96</v>
      </c>
      <c r="H18" s="21">
        <f>_月汇总!$I$12</f>
        <v>2038.96</v>
      </c>
      <c r="I18" s="21">
        <f>_月汇总!$J$12</f>
        <v>2038.96</v>
      </c>
      <c r="J18" s="21">
        <f>_月汇总!$K$12</f>
        <v>0</v>
      </c>
      <c r="K18" s="21">
        <f>_月汇总!$L$12</f>
        <v>0</v>
      </c>
      <c r="L18" s="21">
        <f>_月汇总!$M$12</f>
        <v>0</v>
      </c>
      <c r="M18" s="21">
        <f>_月汇总!$N$12</f>
        <v>0</v>
      </c>
      <c r="N18" s="21">
        <f>_月汇总!$O$12</f>
        <v>8155.84</v>
      </c>
      <c r="O18" s="130">
        <f t="shared" si="0"/>
        <v>0.907010676156584</v>
      </c>
      <c r="P18" s="21">
        <f>_月汇总!$B$12</f>
        <v>0</v>
      </c>
    </row>
    <row r="19">
      <c r="A19" s="19" t="inlineStr">
        <is>
          <t xml:space="preserve">　　办公费</t>
        </is>
      </c>
      <c r="B19" s="21">
        <f>_月汇总!$C$13</f>
        <v>0</v>
      </c>
      <c r="C19" s="21">
        <f>_月汇总!$D$13</f>
        <v>0</v>
      </c>
      <c r="D19" s="21">
        <f>_月汇总!$E$13</f>
        <v>0</v>
      </c>
      <c r="E19" s="21">
        <f>_月汇总!$F$13</f>
        <v>0</v>
      </c>
      <c r="F19" s="21">
        <f>_月汇总!$G$13</f>
        <v>1319</v>
      </c>
      <c r="G19" s="21">
        <f>_月汇总!$H$13</f>
        <v>11700</v>
      </c>
      <c r="H19" s="21">
        <f>_月汇总!$I$13</f>
        <v>0</v>
      </c>
      <c r="I19" s="21">
        <f>_月汇总!$J$13</f>
        <v>0</v>
      </c>
      <c r="J19" s="21">
        <f>_月汇总!$K$13</f>
        <v>0</v>
      </c>
      <c r="K19" s="21">
        <f>_月汇总!$L$13</f>
        <v>0</v>
      </c>
      <c r="L19" s="21">
        <f>_月汇总!$M$13</f>
        <v>0</v>
      </c>
      <c r="M19" s="21">
        <f>_月汇总!$N$13</f>
        <v>0</v>
      </c>
      <c r="N19" s="21">
        <f>_月汇总!$O$13</f>
        <v>13019</v>
      </c>
      <c r="O19" s="130">
        <f t="shared" si="0"/>
        <v>1.44784252669039</v>
      </c>
      <c r="P19" s="21">
        <f>_月汇总!$B$13</f>
        <v>0</v>
      </c>
    </row>
    <row r="20">
      <c r="A20" s="19" t="inlineStr">
        <is>
          <t xml:space="preserve">　　食堂伙食</t>
        </is>
      </c>
      <c r="B20" s="21">
        <f>_月汇总!$C$14</f>
        <v>0</v>
      </c>
      <c r="C20" s="21">
        <f>_月汇总!$D$14</f>
        <v>0</v>
      </c>
      <c r="D20" s="21">
        <f>_月汇总!$E$14</f>
        <v>0</v>
      </c>
      <c r="E20" s="21">
        <f>_月汇总!$F$14</f>
        <v>0</v>
      </c>
      <c r="F20" s="21">
        <f>_月汇总!$G$14</f>
        <v>627.6</v>
      </c>
      <c r="G20" s="21">
        <f>_月汇总!$H$14</f>
        <v>0</v>
      </c>
      <c r="H20" s="21">
        <f>_月汇总!$I$14</f>
        <v>0</v>
      </c>
      <c r="I20" s="21">
        <f>_月汇总!$J$14</f>
        <v>0</v>
      </c>
      <c r="J20" s="21">
        <f>_月汇总!$K$14</f>
        <v>0</v>
      </c>
      <c r="K20" s="21">
        <f>_月汇总!$L$14</f>
        <v>0</v>
      </c>
      <c r="L20" s="21">
        <f>_月汇总!$M$14</f>
        <v>0</v>
      </c>
      <c r="M20" s="21">
        <f>_月汇总!$N$14</f>
        <v>0</v>
      </c>
      <c r="N20" s="21">
        <f>_月汇总!$O$14</f>
        <v>627.6</v>
      </c>
      <c r="O20" s="130">
        <f t="shared" si="0"/>
        <v>0.0697953736654804</v>
      </c>
      <c r="P20" s="21">
        <f>_月汇总!$B$14</f>
        <v>0</v>
      </c>
    </row>
    <row r="21">
      <c r="A21" s="19" t="inlineStr">
        <is>
          <t xml:space="preserve">　　业务招待费</t>
        </is>
      </c>
      <c r="B21" s="21">
        <f>_月汇总!$C$15</f>
        <v>0</v>
      </c>
      <c r="C21" s="21">
        <f>_月汇总!$D$15</f>
        <v>0</v>
      </c>
      <c r="D21" s="21">
        <f>_月汇总!$E$15</f>
        <v>0</v>
      </c>
      <c r="E21" s="21">
        <f>_月汇总!$F$15</f>
        <v>0</v>
      </c>
      <c r="F21" s="21">
        <f>_月汇总!$G$15</f>
        <v>22876</v>
      </c>
      <c r="G21" s="21">
        <f>_月汇总!$H$15</f>
        <v>1098</v>
      </c>
      <c r="H21" s="21">
        <f>_月汇总!$I$15</f>
        <v>950</v>
      </c>
      <c r="I21" s="21">
        <f>_月汇总!$J$15</f>
        <v>0</v>
      </c>
      <c r="J21" s="21">
        <f>_月汇总!$K$15</f>
        <v>0</v>
      </c>
      <c r="K21" s="21">
        <f>_月汇总!$L$15</f>
        <v>0</v>
      </c>
      <c r="L21" s="21">
        <f>_月汇总!$M$15</f>
        <v>0</v>
      </c>
      <c r="M21" s="21">
        <f>_月汇总!$N$15</f>
        <v>0</v>
      </c>
      <c r="N21" s="21">
        <f>_月汇总!$O$15</f>
        <v>24924</v>
      </c>
      <c r="O21" s="130">
        <f t="shared" si="0"/>
        <v>2.77179715302491</v>
      </c>
      <c r="P21" s="21">
        <f>_月汇总!$B$15</f>
        <v>0</v>
      </c>
    </row>
    <row r="22">
      <c r="A22" s="19" t="inlineStr">
        <is>
          <t xml:space="preserve">　　车辆差旅</t>
        </is>
      </c>
      <c r="B22" s="21">
        <f>_月汇总!$C$16</f>
        <v>0</v>
      </c>
      <c r="C22" s="21">
        <f>_月汇总!$D$16</f>
        <v>0</v>
      </c>
      <c r="D22" s="21">
        <f>_月汇总!$E$16</f>
        <v>0</v>
      </c>
      <c r="E22" s="21">
        <f>_月汇总!$F$16</f>
        <v>0</v>
      </c>
      <c r="F22" s="21">
        <f>_月汇总!$G$16</f>
        <v>400</v>
      </c>
      <c r="G22" s="21">
        <f>_月汇总!$H$16</f>
        <v>1596.8</v>
      </c>
      <c r="H22" s="21">
        <f>_月汇总!$I$16</f>
        <v>0</v>
      </c>
      <c r="I22" s="21">
        <f>_月汇总!$J$16</f>
        <v>0</v>
      </c>
      <c r="J22" s="21">
        <f>_月汇总!$K$16</f>
        <v>0</v>
      </c>
      <c r="K22" s="21">
        <f>_月汇总!$L$16</f>
        <v>0</v>
      </c>
      <c r="L22" s="21">
        <f>_月汇总!$M$16</f>
        <v>0</v>
      </c>
      <c r="M22" s="21">
        <f>_月汇总!$N$16</f>
        <v>0</v>
      </c>
      <c r="N22" s="21">
        <f>_月汇总!$O$16</f>
        <v>1996.8</v>
      </c>
      <c r="O22" s="130">
        <f t="shared" si="0"/>
        <v>0.222064056939502</v>
      </c>
      <c r="P22" s="21">
        <f>_月汇总!$B$16</f>
        <v>0</v>
      </c>
    </row>
    <row r="23">
      <c r="A23" s="19" t="inlineStr">
        <is>
          <t xml:space="preserve">　　折旧费</t>
        </is>
      </c>
      <c r="B23" s="21">
        <f>_月汇总!$C$17</f>
        <v>0</v>
      </c>
      <c r="C23" s="21">
        <f>_月汇总!$D$17</f>
        <v>0</v>
      </c>
      <c r="D23" s="21">
        <f>_月汇总!$E$17</f>
        <v>0</v>
      </c>
      <c r="E23" s="21">
        <f>_月汇总!$F$17</f>
        <v>0</v>
      </c>
      <c r="F23" s="21">
        <f>_月汇总!$G$17</f>
        <v>0</v>
      </c>
      <c r="G23" s="21">
        <f>_月汇总!$H$17</f>
        <v>0</v>
      </c>
      <c r="H23" s="21">
        <f>_月汇总!$I$17</f>
        <v>0</v>
      </c>
      <c r="I23" s="21">
        <f>_月汇总!$J$17</f>
        <v>0</v>
      </c>
      <c r="J23" s="21">
        <f>_月汇总!$K$17</f>
        <v>0</v>
      </c>
      <c r="K23" s="21">
        <f>_月汇总!$L$17</f>
        <v>0</v>
      </c>
      <c r="L23" s="21">
        <f>_月汇总!$M$17</f>
        <v>0</v>
      </c>
      <c r="M23" s="21">
        <f>_月汇总!$N$17</f>
        <v>0</v>
      </c>
      <c r="N23" s="21">
        <f>_月汇总!$O$17</f>
        <v>0</v>
      </c>
      <c r="O23" s="130">
        <f t="shared" si="0"/>
        <v>0</v>
      </c>
      <c r="P23" s="21">
        <f>_月汇总!$B$17</f>
        <v>0</v>
      </c>
    </row>
    <row r="24">
      <c r="A24" s="19" t="inlineStr">
        <is>
          <t xml:space="preserve">　　其他管理费</t>
        </is>
      </c>
      <c r="B24" s="21">
        <f>_月汇总!$C$18</f>
        <v>0</v>
      </c>
      <c r="C24" s="21">
        <f>_月汇总!$D$18</f>
        <v>0</v>
      </c>
      <c r="D24" s="21">
        <f>_月汇总!$E$18</f>
        <v>0</v>
      </c>
      <c r="E24" s="21">
        <f>_月汇总!$F$18</f>
        <v>0</v>
      </c>
      <c r="F24" s="21">
        <f>_月汇总!$G$18</f>
        <v>0</v>
      </c>
      <c r="G24" s="21">
        <f>_月汇总!$H$18</f>
        <v>0</v>
      </c>
      <c r="H24" s="21">
        <f>_月汇总!$I$18</f>
        <v>0</v>
      </c>
      <c r="I24" s="21">
        <f>_月汇总!$J$18</f>
        <v>0</v>
      </c>
      <c r="J24" s="21">
        <f>_月汇总!$K$18</f>
        <v>0</v>
      </c>
      <c r="K24" s="21">
        <f>_月汇总!$L$18</f>
        <v>0</v>
      </c>
      <c r="L24" s="21">
        <f>_月汇总!$M$18</f>
        <v>0</v>
      </c>
      <c r="M24" s="21">
        <f>_月汇总!$N$18</f>
        <v>0</v>
      </c>
      <c r="N24" s="21">
        <f>_月汇总!$O$18</f>
        <v>0</v>
      </c>
      <c r="O24" s="130">
        <f t="shared" si="0"/>
        <v>0</v>
      </c>
      <c r="P24" s="21">
        <f>_月汇总!$B$18</f>
        <v>0</v>
      </c>
    </row>
    <row r="25">
      <c r="A25" s="100" t="inlineStr">
        <is>
          <t>六、财务费用</t>
        </is>
      </c>
      <c r="B25" s="101">
        <f>_月汇总!$C$19+_月汇总!$C$20+_月汇总!$C$21</f>
        <v>0</v>
      </c>
      <c r="C25" s="101">
        <f>_月汇总!$D$19+_月汇总!$D$20+_月汇总!$D$21</f>
        <v>0</v>
      </c>
      <c r="D25" s="101">
        <f>_月汇总!$E$19+_月汇总!$E$20+_月汇总!$E$21</f>
        <v>48.27</v>
      </c>
      <c r="E25" s="101">
        <f>_月汇总!$F$19+_月汇总!$F$20+_月汇总!$F$21</f>
        <v>1674.08</v>
      </c>
      <c r="F25" s="101">
        <f>_月汇总!$G$19+_月汇总!$G$20+_月汇总!$G$21</f>
        <v>1052.92</v>
      </c>
      <c r="G25" s="101">
        <f>_月汇总!$H$19+_月汇总!$H$20+_月汇总!$H$21</f>
        <v>1085.01</v>
      </c>
      <c r="H25" s="101">
        <f>_月汇总!$I$19+_月汇总!$I$20+_月汇总!$I$21</f>
        <v>1052.92</v>
      </c>
      <c r="I25" s="101">
        <f>_月汇总!$J$19+_月汇总!$J$20+_月汇总!$J$21</f>
        <v>1088.01</v>
      </c>
      <c r="J25" s="101">
        <f>_月汇总!$K$19+_月汇总!$K$20+_月汇总!$K$21</f>
        <v>0</v>
      </c>
      <c r="K25" s="101">
        <f>_月汇总!$L$19+_月汇总!$L$20+_月汇总!$L$21</f>
        <v>0</v>
      </c>
      <c r="L25" s="101">
        <f>_月汇总!$M$19+_月汇总!$M$20+_月汇总!$M$21</f>
        <v>0</v>
      </c>
      <c r="M25" s="101">
        <f>_月汇总!$N$19+_月汇总!$N$20+_月汇总!$N$21</f>
        <v>0</v>
      </c>
      <c r="N25" s="101">
        <f>_月汇总!$O$19+_月汇总!$O$20+_月汇总!$O$21</f>
        <v>6001.21</v>
      </c>
      <c r="O25" s="131">
        <f t="shared" si="0"/>
        <v>0.667394350533808</v>
      </c>
      <c r="P25" s="101">
        <f>_月汇总!$B$19+_月汇总!$B$20+_月汇总!$B$21</f>
        <v>0</v>
      </c>
    </row>
    <row r="26">
      <c r="A26" s="19" t="inlineStr">
        <is>
          <t xml:space="preserve">　　利息支出</t>
        </is>
      </c>
      <c r="B26" s="21">
        <f>_月汇总!$C$19</f>
        <v>0</v>
      </c>
      <c r="C26" s="21">
        <f>_月汇总!$D$19</f>
        <v>0</v>
      </c>
      <c r="D26" s="21">
        <f>_月汇总!$E$19</f>
        <v>0</v>
      </c>
      <c r="E26" s="21">
        <f>_月汇总!$F$19</f>
        <v>1474.08</v>
      </c>
      <c r="F26" s="21">
        <f>_月汇总!$G$19</f>
        <v>1052.92</v>
      </c>
      <c r="G26" s="21">
        <f>_月汇总!$H$19</f>
        <v>1088.01</v>
      </c>
      <c r="H26" s="21">
        <f>_月汇总!$I$19</f>
        <v>1052.92</v>
      </c>
      <c r="I26" s="21">
        <f>_月汇总!$J$19</f>
        <v>1088.01</v>
      </c>
      <c r="J26" s="21">
        <f>_月汇总!$K$19</f>
        <v>0</v>
      </c>
      <c r="K26" s="21">
        <f>_月汇总!$L$19</f>
        <v>0</v>
      </c>
      <c r="L26" s="21">
        <f>_月汇总!$M$19</f>
        <v>0</v>
      </c>
      <c r="M26" s="21">
        <f>_月汇总!$N$19</f>
        <v>0</v>
      </c>
      <c r="N26" s="21">
        <f>_月汇总!$O$19</f>
        <v>5755.94</v>
      </c>
      <c r="O26" s="130">
        <f t="shared" si="0"/>
        <v>0.640117882562278</v>
      </c>
      <c r="P26" s="21">
        <f>_月汇总!$B$19</f>
        <v>0</v>
      </c>
    </row>
    <row r="27">
      <c r="A27" s="19" t="inlineStr">
        <is>
          <t xml:space="preserve">　　手续费</t>
        </is>
      </c>
      <c r="B27" s="21">
        <f>_月汇总!$C$20</f>
        <v>0</v>
      </c>
      <c r="C27" s="21">
        <f>_月汇总!$D$20</f>
        <v>0</v>
      </c>
      <c r="D27" s="21">
        <f>_月汇总!$E$20</f>
        <v>50.59</v>
      </c>
      <c r="E27" s="21">
        <f>_月汇总!$F$20</f>
        <v>200</v>
      </c>
      <c r="F27" s="21">
        <f>_月汇总!$G$20</f>
        <v>0</v>
      </c>
      <c r="G27" s="21">
        <f>_月汇总!$H$20</f>
        <v>0</v>
      </c>
      <c r="H27" s="21">
        <f>_月汇总!$I$20</f>
        <v>0</v>
      </c>
      <c r="I27" s="21">
        <f>_月汇总!$J$20</f>
        <v>0</v>
      </c>
      <c r="J27" s="21">
        <f>_月汇总!$K$20</f>
        <v>0</v>
      </c>
      <c r="K27" s="21">
        <f>_月汇总!$L$20</f>
        <v>0</v>
      </c>
      <c r="L27" s="21">
        <f>_月汇总!$M$20</f>
        <v>0</v>
      </c>
      <c r="M27" s="21">
        <f>_月汇总!$N$20</f>
        <v>0</v>
      </c>
      <c r="N27" s="21">
        <f>_月汇总!$O$20</f>
        <v>250.59</v>
      </c>
      <c r="O27" s="130">
        <f t="shared" si="0"/>
        <v>0.0278681049822064</v>
      </c>
      <c r="P27" s="21">
        <f>_月汇总!$B$20</f>
        <v>0</v>
      </c>
    </row>
    <row r="28">
      <c r="A28" s="19" t="inlineStr">
        <is>
          <t xml:space="preserve">　　利息收入（减）</t>
        </is>
      </c>
      <c r="B28" s="21">
        <f>_月汇总!$C$21</f>
        <v>0</v>
      </c>
      <c r="C28" s="21">
        <f>_月汇总!$D$21</f>
        <v>0</v>
      </c>
      <c r="D28" s="21">
        <f>_月汇总!$E$21</f>
        <v>-2.32</v>
      </c>
      <c r="E28" s="21">
        <f>_月汇总!$F$21</f>
        <v>0</v>
      </c>
      <c r="F28" s="21">
        <f>_月汇总!$G$21</f>
        <v>0</v>
      </c>
      <c r="G28" s="21">
        <f>_月汇总!$H$21</f>
        <v>-3</v>
      </c>
      <c r="H28" s="21">
        <f>_月汇总!$I$21</f>
        <v>0</v>
      </c>
      <c r="I28" s="21">
        <f>_月汇总!$J$21</f>
        <v>0</v>
      </c>
      <c r="J28" s="21">
        <f>_月汇总!$K$21</f>
        <v>0</v>
      </c>
      <c r="K28" s="21">
        <f>_月汇总!$L$21</f>
        <v>0</v>
      </c>
      <c r="L28" s="21">
        <f>_月汇总!$M$21</f>
        <v>0</v>
      </c>
      <c r="M28" s="21">
        <f>_月汇总!$N$21</f>
        <v>0</v>
      </c>
      <c r="N28" s="21">
        <f>_月汇总!$O$21</f>
        <v>-5.32</v>
      </c>
      <c r="O28" s="130">
        <f t="shared" si="0"/>
        <v>-0.000591637010676157</v>
      </c>
      <c r="P28" s="21">
        <f>_月汇总!$B$21</f>
        <v>0</v>
      </c>
    </row>
    <row r="29">
      <c r="A29" s="100" t="inlineStr">
        <is>
          <t>七、其他收支（净收入）</t>
        </is>
      </c>
      <c r="B29" s="101">
        <f>B30-B31-B32</f>
        <v>0</v>
      </c>
      <c r="C29" s="101">
        <f>C30-C31-C32</f>
        <v>0</v>
      </c>
      <c r="D29" s="101">
        <f>D30-D31-D32</f>
        <v>0</v>
      </c>
      <c r="E29" s="101">
        <f>E30-E31-E32</f>
        <v>0</v>
      </c>
      <c r="F29" s="101">
        <f>F30-F31-F32</f>
        <v>0</v>
      </c>
      <c r="G29" s="101">
        <f>G30-G31-G32</f>
        <v>0</v>
      </c>
      <c r="H29" s="101">
        <f>H30-H31-H32</f>
        <v>0</v>
      </c>
      <c r="I29" s="101">
        <f>I30-I31-I32</f>
        <v>0</v>
      </c>
      <c r="J29" s="101">
        <f>J30-J31-J32</f>
        <v>0</v>
      </c>
      <c r="K29" s="101">
        <f>K30-K31-K32</f>
        <v>0</v>
      </c>
      <c r="L29" s="101">
        <f>L30-L31-L32</f>
        <v>0</v>
      </c>
      <c r="M29" s="101">
        <f>M30-M31-M32</f>
        <v>0</v>
      </c>
      <c r="N29" s="101">
        <f>N30-N31-N32</f>
        <v>0</v>
      </c>
      <c r="O29" s="131">
        <f t="shared" si="0"/>
        <v>0</v>
      </c>
      <c r="P29" s="101">
        <f>P30-P31-P32</f>
        <v>0</v>
      </c>
    </row>
    <row r="30">
      <c r="A30" s="19" t="inlineStr">
        <is>
          <t xml:space="preserve">　　其他收入</t>
        </is>
      </c>
      <c r="B30" s="21">
        <f>_月汇总!$C$22</f>
        <v>0</v>
      </c>
      <c r="C30" s="21">
        <f>_月汇总!$D$22</f>
        <v>0</v>
      </c>
      <c r="D30" s="21">
        <f>_月汇总!$E$22</f>
        <v>0</v>
      </c>
      <c r="E30" s="21">
        <f>_月汇总!$F$22</f>
        <v>0</v>
      </c>
      <c r="F30" s="21">
        <f>_月汇总!$G$22</f>
        <v>0</v>
      </c>
      <c r="G30" s="21">
        <f>_月汇总!$H$22</f>
        <v>0</v>
      </c>
      <c r="H30" s="21">
        <f>_月汇总!$I$22</f>
        <v>0</v>
      </c>
      <c r="I30" s="21">
        <f>_月汇总!$J$22</f>
        <v>0</v>
      </c>
      <c r="J30" s="21">
        <f>_月汇总!$K$22</f>
        <v>0</v>
      </c>
      <c r="K30" s="21">
        <f>_月汇总!$L$22</f>
        <v>0</v>
      </c>
      <c r="L30" s="21">
        <f>_月汇总!$M$22</f>
        <v>0</v>
      </c>
      <c r="M30" s="21">
        <f>_月汇总!$N$22</f>
        <v>0</v>
      </c>
      <c r="N30" s="21">
        <f>_月汇总!$O$22</f>
        <v>0</v>
      </c>
      <c r="O30" s="130">
        <f t="shared" si="0"/>
        <v>0</v>
      </c>
      <c r="P30" s="21">
        <f>_月汇总!$B$22</f>
        <v>0</v>
      </c>
    </row>
    <row r="31">
      <c r="A31" s="19" t="inlineStr">
        <is>
          <t xml:space="preserve">　　其他支出</t>
        </is>
      </c>
      <c r="B31" s="21">
        <f>_月汇总!$C$23</f>
        <v>0</v>
      </c>
      <c r="C31" s="21">
        <f>_月汇总!$D$23</f>
        <v>0</v>
      </c>
      <c r="D31" s="21">
        <f>_月汇总!$E$23</f>
        <v>0</v>
      </c>
      <c r="E31" s="21">
        <f>_月汇总!$F$23</f>
        <v>0</v>
      </c>
      <c r="F31" s="21">
        <f>_月汇总!$G$23</f>
        <v>0</v>
      </c>
      <c r="G31" s="21">
        <f>_月汇总!$H$23</f>
        <v>0</v>
      </c>
      <c r="H31" s="21">
        <f>_月汇总!$I$23</f>
        <v>0</v>
      </c>
      <c r="I31" s="21">
        <f>_月汇总!$J$23</f>
        <v>0</v>
      </c>
      <c r="J31" s="21">
        <f>_月汇总!$K$23</f>
        <v>0</v>
      </c>
      <c r="K31" s="21">
        <f>_月汇总!$L$23</f>
        <v>0</v>
      </c>
      <c r="L31" s="21">
        <f>_月汇总!$M$23</f>
        <v>0</v>
      </c>
      <c r="M31" s="21">
        <f>_月汇总!$N$23</f>
        <v>0</v>
      </c>
      <c r="N31" s="21">
        <f>_月汇总!$O$23</f>
        <v>0</v>
      </c>
      <c r="O31" s="130">
        <f t="shared" si="0"/>
        <v>0</v>
      </c>
      <c r="P31" s="21">
        <f>_月汇总!$B$23</f>
        <v>0</v>
      </c>
    </row>
    <row r="32">
      <c r="A32" s="19" t="inlineStr">
        <is>
          <t xml:space="preserve">　　其他税费</t>
        </is>
      </c>
      <c r="B32" s="21">
        <f>_月汇总!$C$24</f>
        <v>0</v>
      </c>
      <c r="C32" s="21">
        <f>_月汇总!$D$24</f>
        <v>0</v>
      </c>
      <c r="D32" s="21">
        <f>_月汇总!$E$24</f>
        <v>0</v>
      </c>
      <c r="E32" s="21">
        <f>_月汇总!$F$24</f>
        <v>0</v>
      </c>
      <c r="F32" s="21">
        <f>_月汇总!$G$24</f>
        <v>0</v>
      </c>
      <c r="G32" s="21">
        <f>_月汇总!$H$24</f>
        <v>0</v>
      </c>
      <c r="H32" s="21">
        <f>_月汇总!$I$24</f>
        <v>0</v>
      </c>
      <c r="I32" s="21">
        <f>_月汇总!$J$24</f>
        <v>0</v>
      </c>
      <c r="J32" s="21">
        <f>_月汇总!$K$24</f>
        <v>0</v>
      </c>
      <c r="K32" s="21">
        <f>_月汇总!$L$24</f>
        <v>0</v>
      </c>
      <c r="L32" s="21">
        <f>_月汇总!$M$24</f>
        <v>0</v>
      </c>
      <c r="M32" s="21">
        <f>_月汇总!$N$24</f>
        <v>0</v>
      </c>
      <c r="N32" s="21">
        <f>_月汇总!$O$24</f>
        <v>0</v>
      </c>
      <c r="O32" s="130">
        <f t="shared" si="0"/>
        <v>0</v>
      </c>
      <c r="P32" s="21">
        <f>_月汇总!$B$24</f>
        <v>0</v>
      </c>
    </row>
    <row r="33">
      <c r="A33" s="107" t="inlineStr">
        <is>
          <t>利润总额</t>
        </is>
      </c>
      <c r="B33" s="77">
        <f>B15-B16-B25+B29</f>
        <v>0</v>
      </c>
      <c r="C33" s="77">
        <f>C15-C16-C25+C29</f>
        <v>0</v>
      </c>
      <c r="D33" s="77">
        <f>D15-D16-D25+D29</f>
        <v>-134429.27</v>
      </c>
      <c r="E33" s="77">
        <f>E15-E16-E25+E29</f>
        <v>-175732.98</v>
      </c>
      <c r="F33" s="77">
        <f>F15-F16-F25+F29</f>
        <v>-34151.48</v>
      </c>
      <c r="G33" s="77">
        <f>G15-G16-G25+G29</f>
        <v>-86831.8396</v>
      </c>
      <c r="H33" s="77">
        <f>H15-H16-H25+H29</f>
        <v>-70768.1128</v>
      </c>
      <c r="I33" s="77">
        <f>I15-I16-I25+I29</f>
        <v>-4596.97</v>
      </c>
      <c r="J33" s="77">
        <f>J15-J16-J25+J29</f>
        <v>0</v>
      </c>
      <c r="K33" s="77">
        <f>K15-K16-K25+K29</f>
        <v>0</v>
      </c>
      <c r="L33" s="77">
        <f>L15-L16-L25+L29</f>
        <v>0</v>
      </c>
      <c r="M33" s="77">
        <f>M15-M16-M25+M29</f>
        <v>0</v>
      </c>
      <c r="N33" s="77">
        <f>N15-N16-N25+N29</f>
        <v>-506510.6524</v>
      </c>
      <c r="O33" s="144">
        <f t="shared" si="0"/>
        <v>-56.3290316281139</v>
      </c>
      <c r="P33" s="77">
        <f>P15-P16-P25+P29</f>
        <v>0</v>
      </c>
    </row>
    <row r="34">
      <c r="A34" s="139" t="inlineStr">
        <is>
          <t>减：所得税</t>
        </is>
      </c>
      <c r="B34" s="20">
        <f>_月汇总!$C$25</f>
        <v>0</v>
      </c>
      <c r="C34" s="20">
        <f>_月汇总!$D$25</f>
        <v>0</v>
      </c>
      <c r="D34" s="20">
        <f>_月汇总!$E$25</f>
        <v>0</v>
      </c>
      <c r="E34" s="20">
        <f>_月汇总!$F$25</f>
        <v>0</v>
      </c>
      <c r="F34" s="20">
        <f>_月汇总!$G$25</f>
        <v>0</v>
      </c>
      <c r="G34" s="20">
        <f>_月汇总!$H$25</f>
        <v>0</v>
      </c>
      <c r="H34" s="20">
        <f>_月汇总!$I$25</f>
        <v>0</v>
      </c>
      <c r="I34" s="20">
        <f>_月汇总!$J$25</f>
        <v>93.94</v>
      </c>
      <c r="J34" s="20">
        <f>_月汇总!$K$25</f>
        <v>0</v>
      </c>
      <c r="K34" s="20">
        <f>_月汇总!$L$25</f>
        <v>0</v>
      </c>
      <c r="L34" s="20">
        <f>_月汇总!$M$25</f>
        <v>0</v>
      </c>
      <c r="M34" s="20">
        <f>_月汇总!$N$25</f>
        <v>0</v>
      </c>
      <c r="N34" s="20">
        <f>_月汇总!$O$25</f>
        <v>93.94</v>
      </c>
      <c r="O34" s="130">
        <f t="shared" si="0"/>
        <v>0.0104470640569395</v>
      </c>
      <c r="P34" s="20">
        <f>_月汇总!$B$25</f>
        <v>0</v>
      </c>
    </row>
    <row r="35">
      <c r="A35" s="107" t="inlineStr">
        <is>
          <t>净利润</t>
        </is>
      </c>
      <c r="B35" s="77">
        <f>B33-B34</f>
        <v>0</v>
      </c>
      <c r="C35" s="77">
        <f>C33-C34</f>
        <v>0</v>
      </c>
      <c r="D35" s="77">
        <f>D33-D34</f>
        <v>-134429.27</v>
      </c>
      <c r="E35" s="77">
        <f>E33-E34</f>
        <v>-175732.98</v>
      </c>
      <c r="F35" s="77">
        <f>F33-F34</f>
        <v>-34151.48</v>
      </c>
      <c r="G35" s="77">
        <f>G33-G34</f>
        <v>-86831.8396</v>
      </c>
      <c r="H35" s="77">
        <f>H33-H34</f>
        <v>-70768.1128</v>
      </c>
      <c r="I35" s="77">
        <f>I33-I34</f>
        <v>-4690.91</v>
      </c>
      <c r="J35" s="77">
        <f>J33-J34</f>
        <v>0</v>
      </c>
      <c r="K35" s="77">
        <f>K33-K34</f>
        <v>0</v>
      </c>
      <c r="L35" s="77">
        <f>L33-L34</f>
        <v>0</v>
      </c>
      <c r="M35" s="77">
        <f>M33-M34</f>
        <v>0</v>
      </c>
      <c r="N35" s="77">
        <f>N33-N34</f>
        <v>-506604.5924</v>
      </c>
      <c r="O35" s="144">
        <f t="shared" si="0"/>
        <v>-56.3394786921708</v>
      </c>
      <c r="P35" s="77">
        <f>P33-P34</f>
        <v>0</v>
      </c>
    </row>
    <row r="36">
      <c r="A36" s="107" t="inlineStr">
        <is>
          <t>净利率</t>
        </is>
      </c>
      <c r="B36" s="145">
        <f>IF(N(B6)=0,"",B35/B6)</f>
      </c>
      <c r="C36" s="145">
        <f>IF(N(C6)=0,"",C35/C6)</f>
      </c>
      <c r="D36" s="145">
        <f>IF(N(D6)=0,"",D35/D6)</f>
      </c>
      <c r="E36" s="145">
        <f>IF(N(E6)=0,"",E35/E6)</f>
      </c>
      <c r="F36" s="145">
        <f>IF(N(F6)=0,"",F35/F6)</f>
      </c>
      <c r="G36" s="145">
        <f>IF(N(G6)=0,"",G35/G6)</f>
      </c>
      <c r="H36" s="145">
        <f>IF(N(H6)=0,"",H35/H6)</f>
        <v>-7.87011930604982</v>
      </c>
      <c r="I36" s="145">
        <f>IF(N(I6)=0,"",I35/I6)</f>
      </c>
      <c r="J36" s="145">
        <f>IF(N(J6)=0,"",J35/J6)</f>
      </c>
      <c r="K36" s="145">
        <f>IF(N(K6)=0,"",K35/K6)</f>
      </c>
      <c r="L36" s="145">
        <f>IF(N(L6)=0,"",L35/L6)</f>
      </c>
      <c r="M36" s="145">
        <f>IF(N(M6)=0,"",M35/M6)</f>
      </c>
      <c r="N36" s="145">
        <f>IF(N(N6)=0,"",N35/N6)</f>
        <v>-56.3394786921708</v>
      </c>
      <c r="O36" s="105" t="n"/>
      <c r="P36" s="145">
        <f>IF(N(P6)=0,"",P35/P6)</f>
      </c>
    </row>
    <row r="37"/>
    <row r="38">
      <c r="A38" s="24" t="inlineStr">
        <is>
          <t>说明：</t>
        </is>
      </c>
    </row>
    <row r="39">
      <c r="A39" s="7" t="inlineStr">
        <is>
          <t>· 「项目毛利」＝各项目干活赚的（还没扣公司管理费）；每个项目的明细看【项目利润表】，两边对得上（那张表最下面有对账）。</t>
        </is>
      </c>
    </row>
    <row r="40">
      <c r="A40" s="7" t="inlineStr">
        <is>
          <t>· 「税金」是按产值估算的，实际交的增值税、附加在流水里冲「应交税费」，不重复算成本；企业所得税单独在最下面。</t>
        </is>
      </c>
    </row>
    <row r="41">
      <c r="A41" s="7" t="inlineStr">
        <is>
          <t>· 管理人员工资＝【考勤工资】里月薪的人在「公司管理」那部分；在工地的天数已经算进项目人工费了。</t>
        </is>
      </c>
    </row>
    <row r="42">
      <c r="A42" s="7" t="inlineStr">
        <is>
          <t>· 以前年度的数在最右边一列（建账那年起累计），想看去年的就到首页把年度改成去年。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7">
    <mergeCell ref="A42:P42"/>
    <mergeCell ref="A1:P1"/>
    <mergeCell ref="A40:P40"/>
    <mergeCell ref="A39:P39"/>
    <mergeCell ref="A38:P38"/>
    <mergeCell ref="A41:P41"/>
    <mergeCell ref="A2:P2"/>
  </mergeCells>
  <conditionalFormatting sqref="B5:M36">
    <cfRule type="expression" priority="1" dxfId="8">
      <formula>OR(_辅助!$J$7*100+COLUMN(B5)-1&gt;_辅助!$J$2,_辅助!$J$7*100+COLUMN(B5)-1&lt;_辅助!$J$4)</formula>
    </cfRule>
  </conditionalFormatting>
  <conditionalFormatting sqref="B35:P35">
    <cfRule type="expression" priority="2" dxfId="1">
      <formula>N(B35)&lt;0</formula>
    </cfRule>
  </conditionalFormatting>
  <conditionalFormatting sqref="B15:P15">
    <cfRule type="expression" priority="3" dxfId="1">
      <formula>N(B15)&lt;0</formula>
    </cfRule>
  </conditionalFormatting>
  <conditionalFormatting sqref="B33:P33">
    <cfRule type="expression" priority="4" dxfId="1">
      <formula>N(B33)&lt;0</formula>
    </cfRule>
  </conditionalFormatting>
  <hyperlinks>
    <hyperlink ref="Q1" location="'首页'!A1" display="← 回首页"/>
  </hyperlinks>
  <pageMargins left="0.3" right="0.3" top="0.5" bottom="0.5" header="0.5" footer="0.5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tabColor rgb="00833C0C"/>
    <outlinePr summaryBelow="1" summaryRight="1"/>
    <pageSetUpPr fitToPage="1"/>
  </sheetPr>
  <dimension ref="A1:I35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2" customWidth="1" min="4" max="4"/>
    <col width="34" customWidth="1" min="5" max="5"/>
    <col width="15" customWidth="1" min="6" max="6"/>
    <col width="15" customWidth="1" min="7" max="7"/>
    <col width="2" customWidth="1" min="8" max="8"/>
    <col width="13" customWidth="1" min="9" max="9"/>
  </cols>
  <sheetData>
    <row r="1" ht="33" customHeight="1">
      <c r="A1" s="69" t="inlineStr">
        <is>
          <t>资 产 负 债 表（管理用 · 截止月末 ＋ 年初）</t>
        </is>
      </c>
      <c r="I1" s="33" t="inlineStr">
        <is>
          <t>← 回首页</t>
        </is>
      </c>
    </row>
    <row r="2" ht="54" customHeight="1">
      <c r="A2" s="3" t="inlineStr">
        <is>
          <t>💡 全自动：钱在哪（银行、甲方欠的、多付的、备用金），欠谁的（材料商、分包、工人工资、税、老板），公司净值多少。应收、应付、工资都是一个一个项目/单位/人算了再分正负：甲方多付的算预收、多付给材料商的算预付、工人多发的算其他应收、老板个人户负数算欠老板的。「期初未分配利润」是按建账日的数倒算的（资产−负债−实收资本），下面可以跟老板/会计认的数对一对。最下面「差额」是 0 就说明账是平的。</t>
        </is>
      </c>
    </row>
    <row r="3">
      <c r="A3" s="98" t="str">
        <f>"截止 "&amp;TEXT(_辅助!$J$3,"yyyy年m月d日")&amp;"（截止月末）；年初＝"&amp;IF(_辅助!$J$7=_辅助!$J$6,"建账日 "&amp;TEXT(基础资料!$C$9,"yyyy年m月d日"),_辅助!$J$7&amp;"年1月1日")</f>
        <v>截止 2026年8月31日（截止月末）；年初＝建账日 2026年3月1日</v>
      </c>
    </row>
    <row r="4"/>
    <row r="5" ht="30" customHeight="1">
      <c r="A5" s="70" t="inlineStr">
        <is>
          <t>资  产</t>
        </is>
      </c>
      <c r="B5" s="70" t="inlineStr">
        <is>
          <t>截止月末</t>
        </is>
      </c>
      <c r="C5" s="70" t="inlineStr">
        <is>
          <t>年初</t>
        </is>
      </c>
      <c r="E5" s="70" t="inlineStr">
        <is>
          <t>负债和所有者权益</t>
        </is>
      </c>
      <c r="F5" s="70" t="inlineStr">
        <is>
          <t>截止月末</t>
        </is>
      </c>
      <c r="G5" s="70" t="inlineStr">
        <is>
          <t>年初</t>
        </is>
      </c>
    </row>
    <row r="6">
      <c r="A6" s="19" t="inlineStr">
        <is>
          <t>货币资金（银行＋现金）</t>
        </is>
      </c>
      <c r="B6" s="21">
        <f>ROUND(SUM(_余额!$S$3:$S$22)-SUMIFS(_余额!$S$3:$S$22,_余额!$Q$3:$Q$22,"票据")-SUMIFS(_余额!$S$3:$S$22,_余额!$Q$3:$Q$22,"个人户"),2)</f>
        <v>690444.46</v>
      </c>
      <c r="C6" s="21">
        <f>ROUND(SUM(_余额!$T$3:$T$22)-SUMIFS(_余额!$T$3:$T$22,_余额!$Q$3:$Q$22,"票据")-SUMIFS(_余额!$T$3:$T$22,_余额!$Q$3:$Q$22,"个人户"),2)</f>
        <v>148</v>
      </c>
      <c r="E6" s="19" t="inlineStr">
        <is>
          <t>短期借款</t>
        </is>
      </c>
      <c r="F6" s="21">
        <f>ROUND(N(期初余额!$C$68)+SUMIFS(资金流水!$R$6:$R$2005,资金流水!$X$6:$X$2005,"短期借款",资金流水!$S$6:$S$2005,"&gt;="&amp;_辅助!$J$4,资金流水!$S$6:$S$2005,"&lt;="&amp;_辅助!$J$2),2)</f>
        <v>642148</v>
      </c>
      <c r="G6" s="21">
        <f>ROUND(N(期初余额!$C$68)+SUMIFS(资金流水!$R$6:$R$2005,资金流水!$X$6:$X$2005,"短期借款",资金流水!$S$6:$S$2005,"&gt;="&amp;_辅助!$J$4,资金流水!$S$6:$S$2005,"&lt;="&amp;_辅助!$J$5),2)</f>
        <v>281148</v>
      </c>
    </row>
    <row r="7">
      <c r="A7" s="19" t="inlineStr">
        <is>
          <t>应收票据（在手的承兑汇票）</t>
        </is>
      </c>
      <c r="B7" s="21">
        <f>ROUND(SUMIFS(_余额!$S$3:$S$22,_余额!$Q$3:$Q$22,"票据"),2)</f>
        <v>0</v>
      </c>
      <c r="C7" s="21">
        <f>ROUND(SUMIFS(_余额!$T$3:$T$22,_余额!$Q$3:$Q$22,"票据"),2)</f>
        <v>0</v>
      </c>
      <c r="E7" s="19" t="inlineStr">
        <is>
          <t>应付账款（欠材料商、分包、机械的）</t>
        </is>
      </c>
      <c r="F7" s="21">
        <f>ROUND(SUMIF(_余额!$C$3:$C$302,"&gt;0")+MAX(0,(SUM(期初余额!$R$5:$R$204)-SUM(期初余额!$S$5:$S$204)+SUMIFS(应付登记!$G$5:$G$1004,应付登记!$C$5:$C$1004,"材料",应付登记!$J$5:$J$1004,"&gt;="&amp;_辅助!$J$4,应付登记!$J$5:$J$1004,"&lt;="&amp;_辅助!$J$2)+SUMIFS(应付登记!$G$5:$G$1004,应付登记!$C$5:$C$1004,"分包",应付登记!$J$5:$J$1004,"&gt;="&amp;_辅助!$J$4,应付登记!$J$5:$J$1004,"&lt;="&amp;_辅助!$J$2)+SUMIFS(应付登记!$G$5:$G$1004,应付登记!$C$5:$C$1004,"机械运输",应付登记!$J$5:$J$1004,"&gt;="&amp;_辅助!$J$4,应付登记!$J$5:$J$1004,"&lt;="&amp;_辅助!$J$2)+SUMIFS(应付登记!$G$5:$G$1004,应付登记!$C$5:$C$1004,"其他直接费",应付登记!$J$5:$J$1004,"&gt;="&amp;_辅助!$J$4,应付登记!$J$5:$J$1004,"&lt;="&amp;_辅助!$J$2)+SUMIFS(资金流水!$R$6:$R$2005,资金流水!$X$6:$X$2005,"应付材料款",资金流水!$S$6:$S$2005,"&gt;="&amp;_辅助!$J$4,资金流水!$S$6:$S$2005,"&lt;="&amp;_辅助!$J$2)+SUMIFS(资金流水!$R$6:$R$2005,资金流水!$X$6:$X$2005,"应付分包款",资金流水!$S$6:$S$2005,"&gt;="&amp;_辅助!$J$4,资金流水!$S$6:$S$2005,"&lt;="&amp;_辅助!$J$2)+SUMIFS(资金流水!$R$6:$R$2005,资金流水!$X$6:$X$2005,"应付机械运输费",资金流水!$S$6:$S$2005,"&gt;="&amp;_辅助!$J$4,资金流水!$S$6:$S$2005,"&lt;="&amp;_辅助!$J$2)+SUMIFS(资金流水!$R$6:$R$2005,资金流水!$X$6:$X$2005,"应付其他款",资金流水!$S$6:$S$2005,"&gt;="&amp;_辅助!$J$4,资金流水!$S$6:$S$2005,"&lt;="&amp;_辅助!$J$2)-SUMIFS(代发抵账!$F$5:$F$304,代发抵账!$D$5:$D$304,"总包代付材料分包款",代发抵账!$H$5:$H$304,"&gt;="&amp;_辅助!$J$4,代发抵账!$H$5:$H$304,"&lt;="&amp;_辅助!$J$2))-SUM(_余额!$C$3:$C$302)),2)</f>
        <v>409691.38</v>
      </c>
      <c r="G7" s="21">
        <f>ROUND(SUMIF(_余额!$D$3:$D$302,"&gt;0")+MAX(0,(SUM(期初余额!$R$5:$R$204)-SUM(期初余额!$S$5:$S$204)+SUMIFS(应付登记!$G$5:$G$1004,应付登记!$C$5:$C$1004,"材料",应付登记!$J$5:$J$1004,"&gt;="&amp;_辅助!$J$4,应付登记!$J$5:$J$1004,"&lt;="&amp;_辅助!$J$5)+SUMIFS(应付登记!$G$5:$G$1004,应付登记!$C$5:$C$1004,"分包",应付登记!$J$5:$J$1004,"&gt;="&amp;_辅助!$J$4,应付登记!$J$5:$J$1004,"&lt;="&amp;_辅助!$J$5)+SUMIFS(应付登记!$G$5:$G$1004,应付登记!$C$5:$C$1004,"机械运输",应付登记!$J$5:$J$1004,"&gt;="&amp;_辅助!$J$4,应付登记!$J$5:$J$1004,"&lt;="&amp;_辅助!$J$5)+SUMIFS(应付登记!$G$5:$G$1004,应付登记!$C$5:$C$1004,"其他直接费",应付登记!$J$5:$J$1004,"&gt;="&amp;_辅助!$J$4,应付登记!$J$5:$J$1004,"&lt;="&amp;_辅助!$J$5)+SUMIFS(资金流水!$R$6:$R$2005,资金流水!$X$6:$X$2005,"应付材料款",资金流水!$S$6:$S$2005,"&gt;="&amp;_辅助!$J$4,资金流水!$S$6:$S$2005,"&lt;="&amp;_辅助!$J$5)+SUMIFS(资金流水!$R$6:$R$2005,资金流水!$X$6:$X$2005,"应付分包款",资金流水!$S$6:$S$2005,"&gt;="&amp;_辅助!$J$4,资金流水!$S$6:$S$2005,"&lt;="&amp;_辅助!$J$5)+SUMIFS(资金流水!$R$6:$R$2005,资金流水!$X$6:$X$2005,"应付机械运输费",资金流水!$S$6:$S$2005,"&gt;="&amp;_辅助!$J$4,资金流水!$S$6:$S$2005,"&lt;="&amp;_辅助!$J$5)+SUMIFS(资金流水!$R$6:$R$2005,资金流水!$X$6:$X$2005,"应付其他款",资金流水!$S$6:$S$2005,"&gt;="&amp;_辅助!$J$4,资金流水!$S$6:$S$2005,"&lt;="&amp;_辅助!$J$5)-SUMIFS(代发抵账!$F$5:$F$304,代发抵账!$D$5:$D$304,"总包代付材料分包款",代发抵账!$H$5:$H$304,"&gt;="&amp;_辅助!$J$4,代发抵账!$H$5:$H$304,"&lt;="&amp;_辅助!$J$5))-SUM(_余额!$D$3:$D$302)),2)</f>
        <v>635302.38</v>
      </c>
    </row>
    <row r="8">
      <c r="A8" s="19" t="inlineStr">
        <is>
          <t>应收账款（甲方还欠的）</t>
        </is>
      </c>
      <c r="B8" s="21">
        <f>ROUND(SUMIF(_项目汇总!$AV$3:$AV$62,"&gt;0")+MAX(0,(SUM(期初余额!$C$5:$C$64)-SUM(期初余额!$D$5:$D$64)+SUMIFS(收入确认!$E$5:$E$204,收入确认!$H$5:$H$204,"&gt;="&amp;_辅助!$J$4,收入确认!$H$5:$H$204,"&lt;="&amp;_辅助!$J$2)-SUMIFS(资金流水!$R$6:$R$2005,资金流水!$X$6:$X$2005,"应收账款",资金流水!$S$6:$S$2005,"&gt;="&amp;_辅助!$J$4,资金流水!$S$6:$S$2005,"&lt;="&amp;_辅助!$J$2)-(SUMIFS(代发抵账!$F$5:$F$304,代发抵账!$D$5:$D$304,"总包代发工资",代发抵账!$H$5:$H$304,"&gt;="&amp;_辅助!$J$4,代发抵账!$H$5:$H$304,"&lt;="&amp;_辅助!$J$2)+SUMIFS(代发抵账!$F$5:$F$304,代发抵账!$D$5:$D$304,"总包代付材料分包款",代发抵账!$H$5:$H$304,"&gt;="&amp;_辅助!$J$4,代发抵账!$H$5:$H$304,"&lt;="&amp;_辅助!$J$2)+SUMIFS(代发抵账!$F$5:$F$304,代发抵账!$D$5:$D$304,"甲供材扣款",代发抵账!$H$5:$H$304,"&gt;="&amp;_辅助!$J$4,代发抵账!$H$5:$H$304,"&lt;="&amp;_辅助!$J$2)+SUMIFS(代发抵账!$F$5:$F$304,代发抵账!$D$5:$D$304,"甲方扣款",代发抵账!$H$5:$H$304,"&gt;="&amp;_辅助!$J$4,代发抵账!$H$5:$H$304,"&lt;="&amp;_辅助!$J$2)))-SUM(_项目汇总!$AV$3:$AV$62)),2)</f>
        <v>4113030.33</v>
      </c>
      <c r="C8" s="21">
        <f>ROUND(SUMIF(_项目汇总!$AW$3:$AW$62,"&gt;0")+MAX(0,(SUM(期初余额!$C$5:$C$64)-SUM(期初余额!$D$5:$D$64)+SUMIFS(收入确认!$E$5:$E$204,收入确认!$H$5:$H$204,"&gt;="&amp;_辅助!$J$4,收入确认!$H$5:$H$204,"&lt;="&amp;_辅助!$J$5)-SUMIFS(资金流水!$R$6:$R$2005,资金流水!$X$6:$X$2005,"应收账款",资金流水!$S$6:$S$2005,"&gt;="&amp;_辅助!$J$4,资金流水!$S$6:$S$2005,"&lt;="&amp;_辅助!$J$5)-(SUMIFS(代发抵账!$F$5:$F$304,代发抵账!$D$5:$D$304,"总包代发工资",代发抵账!$H$5:$H$304,"&gt;="&amp;_辅助!$J$4,代发抵账!$H$5:$H$304,"&lt;="&amp;_辅助!$J$5)+SUMIFS(代发抵账!$F$5:$F$304,代发抵账!$D$5:$D$304,"总包代付材料分包款",代发抵账!$H$5:$H$304,"&gt;="&amp;_辅助!$J$4,代发抵账!$H$5:$H$304,"&lt;="&amp;_辅助!$J$5)+SUMIFS(代发抵账!$F$5:$F$304,代发抵账!$D$5:$D$304,"甲供材扣款",代发抵账!$H$5:$H$304,"&gt;="&amp;_辅助!$J$4,代发抵账!$H$5:$H$304,"&lt;="&amp;_辅助!$J$5)+SUMIFS(代发抵账!$F$5:$F$304,代发抵账!$D$5:$D$304,"甲方扣款",代发抵账!$H$5:$H$304,"&gt;="&amp;_辅助!$J$4,代发抵账!$H$5:$H$304,"&lt;="&amp;_辅助!$J$5)))-SUM(_项目汇总!$AW$3:$AW$62)),2)</f>
        <v>4541570.94</v>
      </c>
      <c r="E8" s="19" t="inlineStr">
        <is>
          <t>预收账款（甲方多付的）</t>
        </is>
      </c>
      <c r="F8" s="21">
        <f>ROUND(-SUMIF(_项目汇总!$AV$3:$AV$62,"&lt;0")+MAX(0,-((SUM(期初余额!$C$5:$C$64)-SUM(期初余额!$D$5:$D$64)+SUMIFS(收入确认!$E$5:$E$204,收入确认!$H$5:$H$204,"&gt;="&amp;_辅助!$J$4,收入确认!$H$5:$H$204,"&lt;="&amp;_辅助!$J$2)-SUMIFS(资金流水!$R$6:$R$2005,资金流水!$X$6:$X$2005,"应收账款",资金流水!$S$6:$S$2005,"&gt;="&amp;_辅助!$J$4,资金流水!$S$6:$S$2005,"&lt;="&amp;_辅助!$J$2)-(SUMIFS(代发抵账!$F$5:$F$304,代发抵账!$D$5:$D$304,"总包代发工资",代发抵账!$H$5:$H$304,"&gt;="&amp;_辅助!$J$4,代发抵账!$H$5:$H$304,"&lt;="&amp;_辅助!$J$2)+SUMIFS(代发抵账!$F$5:$F$304,代发抵账!$D$5:$D$304,"总包代付材料分包款",代发抵账!$H$5:$H$304,"&gt;="&amp;_辅助!$J$4,代发抵账!$H$5:$H$304,"&lt;="&amp;_辅助!$J$2)+SUMIFS(代发抵账!$F$5:$F$304,代发抵账!$D$5:$D$304,"甲供材扣款",代发抵账!$H$5:$H$304,"&gt;="&amp;_辅助!$J$4,代发抵账!$H$5:$H$304,"&lt;="&amp;_辅助!$J$2)+SUMIFS(代发抵账!$F$5:$F$304,代发抵账!$D$5:$D$304,"甲方扣款",代发抵账!$H$5:$H$304,"&gt;="&amp;_辅助!$J$4,代发抵账!$H$5:$H$304,"&lt;="&amp;_辅助!$J$2)))-SUM(_项目汇总!$AV$3:$AV$62))),2)</f>
        <v>785365.27</v>
      </c>
      <c r="G8" s="21">
        <f>ROUND(-SUMIF(_项目汇总!$AW$3:$AW$62,"&lt;0")+MAX(0,-((SUM(期初余额!$C$5:$C$64)-SUM(期初余额!$D$5:$D$64)+SUMIFS(收入确认!$E$5:$E$204,收入确认!$H$5:$H$204,"&gt;="&amp;_辅助!$J$4,收入确认!$H$5:$H$204,"&lt;="&amp;_辅助!$J$5)-SUMIFS(资金流水!$R$6:$R$2005,资金流水!$X$6:$X$2005,"应收账款",资金流水!$S$6:$S$2005,"&gt;="&amp;_辅助!$J$4,资金流水!$S$6:$S$2005,"&lt;="&amp;_辅助!$J$5)-(SUMIFS(代发抵账!$F$5:$F$304,代发抵账!$D$5:$D$304,"总包代发工资",代发抵账!$H$5:$H$304,"&gt;="&amp;_辅助!$J$4,代发抵账!$H$5:$H$304,"&lt;="&amp;_辅助!$J$5)+SUMIFS(代发抵账!$F$5:$F$304,代发抵账!$D$5:$D$304,"总包代付材料分包款",代发抵账!$H$5:$H$304,"&gt;="&amp;_辅助!$J$4,代发抵账!$H$5:$H$304,"&lt;="&amp;_辅助!$J$5)+SUMIFS(代发抵账!$F$5:$F$304,代发抵账!$D$5:$D$304,"甲供材扣款",代发抵账!$H$5:$H$304,"&gt;="&amp;_辅助!$J$4,代发抵账!$H$5:$H$304,"&lt;="&amp;_辅助!$J$5)+SUMIFS(代发抵账!$F$5:$F$304,代发抵账!$D$5:$D$304,"甲方扣款",代发抵账!$H$5:$H$304,"&gt;="&amp;_辅助!$J$4,代发抵账!$H$5:$H$304,"&lt;="&amp;_辅助!$J$5)))-SUM(_项目汇总!$AW$3:$AW$62))),2)</f>
        <v>0</v>
      </c>
    </row>
    <row r="9">
      <c r="A9" s="19" t="inlineStr">
        <is>
          <t>预付账款（多付给材料商、分包的）</t>
        </is>
      </c>
      <c r="B9" s="21">
        <f>ROUND(-SUMIF(_余额!$C$3:$C$302,"&lt;0")+MAX(0,-((SUM(期初余额!$R$5:$R$204)-SUM(期初余额!$S$5:$S$204)+SUMIFS(应付登记!$G$5:$G$1004,应付登记!$C$5:$C$1004,"材料",应付登记!$J$5:$J$1004,"&gt;="&amp;_辅助!$J$4,应付登记!$J$5:$J$1004,"&lt;="&amp;_辅助!$J$2)+SUMIFS(应付登记!$G$5:$G$1004,应付登记!$C$5:$C$1004,"分包",应付登记!$J$5:$J$1004,"&gt;="&amp;_辅助!$J$4,应付登记!$J$5:$J$1004,"&lt;="&amp;_辅助!$J$2)+SUMIFS(应付登记!$G$5:$G$1004,应付登记!$C$5:$C$1004,"机械运输",应付登记!$J$5:$J$1004,"&gt;="&amp;_辅助!$J$4,应付登记!$J$5:$J$1004,"&lt;="&amp;_辅助!$J$2)+SUMIFS(应付登记!$G$5:$G$1004,应付登记!$C$5:$C$1004,"其他直接费",应付登记!$J$5:$J$1004,"&gt;="&amp;_辅助!$J$4,应付登记!$J$5:$J$1004,"&lt;="&amp;_辅助!$J$2)+SUMIFS(资金流水!$R$6:$R$2005,资金流水!$X$6:$X$2005,"应付材料款",资金流水!$S$6:$S$2005,"&gt;="&amp;_辅助!$J$4,资金流水!$S$6:$S$2005,"&lt;="&amp;_辅助!$J$2)+SUMIFS(资金流水!$R$6:$R$2005,资金流水!$X$6:$X$2005,"应付分包款",资金流水!$S$6:$S$2005,"&gt;="&amp;_辅助!$J$4,资金流水!$S$6:$S$2005,"&lt;="&amp;_辅助!$J$2)+SUMIFS(资金流水!$R$6:$R$2005,资金流水!$X$6:$X$2005,"应付机械运输费",资金流水!$S$6:$S$2005,"&gt;="&amp;_辅助!$J$4,资金流水!$S$6:$S$2005,"&lt;="&amp;_辅助!$J$2)+SUMIFS(资金流水!$R$6:$R$2005,资金流水!$X$6:$X$2005,"应付其他款",资金流水!$S$6:$S$2005,"&gt;="&amp;_辅助!$J$4,资金流水!$S$6:$S$2005,"&lt;="&amp;_辅助!$J$2)-SUMIFS(代发抵账!$F$5:$F$304,代发抵账!$D$5:$D$304,"总包代付材料分包款",代发抵账!$H$5:$H$304,"&gt;="&amp;_辅助!$J$4,代发抵账!$H$5:$H$304,"&lt;="&amp;_辅助!$J$2))-SUM(_余额!$C$3:$C$302))),2)</f>
        <v>5918</v>
      </c>
      <c r="C9" s="21">
        <f>ROUND(-SUMIF(_余额!$D$3:$D$302,"&lt;0")+MAX(0,-((SUM(期初余额!$R$5:$R$204)-SUM(期初余额!$S$5:$S$204)+SUMIFS(应付登记!$G$5:$G$1004,应付登记!$C$5:$C$1004,"材料",应付登记!$J$5:$J$1004,"&gt;="&amp;_辅助!$J$4,应付登记!$J$5:$J$1004,"&lt;="&amp;_辅助!$J$5)+SUMIFS(应付登记!$G$5:$G$1004,应付登记!$C$5:$C$1004,"分包",应付登记!$J$5:$J$1004,"&gt;="&amp;_辅助!$J$4,应付登记!$J$5:$J$1004,"&lt;="&amp;_辅助!$J$5)+SUMIFS(应付登记!$G$5:$G$1004,应付登记!$C$5:$C$1004,"机械运输",应付登记!$J$5:$J$1004,"&gt;="&amp;_辅助!$J$4,应付登记!$J$5:$J$1004,"&lt;="&amp;_辅助!$J$5)+SUMIFS(应付登记!$G$5:$G$1004,应付登记!$C$5:$C$1004,"其他直接费",应付登记!$J$5:$J$1004,"&gt;="&amp;_辅助!$J$4,应付登记!$J$5:$J$1004,"&lt;="&amp;_辅助!$J$5)+SUMIFS(资金流水!$R$6:$R$2005,资金流水!$X$6:$X$2005,"应付材料款",资金流水!$S$6:$S$2005,"&gt;="&amp;_辅助!$J$4,资金流水!$S$6:$S$2005,"&lt;="&amp;_辅助!$J$5)+SUMIFS(资金流水!$R$6:$R$2005,资金流水!$X$6:$X$2005,"应付分包款",资金流水!$S$6:$S$2005,"&gt;="&amp;_辅助!$J$4,资金流水!$S$6:$S$2005,"&lt;="&amp;_辅助!$J$5)+SUMIFS(资金流水!$R$6:$R$2005,资金流水!$X$6:$X$2005,"应付机械运输费",资金流水!$S$6:$S$2005,"&gt;="&amp;_辅助!$J$4,资金流水!$S$6:$S$2005,"&lt;="&amp;_辅助!$J$5)+SUMIFS(资金流水!$R$6:$R$2005,资金流水!$X$6:$X$2005,"应付其他款",资金流水!$S$6:$S$2005,"&gt;="&amp;_辅助!$J$4,资金流水!$S$6:$S$2005,"&lt;="&amp;_辅助!$J$5)-SUMIFS(代发抵账!$F$5:$F$304,代发抵账!$D$5:$D$304,"总包代付材料分包款",代发抵账!$H$5:$H$304,"&gt;="&amp;_辅助!$J$4,代发抵账!$H$5:$H$304,"&lt;="&amp;_辅助!$J$5))-SUM(_余额!$D$3:$D$302))),2)</f>
        <v>4245</v>
      </c>
      <c r="E9" s="19" t="inlineStr">
        <is>
          <t>应付职工薪酬（欠工人的工资）</t>
        </is>
      </c>
      <c r="F9" s="21">
        <f>ROUND(SUMIF(_余额!$E$3:$E$302,"&gt;0")+MAX(0,(SUM(往来单位!$M$4:$M$303)+SUMIFS(考勤工资!$W$5:$W$1004,考勤工资!$Y$5:$Y$1004,"&gt;="&amp;_辅助!$J$4,考勤工资!$Y$5:$Y$1004,"&lt;="&amp;_辅助!$J$2)+SUMIFS(资金流水!$R$6:$R$2005,资金流水!$X$6:$X$2005,"应付职工薪酬",资金流水!$S$6:$S$2005,"&gt;="&amp;_辅助!$J$4,资金流水!$S$6:$S$2005,"&lt;="&amp;_辅助!$J$2)-SUMIFS(代发抵账!$F$5:$F$304,代发抵账!$D$5:$D$304,"总包代发工资",代发抵账!$H$5:$H$304,"&gt;="&amp;_辅助!$J$4,代发抵账!$H$5:$H$304,"&lt;="&amp;_辅助!$J$2))-SUM(_余额!$E$3:$E$302)),2)</f>
        <v>109822.5</v>
      </c>
      <c r="G9" s="21">
        <f>ROUND(SUMIF(_余额!$F$3:$F$302,"&gt;0")+MAX(0,(SUM(往来单位!$M$4:$M$303)+SUMIFS(考勤工资!$W$5:$W$1004,考勤工资!$Y$5:$Y$1004,"&gt;="&amp;_辅助!$J$4,考勤工资!$Y$5:$Y$1004,"&lt;="&amp;_辅助!$J$5)+SUMIFS(资金流水!$R$6:$R$2005,资金流水!$X$6:$X$2005,"应付职工薪酬",资金流水!$S$6:$S$2005,"&gt;="&amp;_辅助!$J$4,资金流水!$S$6:$S$2005,"&lt;="&amp;_辅助!$J$5)-SUMIFS(代发抵账!$F$5:$F$304,代发抵账!$D$5:$D$304,"总包代发工资",代发抵账!$H$5:$H$304,"&gt;="&amp;_辅助!$J$4,代发抵账!$H$5:$H$304,"&lt;="&amp;_辅助!$J$5))-SUM(_余额!$F$3:$F$302)),2)</f>
        <v>0</v>
      </c>
    </row>
    <row r="10">
      <c r="A10" s="139" t="inlineStr">
        <is>
          <t>其他应收款</t>
        </is>
      </c>
      <c r="B10" s="20">
        <f>B11+B12+B13+B14</f>
        <v>106809.91</v>
      </c>
      <c r="C10" s="20">
        <f>C11+C12+C13+C14</f>
        <v>0</v>
      </c>
      <c r="E10" s="19" t="inlineStr">
        <is>
          <t>应交税费（估算还欠的税）</t>
        </is>
      </c>
      <c r="F10" s="21">
        <f>ROUND(MAX(0,N(期初余额!$C$71)+((SUMIFS(收入确认!$J$5:$J$204,收入确认!$H$5:$H$204,"&gt;="&amp;_辅助!$J$4,收入确认!$H$5:$H$204,"&lt;="&amp;_辅助!$J$2)-SUMIFS(发票登记!$AA$5:$AA$1004,发票登记!$U$5:$U$1004,"进项",发票登记!$Z$5:$Z$1004,1,发票登记!$Y$5:$Y$1004,"&gt;="&amp;_辅助!$J$4,发票登记!$Y$5:$Y$1004,"&lt;="&amp;_辅助!$J$2))*(1+基础资料!$AF$6)+SUMIFS(收入确认!$E$5:$E$204,收入确认!$H$5:$H$204,"&gt;="&amp;_辅助!$J$4,收入确认!$H$5:$H$204,"&lt;="&amp;_辅助!$J$2)*基础资料!$AF$7)+SUMIFS(考勤工资!$O$5:$O$1004,考勤工资!$Y$5:$Y$1004,"&gt;="&amp;_辅助!$J$4,考勤工资!$Y$5:$Y$1004,"&lt;="&amp;_辅助!$J$2)+SUMIFS(资金流水!$R$6:$R$2005,资金流水!$X$6:$X$2005,"应交税费",资金流水!$S$6:$S$2005,"&gt;="&amp;_辅助!$J$4,资金流水!$S$6:$S$2005,"&lt;="&amp;_辅助!$J$2)),2)</f>
        <v>0</v>
      </c>
      <c r="G10" s="21">
        <f>ROUND(MAX(0,N(期初余额!$C$71)+((SUMIFS(收入确认!$J$5:$J$204,收入确认!$H$5:$H$204,"&gt;="&amp;_辅助!$J$4,收入确认!$H$5:$H$204,"&lt;="&amp;_辅助!$J$5)-SUMIFS(发票登记!$AA$5:$AA$1004,发票登记!$U$5:$U$1004,"进项",发票登记!$Z$5:$Z$1004,1,发票登记!$Y$5:$Y$1004,"&gt;="&amp;_辅助!$J$4,发票登记!$Y$5:$Y$1004,"&lt;="&amp;_辅助!$J$5))*(1+基础资料!$AF$6)+SUMIFS(收入确认!$E$5:$E$204,收入确认!$H$5:$H$204,"&gt;="&amp;_辅助!$J$4,收入确认!$H$5:$H$204,"&lt;="&amp;_辅助!$J$5)*基础资料!$AF$7)+SUMIFS(考勤工资!$O$5:$O$1004,考勤工资!$Y$5:$Y$1004,"&gt;="&amp;_辅助!$J$4,考勤工资!$Y$5:$Y$1004,"&lt;="&amp;_辅助!$J$5)+SUMIFS(资金流水!$R$6:$R$2005,资金流水!$X$6:$X$2005,"应交税费",资金流水!$S$6:$S$2005,"&gt;="&amp;_辅助!$J$4,资金流水!$S$6:$S$2005,"&lt;="&amp;_辅助!$J$5)),2)</f>
        <v>0</v>
      </c>
    </row>
    <row r="11">
      <c r="A11" s="28" t="inlineStr">
        <is>
          <t xml:space="preserve">　其中：老板/负责人手上的备用金</t>
        </is>
      </c>
      <c r="B11" s="146">
        <f>ROUND(SUMIFS(_余额!$S$3:$S$22,_余额!$Q$3:$Q$22,"个人户",_余额!$S$3:$S$22,"&gt;0"),2)</f>
        <v>2300</v>
      </c>
      <c r="C11" s="146">
        <f>ROUND(SUMIFS(_余额!$T$3:$T$22,_余额!$Q$3:$Q$22,"个人户",_余额!$T$3:$T$22,"&gt;0"),2)</f>
        <v>0</v>
      </c>
      <c r="E11" s="19" t="inlineStr">
        <is>
          <t>应付设备款</t>
        </is>
      </c>
      <c r="F11" s="21">
        <f>ROUND(N(期初余额!$C$74)+SUMIFS(基础资料!$AL$5:$AL$34,基础资料!$AR$5:$AR$34,"&gt;0",基础资料!$AR$5:$AR$34,"&lt;="&amp;(((INT(_辅助!$J$2/100)*12+MOD(_辅助!$J$2,100)))+1),基础资料!$AK$5:$AK$34,"&gt;="&amp;基础资料!$C$9)+SUMIFS(资金流水!$R$6:$R$2005,资金流水!$X$6:$X$2005,"应付设备款",资金流水!$S$6:$S$2005,"&gt;="&amp;_辅助!$J$4,资金流水!$S$6:$S$2005,"&lt;="&amp;_辅助!$J$2),2)</f>
        <v>0</v>
      </c>
      <c r="G11" s="21">
        <f>ROUND(N(期初余额!$C$74)+SUMIFS(基础资料!$AL$5:$AL$34,基础资料!$AR$5:$AR$34,"&gt;0",基础资料!$AR$5:$AR$34,"&lt;="&amp;(((INT(IF(_辅助!$J$5&lt;_辅助!$J$4,_辅助!$J$4-1,_辅助!$J$5)/100)*12+MOD(IF(_辅助!$J$5&lt;_辅助!$J$4,_辅助!$J$4-1,_辅助!$J$5),100)))+1),基础资料!$AK$5:$AK$34,"&gt;="&amp;基础资料!$C$9)+SUMIFS(资金流水!$R$6:$R$2005,资金流水!$X$6:$X$2005,"应付设备款",资金流水!$S$6:$S$2005,"&gt;="&amp;_辅助!$J$4,资金流水!$S$6:$S$2005,"&lt;="&amp;_辅助!$J$5),2)</f>
        <v>0</v>
      </c>
    </row>
    <row r="12">
      <c r="A12" s="28" t="inlineStr">
        <is>
          <t xml:space="preserve">　　　　保证金、押金</t>
        </is>
      </c>
      <c r="B12" s="146">
        <f>ROUND(N(期初余额!$C$69)-SUMIFS(资金流水!$R$6:$R$2005,资金流水!$X$6:$X$2005,"其他应收款",资金流水!$S$6:$S$2005,"&gt;="&amp;_辅助!$J$4,资金流水!$S$6:$S$2005,"&lt;="&amp;_辅助!$J$2),2)</f>
        <v>0</v>
      </c>
      <c r="C12" s="146">
        <f>ROUND(N(期初余额!$C$69)-SUMIFS(资金流水!$R$6:$R$2005,资金流水!$X$6:$X$2005,"其他应收款",资金流水!$S$6:$S$2005,"&gt;="&amp;_辅助!$J$4,资金流水!$S$6:$S$2005,"&lt;="&amp;_辅助!$J$5),2)</f>
        <v>0</v>
      </c>
      <c r="E12" s="139" t="inlineStr">
        <is>
          <t>其他应付款</t>
        </is>
      </c>
      <c r="F12" s="20">
        <f>F13+F14</f>
        <v>285827.6</v>
      </c>
      <c r="G12" s="20">
        <f>G13+G14</f>
        <v>427668</v>
      </c>
    </row>
    <row r="13">
      <c r="A13" s="28" t="inlineStr">
        <is>
          <t xml:space="preserve">　　　　工人多发的工资</t>
        </is>
      </c>
      <c r="B13" s="146">
        <f>ROUND(-SUMIF(_余额!$E$3:$E$302,"&lt;0")+MAX(0,-((SUM(往来单位!$M$4:$M$303)+SUMIFS(考勤工资!$W$5:$W$1004,考勤工资!$Y$5:$Y$1004,"&gt;="&amp;_辅助!$J$4,考勤工资!$Y$5:$Y$1004,"&lt;="&amp;_辅助!$J$2)+SUMIFS(资金流水!$R$6:$R$2005,资金流水!$X$6:$X$2005,"应付职工薪酬",资金流水!$S$6:$S$2005,"&gt;="&amp;_辅助!$J$4,资金流水!$S$6:$S$2005,"&lt;="&amp;_辅助!$J$2)-SUMIFS(代发抵账!$F$5:$F$304,代发抵账!$D$5:$D$304,"总包代发工资",代发抵账!$H$5:$H$304,"&gt;="&amp;_辅助!$J$4,代发抵账!$H$5:$H$304,"&lt;="&amp;_辅助!$J$2))-SUM(_余额!$E$3:$E$302))),2)</f>
        <v>104509.91</v>
      </c>
      <c r="C13" s="146">
        <f>ROUND(-SUMIF(_余额!$F$3:$F$302,"&lt;0")+MAX(0,-((SUM(往来单位!$M$4:$M$303)+SUMIFS(考勤工资!$W$5:$W$1004,考勤工资!$Y$5:$Y$1004,"&gt;="&amp;_辅助!$J$4,考勤工资!$Y$5:$Y$1004,"&lt;="&amp;_辅助!$J$5)+SUMIFS(资金流水!$R$6:$R$2005,资金流水!$X$6:$X$2005,"应付职工薪酬",资金流水!$S$6:$S$2005,"&gt;="&amp;_辅助!$J$4,资金流水!$S$6:$S$2005,"&lt;="&amp;_辅助!$J$5)-SUMIFS(代发抵账!$F$5:$F$304,代发抵账!$D$5:$D$304,"总包代发工资",代发抵账!$H$5:$H$304,"&gt;="&amp;_辅助!$J$4,代发抵账!$H$5:$H$304,"&lt;="&amp;_辅助!$J$5))-SUM(_余额!$F$3:$F$302))),2)</f>
        <v>0</v>
      </c>
      <c r="E13" s="28" t="inlineStr">
        <is>
          <t xml:space="preserve">　其中：欠老板/负责人的</t>
        </is>
      </c>
      <c r="F13" s="146">
        <f>ROUND(-SUMIFS(_余额!$S$3:$S$22,_余额!$Q$3:$Q$22,"个人户",_余额!$S$3:$S$22,"&lt;0"),2)</f>
        <v>285827.6</v>
      </c>
      <c r="G13" s="146">
        <f>ROUND(-SUMIFS(_余额!$T$3:$T$22,_余额!$Q$3:$Q$22,"个人户",_余额!$T$3:$T$22,"&lt;0"),2)</f>
        <v>427668</v>
      </c>
    </row>
    <row r="14">
      <c r="A14" s="28" t="inlineStr">
        <is>
          <t xml:space="preserve">　　　　其他</t>
        </is>
      </c>
      <c r="B14" s="146">
        <f>ROUND(N(期初余额!$C$70),2)</f>
        <v>0</v>
      </c>
      <c r="C14" s="146">
        <f>ROUND(N(期初余额!$C$70),2)</f>
        <v>0</v>
      </c>
      <c r="E14" s="28" t="inlineStr">
        <is>
          <t xml:space="preserve">　　　　其他</t>
        </is>
      </c>
      <c r="F14" s="146">
        <f>ROUND(N(期初余额!$C$72),2)</f>
        <v>0</v>
      </c>
      <c r="G14" s="146">
        <f>ROUND(N(期初余额!$C$72),2)</f>
        <v>0</v>
      </c>
    </row>
    <row r="15">
      <c r="A15" s="19" t="inlineStr">
        <is>
          <t>预缴税费（多交的税）</t>
        </is>
      </c>
      <c r="B15" s="21">
        <f>ROUND(MAX(0,-(N(期初余额!$C$71)+((SUMIFS(收入确认!$J$5:$J$204,收入确认!$H$5:$H$204,"&gt;="&amp;_辅助!$J$4,收入确认!$H$5:$H$204,"&lt;="&amp;_辅助!$J$2)-SUMIFS(发票登记!$AA$5:$AA$1004,发票登记!$U$5:$U$1004,"进项",发票登记!$Z$5:$Z$1004,1,发票登记!$Y$5:$Y$1004,"&gt;="&amp;_辅助!$J$4,发票登记!$Y$5:$Y$1004,"&lt;="&amp;_辅助!$J$2))*(1+基础资料!$AF$6)+SUMIFS(收入确认!$E$5:$E$204,收入确认!$H$5:$H$204,"&gt;="&amp;_辅助!$J$4,收入确认!$H$5:$H$204,"&lt;="&amp;_辅助!$J$2)*基础资料!$AF$7)+SUMIFS(考勤工资!$O$5:$O$1004,考勤工资!$Y$5:$Y$1004,"&gt;="&amp;_辅助!$J$4,考勤工资!$Y$5:$Y$1004,"&lt;="&amp;_辅助!$J$2)+SUMIFS(资金流水!$R$6:$R$2005,资金流水!$X$6:$X$2005,"应交税费",资金流水!$S$6:$S$2005,"&gt;="&amp;_辅助!$J$4,资金流水!$S$6:$S$2005,"&lt;="&amp;_辅助!$J$2))),2)</f>
        <v>11893.02</v>
      </c>
      <c r="C15" s="21">
        <f>ROUND(MAX(0,-(N(期初余额!$C$71)+((SUMIFS(收入确认!$J$5:$J$204,收入确认!$H$5:$H$204,"&gt;="&amp;_辅助!$J$4,收入确认!$H$5:$H$204,"&lt;="&amp;_辅助!$J$5)-SUMIFS(发票登记!$AA$5:$AA$1004,发票登记!$U$5:$U$1004,"进项",发票登记!$Z$5:$Z$1004,1,发票登记!$Y$5:$Y$1004,"&gt;="&amp;_辅助!$J$4,发票登记!$Y$5:$Y$1004,"&lt;="&amp;_辅助!$J$5))*(1+基础资料!$AF$6)+SUMIFS(收入确认!$E$5:$E$204,收入确认!$H$5:$H$204,"&gt;="&amp;_辅助!$J$4,收入确认!$H$5:$H$204,"&lt;="&amp;_辅助!$J$5)*基础资料!$AF$7)+SUMIFS(考勤工资!$O$5:$O$1004,考勤工资!$Y$5:$Y$1004,"&gt;="&amp;_辅助!$J$4,考勤工资!$Y$5:$Y$1004,"&lt;="&amp;_辅助!$J$5)+SUMIFS(资金流水!$R$6:$R$2005,资金流水!$X$6:$X$2005,"应交税费",资金流水!$S$6:$S$2005,"&gt;="&amp;_辅助!$J$4,资金流水!$S$6:$S$2005,"&lt;="&amp;_辅助!$J$5))),2)</f>
        <v>0</v>
      </c>
      <c r="E15" s="19" t="inlineStr">
        <is>
          <t>待查（流水里没分类、没选对账户的）</t>
        </is>
      </c>
      <c r="F15" s="21">
        <f>ROUND(SUMIFS(资金流水!$R$6:$R$2005,资金流水!$X$6:$X$2005,"待分类",资金流水!$S$6:$S$2005,"&gt;="&amp;_辅助!$J$4,资金流水!$S$6:$S$2005,"&lt;="&amp;_辅助!$J$2)+(SUMIFS(资金流水!$R$6:$R$2005,资金流水!$X$6:$X$2005,"账户互转",资金流水!$S$6:$S$2005,"&gt;="&amp;_辅助!$J$4,资金流水!$S$6:$S$2005,"&lt;="&amp;_辅助!$J$2)-SUMIFS(资金流水!$R$6:$R$2005,资金流水!$X$6:$X$2005,"账户互转",资金流水!$AF$6:$AF$2005,"?*",资金流水!$S$6:$S$2005,"&gt;="&amp;_辅助!$J$4,资金流水!$S$6:$S$2005,"&lt;="&amp;_辅助!$J$2))-(SUMIFS(资金流水!$R$6:$R$2005,资金流水!$S$6:$S$2005,"&gt;="&amp;_辅助!$J$4,资金流水!$S$6:$S$2005,"&lt;="&amp;_辅助!$J$2)-SUMIFS(资金流水!$R$6:$R$2005,资金流水!$AE$6:$AE$2005,"?*",资金流水!$S$6:$S$2005,"&gt;="&amp;_辅助!$J$4,资金流水!$S$6:$S$2005,"&lt;="&amp;_辅助!$J$2)),2)</f>
        <v>0</v>
      </c>
      <c r="G15" s="21">
        <f>ROUND(SUMIFS(资金流水!$R$6:$R$2005,资金流水!$X$6:$X$2005,"待分类",资金流水!$S$6:$S$2005,"&gt;="&amp;_辅助!$J$4,资金流水!$S$6:$S$2005,"&lt;="&amp;_辅助!$J$5)+(SUMIFS(资金流水!$R$6:$R$2005,资金流水!$X$6:$X$2005,"账户互转",资金流水!$S$6:$S$2005,"&gt;="&amp;_辅助!$J$4,资金流水!$S$6:$S$2005,"&lt;="&amp;_辅助!$J$5)-SUMIFS(资金流水!$R$6:$R$2005,资金流水!$X$6:$X$2005,"账户互转",资金流水!$AF$6:$AF$2005,"?*",资金流水!$S$6:$S$2005,"&gt;="&amp;_辅助!$J$4,资金流水!$S$6:$S$2005,"&lt;="&amp;_辅助!$J$5))-(SUMIFS(资金流水!$R$6:$R$2005,资金流水!$S$6:$S$2005,"&gt;="&amp;_辅助!$J$4,资金流水!$S$6:$S$2005,"&lt;="&amp;_辅助!$J$5)-SUMIFS(资金流水!$R$6:$R$2005,资金流水!$AE$6:$AE$2005,"?*",资金流水!$S$6:$S$2005,"&gt;="&amp;_辅助!$J$4,资金流水!$S$6:$S$2005,"&lt;="&amp;_辅助!$J$5)),2)</f>
        <v>0</v>
      </c>
    </row>
    <row r="16">
      <c r="A16" s="19" t="inlineStr">
        <is>
          <t>固定资产原值</t>
        </is>
      </c>
      <c r="B16" s="21">
        <f>ROUND(SUMIFS(基础资料!$AL$5:$AL$34,基础资料!$AR$5:$AR$34,"&gt;0",基础资料!$AR$5:$AR$34,"&lt;="&amp;(((INT(_辅助!$J$2/100)*12+MOD(_辅助!$J$2,100)))+1)),2)</f>
        <v>0</v>
      </c>
      <c r="C16" s="21">
        <f>ROUND(SUMIFS(基础资料!$AL$5:$AL$34,基础资料!$AR$5:$AR$34,"&gt;0",基础资料!$AR$5:$AR$34,"&lt;="&amp;(((INT(IF(_辅助!$J$5&lt;_辅助!$J$4,_辅助!$J$4-1,_辅助!$J$5)/100)*12+MOD(IF(_辅助!$J$5&lt;_辅助!$J$4,_辅助!$J$4-1,_辅助!$J$5),100)))+1)),2)</f>
        <v>0</v>
      </c>
      <c r="E16" s="100" t="inlineStr">
        <is>
          <t>负债合计</t>
        </is>
      </c>
      <c r="F16" s="101">
        <f>F6+F7+F8+F9+F10+F11+F12+F15</f>
        <v>2232854.75</v>
      </c>
      <c r="G16" s="101">
        <f>G6+G7+G8+G9+G10+G11+G12+G15</f>
        <v>1344118.38</v>
      </c>
    </row>
    <row r="17">
      <c r="A17" s="19" t="inlineStr">
        <is>
          <t>减：累计折旧</t>
        </is>
      </c>
      <c r="B17" s="21">
        <f>ROUND(SUMPRODUCT(基础资料!$AP$5:$AP$34*((基础资料!$AS$5:$AS$34+((INT(_辅助!$J$2/100)*12+MOD(_辅助!$J$2,100))-基础资料!$AS$5:$AS$34)*((INT(_辅助!$J$2/100)*12+MOD(_辅助!$J$2,100))&lt;基础资料!$AS$5:$AS$34))-(基础资料!$AR$5:$AR$34+((INT(190001/100)*12+MOD(190001,100))-基础资料!$AR$5:$AR$34)*((INT(190001/100)*12+MOD(190001,100))&gt;基础资料!$AR$5:$AR$34))+1)*(((基础资料!$AS$5:$AS$34+((INT(_辅助!$J$2/100)*12+MOD(_辅助!$J$2,100))-基础资料!$AS$5:$AS$34)*((INT(_辅助!$J$2/100)*12+MOD(_辅助!$J$2,100))&lt;基础资料!$AS$5:$AS$34))-(基础资料!$AR$5:$AR$34+((INT(190001/100)*12+MOD(190001,100))-基础资料!$AR$5:$AR$34)*((INT(190001/100)*12+MOD(190001,100))&gt;基础资料!$AR$5:$AR$34))+1)&gt;0)),2)</f>
        <v>0</v>
      </c>
      <c r="C17" s="21">
        <f>ROUND(SUMPRODUCT(基础资料!$AP$5:$AP$34*((基础资料!$AS$5:$AS$34+((INT(IF(_辅助!$J$5&lt;_辅助!$J$4,_辅助!$J$4-1,_辅助!$J$5)/100)*12+MOD(IF(_辅助!$J$5&lt;_辅助!$J$4,_辅助!$J$4-1,_辅助!$J$5),100))-基础资料!$AS$5:$AS$34)*((INT(IF(_辅助!$J$5&lt;_辅助!$J$4,_辅助!$J$4-1,_辅助!$J$5)/100)*12+MOD(IF(_辅助!$J$5&lt;_辅助!$J$4,_辅助!$J$4-1,_辅助!$J$5),100))&lt;基础资料!$AS$5:$AS$34))-(基础资料!$AR$5:$AR$34+((INT(190001/100)*12+MOD(190001,100))-基础资料!$AR$5:$AR$34)*((INT(190001/100)*12+MOD(190001,100))&gt;基础资料!$AR$5:$AR$34))+1)*(((基础资料!$AS$5:$AS$34+((INT(IF(_辅助!$J$5&lt;_辅助!$J$4,_辅助!$J$4-1,_辅助!$J$5)/100)*12+MOD(IF(_辅助!$J$5&lt;_辅助!$J$4,_辅助!$J$4-1,_辅助!$J$5),100))-基础资料!$AS$5:$AS$34)*((INT(IF(_辅助!$J$5&lt;_辅助!$J$4,_辅助!$J$4-1,_辅助!$J$5)/100)*12+MOD(IF(_辅助!$J$5&lt;_辅助!$J$4,_辅助!$J$4-1,_辅助!$J$5),100))&lt;基础资料!$AS$5:$AS$34))-(基础资料!$AR$5:$AR$34+((INT(190001/100)*12+MOD(190001,100))-基础资料!$AR$5:$AR$34)*((INT(190001/100)*12+MOD(190001,100))&gt;基础资料!$AR$5:$AR$34))+1)&gt;0)),2)</f>
        <v>0</v>
      </c>
      <c r="E17" s="19" t="inlineStr">
        <is>
          <t>实收资本</t>
        </is>
      </c>
      <c r="F17" s="21">
        <f>ROUND(N(期初余额!$C$73)+SUMIFS(资金流水!$R$6:$R$2005,资金流水!$X$6:$X$2005,"实收资本",资金流水!$S$6:$S$2005,"&gt;="&amp;_辅助!$J$4,资金流水!$S$6:$S$2005,"&lt;="&amp;_辅助!$J$2),2)</f>
        <v>0</v>
      </c>
      <c r="G17" s="21">
        <f>ROUND(N(期初余额!$C$73)+SUMIFS(资金流水!$R$6:$R$2005,资金流水!$X$6:$X$2005,"实收资本",资金流水!$S$6:$S$2005,"&gt;="&amp;_辅助!$J$4,资金流水!$S$6:$S$2005,"&lt;="&amp;_辅助!$J$5),2)</f>
        <v>0</v>
      </c>
    </row>
    <row r="18">
      <c r="A18" s="139" t="inlineStr">
        <is>
          <t>固定资产净值</t>
        </is>
      </c>
      <c r="B18" s="20">
        <f>B16-B17</f>
        <v>0</v>
      </c>
      <c r="C18" s="20">
        <f>C16-C17</f>
        <v>0</v>
      </c>
      <c r="E18" s="139" t="inlineStr">
        <is>
          <t>未分配利润</t>
        </is>
      </c>
      <c r="F18" s="20">
        <f>F19+F20</f>
        <v>2695240.97</v>
      </c>
      <c r="G18" s="20">
        <f>G19+G20</f>
        <v>3201845.56</v>
      </c>
    </row>
    <row r="19">
      <c r="A19" s="19" t="n"/>
      <c r="B19" s="21" t="n"/>
      <c r="C19" s="21" t="n"/>
      <c r="E19" s="28" t="inlineStr">
        <is>
          <t xml:space="preserve">　其中：期初（建账日，倒算）</t>
        </is>
      </c>
      <c r="F19" s="146">
        <f>ROUND(SUMIFS(基础资料!$K$5:$K$24,基础资料!$G$5:$G$24,"?*")+SUM(期初余额!$C$5:$C$64)-SUM(期初余额!$D$5:$D$64)+SUMIFS(基础资料!$AL$5:$AL$34,基础资料!$AR$5:$AR$34,"&gt;0",基础资料!$AK$5:$AK$34,"&lt;"&amp;基础资料!$C$9)-SUMPRODUCT(基础资料!$AP$5:$AP$34*((基础资料!$AS$5:$AS$34+((INT((_辅助!$J$4-1)/100)*12+MOD((_辅助!$J$4-1),100))-基础资料!$AS$5:$AS$34)*((INT((_辅助!$J$4-1)/100)*12+MOD((_辅助!$J$4-1),100))&lt;基础资料!$AS$5:$AS$34))-(基础资料!$AR$5:$AR$34+((INT(190001/100)*12+MOD(190001,100))-基础资料!$AR$5:$AR$34)*((INT(190001/100)*12+MOD(190001,100))&gt;基础资料!$AR$5:$AR$34))+1)*(((基础资料!$AS$5:$AS$34+((INT((_辅助!$J$4-1)/100)*12+MOD((_辅助!$J$4-1),100))-基础资料!$AS$5:$AS$34)*((INT((_辅助!$J$4-1)/100)*12+MOD((_辅助!$J$4-1),100))&lt;基础资料!$AS$5:$AS$34))-(基础资料!$AR$5:$AR$34+((INT(190001/100)*12+MOD(190001,100))-基础资料!$AR$5:$AR$34)*((INT(190001/100)*12+MOD(190001,100))&gt;基础资料!$AR$5:$AR$34))+1)&gt;0))-(SUM(期初余额!$R$5:$R$204)-SUM(期初余额!$S$5:$S$204))-SUM(往来单位!$M$4:$M$303)-N(期初余额!$C$68)+N(期初余额!$C$69)+N(期初余额!$C$70)-N(期初余额!$C$71)-N(期初余额!$C$72)-N(期初余额!$C$73)-N(期初余额!$C$74),2)</f>
        <v>3201845.56</v>
      </c>
      <c r="G19" s="146">
        <f>ROUND(SUMIFS(基础资料!$K$5:$K$24,基础资料!$G$5:$G$24,"?*")+SUM(期初余额!$C$5:$C$64)-SUM(期初余额!$D$5:$D$64)+SUMIFS(基础资料!$AL$5:$AL$34,基础资料!$AR$5:$AR$34,"&gt;0",基础资料!$AK$5:$AK$34,"&lt;"&amp;基础资料!$C$9)-SUMPRODUCT(基础资料!$AP$5:$AP$34*((基础资料!$AS$5:$AS$34+((INT((_辅助!$J$4-1)/100)*12+MOD((_辅助!$J$4-1),100))-基础资料!$AS$5:$AS$34)*((INT((_辅助!$J$4-1)/100)*12+MOD((_辅助!$J$4-1),100))&lt;基础资料!$AS$5:$AS$34))-(基础资料!$AR$5:$AR$34+((INT(190001/100)*12+MOD(190001,100))-基础资料!$AR$5:$AR$34)*((INT(190001/100)*12+MOD(190001,100))&gt;基础资料!$AR$5:$AR$34))+1)*(((基础资料!$AS$5:$AS$34+((INT((_辅助!$J$4-1)/100)*12+MOD((_辅助!$J$4-1),100))-基础资料!$AS$5:$AS$34)*((INT((_辅助!$J$4-1)/100)*12+MOD((_辅助!$J$4-1),100))&lt;基础资料!$AS$5:$AS$34))-(基础资料!$AR$5:$AR$34+((INT(190001/100)*12+MOD(190001,100))-基础资料!$AR$5:$AR$34)*((INT(190001/100)*12+MOD(190001,100))&gt;基础资料!$AR$5:$AR$34))+1)&gt;0))-(SUM(期初余额!$R$5:$R$204)-SUM(期初余额!$S$5:$S$204))-SUM(往来单位!$M$4:$M$303)-N(期初余额!$C$68)+N(期初余额!$C$69)+N(期初余额!$C$70)-N(期初余额!$C$71)-N(期初余额!$C$72)-N(期初余额!$C$73)-N(期初余额!$C$74),2)</f>
        <v>3201845.56</v>
      </c>
    </row>
    <row r="20">
      <c r="A20" s="19" t="n"/>
      <c r="B20" s="21" t="n"/>
      <c r="C20" s="21" t="n"/>
      <c r="E20" s="28" t="inlineStr">
        <is>
          <t xml:space="preserve">　　　　建账以来的利润</t>
        </is>
      </c>
      <c r="F20" s="146">
        <f>ROUND((_月汇总!$B$3+_月汇总!$B$22-(_月汇总!$B$4+_月汇总!$B$5+_月汇总!$B$6+_月汇总!$B$7+_月汇总!$B$8+_月汇总!$B$9+_月汇总!$B$10+_月汇总!$B$11+_月汇总!$B$12+_月汇总!$B$13+_月汇总!$B$14+_月汇总!$B$15+_月汇总!$B$16+_月汇总!$B$17+_月汇总!$B$18+_月汇总!$B$19+_月汇总!$B$20+_月汇总!$B$21+_月汇总!$B$23+_月汇总!$B$24+_月汇总!$B$25))+(_月汇总!$O$3+_月汇总!$O$22-(_月汇总!$O$4+_月汇总!$O$5+_月汇总!$O$6+_月汇总!$O$7+_月汇总!$O$8+_月汇总!$O$9+_月汇总!$O$10+_月汇总!$O$11+_月汇总!$O$12+_月汇总!$O$13+_月汇总!$O$14+_月汇总!$O$15+_月汇总!$O$16+_月汇总!$O$17+_月汇总!$O$18+_月汇总!$O$19+_月汇总!$O$20+_月汇总!$O$21+_月汇总!$O$23+_月汇总!$O$24+_月汇总!$O$25)),2)</f>
        <v>-506604.59</v>
      </c>
      <c r="G20" s="146">
        <f>ROUND((_月汇总!$B$3+_月汇总!$B$22-(_月汇总!$B$4+_月汇总!$B$5+_月汇总!$B$6+_月汇总!$B$7+_月汇总!$B$8+_月汇总!$B$9+_月汇总!$B$10+_月汇总!$B$11+_月汇总!$B$12+_月汇总!$B$13+_月汇总!$B$14+_月汇总!$B$15+_月汇总!$B$16+_月汇总!$B$17+_月汇总!$B$18+_月汇总!$B$19+_月汇总!$B$20+_月汇总!$B$21+_月汇总!$B$23+_月汇总!$B$24+_月汇总!$B$25)),2)</f>
        <v>0</v>
      </c>
    </row>
    <row r="21">
      <c r="A21" s="19" t="n"/>
      <c r="B21" s="21" t="n"/>
      <c r="C21" s="21" t="n"/>
      <c r="E21" s="100" t="inlineStr">
        <is>
          <t>所有者权益合计</t>
        </is>
      </c>
      <c r="F21" s="101">
        <f>F17+F18</f>
        <v>2695240.97</v>
      </c>
      <c r="G21" s="101">
        <f>G17+G18</f>
        <v>3201845.56</v>
      </c>
    </row>
    <row r="22">
      <c r="A22" s="107" t="inlineStr">
        <is>
          <t>资产合计</t>
        </is>
      </c>
      <c r="B22" s="77">
        <f>B6+B7+B8+B9+B10+B15+B18</f>
        <v>4928095.72</v>
      </c>
      <c r="C22" s="77">
        <f>C6+C7+C8+C9+C10+C15+C18</f>
        <v>4545963.94</v>
      </c>
      <c r="E22" s="107" t="inlineStr">
        <is>
          <t>负债和所有者权益合计</t>
        </is>
      </c>
      <c r="F22" s="77">
        <f>F16+F21</f>
        <v>4928095.72</v>
      </c>
      <c r="G22" s="77">
        <f>G16+G21</f>
        <v>4545963.94</v>
      </c>
    </row>
    <row r="23"/>
    <row r="24">
      <c r="A24" s="107" t="inlineStr">
        <is>
          <t>差额（资产合计 − 负债和所有者权益合计，应该是 0）</t>
        </is>
      </c>
      <c r="B24" s="77">
        <f>ROUND(B22-F22,2)</f>
        <v>0</v>
      </c>
      <c r="C24" s="77">
        <f>ROUND(C22-G22,2)</f>
        <v>0</v>
      </c>
    </row>
    <row r="25"/>
    <row r="26">
      <c r="A26" s="75" t="inlineStr">
        <is>
          <t>期初未分配利润：倒算的 vs 老板/会计认的</t>
        </is>
      </c>
      <c r="B26" s="12" t="n"/>
      <c r="C26" s="12" t="n"/>
      <c r="D26" s="12" t="n"/>
      <c r="E26" s="12" t="n"/>
      <c r="F26" s="12" t="n"/>
      <c r="G26" s="12" t="n"/>
    </row>
    <row r="27">
      <c r="A27" s="4" t="inlineStr">
        <is>
          <t>倒算的（建账日资产 − 负债 − 实收资本）</t>
        </is>
      </c>
      <c r="B27" s="73">
        <f>F19</f>
        <v>3201845.56</v>
      </c>
      <c r="C27" s="85" t="inlineStr">
        <is>
          <t>差得多：说明建账日的数没填全，常见的是银行期初余额、老板借给公司的钱、欠材料商的、甲方欠的、工人期初欠薪。</t>
        </is>
      </c>
    </row>
    <row r="28">
      <c r="A28" s="4" t="inlineStr">
        <is>
          <t>老板/会计认的（【期初余额】③ 最后一项）</t>
        </is>
      </c>
      <c r="B28" s="73" t="str">
        <f>IF(期初余额!$C$75="","没填",期初余额!$C$75)</f>
        <v>没填</v>
      </c>
    </row>
    <row r="29">
      <c r="A29" s="4" t="inlineStr">
        <is>
          <t>差多少</t>
        </is>
      </c>
      <c r="B29" s="73">
        <f>IF(ISNUMBER(B28),ROUND(B27-B28,2),"")</f>
      </c>
    </row>
    <row r="30"/>
    <row r="31">
      <c r="A31" s="24" t="inlineStr">
        <is>
          <t>怎么看：</t>
        </is>
      </c>
    </row>
    <row r="32">
      <c r="A32" s="7" t="inlineStr">
        <is>
          <t>· 货币资金只算银行和现金；老板个人户不算公司的钱：他替公司垫了钱（个人户是负数）算「欠老板/负责人的」，他手上还有公司的备用金算「其他应收」。</t>
        </is>
      </c>
    </row>
    <row r="33">
      <c r="A33" s="7" t="inlineStr">
        <is>
          <t>· 应收账款＝甲方确认的产值 − 收到的工程款 − 总包代发/代付/扣款；每个项目算完，收多了的放到「预收账款」。</t>
        </is>
      </c>
    </row>
    <row r="34">
      <c r="A34" s="7" t="inlineStr">
        <is>
          <t>· 应交税费是按产值估算的税减去已经交的，报税以税务局的为准；负数（多交了、异地预缴多了）放在左边「预缴税费」。</t>
        </is>
      </c>
    </row>
    <row r="35">
      <c r="A35" s="7" t="inlineStr">
        <is>
          <t>· 「待查」不是 0：去【资金流水】看 ✗ 的行（没认出类别、没选账户、账户互转没选对方账户）。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10">
    <mergeCell ref="A32:G32"/>
    <mergeCell ref="A31:G31"/>
    <mergeCell ref="A3:G3"/>
    <mergeCell ref="A2:H2"/>
    <mergeCell ref="A34:G34"/>
    <mergeCell ref="A35:G35"/>
    <mergeCell ref="A26:G26"/>
    <mergeCell ref="C27:G29"/>
    <mergeCell ref="A1:H1"/>
    <mergeCell ref="A33:G33"/>
  </mergeCells>
  <conditionalFormatting sqref="B24:C24">
    <cfRule type="expression" priority="1" dxfId="2">
      <formula>ABS(N(B24))&gt;0.01</formula>
    </cfRule>
  </conditionalFormatting>
  <hyperlinks>
    <hyperlink ref="I1" location="'首页'!A1" display="← 回首页"/>
  </hyperlinks>
  <pageMargins left="0.3" right="0.3" top="0.5" bottom="0.5" header="0.5" footer="0.5"/>
  <pageSetup orientation="portrait" paperSize="9" fitToHeight="0" fitToWidth="1"/>
</worksheet>
</file>

<file path=xl/worksheets/sheet27.xml><?xml version="1.0" encoding="utf-8"?>
<worksheet xmlns="http://schemas.openxmlformats.org/spreadsheetml/2006/main">
  <sheetPr>
    <tabColor rgb="00833C0C"/>
    <outlinePr summaryBelow="1" summaryRight="1"/>
    <pageSetUpPr fitToPage="1"/>
  </sheetPr>
  <dimension ref="A1:CA87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9.0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26" customWidth="1" min="10" max="10"/>
    <col width="2" customWidth="1" min="11" max="11"/>
    <col width="26" customWidth="1" min="12" max="12"/>
    <col width="19.05" customWidth="1" min="13" max="13"/>
    <col width="30" customWidth="1" min="14" max="14"/>
    <col hidden="1" width="13" customWidth="1" min="25" max="25"/>
    <col hidden="1" width="13" customWidth="1" min="26" max="26"/>
    <col hidden="1" width="13" customWidth="1" min="79" max="79"/>
  </cols>
  <sheetData>
    <row r="1" ht="33" customHeight="1">
      <c r="A1" s="69" t="inlineStr">
        <is>
          <t>盈 亏 平 衡 表（一年要做多少产值才不亏 · 在建项目还能花多少 · 报价计算器）</t>
        </is>
      </c>
      <c r="K1" s="33" t="inlineStr">
        <is>
          <t>← 回首页</t>
        </is>
      </c>
      <c r="Z1" s="2">
        <f>SUM(CA1:CA1)</f>
        <v>1</v>
      </c>
      <c r="CA1" s="2">
        <f>IF(AND(项目利润表!$B$7&lt;&gt;"",OR(项目利润表!$C$7="在建",项目利润表!$C$7="完工未结算"),N(项目利润表!$D$7)&gt;0),1,0)</f>
        <v>1</v>
      </c>
    </row>
    <row r="2" ht="38" customHeight="1">
      <c r="A2" s="3" t="inlineStr">
        <is>
          <t>💡 ① 公司保本：一年的固定开支（管理费、利息等）÷（1 − 变动成本率）＝保本产值；变动成本率默认用已完工项目的（材料人工分包机械税金占产值的比例），没有完工项目就用本年的，也可以在黄格子手填。② 在建项目：总价扣掉税金和管理费，还能花多少直接成本不亏。③ 报价计算器：填预算成本，算保本价和建议报价。</t>
        </is>
      </c>
      <c r="Z2" s="2">
        <f>SUM(CA1:CA2)</f>
        <v>2</v>
      </c>
      <c r="CA2" s="2">
        <f>IF(AND(项目利润表!$B$8&lt;&gt;"",OR(项目利润表!$C$8="在建",项目利润表!$C$8="完工未结算"),N(项目利润表!$D$8)&gt;0),1,0)</f>
        <v>1</v>
      </c>
    </row>
    <row r="3">
      <c r="B3" s="98" t="str">
        <f>_辅助!$J$7&amp;"年  截止 "&amp;TEXT(_辅助!$J$9,"m月d日")&amp;"（本年有数的月份："&amp;MAX(1,_辅助!$J$8-IF(_辅助!$J$7=_辅助!$J$6,MONTH(基础资料!$C$9)-1,0))&amp;" 个月）"</f>
        <v>2026年  截止 8月31日（本年有数的月份：6 个月）</v>
      </c>
      <c r="Z3" s="2">
        <f>SUM(CA1:CA3)</f>
        <v>3</v>
      </c>
      <c r="CA3" s="2">
        <f>IF(AND(项目利润表!$B$9&lt;&gt;"",OR(项目利润表!$C$9="在建",项目利润表!$C$9="完工未结算"),N(项目利润表!$D$9)&gt;0),1,0)</f>
        <v>1</v>
      </c>
    </row>
    <row r="4">
      <c r="Z4" s="2">
        <f>SUM(CA1:CA4)</f>
        <v>4</v>
      </c>
      <c r="CA4" s="2">
        <f>IF(AND(项目利润表!$B$10&lt;&gt;"",OR(项目利润表!$C$10="在建",项目利润表!$C$10="完工未结算"),N(项目利润表!$D$10)&gt;0),1,0)</f>
        <v>1</v>
      </c>
    </row>
    <row r="5">
      <c r="A5" s="75" t="inlineStr">
        <is>
          <t>① 公司保本（全年）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L5" s="23" t="inlineStr">
        <is>
          <t>③ 报价计算器</t>
        </is>
      </c>
      <c r="M5" s="12" t="n"/>
      <c r="N5" s="12" t="n"/>
      <c r="Z5" s="2">
        <f>SUM(CA1:CA5)</f>
        <v>5</v>
      </c>
      <c r="CA5" s="2">
        <f>IF(AND(项目利润表!$B$11&lt;&gt;"",OR(项目利润表!$C$11="在建",项目利润表!$C$11="完工未结算"),N(项目利润表!$D$11)&gt;0),1,0)</f>
        <v>1</v>
      </c>
    </row>
    <row r="6">
      <c r="Z6" s="2">
        <f>SUM(CA1:CA6)</f>
        <v>6</v>
      </c>
      <c r="CA6" s="2">
        <f>IF(AND(项目利润表!$B$12&lt;&gt;"",OR(项目利润表!$C$12="在建",项目利润表!$C$12="完工未结算"),N(项目利润表!$D$12)&gt;0),1,0)</f>
        <v>1</v>
      </c>
    </row>
    <row r="7">
      <c r="A7" s="94" t="n">
        <v>1</v>
      </c>
      <c r="B7" s="19" t="inlineStr">
        <is>
          <t>本年已过几个月（建账那年从建账月算）</t>
        </is>
      </c>
      <c r="C7" s="147">
        <f>MAX(1,_辅助!$J$8-IF(_辅助!$J$7=_辅助!$J$6,MONTH(基础资料!$C$9)-1,0))</f>
        <v>6</v>
      </c>
      <c r="D7" s="28" t="inlineStr"/>
      <c r="E7" s="9" t="n"/>
      <c r="F7" s="9" t="n"/>
      <c r="G7" s="9" t="n"/>
      <c r="H7" s="9" t="n"/>
      <c r="I7" s="9" t="n"/>
      <c r="J7" s="10" t="n"/>
      <c r="L7" s="19" t="inlineStr">
        <is>
          <t>材料费（预算）</t>
        </is>
      </c>
      <c r="M7" s="148" t="n"/>
      <c r="N7" s="28" t="inlineStr">
        <is>
          <t>黄格子填</t>
        </is>
      </c>
      <c r="Z7" s="2">
        <f>SUM(CA1:CA7)</f>
        <v>7</v>
      </c>
      <c r="CA7" s="2">
        <f>IF(AND(项目利润表!$B$13&lt;&gt;"",OR(项目利润表!$C$13="在建",项目利润表!$C$13="完工未结算"),N(项目利润表!$D$13)&gt;0),1,0)</f>
        <v>1</v>
      </c>
    </row>
    <row r="8">
      <c r="A8" s="94" t="n">
        <v>2</v>
      </c>
      <c r="B8" s="19" t="inlineStr">
        <is>
          <t>本年间接费用（管理费）</t>
        </is>
      </c>
      <c r="C8" s="73">
        <f>_月汇总!$O$11+_月汇总!$O$12+_月汇总!$O$13+_月汇总!$O$14+_月汇总!$O$15+_月汇总!$O$16+_月汇总!$O$17+_月汇总!$O$18</f>
        <v>86223.24</v>
      </c>
      <c r="D8" s="28" t="inlineStr">
        <is>
          <t>管理人员在公司的工资、社保、办公、招待、车辆、伙食、折旧等</t>
        </is>
      </c>
      <c r="E8" s="9" t="n"/>
      <c r="F8" s="9" t="n"/>
      <c r="G8" s="9" t="n"/>
      <c r="H8" s="9" t="n"/>
      <c r="I8" s="9" t="n"/>
      <c r="J8" s="10" t="n"/>
      <c r="L8" s="19" t="inlineStr">
        <is>
          <t>人工费（预算）</t>
        </is>
      </c>
      <c r="M8" s="148" t="n"/>
      <c r="N8" s="28" t="inlineStr"/>
      <c r="Z8" s="2">
        <f>SUM(CA1:CA8)</f>
        <v>8</v>
      </c>
      <c r="CA8" s="2">
        <f>IF(AND(项目利润表!$B$14&lt;&gt;"",OR(项目利润表!$C$14="在建",项目利润表!$C$14="完工未结算"),N(项目利润表!$D$14)&gt;0),1,0)</f>
        <v>1</v>
      </c>
    </row>
    <row r="9">
      <c r="A9" s="94" t="n">
        <v>3</v>
      </c>
      <c r="B9" s="19" t="inlineStr">
        <is>
          <t>本年利息、手续费、其他收支（净）</t>
        </is>
      </c>
      <c r="C9" s="73">
        <f>_月汇总!$O$19+_月汇总!$O$20+_月汇总!$O$21+_月汇总!$O$23+_月汇总!$O$24-_月汇总!$O$22</f>
        <v>6001.21</v>
      </c>
      <c r="D9" s="28" t="inlineStr">
        <is>
          <t>公司不分摊的</t>
        </is>
      </c>
      <c r="E9" s="9" t="n"/>
      <c r="F9" s="9" t="n"/>
      <c r="G9" s="9" t="n"/>
      <c r="H9" s="9" t="n"/>
      <c r="I9" s="9" t="n"/>
      <c r="J9" s="10" t="n"/>
      <c r="L9" s="19" t="inlineStr">
        <is>
          <t>分包费（预算）</t>
        </is>
      </c>
      <c r="M9" s="148" t="n"/>
      <c r="N9" s="28" t="inlineStr"/>
      <c r="Z9" s="2">
        <f>SUM(CA1:CA9)</f>
        <v>9</v>
      </c>
      <c r="CA9" s="2">
        <f>IF(AND(项目利润表!$B$15&lt;&gt;"",OR(项目利润表!$C$15="在建",项目利润表!$C$15="完工未结算"),N(项目利润表!$D$15)&gt;0),1,0)</f>
        <v>1</v>
      </c>
    </row>
    <row r="10">
      <c r="A10" s="94" t="n">
        <v>4</v>
      </c>
      <c r="B10" s="19" t="inlineStr">
        <is>
          <t>本年固定开支合计</t>
        </is>
      </c>
      <c r="C10" s="73">
        <f>C8+C9</f>
        <v>92224.45</v>
      </c>
      <c r="D10" s="28" t="inlineStr"/>
      <c r="E10" s="9" t="n"/>
      <c r="F10" s="9" t="n"/>
      <c r="G10" s="9" t="n"/>
      <c r="H10" s="9" t="n"/>
      <c r="I10" s="9" t="n"/>
      <c r="J10" s="10" t="n"/>
      <c r="L10" s="19" t="inlineStr">
        <is>
          <t>机械运输费（预算）</t>
        </is>
      </c>
      <c r="M10" s="148" t="n"/>
      <c r="N10" s="28" t="inlineStr"/>
      <c r="Z10" s="2">
        <f>SUM(CA1:CA10)</f>
        <v>10</v>
      </c>
      <c r="CA10" s="2">
        <f>IF(AND(项目利润表!$B$16&lt;&gt;"",OR(项目利润表!$C$16="在建",项目利润表!$C$16="完工未结算"),N(项目利润表!$D$16)&gt;0),1,0)</f>
        <v>1</v>
      </c>
    </row>
    <row r="11">
      <c r="A11" s="94" t="n">
        <v>5</v>
      </c>
      <c r="B11" s="19" t="inlineStr">
        <is>
          <t>全年固定开支（按月平均推一年）</t>
        </is>
      </c>
      <c r="C11" s="73">
        <f>IF(N(C7)=0,0,C10/C7*12)</f>
        <v>184448.9</v>
      </c>
      <c r="D11" s="28" t="inlineStr">
        <is>
          <t>不管做多少活都要花的</t>
        </is>
      </c>
      <c r="E11" s="9" t="n"/>
      <c r="F11" s="9" t="n"/>
      <c r="G11" s="9" t="n"/>
      <c r="H11" s="9" t="n"/>
      <c r="I11" s="9" t="n"/>
      <c r="J11" s="10" t="n"/>
      <c r="L11" s="19" t="inlineStr">
        <is>
          <t>其他直接费（预算）</t>
        </is>
      </c>
      <c r="M11" s="148" t="n"/>
      <c r="N11" s="28" t="inlineStr">
        <is>
          <t>检测、期间费等</t>
        </is>
      </c>
      <c r="Z11" s="2">
        <f>SUM(CA1:CA11)</f>
        <v>10</v>
      </c>
      <c r="CA11" s="2">
        <f>IF(AND(项目利润表!$B$17&lt;&gt;"",OR(项目利润表!$C$17="在建",项目利润表!$C$17="完工未结算"),N(项目利润表!$D$17)&gt;0),1,0)</f>
        <v>0</v>
      </c>
    </row>
    <row r="12">
      <c r="A12" s="94" t="n">
        <v>6</v>
      </c>
      <c r="B12" s="19" t="inlineStr">
        <is>
          <t>变动成本率（算出来的）</t>
        </is>
      </c>
      <c r="C12" s="149">
        <f>IF(SUMPRODUCT(((项目利润表!$C$7:$C$66="完工未结算")+(项目利润表!$C$7:$C$66="已结算")+(项目利润表!$C$7:$C$66="质保期")+(项目利润表!$C$7:$C$66="已完结")),项目利润表!$Q$7:$Q$66)&gt;0,(SUMPRODUCT(((项目利润表!$C$7:$C$66="完工未结算")+(项目利润表!$C$7:$C$66="已结算")+(项目利润表!$C$7:$C$66="质保期")+(项目利润表!$C$7:$C$66="已完结")),项目利润表!$R$7:$R$66)+SUMPRODUCT(((项目利润表!$C$7:$C$66="完工未结算")+(项目利润表!$C$7:$C$66="已结算")+(项目利润表!$C$7:$C$66="质保期")+(项目利润表!$C$7:$C$66="已完结")),项目利润表!$S$7:$S$66)+SUMPRODUCT(((项目利润表!$C$7:$C$66="完工未结算")+(项目利润表!$C$7:$C$66="已结算")+(项目利润表!$C$7:$C$66="质保期")+(项目利润表!$C$7:$C$66="已完结")),项目利润表!$T$7:$T$66)+SUMPRODUCT(((项目利润表!$C$7:$C$66="完工未结算")+(项目利润表!$C$7:$C$66="已结算")+(项目利润表!$C$7:$C$66="质保期")+(项目利润表!$C$7:$C$66="已完结")),项目利润表!$U$7:$U$66)+SUMPRODUCT(((项目利润表!$C$7:$C$66="完工未结算")+(项目利润表!$C$7:$C$66="已结算")+(项目利润表!$C$7:$C$66="质保期")+(项目利润表!$C$7:$C$66="已完结")),项目利润表!$V$7:$V$66)+SUMPRODUCT(((项目利润表!$C$7:$C$66="完工未结算")+(项目利润表!$C$7:$C$66="已结算")+(项目利润表!$C$7:$C$66="质保期")+(项目利润表!$C$7:$C$66="已完结")),项目利润表!$W$7:$W$66)+SUMPRODUCT(((项目利润表!$C$7:$C$66="完工未结算")+(项目利润表!$C$7:$C$66="已结算")+(项目利润表!$C$7:$C$66="质保期")+(项目利润表!$C$7:$C$66="已完结")),项目利润表!$X$7:$X$66))/SUMPRODUCT(((项目利润表!$C$7:$C$66="完工未结算")+(项目利润表!$C$7:$C$66="已结算")+(项目利润表!$C$7:$C$66="质保期")+(项目利润表!$C$7:$C$66="已完结")),项目利润表!$Q$7:$Q$66),IF(SUM(项目利润表!$Q$7:$Q$66)&gt;0,(SUM(项目利润表!$R$7:$R$66)+SUM(项目利润表!$S$7:$S$66)+SUM(项目利润表!$T$7:$T$66)+SUM(项目利润表!$U$7:$U$66)+SUM(项目利润表!$V$7:$V$66)+SUM(项目利润表!$W$7:$W$66)+SUM(项目利润表!$X$7:$X$66))/SUM(项目利润表!$Q$7:$Q$66),IF(N(_月汇总!$O$3)&gt;0,(_月汇总!$O$4+_月汇总!$O$5+_月汇总!$O$6+_月汇总!$O$7+_月汇总!$O$8+_月汇总!$O$9+_月汇总!$O$10)/_月汇总!$O$3,"")))</f>
        <v>0.649416139968516</v>
      </c>
      <c r="D12" s="28" t="str">
        <f>IF(SUMPRODUCT(((项目利润表!$C$7:$C$66="完工未结算")+(项目利润表!$C$7:$C$66="已结算")+(项目利润表!$C$7:$C$66="质保期")+(项目利润表!$C$7:$C$66="已完结")),项目利润表!$Q$7:$Q$66)&gt;0,"按已完工项目（开工至今）算的",IF(SUM(项目利润表!$Q$7:$Q$66)&gt;0,"还没有完工项目，按全部项目开工至今算的（成本没录全会偏低）","按本年的算"))</f>
        <v>还没有完工项目，按全部项目开工至今算的（成本没录全会偏低）</v>
      </c>
      <c r="E12" s="9" t="n"/>
      <c r="F12" s="9" t="n"/>
      <c r="G12" s="9" t="n"/>
      <c r="H12" s="9" t="n"/>
      <c r="I12" s="9" t="n"/>
      <c r="J12" s="10" t="n"/>
      <c r="L12" s="19" t="inlineStr">
        <is>
          <t>直接成本合计</t>
        </is>
      </c>
      <c r="M12" s="73">
        <f>SUM(M7:M11)</f>
        <v>0</v>
      </c>
      <c r="N12" s="28" t="inlineStr"/>
      <c r="Z12" s="2">
        <f>SUM(CA1:CA12)</f>
        <v>10</v>
      </c>
      <c r="CA12" s="2">
        <f>IF(AND(项目利润表!$B$18&lt;&gt;"",OR(项目利润表!$C$18="在建",项目利润表!$C$18="完工未结算"),N(项目利润表!$D$18)&gt;0),1,0)</f>
        <v>0</v>
      </c>
    </row>
    <row r="13">
      <c r="A13" s="94" t="n">
        <v>7</v>
      </c>
      <c r="B13" s="19" t="inlineStr">
        <is>
          <t>变动成本率（手填，可空着）</t>
        </is>
      </c>
      <c r="C13" s="150" t="n"/>
      <c r="D13" s="28" t="inlineStr">
        <is>
          <t>觉得上面的不准就填一个，比如 85%</t>
        </is>
      </c>
      <c r="E13" s="9" t="n"/>
      <c r="F13" s="9" t="n"/>
      <c r="G13" s="9" t="n"/>
      <c r="H13" s="9" t="n"/>
      <c r="I13" s="9" t="n"/>
      <c r="J13" s="10" t="n"/>
      <c r="L13" s="19" t="inlineStr">
        <is>
          <t>管理费率</t>
        </is>
      </c>
      <c r="M13" s="149">
        <f>N(INDEX(费用分摊!$F$8:$F$15,_辅助!$J$7-_辅助!$J$6+1))</f>
        <v>0.375923325335853</v>
      </c>
      <c r="N13" s="28" t="inlineStr">
        <is>
          <t>今年的费率（【费用分摊】）</t>
        </is>
      </c>
      <c r="Z13" s="2">
        <f>SUM(CA1:CA13)</f>
        <v>10</v>
      </c>
      <c r="CA13" s="2">
        <f>IF(AND(项目利润表!$B$19&lt;&gt;"",OR(项目利润表!$C$19="在建",项目利润表!$C$19="完工未结算"),N(项目利润表!$D$19)&gt;0),1,0)</f>
        <v>0</v>
      </c>
    </row>
    <row r="14">
      <c r="A14" s="94" t="n">
        <v>8</v>
      </c>
      <c r="B14" s="139" t="inlineStr">
        <is>
          <t>采用的变动成本率</t>
        </is>
      </c>
      <c r="C14" s="149">
        <f>IF(ISNUMBER(C13),C13,IF(ISNUMBER(C12),C12,0))</f>
        <v>0.649416139968516</v>
      </c>
      <c r="D14" s="28" t="inlineStr">
        <is>
          <t>每做 100 元产值，材料人工分包机械税金要花掉的</t>
        </is>
      </c>
      <c r="E14" s="9" t="n"/>
      <c r="F14" s="9" t="n"/>
      <c r="G14" s="9" t="n"/>
      <c r="H14" s="9" t="n"/>
      <c r="I14" s="9" t="n"/>
      <c r="J14" s="10" t="n"/>
      <c r="L14" s="19" t="inlineStr">
        <is>
          <t>要摊的管理费</t>
        </is>
      </c>
      <c r="M14" s="73">
        <f>ROUND(IF(基础资料!$AF$9="直接成本",M12,M8+M9+M10)*M13,2)</f>
        <v>0</v>
      </c>
      <c r="N14" s="28" t="inlineStr">
        <is>
          <t>按分摊依据×费率</t>
        </is>
      </c>
      <c r="Z14" s="2">
        <f>SUM(CA1:CA14)</f>
        <v>10</v>
      </c>
      <c r="CA14" s="2">
        <f>IF(AND(项目利润表!$B$20&lt;&gt;"",OR(项目利润表!$C$20="在建",项目利润表!$C$20="完工未结算"),N(项目利润表!$D$20)&gt;0),1,0)</f>
        <v>0</v>
      </c>
    </row>
    <row r="15">
      <c r="A15" s="94" t="n">
        <v>9</v>
      </c>
      <c r="B15" s="19" t="inlineStr">
        <is>
          <t>边际贡献率（1 − 变动成本率）</t>
        </is>
      </c>
      <c r="C15" s="149">
        <f>1-C14</f>
        <v>0.350583860031484</v>
      </c>
      <c r="D15" s="28" t="inlineStr">
        <is>
          <t>每做 100 元产值，能拿来付管理费和赚钱的</t>
        </is>
      </c>
      <c r="E15" s="9" t="n"/>
      <c r="F15" s="9" t="n"/>
      <c r="G15" s="9" t="n"/>
      <c r="H15" s="9" t="n"/>
      <c r="I15" s="9" t="n"/>
      <c r="J15" s="10" t="n"/>
      <c r="L15" s="19" t="inlineStr">
        <is>
          <t>税金占产值</t>
        </is>
      </c>
      <c r="M15" s="149">
        <f>IF(AND(SUM(项目利润表!$Q$7:$Q$66)&gt;0,SUM(项目利润表!$W$7:$W$66)&gt;SUM(项目利润表!$Q$7:$Q$66)*0.005),SUM(项目利润表!$W$7:$W$66)/SUM(项目利润表!$Q$7:$Q$66),基础资料!$AF$11)</f>
        <v>0.03</v>
      </c>
      <c r="N15" s="28" t="inlineStr">
        <is>
          <t>按以往项目估</t>
        </is>
      </c>
      <c r="Z15" s="2">
        <f>SUM(CA1:CA15)</f>
        <v>10</v>
      </c>
      <c r="CA15" s="2">
        <f>IF(AND(项目利润表!$B$21&lt;&gt;"",OR(项目利润表!$C$21="在建",项目利润表!$C$21="完工未结算"),N(项目利润表!$D$21)&gt;0),1,0)</f>
        <v>0</v>
      </c>
    </row>
    <row r="16">
      <c r="A16" s="94" t="n">
        <v>10</v>
      </c>
      <c r="B16" s="139" t="inlineStr">
        <is>
          <t>全年保本产值</t>
        </is>
      </c>
      <c r="C16" s="93">
        <f>IF(N(C15)&lt;=0,"做多少亏多少",C11/C15)</f>
        <v>526119.200077937</v>
      </c>
      <c r="D16" s="28" t="inlineStr">
        <is>
          <t>一年至少要做这么多产值（含税）才不亏</t>
        </is>
      </c>
      <c r="E16" s="9" t="n"/>
      <c r="F16" s="9" t="n"/>
      <c r="G16" s="9" t="n"/>
      <c r="H16" s="9" t="n"/>
      <c r="I16" s="9" t="n"/>
      <c r="J16" s="10" t="n"/>
      <c r="L16" s="19" t="inlineStr">
        <is>
          <t>想赚的净利率</t>
        </is>
      </c>
      <c r="M16" s="150" t="n">
        <v>0.08</v>
      </c>
      <c r="N16" s="28" t="inlineStr">
        <is>
          <t>黄格子，比如 8%</t>
        </is>
      </c>
      <c r="Z16" s="2">
        <f>SUM(CA1:CA16)</f>
        <v>10</v>
      </c>
      <c r="CA16" s="2">
        <f>IF(AND(项目利润表!$B$22&lt;&gt;"",OR(项目利润表!$C$22="在建",项目利润表!$C$22="完工未结算"),N(项目利润表!$D$22)&gt;0),1,0)</f>
        <v>0</v>
      </c>
    </row>
    <row r="17">
      <c r="A17" s="94" t="n">
        <v>11</v>
      </c>
      <c r="B17" s="19" t="inlineStr">
        <is>
          <t>每月保本产值</t>
        </is>
      </c>
      <c r="C17" s="73">
        <f>IF(ISNUMBER(C16),C16/12,"")</f>
        <v>43843.2666731614</v>
      </c>
      <c r="D17" s="28" t="inlineStr"/>
      <c r="E17" s="9" t="n"/>
      <c r="F17" s="9" t="n"/>
      <c r="G17" s="9" t="n"/>
      <c r="H17" s="9" t="n"/>
      <c r="I17" s="9" t="n"/>
      <c r="J17" s="10" t="n"/>
      <c r="L17" s="139" t="inlineStr">
        <is>
          <t>保本报价（含税）</t>
        </is>
      </c>
      <c r="M17" s="93">
        <f>IF(1-M15&lt;=0,"",ROUND((M12+M14)/(1-M15),2))</f>
        <v>0</v>
      </c>
      <c r="N17" s="28" t="inlineStr">
        <is>
          <t>低于这个价就亏</t>
        </is>
      </c>
      <c r="Z17" s="2">
        <f>SUM(CA1:CA17)</f>
        <v>10</v>
      </c>
      <c r="CA17" s="2">
        <f>IF(AND(项目利润表!$B$23&lt;&gt;"",OR(项目利润表!$C$23="在建",项目利润表!$C$23="完工未结算"),N(项目利润表!$D$23)&gt;0),1,0)</f>
        <v>0</v>
      </c>
    </row>
    <row r="18">
      <c r="A18" s="94" t="n">
        <v>12</v>
      </c>
      <c r="B18" s="19" t="inlineStr">
        <is>
          <t>本年已确认产值</t>
        </is>
      </c>
      <c r="C18" s="73">
        <f>_月汇总!$O$3</f>
        <v>8992</v>
      </c>
      <c r="D18" s="28" t="inlineStr"/>
      <c r="E18" s="9" t="n"/>
      <c r="F18" s="9" t="n"/>
      <c r="G18" s="9" t="n"/>
      <c r="H18" s="9" t="n"/>
      <c r="I18" s="9" t="n"/>
      <c r="J18" s="10" t="n"/>
      <c r="L18" s="139" t="inlineStr">
        <is>
          <t>建议报价（含税）</t>
        </is>
      </c>
      <c r="M18" s="93">
        <f>IF(1-M15-M16&lt;=0,"",ROUND((M12+M14)/(1-M15-M16),2))</f>
        <v>0</v>
      </c>
      <c r="N18" s="28" t="inlineStr">
        <is>
          <t>按想赚的利润率</t>
        </is>
      </c>
      <c r="Z18" s="2">
        <f>SUM(CA1:CA18)</f>
        <v>10</v>
      </c>
      <c r="CA18" s="2">
        <f>IF(AND(项目利润表!$B$24&lt;&gt;"",OR(项目利润表!$C$24="在建",项目利润表!$C$24="完工未结算"),N(项目利润表!$D$24)&gt;0),1,0)</f>
        <v>0</v>
      </c>
    </row>
    <row r="19">
      <c r="A19" s="94" t="n">
        <v>13</v>
      </c>
      <c r="B19" s="19" t="inlineStr">
        <is>
          <t>预计全年产值（按月平均推）</t>
        </is>
      </c>
      <c r="C19" s="73">
        <f>IF(N(C7)=0,0,C18/C7*12)</f>
        <v>17984</v>
      </c>
      <c r="D19" s="28" t="inlineStr"/>
      <c r="E19" s="9" t="n"/>
      <c r="F19" s="9" t="n"/>
      <c r="G19" s="9" t="n"/>
      <c r="H19" s="9" t="n"/>
      <c r="I19" s="9" t="n"/>
      <c r="J19" s="10" t="n"/>
      <c r="L19" s="19" t="inlineStr">
        <is>
          <t>按建议价预计能赚</t>
        </is>
      </c>
      <c r="M19" s="73">
        <f>IF(ISNUMBER(M18),ROUND(M18*M16,2),"")</f>
        <v>0</v>
      </c>
      <c r="N19" s="28" t="inlineStr"/>
      <c r="Z19" s="2">
        <f>SUM(CA1:CA19)</f>
        <v>10</v>
      </c>
      <c r="CA19" s="2">
        <f>IF(AND(项目利润表!$B$25&lt;&gt;"",OR(项目利润表!$C$25="在建",项目利润表!$C$25="完工未结算"),N(项目利润表!$D$25)&gt;0),1,0)</f>
        <v>0</v>
      </c>
    </row>
    <row r="20">
      <c r="A20" s="94" t="n">
        <v>14</v>
      </c>
      <c r="B20" s="19" t="inlineStr">
        <is>
          <t>预计全年产值（手填，可空着）</t>
        </is>
      </c>
      <c r="C20" s="148" t="n"/>
      <c r="D20" s="28" t="inlineStr">
        <is>
          <t>手上合同今年能做多少，填这里更准</t>
        </is>
      </c>
      <c r="E20" s="9" t="n"/>
      <c r="F20" s="9" t="n"/>
      <c r="G20" s="9" t="n"/>
      <c r="H20" s="9" t="n"/>
      <c r="I20" s="9" t="n"/>
      <c r="J20" s="10" t="n"/>
      <c r="Z20" s="2">
        <f>SUM(CA1:CA20)</f>
        <v>10</v>
      </c>
      <c r="CA20" s="2">
        <f>IF(AND(项目利润表!$B$26&lt;&gt;"",OR(项目利润表!$C$26="在建",项目利润表!$C$26="完工未结算"),N(项目利润表!$D$26)&gt;0),1,0)</f>
        <v>0</v>
      </c>
    </row>
    <row r="21">
      <c r="A21" s="94" t="n">
        <v>15</v>
      </c>
      <c r="B21" s="139" t="inlineStr">
        <is>
          <t>采用的全年产值</t>
        </is>
      </c>
      <c r="C21" s="73">
        <f>IF(ISNUMBER(C20),C20,C19)</f>
        <v>17984</v>
      </c>
      <c r="D21" s="28" t="inlineStr"/>
      <c r="E21" s="9" t="n"/>
      <c r="F21" s="9" t="n"/>
      <c r="G21" s="9" t="n"/>
      <c r="H21" s="9" t="n"/>
      <c r="I21" s="9" t="n"/>
      <c r="J21" s="10" t="n"/>
      <c r="Z21" s="2">
        <f>SUM(CA1:CA21)</f>
        <v>10</v>
      </c>
      <c r="CA21" s="2">
        <f>IF(AND(项目利润表!$B$27&lt;&gt;"",OR(项目利润表!$C$27="在建",项目利润表!$C$27="完工未结算"),N(项目利润表!$D$27)&gt;0),1,0)</f>
        <v>0</v>
      </c>
    </row>
    <row r="22">
      <c r="A22" s="94" t="n">
        <v>16</v>
      </c>
      <c r="B22" s="139" t="inlineStr">
        <is>
          <t>安全边际</t>
        </is>
      </c>
      <c r="C22" s="151">
        <f>IF(OR(N(C21)=0,NOT(ISNUMBER(C16))),"",(C21-C16)/C21)</f>
        <v>-28.2548487587821</v>
      </c>
      <c r="D22" s="28" t="inlineStr">
        <is>
          <t>越大越安全；负数＝照这样做下去今年要亏</t>
        </is>
      </c>
      <c r="E22" s="9" t="n"/>
      <c r="F22" s="9" t="n"/>
      <c r="G22" s="9" t="n"/>
      <c r="H22" s="9" t="n"/>
      <c r="I22" s="9" t="n"/>
      <c r="J22" s="10" t="n"/>
      <c r="Z22" s="2">
        <f>SUM(CA1:CA22)</f>
        <v>10</v>
      </c>
      <c r="CA22" s="2">
        <f>IF(AND(项目利润表!$B$28&lt;&gt;"",OR(项目利润表!$C$28="在建",项目利润表!$C$28="完工未结算"),N(项目利润表!$D$28)&gt;0),1,0)</f>
        <v>0</v>
      </c>
    </row>
    <row r="23">
      <c r="A23" s="94" t="n">
        <v>17</v>
      </c>
      <c r="B23" s="19" t="inlineStr">
        <is>
          <t>预计全年利润（所得税前）</t>
        </is>
      </c>
      <c r="C23" s="73">
        <f>ROUND(C21*C15-C11,2)</f>
        <v>-178144</v>
      </c>
      <c r="D23" s="28" t="inlineStr"/>
      <c r="E23" s="9" t="n"/>
      <c r="F23" s="9" t="n"/>
      <c r="G23" s="9" t="n"/>
      <c r="H23" s="9" t="n"/>
      <c r="I23" s="9" t="n"/>
      <c r="J23" s="10" t="n"/>
      <c r="Z23" s="2">
        <f>SUM(CA1:CA23)</f>
        <v>10</v>
      </c>
      <c r="CA23" s="2">
        <f>IF(AND(项目利润表!$B$29&lt;&gt;"",OR(项目利润表!$C$29="在建",项目利润表!$C$29="完工未结算"),N(项目利润表!$D$29)&gt;0),1,0)</f>
        <v>0</v>
      </c>
    </row>
    <row r="24">
      <c r="B24" s="24" t="inlineStr">
        <is>
          <t>一句话：</t>
        </is>
      </c>
      <c r="C24" s="133" t="str">
        <f>IF(NOT(ISNUMBER(C16)),"变动成本率≥100%：做得越多亏得越多，先看【项目利润表】哪些项目亏了",IF(C21&gt;=C16,"照现在的速度，今年产值约 "&amp;TEXT(C21/10000,"#,##0")&amp;" 万，比保本线多 "&amp;TEXT((C21-C16)/10000,"#,##0")&amp;" 万，预计能赚 "&amp;TEXT(C23/10000,"#,##0.0")&amp;" 万","照现在的速度，今年产值约 "&amp;TEXT(C21/10000,"#,##0")&amp;" 万，还差 "&amp;TEXT((C16-C21)/10000,"#,##0")&amp;" 万产值才保本"))</f>
        <v>照现在的速度，今年产值约 2 万，还差 51 万产值才保本</v>
      </c>
      <c r="Z24" s="2">
        <f>SUM(CA1:CA24)</f>
        <v>10</v>
      </c>
      <c r="CA24" s="2">
        <f>IF(AND(项目利润表!$B$30&lt;&gt;"",OR(项目利润表!$C$30="在建",项目利润表!$C$30="完工未结算"),N(项目利润表!$D$30)&gt;0),1,0)</f>
        <v>0</v>
      </c>
    </row>
    <row r="25">
      <c r="B25" s="7" t="str">
        <f>"税金按各项目自己的税负估（没有就按 "&amp;TEXT(IF(AND(SUM(项目利润表!$Q$7:$Q$66)&gt;0,SUM(项目利润表!$W$7:$W$66)&gt;SUM(项目利润表!$Q$7:$Q$66)*0.005),SUM(项目利润表!$W$7:$W$66)/SUM(项目利润表!$Q$7:$Q$66),基础资料!$AF$11),"0.0%")&amp;"），管理费率按今年的 "&amp;TEXT(N(INDEX(费用分摊!$F$8:$F$15,_辅助!$J$7-_辅助!$J$6+1)),"0.0%")&amp;"；已经摊到的管理费先扣掉"</f>
        <v>税金按各项目自己的税负估（没有就按 3.0%），管理费率按今年的 37.6%；已经摊到的管理费先扣掉</v>
      </c>
      <c r="Z25" s="2">
        <f>SUM(CA1:CA25)</f>
        <v>10</v>
      </c>
      <c r="CA25" s="2">
        <f>IF(AND(项目利润表!$B$31&lt;&gt;"",OR(项目利润表!$C$31="在建",项目利润表!$C$31="完工未结算"),N(项目利润表!$D$31)&gt;0),1,0)</f>
        <v>0</v>
      </c>
    </row>
    <row r="26">
      <c r="A26" s="75" t="inlineStr">
        <is>
          <t>② 在建项目：总价扣掉税金和管理费，直接成本最多能花多少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Z26" s="2">
        <f>SUM(CA1:CA26)</f>
        <v>10</v>
      </c>
      <c r="CA26" s="2">
        <f>IF(AND(项目利润表!$B$32&lt;&gt;"",OR(项目利润表!$C$32="在建",项目利润表!$C$32="完工未结算"),N(项目利润表!$D$32)&gt;0),1,0)</f>
        <v>0</v>
      </c>
    </row>
    <row r="27" ht="40" customHeight="1">
      <c r="A27" s="70" t="inlineStr">
        <is>
          <t>序号</t>
        </is>
      </c>
      <c r="B27" s="70" t="inlineStr">
        <is>
          <t>项目</t>
        </is>
      </c>
      <c r="C27" s="70" t="inlineStr">
        <is>
          <t>总价</t>
        </is>
      </c>
      <c r="D27" s="70" t="inlineStr">
        <is>
          <t>已确认产值</t>
        </is>
      </c>
      <c r="E27" s="70" t="inlineStr">
        <is>
          <t>已花直接成本
（含贴息）</t>
        </is>
      </c>
      <c r="F27" s="70" t="inlineStr">
        <is>
          <t>不亏的
成本上限</t>
        </is>
      </c>
      <c r="G27" s="70" t="inlineStr">
        <is>
          <t>还能花</t>
        </is>
      </c>
      <c r="H27" s="70" t="inlineStr">
        <is>
          <t>已花占上限</t>
        </is>
      </c>
      <c r="I27" s="70" t="inlineStr">
        <is>
          <t>状态</t>
        </is>
      </c>
      <c r="J27" s="70" t="inlineStr">
        <is>
          <t>提示</t>
        </is>
      </c>
      <c r="Z27" s="2">
        <f>SUM(CA1:CA27)</f>
        <v>10</v>
      </c>
      <c r="CA27" s="2">
        <f>IF(AND(项目利润表!$B$33&lt;&gt;"",OR(项目利润表!$C$33="在建",项目利润表!$C$33="完工未结算"),N(项目利润表!$D$33)&gt;0),1,0)</f>
        <v>0</v>
      </c>
    </row>
    <row r="28">
      <c r="A28" s="94">
        <f>IF($Y28=0,"",1)</f>
        <v>1</v>
      </c>
      <c r="B28" s="96" t="str">
        <f t="shared" ref="B28:B87" si="0">IF($Y28=0,"",INDEX(项目利润表!$B$7:$B$66,$Y28))</f>
        <v>德安养老中心</v>
      </c>
      <c r="C28" s="21">
        <f t="shared" ref="C28:C87" si="1">IF($Y28=0,"",INDEX(项目利润表!$D$7:$D$66,$Y28))</f>
        <v>4362576.49</v>
      </c>
      <c r="D28" s="21">
        <f t="shared" ref="D28:D87" si="2">IF($Y28=0,"",INDEX(项目利润表!$Q$7:$Q$66,$Y28))</f>
        <v>4362576.49</v>
      </c>
      <c r="E28" s="21">
        <f t="shared" ref="E28:E87" si="3">IF($Y28=0,"",INDEX(项目利润表!$R$7:$R$66,$Y28)+INDEX(项目利润表!$S$7:$S$66,$Y28)+INDEX(项目利润表!$T$7:$T$66,$Y28)+INDEX(项目利润表!$U$7:$U$66,$Y28)+INDEX(项目利润表!$V$7:$V$66,$Y28)+INDEX(项目利润表!$X$7:$X$66,$Y28))</f>
        <v>3678166.62</v>
      </c>
      <c r="F28" s="21">
        <f t="shared" ref="F28:F87" si="4">IF($Y28=0,"",E28+G28)</f>
        <v>3985247.56</v>
      </c>
      <c r="G28" s="21">
        <f t="shared" ref="G28:G87" si="5">IF($Y28=0,"",ROUND((C28*(1-IF(AND(N(INDEX(项目利润表!$Q$7:$Q$66,$Y28))&gt;0,N(INDEX(项目利润表!$W$7:$W$66,$Y28))&gt;0),INDEX(项目利润表!$W$7:$W$66,$Y28)/INDEX(项目利润表!$Q$7:$Q$66,$Y28),IF(AND(SUM(项目利润表!$Q$7:$Q$66)&gt;0,SUM(项目利润表!$W$7:$W$66)&gt;SUM(项目利润表!$Q$7:$Q$66)*0.005),SUM(项目利润表!$W$7:$W$66)/SUM(项目利润表!$Q$7:$Q$66),基础资料!$AF$11)))-E28-INDEX(项目利润表!$Y$7:$Y$66,$Y28))/(1+IF(OR(基础资料!$AF$9="直接成本",(INDEX(项目利润表!$R$7:$R$66,$Y28)+INDEX(项目利润表!$S$7:$S$66,$Y28)+INDEX(项目利润表!$T$7:$T$66,$Y28)+INDEX(项目利润表!$U$7:$U$66,$Y28)+INDEX(项目利润表!$V$7:$V$66,$Y28)+INDEX(项目利润表!$X$7:$X$66,$Y28))=0),N(INDEX(费用分摊!$F$8:$F$15,_辅助!$J$7-_辅助!$J$6+1)),N(INDEX(费用分摊!$F$8:$F$15,_辅助!$J$7-_辅助!$J$6+1))*(INDEX(项目利润表!$S$7:$S$66,$Y28)+INDEX(项目利润表!$T$7:$T$66,$Y28)+INDEX(项目利润表!$U$7:$U$66,$Y28))/(INDEX(项目利润表!$R$7:$R$66,$Y28)+INDEX(项目利润表!$S$7:$S$66,$Y28)+INDEX(项目利润表!$T$7:$T$66,$Y28)+INDEX(项目利润表!$U$7:$U$66,$Y28)+INDEX(项目利润表!$V$7:$V$66,$Y28)+INDEX(项目利润表!$X$7:$X$66,$Y28)))),2))</f>
        <v>307080.94</v>
      </c>
      <c r="H28" s="22">
        <f t="shared" ref="H28:H87" si="6">IF(OR($Y28=0,N(F28)&lt;=0),"",E28/F28)</f>
        <v>0.922945579822399</v>
      </c>
      <c r="I28" s="94" t="str">
        <f t="shared" ref="I28:I87" si="7">IF($Y28=0,"",INDEX(项目利润表!$C$7:$C$66,$Y28)&amp;"")</f>
        <v>在建</v>
      </c>
      <c r="J28" s="96">
        <f t="shared" ref="J28:J87" si="8">IF($Y28=0,"",IF(N(G28)&lt;0,"已经超了，这个项目要亏",IF(AND(ISNUMBER(H28),H28&gt;0.9,N(D28)&lt;C28*0.9),"快花完了，产值还没确认完，注意控制成本","")))</f>
      </c>
      <c r="Y28" s="2">
        <f>IF(1&gt;$Z$60,0,IFERROR(MATCH(1,$Z$1:$Z$60,0),0))</f>
        <v>1</v>
      </c>
      <c r="Z28" s="2">
        <f>SUM(CA1:CA28)</f>
        <v>10</v>
      </c>
      <c r="CA28" s="2">
        <f>IF(AND(项目利润表!$B$34&lt;&gt;"",OR(项目利润表!$C$34="在建",项目利润表!$C$34="完工未结算"),N(项目利润表!$D$34)&gt;0),1,0)</f>
        <v>0</v>
      </c>
    </row>
    <row r="29">
      <c r="A29" s="94">
        <f>IF($Y29=0,"",2)</f>
        <v>2</v>
      </c>
      <c r="B29" s="96" t="str">
        <f t="shared" si="0"/>
        <v>科创中心</v>
      </c>
      <c r="C29" s="21">
        <f t="shared" si="1"/>
        <v>1641809</v>
      </c>
      <c r="D29" s="21">
        <f t="shared" si="2"/>
        <v>1641809</v>
      </c>
      <c r="E29" s="21">
        <f t="shared" si="3"/>
        <v>1061142.88</v>
      </c>
      <c r="F29" s="21">
        <f t="shared" si="4"/>
        <v>1458919.66</v>
      </c>
      <c r="G29" s="21">
        <f t="shared" si="5"/>
        <v>397776.78</v>
      </c>
      <c r="H29" s="22">
        <f t="shared" si="6"/>
        <v>0.727348399705574</v>
      </c>
      <c r="I29" s="94" t="str">
        <f t="shared" si="7"/>
        <v>在建</v>
      </c>
      <c r="J29" s="96">
        <f t="shared" si="8"/>
      </c>
      <c r="Y29" s="2">
        <f>IF(2&gt;$Z$60,0,IFERROR(MATCH(2,$Z$1:$Z$60,0),0))</f>
        <v>2</v>
      </c>
      <c r="Z29" s="2">
        <f>SUM(CA1:CA29)</f>
        <v>10</v>
      </c>
      <c r="CA29" s="2">
        <f>IF(AND(项目利润表!$B$35&lt;&gt;"",OR(项目利润表!$C$35="在建",项目利润表!$C$35="完工未结算"),N(项目利润表!$D$35)&gt;0),1,0)</f>
        <v>0</v>
      </c>
    </row>
    <row r="30">
      <c r="A30" s="94">
        <f>IF($Y30=0,"",3)</f>
        <v>3</v>
      </c>
      <c r="B30" s="96" t="str">
        <f t="shared" si="0"/>
        <v>九安架空层</v>
      </c>
      <c r="C30" s="21">
        <f t="shared" si="1"/>
        <v>1500000</v>
      </c>
      <c r="D30" s="21">
        <f t="shared" si="2"/>
        <v>1500000</v>
      </c>
      <c r="E30" s="21">
        <f t="shared" si="3"/>
        <v>355630.97</v>
      </c>
      <c r="F30" s="21">
        <f t="shared" si="4"/>
        <v>1275408.08</v>
      </c>
      <c r="G30" s="21">
        <f t="shared" si="5"/>
        <v>919777.11</v>
      </c>
      <c r="H30" s="22">
        <f t="shared" si="6"/>
        <v>0.278837005642931</v>
      </c>
      <c r="I30" s="94" t="str">
        <f t="shared" si="7"/>
        <v>在建</v>
      </c>
      <c r="J30" s="96">
        <f t="shared" si="8"/>
      </c>
      <c r="Y30" s="2">
        <f>IF(3&gt;$Z$60,0,IFERROR(MATCH(3,$Z$1:$Z$60,0),0))</f>
        <v>3</v>
      </c>
      <c r="Z30" s="2">
        <f>SUM(CA1:CA30)</f>
        <v>10</v>
      </c>
      <c r="CA30" s="2">
        <f>IF(AND(项目利润表!$B$36&lt;&gt;"",OR(项目利润表!$C$36="在建",项目利润表!$C$36="完工未结算"),N(项目利润表!$D$36)&gt;0),1,0)</f>
        <v>0</v>
      </c>
    </row>
    <row r="31">
      <c r="A31" s="94">
        <f>IF($Y31=0,"",4)</f>
        <v>4</v>
      </c>
      <c r="B31" s="96" t="str">
        <f t="shared" si="0"/>
        <v>数字产业园</v>
      </c>
      <c r="C31" s="21">
        <f t="shared" si="1"/>
        <v>325612.18</v>
      </c>
      <c r="D31" s="21">
        <f t="shared" si="2"/>
        <v>325612.18</v>
      </c>
      <c r="E31" s="21">
        <f t="shared" si="3"/>
        <v>105285.01</v>
      </c>
      <c r="F31" s="21">
        <f t="shared" si="4"/>
        <v>266124.08</v>
      </c>
      <c r="G31" s="21">
        <f t="shared" si="5"/>
        <v>160839.07</v>
      </c>
      <c r="H31" s="22">
        <f t="shared" si="6"/>
        <v>0.395623763170924</v>
      </c>
      <c r="I31" s="94" t="str">
        <f t="shared" si="7"/>
        <v>在建</v>
      </c>
      <c r="J31" s="96">
        <f t="shared" si="8"/>
      </c>
      <c r="Y31" s="2">
        <f>IF(4&gt;$Z$60,0,IFERROR(MATCH(4,$Z$1:$Z$60,0),0))</f>
        <v>4</v>
      </c>
      <c r="Z31" s="2">
        <f>SUM(CA1:CA31)</f>
        <v>10</v>
      </c>
      <c r="CA31" s="2">
        <f>IF(AND(项目利润表!$B$37&lt;&gt;"",OR(项目利润表!$C$37="在建",项目利润表!$C$37="完工未结算"),N(项目利润表!$D$37)&gt;0),1,0)</f>
        <v>0</v>
      </c>
    </row>
    <row r="32">
      <c r="A32" s="94">
        <f>IF($Y32=0,"",5)</f>
        <v>5</v>
      </c>
      <c r="B32" s="96" t="str">
        <f t="shared" si="0"/>
        <v>邹桥派出所</v>
      </c>
      <c r="C32" s="21">
        <f t="shared" si="1"/>
        <v>95560.56</v>
      </c>
      <c r="D32" s="21">
        <f t="shared" si="2"/>
        <v>95560.56</v>
      </c>
      <c r="E32" s="21">
        <f t="shared" si="3"/>
        <v>77188.2</v>
      </c>
      <c r="F32" s="21">
        <f t="shared" si="4"/>
        <v>75690.82</v>
      </c>
      <c r="G32" s="21">
        <f t="shared" si="5"/>
        <v>-1497.38</v>
      </c>
      <c r="H32" s="22">
        <f t="shared" si="6"/>
        <v>1.01978284817102</v>
      </c>
      <c r="I32" s="94" t="str">
        <f t="shared" si="7"/>
        <v>在建</v>
      </c>
      <c r="J32" s="96" t="str">
        <f t="shared" si="8"/>
        <v>已经超了，这个项目要亏</v>
      </c>
      <c r="Y32" s="2">
        <f>IF(5&gt;$Z$60,0,IFERROR(MATCH(5,$Z$1:$Z$60,0),0))</f>
        <v>5</v>
      </c>
      <c r="Z32" s="2">
        <f>SUM(CA1:CA32)</f>
        <v>10</v>
      </c>
      <c r="CA32" s="2">
        <f>IF(AND(项目利润表!$B$38&lt;&gt;"",OR(项目利润表!$C$38="在建",项目利润表!$C$38="完工未结算"),N(项目利润表!$D$38)&gt;0),1,0)</f>
        <v>0</v>
      </c>
    </row>
    <row r="33">
      <c r="A33" s="94">
        <f>IF($Y33=0,"",6)</f>
        <v>6</v>
      </c>
      <c r="B33" s="96" t="str">
        <f t="shared" si="0"/>
        <v>抚州1号楼</v>
      </c>
      <c r="C33" s="21">
        <f t="shared" si="1"/>
        <v>695372.72</v>
      </c>
      <c r="D33" s="21">
        <f t="shared" si="2"/>
        <v>695372.72</v>
      </c>
      <c r="E33" s="21">
        <f t="shared" si="3"/>
        <v>563762.17</v>
      </c>
      <c r="F33" s="21">
        <f t="shared" si="4"/>
        <v>639328.65</v>
      </c>
      <c r="G33" s="21">
        <f t="shared" si="5"/>
        <v>75566.48</v>
      </c>
      <c r="H33" s="22">
        <f t="shared" si="6"/>
        <v>0.881803388601465</v>
      </c>
      <c r="I33" s="94" t="str">
        <f t="shared" si="7"/>
        <v>在建</v>
      </c>
      <c r="J33" s="96">
        <f t="shared" si="8"/>
      </c>
      <c r="Y33" s="2">
        <f>IF(6&gt;$Z$60,0,IFERROR(MATCH(6,$Z$1:$Z$60,0),0))</f>
        <v>6</v>
      </c>
      <c r="Z33" s="2">
        <f>SUM(CA1:CA33)</f>
        <v>10</v>
      </c>
      <c r="CA33" s="2">
        <f>IF(AND(项目利润表!$B$39&lt;&gt;"",OR(项目利润表!$C$39="在建",项目利润表!$C$39="完工未结算"),N(项目利润表!$D$39)&gt;0),1,0)</f>
        <v>0</v>
      </c>
    </row>
    <row r="34">
      <c r="A34" s="94">
        <f>IF($Y34=0,"",7)</f>
        <v>7</v>
      </c>
      <c r="B34" s="96" t="str">
        <f t="shared" si="0"/>
        <v>抚州8号楼</v>
      </c>
      <c r="C34" s="21">
        <f t="shared" si="1"/>
        <v>960000</v>
      </c>
      <c r="D34" s="21">
        <f t="shared" si="2"/>
        <v>960000</v>
      </c>
      <c r="E34" s="21">
        <f t="shared" si="3"/>
        <v>691293.94</v>
      </c>
      <c r="F34" s="21">
        <f t="shared" si="4"/>
        <v>861434.54</v>
      </c>
      <c r="G34" s="21">
        <f t="shared" si="5"/>
        <v>170140.6</v>
      </c>
      <c r="H34" s="22">
        <f t="shared" si="6"/>
        <v>0.802491550896021</v>
      </c>
      <c r="I34" s="94" t="str">
        <f t="shared" si="7"/>
        <v>在建</v>
      </c>
      <c r="J34" s="96">
        <f t="shared" si="8"/>
      </c>
      <c r="Y34" s="2">
        <f>IF(7&gt;$Z$60,0,IFERROR(MATCH(7,$Z$1:$Z$60,0),0))</f>
        <v>7</v>
      </c>
      <c r="Z34" s="2">
        <f>SUM(CA1:CA34)</f>
        <v>10</v>
      </c>
      <c r="CA34" s="2">
        <f>IF(AND(项目利润表!$B$40&lt;&gt;"",OR(项目利润表!$C$40="在建",项目利润表!$C$40="完工未结算"),N(项目利润表!$D$40)&gt;0),1,0)</f>
        <v>0</v>
      </c>
    </row>
    <row r="35">
      <c r="A35" s="94">
        <f>IF($Y35=0,"",8)</f>
        <v>8</v>
      </c>
      <c r="B35" s="96" t="str">
        <f t="shared" si="0"/>
        <v>抚州2号楼</v>
      </c>
      <c r="C35" s="21">
        <f t="shared" si="1"/>
        <v>64000</v>
      </c>
      <c r="D35" s="21">
        <f t="shared" si="2"/>
        <v>64000</v>
      </c>
      <c r="E35" s="21">
        <f t="shared" si="3"/>
        <v>0</v>
      </c>
      <c r="F35" s="21">
        <f t="shared" si="4"/>
        <v>43792.47</v>
      </c>
      <c r="G35" s="21">
        <f t="shared" si="5"/>
        <v>43792.47</v>
      </c>
      <c r="H35" s="22">
        <f t="shared" si="6"/>
        <v>0</v>
      </c>
      <c r="I35" s="94" t="str">
        <f t="shared" si="7"/>
        <v>在建</v>
      </c>
      <c r="J35" s="96">
        <f t="shared" si="8"/>
      </c>
      <c r="Y35" s="2">
        <f>IF(8&gt;$Z$60,0,IFERROR(MATCH(8,$Z$1:$Z$60,0),0))</f>
        <v>8</v>
      </c>
      <c r="Z35" s="2">
        <f>SUM(CA1:CA35)</f>
        <v>10</v>
      </c>
      <c r="CA35" s="2">
        <f>IF(AND(项目利润表!$B$41&lt;&gt;"",OR(项目利润表!$C$41="在建",项目利润表!$C$41="完工未结算"),N(项目利润表!$D$41)&gt;0),1,0)</f>
        <v>0</v>
      </c>
    </row>
    <row r="36">
      <c r="A36" s="94">
        <f>IF($Y36=0,"",9)</f>
        <v>9</v>
      </c>
      <c r="B36" s="96" t="str">
        <f t="shared" si="0"/>
        <v>博河科创中心</v>
      </c>
      <c r="C36" s="21">
        <f t="shared" si="1"/>
        <v>510758.96</v>
      </c>
      <c r="D36" s="21">
        <f t="shared" si="2"/>
        <v>510758.96</v>
      </c>
      <c r="E36" s="21">
        <f t="shared" si="3"/>
        <v>0</v>
      </c>
      <c r="F36" s="21">
        <f t="shared" si="4"/>
        <v>360075.44</v>
      </c>
      <c r="G36" s="21">
        <f t="shared" si="5"/>
        <v>360075.44</v>
      </c>
      <c r="H36" s="22">
        <f t="shared" si="6"/>
        <v>0</v>
      </c>
      <c r="I36" s="94" t="str">
        <f t="shared" si="7"/>
        <v>在建</v>
      </c>
      <c r="J36" s="96">
        <f t="shared" si="8"/>
      </c>
      <c r="Y36" s="2">
        <f>IF(9&gt;$Z$60,0,IFERROR(MATCH(9,$Z$1:$Z$60,0),0))</f>
        <v>9</v>
      </c>
      <c r="Z36" s="2">
        <f>SUM(CA1:CA36)</f>
        <v>10</v>
      </c>
      <c r="CA36" s="2">
        <f>IF(AND(项目利润表!$B$42&lt;&gt;"",OR(项目利润表!$C$42="在建",项目利润表!$C$42="完工未结算"),N(项目利润表!$D$42)&gt;0),1,0)</f>
        <v>0</v>
      </c>
    </row>
    <row r="37">
      <c r="A37" s="94">
        <f>IF($Y37=0,"",10)</f>
        <v>10</v>
      </c>
      <c r="B37" s="96" t="str">
        <f t="shared" si="0"/>
        <v>德安农商行总部</v>
      </c>
      <c r="C37" s="21">
        <f t="shared" si="1"/>
        <v>8992</v>
      </c>
      <c r="D37" s="21">
        <f t="shared" si="2"/>
        <v>8992</v>
      </c>
      <c r="E37" s="21">
        <f t="shared" si="3"/>
        <v>1826.94</v>
      </c>
      <c r="F37" s="21">
        <f t="shared" si="4"/>
        <v>6642.68</v>
      </c>
      <c r="G37" s="21">
        <f t="shared" si="5"/>
        <v>4815.74</v>
      </c>
      <c r="H37" s="22">
        <f t="shared" si="6"/>
        <v>0.275030559954717</v>
      </c>
      <c r="I37" s="94" t="str">
        <f t="shared" si="7"/>
        <v>在建</v>
      </c>
      <c r="J37" s="96">
        <f t="shared" si="8"/>
      </c>
      <c r="Y37" s="2">
        <f>IF(10&gt;$Z$60,0,IFERROR(MATCH(10,$Z$1:$Z$60,0),0))</f>
        <v>10</v>
      </c>
      <c r="Z37" s="2">
        <f>SUM(CA1:CA37)</f>
        <v>10</v>
      </c>
      <c r="CA37" s="2">
        <f>IF(AND(项目利润表!$B$43&lt;&gt;"",OR(项目利润表!$C$43="在建",项目利润表!$C$43="完工未结算"),N(项目利润表!$D$43)&gt;0),1,0)</f>
        <v>0</v>
      </c>
    </row>
    <row r="38">
      <c r="A38" s="94">
        <f>IF($Y38=0,"",11)</f>
      </c>
      <c r="B38" s="96">
        <f t="shared" si="0"/>
      </c>
      <c r="C38" s="21">
        <f t="shared" si="1"/>
      </c>
      <c r="D38" s="21">
        <f t="shared" si="2"/>
      </c>
      <c r="E38" s="21">
        <f t="shared" si="3"/>
      </c>
      <c r="F38" s="21">
        <f t="shared" si="4"/>
      </c>
      <c r="G38" s="21">
        <f t="shared" si="5"/>
      </c>
      <c r="H38" s="22">
        <f t="shared" si="6"/>
      </c>
      <c r="I38" s="94">
        <f t="shared" si="7"/>
      </c>
      <c r="J38" s="96">
        <f t="shared" si="8"/>
      </c>
      <c r="Y38" s="2">
        <f>IF(11&gt;$Z$60,0,IFERROR(MATCH(11,$Z$1:$Z$60,0),0))</f>
        <v>0</v>
      </c>
      <c r="Z38" s="2">
        <f>SUM(CA1:CA38)</f>
        <v>10</v>
      </c>
      <c r="CA38" s="2">
        <f>IF(AND(项目利润表!$B$44&lt;&gt;"",OR(项目利润表!$C$44="在建",项目利润表!$C$44="完工未结算"),N(项目利润表!$D$44)&gt;0),1,0)</f>
        <v>0</v>
      </c>
    </row>
    <row r="39">
      <c r="A39" s="94">
        <f>IF($Y39=0,"",12)</f>
      </c>
      <c r="B39" s="96">
        <f t="shared" si="0"/>
      </c>
      <c r="C39" s="21">
        <f t="shared" si="1"/>
      </c>
      <c r="D39" s="21">
        <f t="shared" si="2"/>
      </c>
      <c r="E39" s="21">
        <f t="shared" si="3"/>
      </c>
      <c r="F39" s="21">
        <f t="shared" si="4"/>
      </c>
      <c r="G39" s="21">
        <f t="shared" si="5"/>
      </c>
      <c r="H39" s="22">
        <f t="shared" si="6"/>
      </c>
      <c r="I39" s="94">
        <f t="shared" si="7"/>
      </c>
      <c r="J39" s="96">
        <f t="shared" si="8"/>
      </c>
      <c r="Y39" s="2">
        <f>IF(12&gt;$Z$60,0,IFERROR(MATCH(12,$Z$1:$Z$60,0),0))</f>
        <v>0</v>
      </c>
      <c r="Z39" s="2">
        <f>SUM(CA1:CA39)</f>
        <v>10</v>
      </c>
      <c r="CA39" s="2">
        <f>IF(AND(项目利润表!$B$45&lt;&gt;"",OR(项目利润表!$C$45="在建",项目利润表!$C$45="完工未结算"),N(项目利润表!$D$45)&gt;0),1,0)</f>
        <v>0</v>
      </c>
    </row>
    <row r="40">
      <c r="A40" s="94">
        <f>IF($Y40=0,"",13)</f>
      </c>
      <c r="B40" s="96">
        <f t="shared" si="0"/>
      </c>
      <c r="C40" s="21">
        <f t="shared" si="1"/>
      </c>
      <c r="D40" s="21">
        <f t="shared" si="2"/>
      </c>
      <c r="E40" s="21">
        <f t="shared" si="3"/>
      </c>
      <c r="F40" s="21">
        <f t="shared" si="4"/>
      </c>
      <c r="G40" s="21">
        <f t="shared" si="5"/>
      </c>
      <c r="H40" s="22">
        <f t="shared" si="6"/>
      </c>
      <c r="I40" s="94">
        <f t="shared" si="7"/>
      </c>
      <c r="J40" s="96">
        <f t="shared" si="8"/>
      </c>
      <c r="Y40" s="2">
        <f>IF(13&gt;$Z$60,0,IFERROR(MATCH(13,$Z$1:$Z$60,0),0))</f>
        <v>0</v>
      </c>
      <c r="Z40" s="2">
        <f>SUM(CA1:CA40)</f>
        <v>10</v>
      </c>
      <c r="CA40" s="2">
        <f>IF(AND(项目利润表!$B$46&lt;&gt;"",OR(项目利润表!$C$46="在建",项目利润表!$C$46="完工未结算"),N(项目利润表!$D$46)&gt;0),1,0)</f>
        <v>0</v>
      </c>
    </row>
    <row r="41">
      <c r="A41" s="94">
        <f>IF($Y41=0,"",14)</f>
      </c>
      <c r="B41" s="96">
        <f t="shared" si="0"/>
      </c>
      <c r="C41" s="21">
        <f t="shared" si="1"/>
      </c>
      <c r="D41" s="21">
        <f t="shared" si="2"/>
      </c>
      <c r="E41" s="21">
        <f t="shared" si="3"/>
      </c>
      <c r="F41" s="21">
        <f t="shared" si="4"/>
      </c>
      <c r="G41" s="21">
        <f t="shared" si="5"/>
      </c>
      <c r="H41" s="22">
        <f t="shared" si="6"/>
      </c>
      <c r="I41" s="94">
        <f t="shared" si="7"/>
      </c>
      <c r="J41" s="96">
        <f t="shared" si="8"/>
      </c>
      <c r="Y41" s="2">
        <f>IF(14&gt;$Z$60,0,IFERROR(MATCH(14,$Z$1:$Z$60,0),0))</f>
        <v>0</v>
      </c>
      <c r="Z41" s="2">
        <f>SUM(CA1:CA41)</f>
        <v>10</v>
      </c>
      <c r="CA41" s="2">
        <f>IF(AND(项目利润表!$B$47&lt;&gt;"",OR(项目利润表!$C$47="在建",项目利润表!$C$47="完工未结算"),N(项目利润表!$D$47)&gt;0),1,0)</f>
        <v>0</v>
      </c>
    </row>
    <row r="42">
      <c r="A42" s="94">
        <f>IF($Y42=0,"",15)</f>
      </c>
      <c r="B42" s="96">
        <f t="shared" si="0"/>
      </c>
      <c r="C42" s="21">
        <f t="shared" si="1"/>
      </c>
      <c r="D42" s="21">
        <f t="shared" si="2"/>
      </c>
      <c r="E42" s="21">
        <f t="shared" si="3"/>
      </c>
      <c r="F42" s="21">
        <f t="shared" si="4"/>
      </c>
      <c r="G42" s="21">
        <f t="shared" si="5"/>
      </c>
      <c r="H42" s="22">
        <f t="shared" si="6"/>
      </c>
      <c r="I42" s="94">
        <f t="shared" si="7"/>
      </c>
      <c r="J42" s="96">
        <f t="shared" si="8"/>
      </c>
      <c r="Y42" s="2">
        <f>IF(15&gt;$Z$60,0,IFERROR(MATCH(15,$Z$1:$Z$60,0),0))</f>
        <v>0</v>
      </c>
      <c r="Z42" s="2">
        <f>SUM(CA1:CA42)</f>
        <v>10</v>
      </c>
      <c r="CA42" s="2">
        <f>IF(AND(项目利润表!$B$48&lt;&gt;"",OR(项目利润表!$C$48="在建",项目利润表!$C$48="完工未结算"),N(项目利润表!$D$48)&gt;0),1,0)</f>
        <v>0</v>
      </c>
    </row>
    <row r="43">
      <c r="A43" s="94">
        <f>IF($Y43=0,"",16)</f>
      </c>
      <c r="B43" s="96">
        <f t="shared" si="0"/>
      </c>
      <c r="C43" s="21">
        <f t="shared" si="1"/>
      </c>
      <c r="D43" s="21">
        <f t="shared" si="2"/>
      </c>
      <c r="E43" s="21">
        <f t="shared" si="3"/>
      </c>
      <c r="F43" s="21">
        <f t="shared" si="4"/>
      </c>
      <c r="G43" s="21">
        <f t="shared" si="5"/>
      </c>
      <c r="H43" s="22">
        <f t="shared" si="6"/>
      </c>
      <c r="I43" s="94">
        <f t="shared" si="7"/>
      </c>
      <c r="J43" s="96">
        <f t="shared" si="8"/>
      </c>
      <c r="Y43" s="2">
        <f>IF(16&gt;$Z$60,0,IFERROR(MATCH(16,$Z$1:$Z$60,0),0))</f>
        <v>0</v>
      </c>
      <c r="Z43" s="2">
        <f>SUM(CA1:CA43)</f>
        <v>10</v>
      </c>
      <c r="CA43" s="2">
        <f>IF(AND(项目利润表!$B$49&lt;&gt;"",OR(项目利润表!$C$49="在建",项目利润表!$C$49="完工未结算"),N(项目利润表!$D$49)&gt;0),1,0)</f>
        <v>0</v>
      </c>
    </row>
    <row r="44">
      <c r="A44" s="94">
        <f>IF($Y44=0,"",17)</f>
      </c>
      <c r="B44" s="96">
        <f t="shared" si="0"/>
      </c>
      <c r="C44" s="21">
        <f t="shared" si="1"/>
      </c>
      <c r="D44" s="21">
        <f t="shared" si="2"/>
      </c>
      <c r="E44" s="21">
        <f t="shared" si="3"/>
      </c>
      <c r="F44" s="21">
        <f t="shared" si="4"/>
      </c>
      <c r="G44" s="21">
        <f t="shared" si="5"/>
      </c>
      <c r="H44" s="22">
        <f t="shared" si="6"/>
      </c>
      <c r="I44" s="94">
        <f t="shared" si="7"/>
      </c>
      <c r="J44" s="96">
        <f t="shared" si="8"/>
      </c>
      <c r="Y44" s="2">
        <f>IF(17&gt;$Z$60,0,IFERROR(MATCH(17,$Z$1:$Z$60,0),0))</f>
        <v>0</v>
      </c>
      <c r="Z44" s="2">
        <f>SUM(CA1:CA44)</f>
        <v>10</v>
      </c>
      <c r="CA44" s="2">
        <f>IF(AND(项目利润表!$B$50&lt;&gt;"",OR(项目利润表!$C$50="在建",项目利润表!$C$50="完工未结算"),N(项目利润表!$D$50)&gt;0),1,0)</f>
        <v>0</v>
      </c>
    </row>
    <row r="45">
      <c r="A45" s="94">
        <f>IF($Y45=0,"",18)</f>
      </c>
      <c r="B45" s="96">
        <f t="shared" si="0"/>
      </c>
      <c r="C45" s="21">
        <f t="shared" si="1"/>
      </c>
      <c r="D45" s="21">
        <f t="shared" si="2"/>
      </c>
      <c r="E45" s="21">
        <f t="shared" si="3"/>
      </c>
      <c r="F45" s="21">
        <f t="shared" si="4"/>
      </c>
      <c r="G45" s="21">
        <f t="shared" si="5"/>
      </c>
      <c r="H45" s="22">
        <f t="shared" si="6"/>
      </c>
      <c r="I45" s="94">
        <f t="shared" si="7"/>
      </c>
      <c r="J45" s="96">
        <f t="shared" si="8"/>
      </c>
      <c r="Y45" s="2">
        <f>IF(18&gt;$Z$60,0,IFERROR(MATCH(18,$Z$1:$Z$60,0),0))</f>
        <v>0</v>
      </c>
      <c r="Z45" s="2">
        <f>SUM(CA1:CA45)</f>
        <v>10</v>
      </c>
      <c r="CA45" s="2">
        <f>IF(AND(项目利润表!$B$51&lt;&gt;"",OR(项目利润表!$C$51="在建",项目利润表!$C$51="完工未结算"),N(项目利润表!$D$51)&gt;0),1,0)</f>
        <v>0</v>
      </c>
    </row>
    <row r="46">
      <c r="A46" s="94">
        <f>IF($Y46=0,"",19)</f>
      </c>
      <c r="B46" s="96">
        <f t="shared" si="0"/>
      </c>
      <c r="C46" s="21">
        <f t="shared" si="1"/>
      </c>
      <c r="D46" s="21">
        <f t="shared" si="2"/>
      </c>
      <c r="E46" s="21">
        <f t="shared" si="3"/>
      </c>
      <c r="F46" s="21">
        <f t="shared" si="4"/>
      </c>
      <c r="G46" s="21">
        <f t="shared" si="5"/>
      </c>
      <c r="H46" s="22">
        <f t="shared" si="6"/>
      </c>
      <c r="I46" s="94">
        <f t="shared" si="7"/>
      </c>
      <c r="J46" s="96">
        <f t="shared" si="8"/>
      </c>
      <c r="Y46" s="2">
        <f>IF(19&gt;$Z$60,0,IFERROR(MATCH(19,$Z$1:$Z$60,0),0))</f>
        <v>0</v>
      </c>
      <c r="Z46" s="2">
        <f>SUM(CA1:CA46)</f>
        <v>10</v>
      </c>
      <c r="CA46" s="2">
        <f>IF(AND(项目利润表!$B$52&lt;&gt;"",OR(项目利润表!$C$52="在建",项目利润表!$C$52="完工未结算"),N(项目利润表!$D$52)&gt;0),1,0)</f>
        <v>0</v>
      </c>
    </row>
    <row r="47">
      <c r="A47" s="94">
        <f>IF($Y47=0,"",20)</f>
      </c>
      <c r="B47" s="96">
        <f t="shared" si="0"/>
      </c>
      <c r="C47" s="21">
        <f t="shared" si="1"/>
      </c>
      <c r="D47" s="21">
        <f t="shared" si="2"/>
      </c>
      <c r="E47" s="21">
        <f t="shared" si="3"/>
      </c>
      <c r="F47" s="21">
        <f t="shared" si="4"/>
      </c>
      <c r="G47" s="21">
        <f t="shared" si="5"/>
      </c>
      <c r="H47" s="22">
        <f t="shared" si="6"/>
      </c>
      <c r="I47" s="94">
        <f t="shared" si="7"/>
      </c>
      <c r="J47" s="96">
        <f t="shared" si="8"/>
      </c>
      <c r="Y47" s="2">
        <f>IF(20&gt;$Z$60,0,IFERROR(MATCH(20,$Z$1:$Z$60,0),0))</f>
        <v>0</v>
      </c>
      <c r="Z47" s="2">
        <f>SUM(CA1:CA47)</f>
        <v>10</v>
      </c>
      <c r="CA47" s="2">
        <f>IF(AND(项目利润表!$B$53&lt;&gt;"",OR(项目利润表!$C$53="在建",项目利润表!$C$53="完工未结算"),N(项目利润表!$D$53)&gt;0),1,0)</f>
        <v>0</v>
      </c>
    </row>
    <row r="48">
      <c r="A48" s="94">
        <f>IF($Y48=0,"",21)</f>
      </c>
      <c r="B48" s="96">
        <f t="shared" si="0"/>
      </c>
      <c r="C48" s="21">
        <f t="shared" si="1"/>
      </c>
      <c r="D48" s="21">
        <f t="shared" si="2"/>
      </c>
      <c r="E48" s="21">
        <f t="shared" si="3"/>
      </c>
      <c r="F48" s="21">
        <f t="shared" si="4"/>
      </c>
      <c r="G48" s="21">
        <f t="shared" si="5"/>
      </c>
      <c r="H48" s="22">
        <f t="shared" si="6"/>
      </c>
      <c r="I48" s="94">
        <f t="shared" si="7"/>
      </c>
      <c r="J48" s="96">
        <f t="shared" si="8"/>
      </c>
      <c r="Y48" s="2">
        <f>IF(21&gt;$Z$60,0,IFERROR(MATCH(21,$Z$1:$Z$60,0),0))</f>
        <v>0</v>
      </c>
      <c r="Z48" s="2">
        <f>SUM(CA1:CA48)</f>
        <v>10</v>
      </c>
      <c r="CA48" s="2">
        <f>IF(AND(项目利润表!$B$54&lt;&gt;"",OR(项目利润表!$C$54="在建",项目利润表!$C$54="完工未结算"),N(项目利润表!$D$54)&gt;0),1,0)</f>
        <v>0</v>
      </c>
    </row>
    <row r="49">
      <c r="A49" s="94">
        <f>IF($Y49=0,"",22)</f>
      </c>
      <c r="B49" s="96">
        <f t="shared" si="0"/>
      </c>
      <c r="C49" s="21">
        <f t="shared" si="1"/>
      </c>
      <c r="D49" s="21">
        <f t="shared" si="2"/>
      </c>
      <c r="E49" s="21">
        <f t="shared" si="3"/>
      </c>
      <c r="F49" s="21">
        <f t="shared" si="4"/>
      </c>
      <c r="G49" s="21">
        <f t="shared" si="5"/>
      </c>
      <c r="H49" s="22">
        <f t="shared" si="6"/>
      </c>
      <c r="I49" s="94">
        <f t="shared" si="7"/>
      </c>
      <c r="J49" s="96">
        <f t="shared" si="8"/>
      </c>
      <c r="Y49" s="2">
        <f>IF(22&gt;$Z$60,0,IFERROR(MATCH(22,$Z$1:$Z$60,0),0))</f>
        <v>0</v>
      </c>
      <c r="Z49" s="2">
        <f>SUM(CA1:CA49)</f>
        <v>10</v>
      </c>
      <c r="CA49" s="2">
        <f>IF(AND(项目利润表!$B$55&lt;&gt;"",OR(项目利润表!$C$55="在建",项目利润表!$C$55="完工未结算"),N(项目利润表!$D$55)&gt;0),1,0)</f>
        <v>0</v>
      </c>
    </row>
    <row r="50">
      <c r="A50" s="94">
        <f>IF($Y50=0,"",23)</f>
      </c>
      <c r="B50" s="96">
        <f t="shared" si="0"/>
      </c>
      <c r="C50" s="21">
        <f t="shared" si="1"/>
      </c>
      <c r="D50" s="21">
        <f t="shared" si="2"/>
      </c>
      <c r="E50" s="21">
        <f t="shared" si="3"/>
      </c>
      <c r="F50" s="21">
        <f t="shared" si="4"/>
      </c>
      <c r="G50" s="21">
        <f t="shared" si="5"/>
      </c>
      <c r="H50" s="22">
        <f t="shared" si="6"/>
      </c>
      <c r="I50" s="94">
        <f t="shared" si="7"/>
      </c>
      <c r="J50" s="96">
        <f t="shared" si="8"/>
      </c>
      <c r="Y50" s="2">
        <f>IF(23&gt;$Z$60,0,IFERROR(MATCH(23,$Z$1:$Z$60,0),0))</f>
        <v>0</v>
      </c>
      <c r="Z50" s="2">
        <f>SUM(CA1:CA50)</f>
        <v>10</v>
      </c>
      <c r="CA50" s="2">
        <f>IF(AND(项目利润表!$B$56&lt;&gt;"",OR(项目利润表!$C$56="在建",项目利润表!$C$56="完工未结算"),N(项目利润表!$D$56)&gt;0),1,0)</f>
        <v>0</v>
      </c>
    </row>
    <row r="51">
      <c r="A51" s="94">
        <f>IF($Y51=0,"",24)</f>
      </c>
      <c r="B51" s="96">
        <f t="shared" si="0"/>
      </c>
      <c r="C51" s="21">
        <f t="shared" si="1"/>
      </c>
      <c r="D51" s="21">
        <f t="shared" si="2"/>
      </c>
      <c r="E51" s="21">
        <f t="shared" si="3"/>
      </c>
      <c r="F51" s="21">
        <f t="shared" si="4"/>
      </c>
      <c r="G51" s="21">
        <f t="shared" si="5"/>
      </c>
      <c r="H51" s="22">
        <f t="shared" si="6"/>
      </c>
      <c r="I51" s="94">
        <f t="shared" si="7"/>
      </c>
      <c r="J51" s="96">
        <f t="shared" si="8"/>
      </c>
      <c r="Y51" s="2">
        <f>IF(24&gt;$Z$60,0,IFERROR(MATCH(24,$Z$1:$Z$60,0),0))</f>
        <v>0</v>
      </c>
      <c r="Z51" s="2">
        <f>Z50+SUM(CA51:CA51)</f>
        <v>10</v>
      </c>
      <c r="CA51" s="2">
        <f>IF(AND(项目利润表!$B$57&lt;&gt;"",OR(项目利润表!$C$57="在建",项目利润表!$C$57="完工未结算"),N(项目利润表!$D$57)&gt;0),1,0)</f>
        <v>0</v>
      </c>
    </row>
    <row r="52">
      <c r="A52" s="94">
        <f>IF($Y52=0,"",25)</f>
      </c>
      <c r="B52" s="96">
        <f t="shared" si="0"/>
      </c>
      <c r="C52" s="21">
        <f t="shared" si="1"/>
      </c>
      <c r="D52" s="21">
        <f t="shared" si="2"/>
      </c>
      <c r="E52" s="21">
        <f t="shared" si="3"/>
      </c>
      <c r="F52" s="21">
        <f t="shared" si="4"/>
      </c>
      <c r="G52" s="21">
        <f t="shared" si="5"/>
      </c>
      <c r="H52" s="22">
        <f t="shared" si="6"/>
      </c>
      <c r="I52" s="94">
        <f t="shared" si="7"/>
      </c>
      <c r="J52" s="96">
        <f t="shared" si="8"/>
      </c>
      <c r="Y52" s="2">
        <f>IF(25&gt;$Z$60,0,IFERROR(MATCH(25,$Z$1:$Z$60,0),0))</f>
        <v>0</v>
      </c>
      <c r="Z52" s="2">
        <f>Z50+SUM(CA51:CA52)</f>
        <v>10</v>
      </c>
      <c r="CA52" s="2">
        <f>IF(AND(项目利润表!$B$58&lt;&gt;"",OR(项目利润表!$C$58="在建",项目利润表!$C$58="完工未结算"),N(项目利润表!$D$58)&gt;0),1,0)</f>
        <v>0</v>
      </c>
    </row>
    <row r="53">
      <c r="A53" s="94">
        <f>IF($Y53=0,"",26)</f>
      </c>
      <c r="B53" s="96">
        <f t="shared" si="0"/>
      </c>
      <c r="C53" s="21">
        <f t="shared" si="1"/>
      </c>
      <c r="D53" s="21">
        <f t="shared" si="2"/>
      </c>
      <c r="E53" s="21">
        <f t="shared" si="3"/>
      </c>
      <c r="F53" s="21">
        <f t="shared" si="4"/>
      </c>
      <c r="G53" s="21">
        <f t="shared" si="5"/>
      </c>
      <c r="H53" s="22">
        <f t="shared" si="6"/>
      </c>
      <c r="I53" s="94">
        <f t="shared" si="7"/>
      </c>
      <c r="J53" s="96">
        <f t="shared" si="8"/>
      </c>
      <c r="Y53" s="2">
        <f>IF(26&gt;$Z$60,0,IFERROR(MATCH(26,$Z$1:$Z$60,0),0))</f>
        <v>0</v>
      </c>
      <c r="Z53" s="2">
        <f>Z50+SUM(CA51:CA53)</f>
        <v>10</v>
      </c>
      <c r="CA53" s="2">
        <f>IF(AND(项目利润表!$B$59&lt;&gt;"",OR(项目利润表!$C$59="在建",项目利润表!$C$59="完工未结算"),N(项目利润表!$D$59)&gt;0),1,0)</f>
        <v>0</v>
      </c>
    </row>
    <row r="54">
      <c r="A54" s="94">
        <f>IF($Y54=0,"",27)</f>
      </c>
      <c r="B54" s="96">
        <f t="shared" si="0"/>
      </c>
      <c r="C54" s="21">
        <f t="shared" si="1"/>
      </c>
      <c r="D54" s="21">
        <f t="shared" si="2"/>
      </c>
      <c r="E54" s="21">
        <f t="shared" si="3"/>
      </c>
      <c r="F54" s="21">
        <f t="shared" si="4"/>
      </c>
      <c r="G54" s="21">
        <f t="shared" si="5"/>
      </c>
      <c r="H54" s="22">
        <f t="shared" si="6"/>
      </c>
      <c r="I54" s="94">
        <f t="shared" si="7"/>
      </c>
      <c r="J54" s="96">
        <f t="shared" si="8"/>
      </c>
      <c r="Y54" s="2">
        <f>IF(27&gt;$Z$60,0,IFERROR(MATCH(27,$Z$1:$Z$60,0),0))</f>
        <v>0</v>
      </c>
      <c r="Z54" s="2">
        <f>Z50+SUM(CA51:CA54)</f>
        <v>10</v>
      </c>
      <c r="CA54" s="2">
        <f>IF(AND(项目利润表!$B$60&lt;&gt;"",OR(项目利润表!$C$60="在建",项目利润表!$C$60="完工未结算"),N(项目利润表!$D$60)&gt;0),1,0)</f>
        <v>0</v>
      </c>
    </row>
    <row r="55">
      <c r="A55" s="94">
        <f>IF($Y55=0,"",28)</f>
      </c>
      <c r="B55" s="96">
        <f t="shared" si="0"/>
      </c>
      <c r="C55" s="21">
        <f t="shared" si="1"/>
      </c>
      <c r="D55" s="21">
        <f t="shared" si="2"/>
      </c>
      <c r="E55" s="21">
        <f t="shared" si="3"/>
      </c>
      <c r="F55" s="21">
        <f t="shared" si="4"/>
      </c>
      <c r="G55" s="21">
        <f t="shared" si="5"/>
      </c>
      <c r="H55" s="22">
        <f t="shared" si="6"/>
      </c>
      <c r="I55" s="94">
        <f t="shared" si="7"/>
      </c>
      <c r="J55" s="96">
        <f t="shared" si="8"/>
      </c>
      <c r="Y55" s="2">
        <f>IF(28&gt;$Z$60,0,IFERROR(MATCH(28,$Z$1:$Z$60,0),0))</f>
        <v>0</v>
      </c>
      <c r="Z55" s="2">
        <f>Z50+SUM(CA51:CA55)</f>
        <v>10</v>
      </c>
      <c r="CA55" s="2">
        <f>IF(AND(项目利润表!$B$61&lt;&gt;"",OR(项目利润表!$C$61="在建",项目利润表!$C$61="完工未结算"),N(项目利润表!$D$61)&gt;0),1,0)</f>
        <v>0</v>
      </c>
    </row>
    <row r="56">
      <c r="A56" s="94">
        <f>IF($Y56=0,"",29)</f>
      </c>
      <c r="B56" s="96">
        <f t="shared" si="0"/>
      </c>
      <c r="C56" s="21">
        <f t="shared" si="1"/>
      </c>
      <c r="D56" s="21">
        <f t="shared" si="2"/>
      </c>
      <c r="E56" s="21">
        <f t="shared" si="3"/>
      </c>
      <c r="F56" s="21">
        <f t="shared" si="4"/>
      </c>
      <c r="G56" s="21">
        <f t="shared" si="5"/>
      </c>
      <c r="H56" s="22">
        <f t="shared" si="6"/>
      </c>
      <c r="I56" s="94">
        <f t="shared" si="7"/>
      </c>
      <c r="J56" s="96">
        <f t="shared" si="8"/>
      </c>
      <c r="Y56" s="2">
        <f>IF(29&gt;$Z$60,0,IFERROR(MATCH(29,$Z$1:$Z$60,0),0))</f>
        <v>0</v>
      </c>
      <c r="Z56" s="2">
        <f>Z50+SUM(CA51:CA56)</f>
        <v>10</v>
      </c>
      <c r="CA56" s="2">
        <f>IF(AND(项目利润表!$B$62&lt;&gt;"",OR(项目利润表!$C$62="在建",项目利润表!$C$62="完工未结算"),N(项目利润表!$D$62)&gt;0),1,0)</f>
        <v>0</v>
      </c>
    </row>
    <row r="57">
      <c r="A57" s="94">
        <f>IF($Y57=0,"",30)</f>
      </c>
      <c r="B57" s="96">
        <f t="shared" si="0"/>
      </c>
      <c r="C57" s="21">
        <f t="shared" si="1"/>
      </c>
      <c r="D57" s="21">
        <f t="shared" si="2"/>
      </c>
      <c r="E57" s="21">
        <f t="shared" si="3"/>
      </c>
      <c r="F57" s="21">
        <f t="shared" si="4"/>
      </c>
      <c r="G57" s="21">
        <f t="shared" si="5"/>
      </c>
      <c r="H57" s="22">
        <f t="shared" si="6"/>
      </c>
      <c r="I57" s="94">
        <f t="shared" si="7"/>
      </c>
      <c r="J57" s="96">
        <f t="shared" si="8"/>
      </c>
      <c r="Y57" s="2">
        <f>IF(30&gt;$Z$60,0,IFERROR(MATCH(30,$Z$1:$Z$60,0),0))</f>
        <v>0</v>
      </c>
      <c r="Z57" s="2">
        <f>Z50+SUM(CA51:CA57)</f>
        <v>10</v>
      </c>
      <c r="CA57" s="2">
        <f>IF(AND(项目利润表!$B$63&lt;&gt;"",OR(项目利润表!$C$63="在建",项目利润表!$C$63="完工未结算"),N(项目利润表!$D$63)&gt;0),1,0)</f>
        <v>0</v>
      </c>
    </row>
    <row r="58">
      <c r="A58" s="94">
        <f>IF($Y58=0,"",31)</f>
      </c>
      <c r="B58" s="96">
        <f t="shared" si="0"/>
      </c>
      <c r="C58" s="21">
        <f t="shared" si="1"/>
      </c>
      <c r="D58" s="21">
        <f t="shared" si="2"/>
      </c>
      <c r="E58" s="21">
        <f t="shared" si="3"/>
      </c>
      <c r="F58" s="21">
        <f t="shared" si="4"/>
      </c>
      <c r="G58" s="21">
        <f t="shared" si="5"/>
      </c>
      <c r="H58" s="22">
        <f t="shared" si="6"/>
      </c>
      <c r="I58" s="94">
        <f t="shared" si="7"/>
      </c>
      <c r="J58" s="96">
        <f t="shared" si="8"/>
      </c>
      <c r="Y58" s="2">
        <f>IF(31&gt;$Z$60,0,IFERROR(MATCH(31,$Z$1:$Z$60,0),0))</f>
        <v>0</v>
      </c>
      <c r="Z58" s="2">
        <f>Z50+SUM(CA51:CA58)</f>
        <v>10</v>
      </c>
      <c r="CA58" s="2">
        <f>IF(AND(项目利润表!$B$64&lt;&gt;"",OR(项目利润表!$C$64="在建",项目利润表!$C$64="完工未结算"),N(项目利润表!$D$64)&gt;0),1,0)</f>
        <v>0</v>
      </c>
    </row>
    <row r="59">
      <c r="A59" s="94">
        <f>IF($Y59=0,"",32)</f>
      </c>
      <c r="B59" s="96">
        <f t="shared" si="0"/>
      </c>
      <c r="C59" s="21">
        <f t="shared" si="1"/>
      </c>
      <c r="D59" s="21">
        <f t="shared" si="2"/>
      </c>
      <c r="E59" s="21">
        <f t="shared" si="3"/>
      </c>
      <c r="F59" s="21">
        <f t="shared" si="4"/>
      </c>
      <c r="G59" s="21">
        <f t="shared" si="5"/>
      </c>
      <c r="H59" s="22">
        <f t="shared" si="6"/>
      </c>
      <c r="I59" s="94">
        <f t="shared" si="7"/>
      </c>
      <c r="J59" s="96">
        <f t="shared" si="8"/>
      </c>
      <c r="Y59" s="2">
        <f>IF(32&gt;$Z$60,0,IFERROR(MATCH(32,$Z$1:$Z$60,0),0))</f>
        <v>0</v>
      </c>
      <c r="Z59" s="2">
        <f>Z50+SUM(CA51:CA59)</f>
        <v>10</v>
      </c>
      <c r="CA59" s="2">
        <f>IF(AND(项目利润表!$B$65&lt;&gt;"",OR(项目利润表!$C$65="在建",项目利润表!$C$65="完工未结算"),N(项目利润表!$D$65)&gt;0),1,0)</f>
        <v>0</v>
      </c>
    </row>
    <row r="60">
      <c r="A60" s="94">
        <f>IF($Y60=0,"",33)</f>
      </c>
      <c r="B60" s="96">
        <f t="shared" si="0"/>
      </c>
      <c r="C60" s="21">
        <f t="shared" si="1"/>
      </c>
      <c r="D60" s="21">
        <f t="shared" si="2"/>
      </c>
      <c r="E60" s="21">
        <f t="shared" si="3"/>
      </c>
      <c r="F60" s="21">
        <f t="shared" si="4"/>
      </c>
      <c r="G60" s="21">
        <f t="shared" si="5"/>
      </c>
      <c r="H60" s="22">
        <f t="shared" si="6"/>
      </c>
      <c r="I60" s="94">
        <f t="shared" si="7"/>
      </c>
      <c r="J60" s="96">
        <f t="shared" si="8"/>
      </c>
      <c r="Y60" s="2">
        <f>IF(33&gt;$Z$60,0,IFERROR(MATCH(33,$Z$1:$Z$60,0),0))</f>
        <v>0</v>
      </c>
      <c r="Z60" s="2">
        <f>Z50+SUM(CA51:CA60)</f>
        <v>10</v>
      </c>
      <c r="CA60" s="2">
        <f>IF(AND(项目利润表!$B$66&lt;&gt;"",OR(项目利润表!$C$66="在建",项目利润表!$C$66="完工未结算"),N(项目利润表!$D$66)&gt;0),1,0)</f>
        <v>0</v>
      </c>
    </row>
    <row r="61">
      <c r="A61" s="94">
        <f>IF($Y61=0,"",34)</f>
      </c>
      <c r="B61" s="96">
        <f t="shared" si="0"/>
      </c>
      <c r="C61" s="21">
        <f t="shared" si="1"/>
      </c>
      <c r="D61" s="21">
        <f t="shared" si="2"/>
      </c>
      <c r="E61" s="21">
        <f t="shared" si="3"/>
      </c>
      <c r="F61" s="21">
        <f t="shared" si="4"/>
      </c>
      <c r="G61" s="21">
        <f t="shared" si="5"/>
      </c>
      <c r="H61" s="22">
        <f t="shared" si="6"/>
      </c>
      <c r="I61" s="94">
        <f t="shared" si="7"/>
      </c>
      <c r="J61" s="96">
        <f t="shared" si="8"/>
      </c>
      <c r="Y61" s="2">
        <f>IF(34&gt;$Z$60,0,IFERROR(MATCH(34,$Z$1:$Z$60,0),0))</f>
        <v>0</v>
      </c>
    </row>
    <row r="62">
      <c r="A62" s="94">
        <f>IF($Y62=0,"",35)</f>
      </c>
      <c r="B62" s="96">
        <f t="shared" si="0"/>
      </c>
      <c r="C62" s="21">
        <f t="shared" si="1"/>
      </c>
      <c r="D62" s="21">
        <f t="shared" si="2"/>
      </c>
      <c r="E62" s="21">
        <f t="shared" si="3"/>
      </c>
      <c r="F62" s="21">
        <f t="shared" si="4"/>
      </c>
      <c r="G62" s="21">
        <f t="shared" si="5"/>
      </c>
      <c r="H62" s="22">
        <f t="shared" si="6"/>
      </c>
      <c r="I62" s="94">
        <f t="shared" si="7"/>
      </c>
      <c r="J62" s="96">
        <f t="shared" si="8"/>
      </c>
      <c r="Y62" s="2">
        <f>IF(35&gt;$Z$60,0,IFERROR(MATCH(35,$Z$1:$Z$60,0),0))</f>
        <v>0</v>
      </c>
    </row>
    <row r="63">
      <c r="A63" s="94">
        <f>IF($Y63=0,"",36)</f>
      </c>
      <c r="B63" s="96">
        <f t="shared" si="0"/>
      </c>
      <c r="C63" s="21">
        <f t="shared" si="1"/>
      </c>
      <c r="D63" s="21">
        <f t="shared" si="2"/>
      </c>
      <c r="E63" s="21">
        <f t="shared" si="3"/>
      </c>
      <c r="F63" s="21">
        <f t="shared" si="4"/>
      </c>
      <c r="G63" s="21">
        <f t="shared" si="5"/>
      </c>
      <c r="H63" s="22">
        <f t="shared" si="6"/>
      </c>
      <c r="I63" s="94">
        <f t="shared" si="7"/>
      </c>
      <c r="J63" s="96">
        <f t="shared" si="8"/>
      </c>
      <c r="Y63" s="2">
        <f>IF(36&gt;$Z$60,0,IFERROR(MATCH(36,$Z$1:$Z$60,0),0))</f>
        <v>0</v>
      </c>
    </row>
    <row r="64">
      <c r="A64" s="94">
        <f>IF($Y64=0,"",37)</f>
      </c>
      <c r="B64" s="96">
        <f t="shared" si="0"/>
      </c>
      <c r="C64" s="21">
        <f t="shared" si="1"/>
      </c>
      <c r="D64" s="21">
        <f t="shared" si="2"/>
      </c>
      <c r="E64" s="21">
        <f t="shared" si="3"/>
      </c>
      <c r="F64" s="21">
        <f t="shared" si="4"/>
      </c>
      <c r="G64" s="21">
        <f t="shared" si="5"/>
      </c>
      <c r="H64" s="22">
        <f t="shared" si="6"/>
      </c>
      <c r="I64" s="94">
        <f t="shared" si="7"/>
      </c>
      <c r="J64" s="96">
        <f t="shared" si="8"/>
      </c>
      <c r="Y64" s="2">
        <f>IF(37&gt;$Z$60,0,IFERROR(MATCH(37,$Z$1:$Z$60,0),0))</f>
        <v>0</v>
      </c>
    </row>
    <row r="65">
      <c r="A65" s="94">
        <f>IF($Y65=0,"",38)</f>
      </c>
      <c r="B65" s="96">
        <f t="shared" si="0"/>
      </c>
      <c r="C65" s="21">
        <f t="shared" si="1"/>
      </c>
      <c r="D65" s="21">
        <f t="shared" si="2"/>
      </c>
      <c r="E65" s="21">
        <f t="shared" si="3"/>
      </c>
      <c r="F65" s="21">
        <f t="shared" si="4"/>
      </c>
      <c r="G65" s="21">
        <f t="shared" si="5"/>
      </c>
      <c r="H65" s="22">
        <f t="shared" si="6"/>
      </c>
      <c r="I65" s="94">
        <f t="shared" si="7"/>
      </c>
      <c r="J65" s="96">
        <f t="shared" si="8"/>
      </c>
      <c r="Y65" s="2">
        <f>IF(38&gt;$Z$60,0,IFERROR(MATCH(38,$Z$1:$Z$60,0),0))</f>
        <v>0</v>
      </c>
    </row>
    <row r="66">
      <c r="A66" s="94">
        <f>IF($Y66=0,"",39)</f>
      </c>
      <c r="B66" s="96">
        <f t="shared" si="0"/>
      </c>
      <c r="C66" s="21">
        <f t="shared" si="1"/>
      </c>
      <c r="D66" s="21">
        <f t="shared" si="2"/>
      </c>
      <c r="E66" s="21">
        <f t="shared" si="3"/>
      </c>
      <c r="F66" s="21">
        <f t="shared" si="4"/>
      </c>
      <c r="G66" s="21">
        <f t="shared" si="5"/>
      </c>
      <c r="H66" s="22">
        <f t="shared" si="6"/>
      </c>
      <c r="I66" s="94">
        <f t="shared" si="7"/>
      </c>
      <c r="J66" s="96">
        <f t="shared" si="8"/>
      </c>
      <c r="Y66" s="2">
        <f>IF(39&gt;$Z$60,0,IFERROR(MATCH(39,$Z$1:$Z$60,0),0))</f>
        <v>0</v>
      </c>
    </row>
    <row r="67">
      <c r="A67" s="94">
        <f>IF($Y67=0,"",40)</f>
      </c>
      <c r="B67" s="96">
        <f t="shared" si="0"/>
      </c>
      <c r="C67" s="21">
        <f t="shared" si="1"/>
      </c>
      <c r="D67" s="21">
        <f t="shared" si="2"/>
      </c>
      <c r="E67" s="21">
        <f t="shared" si="3"/>
      </c>
      <c r="F67" s="21">
        <f t="shared" si="4"/>
      </c>
      <c r="G67" s="21">
        <f t="shared" si="5"/>
      </c>
      <c r="H67" s="22">
        <f t="shared" si="6"/>
      </c>
      <c r="I67" s="94">
        <f t="shared" si="7"/>
      </c>
      <c r="J67" s="96">
        <f t="shared" si="8"/>
      </c>
      <c r="Y67" s="2">
        <f>IF(40&gt;$Z$60,0,IFERROR(MATCH(40,$Z$1:$Z$60,0),0))</f>
        <v>0</v>
      </c>
    </row>
    <row r="68">
      <c r="A68" s="94">
        <f>IF($Y68=0,"",41)</f>
      </c>
      <c r="B68" s="96">
        <f t="shared" si="0"/>
      </c>
      <c r="C68" s="21">
        <f t="shared" si="1"/>
      </c>
      <c r="D68" s="21">
        <f t="shared" si="2"/>
      </c>
      <c r="E68" s="21">
        <f t="shared" si="3"/>
      </c>
      <c r="F68" s="21">
        <f t="shared" si="4"/>
      </c>
      <c r="G68" s="21">
        <f t="shared" si="5"/>
      </c>
      <c r="H68" s="22">
        <f t="shared" si="6"/>
      </c>
      <c r="I68" s="94">
        <f t="shared" si="7"/>
      </c>
      <c r="J68" s="96">
        <f t="shared" si="8"/>
      </c>
      <c r="Y68" s="2">
        <f>IF(41&gt;$Z$60,0,IFERROR(MATCH(41,$Z$1:$Z$60,0),0))</f>
        <v>0</v>
      </c>
    </row>
    <row r="69">
      <c r="A69" s="94">
        <f>IF($Y69=0,"",42)</f>
      </c>
      <c r="B69" s="96">
        <f t="shared" si="0"/>
      </c>
      <c r="C69" s="21">
        <f t="shared" si="1"/>
      </c>
      <c r="D69" s="21">
        <f t="shared" si="2"/>
      </c>
      <c r="E69" s="21">
        <f t="shared" si="3"/>
      </c>
      <c r="F69" s="21">
        <f t="shared" si="4"/>
      </c>
      <c r="G69" s="21">
        <f t="shared" si="5"/>
      </c>
      <c r="H69" s="22">
        <f t="shared" si="6"/>
      </c>
      <c r="I69" s="94">
        <f t="shared" si="7"/>
      </c>
      <c r="J69" s="96">
        <f t="shared" si="8"/>
      </c>
      <c r="Y69" s="2">
        <f>IF(42&gt;$Z$60,0,IFERROR(MATCH(42,$Z$1:$Z$60,0),0))</f>
        <v>0</v>
      </c>
    </row>
    <row r="70">
      <c r="A70" s="94">
        <f>IF($Y70=0,"",43)</f>
      </c>
      <c r="B70" s="96">
        <f t="shared" si="0"/>
      </c>
      <c r="C70" s="21">
        <f t="shared" si="1"/>
      </c>
      <c r="D70" s="21">
        <f t="shared" si="2"/>
      </c>
      <c r="E70" s="21">
        <f t="shared" si="3"/>
      </c>
      <c r="F70" s="21">
        <f t="shared" si="4"/>
      </c>
      <c r="G70" s="21">
        <f t="shared" si="5"/>
      </c>
      <c r="H70" s="22">
        <f t="shared" si="6"/>
      </c>
      <c r="I70" s="94">
        <f t="shared" si="7"/>
      </c>
      <c r="J70" s="96">
        <f t="shared" si="8"/>
      </c>
      <c r="Y70" s="2">
        <f>IF(43&gt;$Z$60,0,IFERROR(MATCH(43,$Z$1:$Z$60,0),0))</f>
        <v>0</v>
      </c>
    </row>
    <row r="71">
      <c r="A71" s="94">
        <f>IF($Y71=0,"",44)</f>
      </c>
      <c r="B71" s="96">
        <f t="shared" si="0"/>
      </c>
      <c r="C71" s="21">
        <f t="shared" si="1"/>
      </c>
      <c r="D71" s="21">
        <f t="shared" si="2"/>
      </c>
      <c r="E71" s="21">
        <f t="shared" si="3"/>
      </c>
      <c r="F71" s="21">
        <f t="shared" si="4"/>
      </c>
      <c r="G71" s="21">
        <f t="shared" si="5"/>
      </c>
      <c r="H71" s="22">
        <f t="shared" si="6"/>
      </c>
      <c r="I71" s="94">
        <f t="shared" si="7"/>
      </c>
      <c r="J71" s="96">
        <f t="shared" si="8"/>
      </c>
      <c r="Y71" s="2">
        <f>IF(44&gt;$Z$60,0,IFERROR(MATCH(44,$Z$1:$Z$60,0),0))</f>
        <v>0</v>
      </c>
    </row>
    <row r="72">
      <c r="A72" s="94">
        <f>IF($Y72=0,"",45)</f>
      </c>
      <c r="B72" s="96">
        <f t="shared" si="0"/>
      </c>
      <c r="C72" s="21">
        <f t="shared" si="1"/>
      </c>
      <c r="D72" s="21">
        <f t="shared" si="2"/>
      </c>
      <c r="E72" s="21">
        <f t="shared" si="3"/>
      </c>
      <c r="F72" s="21">
        <f t="shared" si="4"/>
      </c>
      <c r="G72" s="21">
        <f t="shared" si="5"/>
      </c>
      <c r="H72" s="22">
        <f t="shared" si="6"/>
      </c>
      <c r="I72" s="94">
        <f t="shared" si="7"/>
      </c>
      <c r="J72" s="96">
        <f t="shared" si="8"/>
      </c>
      <c r="Y72" s="2">
        <f>IF(45&gt;$Z$60,0,IFERROR(MATCH(45,$Z$1:$Z$60,0),0))</f>
        <v>0</v>
      </c>
    </row>
    <row r="73">
      <c r="A73" s="94">
        <f>IF($Y73=0,"",46)</f>
      </c>
      <c r="B73" s="96">
        <f t="shared" si="0"/>
      </c>
      <c r="C73" s="21">
        <f t="shared" si="1"/>
      </c>
      <c r="D73" s="21">
        <f t="shared" si="2"/>
      </c>
      <c r="E73" s="21">
        <f t="shared" si="3"/>
      </c>
      <c r="F73" s="21">
        <f t="shared" si="4"/>
      </c>
      <c r="G73" s="21">
        <f t="shared" si="5"/>
      </c>
      <c r="H73" s="22">
        <f t="shared" si="6"/>
      </c>
      <c r="I73" s="94">
        <f t="shared" si="7"/>
      </c>
      <c r="J73" s="96">
        <f t="shared" si="8"/>
      </c>
      <c r="Y73" s="2">
        <f>IF(46&gt;$Z$60,0,IFERROR(MATCH(46,$Z$1:$Z$60,0),0))</f>
        <v>0</v>
      </c>
    </row>
    <row r="74">
      <c r="A74" s="94">
        <f>IF($Y74=0,"",47)</f>
      </c>
      <c r="B74" s="96">
        <f t="shared" si="0"/>
      </c>
      <c r="C74" s="21">
        <f t="shared" si="1"/>
      </c>
      <c r="D74" s="21">
        <f t="shared" si="2"/>
      </c>
      <c r="E74" s="21">
        <f t="shared" si="3"/>
      </c>
      <c r="F74" s="21">
        <f t="shared" si="4"/>
      </c>
      <c r="G74" s="21">
        <f t="shared" si="5"/>
      </c>
      <c r="H74" s="22">
        <f t="shared" si="6"/>
      </c>
      <c r="I74" s="94">
        <f t="shared" si="7"/>
      </c>
      <c r="J74" s="96">
        <f t="shared" si="8"/>
      </c>
      <c r="Y74" s="2">
        <f>IF(47&gt;$Z$60,0,IFERROR(MATCH(47,$Z$1:$Z$60,0),0))</f>
        <v>0</v>
      </c>
    </row>
    <row r="75">
      <c r="A75" s="94">
        <f>IF($Y75=0,"",48)</f>
      </c>
      <c r="B75" s="96">
        <f t="shared" si="0"/>
      </c>
      <c r="C75" s="21">
        <f t="shared" si="1"/>
      </c>
      <c r="D75" s="21">
        <f t="shared" si="2"/>
      </c>
      <c r="E75" s="21">
        <f t="shared" si="3"/>
      </c>
      <c r="F75" s="21">
        <f t="shared" si="4"/>
      </c>
      <c r="G75" s="21">
        <f t="shared" si="5"/>
      </c>
      <c r="H75" s="22">
        <f t="shared" si="6"/>
      </c>
      <c r="I75" s="94">
        <f t="shared" si="7"/>
      </c>
      <c r="J75" s="96">
        <f t="shared" si="8"/>
      </c>
      <c r="Y75" s="2">
        <f>IF(48&gt;$Z$60,0,IFERROR(MATCH(48,$Z$1:$Z$60,0),0))</f>
        <v>0</v>
      </c>
    </row>
    <row r="76">
      <c r="A76" s="94">
        <f>IF($Y76=0,"",49)</f>
      </c>
      <c r="B76" s="96">
        <f t="shared" si="0"/>
      </c>
      <c r="C76" s="21">
        <f t="shared" si="1"/>
      </c>
      <c r="D76" s="21">
        <f t="shared" si="2"/>
      </c>
      <c r="E76" s="21">
        <f t="shared" si="3"/>
      </c>
      <c r="F76" s="21">
        <f t="shared" si="4"/>
      </c>
      <c r="G76" s="21">
        <f t="shared" si="5"/>
      </c>
      <c r="H76" s="22">
        <f t="shared" si="6"/>
      </c>
      <c r="I76" s="94">
        <f t="shared" si="7"/>
      </c>
      <c r="J76" s="96">
        <f t="shared" si="8"/>
      </c>
      <c r="Y76" s="2">
        <f>IF(49&gt;$Z$60,0,IFERROR(MATCH(49,$Z$1:$Z$60,0),0))</f>
        <v>0</v>
      </c>
    </row>
    <row r="77">
      <c r="A77" s="94">
        <f>IF($Y77=0,"",50)</f>
      </c>
      <c r="B77" s="96">
        <f t="shared" si="0"/>
      </c>
      <c r="C77" s="21">
        <f t="shared" si="1"/>
      </c>
      <c r="D77" s="21">
        <f t="shared" si="2"/>
      </c>
      <c r="E77" s="21">
        <f t="shared" si="3"/>
      </c>
      <c r="F77" s="21">
        <f t="shared" si="4"/>
      </c>
      <c r="G77" s="21">
        <f t="shared" si="5"/>
      </c>
      <c r="H77" s="22">
        <f t="shared" si="6"/>
      </c>
      <c r="I77" s="94">
        <f t="shared" si="7"/>
      </c>
      <c r="J77" s="96">
        <f t="shared" si="8"/>
      </c>
      <c r="Y77" s="2">
        <f>IF(50&gt;$Z$60,0,IFERROR(MATCH(50,$Z$1:$Z$60,0),0))</f>
        <v>0</v>
      </c>
    </row>
    <row r="78">
      <c r="A78" s="94">
        <f>IF($Y78=0,"",51)</f>
      </c>
      <c r="B78" s="96">
        <f t="shared" si="0"/>
      </c>
      <c r="C78" s="21">
        <f t="shared" si="1"/>
      </c>
      <c r="D78" s="21">
        <f t="shared" si="2"/>
      </c>
      <c r="E78" s="21">
        <f t="shared" si="3"/>
      </c>
      <c r="F78" s="21">
        <f t="shared" si="4"/>
      </c>
      <c r="G78" s="21">
        <f t="shared" si="5"/>
      </c>
      <c r="H78" s="22">
        <f t="shared" si="6"/>
      </c>
      <c r="I78" s="94">
        <f t="shared" si="7"/>
      </c>
      <c r="J78" s="96">
        <f t="shared" si="8"/>
      </c>
      <c r="Y78" s="2">
        <f>IF(51&gt;$Z$60,0,IFERROR(MATCH(51,$Z$1:$Z$60,0),0))</f>
        <v>0</v>
      </c>
    </row>
    <row r="79">
      <c r="A79" s="94">
        <f>IF($Y79=0,"",52)</f>
      </c>
      <c r="B79" s="96">
        <f t="shared" si="0"/>
      </c>
      <c r="C79" s="21">
        <f t="shared" si="1"/>
      </c>
      <c r="D79" s="21">
        <f t="shared" si="2"/>
      </c>
      <c r="E79" s="21">
        <f t="shared" si="3"/>
      </c>
      <c r="F79" s="21">
        <f t="shared" si="4"/>
      </c>
      <c r="G79" s="21">
        <f t="shared" si="5"/>
      </c>
      <c r="H79" s="22">
        <f t="shared" si="6"/>
      </c>
      <c r="I79" s="94">
        <f t="shared" si="7"/>
      </c>
      <c r="J79" s="96">
        <f t="shared" si="8"/>
      </c>
      <c r="Y79" s="2">
        <f>IF(52&gt;$Z$60,0,IFERROR(MATCH(52,$Z$1:$Z$60,0),0))</f>
        <v>0</v>
      </c>
    </row>
    <row r="80">
      <c r="A80" s="94">
        <f>IF($Y80=0,"",53)</f>
      </c>
      <c r="B80" s="96">
        <f t="shared" si="0"/>
      </c>
      <c r="C80" s="21">
        <f t="shared" si="1"/>
      </c>
      <c r="D80" s="21">
        <f t="shared" si="2"/>
      </c>
      <c r="E80" s="21">
        <f t="shared" si="3"/>
      </c>
      <c r="F80" s="21">
        <f t="shared" si="4"/>
      </c>
      <c r="G80" s="21">
        <f t="shared" si="5"/>
      </c>
      <c r="H80" s="22">
        <f t="shared" si="6"/>
      </c>
      <c r="I80" s="94">
        <f t="shared" si="7"/>
      </c>
      <c r="J80" s="96">
        <f t="shared" si="8"/>
      </c>
      <c r="Y80" s="2">
        <f>IF(53&gt;$Z$60,0,IFERROR(MATCH(53,$Z$1:$Z$60,0),0))</f>
        <v>0</v>
      </c>
    </row>
    <row r="81">
      <c r="A81" s="94">
        <f>IF($Y81=0,"",54)</f>
      </c>
      <c r="B81" s="96">
        <f t="shared" si="0"/>
      </c>
      <c r="C81" s="21">
        <f t="shared" si="1"/>
      </c>
      <c r="D81" s="21">
        <f t="shared" si="2"/>
      </c>
      <c r="E81" s="21">
        <f t="shared" si="3"/>
      </c>
      <c r="F81" s="21">
        <f t="shared" si="4"/>
      </c>
      <c r="G81" s="21">
        <f t="shared" si="5"/>
      </c>
      <c r="H81" s="22">
        <f t="shared" si="6"/>
      </c>
      <c r="I81" s="94">
        <f t="shared" si="7"/>
      </c>
      <c r="J81" s="96">
        <f t="shared" si="8"/>
      </c>
      <c r="Y81" s="2">
        <f>IF(54&gt;$Z$60,0,IFERROR(MATCH(54,$Z$1:$Z$60,0),0))</f>
        <v>0</v>
      </c>
    </row>
    <row r="82">
      <c r="A82" s="94">
        <f>IF($Y82=0,"",55)</f>
      </c>
      <c r="B82" s="96">
        <f t="shared" si="0"/>
      </c>
      <c r="C82" s="21">
        <f t="shared" si="1"/>
      </c>
      <c r="D82" s="21">
        <f t="shared" si="2"/>
      </c>
      <c r="E82" s="21">
        <f t="shared" si="3"/>
      </c>
      <c r="F82" s="21">
        <f t="shared" si="4"/>
      </c>
      <c r="G82" s="21">
        <f t="shared" si="5"/>
      </c>
      <c r="H82" s="22">
        <f t="shared" si="6"/>
      </c>
      <c r="I82" s="94">
        <f t="shared" si="7"/>
      </c>
      <c r="J82" s="96">
        <f t="shared" si="8"/>
      </c>
      <c r="Y82" s="2">
        <f>IF(55&gt;$Z$60,0,IFERROR(MATCH(55,$Z$1:$Z$60,0),0))</f>
        <v>0</v>
      </c>
    </row>
    <row r="83">
      <c r="A83" s="94">
        <f>IF($Y83=0,"",56)</f>
      </c>
      <c r="B83" s="96">
        <f t="shared" si="0"/>
      </c>
      <c r="C83" s="21">
        <f t="shared" si="1"/>
      </c>
      <c r="D83" s="21">
        <f t="shared" si="2"/>
      </c>
      <c r="E83" s="21">
        <f t="shared" si="3"/>
      </c>
      <c r="F83" s="21">
        <f t="shared" si="4"/>
      </c>
      <c r="G83" s="21">
        <f t="shared" si="5"/>
      </c>
      <c r="H83" s="22">
        <f t="shared" si="6"/>
      </c>
      <c r="I83" s="94">
        <f t="shared" si="7"/>
      </c>
      <c r="J83" s="96">
        <f t="shared" si="8"/>
      </c>
      <c r="Y83" s="2">
        <f>IF(56&gt;$Z$60,0,IFERROR(MATCH(56,$Z$1:$Z$60,0),0))</f>
        <v>0</v>
      </c>
    </row>
    <row r="84">
      <c r="A84" s="94">
        <f>IF($Y84=0,"",57)</f>
      </c>
      <c r="B84" s="96">
        <f t="shared" si="0"/>
      </c>
      <c r="C84" s="21">
        <f t="shared" si="1"/>
      </c>
      <c r="D84" s="21">
        <f t="shared" si="2"/>
      </c>
      <c r="E84" s="21">
        <f t="shared" si="3"/>
      </c>
      <c r="F84" s="21">
        <f t="shared" si="4"/>
      </c>
      <c r="G84" s="21">
        <f t="shared" si="5"/>
      </c>
      <c r="H84" s="22">
        <f t="shared" si="6"/>
      </c>
      <c r="I84" s="94">
        <f t="shared" si="7"/>
      </c>
      <c r="J84" s="96">
        <f t="shared" si="8"/>
      </c>
      <c r="Y84" s="2">
        <f>IF(57&gt;$Z$60,0,IFERROR(MATCH(57,$Z$1:$Z$60,0),0))</f>
        <v>0</v>
      </c>
    </row>
    <row r="85">
      <c r="A85" s="94">
        <f>IF($Y85=0,"",58)</f>
      </c>
      <c r="B85" s="96">
        <f t="shared" si="0"/>
      </c>
      <c r="C85" s="21">
        <f t="shared" si="1"/>
      </c>
      <c r="D85" s="21">
        <f t="shared" si="2"/>
      </c>
      <c r="E85" s="21">
        <f t="shared" si="3"/>
      </c>
      <c r="F85" s="21">
        <f t="shared" si="4"/>
      </c>
      <c r="G85" s="21">
        <f t="shared" si="5"/>
      </c>
      <c r="H85" s="22">
        <f t="shared" si="6"/>
      </c>
      <c r="I85" s="94">
        <f t="shared" si="7"/>
      </c>
      <c r="J85" s="96">
        <f t="shared" si="8"/>
      </c>
      <c r="Y85" s="2">
        <f>IF(58&gt;$Z$60,0,IFERROR(MATCH(58,$Z$1:$Z$60,0),0))</f>
        <v>0</v>
      </c>
    </row>
    <row r="86">
      <c r="A86" s="94">
        <f>IF($Y86=0,"",59)</f>
      </c>
      <c r="B86" s="96">
        <f t="shared" si="0"/>
      </c>
      <c r="C86" s="21">
        <f t="shared" si="1"/>
      </c>
      <c r="D86" s="21">
        <f t="shared" si="2"/>
      </c>
      <c r="E86" s="21">
        <f t="shared" si="3"/>
      </c>
      <c r="F86" s="21">
        <f t="shared" si="4"/>
      </c>
      <c r="G86" s="21">
        <f t="shared" si="5"/>
      </c>
      <c r="H86" s="22">
        <f t="shared" si="6"/>
      </c>
      <c r="I86" s="94">
        <f t="shared" si="7"/>
      </c>
      <c r="J86" s="96">
        <f t="shared" si="8"/>
      </c>
      <c r="Y86" s="2">
        <f>IF(59&gt;$Z$60,0,IFERROR(MATCH(59,$Z$1:$Z$60,0),0))</f>
        <v>0</v>
      </c>
    </row>
    <row r="87">
      <c r="A87" s="94">
        <f>IF($Y87=0,"",60)</f>
      </c>
      <c r="B87" s="96">
        <f t="shared" si="0"/>
      </c>
      <c r="C87" s="21">
        <f t="shared" si="1"/>
      </c>
      <c r="D87" s="21">
        <f t="shared" si="2"/>
      </c>
      <c r="E87" s="21">
        <f t="shared" si="3"/>
      </c>
      <c r="F87" s="21">
        <f t="shared" si="4"/>
      </c>
      <c r="G87" s="21">
        <f t="shared" si="5"/>
      </c>
      <c r="H87" s="22">
        <f t="shared" si="6"/>
      </c>
      <c r="I87" s="94">
        <f t="shared" si="7"/>
      </c>
      <c r="J87" s="96">
        <f t="shared" si="8"/>
      </c>
      <c r="Y87" s="2">
        <f>IF(60&gt;$Z$60,0,IFERROR(MATCH(60,$Z$1:$Z$60,0),0))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24">
    <mergeCell ref="A5:J5"/>
    <mergeCell ref="D18:J18"/>
    <mergeCell ref="D9:J9"/>
    <mergeCell ref="D12:J12"/>
    <mergeCell ref="C24:J24"/>
    <mergeCell ref="D8:J8"/>
    <mergeCell ref="L5:N5"/>
    <mergeCell ref="D15:J15"/>
    <mergeCell ref="D23:J23"/>
    <mergeCell ref="D14:J14"/>
    <mergeCell ref="D20:J20"/>
    <mergeCell ref="D10:J10"/>
    <mergeCell ref="D19:J19"/>
    <mergeCell ref="A1:J1"/>
    <mergeCell ref="D22:J22"/>
    <mergeCell ref="D21:J21"/>
    <mergeCell ref="D13:J13"/>
    <mergeCell ref="D11:J11"/>
    <mergeCell ref="B25:J25"/>
    <mergeCell ref="D17:J17"/>
    <mergeCell ref="D7:J7"/>
    <mergeCell ref="D16:J16"/>
    <mergeCell ref="A26:J26"/>
    <mergeCell ref="A2:J2"/>
  </mergeCells>
  <conditionalFormatting sqref="G28:G87">
    <cfRule type="expression" priority="1" dxfId="2">
      <formula>N($G28)&lt;0</formula>
    </cfRule>
  </conditionalFormatting>
  <conditionalFormatting sqref="J28:J87">
    <cfRule type="expression" priority="2" dxfId="1">
      <formula>$J28&lt;&gt;""</formula>
    </cfRule>
  </conditionalFormatting>
  <hyperlinks>
    <hyperlink ref="K1" location="'首页'!A1" display="← 回首页"/>
  </hyperlinks>
  <pageMargins left="0.3" right="0.3" top="0.5" bottom="0.5" header="0.5" footer="0.5"/>
  <pageSetup orientation="portrait" paperSize="9" fitToHeight="0" fitToWidth="1"/>
</worksheet>
</file>

<file path=xl/worksheets/sheet28.xml><?xml version="1.0" encoding="utf-8"?>
<worksheet xmlns="http://schemas.openxmlformats.org/spreadsheetml/2006/main">
  <sheetPr>
    <tabColor rgb="00833C0C"/>
    <outlinePr summaryBelow="1" summaryRight="1"/>
    <pageSetUpPr fitToPage="1"/>
  </sheetPr>
  <dimension ref="A1:G45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8" customWidth="1" min="4" max="4"/>
    <col width="60" customWidth="1" min="5" max="5"/>
    <col width="14" customWidth="1" min="6" max="6"/>
    <col width="13" customWidth="1" min="7" max="7"/>
  </cols>
  <sheetData>
    <row r="1" ht="33" customHeight="1">
      <c r="A1" s="152" t="inlineStr">
        <is>
          <t>数 据 校 验（录错的、漏录的、快满了的，都在这里）</t>
        </is>
      </c>
      <c r="G1" s="33" t="inlineStr">
        <is>
          <t>← 回首页</t>
        </is>
      </c>
    </row>
    <row r="2" ht="24" customHeight="1">
      <c r="A2" s="3" t="inlineStr">
        <is>
          <t>💡 全自动。✗＝一定要改（不改报表就不准），⚠＝看一下是不是真的有问题，√＝没问题。点「去看看」跳到那张表，按校验列筛选 ✗ 就能找到是哪几行。</t>
        </is>
      </c>
    </row>
    <row r="3">
      <c r="B3" s="133" t="str">
        <f>"要改 "&amp;COUNTIF(D5:D45,"✗")&amp;" 项，要看 "&amp;COUNTIF(D5:D45,"⚠")&amp;" 项"</f>
        <v>要改 1 项，要看 4 项</v>
      </c>
    </row>
    <row r="4" ht="34" customHeight="1">
      <c r="A4" s="81" t="inlineStr">
        <is>
          <t>序号</t>
        </is>
      </c>
      <c r="B4" s="81" t="inlineStr">
        <is>
          <t>检查什么</t>
        </is>
      </c>
      <c r="C4" s="81" t="inlineStr">
        <is>
          <t>结果</t>
        </is>
      </c>
      <c r="D4" s="81" t="inlineStr">
        <is>
          <t>状态</t>
        </is>
      </c>
      <c r="E4" s="81" t="inlineStr">
        <is>
          <t>怎么处理</t>
        </is>
      </c>
      <c r="F4" s="81" t="inlineStr">
        <is>
          <t>去看看</t>
        </is>
      </c>
    </row>
    <row r="5" ht="20" customHeight="1">
      <c r="A5" s="94" t="n">
        <v>1</v>
      </c>
      <c r="B5" s="19" t="inlineStr">
        <is>
          <t>资金流水：要改的（✗）</t>
        </is>
      </c>
      <c r="C5" s="147">
        <f>COUNTIF(资金流水!$K$6:$K$2005,"✗*")</f>
        <v>7</v>
      </c>
      <c r="D5" s="123" t="str">
        <f>IF(N(C5)&gt;0,"✗","√")</f>
        <v>✗</v>
      </c>
      <c r="E5" s="83" t="inlineStr">
        <is>
          <t>按「校验」列筛选 ✗，照提示改（多数是在「改类别/改项目/改单位」选一下）</t>
        </is>
      </c>
      <c r="F5" s="153" t="str">
        <f>HYPERLINK("#'资金流水'!A1","去看看 →")</f>
        <v>去看看 →</v>
      </c>
    </row>
    <row r="6" ht="20" customHeight="1">
      <c r="A6" s="94" t="n">
        <v>2</v>
      </c>
      <c r="B6" s="19" t="inlineStr">
        <is>
          <t>资金流水：要看一下的（⚠）</t>
        </is>
      </c>
      <c r="C6" s="147">
        <f>COUNTIF(资金流水!$K$6:$K$2005,"⚠*")</f>
        <v>0</v>
      </c>
      <c r="D6" s="123" t="str">
        <f>IF(N(C6)&gt;0,"⚠","√")</f>
        <v>√</v>
      </c>
      <c r="E6" s="83" t="inlineStr">
        <is>
          <t>摘要里有两个项目、单位没登记等</t>
        </is>
      </c>
      <c r="F6" s="153" t="str">
        <f>HYPERLINK("#'资金流水'!A1","去看看 →")</f>
        <v>去看看 →</v>
      </c>
    </row>
    <row r="7" ht="20" customHeight="1">
      <c r="A7" s="94" t="n">
        <v>3</v>
      </c>
      <c r="B7" s="19" t="inlineStr">
        <is>
          <t>应付登记：要改的（✗）</t>
        </is>
      </c>
      <c r="C7" s="147">
        <f>COUNTIF(应付登记!$K$5:$K$1004,"✗*")</f>
        <v>0</v>
      </c>
      <c r="D7" s="123" t="str">
        <f t="shared" ref="D7:D10" si="0">IF(N(C7)&gt;0,"✗","√")</f>
        <v>√</v>
      </c>
      <c r="E7" s="83" t="inlineStr">
        <is>
          <t>单位、项目要先在档案里登记</t>
        </is>
      </c>
      <c r="F7" s="153" t="str">
        <f>HYPERLINK("#'应付登记'!A1","去看看 →")</f>
        <v>去看看 →</v>
      </c>
    </row>
    <row r="8" ht="20" customHeight="1">
      <c r="A8" s="94" t="n">
        <v>4</v>
      </c>
      <c r="B8" s="19" t="inlineStr">
        <is>
          <t>收入确认：要改的（✗）</t>
        </is>
      </c>
      <c r="C8" s="147">
        <f>COUNTIF(收入确认!$I$5:$I$204,"✗*")</f>
        <v>0</v>
      </c>
      <c r="D8" s="123" t="str">
        <f t="shared" si="0"/>
        <v>√</v>
      </c>
      <c r="E8" s="83" t="inlineStr"/>
      <c r="F8" s="153" t="str">
        <f>HYPERLINK("#'收入确认'!A1","去看看 →")</f>
        <v>去看看 →</v>
      </c>
    </row>
    <row r="9" ht="20" customHeight="1">
      <c r="A9" s="94" t="n">
        <v>5</v>
      </c>
      <c r="B9" s="19" t="inlineStr">
        <is>
          <t>代发抵账：要改的（✗）</t>
        </is>
      </c>
      <c r="C9" s="147">
        <f>COUNTIF(代发抵账!$J$5:$J$304,"✗*")</f>
        <v>0</v>
      </c>
      <c r="D9" s="123" t="str">
        <f t="shared" si="0"/>
        <v>√</v>
      </c>
      <c r="E9" s="83" t="inlineStr">
        <is>
          <t>代发工资的对象要是工人，代付款的对象要是材料商/分包</t>
        </is>
      </c>
      <c r="F9" s="153" t="str">
        <f>HYPERLINK("#'代发抵账'!A1","去看看 →")</f>
        <v>去看看 →</v>
      </c>
    </row>
    <row r="10" ht="20" customHeight="1">
      <c r="A10" s="94" t="n">
        <v>6</v>
      </c>
      <c r="B10" s="19" t="inlineStr">
        <is>
          <t>发票登记：要改的（✗）</t>
        </is>
      </c>
      <c r="C10" s="147">
        <f>COUNTIF(发票登记!$W$5:$W$1004,"✗*")</f>
        <v>0</v>
      </c>
      <c r="D10" s="123" t="str">
        <f t="shared" si="0"/>
        <v>√</v>
      </c>
      <c r="E10" s="83" t="inlineStr">
        <is>
          <t>多数是【基础资料】① 公司全称没填对，认不出销项/进项</t>
        </is>
      </c>
      <c r="F10" s="153" t="str">
        <f>HYPERLINK("#'发票登记'!A1","去看看 →")</f>
        <v>去看看 →</v>
      </c>
    </row>
    <row r="11" ht="20" customHeight="1">
      <c r="A11" s="94" t="n">
        <v>7</v>
      </c>
      <c r="B11" s="19" t="inlineStr">
        <is>
          <t>发票登记：要看一下的（⚠）</t>
        </is>
      </c>
      <c r="C11" s="147">
        <f>COUNTIF(发票登记!$W$5:$W$1004,"⚠*")</f>
        <v>0</v>
      </c>
      <c r="D11" s="123" t="str">
        <f>IF(N(C11)&gt;0,"⚠","√")</f>
        <v>√</v>
      </c>
      <c r="E11" s="83" t="inlineStr">
        <is>
          <t>没选项目、号码重复、开票单位没登记</t>
        </is>
      </c>
      <c r="F11" s="153" t="str">
        <f>HYPERLINK("#'发票登记'!A1","去看看 →")</f>
        <v>去看看 →</v>
      </c>
    </row>
    <row r="12" ht="20" customHeight="1">
      <c r="A12" s="94" t="n">
        <v>8</v>
      </c>
      <c r="B12" s="19" t="inlineStr">
        <is>
          <t>考勤工资：要改的（✗）</t>
        </is>
      </c>
      <c r="C12" s="147">
        <f>COUNTIF(考勤工资!$X$5:$X$1004,"✗*")</f>
        <v>0</v>
      </c>
      <c r="D12" s="123" t="str">
        <f>IF(N(C12)&gt;0,"✗","√")</f>
        <v>√</v>
      </c>
      <c r="E12" s="83" t="inlineStr">
        <is>
          <t>人没登记、工资标准查不到单价、项目没选</t>
        </is>
      </c>
      <c r="F12" s="153" t="str">
        <f>HYPERLINK("#'考勤工资'!A1","去看看 →")</f>
        <v>去看看 →</v>
      </c>
    </row>
    <row r="13" ht="20" customHeight="1">
      <c r="A13" s="94" t="n">
        <v>9</v>
      </c>
      <c r="B13" s="19" t="inlineStr">
        <is>
          <t>考勤工资：要看一下的（⚠）</t>
        </is>
      </c>
      <c r="C13" s="147">
        <f>COUNTIF(考勤工资!$X$5:$X$1004,"⚠*")</f>
        <v>3</v>
      </c>
      <c r="D13" s="123" t="str">
        <f>IF(N(C13)&gt;0,"⚠","√")</f>
        <v>⚠</v>
      </c>
      <c r="E13" s="83" t="inlineStr">
        <is>
          <t>月中调价要拆两行、天数超过当月天数</t>
        </is>
      </c>
      <c r="F13" s="153" t="str">
        <f>HYPERLINK("#'考勤工资'!A1","去看看 →")</f>
        <v>去看看 →</v>
      </c>
    </row>
    <row r="14" ht="20" customHeight="1">
      <c r="A14" s="94" t="n">
        <v>10</v>
      </c>
      <c r="B14" s="19" t="inlineStr">
        <is>
          <t>工资标准：要改的（✗）</t>
        </is>
      </c>
      <c r="C14" s="147">
        <f>COUNTIF(工资标准!$G$4:$G$303,"✗*")</f>
        <v>0</v>
      </c>
      <c r="D14" s="123" t="str">
        <f>IF(N(C14)&gt;0,"✗","√")</f>
        <v>√</v>
      </c>
      <c r="E14" s="83" t="inlineStr"/>
      <c r="F14" s="153" t="str">
        <f>HYPERLINK("#'工资标准'!A1","去看看 →")</f>
        <v>去看看 →</v>
      </c>
    </row>
    <row r="15" ht="20" customHeight="1">
      <c r="A15" s="94" t="n">
        <v>11</v>
      </c>
      <c r="B15" s="19" t="inlineStr">
        <is>
          <t>月薪的人有月份没录考勤</t>
        </is>
      </c>
      <c r="C15" s="147">
        <f>N(COUNTIF(工资汇总!$AD$6:$AD$205,"⚠*"))</f>
        <v>5</v>
      </c>
      <c r="D15" s="123" t="str">
        <f>IF(N(C15)&gt;0,"⚠","√")</f>
        <v>⚠</v>
      </c>
      <c r="E15" s="83" t="inlineStr">
        <is>
          <t>老板、负责人每个月也要录一行（不填天数＝全算公司管理费），不然管理费少了</t>
        </is>
      </c>
      <c r="F15" s="153" t="str">
        <f>HYPERLINK("#'工资汇总'!A1","去看看 →")</f>
        <v>去看看 →</v>
      </c>
    </row>
    <row r="16" ht="20" customHeight="1">
      <c r="A16" s="94" t="n">
        <v>12</v>
      </c>
      <c r="B16" s="19" t="inlineStr">
        <is>
          <t>工资汇总对不上的人</t>
        </is>
      </c>
      <c r="C16" s="147">
        <f>COUNTIF(工资汇总!$P$6:$P$205,"✗*")</f>
        <v>0</v>
      </c>
      <c r="D16" s="123" t="str">
        <f>IF(N(C16)&gt;0,"✗","√")</f>
        <v>√</v>
      </c>
      <c r="E16" s="83" t="inlineStr"/>
      <c r="F16" s="153" t="str">
        <f>HYPERLINK("#'工资汇总'!A1","去看看 →")</f>
        <v>去看看 →</v>
      </c>
    </row>
    <row r="17" ht="20" customHeight="1">
      <c r="A17" s="94" t="n">
        <v>13</v>
      </c>
      <c r="B17" s="19" t="inlineStr">
        <is>
          <t>资金账户：表里余额跟银行 App 差多少</t>
        </is>
      </c>
      <c r="C17" s="147">
        <f>SUMIF(基础资料!$O$5:$O$24,"&gt;0")-SUMIF(基础资料!$O$5:$O$24,"&lt;0")</f>
        <v>0</v>
      </c>
      <c r="D17" s="123" t="str">
        <f>IF(N(C17)&gt;0,"⚠","√")</f>
        <v>√</v>
      </c>
      <c r="E17" s="83" t="inlineStr">
        <is>
          <t>在【基础资料】② 填银行 App 上的余额和日期；有差额就是漏记、记错金额或日期</t>
        </is>
      </c>
      <c r="F17" s="153" t="str">
        <f>HYPERLINK("#'基础资料'!A1","去看看 →")</f>
        <v>去看看 →</v>
      </c>
    </row>
    <row r="18" ht="20" customHeight="1">
      <c r="A18" s="94" t="n">
        <v>14</v>
      </c>
      <c r="B18" s="19" t="inlineStr">
        <is>
          <t>资产负债表平不平（截止月末差额）</t>
        </is>
      </c>
      <c r="C18" s="73">
        <f>资产负债表!$B$24</f>
        <v>0</v>
      </c>
      <c r="D18" s="123" t="str">
        <f>IF(ABS(N(C18))&gt;0.01,"✗","√")</f>
        <v>√</v>
      </c>
      <c r="E18" s="83" t="inlineStr">
        <is>
          <t>不是 0 说明公式被改坏了，请联系做表的人</t>
        </is>
      </c>
      <c r="F18" s="153" t="str">
        <f>HYPERLINK("#'资产负债表'!A1","去看看 →")</f>
        <v>去看看 →</v>
      </c>
    </row>
    <row r="19" ht="20" customHeight="1">
      <c r="A19" s="94" t="n">
        <v>15</v>
      </c>
      <c r="B19" s="19" t="inlineStr">
        <is>
          <t>资产负债表平不平（年初差额）</t>
        </is>
      </c>
      <c r="C19" s="73">
        <f>资产负债表!$C$24</f>
        <v>0</v>
      </c>
      <c r="D19" s="123" t="str">
        <f>IF(ABS(N(C19))&gt;0.01,"✗","√")</f>
        <v>√</v>
      </c>
      <c r="E19" s="83" t="inlineStr"/>
      <c r="F19" s="153" t="str">
        <f>HYPERLINK("#'资产负债表'!A1","去看看 →")</f>
        <v>去看看 →</v>
      </c>
    </row>
    <row r="20" ht="20" customHeight="1">
      <c r="A20" s="94" t="n">
        <v>16</v>
      </c>
      <c r="B20" s="19" t="inlineStr">
        <is>
          <t>待查：没分类、没选账户的流水净额</t>
        </is>
      </c>
      <c r="C20" s="73">
        <f>资产负债表!$F$15</f>
        <v>0</v>
      </c>
      <c r="D20" s="123" t="str">
        <f t="shared" ref="D20:D23" si="1">IF(ABS(N(C20))&gt;1,"⚠","√")</f>
        <v>√</v>
      </c>
      <c r="E20" s="83" t="inlineStr">
        <is>
          <t>去【资金流水】改 ✗ 的行</t>
        </is>
      </c>
      <c r="F20" s="153" t="str">
        <f>HYPERLINK("#'资金流水'!A1","去看看 →")</f>
        <v>去看看 →</v>
      </c>
    </row>
    <row r="21" ht="20" customHeight="1">
      <c r="A21" s="94" t="n">
        <v>17</v>
      </c>
      <c r="B21" s="19" t="inlineStr">
        <is>
          <t>收付款没分到项目（应收账款）</t>
        </is>
      </c>
      <c r="C21" s="73">
        <f>ROUND((SUM(期初余额!$C$5:$C$64)-SUM(期初余额!$D$5:$D$64)+SUMIFS(收入确认!$E$5:$E$204,收入确认!$H$5:$H$204,"&gt;="&amp;_辅助!$J$4,收入确认!$H$5:$H$204,"&lt;="&amp;_辅助!$J$2)-SUMIFS(资金流水!$R$6:$R$2005,资金流水!$X$6:$X$2005,"应收账款",资金流水!$S$6:$S$2005,"&gt;="&amp;_辅助!$J$4,资金流水!$S$6:$S$2005,"&lt;="&amp;_辅助!$J$2)-(SUMIFS(代发抵账!$F$5:$F$304,代发抵账!$D$5:$D$304,"总包代发工资",代发抵账!$H$5:$H$304,"&gt;="&amp;_辅助!$J$4,代发抵账!$H$5:$H$304,"&lt;="&amp;_辅助!$J$2)+SUMIFS(代发抵账!$F$5:$F$304,代发抵账!$D$5:$D$304,"总包代付材料分包款",代发抵账!$H$5:$H$304,"&gt;="&amp;_辅助!$J$4,代发抵账!$H$5:$H$304,"&lt;="&amp;_辅助!$J$2)+SUMIFS(代发抵账!$F$5:$F$304,代发抵账!$D$5:$D$304,"甲供材扣款",代发抵账!$H$5:$H$304,"&gt;="&amp;_辅助!$J$4,代发抵账!$H$5:$H$304,"&lt;="&amp;_辅助!$J$2)+SUMIFS(代发抵账!$F$5:$F$304,代发抵账!$D$5:$D$304,"甲方扣款",代发抵账!$H$5:$H$304,"&gt;="&amp;_辅助!$J$4,代发抵账!$H$5:$H$304,"&lt;="&amp;_辅助!$J$2)))-SUM(_项目汇总!$AV$3:$AV$62),2)</f>
        <v>0</v>
      </c>
      <c r="D21" s="123" t="str">
        <f t="shared" si="1"/>
        <v>√</v>
      </c>
      <c r="E21" s="83" t="inlineStr">
        <is>
          <t>工程款没选项目、收入确认/代发抵账的项目写错</t>
        </is>
      </c>
      <c r="F21" s="153" t="str">
        <f>HYPERLINK("#'应收账款总表'!A1","去看看 →")</f>
        <v>去看看 →</v>
      </c>
    </row>
    <row r="22" ht="20" customHeight="1">
      <c r="A22" s="94" t="n">
        <v>18</v>
      </c>
      <c r="B22" s="19" t="inlineStr">
        <is>
          <t>付款没分到单位（应付账款）</t>
        </is>
      </c>
      <c r="C22" s="73">
        <f>ROUND((SUM(期初余额!$R$5:$R$204)-SUM(期初余额!$S$5:$S$204)+SUMIFS(应付登记!$G$5:$G$1004,应付登记!$C$5:$C$1004,"材料",应付登记!$J$5:$J$1004,"&gt;="&amp;_辅助!$J$4,应付登记!$J$5:$J$1004,"&lt;="&amp;_辅助!$J$2)+SUMIFS(应付登记!$G$5:$G$1004,应付登记!$C$5:$C$1004,"分包",应付登记!$J$5:$J$1004,"&gt;="&amp;_辅助!$J$4,应付登记!$J$5:$J$1004,"&lt;="&amp;_辅助!$J$2)+SUMIFS(应付登记!$G$5:$G$1004,应付登记!$C$5:$C$1004,"机械运输",应付登记!$J$5:$J$1004,"&gt;="&amp;_辅助!$J$4,应付登记!$J$5:$J$1004,"&lt;="&amp;_辅助!$J$2)+SUMIFS(应付登记!$G$5:$G$1004,应付登记!$C$5:$C$1004,"其他直接费",应付登记!$J$5:$J$1004,"&gt;="&amp;_辅助!$J$4,应付登记!$J$5:$J$1004,"&lt;="&amp;_辅助!$J$2)+SUMIFS(资金流水!$R$6:$R$2005,资金流水!$X$6:$X$2005,"应付材料款",资金流水!$S$6:$S$2005,"&gt;="&amp;_辅助!$J$4,资金流水!$S$6:$S$2005,"&lt;="&amp;_辅助!$J$2)+SUMIFS(资金流水!$R$6:$R$2005,资金流水!$X$6:$X$2005,"应付分包款",资金流水!$S$6:$S$2005,"&gt;="&amp;_辅助!$J$4,资金流水!$S$6:$S$2005,"&lt;="&amp;_辅助!$J$2)+SUMIFS(资金流水!$R$6:$R$2005,资金流水!$X$6:$X$2005,"应付机械运输费",资金流水!$S$6:$S$2005,"&gt;="&amp;_辅助!$J$4,资金流水!$S$6:$S$2005,"&lt;="&amp;_辅助!$J$2)+SUMIFS(资金流水!$R$6:$R$2005,资金流水!$X$6:$X$2005,"应付其他款",资金流水!$S$6:$S$2005,"&gt;="&amp;_辅助!$J$4,资金流水!$S$6:$S$2005,"&lt;="&amp;_辅助!$J$2)-SUMIFS(代发抵账!$F$5:$F$304,代发抵账!$D$5:$D$304,"总包代付材料分包款",代发抵账!$H$5:$H$304,"&gt;="&amp;_辅助!$J$4,代发抵账!$H$5:$H$304,"&lt;="&amp;_辅助!$J$2))-SUM(_余额!$C$3:$C$302),2)</f>
        <v>0</v>
      </c>
      <c r="D22" s="123" t="str">
        <f t="shared" si="1"/>
        <v>√</v>
      </c>
      <c r="E22" s="83" t="inlineStr">
        <is>
          <t>付应付款没选单位、单位类型不是材料商/分包/机械</t>
        </is>
      </c>
      <c r="F22" s="153" t="str">
        <f>HYPERLINK("#'应付账款总表'!A1","去看看 →")</f>
        <v>去看看 →</v>
      </c>
    </row>
    <row r="23" ht="20" customHeight="1">
      <c r="A23" s="94" t="n">
        <v>19</v>
      </c>
      <c r="B23" s="19" t="inlineStr">
        <is>
          <t>工资没分到人（应付职工薪酬）</t>
        </is>
      </c>
      <c r="C23" s="73">
        <f>ROUND((SUM(往来单位!$M$4:$M$303)+SUMIFS(考勤工资!$W$5:$W$1004,考勤工资!$Y$5:$Y$1004,"&gt;="&amp;_辅助!$J$4,考勤工资!$Y$5:$Y$1004,"&lt;="&amp;_辅助!$J$2)+SUMIFS(资金流水!$R$6:$R$2005,资金流水!$X$6:$X$2005,"应付职工薪酬",资金流水!$S$6:$S$2005,"&gt;="&amp;_辅助!$J$4,资金流水!$S$6:$S$2005,"&lt;="&amp;_辅助!$J$2)-SUMIFS(代发抵账!$F$5:$F$304,代发抵账!$D$5:$D$304,"总包代发工资",代发抵账!$H$5:$H$304,"&gt;="&amp;_辅助!$J$4,代发抵账!$H$5:$H$304,"&lt;="&amp;_辅助!$J$2))-SUM(_余额!$E$3:$E$302),2)</f>
        <v>0</v>
      </c>
      <c r="D23" s="123" t="str">
        <f t="shared" si="1"/>
        <v>√</v>
      </c>
      <c r="E23" s="83" t="inlineStr">
        <is>
          <t>发工资没选人、人不是工人/管理人员</t>
        </is>
      </c>
      <c r="F23" s="153" t="str">
        <f>HYPERLINK("#'工资汇总'!A1","去看看 →")</f>
        <v>去看看 →</v>
      </c>
    </row>
    <row r="24" ht="20" customHeight="1">
      <c r="A24" s="94" t="n">
        <v>20</v>
      </c>
      <c r="B24" s="19" t="inlineStr">
        <is>
          <t>项目利润 ↔ 利润表 对账差额</t>
        </is>
      </c>
      <c r="C24" s="73">
        <f>项目利润表!$C$78</f>
        <v>0</v>
      </c>
      <c r="D24" s="123" t="str">
        <f>IF(ABS(N(C24))&gt;0.01,"✗","√")</f>
        <v>√</v>
      </c>
      <c r="E24" s="83" t="inlineStr">
        <is>
          <t>不是 0 说明公式被改坏了</t>
        </is>
      </c>
      <c r="F24" s="153" t="str">
        <f>HYPERLINK("#'项目利润表'!A1","去看看 →")</f>
        <v>去看看 →</v>
      </c>
    </row>
    <row r="25" ht="20" customHeight="1">
      <c r="A25" s="94" t="n">
        <v>21</v>
      </c>
      <c r="B25" s="19" t="inlineStr">
        <is>
          <t>期初未分配利润：倒算的跟老板/会计认的差</t>
        </is>
      </c>
      <c r="C25" s="73">
        <f>IF(ISNUMBER(资产负债表!$B$29),资产负债表!$B$29,0)</f>
        <v>0</v>
      </c>
      <c r="D25" s="123" t="str">
        <f>IF(ABS(N(C25))&gt;1,"⚠","√")</f>
        <v>√</v>
      </c>
      <c r="E25" s="83" t="inlineStr">
        <is>
          <t>差得多说明建账日的数没填全（银行期初、老板借款、欠材料商的、甲方欠的）</t>
        </is>
      </c>
      <c r="F25" s="153" t="str">
        <f>HYPERLINK("#'期初余额'!A1","去看看 →")</f>
        <v>去看看 →</v>
      </c>
    </row>
    <row r="26" ht="20" customHeight="1">
      <c r="A26" s="94" t="n">
        <v>22</v>
      </c>
      <c r="B26" s="19" t="inlineStr">
        <is>
          <t>项目要注意的（成本多产值少、完工没结算、亏损）</t>
        </is>
      </c>
      <c r="C26" s="147">
        <f>SUMPRODUCT(--(项目利润表!$AF$7:$AF$66&lt;&gt;""))</f>
        <v>7</v>
      </c>
      <c r="D26" s="123" t="str">
        <f>IF(N(C26)&gt;0,"⚠","√")</f>
        <v>⚠</v>
      </c>
      <c r="E26" s="83" t="inlineStr">
        <is>
          <t>看【项目利润表】最右边「提示」</t>
        </is>
      </c>
      <c r="F26" s="153" t="str">
        <f>HYPERLINK("#'项目利润表'!A1","去看看 →")</f>
        <v>去看看 →</v>
      </c>
    </row>
    <row r="27" ht="20" customHeight="1">
      <c r="A27" s="94" t="n">
        <v>23</v>
      </c>
      <c r="B27" s="19" t="inlineStr">
        <is>
          <t>以前年度还没定稿管理费率</t>
        </is>
      </c>
      <c r="C27" s="147">
        <f>SUMPRODUCT((费用分摊!$A$8:$A$15&lt;_辅助!$J$7)*(费用分摊!$E$8:$E$15=""))</f>
        <v>0</v>
      </c>
      <c r="D27" s="123" t="str">
        <f>IF(N(C27)&gt;0,"⚠","√")</f>
        <v>√</v>
      </c>
      <c r="E27" s="83" t="inlineStr">
        <is>
          <t>上一年的账定了，就把费率填到【费用分摊】E 列，以前年度的项目利润就不会再变</t>
        </is>
      </c>
      <c r="F27" s="153" t="str">
        <f>HYPERLINK("#'费用分摊'!A1","去看看 →")</f>
        <v>去看看 →</v>
      </c>
    </row>
    <row r="28" ht="20" customHeight="1">
      <c r="A28" s="94" t="n">
        <v>24</v>
      </c>
      <c r="B28" s="19" t="inlineStr">
        <is>
          <t>期初项目有产值、没填税金</t>
        </is>
      </c>
      <c r="C28" s="147">
        <f>COUNTIFS(期初余额!$C$5:$C$64,"&gt;0",期初余额!$H$5:$H$64,"")</f>
        <v>9</v>
      </c>
      <c r="D28" s="123" t="str">
        <f>IF(N(C28)&gt;0,"⚠","√")</f>
        <v>⚠</v>
      </c>
      <c r="E28" s="83" t="inlineStr">
        <is>
          <t>建账前的项目税金（实交的或估算的）填在【期初余额】①，不然开工至今利润偏高</t>
        </is>
      </c>
      <c r="F28" s="153" t="str">
        <f>HYPERLINK("#'期初余额'!A1","去看看 →")</f>
        <v>去看看 →</v>
      </c>
    </row>
    <row r="29" ht="20" customHeight="1">
      <c r="A29" s="94" t="n">
        <v>25</v>
      </c>
      <c r="B29" s="19" t="inlineStr">
        <is>
          <t>期初项目不在项目档案里</t>
        </is>
      </c>
      <c r="C29" s="147">
        <f>SUMPRODUCT((期初余额!$B$5:$B$64&lt;&gt;"")*(COUNTIF(项目档案!$B$4:$B$63,期初余额!$B$5:$B$64)=0))</f>
        <v>0</v>
      </c>
      <c r="D29" s="123" t="str">
        <f>IF(N(C29)&gt;0,"✗","√")</f>
        <v>√</v>
      </c>
      <c r="E29" s="83" t="inlineStr">
        <is>
          <t>项目名要跟【项目档案】的简称一样</t>
        </is>
      </c>
      <c r="F29" s="153" t="str">
        <f>HYPERLINK("#'期初余额'!A1","去看看 →")</f>
        <v>去看看 →</v>
      </c>
    </row>
    <row r="30" ht="20" customHeight="1">
      <c r="A30" s="94" t="n">
        <v>26</v>
      </c>
      <c r="B30" s="19" t="inlineStr">
        <is>
          <t>期初应付的单位没登记</t>
        </is>
      </c>
      <c r="C30" s="147">
        <f>COUNTIF(期初余额!$V$5:$V$204,"？")</f>
        <v>0</v>
      </c>
      <c r="D30" s="123" t="str">
        <f>IF(N(C30)&gt;0,"✗","√")</f>
        <v>√</v>
      </c>
      <c r="E30" s="83" t="inlineStr">
        <is>
          <t>单位名要跟【往来单位】的名称一样（类型那列显示 ？ 的）</t>
        </is>
      </c>
      <c r="F30" s="153" t="str">
        <f>HYPERLINK("#'期初余额'!A1","去看看 →")</f>
        <v>去看看 →</v>
      </c>
    </row>
    <row r="31" ht="20" customHeight="1">
      <c r="A31" s="94" t="n">
        <v>27</v>
      </c>
      <c r="B31" s="19" t="inlineStr">
        <is>
          <t>建账日期不是某月 1 号</t>
        </is>
      </c>
      <c r="C31" s="147">
        <f>IF(AND(ISNUMBER(基础资料!$C$9),DAY(基础资料!$C$9)&lt;&gt;1),1,0)</f>
        <v>0</v>
      </c>
      <c r="D31" s="123" t="str">
        <f>IF(N(C31)&gt;0,"✗","√")</f>
        <v>√</v>
      </c>
      <c r="E31" s="83" t="inlineStr">
        <is>
          <t>【基础资料】① 建账日期填某个月的 1 号（报表按月算）</t>
        </is>
      </c>
      <c r="F31" s="153" t="str">
        <f>HYPERLINK("#'基础资料'!A1","去看看 →")</f>
        <v>去看看 →</v>
      </c>
    </row>
    <row r="32" ht="20" customHeight="1">
      <c r="A32" s="94" t="n">
        <v>28</v>
      </c>
      <c r="B32" s="19" t="inlineStr">
        <is>
          <t>应付设备款是负数（付了设备款但没在⑥登记？）</t>
        </is>
      </c>
      <c r="C32" s="73">
        <f>MIN(0,资产负债表!$F$11)</f>
        <v>0</v>
      </c>
      <c r="D32" s="123" t="str">
        <f>IF(ABS(N(C32))&gt;1,"⚠","√")</f>
        <v>√</v>
      </c>
      <c r="E32" s="83" t="inlineStr">
        <is>
          <t>买车买设备在【基础资料】⑥ 登记；建账前赊购没付完的在【期初余额】③ 填</t>
        </is>
      </c>
      <c r="F32" s="153" t="str">
        <f>HYPERLINK("#'基础资料'!A1","去看看 →")</f>
        <v>去看看 →</v>
      </c>
    </row>
    <row r="33" ht="20" customHeight="1">
      <c r="A33" s="94" t="n">
        <v>29</v>
      </c>
      <c r="B33" s="19" t="inlineStr">
        <is>
          <t>收入确认：要看一下的（⚠）</t>
        </is>
      </c>
      <c r="C33" s="147">
        <f>COUNTIF(收入确认!$I$5:$I$204,"⚠*")</f>
        <v>0</v>
      </c>
      <c r="D33" s="123" t="str">
        <f>IF(N(C33)&gt;0,"⚠","√")</f>
        <v>√</v>
      </c>
      <c r="E33" s="83" t="inlineStr">
        <is>
          <t>累计确认超过总价（结算额整笔又录了一遍？）、没选类型</t>
        </is>
      </c>
      <c r="F33" s="153" t="str">
        <f>HYPERLINK("#'收入确认'!A1","去看看 →")</f>
        <v>去看看 →</v>
      </c>
    </row>
    <row r="34" ht="20" customHeight="1">
      <c r="A34" s="94" t="n">
        <v>30</v>
      </c>
      <c r="B34" s="19" t="inlineStr">
        <is>
          <t>项目简称重名</t>
        </is>
      </c>
      <c r="C34" s="147">
        <f>SUMPRODUCT((项目档案!$B$4:$B$63&lt;&gt;"")*(COUNTIF(项目档案!$B$4:$B$63,项目档案!$B$4:$B$63)&gt;1))</f>
        <v>0</v>
      </c>
      <c r="D34" s="123" t="str">
        <f t="shared" ref="D34:D38" si="2">IF(N(C34)&gt;0,"✗","√")</f>
        <v>√</v>
      </c>
      <c r="E34" s="83" t="inlineStr">
        <is>
          <t>项目简称不能重名（加个字区分）</t>
        </is>
      </c>
      <c r="F34" s="153" t="str">
        <f>HYPERLINK("#'项目档案'!A1","去看看 →")</f>
        <v>去看看 →</v>
      </c>
    </row>
    <row r="35" ht="20" customHeight="1">
      <c r="A35" s="94" t="n">
        <v>31</v>
      </c>
      <c r="B35" s="19" t="inlineStr">
        <is>
          <t>名称里有半角 * ? ~（会被当成通配符，统计会串）</t>
        </is>
      </c>
      <c r="C35" s="147">
        <f>(COUNTIF(项目档案!$B$4:$B$63,"*~**")+COUNTIF(项目档案!$B$4:$B$63,"*~?*")+COUNTIF(项目档案!$B$4:$B$63,"*~~*"))+(COUNTIF(往来单位!$B$4:$B$303,"*~**")+COUNTIF(往来单位!$B$4:$B$303,"*~?*")+COUNTIF(往来单位!$B$4:$B$303,"*~~*"))+(COUNTIF(基础资料!$G$5:$G$24,"*~**")+COUNTIF(基础资料!$G$5:$G$24,"*~?*")+COUNTIF(基础资料!$G$5:$G$24,"*~~*"))</f>
        <v>0</v>
      </c>
      <c r="D35" s="123" t="str">
        <f t="shared" si="2"/>
        <v>√</v>
      </c>
      <c r="E35" s="83" t="inlineStr">
        <is>
          <t>项目、单位、账户名称里别用半角的 * ? ~（全角的＊？～没事）</t>
        </is>
      </c>
      <c r="F35" s="153" t="str">
        <f>HYPERLINK("#'往来单位'!A1","去看看 →")</f>
        <v>去看看 →</v>
      </c>
    </row>
    <row r="36" ht="20" customHeight="1">
      <c r="A36" s="94" t="n">
        <v>32</v>
      </c>
      <c r="B36" s="19" t="inlineStr">
        <is>
          <t>往来单位/人重名</t>
        </is>
      </c>
      <c r="C36" s="147">
        <f>SUMPRODUCT((往来单位!$B$4:$B$303&lt;&gt;"")*(COUNTIF(往来单位!$B$4:$B$303,往来单位!$B$4:$B$303)&gt;1))</f>
        <v>0</v>
      </c>
      <c r="D36" s="123" t="str">
        <f t="shared" si="2"/>
        <v>√</v>
      </c>
      <c r="E36" s="83" t="inlineStr">
        <is>
          <t>同名的人名字后面加括号区分，比如 张伟(电工)</t>
        </is>
      </c>
      <c r="F36" s="153" t="str">
        <f>HYPERLINK("#'往来单位'!A1","去看看 →")</f>
        <v>去看看 →</v>
      </c>
    </row>
    <row r="37" ht="20" customHeight="1">
      <c r="A37" s="94" t="n">
        <v>33</v>
      </c>
      <c r="B37" s="19" t="inlineStr">
        <is>
          <t>资金账户重名</t>
        </is>
      </c>
      <c r="C37" s="147">
        <f>SUMPRODUCT((基础资料!$G$5:$G$24&lt;&gt;"")*(COUNTIF(基础资料!$G$5:$G$24,基础资料!$G$5:$G$24)&gt;1))</f>
        <v>0</v>
      </c>
      <c r="D37" s="123" t="str">
        <f t="shared" si="2"/>
        <v>√</v>
      </c>
      <c r="E37" s="83" t="inlineStr"/>
      <c r="F37" s="153" t="str">
        <f>HYPERLINK("#'基础资料'!A1","去看看 →")</f>
        <v>去看看 →</v>
      </c>
    </row>
    <row r="38" ht="20" customHeight="1">
      <c r="A38" s="94" t="n">
        <v>34</v>
      </c>
      <c r="B38" s="19" t="inlineStr">
        <is>
          <t>插进来的行（没有公式，不会算）</t>
        </is>
      </c>
      <c r="C38" s="147">
        <f>SUMPRODUCT((((资金流水!$B$6:$B$2005&lt;&gt;"")+(资金流水!$D$6:$D$2005&lt;&gt;"")+(资金流水!$E$6:$E$2005&lt;&gt;"")+(资金流水!$F$6:$F$2005&lt;&gt;""))&gt;0)*(资金流水!$K$6:$K$2005=""))+SUMPRODUCT((((应付登记!$B$5:$B$1004&lt;&gt;"")+(应付登记!$D$5:$D$1004&lt;&gt;"")+(应付登记!$G$5:$G$1004&lt;&gt;""))&gt;0)*(应付登记!$K$5:$K$1004=""))+SUMPRODUCT((((考勤工资!$B$5:$B$1004&lt;&gt;"")+(考勤工资!$C$5:$C$1004&lt;&gt;""))&gt;0)*(考勤工资!$X$5:$X$1004=""))+SUMPRODUCT((((发票登记!$F$5:$F$1004&lt;&gt;"")+(发票登记!$H$5:$H$1004&lt;&gt;"")+(发票登记!$L$5:$L$1004&lt;&gt;""))&gt;0)*(发票登记!$W$5:$W$1004=""))+SUMPRODUCT((((收入确认!$B$5:$B$204&lt;&gt;"")+(收入确认!$C$5:$C$204&lt;&gt;"")+(收入确认!$E$5:$E$204&lt;&gt;""))&gt;0)*(收入确认!$I$5:$I$204=""))+SUMPRODUCT((((代发抵账!$B$5:$B$304&lt;&gt;"")+(代发抵账!$C$5:$C$304&lt;&gt;"")+(代发抵账!$F$5:$F$304&lt;&gt;""))&gt;0)*(代发抵账!$J$5:$J$304=""))</f>
        <v>0</v>
      </c>
      <c r="D38" s="123" t="str">
        <f t="shared" si="2"/>
        <v>√</v>
      </c>
      <c r="E38" s="83" t="inlineStr">
        <is>
          <t>录入表里插了行：把那几行内容剪下来粘到最下面的空行，再把插的行删掉（校验列是空的就是插的行）</t>
        </is>
      </c>
      <c r="F38" s="153" t="str">
        <f>HYPERLINK("#'资金流水'!A1","去看看 →")</f>
        <v>去看看 →</v>
      </c>
    </row>
    <row r="39" ht="20" customHeight="1">
      <c r="A39" s="94" t="n">
        <v>35</v>
      </c>
      <c r="B39" s="19" t="inlineStr">
        <is>
          <t>资金流水用了多少行（共 2000）</t>
        </is>
      </c>
      <c r="C39" s="154">
        <f>SUMPRODUCT(--(资金流水!$B$6:$B$2005&lt;&gt;""))</f>
        <v>217</v>
      </c>
      <c r="D39" s="123" t="str">
        <f>IF(N(C39)&gt;2000*0.9,"⚠","√")</f>
        <v>√</v>
      </c>
      <c r="E39" s="83" t="inlineStr">
        <is>
          <t>快满了请联系做表的人加行（或者一年一本）</t>
        </is>
      </c>
      <c r="F39" s="153" t="str">
        <f>HYPERLINK("#'资金流水'!A1","去看看 →")</f>
        <v>去看看 →</v>
      </c>
    </row>
    <row r="40" ht="20" customHeight="1">
      <c r="A40" s="94" t="n">
        <v>36</v>
      </c>
      <c r="B40" s="19" t="inlineStr">
        <is>
          <t>应付登记用了多少行（共 1000）</t>
        </is>
      </c>
      <c r="C40" s="155">
        <f>SUMPRODUCT(--(应付登记!$B$5:$B$1004&lt;&gt;""))</f>
        <v>3</v>
      </c>
      <c r="D40" s="123" t="str">
        <f>IF(N(C40)&gt;1000*0.9,"⚠","√")</f>
        <v>√</v>
      </c>
      <c r="E40" s="83" t="inlineStr"/>
      <c r="F40" s="153" t="str">
        <f>HYPERLINK("#'应付登记'!A1","去看看 →")</f>
        <v>去看看 →</v>
      </c>
    </row>
    <row r="41" ht="20" customHeight="1">
      <c r="A41" s="94" t="n">
        <v>37</v>
      </c>
      <c r="B41" s="19" t="inlineStr">
        <is>
          <t>考勤工资用了多少行（共 1000）</t>
        </is>
      </c>
      <c r="C41" s="155">
        <f>SUMPRODUCT(--(考勤工资!$B$5:$B$1004&lt;&gt;""))</f>
        <v>45</v>
      </c>
      <c r="D41" s="123" t="str">
        <f>IF(N(C41)&gt;1000*0.9,"⚠","√")</f>
        <v>√</v>
      </c>
      <c r="E41" s="83" t="inlineStr"/>
      <c r="F41" s="153" t="str">
        <f>HYPERLINK("#'考勤工资'!A1","去看看 →")</f>
        <v>去看看 →</v>
      </c>
    </row>
    <row r="42" ht="20" customHeight="1">
      <c r="A42" s="94" t="n">
        <v>38</v>
      </c>
      <c r="B42" s="19" t="inlineStr">
        <is>
          <t>发票登记用了多少行（共 1000）</t>
        </is>
      </c>
      <c r="C42" s="155">
        <f>SUMPRODUCT(--(发票登记!$X$5:$X$1004&lt;&gt;""))</f>
        <v>3</v>
      </c>
      <c r="D42" s="123" t="str">
        <f>IF(N(C42)&gt;1000*0.9,"⚠","√")</f>
        <v>√</v>
      </c>
      <c r="E42" s="83" t="inlineStr"/>
      <c r="F42" s="153" t="str">
        <f>HYPERLINK("#'发票登记'!A1","去看看 →")</f>
        <v>去看看 →</v>
      </c>
    </row>
    <row r="43" ht="20" customHeight="1">
      <c r="A43" s="94" t="n">
        <v>39</v>
      </c>
      <c r="B43" s="19" t="inlineStr">
        <is>
          <t>收入确认用了多少行（共 200）</t>
        </is>
      </c>
      <c r="C43" s="156">
        <f>SUMPRODUCT(--(收入确认!$B$5:$B$204&lt;&gt;""))</f>
        <v>1</v>
      </c>
      <c r="D43" s="123" t="str">
        <f>IF(N(C43)&gt;200*0.9,"⚠","√")</f>
        <v>√</v>
      </c>
      <c r="E43" s="83" t="inlineStr"/>
      <c r="F43" s="153" t="str">
        <f>HYPERLINK("#'收入确认'!A1","去看看 →")</f>
        <v>去看看 →</v>
      </c>
    </row>
    <row r="44" ht="20" customHeight="1">
      <c r="A44" s="94" t="n">
        <v>40</v>
      </c>
      <c r="B44" s="19" t="inlineStr">
        <is>
          <t>往来单位及人员用了多少行（共 300）</t>
        </is>
      </c>
      <c r="C44" s="157">
        <f>COUNTIF(往来单位!$B$4:$B$303,"?*")</f>
        <v>84</v>
      </c>
      <c r="D44" s="123" t="str">
        <f>IF(N(C44)&gt;300*0.9,"⚠","√")</f>
        <v>√</v>
      </c>
      <c r="E44" s="83" t="inlineStr"/>
      <c r="F44" s="153" t="str">
        <f>HYPERLINK("#'往来单位'!A1","去看看 →")</f>
        <v>去看看 →</v>
      </c>
    </row>
    <row r="45" ht="20" customHeight="1">
      <c r="A45" s="94" t="n">
        <v>41</v>
      </c>
      <c r="B45" s="19" t="inlineStr">
        <is>
          <t>项目档案用了多少行（共 60）</t>
        </is>
      </c>
      <c r="C45" s="158">
        <f>COUNTIF(项目档案!$B$4:$B$63,"?*")</f>
        <v>16</v>
      </c>
      <c r="D45" s="123" t="str">
        <f>IF(N(C45)&gt;60*0.9,"⚠","√")</f>
        <v>√</v>
      </c>
      <c r="E45" s="83" t="inlineStr"/>
      <c r="F45" s="153" t="str">
        <f>HYPERLINK("#'项目档案'!A1","去看看 →")</f>
        <v>去看看 →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2">
    <mergeCell ref="A2:F2"/>
    <mergeCell ref="A1:F1"/>
  </mergeCells>
  <conditionalFormatting sqref="D5:D45">
    <cfRule type="expression" priority="1" dxfId="2">
      <formula>D5="✗"</formula>
    </cfRule>
    <cfRule type="expression" priority="2" dxfId="3">
      <formula>D5="⚠"</formula>
    </cfRule>
    <cfRule type="expression" priority="3" dxfId="4">
      <formula>D5="√"</formula>
    </cfRule>
  </conditionalFormatting>
  <hyperlinks>
    <hyperlink ref="G1" location="'首页'!A1" display="← 回首页"/>
  </hyperlinks>
  <pageMargins left="0.3" right="0.3" top="0.5" bottom="0.5" header="0.5" footer="0.5"/>
  <pageSetup orientation="portrait" paperSize="9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5"/>
  <sheetViews>
    <sheetView tabSelected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t="inlineStr">
        <is>
          <t>公司利润表项目 × 月（取数用，别改）</t>
        </is>
      </c>
      <c r="B1" t="inlineStr">
        <is>
          <t>建账起到上年底</t>
        </is>
      </c>
      <c r="O1" t="inlineStr">
        <is>
          <t>本年到截止月</t>
        </is>
      </c>
    </row>
    <row r="2">
      <c r="A2" t="inlineStr">
        <is>
          <t>年月→</t>
        </is>
      </c>
      <c r="B2">
        <f>_辅助!$J$5</f>
        <v>202512</v>
      </c>
      <c r="C2">
        <f>_辅助!$J$7*100+1</f>
        <v>202601</v>
      </c>
      <c r="D2">
        <f>_辅助!$J$7*100+2</f>
        <v>202602</v>
      </c>
      <c r="E2">
        <f>_辅助!$J$7*100+3</f>
        <v>202603</v>
      </c>
      <c r="F2">
        <f>_辅助!$J$7*100+4</f>
        <v>202604</v>
      </c>
      <c r="G2">
        <f>_辅助!$J$7*100+5</f>
        <v>202605</v>
      </c>
      <c r="H2">
        <f>_辅助!$J$7*100+6</f>
        <v>202606</v>
      </c>
      <c r="I2">
        <f>_辅助!$J$7*100+7</f>
        <v>202607</v>
      </c>
      <c r="J2">
        <f>_辅助!$J$7*100+8</f>
        <v>202608</v>
      </c>
      <c r="K2">
        <f>_辅助!$J$7*100+9</f>
        <v>202609</v>
      </c>
      <c r="L2">
        <f>_辅助!$J$7*100+10</f>
        <v>202610</v>
      </c>
      <c r="M2">
        <f>_辅助!$J$7*100+11</f>
        <v>202611</v>
      </c>
      <c r="N2">
        <f>_辅助!$J$7*100+12</f>
        <v>202612</v>
      </c>
      <c r="O2">
        <f>_辅助!$J$2</f>
        <v>202608</v>
      </c>
    </row>
    <row r="3">
      <c r="A3" t="inlineStr">
        <is>
          <t>营业收入</t>
        </is>
      </c>
      <c r="B3">
        <f>SUMIFS(收入确认!$E$5:$E$204,收入确认!$H$5:$H$204,"&gt;="&amp;_辅助!$J$4,收入确认!$H$5:$H$204,"&lt;="&amp;_辅助!$J$5)</f>
        <v>0</v>
      </c>
      <c r="C3">
        <f>IF(C$2&gt;_辅助!$J$2,0,SUMIFS(收入确认!$E$5:$E$204,收入确认!$H$5:$H$204,"&gt;="&amp;MAX(C$2,_辅助!$J$4),收入确认!$H$5:$H$204,"&lt;="&amp;C$2))</f>
        <v>0</v>
      </c>
      <c r="D3">
        <f>IF(D$2&gt;_辅助!$J$2,0,SUMIFS(收入确认!$E$5:$E$204,收入确认!$H$5:$H$204,"&gt;="&amp;MAX(D$2,_辅助!$J$4),收入确认!$H$5:$H$204,"&lt;="&amp;D$2))</f>
        <v>0</v>
      </c>
      <c r="E3">
        <f>IF(E$2&gt;_辅助!$J$2,0,SUMIFS(收入确认!$E$5:$E$204,收入确认!$H$5:$H$204,"&gt;="&amp;MAX(E$2,_辅助!$J$4),收入确认!$H$5:$H$204,"&lt;="&amp;E$2))</f>
        <v>0</v>
      </c>
      <c r="F3">
        <f>IF(F$2&gt;_辅助!$J$2,0,SUMIFS(收入确认!$E$5:$E$204,收入确认!$H$5:$H$204,"&gt;="&amp;MAX(F$2,_辅助!$J$4),收入确认!$H$5:$H$204,"&lt;="&amp;F$2))</f>
        <v>0</v>
      </c>
      <c r="G3">
        <f>IF(G$2&gt;_辅助!$J$2,0,SUMIFS(收入确认!$E$5:$E$204,收入确认!$H$5:$H$204,"&gt;="&amp;MAX(G$2,_辅助!$J$4),收入确认!$H$5:$H$204,"&lt;="&amp;G$2))</f>
        <v>0</v>
      </c>
      <c r="H3">
        <f>IF(H$2&gt;_辅助!$J$2,0,SUMIFS(收入确认!$E$5:$E$204,收入确认!$H$5:$H$204,"&gt;="&amp;MAX(H$2,_辅助!$J$4),收入确认!$H$5:$H$204,"&lt;="&amp;H$2))</f>
        <v>0</v>
      </c>
      <c r="I3">
        <f>IF(I$2&gt;_辅助!$J$2,0,SUMIFS(收入确认!$E$5:$E$204,收入确认!$H$5:$H$204,"&gt;="&amp;MAX(I$2,_辅助!$J$4),收入确认!$H$5:$H$204,"&lt;="&amp;I$2))</f>
        <v>8992</v>
      </c>
      <c r="J3">
        <f>IF(J$2&gt;_辅助!$J$2,0,SUMIFS(收入确认!$E$5:$E$204,收入确认!$H$5:$H$204,"&gt;="&amp;MAX(J$2,_辅助!$J$4),收入确认!$H$5:$H$204,"&lt;="&amp;J$2))</f>
        <v>0</v>
      </c>
      <c r="K3">
        <f>IF(K$2&gt;_辅助!$J$2,0,SUMIFS(收入确认!$E$5:$E$204,收入确认!$H$5:$H$204,"&gt;="&amp;MAX(K$2,_辅助!$J$4),收入确认!$H$5:$H$204,"&lt;="&amp;K$2))</f>
        <v>0</v>
      </c>
      <c r="L3">
        <f>IF(L$2&gt;_辅助!$J$2,0,SUMIFS(收入确认!$E$5:$E$204,收入确认!$H$5:$H$204,"&gt;="&amp;MAX(L$2,_辅助!$J$4),收入确认!$H$5:$H$204,"&lt;="&amp;L$2))</f>
        <v>0</v>
      </c>
      <c r="M3">
        <f>IF(M$2&gt;_辅助!$J$2,0,SUMIFS(收入确认!$E$5:$E$204,收入确认!$H$5:$H$204,"&gt;="&amp;MAX(M$2,_辅助!$J$4),收入确认!$H$5:$H$204,"&lt;="&amp;M$2))</f>
        <v>0</v>
      </c>
      <c r="N3">
        <f>IF(N$2&gt;_辅助!$J$2,0,SUMIFS(收入确认!$E$5:$E$204,收入确认!$H$5:$H$204,"&gt;="&amp;MAX(N$2,_辅助!$J$4),收入确认!$H$5:$H$204,"&lt;="&amp;N$2))</f>
        <v>0</v>
      </c>
      <c r="O3">
        <f t="shared" ref="O3:O25" si="0">SUMPRODUCT((C$2:N$2&lt;=_辅助!$J$2)*C3:N3)</f>
        <v>8992</v>
      </c>
    </row>
    <row r="4">
      <c r="A4" t="inlineStr">
        <is>
          <t>材料费</t>
        </is>
      </c>
      <c r="B4">
        <f>(SUMIFS(应付登记!$G$5:$G$1004,应付登记!$C$5:$C$1004,"材料",应付登记!$J$5:$J$1004,"&gt;="&amp;_辅助!$J$4,应付登记!$J$5:$J$1004,"&lt;="&amp;_辅助!$J$5)+(-SUMIFS(资金流水!$R$6:$R$2005,资金流水!$X$6:$X$2005,"材料费",资金流水!$S$6:$S$2005,"&gt;="&amp;_辅助!$J$4,资金流水!$S$6:$S$2005,"&lt;="&amp;_辅助!$J$5))+SUMIFS(代发抵账!$F$5:$F$304,代发抵账!$D$5:$D$304,"甲供材扣款",代发抵账!$H$5:$H$304,"&gt;="&amp;_辅助!$J$4,代发抵账!$H$5:$H$304,"&lt;="&amp;_辅助!$J$5))</f>
        <v>0</v>
      </c>
      <c r="C4">
        <f>IF(C$2&gt;_辅助!$J$2,0,(SUMIFS(应付登记!$G$5:$G$1004,应付登记!$C$5:$C$1004,"材料",应付登记!$J$5:$J$1004,"&gt;="&amp;MAX(C$2,_辅助!$J$4),应付登记!$J$5:$J$1004,"&lt;="&amp;C$2)+(-SUMIFS(资金流水!$R$6:$R$2005,资金流水!$X$6:$X$2005,"材料费",资金流水!$S$6:$S$2005,"&gt;="&amp;MAX(C$2,_辅助!$J$4),资金流水!$S$6:$S$2005,"&lt;="&amp;C$2))+SUMIFS(代发抵账!$F$5:$F$304,代发抵账!$D$5:$D$304,"甲供材扣款",代发抵账!$H$5:$H$304,"&gt;="&amp;MAX(C$2,_辅助!$J$4),代发抵账!$H$5:$H$304,"&lt;="&amp;C$2)))</f>
        <v>0</v>
      </c>
      <c r="D4">
        <f>IF(D$2&gt;_辅助!$J$2,0,(SUMIFS(应付登记!$G$5:$G$1004,应付登记!$C$5:$C$1004,"材料",应付登记!$J$5:$J$1004,"&gt;="&amp;MAX(D$2,_辅助!$J$4),应付登记!$J$5:$J$1004,"&lt;="&amp;D$2)+(-SUMIFS(资金流水!$R$6:$R$2005,资金流水!$X$6:$X$2005,"材料费",资金流水!$S$6:$S$2005,"&gt;="&amp;MAX(D$2,_辅助!$J$4),资金流水!$S$6:$S$2005,"&lt;="&amp;D$2))+SUMIFS(代发抵账!$F$5:$F$304,代发抵账!$D$5:$D$304,"甲供材扣款",代发抵账!$H$5:$H$304,"&gt;="&amp;MAX(D$2,_辅助!$J$4),代发抵账!$H$5:$H$304,"&lt;="&amp;D$2)))</f>
        <v>0</v>
      </c>
      <c r="E4">
        <f>IF(E$2&gt;_辅助!$J$2,0,(SUMIFS(应付登记!$G$5:$G$1004,应付登记!$C$5:$C$1004,"材料",应付登记!$J$5:$J$1004,"&gt;="&amp;MAX(E$2,_辅助!$J$4),应付登记!$J$5:$J$1004,"&lt;="&amp;E$2)+(-SUMIFS(资金流水!$R$6:$R$2005,资金流水!$X$6:$X$2005,"材料费",资金流水!$S$6:$S$2005,"&gt;="&amp;MAX(E$2,_辅助!$J$4),资金流水!$S$6:$S$2005,"&lt;="&amp;E$2))+SUMIFS(代发抵账!$F$5:$F$304,代发抵账!$D$5:$D$304,"甲供材扣款",代发抵账!$H$5:$H$304,"&gt;="&amp;MAX(E$2,_辅助!$J$4),代发抵账!$H$5:$H$304,"&lt;="&amp;E$2)))</f>
        <v>53216</v>
      </c>
      <c r="F4">
        <f>IF(F$2&gt;_辅助!$J$2,0,(SUMIFS(应付登记!$G$5:$G$1004,应付登记!$C$5:$C$1004,"材料",应付登记!$J$5:$J$1004,"&gt;="&amp;MAX(F$2,_辅助!$J$4),应付登记!$J$5:$J$1004,"&lt;="&amp;F$2)+(-SUMIFS(资金流水!$R$6:$R$2005,资金流水!$X$6:$X$2005,"材料费",资金流水!$S$6:$S$2005,"&gt;="&amp;MAX(F$2,_辅助!$J$4),资金流水!$S$6:$S$2005,"&lt;="&amp;F$2))+SUMIFS(代发抵账!$F$5:$F$304,代发抵账!$D$5:$D$304,"甲供材扣款",代发抵账!$H$5:$H$304,"&gt;="&amp;MAX(F$2,_辅助!$J$4),代发抵账!$H$5:$H$304,"&lt;="&amp;F$2)))</f>
        <v>0</v>
      </c>
      <c r="G4">
        <f>IF(G$2&gt;_辅助!$J$2,0,(SUMIFS(应付登记!$G$5:$G$1004,应付登记!$C$5:$C$1004,"材料",应付登记!$J$5:$J$1004,"&gt;="&amp;MAX(G$2,_辅助!$J$4),应付登记!$J$5:$J$1004,"&lt;="&amp;G$2)+(-SUMIFS(资金流水!$R$6:$R$2005,资金流水!$X$6:$X$2005,"材料费",资金流水!$S$6:$S$2005,"&gt;="&amp;MAX(G$2,_辅助!$J$4),资金流水!$S$6:$S$2005,"&lt;="&amp;G$2))+SUMIFS(代发抵账!$F$5:$F$304,代发抵账!$D$5:$D$304,"甲供材扣款",代发抵账!$H$5:$H$304,"&gt;="&amp;MAX(G$2,_辅助!$J$4),代发抵账!$H$5:$H$304,"&lt;="&amp;G$2)))</f>
        <v>120</v>
      </c>
      <c r="H4">
        <f>IF(H$2&gt;_辅助!$J$2,0,(SUMIFS(应付登记!$G$5:$G$1004,应付登记!$C$5:$C$1004,"材料",应付登记!$J$5:$J$1004,"&gt;="&amp;MAX(H$2,_辅助!$J$4),应付登记!$J$5:$J$1004,"&lt;="&amp;H$2)+(-SUMIFS(资金流水!$R$6:$R$2005,资金流水!$X$6:$X$2005,"材料费",资金流水!$S$6:$S$2005,"&gt;="&amp;MAX(H$2,_辅助!$J$4),资金流水!$S$6:$S$2005,"&lt;="&amp;H$2))+SUMIFS(代发抵账!$F$5:$F$304,代发抵账!$D$5:$D$304,"甲供材扣款",代发抵账!$H$5:$H$304,"&gt;="&amp;MAX(H$2,_辅助!$J$4),代发抵账!$H$5:$H$304,"&lt;="&amp;H$2)))</f>
        <v>61994.42</v>
      </c>
      <c r="I4">
        <f>IF(I$2&gt;_辅助!$J$2,0,(SUMIFS(应付登记!$G$5:$G$1004,应付登记!$C$5:$C$1004,"材料",应付登记!$J$5:$J$1004,"&gt;="&amp;MAX(I$2,_辅助!$J$4),应付登记!$J$5:$J$1004,"&lt;="&amp;I$2)+(-SUMIFS(资金流水!$R$6:$R$2005,资金流水!$X$6:$X$2005,"材料费",资金流水!$S$6:$S$2005,"&gt;="&amp;MAX(I$2,_辅助!$J$4),资金流水!$S$6:$S$2005,"&lt;="&amp;I$2))+SUMIFS(代发抵账!$F$5:$F$304,代发抵账!$D$5:$D$304,"甲供材扣款",代发抵账!$H$5:$H$304,"&gt;="&amp;MAX(I$2,_辅助!$J$4),代发抵账!$H$5:$H$304,"&lt;="&amp;I$2)))</f>
        <v>57683.98</v>
      </c>
      <c r="J4">
        <f>IF(J$2&gt;_辅助!$J$2,0,(SUMIFS(应付登记!$G$5:$G$1004,应付登记!$C$5:$C$1004,"材料",应付登记!$J$5:$J$1004,"&gt;="&amp;MAX(J$2,_辅助!$J$4),应付登记!$J$5:$J$1004,"&lt;="&amp;J$2)+(-SUMIFS(资金流水!$R$6:$R$2005,资金流水!$X$6:$X$2005,"材料费",资金流水!$S$6:$S$2005,"&gt;="&amp;MAX(J$2,_辅助!$J$4),资金流水!$S$6:$S$2005,"&lt;="&amp;J$2))+SUMIFS(代发抵账!$F$5:$F$304,代发抵账!$D$5:$D$304,"甲供材扣款",代发抵账!$H$5:$H$304,"&gt;="&amp;MAX(J$2,_辅助!$J$4),代发抵账!$H$5:$H$304,"&lt;="&amp;J$2)))</f>
        <v>0</v>
      </c>
      <c r="K4">
        <f>IF(K$2&gt;_辅助!$J$2,0,(SUMIFS(应付登记!$G$5:$G$1004,应付登记!$C$5:$C$1004,"材料",应付登记!$J$5:$J$1004,"&gt;="&amp;MAX(K$2,_辅助!$J$4),应付登记!$J$5:$J$1004,"&lt;="&amp;K$2)+(-SUMIFS(资金流水!$R$6:$R$2005,资金流水!$X$6:$X$2005,"材料费",资金流水!$S$6:$S$2005,"&gt;="&amp;MAX(K$2,_辅助!$J$4),资金流水!$S$6:$S$2005,"&lt;="&amp;K$2))+SUMIFS(代发抵账!$F$5:$F$304,代发抵账!$D$5:$D$304,"甲供材扣款",代发抵账!$H$5:$H$304,"&gt;="&amp;MAX(K$2,_辅助!$J$4),代发抵账!$H$5:$H$304,"&lt;="&amp;K$2)))</f>
        <v>0</v>
      </c>
      <c r="L4">
        <f>IF(L$2&gt;_辅助!$J$2,0,(SUMIFS(应付登记!$G$5:$G$1004,应付登记!$C$5:$C$1004,"材料",应付登记!$J$5:$J$1004,"&gt;="&amp;MAX(L$2,_辅助!$J$4),应付登记!$J$5:$J$1004,"&lt;="&amp;L$2)+(-SUMIFS(资金流水!$R$6:$R$2005,资金流水!$X$6:$X$2005,"材料费",资金流水!$S$6:$S$2005,"&gt;="&amp;MAX(L$2,_辅助!$J$4),资金流水!$S$6:$S$2005,"&lt;="&amp;L$2))+SUMIFS(代发抵账!$F$5:$F$304,代发抵账!$D$5:$D$304,"甲供材扣款",代发抵账!$H$5:$H$304,"&gt;="&amp;MAX(L$2,_辅助!$J$4),代发抵账!$H$5:$H$304,"&lt;="&amp;L$2)))</f>
        <v>0</v>
      </c>
      <c r="M4">
        <f>IF(M$2&gt;_辅助!$J$2,0,(SUMIFS(应付登记!$G$5:$G$1004,应付登记!$C$5:$C$1004,"材料",应付登记!$J$5:$J$1004,"&gt;="&amp;MAX(M$2,_辅助!$J$4),应付登记!$J$5:$J$1004,"&lt;="&amp;M$2)+(-SUMIFS(资金流水!$R$6:$R$2005,资金流水!$X$6:$X$2005,"材料费",资金流水!$S$6:$S$2005,"&gt;="&amp;MAX(M$2,_辅助!$J$4),资金流水!$S$6:$S$2005,"&lt;="&amp;M$2))+SUMIFS(代发抵账!$F$5:$F$304,代发抵账!$D$5:$D$304,"甲供材扣款",代发抵账!$H$5:$H$304,"&gt;="&amp;MAX(M$2,_辅助!$J$4),代发抵账!$H$5:$H$304,"&lt;="&amp;M$2)))</f>
        <v>0</v>
      </c>
      <c r="N4">
        <f>IF(N$2&gt;_辅助!$J$2,0,(SUMIFS(应付登记!$G$5:$G$1004,应付登记!$C$5:$C$1004,"材料",应付登记!$J$5:$J$1004,"&gt;="&amp;MAX(N$2,_辅助!$J$4),应付登记!$J$5:$J$1004,"&lt;="&amp;N$2)+(-SUMIFS(资金流水!$R$6:$R$2005,资金流水!$X$6:$X$2005,"材料费",资金流水!$S$6:$S$2005,"&gt;="&amp;MAX(N$2,_辅助!$J$4),资金流水!$S$6:$S$2005,"&lt;="&amp;N$2))+SUMIFS(代发抵账!$F$5:$F$304,代发抵账!$D$5:$D$304,"甲供材扣款",代发抵账!$H$5:$H$304,"&gt;="&amp;MAX(N$2,_辅助!$J$4),代发抵账!$H$5:$H$304,"&lt;="&amp;N$2)))</f>
        <v>0</v>
      </c>
      <c r="O4">
        <f t="shared" si="0"/>
        <v>173014.4</v>
      </c>
    </row>
    <row r="5">
      <c r="A5" t="inlineStr">
        <is>
          <t>人工费</t>
        </is>
      </c>
      <c r="B5">
        <f>((SUMIFS(考勤工资!$V$5:$V$1004,考勤工资!$Y$5:$Y$1004,"&gt;="&amp;_辅助!$J$4,考勤工资!$Y$5:$Y$1004,"&lt;="&amp;_辅助!$J$5)-SUMIFS(考勤工资!$AG$5:$AG$1004,考勤工资!$Y$5:$Y$1004,"&gt;="&amp;_辅助!$J$4,考勤工资!$Y$5:$Y$1004,"&lt;="&amp;_辅助!$J$5))+(-SUMIFS(资金流水!$R$6:$R$2005,资金流水!$X$6:$X$2005,"人工费",资金流水!$S$6:$S$2005,"&gt;="&amp;_辅助!$J$4,资金流水!$S$6:$S$2005,"&lt;="&amp;_辅助!$J$5)))</f>
        <v>0</v>
      </c>
      <c r="C5">
        <f>IF(C$2&gt;_辅助!$J$2,0,((SUMIFS(考勤工资!$V$5:$V$1004,考勤工资!$Y$5:$Y$1004,"&gt;="&amp;MAX(C$2,_辅助!$J$4),考勤工资!$Y$5:$Y$1004,"&lt;="&amp;C$2)-SUMIFS(考勤工资!$AG$5:$AG$1004,考勤工资!$Y$5:$Y$1004,"&gt;="&amp;MAX(C$2,_辅助!$J$4),考勤工资!$Y$5:$Y$1004,"&lt;="&amp;C$2))+(-SUMIFS(资金流水!$R$6:$R$2005,资金流水!$X$6:$X$2005,"人工费",资金流水!$S$6:$S$2005,"&gt;="&amp;MAX(C$2,_辅助!$J$4),资金流水!$S$6:$S$2005,"&lt;="&amp;C$2))))</f>
        <v>0</v>
      </c>
      <c r="D5">
        <f>IF(D$2&gt;_辅助!$J$2,0,((SUMIFS(考勤工资!$V$5:$V$1004,考勤工资!$Y$5:$Y$1004,"&gt;="&amp;MAX(D$2,_辅助!$J$4),考勤工资!$Y$5:$Y$1004,"&lt;="&amp;D$2)-SUMIFS(考勤工资!$AG$5:$AG$1004,考勤工资!$Y$5:$Y$1004,"&gt;="&amp;MAX(D$2,_辅助!$J$4),考勤工资!$Y$5:$Y$1004,"&lt;="&amp;D$2))+(-SUMIFS(资金流水!$R$6:$R$2005,资金流水!$X$6:$X$2005,"人工费",资金流水!$S$6:$S$2005,"&gt;="&amp;MAX(D$2,_辅助!$J$4),资金流水!$S$6:$S$2005,"&lt;="&amp;D$2))))</f>
        <v>0</v>
      </c>
      <c r="E5">
        <f>IF(E$2&gt;_辅助!$J$2,0,((SUMIFS(考勤工资!$V$5:$V$1004,考勤工资!$Y$5:$Y$1004,"&gt;="&amp;MAX(E$2,_辅助!$J$4),考勤工资!$Y$5:$Y$1004,"&lt;="&amp;E$2)-SUMIFS(考勤工资!$AG$5:$AG$1004,考勤工资!$Y$5:$Y$1004,"&gt;="&amp;MAX(E$2,_辅助!$J$4),考勤工资!$Y$5:$Y$1004,"&lt;="&amp;E$2))+(-SUMIFS(资金流水!$R$6:$R$2005,资金流水!$X$6:$X$2005,"人工费",资金流水!$S$6:$S$2005,"&gt;="&amp;MAX(E$2,_辅助!$J$4),资金流水!$S$6:$S$2005,"&lt;="&amp;E$2))))</f>
        <v>81165</v>
      </c>
      <c r="F5">
        <f>IF(F$2&gt;_辅助!$J$2,0,((SUMIFS(考勤工资!$V$5:$V$1004,考勤工资!$Y$5:$Y$1004,"&gt;="&amp;MAX(F$2,_辅助!$J$4),考勤工资!$Y$5:$Y$1004,"&lt;="&amp;F$2)-SUMIFS(考勤工资!$AG$5:$AG$1004,考勤工资!$Y$5:$Y$1004,"&gt;="&amp;MAX(F$2,_辅助!$J$4),考勤工资!$Y$5:$Y$1004,"&lt;="&amp;F$2))+(-SUMIFS(资金流水!$R$6:$R$2005,资金流水!$X$6:$X$2005,"人工费",资金流水!$S$6:$S$2005,"&gt;="&amp;MAX(F$2,_辅助!$J$4),资金流水!$S$6:$S$2005,"&lt;="&amp;F$2))))</f>
        <v>136558.9</v>
      </c>
      <c r="G5">
        <f>IF(G$2&gt;_辅助!$J$2,0,((SUMIFS(考勤工资!$V$5:$V$1004,考勤工资!$Y$5:$Y$1004,"&gt;="&amp;MAX(G$2,_辅助!$J$4),考勤工资!$Y$5:$Y$1004,"&lt;="&amp;G$2)-SUMIFS(考勤工资!$AG$5:$AG$1004,考勤工资!$Y$5:$Y$1004,"&gt;="&amp;MAX(G$2,_辅助!$J$4),考勤工资!$Y$5:$Y$1004,"&lt;="&amp;G$2))+(-SUMIFS(资金流水!$R$6:$R$2005,资金流水!$X$6:$X$2005,"人工费",资金流水!$S$6:$S$2005,"&gt;="&amp;MAX(G$2,_辅助!$J$4),资金流水!$S$6:$S$2005,"&lt;="&amp;G$2))))</f>
        <v>360</v>
      </c>
      <c r="H5">
        <f>IF(H$2&gt;_辅助!$J$2,0,((SUMIFS(考勤工资!$V$5:$V$1004,考勤工资!$Y$5:$Y$1004,"&gt;="&amp;MAX(H$2,_辅助!$J$4),考勤工资!$Y$5:$Y$1004,"&lt;="&amp;H$2)-SUMIFS(考勤工资!$AG$5:$AG$1004,考勤工资!$Y$5:$Y$1004,"&gt;="&amp;MAX(H$2,_辅助!$J$4),考勤工资!$Y$5:$Y$1004,"&lt;="&amp;H$2))+(-SUMIFS(资金流水!$R$6:$R$2005,资金流水!$X$6:$X$2005,"人工费",资金流水!$S$6:$S$2005,"&gt;="&amp;MAX(H$2,_辅助!$J$4),资金流水!$S$6:$S$2005,"&lt;="&amp;H$2))))</f>
        <v>0</v>
      </c>
      <c r="I5">
        <f>IF(I$2&gt;_辅助!$J$2,0,((SUMIFS(考勤工资!$V$5:$V$1004,考勤工资!$Y$5:$Y$1004,"&gt;="&amp;MAX(I$2,_辅助!$J$4),考勤工资!$Y$5:$Y$1004,"&lt;="&amp;I$2)-SUMIFS(考勤工资!$AG$5:$AG$1004,考勤工资!$Y$5:$Y$1004,"&gt;="&amp;MAX(I$2,_辅助!$J$4),考勤工资!$Y$5:$Y$1004,"&lt;="&amp;I$2))+(-SUMIFS(资金流水!$R$6:$R$2005,资金流水!$X$6:$X$2005,"人工费",资金流水!$S$6:$S$2005,"&gt;="&amp;MAX(I$2,_辅助!$J$4),资金流水!$S$6:$S$2005,"&lt;="&amp;I$2))))</f>
        <v>1200</v>
      </c>
      <c r="J5">
        <f>IF(J$2&gt;_辅助!$J$2,0,((SUMIFS(考勤工资!$V$5:$V$1004,考勤工资!$Y$5:$Y$1004,"&gt;="&amp;MAX(J$2,_辅助!$J$4),考勤工资!$Y$5:$Y$1004,"&lt;="&amp;J$2)-SUMIFS(考勤工资!$AG$5:$AG$1004,考勤工资!$Y$5:$Y$1004,"&gt;="&amp;MAX(J$2,_辅助!$J$4),考勤工资!$Y$5:$Y$1004,"&lt;="&amp;J$2))+(-SUMIFS(资金流水!$R$6:$R$2005,资金流水!$X$6:$X$2005,"人工费",资金流水!$S$6:$S$2005,"&gt;="&amp;MAX(J$2,_辅助!$J$4),资金流水!$S$6:$S$2005,"&lt;="&amp;J$2))))</f>
        <v>0</v>
      </c>
      <c r="K5">
        <f>IF(K$2&gt;_辅助!$J$2,0,((SUMIFS(考勤工资!$V$5:$V$1004,考勤工资!$Y$5:$Y$1004,"&gt;="&amp;MAX(K$2,_辅助!$J$4),考勤工资!$Y$5:$Y$1004,"&lt;="&amp;K$2)-SUMIFS(考勤工资!$AG$5:$AG$1004,考勤工资!$Y$5:$Y$1004,"&gt;="&amp;MAX(K$2,_辅助!$J$4),考勤工资!$Y$5:$Y$1004,"&lt;="&amp;K$2))+(-SUMIFS(资金流水!$R$6:$R$2005,资金流水!$X$6:$X$2005,"人工费",资金流水!$S$6:$S$2005,"&gt;="&amp;MAX(K$2,_辅助!$J$4),资金流水!$S$6:$S$2005,"&lt;="&amp;K$2))))</f>
        <v>0</v>
      </c>
      <c r="L5">
        <f>IF(L$2&gt;_辅助!$J$2,0,((SUMIFS(考勤工资!$V$5:$V$1004,考勤工资!$Y$5:$Y$1004,"&gt;="&amp;MAX(L$2,_辅助!$J$4),考勤工资!$Y$5:$Y$1004,"&lt;="&amp;L$2)-SUMIFS(考勤工资!$AG$5:$AG$1004,考勤工资!$Y$5:$Y$1004,"&gt;="&amp;MAX(L$2,_辅助!$J$4),考勤工资!$Y$5:$Y$1004,"&lt;="&amp;L$2))+(-SUMIFS(资金流水!$R$6:$R$2005,资金流水!$X$6:$X$2005,"人工费",资金流水!$S$6:$S$2005,"&gt;="&amp;MAX(L$2,_辅助!$J$4),资金流水!$S$6:$S$2005,"&lt;="&amp;L$2))))</f>
        <v>0</v>
      </c>
      <c r="M5">
        <f>IF(M$2&gt;_辅助!$J$2,0,((SUMIFS(考勤工资!$V$5:$V$1004,考勤工资!$Y$5:$Y$1004,"&gt;="&amp;MAX(M$2,_辅助!$J$4),考勤工资!$Y$5:$Y$1004,"&lt;="&amp;M$2)-SUMIFS(考勤工资!$AG$5:$AG$1004,考勤工资!$Y$5:$Y$1004,"&gt;="&amp;MAX(M$2,_辅助!$J$4),考勤工资!$Y$5:$Y$1004,"&lt;="&amp;M$2))+(-SUMIFS(资金流水!$R$6:$R$2005,资金流水!$X$6:$X$2005,"人工费",资金流水!$S$6:$S$2005,"&gt;="&amp;MAX(M$2,_辅助!$J$4),资金流水!$S$6:$S$2005,"&lt;="&amp;M$2))))</f>
        <v>0</v>
      </c>
      <c r="N5">
        <f>IF(N$2&gt;_辅助!$J$2,0,((SUMIFS(考勤工资!$V$5:$V$1004,考勤工资!$Y$5:$Y$1004,"&gt;="&amp;MAX(N$2,_辅助!$J$4),考勤工资!$Y$5:$Y$1004,"&lt;="&amp;N$2)-SUMIFS(考勤工资!$AG$5:$AG$1004,考勤工资!$Y$5:$Y$1004,"&gt;="&amp;MAX(N$2,_辅助!$J$4),考勤工资!$Y$5:$Y$1004,"&lt;="&amp;N$2))+(-SUMIFS(资金流水!$R$6:$R$2005,资金流水!$X$6:$X$2005,"人工费",资金流水!$S$6:$S$2005,"&gt;="&amp;MAX(N$2,_辅助!$J$4),资金流水!$S$6:$S$2005,"&lt;="&amp;N$2))))</f>
        <v>0</v>
      </c>
      <c r="O5">
        <f t="shared" si="0"/>
        <v>219283.9</v>
      </c>
    </row>
    <row r="6">
      <c r="A6" t="inlineStr">
        <is>
          <t>分包费</t>
        </is>
      </c>
      <c r="B6">
        <f>(SUMIFS(应付登记!$G$5:$G$1004,应付登记!$C$5:$C$1004,"分包",应付登记!$J$5:$J$1004,"&gt;="&amp;_辅助!$J$4,应付登记!$J$5:$J$1004,"&lt;="&amp;_辅助!$J$5)+(-SUMIFS(资金流水!$R$6:$R$2005,资金流水!$X$6:$X$2005,"分包费",资金流水!$S$6:$S$2005,"&gt;="&amp;_辅助!$J$4,资金流水!$S$6:$S$2005,"&lt;="&amp;_辅助!$J$5)))</f>
        <v>0</v>
      </c>
      <c r="C6">
        <f>IF(C$2&gt;_辅助!$J$2,0,(SUMIFS(应付登记!$G$5:$G$1004,应付登记!$C$5:$C$1004,"分包",应付登记!$J$5:$J$1004,"&gt;="&amp;MAX(C$2,_辅助!$J$4),应付登记!$J$5:$J$1004,"&lt;="&amp;C$2)+(-SUMIFS(资金流水!$R$6:$R$2005,资金流水!$X$6:$X$2005,"分包费",资金流水!$S$6:$S$2005,"&gt;="&amp;MAX(C$2,_辅助!$J$4),资金流水!$S$6:$S$2005,"&lt;="&amp;C$2))))</f>
        <v>0</v>
      </c>
      <c r="D6">
        <f>IF(D$2&gt;_辅助!$J$2,0,(SUMIFS(应付登记!$G$5:$G$1004,应付登记!$C$5:$C$1004,"分包",应付登记!$J$5:$J$1004,"&gt;="&amp;MAX(D$2,_辅助!$J$4),应付登记!$J$5:$J$1004,"&lt;="&amp;D$2)+(-SUMIFS(资金流水!$R$6:$R$2005,资金流水!$X$6:$X$2005,"分包费",资金流水!$S$6:$S$2005,"&gt;="&amp;MAX(D$2,_辅助!$J$4),资金流水!$S$6:$S$2005,"&lt;="&amp;D$2))))</f>
        <v>0</v>
      </c>
      <c r="E6">
        <f>IF(E$2&gt;_辅助!$J$2,0,(SUMIFS(应付登记!$G$5:$G$1004,应付登记!$C$5:$C$1004,"分包",应付登记!$J$5:$J$1004,"&gt;="&amp;MAX(E$2,_辅助!$J$4),应付登记!$J$5:$J$1004,"&lt;="&amp;E$2)+(-SUMIFS(资金流水!$R$6:$R$2005,资金流水!$X$6:$X$2005,"分包费",资金流水!$S$6:$S$2005,"&gt;="&amp;MAX(E$2,_辅助!$J$4),资金流水!$S$6:$S$2005,"&lt;="&amp;E$2))))</f>
        <v>0</v>
      </c>
      <c r="F6">
        <f>IF(F$2&gt;_辅助!$J$2,0,(SUMIFS(应付登记!$G$5:$G$1004,应付登记!$C$5:$C$1004,"分包",应付登记!$J$5:$J$1004,"&gt;="&amp;MAX(F$2,_辅助!$J$4),应付登记!$J$5:$J$1004,"&lt;="&amp;F$2)+(-SUMIFS(资金流水!$R$6:$R$2005,资金流水!$X$6:$X$2005,"分包费",资金流水!$S$6:$S$2005,"&gt;="&amp;MAX(F$2,_辅助!$J$4),资金流水!$S$6:$S$2005,"&lt;="&amp;F$2))))</f>
        <v>0</v>
      </c>
      <c r="G6">
        <f>IF(G$2&gt;_辅助!$J$2,0,(SUMIFS(应付登记!$G$5:$G$1004,应付登记!$C$5:$C$1004,"分包",应付登记!$J$5:$J$1004,"&gt;="&amp;MAX(G$2,_辅助!$J$4),应付登记!$J$5:$J$1004,"&lt;="&amp;G$2)+(-SUMIFS(资金流水!$R$6:$R$2005,资金流水!$X$6:$X$2005,"分包费",资金流水!$S$6:$S$2005,"&gt;="&amp;MAX(G$2,_辅助!$J$4),资金流水!$S$6:$S$2005,"&lt;="&amp;G$2))))</f>
        <v>0</v>
      </c>
      <c r="H6">
        <f>IF(H$2&gt;_辅助!$J$2,0,(SUMIFS(应付登记!$G$5:$G$1004,应付登记!$C$5:$C$1004,"分包",应付登记!$J$5:$J$1004,"&gt;="&amp;MAX(H$2,_辅助!$J$4),应付登记!$J$5:$J$1004,"&lt;="&amp;H$2)+(-SUMIFS(资金流水!$R$6:$R$2005,资金流水!$X$6:$X$2005,"分包费",资金流水!$S$6:$S$2005,"&gt;="&amp;MAX(H$2,_辅助!$J$4),资金流水!$S$6:$S$2005,"&lt;="&amp;H$2))))</f>
        <v>0</v>
      </c>
      <c r="I6">
        <f>IF(I$2&gt;_辅助!$J$2,0,(SUMIFS(应付登记!$G$5:$G$1004,应付登记!$C$5:$C$1004,"分包",应付登记!$J$5:$J$1004,"&gt;="&amp;MAX(I$2,_辅助!$J$4),应付登记!$J$5:$J$1004,"&lt;="&amp;I$2)+(-SUMIFS(资金流水!$R$6:$R$2005,资金流水!$X$6:$X$2005,"分包费",资金流水!$S$6:$S$2005,"&gt;="&amp;MAX(I$2,_辅助!$J$4),资金流水!$S$6:$S$2005,"&lt;="&amp;I$2))))</f>
        <v>0</v>
      </c>
      <c r="J6">
        <f>IF(J$2&gt;_辅助!$J$2,0,(SUMIFS(应付登记!$G$5:$G$1004,应付登记!$C$5:$C$1004,"分包",应付登记!$J$5:$J$1004,"&gt;="&amp;MAX(J$2,_辅助!$J$4),应付登记!$J$5:$J$1004,"&lt;="&amp;J$2)+(-SUMIFS(资金流水!$R$6:$R$2005,资金流水!$X$6:$X$2005,"分包费",资金流水!$S$6:$S$2005,"&gt;="&amp;MAX(J$2,_辅助!$J$4),资金流水!$S$6:$S$2005,"&lt;="&amp;J$2))))</f>
        <v>0</v>
      </c>
      <c r="K6">
        <f>IF(K$2&gt;_辅助!$J$2,0,(SUMIFS(应付登记!$G$5:$G$1004,应付登记!$C$5:$C$1004,"分包",应付登记!$J$5:$J$1004,"&gt;="&amp;MAX(K$2,_辅助!$J$4),应付登记!$J$5:$J$1004,"&lt;="&amp;K$2)+(-SUMIFS(资金流水!$R$6:$R$2005,资金流水!$X$6:$X$2005,"分包费",资金流水!$S$6:$S$2005,"&gt;="&amp;MAX(K$2,_辅助!$J$4),资金流水!$S$6:$S$2005,"&lt;="&amp;K$2))))</f>
        <v>0</v>
      </c>
      <c r="L6">
        <f>IF(L$2&gt;_辅助!$J$2,0,(SUMIFS(应付登记!$G$5:$G$1004,应付登记!$C$5:$C$1004,"分包",应付登记!$J$5:$J$1004,"&gt;="&amp;MAX(L$2,_辅助!$J$4),应付登记!$J$5:$J$1004,"&lt;="&amp;L$2)+(-SUMIFS(资金流水!$R$6:$R$2005,资金流水!$X$6:$X$2005,"分包费",资金流水!$S$6:$S$2005,"&gt;="&amp;MAX(L$2,_辅助!$J$4),资金流水!$S$6:$S$2005,"&lt;="&amp;L$2))))</f>
        <v>0</v>
      </c>
      <c r="M6">
        <f>IF(M$2&gt;_辅助!$J$2,0,(SUMIFS(应付登记!$G$5:$G$1004,应付登记!$C$5:$C$1004,"分包",应付登记!$J$5:$J$1004,"&gt;="&amp;MAX(M$2,_辅助!$J$4),应付登记!$J$5:$J$1004,"&lt;="&amp;M$2)+(-SUMIFS(资金流水!$R$6:$R$2005,资金流水!$X$6:$X$2005,"分包费",资金流水!$S$6:$S$2005,"&gt;="&amp;MAX(M$2,_辅助!$J$4),资金流水!$S$6:$S$2005,"&lt;="&amp;M$2))))</f>
        <v>0</v>
      </c>
      <c r="N6">
        <f>IF(N$2&gt;_辅助!$J$2,0,(SUMIFS(应付登记!$G$5:$G$1004,应付登记!$C$5:$C$1004,"分包",应付登记!$J$5:$J$1004,"&gt;="&amp;MAX(N$2,_辅助!$J$4),应付登记!$J$5:$J$1004,"&lt;="&amp;N$2)+(-SUMIFS(资金流水!$R$6:$R$2005,资金流水!$X$6:$X$2005,"分包费",资金流水!$S$6:$S$2005,"&gt;="&amp;MAX(N$2,_辅助!$J$4),资金流水!$S$6:$S$2005,"&lt;="&amp;N$2))))</f>
        <v>0</v>
      </c>
      <c r="O6">
        <f t="shared" si="0"/>
        <v>0</v>
      </c>
    </row>
    <row r="7">
      <c r="A7" t="inlineStr">
        <is>
          <t>机械运输费</t>
        </is>
      </c>
      <c r="B7">
        <f>(SUMIFS(应付登记!$G$5:$G$1004,应付登记!$C$5:$C$1004,"机械运输",应付登记!$J$5:$J$1004,"&gt;="&amp;_辅助!$J$4,应付登记!$J$5:$J$1004,"&lt;="&amp;_辅助!$J$5)+(-SUMIFS(资金流水!$R$6:$R$2005,资金流水!$X$6:$X$2005,"机械运输费",资金流水!$S$6:$S$2005,"&gt;="&amp;_辅助!$J$4,资金流水!$S$6:$S$2005,"&lt;="&amp;_辅助!$J$5))+SUMPRODUCT(基础资料!$AP$5:$AP$34*((基础资料!$AS$5:$AS$34+((INT(_辅助!$J$5/100)*12+MOD(_辅助!$J$5,100))-基础资料!$AS$5:$AS$34)*((INT(_辅助!$J$5/100)*12+MOD(_辅助!$J$5,100))&lt;基础资料!$AS$5:$AS$34))-(基础资料!$AR$5:$AR$34+((INT(_辅助!$J$4/100)*12+MOD(_辅助!$J$4,100))-基础资料!$AR$5:$AR$34)*((INT(_辅助!$J$4/100)*12+MOD(_辅助!$J$4,100))&gt;基础资料!$AR$5:$AR$34))+1)*(((基础资料!$AS$5:$AS$34+((INT(_辅助!$J$5/100)*12+MOD(_辅助!$J$5,100))-基础资料!$AS$5:$AS$34)*((INT(_辅助!$J$5/100)*12+MOD(_辅助!$J$5,100))&lt;基础资料!$AS$5:$AS$34))-(基础资料!$AR$5:$AR$34+((INT(_辅助!$J$4/100)*12+MOD(_辅助!$J$4,100))-基础资料!$AR$5:$AR$34)*((INT(_辅助!$J$4/100)*12+MOD(_辅助!$J$4,100))&gt;基础资料!$AR$5:$AR$34))+1)&gt;0))-SUMPRODUCT(基础资料!$AP$5:$AP$34*((基础资料!$AS$5:$AS$34+((INT(_辅助!$J$5/100)*12+MOD(_辅助!$J$5,100))-基础资料!$AS$5:$AS$34)*((INT(_辅助!$J$5/100)*12+MOD(_辅助!$J$5,100))&lt;基础资料!$AS$5:$AS$34))-(基础资料!$AR$5:$AR$34+((INT(_辅助!$J$4/100)*12+MOD(_辅助!$J$4,100))-基础资料!$AR$5:$AR$34)*((INT(_辅助!$J$4/100)*12+MOD(_辅助!$J$4,100))&gt;基础资料!$AR$5:$AR$34))+1)*(((基础资料!$AS$5:$AS$34+((INT(_辅助!$J$5/100)*12+MOD(_辅助!$J$5,100))-基础资料!$AS$5:$AS$34)*((INT(_辅助!$J$5/100)*12+MOD(_辅助!$J$5,100))&lt;基础资料!$AS$5:$AS$34))-(基础资料!$AR$5:$AR$34+((INT(_辅助!$J$4/100)*12+MOD(_辅助!$J$4,100))-基础资料!$AR$5:$AR$34)*((INT(_辅助!$J$4/100)*12+MOD(_辅助!$J$4,100))&gt;基础资料!$AR$5:$AR$34))+1)&gt;0)*(基础资料!$AO$5:$AO$34="")))</f>
        <v>0</v>
      </c>
      <c r="C7">
        <f>IF(C$2&gt;_辅助!$J$2,0,(SUMIFS(应付登记!$G$5:$G$1004,应付登记!$C$5:$C$1004,"机械运输",应付登记!$J$5:$J$1004,"&gt;="&amp;MAX(C$2,_辅助!$J$4),应付登记!$J$5:$J$1004,"&lt;="&amp;C$2)+(-SUMIFS(资金流水!$R$6:$R$2005,资金流水!$X$6:$X$2005,"机械运输费",资金流水!$S$6:$S$2005,"&gt;="&amp;MAX(C$2,_辅助!$J$4),资金流水!$S$6:$S$2005,"&lt;="&amp;C$2))+SUMPRODUCT(基础资料!$AP$5:$AP$34*((基础资料!$AS$5:$AS$34+((INT(C$2/100)*12+MOD(C$2,100))-基础资料!$AS$5:$AS$34)*((INT(C$2/100)*12+MOD(C$2,100))&lt;基础资料!$AS$5:$AS$34))-(基础资料!$AR$5:$AR$34+((INT(MAX(C$2,_辅助!$J$4)/100)*12+MOD(MAX(C$2,_辅助!$J$4),100))-基础资料!$AR$5:$AR$34)*((INT(MAX(C$2,_辅助!$J$4)/100)*12+MOD(MAX(C$2,_辅助!$J$4),100))&gt;基础资料!$AR$5:$AR$34))+1)*(((基础资料!$AS$5:$AS$34+((INT(C$2/100)*12+MOD(C$2,100))-基础资料!$AS$5:$AS$34)*((INT(C$2/100)*12+MOD(C$2,100))&lt;基础资料!$AS$5:$AS$34))-(基础资料!$AR$5:$AR$34+((INT(MAX(C$2,_辅助!$J$4)/100)*12+MOD(MAX(C$2,_辅助!$J$4),100))-基础资料!$AR$5:$AR$34)*((INT(MAX(C$2,_辅助!$J$4)/100)*12+MOD(MAX(C$2,_辅助!$J$4),100))&gt;基础资料!$AR$5:$AR$34))+1)&gt;0))-SUMPRODUCT(基础资料!$AP$5:$AP$34*((基础资料!$AS$5:$AS$34+((INT(C$2/100)*12+MOD(C$2,100))-基础资料!$AS$5:$AS$34)*((INT(C$2/100)*12+MOD(C$2,100))&lt;基础资料!$AS$5:$AS$34))-(基础资料!$AR$5:$AR$34+((INT(MAX(C$2,_辅助!$J$4)/100)*12+MOD(MAX(C$2,_辅助!$J$4),100))-基础资料!$AR$5:$AR$34)*((INT(MAX(C$2,_辅助!$J$4)/100)*12+MOD(MAX(C$2,_辅助!$J$4),100))&gt;基础资料!$AR$5:$AR$34))+1)*(((基础资料!$AS$5:$AS$34+((INT(C$2/100)*12+MOD(C$2,100))-基础资料!$AS$5:$AS$34)*((INT(C$2/100)*12+MOD(C$2,100))&lt;基础资料!$AS$5:$AS$34))-(基础资料!$AR$5:$AR$34+((INT(MAX(C$2,_辅助!$J$4)/100)*12+MOD(MAX(C$2,_辅助!$J$4),100))-基础资料!$AR$5:$AR$34)*((INT(MAX(C$2,_辅助!$J$4)/100)*12+MOD(MAX(C$2,_辅助!$J$4),100))&gt;基础资料!$AR$5:$AR$34))+1)&gt;0)*(基础资料!$AO$5:$AO$34=""))))</f>
        <v>0</v>
      </c>
      <c r="D7">
        <f>IF(D$2&gt;_辅助!$J$2,0,(SUMIFS(应付登记!$G$5:$G$1004,应付登记!$C$5:$C$1004,"机械运输",应付登记!$J$5:$J$1004,"&gt;="&amp;MAX(D$2,_辅助!$J$4),应付登记!$J$5:$J$1004,"&lt;="&amp;D$2)+(-SUMIFS(资金流水!$R$6:$R$2005,资金流水!$X$6:$X$2005,"机械运输费",资金流水!$S$6:$S$2005,"&gt;="&amp;MAX(D$2,_辅助!$J$4),资金流水!$S$6:$S$2005,"&lt;="&amp;D$2))+SUMPRODUCT(基础资料!$AP$5:$AP$34*((基础资料!$AS$5:$AS$34+((INT(D$2/100)*12+MOD(D$2,100))-基础资料!$AS$5:$AS$34)*((INT(D$2/100)*12+MOD(D$2,100))&lt;基础资料!$AS$5:$AS$34))-(基础资料!$AR$5:$AR$34+((INT(MAX(D$2,_辅助!$J$4)/100)*12+MOD(MAX(D$2,_辅助!$J$4),100))-基础资料!$AR$5:$AR$34)*((INT(MAX(D$2,_辅助!$J$4)/100)*12+MOD(MAX(D$2,_辅助!$J$4),100))&gt;基础资料!$AR$5:$AR$34))+1)*(((基础资料!$AS$5:$AS$34+((INT(D$2/100)*12+MOD(D$2,100))-基础资料!$AS$5:$AS$34)*((INT(D$2/100)*12+MOD(D$2,100))&lt;基础资料!$AS$5:$AS$34))-(基础资料!$AR$5:$AR$34+((INT(MAX(D$2,_辅助!$J$4)/100)*12+MOD(MAX(D$2,_辅助!$J$4),100))-基础资料!$AR$5:$AR$34)*((INT(MAX(D$2,_辅助!$J$4)/100)*12+MOD(MAX(D$2,_辅助!$J$4),100))&gt;基础资料!$AR$5:$AR$34))+1)&gt;0))-SUMPRODUCT(基础资料!$AP$5:$AP$34*((基础资料!$AS$5:$AS$34+((INT(D$2/100)*12+MOD(D$2,100))-基础资料!$AS$5:$AS$34)*((INT(D$2/100)*12+MOD(D$2,100))&lt;基础资料!$AS$5:$AS$34))-(基础资料!$AR$5:$AR$34+((INT(MAX(D$2,_辅助!$J$4)/100)*12+MOD(MAX(D$2,_辅助!$J$4),100))-基础资料!$AR$5:$AR$34)*((INT(MAX(D$2,_辅助!$J$4)/100)*12+MOD(MAX(D$2,_辅助!$J$4),100))&gt;基础资料!$AR$5:$AR$34))+1)*(((基础资料!$AS$5:$AS$34+((INT(D$2/100)*12+MOD(D$2,100))-基础资料!$AS$5:$AS$34)*((INT(D$2/100)*12+MOD(D$2,100))&lt;基础资料!$AS$5:$AS$34))-(基础资料!$AR$5:$AR$34+((INT(MAX(D$2,_辅助!$J$4)/100)*12+MOD(MAX(D$2,_辅助!$J$4),100))-基础资料!$AR$5:$AR$34)*((INT(MAX(D$2,_辅助!$J$4)/100)*12+MOD(MAX(D$2,_辅助!$J$4),100))&gt;基础资料!$AR$5:$AR$34))+1)&gt;0)*(基础资料!$AO$5:$AO$34=""))))</f>
        <v>0</v>
      </c>
      <c r="E7">
        <f>IF(E$2&gt;_辅助!$J$2,0,(SUMIFS(应付登记!$G$5:$G$1004,应付登记!$C$5:$C$1004,"机械运输",应付登记!$J$5:$J$1004,"&gt;="&amp;MAX(E$2,_辅助!$J$4),应付登记!$J$5:$J$1004,"&lt;="&amp;E$2)+(-SUMIFS(资金流水!$R$6:$R$2005,资金流水!$X$6:$X$2005,"机械运输费",资金流水!$S$6:$S$2005,"&gt;="&amp;MAX(E$2,_辅助!$J$4),资金流水!$S$6:$S$2005,"&lt;="&amp;E$2))+SUMPRODUCT(基础资料!$AP$5:$AP$34*((基础资料!$AS$5:$AS$34+((INT(E$2/100)*12+MOD(E$2,100))-基础资料!$AS$5:$AS$34)*((INT(E$2/100)*12+MOD(E$2,100))&lt;基础资料!$AS$5:$AS$34))-(基础资料!$AR$5:$AR$34+((INT(MAX(E$2,_辅助!$J$4)/100)*12+MOD(MAX(E$2,_辅助!$J$4),100))-基础资料!$AR$5:$AR$34)*((INT(MAX(E$2,_辅助!$J$4)/100)*12+MOD(MAX(E$2,_辅助!$J$4),100))&gt;基础资料!$AR$5:$AR$34))+1)*(((基础资料!$AS$5:$AS$34+((INT(E$2/100)*12+MOD(E$2,100))-基础资料!$AS$5:$AS$34)*((INT(E$2/100)*12+MOD(E$2,100))&lt;基础资料!$AS$5:$AS$34))-(基础资料!$AR$5:$AR$34+((INT(MAX(E$2,_辅助!$J$4)/100)*12+MOD(MAX(E$2,_辅助!$J$4),100))-基础资料!$AR$5:$AR$34)*((INT(MAX(E$2,_辅助!$J$4)/100)*12+MOD(MAX(E$2,_辅助!$J$4),100))&gt;基础资料!$AR$5:$AR$34))+1)&gt;0))-SUMPRODUCT(基础资料!$AP$5:$AP$34*((基础资料!$AS$5:$AS$34+((INT(E$2/100)*12+MOD(E$2,100))-基础资料!$AS$5:$AS$34)*((INT(E$2/100)*12+MOD(E$2,100))&lt;基础资料!$AS$5:$AS$34))-(基础资料!$AR$5:$AR$34+((INT(MAX(E$2,_辅助!$J$4)/100)*12+MOD(MAX(E$2,_辅助!$J$4),100))-基础资料!$AR$5:$AR$34)*((INT(MAX(E$2,_辅助!$J$4)/100)*12+MOD(MAX(E$2,_辅助!$J$4),100))&gt;基础资料!$AR$5:$AR$34))+1)*(((基础资料!$AS$5:$AS$34+((INT(E$2/100)*12+MOD(E$2,100))-基础资料!$AS$5:$AS$34)*((INT(E$2/100)*12+MOD(E$2,100))&lt;基础资料!$AS$5:$AS$34))-(基础资料!$AR$5:$AR$34+((INT(MAX(E$2,_辅助!$J$4)/100)*12+MOD(MAX(E$2,_辅助!$J$4),100))-基础资料!$AR$5:$AR$34)*((INT(MAX(E$2,_辅助!$J$4)/100)*12+MOD(MAX(E$2,_辅助!$J$4),100))&gt;基础资料!$AR$5:$AR$34))+1)&gt;0)*(基础资料!$AO$5:$AO$34=""))))</f>
        <v>0</v>
      </c>
      <c r="F7">
        <f>IF(F$2&gt;_辅助!$J$2,0,(SUMIFS(应付登记!$G$5:$G$1004,应付登记!$C$5:$C$1004,"机械运输",应付登记!$J$5:$J$1004,"&gt;="&amp;MAX(F$2,_辅助!$J$4),应付登记!$J$5:$J$1004,"&lt;="&amp;F$2)+(-SUMIFS(资金流水!$R$6:$R$2005,资金流水!$X$6:$X$2005,"机械运输费",资金流水!$S$6:$S$2005,"&gt;="&amp;MAX(F$2,_辅助!$J$4),资金流水!$S$6:$S$2005,"&lt;="&amp;F$2))+SUMPRODUCT(基础资料!$AP$5:$AP$34*((基础资料!$AS$5:$AS$34+((INT(F$2/100)*12+MOD(F$2,100))-基础资料!$AS$5:$AS$34)*((INT(F$2/100)*12+MOD(F$2,100))&lt;基础资料!$AS$5:$AS$34))-(基础资料!$AR$5:$AR$34+((INT(MAX(F$2,_辅助!$J$4)/100)*12+MOD(MAX(F$2,_辅助!$J$4),100))-基础资料!$AR$5:$AR$34)*((INT(MAX(F$2,_辅助!$J$4)/100)*12+MOD(MAX(F$2,_辅助!$J$4),100))&gt;基础资料!$AR$5:$AR$34))+1)*(((基础资料!$AS$5:$AS$34+((INT(F$2/100)*12+MOD(F$2,100))-基础资料!$AS$5:$AS$34)*((INT(F$2/100)*12+MOD(F$2,100))&lt;基础资料!$AS$5:$AS$34))-(基础资料!$AR$5:$AR$34+((INT(MAX(F$2,_辅助!$J$4)/100)*12+MOD(MAX(F$2,_辅助!$J$4),100))-基础资料!$AR$5:$AR$34)*((INT(MAX(F$2,_辅助!$J$4)/100)*12+MOD(MAX(F$2,_辅助!$J$4),100))&gt;基础资料!$AR$5:$AR$34))+1)&gt;0))-SUMPRODUCT(基础资料!$AP$5:$AP$34*((基础资料!$AS$5:$AS$34+((INT(F$2/100)*12+MOD(F$2,100))-基础资料!$AS$5:$AS$34)*((INT(F$2/100)*12+MOD(F$2,100))&lt;基础资料!$AS$5:$AS$34))-(基础资料!$AR$5:$AR$34+((INT(MAX(F$2,_辅助!$J$4)/100)*12+MOD(MAX(F$2,_辅助!$J$4),100))-基础资料!$AR$5:$AR$34)*((INT(MAX(F$2,_辅助!$J$4)/100)*12+MOD(MAX(F$2,_辅助!$J$4),100))&gt;基础资料!$AR$5:$AR$34))+1)*(((基础资料!$AS$5:$AS$34+((INT(F$2/100)*12+MOD(F$2,100))-基础资料!$AS$5:$AS$34)*((INT(F$2/100)*12+MOD(F$2,100))&lt;基础资料!$AS$5:$AS$34))-(基础资料!$AR$5:$AR$34+((INT(MAX(F$2,_辅助!$J$4)/100)*12+MOD(MAX(F$2,_辅助!$J$4),100))-基础资料!$AR$5:$AR$34)*((INT(MAX(F$2,_辅助!$J$4)/100)*12+MOD(MAX(F$2,_辅助!$J$4),100))&gt;基础资料!$AR$5:$AR$34))+1)&gt;0)*(基础资料!$AO$5:$AO$34=""))))</f>
        <v>0</v>
      </c>
      <c r="G7">
        <f>IF(G$2&gt;_辅助!$J$2,0,(SUMIFS(应付登记!$G$5:$G$1004,应付登记!$C$5:$C$1004,"机械运输",应付登记!$J$5:$J$1004,"&gt;="&amp;MAX(G$2,_辅助!$J$4),应付登记!$J$5:$J$1004,"&lt;="&amp;G$2)+(-SUMIFS(资金流水!$R$6:$R$2005,资金流水!$X$6:$X$2005,"机械运输费",资金流水!$S$6:$S$2005,"&gt;="&amp;MAX(G$2,_辅助!$J$4),资金流水!$S$6:$S$2005,"&lt;="&amp;G$2))+SUMPRODUCT(基础资料!$AP$5:$AP$34*((基础资料!$AS$5:$AS$34+((INT(G$2/100)*12+MOD(G$2,100))-基础资料!$AS$5:$AS$34)*((INT(G$2/100)*12+MOD(G$2,100))&lt;基础资料!$AS$5:$AS$34))-(基础资料!$AR$5:$AR$34+((INT(MAX(G$2,_辅助!$J$4)/100)*12+MOD(MAX(G$2,_辅助!$J$4),100))-基础资料!$AR$5:$AR$34)*((INT(MAX(G$2,_辅助!$J$4)/100)*12+MOD(MAX(G$2,_辅助!$J$4),100))&gt;基础资料!$AR$5:$AR$34))+1)*(((基础资料!$AS$5:$AS$34+((INT(G$2/100)*12+MOD(G$2,100))-基础资料!$AS$5:$AS$34)*((INT(G$2/100)*12+MOD(G$2,100))&lt;基础资料!$AS$5:$AS$34))-(基础资料!$AR$5:$AR$34+((INT(MAX(G$2,_辅助!$J$4)/100)*12+MOD(MAX(G$2,_辅助!$J$4),100))-基础资料!$AR$5:$AR$34)*((INT(MAX(G$2,_辅助!$J$4)/100)*12+MOD(MAX(G$2,_辅助!$J$4),100))&gt;基础资料!$AR$5:$AR$34))+1)&gt;0))-SUMPRODUCT(基础资料!$AP$5:$AP$34*((基础资料!$AS$5:$AS$34+((INT(G$2/100)*12+MOD(G$2,100))-基础资料!$AS$5:$AS$34)*((INT(G$2/100)*12+MOD(G$2,100))&lt;基础资料!$AS$5:$AS$34))-(基础资料!$AR$5:$AR$34+((INT(MAX(G$2,_辅助!$J$4)/100)*12+MOD(MAX(G$2,_辅助!$J$4),100))-基础资料!$AR$5:$AR$34)*((INT(MAX(G$2,_辅助!$J$4)/100)*12+MOD(MAX(G$2,_辅助!$J$4),100))&gt;基础资料!$AR$5:$AR$34))+1)*(((基础资料!$AS$5:$AS$34+((INT(G$2/100)*12+MOD(G$2,100))-基础资料!$AS$5:$AS$34)*((INT(G$2/100)*12+MOD(G$2,100))&lt;基础资料!$AS$5:$AS$34))-(基础资料!$AR$5:$AR$34+((INT(MAX(G$2,_辅助!$J$4)/100)*12+MOD(MAX(G$2,_辅助!$J$4),100))-基础资料!$AR$5:$AR$34)*((INT(MAX(G$2,_辅助!$J$4)/100)*12+MOD(MAX(G$2,_辅助!$J$4),100))&gt;基础资料!$AR$5:$AR$34))+1)&gt;0)*(基础资料!$AO$5:$AO$34=""))))</f>
        <v>1280</v>
      </c>
      <c r="H7">
        <f>IF(H$2&gt;_辅助!$J$2,0,(SUMIFS(应付登记!$G$5:$G$1004,应付登记!$C$5:$C$1004,"机械运输",应付登记!$J$5:$J$1004,"&gt;="&amp;MAX(H$2,_辅助!$J$4),应付登记!$J$5:$J$1004,"&lt;="&amp;H$2)+(-SUMIFS(资金流水!$R$6:$R$2005,资金流水!$X$6:$X$2005,"机械运输费",资金流水!$S$6:$S$2005,"&gt;="&amp;MAX(H$2,_辅助!$J$4),资金流水!$S$6:$S$2005,"&lt;="&amp;H$2))+SUMPRODUCT(基础资料!$AP$5:$AP$34*((基础资料!$AS$5:$AS$34+((INT(H$2/100)*12+MOD(H$2,100))-基础资料!$AS$5:$AS$34)*((INT(H$2/100)*12+MOD(H$2,100))&lt;基础资料!$AS$5:$AS$34))-(基础资料!$AR$5:$AR$34+((INT(MAX(H$2,_辅助!$J$4)/100)*12+MOD(MAX(H$2,_辅助!$J$4),100))-基础资料!$AR$5:$AR$34)*((INT(MAX(H$2,_辅助!$J$4)/100)*12+MOD(MAX(H$2,_辅助!$J$4),100))&gt;基础资料!$AR$5:$AR$34))+1)*(((基础资料!$AS$5:$AS$34+((INT(H$2/100)*12+MOD(H$2,100))-基础资料!$AS$5:$AS$34)*((INT(H$2/100)*12+MOD(H$2,100))&lt;基础资料!$AS$5:$AS$34))-(基础资料!$AR$5:$AR$34+((INT(MAX(H$2,_辅助!$J$4)/100)*12+MOD(MAX(H$2,_辅助!$J$4),100))-基础资料!$AR$5:$AR$34)*((INT(MAX(H$2,_辅助!$J$4)/100)*12+MOD(MAX(H$2,_辅助!$J$4),100))&gt;基础资料!$AR$5:$AR$34))+1)&gt;0))-SUMPRODUCT(基础资料!$AP$5:$AP$34*((基础资料!$AS$5:$AS$34+((INT(H$2/100)*12+MOD(H$2,100))-基础资料!$AS$5:$AS$34)*((INT(H$2/100)*12+MOD(H$2,100))&lt;基础资料!$AS$5:$AS$34))-(基础资料!$AR$5:$AR$34+((INT(MAX(H$2,_辅助!$J$4)/100)*12+MOD(MAX(H$2,_辅助!$J$4),100))-基础资料!$AR$5:$AR$34)*((INT(MAX(H$2,_辅助!$J$4)/100)*12+MOD(MAX(H$2,_辅助!$J$4),100))&gt;基础资料!$AR$5:$AR$34))+1)*(((基础资料!$AS$5:$AS$34+((INT(H$2/100)*12+MOD(H$2,100))-基础资料!$AS$5:$AS$34)*((INT(H$2/100)*12+MOD(H$2,100))&lt;基础资料!$AS$5:$AS$34))-(基础资料!$AR$5:$AR$34+((INT(MAX(H$2,_辅助!$J$4)/100)*12+MOD(MAX(H$2,_辅助!$J$4),100))-基础资料!$AR$5:$AR$34)*((INT(MAX(H$2,_辅助!$J$4)/100)*12+MOD(MAX(H$2,_辅助!$J$4),100))&gt;基础资料!$AR$5:$AR$34))+1)&gt;0)*(基础资料!$AO$5:$AO$34=""))))</f>
        <v>800</v>
      </c>
      <c r="I7">
        <f>IF(I$2&gt;_辅助!$J$2,0,(SUMIFS(应付登记!$G$5:$G$1004,应付登记!$C$5:$C$1004,"机械运输",应付登记!$J$5:$J$1004,"&gt;="&amp;MAX(I$2,_辅助!$J$4),应付登记!$J$5:$J$1004,"&lt;="&amp;I$2)+(-SUMIFS(资金流水!$R$6:$R$2005,资金流水!$X$6:$X$2005,"机械运输费",资金流水!$S$6:$S$2005,"&gt;="&amp;MAX(I$2,_辅助!$J$4),资金流水!$S$6:$S$2005,"&lt;="&amp;I$2))+SUMPRODUCT(基础资料!$AP$5:$AP$34*((基础资料!$AS$5:$AS$34+((INT(I$2/100)*12+MOD(I$2,100))-基础资料!$AS$5:$AS$34)*((INT(I$2/100)*12+MOD(I$2,100))&lt;基础资料!$AS$5:$AS$34))-(基础资料!$AR$5:$AR$34+((INT(MAX(I$2,_辅助!$J$4)/100)*12+MOD(MAX(I$2,_辅助!$J$4),100))-基础资料!$AR$5:$AR$34)*((INT(MAX(I$2,_辅助!$J$4)/100)*12+MOD(MAX(I$2,_辅助!$J$4),100))&gt;基础资料!$AR$5:$AR$34))+1)*(((基础资料!$AS$5:$AS$34+((INT(I$2/100)*12+MOD(I$2,100))-基础资料!$AS$5:$AS$34)*((INT(I$2/100)*12+MOD(I$2,100))&lt;基础资料!$AS$5:$AS$34))-(基础资料!$AR$5:$AR$34+((INT(MAX(I$2,_辅助!$J$4)/100)*12+MOD(MAX(I$2,_辅助!$J$4),100))-基础资料!$AR$5:$AR$34)*((INT(MAX(I$2,_辅助!$J$4)/100)*12+MOD(MAX(I$2,_辅助!$J$4),100))&gt;基础资料!$AR$5:$AR$34))+1)&gt;0))-SUMPRODUCT(基础资料!$AP$5:$AP$34*((基础资料!$AS$5:$AS$34+((INT(I$2/100)*12+MOD(I$2,100))-基础资料!$AS$5:$AS$34)*((INT(I$2/100)*12+MOD(I$2,100))&lt;基础资料!$AS$5:$AS$34))-(基础资料!$AR$5:$AR$34+((INT(MAX(I$2,_辅助!$J$4)/100)*12+MOD(MAX(I$2,_辅助!$J$4),100))-基础资料!$AR$5:$AR$34)*((INT(MAX(I$2,_辅助!$J$4)/100)*12+MOD(MAX(I$2,_辅助!$J$4),100))&gt;基础资料!$AR$5:$AR$34))+1)*(((基础资料!$AS$5:$AS$34+((INT(I$2/100)*12+MOD(I$2,100))-基础资料!$AS$5:$AS$34)*((INT(I$2/100)*12+MOD(I$2,100))&lt;基础资料!$AS$5:$AS$34))-(基础资料!$AR$5:$AR$34+((INT(MAX(I$2,_辅助!$J$4)/100)*12+MOD(MAX(I$2,_辅助!$J$4),100))-基础资料!$AR$5:$AR$34)*((INT(MAX(I$2,_辅助!$J$4)/100)*12+MOD(MAX(I$2,_辅助!$J$4),100))&gt;基础资料!$AR$5:$AR$34))+1)&gt;0)*(基础资料!$AO$5:$AO$34=""))))</f>
        <v>8000</v>
      </c>
      <c r="J7">
        <f>IF(J$2&gt;_辅助!$J$2,0,(SUMIFS(应付登记!$G$5:$G$1004,应付登记!$C$5:$C$1004,"机械运输",应付登记!$J$5:$J$1004,"&gt;="&amp;MAX(J$2,_辅助!$J$4),应付登记!$J$5:$J$1004,"&lt;="&amp;J$2)+(-SUMIFS(资金流水!$R$6:$R$2005,资金流水!$X$6:$X$2005,"机械运输费",资金流水!$S$6:$S$2005,"&gt;="&amp;MAX(J$2,_辅助!$J$4),资金流水!$S$6:$S$2005,"&lt;="&amp;J$2))+SUMPRODUCT(基础资料!$AP$5:$AP$34*((基础资料!$AS$5:$AS$34+((INT(J$2/100)*12+MOD(J$2,100))-基础资料!$AS$5:$AS$34)*((INT(J$2/100)*12+MOD(J$2,100))&lt;基础资料!$AS$5:$AS$34))-(基础资料!$AR$5:$AR$34+((INT(MAX(J$2,_辅助!$J$4)/100)*12+MOD(MAX(J$2,_辅助!$J$4),100))-基础资料!$AR$5:$AR$34)*((INT(MAX(J$2,_辅助!$J$4)/100)*12+MOD(MAX(J$2,_辅助!$J$4),100))&gt;基础资料!$AR$5:$AR$34))+1)*(((基础资料!$AS$5:$AS$34+((INT(J$2/100)*12+MOD(J$2,100))-基础资料!$AS$5:$AS$34)*((INT(J$2/100)*12+MOD(J$2,100))&lt;基础资料!$AS$5:$AS$34))-(基础资料!$AR$5:$AR$34+((INT(MAX(J$2,_辅助!$J$4)/100)*12+MOD(MAX(J$2,_辅助!$J$4),100))-基础资料!$AR$5:$AR$34)*((INT(MAX(J$2,_辅助!$J$4)/100)*12+MOD(MAX(J$2,_辅助!$J$4),100))&gt;基础资料!$AR$5:$AR$34))+1)&gt;0))-SUMPRODUCT(基础资料!$AP$5:$AP$34*((基础资料!$AS$5:$AS$34+((INT(J$2/100)*12+MOD(J$2,100))-基础资料!$AS$5:$AS$34)*((INT(J$2/100)*12+MOD(J$2,100))&lt;基础资料!$AS$5:$AS$34))-(基础资料!$AR$5:$AR$34+((INT(MAX(J$2,_辅助!$J$4)/100)*12+MOD(MAX(J$2,_辅助!$J$4),100))-基础资料!$AR$5:$AR$34)*((INT(MAX(J$2,_辅助!$J$4)/100)*12+MOD(MAX(J$2,_辅助!$J$4),100))&gt;基础资料!$AR$5:$AR$34))+1)*(((基础资料!$AS$5:$AS$34+((INT(J$2/100)*12+MOD(J$2,100))-基础资料!$AS$5:$AS$34)*((INT(J$2/100)*12+MOD(J$2,100))&lt;基础资料!$AS$5:$AS$34))-(基础资料!$AR$5:$AR$34+((INT(MAX(J$2,_辅助!$J$4)/100)*12+MOD(MAX(J$2,_辅助!$J$4),100))-基础资料!$AR$5:$AR$34)*((INT(MAX(J$2,_辅助!$J$4)/100)*12+MOD(MAX(J$2,_辅助!$J$4),100))&gt;基础资料!$AR$5:$AR$34))+1)&gt;0)*(基础资料!$AO$5:$AO$34=""))))</f>
        <v>0</v>
      </c>
      <c r="K7">
        <f>IF(K$2&gt;_辅助!$J$2,0,(SUMIFS(应付登记!$G$5:$G$1004,应付登记!$C$5:$C$1004,"机械运输",应付登记!$J$5:$J$1004,"&gt;="&amp;MAX(K$2,_辅助!$J$4),应付登记!$J$5:$J$1004,"&lt;="&amp;K$2)+(-SUMIFS(资金流水!$R$6:$R$2005,资金流水!$X$6:$X$2005,"机械运输费",资金流水!$S$6:$S$2005,"&gt;="&amp;MAX(K$2,_辅助!$J$4),资金流水!$S$6:$S$2005,"&lt;="&amp;K$2))+SUMPRODUCT(基础资料!$AP$5:$AP$34*((基础资料!$AS$5:$AS$34+((INT(K$2/100)*12+MOD(K$2,100))-基础资料!$AS$5:$AS$34)*((INT(K$2/100)*12+MOD(K$2,100))&lt;基础资料!$AS$5:$AS$34))-(基础资料!$AR$5:$AR$34+((INT(MAX(K$2,_辅助!$J$4)/100)*12+MOD(MAX(K$2,_辅助!$J$4),100))-基础资料!$AR$5:$AR$34)*((INT(MAX(K$2,_辅助!$J$4)/100)*12+MOD(MAX(K$2,_辅助!$J$4),100))&gt;基础资料!$AR$5:$AR$34))+1)*(((基础资料!$AS$5:$AS$34+((INT(K$2/100)*12+MOD(K$2,100))-基础资料!$AS$5:$AS$34)*((INT(K$2/100)*12+MOD(K$2,100))&lt;基础资料!$AS$5:$AS$34))-(基础资料!$AR$5:$AR$34+((INT(MAX(K$2,_辅助!$J$4)/100)*12+MOD(MAX(K$2,_辅助!$J$4),100))-基础资料!$AR$5:$AR$34)*((INT(MAX(K$2,_辅助!$J$4)/100)*12+MOD(MAX(K$2,_辅助!$J$4),100))&gt;基础资料!$AR$5:$AR$34))+1)&gt;0))-SUMPRODUCT(基础资料!$AP$5:$AP$34*((基础资料!$AS$5:$AS$34+((INT(K$2/100)*12+MOD(K$2,100))-基础资料!$AS$5:$AS$34)*((INT(K$2/100)*12+MOD(K$2,100))&lt;基础资料!$AS$5:$AS$34))-(基础资料!$AR$5:$AR$34+((INT(MAX(K$2,_辅助!$J$4)/100)*12+MOD(MAX(K$2,_辅助!$J$4),100))-基础资料!$AR$5:$AR$34)*((INT(MAX(K$2,_辅助!$J$4)/100)*12+MOD(MAX(K$2,_辅助!$J$4),100))&gt;基础资料!$AR$5:$AR$34))+1)*(((基础资料!$AS$5:$AS$34+((INT(K$2/100)*12+MOD(K$2,100))-基础资料!$AS$5:$AS$34)*((INT(K$2/100)*12+MOD(K$2,100))&lt;基础资料!$AS$5:$AS$34))-(基础资料!$AR$5:$AR$34+((INT(MAX(K$2,_辅助!$J$4)/100)*12+MOD(MAX(K$2,_辅助!$J$4),100))-基础资料!$AR$5:$AR$34)*((INT(MAX(K$2,_辅助!$J$4)/100)*12+MOD(MAX(K$2,_辅助!$J$4),100))&gt;基础资料!$AR$5:$AR$34))+1)&gt;0)*(基础资料!$AO$5:$AO$34=""))))</f>
        <v>0</v>
      </c>
      <c r="L7">
        <f>IF(L$2&gt;_辅助!$J$2,0,(SUMIFS(应付登记!$G$5:$G$1004,应付登记!$C$5:$C$1004,"机械运输",应付登记!$J$5:$J$1004,"&gt;="&amp;MAX(L$2,_辅助!$J$4),应付登记!$J$5:$J$1004,"&lt;="&amp;L$2)+(-SUMIFS(资金流水!$R$6:$R$2005,资金流水!$X$6:$X$2005,"机械运输费",资金流水!$S$6:$S$2005,"&gt;="&amp;MAX(L$2,_辅助!$J$4),资金流水!$S$6:$S$2005,"&lt;="&amp;L$2))+SUMPRODUCT(基础资料!$AP$5:$AP$34*((基础资料!$AS$5:$AS$34+((INT(L$2/100)*12+MOD(L$2,100))-基础资料!$AS$5:$AS$34)*((INT(L$2/100)*12+MOD(L$2,100))&lt;基础资料!$AS$5:$AS$34))-(基础资料!$AR$5:$AR$34+((INT(MAX(L$2,_辅助!$J$4)/100)*12+MOD(MAX(L$2,_辅助!$J$4),100))-基础资料!$AR$5:$AR$34)*((INT(MAX(L$2,_辅助!$J$4)/100)*12+MOD(MAX(L$2,_辅助!$J$4),100))&gt;基础资料!$AR$5:$AR$34))+1)*(((基础资料!$AS$5:$AS$34+((INT(L$2/100)*12+MOD(L$2,100))-基础资料!$AS$5:$AS$34)*((INT(L$2/100)*12+MOD(L$2,100))&lt;基础资料!$AS$5:$AS$34))-(基础资料!$AR$5:$AR$34+((INT(MAX(L$2,_辅助!$J$4)/100)*12+MOD(MAX(L$2,_辅助!$J$4),100))-基础资料!$AR$5:$AR$34)*((INT(MAX(L$2,_辅助!$J$4)/100)*12+MOD(MAX(L$2,_辅助!$J$4),100))&gt;基础资料!$AR$5:$AR$34))+1)&gt;0))-SUMPRODUCT(基础资料!$AP$5:$AP$34*((基础资料!$AS$5:$AS$34+((INT(L$2/100)*12+MOD(L$2,100))-基础资料!$AS$5:$AS$34)*((INT(L$2/100)*12+MOD(L$2,100))&lt;基础资料!$AS$5:$AS$34))-(基础资料!$AR$5:$AR$34+((INT(MAX(L$2,_辅助!$J$4)/100)*12+MOD(MAX(L$2,_辅助!$J$4),100))-基础资料!$AR$5:$AR$34)*((INT(MAX(L$2,_辅助!$J$4)/100)*12+MOD(MAX(L$2,_辅助!$J$4),100))&gt;基础资料!$AR$5:$AR$34))+1)*(((基础资料!$AS$5:$AS$34+((INT(L$2/100)*12+MOD(L$2,100))-基础资料!$AS$5:$AS$34)*((INT(L$2/100)*12+MOD(L$2,100))&lt;基础资料!$AS$5:$AS$34))-(基础资料!$AR$5:$AR$34+((INT(MAX(L$2,_辅助!$J$4)/100)*12+MOD(MAX(L$2,_辅助!$J$4),100))-基础资料!$AR$5:$AR$34)*((INT(MAX(L$2,_辅助!$J$4)/100)*12+MOD(MAX(L$2,_辅助!$J$4),100))&gt;基础资料!$AR$5:$AR$34))+1)&gt;0)*(基础资料!$AO$5:$AO$34=""))))</f>
        <v>0</v>
      </c>
      <c r="M7">
        <f>IF(M$2&gt;_辅助!$J$2,0,(SUMIFS(应付登记!$G$5:$G$1004,应付登记!$C$5:$C$1004,"机械运输",应付登记!$J$5:$J$1004,"&gt;="&amp;MAX(M$2,_辅助!$J$4),应付登记!$J$5:$J$1004,"&lt;="&amp;M$2)+(-SUMIFS(资金流水!$R$6:$R$2005,资金流水!$X$6:$X$2005,"机械运输费",资金流水!$S$6:$S$2005,"&gt;="&amp;MAX(M$2,_辅助!$J$4),资金流水!$S$6:$S$2005,"&lt;="&amp;M$2))+SUMPRODUCT(基础资料!$AP$5:$AP$34*((基础资料!$AS$5:$AS$34+((INT(M$2/100)*12+MOD(M$2,100))-基础资料!$AS$5:$AS$34)*((INT(M$2/100)*12+MOD(M$2,100))&lt;基础资料!$AS$5:$AS$34))-(基础资料!$AR$5:$AR$34+((INT(MAX(M$2,_辅助!$J$4)/100)*12+MOD(MAX(M$2,_辅助!$J$4),100))-基础资料!$AR$5:$AR$34)*((INT(MAX(M$2,_辅助!$J$4)/100)*12+MOD(MAX(M$2,_辅助!$J$4),100))&gt;基础资料!$AR$5:$AR$34))+1)*(((基础资料!$AS$5:$AS$34+((INT(M$2/100)*12+MOD(M$2,100))-基础资料!$AS$5:$AS$34)*((INT(M$2/100)*12+MOD(M$2,100))&lt;基础资料!$AS$5:$AS$34))-(基础资料!$AR$5:$AR$34+((INT(MAX(M$2,_辅助!$J$4)/100)*12+MOD(MAX(M$2,_辅助!$J$4),100))-基础资料!$AR$5:$AR$34)*((INT(MAX(M$2,_辅助!$J$4)/100)*12+MOD(MAX(M$2,_辅助!$J$4),100))&gt;基础资料!$AR$5:$AR$34))+1)&gt;0))-SUMPRODUCT(基础资料!$AP$5:$AP$34*((基础资料!$AS$5:$AS$34+((INT(M$2/100)*12+MOD(M$2,100))-基础资料!$AS$5:$AS$34)*((INT(M$2/100)*12+MOD(M$2,100))&lt;基础资料!$AS$5:$AS$34))-(基础资料!$AR$5:$AR$34+((INT(MAX(M$2,_辅助!$J$4)/100)*12+MOD(MAX(M$2,_辅助!$J$4),100))-基础资料!$AR$5:$AR$34)*((INT(MAX(M$2,_辅助!$J$4)/100)*12+MOD(MAX(M$2,_辅助!$J$4),100))&gt;基础资料!$AR$5:$AR$34))+1)*(((基础资料!$AS$5:$AS$34+((INT(M$2/100)*12+MOD(M$2,100))-基础资料!$AS$5:$AS$34)*((INT(M$2/100)*12+MOD(M$2,100))&lt;基础资料!$AS$5:$AS$34))-(基础资料!$AR$5:$AR$34+((INT(MAX(M$2,_辅助!$J$4)/100)*12+MOD(MAX(M$2,_辅助!$J$4),100))-基础资料!$AR$5:$AR$34)*((INT(MAX(M$2,_辅助!$J$4)/100)*12+MOD(MAX(M$2,_辅助!$J$4),100))&gt;基础资料!$AR$5:$AR$34))+1)&gt;0)*(基础资料!$AO$5:$AO$34=""))))</f>
        <v>0</v>
      </c>
      <c r="N7">
        <f>IF(N$2&gt;_辅助!$J$2,0,(SUMIFS(应付登记!$G$5:$G$1004,应付登记!$C$5:$C$1004,"机械运输",应付登记!$J$5:$J$1004,"&gt;="&amp;MAX(N$2,_辅助!$J$4),应付登记!$J$5:$J$1004,"&lt;="&amp;N$2)+(-SUMIFS(资金流水!$R$6:$R$2005,资金流水!$X$6:$X$2005,"机械运输费",资金流水!$S$6:$S$2005,"&gt;="&amp;MAX(N$2,_辅助!$J$4),资金流水!$S$6:$S$2005,"&lt;="&amp;N$2))+SUMPRODUCT(基础资料!$AP$5:$AP$34*((基础资料!$AS$5:$AS$34+((INT(N$2/100)*12+MOD(N$2,100))-基础资料!$AS$5:$AS$34)*((INT(N$2/100)*12+MOD(N$2,100))&lt;基础资料!$AS$5:$AS$34))-(基础资料!$AR$5:$AR$34+((INT(MAX(N$2,_辅助!$J$4)/100)*12+MOD(MAX(N$2,_辅助!$J$4),100))-基础资料!$AR$5:$AR$34)*((INT(MAX(N$2,_辅助!$J$4)/100)*12+MOD(MAX(N$2,_辅助!$J$4),100))&gt;基础资料!$AR$5:$AR$34))+1)*(((基础资料!$AS$5:$AS$34+((INT(N$2/100)*12+MOD(N$2,100))-基础资料!$AS$5:$AS$34)*((INT(N$2/100)*12+MOD(N$2,100))&lt;基础资料!$AS$5:$AS$34))-(基础资料!$AR$5:$AR$34+((INT(MAX(N$2,_辅助!$J$4)/100)*12+MOD(MAX(N$2,_辅助!$J$4),100))-基础资料!$AR$5:$AR$34)*((INT(MAX(N$2,_辅助!$J$4)/100)*12+MOD(MAX(N$2,_辅助!$J$4),100))&gt;基础资料!$AR$5:$AR$34))+1)&gt;0))-SUMPRODUCT(基础资料!$AP$5:$AP$34*((基础资料!$AS$5:$AS$34+((INT(N$2/100)*12+MOD(N$2,100))-基础资料!$AS$5:$AS$34)*((INT(N$2/100)*12+MOD(N$2,100))&lt;基础资料!$AS$5:$AS$34))-(基础资料!$AR$5:$AR$34+((INT(MAX(N$2,_辅助!$J$4)/100)*12+MOD(MAX(N$2,_辅助!$J$4),100))-基础资料!$AR$5:$AR$34)*((INT(MAX(N$2,_辅助!$J$4)/100)*12+MOD(MAX(N$2,_辅助!$J$4),100))&gt;基础资料!$AR$5:$AR$34))+1)*(((基础资料!$AS$5:$AS$34+((INT(N$2/100)*12+MOD(N$2,100))-基础资料!$AS$5:$AS$34)*((INT(N$2/100)*12+MOD(N$2,100))&lt;基础资料!$AS$5:$AS$34))-(基础资料!$AR$5:$AR$34+((INT(MAX(N$2,_辅助!$J$4)/100)*12+MOD(MAX(N$2,_辅助!$J$4),100))-基础资料!$AR$5:$AR$34)*((INT(MAX(N$2,_辅助!$J$4)/100)*12+MOD(MAX(N$2,_辅助!$J$4),100))&gt;基础资料!$AR$5:$AR$34))+1)&gt;0)*(基础资料!$AO$5:$AO$34=""))))</f>
        <v>0</v>
      </c>
      <c r="O7">
        <f t="shared" si="0"/>
        <v>10080</v>
      </c>
    </row>
    <row r="8">
      <c r="A8" t="inlineStr">
        <is>
          <t>其他直接费</t>
        </is>
      </c>
      <c r="B8">
        <f>(SUMIFS(应付登记!$G$5:$G$1004,应付登记!$C$5:$C$1004,"其他直接费",应付登记!$J$5:$J$1004,"&gt;="&amp;_辅助!$J$4,应付登记!$J$5:$J$1004,"&lt;="&amp;_辅助!$J$5)+(-SUMIFS(资金流水!$R$6:$R$2005,资金流水!$X$6:$X$2005,"其他直接费",资金流水!$S$6:$S$2005,"&gt;="&amp;_辅助!$J$4,资金流水!$S$6:$S$2005,"&lt;="&amp;_辅助!$J$5))+SUMIFS(代发抵账!$F$5:$F$304,代发抵账!$D$5:$D$304,"甲方扣款",代发抵账!$H$5:$H$304,"&gt;="&amp;_辅助!$J$4,代发抵账!$H$5:$H$304,"&lt;="&amp;_辅助!$J$5))</f>
        <v>0</v>
      </c>
      <c r="C8">
        <f>IF(C$2&gt;_辅助!$J$2,0,(SUMIFS(应付登记!$G$5:$G$1004,应付登记!$C$5:$C$1004,"其他直接费",应付登记!$J$5:$J$1004,"&gt;="&amp;MAX(C$2,_辅助!$J$4),应付登记!$J$5:$J$1004,"&lt;="&amp;C$2)+(-SUMIFS(资金流水!$R$6:$R$2005,资金流水!$X$6:$X$2005,"其他直接费",资金流水!$S$6:$S$2005,"&gt;="&amp;MAX(C$2,_辅助!$J$4),资金流水!$S$6:$S$2005,"&lt;="&amp;C$2))+SUMIFS(代发抵账!$F$5:$F$304,代发抵账!$D$5:$D$304,"甲方扣款",代发抵账!$H$5:$H$304,"&gt;="&amp;MAX(C$2,_辅助!$J$4),代发抵账!$H$5:$H$304,"&lt;="&amp;C$2)))</f>
        <v>0</v>
      </c>
      <c r="D8">
        <f>IF(D$2&gt;_辅助!$J$2,0,(SUMIFS(应付登记!$G$5:$G$1004,应付登记!$C$5:$C$1004,"其他直接费",应付登记!$J$5:$J$1004,"&gt;="&amp;MAX(D$2,_辅助!$J$4),应付登记!$J$5:$J$1004,"&lt;="&amp;D$2)+(-SUMIFS(资金流水!$R$6:$R$2005,资金流水!$X$6:$X$2005,"其他直接费",资金流水!$S$6:$S$2005,"&gt;="&amp;MAX(D$2,_辅助!$J$4),资金流水!$S$6:$S$2005,"&lt;="&amp;D$2))+SUMIFS(代发抵账!$F$5:$F$304,代发抵账!$D$5:$D$304,"甲方扣款",代发抵账!$H$5:$H$304,"&gt;="&amp;MAX(D$2,_辅助!$J$4),代发抵账!$H$5:$H$304,"&lt;="&amp;D$2)))</f>
        <v>0</v>
      </c>
      <c r="E8">
        <f>IF(E$2&gt;_辅助!$J$2,0,(SUMIFS(应付登记!$G$5:$G$1004,应付登记!$C$5:$C$1004,"其他直接费",应付登记!$J$5:$J$1004,"&gt;="&amp;MAX(E$2,_辅助!$J$4),应付登记!$J$5:$J$1004,"&lt;="&amp;E$2)+(-SUMIFS(资金流水!$R$6:$R$2005,资金流水!$X$6:$X$2005,"其他直接费",资金流水!$S$6:$S$2005,"&gt;="&amp;MAX(E$2,_辅助!$J$4),资金流水!$S$6:$S$2005,"&lt;="&amp;E$2))+SUMIFS(代发抵账!$F$5:$F$304,代发抵账!$D$5:$D$304,"甲方扣款",代发抵账!$H$5:$H$304,"&gt;="&amp;MAX(E$2,_辅助!$J$4),代发抵账!$H$5:$H$304,"&lt;="&amp;E$2)))</f>
        <v>0</v>
      </c>
      <c r="F8">
        <f>IF(F$2&gt;_辅助!$J$2,0,(SUMIFS(应付登记!$G$5:$G$1004,应付登记!$C$5:$C$1004,"其他直接费",应付登记!$J$5:$J$1004,"&gt;="&amp;MAX(F$2,_辅助!$J$4),应付登记!$J$5:$J$1004,"&lt;="&amp;F$2)+(-SUMIFS(资金流水!$R$6:$R$2005,资金流水!$X$6:$X$2005,"其他直接费",资金流水!$S$6:$S$2005,"&gt;="&amp;MAX(F$2,_辅助!$J$4),资金流水!$S$6:$S$2005,"&lt;="&amp;F$2))+SUMIFS(代发抵账!$F$5:$F$304,代发抵账!$D$5:$D$304,"甲方扣款",代发抵账!$H$5:$H$304,"&gt;="&amp;MAX(F$2,_辅助!$J$4),代发抵账!$H$5:$H$304,"&lt;="&amp;F$2)))</f>
        <v>0</v>
      </c>
      <c r="G8">
        <f>IF(G$2&gt;_辅助!$J$2,0,(SUMIFS(应付登记!$G$5:$G$1004,应付登记!$C$5:$C$1004,"其他直接费",应付登记!$J$5:$J$1004,"&gt;="&amp;MAX(G$2,_辅助!$J$4),应付登记!$J$5:$J$1004,"&lt;="&amp;G$2)+(-SUMIFS(资金流水!$R$6:$R$2005,资金流水!$X$6:$X$2005,"其他直接费",资金流水!$S$6:$S$2005,"&gt;="&amp;MAX(G$2,_辅助!$J$4),资金流水!$S$6:$S$2005,"&lt;="&amp;G$2))+SUMIFS(代发抵账!$F$5:$F$304,代发抵账!$D$5:$D$304,"甲方扣款",代发抵账!$H$5:$H$304,"&gt;="&amp;MAX(G$2,_辅助!$J$4),代发抵账!$H$5:$H$304,"&lt;="&amp;G$2)))</f>
        <v>4077</v>
      </c>
      <c r="H8">
        <f>IF(H$2&gt;_辅助!$J$2,0,(SUMIFS(应付登记!$G$5:$G$1004,应付登记!$C$5:$C$1004,"其他直接费",应付登记!$J$5:$J$1004,"&gt;="&amp;MAX(H$2,_辅助!$J$4),应付登记!$J$5:$J$1004,"&lt;="&amp;H$2)+(-SUMIFS(资金流水!$R$6:$R$2005,资金流水!$X$6:$X$2005,"其他直接费",资金流水!$S$6:$S$2005,"&gt;="&amp;MAX(H$2,_辅助!$J$4),资金流水!$S$6:$S$2005,"&lt;="&amp;H$2))+SUMIFS(代发抵账!$F$5:$F$304,代发抵账!$D$5:$D$304,"甲方扣款",代发抵账!$H$5:$H$304,"&gt;="&amp;MAX(H$2,_辅助!$J$4),代发抵账!$H$5:$H$304,"&lt;="&amp;H$2)))</f>
        <v>5000</v>
      </c>
      <c r="I8">
        <f>IF(I$2&gt;_辅助!$J$2,0,(SUMIFS(应付登记!$G$5:$G$1004,应付登记!$C$5:$C$1004,"其他直接费",应付登记!$J$5:$J$1004,"&gt;="&amp;MAX(I$2,_辅助!$J$4),应付登记!$J$5:$J$1004,"&lt;="&amp;I$2)+(-SUMIFS(资金流水!$R$6:$R$2005,资金流水!$X$6:$X$2005,"其他直接费",资金流水!$S$6:$S$2005,"&gt;="&amp;MAX(I$2,_辅助!$J$4),资金流水!$S$6:$S$2005,"&lt;="&amp;I$2))+SUMIFS(代发抵账!$F$5:$F$304,代发抵账!$D$5:$D$304,"甲方扣款",代发抵账!$H$5:$H$304,"&gt;="&amp;MAX(I$2,_辅助!$J$4),代发抵账!$H$5:$H$304,"&lt;="&amp;I$2)))</f>
        <v>8000</v>
      </c>
      <c r="J8">
        <f>IF(J$2&gt;_辅助!$J$2,0,(SUMIFS(应付登记!$G$5:$G$1004,应付登记!$C$5:$C$1004,"其他直接费",应付登记!$J$5:$J$1004,"&gt;="&amp;MAX(J$2,_辅助!$J$4),应付登记!$J$5:$J$1004,"&lt;="&amp;J$2)+(-SUMIFS(资金流水!$R$6:$R$2005,资金流水!$X$6:$X$2005,"其他直接费",资金流水!$S$6:$S$2005,"&gt;="&amp;MAX(J$2,_辅助!$J$4),资金流水!$S$6:$S$2005,"&lt;="&amp;J$2))+SUMIFS(代发抵账!$F$5:$F$304,代发抵账!$D$5:$D$304,"甲方扣款",代发抵账!$H$5:$H$304,"&gt;="&amp;MAX(J$2,_辅助!$J$4),代发抵账!$H$5:$H$304,"&lt;="&amp;J$2)))</f>
        <v>1470</v>
      </c>
      <c r="K8">
        <f>IF(K$2&gt;_辅助!$J$2,0,(SUMIFS(应付登记!$G$5:$G$1004,应付登记!$C$5:$C$1004,"其他直接费",应付登记!$J$5:$J$1004,"&gt;="&amp;MAX(K$2,_辅助!$J$4),应付登记!$J$5:$J$1004,"&lt;="&amp;K$2)+(-SUMIFS(资金流水!$R$6:$R$2005,资金流水!$X$6:$X$2005,"其他直接费",资金流水!$S$6:$S$2005,"&gt;="&amp;MAX(K$2,_辅助!$J$4),资金流水!$S$6:$S$2005,"&lt;="&amp;K$2))+SUMIFS(代发抵账!$F$5:$F$304,代发抵账!$D$5:$D$304,"甲方扣款",代发抵账!$H$5:$H$304,"&gt;="&amp;MAX(K$2,_辅助!$J$4),代发抵账!$H$5:$H$304,"&lt;="&amp;K$2)))</f>
        <v>0</v>
      </c>
      <c r="L8">
        <f>IF(L$2&gt;_辅助!$J$2,0,(SUMIFS(应付登记!$G$5:$G$1004,应付登记!$C$5:$C$1004,"其他直接费",应付登记!$J$5:$J$1004,"&gt;="&amp;MAX(L$2,_辅助!$J$4),应付登记!$J$5:$J$1004,"&lt;="&amp;L$2)+(-SUMIFS(资金流水!$R$6:$R$2005,资金流水!$X$6:$X$2005,"其他直接费",资金流水!$S$6:$S$2005,"&gt;="&amp;MAX(L$2,_辅助!$J$4),资金流水!$S$6:$S$2005,"&lt;="&amp;L$2))+SUMIFS(代发抵账!$F$5:$F$304,代发抵账!$D$5:$D$304,"甲方扣款",代发抵账!$H$5:$H$304,"&gt;="&amp;MAX(L$2,_辅助!$J$4),代发抵账!$H$5:$H$304,"&lt;="&amp;L$2)))</f>
        <v>0</v>
      </c>
      <c r="M8">
        <f>IF(M$2&gt;_辅助!$J$2,0,(SUMIFS(应付登记!$G$5:$G$1004,应付登记!$C$5:$C$1004,"其他直接费",应付登记!$J$5:$J$1004,"&gt;="&amp;MAX(M$2,_辅助!$J$4),应付登记!$J$5:$J$1004,"&lt;="&amp;M$2)+(-SUMIFS(资金流水!$R$6:$R$2005,资金流水!$X$6:$X$2005,"其他直接费",资金流水!$S$6:$S$2005,"&gt;="&amp;MAX(M$2,_辅助!$J$4),资金流水!$S$6:$S$2005,"&lt;="&amp;M$2))+SUMIFS(代发抵账!$F$5:$F$304,代发抵账!$D$5:$D$304,"甲方扣款",代发抵账!$H$5:$H$304,"&gt;="&amp;MAX(M$2,_辅助!$J$4),代发抵账!$H$5:$H$304,"&lt;="&amp;M$2)))</f>
        <v>0</v>
      </c>
      <c r="N8">
        <f>IF(N$2&gt;_辅助!$J$2,0,(SUMIFS(应付登记!$G$5:$G$1004,应付登记!$C$5:$C$1004,"其他直接费",应付登记!$J$5:$J$1004,"&gt;="&amp;MAX(N$2,_辅助!$J$4),应付登记!$J$5:$J$1004,"&lt;="&amp;N$2)+(-SUMIFS(资金流水!$R$6:$R$2005,资金流水!$X$6:$X$2005,"其他直接费",资金流水!$S$6:$S$2005,"&gt;="&amp;MAX(N$2,_辅助!$J$4),资金流水!$S$6:$S$2005,"&lt;="&amp;N$2))+SUMIFS(代发抵账!$F$5:$F$304,代发抵账!$D$5:$D$304,"甲方扣款",代发抵账!$H$5:$H$304,"&gt;="&amp;MAX(N$2,_辅助!$J$4),代发抵账!$H$5:$H$304,"&lt;="&amp;N$2)))</f>
        <v>0</v>
      </c>
      <c r="O8">
        <f t="shared" si="0"/>
        <v>18547</v>
      </c>
    </row>
    <row r="9">
      <c r="A9" t="inlineStr">
        <is>
          <t>税金估算</t>
        </is>
      </c>
      <c r="B9">
        <f>((SUMIFS(收入确认!$J$5:$J$204,收入确认!$H$5:$H$204,"&gt;="&amp;_辅助!$J$4,收入确认!$H$5:$H$204,"&lt;="&amp;_辅助!$J$5)-SUMIFS(发票登记!$AA$5:$AA$1004,发票登记!$U$5:$U$1004,"进项",发票登记!$Z$5:$Z$1004,1,发票登记!$Y$5:$Y$1004,"&gt;="&amp;_辅助!$J$4,发票登记!$Y$5:$Y$1004,"&lt;="&amp;_辅助!$J$5))*(1+基础资料!$AF$6)+SUMIFS(收入确认!$E$5:$E$204,收入确认!$H$5:$H$204,"&gt;="&amp;_辅助!$J$4,收入确认!$H$5:$H$204,"&lt;="&amp;_辅助!$J$5)*基础资料!$AF$7)</f>
        <v>0</v>
      </c>
      <c r="C9">
        <f>IF(C$2&gt;_辅助!$J$2,0,((SUMIFS(收入确认!$J$5:$J$204,收入确认!$H$5:$H$204,"&gt;="&amp;MAX(C$2,_辅助!$J$4),收入确认!$H$5:$H$204,"&lt;="&amp;C$2)-SUMIFS(发票登记!$AA$5:$AA$1004,发票登记!$U$5:$U$1004,"进项",发票登记!$Z$5:$Z$1004,1,发票登记!$Y$5:$Y$1004,"&gt;="&amp;MAX(C$2,_辅助!$J$4),发票登记!$Y$5:$Y$1004,"&lt;="&amp;C$2))*(1+基础资料!$AF$6)+SUMIFS(收入确认!$E$5:$E$204,收入确认!$H$5:$H$204,"&gt;="&amp;MAX(C$2,_辅助!$J$4),收入确认!$H$5:$H$204,"&lt;="&amp;C$2)*基础资料!$AF$7))</f>
        <v>0</v>
      </c>
      <c r="D9">
        <f>IF(D$2&gt;_辅助!$J$2,0,((SUMIFS(收入确认!$J$5:$J$204,收入确认!$H$5:$H$204,"&gt;="&amp;MAX(D$2,_辅助!$J$4),收入确认!$H$5:$H$204,"&lt;="&amp;D$2)-SUMIFS(发票登记!$AA$5:$AA$1004,发票登记!$U$5:$U$1004,"进项",发票登记!$Z$5:$Z$1004,1,发票登记!$Y$5:$Y$1004,"&gt;="&amp;MAX(D$2,_辅助!$J$4),发票登记!$Y$5:$Y$1004,"&lt;="&amp;D$2))*(1+基础资料!$AF$6)+SUMIFS(收入确认!$E$5:$E$204,收入确认!$H$5:$H$204,"&gt;="&amp;MAX(D$2,_辅助!$J$4),收入确认!$H$5:$H$204,"&lt;="&amp;D$2)*基础资料!$AF$7))</f>
        <v>0</v>
      </c>
      <c r="E9">
        <f>IF(E$2&gt;_辅助!$J$2,0,((SUMIFS(收入确认!$J$5:$J$204,收入确认!$H$5:$H$204,"&gt;="&amp;MAX(E$2,_辅助!$J$4),收入确认!$H$5:$H$204,"&lt;="&amp;E$2)-SUMIFS(发票登记!$AA$5:$AA$1004,发票登记!$U$5:$U$1004,"进项",发票登记!$Z$5:$Z$1004,1,发票登记!$Y$5:$Y$1004,"&gt;="&amp;MAX(E$2,_辅助!$J$4),发票登记!$Y$5:$Y$1004,"&lt;="&amp;E$2))*(1+基础资料!$AF$6)+SUMIFS(收入确认!$E$5:$E$204,收入确认!$H$5:$H$204,"&gt;="&amp;MAX(E$2,_辅助!$J$4),收入确认!$H$5:$H$204,"&lt;="&amp;E$2)*基础资料!$AF$7))</f>
        <v>0</v>
      </c>
      <c r="F9">
        <f>IF(F$2&gt;_辅助!$J$2,0,((SUMIFS(收入确认!$J$5:$J$204,收入确认!$H$5:$H$204,"&gt;="&amp;MAX(F$2,_辅助!$J$4),收入确认!$H$5:$H$204,"&lt;="&amp;F$2)-SUMIFS(发票登记!$AA$5:$AA$1004,发票登记!$U$5:$U$1004,"进项",发票登记!$Z$5:$Z$1004,1,发票登记!$Y$5:$Y$1004,"&gt;="&amp;MAX(F$2,_辅助!$J$4),发票登记!$Y$5:$Y$1004,"&lt;="&amp;F$2))*(1+基础资料!$AF$6)+SUMIFS(收入确认!$E$5:$E$204,收入确认!$H$5:$H$204,"&gt;="&amp;MAX(F$2,_辅助!$J$4),收入确认!$H$5:$H$204,"&lt;="&amp;F$2)*基础资料!$AF$7))</f>
        <v>0</v>
      </c>
      <c r="G9">
        <f>IF(G$2&gt;_辅助!$J$2,0,((SUMIFS(收入确认!$J$5:$J$204,收入确认!$H$5:$H$204,"&gt;="&amp;MAX(G$2,_辅助!$J$4),收入确认!$H$5:$H$204,"&lt;="&amp;G$2)-SUMIFS(发票登记!$AA$5:$AA$1004,发票登记!$U$5:$U$1004,"进项",发票登记!$Z$5:$Z$1004,1,发票登记!$Y$5:$Y$1004,"&gt;="&amp;MAX(G$2,_辅助!$J$4),发票登记!$Y$5:$Y$1004,"&lt;="&amp;G$2))*(1+基础资料!$AF$6)+SUMIFS(收入确认!$E$5:$E$204,收入确认!$H$5:$H$204,"&gt;="&amp;MAX(G$2,_辅助!$J$4),收入确认!$H$5:$H$204,"&lt;="&amp;G$2)*基础资料!$AF$7))</f>
        <v>0</v>
      </c>
      <c r="H9">
        <f>IF(H$2&gt;_辅助!$J$2,0,((SUMIFS(收入确认!$J$5:$J$204,收入确认!$H$5:$H$204,"&gt;="&amp;MAX(H$2,_辅助!$J$4),收入确认!$H$5:$H$204,"&lt;="&amp;H$2)-SUMIFS(发票登记!$AA$5:$AA$1004,发票登记!$U$5:$U$1004,"进项",发票登记!$Z$5:$Z$1004,1,发票登记!$Y$5:$Y$1004,"&gt;="&amp;MAX(H$2,_辅助!$J$4),发票登记!$Y$5:$Y$1004,"&lt;="&amp;H$2))*(1+基础资料!$AF$6)+SUMIFS(收入确认!$E$5:$E$204,收入确认!$H$5:$H$204,"&gt;="&amp;MAX(H$2,_辅助!$J$4),收入确认!$H$5:$H$204,"&lt;="&amp;H$2)*基础资料!$AF$7))</f>
        <v>-70.4704</v>
      </c>
      <c r="I9">
        <f>IF(I$2&gt;_辅助!$J$2,0,((SUMIFS(收入确认!$J$5:$J$204,收入确认!$H$5:$H$204,"&gt;="&amp;MAX(I$2,_辅助!$J$4),收入确认!$H$5:$H$204,"&lt;="&amp;I$2)-SUMIFS(发票登记!$AA$5:$AA$1004,发票登记!$U$5:$U$1004,"进项",发票登记!$Z$5:$Z$1004,1,发票登记!$Y$5:$Y$1004,"&gt;="&amp;MAX(I$2,_辅助!$J$4),发票登记!$Y$5:$Y$1004,"&lt;="&amp;I$2))*(1+基础资料!$AF$6)+SUMIFS(收入确认!$E$5:$E$204,收入确认!$H$5:$H$204,"&gt;="&amp;MAX(I$2,_辅助!$J$4),收入确认!$H$5:$H$204,"&lt;="&amp;I$2)*基础资料!$AF$7))</f>
        <v>834.2528</v>
      </c>
      <c r="J9">
        <f>IF(J$2&gt;_辅助!$J$2,0,((SUMIFS(收入确认!$J$5:$J$204,收入确认!$H$5:$H$204,"&gt;="&amp;MAX(J$2,_辅助!$J$4),收入确认!$H$5:$H$204,"&lt;="&amp;J$2)-SUMIFS(发票登记!$AA$5:$AA$1004,发票登记!$U$5:$U$1004,"进项",发票登记!$Z$5:$Z$1004,1,发票登记!$Y$5:$Y$1004,"&gt;="&amp;MAX(J$2,_辅助!$J$4),发票登记!$Y$5:$Y$1004,"&lt;="&amp;J$2))*(1+基础资料!$AF$6)+SUMIFS(收入确认!$E$5:$E$204,收入确认!$H$5:$H$204,"&gt;="&amp;MAX(J$2,_辅助!$J$4),收入确认!$H$5:$H$204,"&lt;="&amp;J$2)*基础资料!$AF$7))</f>
        <v>0</v>
      </c>
      <c r="K9">
        <f>IF(K$2&gt;_辅助!$J$2,0,((SUMIFS(收入确认!$J$5:$J$204,收入确认!$H$5:$H$204,"&gt;="&amp;MAX(K$2,_辅助!$J$4),收入确认!$H$5:$H$204,"&lt;="&amp;K$2)-SUMIFS(发票登记!$AA$5:$AA$1004,发票登记!$U$5:$U$1004,"进项",发票登记!$Z$5:$Z$1004,1,发票登记!$Y$5:$Y$1004,"&gt;="&amp;MAX(K$2,_辅助!$J$4),发票登记!$Y$5:$Y$1004,"&lt;="&amp;K$2))*(1+基础资料!$AF$6)+SUMIFS(收入确认!$E$5:$E$204,收入确认!$H$5:$H$204,"&gt;="&amp;MAX(K$2,_辅助!$J$4),收入确认!$H$5:$H$204,"&lt;="&amp;K$2)*基础资料!$AF$7))</f>
        <v>0</v>
      </c>
      <c r="L9">
        <f>IF(L$2&gt;_辅助!$J$2,0,((SUMIFS(收入确认!$J$5:$J$204,收入确认!$H$5:$H$204,"&gt;="&amp;MAX(L$2,_辅助!$J$4),收入确认!$H$5:$H$204,"&lt;="&amp;L$2)-SUMIFS(发票登记!$AA$5:$AA$1004,发票登记!$U$5:$U$1004,"进项",发票登记!$Z$5:$Z$1004,1,发票登记!$Y$5:$Y$1004,"&gt;="&amp;MAX(L$2,_辅助!$J$4),发票登记!$Y$5:$Y$1004,"&lt;="&amp;L$2))*(1+基础资料!$AF$6)+SUMIFS(收入确认!$E$5:$E$204,收入确认!$H$5:$H$204,"&gt;="&amp;MAX(L$2,_辅助!$J$4),收入确认!$H$5:$H$204,"&lt;="&amp;L$2)*基础资料!$AF$7))</f>
        <v>0</v>
      </c>
      <c r="M9">
        <f>IF(M$2&gt;_辅助!$J$2,0,((SUMIFS(收入确认!$J$5:$J$204,收入确认!$H$5:$H$204,"&gt;="&amp;MAX(M$2,_辅助!$J$4),收入确认!$H$5:$H$204,"&lt;="&amp;M$2)-SUMIFS(发票登记!$AA$5:$AA$1004,发票登记!$U$5:$U$1004,"进项",发票登记!$Z$5:$Z$1004,1,发票登记!$Y$5:$Y$1004,"&gt;="&amp;MAX(M$2,_辅助!$J$4),发票登记!$Y$5:$Y$1004,"&lt;="&amp;M$2))*(1+基础资料!$AF$6)+SUMIFS(收入确认!$E$5:$E$204,收入确认!$H$5:$H$204,"&gt;="&amp;MAX(M$2,_辅助!$J$4),收入确认!$H$5:$H$204,"&lt;="&amp;M$2)*基础资料!$AF$7))</f>
        <v>0</v>
      </c>
      <c r="N9">
        <f>IF(N$2&gt;_辅助!$J$2,0,((SUMIFS(收入确认!$J$5:$J$204,收入确认!$H$5:$H$204,"&gt;="&amp;MAX(N$2,_辅助!$J$4),收入确认!$H$5:$H$204,"&lt;="&amp;N$2)-SUMIFS(发票登记!$AA$5:$AA$1004,发票登记!$U$5:$U$1004,"进项",发票登记!$Z$5:$Z$1004,1,发票登记!$Y$5:$Y$1004,"&gt;="&amp;MAX(N$2,_辅助!$J$4),发票登记!$Y$5:$Y$1004,"&lt;="&amp;N$2))*(1+基础资料!$AF$6)+SUMIFS(收入确认!$E$5:$E$204,收入确认!$H$5:$H$204,"&gt;="&amp;MAX(N$2,_辅助!$J$4),收入确认!$H$5:$H$204,"&lt;="&amp;N$2)*基础资料!$AF$7))</f>
        <v>0</v>
      </c>
      <c r="O9">
        <f t="shared" si="0"/>
        <v>763.7824</v>
      </c>
    </row>
    <row r="10">
      <c r="A10" t="inlineStr">
        <is>
          <t>票据贴息</t>
        </is>
      </c>
      <c r="B10">
        <f>(-SUMIFS(资金流水!$R$6:$R$2005,资金流水!$X$6:$X$2005,"票据贴息",资金流水!$S$6:$S$2005,"&gt;="&amp;_辅助!$J$4,资金流水!$S$6:$S$2005,"&lt;="&amp;_辅助!$J$5))</f>
        <v>0</v>
      </c>
      <c r="C10">
        <f>IF(C$2&gt;_辅助!$J$2,0,(-SUMIFS(资金流水!$R$6:$R$2005,资金流水!$X$6:$X$2005,"票据贴息",资金流水!$S$6:$S$2005,"&gt;="&amp;MAX(C$2,_辅助!$J$4),资金流水!$S$6:$S$2005,"&lt;="&amp;C$2)))</f>
        <v>0</v>
      </c>
      <c r="D10">
        <f>IF(D$2&gt;_辅助!$J$2,0,(-SUMIFS(资金流水!$R$6:$R$2005,资金流水!$X$6:$X$2005,"票据贴息",资金流水!$S$6:$S$2005,"&gt;="&amp;MAX(D$2,_辅助!$J$4),资金流水!$S$6:$S$2005,"&lt;="&amp;D$2)))</f>
        <v>0</v>
      </c>
      <c r="E10">
        <f>IF(E$2&gt;_辅助!$J$2,0,(-SUMIFS(资金流水!$R$6:$R$2005,资金流水!$X$6:$X$2005,"票据贴息",资金流水!$S$6:$S$2005,"&gt;="&amp;MAX(E$2,_辅助!$J$4),资金流水!$S$6:$S$2005,"&lt;="&amp;E$2)))</f>
        <v>0</v>
      </c>
      <c r="F10">
        <f>IF(F$2&gt;_辅助!$J$2,0,(-SUMIFS(资金流水!$R$6:$R$2005,资金流水!$X$6:$X$2005,"票据贴息",资金流水!$S$6:$S$2005,"&gt;="&amp;MAX(F$2,_辅助!$J$4),资金流水!$S$6:$S$2005,"&lt;="&amp;F$2)))</f>
        <v>0</v>
      </c>
      <c r="G10">
        <f>IF(G$2&gt;_辅助!$J$2,0,(-SUMIFS(资金流水!$R$6:$R$2005,资金流水!$X$6:$X$2005,"票据贴息",资金流水!$S$6:$S$2005,"&gt;="&amp;MAX(G$2,_辅助!$J$4),资金流水!$S$6:$S$2005,"&lt;="&amp;G$2)))</f>
        <v>0</v>
      </c>
      <c r="H10">
        <f>IF(H$2&gt;_辅助!$J$2,0,(-SUMIFS(资金流水!$R$6:$R$2005,资金流水!$X$6:$X$2005,"票据贴息",资金流水!$S$6:$S$2005,"&gt;="&amp;MAX(H$2,_辅助!$J$4),资金流水!$S$6:$S$2005,"&lt;="&amp;H$2)))</f>
        <v>1589.12</v>
      </c>
      <c r="I10">
        <f>IF(I$2&gt;_辅助!$J$2,0,(-SUMIFS(资金流水!$R$6:$R$2005,资金流水!$X$6:$X$2005,"票据贴息",资金流水!$S$6:$S$2005,"&gt;="&amp;MAX(I$2,_辅助!$J$4),资金流水!$S$6:$S$2005,"&lt;="&amp;I$2)))</f>
        <v>0</v>
      </c>
      <c r="J10">
        <f>IF(J$2&gt;_辅助!$J$2,0,(-SUMIFS(资金流水!$R$6:$R$2005,资金流水!$X$6:$X$2005,"票据贴息",资金流水!$S$6:$S$2005,"&gt;="&amp;MAX(J$2,_辅助!$J$4),资金流水!$S$6:$S$2005,"&lt;="&amp;J$2)))</f>
        <v>0</v>
      </c>
      <c r="K10">
        <f>IF(K$2&gt;_辅助!$J$2,0,(-SUMIFS(资金流水!$R$6:$R$2005,资金流水!$X$6:$X$2005,"票据贴息",资金流水!$S$6:$S$2005,"&gt;="&amp;MAX(K$2,_辅助!$J$4),资金流水!$S$6:$S$2005,"&lt;="&amp;K$2)))</f>
        <v>0</v>
      </c>
      <c r="L10">
        <f>IF(L$2&gt;_辅助!$J$2,0,(-SUMIFS(资金流水!$R$6:$R$2005,资金流水!$X$6:$X$2005,"票据贴息",资金流水!$S$6:$S$2005,"&gt;="&amp;MAX(L$2,_辅助!$J$4),资金流水!$S$6:$S$2005,"&lt;="&amp;L$2)))</f>
        <v>0</v>
      </c>
      <c r="M10">
        <f>IF(M$2&gt;_辅助!$J$2,0,(-SUMIFS(资金流水!$R$6:$R$2005,资金流水!$X$6:$X$2005,"票据贴息",资金流水!$S$6:$S$2005,"&gt;="&amp;MAX(M$2,_辅助!$J$4),资金流水!$S$6:$S$2005,"&lt;="&amp;M$2)))</f>
        <v>0</v>
      </c>
      <c r="N10">
        <f>IF(N$2&gt;_辅助!$J$2,0,(-SUMIFS(资金流水!$R$6:$R$2005,资金流水!$X$6:$X$2005,"票据贴息",资金流水!$S$6:$S$2005,"&gt;="&amp;MAX(N$2,_辅助!$J$4),资金流水!$S$6:$S$2005,"&lt;="&amp;N$2)))</f>
        <v>0</v>
      </c>
      <c r="O10">
        <f t="shared" si="0"/>
        <v>1589.12</v>
      </c>
    </row>
    <row r="11">
      <c r="A11" t="inlineStr">
        <is>
          <t>管理人员工资</t>
        </is>
      </c>
      <c r="B11">
        <f>(SUMIFS(考勤工资!$AG$5:$AG$1004,考勤工资!$Y$5:$Y$1004,"&gt;="&amp;_辅助!$J$4,考勤工资!$Y$5:$Y$1004,"&lt;="&amp;_辅助!$J$5)+(-SUMIFS(资金流水!$R$6:$R$2005,资金流水!$X$6:$X$2005,"管理人员工资",资金流水!$S$6:$S$2005,"&gt;="&amp;_辅助!$J$4,资金流水!$S$6:$S$2005,"&lt;="&amp;_辅助!$J$5)))</f>
        <v>0</v>
      </c>
      <c r="C11">
        <f>IF(C$2&gt;_辅助!$J$2,0,(SUMIFS(考勤工资!$AG$5:$AG$1004,考勤工资!$Y$5:$Y$1004,"&gt;="&amp;MAX(C$2,_辅助!$J$4),考勤工资!$Y$5:$Y$1004,"&lt;="&amp;C$2)+(-SUMIFS(资金流水!$R$6:$R$2005,资金流水!$X$6:$X$2005,"管理人员工资",资金流水!$S$6:$S$2005,"&gt;="&amp;MAX(C$2,_辅助!$J$4),资金流水!$S$6:$S$2005,"&lt;="&amp;C$2))))</f>
        <v>0</v>
      </c>
      <c r="D11">
        <f>IF(D$2&gt;_辅助!$J$2,0,(SUMIFS(考勤工资!$AG$5:$AG$1004,考勤工资!$Y$5:$Y$1004,"&gt;="&amp;MAX(D$2,_辅助!$J$4),考勤工资!$Y$5:$Y$1004,"&lt;="&amp;D$2)+(-SUMIFS(资金流水!$R$6:$R$2005,资金流水!$X$6:$X$2005,"管理人员工资",资金流水!$S$6:$S$2005,"&gt;="&amp;MAX(D$2,_辅助!$J$4),资金流水!$S$6:$S$2005,"&lt;="&amp;D$2))))</f>
        <v>0</v>
      </c>
      <c r="E11">
        <f>IF(E$2&gt;_辅助!$J$2,0,(SUMIFS(考勤工资!$AG$5:$AG$1004,考勤工资!$Y$5:$Y$1004,"&gt;="&amp;MAX(E$2,_辅助!$J$4),考勤工资!$Y$5:$Y$1004,"&lt;="&amp;E$2)+(-SUMIFS(资金流水!$R$6:$R$2005,资金流水!$X$6:$X$2005,"管理人员工资",资金流水!$S$6:$S$2005,"&gt;="&amp;MAX(E$2,_辅助!$J$4),资金流水!$S$6:$S$2005,"&lt;="&amp;E$2))))</f>
        <v>0</v>
      </c>
      <c r="F11">
        <f>IF(F$2&gt;_辅助!$J$2,0,(SUMIFS(考勤工资!$AG$5:$AG$1004,考勤工资!$Y$5:$Y$1004,"&gt;="&amp;MAX(F$2,_辅助!$J$4),考勤工资!$Y$5:$Y$1004,"&lt;="&amp;F$2)+(-SUMIFS(资金流水!$R$6:$R$2005,资金流水!$X$6:$X$2005,"管理人员工资",资金流水!$S$6:$S$2005,"&gt;="&amp;MAX(F$2,_辅助!$J$4),资金流水!$S$6:$S$2005,"&lt;="&amp;F$2))))</f>
        <v>37500</v>
      </c>
      <c r="G11">
        <f>IF(G$2&gt;_辅助!$J$2,0,(SUMIFS(考勤工资!$AG$5:$AG$1004,考勤工资!$Y$5:$Y$1004,"&gt;="&amp;MAX(G$2,_辅助!$J$4),考勤工资!$Y$5:$Y$1004,"&lt;="&amp;G$2)+(-SUMIFS(资金流水!$R$6:$R$2005,资金流水!$X$6:$X$2005,"管理人员工资",资金流水!$S$6:$S$2005,"&gt;="&amp;MAX(G$2,_辅助!$J$4),资金流水!$S$6:$S$2005,"&lt;="&amp;G$2))))</f>
        <v>0</v>
      </c>
      <c r="H11">
        <f>IF(H$2&gt;_辅助!$J$2,0,(SUMIFS(考勤工资!$AG$5:$AG$1004,考勤工资!$Y$5:$Y$1004,"&gt;="&amp;MAX(H$2,_辅助!$J$4),考勤工资!$Y$5:$Y$1004,"&lt;="&amp;H$2)+(-SUMIFS(资金流水!$R$6:$R$2005,资金流水!$X$6:$X$2005,"管理人员工资",资金流水!$S$6:$S$2005,"&gt;="&amp;MAX(H$2,_辅助!$J$4),资金流水!$S$6:$S$2005,"&lt;="&amp;H$2))))</f>
        <v>0</v>
      </c>
      <c r="I11">
        <f>IF(I$2&gt;_辅助!$J$2,0,(SUMIFS(考勤工资!$AG$5:$AG$1004,考勤工资!$Y$5:$Y$1004,"&gt;="&amp;MAX(I$2,_辅助!$J$4),考勤工资!$Y$5:$Y$1004,"&lt;="&amp;I$2)+(-SUMIFS(资金流水!$R$6:$R$2005,资金流水!$X$6:$X$2005,"管理人员工资",资金流水!$S$6:$S$2005,"&gt;="&amp;MAX(I$2,_辅助!$J$4),资金流水!$S$6:$S$2005,"&lt;="&amp;I$2))))</f>
        <v>0</v>
      </c>
      <c r="J11">
        <f>IF(J$2&gt;_辅助!$J$2,0,(SUMIFS(考勤工资!$AG$5:$AG$1004,考勤工资!$Y$5:$Y$1004,"&gt;="&amp;MAX(J$2,_辅助!$J$4),考勤工资!$Y$5:$Y$1004,"&lt;="&amp;J$2)+(-SUMIFS(资金流水!$R$6:$R$2005,资金流水!$X$6:$X$2005,"管理人员工资",资金流水!$S$6:$S$2005,"&gt;="&amp;MAX(J$2,_辅助!$J$4),资金流水!$S$6:$S$2005,"&lt;="&amp;J$2))))</f>
        <v>0</v>
      </c>
      <c r="K11">
        <f>IF(K$2&gt;_辅助!$J$2,0,(SUMIFS(考勤工资!$AG$5:$AG$1004,考勤工资!$Y$5:$Y$1004,"&gt;="&amp;MAX(K$2,_辅助!$J$4),考勤工资!$Y$5:$Y$1004,"&lt;="&amp;K$2)+(-SUMIFS(资金流水!$R$6:$R$2005,资金流水!$X$6:$X$2005,"管理人员工资",资金流水!$S$6:$S$2005,"&gt;="&amp;MAX(K$2,_辅助!$J$4),资金流水!$S$6:$S$2005,"&lt;="&amp;K$2))))</f>
        <v>0</v>
      </c>
      <c r="L11">
        <f>IF(L$2&gt;_辅助!$J$2,0,(SUMIFS(考勤工资!$AG$5:$AG$1004,考勤工资!$Y$5:$Y$1004,"&gt;="&amp;MAX(L$2,_辅助!$J$4),考勤工资!$Y$5:$Y$1004,"&lt;="&amp;L$2)+(-SUMIFS(资金流水!$R$6:$R$2005,资金流水!$X$6:$X$2005,"管理人员工资",资金流水!$S$6:$S$2005,"&gt;="&amp;MAX(L$2,_辅助!$J$4),资金流水!$S$6:$S$2005,"&lt;="&amp;L$2))))</f>
        <v>0</v>
      </c>
      <c r="M11">
        <f>IF(M$2&gt;_辅助!$J$2,0,(SUMIFS(考勤工资!$AG$5:$AG$1004,考勤工资!$Y$5:$Y$1004,"&gt;="&amp;MAX(M$2,_辅助!$J$4),考勤工资!$Y$5:$Y$1004,"&lt;="&amp;M$2)+(-SUMIFS(资金流水!$R$6:$R$2005,资金流水!$X$6:$X$2005,"管理人员工资",资金流水!$S$6:$S$2005,"&gt;="&amp;MAX(M$2,_辅助!$J$4),资金流水!$S$6:$S$2005,"&lt;="&amp;M$2))))</f>
        <v>0</v>
      </c>
      <c r="N11">
        <f>IF(N$2&gt;_辅助!$J$2,0,(SUMIFS(考勤工资!$AG$5:$AG$1004,考勤工资!$Y$5:$Y$1004,"&gt;="&amp;MAX(N$2,_辅助!$J$4),考勤工资!$Y$5:$Y$1004,"&lt;="&amp;N$2)+(-SUMIFS(资金流水!$R$6:$R$2005,资金流水!$X$6:$X$2005,"管理人员工资",资金流水!$S$6:$S$2005,"&gt;="&amp;MAX(N$2,_辅助!$J$4),资金流水!$S$6:$S$2005,"&lt;="&amp;N$2))))</f>
        <v>0</v>
      </c>
      <c r="O11">
        <f t="shared" si="0"/>
        <v>37500</v>
      </c>
    </row>
    <row r="12">
      <c r="A12" t="inlineStr">
        <is>
          <t>社保费</t>
        </is>
      </c>
      <c r="B12">
        <f>((-SUMIFS(资金流水!$R$6:$R$2005,资金流水!$X$6:$X$2005,"社保费",资金流水!$S$6:$S$2005,"&gt;="&amp;_辅助!$J$4,资金流水!$S$6:$S$2005,"&lt;="&amp;_辅助!$J$5))-SUMIFS(考勤工资!$P$5:$P$1004,考勤工资!$Y$5:$Y$1004,"&gt;="&amp;_辅助!$J$4,考勤工资!$Y$5:$Y$1004,"&lt;="&amp;_辅助!$J$5))</f>
        <v>0</v>
      </c>
      <c r="C12">
        <f>IF(C$2&gt;_辅助!$J$2,0,((-SUMIFS(资金流水!$R$6:$R$2005,资金流水!$X$6:$X$2005,"社保费",资金流水!$S$6:$S$2005,"&gt;="&amp;MAX(C$2,_辅助!$J$4),资金流水!$S$6:$S$2005,"&lt;="&amp;C$2))-SUMIFS(考勤工资!$P$5:$P$1004,考勤工资!$Y$5:$Y$1004,"&gt;="&amp;MAX(C$2,_辅助!$J$4),考勤工资!$Y$5:$Y$1004,"&lt;="&amp;C$2)))</f>
        <v>0</v>
      </c>
      <c r="D12">
        <f>IF(D$2&gt;_辅助!$J$2,0,((-SUMIFS(资金流水!$R$6:$R$2005,资金流水!$X$6:$X$2005,"社保费",资金流水!$S$6:$S$2005,"&gt;="&amp;MAX(D$2,_辅助!$J$4),资金流水!$S$6:$S$2005,"&lt;="&amp;D$2))-SUMIFS(考勤工资!$P$5:$P$1004,考勤工资!$Y$5:$Y$1004,"&gt;="&amp;MAX(D$2,_辅助!$J$4),考勤工资!$Y$5:$Y$1004,"&lt;="&amp;D$2)))</f>
        <v>0</v>
      </c>
      <c r="E12">
        <f>IF(E$2&gt;_辅助!$J$2,0,((-SUMIFS(资金流水!$R$6:$R$2005,资金流水!$X$6:$X$2005,"社保费",资金流水!$S$6:$S$2005,"&gt;="&amp;MAX(E$2,_辅助!$J$4),资金流水!$S$6:$S$2005,"&lt;="&amp;E$2))-SUMIFS(考勤工资!$P$5:$P$1004,考勤工资!$Y$5:$Y$1004,"&gt;="&amp;MAX(E$2,_辅助!$J$4),考勤工资!$Y$5:$Y$1004,"&lt;="&amp;E$2)))</f>
        <v>0</v>
      </c>
      <c r="F12">
        <f>IF(F$2&gt;_辅助!$J$2,0,((-SUMIFS(资金流水!$R$6:$R$2005,资金流水!$X$6:$X$2005,"社保费",资金流水!$S$6:$S$2005,"&gt;="&amp;MAX(F$2,_辅助!$J$4),资金流水!$S$6:$S$2005,"&lt;="&amp;F$2))-SUMIFS(考勤工资!$P$5:$P$1004,考勤工资!$Y$5:$Y$1004,"&gt;="&amp;MAX(F$2,_辅助!$J$4),考勤工资!$Y$5:$Y$1004,"&lt;="&amp;F$2)))</f>
        <v>0</v>
      </c>
      <c r="G12">
        <f>IF(G$2&gt;_辅助!$J$2,0,((-SUMIFS(资金流水!$R$6:$R$2005,资金流水!$X$6:$X$2005,"社保费",资金流水!$S$6:$S$2005,"&gt;="&amp;MAX(G$2,_辅助!$J$4),资金流水!$S$6:$S$2005,"&lt;="&amp;G$2))-SUMIFS(考勤工资!$P$5:$P$1004,考勤工资!$Y$5:$Y$1004,"&gt;="&amp;MAX(G$2,_辅助!$J$4),考勤工资!$Y$5:$Y$1004,"&lt;="&amp;G$2)))</f>
        <v>2038.96</v>
      </c>
      <c r="H12">
        <f>IF(H$2&gt;_辅助!$J$2,0,((-SUMIFS(资金流水!$R$6:$R$2005,资金流水!$X$6:$X$2005,"社保费",资金流水!$S$6:$S$2005,"&gt;="&amp;MAX(H$2,_辅助!$J$4),资金流水!$S$6:$S$2005,"&lt;="&amp;H$2))-SUMIFS(考勤工资!$P$5:$P$1004,考勤工资!$Y$5:$Y$1004,"&gt;="&amp;MAX(H$2,_辅助!$J$4),考勤工资!$Y$5:$Y$1004,"&lt;="&amp;H$2)))</f>
        <v>2038.96</v>
      </c>
      <c r="I12">
        <f>IF(I$2&gt;_辅助!$J$2,0,((-SUMIFS(资金流水!$R$6:$R$2005,资金流水!$X$6:$X$2005,"社保费",资金流水!$S$6:$S$2005,"&gt;="&amp;MAX(I$2,_辅助!$J$4),资金流水!$S$6:$S$2005,"&lt;="&amp;I$2))-SUMIFS(考勤工资!$P$5:$P$1004,考勤工资!$Y$5:$Y$1004,"&gt;="&amp;MAX(I$2,_辅助!$J$4),考勤工资!$Y$5:$Y$1004,"&lt;="&amp;I$2)))</f>
        <v>2038.96</v>
      </c>
      <c r="J12">
        <f>IF(J$2&gt;_辅助!$J$2,0,((-SUMIFS(资金流水!$R$6:$R$2005,资金流水!$X$6:$X$2005,"社保费",资金流水!$S$6:$S$2005,"&gt;="&amp;MAX(J$2,_辅助!$J$4),资金流水!$S$6:$S$2005,"&lt;="&amp;J$2))-SUMIFS(考勤工资!$P$5:$P$1004,考勤工资!$Y$5:$Y$1004,"&gt;="&amp;MAX(J$2,_辅助!$J$4),考勤工资!$Y$5:$Y$1004,"&lt;="&amp;J$2)))</f>
        <v>2038.96</v>
      </c>
      <c r="K12">
        <f>IF(K$2&gt;_辅助!$J$2,0,((-SUMIFS(资金流水!$R$6:$R$2005,资金流水!$X$6:$X$2005,"社保费",资金流水!$S$6:$S$2005,"&gt;="&amp;MAX(K$2,_辅助!$J$4),资金流水!$S$6:$S$2005,"&lt;="&amp;K$2))-SUMIFS(考勤工资!$P$5:$P$1004,考勤工资!$Y$5:$Y$1004,"&gt;="&amp;MAX(K$2,_辅助!$J$4),考勤工资!$Y$5:$Y$1004,"&lt;="&amp;K$2)))</f>
        <v>0</v>
      </c>
      <c r="L12">
        <f>IF(L$2&gt;_辅助!$J$2,0,((-SUMIFS(资金流水!$R$6:$R$2005,资金流水!$X$6:$X$2005,"社保费",资金流水!$S$6:$S$2005,"&gt;="&amp;MAX(L$2,_辅助!$J$4),资金流水!$S$6:$S$2005,"&lt;="&amp;L$2))-SUMIFS(考勤工资!$P$5:$P$1004,考勤工资!$Y$5:$Y$1004,"&gt;="&amp;MAX(L$2,_辅助!$J$4),考勤工资!$Y$5:$Y$1004,"&lt;="&amp;L$2)))</f>
        <v>0</v>
      </c>
      <c r="M12">
        <f>IF(M$2&gt;_辅助!$J$2,0,((-SUMIFS(资金流水!$R$6:$R$2005,资金流水!$X$6:$X$2005,"社保费",资金流水!$S$6:$S$2005,"&gt;="&amp;MAX(M$2,_辅助!$J$4),资金流水!$S$6:$S$2005,"&lt;="&amp;M$2))-SUMIFS(考勤工资!$P$5:$P$1004,考勤工资!$Y$5:$Y$1004,"&gt;="&amp;MAX(M$2,_辅助!$J$4),考勤工资!$Y$5:$Y$1004,"&lt;="&amp;M$2)))</f>
        <v>0</v>
      </c>
      <c r="N12">
        <f>IF(N$2&gt;_辅助!$J$2,0,((-SUMIFS(资金流水!$R$6:$R$2005,资金流水!$X$6:$X$2005,"社保费",资金流水!$S$6:$S$2005,"&gt;="&amp;MAX(N$2,_辅助!$J$4),资金流水!$S$6:$S$2005,"&lt;="&amp;N$2))-SUMIFS(考勤工资!$P$5:$P$1004,考勤工资!$Y$5:$Y$1004,"&gt;="&amp;MAX(N$2,_辅助!$J$4),考勤工资!$Y$5:$Y$1004,"&lt;="&amp;N$2)))</f>
        <v>0</v>
      </c>
      <c r="O12">
        <f t="shared" si="0"/>
        <v>8155.84</v>
      </c>
    </row>
    <row r="13">
      <c r="A13" t="inlineStr">
        <is>
          <t>办公费</t>
        </is>
      </c>
      <c r="B13">
        <f>(-SUMIFS(资金流水!$R$6:$R$2005,资金流水!$X$6:$X$2005,"办公费",资金流水!$S$6:$S$2005,"&gt;="&amp;_辅助!$J$4,资金流水!$S$6:$S$2005,"&lt;="&amp;_辅助!$J$5))</f>
        <v>0</v>
      </c>
      <c r="C13">
        <f>IF(C$2&gt;_辅助!$J$2,0,(-SUMIFS(资金流水!$R$6:$R$2005,资金流水!$X$6:$X$2005,"办公费",资金流水!$S$6:$S$2005,"&gt;="&amp;MAX(C$2,_辅助!$J$4),资金流水!$S$6:$S$2005,"&lt;="&amp;C$2)))</f>
        <v>0</v>
      </c>
      <c r="D13">
        <f>IF(D$2&gt;_辅助!$J$2,0,(-SUMIFS(资金流水!$R$6:$R$2005,资金流水!$X$6:$X$2005,"办公费",资金流水!$S$6:$S$2005,"&gt;="&amp;MAX(D$2,_辅助!$J$4),资金流水!$S$6:$S$2005,"&lt;="&amp;D$2)))</f>
        <v>0</v>
      </c>
      <c r="E13">
        <f>IF(E$2&gt;_辅助!$J$2,0,(-SUMIFS(资金流水!$R$6:$R$2005,资金流水!$X$6:$X$2005,"办公费",资金流水!$S$6:$S$2005,"&gt;="&amp;MAX(E$2,_辅助!$J$4),资金流水!$S$6:$S$2005,"&lt;="&amp;E$2)))</f>
        <v>0</v>
      </c>
      <c r="F13">
        <f>IF(F$2&gt;_辅助!$J$2,0,(-SUMIFS(资金流水!$R$6:$R$2005,资金流水!$X$6:$X$2005,"办公费",资金流水!$S$6:$S$2005,"&gt;="&amp;MAX(F$2,_辅助!$J$4),资金流水!$S$6:$S$2005,"&lt;="&amp;F$2)))</f>
        <v>0</v>
      </c>
      <c r="G13">
        <f>IF(G$2&gt;_辅助!$J$2,0,(-SUMIFS(资金流水!$R$6:$R$2005,资金流水!$X$6:$X$2005,"办公费",资金流水!$S$6:$S$2005,"&gt;="&amp;MAX(G$2,_辅助!$J$4),资金流水!$S$6:$S$2005,"&lt;="&amp;G$2)))</f>
        <v>1319</v>
      </c>
      <c r="H13">
        <f>IF(H$2&gt;_辅助!$J$2,0,(-SUMIFS(资金流水!$R$6:$R$2005,资金流水!$X$6:$X$2005,"办公费",资金流水!$S$6:$S$2005,"&gt;="&amp;MAX(H$2,_辅助!$J$4),资金流水!$S$6:$S$2005,"&lt;="&amp;H$2)))</f>
        <v>11700</v>
      </c>
      <c r="I13">
        <f>IF(I$2&gt;_辅助!$J$2,0,(-SUMIFS(资金流水!$R$6:$R$2005,资金流水!$X$6:$X$2005,"办公费",资金流水!$S$6:$S$2005,"&gt;="&amp;MAX(I$2,_辅助!$J$4),资金流水!$S$6:$S$2005,"&lt;="&amp;I$2)))</f>
        <v>0</v>
      </c>
      <c r="J13">
        <f>IF(J$2&gt;_辅助!$J$2,0,(-SUMIFS(资金流水!$R$6:$R$2005,资金流水!$X$6:$X$2005,"办公费",资金流水!$S$6:$S$2005,"&gt;="&amp;MAX(J$2,_辅助!$J$4),资金流水!$S$6:$S$2005,"&lt;="&amp;J$2)))</f>
        <v>0</v>
      </c>
      <c r="K13">
        <f>IF(K$2&gt;_辅助!$J$2,0,(-SUMIFS(资金流水!$R$6:$R$2005,资金流水!$X$6:$X$2005,"办公费",资金流水!$S$6:$S$2005,"&gt;="&amp;MAX(K$2,_辅助!$J$4),资金流水!$S$6:$S$2005,"&lt;="&amp;K$2)))</f>
        <v>0</v>
      </c>
      <c r="L13">
        <f>IF(L$2&gt;_辅助!$J$2,0,(-SUMIFS(资金流水!$R$6:$R$2005,资金流水!$X$6:$X$2005,"办公费",资金流水!$S$6:$S$2005,"&gt;="&amp;MAX(L$2,_辅助!$J$4),资金流水!$S$6:$S$2005,"&lt;="&amp;L$2)))</f>
        <v>0</v>
      </c>
      <c r="M13">
        <f>IF(M$2&gt;_辅助!$J$2,0,(-SUMIFS(资金流水!$R$6:$R$2005,资金流水!$X$6:$X$2005,"办公费",资金流水!$S$6:$S$2005,"&gt;="&amp;MAX(M$2,_辅助!$J$4),资金流水!$S$6:$S$2005,"&lt;="&amp;M$2)))</f>
        <v>0</v>
      </c>
      <c r="N13">
        <f>IF(N$2&gt;_辅助!$J$2,0,(-SUMIFS(资金流水!$R$6:$R$2005,资金流水!$X$6:$X$2005,"办公费",资金流水!$S$6:$S$2005,"&gt;="&amp;MAX(N$2,_辅助!$J$4),资金流水!$S$6:$S$2005,"&lt;="&amp;N$2)))</f>
        <v>0</v>
      </c>
      <c r="O13">
        <f t="shared" si="0"/>
        <v>13019</v>
      </c>
    </row>
    <row r="14">
      <c r="A14" t="inlineStr">
        <is>
          <t>食堂伙食</t>
        </is>
      </c>
      <c r="B14">
        <f>(-SUMIFS(资金流水!$R$6:$R$2005,资金流水!$X$6:$X$2005,"食堂伙食",资金流水!$S$6:$S$2005,"&gt;="&amp;_辅助!$J$4,资金流水!$S$6:$S$2005,"&lt;="&amp;_辅助!$J$5))</f>
        <v>0</v>
      </c>
      <c r="C14">
        <f>IF(C$2&gt;_辅助!$J$2,0,(-SUMIFS(资金流水!$R$6:$R$2005,资金流水!$X$6:$X$2005,"食堂伙食",资金流水!$S$6:$S$2005,"&gt;="&amp;MAX(C$2,_辅助!$J$4),资金流水!$S$6:$S$2005,"&lt;="&amp;C$2)))</f>
        <v>0</v>
      </c>
      <c r="D14">
        <f>IF(D$2&gt;_辅助!$J$2,0,(-SUMIFS(资金流水!$R$6:$R$2005,资金流水!$X$6:$X$2005,"食堂伙食",资金流水!$S$6:$S$2005,"&gt;="&amp;MAX(D$2,_辅助!$J$4),资金流水!$S$6:$S$2005,"&lt;="&amp;D$2)))</f>
        <v>0</v>
      </c>
      <c r="E14">
        <f>IF(E$2&gt;_辅助!$J$2,0,(-SUMIFS(资金流水!$R$6:$R$2005,资金流水!$X$6:$X$2005,"食堂伙食",资金流水!$S$6:$S$2005,"&gt;="&amp;MAX(E$2,_辅助!$J$4),资金流水!$S$6:$S$2005,"&lt;="&amp;E$2)))</f>
        <v>0</v>
      </c>
      <c r="F14">
        <f>IF(F$2&gt;_辅助!$J$2,0,(-SUMIFS(资金流水!$R$6:$R$2005,资金流水!$X$6:$X$2005,"食堂伙食",资金流水!$S$6:$S$2005,"&gt;="&amp;MAX(F$2,_辅助!$J$4),资金流水!$S$6:$S$2005,"&lt;="&amp;F$2)))</f>
        <v>0</v>
      </c>
      <c r="G14">
        <f>IF(G$2&gt;_辅助!$J$2,0,(-SUMIFS(资金流水!$R$6:$R$2005,资金流水!$X$6:$X$2005,"食堂伙食",资金流水!$S$6:$S$2005,"&gt;="&amp;MAX(G$2,_辅助!$J$4),资金流水!$S$6:$S$2005,"&lt;="&amp;G$2)))</f>
        <v>627.6</v>
      </c>
      <c r="H14">
        <f>IF(H$2&gt;_辅助!$J$2,0,(-SUMIFS(资金流水!$R$6:$R$2005,资金流水!$X$6:$X$2005,"食堂伙食",资金流水!$S$6:$S$2005,"&gt;="&amp;MAX(H$2,_辅助!$J$4),资金流水!$S$6:$S$2005,"&lt;="&amp;H$2)))</f>
        <v>0</v>
      </c>
      <c r="I14">
        <f>IF(I$2&gt;_辅助!$J$2,0,(-SUMIFS(资金流水!$R$6:$R$2005,资金流水!$X$6:$X$2005,"食堂伙食",资金流水!$S$6:$S$2005,"&gt;="&amp;MAX(I$2,_辅助!$J$4),资金流水!$S$6:$S$2005,"&lt;="&amp;I$2)))</f>
        <v>0</v>
      </c>
      <c r="J14">
        <f>IF(J$2&gt;_辅助!$J$2,0,(-SUMIFS(资金流水!$R$6:$R$2005,资金流水!$X$6:$X$2005,"食堂伙食",资金流水!$S$6:$S$2005,"&gt;="&amp;MAX(J$2,_辅助!$J$4),资金流水!$S$6:$S$2005,"&lt;="&amp;J$2)))</f>
        <v>0</v>
      </c>
      <c r="K14">
        <f>IF(K$2&gt;_辅助!$J$2,0,(-SUMIFS(资金流水!$R$6:$R$2005,资金流水!$X$6:$X$2005,"食堂伙食",资金流水!$S$6:$S$2005,"&gt;="&amp;MAX(K$2,_辅助!$J$4),资金流水!$S$6:$S$2005,"&lt;="&amp;K$2)))</f>
        <v>0</v>
      </c>
      <c r="L14">
        <f>IF(L$2&gt;_辅助!$J$2,0,(-SUMIFS(资金流水!$R$6:$R$2005,资金流水!$X$6:$X$2005,"食堂伙食",资金流水!$S$6:$S$2005,"&gt;="&amp;MAX(L$2,_辅助!$J$4),资金流水!$S$6:$S$2005,"&lt;="&amp;L$2)))</f>
        <v>0</v>
      </c>
      <c r="M14">
        <f>IF(M$2&gt;_辅助!$J$2,0,(-SUMIFS(资金流水!$R$6:$R$2005,资金流水!$X$6:$X$2005,"食堂伙食",资金流水!$S$6:$S$2005,"&gt;="&amp;MAX(M$2,_辅助!$J$4),资金流水!$S$6:$S$2005,"&lt;="&amp;M$2)))</f>
        <v>0</v>
      </c>
      <c r="N14">
        <f>IF(N$2&gt;_辅助!$J$2,0,(-SUMIFS(资金流水!$R$6:$R$2005,资金流水!$X$6:$X$2005,"食堂伙食",资金流水!$S$6:$S$2005,"&gt;="&amp;MAX(N$2,_辅助!$J$4),资金流水!$S$6:$S$2005,"&lt;="&amp;N$2)))</f>
        <v>0</v>
      </c>
      <c r="O14">
        <f t="shared" si="0"/>
        <v>627.6</v>
      </c>
    </row>
    <row r="15">
      <c r="A15" t="inlineStr">
        <is>
          <t>业务招待费</t>
        </is>
      </c>
      <c r="B15">
        <f>(-SUMIFS(资金流水!$R$6:$R$2005,资金流水!$X$6:$X$2005,"业务招待费",资金流水!$S$6:$S$2005,"&gt;="&amp;_辅助!$J$4,资金流水!$S$6:$S$2005,"&lt;="&amp;_辅助!$J$5))</f>
        <v>0</v>
      </c>
      <c r="C15">
        <f>IF(C$2&gt;_辅助!$J$2,0,(-SUMIFS(资金流水!$R$6:$R$2005,资金流水!$X$6:$X$2005,"业务招待费",资金流水!$S$6:$S$2005,"&gt;="&amp;MAX(C$2,_辅助!$J$4),资金流水!$S$6:$S$2005,"&lt;="&amp;C$2)))</f>
        <v>0</v>
      </c>
      <c r="D15">
        <f>IF(D$2&gt;_辅助!$J$2,0,(-SUMIFS(资金流水!$R$6:$R$2005,资金流水!$X$6:$X$2005,"业务招待费",资金流水!$S$6:$S$2005,"&gt;="&amp;MAX(D$2,_辅助!$J$4),资金流水!$S$6:$S$2005,"&lt;="&amp;D$2)))</f>
        <v>0</v>
      </c>
      <c r="E15">
        <f>IF(E$2&gt;_辅助!$J$2,0,(-SUMIFS(资金流水!$R$6:$R$2005,资金流水!$X$6:$X$2005,"业务招待费",资金流水!$S$6:$S$2005,"&gt;="&amp;MAX(E$2,_辅助!$J$4),资金流水!$S$6:$S$2005,"&lt;="&amp;E$2)))</f>
        <v>0</v>
      </c>
      <c r="F15">
        <f>IF(F$2&gt;_辅助!$J$2,0,(-SUMIFS(资金流水!$R$6:$R$2005,资金流水!$X$6:$X$2005,"业务招待费",资金流水!$S$6:$S$2005,"&gt;="&amp;MAX(F$2,_辅助!$J$4),资金流水!$S$6:$S$2005,"&lt;="&amp;F$2)))</f>
        <v>0</v>
      </c>
      <c r="G15">
        <f>IF(G$2&gt;_辅助!$J$2,0,(-SUMIFS(资金流水!$R$6:$R$2005,资金流水!$X$6:$X$2005,"业务招待费",资金流水!$S$6:$S$2005,"&gt;="&amp;MAX(G$2,_辅助!$J$4),资金流水!$S$6:$S$2005,"&lt;="&amp;G$2)))</f>
        <v>22876</v>
      </c>
      <c r="H15">
        <f>IF(H$2&gt;_辅助!$J$2,0,(-SUMIFS(资金流水!$R$6:$R$2005,资金流水!$X$6:$X$2005,"业务招待费",资金流水!$S$6:$S$2005,"&gt;="&amp;MAX(H$2,_辅助!$J$4),资金流水!$S$6:$S$2005,"&lt;="&amp;H$2)))</f>
        <v>1098</v>
      </c>
      <c r="I15">
        <f>IF(I$2&gt;_辅助!$J$2,0,(-SUMIFS(资金流水!$R$6:$R$2005,资金流水!$X$6:$X$2005,"业务招待费",资金流水!$S$6:$S$2005,"&gt;="&amp;MAX(I$2,_辅助!$J$4),资金流水!$S$6:$S$2005,"&lt;="&amp;I$2)))</f>
        <v>950</v>
      </c>
      <c r="J15">
        <f>IF(J$2&gt;_辅助!$J$2,0,(-SUMIFS(资金流水!$R$6:$R$2005,资金流水!$X$6:$X$2005,"业务招待费",资金流水!$S$6:$S$2005,"&gt;="&amp;MAX(J$2,_辅助!$J$4),资金流水!$S$6:$S$2005,"&lt;="&amp;J$2)))</f>
        <v>0</v>
      </c>
      <c r="K15">
        <f>IF(K$2&gt;_辅助!$J$2,0,(-SUMIFS(资金流水!$R$6:$R$2005,资金流水!$X$6:$X$2005,"业务招待费",资金流水!$S$6:$S$2005,"&gt;="&amp;MAX(K$2,_辅助!$J$4),资金流水!$S$6:$S$2005,"&lt;="&amp;K$2)))</f>
        <v>0</v>
      </c>
      <c r="L15">
        <f>IF(L$2&gt;_辅助!$J$2,0,(-SUMIFS(资金流水!$R$6:$R$2005,资金流水!$X$6:$X$2005,"业务招待费",资金流水!$S$6:$S$2005,"&gt;="&amp;MAX(L$2,_辅助!$J$4),资金流水!$S$6:$S$2005,"&lt;="&amp;L$2)))</f>
        <v>0</v>
      </c>
      <c r="M15">
        <f>IF(M$2&gt;_辅助!$J$2,0,(-SUMIFS(资金流水!$R$6:$R$2005,资金流水!$X$6:$X$2005,"业务招待费",资金流水!$S$6:$S$2005,"&gt;="&amp;MAX(M$2,_辅助!$J$4),资金流水!$S$6:$S$2005,"&lt;="&amp;M$2)))</f>
        <v>0</v>
      </c>
      <c r="N15">
        <f>IF(N$2&gt;_辅助!$J$2,0,(-SUMIFS(资金流水!$R$6:$R$2005,资金流水!$X$6:$X$2005,"业务招待费",资金流水!$S$6:$S$2005,"&gt;="&amp;MAX(N$2,_辅助!$J$4),资金流水!$S$6:$S$2005,"&lt;="&amp;N$2)))</f>
        <v>0</v>
      </c>
      <c r="O15">
        <f t="shared" si="0"/>
        <v>24924</v>
      </c>
    </row>
    <row r="16">
      <c r="A16" t="inlineStr">
        <is>
          <t>车辆差旅</t>
        </is>
      </c>
      <c r="B16">
        <f>(-SUMIFS(资金流水!$R$6:$R$2005,资金流水!$X$6:$X$2005,"车辆差旅",资金流水!$S$6:$S$2005,"&gt;="&amp;_辅助!$J$4,资金流水!$S$6:$S$2005,"&lt;="&amp;_辅助!$J$5))</f>
        <v>0</v>
      </c>
      <c r="C16">
        <f>IF(C$2&gt;_辅助!$J$2,0,(-SUMIFS(资金流水!$R$6:$R$2005,资金流水!$X$6:$X$2005,"车辆差旅",资金流水!$S$6:$S$2005,"&gt;="&amp;MAX(C$2,_辅助!$J$4),资金流水!$S$6:$S$2005,"&lt;="&amp;C$2)))</f>
        <v>0</v>
      </c>
      <c r="D16">
        <f>IF(D$2&gt;_辅助!$J$2,0,(-SUMIFS(资金流水!$R$6:$R$2005,资金流水!$X$6:$X$2005,"车辆差旅",资金流水!$S$6:$S$2005,"&gt;="&amp;MAX(D$2,_辅助!$J$4),资金流水!$S$6:$S$2005,"&lt;="&amp;D$2)))</f>
        <v>0</v>
      </c>
      <c r="E16">
        <f>IF(E$2&gt;_辅助!$J$2,0,(-SUMIFS(资金流水!$R$6:$R$2005,资金流水!$X$6:$X$2005,"车辆差旅",资金流水!$S$6:$S$2005,"&gt;="&amp;MAX(E$2,_辅助!$J$4),资金流水!$S$6:$S$2005,"&lt;="&amp;E$2)))</f>
        <v>0</v>
      </c>
      <c r="F16">
        <f>IF(F$2&gt;_辅助!$J$2,0,(-SUMIFS(资金流水!$R$6:$R$2005,资金流水!$X$6:$X$2005,"车辆差旅",资金流水!$S$6:$S$2005,"&gt;="&amp;MAX(F$2,_辅助!$J$4),资金流水!$S$6:$S$2005,"&lt;="&amp;F$2)))</f>
        <v>0</v>
      </c>
      <c r="G16">
        <f>IF(G$2&gt;_辅助!$J$2,0,(-SUMIFS(资金流水!$R$6:$R$2005,资金流水!$X$6:$X$2005,"车辆差旅",资金流水!$S$6:$S$2005,"&gt;="&amp;MAX(G$2,_辅助!$J$4),资金流水!$S$6:$S$2005,"&lt;="&amp;G$2)))</f>
        <v>400</v>
      </c>
      <c r="H16">
        <f>IF(H$2&gt;_辅助!$J$2,0,(-SUMIFS(资金流水!$R$6:$R$2005,资金流水!$X$6:$X$2005,"车辆差旅",资金流水!$S$6:$S$2005,"&gt;="&amp;MAX(H$2,_辅助!$J$4),资金流水!$S$6:$S$2005,"&lt;="&amp;H$2)))</f>
        <v>1596.8</v>
      </c>
      <c r="I16">
        <f>IF(I$2&gt;_辅助!$J$2,0,(-SUMIFS(资金流水!$R$6:$R$2005,资金流水!$X$6:$X$2005,"车辆差旅",资金流水!$S$6:$S$2005,"&gt;="&amp;MAX(I$2,_辅助!$J$4),资金流水!$S$6:$S$2005,"&lt;="&amp;I$2)))</f>
        <v>0</v>
      </c>
      <c r="J16">
        <f>IF(J$2&gt;_辅助!$J$2,0,(-SUMIFS(资金流水!$R$6:$R$2005,资金流水!$X$6:$X$2005,"车辆差旅",资金流水!$S$6:$S$2005,"&gt;="&amp;MAX(J$2,_辅助!$J$4),资金流水!$S$6:$S$2005,"&lt;="&amp;J$2)))</f>
        <v>0</v>
      </c>
      <c r="K16">
        <f>IF(K$2&gt;_辅助!$J$2,0,(-SUMIFS(资金流水!$R$6:$R$2005,资金流水!$X$6:$X$2005,"车辆差旅",资金流水!$S$6:$S$2005,"&gt;="&amp;MAX(K$2,_辅助!$J$4),资金流水!$S$6:$S$2005,"&lt;="&amp;K$2)))</f>
        <v>0</v>
      </c>
      <c r="L16">
        <f>IF(L$2&gt;_辅助!$J$2,0,(-SUMIFS(资金流水!$R$6:$R$2005,资金流水!$X$6:$X$2005,"车辆差旅",资金流水!$S$6:$S$2005,"&gt;="&amp;MAX(L$2,_辅助!$J$4),资金流水!$S$6:$S$2005,"&lt;="&amp;L$2)))</f>
        <v>0</v>
      </c>
      <c r="M16">
        <f>IF(M$2&gt;_辅助!$J$2,0,(-SUMIFS(资金流水!$R$6:$R$2005,资金流水!$X$6:$X$2005,"车辆差旅",资金流水!$S$6:$S$2005,"&gt;="&amp;MAX(M$2,_辅助!$J$4),资金流水!$S$6:$S$2005,"&lt;="&amp;M$2)))</f>
        <v>0</v>
      </c>
      <c r="N16">
        <f>IF(N$2&gt;_辅助!$J$2,0,(-SUMIFS(资金流水!$R$6:$R$2005,资金流水!$X$6:$X$2005,"车辆差旅",资金流水!$S$6:$S$2005,"&gt;="&amp;MAX(N$2,_辅助!$J$4),资金流水!$S$6:$S$2005,"&lt;="&amp;N$2)))</f>
        <v>0</v>
      </c>
      <c r="O16">
        <f t="shared" si="0"/>
        <v>1996.8</v>
      </c>
    </row>
    <row r="17">
      <c r="A17" t="inlineStr">
        <is>
          <t>折旧费</t>
        </is>
      </c>
      <c r="B17">
        <f>(SUMPRODUCT(基础资料!$AP$5:$AP$34*((基础资料!$AS$5:$AS$34+((INT(_辅助!$J$5/100)*12+MOD(_辅助!$J$5,100))-基础资料!$AS$5:$AS$34)*((INT(_辅助!$J$5/100)*12+MOD(_辅助!$J$5,100))&lt;基础资料!$AS$5:$AS$34))-(基础资料!$AR$5:$AR$34+((INT(_辅助!$J$4/100)*12+MOD(_辅助!$J$4,100))-基础资料!$AR$5:$AR$34)*((INT(_辅助!$J$4/100)*12+MOD(_辅助!$J$4,100))&gt;基础资料!$AR$5:$AR$34))+1)*(((基础资料!$AS$5:$AS$34+((INT(_辅助!$J$5/100)*12+MOD(_辅助!$J$5,100))-基础资料!$AS$5:$AS$34)*((INT(_辅助!$J$5/100)*12+MOD(_辅助!$J$5,100))&lt;基础资料!$AS$5:$AS$34))-(基础资料!$AR$5:$AR$34+((INT(_辅助!$J$4/100)*12+MOD(_辅助!$J$4,100))-基础资料!$AR$5:$AR$34)*((INT(_辅助!$J$4/100)*12+MOD(_辅助!$J$4,100))&gt;基础资料!$AR$5:$AR$34))+1)&gt;0)*(基础资料!$AO$5:$AO$34=""))+(-SUMIFS(资金流水!$R$6:$R$2005,资金流水!$X$6:$X$2005,"折旧费",资金流水!$S$6:$S$2005,"&gt;="&amp;_辅助!$J$4,资金流水!$S$6:$S$2005,"&lt;="&amp;_辅助!$J$5)))</f>
        <v>0</v>
      </c>
      <c r="C17">
        <f>IF(C$2&gt;_辅助!$J$2,0,(SUMPRODUCT(基础资料!$AP$5:$AP$34*((基础资料!$AS$5:$AS$34+((INT(C$2/100)*12+MOD(C$2,100))-基础资料!$AS$5:$AS$34)*((INT(C$2/100)*12+MOD(C$2,100))&lt;基础资料!$AS$5:$AS$34))-(基础资料!$AR$5:$AR$34+((INT(MAX(C$2,_辅助!$J$4)/100)*12+MOD(MAX(C$2,_辅助!$J$4),100))-基础资料!$AR$5:$AR$34)*((INT(MAX(C$2,_辅助!$J$4)/100)*12+MOD(MAX(C$2,_辅助!$J$4),100))&gt;基础资料!$AR$5:$AR$34))+1)*(((基础资料!$AS$5:$AS$34+((INT(C$2/100)*12+MOD(C$2,100))-基础资料!$AS$5:$AS$34)*((INT(C$2/100)*12+MOD(C$2,100))&lt;基础资料!$AS$5:$AS$34))-(基础资料!$AR$5:$AR$34+((INT(MAX(C$2,_辅助!$J$4)/100)*12+MOD(MAX(C$2,_辅助!$J$4),100))-基础资料!$AR$5:$AR$34)*((INT(MAX(C$2,_辅助!$J$4)/100)*12+MOD(MAX(C$2,_辅助!$J$4),100))&gt;基础资料!$AR$5:$AR$34))+1)&gt;0)*(基础资料!$AO$5:$AO$34=""))+(-SUMIFS(资金流水!$R$6:$R$2005,资金流水!$X$6:$X$2005,"折旧费",资金流水!$S$6:$S$2005,"&gt;="&amp;MAX(C$2,_辅助!$J$4),资金流水!$S$6:$S$2005,"&lt;="&amp;C$2))))</f>
        <v>0</v>
      </c>
      <c r="D17">
        <f>IF(D$2&gt;_辅助!$J$2,0,(SUMPRODUCT(基础资料!$AP$5:$AP$34*((基础资料!$AS$5:$AS$34+((INT(D$2/100)*12+MOD(D$2,100))-基础资料!$AS$5:$AS$34)*((INT(D$2/100)*12+MOD(D$2,100))&lt;基础资料!$AS$5:$AS$34))-(基础资料!$AR$5:$AR$34+((INT(MAX(D$2,_辅助!$J$4)/100)*12+MOD(MAX(D$2,_辅助!$J$4),100))-基础资料!$AR$5:$AR$34)*((INT(MAX(D$2,_辅助!$J$4)/100)*12+MOD(MAX(D$2,_辅助!$J$4),100))&gt;基础资料!$AR$5:$AR$34))+1)*(((基础资料!$AS$5:$AS$34+((INT(D$2/100)*12+MOD(D$2,100))-基础资料!$AS$5:$AS$34)*((INT(D$2/100)*12+MOD(D$2,100))&lt;基础资料!$AS$5:$AS$34))-(基础资料!$AR$5:$AR$34+((INT(MAX(D$2,_辅助!$J$4)/100)*12+MOD(MAX(D$2,_辅助!$J$4),100))-基础资料!$AR$5:$AR$34)*((INT(MAX(D$2,_辅助!$J$4)/100)*12+MOD(MAX(D$2,_辅助!$J$4),100))&gt;基础资料!$AR$5:$AR$34))+1)&gt;0)*(基础资料!$AO$5:$AO$34=""))+(-SUMIFS(资金流水!$R$6:$R$2005,资金流水!$X$6:$X$2005,"折旧费",资金流水!$S$6:$S$2005,"&gt;="&amp;MAX(D$2,_辅助!$J$4),资金流水!$S$6:$S$2005,"&lt;="&amp;D$2))))</f>
        <v>0</v>
      </c>
      <c r="E17">
        <f>IF(E$2&gt;_辅助!$J$2,0,(SUMPRODUCT(基础资料!$AP$5:$AP$34*((基础资料!$AS$5:$AS$34+((INT(E$2/100)*12+MOD(E$2,100))-基础资料!$AS$5:$AS$34)*((INT(E$2/100)*12+MOD(E$2,100))&lt;基础资料!$AS$5:$AS$34))-(基础资料!$AR$5:$AR$34+((INT(MAX(E$2,_辅助!$J$4)/100)*12+MOD(MAX(E$2,_辅助!$J$4),100))-基础资料!$AR$5:$AR$34)*((INT(MAX(E$2,_辅助!$J$4)/100)*12+MOD(MAX(E$2,_辅助!$J$4),100))&gt;基础资料!$AR$5:$AR$34))+1)*(((基础资料!$AS$5:$AS$34+((INT(E$2/100)*12+MOD(E$2,100))-基础资料!$AS$5:$AS$34)*((INT(E$2/100)*12+MOD(E$2,100))&lt;基础资料!$AS$5:$AS$34))-(基础资料!$AR$5:$AR$34+((INT(MAX(E$2,_辅助!$J$4)/100)*12+MOD(MAX(E$2,_辅助!$J$4),100))-基础资料!$AR$5:$AR$34)*((INT(MAX(E$2,_辅助!$J$4)/100)*12+MOD(MAX(E$2,_辅助!$J$4),100))&gt;基础资料!$AR$5:$AR$34))+1)&gt;0)*(基础资料!$AO$5:$AO$34=""))+(-SUMIFS(资金流水!$R$6:$R$2005,资金流水!$X$6:$X$2005,"折旧费",资金流水!$S$6:$S$2005,"&gt;="&amp;MAX(E$2,_辅助!$J$4),资金流水!$S$6:$S$2005,"&lt;="&amp;E$2))))</f>
        <v>0</v>
      </c>
      <c r="F17">
        <f>IF(F$2&gt;_辅助!$J$2,0,(SUMPRODUCT(基础资料!$AP$5:$AP$34*((基础资料!$AS$5:$AS$34+((INT(F$2/100)*12+MOD(F$2,100))-基础资料!$AS$5:$AS$34)*((INT(F$2/100)*12+MOD(F$2,100))&lt;基础资料!$AS$5:$AS$34))-(基础资料!$AR$5:$AR$34+((INT(MAX(F$2,_辅助!$J$4)/100)*12+MOD(MAX(F$2,_辅助!$J$4),100))-基础资料!$AR$5:$AR$34)*((INT(MAX(F$2,_辅助!$J$4)/100)*12+MOD(MAX(F$2,_辅助!$J$4),100))&gt;基础资料!$AR$5:$AR$34))+1)*(((基础资料!$AS$5:$AS$34+((INT(F$2/100)*12+MOD(F$2,100))-基础资料!$AS$5:$AS$34)*((INT(F$2/100)*12+MOD(F$2,100))&lt;基础资料!$AS$5:$AS$34))-(基础资料!$AR$5:$AR$34+((INT(MAX(F$2,_辅助!$J$4)/100)*12+MOD(MAX(F$2,_辅助!$J$4),100))-基础资料!$AR$5:$AR$34)*((INT(MAX(F$2,_辅助!$J$4)/100)*12+MOD(MAX(F$2,_辅助!$J$4),100))&gt;基础资料!$AR$5:$AR$34))+1)&gt;0)*(基础资料!$AO$5:$AO$34=""))+(-SUMIFS(资金流水!$R$6:$R$2005,资金流水!$X$6:$X$2005,"折旧费",资金流水!$S$6:$S$2005,"&gt;="&amp;MAX(F$2,_辅助!$J$4),资金流水!$S$6:$S$2005,"&lt;="&amp;F$2))))</f>
        <v>0</v>
      </c>
      <c r="G17">
        <f>IF(G$2&gt;_辅助!$J$2,0,(SUMPRODUCT(基础资料!$AP$5:$AP$34*((基础资料!$AS$5:$AS$34+((INT(G$2/100)*12+MOD(G$2,100))-基础资料!$AS$5:$AS$34)*((INT(G$2/100)*12+MOD(G$2,100))&lt;基础资料!$AS$5:$AS$34))-(基础资料!$AR$5:$AR$34+((INT(MAX(G$2,_辅助!$J$4)/100)*12+MOD(MAX(G$2,_辅助!$J$4),100))-基础资料!$AR$5:$AR$34)*((INT(MAX(G$2,_辅助!$J$4)/100)*12+MOD(MAX(G$2,_辅助!$J$4),100))&gt;基础资料!$AR$5:$AR$34))+1)*(((基础资料!$AS$5:$AS$34+((INT(G$2/100)*12+MOD(G$2,100))-基础资料!$AS$5:$AS$34)*((INT(G$2/100)*12+MOD(G$2,100))&lt;基础资料!$AS$5:$AS$34))-(基础资料!$AR$5:$AR$34+((INT(MAX(G$2,_辅助!$J$4)/100)*12+MOD(MAX(G$2,_辅助!$J$4),100))-基础资料!$AR$5:$AR$34)*((INT(MAX(G$2,_辅助!$J$4)/100)*12+MOD(MAX(G$2,_辅助!$J$4),100))&gt;基础资料!$AR$5:$AR$34))+1)&gt;0)*(基础资料!$AO$5:$AO$34=""))+(-SUMIFS(资金流水!$R$6:$R$2005,资金流水!$X$6:$X$2005,"折旧费",资金流水!$S$6:$S$2005,"&gt;="&amp;MAX(G$2,_辅助!$J$4),资金流水!$S$6:$S$2005,"&lt;="&amp;G$2))))</f>
        <v>0</v>
      </c>
      <c r="H17">
        <f>IF(H$2&gt;_辅助!$J$2,0,(SUMPRODUCT(基础资料!$AP$5:$AP$34*((基础资料!$AS$5:$AS$34+((INT(H$2/100)*12+MOD(H$2,100))-基础资料!$AS$5:$AS$34)*((INT(H$2/100)*12+MOD(H$2,100))&lt;基础资料!$AS$5:$AS$34))-(基础资料!$AR$5:$AR$34+((INT(MAX(H$2,_辅助!$J$4)/100)*12+MOD(MAX(H$2,_辅助!$J$4),100))-基础资料!$AR$5:$AR$34)*((INT(MAX(H$2,_辅助!$J$4)/100)*12+MOD(MAX(H$2,_辅助!$J$4),100))&gt;基础资料!$AR$5:$AR$34))+1)*(((基础资料!$AS$5:$AS$34+((INT(H$2/100)*12+MOD(H$2,100))-基础资料!$AS$5:$AS$34)*((INT(H$2/100)*12+MOD(H$2,100))&lt;基础资料!$AS$5:$AS$34))-(基础资料!$AR$5:$AR$34+((INT(MAX(H$2,_辅助!$J$4)/100)*12+MOD(MAX(H$2,_辅助!$J$4),100))-基础资料!$AR$5:$AR$34)*((INT(MAX(H$2,_辅助!$J$4)/100)*12+MOD(MAX(H$2,_辅助!$J$4),100))&gt;基础资料!$AR$5:$AR$34))+1)&gt;0)*(基础资料!$AO$5:$AO$34=""))+(-SUMIFS(资金流水!$R$6:$R$2005,资金流水!$X$6:$X$2005,"折旧费",资金流水!$S$6:$S$2005,"&gt;="&amp;MAX(H$2,_辅助!$J$4),资金流水!$S$6:$S$2005,"&lt;="&amp;H$2))))</f>
        <v>0</v>
      </c>
      <c r="I17">
        <f>IF(I$2&gt;_辅助!$J$2,0,(SUMPRODUCT(基础资料!$AP$5:$AP$34*((基础资料!$AS$5:$AS$34+((INT(I$2/100)*12+MOD(I$2,100))-基础资料!$AS$5:$AS$34)*((INT(I$2/100)*12+MOD(I$2,100))&lt;基础资料!$AS$5:$AS$34))-(基础资料!$AR$5:$AR$34+((INT(MAX(I$2,_辅助!$J$4)/100)*12+MOD(MAX(I$2,_辅助!$J$4),100))-基础资料!$AR$5:$AR$34)*((INT(MAX(I$2,_辅助!$J$4)/100)*12+MOD(MAX(I$2,_辅助!$J$4),100))&gt;基础资料!$AR$5:$AR$34))+1)*(((基础资料!$AS$5:$AS$34+((INT(I$2/100)*12+MOD(I$2,100))-基础资料!$AS$5:$AS$34)*((INT(I$2/100)*12+MOD(I$2,100))&lt;基础资料!$AS$5:$AS$34))-(基础资料!$AR$5:$AR$34+((INT(MAX(I$2,_辅助!$J$4)/100)*12+MOD(MAX(I$2,_辅助!$J$4),100))-基础资料!$AR$5:$AR$34)*((INT(MAX(I$2,_辅助!$J$4)/100)*12+MOD(MAX(I$2,_辅助!$J$4),100))&gt;基础资料!$AR$5:$AR$34))+1)&gt;0)*(基础资料!$AO$5:$AO$34=""))+(-SUMIFS(资金流水!$R$6:$R$2005,资金流水!$X$6:$X$2005,"折旧费",资金流水!$S$6:$S$2005,"&gt;="&amp;MAX(I$2,_辅助!$J$4),资金流水!$S$6:$S$2005,"&lt;="&amp;I$2))))</f>
        <v>0</v>
      </c>
      <c r="J17">
        <f>IF(J$2&gt;_辅助!$J$2,0,(SUMPRODUCT(基础资料!$AP$5:$AP$34*((基础资料!$AS$5:$AS$34+((INT(J$2/100)*12+MOD(J$2,100))-基础资料!$AS$5:$AS$34)*((INT(J$2/100)*12+MOD(J$2,100))&lt;基础资料!$AS$5:$AS$34))-(基础资料!$AR$5:$AR$34+((INT(MAX(J$2,_辅助!$J$4)/100)*12+MOD(MAX(J$2,_辅助!$J$4),100))-基础资料!$AR$5:$AR$34)*((INT(MAX(J$2,_辅助!$J$4)/100)*12+MOD(MAX(J$2,_辅助!$J$4),100))&gt;基础资料!$AR$5:$AR$34))+1)*(((基础资料!$AS$5:$AS$34+((INT(J$2/100)*12+MOD(J$2,100))-基础资料!$AS$5:$AS$34)*((INT(J$2/100)*12+MOD(J$2,100))&lt;基础资料!$AS$5:$AS$34))-(基础资料!$AR$5:$AR$34+((INT(MAX(J$2,_辅助!$J$4)/100)*12+MOD(MAX(J$2,_辅助!$J$4),100))-基础资料!$AR$5:$AR$34)*((INT(MAX(J$2,_辅助!$J$4)/100)*12+MOD(MAX(J$2,_辅助!$J$4),100))&gt;基础资料!$AR$5:$AR$34))+1)&gt;0)*(基础资料!$AO$5:$AO$34=""))+(-SUMIFS(资金流水!$R$6:$R$2005,资金流水!$X$6:$X$2005,"折旧费",资金流水!$S$6:$S$2005,"&gt;="&amp;MAX(J$2,_辅助!$J$4),资金流水!$S$6:$S$2005,"&lt;="&amp;J$2))))</f>
        <v>0</v>
      </c>
      <c r="K17">
        <f>IF(K$2&gt;_辅助!$J$2,0,(SUMPRODUCT(基础资料!$AP$5:$AP$34*((基础资料!$AS$5:$AS$34+((INT(K$2/100)*12+MOD(K$2,100))-基础资料!$AS$5:$AS$34)*((INT(K$2/100)*12+MOD(K$2,100))&lt;基础资料!$AS$5:$AS$34))-(基础资料!$AR$5:$AR$34+((INT(MAX(K$2,_辅助!$J$4)/100)*12+MOD(MAX(K$2,_辅助!$J$4),100))-基础资料!$AR$5:$AR$34)*((INT(MAX(K$2,_辅助!$J$4)/100)*12+MOD(MAX(K$2,_辅助!$J$4),100))&gt;基础资料!$AR$5:$AR$34))+1)*(((基础资料!$AS$5:$AS$34+((INT(K$2/100)*12+MOD(K$2,100))-基础资料!$AS$5:$AS$34)*((INT(K$2/100)*12+MOD(K$2,100))&lt;基础资料!$AS$5:$AS$34))-(基础资料!$AR$5:$AR$34+((INT(MAX(K$2,_辅助!$J$4)/100)*12+MOD(MAX(K$2,_辅助!$J$4),100))-基础资料!$AR$5:$AR$34)*((INT(MAX(K$2,_辅助!$J$4)/100)*12+MOD(MAX(K$2,_辅助!$J$4),100))&gt;基础资料!$AR$5:$AR$34))+1)&gt;0)*(基础资料!$AO$5:$AO$34=""))+(-SUMIFS(资金流水!$R$6:$R$2005,资金流水!$X$6:$X$2005,"折旧费",资金流水!$S$6:$S$2005,"&gt;="&amp;MAX(K$2,_辅助!$J$4),资金流水!$S$6:$S$2005,"&lt;="&amp;K$2))))</f>
        <v>0</v>
      </c>
      <c r="L17">
        <f>IF(L$2&gt;_辅助!$J$2,0,(SUMPRODUCT(基础资料!$AP$5:$AP$34*((基础资料!$AS$5:$AS$34+((INT(L$2/100)*12+MOD(L$2,100))-基础资料!$AS$5:$AS$34)*((INT(L$2/100)*12+MOD(L$2,100))&lt;基础资料!$AS$5:$AS$34))-(基础资料!$AR$5:$AR$34+((INT(MAX(L$2,_辅助!$J$4)/100)*12+MOD(MAX(L$2,_辅助!$J$4),100))-基础资料!$AR$5:$AR$34)*((INT(MAX(L$2,_辅助!$J$4)/100)*12+MOD(MAX(L$2,_辅助!$J$4),100))&gt;基础资料!$AR$5:$AR$34))+1)*(((基础资料!$AS$5:$AS$34+((INT(L$2/100)*12+MOD(L$2,100))-基础资料!$AS$5:$AS$34)*((INT(L$2/100)*12+MOD(L$2,100))&lt;基础资料!$AS$5:$AS$34))-(基础资料!$AR$5:$AR$34+((INT(MAX(L$2,_辅助!$J$4)/100)*12+MOD(MAX(L$2,_辅助!$J$4),100))-基础资料!$AR$5:$AR$34)*((INT(MAX(L$2,_辅助!$J$4)/100)*12+MOD(MAX(L$2,_辅助!$J$4),100))&gt;基础资料!$AR$5:$AR$34))+1)&gt;0)*(基础资料!$AO$5:$AO$34=""))+(-SUMIFS(资金流水!$R$6:$R$2005,资金流水!$X$6:$X$2005,"折旧费",资金流水!$S$6:$S$2005,"&gt;="&amp;MAX(L$2,_辅助!$J$4),资金流水!$S$6:$S$2005,"&lt;="&amp;L$2))))</f>
        <v>0</v>
      </c>
      <c r="M17">
        <f>IF(M$2&gt;_辅助!$J$2,0,(SUMPRODUCT(基础资料!$AP$5:$AP$34*((基础资料!$AS$5:$AS$34+((INT(M$2/100)*12+MOD(M$2,100))-基础资料!$AS$5:$AS$34)*((INT(M$2/100)*12+MOD(M$2,100))&lt;基础资料!$AS$5:$AS$34))-(基础资料!$AR$5:$AR$34+((INT(MAX(M$2,_辅助!$J$4)/100)*12+MOD(MAX(M$2,_辅助!$J$4),100))-基础资料!$AR$5:$AR$34)*((INT(MAX(M$2,_辅助!$J$4)/100)*12+MOD(MAX(M$2,_辅助!$J$4),100))&gt;基础资料!$AR$5:$AR$34))+1)*(((基础资料!$AS$5:$AS$34+((INT(M$2/100)*12+MOD(M$2,100))-基础资料!$AS$5:$AS$34)*((INT(M$2/100)*12+MOD(M$2,100))&lt;基础资料!$AS$5:$AS$34))-(基础资料!$AR$5:$AR$34+((INT(MAX(M$2,_辅助!$J$4)/100)*12+MOD(MAX(M$2,_辅助!$J$4),100))-基础资料!$AR$5:$AR$34)*((INT(MAX(M$2,_辅助!$J$4)/100)*12+MOD(MAX(M$2,_辅助!$J$4),100))&gt;基础资料!$AR$5:$AR$34))+1)&gt;0)*(基础资料!$AO$5:$AO$34=""))+(-SUMIFS(资金流水!$R$6:$R$2005,资金流水!$X$6:$X$2005,"折旧费",资金流水!$S$6:$S$2005,"&gt;="&amp;MAX(M$2,_辅助!$J$4),资金流水!$S$6:$S$2005,"&lt;="&amp;M$2))))</f>
        <v>0</v>
      </c>
      <c r="N17">
        <f>IF(N$2&gt;_辅助!$J$2,0,(SUMPRODUCT(基础资料!$AP$5:$AP$34*((基础资料!$AS$5:$AS$34+((INT(N$2/100)*12+MOD(N$2,100))-基础资料!$AS$5:$AS$34)*((INT(N$2/100)*12+MOD(N$2,100))&lt;基础资料!$AS$5:$AS$34))-(基础资料!$AR$5:$AR$34+((INT(MAX(N$2,_辅助!$J$4)/100)*12+MOD(MAX(N$2,_辅助!$J$4),100))-基础资料!$AR$5:$AR$34)*((INT(MAX(N$2,_辅助!$J$4)/100)*12+MOD(MAX(N$2,_辅助!$J$4),100))&gt;基础资料!$AR$5:$AR$34))+1)*(((基础资料!$AS$5:$AS$34+((INT(N$2/100)*12+MOD(N$2,100))-基础资料!$AS$5:$AS$34)*((INT(N$2/100)*12+MOD(N$2,100))&lt;基础资料!$AS$5:$AS$34))-(基础资料!$AR$5:$AR$34+((INT(MAX(N$2,_辅助!$J$4)/100)*12+MOD(MAX(N$2,_辅助!$J$4),100))-基础资料!$AR$5:$AR$34)*((INT(MAX(N$2,_辅助!$J$4)/100)*12+MOD(MAX(N$2,_辅助!$J$4),100))&gt;基础资料!$AR$5:$AR$34))+1)&gt;0)*(基础资料!$AO$5:$AO$34=""))+(-SUMIFS(资金流水!$R$6:$R$2005,资金流水!$X$6:$X$2005,"折旧费",资金流水!$S$6:$S$2005,"&gt;="&amp;MAX(N$2,_辅助!$J$4),资金流水!$S$6:$S$2005,"&lt;="&amp;N$2))))</f>
        <v>0</v>
      </c>
      <c r="O17">
        <f t="shared" si="0"/>
        <v>0</v>
      </c>
    </row>
    <row r="18">
      <c r="A18" t="inlineStr">
        <is>
          <t>其他管理费</t>
        </is>
      </c>
      <c r="B18">
        <f>(-SUMIFS(资金流水!$R$6:$R$2005,资金流水!$X$6:$X$2005,"其他管理费",资金流水!$S$6:$S$2005,"&gt;="&amp;_辅助!$J$4,资金流水!$S$6:$S$2005,"&lt;="&amp;_辅助!$J$5))</f>
        <v>0</v>
      </c>
      <c r="C18">
        <f>IF(C$2&gt;_辅助!$J$2,0,(-SUMIFS(资金流水!$R$6:$R$2005,资金流水!$X$6:$X$2005,"其他管理费",资金流水!$S$6:$S$2005,"&gt;="&amp;MAX(C$2,_辅助!$J$4),资金流水!$S$6:$S$2005,"&lt;="&amp;C$2)))</f>
        <v>0</v>
      </c>
      <c r="D18">
        <f>IF(D$2&gt;_辅助!$J$2,0,(-SUMIFS(资金流水!$R$6:$R$2005,资金流水!$X$6:$X$2005,"其他管理费",资金流水!$S$6:$S$2005,"&gt;="&amp;MAX(D$2,_辅助!$J$4),资金流水!$S$6:$S$2005,"&lt;="&amp;D$2)))</f>
        <v>0</v>
      </c>
      <c r="E18">
        <f>IF(E$2&gt;_辅助!$J$2,0,(-SUMIFS(资金流水!$R$6:$R$2005,资金流水!$X$6:$X$2005,"其他管理费",资金流水!$S$6:$S$2005,"&gt;="&amp;MAX(E$2,_辅助!$J$4),资金流水!$S$6:$S$2005,"&lt;="&amp;E$2)))</f>
        <v>0</v>
      </c>
      <c r="F18">
        <f>IF(F$2&gt;_辅助!$J$2,0,(-SUMIFS(资金流水!$R$6:$R$2005,资金流水!$X$6:$X$2005,"其他管理费",资金流水!$S$6:$S$2005,"&gt;="&amp;MAX(F$2,_辅助!$J$4),资金流水!$S$6:$S$2005,"&lt;="&amp;F$2)))</f>
        <v>0</v>
      </c>
      <c r="G18">
        <f>IF(G$2&gt;_辅助!$J$2,0,(-SUMIFS(资金流水!$R$6:$R$2005,资金流水!$X$6:$X$2005,"其他管理费",资金流水!$S$6:$S$2005,"&gt;="&amp;MAX(G$2,_辅助!$J$4),资金流水!$S$6:$S$2005,"&lt;="&amp;G$2)))</f>
        <v>0</v>
      </c>
      <c r="H18">
        <f>IF(H$2&gt;_辅助!$J$2,0,(-SUMIFS(资金流水!$R$6:$R$2005,资金流水!$X$6:$X$2005,"其他管理费",资金流水!$S$6:$S$2005,"&gt;="&amp;MAX(H$2,_辅助!$J$4),资金流水!$S$6:$S$2005,"&lt;="&amp;H$2)))</f>
        <v>0</v>
      </c>
      <c r="I18">
        <f>IF(I$2&gt;_辅助!$J$2,0,(-SUMIFS(资金流水!$R$6:$R$2005,资金流水!$X$6:$X$2005,"其他管理费",资金流水!$S$6:$S$2005,"&gt;="&amp;MAX(I$2,_辅助!$J$4),资金流水!$S$6:$S$2005,"&lt;="&amp;I$2)))</f>
        <v>0</v>
      </c>
      <c r="J18">
        <f>IF(J$2&gt;_辅助!$J$2,0,(-SUMIFS(资金流水!$R$6:$R$2005,资金流水!$X$6:$X$2005,"其他管理费",资金流水!$S$6:$S$2005,"&gt;="&amp;MAX(J$2,_辅助!$J$4),资金流水!$S$6:$S$2005,"&lt;="&amp;J$2)))</f>
        <v>0</v>
      </c>
      <c r="K18">
        <f>IF(K$2&gt;_辅助!$J$2,0,(-SUMIFS(资金流水!$R$6:$R$2005,资金流水!$X$6:$X$2005,"其他管理费",资金流水!$S$6:$S$2005,"&gt;="&amp;MAX(K$2,_辅助!$J$4),资金流水!$S$6:$S$2005,"&lt;="&amp;K$2)))</f>
        <v>0</v>
      </c>
      <c r="L18">
        <f>IF(L$2&gt;_辅助!$J$2,0,(-SUMIFS(资金流水!$R$6:$R$2005,资金流水!$X$6:$X$2005,"其他管理费",资金流水!$S$6:$S$2005,"&gt;="&amp;MAX(L$2,_辅助!$J$4),资金流水!$S$6:$S$2005,"&lt;="&amp;L$2)))</f>
        <v>0</v>
      </c>
      <c r="M18">
        <f>IF(M$2&gt;_辅助!$J$2,0,(-SUMIFS(资金流水!$R$6:$R$2005,资金流水!$X$6:$X$2005,"其他管理费",资金流水!$S$6:$S$2005,"&gt;="&amp;MAX(M$2,_辅助!$J$4),资金流水!$S$6:$S$2005,"&lt;="&amp;M$2)))</f>
        <v>0</v>
      </c>
      <c r="N18">
        <f>IF(N$2&gt;_辅助!$J$2,0,(-SUMIFS(资金流水!$R$6:$R$2005,资金流水!$X$6:$X$2005,"其他管理费",资金流水!$S$6:$S$2005,"&gt;="&amp;MAX(N$2,_辅助!$J$4),资金流水!$S$6:$S$2005,"&lt;="&amp;N$2)))</f>
        <v>0</v>
      </c>
      <c r="O18">
        <f t="shared" si="0"/>
        <v>0</v>
      </c>
    </row>
    <row r="19">
      <c r="A19" t="inlineStr">
        <is>
          <t>利息支出</t>
        </is>
      </c>
      <c r="B19">
        <f>(-SUMIFS(资金流水!$R$6:$R$2005,资金流水!$X$6:$X$2005,"利息支出",资金流水!$S$6:$S$2005,"&gt;="&amp;_辅助!$J$4,资金流水!$S$6:$S$2005,"&lt;="&amp;_辅助!$J$5))</f>
        <v>0</v>
      </c>
      <c r="C19">
        <f>IF(C$2&gt;_辅助!$J$2,0,(-SUMIFS(资金流水!$R$6:$R$2005,资金流水!$X$6:$X$2005,"利息支出",资金流水!$S$6:$S$2005,"&gt;="&amp;MAX(C$2,_辅助!$J$4),资金流水!$S$6:$S$2005,"&lt;="&amp;C$2)))</f>
        <v>0</v>
      </c>
      <c r="D19">
        <f>IF(D$2&gt;_辅助!$J$2,0,(-SUMIFS(资金流水!$R$6:$R$2005,资金流水!$X$6:$X$2005,"利息支出",资金流水!$S$6:$S$2005,"&gt;="&amp;MAX(D$2,_辅助!$J$4),资金流水!$S$6:$S$2005,"&lt;="&amp;D$2)))</f>
        <v>0</v>
      </c>
      <c r="E19">
        <f>IF(E$2&gt;_辅助!$J$2,0,(-SUMIFS(资金流水!$R$6:$R$2005,资金流水!$X$6:$X$2005,"利息支出",资金流水!$S$6:$S$2005,"&gt;="&amp;MAX(E$2,_辅助!$J$4),资金流水!$S$6:$S$2005,"&lt;="&amp;E$2)))</f>
        <v>0</v>
      </c>
      <c r="F19">
        <f>IF(F$2&gt;_辅助!$J$2,0,(-SUMIFS(资金流水!$R$6:$R$2005,资金流水!$X$6:$X$2005,"利息支出",资金流水!$S$6:$S$2005,"&gt;="&amp;MAX(F$2,_辅助!$J$4),资金流水!$S$6:$S$2005,"&lt;="&amp;F$2)))</f>
        <v>1474.08</v>
      </c>
      <c r="G19">
        <f>IF(G$2&gt;_辅助!$J$2,0,(-SUMIFS(资金流水!$R$6:$R$2005,资金流水!$X$6:$X$2005,"利息支出",资金流水!$S$6:$S$2005,"&gt;="&amp;MAX(G$2,_辅助!$J$4),资金流水!$S$6:$S$2005,"&lt;="&amp;G$2)))</f>
        <v>1052.92</v>
      </c>
      <c r="H19">
        <f>IF(H$2&gt;_辅助!$J$2,0,(-SUMIFS(资金流水!$R$6:$R$2005,资金流水!$X$6:$X$2005,"利息支出",资金流水!$S$6:$S$2005,"&gt;="&amp;MAX(H$2,_辅助!$J$4),资金流水!$S$6:$S$2005,"&lt;="&amp;H$2)))</f>
        <v>1088.01</v>
      </c>
      <c r="I19">
        <f>IF(I$2&gt;_辅助!$J$2,0,(-SUMIFS(资金流水!$R$6:$R$2005,资金流水!$X$6:$X$2005,"利息支出",资金流水!$S$6:$S$2005,"&gt;="&amp;MAX(I$2,_辅助!$J$4),资金流水!$S$6:$S$2005,"&lt;="&amp;I$2)))</f>
        <v>1052.92</v>
      </c>
      <c r="J19">
        <f>IF(J$2&gt;_辅助!$J$2,0,(-SUMIFS(资金流水!$R$6:$R$2005,资金流水!$X$6:$X$2005,"利息支出",资金流水!$S$6:$S$2005,"&gt;="&amp;MAX(J$2,_辅助!$J$4),资金流水!$S$6:$S$2005,"&lt;="&amp;J$2)))</f>
        <v>1088.01</v>
      </c>
      <c r="K19">
        <f>IF(K$2&gt;_辅助!$J$2,0,(-SUMIFS(资金流水!$R$6:$R$2005,资金流水!$X$6:$X$2005,"利息支出",资金流水!$S$6:$S$2005,"&gt;="&amp;MAX(K$2,_辅助!$J$4),资金流水!$S$6:$S$2005,"&lt;="&amp;K$2)))</f>
        <v>0</v>
      </c>
      <c r="L19">
        <f>IF(L$2&gt;_辅助!$J$2,0,(-SUMIFS(资金流水!$R$6:$R$2005,资金流水!$X$6:$X$2005,"利息支出",资金流水!$S$6:$S$2005,"&gt;="&amp;MAX(L$2,_辅助!$J$4),资金流水!$S$6:$S$2005,"&lt;="&amp;L$2)))</f>
        <v>0</v>
      </c>
      <c r="M19">
        <f>IF(M$2&gt;_辅助!$J$2,0,(-SUMIFS(资金流水!$R$6:$R$2005,资金流水!$X$6:$X$2005,"利息支出",资金流水!$S$6:$S$2005,"&gt;="&amp;MAX(M$2,_辅助!$J$4),资金流水!$S$6:$S$2005,"&lt;="&amp;M$2)))</f>
        <v>0</v>
      </c>
      <c r="N19">
        <f>IF(N$2&gt;_辅助!$J$2,0,(-SUMIFS(资金流水!$R$6:$R$2005,资金流水!$X$6:$X$2005,"利息支出",资金流水!$S$6:$S$2005,"&gt;="&amp;MAX(N$2,_辅助!$J$4),资金流水!$S$6:$S$2005,"&lt;="&amp;N$2)))</f>
        <v>0</v>
      </c>
      <c r="O19">
        <f t="shared" si="0"/>
        <v>5755.94</v>
      </c>
    </row>
    <row r="20">
      <c r="A20" t="inlineStr">
        <is>
          <t>手续费</t>
        </is>
      </c>
      <c r="B20">
        <f>(-SUMIFS(资金流水!$R$6:$R$2005,资金流水!$X$6:$X$2005,"手续费",资金流水!$S$6:$S$2005,"&gt;="&amp;_辅助!$J$4,资金流水!$S$6:$S$2005,"&lt;="&amp;_辅助!$J$5))</f>
        <v>0</v>
      </c>
      <c r="C20">
        <f>IF(C$2&gt;_辅助!$J$2,0,(-SUMIFS(资金流水!$R$6:$R$2005,资金流水!$X$6:$X$2005,"手续费",资金流水!$S$6:$S$2005,"&gt;="&amp;MAX(C$2,_辅助!$J$4),资金流水!$S$6:$S$2005,"&lt;="&amp;C$2)))</f>
        <v>0</v>
      </c>
      <c r="D20">
        <f>IF(D$2&gt;_辅助!$J$2,0,(-SUMIFS(资金流水!$R$6:$R$2005,资金流水!$X$6:$X$2005,"手续费",资金流水!$S$6:$S$2005,"&gt;="&amp;MAX(D$2,_辅助!$J$4),资金流水!$S$6:$S$2005,"&lt;="&amp;D$2)))</f>
        <v>0</v>
      </c>
      <c r="E20">
        <f>IF(E$2&gt;_辅助!$J$2,0,(-SUMIFS(资金流水!$R$6:$R$2005,资金流水!$X$6:$X$2005,"手续费",资金流水!$S$6:$S$2005,"&gt;="&amp;MAX(E$2,_辅助!$J$4),资金流水!$S$6:$S$2005,"&lt;="&amp;E$2)))</f>
        <v>50.59</v>
      </c>
      <c r="F20">
        <f>IF(F$2&gt;_辅助!$J$2,0,(-SUMIFS(资金流水!$R$6:$R$2005,资金流水!$X$6:$X$2005,"手续费",资金流水!$S$6:$S$2005,"&gt;="&amp;MAX(F$2,_辅助!$J$4),资金流水!$S$6:$S$2005,"&lt;="&amp;F$2)))</f>
        <v>200</v>
      </c>
      <c r="G20">
        <f>IF(G$2&gt;_辅助!$J$2,0,(-SUMIFS(资金流水!$R$6:$R$2005,资金流水!$X$6:$X$2005,"手续费",资金流水!$S$6:$S$2005,"&gt;="&amp;MAX(G$2,_辅助!$J$4),资金流水!$S$6:$S$2005,"&lt;="&amp;G$2)))</f>
        <v>0</v>
      </c>
      <c r="H20">
        <f>IF(H$2&gt;_辅助!$J$2,0,(-SUMIFS(资金流水!$R$6:$R$2005,资金流水!$X$6:$X$2005,"手续费",资金流水!$S$6:$S$2005,"&gt;="&amp;MAX(H$2,_辅助!$J$4),资金流水!$S$6:$S$2005,"&lt;="&amp;H$2)))</f>
        <v>0</v>
      </c>
      <c r="I20">
        <f>IF(I$2&gt;_辅助!$J$2,0,(-SUMIFS(资金流水!$R$6:$R$2005,资金流水!$X$6:$X$2005,"手续费",资金流水!$S$6:$S$2005,"&gt;="&amp;MAX(I$2,_辅助!$J$4),资金流水!$S$6:$S$2005,"&lt;="&amp;I$2)))</f>
        <v>0</v>
      </c>
      <c r="J20">
        <f>IF(J$2&gt;_辅助!$J$2,0,(-SUMIFS(资金流水!$R$6:$R$2005,资金流水!$X$6:$X$2005,"手续费",资金流水!$S$6:$S$2005,"&gt;="&amp;MAX(J$2,_辅助!$J$4),资金流水!$S$6:$S$2005,"&lt;="&amp;J$2)))</f>
        <v>0</v>
      </c>
      <c r="K20">
        <f>IF(K$2&gt;_辅助!$J$2,0,(-SUMIFS(资金流水!$R$6:$R$2005,资金流水!$X$6:$X$2005,"手续费",资金流水!$S$6:$S$2005,"&gt;="&amp;MAX(K$2,_辅助!$J$4),资金流水!$S$6:$S$2005,"&lt;="&amp;K$2)))</f>
        <v>0</v>
      </c>
      <c r="L20">
        <f>IF(L$2&gt;_辅助!$J$2,0,(-SUMIFS(资金流水!$R$6:$R$2005,资金流水!$X$6:$X$2005,"手续费",资金流水!$S$6:$S$2005,"&gt;="&amp;MAX(L$2,_辅助!$J$4),资金流水!$S$6:$S$2005,"&lt;="&amp;L$2)))</f>
        <v>0</v>
      </c>
      <c r="M20">
        <f>IF(M$2&gt;_辅助!$J$2,0,(-SUMIFS(资金流水!$R$6:$R$2005,资金流水!$X$6:$X$2005,"手续费",资金流水!$S$6:$S$2005,"&gt;="&amp;MAX(M$2,_辅助!$J$4),资金流水!$S$6:$S$2005,"&lt;="&amp;M$2)))</f>
        <v>0</v>
      </c>
      <c r="N20">
        <f>IF(N$2&gt;_辅助!$J$2,0,(-SUMIFS(资金流水!$R$6:$R$2005,资金流水!$X$6:$X$2005,"手续费",资金流水!$S$6:$S$2005,"&gt;="&amp;MAX(N$2,_辅助!$J$4),资金流水!$S$6:$S$2005,"&lt;="&amp;N$2)))</f>
        <v>0</v>
      </c>
      <c r="O20">
        <f t="shared" si="0"/>
        <v>250.59</v>
      </c>
    </row>
    <row r="21">
      <c r="A21" t="inlineStr">
        <is>
          <t>利息收入</t>
        </is>
      </c>
      <c r="B21">
        <f>(-SUMIFS(资金流水!$R$6:$R$2005,资金流水!$X$6:$X$2005,"利息收入",资金流水!$S$6:$S$2005,"&gt;="&amp;_辅助!$J$4,资金流水!$S$6:$S$2005,"&lt;="&amp;_辅助!$J$5))</f>
        <v>0</v>
      </c>
      <c r="C21">
        <f>IF(C$2&gt;_辅助!$J$2,0,(-SUMIFS(资金流水!$R$6:$R$2005,资金流水!$X$6:$X$2005,"利息收入",资金流水!$S$6:$S$2005,"&gt;="&amp;MAX(C$2,_辅助!$J$4),资金流水!$S$6:$S$2005,"&lt;="&amp;C$2)))</f>
        <v>0</v>
      </c>
      <c r="D21">
        <f>IF(D$2&gt;_辅助!$J$2,0,(-SUMIFS(资金流水!$R$6:$R$2005,资金流水!$X$6:$X$2005,"利息收入",资金流水!$S$6:$S$2005,"&gt;="&amp;MAX(D$2,_辅助!$J$4),资金流水!$S$6:$S$2005,"&lt;="&amp;D$2)))</f>
        <v>0</v>
      </c>
      <c r="E21">
        <f>IF(E$2&gt;_辅助!$J$2,0,(-SUMIFS(资金流水!$R$6:$R$2005,资金流水!$X$6:$X$2005,"利息收入",资金流水!$S$6:$S$2005,"&gt;="&amp;MAX(E$2,_辅助!$J$4),资金流水!$S$6:$S$2005,"&lt;="&amp;E$2)))</f>
        <v>-2.32</v>
      </c>
      <c r="F21">
        <f>IF(F$2&gt;_辅助!$J$2,0,(-SUMIFS(资金流水!$R$6:$R$2005,资金流水!$X$6:$X$2005,"利息收入",资金流水!$S$6:$S$2005,"&gt;="&amp;MAX(F$2,_辅助!$J$4),资金流水!$S$6:$S$2005,"&lt;="&amp;F$2)))</f>
        <v>0</v>
      </c>
      <c r="G21">
        <f>IF(G$2&gt;_辅助!$J$2,0,(-SUMIFS(资金流水!$R$6:$R$2005,资金流水!$X$6:$X$2005,"利息收入",资金流水!$S$6:$S$2005,"&gt;="&amp;MAX(G$2,_辅助!$J$4),资金流水!$S$6:$S$2005,"&lt;="&amp;G$2)))</f>
        <v>0</v>
      </c>
      <c r="H21">
        <f>IF(H$2&gt;_辅助!$J$2,0,(-SUMIFS(资金流水!$R$6:$R$2005,资金流水!$X$6:$X$2005,"利息收入",资金流水!$S$6:$S$2005,"&gt;="&amp;MAX(H$2,_辅助!$J$4),资金流水!$S$6:$S$2005,"&lt;="&amp;H$2)))</f>
        <v>-3</v>
      </c>
      <c r="I21">
        <f>IF(I$2&gt;_辅助!$J$2,0,(-SUMIFS(资金流水!$R$6:$R$2005,资金流水!$X$6:$X$2005,"利息收入",资金流水!$S$6:$S$2005,"&gt;="&amp;MAX(I$2,_辅助!$J$4),资金流水!$S$6:$S$2005,"&lt;="&amp;I$2)))</f>
        <v>0</v>
      </c>
      <c r="J21">
        <f>IF(J$2&gt;_辅助!$J$2,0,(-SUMIFS(资金流水!$R$6:$R$2005,资金流水!$X$6:$X$2005,"利息收入",资金流水!$S$6:$S$2005,"&gt;="&amp;MAX(J$2,_辅助!$J$4),资金流水!$S$6:$S$2005,"&lt;="&amp;J$2)))</f>
        <v>0</v>
      </c>
      <c r="K21">
        <f>IF(K$2&gt;_辅助!$J$2,0,(-SUMIFS(资金流水!$R$6:$R$2005,资金流水!$X$6:$X$2005,"利息收入",资金流水!$S$6:$S$2005,"&gt;="&amp;MAX(K$2,_辅助!$J$4),资金流水!$S$6:$S$2005,"&lt;="&amp;K$2)))</f>
        <v>0</v>
      </c>
      <c r="L21">
        <f>IF(L$2&gt;_辅助!$J$2,0,(-SUMIFS(资金流水!$R$6:$R$2005,资金流水!$X$6:$X$2005,"利息收入",资金流水!$S$6:$S$2005,"&gt;="&amp;MAX(L$2,_辅助!$J$4),资金流水!$S$6:$S$2005,"&lt;="&amp;L$2)))</f>
        <v>0</v>
      </c>
      <c r="M21">
        <f>IF(M$2&gt;_辅助!$J$2,0,(-SUMIFS(资金流水!$R$6:$R$2005,资金流水!$X$6:$X$2005,"利息收入",资金流水!$S$6:$S$2005,"&gt;="&amp;MAX(M$2,_辅助!$J$4),资金流水!$S$6:$S$2005,"&lt;="&amp;M$2)))</f>
        <v>0</v>
      </c>
      <c r="N21">
        <f>IF(N$2&gt;_辅助!$J$2,0,(-SUMIFS(资金流水!$R$6:$R$2005,资金流水!$X$6:$X$2005,"利息收入",资金流水!$S$6:$S$2005,"&gt;="&amp;MAX(N$2,_辅助!$J$4),资金流水!$S$6:$S$2005,"&lt;="&amp;N$2)))</f>
        <v>0</v>
      </c>
      <c r="O21">
        <f t="shared" si="0"/>
        <v>-5.32</v>
      </c>
    </row>
    <row r="22">
      <c r="A22" t="inlineStr">
        <is>
          <t>其他收入</t>
        </is>
      </c>
      <c r="B22">
        <f>SUMIFS(资金流水!$R$6:$R$2005,资金流水!$X$6:$X$2005,"其他收入",资金流水!$S$6:$S$2005,"&gt;="&amp;_辅助!$J$4,资金流水!$S$6:$S$2005,"&lt;="&amp;_辅助!$J$5)</f>
        <v>0</v>
      </c>
      <c r="C22">
        <f>IF(C$2&gt;_辅助!$J$2,0,SUMIFS(资金流水!$R$6:$R$2005,资金流水!$X$6:$X$2005,"其他收入",资金流水!$S$6:$S$2005,"&gt;="&amp;MAX(C$2,_辅助!$J$4),资金流水!$S$6:$S$2005,"&lt;="&amp;C$2))</f>
        <v>0</v>
      </c>
      <c r="D22">
        <f>IF(D$2&gt;_辅助!$J$2,0,SUMIFS(资金流水!$R$6:$R$2005,资金流水!$X$6:$X$2005,"其他收入",资金流水!$S$6:$S$2005,"&gt;="&amp;MAX(D$2,_辅助!$J$4),资金流水!$S$6:$S$2005,"&lt;="&amp;D$2))</f>
        <v>0</v>
      </c>
      <c r="E22">
        <f>IF(E$2&gt;_辅助!$J$2,0,SUMIFS(资金流水!$R$6:$R$2005,资金流水!$X$6:$X$2005,"其他收入",资金流水!$S$6:$S$2005,"&gt;="&amp;MAX(E$2,_辅助!$J$4),资金流水!$S$6:$S$2005,"&lt;="&amp;E$2))</f>
        <v>0</v>
      </c>
      <c r="F22">
        <f>IF(F$2&gt;_辅助!$J$2,0,SUMIFS(资金流水!$R$6:$R$2005,资金流水!$X$6:$X$2005,"其他收入",资金流水!$S$6:$S$2005,"&gt;="&amp;MAX(F$2,_辅助!$J$4),资金流水!$S$6:$S$2005,"&lt;="&amp;F$2))</f>
        <v>0</v>
      </c>
      <c r="G22">
        <f>IF(G$2&gt;_辅助!$J$2,0,SUMIFS(资金流水!$R$6:$R$2005,资金流水!$X$6:$X$2005,"其他收入",资金流水!$S$6:$S$2005,"&gt;="&amp;MAX(G$2,_辅助!$J$4),资金流水!$S$6:$S$2005,"&lt;="&amp;G$2))</f>
        <v>0</v>
      </c>
      <c r="H22">
        <f>IF(H$2&gt;_辅助!$J$2,0,SUMIFS(资金流水!$R$6:$R$2005,资金流水!$X$6:$X$2005,"其他收入",资金流水!$S$6:$S$2005,"&gt;="&amp;MAX(H$2,_辅助!$J$4),资金流水!$S$6:$S$2005,"&lt;="&amp;H$2))</f>
        <v>0</v>
      </c>
      <c r="I22">
        <f>IF(I$2&gt;_辅助!$J$2,0,SUMIFS(资金流水!$R$6:$R$2005,资金流水!$X$6:$X$2005,"其他收入",资金流水!$S$6:$S$2005,"&gt;="&amp;MAX(I$2,_辅助!$J$4),资金流水!$S$6:$S$2005,"&lt;="&amp;I$2))</f>
        <v>0</v>
      </c>
      <c r="J22">
        <f>IF(J$2&gt;_辅助!$J$2,0,SUMIFS(资金流水!$R$6:$R$2005,资金流水!$X$6:$X$2005,"其他收入",资金流水!$S$6:$S$2005,"&gt;="&amp;MAX(J$2,_辅助!$J$4),资金流水!$S$6:$S$2005,"&lt;="&amp;J$2))</f>
        <v>0</v>
      </c>
      <c r="K22">
        <f>IF(K$2&gt;_辅助!$J$2,0,SUMIFS(资金流水!$R$6:$R$2005,资金流水!$X$6:$X$2005,"其他收入",资金流水!$S$6:$S$2005,"&gt;="&amp;MAX(K$2,_辅助!$J$4),资金流水!$S$6:$S$2005,"&lt;="&amp;K$2))</f>
        <v>0</v>
      </c>
      <c r="L22">
        <f>IF(L$2&gt;_辅助!$J$2,0,SUMIFS(资金流水!$R$6:$R$2005,资金流水!$X$6:$X$2005,"其他收入",资金流水!$S$6:$S$2005,"&gt;="&amp;MAX(L$2,_辅助!$J$4),资金流水!$S$6:$S$2005,"&lt;="&amp;L$2))</f>
        <v>0</v>
      </c>
      <c r="M22">
        <f>IF(M$2&gt;_辅助!$J$2,0,SUMIFS(资金流水!$R$6:$R$2005,资金流水!$X$6:$X$2005,"其他收入",资金流水!$S$6:$S$2005,"&gt;="&amp;MAX(M$2,_辅助!$J$4),资金流水!$S$6:$S$2005,"&lt;="&amp;M$2))</f>
        <v>0</v>
      </c>
      <c r="N22">
        <f>IF(N$2&gt;_辅助!$J$2,0,SUMIFS(资金流水!$R$6:$R$2005,资金流水!$X$6:$X$2005,"其他收入",资金流水!$S$6:$S$2005,"&gt;="&amp;MAX(N$2,_辅助!$J$4),资金流水!$S$6:$S$2005,"&lt;="&amp;N$2))</f>
        <v>0</v>
      </c>
      <c r="O22">
        <f t="shared" si="0"/>
        <v>0</v>
      </c>
    </row>
    <row r="23">
      <c r="A23" t="inlineStr">
        <is>
          <t>其他支出</t>
        </is>
      </c>
      <c r="B23">
        <f>(-SUMIFS(资金流水!$R$6:$R$2005,资金流水!$X$6:$X$2005,"其他支出",资金流水!$S$6:$S$2005,"&gt;="&amp;_辅助!$J$4,资金流水!$S$6:$S$2005,"&lt;="&amp;_辅助!$J$5))</f>
        <v>0</v>
      </c>
      <c r="C23">
        <f>IF(C$2&gt;_辅助!$J$2,0,(-SUMIFS(资金流水!$R$6:$R$2005,资金流水!$X$6:$X$2005,"其他支出",资金流水!$S$6:$S$2005,"&gt;="&amp;MAX(C$2,_辅助!$J$4),资金流水!$S$6:$S$2005,"&lt;="&amp;C$2)))</f>
        <v>0</v>
      </c>
      <c r="D23">
        <f>IF(D$2&gt;_辅助!$J$2,0,(-SUMIFS(资金流水!$R$6:$R$2005,资金流水!$X$6:$X$2005,"其他支出",资金流水!$S$6:$S$2005,"&gt;="&amp;MAX(D$2,_辅助!$J$4),资金流水!$S$6:$S$2005,"&lt;="&amp;D$2)))</f>
        <v>0</v>
      </c>
      <c r="E23">
        <f>IF(E$2&gt;_辅助!$J$2,0,(-SUMIFS(资金流水!$R$6:$R$2005,资金流水!$X$6:$X$2005,"其他支出",资金流水!$S$6:$S$2005,"&gt;="&amp;MAX(E$2,_辅助!$J$4),资金流水!$S$6:$S$2005,"&lt;="&amp;E$2)))</f>
        <v>0</v>
      </c>
      <c r="F23">
        <f>IF(F$2&gt;_辅助!$J$2,0,(-SUMIFS(资金流水!$R$6:$R$2005,资金流水!$X$6:$X$2005,"其他支出",资金流水!$S$6:$S$2005,"&gt;="&amp;MAX(F$2,_辅助!$J$4),资金流水!$S$6:$S$2005,"&lt;="&amp;F$2)))</f>
        <v>0</v>
      </c>
      <c r="G23">
        <f>IF(G$2&gt;_辅助!$J$2,0,(-SUMIFS(资金流水!$R$6:$R$2005,资金流水!$X$6:$X$2005,"其他支出",资金流水!$S$6:$S$2005,"&gt;="&amp;MAX(G$2,_辅助!$J$4),资金流水!$S$6:$S$2005,"&lt;="&amp;G$2)))</f>
        <v>0</v>
      </c>
      <c r="H23">
        <f>IF(H$2&gt;_辅助!$J$2,0,(-SUMIFS(资金流水!$R$6:$R$2005,资金流水!$X$6:$X$2005,"其他支出",资金流水!$S$6:$S$2005,"&gt;="&amp;MAX(H$2,_辅助!$J$4),资金流水!$S$6:$S$2005,"&lt;="&amp;H$2)))</f>
        <v>0</v>
      </c>
      <c r="I23">
        <f>IF(I$2&gt;_辅助!$J$2,0,(-SUMIFS(资金流水!$R$6:$R$2005,资金流水!$X$6:$X$2005,"其他支出",资金流水!$S$6:$S$2005,"&gt;="&amp;MAX(I$2,_辅助!$J$4),资金流水!$S$6:$S$2005,"&lt;="&amp;I$2)))</f>
        <v>0</v>
      </c>
      <c r="J23">
        <f>IF(J$2&gt;_辅助!$J$2,0,(-SUMIFS(资金流水!$R$6:$R$2005,资金流水!$X$6:$X$2005,"其他支出",资金流水!$S$6:$S$2005,"&gt;="&amp;MAX(J$2,_辅助!$J$4),资金流水!$S$6:$S$2005,"&lt;="&amp;J$2)))</f>
        <v>0</v>
      </c>
      <c r="K23">
        <f>IF(K$2&gt;_辅助!$J$2,0,(-SUMIFS(资金流水!$R$6:$R$2005,资金流水!$X$6:$X$2005,"其他支出",资金流水!$S$6:$S$2005,"&gt;="&amp;MAX(K$2,_辅助!$J$4),资金流水!$S$6:$S$2005,"&lt;="&amp;K$2)))</f>
        <v>0</v>
      </c>
      <c r="L23">
        <f>IF(L$2&gt;_辅助!$J$2,0,(-SUMIFS(资金流水!$R$6:$R$2005,资金流水!$X$6:$X$2005,"其他支出",资金流水!$S$6:$S$2005,"&gt;="&amp;MAX(L$2,_辅助!$J$4),资金流水!$S$6:$S$2005,"&lt;="&amp;L$2)))</f>
        <v>0</v>
      </c>
      <c r="M23">
        <f>IF(M$2&gt;_辅助!$J$2,0,(-SUMIFS(资金流水!$R$6:$R$2005,资金流水!$X$6:$X$2005,"其他支出",资金流水!$S$6:$S$2005,"&gt;="&amp;MAX(M$2,_辅助!$J$4),资金流水!$S$6:$S$2005,"&lt;="&amp;M$2)))</f>
        <v>0</v>
      </c>
      <c r="N23">
        <f>IF(N$2&gt;_辅助!$J$2,0,(-SUMIFS(资金流水!$R$6:$R$2005,资金流水!$X$6:$X$2005,"其他支出",资金流水!$S$6:$S$2005,"&gt;="&amp;MAX(N$2,_辅助!$J$4),资金流水!$S$6:$S$2005,"&lt;="&amp;N$2)))</f>
        <v>0</v>
      </c>
      <c r="O23">
        <f t="shared" si="0"/>
        <v>0</v>
      </c>
    </row>
    <row r="24">
      <c r="A24" t="inlineStr">
        <is>
          <t>其他税费</t>
        </is>
      </c>
      <c r="B24">
        <f>(-SUMIFS(资金流水!$R$6:$R$2005,资金流水!$X$6:$X$2005,"其他税费",资金流水!$S$6:$S$2005,"&gt;="&amp;_辅助!$J$4,资金流水!$S$6:$S$2005,"&lt;="&amp;_辅助!$J$5))</f>
        <v>0</v>
      </c>
      <c r="C24">
        <f>IF(C$2&gt;_辅助!$J$2,0,(-SUMIFS(资金流水!$R$6:$R$2005,资金流水!$X$6:$X$2005,"其他税费",资金流水!$S$6:$S$2005,"&gt;="&amp;MAX(C$2,_辅助!$J$4),资金流水!$S$6:$S$2005,"&lt;="&amp;C$2)))</f>
        <v>0</v>
      </c>
      <c r="D24">
        <f>IF(D$2&gt;_辅助!$J$2,0,(-SUMIFS(资金流水!$R$6:$R$2005,资金流水!$X$6:$X$2005,"其他税费",资金流水!$S$6:$S$2005,"&gt;="&amp;MAX(D$2,_辅助!$J$4),资金流水!$S$6:$S$2005,"&lt;="&amp;D$2)))</f>
        <v>0</v>
      </c>
      <c r="E24">
        <f>IF(E$2&gt;_辅助!$J$2,0,(-SUMIFS(资金流水!$R$6:$R$2005,资金流水!$X$6:$X$2005,"其他税费",资金流水!$S$6:$S$2005,"&gt;="&amp;MAX(E$2,_辅助!$J$4),资金流水!$S$6:$S$2005,"&lt;="&amp;E$2)))</f>
        <v>0</v>
      </c>
      <c r="F24">
        <f>IF(F$2&gt;_辅助!$J$2,0,(-SUMIFS(资金流水!$R$6:$R$2005,资金流水!$X$6:$X$2005,"其他税费",资金流水!$S$6:$S$2005,"&gt;="&amp;MAX(F$2,_辅助!$J$4),资金流水!$S$6:$S$2005,"&lt;="&amp;F$2)))</f>
        <v>0</v>
      </c>
      <c r="G24">
        <f>IF(G$2&gt;_辅助!$J$2,0,(-SUMIFS(资金流水!$R$6:$R$2005,资金流水!$X$6:$X$2005,"其他税费",资金流水!$S$6:$S$2005,"&gt;="&amp;MAX(G$2,_辅助!$J$4),资金流水!$S$6:$S$2005,"&lt;="&amp;G$2)))</f>
        <v>0</v>
      </c>
      <c r="H24">
        <f>IF(H$2&gt;_辅助!$J$2,0,(-SUMIFS(资金流水!$R$6:$R$2005,资金流水!$X$6:$X$2005,"其他税费",资金流水!$S$6:$S$2005,"&gt;="&amp;MAX(H$2,_辅助!$J$4),资金流水!$S$6:$S$2005,"&lt;="&amp;H$2)))</f>
        <v>0</v>
      </c>
      <c r="I24">
        <f>IF(I$2&gt;_辅助!$J$2,0,(-SUMIFS(资金流水!$R$6:$R$2005,资金流水!$X$6:$X$2005,"其他税费",资金流水!$S$6:$S$2005,"&gt;="&amp;MAX(I$2,_辅助!$J$4),资金流水!$S$6:$S$2005,"&lt;="&amp;I$2)))</f>
        <v>0</v>
      </c>
      <c r="J24">
        <f>IF(J$2&gt;_辅助!$J$2,0,(-SUMIFS(资金流水!$R$6:$R$2005,资金流水!$X$6:$X$2005,"其他税费",资金流水!$S$6:$S$2005,"&gt;="&amp;MAX(J$2,_辅助!$J$4),资金流水!$S$6:$S$2005,"&lt;="&amp;J$2)))</f>
        <v>0</v>
      </c>
      <c r="K24">
        <f>IF(K$2&gt;_辅助!$J$2,0,(-SUMIFS(资金流水!$R$6:$R$2005,资金流水!$X$6:$X$2005,"其他税费",资金流水!$S$6:$S$2005,"&gt;="&amp;MAX(K$2,_辅助!$J$4),资金流水!$S$6:$S$2005,"&lt;="&amp;K$2)))</f>
        <v>0</v>
      </c>
      <c r="L24">
        <f>IF(L$2&gt;_辅助!$J$2,0,(-SUMIFS(资金流水!$R$6:$R$2005,资金流水!$X$6:$X$2005,"其他税费",资金流水!$S$6:$S$2005,"&gt;="&amp;MAX(L$2,_辅助!$J$4),资金流水!$S$6:$S$2005,"&lt;="&amp;L$2)))</f>
        <v>0</v>
      </c>
      <c r="M24">
        <f>IF(M$2&gt;_辅助!$J$2,0,(-SUMIFS(资金流水!$R$6:$R$2005,资金流水!$X$6:$X$2005,"其他税费",资金流水!$S$6:$S$2005,"&gt;="&amp;MAX(M$2,_辅助!$J$4),资金流水!$S$6:$S$2005,"&lt;="&amp;M$2)))</f>
        <v>0</v>
      </c>
      <c r="N24">
        <f>IF(N$2&gt;_辅助!$J$2,0,(-SUMIFS(资金流水!$R$6:$R$2005,资金流水!$X$6:$X$2005,"其他税费",资金流水!$S$6:$S$2005,"&gt;="&amp;MAX(N$2,_辅助!$J$4),资金流水!$S$6:$S$2005,"&lt;="&amp;N$2)))</f>
        <v>0</v>
      </c>
      <c r="O24">
        <f t="shared" si="0"/>
        <v>0</v>
      </c>
    </row>
    <row r="25">
      <c r="A25" t="inlineStr">
        <is>
          <t>所得税</t>
        </is>
      </c>
      <c r="B25">
        <f>(-SUMIFS(资金流水!$R$6:$R$2005,资金流水!$X$6:$X$2005,"所得税",资金流水!$S$6:$S$2005,"&gt;="&amp;_辅助!$J$4,资金流水!$S$6:$S$2005,"&lt;="&amp;_辅助!$J$5))</f>
        <v>0</v>
      </c>
      <c r="C25">
        <f>IF(C$2&gt;_辅助!$J$2,0,(-SUMIFS(资金流水!$R$6:$R$2005,资金流水!$X$6:$X$2005,"所得税",资金流水!$S$6:$S$2005,"&gt;="&amp;MAX(C$2,_辅助!$J$4),资金流水!$S$6:$S$2005,"&lt;="&amp;C$2)))</f>
        <v>0</v>
      </c>
      <c r="D25">
        <f>IF(D$2&gt;_辅助!$J$2,0,(-SUMIFS(资金流水!$R$6:$R$2005,资金流水!$X$6:$X$2005,"所得税",资金流水!$S$6:$S$2005,"&gt;="&amp;MAX(D$2,_辅助!$J$4),资金流水!$S$6:$S$2005,"&lt;="&amp;D$2)))</f>
        <v>0</v>
      </c>
      <c r="E25">
        <f>IF(E$2&gt;_辅助!$J$2,0,(-SUMIFS(资金流水!$R$6:$R$2005,资金流水!$X$6:$X$2005,"所得税",资金流水!$S$6:$S$2005,"&gt;="&amp;MAX(E$2,_辅助!$J$4),资金流水!$S$6:$S$2005,"&lt;="&amp;E$2)))</f>
        <v>0</v>
      </c>
      <c r="F25">
        <f>IF(F$2&gt;_辅助!$J$2,0,(-SUMIFS(资金流水!$R$6:$R$2005,资金流水!$X$6:$X$2005,"所得税",资金流水!$S$6:$S$2005,"&gt;="&amp;MAX(F$2,_辅助!$J$4),资金流水!$S$6:$S$2005,"&lt;="&amp;F$2)))</f>
        <v>0</v>
      </c>
      <c r="G25">
        <f>IF(G$2&gt;_辅助!$J$2,0,(-SUMIFS(资金流水!$R$6:$R$2005,资金流水!$X$6:$X$2005,"所得税",资金流水!$S$6:$S$2005,"&gt;="&amp;MAX(G$2,_辅助!$J$4),资金流水!$S$6:$S$2005,"&lt;="&amp;G$2)))</f>
        <v>0</v>
      </c>
      <c r="H25">
        <f>IF(H$2&gt;_辅助!$J$2,0,(-SUMIFS(资金流水!$R$6:$R$2005,资金流水!$X$6:$X$2005,"所得税",资金流水!$S$6:$S$2005,"&gt;="&amp;MAX(H$2,_辅助!$J$4),资金流水!$S$6:$S$2005,"&lt;="&amp;H$2)))</f>
        <v>0</v>
      </c>
      <c r="I25">
        <f>IF(I$2&gt;_辅助!$J$2,0,(-SUMIFS(资金流水!$R$6:$R$2005,资金流水!$X$6:$X$2005,"所得税",资金流水!$S$6:$S$2005,"&gt;="&amp;MAX(I$2,_辅助!$J$4),资金流水!$S$6:$S$2005,"&lt;="&amp;I$2)))</f>
        <v>0</v>
      </c>
      <c r="J25">
        <f>IF(J$2&gt;_辅助!$J$2,0,(-SUMIFS(资金流水!$R$6:$R$2005,资金流水!$X$6:$X$2005,"所得税",资金流水!$S$6:$S$2005,"&gt;="&amp;MAX(J$2,_辅助!$J$4),资金流水!$S$6:$S$2005,"&lt;="&amp;J$2)))</f>
        <v>93.94</v>
      </c>
      <c r="K25">
        <f>IF(K$2&gt;_辅助!$J$2,0,(-SUMIFS(资金流水!$R$6:$R$2005,资金流水!$X$6:$X$2005,"所得税",资金流水!$S$6:$S$2005,"&gt;="&amp;MAX(K$2,_辅助!$J$4),资金流水!$S$6:$S$2005,"&lt;="&amp;K$2)))</f>
        <v>0</v>
      </c>
      <c r="L25">
        <f>IF(L$2&gt;_辅助!$J$2,0,(-SUMIFS(资金流水!$R$6:$R$2005,资金流水!$X$6:$X$2005,"所得税",资金流水!$S$6:$S$2005,"&gt;="&amp;MAX(L$2,_辅助!$J$4),资金流水!$S$6:$S$2005,"&lt;="&amp;L$2)))</f>
        <v>0</v>
      </c>
      <c r="M25">
        <f>IF(M$2&gt;_辅助!$J$2,0,(-SUMIFS(资金流水!$R$6:$R$2005,资金流水!$X$6:$X$2005,"所得税",资金流水!$S$6:$S$2005,"&gt;="&amp;MAX(M$2,_辅助!$J$4),资金流水!$S$6:$S$2005,"&lt;="&amp;M$2)))</f>
        <v>0</v>
      </c>
      <c r="N25">
        <f>IF(N$2&gt;_辅助!$J$2,0,(-SUMIFS(资金流水!$R$6:$R$2005,资金流水!$X$6:$X$2005,"所得税",资金流水!$S$6:$S$2005,"&gt;="&amp;MAX(N$2,_辅助!$J$4),资金流水!$S$6:$S$2005,"&lt;="&amp;N$2)))</f>
        <v>0</v>
      </c>
      <c r="O25">
        <f t="shared" si="0"/>
        <v>93.94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X62"/>
  <sheetViews>
    <sheetView tabSelected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>
      <c r="A1" t="inlineStr">
        <is>
          <t>每个项目的各种数（取数用，别改）：前＝建账起到上年底，本＝本年到截止月</t>
        </is>
      </c>
    </row>
    <row r="2">
      <c r="B2" t="inlineStr">
        <is>
          <t>确认收入(前)</t>
        </is>
      </c>
      <c r="C2" t="inlineStr">
        <is>
          <t>确认收入(本年)</t>
        </is>
      </c>
      <c r="D2" t="inlineStr">
        <is>
          <t>现金回款(前)</t>
        </is>
      </c>
      <c r="E2" t="inlineStr">
        <is>
          <t>现金回款(本年)</t>
        </is>
      </c>
      <c r="F2" t="inlineStr">
        <is>
          <t>抵账(前)</t>
        </is>
      </c>
      <c r="G2" t="inlineStr">
        <is>
          <t>抵账(本年)</t>
        </is>
      </c>
      <c r="H2" t="inlineStr">
        <is>
          <t>开票(前)</t>
        </is>
      </c>
      <c r="I2" t="inlineStr">
        <is>
          <t>开票(本年)</t>
        </is>
      </c>
      <c r="J2" t="inlineStr">
        <is>
          <t>销项税(前)</t>
        </is>
      </c>
      <c r="K2" t="inlineStr">
        <is>
          <t>销项税(本年)</t>
        </is>
      </c>
      <c r="L2" t="inlineStr">
        <is>
          <t>进项税(前)</t>
        </is>
      </c>
      <c r="M2" t="inlineStr">
        <is>
          <t>进项税(本年)</t>
        </is>
      </c>
      <c r="N2" t="inlineStr">
        <is>
          <t>材料(前)</t>
        </is>
      </c>
      <c r="O2" t="inlineStr">
        <is>
          <t>材料(本年)</t>
        </is>
      </c>
      <c r="P2" t="inlineStr">
        <is>
          <t>人工(前)</t>
        </is>
      </c>
      <c r="Q2" t="inlineStr">
        <is>
          <t>人工(本年)</t>
        </is>
      </c>
      <c r="R2" t="inlineStr">
        <is>
          <t>分包(前)</t>
        </is>
      </c>
      <c r="S2" t="inlineStr">
        <is>
          <t>分包(本年)</t>
        </is>
      </c>
      <c r="T2" t="inlineStr">
        <is>
          <t>机械(前)</t>
        </is>
      </c>
      <c r="U2" t="inlineStr">
        <is>
          <t>机械(本年)</t>
        </is>
      </c>
      <c r="V2" t="inlineStr">
        <is>
          <t>其他直接(前)</t>
        </is>
      </c>
      <c r="W2" t="inlineStr">
        <is>
          <t>其他直接(本年)</t>
        </is>
      </c>
      <c r="X2" t="inlineStr">
        <is>
          <t>甲方扣款(前)</t>
        </is>
      </c>
      <c r="Y2" t="inlineStr">
        <is>
          <t>甲方扣款(本年)</t>
        </is>
      </c>
      <c r="Z2" t="inlineStr">
        <is>
          <t>贴息(前)</t>
        </is>
      </c>
      <c r="AA2" t="inlineStr">
        <is>
          <t>贴息(本年)</t>
        </is>
      </c>
      <c r="AB2" t="inlineStr">
        <is>
          <t>人工1月</t>
        </is>
      </c>
      <c r="AC2" t="inlineStr">
        <is>
          <t>人工2月</t>
        </is>
      </c>
      <c r="AD2" t="inlineStr">
        <is>
          <t>人工3月</t>
        </is>
      </c>
      <c r="AE2" t="inlineStr">
        <is>
          <t>人工4月</t>
        </is>
      </c>
      <c r="AF2" t="inlineStr">
        <is>
          <t>人工5月</t>
        </is>
      </c>
      <c r="AG2" t="inlineStr">
        <is>
          <t>人工6月</t>
        </is>
      </c>
      <c r="AH2" t="inlineStr">
        <is>
          <t>人工7月</t>
        </is>
      </c>
      <c r="AI2" t="inlineStr">
        <is>
          <t>人工8月</t>
        </is>
      </c>
      <c r="AJ2" t="inlineStr">
        <is>
          <t>人工9月</t>
        </is>
      </c>
      <c r="AK2" t="inlineStr">
        <is>
          <t>人工10月</t>
        </is>
      </c>
      <c r="AL2" t="inlineStr">
        <is>
          <t>人工11月</t>
        </is>
      </c>
      <c r="AM2" t="inlineStr">
        <is>
          <t>人工12月</t>
        </is>
      </c>
      <c r="AN2">
        <f>_辅助!$J$6+0</f>
        <v>2026</v>
      </c>
      <c r="AO2">
        <f>_辅助!$J$6+1</f>
        <v>2027</v>
      </c>
      <c r="AP2">
        <f>_辅助!$J$6+2</f>
        <v>2028</v>
      </c>
      <c r="AQ2">
        <f>_辅助!$J$6+3</f>
        <v>2029</v>
      </c>
      <c r="AR2">
        <f>_辅助!$J$6+4</f>
        <v>2030</v>
      </c>
      <c r="AS2">
        <f>_辅助!$J$6+5</f>
        <v>2031</v>
      </c>
      <c r="AT2">
        <f>_辅助!$J$6+6</f>
        <v>2032</v>
      </c>
      <c r="AU2">
        <f>_辅助!$J$6+7</f>
        <v>2033</v>
      </c>
      <c r="AV2" t="inlineStr">
        <is>
          <t>应收(截止)</t>
        </is>
      </c>
      <c r="AW2" t="inlineStr">
        <is>
          <t>应收(年初)</t>
        </is>
      </c>
      <c r="AX2" t="inlineStr">
        <is>
          <t>期初应收</t>
        </is>
      </c>
    </row>
    <row r="3">
      <c r="A3" t="str">
        <f>项目档案!$B$4&amp;""</f>
        <v>德安养老中心</v>
      </c>
      <c r="B3">
        <f t="shared" ref="B3:B62" si="8">IF($A3="",0,SUMIFS(收入确认!$E$5:$E$204,收入确认!$H$5:$H$204,"&gt;="&amp;_辅助!$J$4,收入确认!$H$5:$H$204,"&lt;="&amp;_辅助!$J$5,收入确认!$C$5:$C$204,$A3))</f>
        <v>0</v>
      </c>
      <c r="C3">
        <f t="shared" ref="C3:C62" si="9">IF($A3="",0,SUMIFS(收入确认!$E$5:$E$204,收入确认!$H$5:$H$204,"&gt;="&amp;MAX(_辅助!$J$1,_辅助!$J$4),收入确认!$H$5:$H$204,"&lt;="&amp;_辅助!$J$2,收入确认!$C$5:$C$204,$A3))</f>
        <v>0</v>
      </c>
      <c r="D3">
        <f t="shared" ref="D3:D62" si="10">IF($A3="",0,SUMIFS(资金流水!$R$6:$R$2005,资金流水!$X$6:$X$2005,"应收账款",资金流水!$S$6:$S$2005,"&gt;="&amp;_辅助!$J$4,资金流水!$S$6:$S$2005,"&lt;="&amp;_辅助!$J$5,资金流水!$H$6:$H$2005,$A3))</f>
        <v>0</v>
      </c>
      <c r="E3">
        <f t="shared" ref="E3:E62" si="11">IF($A3="",0,SUMIFS(资金流水!$R$6:$R$2005,资金流水!$X$6:$X$2005,"应收账款",资金流水!$S$6:$S$2005,"&gt;="&amp;MAX(_辅助!$J$1,_辅助!$J$4),资金流水!$S$6:$S$2005,"&lt;="&amp;_辅助!$J$2,资金流水!$H$6:$H$2005,$A3))</f>
        <v>280819.79</v>
      </c>
      <c r="F3">
        <f t="shared" ref="F3:F62" si="12">IF($A3="",0,SUMIFS(代发抵账!$F$5:$F$304,代发抵账!$C$5:$C$304,$A3,代发抵账!$H$5:$H$304,"&gt;="&amp;_辅助!$J$4,代发抵账!$H$5:$H$304,"&lt;="&amp;_辅助!$J$5))</f>
        <v>0</v>
      </c>
      <c r="G3">
        <f t="shared" ref="G3:G62" si="13">IF($A3="",0,SUMIFS(代发抵账!$F$5:$F$304,代发抵账!$C$5:$C$304,$A3,代发抵账!$H$5:$H$304,"&gt;="&amp;MAX(_辅助!$J$1,_辅助!$J$4),代发抵账!$H$5:$H$304,"&lt;="&amp;_辅助!$J$2))</f>
        <v>0</v>
      </c>
      <c r="H3">
        <f t="shared" ref="H3:H62" si="14">IF($A3="",0,SUMIFS(发票登记!$AB$5:$AB$1004,发票登记!$U$5:$U$1004,"销项",发票登记!$T$5:$T$1004,$A3,发票登记!$Y$5:$Y$1004,"&gt;="&amp;_辅助!$J$4,发票登记!$Y$5:$Y$1004,"&lt;="&amp;_辅助!$J$5))</f>
        <v>0</v>
      </c>
      <c r="I3">
        <f t="shared" ref="I3:I62" si="15">IF($A3="",0,SUMIFS(发票登记!$AB$5:$AB$1004,发票登记!$U$5:$U$1004,"销项",发票登记!$T$5:$T$1004,$A3,发票登记!$Y$5:$Y$1004,"&gt;="&amp;MAX(_辅助!$J$1,_辅助!$J$4),发票登记!$Y$5:$Y$1004,"&lt;="&amp;_辅助!$J$2))</f>
        <v>0</v>
      </c>
      <c r="J3">
        <f t="shared" ref="J3:J62" si="16">IF($A3="",0,SUMIFS(收入确认!$J$5:$J$204,收入确认!$H$5:$H$204,"&gt;="&amp;_辅助!$J$4,收入确认!$H$5:$H$204,"&lt;="&amp;_辅助!$J$5,收入确认!$C$5:$C$204,$A3))</f>
        <v>0</v>
      </c>
      <c r="K3">
        <f t="shared" ref="K3:K62" si="17">IF($A3="",0,SUMIFS(收入确认!$J$5:$J$204,收入确认!$H$5:$H$204,"&gt;="&amp;MAX(_辅助!$J$1,_辅助!$J$4),收入确认!$H$5:$H$204,"&lt;="&amp;_辅助!$J$2,收入确认!$C$5:$C$204,$A3))</f>
        <v>0</v>
      </c>
      <c r="L3">
        <f t="shared" ref="L3:L62" si="18">IF($A3="",0,SUMIFS(发票登记!$AA$5:$AA$1004,发票登记!$U$5:$U$1004,"进项",发票登记!$Z$5:$Z$1004,1,发票登记!$Y$5:$Y$1004,"&gt;="&amp;_辅助!$J$4,发票登记!$Y$5:$Y$1004,"&lt;="&amp;_辅助!$J$5,发票登记!$T$5:$T$1004,$A3))</f>
        <v>0</v>
      </c>
      <c r="M3">
        <f t="shared" ref="M3:M62" si="19">IF($A3="",0,SUMIFS(发票登记!$AA$5:$AA$1004,发票登记!$U$5:$U$1004,"进项",发票登记!$Z$5:$Z$1004,1,发票登记!$Y$5:$Y$1004,"&gt;="&amp;MAX(_辅助!$J$1,_辅助!$J$4),发票登记!$Y$5:$Y$1004,"&lt;="&amp;_辅助!$J$2,发票登记!$T$5:$T$1004,$A3))</f>
        <v>0</v>
      </c>
      <c r="N3">
        <f t="shared" ref="N3:N62" si="20">IF($A3="",0,(SUMIFS(应付登记!$G$5:$G$1004,应付登记!$C$5:$C$1004,"材料",应付登记!$J$5:$J$1004,"&gt;="&amp;_辅助!$J$4,应付登记!$J$5:$J$1004,"&lt;="&amp;_辅助!$J$5,应付登记!$E$5:$E$1004,$A3)+(-SUMIFS(资金流水!$R$6:$R$2005,资金流水!$X$6:$X$2005,"材料费",资金流水!$S$6:$S$2005,"&gt;="&amp;_辅助!$J$4,资金流水!$S$6:$S$2005,"&lt;="&amp;_辅助!$J$5,资金流水!$H$6:$H$2005,$A3))+SUMIFS(代发抵账!$F$5:$F$304,代发抵账!$D$5:$D$304,"甲供材扣款",代发抵账!$H$5:$H$304,"&gt;="&amp;_辅助!$J$4,代发抵账!$H$5:$H$304,"&lt;="&amp;_辅助!$J$5,代发抵账!$C$5:$C$304,$A3)))</f>
        <v>0</v>
      </c>
      <c r="O3">
        <f t="shared" ref="O3:O62" si="21">IF($A3="",0,(SUMIFS(应付登记!$G$5:$G$1004,应付登记!$C$5:$C$1004,"材料",应付登记!$J$5:$J$1004,"&gt;="&amp;MAX(_辅助!$J$1,_辅助!$J$4),应付登记!$J$5:$J$1004,"&lt;="&amp;_辅助!$J$2,应付登记!$E$5:$E$1004,$A3)+(-SUMIFS(资金流水!$R$6:$R$2005,资金流水!$X$6:$X$2005,"材料费",资金流水!$S$6:$S$2005,"&gt;="&amp;MAX(_辅助!$J$1,_辅助!$J$4),资金流水!$S$6:$S$2005,"&lt;="&amp;_辅助!$J$2,资金流水!$H$6:$H$2005,$A3))+SUMIFS(代发抵账!$F$5:$F$304,代发抵账!$D$5:$D$304,"甲供材扣款",代发抵账!$H$5:$H$304,"&gt;="&amp;MAX(_辅助!$J$1,_辅助!$J$4),代发抵账!$H$5:$H$304,"&lt;="&amp;_辅助!$J$2,代发抵账!$C$5:$C$304,$A3)))</f>
        <v>53216</v>
      </c>
      <c r="P3">
        <f t="shared" ref="P3:P62" si="22">IF($A3="",0,((SUMIFS(考勤工资!$AC$5:$AC$1004,考勤工资!$D$5:$D$1004,$A3,考勤工资!$Y$5:$Y$1004,"&gt;="&amp;_辅助!$J$4,考勤工资!$Y$5:$Y$1004,"&lt;="&amp;_辅助!$J$5)+SUMIFS(考勤工资!$AD$5:$AD$1004,考勤工资!$F$5:$F$1004,$A3,考勤工资!$Y$5:$Y$1004,"&gt;="&amp;_辅助!$J$4,考勤工资!$Y$5:$Y$1004,"&lt;="&amp;_辅助!$J$5)+SUMIFS(考勤工资!$AE$5:$AE$1004,考勤工资!$H$5:$H$1004,$A3,考勤工资!$Y$5:$Y$1004,"&gt;="&amp;_辅助!$J$4,考勤工资!$Y$5:$Y$1004,"&lt;="&amp;_辅助!$J$5)+SUMIFS(考勤工资!$AF$5:$AF$1004,考勤工资!$J$5:$J$1004,$A3,考勤工资!$Y$5:$Y$1004,"&gt;="&amp;_辅助!$J$4,考勤工资!$Y$5:$Y$1004,"&lt;="&amp;_辅助!$J$5))+(-SUMIFS(资金流水!$R$6:$R$2005,资金流水!$X$6:$X$2005,"人工费",资金流水!$S$6:$S$2005,"&gt;="&amp;_辅助!$J$4,资金流水!$S$6:$S$2005,"&lt;="&amp;_辅助!$J$5,资金流水!$H$6:$H$2005,$A3))))</f>
        <v>0</v>
      </c>
      <c r="Q3">
        <f t="shared" ref="Q3:Q62" si="23">IF($A3="",0,((SUMIFS(考勤工资!$AC$5:$AC$1004,考勤工资!$D$5:$D$1004,$A3,考勤工资!$Y$5:$Y$1004,"&gt;="&amp;MAX(_辅助!$J$1,_辅助!$J$4),考勤工资!$Y$5:$Y$1004,"&lt;="&amp;_辅助!$J$2)+SUMIFS(考勤工资!$AD$5:$AD$1004,考勤工资!$F$5:$F$1004,$A3,考勤工资!$Y$5:$Y$1004,"&gt;="&amp;MAX(_辅助!$J$1,_辅助!$J$4),考勤工资!$Y$5:$Y$1004,"&lt;="&amp;_辅助!$J$2)+SUMIFS(考勤工资!$AE$5:$AE$1004,考勤工资!$H$5:$H$1004,$A3,考勤工资!$Y$5:$Y$1004,"&gt;="&amp;MAX(_辅助!$J$1,_辅助!$J$4),考勤工资!$Y$5:$Y$1004,"&lt;="&amp;_辅助!$J$2)+SUMIFS(考勤工资!$AF$5:$AF$1004,考勤工资!$J$5:$J$1004,$A3,考勤工资!$Y$5:$Y$1004,"&gt;="&amp;MAX(_辅助!$J$1,_辅助!$J$4),考勤工资!$Y$5:$Y$1004,"&lt;="&amp;_辅助!$J$2))+(-SUMIFS(资金流水!$R$6:$R$2005,资金流水!$X$6:$X$2005,"人工费",资金流水!$S$6:$S$2005,"&gt;="&amp;MAX(_辅助!$J$1,_辅助!$J$4),资金流水!$S$6:$S$2005,"&lt;="&amp;_辅助!$J$2,资金流水!$H$6:$H$2005,$A3))))</f>
        <v>147283.9</v>
      </c>
      <c r="R3">
        <f t="shared" ref="R3:R62" si="24">IF($A3="",0,(SUMIFS(应付登记!$G$5:$G$1004,应付登记!$C$5:$C$1004,"分包",应付登记!$J$5:$J$1004,"&gt;="&amp;_辅助!$J$4,应付登记!$J$5:$J$1004,"&lt;="&amp;_辅助!$J$5,应付登记!$E$5:$E$1004,$A3)+(-SUMIFS(资金流水!$R$6:$R$2005,资金流水!$X$6:$X$2005,"分包费",资金流水!$S$6:$S$2005,"&gt;="&amp;_辅助!$J$4,资金流水!$S$6:$S$2005,"&lt;="&amp;_辅助!$J$5,资金流水!$H$6:$H$2005,$A3))))</f>
        <v>0</v>
      </c>
      <c r="S3">
        <f t="shared" ref="S3:S62" si="25">IF($A3="",0,(SUMIFS(应付登记!$G$5:$G$1004,应付登记!$C$5:$C$1004,"分包",应付登记!$J$5:$J$1004,"&gt;="&amp;MAX(_辅助!$J$1,_辅助!$J$4),应付登记!$J$5:$J$1004,"&lt;="&amp;_辅助!$J$2,应付登记!$E$5:$E$1004,$A3)+(-SUMIFS(资金流水!$R$6:$R$2005,资金流水!$X$6:$X$2005,"分包费",资金流水!$S$6:$S$2005,"&gt;="&amp;MAX(_辅助!$J$1,_辅助!$J$4),资金流水!$S$6:$S$2005,"&lt;="&amp;_辅助!$J$2,资金流水!$H$6:$H$2005,$A3))))</f>
        <v>0</v>
      </c>
      <c r="T3">
        <f t="shared" ref="T3:T62" si="26">IF($A3="",0,(SUMIFS(应付登记!$G$5:$G$1004,应付登记!$C$5:$C$1004,"机械运输",应付登记!$J$5:$J$1004,"&gt;="&amp;_辅助!$J$4,应付登记!$J$5:$J$1004,"&lt;="&amp;_辅助!$J$5,应付登记!$E$5:$E$1004,$A3)+(-SUMIFS(资金流水!$R$6:$R$2005,资金流水!$X$6:$X$2005,"机械运输费",资金流水!$S$6:$S$2005,"&gt;="&amp;_辅助!$J$4,资金流水!$S$6:$S$2005,"&lt;="&amp;_辅助!$J$5,资金流水!$H$6:$H$2005,$A3))+SUMPRODUCT(基础资料!$AP$5:$AP$34*((基础资料!$AS$5:$AS$34+((INT(_辅助!$J$5/100)*12+MOD(_辅助!$J$5,100))-基础资料!$AS$5:$AS$34)*((INT(_辅助!$J$5/100)*12+MOD(_辅助!$J$5,100))&lt;基础资料!$AS$5:$AS$34))-(基础资料!$AR$5:$AR$34+((INT(_辅助!$J$4/100)*12+MOD(_辅助!$J$4,100))-基础资料!$AR$5:$AR$34)*((INT(_辅助!$J$4/100)*12+MOD(_辅助!$J$4,100))&gt;基础资料!$AR$5:$AR$34))+1)*(((基础资料!$AS$5:$AS$34+((INT(_辅助!$J$5/100)*12+MOD(_辅助!$J$5,100))-基础资料!$AS$5:$AS$34)*((INT(_辅助!$J$5/100)*12+MOD(_辅助!$J$5,100))&lt;基础资料!$AS$5:$AS$34))-(基础资料!$AR$5:$AR$34+((INT(_辅助!$J$4/100)*12+MOD(_辅助!$J$4,100))-基础资料!$AR$5:$AR$34)*((INT(_辅助!$J$4/100)*12+MOD(_辅助!$J$4,100))&gt;基础资料!$AR$5:$AR$34))+1)&gt;0)*(基础资料!$AO$5:$AO$34=$A3))))</f>
        <v>0</v>
      </c>
      <c r="U3">
        <f t="shared" ref="U3:U62" si="27">IF($A3="",0,(SUMIFS(应付登记!$G$5:$G$1004,应付登记!$C$5:$C$1004,"机械运输",应付登记!$J$5:$J$1004,"&gt;="&amp;MAX(_辅助!$J$1,_辅助!$J$4),应付登记!$J$5:$J$1004,"&lt;="&amp;_辅助!$J$2,应付登记!$E$5:$E$1004,$A3)+(-SUMIFS(资金流水!$R$6:$R$2005,资金流水!$X$6:$X$2005,"机械运输费",资金流水!$S$6:$S$2005,"&gt;="&amp;MAX(_辅助!$J$1,_辅助!$J$4),资金流水!$S$6:$S$2005,"&lt;="&amp;_辅助!$J$2,资金流水!$H$6:$H$2005,$A3))+SUMPRODUCT(基础资料!$AP$5:$AP$34*((基础资料!$AS$5:$AS$34+((INT(_辅助!$J$2/100)*12+MOD(_辅助!$J$2,100))-基础资料!$AS$5:$AS$34)*((INT(_辅助!$J$2/100)*12+MOD(_辅助!$J$2,100))&lt;基础资料!$AS$5:$AS$34))-(基础资料!$AR$5:$AR$34+((INT(MAX(_辅助!$J$1,_辅助!$J$4)/100)*12+MOD(MAX(_辅助!$J$1,_辅助!$J$4),100))-基础资料!$AR$5:$AR$34)*((INT(MAX(_辅助!$J$1,_辅助!$J$4)/100)*12+MOD(MAX(_辅助!$J$1,_辅助!$J$4),100))&gt;基础资料!$AR$5:$AR$34))+1)*(((基础资料!$AS$5:$AS$34+((INT(_辅助!$J$2/100)*12+MOD(_辅助!$J$2,100))-基础资料!$AS$5:$AS$34)*((INT(_辅助!$J$2/100)*12+MOD(_辅助!$J$2,100))&lt;基础资料!$AS$5:$AS$34))-(基础资料!$AR$5:$AR$34+((INT(MAX(_辅助!$J$1,_辅助!$J$4)/100)*12+MOD(MAX(_辅助!$J$1,_辅助!$J$4),100))-基础资料!$AR$5:$AR$34)*((INT(MAX(_辅助!$J$1,_辅助!$J$4)/100)*12+MOD(MAX(_辅助!$J$1,_辅助!$J$4),100))&gt;基础资料!$AR$5:$AR$34))+1)&gt;0)*(基础资料!$AO$5:$AO$34=$A3))))</f>
        <v>0</v>
      </c>
      <c r="V3">
        <f t="shared" ref="V3:V62" si="28">IF($A3="",0,(SUMIFS(应付登记!$G$5:$G$1004,应付登记!$C$5:$C$1004,"其他直接费",应付登记!$J$5:$J$1004,"&gt;="&amp;_辅助!$J$4,应付登记!$J$5:$J$1004,"&lt;="&amp;_辅助!$J$5,应付登记!$E$5:$E$1004,$A3)+(-SUMIFS(资金流水!$R$6:$R$2005,资金流水!$X$6:$X$2005,"其他直接费",资金流水!$S$6:$S$2005,"&gt;="&amp;_辅助!$J$4,资金流水!$S$6:$S$2005,"&lt;="&amp;_辅助!$J$5,资金流水!$H$6:$H$2005,$A3))))</f>
        <v>0</v>
      </c>
      <c r="W3">
        <f t="shared" ref="W3:W62" si="29">IF($A3="",0,(SUMIFS(应付登记!$G$5:$G$1004,应付登记!$C$5:$C$1004,"其他直接费",应付登记!$J$5:$J$1004,"&gt;="&amp;MAX(_辅助!$J$1,_辅助!$J$4),应付登记!$J$5:$J$1004,"&lt;="&amp;_辅助!$J$2,应付登记!$E$5:$E$1004,$A3)+(-SUMIFS(资金流水!$R$6:$R$2005,资金流水!$X$6:$X$2005,"其他直接费",资金流水!$S$6:$S$2005,"&gt;="&amp;MAX(_辅助!$J$1,_辅助!$J$4),资金流水!$S$6:$S$2005,"&lt;="&amp;_辅助!$J$2,资金流水!$H$6:$H$2005,$A3))))</f>
        <v>12000</v>
      </c>
      <c r="X3">
        <f t="shared" ref="X3:X62" si="30">IF($A3="",0,SUMIFS(代发抵账!$F$5:$F$304,代发抵账!$D$5:$D$304,"甲方扣款",代发抵账!$H$5:$H$304,"&gt;="&amp;_辅助!$J$4,代发抵账!$H$5:$H$304,"&lt;="&amp;_辅助!$J$5,代发抵账!$C$5:$C$304,$A3))</f>
        <v>0</v>
      </c>
      <c r="Y3">
        <f t="shared" ref="Y3:Y62" si="31">IF($A3="",0,SUMIFS(代发抵账!$F$5:$F$304,代发抵账!$D$5:$D$304,"甲方扣款",代发抵账!$H$5:$H$304,"&gt;="&amp;MAX(_辅助!$J$1,_辅助!$J$4),代发抵账!$H$5:$H$304,"&lt;="&amp;_辅助!$J$2,代发抵账!$C$5:$C$304,$A3))</f>
        <v>0</v>
      </c>
      <c r="Z3">
        <f t="shared" ref="Z3:Z62" si="32">IF($A3="",0,(-SUMIFS(资金流水!$R$6:$R$2005,资金流水!$X$6:$X$2005,"票据贴息",资金流水!$S$6:$S$2005,"&gt;="&amp;_辅助!$J$4,资金流水!$S$6:$S$2005,"&lt;="&amp;_辅助!$J$5,资金流水!$H$6:$H$2005,$A3)))</f>
        <v>0</v>
      </c>
      <c r="AA3">
        <f t="shared" ref="AA3:AA62" si="33">IF($A3="",0,(-SUMIFS(资金流水!$R$6:$R$2005,资金流水!$X$6:$X$2005,"票据贴息",资金流水!$S$6:$S$2005,"&gt;="&amp;MAX(_辅助!$J$1,_辅助!$J$4),资金流水!$S$6:$S$2005,"&lt;="&amp;_辅助!$J$2,资金流水!$H$6:$H$2005,$A3)))</f>
        <v>0</v>
      </c>
      <c r="AB3">
        <f t="shared" ref="AB3:AB62" si="34">IF(OR($A3="",_辅助!$J$7*100+1&gt;_辅助!$J$2),0,((SUMIFS(考勤工资!$AC$5:$AC$1004,考勤工资!$D$5:$D$1004,$A3,考勤工资!$Y$5:$Y$1004,"&gt;="&amp;MAX(_辅助!$J$7*100+1,_辅助!$J$4),考勤工资!$Y$5:$Y$1004,"&lt;="&amp;_辅助!$J$7*100+1)+SUMIFS(考勤工资!$AD$5:$AD$1004,考勤工资!$F$5:$F$1004,$A3,考勤工资!$Y$5:$Y$1004,"&gt;="&amp;MAX(_辅助!$J$7*100+1,_辅助!$J$4),考勤工资!$Y$5:$Y$1004,"&lt;="&amp;_辅助!$J$7*100+1)+SUMIFS(考勤工资!$AE$5:$AE$1004,考勤工资!$H$5:$H$1004,$A3,考勤工资!$Y$5:$Y$1004,"&gt;="&amp;MAX(_辅助!$J$7*100+1,_辅助!$J$4),考勤工资!$Y$5:$Y$1004,"&lt;="&amp;_辅助!$J$7*100+1)+SUMIFS(考勤工资!$AF$5:$AF$1004,考勤工资!$J$5:$J$1004,$A3,考勤工资!$Y$5:$Y$1004,"&gt;="&amp;MAX(_辅助!$J$7*100+1,_辅助!$J$4),考勤工资!$Y$5:$Y$1004,"&lt;="&amp;_辅助!$J$7*100+1))+(-SUMIFS(资金流水!$R$6:$R$2005,资金流水!$X$6:$X$2005,"人工费",资金流水!$S$6:$S$2005,"&gt;="&amp;MAX(_辅助!$J$7*100+1,_辅助!$J$4),资金流水!$S$6:$S$2005,"&lt;="&amp;_辅助!$J$7*100+1,资金流水!$H$6:$H$2005,$A3))))</f>
        <v>0</v>
      </c>
      <c r="AC3">
        <f t="shared" ref="AC3:AC62" si="35">IF(OR($A3="",_辅助!$J$7*100+2&gt;_辅助!$J$2),0,((SUMIFS(考勤工资!$AC$5:$AC$1004,考勤工资!$D$5:$D$1004,$A3,考勤工资!$Y$5:$Y$1004,"&gt;="&amp;MAX(_辅助!$J$7*100+2,_辅助!$J$4),考勤工资!$Y$5:$Y$1004,"&lt;="&amp;_辅助!$J$7*100+2)+SUMIFS(考勤工资!$AD$5:$AD$1004,考勤工资!$F$5:$F$1004,$A3,考勤工资!$Y$5:$Y$1004,"&gt;="&amp;MAX(_辅助!$J$7*100+2,_辅助!$J$4),考勤工资!$Y$5:$Y$1004,"&lt;="&amp;_辅助!$J$7*100+2)+SUMIFS(考勤工资!$AE$5:$AE$1004,考勤工资!$H$5:$H$1004,$A3,考勤工资!$Y$5:$Y$1004,"&gt;="&amp;MAX(_辅助!$J$7*100+2,_辅助!$J$4),考勤工资!$Y$5:$Y$1004,"&lt;="&amp;_辅助!$J$7*100+2)+SUMIFS(考勤工资!$AF$5:$AF$1004,考勤工资!$J$5:$J$1004,$A3,考勤工资!$Y$5:$Y$1004,"&gt;="&amp;MAX(_辅助!$J$7*100+2,_辅助!$J$4),考勤工资!$Y$5:$Y$1004,"&lt;="&amp;_辅助!$J$7*100+2))+(-SUMIFS(资金流水!$R$6:$R$2005,资金流水!$X$6:$X$2005,"人工费",资金流水!$S$6:$S$2005,"&gt;="&amp;MAX(_辅助!$J$7*100+2,_辅助!$J$4),资金流水!$S$6:$S$2005,"&lt;="&amp;_辅助!$J$7*100+2,资金流水!$H$6:$H$2005,$A3))))</f>
        <v>0</v>
      </c>
      <c r="AD3">
        <f t="shared" ref="AD3:AD62" si="36">IF(OR($A3="",_辅助!$J$7*100+3&gt;_辅助!$J$2),0,((SUMIFS(考勤工资!$AC$5:$AC$1004,考勤工资!$D$5:$D$1004,$A3,考勤工资!$Y$5:$Y$1004,"&gt;="&amp;MAX(_辅助!$J$7*100+3,_辅助!$J$4),考勤工资!$Y$5:$Y$1004,"&lt;="&amp;_辅助!$J$7*100+3)+SUMIFS(考勤工资!$AD$5:$AD$1004,考勤工资!$F$5:$F$1004,$A3,考勤工资!$Y$5:$Y$1004,"&gt;="&amp;MAX(_辅助!$J$7*100+3,_辅助!$J$4),考勤工资!$Y$5:$Y$1004,"&lt;="&amp;_辅助!$J$7*100+3)+SUMIFS(考勤工资!$AE$5:$AE$1004,考勤工资!$H$5:$H$1004,$A3,考勤工资!$Y$5:$Y$1004,"&gt;="&amp;MAX(_辅助!$J$7*100+3,_辅助!$J$4),考勤工资!$Y$5:$Y$1004,"&lt;="&amp;_辅助!$J$7*100+3)+SUMIFS(考勤工资!$AF$5:$AF$1004,考勤工资!$J$5:$J$1004,$A3,考勤工资!$Y$5:$Y$1004,"&gt;="&amp;MAX(_辅助!$J$7*100+3,_辅助!$J$4),考勤工资!$Y$5:$Y$1004,"&lt;="&amp;_辅助!$J$7*100+3))+(-SUMIFS(资金流水!$R$6:$R$2005,资金流水!$X$6:$X$2005,"人工费",资金流水!$S$6:$S$2005,"&gt;="&amp;MAX(_辅助!$J$7*100+3,_辅助!$J$4),资金流水!$S$6:$S$2005,"&lt;="&amp;_辅助!$J$7*100+3,资金流水!$H$6:$H$2005,$A3))))</f>
        <v>43845</v>
      </c>
      <c r="AE3">
        <f t="shared" ref="AE3:AE62" si="37">IF(OR($A3="",_辅助!$J$7*100+4&gt;_辅助!$J$2),0,((SUMIFS(考勤工资!$AC$5:$AC$1004,考勤工资!$D$5:$D$1004,$A3,考勤工资!$Y$5:$Y$1004,"&gt;="&amp;MAX(_辅助!$J$7*100+4,_辅助!$J$4),考勤工资!$Y$5:$Y$1004,"&lt;="&amp;_辅助!$J$7*100+4)+SUMIFS(考勤工资!$AD$5:$AD$1004,考勤工资!$F$5:$F$1004,$A3,考勤工资!$Y$5:$Y$1004,"&gt;="&amp;MAX(_辅助!$J$7*100+4,_辅助!$J$4),考勤工资!$Y$5:$Y$1004,"&lt;="&amp;_辅助!$J$7*100+4)+SUMIFS(考勤工资!$AE$5:$AE$1004,考勤工资!$H$5:$H$1004,$A3,考勤工资!$Y$5:$Y$1004,"&gt;="&amp;MAX(_辅助!$J$7*100+4,_辅助!$J$4),考勤工资!$Y$5:$Y$1004,"&lt;="&amp;_辅助!$J$7*100+4)+SUMIFS(考勤工资!$AF$5:$AF$1004,考勤工资!$J$5:$J$1004,$A3,考勤工资!$Y$5:$Y$1004,"&gt;="&amp;MAX(_辅助!$J$7*100+4,_辅助!$J$4),考勤工资!$Y$5:$Y$1004,"&lt;="&amp;_辅助!$J$7*100+4))+(-SUMIFS(资金流水!$R$6:$R$2005,资金流水!$X$6:$X$2005,"人工费",资金流水!$S$6:$S$2005,"&gt;="&amp;MAX(_辅助!$J$7*100+4,_辅助!$J$4),资金流水!$S$6:$S$2005,"&lt;="&amp;_辅助!$J$7*100+4,资金流水!$H$6:$H$2005,$A3))))</f>
        <v>103438.9</v>
      </c>
      <c r="AF3">
        <f t="shared" ref="AF3:AF62" si="38">IF(OR($A3="",_辅助!$J$7*100+5&gt;_辅助!$J$2),0,((SUMIFS(考勤工资!$AC$5:$AC$1004,考勤工资!$D$5:$D$1004,$A3,考勤工资!$Y$5:$Y$1004,"&gt;="&amp;MAX(_辅助!$J$7*100+5,_辅助!$J$4),考勤工资!$Y$5:$Y$1004,"&lt;="&amp;_辅助!$J$7*100+5)+SUMIFS(考勤工资!$AD$5:$AD$1004,考勤工资!$F$5:$F$1004,$A3,考勤工资!$Y$5:$Y$1004,"&gt;="&amp;MAX(_辅助!$J$7*100+5,_辅助!$J$4),考勤工资!$Y$5:$Y$1004,"&lt;="&amp;_辅助!$J$7*100+5)+SUMIFS(考勤工资!$AE$5:$AE$1004,考勤工资!$H$5:$H$1004,$A3,考勤工资!$Y$5:$Y$1004,"&gt;="&amp;MAX(_辅助!$J$7*100+5,_辅助!$J$4),考勤工资!$Y$5:$Y$1004,"&lt;="&amp;_辅助!$J$7*100+5)+SUMIFS(考勤工资!$AF$5:$AF$1004,考勤工资!$J$5:$J$1004,$A3,考勤工资!$Y$5:$Y$1004,"&gt;="&amp;MAX(_辅助!$J$7*100+5,_辅助!$J$4),考勤工资!$Y$5:$Y$1004,"&lt;="&amp;_辅助!$J$7*100+5))+(-SUMIFS(资金流水!$R$6:$R$2005,资金流水!$X$6:$X$2005,"人工费",资金流水!$S$6:$S$2005,"&gt;="&amp;MAX(_辅助!$J$7*100+5,_辅助!$J$4),资金流水!$S$6:$S$2005,"&lt;="&amp;_辅助!$J$7*100+5,资金流水!$H$6:$H$2005,$A3))))</f>
        <v>0</v>
      </c>
      <c r="AG3">
        <f t="shared" ref="AG3:AG62" si="39">IF(OR($A3="",_辅助!$J$7*100+6&gt;_辅助!$J$2),0,((SUMIFS(考勤工资!$AC$5:$AC$1004,考勤工资!$D$5:$D$1004,$A3,考勤工资!$Y$5:$Y$1004,"&gt;="&amp;MAX(_辅助!$J$7*100+6,_辅助!$J$4),考勤工资!$Y$5:$Y$1004,"&lt;="&amp;_辅助!$J$7*100+6)+SUMIFS(考勤工资!$AD$5:$AD$1004,考勤工资!$F$5:$F$1004,$A3,考勤工资!$Y$5:$Y$1004,"&gt;="&amp;MAX(_辅助!$J$7*100+6,_辅助!$J$4),考勤工资!$Y$5:$Y$1004,"&lt;="&amp;_辅助!$J$7*100+6)+SUMIFS(考勤工资!$AE$5:$AE$1004,考勤工资!$H$5:$H$1004,$A3,考勤工资!$Y$5:$Y$1004,"&gt;="&amp;MAX(_辅助!$J$7*100+6,_辅助!$J$4),考勤工资!$Y$5:$Y$1004,"&lt;="&amp;_辅助!$J$7*100+6)+SUMIFS(考勤工资!$AF$5:$AF$1004,考勤工资!$J$5:$J$1004,$A3,考勤工资!$Y$5:$Y$1004,"&gt;="&amp;MAX(_辅助!$J$7*100+6,_辅助!$J$4),考勤工资!$Y$5:$Y$1004,"&lt;="&amp;_辅助!$J$7*100+6))+(-SUMIFS(资金流水!$R$6:$R$2005,资金流水!$X$6:$X$2005,"人工费",资金流水!$S$6:$S$2005,"&gt;="&amp;MAX(_辅助!$J$7*100+6,_辅助!$J$4),资金流水!$S$6:$S$2005,"&lt;="&amp;_辅助!$J$7*100+6,资金流水!$H$6:$H$2005,$A3))))</f>
        <v>0</v>
      </c>
      <c r="AH3">
        <f t="shared" ref="AH3:AH62" si="40">IF(OR($A3="",_辅助!$J$7*100+7&gt;_辅助!$J$2),0,((SUMIFS(考勤工资!$AC$5:$AC$1004,考勤工资!$D$5:$D$1004,$A3,考勤工资!$Y$5:$Y$1004,"&gt;="&amp;MAX(_辅助!$J$7*100+7,_辅助!$J$4),考勤工资!$Y$5:$Y$1004,"&lt;="&amp;_辅助!$J$7*100+7)+SUMIFS(考勤工资!$AD$5:$AD$1004,考勤工资!$F$5:$F$1004,$A3,考勤工资!$Y$5:$Y$1004,"&gt;="&amp;MAX(_辅助!$J$7*100+7,_辅助!$J$4),考勤工资!$Y$5:$Y$1004,"&lt;="&amp;_辅助!$J$7*100+7)+SUMIFS(考勤工资!$AE$5:$AE$1004,考勤工资!$H$5:$H$1004,$A3,考勤工资!$Y$5:$Y$1004,"&gt;="&amp;MAX(_辅助!$J$7*100+7,_辅助!$J$4),考勤工资!$Y$5:$Y$1004,"&lt;="&amp;_辅助!$J$7*100+7)+SUMIFS(考勤工资!$AF$5:$AF$1004,考勤工资!$J$5:$J$1004,$A3,考勤工资!$Y$5:$Y$1004,"&gt;="&amp;MAX(_辅助!$J$7*100+7,_辅助!$J$4),考勤工资!$Y$5:$Y$1004,"&lt;="&amp;_辅助!$J$7*100+7))+(-SUMIFS(资金流水!$R$6:$R$2005,资金流水!$X$6:$X$2005,"人工费",资金流水!$S$6:$S$2005,"&gt;="&amp;MAX(_辅助!$J$7*100+7,_辅助!$J$4),资金流水!$S$6:$S$2005,"&lt;="&amp;_辅助!$J$7*100+7,资金流水!$H$6:$H$2005,$A3))))</f>
        <v>0</v>
      </c>
      <c r="AI3">
        <f t="shared" ref="AI3:AI62" si="41">IF(OR($A3="",_辅助!$J$7*100+8&gt;_辅助!$J$2),0,((SUMIFS(考勤工资!$AC$5:$AC$1004,考勤工资!$D$5:$D$1004,$A3,考勤工资!$Y$5:$Y$1004,"&gt;="&amp;MAX(_辅助!$J$7*100+8,_辅助!$J$4),考勤工资!$Y$5:$Y$1004,"&lt;="&amp;_辅助!$J$7*100+8)+SUMIFS(考勤工资!$AD$5:$AD$1004,考勤工资!$F$5:$F$1004,$A3,考勤工资!$Y$5:$Y$1004,"&gt;="&amp;MAX(_辅助!$J$7*100+8,_辅助!$J$4),考勤工资!$Y$5:$Y$1004,"&lt;="&amp;_辅助!$J$7*100+8)+SUMIFS(考勤工资!$AE$5:$AE$1004,考勤工资!$H$5:$H$1004,$A3,考勤工资!$Y$5:$Y$1004,"&gt;="&amp;MAX(_辅助!$J$7*100+8,_辅助!$J$4),考勤工资!$Y$5:$Y$1004,"&lt;="&amp;_辅助!$J$7*100+8)+SUMIFS(考勤工资!$AF$5:$AF$1004,考勤工资!$J$5:$J$1004,$A3,考勤工资!$Y$5:$Y$1004,"&gt;="&amp;MAX(_辅助!$J$7*100+8,_辅助!$J$4),考勤工资!$Y$5:$Y$1004,"&lt;="&amp;_辅助!$J$7*100+8))+(-SUMIFS(资金流水!$R$6:$R$2005,资金流水!$X$6:$X$2005,"人工费",资金流水!$S$6:$S$2005,"&gt;="&amp;MAX(_辅助!$J$7*100+8,_辅助!$J$4),资金流水!$S$6:$S$2005,"&lt;="&amp;_辅助!$J$7*100+8,资金流水!$H$6:$H$2005,$A3))))</f>
        <v>0</v>
      </c>
      <c r="AJ3">
        <f t="shared" ref="AJ3:AJ62" si="42">IF(OR($A3="",_辅助!$J$7*100+9&gt;_辅助!$J$2),0,((SUMIFS(考勤工资!$AC$5:$AC$1004,考勤工资!$D$5:$D$1004,$A3,考勤工资!$Y$5:$Y$1004,"&gt;="&amp;MAX(_辅助!$J$7*100+9,_辅助!$J$4),考勤工资!$Y$5:$Y$1004,"&lt;="&amp;_辅助!$J$7*100+9)+SUMIFS(考勤工资!$AD$5:$AD$1004,考勤工资!$F$5:$F$1004,$A3,考勤工资!$Y$5:$Y$1004,"&gt;="&amp;MAX(_辅助!$J$7*100+9,_辅助!$J$4),考勤工资!$Y$5:$Y$1004,"&lt;="&amp;_辅助!$J$7*100+9)+SUMIFS(考勤工资!$AE$5:$AE$1004,考勤工资!$H$5:$H$1004,$A3,考勤工资!$Y$5:$Y$1004,"&gt;="&amp;MAX(_辅助!$J$7*100+9,_辅助!$J$4),考勤工资!$Y$5:$Y$1004,"&lt;="&amp;_辅助!$J$7*100+9)+SUMIFS(考勤工资!$AF$5:$AF$1004,考勤工资!$J$5:$J$1004,$A3,考勤工资!$Y$5:$Y$1004,"&gt;="&amp;MAX(_辅助!$J$7*100+9,_辅助!$J$4),考勤工资!$Y$5:$Y$1004,"&lt;="&amp;_辅助!$J$7*100+9))+(-SUMIFS(资金流水!$R$6:$R$2005,资金流水!$X$6:$X$2005,"人工费",资金流水!$S$6:$S$2005,"&gt;="&amp;MAX(_辅助!$J$7*100+9,_辅助!$J$4),资金流水!$S$6:$S$2005,"&lt;="&amp;_辅助!$J$7*100+9,资金流水!$H$6:$H$2005,$A3))))</f>
        <v>0</v>
      </c>
      <c r="AK3">
        <f t="shared" ref="AK3:AK62" si="43">IF(OR($A3="",_辅助!$J$7*100+10&gt;_辅助!$J$2),0,((SUMIFS(考勤工资!$AC$5:$AC$1004,考勤工资!$D$5:$D$1004,$A3,考勤工资!$Y$5:$Y$1004,"&gt;="&amp;MAX(_辅助!$J$7*100+10,_辅助!$J$4),考勤工资!$Y$5:$Y$1004,"&lt;="&amp;_辅助!$J$7*100+10)+SUMIFS(考勤工资!$AD$5:$AD$1004,考勤工资!$F$5:$F$1004,$A3,考勤工资!$Y$5:$Y$1004,"&gt;="&amp;MAX(_辅助!$J$7*100+10,_辅助!$J$4),考勤工资!$Y$5:$Y$1004,"&lt;="&amp;_辅助!$J$7*100+10)+SUMIFS(考勤工资!$AE$5:$AE$1004,考勤工资!$H$5:$H$1004,$A3,考勤工资!$Y$5:$Y$1004,"&gt;="&amp;MAX(_辅助!$J$7*100+10,_辅助!$J$4),考勤工资!$Y$5:$Y$1004,"&lt;="&amp;_辅助!$J$7*100+10)+SUMIFS(考勤工资!$AF$5:$AF$1004,考勤工资!$J$5:$J$1004,$A3,考勤工资!$Y$5:$Y$1004,"&gt;="&amp;MAX(_辅助!$J$7*100+10,_辅助!$J$4),考勤工资!$Y$5:$Y$1004,"&lt;="&amp;_辅助!$J$7*100+10))+(-SUMIFS(资金流水!$R$6:$R$2005,资金流水!$X$6:$X$2005,"人工费",资金流水!$S$6:$S$2005,"&gt;="&amp;MAX(_辅助!$J$7*100+10,_辅助!$J$4),资金流水!$S$6:$S$2005,"&lt;="&amp;_辅助!$J$7*100+10,资金流水!$H$6:$H$2005,$A3))))</f>
        <v>0</v>
      </c>
      <c r="AL3">
        <f t="shared" ref="AL3:AL62" si="44">IF(OR($A3="",_辅助!$J$7*100+11&gt;_辅助!$J$2),0,((SUMIFS(考勤工资!$AC$5:$AC$1004,考勤工资!$D$5:$D$1004,$A3,考勤工资!$Y$5:$Y$1004,"&gt;="&amp;MAX(_辅助!$J$7*100+11,_辅助!$J$4),考勤工资!$Y$5:$Y$1004,"&lt;="&amp;_辅助!$J$7*100+11)+SUMIFS(考勤工资!$AD$5:$AD$1004,考勤工资!$F$5:$F$1004,$A3,考勤工资!$Y$5:$Y$1004,"&gt;="&amp;MAX(_辅助!$J$7*100+11,_辅助!$J$4),考勤工资!$Y$5:$Y$1004,"&lt;="&amp;_辅助!$J$7*100+11)+SUMIFS(考勤工资!$AE$5:$AE$1004,考勤工资!$H$5:$H$1004,$A3,考勤工资!$Y$5:$Y$1004,"&gt;="&amp;MAX(_辅助!$J$7*100+11,_辅助!$J$4),考勤工资!$Y$5:$Y$1004,"&lt;="&amp;_辅助!$J$7*100+11)+SUMIFS(考勤工资!$AF$5:$AF$1004,考勤工资!$J$5:$J$1004,$A3,考勤工资!$Y$5:$Y$1004,"&gt;="&amp;MAX(_辅助!$J$7*100+11,_辅助!$J$4),考勤工资!$Y$5:$Y$1004,"&lt;="&amp;_辅助!$J$7*100+11))+(-SUMIFS(资金流水!$R$6:$R$2005,资金流水!$X$6:$X$2005,"人工费",资金流水!$S$6:$S$2005,"&gt;="&amp;MAX(_辅助!$J$7*100+11,_辅助!$J$4),资金流水!$S$6:$S$2005,"&lt;="&amp;_辅助!$J$7*100+11,资金流水!$H$6:$H$2005,$A3))))</f>
        <v>0</v>
      </c>
      <c r="AM3">
        <f t="shared" ref="AM3:AM62" si="45">IF(OR($A3="",_辅助!$J$7*100+12&gt;_辅助!$J$2),0,((SUMIFS(考勤工资!$AC$5:$AC$1004,考勤工资!$D$5:$D$1004,$A3,考勤工资!$Y$5:$Y$1004,"&gt;="&amp;MAX(_辅助!$J$7*100+12,_辅助!$J$4),考勤工资!$Y$5:$Y$1004,"&lt;="&amp;_辅助!$J$7*100+12)+SUMIFS(考勤工资!$AD$5:$AD$1004,考勤工资!$F$5:$F$1004,$A3,考勤工资!$Y$5:$Y$1004,"&gt;="&amp;MAX(_辅助!$J$7*100+12,_辅助!$J$4),考勤工资!$Y$5:$Y$1004,"&lt;="&amp;_辅助!$J$7*100+12)+SUMIFS(考勤工资!$AE$5:$AE$1004,考勤工资!$H$5:$H$1004,$A3,考勤工资!$Y$5:$Y$1004,"&gt;="&amp;MAX(_辅助!$J$7*100+12,_辅助!$J$4),考勤工资!$Y$5:$Y$1004,"&lt;="&amp;_辅助!$J$7*100+12)+SUMIFS(考勤工资!$AF$5:$AF$1004,考勤工资!$J$5:$J$1004,$A3,考勤工资!$Y$5:$Y$1004,"&gt;="&amp;MAX(_辅助!$J$7*100+12,_辅助!$J$4),考勤工资!$Y$5:$Y$1004,"&lt;="&amp;_辅助!$J$7*100+12))+(-SUMIFS(资金流水!$R$6:$R$2005,资金流水!$X$6:$X$2005,"人工费",资金流水!$S$6:$S$2005,"&gt;="&amp;MAX(_辅助!$J$7*100+12,_辅助!$J$4),资金流水!$S$6:$S$2005,"&lt;="&amp;_辅助!$J$7*100+12,资金流水!$H$6:$H$2005,$A3))))</f>
        <v>0</v>
      </c>
      <c r="AN3">
        <f t="shared" ref="AN3:AN62" si="0">IF(OR($A3="",AN$2&gt;_辅助!$J$7),0,((SUMIFS(考勤工资!$AC$5:$AC$1004,考勤工资!$D$5:$D$1004,$A3,考勤工资!$Y$5:$Y$1004,"&gt;="&amp;MAX(AN$2*100+1,_辅助!$J$4),考勤工资!$Y$5:$Y$1004,"&lt;="&amp;MIN(AN$2*100+12,_辅助!$J$2))+SUMIFS(考勤工资!$AD$5:$AD$1004,考勤工资!$F$5:$F$1004,$A3,考勤工资!$Y$5:$Y$1004,"&gt;="&amp;MAX(AN$2*100+1,_辅助!$J$4),考勤工资!$Y$5:$Y$1004,"&lt;="&amp;MIN(AN$2*100+12,_辅助!$J$2))+SUMIFS(考勤工资!$AE$5:$AE$1004,考勤工资!$H$5:$H$1004,$A3,考勤工资!$Y$5:$Y$1004,"&gt;="&amp;MAX(AN$2*100+1,_辅助!$J$4),考勤工资!$Y$5:$Y$1004,"&lt;="&amp;MIN(AN$2*100+12,_辅助!$J$2))+SUMIFS(考勤工资!$AF$5:$AF$1004,考勤工资!$J$5:$J$1004,$A3,考勤工资!$Y$5:$Y$1004,"&gt;="&amp;MAX(AN$2*100+1,_辅助!$J$4),考勤工资!$Y$5:$Y$1004,"&lt;="&amp;MIN(AN$2*100+12,_辅助!$J$2)))+(-SUMIFS(资金流水!$R$6:$R$2005,资金流水!$X$6:$X$2005,"人工费",资金流水!$S$6:$S$2005,"&gt;="&amp;MAX(AN$2*100+1,_辅助!$J$4),资金流水!$S$6:$S$2005,"&lt;="&amp;MIN(AN$2*100+12,_辅助!$J$2),资金流水!$H$6:$H$2005,$A3)))+(SUMIFS(应付登记!$G$5:$G$1004,应付登记!$C$5:$C$1004,"分包",应付登记!$J$5:$J$1004,"&gt;="&amp;MAX(AN$2*100+1,_辅助!$J$4),应付登记!$J$5:$J$1004,"&lt;="&amp;MIN(AN$2*100+12,_辅助!$J$2),应付登记!$E$5:$E$1004,$A3)+(-SUMIFS(资金流水!$R$6:$R$2005,资金流水!$X$6:$X$2005,"分包费",资金流水!$S$6:$S$2005,"&gt;="&amp;MAX(AN$2*100+1,_辅助!$J$4),资金流水!$S$6:$S$2005,"&lt;="&amp;MIN(AN$2*100+12,_辅助!$J$2),资金流水!$H$6:$H$2005,$A3)))+(SUMIFS(应付登记!$G$5:$G$1004,应付登记!$C$5:$C$1004,"机械运输",应付登记!$J$5:$J$1004,"&gt;="&amp;MAX(AN$2*100+1,_辅助!$J$4),应付登记!$J$5:$J$1004,"&lt;="&amp;MIN(AN$2*100+12,_辅助!$J$2),应付登记!$E$5:$E$1004,$A3)+(-SUMIFS(资金流水!$R$6:$R$2005,资金流水!$X$6:$X$2005,"机械运输费",资金流水!$S$6:$S$2005,"&gt;="&amp;MAX(AN$2*100+1,_辅助!$J$4),资金流水!$S$6:$S$2005,"&lt;="&amp;MIN(AN$2*100+12,_辅助!$J$2),资金流水!$H$6:$H$2005,$A3))+SUMPRODUCT(基础资料!$AP$5:$AP$34*((基础资料!$AS$5:$AS$34+((INT(MIN(AN$2*100+12,_辅助!$J$2)/100)*12+MOD(MIN(AN$2*100+12,_辅助!$J$2),100))-基础资料!$AS$5:$AS$34)*((INT(MIN(AN$2*100+12,_辅助!$J$2)/100)*12+MOD(MIN(AN$2*100+12,_辅助!$J$2),100))&lt;基础资料!$AS$5:$AS$34))-(基础资料!$AR$5:$AR$34+((INT(MAX(AN$2*100+1,_辅助!$J$4)/100)*12+MOD(MAX(AN$2*100+1,_辅助!$J$4),100))-基础资料!$AR$5:$AR$34)*((INT(MAX(AN$2*100+1,_辅助!$J$4)/100)*12+MOD(MAX(AN$2*100+1,_辅助!$J$4),100))&gt;基础资料!$AR$5:$AR$34))+1)*(((基础资料!$AS$5:$AS$34+((INT(MIN(AN$2*100+12,_辅助!$J$2)/100)*12+MOD(MIN(AN$2*100+12,_辅助!$J$2),100))-基础资料!$AS$5:$AS$34)*((INT(MIN(AN$2*100+12,_辅助!$J$2)/100)*12+MOD(MIN(AN$2*100+12,_辅助!$J$2),100))&lt;基础资料!$AS$5:$AS$34))-(基础资料!$AR$5:$AR$34+((INT(MAX(AN$2*100+1,_辅助!$J$4)/100)*12+MOD(MAX(AN$2*100+1,_辅助!$J$4),100))-基础资料!$AR$5:$AR$34)*((INT(MAX(AN$2*100+1,_辅助!$J$4)/100)*12+MOD(MAX(AN$2*100+1,_辅助!$J$4),100))&gt;基础资料!$AR$5:$AR$34))+1)&gt;0)*(基础资料!$AO$5:$AO$34=$A3)))+IF(基础资料!$AF$9="直接成本",(SUMIFS(应付登记!$G$5:$G$1004,应付登记!$C$5:$C$1004,"材料",应付登记!$J$5:$J$1004,"&gt;="&amp;MAX(AN$2*100+1,_辅助!$J$4),应付登记!$J$5:$J$1004,"&lt;="&amp;MIN(AN$2*100+12,_辅助!$J$2),应付登记!$E$5:$E$1004,$A3)+(-SUMIFS(资金流水!$R$6:$R$2005,资金流水!$X$6:$X$2005,"材料费",资金流水!$S$6:$S$2005,"&gt;="&amp;MAX(AN$2*100+1,_辅助!$J$4),资金流水!$S$6:$S$2005,"&lt;="&amp;MIN(AN$2*100+12,_辅助!$J$2),资金流水!$H$6:$H$2005,$A3))+SUMIFS(代发抵账!$F$5:$F$304,代发抵账!$D$5:$D$304,"甲供材扣款",代发抵账!$H$5:$H$304,"&gt;="&amp;MAX(AN$2*100+1,_辅助!$J$4),代发抵账!$H$5:$H$304,"&lt;="&amp;MIN(AN$2*100+12,_辅助!$J$2),代发抵账!$C$5:$C$304,$A3))+SUMIFS(应付登记!$G$5:$G$1004,应付登记!$C$5:$C$1004,"其他直接费",应付登记!$J$5:$J$1004,"&gt;="&amp;MAX(AN$2*100+1,_辅助!$J$4),应付登记!$J$5:$J$1004,"&lt;="&amp;MIN(AN$2*100+12,_辅助!$J$2),应付登记!$E$5:$E$1004,$A3)+(-SUMIFS(资金流水!$R$6:$R$2005,资金流水!$X$6:$X$2005,"其他直接费",资金流水!$S$6:$S$2005,"&gt;="&amp;MAX(AN$2*100+1,_辅助!$J$4),资金流水!$S$6:$S$2005,"&lt;="&amp;MIN(AN$2*100+12,_辅助!$J$2),资金流水!$H$6:$H$2005,$A3)),0))</f>
        <v>147283.9</v>
      </c>
      <c r="AO3">
        <f t="shared" ref="AO3:AO62" si="1">IF(OR($A3="",AO$2&gt;_辅助!$J$7),0,((SUMIFS(考勤工资!$AC$5:$AC$1004,考勤工资!$D$5:$D$1004,$A3,考勤工资!$Y$5:$Y$1004,"&gt;="&amp;MAX(AO$2*100+1,_辅助!$J$4),考勤工资!$Y$5:$Y$1004,"&lt;="&amp;MIN(AO$2*100+12,_辅助!$J$2))+SUMIFS(考勤工资!$AD$5:$AD$1004,考勤工资!$F$5:$F$1004,$A3,考勤工资!$Y$5:$Y$1004,"&gt;="&amp;MAX(AO$2*100+1,_辅助!$J$4),考勤工资!$Y$5:$Y$1004,"&lt;="&amp;MIN(AO$2*100+12,_辅助!$J$2))+SUMIFS(考勤工资!$AE$5:$AE$1004,考勤工资!$H$5:$H$1004,$A3,考勤工资!$Y$5:$Y$1004,"&gt;="&amp;MAX(AO$2*100+1,_辅助!$J$4),考勤工资!$Y$5:$Y$1004,"&lt;="&amp;MIN(AO$2*100+12,_辅助!$J$2))+SUMIFS(考勤工资!$AF$5:$AF$1004,考勤工资!$J$5:$J$1004,$A3,考勤工资!$Y$5:$Y$1004,"&gt;="&amp;MAX(AO$2*100+1,_辅助!$J$4),考勤工资!$Y$5:$Y$1004,"&lt;="&amp;MIN(AO$2*100+12,_辅助!$J$2)))+(-SUMIFS(资金流水!$R$6:$R$2005,资金流水!$X$6:$X$2005,"人工费",资金流水!$S$6:$S$2005,"&gt;="&amp;MAX(AO$2*100+1,_辅助!$J$4),资金流水!$S$6:$S$2005,"&lt;="&amp;MIN(AO$2*100+12,_辅助!$J$2),资金流水!$H$6:$H$2005,$A3)))+(SUMIFS(应付登记!$G$5:$G$1004,应付登记!$C$5:$C$1004,"分包",应付登记!$J$5:$J$1004,"&gt;="&amp;MAX(AO$2*100+1,_辅助!$J$4),应付登记!$J$5:$J$1004,"&lt;="&amp;MIN(AO$2*100+12,_辅助!$J$2),应付登记!$E$5:$E$1004,$A3)+(-SUMIFS(资金流水!$R$6:$R$2005,资金流水!$X$6:$X$2005,"分包费",资金流水!$S$6:$S$2005,"&gt;="&amp;MAX(AO$2*100+1,_辅助!$J$4),资金流水!$S$6:$S$2005,"&lt;="&amp;MIN(AO$2*100+12,_辅助!$J$2),资金流水!$H$6:$H$2005,$A3)))+(SUMIFS(应付登记!$G$5:$G$1004,应付登记!$C$5:$C$1004,"机械运输",应付登记!$J$5:$J$1004,"&gt;="&amp;MAX(AO$2*100+1,_辅助!$J$4),应付登记!$J$5:$J$1004,"&lt;="&amp;MIN(AO$2*100+12,_辅助!$J$2),应付登记!$E$5:$E$1004,$A3)+(-SUMIFS(资金流水!$R$6:$R$2005,资金流水!$X$6:$X$2005,"机械运输费",资金流水!$S$6:$S$2005,"&gt;="&amp;MAX(AO$2*100+1,_辅助!$J$4),资金流水!$S$6:$S$2005,"&lt;="&amp;MIN(AO$2*100+12,_辅助!$J$2),资金流水!$H$6:$H$2005,$A3))+SUMPRODUCT(基础资料!$AP$5:$AP$34*((基础资料!$AS$5:$AS$34+((INT(MIN(AO$2*100+12,_辅助!$J$2)/100)*12+MOD(MIN(AO$2*100+12,_辅助!$J$2),100))-基础资料!$AS$5:$AS$34)*((INT(MIN(AO$2*100+12,_辅助!$J$2)/100)*12+MOD(MIN(AO$2*100+12,_辅助!$J$2),100))&lt;基础资料!$AS$5:$AS$34))-(基础资料!$AR$5:$AR$34+((INT(MAX(AO$2*100+1,_辅助!$J$4)/100)*12+MOD(MAX(AO$2*100+1,_辅助!$J$4),100))-基础资料!$AR$5:$AR$34)*((INT(MAX(AO$2*100+1,_辅助!$J$4)/100)*12+MOD(MAX(AO$2*100+1,_辅助!$J$4),100))&gt;基础资料!$AR$5:$AR$34))+1)*(((基础资料!$AS$5:$AS$34+((INT(MIN(AO$2*100+12,_辅助!$J$2)/100)*12+MOD(MIN(AO$2*100+12,_辅助!$J$2),100))-基础资料!$AS$5:$AS$34)*((INT(MIN(AO$2*100+12,_辅助!$J$2)/100)*12+MOD(MIN(AO$2*100+12,_辅助!$J$2),100))&lt;基础资料!$AS$5:$AS$34))-(基础资料!$AR$5:$AR$34+((INT(MAX(AO$2*100+1,_辅助!$J$4)/100)*12+MOD(MAX(AO$2*100+1,_辅助!$J$4),100))-基础资料!$AR$5:$AR$34)*((INT(MAX(AO$2*100+1,_辅助!$J$4)/100)*12+MOD(MAX(AO$2*100+1,_辅助!$J$4),100))&gt;基础资料!$AR$5:$AR$34))+1)&gt;0)*(基础资料!$AO$5:$AO$34=$A3)))+IF(基础资料!$AF$9="直接成本",(SUMIFS(应付登记!$G$5:$G$1004,应付登记!$C$5:$C$1004,"材料",应付登记!$J$5:$J$1004,"&gt;="&amp;MAX(AO$2*100+1,_辅助!$J$4),应付登记!$J$5:$J$1004,"&lt;="&amp;MIN(AO$2*100+12,_辅助!$J$2),应付登记!$E$5:$E$1004,$A3)+(-SUMIFS(资金流水!$R$6:$R$2005,资金流水!$X$6:$X$2005,"材料费",资金流水!$S$6:$S$2005,"&gt;="&amp;MAX(AO$2*100+1,_辅助!$J$4),资金流水!$S$6:$S$2005,"&lt;="&amp;MIN(AO$2*100+12,_辅助!$J$2),资金流水!$H$6:$H$2005,$A3))+SUMIFS(代发抵账!$F$5:$F$304,代发抵账!$D$5:$D$304,"甲供材扣款",代发抵账!$H$5:$H$304,"&gt;="&amp;MAX(AO$2*100+1,_辅助!$J$4),代发抵账!$H$5:$H$304,"&lt;="&amp;MIN(AO$2*100+12,_辅助!$J$2),代发抵账!$C$5:$C$304,$A3))+SUMIFS(应付登记!$G$5:$G$1004,应付登记!$C$5:$C$1004,"其他直接费",应付登记!$J$5:$J$1004,"&gt;="&amp;MAX(AO$2*100+1,_辅助!$J$4),应付登记!$J$5:$J$1004,"&lt;="&amp;MIN(AO$2*100+12,_辅助!$J$2),应付登记!$E$5:$E$1004,$A3)+(-SUMIFS(资金流水!$R$6:$R$2005,资金流水!$X$6:$X$2005,"其他直接费",资金流水!$S$6:$S$2005,"&gt;="&amp;MAX(AO$2*100+1,_辅助!$J$4),资金流水!$S$6:$S$2005,"&lt;="&amp;MIN(AO$2*100+12,_辅助!$J$2),资金流水!$H$6:$H$2005,$A3)),0))</f>
        <v>0</v>
      </c>
      <c r="AP3">
        <f t="shared" ref="AP3:AP62" si="2">IF(OR($A3="",AP$2&gt;_辅助!$J$7),0,((SUMIFS(考勤工资!$AC$5:$AC$1004,考勤工资!$D$5:$D$1004,$A3,考勤工资!$Y$5:$Y$1004,"&gt;="&amp;MAX(AP$2*100+1,_辅助!$J$4),考勤工资!$Y$5:$Y$1004,"&lt;="&amp;MIN(AP$2*100+12,_辅助!$J$2))+SUMIFS(考勤工资!$AD$5:$AD$1004,考勤工资!$F$5:$F$1004,$A3,考勤工资!$Y$5:$Y$1004,"&gt;="&amp;MAX(AP$2*100+1,_辅助!$J$4),考勤工资!$Y$5:$Y$1004,"&lt;="&amp;MIN(AP$2*100+12,_辅助!$J$2))+SUMIFS(考勤工资!$AE$5:$AE$1004,考勤工资!$H$5:$H$1004,$A3,考勤工资!$Y$5:$Y$1004,"&gt;="&amp;MAX(AP$2*100+1,_辅助!$J$4),考勤工资!$Y$5:$Y$1004,"&lt;="&amp;MIN(AP$2*100+12,_辅助!$J$2))+SUMIFS(考勤工资!$AF$5:$AF$1004,考勤工资!$J$5:$J$1004,$A3,考勤工资!$Y$5:$Y$1004,"&gt;="&amp;MAX(AP$2*100+1,_辅助!$J$4),考勤工资!$Y$5:$Y$1004,"&lt;="&amp;MIN(AP$2*100+12,_辅助!$J$2)))+(-SUMIFS(资金流水!$R$6:$R$2005,资金流水!$X$6:$X$2005,"人工费",资金流水!$S$6:$S$2005,"&gt;="&amp;MAX(AP$2*100+1,_辅助!$J$4),资金流水!$S$6:$S$2005,"&lt;="&amp;MIN(AP$2*100+12,_辅助!$J$2),资金流水!$H$6:$H$2005,$A3)))+(SUMIFS(应付登记!$G$5:$G$1004,应付登记!$C$5:$C$1004,"分包",应付登记!$J$5:$J$1004,"&gt;="&amp;MAX(AP$2*100+1,_辅助!$J$4),应付登记!$J$5:$J$1004,"&lt;="&amp;MIN(AP$2*100+12,_辅助!$J$2),应付登记!$E$5:$E$1004,$A3)+(-SUMIFS(资金流水!$R$6:$R$2005,资金流水!$X$6:$X$2005,"分包费",资金流水!$S$6:$S$2005,"&gt;="&amp;MAX(AP$2*100+1,_辅助!$J$4),资金流水!$S$6:$S$2005,"&lt;="&amp;MIN(AP$2*100+12,_辅助!$J$2),资金流水!$H$6:$H$2005,$A3)))+(SUMIFS(应付登记!$G$5:$G$1004,应付登记!$C$5:$C$1004,"机械运输",应付登记!$J$5:$J$1004,"&gt;="&amp;MAX(AP$2*100+1,_辅助!$J$4),应付登记!$J$5:$J$1004,"&lt;="&amp;MIN(AP$2*100+12,_辅助!$J$2),应付登记!$E$5:$E$1004,$A3)+(-SUMIFS(资金流水!$R$6:$R$2005,资金流水!$X$6:$X$2005,"机械运输费",资金流水!$S$6:$S$2005,"&gt;="&amp;MAX(AP$2*100+1,_辅助!$J$4),资金流水!$S$6:$S$2005,"&lt;="&amp;MIN(AP$2*100+12,_辅助!$J$2),资金流水!$H$6:$H$2005,$A3))+SUMPRODUCT(基础资料!$AP$5:$AP$34*((基础资料!$AS$5:$AS$34+((INT(MIN(AP$2*100+12,_辅助!$J$2)/100)*12+MOD(MIN(AP$2*100+12,_辅助!$J$2),100))-基础资料!$AS$5:$AS$34)*((INT(MIN(AP$2*100+12,_辅助!$J$2)/100)*12+MOD(MIN(AP$2*100+12,_辅助!$J$2),100))&lt;基础资料!$AS$5:$AS$34))-(基础资料!$AR$5:$AR$34+((INT(MAX(AP$2*100+1,_辅助!$J$4)/100)*12+MOD(MAX(AP$2*100+1,_辅助!$J$4),100))-基础资料!$AR$5:$AR$34)*((INT(MAX(AP$2*100+1,_辅助!$J$4)/100)*12+MOD(MAX(AP$2*100+1,_辅助!$J$4),100))&gt;基础资料!$AR$5:$AR$34))+1)*(((基础资料!$AS$5:$AS$34+((INT(MIN(AP$2*100+12,_辅助!$J$2)/100)*12+MOD(MIN(AP$2*100+12,_辅助!$J$2),100))-基础资料!$AS$5:$AS$34)*((INT(MIN(AP$2*100+12,_辅助!$J$2)/100)*12+MOD(MIN(AP$2*100+12,_辅助!$J$2),100))&lt;基础资料!$AS$5:$AS$34))-(基础资料!$AR$5:$AR$34+((INT(MAX(AP$2*100+1,_辅助!$J$4)/100)*12+MOD(MAX(AP$2*100+1,_辅助!$J$4),100))-基础资料!$AR$5:$AR$34)*((INT(MAX(AP$2*100+1,_辅助!$J$4)/100)*12+MOD(MAX(AP$2*100+1,_辅助!$J$4),100))&gt;基础资料!$AR$5:$AR$34))+1)&gt;0)*(基础资料!$AO$5:$AO$34=$A3)))+IF(基础资料!$AF$9="直接成本",(SUMIFS(应付登记!$G$5:$G$1004,应付登记!$C$5:$C$1004,"材料",应付登记!$J$5:$J$1004,"&gt;="&amp;MAX(AP$2*100+1,_辅助!$J$4),应付登记!$J$5:$J$1004,"&lt;="&amp;MIN(AP$2*100+12,_辅助!$J$2),应付登记!$E$5:$E$1004,$A3)+(-SUMIFS(资金流水!$R$6:$R$2005,资金流水!$X$6:$X$2005,"材料费",资金流水!$S$6:$S$2005,"&gt;="&amp;MAX(AP$2*100+1,_辅助!$J$4),资金流水!$S$6:$S$2005,"&lt;="&amp;MIN(AP$2*100+12,_辅助!$J$2),资金流水!$H$6:$H$2005,$A3))+SUMIFS(代发抵账!$F$5:$F$304,代发抵账!$D$5:$D$304,"甲供材扣款",代发抵账!$H$5:$H$304,"&gt;="&amp;MAX(AP$2*100+1,_辅助!$J$4),代发抵账!$H$5:$H$304,"&lt;="&amp;MIN(AP$2*100+12,_辅助!$J$2),代发抵账!$C$5:$C$304,$A3))+SUMIFS(应付登记!$G$5:$G$1004,应付登记!$C$5:$C$1004,"其他直接费",应付登记!$J$5:$J$1004,"&gt;="&amp;MAX(AP$2*100+1,_辅助!$J$4),应付登记!$J$5:$J$1004,"&lt;="&amp;MIN(AP$2*100+12,_辅助!$J$2),应付登记!$E$5:$E$1004,$A3)+(-SUMIFS(资金流水!$R$6:$R$2005,资金流水!$X$6:$X$2005,"其他直接费",资金流水!$S$6:$S$2005,"&gt;="&amp;MAX(AP$2*100+1,_辅助!$J$4),资金流水!$S$6:$S$2005,"&lt;="&amp;MIN(AP$2*100+12,_辅助!$J$2),资金流水!$H$6:$H$2005,$A3)),0))</f>
        <v>0</v>
      </c>
      <c r="AQ3">
        <f t="shared" ref="AQ3:AQ62" si="3">IF(OR($A3="",AQ$2&gt;_辅助!$J$7),0,((SUMIFS(考勤工资!$AC$5:$AC$1004,考勤工资!$D$5:$D$1004,$A3,考勤工资!$Y$5:$Y$1004,"&gt;="&amp;MAX(AQ$2*100+1,_辅助!$J$4),考勤工资!$Y$5:$Y$1004,"&lt;="&amp;MIN(AQ$2*100+12,_辅助!$J$2))+SUMIFS(考勤工资!$AD$5:$AD$1004,考勤工资!$F$5:$F$1004,$A3,考勤工资!$Y$5:$Y$1004,"&gt;="&amp;MAX(AQ$2*100+1,_辅助!$J$4),考勤工资!$Y$5:$Y$1004,"&lt;="&amp;MIN(AQ$2*100+12,_辅助!$J$2))+SUMIFS(考勤工资!$AE$5:$AE$1004,考勤工资!$H$5:$H$1004,$A3,考勤工资!$Y$5:$Y$1004,"&gt;="&amp;MAX(AQ$2*100+1,_辅助!$J$4),考勤工资!$Y$5:$Y$1004,"&lt;="&amp;MIN(AQ$2*100+12,_辅助!$J$2))+SUMIFS(考勤工资!$AF$5:$AF$1004,考勤工资!$J$5:$J$1004,$A3,考勤工资!$Y$5:$Y$1004,"&gt;="&amp;MAX(AQ$2*100+1,_辅助!$J$4),考勤工资!$Y$5:$Y$1004,"&lt;="&amp;MIN(AQ$2*100+12,_辅助!$J$2)))+(-SUMIFS(资金流水!$R$6:$R$2005,资金流水!$X$6:$X$2005,"人工费",资金流水!$S$6:$S$2005,"&gt;="&amp;MAX(AQ$2*100+1,_辅助!$J$4),资金流水!$S$6:$S$2005,"&lt;="&amp;MIN(AQ$2*100+12,_辅助!$J$2),资金流水!$H$6:$H$2005,$A3)))+(SUMIFS(应付登记!$G$5:$G$1004,应付登记!$C$5:$C$1004,"分包",应付登记!$J$5:$J$1004,"&gt;="&amp;MAX(AQ$2*100+1,_辅助!$J$4),应付登记!$J$5:$J$1004,"&lt;="&amp;MIN(AQ$2*100+12,_辅助!$J$2),应付登记!$E$5:$E$1004,$A3)+(-SUMIFS(资金流水!$R$6:$R$2005,资金流水!$X$6:$X$2005,"分包费",资金流水!$S$6:$S$2005,"&gt;="&amp;MAX(AQ$2*100+1,_辅助!$J$4),资金流水!$S$6:$S$2005,"&lt;="&amp;MIN(AQ$2*100+12,_辅助!$J$2),资金流水!$H$6:$H$2005,$A3)))+(SUMIFS(应付登记!$G$5:$G$1004,应付登记!$C$5:$C$1004,"机械运输",应付登记!$J$5:$J$1004,"&gt;="&amp;MAX(AQ$2*100+1,_辅助!$J$4),应付登记!$J$5:$J$1004,"&lt;="&amp;MIN(AQ$2*100+12,_辅助!$J$2),应付登记!$E$5:$E$1004,$A3)+(-SUMIFS(资金流水!$R$6:$R$2005,资金流水!$X$6:$X$2005,"机械运输费",资金流水!$S$6:$S$2005,"&gt;="&amp;MAX(AQ$2*100+1,_辅助!$J$4),资金流水!$S$6:$S$2005,"&lt;="&amp;MIN(AQ$2*100+12,_辅助!$J$2),资金流水!$H$6:$H$2005,$A3))+SUMPRODUCT(基础资料!$AP$5:$AP$34*((基础资料!$AS$5:$AS$34+((INT(MIN(AQ$2*100+12,_辅助!$J$2)/100)*12+MOD(MIN(AQ$2*100+12,_辅助!$J$2),100))-基础资料!$AS$5:$AS$34)*((INT(MIN(AQ$2*100+12,_辅助!$J$2)/100)*12+MOD(MIN(AQ$2*100+12,_辅助!$J$2),100))&lt;基础资料!$AS$5:$AS$34))-(基础资料!$AR$5:$AR$34+((INT(MAX(AQ$2*100+1,_辅助!$J$4)/100)*12+MOD(MAX(AQ$2*100+1,_辅助!$J$4),100))-基础资料!$AR$5:$AR$34)*((INT(MAX(AQ$2*100+1,_辅助!$J$4)/100)*12+MOD(MAX(AQ$2*100+1,_辅助!$J$4),100))&gt;基础资料!$AR$5:$AR$34))+1)*(((基础资料!$AS$5:$AS$34+((INT(MIN(AQ$2*100+12,_辅助!$J$2)/100)*12+MOD(MIN(AQ$2*100+12,_辅助!$J$2),100))-基础资料!$AS$5:$AS$34)*((INT(MIN(AQ$2*100+12,_辅助!$J$2)/100)*12+MOD(MIN(AQ$2*100+12,_辅助!$J$2),100))&lt;基础资料!$AS$5:$AS$34))-(基础资料!$AR$5:$AR$34+((INT(MAX(AQ$2*100+1,_辅助!$J$4)/100)*12+MOD(MAX(AQ$2*100+1,_辅助!$J$4),100))-基础资料!$AR$5:$AR$34)*((INT(MAX(AQ$2*100+1,_辅助!$J$4)/100)*12+MOD(MAX(AQ$2*100+1,_辅助!$J$4),100))&gt;基础资料!$AR$5:$AR$34))+1)&gt;0)*(基础资料!$AO$5:$AO$34=$A3)))+IF(基础资料!$AF$9="直接成本",(SUMIFS(应付登记!$G$5:$G$1004,应付登记!$C$5:$C$1004,"材料",应付登记!$J$5:$J$1004,"&gt;="&amp;MAX(AQ$2*100+1,_辅助!$J$4),应付登记!$J$5:$J$1004,"&lt;="&amp;MIN(AQ$2*100+12,_辅助!$J$2),应付登记!$E$5:$E$1004,$A3)+(-SUMIFS(资金流水!$R$6:$R$2005,资金流水!$X$6:$X$2005,"材料费",资金流水!$S$6:$S$2005,"&gt;="&amp;MAX(AQ$2*100+1,_辅助!$J$4),资金流水!$S$6:$S$2005,"&lt;="&amp;MIN(AQ$2*100+12,_辅助!$J$2),资金流水!$H$6:$H$2005,$A3))+SUMIFS(代发抵账!$F$5:$F$304,代发抵账!$D$5:$D$304,"甲供材扣款",代发抵账!$H$5:$H$304,"&gt;="&amp;MAX(AQ$2*100+1,_辅助!$J$4),代发抵账!$H$5:$H$304,"&lt;="&amp;MIN(AQ$2*100+12,_辅助!$J$2),代发抵账!$C$5:$C$304,$A3))+SUMIFS(应付登记!$G$5:$G$1004,应付登记!$C$5:$C$1004,"其他直接费",应付登记!$J$5:$J$1004,"&gt;="&amp;MAX(AQ$2*100+1,_辅助!$J$4),应付登记!$J$5:$J$1004,"&lt;="&amp;MIN(AQ$2*100+12,_辅助!$J$2),应付登记!$E$5:$E$1004,$A3)+(-SUMIFS(资金流水!$R$6:$R$2005,资金流水!$X$6:$X$2005,"其他直接费",资金流水!$S$6:$S$2005,"&gt;="&amp;MAX(AQ$2*100+1,_辅助!$J$4),资金流水!$S$6:$S$2005,"&lt;="&amp;MIN(AQ$2*100+12,_辅助!$J$2),资金流水!$H$6:$H$2005,$A3)),0))</f>
        <v>0</v>
      </c>
      <c r="AR3">
        <f t="shared" ref="AR3:AR62" si="4">IF(OR($A3="",AR$2&gt;_辅助!$J$7),0,((SUMIFS(考勤工资!$AC$5:$AC$1004,考勤工资!$D$5:$D$1004,$A3,考勤工资!$Y$5:$Y$1004,"&gt;="&amp;MAX(AR$2*100+1,_辅助!$J$4),考勤工资!$Y$5:$Y$1004,"&lt;="&amp;MIN(AR$2*100+12,_辅助!$J$2))+SUMIFS(考勤工资!$AD$5:$AD$1004,考勤工资!$F$5:$F$1004,$A3,考勤工资!$Y$5:$Y$1004,"&gt;="&amp;MAX(AR$2*100+1,_辅助!$J$4),考勤工资!$Y$5:$Y$1004,"&lt;="&amp;MIN(AR$2*100+12,_辅助!$J$2))+SUMIFS(考勤工资!$AE$5:$AE$1004,考勤工资!$H$5:$H$1004,$A3,考勤工资!$Y$5:$Y$1004,"&gt;="&amp;MAX(AR$2*100+1,_辅助!$J$4),考勤工资!$Y$5:$Y$1004,"&lt;="&amp;MIN(AR$2*100+12,_辅助!$J$2))+SUMIFS(考勤工资!$AF$5:$AF$1004,考勤工资!$J$5:$J$1004,$A3,考勤工资!$Y$5:$Y$1004,"&gt;="&amp;MAX(AR$2*100+1,_辅助!$J$4),考勤工资!$Y$5:$Y$1004,"&lt;="&amp;MIN(AR$2*100+12,_辅助!$J$2)))+(-SUMIFS(资金流水!$R$6:$R$2005,资金流水!$X$6:$X$2005,"人工费",资金流水!$S$6:$S$2005,"&gt;="&amp;MAX(AR$2*100+1,_辅助!$J$4),资金流水!$S$6:$S$2005,"&lt;="&amp;MIN(AR$2*100+12,_辅助!$J$2),资金流水!$H$6:$H$2005,$A3)))+(SUMIFS(应付登记!$G$5:$G$1004,应付登记!$C$5:$C$1004,"分包",应付登记!$J$5:$J$1004,"&gt;="&amp;MAX(AR$2*100+1,_辅助!$J$4),应付登记!$J$5:$J$1004,"&lt;="&amp;MIN(AR$2*100+12,_辅助!$J$2),应付登记!$E$5:$E$1004,$A3)+(-SUMIFS(资金流水!$R$6:$R$2005,资金流水!$X$6:$X$2005,"分包费",资金流水!$S$6:$S$2005,"&gt;="&amp;MAX(AR$2*100+1,_辅助!$J$4),资金流水!$S$6:$S$2005,"&lt;="&amp;MIN(AR$2*100+12,_辅助!$J$2),资金流水!$H$6:$H$2005,$A3)))+(SUMIFS(应付登记!$G$5:$G$1004,应付登记!$C$5:$C$1004,"机械运输",应付登记!$J$5:$J$1004,"&gt;="&amp;MAX(AR$2*100+1,_辅助!$J$4),应付登记!$J$5:$J$1004,"&lt;="&amp;MIN(AR$2*100+12,_辅助!$J$2),应付登记!$E$5:$E$1004,$A3)+(-SUMIFS(资金流水!$R$6:$R$2005,资金流水!$X$6:$X$2005,"机械运输费",资金流水!$S$6:$S$2005,"&gt;="&amp;MAX(AR$2*100+1,_辅助!$J$4),资金流水!$S$6:$S$2005,"&lt;="&amp;MIN(AR$2*100+12,_辅助!$J$2),资金流水!$H$6:$H$2005,$A3))+SUMPRODUCT(基础资料!$AP$5:$AP$34*((基础资料!$AS$5:$AS$34+((INT(MIN(AR$2*100+12,_辅助!$J$2)/100)*12+MOD(MIN(AR$2*100+12,_辅助!$J$2),100))-基础资料!$AS$5:$AS$34)*((INT(MIN(AR$2*100+12,_辅助!$J$2)/100)*12+MOD(MIN(AR$2*100+12,_辅助!$J$2),100))&lt;基础资料!$AS$5:$AS$34))-(基础资料!$AR$5:$AR$34+((INT(MAX(AR$2*100+1,_辅助!$J$4)/100)*12+MOD(MAX(AR$2*100+1,_辅助!$J$4),100))-基础资料!$AR$5:$AR$34)*((INT(MAX(AR$2*100+1,_辅助!$J$4)/100)*12+MOD(MAX(AR$2*100+1,_辅助!$J$4),100))&gt;基础资料!$AR$5:$AR$34))+1)*(((基础资料!$AS$5:$AS$34+((INT(MIN(AR$2*100+12,_辅助!$J$2)/100)*12+MOD(MIN(AR$2*100+12,_辅助!$J$2),100))-基础资料!$AS$5:$AS$34)*((INT(MIN(AR$2*100+12,_辅助!$J$2)/100)*12+MOD(MIN(AR$2*100+12,_辅助!$J$2),100))&lt;基础资料!$AS$5:$AS$34))-(基础资料!$AR$5:$AR$34+((INT(MAX(AR$2*100+1,_辅助!$J$4)/100)*12+MOD(MAX(AR$2*100+1,_辅助!$J$4),100))-基础资料!$AR$5:$AR$34)*((INT(MAX(AR$2*100+1,_辅助!$J$4)/100)*12+MOD(MAX(AR$2*100+1,_辅助!$J$4),100))&gt;基础资料!$AR$5:$AR$34))+1)&gt;0)*(基础资料!$AO$5:$AO$34=$A3)))+IF(基础资料!$AF$9="直接成本",(SUMIFS(应付登记!$G$5:$G$1004,应付登记!$C$5:$C$1004,"材料",应付登记!$J$5:$J$1004,"&gt;="&amp;MAX(AR$2*100+1,_辅助!$J$4),应付登记!$J$5:$J$1004,"&lt;="&amp;MIN(AR$2*100+12,_辅助!$J$2),应付登记!$E$5:$E$1004,$A3)+(-SUMIFS(资金流水!$R$6:$R$2005,资金流水!$X$6:$X$2005,"材料费",资金流水!$S$6:$S$2005,"&gt;="&amp;MAX(AR$2*100+1,_辅助!$J$4),资金流水!$S$6:$S$2005,"&lt;="&amp;MIN(AR$2*100+12,_辅助!$J$2),资金流水!$H$6:$H$2005,$A3))+SUMIFS(代发抵账!$F$5:$F$304,代发抵账!$D$5:$D$304,"甲供材扣款",代发抵账!$H$5:$H$304,"&gt;="&amp;MAX(AR$2*100+1,_辅助!$J$4),代发抵账!$H$5:$H$304,"&lt;="&amp;MIN(AR$2*100+12,_辅助!$J$2),代发抵账!$C$5:$C$304,$A3))+SUMIFS(应付登记!$G$5:$G$1004,应付登记!$C$5:$C$1004,"其他直接费",应付登记!$J$5:$J$1004,"&gt;="&amp;MAX(AR$2*100+1,_辅助!$J$4),应付登记!$J$5:$J$1004,"&lt;="&amp;MIN(AR$2*100+12,_辅助!$J$2),应付登记!$E$5:$E$1004,$A3)+(-SUMIFS(资金流水!$R$6:$R$2005,资金流水!$X$6:$X$2005,"其他直接费",资金流水!$S$6:$S$2005,"&gt;="&amp;MAX(AR$2*100+1,_辅助!$J$4),资金流水!$S$6:$S$2005,"&lt;="&amp;MIN(AR$2*100+12,_辅助!$J$2),资金流水!$H$6:$H$2005,$A3)),0))</f>
        <v>0</v>
      </c>
      <c r="AS3">
        <f t="shared" ref="AS3:AS62" si="5">IF(OR($A3="",AS$2&gt;_辅助!$J$7),0,((SUMIFS(考勤工资!$AC$5:$AC$1004,考勤工资!$D$5:$D$1004,$A3,考勤工资!$Y$5:$Y$1004,"&gt;="&amp;MAX(AS$2*100+1,_辅助!$J$4),考勤工资!$Y$5:$Y$1004,"&lt;="&amp;MIN(AS$2*100+12,_辅助!$J$2))+SUMIFS(考勤工资!$AD$5:$AD$1004,考勤工资!$F$5:$F$1004,$A3,考勤工资!$Y$5:$Y$1004,"&gt;="&amp;MAX(AS$2*100+1,_辅助!$J$4),考勤工资!$Y$5:$Y$1004,"&lt;="&amp;MIN(AS$2*100+12,_辅助!$J$2))+SUMIFS(考勤工资!$AE$5:$AE$1004,考勤工资!$H$5:$H$1004,$A3,考勤工资!$Y$5:$Y$1004,"&gt;="&amp;MAX(AS$2*100+1,_辅助!$J$4),考勤工资!$Y$5:$Y$1004,"&lt;="&amp;MIN(AS$2*100+12,_辅助!$J$2))+SUMIFS(考勤工资!$AF$5:$AF$1004,考勤工资!$J$5:$J$1004,$A3,考勤工资!$Y$5:$Y$1004,"&gt;="&amp;MAX(AS$2*100+1,_辅助!$J$4),考勤工资!$Y$5:$Y$1004,"&lt;="&amp;MIN(AS$2*100+12,_辅助!$J$2)))+(-SUMIFS(资金流水!$R$6:$R$2005,资金流水!$X$6:$X$2005,"人工费",资金流水!$S$6:$S$2005,"&gt;="&amp;MAX(AS$2*100+1,_辅助!$J$4),资金流水!$S$6:$S$2005,"&lt;="&amp;MIN(AS$2*100+12,_辅助!$J$2),资金流水!$H$6:$H$2005,$A3)))+(SUMIFS(应付登记!$G$5:$G$1004,应付登记!$C$5:$C$1004,"分包",应付登记!$J$5:$J$1004,"&gt;="&amp;MAX(AS$2*100+1,_辅助!$J$4),应付登记!$J$5:$J$1004,"&lt;="&amp;MIN(AS$2*100+12,_辅助!$J$2),应付登记!$E$5:$E$1004,$A3)+(-SUMIFS(资金流水!$R$6:$R$2005,资金流水!$X$6:$X$2005,"分包费",资金流水!$S$6:$S$2005,"&gt;="&amp;MAX(AS$2*100+1,_辅助!$J$4),资金流水!$S$6:$S$2005,"&lt;="&amp;MIN(AS$2*100+12,_辅助!$J$2),资金流水!$H$6:$H$2005,$A3)))+(SUMIFS(应付登记!$G$5:$G$1004,应付登记!$C$5:$C$1004,"机械运输",应付登记!$J$5:$J$1004,"&gt;="&amp;MAX(AS$2*100+1,_辅助!$J$4),应付登记!$J$5:$J$1004,"&lt;="&amp;MIN(AS$2*100+12,_辅助!$J$2),应付登记!$E$5:$E$1004,$A3)+(-SUMIFS(资金流水!$R$6:$R$2005,资金流水!$X$6:$X$2005,"机械运输费",资金流水!$S$6:$S$2005,"&gt;="&amp;MAX(AS$2*100+1,_辅助!$J$4),资金流水!$S$6:$S$2005,"&lt;="&amp;MIN(AS$2*100+12,_辅助!$J$2),资金流水!$H$6:$H$2005,$A3))+SUMPRODUCT(基础资料!$AP$5:$AP$34*((基础资料!$AS$5:$AS$34+((INT(MIN(AS$2*100+12,_辅助!$J$2)/100)*12+MOD(MIN(AS$2*100+12,_辅助!$J$2),100))-基础资料!$AS$5:$AS$34)*((INT(MIN(AS$2*100+12,_辅助!$J$2)/100)*12+MOD(MIN(AS$2*100+12,_辅助!$J$2),100))&lt;基础资料!$AS$5:$AS$34))-(基础资料!$AR$5:$AR$34+((INT(MAX(AS$2*100+1,_辅助!$J$4)/100)*12+MOD(MAX(AS$2*100+1,_辅助!$J$4),100))-基础资料!$AR$5:$AR$34)*((INT(MAX(AS$2*100+1,_辅助!$J$4)/100)*12+MOD(MAX(AS$2*100+1,_辅助!$J$4),100))&gt;基础资料!$AR$5:$AR$34))+1)*(((基础资料!$AS$5:$AS$34+((INT(MIN(AS$2*100+12,_辅助!$J$2)/100)*12+MOD(MIN(AS$2*100+12,_辅助!$J$2),100))-基础资料!$AS$5:$AS$34)*((INT(MIN(AS$2*100+12,_辅助!$J$2)/100)*12+MOD(MIN(AS$2*100+12,_辅助!$J$2),100))&lt;基础资料!$AS$5:$AS$34))-(基础资料!$AR$5:$AR$34+((INT(MAX(AS$2*100+1,_辅助!$J$4)/100)*12+MOD(MAX(AS$2*100+1,_辅助!$J$4),100))-基础资料!$AR$5:$AR$34)*((INT(MAX(AS$2*100+1,_辅助!$J$4)/100)*12+MOD(MAX(AS$2*100+1,_辅助!$J$4),100))&gt;基础资料!$AR$5:$AR$34))+1)&gt;0)*(基础资料!$AO$5:$AO$34=$A3)))+IF(基础资料!$AF$9="直接成本",(SUMIFS(应付登记!$G$5:$G$1004,应付登记!$C$5:$C$1004,"材料",应付登记!$J$5:$J$1004,"&gt;="&amp;MAX(AS$2*100+1,_辅助!$J$4),应付登记!$J$5:$J$1004,"&lt;="&amp;MIN(AS$2*100+12,_辅助!$J$2),应付登记!$E$5:$E$1004,$A3)+(-SUMIFS(资金流水!$R$6:$R$2005,资金流水!$X$6:$X$2005,"材料费",资金流水!$S$6:$S$2005,"&gt;="&amp;MAX(AS$2*100+1,_辅助!$J$4),资金流水!$S$6:$S$2005,"&lt;="&amp;MIN(AS$2*100+12,_辅助!$J$2),资金流水!$H$6:$H$2005,$A3))+SUMIFS(代发抵账!$F$5:$F$304,代发抵账!$D$5:$D$304,"甲供材扣款",代发抵账!$H$5:$H$304,"&gt;="&amp;MAX(AS$2*100+1,_辅助!$J$4),代发抵账!$H$5:$H$304,"&lt;="&amp;MIN(AS$2*100+12,_辅助!$J$2),代发抵账!$C$5:$C$304,$A3))+SUMIFS(应付登记!$G$5:$G$1004,应付登记!$C$5:$C$1004,"其他直接费",应付登记!$J$5:$J$1004,"&gt;="&amp;MAX(AS$2*100+1,_辅助!$J$4),应付登记!$J$5:$J$1004,"&lt;="&amp;MIN(AS$2*100+12,_辅助!$J$2),应付登记!$E$5:$E$1004,$A3)+(-SUMIFS(资金流水!$R$6:$R$2005,资金流水!$X$6:$X$2005,"其他直接费",资金流水!$S$6:$S$2005,"&gt;="&amp;MAX(AS$2*100+1,_辅助!$J$4),资金流水!$S$6:$S$2005,"&lt;="&amp;MIN(AS$2*100+12,_辅助!$J$2),资金流水!$H$6:$H$2005,$A3)),0))</f>
        <v>0</v>
      </c>
      <c r="AT3">
        <f t="shared" ref="AT3:AT62" si="6">IF(OR($A3="",AT$2&gt;_辅助!$J$7),0,((SUMIFS(考勤工资!$AC$5:$AC$1004,考勤工资!$D$5:$D$1004,$A3,考勤工资!$Y$5:$Y$1004,"&gt;="&amp;MAX(AT$2*100+1,_辅助!$J$4),考勤工资!$Y$5:$Y$1004,"&lt;="&amp;MIN(AT$2*100+12,_辅助!$J$2))+SUMIFS(考勤工资!$AD$5:$AD$1004,考勤工资!$F$5:$F$1004,$A3,考勤工资!$Y$5:$Y$1004,"&gt;="&amp;MAX(AT$2*100+1,_辅助!$J$4),考勤工资!$Y$5:$Y$1004,"&lt;="&amp;MIN(AT$2*100+12,_辅助!$J$2))+SUMIFS(考勤工资!$AE$5:$AE$1004,考勤工资!$H$5:$H$1004,$A3,考勤工资!$Y$5:$Y$1004,"&gt;="&amp;MAX(AT$2*100+1,_辅助!$J$4),考勤工资!$Y$5:$Y$1004,"&lt;="&amp;MIN(AT$2*100+12,_辅助!$J$2))+SUMIFS(考勤工资!$AF$5:$AF$1004,考勤工资!$J$5:$J$1004,$A3,考勤工资!$Y$5:$Y$1004,"&gt;="&amp;MAX(AT$2*100+1,_辅助!$J$4),考勤工资!$Y$5:$Y$1004,"&lt;="&amp;MIN(AT$2*100+12,_辅助!$J$2)))+(-SUMIFS(资金流水!$R$6:$R$2005,资金流水!$X$6:$X$2005,"人工费",资金流水!$S$6:$S$2005,"&gt;="&amp;MAX(AT$2*100+1,_辅助!$J$4),资金流水!$S$6:$S$2005,"&lt;="&amp;MIN(AT$2*100+12,_辅助!$J$2),资金流水!$H$6:$H$2005,$A3)))+(SUMIFS(应付登记!$G$5:$G$1004,应付登记!$C$5:$C$1004,"分包",应付登记!$J$5:$J$1004,"&gt;="&amp;MAX(AT$2*100+1,_辅助!$J$4),应付登记!$J$5:$J$1004,"&lt;="&amp;MIN(AT$2*100+12,_辅助!$J$2),应付登记!$E$5:$E$1004,$A3)+(-SUMIFS(资金流水!$R$6:$R$2005,资金流水!$X$6:$X$2005,"分包费",资金流水!$S$6:$S$2005,"&gt;="&amp;MAX(AT$2*100+1,_辅助!$J$4),资金流水!$S$6:$S$2005,"&lt;="&amp;MIN(AT$2*100+12,_辅助!$J$2),资金流水!$H$6:$H$2005,$A3)))+(SUMIFS(应付登记!$G$5:$G$1004,应付登记!$C$5:$C$1004,"机械运输",应付登记!$J$5:$J$1004,"&gt;="&amp;MAX(AT$2*100+1,_辅助!$J$4),应付登记!$J$5:$J$1004,"&lt;="&amp;MIN(AT$2*100+12,_辅助!$J$2),应付登记!$E$5:$E$1004,$A3)+(-SUMIFS(资金流水!$R$6:$R$2005,资金流水!$X$6:$X$2005,"机械运输费",资金流水!$S$6:$S$2005,"&gt;="&amp;MAX(AT$2*100+1,_辅助!$J$4),资金流水!$S$6:$S$2005,"&lt;="&amp;MIN(AT$2*100+12,_辅助!$J$2),资金流水!$H$6:$H$2005,$A3))+SUMPRODUCT(基础资料!$AP$5:$AP$34*((基础资料!$AS$5:$AS$34+((INT(MIN(AT$2*100+12,_辅助!$J$2)/100)*12+MOD(MIN(AT$2*100+12,_辅助!$J$2),100))-基础资料!$AS$5:$AS$34)*((INT(MIN(AT$2*100+12,_辅助!$J$2)/100)*12+MOD(MIN(AT$2*100+12,_辅助!$J$2),100))&lt;基础资料!$AS$5:$AS$34))-(基础资料!$AR$5:$AR$34+((INT(MAX(AT$2*100+1,_辅助!$J$4)/100)*12+MOD(MAX(AT$2*100+1,_辅助!$J$4),100))-基础资料!$AR$5:$AR$34)*((INT(MAX(AT$2*100+1,_辅助!$J$4)/100)*12+MOD(MAX(AT$2*100+1,_辅助!$J$4),100))&gt;基础资料!$AR$5:$AR$34))+1)*(((基础资料!$AS$5:$AS$34+((INT(MIN(AT$2*100+12,_辅助!$J$2)/100)*12+MOD(MIN(AT$2*100+12,_辅助!$J$2),100))-基础资料!$AS$5:$AS$34)*((INT(MIN(AT$2*100+12,_辅助!$J$2)/100)*12+MOD(MIN(AT$2*100+12,_辅助!$J$2),100))&lt;基础资料!$AS$5:$AS$34))-(基础资料!$AR$5:$AR$34+((INT(MAX(AT$2*100+1,_辅助!$J$4)/100)*12+MOD(MAX(AT$2*100+1,_辅助!$J$4),100))-基础资料!$AR$5:$AR$34)*((INT(MAX(AT$2*100+1,_辅助!$J$4)/100)*12+MOD(MAX(AT$2*100+1,_辅助!$J$4),100))&gt;基础资料!$AR$5:$AR$34))+1)&gt;0)*(基础资料!$AO$5:$AO$34=$A3)))+IF(基础资料!$AF$9="直接成本",(SUMIFS(应付登记!$G$5:$G$1004,应付登记!$C$5:$C$1004,"材料",应付登记!$J$5:$J$1004,"&gt;="&amp;MAX(AT$2*100+1,_辅助!$J$4),应付登记!$J$5:$J$1004,"&lt;="&amp;MIN(AT$2*100+12,_辅助!$J$2),应付登记!$E$5:$E$1004,$A3)+(-SUMIFS(资金流水!$R$6:$R$2005,资金流水!$X$6:$X$2005,"材料费",资金流水!$S$6:$S$2005,"&gt;="&amp;MAX(AT$2*100+1,_辅助!$J$4),资金流水!$S$6:$S$2005,"&lt;="&amp;MIN(AT$2*100+12,_辅助!$J$2),资金流水!$H$6:$H$2005,$A3))+SUMIFS(代发抵账!$F$5:$F$304,代发抵账!$D$5:$D$304,"甲供材扣款",代发抵账!$H$5:$H$304,"&gt;="&amp;MAX(AT$2*100+1,_辅助!$J$4),代发抵账!$H$5:$H$304,"&lt;="&amp;MIN(AT$2*100+12,_辅助!$J$2),代发抵账!$C$5:$C$304,$A3))+SUMIFS(应付登记!$G$5:$G$1004,应付登记!$C$5:$C$1004,"其他直接费",应付登记!$J$5:$J$1004,"&gt;="&amp;MAX(AT$2*100+1,_辅助!$J$4),应付登记!$J$5:$J$1004,"&lt;="&amp;MIN(AT$2*100+12,_辅助!$J$2),应付登记!$E$5:$E$1004,$A3)+(-SUMIFS(资金流水!$R$6:$R$2005,资金流水!$X$6:$X$2005,"其他直接费",资金流水!$S$6:$S$2005,"&gt;="&amp;MAX(AT$2*100+1,_辅助!$J$4),资金流水!$S$6:$S$2005,"&lt;="&amp;MIN(AT$2*100+12,_辅助!$J$2),资金流水!$H$6:$H$2005,$A3)),0))</f>
        <v>0</v>
      </c>
      <c r="AU3">
        <f t="shared" ref="AU3:AU62" si="7">IF(OR($A3="",AU$2&gt;_辅助!$J$7),0,((SUMIFS(考勤工资!$AC$5:$AC$1004,考勤工资!$D$5:$D$1004,$A3,考勤工资!$Y$5:$Y$1004,"&gt;="&amp;MAX(AU$2*100+1,_辅助!$J$4),考勤工资!$Y$5:$Y$1004,"&lt;="&amp;MIN(AU$2*100+12,_辅助!$J$2))+SUMIFS(考勤工资!$AD$5:$AD$1004,考勤工资!$F$5:$F$1004,$A3,考勤工资!$Y$5:$Y$1004,"&gt;="&amp;MAX(AU$2*100+1,_辅助!$J$4),考勤工资!$Y$5:$Y$1004,"&lt;="&amp;MIN(AU$2*100+12,_辅助!$J$2))+SUMIFS(考勤工资!$AE$5:$AE$1004,考勤工资!$H$5:$H$1004,$A3,考勤工资!$Y$5:$Y$1004,"&gt;="&amp;MAX(AU$2*100+1,_辅助!$J$4),考勤工资!$Y$5:$Y$1004,"&lt;="&amp;MIN(AU$2*100+12,_辅助!$J$2))+SUMIFS(考勤工资!$AF$5:$AF$1004,考勤工资!$J$5:$J$1004,$A3,考勤工资!$Y$5:$Y$1004,"&gt;="&amp;MAX(AU$2*100+1,_辅助!$J$4),考勤工资!$Y$5:$Y$1004,"&lt;="&amp;MIN(AU$2*100+12,_辅助!$J$2)))+(-SUMIFS(资金流水!$R$6:$R$2005,资金流水!$X$6:$X$2005,"人工费",资金流水!$S$6:$S$2005,"&gt;="&amp;MAX(AU$2*100+1,_辅助!$J$4),资金流水!$S$6:$S$2005,"&lt;="&amp;MIN(AU$2*100+12,_辅助!$J$2),资金流水!$H$6:$H$2005,$A3)))+(SUMIFS(应付登记!$G$5:$G$1004,应付登记!$C$5:$C$1004,"分包",应付登记!$J$5:$J$1004,"&gt;="&amp;MAX(AU$2*100+1,_辅助!$J$4),应付登记!$J$5:$J$1004,"&lt;="&amp;MIN(AU$2*100+12,_辅助!$J$2),应付登记!$E$5:$E$1004,$A3)+(-SUMIFS(资金流水!$R$6:$R$2005,资金流水!$X$6:$X$2005,"分包费",资金流水!$S$6:$S$2005,"&gt;="&amp;MAX(AU$2*100+1,_辅助!$J$4),资金流水!$S$6:$S$2005,"&lt;="&amp;MIN(AU$2*100+12,_辅助!$J$2),资金流水!$H$6:$H$2005,$A3)))+(SUMIFS(应付登记!$G$5:$G$1004,应付登记!$C$5:$C$1004,"机械运输",应付登记!$J$5:$J$1004,"&gt;="&amp;MAX(AU$2*100+1,_辅助!$J$4),应付登记!$J$5:$J$1004,"&lt;="&amp;MIN(AU$2*100+12,_辅助!$J$2),应付登记!$E$5:$E$1004,$A3)+(-SUMIFS(资金流水!$R$6:$R$2005,资金流水!$X$6:$X$2005,"机械运输费",资金流水!$S$6:$S$2005,"&gt;="&amp;MAX(AU$2*100+1,_辅助!$J$4),资金流水!$S$6:$S$2005,"&lt;="&amp;MIN(AU$2*100+12,_辅助!$J$2),资金流水!$H$6:$H$2005,$A3))+SUMPRODUCT(基础资料!$AP$5:$AP$34*((基础资料!$AS$5:$AS$34+((INT(MIN(AU$2*100+12,_辅助!$J$2)/100)*12+MOD(MIN(AU$2*100+12,_辅助!$J$2),100))-基础资料!$AS$5:$AS$34)*((INT(MIN(AU$2*100+12,_辅助!$J$2)/100)*12+MOD(MIN(AU$2*100+12,_辅助!$J$2),100))&lt;基础资料!$AS$5:$AS$34))-(基础资料!$AR$5:$AR$34+((INT(MAX(AU$2*100+1,_辅助!$J$4)/100)*12+MOD(MAX(AU$2*100+1,_辅助!$J$4),100))-基础资料!$AR$5:$AR$34)*((INT(MAX(AU$2*100+1,_辅助!$J$4)/100)*12+MOD(MAX(AU$2*100+1,_辅助!$J$4),100))&gt;基础资料!$AR$5:$AR$34))+1)*(((基础资料!$AS$5:$AS$34+((INT(MIN(AU$2*100+12,_辅助!$J$2)/100)*12+MOD(MIN(AU$2*100+12,_辅助!$J$2),100))-基础资料!$AS$5:$AS$34)*((INT(MIN(AU$2*100+12,_辅助!$J$2)/100)*12+MOD(MIN(AU$2*100+12,_辅助!$J$2),100))&lt;基础资料!$AS$5:$AS$34))-(基础资料!$AR$5:$AR$34+((INT(MAX(AU$2*100+1,_辅助!$J$4)/100)*12+MOD(MAX(AU$2*100+1,_辅助!$J$4),100))-基础资料!$AR$5:$AR$34)*((INT(MAX(AU$2*100+1,_辅助!$J$4)/100)*12+MOD(MAX(AU$2*100+1,_辅助!$J$4),100))&gt;基础资料!$AR$5:$AR$34))+1)&gt;0)*(基础资料!$AO$5:$AO$34=$A3)))+IF(基础资料!$AF$9="直接成本",(SUMIFS(应付登记!$G$5:$G$1004,应付登记!$C$5:$C$1004,"材料",应付登记!$J$5:$J$1004,"&gt;="&amp;MAX(AU$2*100+1,_辅助!$J$4),应付登记!$J$5:$J$1004,"&lt;="&amp;MIN(AU$2*100+12,_辅助!$J$2),应付登记!$E$5:$E$1004,$A3)+(-SUMIFS(资金流水!$R$6:$R$2005,资金流水!$X$6:$X$2005,"材料费",资金流水!$S$6:$S$2005,"&gt;="&amp;MAX(AU$2*100+1,_辅助!$J$4),资金流水!$S$6:$S$2005,"&lt;="&amp;MIN(AU$2*100+12,_辅助!$J$2),资金流水!$H$6:$H$2005,$A3))+SUMIFS(代发抵账!$F$5:$F$304,代发抵账!$D$5:$D$304,"甲供材扣款",代发抵账!$H$5:$H$304,"&gt;="&amp;MAX(AU$2*100+1,_辅助!$J$4),代发抵账!$H$5:$H$304,"&lt;="&amp;MIN(AU$2*100+12,_辅助!$J$2),代发抵账!$C$5:$C$304,$A3))+SUMIFS(应付登记!$G$5:$G$1004,应付登记!$C$5:$C$1004,"其他直接费",应付登记!$J$5:$J$1004,"&gt;="&amp;MAX(AU$2*100+1,_辅助!$J$4),应付登记!$J$5:$J$1004,"&lt;="&amp;MIN(AU$2*100+12,_辅助!$J$2),应付登记!$E$5:$E$1004,$A3)+(-SUMIFS(资金流水!$R$6:$R$2005,资金流水!$X$6:$X$2005,"其他直接费",资金流水!$S$6:$S$2005,"&gt;="&amp;MAX(AU$2*100+1,_辅助!$J$4),资金流水!$S$6:$S$2005,"&lt;="&amp;MIN(AU$2*100+12,_辅助!$J$2),资金流水!$H$6:$H$2005,$A3)),0))</f>
        <v>0</v>
      </c>
      <c r="AV3">
        <f t="shared" ref="AV3:AV62" si="46">IF($A3="",0,ROUND(AW3+C3-E3-G3,2))</f>
        <v>1704123.13</v>
      </c>
      <c r="AW3">
        <f t="shared" ref="AW3:AW62" si="47">IF($A3="",0,ROUND(AX3+B3-D3-F3,2))</f>
        <v>1984942.92</v>
      </c>
      <c r="AX3">
        <f t="shared" ref="AX3:AX62" si="48">IF($A3="",0,(SUMIFS(期初余额!$C$5:$C$64,期初余额!$B$5:$B$64,$A3)-SUMIFS(期初余额!$D$5:$D$64,期初余额!$B$5:$B$64,$A3)))</f>
        <v>1984942.92</v>
      </c>
    </row>
    <row r="4">
      <c r="A4" t="str">
        <f>项目档案!$B$5&amp;""</f>
        <v>科创中心</v>
      </c>
      <c r="B4">
        <f t="shared" si="8"/>
        <v>0</v>
      </c>
      <c r="C4">
        <f t="shared" si="9"/>
        <v>0</v>
      </c>
      <c r="D4">
        <f t="shared" si="10"/>
        <v>0</v>
      </c>
      <c r="E4">
        <f t="shared" si="11"/>
        <v>0</v>
      </c>
      <c r="F4">
        <f t="shared" si="12"/>
        <v>0</v>
      </c>
      <c r="G4">
        <f t="shared" si="13"/>
        <v>0</v>
      </c>
      <c r="H4">
        <f t="shared" si="14"/>
        <v>0</v>
      </c>
      <c r="I4">
        <f t="shared" si="15"/>
        <v>0</v>
      </c>
      <c r="J4">
        <f t="shared" si="16"/>
        <v>0</v>
      </c>
      <c r="K4">
        <f t="shared" si="17"/>
        <v>0</v>
      </c>
      <c r="L4">
        <f t="shared" si="18"/>
        <v>0</v>
      </c>
      <c r="M4">
        <f t="shared" si="19"/>
        <v>0</v>
      </c>
      <c r="N4">
        <f t="shared" si="20"/>
        <v>0</v>
      </c>
      <c r="O4">
        <f t="shared" si="21"/>
        <v>0</v>
      </c>
      <c r="P4">
        <f t="shared" si="22"/>
        <v>0</v>
      </c>
      <c r="Q4">
        <f t="shared" si="23"/>
        <v>21325</v>
      </c>
      <c r="R4">
        <f t="shared" si="24"/>
        <v>0</v>
      </c>
      <c r="S4">
        <f t="shared" si="25"/>
        <v>0</v>
      </c>
      <c r="T4">
        <f t="shared" si="26"/>
        <v>0</v>
      </c>
      <c r="U4">
        <f t="shared" si="27"/>
        <v>8000</v>
      </c>
      <c r="V4">
        <f t="shared" si="28"/>
        <v>0</v>
      </c>
      <c r="W4">
        <f t="shared" si="29"/>
        <v>0</v>
      </c>
      <c r="X4">
        <f t="shared" si="30"/>
        <v>0</v>
      </c>
      <c r="Y4">
        <f t="shared" si="31"/>
        <v>0</v>
      </c>
      <c r="Z4">
        <f t="shared" si="32"/>
        <v>0</v>
      </c>
      <c r="AA4">
        <f t="shared" si="33"/>
        <v>0</v>
      </c>
      <c r="AB4">
        <f t="shared" si="34"/>
        <v>0</v>
      </c>
      <c r="AC4">
        <f t="shared" si="35"/>
        <v>0</v>
      </c>
      <c r="AD4">
        <f t="shared" si="36"/>
        <v>18050</v>
      </c>
      <c r="AE4">
        <f t="shared" si="37"/>
        <v>3275</v>
      </c>
      <c r="AF4">
        <f t="shared" si="38"/>
        <v>0</v>
      </c>
      <c r="AG4">
        <f t="shared" si="39"/>
        <v>0</v>
      </c>
      <c r="AH4">
        <f t="shared" si="40"/>
        <v>0</v>
      </c>
      <c r="AI4">
        <f t="shared" si="41"/>
        <v>0</v>
      </c>
      <c r="AJ4">
        <f t="shared" si="42"/>
        <v>0</v>
      </c>
      <c r="AK4">
        <f t="shared" si="43"/>
        <v>0</v>
      </c>
      <c r="AL4">
        <f t="shared" si="44"/>
        <v>0</v>
      </c>
      <c r="AM4">
        <f t="shared" si="45"/>
        <v>0</v>
      </c>
      <c r="AN4">
        <f t="shared" si="0"/>
        <v>29325</v>
      </c>
      <c r="AO4">
        <f t="shared" si="1"/>
        <v>0</v>
      </c>
      <c r="AP4">
        <f t="shared" si="2"/>
        <v>0</v>
      </c>
      <c r="AQ4">
        <f t="shared" si="3"/>
        <v>0</v>
      </c>
      <c r="AR4">
        <f t="shared" si="4"/>
        <v>0</v>
      </c>
      <c r="AS4">
        <f t="shared" si="5"/>
        <v>0</v>
      </c>
      <c r="AT4">
        <f t="shared" si="6"/>
        <v>0</v>
      </c>
      <c r="AU4">
        <f t="shared" si="7"/>
        <v>0</v>
      </c>
      <c r="AV4">
        <f t="shared" si="46"/>
        <v>493447.2</v>
      </c>
      <c r="AW4">
        <f t="shared" si="47"/>
        <v>493447.2</v>
      </c>
      <c r="AX4">
        <f t="shared" si="48"/>
        <v>493447.2</v>
      </c>
    </row>
    <row r="5">
      <c r="A5" t="str">
        <f>项目档案!$B$6&amp;""</f>
        <v>九安架空层</v>
      </c>
      <c r="B5">
        <f t="shared" si="8"/>
        <v>0</v>
      </c>
      <c r="C5">
        <f t="shared" si="9"/>
        <v>0</v>
      </c>
      <c r="D5">
        <f t="shared" si="10"/>
        <v>0</v>
      </c>
      <c r="E5">
        <f t="shared" si="11"/>
        <v>0</v>
      </c>
      <c r="F5">
        <f t="shared" si="12"/>
        <v>0</v>
      </c>
      <c r="G5">
        <f t="shared" si="13"/>
        <v>0</v>
      </c>
      <c r="H5">
        <f t="shared" si="14"/>
        <v>0</v>
      </c>
      <c r="I5">
        <f t="shared" si="15"/>
        <v>0</v>
      </c>
      <c r="J5">
        <f t="shared" si="16"/>
        <v>0</v>
      </c>
      <c r="K5">
        <f t="shared" si="17"/>
        <v>0</v>
      </c>
      <c r="L5">
        <f t="shared" si="18"/>
        <v>0</v>
      </c>
      <c r="M5">
        <f t="shared" si="19"/>
        <v>0</v>
      </c>
      <c r="N5">
        <f t="shared" si="20"/>
        <v>0</v>
      </c>
      <c r="O5">
        <f t="shared" si="21"/>
        <v>0</v>
      </c>
      <c r="P5">
        <f t="shared" si="22"/>
        <v>0</v>
      </c>
      <c r="Q5">
        <f t="shared" si="23"/>
        <v>5610</v>
      </c>
      <c r="R5">
        <f t="shared" si="24"/>
        <v>0</v>
      </c>
      <c r="S5">
        <f t="shared" si="25"/>
        <v>0</v>
      </c>
      <c r="T5">
        <f t="shared" si="26"/>
        <v>0</v>
      </c>
      <c r="U5">
        <f t="shared" si="27"/>
        <v>0</v>
      </c>
      <c r="V5">
        <f t="shared" si="28"/>
        <v>0</v>
      </c>
      <c r="W5">
        <f t="shared" si="29"/>
        <v>77</v>
      </c>
      <c r="X5">
        <f t="shared" si="30"/>
        <v>0</v>
      </c>
      <c r="Y5">
        <f t="shared" si="31"/>
        <v>0</v>
      </c>
      <c r="Z5">
        <f t="shared" si="32"/>
        <v>0</v>
      </c>
      <c r="AA5">
        <f t="shared" si="33"/>
        <v>0</v>
      </c>
      <c r="AB5">
        <f t="shared" si="34"/>
        <v>0</v>
      </c>
      <c r="AC5">
        <f t="shared" si="35"/>
        <v>0</v>
      </c>
      <c r="AD5">
        <f t="shared" si="36"/>
        <v>0</v>
      </c>
      <c r="AE5">
        <f t="shared" si="37"/>
        <v>5610</v>
      </c>
      <c r="AF5">
        <f t="shared" si="38"/>
        <v>0</v>
      </c>
      <c r="AG5">
        <f t="shared" si="39"/>
        <v>0</v>
      </c>
      <c r="AH5">
        <f t="shared" si="40"/>
        <v>0</v>
      </c>
      <c r="AI5">
        <f t="shared" si="41"/>
        <v>0</v>
      </c>
      <c r="AJ5">
        <f t="shared" si="42"/>
        <v>0</v>
      </c>
      <c r="AK5">
        <f t="shared" si="43"/>
        <v>0</v>
      </c>
      <c r="AL5">
        <f t="shared" si="44"/>
        <v>0</v>
      </c>
      <c r="AM5">
        <f t="shared" si="45"/>
        <v>0</v>
      </c>
      <c r="AN5">
        <f t="shared" si="0"/>
        <v>5610</v>
      </c>
      <c r="AO5">
        <f t="shared" si="1"/>
        <v>0</v>
      </c>
      <c r="AP5">
        <f t="shared" si="2"/>
        <v>0</v>
      </c>
      <c r="AQ5">
        <f t="shared" si="3"/>
        <v>0</v>
      </c>
      <c r="AR5">
        <f t="shared" si="4"/>
        <v>0</v>
      </c>
      <c r="AS5">
        <f t="shared" si="5"/>
        <v>0</v>
      </c>
      <c r="AT5">
        <f t="shared" si="6"/>
        <v>0</v>
      </c>
      <c r="AU5">
        <f t="shared" si="7"/>
        <v>0</v>
      </c>
      <c r="AV5">
        <f t="shared" si="46"/>
        <v>830000</v>
      </c>
      <c r="AW5">
        <f t="shared" si="47"/>
        <v>830000</v>
      </c>
      <c r="AX5">
        <f t="shared" si="48"/>
        <v>830000</v>
      </c>
    </row>
    <row r="6">
      <c r="A6" t="str">
        <f>项目档案!$B$7&amp;""</f>
        <v>数字产业园</v>
      </c>
      <c r="B6">
        <f t="shared" si="8"/>
        <v>0</v>
      </c>
      <c r="C6">
        <f t="shared" si="9"/>
        <v>0</v>
      </c>
      <c r="D6">
        <f t="shared" si="10"/>
        <v>0</v>
      </c>
      <c r="E6">
        <f t="shared" si="11"/>
        <v>0</v>
      </c>
      <c r="F6">
        <f t="shared" si="12"/>
        <v>0</v>
      </c>
      <c r="G6">
        <f t="shared" si="13"/>
        <v>0</v>
      </c>
      <c r="H6">
        <f t="shared" si="14"/>
        <v>0</v>
      </c>
      <c r="I6">
        <f t="shared" si="15"/>
        <v>0</v>
      </c>
      <c r="J6">
        <f t="shared" si="16"/>
        <v>0</v>
      </c>
      <c r="K6">
        <f t="shared" si="17"/>
        <v>0</v>
      </c>
      <c r="L6">
        <f t="shared" si="18"/>
        <v>0</v>
      </c>
      <c r="M6">
        <f t="shared" si="19"/>
        <v>0</v>
      </c>
      <c r="N6">
        <f t="shared" si="20"/>
        <v>0</v>
      </c>
      <c r="O6">
        <f t="shared" si="21"/>
        <v>0</v>
      </c>
      <c r="P6">
        <f t="shared" si="22"/>
        <v>0</v>
      </c>
      <c r="Q6">
        <f t="shared" si="23"/>
        <v>0</v>
      </c>
      <c r="R6">
        <f t="shared" si="24"/>
        <v>0</v>
      </c>
      <c r="S6">
        <f t="shared" si="25"/>
        <v>0</v>
      </c>
      <c r="T6">
        <f t="shared" si="26"/>
        <v>0</v>
      </c>
      <c r="U6">
        <f t="shared" si="27"/>
        <v>0</v>
      </c>
      <c r="V6">
        <f t="shared" si="28"/>
        <v>0</v>
      </c>
      <c r="W6">
        <f t="shared" si="29"/>
        <v>0</v>
      </c>
      <c r="X6">
        <f t="shared" si="30"/>
        <v>0</v>
      </c>
      <c r="Y6">
        <f t="shared" si="31"/>
        <v>0</v>
      </c>
      <c r="Z6">
        <f t="shared" si="32"/>
        <v>0</v>
      </c>
      <c r="AA6">
        <f t="shared" si="33"/>
        <v>0</v>
      </c>
      <c r="AB6">
        <f t="shared" si="34"/>
        <v>0</v>
      </c>
      <c r="AC6">
        <f t="shared" si="35"/>
        <v>0</v>
      </c>
      <c r="AD6">
        <f t="shared" si="36"/>
        <v>0</v>
      </c>
      <c r="AE6">
        <f t="shared" si="37"/>
        <v>0</v>
      </c>
      <c r="AF6">
        <f t="shared" si="38"/>
        <v>0</v>
      </c>
      <c r="AG6">
        <f t="shared" si="39"/>
        <v>0</v>
      </c>
      <c r="AH6">
        <f t="shared" si="40"/>
        <v>0</v>
      </c>
      <c r="AI6">
        <f t="shared" si="41"/>
        <v>0</v>
      </c>
      <c r="AJ6">
        <f t="shared" si="42"/>
        <v>0</v>
      </c>
      <c r="AK6">
        <f t="shared" si="43"/>
        <v>0</v>
      </c>
      <c r="AL6">
        <f t="shared" si="44"/>
        <v>0</v>
      </c>
      <c r="AM6">
        <f t="shared" si="45"/>
        <v>0</v>
      </c>
      <c r="AN6">
        <f t="shared" si="0"/>
        <v>0</v>
      </c>
      <c r="AO6">
        <f t="shared" si="1"/>
        <v>0</v>
      </c>
      <c r="AP6">
        <f t="shared" si="2"/>
        <v>0</v>
      </c>
      <c r="AQ6">
        <f t="shared" si="3"/>
        <v>0</v>
      </c>
      <c r="AR6">
        <f t="shared" si="4"/>
        <v>0</v>
      </c>
      <c r="AS6">
        <f t="shared" si="5"/>
        <v>0</v>
      </c>
      <c r="AT6">
        <f t="shared" si="6"/>
        <v>0</v>
      </c>
      <c r="AU6">
        <f t="shared" si="7"/>
        <v>0</v>
      </c>
      <c r="AV6">
        <f t="shared" si="46"/>
        <v>98612.18</v>
      </c>
      <c r="AW6">
        <f t="shared" si="47"/>
        <v>98612.18</v>
      </c>
      <c r="AX6">
        <f t="shared" si="48"/>
        <v>98612.18</v>
      </c>
    </row>
    <row r="7">
      <c r="A7" t="str">
        <f>项目档案!$B$8&amp;""</f>
        <v>邹桥派出所</v>
      </c>
      <c r="B7">
        <f t="shared" si="8"/>
        <v>0</v>
      </c>
      <c r="C7">
        <f t="shared" si="9"/>
        <v>0</v>
      </c>
      <c r="D7">
        <f t="shared" si="10"/>
        <v>0</v>
      </c>
      <c r="E7">
        <f t="shared" si="11"/>
        <v>50996.59</v>
      </c>
      <c r="F7">
        <f t="shared" si="12"/>
        <v>0</v>
      </c>
      <c r="G7">
        <f t="shared" si="13"/>
        <v>0</v>
      </c>
      <c r="H7">
        <f t="shared" si="14"/>
        <v>0</v>
      </c>
      <c r="I7">
        <f t="shared" si="15"/>
        <v>0</v>
      </c>
      <c r="J7">
        <f t="shared" si="16"/>
        <v>0</v>
      </c>
      <c r="K7">
        <f t="shared" si="17"/>
        <v>0</v>
      </c>
      <c r="L7">
        <f t="shared" si="18"/>
        <v>0</v>
      </c>
      <c r="M7">
        <f t="shared" si="19"/>
        <v>0</v>
      </c>
      <c r="N7">
        <f t="shared" si="20"/>
        <v>0</v>
      </c>
      <c r="O7">
        <f t="shared" si="21"/>
        <v>303.2</v>
      </c>
      <c r="P7">
        <f t="shared" si="22"/>
        <v>0</v>
      </c>
      <c r="Q7">
        <f t="shared" si="23"/>
        <v>37805</v>
      </c>
      <c r="R7">
        <f t="shared" si="24"/>
        <v>0</v>
      </c>
      <c r="S7">
        <f t="shared" si="25"/>
        <v>0</v>
      </c>
      <c r="T7">
        <f t="shared" si="26"/>
        <v>0</v>
      </c>
      <c r="U7">
        <f t="shared" si="27"/>
        <v>1280</v>
      </c>
      <c r="V7">
        <f t="shared" si="28"/>
        <v>0</v>
      </c>
      <c r="W7">
        <f t="shared" si="29"/>
        <v>2500</v>
      </c>
      <c r="X7">
        <f t="shared" si="30"/>
        <v>0</v>
      </c>
      <c r="Y7">
        <f t="shared" si="31"/>
        <v>0</v>
      </c>
      <c r="Z7">
        <f t="shared" si="32"/>
        <v>0</v>
      </c>
      <c r="AA7">
        <f t="shared" si="33"/>
        <v>0</v>
      </c>
      <c r="AB7">
        <f t="shared" si="34"/>
        <v>0</v>
      </c>
      <c r="AC7">
        <f t="shared" si="35"/>
        <v>0</v>
      </c>
      <c r="AD7">
        <f t="shared" si="36"/>
        <v>12370</v>
      </c>
      <c r="AE7">
        <f t="shared" si="37"/>
        <v>24235</v>
      </c>
      <c r="AF7">
        <f t="shared" si="38"/>
        <v>0</v>
      </c>
      <c r="AG7">
        <f t="shared" si="39"/>
        <v>0</v>
      </c>
      <c r="AH7">
        <f t="shared" si="40"/>
        <v>1200</v>
      </c>
      <c r="AI7">
        <f t="shared" si="41"/>
        <v>0</v>
      </c>
      <c r="AJ7">
        <f t="shared" si="42"/>
        <v>0</v>
      </c>
      <c r="AK7">
        <f t="shared" si="43"/>
        <v>0</v>
      </c>
      <c r="AL7">
        <f t="shared" si="44"/>
        <v>0</v>
      </c>
      <c r="AM7">
        <f t="shared" si="45"/>
        <v>0</v>
      </c>
      <c r="AN7">
        <f t="shared" si="0"/>
        <v>39085</v>
      </c>
      <c r="AO7">
        <f t="shared" si="1"/>
        <v>0</v>
      </c>
      <c r="AP7">
        <f t="shared" si="2"/>
        <v>0</v>
      </c>
      <c r="AQ7">
        <f t="shared" si="3"/>
        <v>0</v>
      </c>
      <c r="AR7">
        <f t="shared" si="4"/>
        <v>0</v>
      </c>
      <c r="AS7">
        <f t="shared" si="5"/>
        <v>0</v>
      </c>
      <c r="AT7">
        <f t="shared" si="6"/>
        <v>0</v>
      </c>
      <c r="AU7">
        <f t="shared" si="7"/>
        <v>0</v>
      </c>
      <c r="AV7">
        <f t="shared" si="46"/>
        <v>31813.97</v>
      </c>
      <c r="AW7">
        <f t="shared" si="47"/>
        <v>82810.56</v>
      </c>
      <c r="AX7">
        <f t="shared" si="48"/>
        <v>82810.56</v>
      </c>
    </row>
    <row r="8">
      <c r="A8" t="str">
        <f>项目档案!$B$9&amp;""</f>
        <v>抚州1号楼</v>
      </c>
      <c r="B8">
        <f t="shared" si="8"/>
        <v>0</v>
      </c>
      <c r="C8">
        <f t="shared" si="9"/>
        <v>0</v>
      </c>
      <c r="D8">
        <f t="shared" si="10"/>
        <v>0</v>
      </c>
      <c r="E8">
        <f t="shared" si="11"/>
        <v>0</v>
      </c>
      <c r="F8">
        <f t="shared" si="12"/>
        <v>0</v>
      </c>
      <c r="G8">
        <f t="shared" si="13"/>
        <v>0</v>
      </c>
      <c r="H8">
        <f t="shared" si="14"/>
        <v>0</v>
      </c>
      <c r="I8">
        <f t="shared" si="15"/>
        <v>0</v>
      </c>
      <c r="J8">
        <f t="shared" si="16"/>
        <v>0</v>
      </c>
      <c r="K8">
        <f t="shared" si="17"/>
        <v>0</v>
      </c>
      <c r="L8">
        <f t="shared" si="18"/>
        <v>0</v>
      </c>
      <c r="M8">
        <f t="shared" si="19"/>
        <v>0</v>
      </c>
      <c r="N8">
        <f t="shared" si="20"/>
        <v>0</v>
      </c>
      <c r="O8">
        <f t="shared" si="21"/>
        <v>0</v>
      </c>
      <c r="P8">
        <f t="shared" si="22"/>
        <v>0</v>
      </c>
      <c r="Q8">
        <f t="shared" si="23"/>
        <v>0</v>
      </c>
      <c r="R8">
        <f t="shared" si="24"/>
        <v>0</v>
      </c>
      <c r="S8">
        <f t="shared" si="25"/>
        <v>0</v>
      </c>
      <c r="T8">
        <f t="shared" si="26"/>
        <v>0</v>
      </c>
      <c r="U8">
        <f t="shared" si="27"/>
        <v>0</v>
      </c>
      <c r="V8">
        <f t="shared" si="28"/>
        <v>0</v>
      </c>
      <c r="W8">
        <f t="shared" si="29"/>
        <v>0</v>
      </c>
      <c r="X8">
        <f t="shared" si="30"/>
        <v>0</v>
      </c>
      <c r="Y8">
        <f t="shared" si="31"/>
        <v>0</v>
      </c>
      <c r="Z8">
        <f t="shared" si="32"/>
        <v>0</v>
      </c>
      <c r="AA8">
        <f t="shared" si="33"/>
        <v>0</v>
      </c>
      <c r="AB8">
        <f t="shared" si="34"/>
        <v>0</v>
      </c>
      <c r="AC8">
        <f t="shared" si="35"/>
        <v>0</v>
      </c>
      <c r="AD8">
        <f t="shared" si="36"/>
        <v>0</v>
      </c>
      <c r="AE8">
        <f t="shared" si="37"/>
        <v>0</v>
      </c>
      <c r="AF8">
        <f t="shared" si="38"/>
        <v>0</v>
      </c>
      <c r="AG8">
        <f t="shared" si="39"/>
        <v>0</v>
      </c>
      <c r="AH8">
        <f t="shared" si="40"/>
        <v>0</v>
      </c>
      <c r="AI8">
        <f t="shared" si="41"/>
        <v>0</v>
      </c>
      <c r="AJ8">
        <f t="shared" si="42"/>
        <v>0</v>
      </c>
      <c r="AK8">
        <f t="shared" si="43"/>
        <v>0</v>
      </c>
      <c r="AL8">
        <f t="shared" si="44"/>
        <v>0</v>
      </c>
      <c r="AM8">
        <f t="shared" si="45"/>
        <v>0</v>
      </c>
      <c r="AN8">
        <f t="shared" si="0"/>
        <v>0</v>
      </c>
      <c r="AO8">
        <f t="shared" si="1"/>
        <v>0</v>
      </c>
      <c r="AP8">
        <f t="shared" si="2"/>
        <v>0</v>
      </c>
      <c r="AQ8">
        <f t="shared" si="3"/>
        <v>0</v>
      </c>
      <c r="AR8">
        <f t="shared" si="4"/>
        <v>0</v>
      </c>
      <c r="AS8">
        <f t="shared" si="5"/>
        <v>0</v>
      </c>
      <c r="AT8">
        <f t="shared" si="6"/>
        <v>0</v>
      </c>
      <c r="AU8">
        <f t="shared" si="7"/>
        <v>0</v>
      </c>
      <c r="AV8">
        <f t="shared" si="46"/>
        <v>133076.72</v>
      </c>
      <c r="AW8">
        <f t="shared" si="47"/>
        <v>133076.72</v>
      </c>
      <c r="AX8">
        <f t="shared" si="48"/>
        <v>133076.72</v>
      </c>
    </row>
    <row r="9">
      <c r="A9" t="str">
        <f>项目档案!$B$10&amp;""</f>
        <v>抚州8号楼</v>
      </c>
      <c r="B9">
        <f t="shared" si="8"/>
        <v>0</v>
      </c>
      <c r="C9">
        <f t="shared" si="9"/>
        <v>0</v>
      </c>
      <c r="D9">
        <f t="shared" si="10"/>
        <v>0</v>
      </c>
      <c r="E9">
        <f t="shared" si="11"/>
        <v>54516.23</v>
      </c>
      <c r="F9">
        <f t="shared" si="12"/>
        <v>0</v>
      </c>
      <c r="G9">
        <f t="shared" si="13"/>
        <v>0</v>
      </c>
      <c r="H9">
        <f t="shared" si="14"/>
        <v>0</v>
      </c>
      <c r="I9">
        <f t="shared" si="15"/>
        <v>0</v>
      </c>
      <c r="J9">
        <f t="shared" si="16"/>
        <v>0</v>
      </c>
      <c r="K9">
        <f t="shared" si="17"/>
        <v>0</v>
      </c>
      <c r="L9">
        <f t="shared" si="18"/>
        <v>0</v>
      </c>
      <c r="M9">
        <f t="shared" si="19"/>
        <v>0</v>
      </c>
      <c r="N9">
        <f t="shared" si="20"/>
        <v>0</v>
      </c>
      <c r="O9">
        <f t="shared" si="21"/>
        <v>0</v>
      </c>
      <c r="P9">
        <f t="shared" si="22"/>
        <v>0</v>
      </c>
      <c r="Q9">
        <f t="shared" si="23"/>
        <v>0</v>
      </c>
      <c r="R9">
        <f t="shared" si="24"/>
        <v>0</v>
      </c>
      <c r="S9">
        <f t="shared" si="25"/>
        <v>0</v>
      </c>
      <c r="T9">
        <f t="shared" si="26"/>
        <v>0</v>
      </c>
      <c r="U9">
        <f t="shared" si="27"/>
        <v>0</v>
      </c>
      <c r="V9">
        <f t="shared" si="28"/>
        <v>0</v>
      </c>
      <c r="W9">
        <f t="shared" si="29"/>
        <v>1470</v>
      </c>
      <c r="X9">
        <f t="shared" si="30"/>
        <v>0</v>
      </c>
      <c r="Y9">
        <f t="shared" si="31"/>
        <v>0</v>
      </c>
      <c r="Z9">
        <f t="shared" si="32"/>
        <v>0</v>
      </c>
      <c r="AA9">
        <f t="shared" si="33"/>
        <v>0</v>
      </c>
      <c r="AB9">
        <f t="shared" si="34"/>
        <v>0</v>
      </c>
      <c r="AC9">
        <f t="shared" si="35"/>
        <v>0</v>
      </c>
      <c r="AD9">
        <f t="shared" si="36"/>
        <v>0</v>
      </c>
      <c r="AE9">
        <f t="shared" si="37"/>
        <v>0</v>
      </c>
      <c r="AF9">
        <f t="shared" si="38"/>
        <v>0</v>
      </c>
      <c r="AG9">
        <f t="shared" si="39"/>
        <v>0</v>
      </c>
      <c r="AH9">
        <f t="shared" si="40"/>
        <v>0</v>
      </c>
      <c r="AI9">
        <f t="shared" si="41"/>
        <v>0</v>
      </c>
      <c r="AJ9">
        <f t="shared" si="42"/>
        <v>0</v>
      </c>
      <c r="AK9">
        <f t="shared" si="43"/>
        <v>0</v>
      </c>
      <c r="AL9">
        <f t="shared" si="44"/>
        <v>0</v>
      </c>
      <c r="AM9">
        <f t="shared" si="45"/>
        <v>0</v>
      </c>
      <c r="AN9">
        <f t="shared" si="0"/>
        <v>0</v>
      </c>
      <c r="AO9">
        <f t="shared" si="1"/>
        <v>0</v>
      </c>
      <c r="AP9">
        <f t="shared" si="2"/>
        <v>0</v>
      </c>
      <c r="AQ9">
        <f t="shared" si="3"/>
        <v>0</v>
      </c>
      <c r="AR9">
        <f t="shared" si="4"/>
        <v>0</v>
      </c>
      <c r="AS9">
        <f t="shared" si="5"/>
        <v>0</v>
      </c>
      <c r="AT9">
        <f t="shared" si="6"/>
        <v>0</v>
      </c>
      <c r="AU9">
        <f t="shared" si="7"/>
        <v>0</v>
      </c>
      <c r="AV9">
        <f t="shared" si="46"/>
        <v>289406.17</v>
      </c>
      <c r="AW9">
        <f t="shared" si="47"/>
        <v>343922.4</v>
      </c>
      <c r="AX9">
        <f t="shared" si="48"/>
        <v>343922.4</v>
      </c>
    </row>
    <row r="10">
      <c r="A10" t="str">
        <f>项目档案!$B$11&amp;""</f>
        <v>抚州2号楼</v>
      </c>
      <c r="B10">
        <f t="shared" si="8"/>
        <v>0</v>
      </c>
      <c r="C10">
        <f t="shared" si="9"/>
        <v>0</v>
      </c>
      <c r="D10">
        <f t="shared" si="10"/>
        <v>0</v>
      </c>
      <c r="E10">
        <f t="shared" si="11"/>
        <v>51200</v>
      </c>
      <c r="F10">
        <f t="shared" si="12"/>
        <v>0</v>
      </c>
      <c r="G10">
        <f t="shared" si="13"/>
        <v>0</v>
      </c>
      <c r="H10">
        <f t="shared" si="14"/>
        <v>0</v>
      </c>
      <c r="I10">
        <f t="shared" si="15"/>
        <v>0</v>
      </c>
      <c r="J10">
        <f t="shared" si="16"/>
        <v>0</v>
      </c>
      <c r="K10">
        <f t="shared" si="17"/>
        <v>0</v>
      </c>
      <c r="L10">
        <f t="shared" si="18"/>
        <v>0</v>
      </c>
      <c r="M10">
        <f t="shared" si="19"/>
        <v>0</v>
      </c>
      <c r="N10">
        <f t="shared" si="20"/>
        <v>0</v>
      </c>
      <c r="O10">
        <f t="shared" si="21"/>
        <v>0</v>
      </c>
      <c r="P10">
        <f t="shared" si="22"/>
        <v>0</v>
      </c>
      <c r="Q10">
        <f t="shared" si="23"/>
        <v>0</v>
      </c>
      <c r="R10">
        <f t="shared" si="24"/>
        <v>0</v>
      </c>
      <c r="S10">
        <f t="shared" si="25"/>
        <v>0</v>
      </c>
      <c r="T10">
        <f t="shared" si="26"/>
        <v>0</v>
      </c>
      <c r="U10">
        <f t="shared" si="27"/>
        <v>0</v>
      </c>
      <c r="V10">
        <f t="shared" si="28"/>
        <v>0</v>
      </c>
      <c r="W10">
        <f t="shared" si="29"/>
        <v>0</v>
      </c>
      <c r="X10">
        <f t="shared" si="30"/>
        <v>0</v>
      </c>
      <c r="Y10">
        <f t="shared" si="31"/>
        <v>0</v>
      </c>
      <c r="Z10">
        <f t="shared" si="32"/>
        <v>0</v>
      </c>
      <c r="AA10">
        <f t="shared" si="33"/>
        <v>0</v>
      </c>
      <c r="AB10">
        <f t="shared" si="34"/>
        <v>0</v>
      </c>
      <c r="AC10">
        <f t="shared" si="35"/>
        <v>0</v>
      </c>
      <c r="AD10">
        <f t="shared" si="36"/>
        <v>0</v>
      </c>
      <c r="AE10">
        <f t="shared" si="37"/>
        <v>0</v>
      </c>
      <c r="AF10">
        <f t="shared" si="38"/>
        <v>0</v>
      </c>
      <c r="AG10">
        <f t="shared" si="39"/>
        <v>0</v>
      </c>
      <c r="AH10">
        <f t="shared" si="40"/>
        <v>0</v>
      </c>
      <c r="AI10">
        <f t="shared" si="41"/>
        <v>0</v>
      </c>
      <c r="AJ10">
        <f t="shared" si="42"/>
        <v>0</v>
      </c>
      <c r="AK10">
        <f t="shared" si="43"/>
        <v>0</v>
      </c>
      <c r="AL10">
        <f t="shared" si="44"/>
        <v>0</v>
      </c>
      <c r="AM10">
        <f t="shared" si="45"/>
        <v>0</v>
      </c>
      <c r="AN10">
        <f t="shared" si="0"/>
        <v>0</v>
      </c>
      <c r="AO10">
        <f t="shared" si="1"/>
        <v>0</v>
      </c>
      <c r="AP10">
        <f t="shared" si="2"/>
        <v>0</v>
      </c>
      <c r="AQ10">
        <f t="shared" si="3"/>
        <v>0</v>
      </c>
      <c r="AR10">
        <f t="shared" si="4"/>
        <v>0</v>
      </c>
      <c r="AS10">
        <f t="shared" si="5"/>
        <v>0</v>
      </c>
      <c r="AT10">
        <f t="shared" si="6"/>
        <v>0</v>
      </c>
      <c r="AU10">
        <f t="shared" si="7"/>
        <v>0</v>
      </c>
      <c r="AV10">
        <f t="shared" si="46"/>
        <v>12800</v>
      </c>
      <c r="AW10">
        <f t="shared" si="47"/>
        <v>64000</v>
      </c>
      <c r="AX10">
        <f t="shared" si="48"/>
        <v>64000</v>
      </c>
    </row>
    <row r="11">
      <c r="A11" t="str">
        <f>项目档案!$B$12&amp;""</f>
        <v>博河科创中心</v>
      </c>
      <c r="B11">
        <f t="shared" si="8"/>
        <v>0</v>
      </c>
      <c r="C11">
        <f t="shared" si="9"/>
        <v>0</v>
      </c>
      <c r="D11">
        <f t="shared" si="10"/>
        <v>0</v>
      </c>
      <c r="E11">
        <f t="shared" si="11"/>
        <v>0</v>
      </c>
      <c r="F11">
        <f t="shared" si="12"/>
        <v>0</v>
      </c>
      <c r="G11">
        <f t="shared" si="13"/>
        <v>0</v>
      </c>
      <c r="H11">
        <f t="shared" si="14"/>
        <v>0</v>
      </c>
      <c r="I11">
        <f t="shared" si="15"/>
        <v>0</v>
      </c>
      <c r="J11">
        <f t="shared" si="16"/>
        <v>0</v>
      </c>
      <c r="K11">
        <f t="shared" si="17"/>
        <v>0</v>
      </c>
      <c r="L11">
        <f t="shared" si="18"/>
        <v>0</v>
      </c>
      <c r="M11">
        <f t="shared" si="19"/>
        <v>0</v>
      </c>
      <c r="N11">
        <f t="shared" si="20"/>
        <v>0</v>
      </c>
      <c r="O11">
        <f t="shared" si="21"/>
        <v>0</v>
      </c>
      <c r="P11">
        <f t="shared" si="22"/>
        <v>0</v>
      </c>
      <c r="Q11">
        <f t="shared" si="23"/>
        <v>0</v>
      </c>
      <c r="R11">
        <f t="shared" si="24"/>
        <v>0</v>
      </c>
      <c r="S11">
        <f t="shared" si="25"/>
        <v>0</v>
      </c>
      <c r="T11">
        <f t="shared" si="26"/>
        <v>0</v>
      </c>
      <c r="U11">
        <f t="shared" si="27"/>
        <v>0</v>
      </c>
      <c r="V11">
        <f t="shared" si="28"/>
        <v>0</v>
      </c>
      <c r="W11">
        <f t="shared" si="29"/>
        <v>0</v>
      </c>
      <c r="X11">
        <f t="shared" si="30"/>
        <v>0</v>
      </c>
      <c r="Y11">
        <f t="shared" si="31"/>
        <v>0</v>
      </c>
      <c r="Z11">
        <f t="shared" si="32"/>
        <v>0</v>
      </c>
      <c r="AA11">
        <f t="shared" si="33"/>
        <v>0</v>
      </c>
      <c r="AB11">
        <f t="shared" si="34"/>
        <v>0</v>
      </c>
      <c r="AC11">
        <f t="shared" si="35"/>
        <v>0</v>
      </c>
      <c r="AD11">
        <f t="shared" si="36"/>
        <v>0</v>
      </c>
      <c r="AE11">
        <f t="shared" si="37"/>
        <v>0</v>
      </c>
      <c r="AF11">
        <f t="shared" si="38"/>
        <v>0</v>
      </c>
      <c r="AG11">
        <f t="shared" si="39"/>
        <v>0</v>
      </c>
      <c r="AH11">
        <f t="shared" si="40"/>
        <v>0</v>
      </c>
      <c r="AI11">
        <f t="shared" si="41"/>
        <v>0</v>
      </c>
      <c r="AJ11">
        <f t="shared" si="42"/>
        <v>0</v>
      </c>
      <c r="AK11">
        <f t="shared" si="43"/>
        <v>0</v>
      </c>
      <c r="AL11">
        <f t="shared" si="44"/>
        <v>0</v>
      </c>
      <c r="AM11">
        <f t="shared" si="45"/>
        <v>0</v>
      </c>
      <c r="AN11">
        <f t="shared" si="0"/>
        <v>0</v>
      </c>
      <c r="AO11">
        <f t="shared" si="1"/>
        <v>0</v>
      </c>
      <c r="AP11">
        <f t="shared" si="2"/>
        <v>0</v>
      </c>
      <c r="AQ11">
        <f t="shared" si="3"/>
        <v>0</v>
      </c>
      <c r="AR11">
        <f t="shared" si="4"/>
        <v>0</v>
      </c>
      <c r="AS11">
        <f t="shared" si="5"/>
        <v>0</v>
      </c>
      <c r="AT11">
        <f t="shared" si="6"/>
        <v>0</v>
      </c>
      <c r="AU11">
        <f t="shared" si="7"/>
        <v>0</v>
      </c>
      <c r="AV11">
        <f t="shared" si="46"/>
        <v>510758.96</v>
      </c>
      <c r="AW11">
        <f t="shared" si="47"/>
        <v>510758.96</v>
      </c>
      <c r="AX11">
        <f t="shared" si="48"/>
        <v>510758.96</v>
      </c>
    </row>
    <row r="12">
      <c r="A12" t="str">
        <f>项目档案!$B$13&amp;""</f>
        <v>德安农商行总部</v>
      </c>
      <c r="B12">
        <f t="shared" si="8"/>
        <v>0</v>
      </c>
      <c r="C12">
        <f t="shared" si="9"/>
        <v>8992</v>
      </c>
      <c r="D12">
        <f t="shared" si="10"/>
        <v>0</v>
      </c>
      <c r="E12">
        <f t="shared" si="11"/>
        <v>0</v>
      </c>
      <c r="F12">
        <f t="shared" si="12"/>
        <v>0</v>
      </c>
      <c r="G12">
        <f t="shared" si="13"/>
        <v>0</v>
      </c>
      <c r="H12">
        <f t="shared" si="14"/>
        <v>0</v>
      </c>
      <c r="I12">
        <f t="shared" si="15"/>
        <v>8992</v>
      </c>
      <c r="J12">
        <f t="shared" si="16"/>
        <v>0</v>
      </c>
      <c r="K12">
        <f t="shared" si="17"/>
        <v>742.46</v>
      </c>
      <c r="L12">
        <f t="shared" si="18"/>
        <v>0</v>
      </c>
      <c r="M12">
        <f t="shared" si="19"/>
        <v>62.92</v>
      </c>
      <c r="N12">
        <f t="shared" si="20"/>
        <v>0</v>
      </c>
      <c r="O12">
        <f t="shared" si="21"/>
        <v>120</v>
      </c>
      <c r="P12">
        <f t="shared" si="22"/>
        <v>0</v>
      </c>
      <c r="Q12">
        <f t="shared" si="23"/>
        <v>360</v>
      </c>
      <c r="R12">
        <f t="shared" si="24"/>
        <v>0</v>
      </c>
      <c r="S12">
        <f t="shared" si="25"/>
        <v>0</v>
      </c>
      <c r="T12">
        <f t="shared" si="26"/>
        <v>0</v>
      </c>
      <c r="U12">
        <f t="shared" si="27"/>
        <v>800</v>
      </c>
      <c r="V12">
        <f t="shared" si="28"/>
        <v>0</v>
      </c>
      <c r="W12">
        <f t="shared" si="29"/>
        <v>0</v>
      </c>
      <c r="X12">
        <f t="shared" si="30"/>
        <v>0</v>
      </c>
      <c r="Y12">
        <f t="shared" si="31"/>
        <v>0</v>
      </c>
      <c r="Z12">
        <f t="shared" si="32"/>
        <v>0</v>
      </c>
      <c r="AA12">
        <f t="shared" si="33"/>
        <v>0</v>
      </c>
      <c r="AB12">
        <f t="shared" si="34"/>
        <v>0</v>
      </c>
      <c r="AC12">
        <f t="shared" si="35"/>
        <v>0</v>
      </c>
      <c r="AD12">
        <f t="shared" si="36"/>
        <v>0</v>
      </c>
      <c r="AE12">
        <f t="shared" si="37"/>
        <v>0</v>
      </c>
      <c r="AF12">
        <f t="shared" si="38"/>
        <v>360</v>
      </c>
      <c r="AG12">
        <f t="shared" si="39"/>
        <v>0</v>
      </c>
      <c r="AH12">
        <f t="shared" si="40"/>
        <v>0</v>
      </c>
      <c r="AI12">
        <f t="shared" si="41"/>
        <v>0</v>
      </c>
      <c r="AJ12">
        <f t="shared" si="42"/>
        <v>0</v>
      </c>
      <c r="AK12">
        <f t="shared" si="43"/>
        <v>0</v>
      </c>
      <c r="AL12">
        <f t="shared" si="44"/>
        <v>0</v>
      </c>
      <c r="AM12">
        <f t="shared" si="45"/>
        <v>0</v>
      </c>
      <c r="AN12">
        <f t="shared" si="0"/>
        <v>1160</v>
      </c>
      <c r="AO12">
        <f t="shared" si="1"/>
        <v>0</v>
      </c>
      <c r="AP12">
        <f t="shared" si="2"/>
        <v>0</v>
      </c>
      <c r="AQ12">
        <f t="shared" si="3"/>
        <v>0</v>
      </c>
      <c r="AR12">
        <f t="shared" si="4"/>
        <v>0</v>
      </c>
      <c r="AS12">
        <f t="shared" si="5"/>
        <v>0</v>
      </c>
      <c r="AT12">
        <f t="shared" si="6"/>
        <v>0</v>
      </c>
      <c r="AU12">
        <f t="shared" si="7"/>
        <v>0</v>
      </c>
      <c r="AV12">
        <f t="shared" si="46"/>
        <v>8992</v>
      </c>
      <c r="AW12">
        <f t="shared" si="47"/>
        <v>0</v>
      </c>
      <c r="AX12">
        <f t="shared" si="48"/>
        <v>0</v>
      </c>
    </row>
    <row r="13">
      <c r="A13" t="str">
        <f>项目档案!$B$14&amp;""</f>
        <v>示范园</v>
      </c>
      <c r="B13">
        <f t="shared" si="8"/>
        <v>0</v>
      </c>
      <c r="C13">
        <f t="shared" si="9"/>
        <v>0</v>
      </c>
      <c r="D13">
        <f t="shared" si="10"/>
        <v>0</v>
      </c>
      <c r="E13">
        <f t="shared" si="11"/>
        <v>0</v>
      </c>
      <c r="F13">
        <f t="shared" si="12"/>
        <v>0</v>
      </c>
      <c r="G13">
        <f t="shared" si="13"/>
        <v>0</v>
      </c>
      <c r="H13">
        <f t="shared" si="14"/>
        <v>0</v>
      </c>
      <c r="I13">
        <f t="shared" si="15"/>
        <v>0</v>
      </c>
      <c r="J13">
        <f t="shared" si="16"/>
        <v>0</v>
      </c>
      <c r="K13">
        <f t="shared" si="17"/>
        <v>0</v>
      </c>
      <c r="L13">
        <f t="shared" si="18"/>
        <v>0</v>
      </c>
      <c r="M13">
        <f t="shared" si="19"/>
        <v>0</v>
      </c>
      <c r="N13">
        <f t="shared" si="20"/>
        <v>0</v>
      </c>
      <c r="O13">
        <f t="shared" si="21"/>
        <v>0</v>
      </c>
      <c r="P13">
        <f t="shared" si="22"/>
        <v>0</v>
      </c>
      <c r="Q13">
        <f t="shared" si="23"/>
        <v>6900</v>
      </c>
      <c r="R13">
        <f t="shared" si="24"/>
        <v>0</v>
      </c>
      <c r="S13">
        <f t="shared" si="25"/>
        <v>0</v>
      </c>
      <c r="T13">
        <f t="shared" si="26"/>
        <v>0</v>
      </c>
      <c r="U13">
        <f t="shared" si="27"/>
        <v>0</v>
      </c>
      <c r="V13">
        <f t="shared" si="28"/>
        <v>0</v>
      </c>
      <c r="W13">
        <f t="shared" si="29"/>
        <v>0</v>
      </c>
      <c r="X13">
        <f t="shared" si="30"/>
        <v>0</v>
      </c>
      <c r="Y13">
        <f t="shared" si="31"/>
        <v>0</v>
      </c>
      <c r="Z13">
        <f t="shared" si="32"/>
        <v>0</v>
      </c>
      <c r="AA13">
        <f t="shared" si="33"/>
        <v>0</v>
      </c>
      <c r="AB13">
        <f t="shared" si="34"/>
        <v>0</v>
      </c>
      <c r="AC13">
        <f t="shared" si="35"/>
        <v>0</v>
      </c>
      <c r="AD13">
        <f t="shared" si="36"/>
        <v>6900</v>
      </c>
      <c r="AE13">
        <f t="shared" si="37"/>
        <v>0</v>
      </c>
      <c r="AF13">
        <f t="shared" si="38"/>
        <v>0</v>
      </c>
      <c r="AG13">
        <f t="shared" si="39"/>
        <v>0</v>
      </c>
      <c r="AH13">
        <f t="shared" si="40"/>
        <v>0</v>
      </c>
      <c r="AI13">
        <f t="shared" si="41"/>
        <v>0</v>
      </c>
      <c r="AJ13">
        <f t="shared" si="42"/>
        <v>0</v>
      </c>
      <c r="AK13">
        <f t="shared" si="43"/>
        <v>0</v>
      </c>
      <c r="AL13">
        <f t="shared" si="44"/>
        <v>0</v>
      </c>
      <c r="AM13">
        <f t="shared" si="45"/>
        <v>0</v>
      </c>
      <c r="AN13">
        <f t="shared" si="0"/>
        <v>6900</v>
      </c>
      <c r="AO13">
        <f t="shared" si="1"/>
        <v>0</v>
      </c>
      <c r="AP13">
        <f t="shared" si="2"/>
        <v>0</v>
      </c>
      <c r="AQ13">
        <f t="shared" si="3"/>
        <v>0</v>
      </c>
      <c r="AR13">
        <f t="shared" si="4"/>
        <v>0</v>
      </c>
      <c r="AS13">
        <f t="shared" si="5"/>
        <v>0</v>
      </c>
      <c r="AT13">
        <f t="shared" si="6"/>
        <v>0</v>
      </c>
      <c r="AU13">
        <f t="shared" si="7"/>
        <v>0</v>
      </c>
      <c r="AV13">
        <f t="shared" si="46"/>
        <v>0</v>
      </c>
      <c r="AW13">
        <f t="shared" si="47"/>
        <v>0</v>
      </c>
      <c r="AX13">
        <f t="shared" si="48"/>
        <v>0</v>
      </c>
    </row>
    <row r="14">
      <c r="A14" t="str">
        <f>项目档案!$B$15&amp;""</f>
        <v>恒科华府</v>
      </c>
      <c r="B14">
        <f t="shared" si="8"/>
        <v>0</v>
      </c>
      <c r="C14">
        <f t="shared" si="9"/>
        <v>0</v>
      </c>
      <c r="D14">
        <f t="shared" si="10"/>
        <v>0</v>
      </c>
      <c r="E14">
        <f t="shared" si="11"/>
        <v>0</v>
      </c>
      <c r="F14">
        <f t="shared" si="12"/>
        <v>0</v>
      </c>
      <c r="G14">
        <f t="shared" si="13"/>
        <v>0</v>
      </c>
      <c r="H14">
        <f t="shared" si="14"/>
        <v>0</v>
      </c>
      <c r="I14">
        <f t="shared" si="15"/>
        <v>0</v>
      </c>
      <c r="J14">
        <f t="shared" si="16"/>
        <v>0</v>
      </c>
      <c r="K14">
        <f t="shared" si="17"/>
        <v>0</v>
      </c>
      <c r="L14">
        <f t="shared" si="18"/>
        <v>0</v>
      </c>
      <c r="M14">
        <f t="shared" si="19"/>
        <v>0</v>
      </c>
      <c r="N14">
        <f t="shared" si="20"/>
        <v>0</v>
      </c>
      <c r="O14">
        <f t="shared" si="21"/>
        <v>0</v>
      </c>
      <c r="P14">
        <f t="shared" si="22"/>
        <v>0</v>
      </c>
      <c r="Q14">
        <f t="shared" si="23"/>
        <v>0</v>
      </c>
      <c r="R14">
        <f t="shared" si="24"/>
        <v>0</v>
      </c>
      <c r="S14">
        <f t="shared" si="25"/>
        <v>0</v>
      </c>
      <c r="T14">
        <f t="shared" si="26"/>
        <v>0</v>
      </c>
      <c r="U14">
        <f t="shared" si="27"/>
        <v>0</v>
      </c>
      <c r="V14">
        <f t="shared" si="28"/>
        <v>0</v>
      </c>
      <c r="W14">
        <f t="shared" si="29"/>
        <v>0</v>
      </c>
      <c r="X14">
        <f t="shared" si="30"/>
        <v>0</v>
      </c>
      <c r="Y14">
        <f t="shared" si="31"/>
        <v>0</v>
      </c>
      <c r="Z14">
        <f t="shared" si="32"/>
        <v>0</v>
      </c>
      <c r="AA14">
        <f t="shared" si="33"/>
        <v>0</v>
      </c>
      <c r="AB14">
        <f t="shared" si="34"/>
        <v>0</v>
      </c>
      <c r="AC14">
        <f t="shared" si="35"/>
        <v>0</v>
      </c>
      <c r="AD14">
        <f t="shared" si="36"/>
        <v>0</v>
      </c>
      <c r="AE14">
        <f t="shared" si="37"/>
        <v>0</v>
      </c>
      <c r="AF14">
        <f t="shared" si="38"/>
        <v>0</v>
      </c>
      <c r="AG14">
        <f t="shared" si="39"/>
        <v>0</v>
      </c>
      <c r="AH14">
        <f t="shared" si="40"/>
        <v>0</v>
      </c>
      <c r="AI14">
        <f t="shared" si="41"/>
        <v>0</v>
      </c>
      <c r="AJ14">
        <f t="shared" si="42"/>
        <v>0</v>
      </c>
      <c r="AK14">
        <f t="shared" si="43"/>
        <v>0</v>
      </c>
      <c r="AL14">
        <f t="shared" si="44"/>
        <v>0</v>
      </c>
      <c r="AM14">
        <f t="shared" si="45"/>
        <v>0</v>
      </c>
      <c r="AN14">
        <f t="shared" si="0"/>
        <v>0</v>
      </c>
      <c r="AO14">
        <f t="shared" si="1"/>
        <v>0</v>
      </c>
      <c r="AP14">
        <f t="shared" si="2"/>
        <v>0</v>
      </c>
      <c r="AQ14">
        <f t="shared" si="3"/>
        <v>0</v>
      </c>
      <c r="AR14">
        <f t="shared" si="4"/>
        <v>0</v>
      </c>
      <c r="AS14">
        <f t="shared" si="5"/>
        <v>0</v>
      </c>
      <c r="AT14">
        <f t="shared" si="6"/>
        <v>0</v>
      </c>
      <c r="AU14">
        <f t="shared" si="7"/>
        <v>0</v>
      </c>
      <c r="AV14">
        <f t="shared" si="46"/>
        <v>0</v>
      </c>
      <c r="AW14">
        <f t="shared" si="47"/>
        <v>0</v>
      </c>
      <c r="AX14">
        <f t="shared" si="48"/>
        <v>0</v>
      </c>
    </row>
    <row r="15">
      <c r="A15" t="str">
        <f>项目档案!$B$16&amp;""</f>
        <v>赣粤高速</v>
      </c>
      <c r="B15">
        <f t="shared" si="8"/>
        <v>0</v>
      </c>
      <c r="C15">
        <f t="shared" si="9"/>
        <v>0</v>
      </c>
      <c r="D15">
        <f t="shared" si="10"/>
        <v>0</v>
      </c>
      <c r="E15">
        <f t="shared" si="11"/>
        <v>14502.87</v>
      </c>
      <c r="F15">
        <f t="shared" si="12"/>
        <v>0</v>
      </c>
      <c r="G15">
        <f t="shared" si="13"/>
        <v>0</v>
      </c>
      <c r="H15">
        <f t="shared" si="14"/>
        <v>0</v>
      </c>
      <c r="I15">
        <f t="shared" si="15"/>
        <v>0</v>
      </c>
      <c r="J15">
        <f t="shared" si="16"/>
        <v>0</v>
      </c>
      <c r="K15">
        <f t="shared" si="17"/>
        <v>0</v>
      </c>
      <c r="L15">
        <f t="shared" si="18"/>
        <v>0</v>
      </c>
      <c r="M15">
        <f t="shared" si="19"/>
        <v>0</v>
      </c>
      <c r="N15">
        <f t="shared" si="20"/>
        <v>0</v>
      </c>
      <c r="O15">
        <f t="shared" si="21"/>
        <v>0</v>
      </c>
      <c r="P15">
        <f t="shared" si="22"/>
        <v>0</v>
      </c>
      <c r="Q15">
        <f t="shared" si="23"/>
        <v>0</v>
      </c>
      <c r="R15">
        <f t="shared" si="24"/>
        <v>0</v>
      </c>
      <c r="S15">
        <f t="shared" si="25"/>
        <v>0</v>
      </c>
      <c r="T15">
        <f t="shared" si="26"/>
        <v>0</v>
      </c>
      <c r="U15">
        <f t="shared" si="27"/>
        <v>0</v>
      </c>
      <c r="V15">
        <f t="shared" si="28"/>
        <v>0</v>
      </c>
      <c r="W15">
        <f t="shared" si="29"/>
        <v>0</v>
      </c>
      <c r="X15">
        <f t="shared" si="30"/>
        <v>0</v>
      </c>
      <c r="Y15">
        <f t="shared" si="31"/>
        <v>0</v>
      </c>
      <c r="Z15">
        <f t="shared" si="32"/>
        <v>0</v>
      </c>
      <c r="AA15">
        <f t="shared" si="33"/>
        <v>0</v>
      </c>
      <c r="AB15">
        <f t="shared" si="34"/>
        <v>0</v>
      </c>
      <c r="AC15">
        <f t="shared" si="35"/>
        <v>0</v>
      </c>
      <c r="AD15">
        <f t="shared" si="36"/>
        <v>0</v>
      </c>
      <c r="AE15">
        <f t="shared" si="37"/>
        <v>0</v>
      </c>
      <c r="AF15">
        <f t="shared" si="38"/>
        <v>0</v>
      </c>
      <c r="AG15">
        <f t="shared" si="39"/>
        <v>0</v>
      </c>
      <c r="AH15">
        <f t="shared" si="40"/>
        <v>0</v>
      </c>
      <c r="AI15">
        <f t="shared" si="41"/>
        <v>0</v>
      </c>
      <c r="AJ15">
        <f t="shared" si="42"/>
        <v>0</v>
      </c>
      <c r="AK15">
        <f t="shared" si="43"/>
        <v>0</v>
      </c>
      <c r="AL15">
        <f t="shared" si="44"/>
        <v>0</v>
      </c>
      <c r="AM15">
        <f t="shared" si="45"/>
        <v>0</v>
      </c>
      <c r="AN15">
        <f t="shared" si="0"/>
        <v>0</v>
      </c>
      <c r="AO15">
        <f t="shared" si="1"/>
        <v>0</v>
      </c>
      <c r="AP15">
        <f t="shared" si="2"/>
        <v>0</v>
      </c>
      <c r="AQ15">
        <f t="shared" si="3"/>
        <v>0</v>
      </c>
      <c r="AR15">
        <f t="shared" si="4"/>
        <v>0</v>
      </c>
      <c r="AS15">
        <f t="shared" si="5"/>
        <v>0</v>
      </c>
      <c r="AT15">
        <f t="shared" si="6"/>
        <v>0</v>
      </c>
      <c r="AU15">
        <f t="shared" si="7"/>
        <v>0</v>
      </c>
      <c r="AV15">
        <f t="shared" si="46"/>
        <v>-14502.87</v>
      </c>
      <c r="AW15">
        <f t="shared" si="47"/>
        <v>0</v>
      </c>
      <c r="AX15">
        <f t="shared" si="48"/>
        <v>0</v>
      </c>
    </row>
    <row r="16">
      <c r="A16" t="str">
        <f>项目档案!$B$17&amp;""</f>
        <v>隆世光伏</v>
      </c>
      <c r="B16">
        <f t="shared" si="8"/>
        <v>0</v>
      </c>
      <c r="C16">
        <f t="shared" si="9"/>
        <v>0</v>
      </c>
      <c r="D16">
        <f t="shared" si="10"/>
        <v>0</v>
      </c>
      <c r="E16">
        <f t="shared" si="11"/>
        <v>120000</v>
      </c>
      <c r="F16">
        <f t="shared" si="12"/>
        <v>0</v>
      </c>
      <c r="G16">
        <f t="shared" si="13"/>
        <v>0</v>
      </c>
      <c r="H16">
        <f t="shared" si="14"/>
        <v>0</v>
      </c>
      <c r="I16">
        <f t="shared" si="15"/>
        <v>0</v>
      </c>
      <c r="J16">
        <f t="shared" si="16"/>
        <v>0</v>
      </c>
      <c r="K16">
        <f t="shared" si="17"/>
        <v>0</v>
      </c>
      <c r="L16">
        <f t="shared" si="18"/>
        <v>0</v>
      </c>
      <c r="M16">
        <f t="shared" si="19"/>
        <v>0</v>
      </c>
      <c r="N16">
        <f t="shared" si="20"/>
        <v>0</v>
      </c>
      <c r="O16">
        <f t="shared" si="21"/>
        <v>0</v>
      </c>
      <c r="P16">
        <f t="shared" si="22"/>
        <v>0</v>
      </c>
      <c r="Q16">
        <f t="shared" si="23"/>
        <v>0</v>
      </c>
      <c r="R16">
        <f t="shared" si="24"/>
        <v>0</v>
      </c>
      <c r="S16">
        <f t="shared" si="25"/>
        <v>0</v>
      </c>
      <c r="T16">
        <f t="shared" si="26"/>
        <v>0</v>
      </c>
      <c r="U16">
        <f t="shared" si="27"/>
        <v>0</v>
      </c>
      <c r="V16">
        <f t="shared" si="28"/>
        <v>0</v>
      </c>
      <c r="W16">
        <f t="shared" si="29"/>
        <v>2500</v>
      </c>
      <c r="X16">
        <f t="shared" si="30"/>
        <v>0</v>
      </c>
      <c r="Y16">
        <f t="shared" si="31"/>
        <v>0</v>
      </c>
      <c r="Z16">
        <f t="shared" si="32"/>
        <v>0</v>
      </c>
      <c r="AA16">
        <f t="shared" si="33"/>
        <v>0</v>
      </c>
      <c r="AB16">
        <f t="shared" si="34"/>
        <v>0</v>
      </c>
      <c r="AC16">
        <f t="shared" si="35"/>
        <v>0</v>
      </c>
      <c r="AD16">
        <f t="shared" si="36"/>
        <v>0</v>
      </c>
      <c r="AE16">
        <f t="shared" si="37"/>
        <v>0</v>
      </c>
      <c r="AF16">
        <f t="shared" si="38"/>
        <v>0</v>
      </c>
      <c r="AG16">
        <f t="shared" si="39"/>
        <v>0</v>
      </c>
      <c r="AH16">
        <f t="shared" si="40"/>
        <v>0</v>
      </c>
      <c r="AI16">
        <f t="shared" si="41"/>
        <v>0</v>
      </c>
      <c r="AJ16">
        <f t="shared" si="42"/>
        <v>0</v>
      </c>
      <c r="AK16">
        <f t="shared" si="43"/>
        <v>0</v>
      </c>
      <c r="AL16">
        <f t="shared" si="44"/>
        <v>0</v>
      </c>
      <c r="AM16">
        <f t="shared" si="45"/>
        <v>0</v>
      </c>
      <c r="AN16">
        <f t="shared" si="0"/>
        <v>0</v>
      </c>
      <c r="AO16">
        <f t="shared" si="1"/>
        <v>0</v>
      </c>
      <c r="AP16">
        <f t="shared" si="2"/>
        <v>0</v>
      </c>
      <c r="AQ16">
        <f t="shared" si="3"/>
        <v>0</v>
      </c>
      <c r="AR16">
        <f t="shared" si="4"/>
        <v>0</v>
      </c>
      <c r="AS16">
        <f t="shared" si="5"/>
        <v>0</v>
      </c>
      <c r="AT16">
        <f t="shared" si="6"/>
        <v>0</v>
      </c>
      <c r="AU16">
        <f t="shared" si="7"/>
        <v>0</v>
      </c>
      <c r="AV16">
        <f t="shared" si="46"/>
        <v>-120000</v>
      </c>
      <c r="AW16">
        <f t="shared" si="47"/>
        <v>0</v>
      </c>
      <c r="AX16">
        <f t="shared" si="48"/>
        <v>0</v>
      </c>
    </row>
    <row r="17">
      <c r="A17" t="str">
        <f>项目档案!$B$18&amp;""</f>
        <v>中国联项目</v>
      </c>
      <c r="B17">
        <f t="shared" si="8"/>
        <v>0</v>
      </c>
      <c r="C17">
        <f t="shared" si="9"/>
        <v>0</v>
      </c>
      <c r="D17">
        <f t="shared" si="10"/>
        <v>0</v>
      </c>
      <c r="E17">
        <f t="shared" si="11"/>
        <v>650862.4</v>
      </c>
      <c r="F17">
        <f t="shared" si="12"/>
        <v>0</v>
      </c>
      <c r="G17">
        <f t="shared" si="13"/>
        <v>0</v>
      </c>
      <c r="H17">
        <f t="shared" si="14"/>
        <v>0</v>
      </c>
      <c r="I17">
        <f t="shared" si="15"/>
        <v>0</v>
      </c>
      <c r="J17">
        <f t="shared" si="16"/>
        <v>0</v>
      </c>
      <c r="K17">
        <f t="shared" si="17"/>
        <v>0</v>
      </c>
      <c r="L17">
        <f t="shared" si="18"/>
        <v>0</v>
      </c>
      <c r="M17">
        <f t="shared" si="19"/>
        <v>0</v>
      </c>
      <c r="N17">
        <f t="shared" si="20"/>
        <v>0</v>
      </c>
      <c r="O17">
        <f t="shared" si="21"/>
        <v>0</v>
      </c>
      <c r="P17">
        <f t="shared" si="22"/>
        <v>0</v>
      </c>
      <c r="Q17">
        <f t="shared" si="23"/>
        <v>0</v>
      </c>
      <c r="R17">
        <f t="shared" si="24"/>
        <v>0</v>
      </c>
      <c r="S17">
        <f t="shared" si="25"/>
        <v>0</v>
      </c>
      <c r="T17">
        <f t="shared" si="26"/>
        <v>0</v>
      </c>
      <c r="U17">
        <f t="shared" si="27"/>
        <v>0</v>
      </c>
      <c r="V17">
        <f t="shared" si="28"/>
        <v>0</v>
      </c>
      <c r="W17">
        <f t="shared" si="29"/>
        <v>0</v>
      </c>
      <c r="X17">
        <f t="shared" si="30"/>
        <v>0</v>
      </c>
      <c r="Y17">
        <f t="shared" si="31"/>
        <v>0</v>
      </c>
      <c r="Z17">
        <f t="shared" si="32"/>
        <v>0</v>
      </c>
      <c r="AA17">
        <f t="shared" si="33"/>
        <v>0</v>
      </c>
      <c r="AB17">
        <f t="shared" si="34"/>
        <v>0</v>
      </c>
      <c r="AC17">
        <f t="shared" si="35"/>
        <v>0</v>
      </c>
      <c r="AD17">
        <f t="shared" si="36"/>
        <v>0</v>
      </c>
      <c r="AE17">
        <f t="shared" si="37"/>
        <v>0</v>
      </c>
      <c r="AF17">
        <f t="shared" si="38"/>
        <v>0</v>
      </c>
      <c r="AG17">
        <f t="shared" si="39"/>
        <v>0</v>
      </c>
      <c r="AH17">
        <f t="shared" si="40"/>
        <v>0</v>
      </c>
      <c r="AI17">
        <f t="shared" si="41"/>
        <v>0</v>
      </c>
      <c r="AJ17">
        <f t="shared" si="42"/>
        <v>0</v>
      </c>
      <c r="AK17">
        <f t="shared" si="43"/>
        <v>0</v>
      </c>
      <c r="AL17">
        <f t="shared" si="44"/>
        <v>0</v>
      </c>
      <c r="AM17">
        <f t="shared" si="45"/>
        <v>0</v>
      </c>
      <c r="AN17">
        <f t="shared" si="0"/>
        <v>0</v>
      </c>
      <c r="AO17">
        <f t="shared" si="1"/>
        <v>0</v>
      </c>
      <c r="AP17">
        <f t="shared" si="2"/>
        <v>0</v>
      </c>
      <c r="AQ17">
        <f t="shared" si="3"/>
        <v>0</v>
      </c>
      <c r="AR17">
        <f t="shared" si="4"/>
        <v>0</v>
      </c>
      <c r="AS17">
        <f t="shared" si="5"/>
        <v>0</v>
      </c>
      <c r="AT17">
        <f t="shared" si="6"/>
        <v>0</v>
      </c>
      <c r="AU17">
        <f t="shared" si="7"/>
        <v>0</v>
      </c>
      <c r="AV17">
        <f t="shared" si="46"/>
        <v>-650862.4</v>
      </c>
      <c r="AW17">
        <f t="shared" si="47"/>
        <v>0</v>
      </c>
      <c r="AX17">
        <f t="shared" si="48"/>
        <v>0</v>
      </c>
    </row>
    <row r="18">
      <c r="A18" t="str">
        <f>项目档案!$B$19&amp;""</f>
        <v>吴山政府项目</v>
      </c>
      <c r="B18">
        <f t="shared" si="8"/>
        <v>0</v>
      </c>
      <c r="C18">
        <f t="shared" si="9"/>
        <v>0</v>
      </c>
      <c r="D18">
        <f t="shared" si="10"/>
        <v>0</v>
      </c>
      <c r="E18">
        <f t="shared" si="11"/>
        <v>0</v>
      </c>
      <c r="F18">
        <f t="shared" si="12"/>
        <v>0</v>
      </c>
      <c r="G18">
        <f t="shared" si="13"/>
        <v>0</v>
      </c>
      <c r="H18">
        <f t="shared" si="14"/>
        <v>0</v>
      </c>
      <c r="I18">
        <f t="shared" si="15"/>
        <v>0</v>
      </c>
      <c r="J18">
        <f t="shared" si="16"/>
        <v>0</v>
      </c>
      <c r="K18">
        <f t="shared" si="17"/>
        <v>0</v>
      </c>
      <c r="L18">
        <f t="shared" si="18"/>
        <v>0</v>
      </c>
      <c r="M18">
        <f t="shared" si="19"/>
        <v>0</v>
      </c>
      <c r="N18">
        <f t="shared" si="20"/>
        <v>0</v>
      </c>
      <c r="O18">
        <f t="shared" si="21"/>
        <v>56647.98</v>
      </c>
      <c r="P18">
        <f t="shared" si="22"/>
        <v>0</v>
      </c>
      <c r="Q18">
        <f t="shared" si="23"/>
        <v>0</v>
      </c>
      <c r="R18">
        <f t="shared" si="24"/>
        <v>0</v>
      </c>
      <c r="S18">
        <f t="shared" si="25"/>
        <v>0</v>
      </c>
      <c r="T18">
        <f t="shared" si="26"/>
        <v>0</v>
      </c>
      <c r="U18">
        <f t="shared" si="27"/>
        <v>0</v>
      </c>
      <c r="V18">
        <f t="shared" si="28"/>
        <v>0</v>
      </c>
      <c r="W18">
        <f t="shared" si="29"/>
        <v>0</v>
      </c>
      <c r="X18">
        <f t="shared" si="30"/>
        <v>0</v>
      </c>
      <c r="Y18">
        <f t="shared" si="31"/>
        <v>0</v>
      </c>
      <c r="Z18">
        <f t="shared" si="32"/>
        <v>0</v>
      </c>
      <c r="AA18">
        <f t="shared" si="33"/>
        <v>0</v>
      </c>
      <c r="AB18">
        <f t="shared" si="34"/>
        <v>0</v>
      </c>
      <c r="AC18">
        <f t="shared" si="35"/>
        <v>0</v>
      </c>
      <c r="AD18">
        <f t="shared" si="36"/>
        <v>0</v>
      </c>
      <c r="AE18">
        <f t="shared" si="37"/>
        <v>0</v>
      </c>
      <c r="AF18">
        <f t="shared" si="38"/>
        <v>0</v>
      </c>
      <c r="AG18">
        <f t="shared" si="39"/>
        <v>0</v>
      </c>
      <c r="AH18">
        <f t="shared" si="40"/>
        <v>0</v>
      </c>
      <c r="AI18">
        <f t="shared" si="41"/>
        <v>0</v>
      </c>
      <c r="AJ18">
        <f t="shared" si="42"/>
        <v>0</v>
      </c>
      <c r="AK18">
        <f t="shared" si="43"/>
        <v>0</v>
      </c>
      <c r="AL18">
        <f t="shared" si="44"/>
        <v>0</v>
      </c>
      <c r="AM18">
        <f t="shared" si="45"/>
        <v>0</v>
      </c>
      <c r="AN18">
        <f t="shared" si="0"/>
        <v>0</v>
      </c>
      <c r="AO18">
        <f t="shared" si="1"/>
        <v>0</v>
      </c>
      <c r="AP18">
        <f t="shared" si="2"/>
        <v>0</v>
      </c>
      <c r="AQ18">
        <f t="shared" si="3"/>
        <v>0</v>
      </c>
      <c r="AR18">
        <f t="shared" si="4"/>
        <v>0</v>
      </c>
      <c r="AS18">
        <f t="shared" si="5"/>
        <v>0</v>
      </c>
      <c r="AT18">
        <f t="shared" si="6"/>
        <v>0</v>
      </c>
      <c r="AU18">
        <f t="shared" si="7"/>
        <v>0</v>
      </c>
      <c r="AV18">
        <f t="shared" si="46"/>
        <v>0</v>
      </c>
      <c r="AW18">
        <f t="shared" si="47"/>
        <v>0</v>
      </c>
      <c r="AX18">
        <f t="shared" si="48"/>
        <v>0</v>
      </c>
    </row>
    <row r="19">
      <c r="A19">
        <f>项目档案!$B$20&amp;""</f>
      </c>
      <c r="B19">
        <f t="shared" si="8"/>
        <v>0</v>
      </c>
      <c r="C19">
        <f t="shared" si="9"/>
        <v>0</v>
      </c>
      <c r="D19">
        <f t="shared" si="10"/>
        <v>0</v>
      </c>
      <c r="E19">
        <f t="shared" si="11"/>
        <v>0</v>
      </c>
      <c r="F19">
        <f t="shared" si="12"/>
        <v>0</v>
      </c>
      <c r="G19">
        <f t="shared" si="13"/>
        <v>0</v>
      </c>
      <c r="H19">
        <f t="shared" si="14"/>
        <v>0</v>
      </c>
      <c r="I19">
        <f t="shared" si="15"/>
        <v>0</v>
      </c>
      <c r="J19">
        <f t="shared" si="16"/>
        <v>0</v>
      </c>
      <c r="K19">
        <f t="shared" si="17"/>
        <v>0</v>
      </c>
      <c r="L19">
        <f t="shared" si="18"/>
        <v>0</v>
      </c>
      <c r="M19">
        <f t="shared" si="19"/>
        <v>0</v>
      </c>
      <c r="N19">
        <f t="shared" si="20"/>
        <v>0</v>
      </c>
      <c r="O19">
        <f t="shared" si="21"/>
        <v>0</v>
      </c>
      <c r="P19">
        <f t="shared" si="22"/>
        <v>0</v>
      </c>
      <c r="Q19">
        <f t="shared" si="23"/>
        <v>0</v>
      </c>
      <c r="R19">
        <f t="shared" si="24"/>
        <v>0</v>
      </c>
      <c r="S19">
        <f t="shared" si="25"/>
        <v>0</v>
      </c>
      <c r="T19">
        <f t="shared" si="26"/>
        <v>0</v>
      </c>
      <c r="U19">
        <f t="shared" si="27"/>
        <v>0</v>
      </c>
      <c r="V19">
        <f t="shared" si="28"/>
        <v>0</v>
      </c>
      <c r="W19">
        <f t="shared" si="29"/>
        <v>0</v>
      </c>
      <c r="X19">
        <f t="shared" si="30"/>
        <v>0</v>
      </c>
      <c r="Y19">
        <f t="shared" si="31"/>
        <v>0</v>
      </c>
      <c r="Z19">
        <f t="shared" si="32"/>
        <v>0</v>
      </c>
      <c r="AA19">
        <f t="shared" si="33"/>
        <v>0</v>
      </c>
      <c r="AB19">
        <f t="shared" si="34"/>
        <v>0</v>
      </c>
      <c r="AC19">
        <f t="shared" si="35"/>
        <v>0</v>
      </c>
      <c r="AD19">
        <f t="shared" si="36"/>
        <v>0</v>
      </c>
      <c r="AE19">
        <f t="shared" si="37"/>
        <v>0</v>
      </c>
      <c r="AF19">
        <f t="shared" si="38"/>
        <v>0</v>
      </c>
      <c r="AG19">
        <f t="shared" si="39"/>
        <v>0</v>
      </c>
      <c r="AH19">
        <f t="shared" si="40"/>
        <v>0</v>
      </c>
      <c r="AI19">
        <f t="shared" si="41"/>
        <v>0</v>
      </c>
      <c r="AJ19">
        <f t="shared" si="42"/>
        <v>0</v>
      </c>
      <c r="AK19">
        <f t="shared" si="43"/>
        <v>0</v>
      </c>
      <c r="AL19">
        <f t="shared" si="44"/>
        <v>0</v>
      </c>
      <c r="AM19">
        <f t="shared" si="45"/>
        <v>0</v>
      </c>
      <c r="AN19">
        <f t="shared" si="0"/>
        <v>0</v>
      </c>
      <c r="AO19">
        <f t="shared" si="1"/>
        <v>0</v>
      </c>
      <c r="AP19">
        <f t="shared" si="2"/>
        <v>0</v>
      </c>
      <c r="AQ19">
        <f t="shared" si="3"/>
        <v>0</v>
      </c>
      <c r="AR19">
        <f t="shared" si="4"/>
        <v>0</v>
      </c>
      <c r="AS19">
        <f t="shared" si="5"/>
        <v>0</v>
      </c>
      <c r="AT19">
        <f t="shared" si="6"/>
        <v>0</v>
      </c>
      <c r="AU19">
        <f t="shared" si="7"/>
        <v>0</v>
      </c>
      <c r="AV19">
        <f t="shared" si="46"/>
        <v>0</v>
      </c>
      <c r="AW19">
        <f t="shared" si="47"/>
        <v>0</v>
      </c>
      <c r="AX19">
        <f t="shared" si="48"/>
        <v>0</v>
      </c>
    </row>
    <row r="20">
      <c r="A20">
        <f>项目档案!$B$21&amp;""</f>
      </c>
      <c r="B20">
        <f t="shared" si="8"/>
        <v>0</v>
      </c>
      <c r="C20">
        <f t="shared" si="9"/>
        <v>0</v>
      </c>
      <c r="D20">
        <f t="shared" si="10"/>
        <v>0</v>
      </c>
      <c r="E20">
        <f t="shared" si="11"/>
        <v>0</v>
      </c>
      <c r="F20">
        <f t="shared" si="12"/>
        <v>0</v>
      </c>
      <c r="G20">
        <f t="shared" si="13"/>
        <v>0</v>
      </c>
      <c r="H20">
        <f t="shared" si="14"/>
        <v>0</v>
      </c>
      <c r="I20">
        <f t="shared" si="15"/>
        <v>0</v>
      </c>
      <c r="J20">
        <f t="shared" si="16"/>
        <v>0</v>
      </c>
      <c r="K20">
        <f t="shared" si="17"/>
        <v>0</v>
      </c>
      <c r="L20">
        <f t="shared" si="18"/>
        <v>0</v>
      </c>
      <c r="M20">
        <f t="shared" si="19"/>
        <v>0</v>
      </c>
      <c r="N20">
        <f t="shared" si="20"/>
        <v>0</v>
      </c>
      <c r="O20">
        <f t="shared" si="21"/>
        <v>0</v>
      </c>
      <c r="P20">
        <f t="shared" si="22"/>
        <v>0</v>
      </c>
      <c r="Q20">
        <f t="shared" si="23"/>
        <v>0</v>
      </c>
      <c r="R20">
        <f t="shared" si="24"/>
        <v>0</v>
      </c>
      <c r="S20">
        <f t="shared" si="25"/>
        <v>0</v>
      </c>
      <c r="T20">
        <f t="shared" si="26"/>
        <v>0</v>
      </c>
      <c r="U20">
        <f t="shared" si="27"/>
        <v>0</v>
      </c>
      <c r="V20">
        <f t="shared" si="28"/>
        <v>0</v>
      </c>
      <c r="W20">
        <f t="shared" si="29"/>
        <v>0</v>
      </c>
      <c r="X20">
        <f t="shared" si="30"/>
        <v>0</v>
      </c>
      <c r="Y20">
        <f t="shared" si="31"/>
        <v>0</v>
      </c>
      <c r="Z20">
        <f t="shared" si="32"/>
        <v>0</v>
      </c>
      <c r="AA20">
        <f t="shared" si="33"/>
        <v>0</v>
      </c>
      <c r="AB20">
        <f t="shared" si="34"/>
        <v>0</v>
      </c>
      <c r="AC20">
        <f t="shared" si="35"/>
        <v>0</v>
      </c>
      <c r="AD20">
        <f t="shared" si="36"/>
        <v>0</v>
      </c>
      <c r="AE20">
        <f t="shared" si="37"/>
        <v>0</v>
      </c>
      <c r="AF20">
        <f t="shared" si="38"/>
        <v>0</v>
      </c>
      <c r="AG20">
        <f t="shared" si="39"/>
        <v>0</v>
      </c>
      <c r="AH20">
        <f t="shared" si="40"/>
        <v>0</v>
      </c>
      <c r="AI20">
        <f t="shared" si="41"/>
        <v>0</v>
      </c>
      <c r="AJ20">
        <f t="shared" si="42"/>
        <v>0</v>
      </c>
      <c r="AK20">
        <f t="shared" si="43"/>
        <v>0</v>
      </c>
      <c r="AL20">
        <f t="shared" si="44"/>
        <v>0</v>
      </c>
      <c r="AM20">
        <f t="shared" si="45"/>
        <v>0</v>
      </c>
      <c r="AN20">
        <f t="shared" si="0"/>
        <v>0</v>
      </c>
      <c r="AO20">
        <f t="shared" si="1"/>
        <v>0</v>
      </c>
      <c r="AP20">
        <f t="shared" si="2"/>
        <v>0</v>
      </c>
      <c r="AQ20">
        <f t="shared" si="3"/>
        <v>0</v>
      </c>
      <c r="AR20">
        <f t="shared" si="4"/>
        <v>0</v>
      </c>
      <c r="AS20">
        <f t="shared" si="5"/>
        <v>0</v>
      </c>
      <c r="AT20">
        <f t="shared" si="6"/>
        <v>0</v>
      </c>
      <c r="AU20">
        <f t="shared" si="7"/>
        <v>0</v>
      </c>
      <c r="AV20">
        <f t="shared" si="46"/>
        <v>0</v>
      </c>
      <c r="AW20">
        <f t="shared" si="47"/>
        <v>0</v>
      </c>
      <c r="AX20">
        <f t="shared" si="48"/>
        <v>0</v>
      </c>
    </row>
    <row r="21">
      <c r="A21">
        <f>项目档案!$B$22&amp;""</f>
      </c>
      <c r="B21">
        <f t="shared" si="8"/>
        <v>0</v>
      </c>
      <c r="C21">
        <f t="shared" si="9"/>
        <v>0</v>
      </c>
      <c r="D21">
        <f t="shared" si="10"/>
        <v>0</v>
      </c>
      <c r="E21">
        <f t="shared" si="11"/>
        <v>0</v>
      </c>
      <c r="F21">
        <f t="shared" si="12"/>
        <v>0</v>
      </c>
      <c r="G21">
        <f t="shared" si="13"/>
        <v>0</v>
      </c>
      <c r="H21">
        <f t="shared" si="14"/>
        <v>0</v>
      </c>
      <c r="I21">
        <f t="shared" si="15"/>
        <v>0</v>
      </c>
      <c r="J21">
        <f t="shared" si="16"/>
        <v>0</v>
      </c>
      <c r="K21">
        <f t="shared" si="17"/>
        <v>0</v>
      </c>
      <c r="L21">
        <f t="shared" si="18"/>
        <v>0</v>
      </c>
      <c r="M21">
        <f t="shared" si="19"/>
        <v>0</v>
      </c>
      <c r="N21">
        <f t="shared" si="20"/>
        <v>0</v>
      </c>
      <c r="O21">
        <f t="shared" si="21"/>
        <v>0</v>
      </c>
      <c r="P21">
        <f t="shared" si="22"/>
        <v>0</v>
      </c>
      <c r="Q21">
        <f t="shared" si="23"/>
        <v>0</v>
      </c>
      <c r="R21">
        <f t="shared" si="24"/>
        <v>0</v>
      </c>
      <c r="S21">
        <f t="shared" si="25"/>
        <v>0</v>
      </c>
      <c r="T21">
        <f t="shared" si="26"/>
        <v>0</v>
      </c>
      <c r="U21">
        <f t="shared" si="27"/>
        <v>0</v>
      </c>
      <c r="V21">
        <f t="shared" si="28"/>
        <v>0</v>
      </c>
      <c r="W21">
        <f t="shared" si="29"/>
        <v>0</v>
      </c>
      <c r="X21">
        <f t="shared" si="30"/>
        <v>0</v>
      </c>
      <c r="Y21">
        <f t="shared" si="31"/>
        <v>0</v>
      </c>
      <c r="Z21">
        <f t="shared" si="32"/>
        <v>0</v>
      </c>
      <c r="AA21">
        <f t="shared" si="33"/>
        <v>0</v>
      </c>
      <c r="AB21">
        <f t="shared" si="34"/>
        <v>0</v>
      </c>
      <c r="AC21">
        <f t="shared" si="35"/>
        <v>0</v>
      </c>
      <c r="AD21">
        <f t="shared" si="36"/>
        <v>0</v>
      </c>
      <c r="AE21">
        <f t="shared" si="37"/>
        <v>0</v>
      </c>
      <c r="AF21">
        <f t="shared" si="38"/>
        <v>0</v>
      </c>
      <c r="AG21">
        <f t="shared" si="39"/>
        <v>0</v>
      </c>
      <c r="AH21">
        <f t="shared" si="40"/>
        <v>0</v>
      </c>
      <c r="AI21">
        <f t="shared" si="41"/>
        <v>0</v>
      </c>
      <c r="AJ21">
        <f t="shared" si="42"/>
        <v>0</v>
      </c>
      <c r="AK21">
        <f t="shared" si="43"/>
        <v>0</v>
      </c>
      <c r="AL21">
        <f t="shared" si="44"/>
        <v>0</v>
      </c>
      <c r="AM21">
        <f t="shared" si="45"/>
        <v>0</v>
      </c>
      <c r="AN21">
        <f t="shared" si="0"/>
        <v>0</v>
      </c>
      <c r="AO21">
        <f t="shared" si="1"/>
        <v>0</v>
      </c>
      <c r="AP21">
        <f t="shared" si="2"/>
        <v>0</v>
      </c>
      <c r="AQ21">
        <f t="shared" si="3"/>
        <v>0</v>
      </c>
      <c r="AR21">
        <f t="shared" si="4"/>
        <v>0</v>
      </c>
      <c r="AS21">
        <f t="shared" si="5"/>
        <v>0</v>
      </c>
      <c r="AT21">
        <f t="shared" si="6"/>
        <v>0</v>
      </c>
      <c r="AU21">
        <f t="shared" si="7"/>
        <v>0</v>
      </c>
      <c r="AV21">
        <f t="shared" si="46"/>
        <v>0</v>
      </c>
      <c r="AW21">
        <f t="shared" si="47"/>
        <v>0</v>
      </c>
      <c r="AX21">
        <f t="shared" si="48"/>
        <v>0</v>
      </c>
    </row>
    <row r="22">
      <c r="A22">
        <f>项目档案!$B$23&amp;""</f>
      </c>
      <c r="B22">
        <f t="shared" si="8"/>
        <v>0</v>
      </c>
      <c r="C22">
        <f t="shared" si="9"/>
        <v>0</v>
      </c>
      <c r="D22">
        <f t="shared" si="10"/>
        <v>0</v>
      </c>
      <c r="E22">
        <f t="shared" si="11"/>
        <v>0</v>
      </c>
      <c r="F22">
        <f t="shared" si="12"/>
        <v>0</v>
      </c>
      <c r="G22">
        <f t="shared" si="13"/>
        <v>0</v>
      </c>
      <c r="H22">
        <f t="shared" si="14"/>
        <v>0</v>
      </c>
      <c r="I22">
        <f t="shared" si="15"/>
        <v>0</v>
      </c>
      <c r="J22">
        <f t="shared" si="16"/>
        <v>0</v>
      </c>
      <c r="K22">
        <f t="shared" si="17"/>
        <v>0</v>
      </c>
      <c r="L22">
        <f t="shared" si="18"/>
        <v>0</v>
      </c>
      <c r="M22">
        <f t="shared" si="19"/>
        <v>0</v>
      </c>
      <c r="N22">
        <f t="shared" si="20"/>
        <v>0</v>
      </c>
      <c r="O22">
        <f t="shared" si="21"/>
        <v>0</v>
      </c>
      <c r="P22">
        <f t="shared" si="22"/>
        <v>0</v>
      </c>
      <c r="Q22">
        <f t="shared" si="23"/>
        <v>0</v>
      </c>
      <c r="R22">
        <f t="shared" si="24"/>
        <v>0</v>
      </c>
      <c r="S22">
        <f t="shared" si="25"/>
        <v>0</v>
      </c>
      <c r="T22">
        <f t="shared" si="26"/>
        <v>0</v>
      </c>
      <c r="U22">
        <f t="shared" si="27"/>
        <v>0</v>
      </c>
      <c r="V22">
        <f t="shared" si="28"/>
        <v>0</v>
      </c>
      <c r="W22">
        <f t="shared" si="29"/>
        <v>0</v>
      </c>
      <c r="X22">
        <f t="shared" si="30"/>
        <v>0</v>
      </c>
      <c r="Y22">
        <f t="shared" si="31"/>
        <v>0</v>
      </c>
      <c r="Z22">
        <f t="shared" si="32"/>
        <v>0</v>
      </c>
      <c r="AA22">
        <f t="shared" si="33"/>
        <v>0</v>
      </c>
      <c r="AB22">
        <f t="shared" si="34"/>
        <v>0</v>
      </c>
      <c r="AC22">
        <f t="shared" si="35"/>
        <v>0</v>
      </c>
      <c r="AD22">
        <f t="shared" si="36"/>
        <v>0</v>
      </c>
      <c r="AE22">
        <f t="shared" si="37"/>
        <v>0</v>
      </c>
      <c r="AF22">
        <f t="shared" si="38"/>
        <v>0</v>
      </c>
      <c r="AG22">
        <f t="shared" si="39"/>
        <v>0</v>
      </c>
      <c r="AH22">
        <f t="shared" si="40"/>
        <v>0</v>
      </c>
      <c r="AI22">
        <f t="shared" si="41"/>
        <v>0</v>
      </c>
      <c r="AJ22">
        <f t="shared" si="42"/>
        <v>0</v>
      </c>
      <c r="AK22">
        <f t="shared" si="43"/>
        <v>0</v>
      </c>
      <c r="AL22">
        <f t="shared" si="44"/>
        <v>0</v>
      </c>
      <c r="AM22">
        <f t="shared" si="45"/>
        <v>0</v>
      </c>
      <c r="AN22">
        <f t="shared" si="0"/>
        <v>0</v>
      </c>
      <c r="AO22">
        <f t="shared" si="1"/>
        <v>0</v>
      </c>
      <c r="AP22">
        <f t="shared" si="2"/>
        <v>0</v>
      </c>
      <c r="AQ22">
        <f t="shared" si="3"/>
        <v>0</v>
      </c>
      <c r="AR22">
        <f t="shared" si="4"/>
        <v>0</v>
      </c>
      <c r="AS22">
        <f t="shared" si="5"/>
        <v>0</v>
      </c>
      <c r="AT22">
        <f t="shared" si="6"/>
        <v>0</v>
      </c>
      <c r="AU22">
        <f t="shared" si="7"/>
        <v>0</v>
      </c>
      <c r="AV22">
        <f t="shared" si="46"/>
        <v>0</v>
      </c>
      <c r="AW22">
        <f t="shared" si="47"/>
        <v>0</v>
      </c>
      <c r="AX22">
        <f t="shared" si="48"/>
        <v>0</v>
      </c>
    </row>
    <row r="23">
      <c r="A23">
        <f>项目档案!$B$24&amp;""</f>
      </c>
      <c r="B23">
        <f t="shared" si="8"/>
        <v>0</v>
      </c>
      <c r="C23">
        <f t="shared" si="9"/>
        <v>0</v>
      </c>
      <c r="D23">
        <f t="shared" si="10"/>
        <v>0</v>
      </c>
      <c r="E23">
        <f t="shared" si="11"/>
        <v>0</v>
      </c>
      <c r="F23">
        <f t="shared" si="12"/>
        <v>0</v>
      </c>
      <c r="G23">
        <f t="shared" si="13"/>
        <v>0</v>
      </c>
      <c r="H23">
        <f t="shared" si="14"/>
        <v>0</v>
      </c>
      <c r="I23">
        <f t="shared" si="15"/>
        <v>0</v>
      </c>
      <c r="J23">
        <f t="shared" si="16"/>
        <v>0</v>
      </c>
      <c r="K23">
        <f t="shared" si="17"/>
        <v>0</v>
      </c>
      <c r="L23">
        <f t="shared" si="18"/>
        <v>0</v>
      </c>
      <c r="M23">
        <f t="shared" si="19"/>
        <v>0</v>
      </c>
      <c r="N23">
        <f t="shared" si="20"/>
        <v>0</v>
      </c>
      <c r="O23">
        <f t="shared" si="21"/>
        <v>0</v>
      </c>
      <c r="P23">
        <f t="shared" si="22"/>
        <v>0</v>
      </c>
      <c r="Q23">
        <f t="shared" si="23"/>
        <v>0</v>
      </c>
      <c r="R23">
        <f t="shared" si="24"/>
        <v>0</v>
      </c>
      <c r="S23">
        <f t="shared" si="25"/>
        <v>0</v>
      </c>
      <c r="T23">
        <f t="shared" si="26"/>
        <v>0</v>
      </c>
      <c r="U23">
        <f t="shared" si="27"/>
        <v>0</v>
      </c>
      <c r="V23">
        <f t="shared" si="28"/>
        <v>0</v>
      </c>
      <c r="W23">
        <f t="shared" si="29"/>
        <v>0</v>
      </c>
      <c r="X23">
        <f t="shared" si="30"/>
        <v>0</v>
      </c>
      <c r="Y23">
        <f t="shared" si="31"/>
        <v>0</v>
      </c>
      <c r="Z23">
        <f t="shared" si="32"/>
        <v>0</v>
      </c>
      <c r="AA23">
        <f t="shared" si="33"/>
        <v>0</v>
      </c>
      <c r="AB23">
        <f t="shared" si="34"/>
        <v>0</v>
      </c>
      <c r="AC23">
        <f t="shared" si="35"/>
        <v>0</v>
      </c>
      <c r="AD23">
        <f t="shared" si="36"/>
        <v>0</v>
      </c>
      <c r="AE23">
        <f t="shared" si="37"/>
        <v>0</v>
      </c>
      <c r="AF23">
        <f t="shared" si="38"/>
        <v>0</v>
      </c>
      <c r="AG23">
        <f t="shared" si="39"/>
        <v>0</v>
      </c>
      <c r="AH23">
        <f t="shared" si="40"/>
        <v>0</v>
      </c>
      <c r="AI23">
        <f t="shared" si="41"/>
        <v>0</v>
      </c>
      <c r="AJ23">
        <f t="shared" si="42"/>
        <v>0</v>
      </c>
      <c r="AK23">
        <f t="shared" si="43"/>
        <v>0</v>
      </c>
      <c r="AL23">
        <f t="shared" si="44"/>
        <v>0</v>
      </c>
      <c r="AM23">
        <f t="shared" si="45"/>
        <v>0</v>
      </c>
      <c r="AN23">
        <f t="shared" si="0"/>
        <v>0</v>
      </c>
      <c r="AO23">
        <f t="shared" si="1"/>
        <v>0</v>
      </c>
      <c r="AP23">
        <f t="shared" si="2"/>
        <v>0</v>
      </c>
      <c r="AQ23">
        <f t="shared" si="3"/>
        <v>0</v>
      </c>
      <c r="AR23">
        <f t="shared" si="4"/>
        <v>0</v>
      </c>
      <c r="AS23">
        <f t="shared" si="5"/>
        <v>0</v>
      </c>
      <c r="AT23">
        <f t="shared" si="6"/>
        <v>0</v>
      </c>
      <c r="AU23">
        <f t="shared" si="7"/>
        <v>0</v>
      </c>
      <c r="AV23">
        <f t="shared" si="46"/>
        <v>0</v>
      </c>
      <c r="AW23">
        <f t="shared" si="47"/>
        <v>0</v>
      </c>
      <c r="AX23">
        <f t="shared" si="48"/>
        <v>0</v>
      </c>
    </row>
    <row r="24">
      <c r="A24">
        <f>项目档案!$B$25&amp;""</f>
      </c>
      <c r="B24">
        <f t="shared" si="8"/>
        <v>0</v>
      </c>
      <c r="C24">
        <f t="shared" si="9"/>
        <v>0</v>
      </c>
      <c r="D24">
        <f t="shared" si="10"/>
        <v>0</v>
      </c>
      <c r="E24">
        <f t="shared" si="11"/>
        <v>0</v>
      </c>
      <c r="F24">
        <f t="shared" si="12"/>
        <v>0</v>
      </c>
      <c r="G24">
        <f t="shared" si="13"/>
        <v>0</v>
      </c>
      <c r="H24">
        <f t="shared" si="14"/>
        <v>0</v>
      </c>
      <c r="I24">
        <f t="shared" si="15"/>
        <v>0</v>
      </c>
      <c r="J24">
        <f t="shared" si="16"/>
        <v>0</v>
      </c>
      <c r="K24">
        <f t="shared" si="17"/>
        <v>0</v>
      </c>
      <c r="L24">
        <f t="shared" si="18"/>
        <v>0</v>
      </c>
      <c r="M24">
        <f t="shared" si="19"/>
        <v>0</v>
      </c>
      <c r="N24">
        <f t="shared" si="20"/>
        <v>0</v>
      </c>
      <c r="O24">
        <f t="shared" si="21"/>
        <v>0</v>
      </c>
      <c r="P24">
        <f t="shared" si="22"/>
        <v>0</v>
      </c>
      <c r="Q24">
        <f t="shared" si="23"/>
        <v>0</v>
      </c>
      <c r="R24">
        <f t="shared" si="24"/>
        <v>0</v>
      </c>
      <c r="S24">
        <f t="shared" si="25"/>
        <v>0</v>
      </c>
      <c r="T24">
        <f t="shared" si="26"/>
        <v>0</v>
      </c>
      <c r="U24">
        <f t="shared" si="27"/>
        <v>0</v>
      </c>
      <c r="V24">
        <f t="shared" si="28"/>
        <v>0</v>
      </c>
      <c r="W24">
        <f t="shared" si="29"/>
        <v>0</v>
      </c>
      <c r="X24">
        <f t="shared" si="30"/>
        <v>0</v>
      </c>
      <c r="Y24">
        <f t="shared" si="31"/>
        <v>0</v>
      </c>
      <c r="Z24">
        <f t="shared" si="32"/>
        <v>0</v>
      </c>
      <c r="AA24">
        <f t="shared" si="33"/>
        <v>0</v>
      </c>
      <c r="AB24">
        <f t="shared" si="34"/>
        <v>0</v>
      </c>
      <c r="AC24">
        <f t="shared" si="35"/>
        <v>0</v>
      </c>
      <c r="AD24">
        <f t="shared" si="36"/>
        <v>0</v>
      </c>
      <c r="AE24">
        <f t="shared" si="37"/>
        <v>0</v>
      </c>
      <c r="AF24">
        <f t="shared" si="38"/>
        <v>0</v>
      </c>
      <c r="AG24">
        <f t="shared" si="39"/>
        <v>0</v>
      </c>
      <c r="AH24">
        <f t="shared" si="40"/>
        <v>0</v>
      </c>
      <c r="AI24">
        <f t="shared" si="41"/>
        <v>0</v>
      </c>
      <c r="AJ24">
        <f t="shared" si="42"/>
        <v>0</v>
      </c>
      <c r="AK24">
        <f t="shared" si="43"/>
        <v>0</v>
      </c>
      <c r="AL24">
        <f t="shared" si="44"/>
        <v>0</v>
      </c>
      <c r="AM24">
        <f t="shared" si="45"/>
        <v>0</v>
      </c>
      <c r="AN24">
        <f t="shared" si="0"/>
        <v>0</v>
      </c>
      <c r="AO24">
        <f t="shared" si="1"/>
        <v>0</v>
      </c>
      <c r="AP24">
        <f t="shared" si="2"/>
        <v>0</v>
      </c>
      <c r="AQ24">
        <f t="shared" si="3"/>
        <v>0</v>
      </c>
      <c r="AR24">
        <f t="shared" si="4"/>
        <v>0</v>
      </c>
      <c r="AS24">
        <f t="shared" si="5"/>
        <v>0</v>
      </c>
      <c r="AT24">
        <f t="shared" si="6"/>
        <v>0</v>
      </c>
      <c r="AU24">
        <f t="shared" si="7"/>
        <v>0</v>
      </c>
      <c r="AV24">
        <f t="shared" si="46"/>
        <v>0</v>
      </c>
      <c r="AW24">
        <f t="shared" si="47"/>
        <v>0</v>
      </c>
      <c r="AX24">
        <f t="shared" si="48"/>
        <v>0</v>
      </c>
    </row>
    <row r="25">
      <c r="A25">
        <f>项目档案!$B$26&amp;""</f>
      </c>
      <c r="B25">
        <f t="shared" si="8"/>
        <v>0</v>
      </c>
      <c r="C25">
        <f t="shared" si="9"/>
        <v>0</v>
      </c>
      <c r="D25">
        <f t="shared" si="10"/>
        <v>0</v>
      </c>
      <c r="E25">
        <f t="shared" si="11"/>
        <v>0</v>
      </c>
      <c r="F25">
        <f t="shared" si="12"/>
        <v>0</v>
      </c>
      <c r="G25">
        <f t="shared" si="13"/>
        <v>0</v>
      </c>
      <c r="H25">
        <f t="shared" si="14"/>
        <v>0</v>
      </c>
      <c r="I25">
        <f t="shared" si="15"/>
        <v>0</v>
      </c>
      <c r="J25">
        <f t="shared" si="16"/>
        <v>0</v>
      </c>
      <c r="K25">
        <f t="shared" si="17"/>
        <v>0</v>
      </c>
      <c r="L25">
        <f t="shared" si="18"/>
        <v>0</v>
      </c>
      <c r="M25">
        <f t="shared" si="19"/>
        <v>0</v>
      </c>
      <c r="N25">
        <f t="shared" si="20"/>
        <v>0</v>
      </c>
      <c r="O25">
        <f t="shared" si="21"/>
        <v>0</v>
      </c>
      <c r="P25">
        <f t="shared" si="22"/>
        <v>0</v>
      </c>
      <c r="Q25">
        <f t="shared" si="23"/>
        <v>0</v>
      </c>
      <c r="R25">
        <f t="shared" si="24"/>
        <v>0</v>
      </c>
      <c r="S25">
        <f t="shared" si="25"/>
        <v>0</v>
      </c>
      <c r="T25">
        <f t="shared" si="26"/>
        <v>0</v>
      </c>
      <c r="U25">
        <f t="shared" si="27"/>
        <v>0</v>
      </c>
      <c r="V25">
        <f t="shared" si="28"/>
        <v>0</v>
      </c>
      <c r="W25">
        <f t="shared" si="29"/>
        <v>0</v>
      </c>
      <c r="X25">
        <f t="shared" si="30"/>
        <v>0</v>
      </c>
      <c r="Y25">
        <f t="shared" si="31"/>
        <v>0</v>
      </c>
      <c r="Z25">
        <f t="shared" si="32"/>
        <v>0</v>
      </c>
      <c r="AA25">
        <f t="shared" si="33"/>
        <v>0</v>
      </c>
      <c r="AB25">
        <f t="shared" si="34"/>
        <v>0</v>
      </c>
      <c r="AC25">
        <f t="shared" si="35"/>
        <v>0</v>
      </c>
      <c r="AD25">
        <f t="shared" si="36"/>
        <v>0</v>
      </c>
      <c r="AE25">
        <f t="shared" si="37"/>
        <v>0</v>
      </c>
      <c r="AF25">
        <f t="shared" si="38"/>
        <v>0</v>
      </c>
      <c r="AG25">
        <f t="shared" si="39"/>
        <v>0</v>
      </c>
      <c r="AH25">
        <f t="shared" si="40"/>
        <v>0</v>
      </c>
      <c r="AI25">
        <f t="shared" si="41"/>
        <v>0</v>
      </c>
      <c r="AJ25">
        <f t="shared" si="42"/>
        <v>0</v>
      </c>
      <c r="AK25">
        <f t="shared" si="43"/>
        <v>0</v>
      </c>
      <c r="AL25">
        <f t="shared" si="44"/>
        <v>0</v>
      </c>
      <c r="AM25">
        <f t="shared" si="45"/>
        <v>0</v>
      </c>
      <c r="AN25">
        <f t="shared" si="0"/>
        <v>0</v>
      </c>
      <c r="AO25">
        <f t="shared" si="1"/>
        <v>0</v>
      </c>
      <c r="AP25">
        <f t="shared" si="2"/>
        <v>0</v>
      </c>
      <c r="AQ25">
        <f t="shared" si="3"/>
        <v>0</v>
      </c>
      <c r="AR25">
        <f t="shared" si="4"/>
        <v>0</v>
      </c>
      <c r="AS25">
        <f t="shared" si="5"/>
        <v>0</v>
      </c>
      <c r="AT25">
        <f t="shared" si="6"/>
        <v>0</v>
      </c>
      <c r="AU25">
        <f t="shared" si="7"/>
        <v>0</v>
      </c>
      <c r="AV25">
        <f t="shared" si="46"/>
        <v>0</v>
      </c>
      <c r="AW25">
        <f t="shared" si="47"/>
        <v>0</v>
      </c>
      <c r="AX25">
        <f t="shared" si="48"/>
        <v>0</v>
      </c>
    </row>
    <row r="26">
      <c r="A26">
        <f>项目档案!$B$27&amp;""</f>
      </c>
      <c r="B26">
        <f t="shared" si="8"/>
        <v>0</v>
      </c>
      <c r="C26">
        <f t="shared" si="9"/>
        <v>0</v>
      </c>
      <c r="D26">
        <f t="shared" si="10"/>
        <v>0</v>
      </c>
      <c r="E26">
        <f t="shared" si="11"/>
        <v>0</v>
      </c>
      <c r="F26">
        <f t="shared" si="12"/>
        <v>0</v>
      </c>
      <c r="G26">
        <f t="shared" si="13"/>
        <v>0</v>
      </c>
      <c r="H26">
        <f t="shared" si="14"/>
        <v>0</v>
      </c>
      <c r="I26">
        <f t="shared" si="15"/>
        <v>0</v>
      </c>
      <c r="J26">
        <f t="shared" si="16"/>
        <v>0</v>
      </c>
      <c r="K26">
        <f t="shared" si="17"/>
        <v>0</v>
      </c>
      <c r="L26">
        <f t="shared" si="18"/>
        <v>0</v>
      </c>
      <c r="M26">
        <f t="shared" si="19"/>
        <v>0</v>
      </c>
      <c r="N26">
        <f t="shared" si="20"/>
        <v>0</v>
      </c>
      <c r="O26">
        <f t="shared" si="21"/>
        <v>0</v>
      </c>
      <c r="P26">
        <f t="shared" si="22"/>
        <v>0</v>
      </c>
      <c r="Q26">
        <f t="shared" si="23"/>
        <v>0</v>
      </c>
      <c r="R26">
        <f t="shared" si="24"/>
        <v>0</v>
      </c>
      <c r="S26">
        <f t="shared" si="25"/>
        <v>0</v>
      </c>
      <c r="T26">
        <f t="shared" si="26"/>
        <v>0</v>
      </c>
      <c r="U26">
        <f t="shared" si="27"/>
        <v>0</v>
      </c>
      <c r="V26">
        <f t="shared" si="28"/>
        <v>0</v>
      </c>
      <c r="W26">
        <f t="shared" si="29"/>
        <v>0</v>
      </c>
      <c r="X26">
        <f t="shared" si="30"/>
        <v>0</v>
      </c>
      <c r="Y26">
        <f t="shared" si="31"/>
        <v>0</v>
      </c>
      <c r="Z26">
        <f t="shared" si="32"/>
        <v>0</v>
      </c>
      <c r="AA26">
        <f t="shared" si="33"/>
        <v>0</v>
      </c>
      <c r="AB26">
        <f t="shared" si="34"/>
        <v>0</v>
      </c>
      <c r="AC26">
        <f t="shared" si="35"/>
        <v>0</v>
      </c>
      <c r="AD26">
        <f t="shared" si="36"/>
        <v>0</v>
      </c>
      <c r="AE26">
        <f t="shared" si="37"/>
        <v>0</v>
      </c>
      <c r="AF26">
        <f t="shared" si="38"/>
        <v>0</v>
      </c>
      <c r="AG26">
        <f t="shared" si="39"/>
        <v>0</v>
      </c>
      <c r="AH26">
        <f t="shared" si="40"/>
        <v>0</v>
      </c>
      <c r="AI26">
        <f t="shared" si="41"/>
        <v>0</v>
      </c>
      <c r="AJ26">
        <f t="shared" si="42"/>
        <v>0</v>
      </c>
      <c r="AK26">
        <f t="shared" si="43"/>
        <v>0</v>
      </c>
      <c r="AL26">
        <f t="shared" si="44"/>
        <v>0</v>
      </c>
      <c r="AM26">
        <f t="shared" si="45"/>
        <v>0</v>
      </c>
      <c r="AN26">
        <f t="shared" si="0"/>
        <v>0</v>
      </c>
      <c r="AO26">
        <f t="shared" si="1"/>
        <v>0</v>
      </c>
      <c r="AP26">
        <f t="shared" si="2"/>
        <v>0</v>
      </c>
      <c r="AQ26">
        <f t="shared" si="3"/>
        <v>0</v>
      </c>
      <c r="AR26">
        <f t="shared" si="4"/>
        <v>0</v>
      </c>
      <c r="AS26">
        <f t="shared" si="5"/>
        <v>0</v>
      </c>
      <c r="AT26">
        <f t="shared" si="6"/>
        <v>0</v>
      </c>
      <c r="AU26">
        <f t="shared" si="7"/>
        <v>0</v>
      </c>
      <c r="AV26">
        <f t="shared" si="46"/>
        <v>0</v>
      </c>
      <c r="AW26">
        <f t="shared" si="47"/>
        <v>0</v>
      </c>
      <c r="AX26">
        <f t="shared" si="48"/>
        <v>0</v>
      </c>
    </row>
    <row r="27">
      <c r="A27">
        <f>项目档案!$B$28&amp;""</f>
      </c>
      <c r="B27">
        <f t="shared" si="8"/>
        <v>0</v>
      </c>
      <c r="C27">
        <f t="shared" si="9"/>
        <v>0</v>
      </c>
      <c r="D27">
        <f t="shared" si="10"/>
        <v>0</v>
      </c>
      <c r="E27">
        <f t="shared" si="11"/>
        <v>0</v>
      </c>
      <c r="F27">
        <f t="shared" si="12"/>
        <v>0</v>
      </c>
      <c r="G27">
        <f t="shared" si="13"/>
        <v>0</v>
      </c>
      <c r="H27">
        <f t="shared" si="14"/>
        <v>0</v>
      </c>
      <c r="I27">
        <f t="shared" si="15"/>
        <v>0</v>
      </c>
      <c r="J27">
        <f t="shared" si="16"/>
        <v>0</v>
      </c>
      <c r="K27">
        <f t="shared" si="17"/>
        <v>0</v>
      </c>
      <c r="L27">
        <f t="shared" si="18"/>
        <v>0</v>
      </c>
      <c r="M27">
        <f t="shared" si="19"/>
        <v>0</v>
      </c>
      <c r="N27">
        <f t="shared" si="20"/>
        <v>0</v>
      </c>
      <c r="O27">
        <f t="shared" si="21"/>
        <v>0</v>
      </c>
      <c r="P27">
        <f t="shared" si="22"/>
        <v>0</v>
      </c>
      <c r="Q27">
        <f t="shared" si="23"/>
        <v>0</v>
      </c>
      <c r="R27">
        <f t="shared" si="24"/>
        <v>0</v>
      </c>
      <c r="S27">
        <f t="shared" si="25"/>
        <v>0</v>
      </c>
      <c r="T27">
        <f t="shared" si="26"/>
        <v>0</v>
      </c>
      <c r="U27">
        <f t="shared" si="27"/>
        <v>0</v>
      </c>
      <c r="V27">
        <f t="shared" si="28"/>
        <v>0</v>
      </c>
      <c r="W27">
        <f t="shared" si="29"/>
        <v>0</v>
      </c>
      <c r="X27">
        <f t="shared" si="30"/>
        <v>0</v>
      </c>
      <c r="Y27">
        <f t="shared" si="31"/>
        <v>0</v>
      </c>
      <c r="Z27">
        <f t="shared" si="32"/>
        <v>0</v>
      </c>
      <c r="AA27">
        <f t="shared" si="33"/>
        <v>0</v>
      </c>
      <c r="AB27">
        <f t="shared" si="34"/>
        <v>0</v>
      </c>
      <c r="AC27">
        <f t="shared" si="35"/>
        <v>0</v>
      </c>
      <c r="AD27">
        <f t="shared" si="36"/>
        <v>0</v>
      </c>
      <c r="AE27">
        <f t="shared" si="37"/>
        <v>0</v>
      </c>
      <c r="AF27">
        <f t="shared" si="38"/>
        <v>0</v>
      </c>
      <c r="AG27">
        <f t="shared" si="39"/>
        <v>0</v>
      </c>
      <c r="AH27">
        <f t="shared" si="40"/>
        <v>0</v>
      </c>
      <c r="AI27">
        <f t="shared" si="41"/>
        <v>0</v>
      </c>
      <c r="AJ27">
        <f t="shared" si="42"/>
        <v>0</v>
      </c>
      <c r="AK27">
        <f t="shared" si="43"/>
        <v>0</v>
      </c>
      <c r="AL27">
        <f t="shared" si="44"/>
        <v>0</v>
      </c>
      <c r="AM27">
        <f t="shared" si="45"/>
        <v>0</v>
      </c>
      <c r="AN27">
        <f t="shared" si="0"/>
        <v>0</v>
      </c>
      <c r="AO27">
        <f t="shared" si="1"/>
        <v>0</v>
      </c>
      <c r="AP27">
        <f t="shared" si="2"/>
        <v>0</v>
      </c>
      <c r="AQ27">
        <f t="shared" si="3"/>
        <v>0</v>
      </c>
      <c r="AR27">
        <f t="shared" si="4"/>
        <v>0</v>
      </c>
      <c r="AS27">
        <f t="shared" si="5"/>
        <v>0</v>
      </c>
      <c r="AT27">
        <f t="shared" si="6"/>
        <v>0</v>
      </c>
      <c r="AU27">
        <f t="shared" si="7"/>
        <v>0</v>
      </c>
      <c r="AV27">
        <f t="shared" si="46"/>
        <v>0</v>
      </c>
      <c r="AW27">
        <f t="shared" si="47"/>
        <v>0</v>
      </c>
      <c r="AX27">
        <f t="shared" si="48"/>
        <v>0</v>
      </c>
    </row>
    <row r="28">
      <c r="A28">
        <f>项目档案!$B$29&amp;""</f>
      </c>
      <c r="B28">
        <f t="shared" si="8"/>
        <v>0</v>
      </c>
      <c r="C28">
        <f t="shared" si="9"/>
        <v>0</v>
      </c>
      <c r="D28">
        <f t="shared" si="10"/>
        <v>0</v>
      </c>
      <c r="E28">
        <f t="shared" si="11"/>
        <v>0</v>
      </c>
      <c r="F28">
        <f t="shared" si="12"/>
        <v>0</v>
      </c>
      <c r="G28">
        <f t="shared" si="13"/>
        <v>0</v>
      </c>
      <c r="H28">
        <f t="shared" si="14"/>
        <v>0</v>
      </c>
      <c r="I28">
        <f t="shared" si="15"/>
        <v>0</v>
      </c>
      <c r="J28">
        <f t="shared" si="16"/>
        <v>0</v>
      </c>
      <c r="K28">
        <f t="shared" si="17"/>
        <v>0</v>
      </c>
      <c r="L28">
        <f t="shared" si="18"/>
        <v>0</v>
      </c>
      <c r="M28">
        <f t="shared" si="19"/>
        <v>0</v>
      </c>
      <c r="N28">
        <f t="shared" si="20"/>
        <v>0</v>
      </c>
      <c r="O28">
        <f t="shared" si="21"/>
        <v>0</v>
      </c>
      <c r="P28">
        <f t="shared" si="22"/>
        <v>0</v>
      </c>
      <c r="Q28">
        <f t="shared" si="23"/>
        <v>0</v>
      </c>
      <c r="R28">
        <f t="shared" si="24"/>
        <v>0</v>
      </c>
      <c r="S28">
        <f t="shared" si="25"/>
        <v>0</v>
      </c>
      <c r="T28">
        <f t="shared" si="26"/>
        <v>0</v>
      </c>
      <c r="U28">
        <f t="shared" si="27"/>
        <v>0</v>
      </c>
      <c r="V28">
        <f t="shared" si="28"/>
        <v>0</v>
      </c>
      <c r="W28">
        <f t="shared" si="29"/>
        <v>0</v>
      </c>
      <c r="X28">
        <f t="shared" si="30"/>
        <v>0</v>
      </c>
      <c r="Y28">
        <f t="shared" si="31"/>
        <v>0</v>
      </c>
      <c r="Z28">
        <f t="shared" si="32"/>
        <v>0</v>
      </c>
      <c r="AA28">
        <f t="shared" si="33"/>
        <v>0</v>
      </c>
      <c r="AB28">
        <f t="shared" si="34"/>
        <v>0</v>
      </c>
      <c r="AC28">
        <f t="shared" si="35"/>
        <v>0</v>
      </c>
      <c r="AD28">
        <f t="shared" si="36"/>
        <v>0</v>
      </c>
      <c r="AE28">
        <f t="shared" si="37"/>
        <v>0</v>
      </c>
      <c r="AF28">
        <f t="shared" si="38"/>
        <v>0</v>
      </c>
      <c r="AG28">
        <f t="shared" si="39"/>
        <v>0</v>
      </c>
      <c r="AH28">
        <f t="shared" si="40"/>
        <v>0</v>
      </c>
      <c r="AI28">
        <f t="shared" si="41"/>
        <v>0</v>
      </c>
      <c r="AJ28">
        <f t="shared" si="42"/>
        <v>0</v>
      </c>
      <c r="AK28">
        <f t="shared" si="43"/>
        <v>0</v>
      </c>
      <c r="AL28">
        <f t="shared" si="44"/>
        <v>0</v>
      </c>
      <c r="AM28">
        <f t="shared" si="45"/>
        <v>0</v>
      </c>
      <c r="AN28">
        <f t="shared" si="0"/>
        <v>0</v>
      </c>
      <c r="AO28">
        <f t="shared" si="1"/>
        <v>0</v>
      </c>
      <c r="AP28">
        <f t="shared" si="2"/>
        <v>0</v>
      </c>
      <c r="AQ28">
        <f t="shared" si="3"/>
        <v>0</v>
      </c>
      <c r="AR28">
        <f t="shared" si="4"/>
        <v>0</v>
      </c>
      <c r="AS28">
        <f t="shared" si="5"/>
        <v>0</v>
      </c>
      <c r="AT28">
        <f t="shared" si="6"/>
        <v>0</v>
      </c>
      <c r="AU28">
        <f t="shared" si="7"/>
        <v>0</v>
      </c>
      <c r="AV28">
        <f t="shared" si="46"/>
        <v>0</v>
      </c>
      <c r="AW28">
        <f t="shared" si="47"/>
        <v>0</v>
      </c>
      <c r="AX28">
        <f t="shared" si="48"/>
        <v>0</v>
      </c>
    </row>
    <row r="29">
      <c r="A29">
        <f>项目档案!$B$30&amp;""</f>
      </c>
      <c r="B29">
        <f t="shared" si="8"/>
        <v>0</v>
      </c>
      <c r="C29">
        <f t="shared" si="9"/>
        <v>0</v>
      </c>
      <c r="D29">
        <f t="shared" si="10"/>
        <v>0</v>
      </c>
      <c r="E29">
        <f t="shared" si="11"/>
        <v>0</v>
      </c>
      <c r="F29">
        <f t="shared" si="12"/>
        <v>0</v>
      </c>
      <c r="G29">
        <f t="shared" si="13"/>
        <v>0</v>
      </c>
      <c r="H29">
        <f t="shared" si="14"/>
        <v>0</v>
      </c>
      <c r="I29">
        <f t="shared" si="15"/>
        <v>0</v>
      </c>
      <c r="J29">
        <f t="shared" si="16"/>
        <v>0</v>
      </c>
      <c r="K29">
        <f t="shared" si="17"/>
        <v>0</v>
      </c>
      <c r="L29">
        <f t="shared" si="18"/>
        <v>0</v>
      </c>
      <c r="M29">
        <f t="shared" si="19"/>
        <v>0</v>
      </c>
      <c r="N29">
        <f t="shared" si="20"/>
        <v>0</v>
      </c>
      <c r="O29">
        <f t="shared" si="21"/>
        <v>0</v>
      </c>
      <c r="P29">
        <f t="shared" si="22"/>
        <v>0</v>
      </c>
      <c r="Q29">
        <f t="shared" si="23"/>
        <v>0</v>
      </c>
      <c r="R29">
        <f t="shared" si="24"/>
        <v>0</v>
      </c>
      <c r="S29">
        <f t="shared" si="25"/>
        <v>0</v>
      </c>
      <c r="T29">
        <f t="shared" si="26"/>
        <v>0</v>
      </c>
      <c r="U29">
        <f t="shared" si="27"/>
        <v>0</v>
      </c>
      <c r="V29">
        <f t="shared" si="28"/>
        <v>0</v>
      </c>
      <c r="W29">
        <f t="shared" si="29"/>
        <v>0</v>
      </c>
      <c r="X29">
        <f t="shared" si="30"/>
        <v>0</v>
      </c>
      <c r="Y29">
        <f t="shared" si="31"/>
        <v>0</v>
      </c>
      <c r="Z29">
        <f t="shared" si="32"/>
        <v>0</v>
      </c>
      <c r="AA29">
        <f t="shared" si="33"/>
        <v>0</v>
      </c>
      <c r="AB29">
        <f t="shared" si="34"/>
        <v>0</v>
      </c>
      <c r="AC29">
        <f t="shared" si="35"/>
        <v>0</v>
      </c>
      <c r="AD29">
        <f t="shared" si="36"/>
        <v>0</v>
      </c>
      <c r="AE29">
        <f t="shared" si="37"/>
        <v>0</v>
      </c>
      <c r="AF29">
        <f t="shared" si="38"/>
        <v>0</v>
      </c>
      <c r="AG29">
        <f t="shared" si="39"/>
        <v>0</v>
      </c>
      <c r="AH29">
        <f t="shared" si="40"/>
        <v>0</v>
      </c>
      <c r="AI29">
        <f t="shared" si="41"/>
        <v>0</v>
      </c>
      <c r="AJ29">
        <f t="shared" si="42"/>
        <v>0</v>
      </c>
      <c r="AK29">
        <f t="shared" si="43"/>
        <v>0</v>
      </c>
      <c r="AL29">
        <f t="shared" si="44"/>
        <v>0</v>
      </c>
      <c r="AM29">
        <f t="shared" si="45"/>
        <v>0</v>
      </c>
      <c r="AN29">
        <f t="shared" si="0"/>
        <v>0</v>
      </c>
      <c r="AO29">
        <f t="shared" si="1"/>
        <v>0</v>
      </c>
      <c r="AP29">
        <f t="shared" si="2"/>
        <v>0</v>
      </c>
      <c r="AQ29">
        <f t="shared" si="3"/>
        <v>0</v>
      </c>
      <c r="AR29">
        <f t="shared" si="4"/>
        <v>0</v>
      </c>
      <c r="AS29">
        <f t="shared" si="5"/>
        <v>0</v>
      </c>
      <c r="AT29">
        <f t="shared" si="6"/>
        <v>0</v>
      </c>
      <c r="AU29">
        <f t="shared" si="7"/>
        <v>0</v>
      </c>
      <c r="AV29">
        <f t="shared" si="46"/>
        <v>0</v>
      </c>
      <c r="AW29">
        <f t="shared" si="47"/>
        <v>0</v>
      </c>
      <c r="AX29">
        <f t="shared" si="48"/>
        <v>0</v>
      </c>
    </row>
    <row r="30">
      <c r="A30">
        <f>项目档案!$B$31&amp;""</f>
      </c>
      <c r="B30">
        <f t="shared" si="8"/>
        <v>0</v>
      </c>
      <c r="C30">
        <f t="shared" si="9"/>
        <v>0</v>
      </c>
      <c r="D30">
        <f t="shared" si="10"/>
        <v>0</v>
      </c>
      <c r="E30">
        <f t="shared" si="11"/>
        <v>0</v>
      </c>
      <c r="F30">
        <f t="shared" si="12"/>
        <v>0</v>
      </c>
      <c r="G30">
        <f t="shared" si="13"/>
        <v>0</v>
      </c>
      <c r="H30">
        <f t="shared" si="14"/>
        <v>0</v>
      </c>
      <c r="I30">
        <f t="shared" si="15"/>
        <v>0</v>
      </c>
      <c r="J30">
        <f t="shared" si="16"/>
        <v>0</v>
      </c>
      <c r="K30">
        <f t="shared" si="17"/>
        <v>0</v>
      </c>
      <c r="L30">
        <f t="shared" si="18"/>
        <v>0</v>
      </c>
      <c r="M30">
        <f t="shared" si="19"/>
        <v>0</v>
      </c>
      <c r="N30">
        <f t="shared" si="20"/>
        <v>0</v>
      </c>
      <c r="O30">
        <f t="shared" si="21"/>
        <v>0</v>
      </c>
      <c r="P30">
        <f t="shared" si="22"/>
        <v>0</v>
      </c>
      <c r="Q30">
        <f t="shared" si="23"/>
        <v>0</v>
      </c>
      <c r="R30">
        <f t="shared" si="24"/>
        <v>0</v>
      </c>
      <c r="S30">
        <f t="shared" si="25"/>
        <v>0</v>
      </c>
      <c r="T30">
        <f t="shared" si="26"/>
        <v>0</v>
      </c>
      <c r="U30">
        <f t="shared" si="27"/>
        <v>0</v>
      </c>
      <c r="V30">
        <f t="shared" si="28"/>
        <v>0</v>
      </c>
      <c r="W30">
        <f t="shared" si="29"/>
        <v>0</v>
      </c>
      <c r="X30">
        <f t="shared" si="30"/>
        <v>0</v>
      </c>
      <c r="Y30">
        <f t="shared" si="31"/>
        <v>0</v>
      </c>
      <c r="Z30">
        <f t="shared" si="32"/>
        <v>0</v>
      </c>
      <c r="AA30">
        <f t="shared" si="33"/>
        <v>0</v>
      </c>
      <c r="AB30">
        <f t="shared" si="34"/>
        <v>0</v>
      </c>
      <c r="AC30">
        <f t="shared" si="35"/>
        <v>0</v>
      </c>
      <c r="AD30">
        <f t="shared" si="36"/>
        <v>0</v>
      </c>
      <c r="AE30">
        <f t="shared" si="37"/>
        <v>0</v>
      </c>
      <c r="AF30">
        <f t="shared" si="38"/>
        <v>0</v>
      </c>
      <c r="AG30">
        <f t="shared" si="39"/>
        <v>0</v>
      </c>
      <c r="AH30">
        <f t="shared" si="40"/>
        <v>0</v>
      </c>
      <c r="AI30">
        <f t="shared" si="41"/>
        <v>0</v>
      </c>
      <c r="AJ30">
        <f t="shared" si="42"/>
        <v>0</v>
      </c>
      <c r="AK30">
        <f t="shared" si="43"/>
        <v>0</v>
      </c>
      <c r="AL30">
        <f t="shared" si="44"/>
        <v>0</v>
      </c>
      <c r="AM30">
        <f t="shared" si="45"/>
        <v>0</v>
      </c>
      <c r="AN30">
        <f t="shared" si="0"/>
        <v>0</v>
      </c>
      <c r="AO30">
        <f t="shared" si="1"/>
        <v>0</v>
      </c>
      <c r="AP30">
        <f t="shared" si="2"/>
        <v>0</v>
      </c>
      <c r="AQ30">
        <f t="shared" si="3"/>
        <v>0</v>
      </c>
      <c r="AR30">
        <f t="shared" si="4"/>
        <v>0</v>
      </c>
      <c r="AS30">
        <f t="shared" si="5"/>
        <v>0</v>
      </c>
      <c r="AT30">
        <f t="shared" si="6"/>
        <v>0</v>
      </c>
      <c r="AU30">
        <f t="shared" si="7"/>
        <v>0</v>
      </c>
      <c r="AV30">
        <f t="shared" si="46"/>
        <v>0</v>
      </c>
      <c r="AW30">
        <f t="shared" si="47"/>
        <v>0</v>
      </c>
      <c r="AX30">
        <f t="shared" si="48"/>
        <v>0</v>
      </c>
    </row>
    <row r="31">
      <c r="A31">
        <f>项目档案!$B$32&amp;""</f>
      </c>
      <c r="B31">
        <f t="shared" si="8"/>
        <v>0</v>
      </c>
      <c r="C31">
        <f t="shared" si="9"/>
        <v>0</v>
      </c>
      <c r="D31">
        <f t="shared" si="10"/>
        <v>0</v>
      </c>
      <c r="E31">
        <f t="shared" si="11"/>
        <v>0</v>
      </c>
      <c r="F31">
        <f t="shared" si="12"/>
        <v>0</v>
      </c>
      <c r="G31">
        <f t="shared" si="13"/>
        <v>0</v>
      </c>
      <c r="H31">
        <f t="shared" si="14"/>
        <v>0</v>
      </c>
      <c r="I31">
        <f t="shared" si="15"/>
        <v>0</v>
      </c>
      <c r="J31">
        <f t="shared" si="16"/>
        <v>0</v>
      </c>
      <c r="K31">
        <f t="shared" si="17"/>
        <v>0</v>
      </c>
      <c r="L31">
        <f t="shared" si="18"/>
        <v>0</v>
      </c>
      <c r="M31">
        <f t="shared" si="19"/>
        <v>0</v>
      </c>
      <c r="N31">
        <f t="shared" si="20"/>
        <v>0</v>
      </c>
      <c r="O31">
        <f t="shared" si="21"/>
        <v>0</v>
      </c>
      <c r="P31">
        <f t="shared" si="22"/>
        <v>0</v>
      </c>
      <c r="Q31">
        <f t="shared" si="23"/>
        <v>0</v>
      </c>
      <c r="R31">
        <f t="shared" si="24"/>
        <v>0</v>
      </c>
      <c r="S31">
        <f t="shared" si="25"/>
        <v>0</v>
      </c>
      <c r="T31">
        <f t="shared" si="26"/>
        <v>0</v>
      </c>
      <c r="U31">
        <f t="shared" si="27"/>
        <v>0</v>
      </c>
      <c r="V31">
        <f t="shared" si="28"/>
        <v>0</v>
      </c>
      <c r="W31">
        <f t="shared" si="29"/>
        <v>0</v>
      </c>
      <c r="X31">
        <f t="shared" si="30"/>
        <v>0</v>
      </c>
      <c r="Y31">
        <f t="shared" si="31"/>
        <v>0</v>
      </c>
      <c r="Z31">
        <f t="shared" si="32"/>
        <v>0</v>
      </c>
      <c r="AA31">
        <f t="shared" si="33"/>
        <v>0</v>
      </c>
      <c r="AB31">
        <f t="shared" si="34"/>
        <v>0</v>
      </c>
      <c r="AC31">
        <f t="shared" si="35"/>
        <v>0</v>
      </c>
      <c r="AD31">
        <f t="shared" si="36"/>
        <v>0</v>
      </c>
      <c r="AE31">
        <f t="shared" si="37"/>
        <v>0</v>
      </c>
      <c r="AF31">
        <f t="shared" si="38"/>
        <v>0</v>
      </c>
      <c r="AG31">
        <f t="shared" si="39"/>
        <v>0</v>
      </c>
      <c r="AH31">
        <f t="shared" si="40"/>
        <v>0</v>
      </c>
      <c r="AI31">
        <f t="shared" si="41"/>
        <v>0</v>
      </c>
      <c r="AJ31">
        <f t="shared" si="42"/>
        <v>0</v>
      </c>
      <c r="AK31">
        <f t="shared" si="43"/>
        <v>0</v>
      </c>
      <c r="AL31">
        <f t="shared" si="44"/>
        <v>0</v>
      </c>
      <c r="AM31">
        <f t="shared" si="45"/>
        <v>0</v>
      </c>
      <c r="AN31">
        <f t="shared" si="0"/>
        <v>0</v>
      </c>
      <c r="AO31">
        <f t="shared" si="1"/>
        <v>0</v>
      </c>
      <c r="AP31">
        <f t="shared" si="2"/>
        <v>0</v>
      </c>
      <c r="AQ31">
        <f t="shared" si="3"/>
        <v>0</v>
      </c>
      <c r="AR31">
        <f t="shared" si="4"/>
        <v>0</v>
      </c>
      <c r="AS31">
        <f t="shared" si="5"/>
        <v>0</v>
      </c>
      <c r="AT31">
        <f t="shared" si="6"/>
        <v>0</v>
      </c>
      <c r="AU31">
        <f t="shared" si="7"/>
        <v>0</v>
      </c>
      <c r="AV31">
        <f t="shared" si="46"/>
        <v>0</v>
      </c>
      <c r="AW31">
        <f t="shared" si="47"/>
        <v>0</v>
      </c>
      <c r="AX31">
        <f t="shared" si="48"/>
        <v>0</v>
      </c>
    </row>
    <row r="32">
      <c r="A32">
        <f>项目档案!$B$33&amp;""</f>
      </c>
      <c r="B32">
        <f t="shared" si="8"/>
        <v>0</v>
      </c>
      <c r="C32">
        <f t="shared" si="9"/>
        <v>0</v>
      </c>
      <c r="D32">
        <f t="shared" si="10"/>
        <v>0</v>
      </c>
      <c r="E32">
        <f t="shared" si="11"/>
        <v>0</v>
      </c>
      <c r="F32">
        <f t="shared" si="12"/>
        <v>0</v>
      </c>
      <c r="G32">
        <f t="shared" si="13"/>
        <v>0</v>
      </c>
      <c r="H32">
        <f t="shared" si="14"/>
        <v>0</v>
      </c>
      <c r="I32">
        <f t="shared" si="15"/>
        <v>0</v>
      </c>
      <c r="J32">
        <f t="shared" si="16"/>
        <v>0</v>
      </c>
      <c r="K32">
        <f t="shared" si="17"/>
        <v>0</v>
      </c>
      <c r="L32">
        <f t="shared" si="18"/>
        <v>0</v>
      </c>
      <c r="M32">
        <f t="shared" si="19"/>
        <v>0</v>
      </c>
      <c r="N32">
        <f t="shared" si="20"/>
        <v>0</v>
      </c>
      <c r="O32">
        <f t="shared" si="21"/>
        <v>0</v>
      </c>
      <c r="P32">
        <f t="shared" si="22"/>
        <v>0</v>
      </c>
      <c r="Q32">
        <f t="shared" si="23"/>
        <v>0</v>
      </c>
      <c r="R32">
        <f t="shared" si="24"/>
        <v>0</v>
      </c>
      <c r="S32">
        <f t="shared" si="25"/>
        <v>0</v>
      </c>
      <c r="T32">
        <f t="shared" si="26"/>
        <v>0</v>
      </c>
      <c r="U32">
        <f t="shared" si="27"/>
        <v>0</v>
      </c>
      <c r="V32">
        <f t="shared" si="28"/>
        <v>0</v>
      </c>
      <c r="W32">
        <f t="shared" si="29"/>
        <v>0</v>
      </c>
      <c r="X32">
        <f t="shared" si="30"/>
        <v>0</v>
      </c>
      <c r="Y32">
        <f t="shared" si="31"/>
        <v>0</v>
      </c>
      <c r="Z32">
        <f t="shared" si="32"/>
        <v>0</v>
      </c>
      <c r="AA32">
        <f t="shared" si="33"/>
        <v>0</v>
      </c>
      <c r="AB32">
        <f t="shared" si="34"/>
        <v>0</v>
      </c>
      <c r="AC32">
        <f t="shared" si="35"/>
        <v>0</v>
      </c>
      <c r="AD32">
        <f t="shared" si="36"/>
        <v>0</v>
      </c>
      <c r="AE32">
        <f t="shared" si="37"/>
        <v>0</v>
      </c>
      <c r="AF32">
        <f t="shared" si="38"/>
        <v>0</v>
      </c>
      <c r="AG32">
        <f t="shared" si="39"/>
        <v>0</v>
      </c>
      <c r="AH32">
        <f t="shared" si="40"/>
        <v>0</v>
      </c>
      <c r="AI32">
        <f t="shared" si="41"/>
        <v>0</v>
      </c>
      <c r="AJ32">
        <f t="shared" si="42"/>
        <v>0</v>
      </c>
      <c r="AK32">
        <f t="shared" si="43"/>
        <v>0</v>
      </c>
      <c r="AL32">
        <f t="shared" si="44"/>
        <v>0</v>
      </c>
      <c r="AM32">
        <f t="shared" si="45"/>
        <v>0</v>
      </c>
      <c r="AN32">
        <f t="shared" si="0"/>
        <v>0</v>
      </c>
      <c r="AO32">
        <f t="shared" si="1"/>
        <v>0</v>
      </c>
      <c r="AP32">
        <f t="shared" si="2"/>
        <v>0</v>
      </c>
      <c r="AQ32">
        <f t="shared" si="3"/>
        <v>0</v>
      </c>
      <c r="AR32">
        <f t="shared" si="4"/>
        <v>0</v>
      </c>
      <c r="AS32">
        <f t="shared" si="5"/>
        <v>0</v>
      </c>
      <c r="AT32">
        <f t="shared" si="6"/>
        <v>0</v>
      </c>
      <c r="AU32">
        <f t="shared" si="7"/>
        <v>0</v>
      </c>
      <c r="AV32">
        <f t="shared" si="46"/>
        <v>0</v>
      </c>
      <c r="AW32">
        <f t="shared" si="47"/>
        <v>0</v>
      </c>
      <c r="AX32">
        <f t="shared" si="48"/>
        <v>0</v>
      </c>
    </row>
    <row r="33">
      <c r="A33">
        <f>项目档案!$B$34&amp;""</f>
      </c>
      <c r="B33">
        <f t="shared" si="8"/>
        <v>0</v>
      </c>
      <c r="C33">
        <f t="shared" si="9"/>
        <v>0</v>
      </c>
      <c r="D33">
        <f t="shared" si="10"/>
        <v>0</v>
      </c>
      <c r="E33">
        <f t="shared" si="11"/>
        <v>0</v>
      </c>
      <c r="F33">
        <f t="shared" si="12"/>
        <v>0</v>
      </c>
      <c r="G33">
        <f t="shared" si="13"/>
        <v>0</v>
      </c>
      <c r="H33">
        <f t="shared" si="14"/>
        <v>0</v>
      </c>
      <c r="I33">
        <f t="shared" si="15"/>
        <v>0</v>
      </c>
      <c r="J33">
        <f t="shared" si="16"/>
        <v>0</v>
      </c>
      <c r="K33">
        <f t="shared" si="17"/>
        <v>0</v>
      </c>
      <c r="L33">
        <f t="shared" si="18"/>
        <v>0</v>
      </c>
      <c r="M33">
        <f t="shared" si="19"/>
        <v>0</v>
      </c>
      <c r="N33">
        <f t="shared" si="20"/>
        <v>0</v>
      </c>
      <c r="O33">
        <f t="shared" si="21"/>
        <v>0</v>
      </c>
      <c r="P33">
        <f t="shared" si="22"/>
        <v>0</v>
      </c>
      <c r="Q33">
        <f t="shared" si="23"/>
        <v>0</v>
      </c>
      <c r="R33">
        <f t="shared" si="24"/>
        <v>0</v>
      </c>
      <c r="S33">
        <f t="shared" si="25"/>
        <v>0</v>
      </c>
      <c r="T33">
        <f t="shared" si="26"/>
        <v>0</v>
      </c>
      <c r="U33">
        <f t="shared" si="27"/>
        <v>0</v>
      </c>
      <c r="V33">
        <f t="shared" si="28"/>
        <v>0</v>
      </c>
      <c r="W33">
        <f t="shared" si="29"/>
        <v>0</v>
      </c>
      <c r="X33">
        <f t="shared" si="30"/>
        <v>0</v>
      </c>
      <c r="Y33">
        <f t="shared" si="31"/>
        <v>0</v>
      </c>
      <c r="Z33">
        <f t="shared" si="32"/>
        <v>0</v>
      </c>
      <c r="AA33">
        <f t="shared" si="33"/>
        <v>0</v>
      </c>
      <c r="AB33">
        <f t="shared" si="34"/>
        <v>0</v>
      </c>
      <c r="AC33">
        <f t="shared" si="35"/>
        <v>0</v>
      </c>
      <c r="AD33">
        <f t="shared" si="36"/>
        <v>0</v>
      </c>
      <c r="AE33">
        <f t="shared" si="37"/>
        <v>0</v>
      </c>
      <c r="AF33">
        <f t="shared" si="38"/>
        <v>0</v>
      </c>
      <c r="AG33">
        <f t="shared" si="39"/>
        <v>0</v>
      </c>
      <c r="AH33">
        <f t="shared" si="40"/>
        <v>0</v>
      </c>
      <c r="AI33">
        <f t="shared" si="41"/>
        <v>0</v>
      </c>
      <c r="AJ33">
        <f t="shared" si="42"/>
        <v>0</v>
      </c>
      <c r="AK33">
        <f t="shared" si="43"/>
        <v>0</v>
      </c>
      <c r="AL33">
        <f t="shared" si="44"/>
        <v>0</v>
      </c>
      <c r="AM33">
        <f t="shared" si="45"/>
        <v>0</v>
      </c>
      <c r="AN33">
        <f t="shared" si="0"/>
        <v>0</v>
      </c>
      <c r="AO33">
        <f t="shared" si="1"/>
        <v>0</v>
      </c>
      <c r="AP33">
        <f t="shared" si="2"/>
        <v>0</v>
      </c>
      <c r="AQ33">
        <f t="shared" si="3"/>
        <v>0</v>
      </c>
      <c r="AR33">
        <f t="shared" si="4"/>
        <v>0</v>
      </c>
      <c r="AS33">
        <f t="shared" si="5"/>
        <v>0</v>
      </c>
      <c r="AT33">
        <f t="shared" si="6"/>
        <v>0</v>
      </c>
      <c r="AU33">
        <f t="shared" si="7"/>
        <v>0</v>
      </c>
      <c r="AV33">
        <f t="shared" si="46"/>
        <v>0</v>
      </c>
      <c r="AW33">
        <f t="shared" si="47"/>
        <v>0</v>
      </c>
      <c r="AX33">
        <f t="shared" si="48"/>
        <v>0</v>
      </c>
    </row>
    <row r="34">
      <c r="A34">
        <f>项目档案!$B$35&amp;""</f>
      </c>
      <c r="B34">
        <f t="shared" si="8"/>
        <v>0</v>
      </c>
      <c r="C34">
        <f t="shared" si="9"/>
        <v>0</v>
      </c>
      <c r="D34">
        <f t="shared" si="10"/>
        <v>0</v>
      </c>
      <c r="E34">
        <f t="shared" si="11"/>
        <v>0</v>
      </c>
      <c r="F34">
        <f t="shared" si="12"/>
        <v>0</v>
      </c>
      <c r="G34">
        <f t="shared" si="13"/>
        <v>0</v>
      </c>
      <c r="H34">
        <f t="shared" si="14"/>
        <v>0</v>
      </c>
      <c r="I34">
        <f t="shared" si="15"/>
        <v>0</v>
      </c>
      <c r="J34">
        <f t="shared" si="16"/>
        <v>0</v>
      </c>
      <c r="K34">
        <f t="shared" si="17"/>
        <v>0</v>
      </c>
      <c r="L34">
        <f t="shared" si="18"/>
        <v>0</v>
      </c>
      <c r="M34">
        <f t="shared" si="19"/>
        <v>0</v>
      </c>
      <c r="N34">
        <f t="shared" si="20"/>
        <v>0</v>
      </c>
      <c r="O34">
        <f t="shared" si="21"/>
        <v>0</v>
      </c>
      <c r="P34">
        <f t="shared" si="22"/>
        <v>0</v>
      </c>
      <c r="Q34">
        <f t="shared" si="23"/>
        <v>0</v>
      </c>
      <c r="R34">
        <f t="shared" si="24"/>
        <v>0</v>
      </c>
      <c r="S34">
        <f t="shared" si="25"/>
        <v>0</v>
      </c>
      <c r="T34">
        <f t="shared" si="26"/>
        <v>0</v>
      </c>
      <c r="U34">
        <f t="shared" si="27"/>
        <v>0</v>
      </c>
      <c r="V34">
        <f t="shared" si="28"/>
        <v>0</v>
      </c>
      <c r="W34">
        <f t="shared" si="29"/>
        <v>0</v>
      </c>
      <c r="X34">
        <f t="shared" si="30"/>
        <v>0</v>
      </c>
      <c r="Y34">
        <f t="shared" si="31"/>
        <v>0</v>
      </c>
      <c r="Z34">
        <f t="shared" si="32"/>
        <v>0</v>
      </c>
      <c r="AA34">
        <f t="shared" si="33"/>
        <v>0</v>
      </c>
      <c r="AB34">
        <f t="shared" si="34"/>
        <v>0</v>
      </c>
      <c r="AC34">
        <f t="shared" si="35"/>
        <v>0</v>
      </c>
      <c r="AD34">
        <f t="shared" si="36"/>
        <v>0</v>
      </c>
      <c r="AE34">
        <f t="shared" si="37"/>
        <v>0</v>
      </c>
      <c r="AF34">
        <f t="shared" si="38"/>
        <v>0</v>
      </c>
      <c r="AG34">
        <f t="shared" si="39"/>
        <v>0</v>
      </c>
      <c r="AH34">
        <f t="shared" si="40"/>
        <v>0</v>
      </c>
      <c r="AI34">
        <f t="shared" si="41"/>
        <v>0</v>
      </c>
      <c r="AJ34">
        <f t="shared" si="42"/>
        <v>0</v>
      </c>
      <c r="AK34">
        <f t="shared" si="43"/>
        <v>0</v>
      </c>
      <c r="AL34">
        <f t="shared" si="44"/>
        <v>0</v>
      </c>
      <c r="AM34">
        <f t="shared" si="45"/>
        <v>0</v>
      </c>
      <c r="AN34">
        <f t="shared" si="0"/>
        <v>0</v>
      </c>
      <c r="AO34">
        <f t="shared" si="1"/>
        <v>0</v>
      </c>
      <c r="AP34">
        <f t="shared" si="2"/>
        <v>0</v>
      </c>
      <c r="AQ34">
        <f t="shared" si="3"/>
        <v>0</v>
      </c>
      <c r="AR34">
        <f t="shared" si="4"/>
        <v>0</v>
      </c>
      <c r="AS34">
        <f t="shared" si="5"/>
        <v>0</v>
      </c>
      <c r="AT34">
        <f t="shared" si="6"/>
        <v>0</v>
      </c>
      <c r="AU34">
        <f t="shared" si="7"/>
        <v>0</v>
      </c>
      <c r="AV34">
        <f t="shared" si="46"/>
        <v>0</v>
      </c>
      <c r="AW34">
        <f t="shared" si="47"/>
        <v>0</v>
      </c>
      <c r="AX34">
        <f t="shared" si="48"/>
        <v>0</v>
      </c>
    </row>
    <row r="35">
      <c r="A35">
        <f>项目档案!$B$36&amp;""</f>
      </c>
      <c r="B35">
        <f t="shared" si="8"/>
        <v>0</v>
      </c>
      <c r="C35">
        <f t="shared" si="9"/>
        <v>0</v>
      </c>
      <c r="D35">
        <f t="shared" si="10"/>
        <v>0</v>
      </c>
      <c r="E35">
        <f t="shared" si="11"/>
        <v>0</v>
      </c>
      <c r="F35">
        <f t="shared" si="12"/>
        <v>0</v>
      </c>
      <c r="G35">
        <f t="shared" si="13"/>
        <v>0</v>
      </c>
      <c r="H35">
        <f t="shared" si="14"/>
        <v>0</v>
      </c>
      <c r="I35">
        <f t="shared" si="15"/>
        <v>0</v>
      </c>
      <c r="J35">
        <f t="shared" si="16"/>
        <v>0</v>
      </c>
      <c r="K35">
        <f t="shared" si="17"/>
        <v>0</v>
      </c>
      <c r="L35">
        <f t="shared" si="18"/>
        <v>0</v>
      </c>
      <c r="M35">
        <f t="shared" si="19"/>
        <v>0</v>
      </c>
      <c r="N35">
        <f t="shared" si="20"/>
        <v>0</v>
      </c>
      <c r="O35">
        <f t="shared" si="21"/>
        <v>0</v>
      </c>
      <c r="P35">
        <f t="shared" si="22"/>
        <v>0</v>
      </c>
      <c r="Q35">
        <f t="shared" si="23"/>
        <v>0</v>
      </c>
      <c r="R35">
        <f t="shared" si="24"/>
        <v>0</v>
      </c>
      <c r="S35">
        <f t="shared" si="25"/>
        <v>0</v>
      </c>
      <c r="T35">
        <f t="shared" si="26"/>
        <v>0</v>
      </c>
      <c r="U35">
        <f t="shared" si="27"/>
        <v>0</v>
      </c>
      <c r="V35">
        <f t="shared" si="28"/>
        <v>0</v>
      </c>
      <c r="W35">
        <f t="shared" si="29"/>
        <v>0</v>
      </c>
      <c r="X35">
        <f t="shared" si="30"/>
        <v>0</v>
      </c>
      <c r="Y35">
        <f t="shared" si="31"/>
        <v>0</v>
      </c>
      <c r="Z35">
        <f t="shared" si="32"/>
        <v>0</v>
      </c>
      <c r="AA35">
        <f t="shared" si="33"/>
        <v>0</v>
      </c>
      <c r="AB35">
        <f t="shared" si="34"/>
        <v>0</v>
      </c>
      <c r="AC35">
        <f t="shared" si="35"/>
        <v>0</v>
      </c>
      <c r="AD35">
        <f t="shared" si="36"/>
        <v>0</v>
      </c>
      <c r="AE35">
        <f t="shared" si="37"/>
        <v>0</v>
      </c>
      <c r="AF35">
        <f t="shared" si="38"/>
        <v>0</v>
      </c>
      <c r="AG35">
        <f t="shared" si="39"/>
        <v>0</v>
      </c>
      <c r="AH35">
        <f t="shared" si="40"/>
        <v>0</v>
      </c>
      <c r="AI35">
        <f t="shared" si="41"/>
        <v>0</v>
      </c>
      <c r="AJ35">
        <f t="shared" si="42"/>
        <v>0</v>
      </c>
      <c r="AK35">
        <f t="shared" si="43"/>
        <v>0</v>
      </c>
      <c r="AL35">
        <f t="shared" si="44"/>
        <v>0</v>
      </c>
      <c r="AM35">
        <f t="shared" si="45"/>
        <v>0</v>
      </c>
      <c r="AN35">
        <f t="shared" si="0"/>
        <v>0</v>
      </c>
      <c r="AO35">
        <f t="shared" si="1"/>
        <v>0</v>
      </c>
      <c r="AP35">
        <f t="shared" si="2"/>
        <v>0</v>
      </c>
      <c r="AQ35">
        <f t="shared" si="3"/>
        <v>0</v>
      </c>
      <c r="AR35">
        <f t="shared" si="4"/>
        <v>0</v>
      </c>
      <c r="AS35">
        <f t="shared" si="5"/>
        <v>0</v>
      </c>
      <c r="AT35">
        <f t="shared" si="6"/>
        <v>0</v>
      </c>
      <c r="AU35">
        <f t="shared" si="7"/>
        <v>0</v>
      </c>
      <c r="AV35">
        <f t="shared" si="46"/>
        <v>0</v>
      </c>
      <c r="AW35">
        <f t="shared" si="47"/>
        <v>0</v>
      </c>
      <c r="AX35">
        <f t="shared" si="48"/>
        <v>0</v>
      </c>
    </row>
    <row r="36">
      <c r="A36">
        <f>项目档案!$B$37&amp;""</f>
      </c>
      <c r="B36">
        <f t="shared" si="8"/>
        <v>0</v>
      </c>
      <c r="C36">
        <f t="shared" si="9"/>
        <v>0</v>
      </c>
      <c r="D36">
        <f t="shared" si="10"/>
        <v>0</v>
      </c>
      <c r="E36">
        <f t="shared" si="11"/>
        <v>0</v>
      </c>
      <c r="F36">
        <f t="shared" si="12"/>
        <v>0</v>
      </c>
      <c r="G36">
        <f t="shared" si="13"/>
        <v>0</v>
      </c>
      <c r="H36">
        <f t="shared" si="14"/>
        <v>0</v>
      </c>
      <c r="I36">
        <f t="shared" si="15"/>
        <v>0</v>
      </c>
      <c r="J36">
        <f t="shared" si="16"/>
        <v>0</v>
      </c>
      <c r="K36">
        <f t="shared" si="17"/>
        <v>0</v>
      </c>
      <c r="L36">
        <f t="shared" si="18"/>
        <v>0</v>
      </c>
      <c r="M36">
        <f t="shared" si="19"/>
        <v>0</v>
      </c>
      <c r="N36">
        <f t="shared" si="20"/>
        <v>0</v>
      </c>
      <c r="O36">
        <f t="shared" si="21"/>
        <v>0</v>
      </c>
      <c r="P36">
        <f t="shared" si="22"/>
        <v>0</v>
      </c>
      <c r="Q36">
        <f t="shared" si="23"/>
        <v>0</v>
      </c>
      <c r="R36">
        <f t="shared" si="24"/>
        <v>0</v>
      </c>
      <c r="S36">
        <f t="shared" si="25"/>
        <v>0</v>
      </c>
      <c r="T36">
        <f t="shared" si="26"/>
        <v>0</v>
      </c>
      <c r="U36">
        <f t="shared" si="27"/>
        <v>0</v>
      </c>
      <c r="V36">
        <f t="shared" si="28"/>
        <v>0</v>
      </c>
      <c r="W36">
        <f t="shared" si="29"/>
        <v>0</v>
      </c>
      <c r="X36">
        <f t="shared" si="30"/>
        <v>0</v>
      </c>
      <c r="Y36">
        <f t="shared" si="31"/>
        <v>0</v>
      </c>
      <c r="Z36">
        <f t="shared" si="32"/>
        <v>0</v>
      </c>
      <c r="AA36">
        <f t="shared" si="33"/>
        <v>0</v>
      </c>
      <c r="AB36">
        <f t="shared" si="34"/>
        <v>0</v>
      </c>
      <c r="AC36">
        <f t="shared" si="35"/>
        <v>0</v>
      </c>
      <c r="AD36">
        <f t="shared" si="36"/>
        <v>0</v>
      </c>
      <c r="AE36">
        <f t="shared" si="37"/>
        <v>0</v>
      </c>
      <c r="AF36">
        <f t="shared" si="38"/>
        <v>0</v>
      </c>
      <c r="AG36">
        <f t="shared" si="39"/>
        <v>0</v>
      </c>
      <c r="AH36">
        <f t="shared" si="40"/>
        <v>0</v>
      </c>
      <c r="AI36">
        <f t="shared" si="41"/>
        <v>0</v>
      </c>
      <c r="AJ36">
        <f t="shared" si="42"/>
        <v>0</v>
      </c>
      <c r="AK36">
        <f t="shared" si="43"/>
        <v>0</v>
      </c>
      <c r="AL36">
        <f t="shared" si="44"/>
        <v>0</v>
      </c>
      <c r="AM36">
        <f t="shared" si="45"/>
        <v>0</v>
      </c>
      <c r="AN36">
        <f t="shared" si="0"/>
        <v>0</v>
      </c>
      <c r="AO36">
        <f t="shared" si="1"/>
        <v>0</v>
      </c>
      <c r="AP36">
        <f t="shared" si="2"/>
        <v>0</v>
      </c>
      <c r="AQ36">
        <f t="shared" si="3"/>
        <v>0</v>
      </c>
      <c r="AR36">
        <f t="shared" si="4"/>
        <v>0</v>
      </c>
      <c r="AS36">
        <f t="shared" si="5"/>
        <v>0</v>
      </c>
      <c r="AT36">
        <f t="shared" si="6"/>
        <v>0</v>
      </c>
      <c r="AU36">
        <f t="shared" si="7"/>
        <v>0</v>
      </c>
      <c r="AV36">
        <f t="shared" si="46"/>
        <v>0</v>
      </c>
      <c r="AW36">
        <f t="shared" si="47"/>
        <v>0</v>
      </c>
      <c r="AX36">
        <f t="shared" si="48"/>
        <v>0</v>
      </c>
    </row>
    <row r="37">
      <c r="A37">
        <f>项目档案!$B$38&amp;""</f>
      </c>
      <c r="B37">
        <f t="shared" si="8"/>
        <v>0</v>
      </c>
      <c r="C37">
        <f t="shared" si="9"/>
        <v>0</v>
      </c>
      <c r="D37">
        <f t="shared" si="10"/>
        <v>0</v>
      </c>
      <c r="E37">
        <f t="shared" si="11"/>
        <v>0</v>
      </c>
      <c r="F37">
        <f t="shared" si="12"/>
        <v>0</v>
      </c>
      <c r="G37">
        <f t="shared" si="13"/>
        <v>0</v>
      </c>
      <c r="H37">
        <f t="shared" si="14"/>
        <v>0</v>
      </c>
      <c r="I37">
        <f t="shared" si="15"/>
        <v>0</v>
      </c>
      <c r="J37">
        <f t="shared" si="16"/>
        <v>0</v>
      </c>
      <c r="K37">
        <f t="shared" si="17"/>
        <v>0</v>
      </c>
      <c r="L37">
        <f t="shared" si="18"/>
        <v>0</v>
      </c>
      <c r="M37">
        <f t="shared" si="19"/>
        <v>0</v>
      </c>
      <c r="N37">
        <f t="shared" si="20"/>
        <v>0</v>
      </c>
      <c r="O37">
        <f t="shared" si="21"/>
        <v>0</v>
      </c>
      <c r="P37">
        <f t="shared" si="22"/>
        <v>0</v>
      </c>
      <c r="Q37">
        <f t="shared" si="23"/>
        <v>0</v>
      </c>
      <c r="R37">
        <f t="shared" si="24"/>
        <v>0</v>
      </c>
      <c r="S37">
        <f t="shared" si="25"/>
        <v>0</v>
      </c>
      <c r="T37">
        <f t="shared" si="26"/>
        <v>0</v>
      </c>
      <c r="U37">
        <f t="shared" si="27"/>
        <v>0</v>
      </c>
      <c r="V37">
        <f t="shared" si="28"/>
        <v>0</v>
      </c>
      <c r="W37">
        <f t="shared" si="29"/>
        <v>0</v>
      </c>
      <c r="X37">
        <f t="shared" si="30"/>
        <v>0</v>
      </c>
      <c r="Y37">
        <f t="shared" si="31"/>
        <v>0</v>
      </c>
      <c r="Z37">
        <f t="shared" si="32"/>
        <v>0</v>
      </c>
      <c r="AA37">
        <f t="shared" si="33"/>
        <v>0</v>
      </c>
      <c r="AB37">
        <f t="shared" si="34"/>
        <v>0</v>
      </c>
      <c r="AC37">
        <f t="shared" si="35"/>
        <v>0</v>
      </c>
      <c r="AD37">
        <f t="shared" si="36"/>
        <v>0</v>
      </c>
      <c r="AE37">
        <f t="shared" si="37"/>
        <v>0</v>
      </c>
      <c r="AF37">
        <f t="shared" si="38"/>
        <v>0</v>
      </c>
      <c r="AG37">
        <f t="shared" si="39"/>
        <v>0</v>
      </c>
      <c r="AH37">
        <f t="shared" si="40"/>
        <v>0</v>
      </c>
      <c r="AI37">
        <f t="shared" si="41"/>
        <v>0</v>
      </c>
      <c r="AJ37">
        <f t="shared" si="42"/>
        <v>0</v>
      </c>
      <c r="AK37">
        <f t="shared" si="43"/>
        <v>0</v>
      </c>
      <c r="AL37">
        <f t="shared" si="44"/>
        <v>0</v>
      </c>
      <c r="AM37">
        <f t="shared" si="45"/>
        <v>0</v>
      </c>
      <c r="AN37">
        <f t="shared" si="0"/>
        <v>0</v>
      </c>
      <c r="AO37">
        <f t="shared" si="1"/>
        <v>0</v>
      </c>
      <c r="AP37">
        <f t="shared" si="2"/>
        <v>0</v>
      </c>
      <c r="AQ37">
        <f t="shared" si="3"/>
        <v>0</v>
      </c>
      <c r="AR37">
        <f t="shared" si="4"/>
        <v>0</v>
      </c>
      <c r="AS37">
        <f t="shared" si="5"/>
        <v>0</v>
      </c>
      <c r="AT37">
        <f t="shared" si="6"/>
        <v>0</v>
      </c>
      <c r="AU37">
        <f t="shared" si="7"/>
        <v>0</v>
      </c>
      <c r="AV37">
        <f t="shared" si="46"/>
        <v>0</v>
      </c>
      <c r="AW37">
        <f t="shared" si="47"/>
        <v>0</v>
      </c>
      <c r="AX37">
        <f t="shared" si="48"/>
        <v>0</v>
      </c>
    </row>
    <row r="38">
      <c r="A38">
        <f>项目档案!$B$39&amp;""</f>
      </c>
      <c r="B38">
        <f t="shared" si="8"/>
        <v>0</v>
      </c>
      <c r="C38">
        <f t="shared" si="9"/>
        <v>0</v>
      </c>
      <c r="D38">
        <f t="shared" si="10"/>
        <v>0</v>
      </c>
      <c r="E38">
        <f t="shared" si="11"/>
        <v>0</v>
      </c>
      <c r="F38">
        <f t="shared" si="12"/>
        <v>0</v>
      </c>
      <c r="G38">
        <f t="shared" si="13"/>
        <v>0</v>
      </c>
      <c r="H38">
        <f t="shared" si="14"/>
        <v>0</v>
      </c>
      <c r="I38">
        <f t="shared" si="15"/>
        <v>0</v>
      </c>
      <c r="J38">
        <f t="shared" si="16"/>
        <v>0</v>
      </c>
      <c r="K38">
        <f t="shared" si="17"/>
        <v>0</v>
      </c>
      <c r="L38">
        <f t="shared" si="18"/>
        <v>0</v>
      </c>
      <c r="M38">
        <f t="shared" si="19"/>
        <v>0</v>
      </c>
      <c r="N38">
        <f t="shared" si="20"/>
        <v>0</v>
      </c>
      <c r="O38">
        <f t="shared" si="21"/>
        <v>0</v>
      </c>
      <c r="P38">
        <f t="shared" si="22"/>
        <v>0</v>
      </c>
      <c r="Q38">
        <f t="shared" si="23"/>
        <v>0</v>
      </c>
      <c r="R38">
        <f t="shared" si="24"/>
        <v>0</v>
      </c>
      <c r="S38">
        <f t="shared" si="25"/>
        <v>0</v>
      </c>
      <c r="T38">
        <f t="shared" si="26"/>
        <v>0</v>
      </c>
      <c r="U38">
        <f t="shared" si="27"/>
        <v>0</v>
      </c>
      <c r="V38">
        <f t="shared" si="28"/>
        <v>0</v>
      </c>
      <c r="W38">
        <f t="shared" si="29"/>
        <v>0</v>
      </c>
      <c r="X38">
        <f t="shared" si="30"/>
        <v>0</v>
      </c>
      <c r="Y38">
        <f t="shared" si="31"/>
        <v>0</v>
      </c>
      <c r="Z38">
        <f t="shared" si="32"/>
        <v>0</v>
      </c>
      <c r="AA38">
        <f t="shared" si="33"/>
        <v>0</v>
      </c>
      <c r="AB38">
        <f t="shared" si="34"/>
        <v>0</v>
      </c>
      <c r="AC38">
        <f t="shared" si="35"/>
        <v>0</v>
      </c>
      <c r="AD38">
        <f t="shared" si="36"/>
        <v>0</v>
      </c>
      <c r="AE38">
        <f t="shared" si="37"/>
        <v>0</v>
      </c>
      <c r="AF38">
        <f t="shared" si="38"/>
        <v>0</v>
      </c>
      <c r="AG38">
        <f t="shared" si="39"/>
        <v>0</v>
      </c>
      <c r="AH38">
        <f t="shared" si="40"/>
        <v>0</v>
      </c>
      <c r="AI38">
        <f t="shared" si="41"/>
        <v>0</v>
      </c>
      <c r="AJ38">
        <f t="shared" si="42"/>
        <v>0</v>
      </c>
      <c r="AK38">
        <f t="shared" si="43"/>
        <v>0</v>
      </c>
      <c r="AL38">
        <f t="shared" si="44"/>
        <v>0</v>
      </c>
      <c r="AM38">
        <f t="shared" si="45"/>
        <v>0</v>
      </c>
      <c r="AN38">
        <f t="shared" si="0"/>
        <v>0</v>
      </c>
      <c r="AO38">
        <f t="shared" si="1"/>
        <v>0</v>
      </c>
      <c r="AP38">
        <f t="shared" si="2"/>
        <v>0</v>
      </c>
      <c r="AQ38">
        <f t="shared" si="3"/>
        <v>0</v>
      </c>
      <c r="AR38">
        <f t="shared" si="4"/>
        <v>0</v>
      </c>
      <c r="AS38">
        <f t="shared" si="5"/>
        <v>0</v>
      </c>
      <c r="AT38">
        <f t="shared" si="6"/>
        <v>0</v>
      </c>
      <c r="AU38">
        <f t="shared" si="7"/>
        <v>0</v>
      </c>
      <c r="AV38">
        <f t="shared" si="46"/>
        <v>0</v>
      </c>
      <c r="AW38">
        <f t="shared" si="47"/>
        <v>0</v>
      </c>
      <c r="AX38">
        <f t="shared" si="48"/>
        <v>0</v>
      </c>
    </row>
    <row r="39">
      <c r="A39">
        <f>项目档案!$B$40&amp;""</f>
      </c>
      <c r="B39">
        <f t="shared" si="8"/>
        <v>0</v>
      </c>
      <c r="C39">
        <f t="shared" si="9"/>
        <v>0</v>
      </c>
      <c r="D39">
        <f t="shared" si="10"/>
        <v>0</v>
      </c>
      <c r="E39">
        <f t="shared" si="11"/>
        <v>0</v>
      </c>
      <c r="F39">
        <f t="shared" si="12"/>
        <v>0</v>
      </c>
      <c r="G39">
        <f t="shared" si="13"/>
        <v>0</v>
      </c>
      <c r="H39">
        <f t="shared" si="14"/>
        <v>0</v>
      </c>
      <c r="I39">
        <f t="shared" si="15"/>
        <v>0</v>
      </c>
      <c r="J39">
        <f t="shared" si="16"/>
        <v>0</v>
      </c>
      <c r="K39">
        <f t="shared" si="17"/>
        <v>0</v>
      </c>
      <c r="L39">
        <f t="shared" si="18"/>
        <v>0</v>
      </c>
      <c r="M39">
        <f t="shared" si="19"/>
        <v>0</v>
      </c>
      <c r="N39">
        <f t="shared" si="20"/>
        <v>0</v>
      </c>
      <c r="O39">
        <f t="shared" si="21"/>
        <v>0</v>
      </c>
      <c r="P39">
        <f t="shared" si="22"/>
        <v>0</v>
      </c>
      <c r="Q39">
        <f t="shared" si="23"/>
        <v>0</v>
      </c>
      <c r="R39">
        <f t="shared" si="24"/>
        <v>0</v>
      </c>
      <c r="S39">
        <f t="shared" si="25"/>
        <v>0</v>
      </c>
      <c r="T39">
        <f t="shared" si="26"/>
        <v>0</v>
      </c>
      <c r="U39">
        <f t="shared" si="27"/>
        <v>0</v>
      </c>
      <c r="V39">
        <f t="shared" si="28"/>
        <v>0</v>
      </c>
      <c r="W39">
        <f t="shared" si="29"/>
        <v>0</v>
      </c>
      <c r="X39">
        <f t="shared" si="30"/>
        <v>0</v>
      </c>
      <c r="Y39">
        <f t="shared" si="31"/>
        <v>0</v>
      </c>
      <c r="Z39">
        <f t="shared" si="32"/>
        <v>0</v>
      </c>
      <c r="AA39">
        <f t="shared" si="33"/>
        <v>0</v>
      </c>
      <c r="AB39">
        <f t="shared" si="34"/>
        <v>0</v>
      </c>
      <c r="AC39">
        <f t="shared" si="35"/>
        <v>0</v>
      </c>
      <c r="AD39">
        <f t="shared" si="36"/>
        <v>0</v>
      </c>
      <c r="AE39">
        <f t="shared" si="37"/>
        <v>0</v>
      </c>
      <c r="AF39">
        <f t="shared" si="38"/>
        <v>0</v>
      </c>
      <c r="AG39">
        <f t="shared" si="39"/>
        <v>0</v>
      </c>
      <c r="AH39">
        <f t="shared" si="40"/>
        <v>0</v>
      </c>
      <c r="AI39">
        <f t="shared" si="41"/>
        <v>0</v>
      </c>
      <c r="AJ39">
        <f t="shared" si="42"/>
        <v>0</v>
      </c>
      <c r="AK39">
        <f t="shared" si="43"/>
        <v>0</v>
      </c>
      <c r="AL39">
        <f t="shared" si="44"/>
        <v>0</v>
      </c>
      <c r="AM39">
        <f t="shared" si="45"/>
        <v>0</v>
      </c>
      <c r="AN39">
        <f t="shared" si="0"/>
        <v>0</v>
      </c>
      <c r="AO39">
        <f t="shared" si="1"/>
        <v>0</v>
      </c>
      <c r="AP39">
        <f t="shared" si="2"/>
        <v>0</v>
      </c>
      <c r="AQ39">
        <f t="shared" si="3"/>
        <v>0</v>
      </c>
      <c r="AR39">
        <f t="shared" si="4"/>
        <v>0</v>
      </c>
      <c r="AS39">
        <f t="shared" si="5"/>
        <v>0</v>
      </c>
      <c r="AT39">
        <f t="shared" si="6"/>
        <v>0</v>
      </c>
      <c r="AU39">
        <f t="shared" si="7"/>
        <v>0</v>
      </c>
      <c r="AV39">
        <f t="shared" si="46"/>
        <v>0</v>
      </c>
      <c r="AW39">
        <f t="shared" si="47"/>
        <v>0</v>
      </c>
      <c r="AX39">
        <f t="shared" si="48"/>
        <v>0</v>
      </c>
    </row>
    <row r="40">
      <c r="A40">
        <f>项目档案!$B$41&amp;""</f>
      </c>
      <c r="B40">
        <f t="shared" si="8"/>
        <v>0</v>
      </c>
      <c r="C40">
        <f t="shared" si="9"/>
        <v>0</v>
      </c>
      <c r="D40">
        <f t="shared" si="10"/>
        <v>0</v>
      </c>
      <c r="E40">
        <f t="shared" si="11"/>
        <v>0</v>
      </c>
      <c r="F40">
        <f t="shared" si="12"/>
        <v>0</v>
      </c>
      <c r="G40">
        <f t="shared" si="13"/>
        <v>0</v>
      </c>
      <c r="H40">
        <f t="shared" si="14"/>
        <v>0</v>
      </c>
      <c r="I40">
        <f t="shared" si="15"/>
        <v>0</v>
      </c>
      <c r="J40">
        <f t="shared" si="16"/>
        <v>0</v>
      </c>
      <c r="K40">
        <f t="shared" si="17"/>
        <v>0</v>
      </c>
      <c r="L40">
        <f t="shared" si="18"/>
        <v>0</v>
      </c>
      <c r="M40">
        <f t="shared" si="19"/>
        <v>0</v>
      </c>
      <c r="N40">
        <f t="shared" si="20"/>
        <v>0</v>
      </c>
      <c r="O40">
        <f t="shared" si="21"/>
        <v>0</v>
      </c>
      <c r="P40">
        <f t="shared" si="22"/>
        <v>0</v>
      </c>
      <c r="Q40">
        <f t="shared" si="23"/>
        <v>0</v>
      </c>
      <c r="R40">
        <f t="shared" si="24"/>
        <v>0</v>
      </c>
      <c r="S40">
        <f t="shared" si="25"/>
        <v>0</v>
      </c>
      <c r="T40">
        <f t="shared" si="26"/>
        <v>0</v>
      </c>
      <c r="U40">
        <f t="shared" si="27"/>
        <v>0</v>
      </c>
      <c r="V40">
        <f t="shared" si="28"/>
        <v>0</v>
      </c>
      <c r="W40">
        <f t="shared" si="29"/>
        <v>0</v>
      </c>
      <c r="X40">
        <f t="shared" si="30"/>
        <v>0</v>
      </c>
      <c r="Y40">
        <f t="shared" si="31"/>
        <v>0</v>
      </c>
      <c r="Z40">
        <f t="shared" si="32"/>
        <v>0</v>
      </c>
      <c r="AA40">
        <f t="shared" si="33"/>
        <v>0</v>
      </c>
      <c r="AB40">
        <f t="shared" si="34"/>
        <v>0</v>
      </c>
      <c r="AC40">
        <f t="shared" si="35"/>
        <v>0</v>
      </c>
      <c r="AD40">
        <f t="shared" si="36"/>
        <v>0</v>
      </c>
      <c r="AE40">
        <f t="shared" si="37"/>
        <v>0</v>
      </c>
      <c r="AF40">
        <f t="shared" si="38"/>
        <v>0</v>
      </c>
      <c r="AG40">
        <f t="shared" si="39"/>
        <v>0</v>
      </c>
      <c r="AH40">
        <f t="shared" si="40"/>
        <v>0</v>
      </c>
      <c r="AI40">
        <f t="shared" si="41"/>
        <v>0</v>
      </c>
      <c r="AJ40">
        <f t="shared" si="42"/>
        <v>0</v>
      </c>
      <c r="AK40">
        <f t="shared" si="43"/>
        <v>0</v>
      </c>
      <c r="AL40">
        <f t="shared" si="44"/>
        <v>0</v>
      </c>
      <c r="AM40">
        <f t="shared" si="45"/>
        <v>0</v>
      </c>
      <c r="AN40">
        <f t="shared" si="0"/>
        <v>0</v>
      </c>
      <c r="AO40">
        <f t="shared" si="1"/>
        <v>0</v>
      </c>
      <c r="AP40">
        <f t="shared" si="2"/>
        <v>0</v>
      </c>
      <c r="AQ40">
        <f t="shared" si="3"/>
        <v>0</v>
      </c>
      <c r="AR40">
        <f t="shared" si="4"/>
        <v>0</v>
      </c>
      <c r="AS40">
        <f t="shared" si="5"/>
        <v>0</v>
      </c>
      <c r="AT40">
        <f t="shared" si="6"/>
        <v>0</v>
      </c>
      <c r="AU40">
        <f t="shared" si="7"/>
        <v>0</v>
      </c>
      <c r="AV40">
        <f t="shared" si="46"/>
        <v>0</v>
      </c>
      <c r="AW40">
        <f t="shared" si="47"/>
        <v>0</v>
      </c>
      <c r="AX40">
        <f t="shared" si="48"/>
        <v>0</v>
      </c>
    </row>
    <row r="41">
      <c r="A41">
        <f>项目档案!$B$42&amp;""</f>
      </c>
      <c r="B41">
        <f t="shared" si="8"/>
        <v>0</v>
      </c>
      <c r="C41">
        <f t="shared" si="9"/>
        <v>0</v>
      </c>
      <c r="D41">
        <f t="shared" si="10"/>
        <v>0</v>
      </c>
      <c r="E41">
        <f t="shared" si="11"/>
        <v>0</v>
      </c>
      <c r="F41">
        <f t="shared" si="12"/>
        <v>0</v>
      </c>
      <c r="G41">
        <f t="shared" si="13"/>
        <v>0</v>
      </c>
      <c r="H41">
        <f t="shared" si="14"/>
        <v>0</v>
      </c>
      <c r="I41">
        <f t="shared" si="15"/>
        <v>0</v>
      </c>
      <c r="J41">
        <f t="shared" si="16"/>
        <v>0</v>
      </c>
      <c r="K41">
        <f t="shared" si="17"/>
        <v>0</v>
      </c>
      <c r="L41">
        <f t="shared" si="18"/>
        <v>0</v>
      </c>
      <c r="M41">
        <f t="shared" si="19"/>
        <v>0</v>
      </c>
      <c r="N41">
        <f t="shared" si="20"/>
        <v>0</v>
      </c>
      <c r="O41">
        <f t="shared" si="21"/>
        <v>0</v>
      </c>
      <c r="P41">
        <f t="shared" si="22"/>
        <v>0</v>
      </c>
      <c r="Q41">
        <f t="shared" si="23"/>
        <v>0</v>
      </c>
      <c r="R41">
        <f t="shared" si="24"/>
        <v>0</v>
      </c>
      <c r="S41">
        <f t="shared" si="25"/>
        <v>0</v>
      </c>
      <c r="T41">
        <f t="shared" si="26"/>
        <v>0</v>
      </c>
      <c r="U41">
        <f t="shared" si="27"/>
        <v>0</v>
      </c>
      <c r="V41">
        <f t="shared" si="28"/>
        <v>0</v>
      </c>
      <c r="W41">
        <f t="shared" si="29"/>
        <v>0</v>
      </c>
      <c r="X41">
        <f t="shared" si="30"/>
        <v>0</v>
      </c>
      <c r="Y41">
        <f t="shared" si="31"/>
        <v>0</v>
      </c>
      <c r="Z41">
        <f t="shared" si="32"/>
        <v>0</v>
      </c>
      <c r="AA41">
        <f t="shared" si="33"/>
        <v>0</v>
      </c>
      <c r="AB41">
        <f t="shared" si="34"/>
        <v>0</v>
      </c>
      <c r="AC41">
        <f t="shared" si="35"/>
        <v>0</v>
      </c>
      <c r="AD41">
        <f t="shared" si="36"/>
        <v>0</v>
      </c>
      <c r="AE41">
        <f t="shared" si="37"/>
        <v>0</v>
      </c>
      <c r="AF41">
        <f t="shared" si="38"/>
        <v>0</v>
      </c>
      <c r="AG41">
        <f t="shared" si="39"/>
        <v>0</v>
      </c>
      <c r="AH41">
        <f t="shared" si="40"/>
        <v>0</v>
      </c>
      <c r="AI41">
        <f t="shared" si="41"/>
        <v>0</v>
      </c>
      <c r="AJ41">
        <f t="shared" si="42"/>
        <v>0</v>
      </c>
      <c r="AK41">
        <f t="shared" si="43"/>
        <v>0</v>
      </c>
      <c r="AL41">
        <f t="shared" si="44"/>
        <v>0</v>
      </c>
      <c r="AM41">
        <f t="shared" si="45"/>
        <v>0</v>
      </c>
      <c r="AN41">
        <f t="shared" si="0"/>
        <v>0</v>
      </c>
      <c r="AO41">
        <f t="shared" si="1"/>
        <v>0</v>
      </c>
      <c r="AP41">
        <f t="shared" si="2"/>
        <v>0</v>
      </c>
      <c r="AQ41">
        <f t="shared" si="3"/>
        <v>0</v>
      </c>
      <c r="AR41">
        <f t="shared" si="4"/>
        <v>0</v>
      </c>
      <c r="AS41">
        <f t="shared" si="5"/>
        <v>0</v>
      </c>
      <c r="AT41">
        <f t="shared" si="6"/>
        <v>0</v>
      </c>
      <c r="AU41">
        <f t="shared" si="7"/>
        <v>0</v>
      </c>
      <c r="AV41">
        <f t="shared" si="46"/>
        <v>0</v>
      </c>
      <c r="AW41">
        <f t="shared" si="47"/>
        <v>0</v>
      </c>
      <c r="AX41">
        <f t="shared" si="48"/>
        <v>0</v>
      </c>
    </row>
    <row r="42">
      <c r="A42">
        <f>项目档案!$B$43&amp;""</f>
      </c>
      <c r="B42">
        <f t="shared" si="8"/>
        <v>0</v>
      </c>
      <c r="C42">
        <f t="shared" si="9"/>
        <v>0</v>
      </c>
      <c r="D42">
        <f t="shared" si="10"/>
        <v>0</v>
      </c>
      <c r="E42">
        <f t="shared" si="11"/>
        <v>0</v>
      </c>
      <c r="F42">
        <f t="shared" si="12"/>
        <v>0</v>
      </c>
      <c r="G42">
        <f t="shared" si="13"/>
        <v>0</v>
      </c>
      <c r="H42">
        <f t="shared" si="14"/>
        <v>0</v>
      </c>
      <c r="I42">
        <f t="shared" si="15"/>
        <v>0</v>
      </c>
      <c r="J42">
        <f t="shared" si="16"/>
        <v>0</v>
      </c>
      <c r="K42">
        <f t="shared" si="17"/>
        <v>0</v>
      </c>
      <c r="L42">
        <f t="shared" si="18"/>
        <v>0</v>
      </c>
      <c r="M42">
        <f t="shared" si="19"/>
        <v>0</v>
      </c>
      <c r="N42">
        <f t="shared" si="20"/>
        <v>0</v>
      </c>
      <c r="O42">
        <f t="shared" si="21"/>
        <v>0</v>
      </c>
      <c r="P42">
        <f t="shared" si="22"/>
        <v>0</v>
      </c>
      <c r="Q42">
        <f t="shared" si="23"/>
        <v>0</v>
      </c>
      <c r="R42">
        <f t="shared" si="24"/>
        <v>0</v>
      </c>
      <c r="S42">
        <f t="shared" si="25"/>
        <v>0</v>
      </c>
      <c r="T42">
        <f t="shared" si="26"/>
        <v>0</v>
      </c>
      <c r="U42">
        <f t="shared" si="27"/>
        <v>0</v>
      </c>
      <c r="V42">
        <f t="shared" si="28"/>
        <v>0</v>
      </c>
      <c r="W42">
        <f t="shared" si="29"/>
        <v>0</v>
      </c>
      <c r="X42">
        <f t="shared" si="30"/>
        <v>0</v>
      </c>
      <c r="Y42">
        <f t="shared" si="31"/>
        <v>0</v>
      </c>
      <c r="Z42">
        <f t="shared" si="32"/>
        <v>0</v>
      </c>
      <c r="AA42">
        <f t="shared" si="33"/>
        <v>0</v>
      </c>
      <c r="AB42">
        <f t="shared" si="34"/>
        <v>0</v>
      </c>
      <c r="AC42">
        <f t="shared" si="35"/>
        <v>0</v>
      </c>
      <c r="AD42">
        <f t="shared" si="36"/>
        <v>0</v>
      </c>
      <c r="AE42">
        <f t="shared" si="37"/>
        <v>0</v>
      </c>
      <c r="AF42">
        <f t="shared" si="38"/>
        <v>0</v>
      </c>
      <c r="AG42">
        <f t="shared" si="39"/>
        <v>0</v>
      </c>
      <c r="AH42">
        <f t="shared" si="40"/>
        <v>0</v>
      </c>
      <c r="AI42">
        <f t="shared" si="41"/>
        <v>0</v>
      </c>
      <c r="AJ42">
        <f t="shared" si="42"/>
        <v>0</v>
      </c>
      <c r="AK42">
        <f t="shared" si="43"/>
        <v>0</v>
      </c>
      <c r="AL42">
        <f t="shared" si="44"/>
        <v>0</v>
      </c>
      <c r="AM42">
        <f t="shared" si="45"/>
        <v>0</v>
      </c>
      <c r="AN42">
        <f t="shared" si="0"/>
        <v>0</v>
      </c>
      <c r="AO42">
        <f t="shared" si="1"/>
        <v>0</v>
      </c>
      <c r="AP42">
        <f t="shared" si="2"/>
        <v>0</v>
      </c>
      <c r="AQ42">
        <f t="shared" si="3"/>
        <v>0</v>
      </c>
      <c r="AR42">
        <f t="shared" si="4"/>
        <v>0</v>
      </c>
      <c r="AS42">
        <f t="shared" si="5"/>
        <v>0</v>
      </c>
      <c r="AT42">
        <f t="shared" si="6"/>
        <v>0</v>
      </c>
      <c r="AU42">
        <f t="shared" si="7"/>
        <v>0</v>
      </c>
      <c r="AV42">
        <f t="shared" si="46"/>
        <v>0</v>
      </c>
      <c r="AW42">
        <f t="shared" si="47"/>
        <v>0</v>
      </c>
      <c r="AX42">
        <f t="shared" si="48"/>
        <v>0</v>
      </c>
    </row>
    <row r="43">
      <c r="A43">
        <f>项目档案!$B$44&amp;""</f>
      </c>
      <c r="B43">
        <f t="shared" si="8"/>
        <v>0</v>
      </c>
      <c r="C43">
        <f t="shared" si="9"/>
        <v>0</v>
      </c>
      <c r="D43">
        <f t="shared" si="10"/>
        <v>0</v>
      </c>
      <c r="E43">
        <f t="shared" si="11"/>
        <v>0</v>
      </c>
      <c r="F43">
        <f t="shared" si="12"/>
        <v>0</v>
      </c>
      <c r="G43">
        <f t="shared" si="13"/>
        <v>0</v>
      </c>
      <c r="H43">
        <f t="shared" si="14"/>
        <v>0</v>
      </c>
      <c r="I43">
        <f t="shared" si="15"/>
        <v>0</v>
      </c>
      <c r="J43">
        <f t="shared" si="16"/>
        <v>0</v>
      </c>
      <c r="K43">
        <f t="shared" si="17"/>
        <v>0</v>
      </c>
      <c r="L43">
        <f t="shared" si="18"/>
        <v>0</v>
      </c>
      <c r="M43">
        <f t="shared" si="19"/>
        <v>0</v>
      </c>
      <c r="N43">
        <f t="shared" si="20"/>
        <v>0</v>
      </c>
      <c r="O43">
        <f t="shared" si="21"/>
        <v>0</v>
      </c>
      <c r="P43">
        <f t="shared" si="22"/>
        <v>0</v>
      </c>
      <c r="Q43">
        <f t="shared" si="23"/>
        <v>0</v>
      </c>
      <c r="R43">
        <f t="shared" si="24"/>
        <v>0</v>
      </c>
      <c r="S43">
        <f t="shared" si="25"/>
        <v>0</v>
      </c>
      <c r="T43">
        <f t="shared" si="26"/>
        <v>0</v>
      </c>
      <c r="U43">
        <f t="shared" si="27"/>
        <v>0</v>
      </c>
      <c r="V43">
        <f t="shared" si="28"/>
        <v>0</v>
      </c>
      <c r="W43">
        <f t="shared" si="29"/>
        <v>0</v>
      </c>
      <c r="X43">
        <f t="shared" si="30"/>
        <v>0</v>
      </c>
      <c r="Y43">
        <f t="shared" si="31"/>
        <v>0</v>
      </c>
      <c r="Z43">
        <f t="shared" si="32"/>
        <v>0</v>
      </c>
      <c r="AA43">
        <f t="shared" si="33"/>
        <v>0</v>
      </c>
      <c r="AB43">
        <f t="shared" si="34"/>
        <v>0</v>
      </c>
      <c r="AC43">
        <f t="shared" si="35"/>
        <v>0</v>
      </c>
      <c r="AD43">
        <f t="shared" si="36"/>
        <v>0</v>
      </c>
      <c r="AE43">
        <f t="shared" si="37"/>
        <v>0</v>
      </c>
      <c r="AF43">
        <f t="shared" si="38"/>
        <v>0</v>
      </c>
      <c r="AG43">
        <f t="shared" si="39"/>
        <v>0</v>
      </c>
      <c r="AH43">
        <f t="shared" si="40"/>
        <v>0</v>
      </c>
      <c r="AI43">
        <f t="shared" si="41"/>
        <v>0</v>
      </c>
      <c r="AJ43">
        <f t="shared" si="42"/>
        <v>0</v>
      </c>
      <c r="AK43">
        <f t="shared" si="43"/>
        <v>0</v>
      </c>
      <c r="AL43">
        <f t="shared" si="44"/>
        <v>0</v>
      </c>
      <c r="AM43">
        <f t="shared" si="45"/>
        <v>0</v>
      </c>
      <c r="AN43">
        <f t="shared" si="0"/>
        <v>0</v>
      </c>
      <c r="AO43">
        <f t="shared" si="1"/>
        <v>0</v>
      </c>
      <c r="AP43">
        <f t="shared" si="2"/>
        <v>0</v>
      </c>
      <c r="AQ43">
        <f t="shared" si="3"/>
        <v>0</v>
      </c>
      <c r="AR43">
        <f t="shared" si="4"/>
        <v>0</v>
      </c>
      <c r="AS43">
        <f t="shared" si="5"/>
        <v>0</v>
      </c>
      <c r="AT43">
        <f t="shared" si="6"/>
        <v>0</v>
      </c>
      <c r="AU43">
        <f t="shared" si="7"/>
        <v>0</v>
      </c>
      <c r="AV43">
        <f t="shared" si="46"/>
        <v>0</v>
      </c>
      <c r="AW43">
        <f t="shared" si="47"/>
        <v>0</v>
      </c>
      <c r="AX43">
        <f t="shared" si="48"/>
        <v>0</v>
      </c>
    </row>
    <row r="44">
      <c r="A44">
        <f>项目档案!$B$45&amp;""</f>
      </c>
      <c r="B44">
        <f t="shared" si="8"/>
        <v>0</v>
      </c>
      <c r="C44">
        <f t="shared" si="9"/>
        <v>0</v>
      </c>
      <c r="D44">
        <f t="shared" si="10"/>
        <v>0</v>
      </c>
      <c r="E44">
        <f t="shared" si="11"/>
        <v>0</v>
      </c>
      <c r="F44">
        <f t="shared" si="12"/>
        <v>0</v>
      </c>
      <c r="G44">
        <f t="shared" si="13"/>
        <v>0</v>
      </c>
      <c r="H44">
        <f t="shared" si="14"/>
        <v>0</v>
      </c>
      <c r="I44">
        <f t="shared" si="15"/>
        <v>0</v>
      </c>
      <c r="J44">
        <f t="shared" si="16"/>
        <v>0</v>
      </c>
      <c r="K44">
        <f t="shared" si="17"/>
        <v>0</v>
      </c>
      <c r="L44">
        <f t="shared" si="18"/>
        <v>0</v>
      </c>
      <c r="M44">
        <f t="shared" si="19"/>
        <v>0</v>
      </c>
      <c r="N44">
        <f t="shared" si="20"/>
        <v>0</v>
      </c>
      <c r="O44">
        <f t="shared" si="21"/>
        <v>0</v>
      </c>
      <c r="P44">
        <f t="shared" si="22"/>
        <v>0</v>
      </c>
      <c r="Q44">
        <f t="shared" si="23"/>
        <v>0</v>
      </c>
      <c r="R44">
        <f t="shared" si="24"/>
        <v>0</v>
      </c>
      <c r="S44">
        <f t="shared" si="25"/>
        <v>0</v>
      </c>
      <c r="T44">
        <f t="shared" si="26"/>
        <v>0</v>
      </c>
      <c r="U44">
        <f t="shared" si="27"/>
        <v>0</v>
      </c>
      <c r="V44">
        <f t="shared" si="28"/>
        <v>0</v>
      </c>
      <c r="W44">
        <f t="shared" si="29"/>
        <v>0</v>
      </c>
      <c r="X44">
        <f t="shared" si="30"/>
        <v>0</v>
      </c>
      <c r="Y44">
        <f t="shared" si="31"/>
        <v>0</v>
      </c>
      <c r="Z44">
        <f t="shared" si="32"/>
        <v>0</v>
      </c>
      <c r="AA44">
        <f t="shared" si="33"/>
        <v>0</v>
      </c>
      <c r="AB44">
        <f t="shared" si="34"/>
        <v>0</v>
      </c>
      <c r="AC44">
        <f t="shared" si="35"/>
        <v>0</v>
      </c>
      <c r="AD44">
        <f t="shared" si="36"/>
        <v>0</v>
      </c>
      <c r="AE44">
        <f t="shared" si="37"/>
        <v>0</v>
      </c>
      <c r="AF44">
        <f t="shared" si="38"/>
        <v>0</v>
      </c>
      <c r="AG44">
        <f t="shared" si="39"/>
        <v>0</v>
      </c>
      <c r="AH44">
        <f t="shared" si="40"/>
        <v>0</v>
      </c>
      <c r="AI44">
        <f t="shared" si="41"/>
        <v>0</v>
      </c>
      <c r="AJ44">
        <f t="shared" si="42"/>
        <v>0</v>
      </c>
      <c r="AK44">
        <f t="shared" si="43"/>
        <v>0</v>
      </c>
      <c r="AL44">
        <f t="shared" si="44"/>
        <v>0</v>
      </c>
      <c r="AM44">
        <f t="shared" si="45"/>
        <v>0</v>
      </c>
      <c r="AN44">
        <f t="shared" si="0"/>
        <v>0</v>
      </c>
      <c r="AO44">
        <f t="shared" si="1"/>
        <v>0</v>
      </c>
      <c r="AP44">
        <f t="shared" si="2"/>
        <v>0</v>
      </c>
      <c r="AQ44">
        <f t="shared" si="3"/>
        <v>0</v>
      </c>
      <c r="AR44">
        <f t="shared" si="4"/>
        <v>0</v>
      </c>
      <c r="AS44">
        <f t="shared" si="5"/>
        <v>0</v>
      </c>
      <c r="AT44">
        <f t="shared" si="6"/>
        <v>0</v>
      </c>
      <c r="AU44">
        <f t="shared" si="7"/>
        <v>0</v>
      </c>
      <c r="AV44">
        <f t="shared" si="46"/>
        <v>0</v>
      </c>
      <c r="AW44">
        <f t="shared" si="47"/>
        <v>0</v>
      </c>
      <c r="AX44">
        <f t="shared" si="48"/>
        <v>0</v>
      </c>
    </row>
    <row r="45">
      <c r="A45">
        <f>项目档案!$B$46&amp;""</f>
      </c>
      <c r="B45">
        <f t="shared" si="8"/>
        <v>0</v>
      </c>
      <c r="C45">
        <f t="shared" si="9"/>
        <v>0</v>
      </c>
      <c r="D45">
        <f t="shared" si="10"/>
        <v>0</v>
      </c>
      <c r="E45">
        <f t="shared" si="11"/>
        <v>0</v>
      </c>
      <c r="F45">
        <f t="shared" si="12"/>
        <v>0</v>
      </c>
      <c r="G45">
        <f t="shared" si="13"/>
        <v>0</v>
      </c>
      <c r="H45">
        <f t="shared" si="14"/>
        <v>0</v>
      </c>
      <c r="I45">
        <f t="shared" si="15"/>
        <v>0</v>
      </c>
      <c r="J45">
        <f t="shared" si="16"/>
        <v>0</v>
      </c>
      <c r="K45">
        <f t="shared" si="17"/>
        <v>0</v>
      </c>
      <c r="L45">
        <f t="shared" si="18"/>
        <v>0</v>
      </c>
      <c r="M45">
        <f t="shared" si="19"/>
        <v>0</v>
      </c>
      <c r="N45">
        <f t="shared" si="20"/>
        <v>0</v>
      </c>
      <c r="O45">
        <f t="shared" si="21"/>
        <v>0</v>
      </c>
      <c r="P45">
        <f t="shared" si="22"/>
        <v>0</v>
      </c>
      <c r="Q45">
        <f t="shared" si="23"/>
        <v>0</v>
      </c>
      <c r="R45">
        <f t="shared" si="24"/>
        <v>0</v>
      </c>
      <c r="S45">
        <f t="shared" si="25"/>
        <v>0</v>
      </c>
      <c r="T45">
        <f t="shared" si="26"/>
        <v>0</v>
      </c>
      <c r="U45">
        <f t="shared" si="27"/>
        <v>0</v>
      </c>
      <c r="V45">
        <f t="shared" si="28"/>
        <v>0</v>
      </c>
      <c r="W45">
        <f t="shared" si="29"/>
        <v>0</v>
      </c>
      <c r="X45">
        <f t="shared" si="30"/>
        <v>0</v>
      </c>
      <c r="Y45">
        <f t="shared" si="31"/>
        <v>0</v>
      </c>
      <c r="Z45">
        <f t="shared" si="32"/>
        <v>0</v>
      </c>
      <c r="AA45">
        <f t="shared" si="33"/>
        <v>0</v>
      </c>
      <c r="AB45">
        <f t="shared" si="34"/>
        <v>0</v>
      </c>
      <c r="AC45">
        <f t="shared" si="35"/>
        <v>0</v>
      </c>
      <c r="AD45">
        <f t="shared" si="36"/>
        <v>0</v>
      </c>
      <c r="AE45">
        <f t="shared" si="37"/>
        <v>0</v>
      </c>
      <c r="AF45">
        <f t="shared" si="38"/>
        <v>0</v>
      </c>
      <c r="AG45">
        <f t="shared" si="39"/>
        <v>0</v>
      </c>
      <c r="AH45">
        <f t="shared" si="40"/>
        <v>0</v>
      </c>
      <c r="AI45">
        <f t="shared" si="41"/>
        <v>0</v>
      </c>
      <c r="AJ45">
        <f t="shared" si="42"/>
        <v>0</v>
      </c>
      <c r="AK45">
        <f t="shared" si="43"/>
        <v>0</v>
      </c>
      <c r="AL45">
        <f t="shared" si="44"/>
        <v>0</v>
      </c>
      <c r="AM45">
        <f t="shared" si="45"/>
        <v>0</v>
      </c>
      <c r="AN45">
        <f t="shared" si="0"/>
        <v>0</v>
      </c>
      <c r="AO45">
        <f t="shared" si="1"/>
        <v>0</v>
      </c>
      <c r="AP45">
        <f t="shared" si="2"/>
        <v>0</v>
      </c>
      <c r="AQ45">
        <f t="shared" si="3"/>
        <v>0</v>
      </c>
      <c r="AR45">
        <f t="shared" si="4"/>
        <v>0</v>
      </c>
      <c r="AS45">
        <f t="shared" si="5"/>
        <v>0</v>
      </c>
      <c r="AT45">
        <f t="shared" si="6"/>
        <v>0</v>
      </c>
      <c r="AU45">
        <f t="shared" si="7"/>
        <v>0</v>
      </c>
      <c r="AV45">
        <f t="shared" si="46"/>
        <v>0</v>
      </c>
      <c r="AW45">
        <f t="shared" si="47"/>
        <v>0</v>
      </c>
      <c r="AX45">
        <f t="shared" si="48"/>
        <v>0</v>
      </c>
    </row>
    <row r="46">
      <c r="A46">
        <f>项目档案!$B$47&amp;""</f>
      </c>
      <c r="B46">
        <f t="shared" si="8"/>
        <v>0</v>
      </c>
      <c r="C46">
        <f t="shared" si="9"/>
        <v>0</v>
      </c>
      <c r="D46">
        <f t="shared" si="10"/>
        <v>0</v>
      </c>
      <c r="E46">
        <f t="shared" si="11"/>
        <v>0</v>
      </c>
      <c r="F46">
        <f t="shared" si="12"/>
        <v>0</v>
      </c>
      <c r="G46">
        <f t="shared" si="13"/>
        <v>0</v>
      </c>
      <c r="H46">
        <f t="shared" si="14"/>
        <v>0</v>
      </c>
      <c r="I46">
        <f t="shared" si="15"/>
        <v>0</v>
      </c>
      <c r="J46">
        <f t="shared" si="16"/>
        <v>0</v>
      </c>
      <c r="K46">
        <f t="shared" si="17"/>
        <v>0</v>
      </c>
      <c r="L46">
        <f t="shared" si="18"/>
        <v>0</v>
      </c>
      <c r="M46">
        <f t="shared" si="19"/>
        <v>0</v>
      </c>
      <c r="N46">
        <f t="shared" si="20"/>
        <v>0</v>
      </c>
      <c r="O46">
        <f t="shared" si="21"/>
        <v>0</v>
      </c>
      <c r="P46">
        <f t="shared" si="22"/>
        <v>0</v>
      </c>
      <c r="Q46">
        <f t="shared" si="23"/>
        <v>0</v>
      </c>
      <c r="R46">
        <f t="shared" si="24"/>
        <v>0</v>
      </c>
      <c r="S46">
        <f t="shared" si="25"/>
        <v>0</v>
      </c>
      <c r="T46">
        <f t="shared" si="26"/>
        <v>0</v>
      </c>
      <c r="U46">
        <f t="shared" si="27"/>
        <v>0</v>
      </c>
      <c r="V46">
        <f t="shared" si="28"/>
        <v>0</v>
      </c>
      <c r="W46">
        <f t="shared" si="29"/>
        <v>0</v>
      </c>
      <c r="X46">
        <f t="shared" si="30"/>
        <v>0</v>
      </c>
      <c r="Y46">
        <f t="shared" si="31"/>
        <v>0</v>
      </c>
      <c r="Z46">
        <f t="shared" si="32"/>
        <v>0</v>
      </c>
      <c r="AA46">
        <f t="shared" si="33"/>
        <v>0</v>
      </c>
      <c r="AB46">
        <f t="shared" si="34"/>
        <v>0</v>
      </c>
      <c r="AC46">
        <f t="shared" si="35"/>
        <v>0</v>
      </c>
      <c r="AD46">
        <f t="shared" si="36"/>
        <v>0</v>
      </c>
      <c r="AE46">
        <f t="shared" si="37"/>
        <v>0</v>
      </c>
      <c r="AF46">
        <f t="shared" si="38"/>
        <v>0</v>
      </c>
      <c r="AG46">
        <f t="shared" si="39"/>
        <v>0</v>
      </c>
      <c r="AH46">
        <f t="shared" si="40"/>
        <v>0</v>
      </c>
      <c r="AI46">
        <f t="shared" si="41"/>
        <v>0</v>
      </c>
      <c r="AJ46">
        <f t="shared" si="42"/>
        <v>0</v>
      </c>
      <c r="AK46">
        <f t="shared" si="43"/>
        <v>0</v>
      </c>
      <c r="AL46">
        <f t="shared" si="44"/>
        <v>0</v>
      </c>
      <c r="AM46">
        <f t="shared" si="45"/>
        <v>0</v>
      </c>
      <c r="AN46">
        <f t="shared" si="0"/>
        <v>0</v>
      </c>
      <c r="AO46">
        <f t="shared" si="1"/>
        <v>0</v>
      </c>
      <c r="AP46">
        <f t="shared" si="2"/>
        <v>0</v>
      </c>
      <c r="AQ46">
        <f t="shared" si="3"/>
        <v>0</v>
      </c>
      <c r="AR46">
        <f t="shared" si="4"/>
        <v>0</v>
      </c>
      <c r="AS46">
        <f t="shared" si="5"/>
        <v>0</v>
      </c>
      <c r="AT46">
        <f t="shared" si="6"/>
        <v>0</v>
      </c>
      <c r="AU46">
        <f t="shared" si="7"/>
        <v>0</v>
      </c>
      <c r="AV46">
        <f t="shared" si="46"/>
        <v>0</v>
      </c>
      <c r="AW46">
        <f t="shared" si="47"/>
        <v>0</v>
      </c>
      <c r="AX46">
        <f t="shared" si="48"/>
        <v>0</v>
      </c>
    </row>
    <row r="47">
      <c r="A47">
        <f>项目档案!$B$48&amp;""</f>
      </c>
      <c r="B47">
        <f t="shared" si="8"/>
        <v>0</v>
      </c>
      <c r="C47">
        <f t="shared" si="9"/>
        <v>0</v>
      </c>
      <c r="D47">
        <f t="shared" si="10"/>
        <v>0</v>
      </c>
      <c r="E47">
        <f t="shared" si="11"/>
        <v>0</v>
      </c>
      <c r="F47">
        <f t="shared" si="12"/>
        <v>0</v>
      </c>
      <c r="G47">
        <f t="shared" si="13"/>
        <v>0</v>
      </c>
      <c r="H47">
        <f t="shared" si="14"/>
        <v>0</v>
      </c>
      <c r="I47">
        <f t="shared" si="15"/>
        <v>0</v>
      </c>
      <c r="J47">
        <f t="shared" si="16"/>
        <v>0</v>
      </c>
      <c r="K47">
        <f t="shared" si="17"/>
        <v>0</v>
      </c>
      <c r="L47">
        <f t="shared" si="18"/>
        <v>0</v>
      </c>
      <c r="M47">
        <f t="shared" si="19"/>
        <v>0</v>
      </c>
      <c r="N47">
        <f t="shared" si="20"/>
        <v>0</v>
      </c>
      <c r="O47">
        <f t="shared" si="21"/>
        <v>0</v>
      </c>
      <c r="P47">
        <f t="shared" si="22"/>
        <v>0</v>
      </c>
      <c r="Q47">
        <f t="shared" si="23"/>
        <v>0</v>
      </c>
      <c r="R47">
        <f t="shared" si="24"/>
        <v>0</v>
      </c>
      <c r="S47">
        <f t="shared" si="25"/>
        <v>0</v>
      </c>
      <c r="T47">
        <f t="shared" si="26"/>
        <v>0</v>
      </c>
      <c r="U47">
        <f t="shared" si="27"/>
        <v>0</v>
      </c>
      <c r="V47">
        <f t="shared" si="28"/>
        <v>0</v>
      </c>
      <c r="W47">
        <f t="shared" si="29"/>
        <v>0</v>
      </c>
      <c r="X47">
        <f t="shared" si="30"/>
        <v>0</v>
      </c>
      <c r="Y47">
        <f t="shared" si="31"/>
        <v>0</v>
      </c>
      <c r="Z47">
        <f t="shared" si="32"/>
        <v>0</v>
      </c>
      <c r="AA47">
        <f t="shared" si="33"/>
        <v>0</v>
      </c>
      <c r="AB47">
        <f t="shared" si="34"/>
        <v>0</v>
      </c>
      <c r="AC47">
        <f t="shared" si="35"/>
        <v>0</v>
      </c>
      <c r="AD47">
        <f t="shared" si="36"/>
        <v>0</v>
      </c>
      <c r="AE47">
        <f t="shared" si="37"/>
        <v>0</v>
      </c>
      <c r="AF47">
        <f t="shared" si="38"/>
        <v>0</v>
      </c>
      <c r="AG47">
        <f t="shared" si="39"/>
        <v>0</v>
      </c>
      <c r="AH47">
        <f t="shared" si="40"/>
        <v>0</v>
      </c>
      <c r="AI47">
        <f t="shared" si="41"/>
        <v>0</v>
      </c>
      <c r="AJ47">
        <f t="shared" si="42"/>
        <v>0</v>
      </c>
      <c r="AK47">
        <f t="shared" si="43"/>
        <v>0</v>
      </c>
      <c r="AL47">
        <f t="shared" si="44"/>
        <v>0</v>
      </c>
      <c r="AM47">
        <f t="shared" si="45"/>
        <v>0</v>
      </c>
      <c r="AN47">
        <f t="shared" si="0"/>
        <v>0</v>
      </c>
      <c r="AO47">
        <f t="shared" si="1"/>
        <v>0</v>
      </c>
      <c r="AP47">
        <f t="shared" si="2"/>
        <v>0</v>
      </c>
      <c r="AQ47">
        <f t="shared" si="3"/>
        <v>0</v>
      </c>
      <c r="AR47">
        <f t="shared" si="4"/>
        <v>0</v>
      </c>
      <c r="AS47">
        <f t="shared" si="5"/>
        <v>0</v>
      </c>
      <c r="AT47">
        <f t="shared" si="6"/>
        <v>0</v>
      </c>
      <c r="AU47">
        <f t="shared" si="7"/>
        <v>0</v>
      </c>
      <c r="AV47">
        <f t="shared" si="46"/>
        <v>0</v>
      </c>
      <c r="AW47">
        <f t="shared" si="47"/>
        <v>0</v>
      </c>
      <c r="AX47">
        <f t="shared" si="48"/>
        <v>0</v>
      </c>
    </row>
    <row r="48">
      <c r="A48">
        <f>项目档案!$B$49&amp;""</f>
      </c>
      <c r="B48">
        <f t="shared" si="8"/>
        <v>0</v>
      </c>
      <c r="C48">
        <f t="shared" si="9"/>
        <v>0</v>
      </c>
      <c r="D48">
        <f t="shared" si="10"/>
        <v>0</v>
      </c>
      <c r="E48">
        <f t="shared" si="11"/>
        <v>0</v>
      </c>
      <c r="F48">
        <f t="shared" si="12"/>
        <v>0</v>
      </c>
      <c r="G48">
        <f t="shared" si="13"/>
        <v>0</v>
      </c>
      <c r="H48">
        <f t="shared" si="14"/>
        <v>0</v>
      </c>
      <c r="I48">
        <f t="shared" si="15"/>
        <v>0</v>
      </c>
      <c r="J48">
        <f t="shared" si="16"/>
        <v>0</v>
      </c>
      <c r="K48">
        <f t="shared" si="17"/>
        <v>0</v>
      </c>
      <c r="L48">
        <f t="shared" si="18"/>
        <v>0</v>
      </c>
      <c r="M48">
        <f t="shared" si="19"/>
        <v>0</v>
      </c>
      <c r="N48">
        <f t="shared" si="20"/>
        <v>0</v>
      </c>
      <c r="O48">
        <f t="shared" si="21"/>
        <v>0</v>
      </c>
      <c r="P48">
        <f t="shared" si="22"/>
        <v>0</v>
      </c>
      <c r="Q48">
        <f t="shared" si="23"/>
        <v>0</v>
      </c>
      <c r="R48">
        <f t="shared" si="24"/>
        <v>0</v>
      </c>
      <c r="S48">
        <f t="shared" si="25"/>
        <v>0</v>
      </c>
      <c r="T48">
        <f t="shared" si="26"/>
        <v>0</v>
      </c>
      <c r="U48">
        <f t="shared" si="27"/>
        <v>0</v>
      </c>
      <c r="V48">
        <f t="shared" si="28"/>
        <v>0</v>
      </c>
      <c r="W48">
        <f t="shared" si="29"/>
        <v>0</v>
      </c>
      <c r="X48">
        <f t="shared" si="30"/>
        <v>0</v>
      </c>
      <c r="Y48">
        <f t="shared" si="31"/>
        <v>0</v>
      </c>
      <c r="Z48">
        <f t="shared" si="32"/>
        <v>0</v>
      </c>
      <c r="AA48">
        <f t="shared" si="33"/>
        <v>0</v>
      </c>
      <c r="AB48">
        <f t="shared" si="34"/>
        <v>0</v>
      </c>
      <c r="AC48">
        <f t="shared" si="35"/>
        <v>0</v>
      </c>
      <c r="AD48">
        <f t="shared" si="36"/>
        <v>0</v>
      </c>
      <c r="AE48">
        <f t="shared" si="37"/>
        <v>0</v>
      </c>
      <c r="AF48">
        <f t="shared" si="38"/>
        <v>0</v>
      </c>
      <c r="AG48">
        <f t="shared" si="39"/>
        <v>0</v>
      </c>
      <c r="AH48">
        <f t="shared" si="40"/>
        <v>0</v>
      </c>
      <c r="AI48">
        <f t="shared" si="41"/>
        <v>0</v>
      </c>
      <c r="AJ48">
        <f t="shared" si="42"/>
        <v>0</v>
      </c>
      <c r="AK48">
        <f t="shared" si="43"/>
        <v>0</v>
      </c>
      <c r="AL48">
        <f t="shared" si="44"/>
        <v>0</v>
      </c>
      <c r="AM48">
        <f t="shared" si="45"/>
        <v>0</v>
      </c>
      <c r="AN48">
        <f t="shared" si="0"/>
        <v>0</v>
      </c>
      <c r="AO48">
        <f t="shared" si="1"/>
        <v>0</v>
      </c>
      <c r="AP48">
        <f t="shared" si="2"/>
        <v>0</v>
      </c>
      <c r="AQ48">
        <f t="shared" si="3"/>
        <v>0</v>
      </c>
      <c r="AR48">
        <f t="shared" si="4"/>
        <v>0</v>
      </c>
      <c r="AS48">
        <f t="shared" si="5"/>
        <v>0</v>
      </c>
      <c r="AT48">
        <f t="shared" si="6"/>
        <v>0</v>
      </c>
      <c r="AU48">
        <f t="shared" si="7"/>
        <v>0</v>
      </c>
      <c r="AV48">
        <f t="shared" si="46"/>
        <v>0</v>
      </c>
      <c r="AW48">
        <f t="shared" si="47"/>
        <v>0</v>
      </c>
      <c r="AX48">
        <f t="shared" si="48"/>
        <v>0</v>
      </c>
    </row>
    <row r="49">
      <c r="A49">
        <f>项目档案!$B$50&amp;""</f>
      </c>
      <c r="B49">
        <f t="shared" si="8"/>
        <v>0</v>
      </c>
      <c r="C49">
        <f t="shared" si="9"/>
        <v>0</v>
      </c>
      <c r="D49">
        <f t="shared" si="10"/>
        <v>0</v>
      </c>
      <c r="E49">
        <f t="shared" si="11"/>
        <v>0</v>
      </c>
      <c r="F49">
        <f t="shared" si="12"/>
        <v>0</v>
      </c>
      <c r="G49">
        <f t="shared" si="13"/>
        <v>0</v>
      </c>
      <c r="H49">
        <f t="shared" si="14"/>
        <v>0</v>
      </c>
      <c r="I49">
        <f t="shared" si="15"/>
        <v>0</v>
      </c>
      <c r="J49">
        <f t="shared" si="16"/>
        <v>0</v>
      </c>
      <c r="K49">
        <f t="shared" si="17"/>
        <v>0</v>
      </c>
      <c r="L49">
        <f t="shared" si="18"/>
        <v>0</v>
      </c>
      <c r="M49">
        <f t="shared" si="19"/>
        <v>0</v>
      </c>
      <c r="N49">
        <f t="shared" si="20"/>
        <v>0</v>
      </c>
      <c r="O49">
        <f t="shared" si="21"/>
        <v>0</v>
      </c>
      <c r="P49">
        <f t="shared" si="22"/>
        <v>0</v>
      </c>
      <c r="Q49">
        <f t="shared" si="23"/>
        <v>0</v>
      </c>
      <c r="R49">
        <f t="shared" si="24"/>
        <v>0</v>
      </c>
      <c r="S49">
        <f t="shared" si="25"/>
        <v>0</v>
      </c>
      <c r="T49">
        <f t="shared" si="26"/>
        <v>0</v>
      </c>
      <c r="U49">
        <f t="shared" si="27"/>
        <v>0</v>
      </c>
      <c r="V49">
        <f t="shared" si="28"/>
        <v>0</v>
      </c>
      <c r="W49">
        <f t="shared" si="29"/>
        <v>0</v>
      </c>
      <c r="X49">
        <f t="shared" si="30"/>
        <v>0</v>
      </c>
      <c r="Y49">
        <f t="shared" si="31"/>
        <v>0</v>
      </c>
      <c r="Z49">
        <f t="shared" si="32"/>
        <v>0</v>
      </c>
      <c r="AA49">
        <f t="shared" si="33"/>
        <v>0</v>
      </c>
      <c r="AB49">
        <f t="shared" si="34"/>
        <v>0</v>
      </c>
      <c r="AC49">
        <f t="shared" si="35"/>
        <v>0</v>
      </c>
      <c r="AD49">
        <f t="shared" si="36"/>
        <v>0</v>
      </c>
      <c r="AE49">
        <f t="shared" si="37"/>
        <v>0</v>
      </c>
      <c r="AF49">
        <f t="shared" si="38"/>
        <v>0</v>
      </c>
      <c r="AG49">
        <f t="shared" si="39"/>
        <v>0</v>
      </c>
      <c r="AH49">
        <f t="shared" si="40"/>
        <v>0</v>
      </c>
      <c r="AI49">
        <f t="shared" si="41"/>
        <v>0</v>
      </c>
      <c r="AJ49">
        <f t="shared" si="42"/>
        <v>0</v>
      </c>
      <c r="AK49">
        <f t="shared" si="43"/>
        <v>0</v>
      </c>
      <c r="AL49">
        <f t="shared" si="44"/>
        <v>0</v>
      </c>
      <c r="AM49">
        <f t="shared" si="45"/>
        <v>0</v>
      </c>
      <c r="AN49">
        <f t="shared" si="0"/>
        <v>0</v>
      </c>
      <c r="AO49">
        <f t="shared" si="1"/>
        <v>0</v>
      </c>
      <c r="AP49">
        <f t="shared" si="2"/>
        <v>0</v>
      </c>
      <c r="AQ49">
        <f t="shared" si="3"/>
        <v>0</v>
      </c>
      <c r="AR49">
        <f t="shared" si="4"/>
        <v>0</v>
      </c>
      <c r="AS49">
        <f t="shared" si="5"/>
        <v>0</v>
      </c>
      <c r="AT49">
        <f t="shared" si="6"/>
        <v>0</v>
      </c>
      <c r="AU49">
        <f t="shared" si="7"/>
        <v>0</v>
      </c>
      <c r="AV49">
        <f t="shared" si="46"/>
        <v>0</v>
      </c>
      <c r="AW49">
        <f t="shared" si="47"/>
        <v>0</v>
      </c>
      <c r="AX49">
        <f t="shared" si="48"/>
        <v>0</v>
      </c>
    </row>
    <row r="50">
      <c r="A50">
        <f>项目档案!$B$51&amp;""</f>
      </c>
      <c r="B50">
        <f t="shared" si="8"/>
        <v>0</v>
      </c>
      <c r="C50">
        <f t="shared" si="9"/>
        <v>0</v>
      </c>
      <c r="D50">
        <f t="shared" si="10"/>
        <v>0</v>
      </c>
      <c r="E50">
        <f t="shared" si="11"/>
        <v>0</v>
      </c>
      <c r="F50">
        <f t="shared" si="12"/>
        <v>0</v>
      </c>
      <c r="G50">
        <f t="shared" si="13"/>
        <v>0</v>
      </c>
      <c r="H50">
        <f t="shared" si="14"/>
        <v>0</v>
      </c>
      <c r="I50">
        <f t="shared" si="15"/>
        <v>0</v>
      </c>
      <c r="J50">
        <f t="shared" si="16"/>
        <v>0</v>
      </c>
      <c r="K50">
        <f t="shared" si="17"/>
        <v>0</v>
      </c>
      <c r="L50">
        <f t="shared" si="18"/>
        <v>0</v>
      </c>
      <c r="M50">
        <f t="shared" si="19"/>
        <v>0</v>
      </c>
      <c r="N50">
        <f t="shared" si="20"/>
        <v>0</v>
      </c>
      <c r="O50">
        <f t="shared" si="21"/>
        <v>0</v>
      </c>
      <c r="P50">
        <f t="shared" si="22"/>
        <v>0</v>
      </c>
      <c r="Q50">
        <f t="shared" si="23"/>
        <v>0</v>
      </c>
      <c r="R50">
        <f t="shared" si="24"/>
        <v>0</v>
      </c>
      <c r="S50">
        <f t="shared" si="25"/>
        <v>0</v>
      </c>
      <c r="T50">
        <f t="shared" si="26"/>
        <v>0</v>
      </c>
      <c r="U50">
        <f t="shared" si="27"/>
        <v>0</v>
      </c>
      <c r="V50">
        <f t="shared" si="28"/>
        <v>0</v>
      </c>
      <c r="W50">
        <f t="shared" si="29"/>
        <v>0</v>
      </c>
      <c r="X50">
        <f t="shared" si="30"/>
        <v>0</v>
      </c>
      <c r="Y50">
        <f t="shared" si="31"/>
        <v>0</v>
      </c>
      <c r="Z50">
        <f t="shared" si="32"/>
        <v>0</v>
      </c>
      <c r="AA50">
        <f t="shared" si="33"/>
        <v>0</v>
      </c>
      <c r="AB50">
        <f t="shared" si="34"/>
        <v>0</v>
      </c>
      <c r="AC50">
        <f t="shared" si="35"/>
        <v>0</v>
      </c>
      <c r="AD50">
        <f t="shared" si="36"/>
        <v>0</v>
      </c>
      <c r="AE50">
        <f t="shared" si="37"/>
        <v>0</v>
      </c>
      <c r="AF50">
        <f t="shared" si="38"/>
        <v>0</v>
      </c>
      <c r="AG50">
        <f t="shared" si="39"/>
        <v>0</v>
      </c>
      <c r="AH50">
        <f t="shared" si="40"/>
        <v>0</v>
      </c>
      <c r="AI50">
        <f t="shared" si="41"/>
        <v>0</v>
      </c>
      <c r="AJ50">
        <f t="shared" si="42"/>
        <v>0</v>
      </c>
      <c r="AK50">
        <f t="shared" si="43"/>
        <v>0</v>
      </c>
      <c r="AL50">
        <f t="shared" si="44"/>
        <v>0</v>
      </c>
      <c r="AM50">
        <f t="shared" si="45"/>
        <v>0</v>
      </c>
      <c r="AN50">
        <f t="shared" si="0"/>
        <v>0</v>
      </c>
      <c r="AO50">
        <f t="shared" si="1"/>
        <v>0</v>
      </c>
      <c r="AP50">
        <f t="shared" si="2"/>
        <v>0</v>
      </c>
      <c r="AQ50">
        <f t="shared" si="3"/>
        <v>0</v>
      </c>
      <c r="AR50">
        <f t="shared" si="4"/>
        <v>0</v>
      </c>
      <c r="AS50">
        <f t="shared" si="5"/>
        <v>0</v>
      </c>
      <c r="AT50">
        <f t="shared" si="6"/>
        <v>0</v>
      </c>
      <c r="AU50">
        <f t="shared" si="7"/>
        <v>0</v>
      </c>
      <c r="AV50">
        <f t="shared" si="46"/>
        <v>0</v>
      </c>
      <c r="AW50">
        <f t="shared" si="47"/>
        <v>0</v>
      </c>
      <c r="AX50">
        <f t="shared" si="48"/>
        <v>0</v>
      </c>
    </row>
    <row r="51">
      <c r="A51">
        <f>项目档案!$B$52&amp;""</f>
      </c>
      <c r="B51">
        <f t="shared" si="8"/>
        <v>0</v>
      </c>
      <c r="C51">
        <f t="shared" si="9"/>
        <v>0</v>
      </c>
      <c r="D51">
        <f t="shared" si="10"/>
        <v>0</v>
      </c>
      <c r="E51">
        <f t="shared" si="11"/>
        <v>0</v>
      </c>
      <c r="F51">
        <f t="shared" si="12"/>
        <v>0</v>
      </c>
      <c r="G51">
        <f t="shared" si="13"/>
        <v>0</v>
      </c>
      <c r="H51">
        <f t="shared" si="14"/>
        <v>0</v>
      </c>
      <c r="I51">
        <f t="shared" si="15"/>
        <v>0</v>
      </c>
      <c r="J51">
        <f t="shared" si="16"/>
        <v>0</v>
      </c>
      <c r="K51">
        <f t="shared" si="17"/>
        <v>0</v>
      </c>
      <c r="L51">
        <f t="shared" si="18"/>
        <v>0</v>
      </c>
      <c r="M51">
        <f t="shared" si="19"/>
        <v>0</v>
      </c>
      <c r="N51">
        <f t="shared" si="20"/>
        <v>0</v>
      </c>
      <c r="O51">
        <f t="shared" si="21"/>
        <v>0</v>
      </c>
      <c r="P51">
        <f t="shared" si="22"/>
        <v>0</v>
      </c>
      <c r="Q51">
        <f t="shared" si="23"/>
        <v>0</v>
      </c>
      <c r="R51">
        <f t="shared" si="24"/>
        <v>0</v>
      </c>
      <c r="S51">
        <f t="shared" si="25"/>
        <v>0</v>
      </c>
      <c r="T51">
        <f t="shared" si="26"/>
        <v>0</v>
      </c>
      <c r="U51">
        <f t="shared" si="27"/>
        <v>0</v>
      </c>
      <c r="V51">
        <f t="shared" si="28"/>
        <v>0</v>
      </c>
      <c r="W51">
        <f t="shared" si="29"/>
        <v>0</v>
      </c>
      <c r="X51">
        <f t="shared" si="30"/>
        <v>0</v>
      </c>
      <c r="Y51">
        <f t="shared" si="31"/>
        <v>0</v>
      </c>
      <c r="Z51">
        <f t="shared" si="32"/>
        <v>0</v>
      </c>
      <c r="AA51">
        <f t="shared" si="33"/>
        <v>0</v>
      </c>
      <c r="AB51">
        <f t="shared" si="34"/>
        <v>0</v>
      </c>
      <c r="AC51">
        <f t="shared" si="35"/>
        <v>0</v>
      </c>
      <c r="AD51">
        <f t="shared" si="36"/>
        <v>0</v>
      </c>
      <c r="AE51">
        <f t="shared" si="37"/>
        <v>0</v>
      </c>
      <c r="AF51">
        <f t="shared" si="38"/>
        <v>0</v>
      </c>
      <c r="AG51">
        <f t="shared" si="39"/>
        <v>0</v>
      </c>
      <c r="AH51">
        <f t="shared" si="40"/>
        <v>0</v>
      </c>
      <c r="AI51">
        <f t="shared" si="41"/>
        <v>0</v>
      </c>
      <c r="AJ51">
        <f t="shared" si="42"/>
        <v>0</v>
      </c>
      <c r="AK51">
        <f t="shared" si="43"/>
        <v>0</v>
      </c>
      <c r="AL51">
        <f t="shared" si="44"/>
        <v>0</v>
      </c>
      <c r="AM51">
        <f t="shared" si="45"/>
        <v>0</v>
      </c>
      <c r="AN51">
        <f t="shared" si="0"/>
        <v>0</v>
      </c>
      <c r="AO51">
        <f t="shared" si="1"/>
        <v>0</v>
      </c>
      <c r="AP51">
        <f t="shared" si="2"/>
        <v>0</v>
      </c>
      <c r="AQ51">
        <f t="shared" si="3"/>
        <v>0</v>
      </c>
      <c r="AR51">
        <f t="shared" si="4"/>
        <v>0</v>
      </c>
      <c r="AS51">
        <f t="shared" si="5"/>
        <v>0</v>
      </c>
      <c r="AT51">
        <f t="shared" si="6"/>
        <v>0</v>
      </c>
      <c r="AU51">
        <f t="shared" si="7"/>
        <v>0</v>
      </c>
      <c r="AV51">
        <f t="shared" si="46"/>
        <v>0</v>
      </c>
      <c r="AW51">
        <f t="shared" si="47"/>
        <v>0</v>
      </c>
      <c r="AX51">
        <f t="shared" si="48"/>
        <v>0</v>
      </c>
    </row>
    <row r="52">
      <c r="A52">
        <f>项目档案!$B$53&amp;""</f>
      </c>
      <c r="B52">
        <f t="shared" si="8"/>
        <v>0</v>
      </c>
      <c r="C52">
        <f t="shared" si="9"/>
        <v>0</v>
      </c>
      <c r="D52">
        <f t="shared" si="10"/>
        <v>0</v>
      </c>
      <c r="E52">
        <f t="shared" si="11"/>
        <v>0</v>
      </c>
      <c r="F52">
        <f t="shared" si="12"/>
        <v>0</v>
      </c>
      <c r="G52">
        <f t="shared" si="13"/>
        <v>0</v>
      </c>
      <c r="H52">
        <f t="shared" si="14"/>
        <v>0</v>
      </c>
      <c r="I52">
        <f t="shared" si="15"/>
        <v>0</v>
      </c>
      <c r="J52">
        <f t="shared" si="16"/>
        <v>0</v>
      </c>
      <c r="K52">
        <f t="shared" si="17"/>
        <v>0</v>
      </c>
      <c r="L52">
        <f t="shared" si="18"/>
        <v>0</v>
      </c>
      <c r="M52">
        <f t="shared" si="19"/>
        <v>0</v>
      </c>
      <c r="N52">
        <f t="shared" si="20"/>
        <v>0</v>
      </c>
      <c r="O52">
        <f t="shared" si="21"/>
        <v>0</v>
      </c>
      <c r="P52">
        <f t="shared" si="22"/>
        <v>0</v>
      </c>
      <c r="Q52">
        <f t="shared" si="23"/>
        <v>0</v>
      </c>
      <c r="R52">
        <f t="shared" si="24"/>
        <v>0</v>
      </c>
      <c r="S52">
        <f t="shared" si="25"/>
        <v>0</v>
      </c>
      <c r="T52">
        <f t="shared" si="26"/>
        <v>0</v>
      </c>
      <c r="U52">
        <f t="shared" si="27"/>
        <v>0</v>
      </c>
      <c r="V52">
        <f t="shared" si="28"/>
        <v>0</v>
      </c>
      <c r="W52">
        <f t="shared" si="29"/>
        <v>0</v>
      </c>
      <c r="X52">
        <f t="shared" si="30"/>
        <v>0</v>
      </c>
      <c r="Y52">
        <f t="shared" si="31"/>
        <v>0</v>
      </c>
      <c r="Z52">
        <f t="shared" si="32"/>
        <v>0</v>
      </c>
      <c r="AA52">
        <f t="shared" si="33"/>
        <v>0</v>
      </c>
      <c r="AB52">
        <f t="shared" si="34"/>
        <v>0</v>
      </c>
      <c r="AC52">
        <f t="shared" si="35"/>
        <v>0</v>
      </c>
      <c r="AD52">
        <f t="shared" si="36"/>
        <v>0</v>
      </c>
      <c r="AE52">
        <f t="shared" si="37"/>
        <v>0</v>
      </c>
      <c r="AF52">
        <f t="shared" si="38"/>
        <v>0</v>
      </c>
      <c r="AG52">
        <f t="shared" si="39"/>
        <v>0</v>
      </c>
      <c r="AH52">
        <f t="shared" si="40"/>
        <v>0</v>
      </c>
      <c r="AI52">
        <f t="shared" si="41"/>
        <v>0</v>
      </c>
      <c r="AJ52">
        <f t="shared" si="42"/>
        <v>0</v>
      </c>
      <c r="AK52">
        <f t="shared" si="43"/>
        <v>0</v>
      </c>
      <c r="AL52">
        <f t="shared" si="44"/>
        <v>0</v>
      </c>
      <c r="AM52">
        <f t="shared" si="45"/>
        <v>0</v>
      </c>
      <c r="AN52">
        <f t="shared" si="0"/>
        <v>0</v>
      </c>
      <c r="AO52">
        <f t="shared" si="1"/>
        <v>0</v>
      </c>
      <c r="AP52">
        <f t="shared" si="2"/>
        <v>0</v>
      </c>
      <c r="AQ52">
        <f t="shared" si="3"/>
        <v>0</v>
      </c>
      <c r="AR52">
        <f t="shared" si="4"/>
        <v>0</v>
      </c>
      <c r="AS52">
        <f t="shared" si="5"/>
        <v>0</v>
      </c>
      <c r="AT52">
        <f t="shared" si="6"/>
        <v>0</v>
      </c>
      <c r="AU52">
        <f t="shared" si="7"/>
        <v>0</v>
      </c>
      <c r="AV52">
        <f t="shared" si="46"/>
        <v>0</v>
      </c>
      <c r="AW52">
        <f t="shared" si="47"/>
        <v>0</v>
      </c>
      <c r="AX52">
        <f t="shared" si="48"/>
        <v>0</v>
      </c>
    </row>
    <row r="53">
      <c r="A53">
        <f>项目档案!$B$54&amp;""</f>
      </c>
      <c r="B53">
        <f t="shared" si="8"/>
        <v>0</v>
      </c>
      <c r="C53">
        <f t="shared" si="9"/>
        <v>0</v>
      </c>
      <c r="D53">
        <f t="shared" si="10"/>
        <v>0</v>
      </c>
      <c r="E53">
        <f t="shared" si="11"/>
        <v>0</v>
      </c>
      <c r="F53">
        <f t="shared" si="12"/>
        <v>0</v>
      </c>
      <c r="G53">
        <f t="shared" si="13"/>
        <v>0</v>
      </c>
      <c r="H53">
        <f t="shared" si="14"/>
        <v>0</v>
      </c>
      <c r="I53">
        <f t="shared" si="15"/>
        <v>0</v>
      </c>
      <c r="J53">
        <f t="shared" si="16"/>
        <v>0</v>
      </c>
      <c r="K53">
        <f t="shared" si="17"/>
        <v>0</v>
      </c>
      <c r="L53">
        <f t="shared" si="18"/>
        <v>0</v>
      </c>
      <c r="M53">
        <f t="shared" si="19"/>
        <v>0</v>
      </c>
      <c r="N53">
        <f t="shared" si="20"/>
        <v>0</v>
      </c>
      <c r="O53">
        <f t="shared" si="21"/>
        <v>0</v>
      </c>
      <c r="P53">
        <f t="shared" si="22"/>
        <v>0</v>
      </c>
      <c r="Q53">
        <f t="shared" si="23"/>
        <v>0</v>
      </c>
      <c r="R53">
        <f t="shared" si="24"/>
        <v>0</v>
      </c>
      <c r="S53">
        <f t="shared" si="25"/>
        <v>0</v>
      </c>
      <c r="T53">
        <f t="shared" si="26"/>
        <v>0</v>
      </c>
      <c r="U53">
        <f t="shared" si="27"/>
        <v>0</v>
      </c>
      <c r="V53">
        <f t="shared" si="28"/>
        <v>0</v>
      </c>
      <c r="W53">
        <f t="shared" si="29"/>
        <v>0</v>
      </c>
      <c r="X53">
        <f t="shared" si="30"/>
        <v>0</v>
      </c>
      <c r="Y53">
        <f t="shared" si="31"/>
        <v>0</v>
      </c>
      <c r="Z53">
        <f t="shared" si="32"/>
        <v>0</v>
      </c>
      <c r="AA53">
        <f t="shared" si="33"/>
        <v>0</v>
      </c>
      <c r="AB53">
        <f t="shared" si="34"/>
        <v>0</v>
      </c>
      <c r="AC53">
        <f t="shared" si="35"/>
        <v>0</v>
      </c>
      <c r="AD53">
        <f t="shared" si="36"/>
        <v>0</v>
      </c>
      <c r="AE53">
        <f t="shared" si="37"/>
        <v>0</v>
      </c>
      <c r="AF53">
        <f t="shared" si="38"/>
        <v>0</v>
      </c>
      <c r="AG53">
        <f t="shared" si="39"/>
        <v>0</v>
      </c>
      <c r="AH53">
        <f t="shared" si="40"/>
        <v>0</v>
      </c>
      <c r="AI53">
        <f t="shared" si="41"/>
        <v>0</v>
      </c>
      <c r="AJ53">
        <f t="shared" si="42"/>
        <v>0</v>
      </c>
      <c r="AK53">
        <f t="shared" si="43"/>
        <v>0</v>
      </c>
      <c r="AL53">
        <f t="shared" si="44"/>
        <v>0</v>
      </c>
      <c r="AM53">
        <f t="shared" si="45"/>
        <v>0</v>
      </c>
      <c r="AN53">
        <f t="shared" si="0"/>
        <v>0</v>
      </c>
      <c r="AO53">
        <f t="shared" si="1"/>
        <v>0</v>
      </c>
      <c r="AP53">
        <f t="shared" si="2"/>
        <v>0</v>
      </c>
      <c r="AQ53">
        <f t="shared" si="3"/>
        <v>0</v>
      </c>
      <c r="AR53">
        <f t="shared" si="4"/>
        <v>0</v>
      </c>
      <c r="AS53">
        <f t="shared" si="5"/>
        <v>0</v>
      </c>
      <c r="AT53">
        <f t="shared" si="6"/>
        <v>0</v>
      </c>
      <c r="AU53">
        <f t="shared" si="7"/>
        <v>0</v>
      </c>
      <c r="AV53">
        <f t="shared" si="46"/>
        <v>0</v>
      </c>
      <c r="AW53">
        <f t="shared" si="47"/>
        <v>0</v>
      </c>
      <c r="AX53">
        <f t="shared" si="48"/>
        <v>0</v>
      </c>
    </row>
    <row r="54">
      <c r="A54">
        <f>项目档案!$B$55&amp;""</f>
      </c>
      <c r="B54">
        <f t="shared" si="8"/>
        <v>0</v>
      </c>
      <c r="C54">
        <f t="shared" si="9"/>
        <v>0</v>
      </c>
      <c r="D54">
        <f t="shared" si="10"/>
        <v>0</v>
      </c>
      <c r="E54">
        <f t="shared" si="11"/>
        <v>0</v>
      </c>
      <c r="F54">
        <f t="shared" si="12"/>
        <v>0</v>
      </c>
      <c r="G54">
        <f t="shared" si="13"/>
        <v>0</v>
      </c>
      <c r="H54">
        <f t="shared" si="14"/>
        <v>0</v>
      </c>
      <c r="I54">
        <f t="shared" si="15"/>
        <v>0</v>
      </c>
      <c r="J54">
        <f t="shared" si="16"/>
        <v>0</v>
      </c>
      <c r="K54">
        <f t="shared" si="17"/>
        <v>0</v>
      </c>
      <c r="L54">
        <f t="shared" si="18"/>
        <v>0</v>
      </c>
      <c r="M54">
        <f t="shared" si="19"/>
        <v>0</v>
      </c>
      <c r="N54">
        <f t="shared" si="20"/>
        <v>0</v>
      </c>
      <c r="O54">
        <f t="shared" si="21"/>
        <v>0</v>
      </c>
      <c r="P54">
        <f t="shared" si="22"/>
        <v>0</v>
      </c>
      <c r="Q54">
        <f t="shared" si="23"/>
        <v>0</v>
      </c>
      <c r="R54">
        <f t="shared" si="24"/>
        <v>0</v>
      </c>
      <c r="S54">
        <f t="shared" si="25"/>
        <v>0</v>
      </c>
      <c r="T54">
        <f t="shared" si="26"/>
        <v>0</v>
      </c>
      <c r="U54">
        <f t="shared" si="27"/>
        <v>0</v>
      </c>
      <c r="V54">
        <f t="shared" si="28"/>
        <v>0</v>
      </c>
      <c r="W54">
        <f t="shared" si="29"/>
        <v>0</v>
      </c>
      <c r="X54">
        <f t="shared" si="30"/>
        <v>0</v>
      </c>
      <c r="Y54">
        <f t="shared" si="31"/>
        <v>0</v>
      </c>
      <c r="Z54">
        <f t="shared" si="32"/>
        <v>0</v>
      </c>
      <c r="AA54">
        <f t="shared" si="33"/>
        <v>0</v>
      </c>
      <c r="AB54">
        <f t="shared" si="34"/>
        <v>0</v>
      </c>
      <c r="AC54">
        <f t="shared" si="35"/>
        <v>0</v>
      </c>
      <c r="AD54">
        <f t="shared" si="36"/>
        <v>0</v>
      </c>
      <c r="AE54">
        <f t="shared" si="37"/>
        <v>0</v>
      </c>
      <c r="AF54">
        <f t="shared" si="38"/>
        <v>0</v>
      </c>
      <c r="AG54">
        <f t="shared" si="39"/>
        <v>0</v>
      </c>
      <c r="AH54">
        <f t="shared" si="40"/>
        <v>0</v>
      </c>
      <c r="AI54">
        <f t="shared" si="41"/>
        <v>0</v>
      </c>
      <c r="AJ54">
        <f t="shared" si="42"/>
        <v>0</v>
      </c>
      <c r="AK54">
        <f t="shared" si="43"/>
        <v>0</v>
      </c>
      <c r="AL54">
        <f t="shared" si="44"/>
        <v>0</v>
      </c>
      <c r="AM54">
        <f t="shared" si="45"/>
        <v>0</v>
      </c>
      <c r="AN54">
        <f t="shared" si="0"/>
        <v>0</v>
      </c>
      <c r="AO54">
        <f t="shared" si="1"/>
        <v>0</v>
      </c>
      <c r="AP54">
        <f t="shared" si="2"/>
        <v>0</v>
      </c>
      <c r="AQ54">
        <f t="shared" si="3"/>
        <v>0</v>
      </c>
      <c r="AR54">
        <f t="shared" si="4"/>
        <v>0</v>
      </c>
      <c r="AS54">
        <f t="shared" si="5"/>
        <v>0</v>
      </c>
      <c r="AT54">
        <f t="shared" si="6"/>
        <v>0</v>
      </c>
      <c r="AU54">
        <f t="shared" si="7"/>
        <v>0</v>
      </c>
      <c r="AV54">
        <f t="shared" si="46"/>
        <v>0</v>
      </c>
      <c r="AW54">
        <f t="shared" si="47"/>
        <v>0</v>
      </c>
      <c r="AX54">
        <f t="shared" si="48"/>
        <v>0</v>
      </c>
    </row>
    <row r="55">
      <c r="A55">
        <f>项目档案!$B$56&amp;""</f>
      </c>
      <c r="B55">
        <f t="shared" si="8"/>
        <v>0</v>
      </c>
      <c r="C55">
        <f t="shared" si="9"/>
        <v>0</v>
      </c>
      <c r="D55">
        <f t="shared" si="10"/>
        <v>0</v>
      </c>
      <c r="E55">
        <f t="shared" si="11"/>
        <v>0</v>
      </c>
      <c r="F55">
        <f t="shared" si="12"/>
        <v>0</v>
      </c>
      <c r="G55">
        <f t="shared" si="13"/>
        <v>0</v>
      </c>
      <c r="H55">
        <f t="shared" si="14"/>
        <v>0</v>
      </c>
      <c r="I55">
        <f t="shared" si="15"/>
        <v>0</v>
      </c>
      <c r="J55">
        <f t="shared" si="16"/>
        <v>0</v>
      </c>
      <c r="K55">
        <f t="shared" si="17"/>
        <v>0</v>
      </c>
      <c r="L55">
        <f t="shared" si="18"/>
        <v>0</v>
      </c>
      <c r="M55">
        <f t="shared" si="19"/>
        <v>0</v>
      </c>
      <c r="N55">
        <f t="shared" si="20"/>
        <v>0</v>
      </c>
      <c r="O55">
        <f t="shared" si="21"/>
        <v>0</v>
      </c>
      <c r="P55">
        <f t="shared" si="22"/>
        <v>0</v>
      </c>
      <c r="Q55">
        <f t="shared" si="23"/>
        <v>0</v>
      </c>
      <c r="R55">
        <f t="shared" si="24"/>
        <v>0</v>
      </c>
      <c r="S55">
        <f t="shared" si="25"/>
        <v>0</v>
      </c>
      <c r="T55">
        <f t="shared" si="26"/>
        <v>0</v>
      </c>
      <c r="U55">
        <f t="shared" si="27"/>
        <v>0</v>
      </c>
      <c r="V55">
        <f t="shared" si="28"/>
        <v>0</v>
      </c>
      <c r="W55">
        <f t="shared" si="29"/>
        <v>0</v>
      </c>
      <c r="X55">
        <f t="shared" si="30"/>
        <v>0</v>
      </c>
      <c r="Y55">
        <f t="shared" si="31"/>
        <v>0</v>
      </c>
      <c r="Z55">
        <f t="shared" si="32"/>
        <v>0</v>
      </c>
      <c r="AA55">
        <f t="shared" si="33"/>
        <v>0</v>
      </c>
      <c r="AB55">
        <f t="shared" si="34"/>
        <v>0</v>
      </c>
      <c r="AC55">
        <f t="shared" si="35"/>
        <v>0</v>
      </c>
      <c r="AD55">
        <f t="shared" si="36"/>
        <v>0</v>
      </c>
      <c r="AE55">
        <f t="shared" si="37"/>
        <v>0</v>
      </c>
      <c r="AF55">
        <f t="shared" si="38"/>
        <v>0</v>
      </c>
      <c r="AG55">
        <f t="shared" si="39"/>
        <v>0</v>
      </c>
      <c r="AH55">
        <f t="shared" si="40"/>
        <v>0</v>
      </c>
      <c r="AI55">
        <f t="shared" si="41"/>
        <v>0</v>
      </c>
      <c r="AJ55">
        <f t="shared" si="42"/>
        <v>0</v>
      </c>
      <c r="AK55">
        <f t="shared" si="43"/>
        <v>0</v>
      </c>
      <c r="AL55">
        <f t="shared" si="44"/>
        <v>0</v>
      </c>
      <c r="AM55">
        <f t="shared" si="45"/>
        <v>0</v>
      </c>
      <c r="AN55">
        <f t="shared" si="0"/>
        <v>0</v>
      </c>
      <c r="AO55">
        <f t="shared" si="1"/>
        <v>0</v>
      </c>
      <c r="AP55">
        <f t="shared" si="2"/>
        <v>0</v>
      </c>
      <c r="AQ55">
        <f t="shared" si="3"/>
        <v>0</v>
      </c>
      <c r="AR55">
        <f t="shared" si="4"/>
        <v>0</v>
      </c>
      <c r="AS55">
        <f t="shared" si="5"/>
        <v>0</v>
      </c>
      <c r="AT55">
        <f t="shared" si="6"/>
        <v>0</v>
      </c>
      <c r="AU55">
        <f t="shared" si="7"/>
        <v>0</v>
      </c>
      <c r="AV55">
        <f t="shared" si="46"/>
        <v>0</v>
      </c>
      <c r="AW55">
        <f t="shared" si="47"/>
        <v>0</v>
      </c>
      <c r="AX55">
        <f t="shared" si="48"/>
        <v>0</v>
      </c>
    </row>
    <row r="56">
      <c r="A56">
        <f>项目档案!$B$57&amp;""</f>
      </c>
      <c r="B56">
        <f t="shared" si="8"/>
        <v>0</v>
      </c>
      <c r="C56">
        <f t="shared" si="9"/>
        <v>0</v>
      </c>
      <c r="D56">
        <f t="shared" si="10"/>
        <v>0</v>
      </c>
      <c r="E56">
        <f t="shared" si="11"/>
        <v>0</v>
      </c>
      <c r="F56">
        <f t="shared" si="12"/>
        <v>0</v>
      </c>
      <c r="G56">
        <f t="shared" si="13"/>
        <v>0</v>
      </c>
      <c r="H56">
        <f t="shared" si="14"/>
        <v>0</v>
      </c>
      <c r="I56">
        <f t="shared" si="15"/>
        <v>0</v>
      </c>
      <c r="J56">
        <f t="shared" si="16"/>
        <v>0</v>
      </c>
      <c r="K56">
        <f t="shared" si="17"/>
        <v>0</v>
      </c>
      <c r="L56">
        <f t="shared" si="18"/>
        <v>0</v>
      </c>
      <c r="M56">
        <f t="shared" si="19"/>
        <v>0</v>
      </c>
      <c r="N56">
        <f t="shared" si="20"/>
        <v>0</v>
      </c>
      <c r="O56">
        <f t="shared" si="21"/>
        <v>0</v>
      </c>
      <c r="P56">
        <f t="shared" si="22"/>
        <v>0</v>
      </c>
      <c r="Q56">
        <f t="shared" si="23"/>
        <v>0</v>
      </c>
      <c r="R56">
        <f t="shared" si="24"/>
        <v>0</v>
      </c>
      <c r="S56">
        <f t="shared" si="25"/>
        <v>0</v>
      </c>
      <c r="T56">
        <f t="shared" si="26"/>
        <v>0</v>
      </c>
      <c r="U56">
        <f t="shared" si="27"/>
        <v>0</v>
      </c>
      <c r="V56">
        <f t="shared" si="28"/>
        <v>0</v>
      </c>
      <c r="W56">
        <f t="shared" si="29"/>
        <v>0</v>
      </c>
      <c r="X56">
        <f t="shared" si="30"/>
        <v>0</v>
      </c>
      <c r="Y56">
        <f t="shared" si="31"/>
        <v>0</v>
      </c>
      <c r="Z56">
        <f t="shared" si="32"/>
        <v>0</v>
      </c>
      <c r="AA56">
        <f t="shared" si="33"/>
        <v>0</v>
      </c>
      <c r="AB56">
        <f t="shared" si="34"/>
        <v>0</v>
      </c>
      <c r="AC56">
        <f t="shared" si="35"/>
        <v>0</v>
      </c>
      <c r="AD56">
        <f t="shared" si="36"/>
        <v>0</v>
      </c>
      <c r="AE56">
        <f t="shared" si="37"/>
        <v>0</v>
      </c>
      <c r="AF56">
        <f t="shared" si="38"/>
        <v>0</v>
      </c>
      <c r="AG56">
        <f t="shared" si="39"/>
        <v>0</v>
      </c>
      <c r="AH56">
        <f t="shared" si="40"/>
        <v>0</v>
      </c>
      <c r="AI56">
        <f t="shared" si="41"/>
        <v>0</v>
      </c>
      <c r="AJ56">
        <f t="shared" si="42"/>
        <v>0</v>
      </c>
      <c r="AK56">
        <f t="shared" si="43"/>
        <v>0</v>
      </c>
      <c r="AL56">
        <f t="shared" si="44"/>
        <v>0</v>
      </c>
      <c r="AM56">
        <f t="shared" si="45"/>
        <v>0</v>
      </c>
      <c r="AN56">
        <f t="shared" si="0"/>
        <v>0</v>
      </c>
      <c r="AO56">
        <f t="shared" si="1"/>
        <v>0</v>
      </c>
      <c r="AP56">
        <f t="shared" si="2"/>
        <v>0</v>
      </c>
      <c r="AQ56">
        <f t="shared" si="3"/>
        <v>0</v>
      </c>
      <c r="AR56">
        <f t="shared" si="4"/>
        <v>0</v>
      </c>
      <c r="AS56">
        <f t="shared" si="5"/>
        <v>0</v>
      </c>
      <c r="AT56">
        <f t="shared" si="6"/>
        <v>0</v>
      </c>
      <c r="AU56">
        <f t="shared" si="7"/>
        <v>0</v>
      </c>
      <c r="AV56">
        <f t="shared" si="46"/>
        <v>0</v>
      </c>
      <c r="AW56">
        <f t="shared" si="47"/>
        <v>0</v>
      </c>
      <c r="AX56">
        <f t="shared" si="48"/>
        <v>0</v>
      </c>
    </row>
    <row r="57">
      <c r="A57">
        <f>项目档案!$B$58&amp;""</f>
      </c>
      <c r="B57">
        <f t="shared" si="8"/>
        <v>0</v>
      </c>
      <c r="C57">
        <f t="shared" si="9"/>
        <v>0</v>
      </c>
      <c r="D57">
        <f t="shared" si="10"/>
        <v>0</v>
      </c>
      <c r="E57">
        <f t="shared" si="11"/>
        <v>0</v>
      </c>
      <c r="F57">
        <f t="shared" si="12"/>
        <v>0</v>
      </c>
      <c r="G57">
        <f t="shared" si="13"/>
        <v>0</v>
      </c>
      <c r="H57">
        <f t="shared" si="14"/>
        <v>0</v>
      </c>
      <c r="I57">
        <f t="shared" si="15"/>
        <v>0</v>
      </c>
      <c r="J57">
        <f t="shared" si="16"/>
        <v>0</v>
      </c>
      <c r="K57">
        <f t="shared" si="17"/>
        <v>0</v>
      </c>
      <c r="L57">
        <f t="shared" si="18"/>
        <v>0</v>
      </c>
      <c r="M57">
        <f t="shared" si="19"/>
        <v>0</v>
      </c>
      <c r="N57">
        <f t="shared" si="20"/>
        <v>0</v>
      </c>
      <c r="O57">
        <f t="shared" si="21"/>
        <v>0</v>
      </c>
      <c r="P57">
        <f t="shared" si="22"/>
        <v>0</v>
      </c>
      <c r="Q57">
        <f t="shared" si="23"/>
        <v>0</v>
      </c>
      <c r="R57">
        <f t="shared" si="24"/>
        <v>0</v>
      </c>
      <c r="S57">
        <f t="shared" si="25"/>
        <v>0</v>
      </c>
      <c r="T57">
        <f t="shared" si="26"/>
        <v>0</v>
      </c>
      <c r="U57">
        <f t="shared" si="27"/>
        <v>0</v>
      </c>
      <c r="V57">
        <f t="shared" si="28"/>
        <v>0</v>
      </c>
      <c r="W57">
        <f t="shared" si="29"/>
        <v>0</v>
      </c>
      <c r="X57">
        <f t="shared" si="30"/>
        <v>0</v>
      </c>
      <c r="Y57">
        <f t="shared" si="31"/>
        <v>0</v>
      </c>
      <c r="Z57">
        <f t="shared" si="32"/>
        <v>0</v>
      </c>
      <c r="AA57">
        <f t="shared" si="33"/>
        <v>0</v>
      </c>
      <c r="AB57">
        <f t="shared" si="34"/>
        <v>0</v>
      </c>
      <c r="AC57">
        <f t="shared" si="35"/>
        <v>0</v>
      </c>
      <c r="AD57">
        <f t="shared" si="36"/>
        <v>0</v>
      </c>
      <c r="AE57">
        <f t="shared" si="37"/>
        <v>0</v>
      </c>
      <c r="AF57">
        <f t="shared" si="38"/>
        <v>0</v>
      </c>
      <c r="AG57">
        <f t="shared" si="39"/>
        <v>0</v>
      </c>
      <c r="AH57">
        <f t="shared" si="40"/>
        <v>0</v>
      </c>
      <c r="AI57">
        <f t="shared" si="41"/>
        <v>0</v>
      </c>
      <c r="AJ57">
        <f t="shared" si="42"/>
        <v>0</v>
      </c>
      <c r="AK57">
        <f t="shared" si="43"/>
        <v>0</v>
      </c>
      <c r="AL57">
        <f t="shared" si="44"/>
        <v>0</v>
      </c>
      <c r="AM57">
        <f t="shared" si="45"/>
        <v>0</v>
      </c>
      <c r="AN57">
        <f t="shared" si="0"/>
        <v>0</v>
      </c>
      <c r="AO57">
        <f t="shared" si="1"/>
        <v>0</v>
      </c>
      <c r="AP57">
        <f t="shared" si="2"/>
        <v>0</v>
      </c>
      <c r="AQ57">
        <f t="shared" si="3"/>
        <v>0</v>
      </c>
      <c r="AR57">
        <f t="shared" si="4"/>
        <v>0</v>
      </c>
      <c r="AS57">
        <f t="shared" si="5"/>
        <v>0</v>
      </c>
      <c r="AT57">
        <f t="shared" si="6"/>
        <v>0</v>
      </c>
      <c r="AU57">
        <f t="shared" si="7"/>
        <v>0</v>
      </c>
      <c r="AV57">
        <f t="shared" si="46"/>
        <v>0</v>
      </c>
      <c r="AW57">
        <f t="shared" si="47"/>
        <v>0</v>
      </c>
      <c r="AX57">
        <f t="shared" si="48"/>
        <v>0</v>
      </c>
    </row>
    <row r="58">
      <c r="A58">
        <f>项目档案!$B$59&amp;""</f>
      </c>
      <c r="B58">
        <f t="shared" si="8"/>
        <v>0</v>
      </c>
      <c r="C58">
        <f t="shared" si="9"/>
        <v>0</v>
      </c>
      <c r="D58">
        <f t="shared" si="10"/>
        <v>0</v>
      </c>
      <c r="E58">
        <f t="shared" si="11"/>
        <v>0</v>
      </c>
      <c r="F58">
        <f t="shared" si="12"/>
        <v>0</v>
      </c>
      <c r="G58">
        <f t="shared" si="13"/>
        <v>0</v>
      </c>
      <c r="H58">
        <f t="shared" si="14"/>
        <v>0</v>
      </c>
      <c r="I58">
        <f t="shared" si="15"/>
        <v>0</v>
      </c>
      <c r="J58">
        <f t="shared" si="16"/>
        <v>0</v>
      </c>
      <c r="K58">
        <f t="shared" si="17"/>
        <v>0</v>
      </c>
      <c r="L58">
        <f t="shared" si="18"/>
        <v>0</v>
      </c>
      <c r="M58">
        <f t="shared" si="19"/>
        <v>0</v>
      </c>
      <c r="N58">
        <f t="shared" si="20"/>
        <v>0</v>
      </c>
      <c r="O58">
        <f t="shared" si="21"/>
        <v>0</v>
      </c>
      <c r="P58">
        <f t="shared" si="22"/>
        <v>0</v>
      </c>
      <c r="Q58">
        <f t="shared" si="23"/>
        <v>0</v>
      </c>
      <c r="R58">
        <f t="shared" si="24"/>
        <v>0</v>
      </c>
      <c r="S58">
        <f t="shared" si="25"/>
        <v>0</v>
      </c>
      <c r="T58">
        <f t="shared" si="26"/>
        <v>0</v>
      </c>
      <c r="U58">
        <f t="shared" si="27"/>
        <v>0</v>
      </c>
      <c r="V58">
        <f t="shared" si="28"/>
        <v>0</v>
      </c>
      <c r="W58">
        <f t="shared" si="29"/>
        <v>0</v>
      </c>
      <c r="X58">
        <f t="shared" si="30"/>
        <v>0</v>
      </c>
      <c r="Y58">
        <f t="shared" si="31"/>
        <v>0</v>
      </c>
      <c r="Z58">
        <f t="shared" si="32"/>
        <v>0</v>
      </c>
      <c r="AA58">
        <f t="shared" si="33"/>
        <v>0</v>
      </c>
      <c r="AB58">
        <f t="shared" si="34"/>
        <v>0</v>
      </c>
      <c r="AC58">
        <f t="shared" si="35"/>
        <v>0</v>
      </c>
      <c r="AD58">
        <f t="shared" si="36"/>
        <v>0</v>
      </c>
      <c r="AE58">
        <f t="shared" si="37"/>
        <v>0</v>
      </c>
      <c r="AF58">
        <f t="shared" si="38"/>
        <v>0</v>
      </c>
      <c r="AG58">
        <f t="shared" si="39"/>
        <v>0</v>
      </c>
      <c r="AH58">
        <f t="shared" si="40"/>
        <v>0</v>
      </c>
      <c r="AI58">
        <f t="shared" si="41"/>
        <v>0</v>
      </c>
      <c r="AJ58">
        <f t="shared" si="42"/>
        <v>0</v>
      </c>
      <c r="AK58">
        <f t="shared" si="43"/>
        <v>0</v>
      </c>
      <c r="AL58">
        <f t="shared" si="44"/>
        <v>0</v>
      </c>
      <c r="AM58">
        <f t="shared" si="45"/>
        <v>0</v>
      </c>
      <c r="AN58">
        <f t="shared" si="0"/>
        <v>0</v>
      </c>
      <c r="AO58">
        <f t="shared" si="1"/>
        <v>0</v>
      </c>
      <c r="AP58">
        <f t="shared" si="2"/>
        <v>0</v>
      </c>
      <c r="AQ58">
        <f t="shared" si="3"/>
        <v>0</v>
      </c>
      <c r="AR58">
        <f t="shared" si="4"/>
        <v>0</v>
      </c>
      <c r="AS58">
        <f t="shared" si="5"/>
        <v>0</v>
      </c>
      <c r="AT58">
        <f t="shared" si="6"/>
        <v>0</v>
      </c>
      <c r="AU58">
        <f t="shared" si="7"/>
        <v>0</v>
      </c>
      <c r="AV58">
        <f t="shared" si="46"/>
        <v>0</v>
      </c>
      <c r="AW58">
        <f t="shared" si="47"/>
        <v>0</v>
      </c>
      <c r="AX58">
        <f t="shared" si="48"/>
        <v>0</v>
      </c>
    </row>
    <row r="59">
      <c r="A59">
        <f>项目档案!$B$60&amp;""</f>
      </c>
      <c r="B59">
        <f t="shared" si="8"/>
        <v>0</v>
      </c>
      <c r="C59">
        <f t="shared" si="9"/>
        <v>0</v>
      </c>
      <c r="D59">
        <f t="shared" si="10"/>
        <v>0</v>
      </c>
      <c r="E59">
        <f t="shared" si="11"/>
        <v>0</v>
      </c>
      <c r="F59">
        <f t="shared" si="12"/>
        <v>0</v>
      </c>
      <c r="G59">
        <f t="shared" si="13"/>
        <v>0</v>
      </c>
      <c r="H59">
        <f t="shared" si="14"/>
        <v>0</v>
      </c>
      <c r="I59">
        <f t="shared" si="15"/>
        <v>0</v>
      </c>
      <c r="J59">
        <f t="shared" si="16"/>
        <v>0</v>
      </c>
      <c r="K59">
        <f t="shared" si="17"/>
        <v>0</v>
      </c>
      <c r="L59">
        <f t="shared" si="18"/>
        <v>0</v>
      </c>
      <c r="M59">
        <f t="shared" si="19"/>
        <v>0</v>
      </c>
      <c r="N59">
        <f t="shared" si="20"/>
        <v>0</v>
      </c>
      <c r="O59">
        <f t="shared" si="21"/>
        <v>0</v>
      </c>
      <c r="P59">
        <f t="shared" si="22"/>
        <v>0</v>
      </c>
      <c r="Q59">
        <f t="shared" si="23"/>
        <v>0</v>
      </c>
      <c r="R59">
        <f t="shared" si="24"/>
        <v>0</v>
      </c>
      <c r="S59">
        <f t="shared" si="25"/>
        <v>0</v>
      </c>
      <c r="T59">
        <f t="shared" si="26"/>
        <v>0</v>
      </c>
      <c r="U59">
        <f t="shared" si="27"/>
        <v>0</v>
      </c>
      <c r="V59">
        <f t="shared" si="28"/>
        <v>0</v>
      </c>
      <c r="W59">
        <f t="shared" si="29"/>
        <v>0</v>
      </c>
      <c r="X59">
        <f t="shared" si="30"/>
        <v>0</v>
      </c>
      <c r="Y59">
        <f t="shared" si="31"/>
        <v>0</v>
      </c>
      <c r="Z59">
        <f t="shared" si="32"/>
        <v>0</v>
      </c>
      <c r="AA59">
        <f t="shared" si="33"/>
        <v>0</v>
      </c>
      <c r="AB59">
        <f t="shared" si="34"/>
        <v>0</v>
      </c>
      <c r="AC59">
        <f t="shared" si="35"/>
        <v>0</v>
      </c>
      <c r="AD59">
        <f t="shared" si="36"/>
        <v>0</v>
      </c>
      <c r="AE59">
        <f t="shared" si="37"/>
        <v>0</v>
      </c>
      <c r="AF59">
        <f t="shared" si="38"/>
        <v>0</v>
      </c>
      <c r="AG59">
        <f t="shared" si="39"/>
        <v>0</v>
      </c>
      <c r="AH59">
        <f t="shared" si="40"/>
        <v>0</v>
      </c>
      <c r="AI59">
        <f t="shared" si="41"/>
        <v>0</v>
      </c>
      <c r="AJ59">
        <f t="shared" si="42"/>
        <v>0</v>
      </c>
      <c r="AK59">
        <f t="shared" si="43"/>
        <v>0</v>
      </c>
      <c r="AL59">
        <f t="shared" si="44"/>
        <v>0</v>
      </c>
      <c r="AM59">
        <f t="shared" si="45"/>
        <v>0</v>
      </c>
      <c r="AN59">
        <f t="shared" si="0"/>
        <v>0</v>
      </c>
      <c r="AO59">
        <f t="shared" si="1"/>
        <v>0</v>
      </c>
      <c r="AP59">
        <f t="shared" si="2"/>
        <v>0</v>
      </c>
      <c r="AQ59">
        <f t="shared" si="3"/>
        <v>0</v>
      </c>
      <c r="AR59">
        <f t="shared" si="4"/>
        <v>0</v>
      </c>
      <c r="AS59">
        <f t="shared" si="5"/>
        <v>0</v>
      </c>
      <c r="AT59">
        <f t="shared" si="6"/>
        <v>0</v>
      </c>
      <c r="AU59">
        <f t="shared" si="7"/>
        <v>0</v>
      </c>
      <c r="AV59">
        <f t="shared" si="46"/>
        <v>0</v>
      </c>
      <c r="AW59">
        <f t="shared" si="47"/>
        <v>0</v>
      </c>
      <c r="AX59">
        <f t="shared" si="48"/>
        <v>0</v>
      </c>
    </row>
    <row r="60">
      <c r="A60">
        <f>项目档案!$B$61&amp;""</f>
      </c>
      <c r="B60">
        <f t="shared" si="8"/>
        <v>0</v>
      </c>
      <c r="C60">
        <f t="shared" si="9"/>
        <v>0</v>
      </c>
      <c r="D60">
        <f t="shared" si="10"/>
        <v>0</v>
      </c>
      <c r="E60">
        <f t="shared" si="11"/>
        <v>0</v>
      </c>
      <c r="F60">
        <f t="shared" si="12"/>
        <v>0</v>
      </c>
      <c r="G60">
        <f t="shared" si="13"/>
        <v>0</v>
      </c>
      <c r="H60">
        <f t="shared" si="14"/>
        <v>0</v>
      </c>
      <c r="I60">
        <f t="shared" si="15"/>
        <v>0</v>
      </c>
      <c r="J60">
        <f t="shared" si="16"/>
        <v>0</v>
      </c>
      <c r="K60">
        <f t="shared" si="17"/>
        <v>0</v>
      </c>
      <c r="L60">
        <f t="shared" si="18"/>
        <v>0</v>
      </c>
      <c r="M60">
        <f t="shared" si="19"/>
        <v>0</v>
      </c>
      <c r="N60">
        <f t="shared" si="20"/>
        <v>0</v>
      </c>
      <c r="O60">
        <f t="shared" si="21"/>
        <v>0</v>
      </c>
      <c r="P60">
        <f t="shared" si="22"/>
        <v>0</v>
      </c>
      <c r="Q60">
        <f t="shared" si="23"/>
        <v>0</v>
      </c>
      <c r="R60">
        <f t="shared" si="24"/>
        <v>0</v>
      </c>
      <c r="S60">
        <f t="shared" si="25"/>
        <v>0</v>
      </c>
      <c r="T60">
        <f t="shared" si="26"/>
        <v>0</v>
      </c>
      <c r="U60">
        <f t="shared" si="27"/>
        <v>0</v>
      </c>
      <c r="V60">
        <f t="shared" si="28"/>
        <v>0</v>
      </c>
      <c r="W60">
        <f t="shared" si="29"/>
        <v>0</v>
      </c>
      <c r="X60">
        <f t="shared" si="30"/>
        <v>0</v>
      </c>
      <c r="Y60">
        <f t="shared" si="31"/>
        <v>0</v>
      </c>
      <c r="Z60">
        <f t="shared" si="32"/>
        <v>0</v>
      </c>
      <c r="AA60">
        <f t="shared" si="33"/>
        <v>0</v>
      </c>
      <c r="AB60">
        <f t="shared" si="34"/>
        <v>0</v>
      </c>
      <c r="AC60">
        <f t="shared" si="35"/>
        <v>0</v>
      </c>
      <c r="AD60">
        <f t="shared" si="36"/>
        <v>0</v>
      </c>
      <c r="AE60">
        <f t="shared" si="37"/>
        <v>0</v>
      </c>
      <c r="AF60">
        <f t="shared" si="38"/>
        <v>0</v>
      </c>
      <c r="AG60">
        <f t="shared" si="39"/>
        <v>0</v>
      </c>
      <c r="AH60">
        <f t="shared" si="40"/>
        <v>0</v>
      </c>
      <c r="AI60">
        <f t="shared" si="41"/>
        <v>0</v>
      </c>
      <c r="AJ60">
        <f t="shared" si="42"/>
        <v>0</v>
      </c>
      <c r="AK60">
        <f t="shared" si="43"/>
        <v>0</v>
      </c>
      <c r="AL60">
        <f t="shared" si="44"/>
        <v>0</v>
      </c>
      <c r="AM60">
        <f t="shared" si="45"/>
        <v>0</v>
      </c>
      <c r="AN60">
        <f t="shared" si="0"/>
        <v>0</v>
      </c>
      <c r="AO60">
        <f t="shared" si="1"/>
        <v>0</v>
      </c>
      <c r="AP60">
        <f t="shared" si="2"/>
        <v>0</v>
      </c>
      <c r="AQ60">
        <f t="shared" si="3"/>
        <v>0</v>
      </c>
      <c r="AR60">
        <f t="shared" si="4"/>
        <v>0</v>
      </c>
      <c r="AS60">
        <f t="shared" si="5"/>
        <v>0</v>
      </c>
      <c r="AT60">
        <f t="shared" si="6"/>
        <v>0</v>
      </c>
      <c r="AU60">
        <f t="shared" si="7"/>
        <v>0</v>
      </c>
      <c r="AV60">
        <f t="shared" si="46"/>
        <v>0</v>
      </c>
      <c r="AW60">
        <f t="shared" si="47"/>
        <v>0</v>
      </c>
      <c r="AX60">
        <f t="shared" si="48"/>
        <v>0</v>
      </c>
    </row>
    <row r="61">
      <c r="A61">
        <f>项目档案!$B$62&amp;""</f>
      </c>
      <c r="B61">
        <f t="shared" si="8"/>
        <v>0</v>
      </c>
      <c r="C61">
        <f t="shared" si="9"/>
        <v>0</v>
      </c>
      <c r="D61">
        <f t="shared" si="10"/>
        <v>0</v>
      </c>
      <c r="E61">
        <f t="shared" si="11"/>
        <v>0</v>
      </c>
      <c r="F61">
        <f t="shared" si="12"/>
        <v>0</v>
      </c>
      <c r="G61">
        <f t="shared" si="13"/>
        <v>0</v>
      </c>
      <c r="H61">
        <f t="shared" si="14"/>
        <v>0</v>
      </c>
      <c r="I61">
        <f t="shared" si="15"/>
        <v>0</v>
      </c>
      <c r="J61">
        <f t="shared" si="16"/>
        <v>0</v>
      </c>
      <c r="K61">
        <f t="shared" si="17"/>
        <v>0</v>
      </c>
      <c r="L61">
        <f t="shared" si="18"/>
        <v>0</v>
      </c>
      <c r="M61">
        <f t="shared" si="19"/>
        <v>0</v>
      </c>
      <c r="N61">
        <f t="shared" si="20"/>
        <v>0</v>
      </c>
      <c r="O61">
        <f t="shared" si="21"/>
        <v>0</v>
      </c>
      <c r="P61">
        <f t="shared" si="22"/>
        <v>0</v>
      </c>
      <c r="Q61">
        <f t="shared" si="23"/>
        <v>0</v>
      </c>
      <c r="R61">
        <f t="shared" si="24"/>
        <v>0</v>
      </c>
      <c r="S61">
        <f t="shared" si="25"/>
        <v>0</v>
      </c>
      <c r="T61">
        <f t="shared" si="26"/>
        <v>0</v>
      </c>
      <c r="U61">
        <f t="shared" si="27"/>
        <v>0</v>
      </c>
      <c r="V61">
        <f t="shared" si="28"/>
        <v>0</v>
      </c>
      <c r="W61">
        <f t="shared" si="29"/>
        <v>0</v>
      </c>
      <c r="X61">
        <f t="shared" si="30"/>
        <v>0</v>
      </c>
      <c r="Y61">
        <f t="shared" si="31"/>
        <v>0</v>
      </c>
      <c r="Z61">
        <f t="shared" si="32"/>
        <v>0</v>
      </c>
      <c r="AA61">
        <f t="shared" si="33"/>
        <v>0</v>
      </c>
      <c r="AB61">
        <f t="shared" si="34"/>
        <v>0</v>
      </c>
      <c r="AC61">
        <f t="shared" si="35"/>
        <v>0</v>
      </c>
      <c r="AD61">
        <f t="shared" si="36"/>
        <v>0</v>
      </c>
      <c r="AE61">
        <f t="shared" si="37"/>
        <v>0</v>
      </c>
      <c r="AF61">
        <f t="shared" si="38"/>
        <v>0</v>
      </c>
      <c r="AG61">
        <f t="shared" si="39"/>
        <v>0</v>
      </c>
      <c r="AH61">
        <f t="shared" si="40"/>
        <v>0</v>
      </c>
      <c r="AI61">
        <f t="shared" si="41"/>
        <v>0</v>
      </c>
      <c r="AJ61">
        <f t="shared" si="42"/>
        <v>0</v>
      </c>
      <c r="AK61">
        <f t="shared" si="43"/>
        <v>0</v>
      </c>
      <c r="AL61">
        <f t="shared" si="44"/>
        <v>0</v>
      </c>
      <c r="AM61">
        <f t="shared" si="45"/>
        <v>0</v>
      </c>
      <c r="AN61">
        <f t="shared" si="0"/>
        <v>0</v>
      </c>
      <c r="AO61">
        <f t="shared" si="1"/>
        <v>0</v>
      </c>
      <c r="AP61">
        <f t="shared" si="2"/>
        <v>0</v>
      </c>
      <c r="AQ61">
        <f t="shared" si="3"/>
        <v>0</v>
      </c>
      <c r="AR61">
        <f t="shared" si="4"/>
        <v>0</v>
      </c>
      <c r="AS61">
        <f t="shared" si="5"/>
        <v>0</v>
      </c>
      <c r="AT61">
        <f t="shared" si="6"/>
        <v>0</v>
      </c>
      <c r="AU61">
        <f t="shared" si="7"/>
        <v>0</v>
      </c>
      <c r="AV61">
        <f t="shared" si="46"/>
        <v>0</v>
      </c>
      <c r="AW61">
        <f t="shared" si="47"/>
        <v>0</v>
      </c>
      <c r="AX61">
        <f t="shared" si="48"/>
        <v>0</v>
      </c>
    </row>
    <row r="62">
      <c r="A62">
        <f>项目档案!$B$63&amp;""</f>
      </c>
      <c r="B62">
        <f t="shared" si="8"/>
        <v>0</v>
      </c>
      <c r="C62">
        <f t="shared" si="9"/>
        <v>0</v>
      </c>
      <c r="D62">
        <f t="shared" si="10"/>
        <v>0</v>
      </c>
      <c r="E62">
        <f t="shared" si="11"/>
        <v>0</v>
      </c>
      <c r="F62">
        <f t="shared" si="12"/>
        <v>0</v>
      </c>
      <c r="G62">
        <f t="shared" si="13"/>
        <v>0</v>
      </c>
      <c r="H62">
        <f t="shared" si="14"/>
        <v>0</v>
      </c>
      <c r="I62">
        <f t="shared" si="15"/>
        <v>0</v>
      </c>
      <c r="J62">
        <f t="shared" si="16"/>
        <v>0</v>
      </c>
      <c r="K62">
        <f t="shared" si="17"/>
        <v>0</v>
      </c>
      <c r="L62">
        <f t="shared" si="18"/>
        <v>0</v>
      </c>
      <c r="M62">
        <f t="shared" si="19"/>
        <v>0</v>
      </c>
      <c r="N62">
        <f t="shared" si="20"/>
        <v>0</v>
      </c>
      <c r="O62">
        <f t="shared" si="21"/>
        <v>0</v>
      </c>
      <c r="P62">
        <f t="shared" si="22"/>
        <v>0</v>
      </c>
      <c r="Q62">
        <f t="shared" si="23"/>
        <v>0</v>
      </c>
      <c r="R62">
        <f t="shared" si="24"/>
        <v>0</v>
      </c>
      <c r="S62">
        <f t="shared" si="25"/>
        <v>0</v>
      </c>
      <c r="T62">
        <f t="shared" si="26"/>
        <v>0</v>
      </c>
      <c r="U62">
        <f t="shared" si="27"/>
        <v>0</v>
      </c>
      <c r="V62">
        <f t="shared" si="28"/>
        <v>0</v>
      </c>
      <c r="W62">
        <f t="shared" si="29"/>
        <v>0</v>
      </c>
      <c r="X62">
        <f t="shared" si="30"/>
        <v>0</v>
      </c>
      <c r="Y62">
        <f t="shared" si="31"/>
        <v>0</v>
      </c>
      <c r="Z62">
        <f t="shared" si="32"/>
        <v>0</v>
      </c>
      <c r="AA62">
        <f t="shared" si="33"/>
        <v>0</v>
      </c>
      <c r="AB62">
        <f t="shared" si="34"/>
        <v>0</v>
      </c>
      <c r="AC62">
        <f t="shared" si="35"/>
        <v>0</v>
      </c>
      <c r="AD62">
        <f t="shared" si="36"/>
        <v>0</v>
      </c>
      <c r="AE62">
        <f t="shared" si="37"/>
        <v>0</v>
      </c>
      <c r="AF62">
        <f t="shared" si="38"/>
        <v>0</v>
      </c>
      <c r="AG62">
        <f t="shared" si="39"/>
        <v>0</v>
      </c>
      <c r="AH62">
        <f t="shared" si="40"/>
        <v>0</v>
      </c>
      <c r="AI62">
        <f t="shared" si="41"/>
        <v>0</v>
      </c>
      <c r="AJ62">
        <f t="shared" si="42"/>
        <v>0</v>
      </c>
      <c r="AK62">
        <f t="shared" si="43"/>
        <v>0</v>
      </c>
      <c r="AL62">
        <f t="shared" si="44"/>
        <v>0</v>
      </c>
      <c r="AM62">
        <f t="shared" si="45"/>
        <v>0</v>
      </c>
      <c r="AN62">
        <f t="shared" si="0"/>
        <v>0</v>
      </c>
      <c r="AO62">
        <f t="shared" si="1"/>
        <v>0</v>
      </c>
      <c r="AP62">
        <f t="shared" si="2"/>
        <v>0</v>
      </c>
      <c r="AQ62">
        <f t="shared" si="3"/>
        <v>0</v>
      </c>
      <c r="AR62">
        <f t="shared" si="4"/>
        <v>0</v>
      </c>
      <c r="AS62">
        <f t="shared" si="5"/>
        <v>0</v>
      </c>
      <c r="AT62">
        <f t="shared" si="6"/>
        <v>0</v>
      </c>
      <c r="AU62">
        <f t="shared" si="7"/>
        <v>0</v>
      </c>
      <c r="AV62">
        <f t="shared" si="46"/>
        <v>0</v>
      </c>
      <c r="AW62">
        <f t="shared" si="47"/>
        <v>0</v>
      </c>
      <c r="AX62">
        <f t="shared" si="48"/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02"/>
  <sheetViews>
    <sheetView tabSelected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t="inlineStr">
        <is>
          <t>每个单位/人在截止月末和年初的余额、每个账户的余额（取数用，别改）</t>
        </is>
      </c>
    </row>
    <row r="2">
      <c r="A2" t="inlineStr">
        <is>
          <t>名称</t>
        </is>
      </c>
      <c r="B2" t="inlineStr">
        <is>
          <t>类型</t>
        </is>
      </c>
      <c r="C2" t="inlineStr">
        <is>
          <t>应付(截止)</t>
        </is>
      </c>
      <c r="D2" t="inlineStr">
        <is>
          <t>应付(年初)</t>
        </is>
      </c>
      <c r="E2" t="inlineStr">
        <is>
          <t>欠薪(截止)</t>
        </is>
      </c>
      <c r="F2" t="inlineStr">
        <is>
          <t>欠薪(年初)</t>
        </is>
      </c>
      <c r="G2" t="inlineStr">
        <is>
          <t>累计应付</t>
        </is>
      </c>
      <c r="H2" t="inlineStr">
        <is>
          <t>累计已付</t>
        </is>
      </c>
      <c r="I2" t="inlineStr">
        <is>
          <t>累计收票</t>
        </is>
      </c>
      <c r="J2" t="inlineStr">
        <is>
          <t>累计实发应付</t>
        </is>
      </c>
      <c r="K2" t="inlineStr">
        <is>
          <t>累计发放</t>
        </is>
      </c>
      <c r="L2" t="inlineStr">
        <is>
          <t>累计总包代发</t>
        </is>
      </c>
      <c r="M2" t="inlineStr">
        <is>
          <t>累计退回</t>
        </is>
      </c>
      <c r="P2" t="inlineStr">
        <is>
          <t>账户</t>
        </is>
      </c>
      <c r="Q2" t="inlineStr">
        <is>
          <t>类型</t>
        </is>
      </c>
      <c r="R2" t="inlineStr">
        <is>
          <t>个人户主人</t>
        </is>
      </c>
      <c r="S2" t="inlineStr">
        <is>
          <t>余额(截止)</t>
        </is>
      </c>
      <c r="T2" t="inlineStr">
        <is>
          <t>余额(年初)</t>
        </is>
      </c>
    </row>
    <row r="3">
      <c r="A3" t="str">
        <f>往来单位!$B$4&amp;""</f>
        <v>九江浔辉建筑工程有限公司</v>
      </c>
      <c r="B3" t="str">
        <f>往来单位!$C$4&amp;""</f>
        <v>甲方/总包</v>
      </c>
      <c r="C3">
        <f t="shared" ref="C3:C302" si="0">ROUND(G3-H3,2)</f>
        <v>0</v>
      </c>
      <c r="D3">
        <f t="shared" ref="D3:D302" si="1">IF(OR($A3="",NOT(OR($B3="材料供应商",$B3="分包",$B3="机械运输",$B3="其他"))),0,ROUND(SUMIFS(期初余额!$R$5:$R$204,期初余额!$P$5:$P$204,$A3)+SUMIFS(应付登记!$G$5:$G$1004,应付登记!$D$5:$D$1004,$A3,应付登记!$J$5:$J$1004,"&gt;="&amp;_辅助!$J$4,应付登记!$J$5:$J$1004,"&lt;="&amp;_辅助!$J$5)-(SUMIFS(期初余额!$S$5:$S$204,期初余额!$P$5:$P$204,$A3)-SUMIFS(资金流水!$R$6:$R$2005,资金流水!$J$6:$J$2005,$A3,资金流水!$X$6:$X$2005,IF($B3="材料供应商","应付材料款",IF($B3="分包","应付分包款",IF($B3="机械运输","应付机械运输费","应付其他款"))),资金流水!$S$6:$S$2005,"&gt;="&amp;_辅助!$J$4,资金流水!$S$6:$S$2005,"&lt;="&amp;_辅助!$J$5)+SUMIFS(代发抵账!$F$5:$F$304,代发抵账!$E$5:$E$304,$A3,代发抵账!$D$5:$D$304,"总包代付材料分包款",代发抵账!$H$5:$H$304,"&gt;="&amp;_辅助!$J$4,代发抵账!$H$5:$H$304,"&lt;="&amp;_辅助!$J$5)),2))</f>
        <v>0</v>
      </c>
      <c r="E3">
        <f>IF(OR($A3="",NOT(OR($B3="管理人员",$B3="工人"))),0,ROUND(N(往来单位!$M$4)+J3-K3-L3+M3,2))</f>
        <v>0</v>
      </c>
      <c r="F3">
        <f>IF(OR($A3="",NOT(OR($B3="管理人员",$B3="工人"))),0,ROUND(N(往来单位!$M$4)+SUMIFS(考勤工资!$W$5:$W$1004,考勤工资!$C$5:$C$1004,$A3,考勤工资!$Y$5:$Y$1004,"&gt;="&amp;_辅助!$J$4,考勤工资!$Y$5:$Y$1004,"&lt;="&amp;_辅助!$J$5)-(-SUMIFS(资金流水!$R$6:$R$2005,资金流水!$J$6:$J$2005,$A3,资金流水!$X$6:$X$2005,"应付职工薪酬",资金流水!$R$6:$R$2005,"&lt;0",资金流水!$S$6:$S$2005,"&gt;="&amp;_辅助!$J$4,资金流水!$S$6:$S$2005,"&lt;="&amp;_辅助!$J$5))-SUMIFS(代发抵账!$F$5:$F$304,代发抵账!$E$5:$E$304,$A3,代发抵账!$D$5:$D$304,"总包代发工资",代发抵账!$H$5:$H$304,"&gt;="&amp;_辅助!$J$4,代发抵账!$H$5:$H$304,"&lt;="&amp;_辅助!$J$5)+SUMIFS(资金流水!$R$6:$R$2005,资金流水!$J$6:$J$2005,$A3,资金流水!$X$6:$X$2005,"应付职工薪酬",资金流水!$R$6:$R$2005,"&gt;0",资金流水!$S$6:$S$2005,"&gt;="&amp;_辅助!$J$4,资金流水!$S$6:$S$2005,"&lt;="&amp;_辅助!$J$5),2))</f>
        <v>0</v>
      </c>
      <c r="G3">
        <f t="shared" ref="G3:G302" si="2">IF(OR($A3="",NOT(OR($B3="材料供应商",$B3="分包",$B3="机械运输",$B3="其他"))),0,SUMIFS(期初余额!$R$5:$R$204,期初余额!$P$5:$P$204,$A3)+SUMIFS(应付登记!$G$5:$G$1004,应付登记!$D$5:$D$1004,$A3,应付登记!$J$5:$J$1004,"&gt;="&amp;_辅助!$J$4,应付登记!$J$5:$J$1004,"&lt;="&amp;_辅助!$J$2))</f>
        <v>0</v>
      </c>
      <c r="H3">
        <f t="shared" ref="H3:H302" si="3">IF(OR($A3="",NOT(OR($B3="材料供应商",$B3="分包",$B3="机械运输",$B3="其他"))),0,SUMIFS(期初余额!$S$5:$S$204,期初余额!$P$5:$P$204,$A3)-SUMIFS(资金流水!$R$6:$R$2005,资金流水!$J$6:$J$2005,$A3,资金流水!$X$6:$X$2005,IF($B3="材料供应商","应付材料款",IF($B3="分包","应付分包款",IF($B3="机械运输","应付机械运输费","应付其他款"))),资金流水!$S$6:$S$2005,"&gt;="&amp;_辅助!$J$4,资金流水!$S$6:$S$2005,"&lt;="&amp;_辅助!$J$2)+SUMIFS(代发抵账!$F$5:$F$304,代发抵账!$E$5:$E$304,$A3,代发抵账!$D$5:$D$304,"总包代付材料分包款",代发抵账!$H$5:$H$304,"&gt;="&amp;_辅助!$J$4,代发抵账!$H$5:$H$304,"&lt;="&amp;_辅助!$J$2))</f>
        <v>0</v>
      </c>
      <c r="I3">
        <f t="shared" ref="I3:I302" si="4">IF($A3="",0,SUMIFS(期初余额!$T$5:$T$204,期初余额!$P$5:$P$204,$A3)+SUMIFS(发票登记!$AB$5:$AB$1004,发票登记!$U$5:$U$1004,"进项",发票登记!$V$5:$V$1004,$A3,发票登记!$Y$5:$Y$1004,"&gt;="&amp;_辅助!$J$4,发票登记!$Y$5:$Y$1004,"&lt;="&amp;_辅助!$J$2))</f>
        <v>0</v>
      </c>
      <c r="J3">
        <f t="shared" ref="J3:J302" si="5">IF(OR($A3="",NOT(OR($B3="管理人员",$B3="工人"))),0,SUMIFS(考勤工资!$W$5:$W$1004,考勤工资!$C$5:$C$1004,$A3,考勤工资!$Y$5:$Y$1004,"&gt;="&amp;_辅助!$J$4,考勤工资!$Y$5:$Y$1004,"&lt;="&amp;_辅助!$J$2))</f>
        <v>0</v>
      </c>
      <c r="K3">
        <f t="shared" ref="K3:K302" si="6">IF(OR($A3="",NOT(OR($B3="管理人员",$B3="工人"))),0,(-SUMIFS(资金流水!$R$6:$R$2005,资金流水!$J$6:$J$2005,$A3,资金流水!$X$6:$X$2005,"应付职工薪酬",资金流水!$R$6:$R$2005,"&lt;0",资金流水!$S$6:$S$2005,"&gt;="&amp;_辅助!$J$4,资金流水!$S$6:$S$2005,"&lt;="&amp;_辅助!$J$2)))</f>
        <v>0</v>
      </c>
      <c r="L3">
        <f t="shared" ref="L3:L302" si="7">IF(OR($A3="",NOT(OR($B3="管理人员",$B3="工人"))),0,SUMIFS(代发抵账!$F$5:$F$304,代发抵账!$E$5:$E$304,$A3,代发抵账!$D$5:$D$304,"总包代发工资",代发抵账!$H$5:$H$304,"&gt;="&amp;_辅助!$J$4,代发抵账!$H$5:$H$304,"&lt;="&amp;_辅助!$J$2))</f>
        <v>0</v>
      </c>
      <c r="M3">
        <f t="shared" ref="M3:M302" si="8">IF(OR($A3="",NOT(OR($B3="管理人员",$B3="工人"))),0,SUMIFS(资金流水!$R$6:$R$2005,资金流水!$J$6:$J$2005,$A3,资金流水!$X$6:$X$2005,"应付职工薪酬",资金流水!$R$6:$R$2005,"&gt;0",资金流水!$S$6:$S$2005,"&gt;="&amp;_辅助!$J$4,资金流水!$S$6:$S$2005,"&lt;="&amp;_辅助!$J$2))</f>
        <v>0</v>
      </c>
      <c r="P3" t="str">
        <f>基础资料!$G$5&amp;""</f>
        <v>九江银行</v>
      </c>
      <c r="Q3" t="str">
        <f>基础资料!$H$5&amp;""</f>
        <v>银行</v>
      </c>
      <c r="R3">
        <f>基础资料!$I$5&amp;""</f>
      </c>
      <c r="S3">
        <f>IF($P3="",0,ROUND(N(基础资料!$K$5)+SUMIFS(资金流水!$R$6:$R$2005,资金流水!$C$6:$C$2005,$P3,资金流水!$S$6:$S$2005,"&gt;="&amp;_辅助!$J$4,资金流水!$S$6:$S$2005,"&lt;="&amp;_辅助!$J$2)-SUMIFS(资金流水!$R$6:$R$2005,资金流水!$AD$6:$AD$2005,$P3,资金流水!$X$6:$X$2005,"账户互转",资金流水!$S$6:$S$2005,"&gt;="&amp;_辅助!$J$4,资金流水!$S$6:$S$2005,"&lt;="&amp;_辅助!$J$2),2))</f>
        <v>690216.43</v>
      </c>
      <c r="T3">
        <f>IF($P3="",0,ROUND(N(基础资料!$K$5)+SUMIFS(资金流水!$R$6:$R$2005,资金流水!$C$6:$C$2005,$P3,资金流水!$S$6:$S$2005,"&gt;="&amp;_辅助!$J$4,资金流水!$S$6:$S$2005,"&lt;="&amp;_辅助!$J$5)-SUMIFS(资金流水!$R$6:$R$2005,资金流水!$AD$6:$AD$2005,$P3,资金流水!$X$6:$X$2005,"账户互转",资金流水!$S$6:$S$2005,"&gt;="&amp;_辅助!$J$4,资金流水!$S$6:$S$2005,"&lt;="&amp;_辅助!$J$5),2))</f>
        <v>0</v>
      </c>
    </row>
    <row r="4">
      <c r="A4" t="str">
        <f>往来单位!$B$5&amp;""</f>
        <v>德安县市政工程公司</v>
      </c>
      <c r="B4" t="str">
        <f>往来单位!$C$5&amp;""</f>
        <v>甲方/总包</v>
      </c>
      <c r="C4">
        <f t="shared" si="0"/>
        <v>0</v>
      </c>
      <c r="D4">
        <f t="shared" si="1"/>
        <v>0</v>
      </c>
      <c r="E4">
        <f>IF(OR($A4="",NOT(OR($B4="管理人员",$B4="工人"))),0,ROUND(N(往来单位!$M$5)+J4-K4-L4+M4,2))</f>
        <v>0</v>
      </c>
      <c r="F4">
        <f>IF(OR($A4="",NOT(OR($B4="管理人员",$B4="工人"))),0,ROUND(N(往来单位!$M$5)+SUMIFS(考勤工资!$W$5:$W$1004,考勤工资!$C$5:$C$1004,$A4,考勤工资!$Y$5:$Y$1004,"&gt;="&amp;_辅助!$J$4,考勤工资!$Y$5:$Y$1004,"&lt;="&amp;_辅助!$J$5)-(-SUMIFS(资金流水!$R$6:$R$2005,资金流水!$J$6:$J$2005,$A4,资金流水!$X$6:$X$2005,"应付职工薪酬",资金流水!$R$6:$R$2005,"&lt;0",资金流水!$S$6:$S$2005,"&gt;="&amp;_辅助!$J$4,资金流水!$S$6:$S$2005,"&lt;="&amp;_辅助!$J$5))-SUMIFS(代发抵账!$F$5:$F$304,代发抵账!$E$5:$E$304,$A4,代发抵账!$D$5:$D$304,"总包代发工资",代发抵账!$H$5:$H$304,"&gt;="&amp;_辅助!$J$4,代发抵账!$H$5:$H$304,"&lt;="&amp;_辅助!$J$5)+SUMIFS(资金流水!$R$6:$R$2005,资金流水!$J$6:$J$2005,$A4,资金流水!$X$6:$X$2005,"应付职工薪酬",资金流水!$R$6:$R$2005,"&gt;0",资金流水!$S$6:$S$2005,"&gt;="&amp;_辅助!$J$4,资金流水!$S$6:$S$2005,"&lt;="&amp;_辅助!$J$5),2))</f>
        <v>0</v>
      </c>
      <c r="G4">
        <f t="shared" si="2"/>
        <v>0</v>
      </c>
      <c r="H4">
        <f t="shared" si="3"/>
        <v>0</v>
      </c>
      <c r="I4">
        <f t="shared" si="4"/>
        <v>0</v>
      </c>
      <c r="J4">
        <f t="shared" si="5"/>
        <v>0</v>
      </c>
      <c r="K4">
        <f t="shared" si="6"/>
        <v>0</v>
      </c>
      <c r="L4">
        <f t="shared" si="7"/>
        <v>0</v>
      </c>
      <c r="M4">
        <f t="shared" si="8"/>
        <v>0</v>
      </c>
      <c r="P4" t="str">
        <f>基础资料!$G$6&amp;""</f>
        <v>农业银行</v>
      </c>
      <c r="Q4" t="str">
        <f>基础资料!$H$6&amp;""</f>
        <v>银行</v>
      </c>
      <c r="R4">
        <f>基础资料!$I$6&amp;""</f>
      </c>
      <c r="S4">
        <f>IF($P4="",0,ROUND(N(基础资料!$K$6)+SUMIFS(资金流水!$R$6:$R$2005,资金流水!$C$6:$C$2005,$P4,资金流水!$S$6:$S$2005,"&gt;="&amp;_辅助!$J$4,资金流水!$S$6:$S$2005,"&lt;="&amp;_辅助!$J$2)-SUMIFS(资金流水!$R$6:$R$2005,资金流水!$AD$6:$AD$2005,$P4,资金流水!$X$6:$X$2005,"账户互转",资金流水!$S$6:$S$2005,"&gt;="&amp;_辅助!$J$4,资金流水!$S$6:$S$2005,"&lt;="&amp;_辅助!$J$2),2))</f>
        <v>80.03</v>
      </c>
      <c r="T4">
        <f>IF($P4="",0,ROUND(N(基础资料!$K$6)+SUMIFS(资金流水!$R$6:$R$2005,资金流水!$C$6:$C$2005,$P4,资金流水!$S$6:$S$2005,"&gt;="&amp;_辅助!$J$4,资金流水!$S$6:$S$2005,"&lt;="&amp;_辅助!$J$5)-SUMIFS(资金流水!$R$6:$R$2005,资金流水!$AD$6:$AD$2005,$P4,资金流水!$X$6:$X$2005,"账户互转",资金流水!$S$6:$S$2005,"&gt;="&amp;_辅助!$J$4,资金流水!$S$6:$S$2005,"&lt;="&amp;_辅助!$J$5),2))</f>
        <v>0</v>
      </c>
    </row>
    <row r="5">
      <c r="A5" t="str">
        <f>往来单位!$B$6&amp;""</f>
        <v>德安县水利水电建筑工程公司</v>
      </c>
      <c r="B5" t="str">
        <f>往来单位!$C$6&amp;""</f>
        <v>甲方/总包</v>
      </c>
      <c r="C5">
        <f t="shared" si="0"/>
        <v>0</v>
      </c>
      <c r="D5">
        <f t="shared" si="1"/>
        <v>0</v>
      </c>
      <c r="E5">
        <f>IF(OR($A5="",NOT(OR($B5="管理人员",$B5="工人"))),0,ROUND(N(往来单位!$M$6)+J5-K5-L5+M5,2))</f>
        <v>0</v>
      </c>
      <c r="F5">
        <f>IF(OR($A5="",NOT(OR($B5="管理人员",$B5="工人"))),0,ROUND(N(往来单位!$M$6)+SUMIFS(考勤工资!$W$5:$W$1004,考勤工资!$C$5:$C$1004,$A5,考勤工资!$Y$5:$Y$1004,"&gt;="&amp;_辅助!$J$4,考勤工资!$Y$5:$Y$1004,"&lt;="&amp;_辅助!$J$5)-(-SUMIFS(资金流水!$R$6:$R$2005,资金流水!$J$6:$J$2005,$A5,资金流水!$X$6:$X$2005,"应付职工薪酬",资金流水!$R$6:$R$2005,"&lt;0",资金流水!$S$6:$S$2005,"&gt;="&amp;_辅助!$J$4,资金流水!$S$6:$S$2005,"&lt;="&amp;_辅助!$J$5))-SUMIFS(代发抵账!$F$5:$F$304,代发抵账!$E$5:$E$304,$A5,代发抵账!$D$5:$D$304,"总包代发工资",代发抵账!$H$5:$H$304,"&gt;="&amp;_辅助!$J$4,代发抵账!$H$5:$H$304,"&lt;="&amp;_辅助!$J$5)+SUMIFS(资金流水!$R$6:$R$2005,资金流水!$J$6:$J$2005,$A5,资金流水!$X$6:$X$2005,"应付职工薪酬",资金流水!$R$6:$R$2005,"&gt;0",资金流水!$S$6:$S$2005,"&gt;="&amp;_辅助!$J$4,资金流水!$S$6:$S$2005,"&lt;="&amp;_辅助!$J$5),2))</f>
        <v>0</v>
      </c>
      <c r="G5">
        <f t="shared" si="2"/>
        <v>0</v>
      </c>
      <c r="H5">
        <f t="shared" si="3"/>
        <v>0</v>
      </c>
      <c r="I5">
        <f t="shared" si="4"/>
        <v>0</v>
      </c>
      <c r="J5">
        <f t="shared" si="5"/>
        <v>0</v>
      </c>
      <c r="K5">
        <f t="shared" si="6"/>
        <v>0</v>
      </c>
      <c r="L5">
        <f t="shared" si="7"/>
        <v>0</v>
      </c>
      <c r="M5">
        <f t="shared" si="8"/>
        <v>0</v>
      </c>
      <c r="P5" t="str">
        <f>基础资料!$G$7&amp;""</f>
        <v>工商银行</v>
      </c>
      <c r="Q5" t="str">
        <f>基础资料!$H$7&amp;""</f>
        <v>银行</v>
      </c>
      <c r="R5">
        <f>基础资料!$I$7&amp;""</f>
      </c>
      <c r="S5">
        <f>IF($P5="",0,ROUND(N(基础资料!$K$7)+SUMIFS(资金流水!$R$6:$R$2005,资金流水!$C$6:$C$2005,$P5,资金流水!$S$6:$S$2005,"&gt;="&amp;_辅助!$J$4,资金流水!$S$6:$S$2005,"&lt;="&amp;_辅助!$J$2)-SUMIFS(资金流水!$R$6:$R$2005,资金流水!$AD$6:$AD$2005,$P5,资金流水!$X$6:$X$2005,"账户互转",资金流水!$S$6:$S$2005,"&gt;="&amp;_辅助!$J$4,资金流水!$S$6:$S$2005,"&lt;="&amp;_辅助!$J$2),2))</f>
        <v>148</v>
      </c>
      <c r="T5">
        <f>IF($P5="",0,ROUND(N(基础资料!$K$7)+SUMIFS(资金流水!$R$6:$R$2005,资金流水!$C$6:$C$2005,$P5,资金流水!$S$6:$S$2005,"&gt;="&amp;_辅助!$J$4,资金流水!$S$6:$S$2005,"&lt;="&amp;_辅助!$J$5)-SUMIFS(资金流水!$R$6:$R$2005,资金流水!$AD$6:$AD$2005,$P5,资金流水!$X$6:$X$2005,"账户互转",资金流水!$S$6:$S$2005,"&gt;="&amp;_辅助!$J$4,资金流水!$S$6:$S$2005,"&lt;="&amp;_辅助!$J$5),2))</f>
        <v>148</v>
      </c>
    </row>
    <row r="6">
      <c r="A6" t="str">
        <f>往来单位!$B$7&amp;""</f>
        <v>江西揽之建设工程有限公司</v>
      </c>
      <c r="B6" t="str">
        <f>往来单位!$C$7&amp;""</f>
        <v>甲方/总包</v>
      </c>
      <c r="C6">
        <f t="shared" si="0"/>
        <v>0</v>
      </c>
      <c r="D6">
        <f t="shared" si="1"/>
        <v>0</v>
      </c>
      <c r="E6">
        <f>IF(OR($A6="",NOT(OR($B6="管理人员",$B6="工人"))),0,ROUND(N(往来单位!$M$7)+J6-K6-L6+M6,2))</f>
        <v>0</v>
      </c>
      <c r="F6">
        <f>IF(OR($A6="",NOT(OR($B6="管理人员",$B6="工人"))),0,ROUND(N(往来单位!$M$7)+SUMIFS(考勤工资!$W$5:$W$1004,考勤工资!$C$5:$C$1004,$A6,考勤工资!$Y$5:$Y$1004,"&gt;="&amp;_辅助!$J$4,考勤工资!$Y$5:$Y$1004,"&lt;="&amp;_辅助!$J$5)-(-SUMIFS(资金流水!$R$6:$R$2005,资金流水!$J$6:$J$2005,$A6,资金流水!$X$6:$X$2005,"应付职工薪酬",资金流水!$R$6:$R$2005,"&lt;0",资金流水!$S$6:$S$2005,"&gt;="&amp;_辅助!$J$4,资金流水!$S$6:$S$2005,"&lt;="&amp;_辅助!$J$5))-SUMIFS(代发抵账!$F$5:$F$304,代发抵账!$E$5:$E$304,$A6,代发抵账!$D$5:$D$304,"总包代发工资",代发抵账!$H$5:$H$304,"&gt;="&amp;_辅助!$J$4,代发抵账!$H$5:$H$304,"&lt;="&amp;_辅助!$J$5)+SUMIFS(资金流水!$R$6:$R$2005,资金流水!$J$6:$J$2005,$A6,资金流水!$X$6:$X$2005,"应付职工薪酬",资金流水!$R$6:$R$2005,"&gt;0",资金流水!$S$6:$S$2005,"&gt;="&amp;_辅助!$J$4,资金流水!$S$6:$S$2005,"&lt;="&amp;_辅助!$J$5),2))</f>
        <v>0</v>
      </c>
      <c r="G6">
        <f t="shared" si="2"/>
        <v>0</v>
      </c>
      <c r="H6">
        <f t="shared" si="3"/>
        <v>0</v>
      </c>
      <c r="I6">
        <f t="shared" si="4"/>
        <v>0</v>
      </c>
      <c r="J6">
        <f t="shared" si="5"/>
        <v>0</v>
      </c>
      <c r="K6">
        <f t="shared" si="6"/>
        <v>0</v>
      </c>
      <c r="L6">
        <f t="shared" si="7"/>
        <v>0</v>
      </c>
      <c r="M6">
        <f t="shared" si="8"/>
        <v>0</v>
      </c>
      <c r="P6" t="str">
        <f>基础资料!$G$8&amp;""</f>
        <v>现金</v>
      </c>
      <c r="Q6" t="str">
        <f>基础资料!$H$8&amp;""</f>
        <v>现金</v>
      </c>
      <c r="R6">
        <f>基础资料!$I$8&amp;""</f>
      </c>
      <c r="S6">
        <f>IF($P6="",0,ROUND(N(基础资料!$K$8)+SUMIFS(资金流水!$R$6:$R$2005,资金流水!$C$6:$C$2005,$P6,资金流水!$S$6:$S$2005,"&gt;="&amp;_辅助!$J$4,资金流水!$S$6:$S$2005,"&lt;="&amp;_辅助!$J$2)-SUMIFS(资金流水!$R$6:$R$2005,资金流水!$AD$6:$AD$2005,$P6,资金流水!$X$6:$X$2005,"账户互转",资金流水!$S$6:$S$2005,"&gt;="&amp;_辅助!$J$4,资金流水!$S$6:$S$2005,"&lt;="&amp;_辅助!$J$2),2))</f>
        <v>0</v>
      </c>
      <c r="T6">
        <f>IF($P6="",0,ROUND(N(基础资料!$K$8)+SUMIFS(资金流水!$R$6:$R$2005,资金流水!$C$6:$C$2005,$P6,资金流水!$S$6:$S$2005,"&gt;="&amp;_辅助!$J$4,资金流水!$S$6:$S$2005,"&lt;="&amp;_辅助!$J$5)-SUMIFS(资金流水!$R$6:$R$2005,资金流水!$AD$6:$AD$2005,$P6,资金流水!$X$6:$X$2005,"账户互转",资金流水!$S$6:$S$2005,"&gt;="&amp;_辅助!$J$4,资金流水!$S$6:$S$2005,"&lt;="&amp;_辅助!$J$5),2))</f>
        <v>0</v>
      </c>
    </row>
    <row r="7">
      <c r="A7" t="str">
        <f>往来单位!$B$8&amp;""</f>
        <v>德安县博河产业控股集团有限公司</v>
      </c>
      <c r="B7" t="str">
        <f>往来单位!$C$8&amp;""</f>
        <v>甲方/总包</v>
      </c>
      <c r="C7">
        <f t="shared" si="0"/>
        <v>0</v>
      </c>
      <c r="D7">
        <f t="shared" si="1"/>
        <v>0</v>
      </c>
      <c r="E7">
        <f>IF(OR($A7="",NOT(OR($B7="管理人员",$B7="工人"))),0,ROUND(N(往来单位!$M$8)+J7-K7-L7+M7,2))</f>
        <v>0</v>
      </c>
      <c r="F7">
        <f>IF(OR($A7="",NOT(OR($B7="管理人员",$B7="工人"))),0,ROUND(N(往来单位!$M$8)+SUMIFS(考勤工资!$W$5:$W$1004,考勤工资!$C$5:$C$1004,$A7,考勤工资!$Y$5:$Y$1004,"&gt;="&amp;_辅助!$J$4,考勤工资!$Y$5:$Y$1004,"&lt;="&amp;_辅助!$J$5)-(-SUMIFS(资金流水!$R$6:$R$2005,资金流水!$J$6:$J$2005,$A7,资金流水!$X$6:$X$2005,"应付职工薪酬",资金流水!$R$6:$R$2005,"&lt;0",资金流水!$S$6:$S$2005,"&gt;="&amp;_辅助!$J$4,资金流水!$S$6:$S$2005,"&lt;="&amp;_辅助!$J$5))-SUMIFS(代发抵账!$F$5:$F$304,代发抵账!$E$5:$E$304,$A7,代发抵账!$D$5:$D$304,"总包代发工资",代发抵账!$H$5:$H$304,"&gt;="&amp;_辅助!$J$4,代发抵账!$H$5:$H$304,"&lt;="&amp;_辅助!$J$5)+SUMIFS(资金流水!$R$6:$R$2005,资金流水!$J$6:$J$2005,$A7,资金流水!$X$6:$X$2005,"应付职工薪酬",资金流水!$R$6:$R$2005,"&gt;0",资金流水!$S$6:$S$2005,"&gt;="&amp;_辅助!$J$4,资金流水!$S$6:$S$2005,"&lt;="&amp;_辅助!$J$5),2))</f>
        <v>0</v>
      </c>
      <c r="G7">
        <f t="shared" si="2"/>
        <v>0</v>
      </c>
      <c r="H7">
        <f t="shared" si="3"/>
        <v>0</v>
      </c>
      <c r="I7">
        <f t="shared" si="4"/>
        <v>0</v>
      </c>
      <c r="J7">
        <f t="shared" si="5"/>
        <v>0</v>
      </c>
      <c r="K7">
        <f t="shared" si="6"/>
        <v>0</v>
      </c>
      <c r="L7">
        <f t="shared" si="7"/>
        <v>0</v>
      </c>
      <c r="M7">
        <f t="shared" si="8"/>
        <v>0</v>
      </c>
      <c r="P7" t="str">
        <f>基础资料!$G$9&amp;""</f>
        <v>聂辉个人户</v>
      </c>
      <c r="Q7" t="str">
        <f>基础资料!$H$9&amp;""</f>
        <v>个人户</v>
      </c>
      <c r="R7" t="str">
        <f>基础资料!$I$9&amp;""</f>
        <v>聂辉</v>
      </c>
      <c r="S7">
        <f>IF($P7="",0,ROUND(N(基础资料!$K$9)+SUMIFS(资金流水!$R$6:$R$2005,资金流水!$C$6:$C$2005,$P7,资金流水!$S$6:$S$2005,"&gt;="&amp;_辅助!$J$4,资金流水!$S$6:$S$2005,"&lt;="&amp;_辅助!$J$2)-SUMIFS(资金流水!$R$6:$R$2005,资金流水!$AD$6:$AD$2005,$P7,资金流水!$X$6:$X$2005,"账户互转",资金流水!$S$6:$S$2005,"&gt;="&amp;_辅助!$J$4,资金流水!$S$6:$S$2005,"&lt;="&amp;_辅助!$J$2),2))</f>
        <v>-112468</v>
      </c>
      <c r="T7">
        <f>IF($P7="",0,ROUND(N(基础资料!$K$9)+SUMIFS(资金流水!$R$6:$R$2005,资金流水!$C$6:$C$2005,$P7,资金流水!$S$6:$S$2005,"&gt;="&amp;_辅助!$J$4,资金流水!$S$6:$S$2005,"&lt;="&amp;_辅助!$J$5)-SUMIFS(资金流水!$R$6:$R$2005,资金流水!$AD$6:$AD$2005,$P7,资金流水!$X$6:$X$2005,"账户互转",资金流水!$S$6:$S$2005,"&gt;="&amp;_辅助!$J$4,资金流水!$S$6:$S$2005,"&lt;="&amp;_辅助!$J$5),2))</f>
        <v>-237668</v>
      </c>
    </row>
    <row r="8">
      <c r="A8" t="str">
        <f>往来单位!$B$9&amp;""</f>
        <v>德安农商银行</v>
      </c>
      <c r="B8" t="str">
        <f>往来单位!$C$9&amp;""</f>
        <v>甲方/总包</v>
      </c>
      <c r="C8">
        <f t="shared" si="0"/>
        <v>0</v>
      </c>
      <c r="D8">
        <f t="shared" si="1"/>
        <v>0</v>
      </c>
      <c r="E8">
        <f>IF(OR($A8="",NOT(OR($B8="管理人员",$B8="工人"))),0,ROUND(N(往来单位!$M$9)+J8-K8-L8+M8,2))</f>
        <v>0</v>
      </c>
      <c r="F8">
        <f>IF(OR($A8="",NOT(OR($B8="管理人员",$B8="工人"))),0,ROUND(N(往来单位!$M$9)+SUMIFS(考勤工资!$W$5:$W$1004,考勤工资!$C$5:$C$1004,$A8,考勤工资!$Y$5:$Y$1004,"&gt;="&amp;_辅助!$J$4,考勤工资!$Y$5:$Y$1004,"&lt;="&amp;_辅助!$J$5)-(-SUMIFS(资金流水!$R$6:$R$2005,资金流水!$J$6:$J$2005,$A8,资金流水!$X$6:$X$2005,"应付职工薪酬",资金流水!$R$6:$R$2005,"&lt;0",资金流水!$S$6:$S$2005,"&gt;="&amp;_辅助!$J$4,资金流水!$S$6:$S$2005,"&lt;="&amp;_辅助!$J$5))-SUMIFS(代发抵账!$F$5:$F$304,代发抵账!$E$5:$E$304,$A8,代发抵账!$D$5:$D$304,"总包代发工资",代发抵账!$H$5:$H$304,"&gt;="&amp;_辅助!$J$4,代发抵账!$H$5:$H$304,"&lt;="&amp;_辅助!$J$5)+SUMIFS(资金流水!$R$6:$R$2005,资金流水!$J$6:$J$2005,$A8,资金流水!$X$6:$X$2005,"应付职工薪酬",资金流水!$R$6:$R$2005,"&gt;0",资金流水!$S$6:$S$2005,"&gt;="&amp;_辅助!$J$4,资金流水!$S$6:$S$2005,"&lt;="&amp;_辅助!$J$5),2))</f>
        <v>0</v>
      </c>
      <c r="G8">
        <f t="shared" si="2"/>
        <v>0</v>
      </c>
      <c r="H8">
        <f t="shared" si="3"/>
        <v>0</v>
      </c>
      <c r="I8">
        <f t="shared" si="4"/>
        <v>0</v>
      </c>
      <c r="J8">
        <f t="shared" si="5"/>
        <v>0</v>
      </c>
      <c r="K8">
        <f t="shared" si="6"/>
        <v>0</v>
      </c>
      <c r="L8">
        <f t="shared" si="7"/>
        <v>0</v>
      </c>
      <c r="M8">
        <f t="shared" si="8"/>
        <v>0</v>
      </c>
      <c r="P8" t="str">
        <f>基础资料!$G$10&amp;""</f>
        <v>王伟个人户</v>
      </c>
      <c r="Q8" t="str">
        <f>基础资料!$H$10&amp;""</f>
        <v>个人户</v>
      </c>
      <c r="R8" t="str">
        <f>基础资料!$I$10&amp;""</f>
        <v>王伟</v>
      </c>
      <c r="S8">
        <f>IF($P8="",0,ROUND(N(基础资料!$K$10)+SUMIFS(资金流水!$R$6:$R$2005,资金流水!$C$6:$C$2005,$P8,资金流水!$S$6:$S$2005,"&gt;="&amp;_辅助!$J$4,资金流水!$S$6:$S$2005,"&lt;="&amp;_辅助!$J$2)-SUMIFS(资金流水!$R$6:$R$2005,资金流水!$AD$6:$AD$2005,$P8,资金流水!$X$6:$X$2005,"账户互转",资金流水!$S$6:$S$2005,"&gt;="&amp;_辅助!$J$4,资金流水!$S$6:$S$2005,"&lt;="&amp;_辅助!$J$2),2))</f>
        <v>-173359.6</v>
      </c>
      <c r="T8">
        <f>IF($P8="",0,ROUND(N(基础资料!$K$10)+SUMIFS(资金流水!$R$6:$R$2005,资金流水!$C$6:$C$2005,$P8,资金流水!$S$6:$S$2005,"&gt;="&amp;_辅助!$J$4,资金流水!$S$6:$S$2005,"&lt;="&amp;_辅助!$J$5)-SUMIFS(资金流水!$R$6:$R$2005,资金流水!$AD$6:$AD$2005,$P8,资金流水!$X$6:$X$2005,"账户互转",资金流水!$S$6:$S$2005,"&gt;="&amp;_辅助!$J$4,资金流水!$S$6:$S$2005,"&lt;="&amp;_辅助!$J$5),2))</f>
        <v>-190000</v>
      </c>
    </row>
    <row r="9">
      <c r="A9" t="str">
        <f>往来单位!$B$10&amp;""</f>
        <v>江西赣粤高速</v>
      </c>
      <c r="B9" t="str">
        <f>往来单位!$C$10&amp;""</f>
        <v>甲方/总包</v>
      </c>
      <c r="C9">
        <f t="shared" si="0"/>
        <v>0</v>
      </c>
      <c r="D9">
        <f t="shared" si="1"/>
        <v>0</v>
      </c>
      <c r="E9">
        <f>IF(OR($A9="",NOT(OR($B9="管理人员",$B9="工人"))),0,ROUND(N(往来单位!$M$10)+J9-K9-L9+M9,2))</f>
        <v>0</v>
      </c>
      <c r="F9">
        <f>IF(OR($A9="",NOT(OR($B9="管理人员",$B9="工人"))),0,ROUND(N(往来单位!$M$10)+SUMIFS(考勤工资!$W$5:$W$1004,考勤工资!$C$5:$C$1004,$A9,考勤工资!$Y$5:$Y$1004,"&gt;="&amp;_辅助!$J$4,考勤工资!$Y$5:$Y$1004,"&lt;="&amp;_辅助!$J$5)-(-SUMIFS(资金流水!$R$6:$R$2005,资金流水!$J$6:$J$2005,$A9,资金流水!$X$6:$X$2005,"应付职工薪酬",资金流水!$R$6:$R$2005,"&lt;0",资金流水!$S$6:$S$2005,"&gt;="&amp;_辅助!$J$4,资金流水!$S$6:$S$2005,"&lt;="&amp;_辅助!$J$5))-SUMIFS(代发抵账!$F$5:$F$304,代发抵账!$E$5:$E$304,$A9,代发抵账!$D$5:$D$304,"总包代发工资",代发抵账!$H$5:$H$304,"&gt;="&amp;_辅助!$J$4,代发抵账!$H$5:$H$304,"&lt;="&amp;_辅助!$J$5)+SUMIFS(资金流水!$R$6:$R$2005,资金流水!$J$6:$J$2005,$A9,资金流水!$X$6:$X$2005,"应付职工薪酬",资金流水!$R$6:$R$2005,"&gt;0",资金流水!$S$6:$S$2005,"&gt;="&amp;_辅助!$J$4,资金流水!$S$6:$S$2005,"&lt;="&amp;_辅助!$J$5),2))</f>
        <v>0</v>
      </c>
      <c r="G9">
        <f t="shared" si="2"/>
        <v>0</v>
      </c>
      <c r="H9">
        <f t="shared" si="3"/>
        <v>0</v>
      </c>
      <c r="I9">
        <f t="shared" si="4"/>
        <v>0</v>
      </c>
      <c r="J9">
        <f t="shared" si="5"/>
        <v>0</v>
      </c>
      <c r="K9">
        <f t="shared" si="6"/>
        <v>0</v>
      </c>
      <c r="L9">
        <f t="shared" si="7"/>
        <v>0</v>
      </c>
      <c r="M9">
        <f t="shared" si="8"/>
        <v>0</v>
      </c>
      <c r="P9" t="str">
        <f>基础资料!$G$11&amp;""</f>
        <v>张滨个人户</v>
      </c>
      <c r="Q9" t="str">
        <f>基础资料!$H$11&amp;""</f>
        <v>个人户</v>
      </c>
      <c r="R9" t="str">
        <f>基础资料!$I$11&amp;""</f>
        <v>张滨</v>
      </c>
      <c r="S9">
        <f>IF($P9="",0,ROUND(N(基础资料!$K$11)+SUMIFS(资金流水!$R$6:$R$2005,资金流水!$C$6:$C$2005,$P9,资金流水!$S$6:$S$2005,"&gt;="&amp;_辅助!$J$4,资金流水!$S$6:$S$2005,"&lt;="&amp;_辅助!$J$2)-SUMIFS(资金流水!$R$6:$R$2005,资金流水!$AD$6:$AD$2005,$P9,资金流水!$X$6:$X$2005,"账户互转",资金流水!$S$6:$S$2005,"&gt;="&amp;_辅助!$J$4,资金流水!$S$6:$S$2005,"&lt;="&amp;_辅助!$J$2),2))</f>
        <v>2300</v>
      </c>
      <c r="T9">
        <f>IF($P9="",0,ROUND(N(基础资料!$K$11)+SUMIFS(资金流水!$R$6:$R$2005,资金流水!$C$6:$C$2005,$P9,资金流水!$S$6:$S$2005,"&gt;="&amp;_辅助!$J$4,资金流水!$S$6:$S$2005,"&lt;="&amp;_辅助!$J$5)-SUMIFS(资金流水!$R$6:$R$2005,资金流水!$AD$6:$AD$2005,$P9,资金流水!$X$6:$X$2005,"账户互转",资金流水!$S$6:$S$2005,"&gt;="&amp;_辅助!$J$4,资金流水!$S$6:$S$2005,"&lt;="&amp;_辅助!$J$5),2))</f>
        <v>0</v>
      </c>
    </row>
    <row r="10">
      <c r="A10" t="str">
        <f>往来单位!$B$11&amp;""</f>
        <v>筑强</v>
      </c>
      <c r="B10" t="str">
        <f>往来单位!$C$11&amp;""</f>
        <v>材料供应商</v>
      </c>
      <c r="C10">
        <f t="shared" si="0"/>
        <v>224052.85</v>
      </c>
      <c r="D10">
        <f t="shared" si="1"/>
        <v>274052.85</v>
      </c>
      <c r="E10">
        <f>IF(OR($A10="",NOT(OR($B10="管理人员",$B10="工人"))),0,ROUND(N(往来单位!$M$11)+J10-K10-L10+M10,2))</f>
        <v>0</v>
      </c>
      <c r="F10">
        <f>IF(OR($A10="",NOT(OR($B10="管理人员",$B10="工人"))),0,ROUND(N(往来单位!$M$11)+SUMIFS(考勤工资!$W$5:$W$1004,考勤工资!$C$5:$C$1004,$A10,考勤工资!$Y$5:$Y$1004,"&gt;="&amp;_辅助!$J$4,考勤工资!$Y$5:$Y$1004,"&lt;="&amp;_辅助!$J$5)-(-SUMIFS(资金流水!$R$6:$R$2005,资金流水!$J$6:$J$2005,$A10,资金流水!$X$6:$X$2005,"应付职工薪酬",资金流水!$R$6:$R$2005,"&lt;0",资金流水!$S$6:$S$2005,"&gt;="&amp;_辅助!$J$4,资金流水!$S$6:$S$2005,"&lt;="&amp;_辅助!$J$5))-SUMIFS(代发抵账!$F$5:$F$304,代发抵账!$E$5:$E$304,$A10,代发抵账!$D$5:$D$304,"总包代发工资",代发抵账!$H$5:$H$304,"&gt;="&amp;_辅助!$J$4,代发抵账!$H$5:$H$304,"&lt;="&amp;_辅助!$J$5)+SUMIFS(资金流水!$R$6:$R$2005,资金流水!$J$6:$J$2005,$A10,资金流水!$X$6:$X$2005,"应付职工薪酬",资金流水!$R$6:$R$2005,"&gt;0",资金流水!$S$6:$S$2005,"&gt;="&amp;_辅助!$J$4,资金流水!$S$6:$S$2005,"&lt;="&amp;_辅助!$J$5),2))</f>
        <v>0</v>
      </c>
      <c r="G10">
        <f t="shared" si="2"/>
        <v>1532992.03</v>
      </c>
      <c r="H10">
        <f t="shared" si="3"/>
        <v>1308939.18</v>
      </c>
      <c r="I10">
        <f t="shared" si="4"/>
        <v>546.94</v>
      </c>
      <c r="J10">
        <f t="shared" si="5"/>
        <v>0</v>
      </c>
      <c r="K10">
        <f t="shared" si="6"/>
        <v>0</v>
      </c>
      <c r="L10">
        <f t="shared" si="7"/>
        <v>0</v>
      </c>
      <c r="M10">
        <f t="shared" si="8"/>
        <v>0</v>
      </c>
      <c r="P10" t="str">
        <f>基础资料!$G$12&amp;""</f>
        <v>承兑汇票</v>
      </c>
      <c r="Q10" t="str">
        <f>基础资料!$H$12&amp;""</f>
        <v>票据</v>
      </c>
      <c r="R10">
        <f>基础资料!$I$12&amp;""</f>
      </c>
      <c r="S10">
        <f>IF($P10="",0,ROUND(N(基础资料!$K$12)+SUMIFS(资金流水!$R$6:$R$2005,资金流水!$C$6:$C$2005,$P10,资金流水!$S$6:$S$2005,"&gt;="&amp;_辅助!$J$4,资金流水!$S$6:$S$2005,"&lt;="&amp;_辅助!$J$2)-SUMIFS(资金流水!$R$6:$R$2005,资金流水!$AD$6:$AD$2005,$P10,资金流水!$X$6:$X$2005,"账户互转",资金流水!$S$6:$S$2005,"&gt;="&amp;_辅助!$J$4,资金流水!$S$6:$S$2005,"&lt;="&amp;_辅助!$J$2),2))</f>
        <v>0</v>
      </c>
      <c r="T10">
        <f>IF($P10="",0,ROUND(N(基础资料!$K$12)+SUMIFS(资金流水!$R$6:$R$2005,资金流水!$C$6:$C$2005,$P10,资金流水!$S$6:$S$2005,"&gt;="&amp;_辅助!$J$4,资金流水!$S$6:$S$2005,"&lt;="&amp;_辅助!$J$5)-SUMIFS(资金流水!$R$6:$R$2005,资金流水!$AD$6:$AD$2005,$P10,资金流水!$X$6:$X$2005,"账户互转",资金流水!$S$6:$S$2005,"&gt;="&amp;_辅助!$J$4,资金流水!$S$6:$S$2005,"&lt;="&amp;_辅助!$J$5),2))</f>
        <v>0</v>
      </c>
    </row>
    <row r="11">
      <c r="A11" t="str">
        <f>往来单位!$B$12&amp;""</f>
        <v>九江安洋钢材熊总</v>
      </c>
      <c r="B11" t="str">
        <f>往来单位!$C$12&amp;""</f>
        <v>材料供应商</v>
      </c>
      <c r="C11">
        <f t="shared" si="0"/>
        <v>0</v>
      </c>
      <c r="D11">
        <f t="shared" si="1"/>
        <v>0</v>
      </c>
      <c r="E11">
        <f>IF(OR($A11="",NOT(OR($B11="管理人员",$B11="工人"))),0,ROUND(N(往来单位!$M$12)+J11-K11-L11+M11,2))</f>
        <v>0</v>
      </c>
      <c r="F11">
        <f>IF(OR($A11="",NOT(OR($B11="管理人员",$B11="工人"))),0,ROUND(N(往来单位!$M$12)+SUMIFS(考勤工资!$W$5:$W$1004,考勤工资!$C$5:$C$1004,$A11,考勤工资!$Y$5:$Y$1004,"&gt;="&amp;_辅助!$J$4,考勤工资!$Y$5:$Y$1004,"&lt;="&amp;_辅助!$J$5)-(-SUMIFS(资金流水!$R$6:$R$2005,资金流水!$J$6:$J$2005,$A11,资金流水!$X$6:$X$2005,"应付职工薪酬",资金流水!$R$6:$R$2005,"&lt;0",资金流水!$S$6:$S$2005,"&gt;="&amp;_辅助!$J$4,资金流水!$S$6:$S$2005,"&lt;="&amp;_辅助!$J$5))-SUMIFS(代发抵账!$F$5:$F$304,代发抵账!$E$5:$E$304,$A11,代发抵账!$D$5:$D$304,"总包代发工资",代发抵账!$H$5:$H$304,"&gt;="&amp;_辅助!$J$4,代发抵账!$H$5:$H$304,"&lt;="&amp;_辅助!$J$5)+SUMIFS(资金流水!$R$6:$R$2005,资金流水!$J$6:$J$2005,$A11,资金流水!$X$6:$X$2005,"应付职工薪酬",资金流水!$R$6:$R$2005,"&gt;0",资金流水!$S$6:$S$2005,"&gt;="&amp;_辅助!$J$4,资金流水!$S$6:$S$2005,"&lt;="&amp;_辅助!$J$5),2))</f>
        <v>0</v>
      </c>
      <c r="G11">
        <f t="shared" si="2"/>
        <v>331446.38</v>
      </c>
      <c r="H11">
        <f t="shared" si="3"/>
        <v>331446.38</v>
      </c>
      <c r="I11">
        <f t="shared" si="4"/>
        <v>0</v>
      </c>
      <c r="J11">
        <f t="shared" si="5"/>
        <v>0</v>
      </c>
      <c r="K11">
        <f t="shared" si="6"/>
        <v>0</v>
      </c>
      <c r="L11">
        <f t="shared" si="7"/>
        <v>0</v>
      </c>
      <c r="M11">
        <f t="shared" si="8"/>
        <v>0</v>
      </c>
      <c r="P11">
        <f>基础资料!$G$13&amp;""</f>
      </c>
      <c r="Q11">
        <f>基础资料!$H$13&amp;""</f>
      </c>
      <c r="R11">
        <f>基础资料!$I$13&amp;""</f>
      </c>
      <c r="S11">
        <f>IF($P11="",0,ROUND(N(基础资料!$K$13)+SUMIFS(资金流水!$R$6:$R$2005,资金流水!$C$6:$C$2005,$P11,资金流水!$S$6:$S$2005,"&gt;="&amp;_辅助!$J$4,资金流水!$S$6:$S$2005,"&lt;="&amp;_辅助!$J$2)-SUMIFS(资金流水!$R$6:$R$2005,资金流水!$AD$6:$AD$2005,$P11,资金流水!$X$6:$X$2005,"账户互转",资金流水!$S$6:$S$2005,"&gt;="&amp;_辅助!$J$4,资金流水!$S$6:$S$2005,"&lt;="&amp;_辅助!$J$2),2))</f>
        <v>0</v>
      </c>
      <c r="T11">
        <f>IF($P11="",0,ROUND(N(基础资料!$K$13)+SUMIFS(资金流水!$R$6:$R$2005,资金流水!$C$6:$C$2005,$P11,资金流水!$S$6:$S$2005,"&gt;="&amp;_辅助!$J$4,资金流水!$S$6:$S$2005,"&lt;="&amp;_辅助!$J$5)-SUMIFS(资金流水!$R$6:$R$2005,资金流水!$AD$6:$AD$2005,$P11,资金流水!$X$6:$X$2005,"账户互转",资金流水!$S$6:$S$2005,"&gt;="&amp;_辅助!$J$4,资金流水!$S$6:$S$2005,"&lt;="&amp;_辅助!$J$5),2))</f>
        <v>0</v>
      </c>
    </row>
    <row r="12">
      <c r="A12" t="str">
        <f>往来单位!$B$13&amp;""</f>
        <v>鑫城五金庄总</v>
      </c>
      <c r="B12" t="str">
        <f>往来单位!$C$13&amp;""</f>
        <v>材料供应商</v>
      </c>
      <c r="C12">
        <f t="shared" si="0"/>
        <v>0</v>
      </c>
      <c r="D12">
        <f t="shared" si="1"/>
        <v>0</v>
      </c>
      <c r="E12">
        <f>IF(OR($A12="",NOT(OR($B12="管理人员",$B12="工人"))),0,ROUND(N(往来单位!$M$13)+J12-K12-L12+M12,2))</f>
        <v>0</v>
      </c>
      <c r="F12">
        <f>IF(OR($A12="",NOT(OR($B12="管理人员",$B12="工人"))),0,ROUND(N(往来单位!$M$13)+SUMIFS(考勤工资!$W$5:$W$1004,考勤工资!$C$5:$C$1004,$A12,考勤工资!$Y$5:$Y$1004,"&gt;="&amp;_辅助!$J$4,考勤工资!$Y$5:$Y$1004,"&lt;="&amp;_辅助!$J$5)-(-SUMIFS(资金流水!$R$6:$R$2005,资金流水!$J$6:$J$2005,$A12,资金流水!$X$6:$X$2005,"应付职工薪酬",资金流水!$R$6:$R$2005,"&lt;0",资金流水!$S$6:$S$2005,"&gt;="&amp;_辅助!$J$4,资金流水!$S$6:$S$2005,"&lt;="&amp;_辅助!$J$5))-SUMIFS(代发抵账!$F$5:$F$304,代发抵账!$E$5:$E$304,$A12,代发抵账!$D$5:$D$304,"总包代发工资",代发抵账!$H$5:$H$304,"&gt;="&amp;_辅助!$J$4,代发抵账!$H$5:$H$304,"&lt;="&amp;_辅助!$J$5)+SUMIFS(资金流水!$R$6:$R$2005,资金流水!$J$6:$J$2005,$A12,资金流水!$X$6:$X$2005,"应付职工薪酬",资金流水!$R$6:$R$2005,"&gt;0",资金流水!$S$6:$S$2005,"&gt;="&amp;_辅助!$J$4,资金流水!$S$6:$S$2005,"&lt;="&amp;_辅助!$J$5),2))</f>
        <v>0</v>
      </c>
      <c r="G12">
        <f t="shared" si="2"/>
        <v>256240</v>
      </c>
      <c r="H12">
        <f t="shared" si="3"/>
        <v>256240</v>
      </c>
      <c r="I12">
        <f t="shared" si="4"/>
        <v>0</v>
      </c>
      <c r="J12">
        <f t="shared" si="5"/>
        <v>0</v>
      </c>
      <c r="K12">
        <f t="shared" si="6"/>
        <v>0</v>
      </c>
      <c r="L12">
        <f t="shared" si="7"/>
        <v>0</v>
      </c>
      <c r="M12">
        <f t="shared" si="8"/>
        <v>0</v>
      </c>
      <c r="P12">
        <f>基础资料!$G$14&amp;""</f>
      </c>
      <c r="Q12">
        <f>基础资料!$H$14&amp;""</f>
      </c>
      <c r="R12">
        <f>基础资料!$I$14&amp;""</f>
      </c>
      <c r="S12">
        <f>IF($P12="",0,ROUND(N(基础资料!$K$14)+SUMIFS(资金流水!$R$6:$R$2005,资金流水!$C$6:$C$2005,$P12,资金流水!$S$6:$S$2005,"&gt;="&amp;_辅助!$J$4,资金流水!$S$6:$S$2005,"&lt;="&amp;_辅助!$J$2)-SUMIFS(资金流水!$R$6:$R$2005,资金流水!$AD$6:$AD$2005,$P12,资金流水!$X$6:$X$2005,"账户互转",资金流水!$S$6:$S$2005,"&gt;="&amp;_辅助!$J$4,资金流水!$S$6:$S$2005,"&lt;="&amp;_辅助!$J$2),2))</f>
        <v>0</v>
      </c>
      <c r="T12">
        <f>IF($P12="",0,ROUND(N(基础资料!$K$14)+SUMIFS(资金流水!$R$6:$R$2005,资金流水!$C$6:$C$2005,$P12,资金流水!$S$6:$S$2005,"&gt;="&amp;_辅助!$J$4,资金流水!$S$6:$S$2005,"&lt;="&amp;_辅助!$J$5)-SUMIFS(资金流水!$R$6:$R$2005,资金流水!$AD$6:$AD$2005,$P12,资金流水!$X$6:$X$2005,"账户互转",资金流水!$S$6:$S$2005,"&gt;="&amp;_辅助!$J$4,资金流水!$S$6:$S$2005,"&lt;="&amp;_辅助!$J$5),2))</f>
        <v>0</v>
      </c>
    </row>
    <row r="13">
      <c r="A13" t="str">
        <f>往来单位!$B$14&amp;""</f>
        <v>浔阳楼电缆</v>
      </c>
      <c r="B13" t="str">
        <f>往来单位!$C$14&amp;""</f>
        <v>材料供应商</v>
      </c>
      <c r="C13">
        <f t="shared" si="0"/>
        <v>34537</v>
      </c>
      <c r="D13">
        <f t="shared" si="1"/>
        <v>78053</v>
      </c>
      <c r="E13">
        <f>IF(OR($A13="",NOT(OR($B13="管理人员",$B13="工人"))),0,ROUND(N(往来单位!$M$14)+J13-K13-L13+M13,2))</f>
        <v>0</v>
      </c>
      <c r="F13">
        <f>IF(OR($A13="",NOT(OR($B13="管理人员",$B13="工人"))),0,ROUND(N(往来单位!$M$14)+SUMIFS(考勤工资!$W$5:$W$1004,考勤工资!$C$5:$C$1004,$A13,考勤工资!$Y$5:$Y$1004,"&gt;="&amp;_辅助!$J$4,考勤工资!$Y$5:$Y$1004,"&lt;="&amp;_辅助!$J$5)-(-SUMIFS(资金流水!$R$6:$R$2005,资金流水!$J$6:$J$2005,$A13,资金流水!$X$6:$X$2005,"应付职工薪酬",资金流水!$R$6:$R$2005,"&lt;0",资金流水!$S$6:$S$2005,"&gt;="&amp;_辅助!$J$4,资金流水!$S$6:$S$2005,"&lt;="&amp;_辅助!$J$5))-SUMIFS(代发抵账!$F$5:$F$304,代发抵账!$E$5:$E$304,$A13,代发抵账!$D$5:$D$304,"总包代发工资",代发抵账!$H$5:$H$304,"&gt;="&amp;_辅助!$J$4,代发抵账!$H$5:$H$304,"&lt;="&amp;_辅助!$J$5)+SUMIFS(资金流水!$R$6:$R$2005,资金流水!$J$6:$J$2005,$A13,资金流水!$X$6:$X$2005,"应付职工薪酬",资金流水!$R$6:$R$2005,"&gt;0",资金流水!$S$6:$S$2005,"&gt;="&amp;_辅助!$J$4,资金流水!$S$6:$S$2005,"&lt;="&amp;_辅助!$J$5),2))</f>
        <v>0</v>
      </c>
      <c r="G13">
        <f t="shared" si="2"/>
        <v>222007</v>
      </c>
      <c r="H13">
        <f t="shared" si="3"/>
        <v>187470</v>
      </c>
      <c r="I13">
        <f t="shared" si="4"/>
        <v>0</v>
      </c>
      <c r="J13">
        <f t="shared" si="5"/>
        <v>0</v>
      </c>
      <c r="K13">
        <f t="shared" si="6"/>
        <v>0</v>
      </c>
      <c r="L13">
        <f t="shared" si="7"/>
        <v>0</v>
      </c>
      <c r="M13">
        <f t="shared" si="8"/>
        <v>0</v>
      </c>
      <c r="P13">
        <f>基础资料!$G$15&amp;""</f>
      </c>
      <c r="Q13">
        <f>基础资料!$H$15&amp;""</f>
      </c>
      <c r="R13">
        <f>基础资料!$I$15&amp;""</f>
      </c>
      <c r="S13">
        <f>IF($P13="",0,ROUND(N(基础资料!$K$15)+SUMIFS(资金流水!$R$6:$R$2005,资金流水!$C$6:$C$2005,$P13,资金流水!$S$6:$S$2005,"&gt;="&amp;_辅助!$J$4,资金流水!$S$6:$S$2005,"&lt;="&amp;_辅助!$J$2)-SUMIFS(资金流水!$R$6:$R$2005,资金流水!$AD$6:$AD$2005,$P13,资金流水!$X$6:$X$2005,"账户互转",资金流水!$S$6:$S$2005,"&gt;="&amp;_辅助!$J$4,资金流水!$S$6:$S$2005,"&lt;="&amp;_辅助!$J$2),2))</f>
        <v>0</v>
      </c>
      <c r="T13">
        <f>IF($P13="",0,ROUND(N(基础资料!$K$15)+SUMIFS(资金流水!$R$6:$R$2005,资金流水!$C$6:$C$2005,$P13,资金流水!$S$6:$S$2005,"&gt;="&amp;_辅助!$J$4,资金流水!$S$6:$S$2005,"&lt;="&amp;_辅助!$J$5)-SUMIFS(资金流水!$R$6:$R$2005,资金流水!$AD$6:$AD$2005,$P13,资金流水!$X$6:$X$2005,"账户互转",资金流水!$S$6:$S$2005,"&gt;="&amp;_辅助!$J$4,资金流水!$S$6:$S$2005,"&lt;="&amp;_辅助!$J$5),2))</f>
        <v>0</v>
      </c>
    </row>
    <row r="14">
      <c r="A14" t="str">
        <f>往来单位!$B$15&amp;""</f>
        <v>启航五金</v>
      </c>
      <c r="B14" t="str">
        <f>往来单位!$C$15&amp;""</f>
        <v>材料供应商</v>
      </c>
      <c r="C14">
        <f t="shared" si="0"/>
        <v>8459</v>
      </c>
      <c r="D14">
        <f t="shared" si="1"/>
        <v>18817</v>
      </c>
      <c r="E14">
        <f>IF(OR($A14="",NOT(OR($B14="管理人员",$B14="工人"))),0,ROUND(N(往来单位!$M$15)+J14-K14-L14+M14,2))</f>
        <v>0</v>
      </c>
      <c r="F14">
        <f>IF(OR($A14="",NOT(OR($B14="管理人员",$B14="工人"))),0,ROUND(N(往来单位!$M$15)+SUMIFS(考勤工资!$W$5:$W$1004,考勤工资!$C$5:$C$1004,$A14,考勤工资!$Y$5:$Y$1004,"&gt;="&amp;_辅助!$J$4,考勤工资!$Y$5:$Y$1004,"&lt;="&amp;_辅助!$J$5)-(-SUMIFS(资金流水!$R$6:$R$2005,资金流水!$J$6:$J$2005,$A14,资金流水!$X$6:$X$2005,"应付职工薪酬",资金流水!$R$6:$R$2005,"&lt;0",资金流水!$S$6:$S$2005,"&gt;="&amp;_辅助!$J$4,资金流水!$S$6:$S$2005,"&lt;="&amp;_辅助!$J$5))-SUMIFS(代发抵账!$F$5:$F$304,代发抵账!$E$5:$E$304,$A14,代发抵账!$D$5:$D$304,"总包代发工资",代发抵账!$H$5:$H$304,"&gt;="&amp;_辅助!$J$4,代发抵账!$H$5:$H$304,"&lt;="&amp;_辅助!$J$5)+SUMIFS(资金流水!$R$6:$R$2005,资金流水!$J$6:$J$2005,$A14,资金流水!$X$6:$X$2005,"应付职工薪酬",资金流水!$R$6:$R$2005,"&gt;0",资金流水!$S$6:$S$2005,"&gt;="&amp;_辅助!$J$4,资金流水!$S$6:$S$2005,"&lt;="&amp;_辅助!$J$5),2))</f>
        <v>0</v>
      </c>
      <c r="G14">
        <f t="shared" si="2"/>
        <v>30949</v>
      </c>
      <c r="H14">
        <f t="shared" si="3"/>
        <v>22490</v>
      </c>
      <c r="I14">
        <f t="shared" si="4"/>
        <v>0</v>
      </c>
      <c r="J14">
        <f t="shared" si="5"/>
        <v>0</v>
      </c>
      <c r="K14">
        <f t="shared" si="6"/>
        <v>0</v>
      </c>
      <c r="L14">
        <f t="shared" si="7"/>
        <v>0</v>
      </c>
      <c r="M14">
        <f t="shared" si="8"/>
        <v>0</v>
      </c>
      <c r="P14">
        <f>基础资料!$G$16&amp;""</f>
      </c>
      <c r="Q14">
        <f>基础资料!$H$16&amp;""</f>
      </c>
      <c r="R14">
        <f>基础资料!$I$16&amp;""</f>
      </c>
      <c r="S14">
        <f>IF($P14="",0,ROUND(N(基础资料!$K$16)+SUMIFS(资金流水!$R$6:$R$2005,资金流水!$C$6:$C$2005,$P14,资金流水!$S$6:$S$2005,"&gt;="&amp;_辅助!$J$4,资金流水!$S$6:$S$2005,"&lt;="&amp;_辅助!$J$2)-SUMIFS(资金流水!$R$6:$R$2005,资金流水!$AD$6:$AD$2005,$P14,资金流水!$X$6:$X$2005,"账户互转",资金流水!$S$6:$S$2005,"&gt;="&amp;_辅助!$J$4,资金流水!$S$6:$S$2005,"&lt;="&amp;_辅助!$J$2),2))</f>
        <v>0</v>
      </c>
      <c r="T14">
        <f>IF($P14="",0,ROUND(N(基础资料!$K$16)+SUMIFS(资金流水!$R$6:$R$2005,资金流水!$C$6:$C$2005,$P14,资金流水!$S$6:$S$2005,"&gt;="&amp;_辅助!$J$4,资金流水!$S$6:$S$2005,"&lt;="&amp;_辅助!$J$5)-SUMIFS(资金流水!$R$6:$R$2005,资金流水!$AD$6:$AD$2005,$P14,资金流水!$X$6:$X$2005,"账户互转",资金流水!$S$6:$S$2005,"&gt;="&amp;_辅助!$J$4,资金流水!$S$6:$S$2005,"&lt;="&amp;_辅助!$J$5),2))</f>
        <v>0</v>
      </c>
    </row>
    <row r="15">
      <c r="A15" t="str">
        <f>往来单位!$B$16&amp;""</f>
        <v>杭州行消物资贸易</v>
      </c>
      <c r="B15" t="str">
        <f>往来单位!$C$16&amp;""</f>
        <v>材料供应商</v>
      </c>
      <c r="C15">
        <f t="shared" si="0"/>
        <v>0</v>
      </c>
      <c r="D15">
        <f t="shared" si="1"/>
        <v>0</v>
      </c>
      <c r="E15">
        <f>IF(OR($A15="",NOT(OR($B15="管理人员",$B15="工人"))),0,ROUND(N(往来单位!$M$16)+J15-K15-L15+M15,2))</f>
        <v>0</v>
      </c>
      <c r="F15">
        <f>IF(OR($A15="",NOT(OR($B15="管理人员",$B15="工人"))),0,ROUND(N(往来单位!$M$16)+SUMIFS(考勤工资!$W$5:$W$1004,考勤工资!$C$5:$C$1004,$A15,考勤工资!$Y$5:$Y$1004,"&gt;="&amp;_辅助!$J$4,考勤工资!$Y$5:$Y$1004,"&lt;="&amp;_辅助!$J$5)-(-SUMIFS(资金流水!$R$6:$R$2005,资金流水!$J$6:$J$2005,$A15,资金流水!$X$6:$X$2005,"应付职工薪酬",资金流水!$R$6:$R$2005,"&lt;0",资金流水!$S$6:$S$2005,"&gt;="&amp;_辅助!$J$4,资金流水!$S$6:$S$2005,"&lt;="&amp;_辅助!$J$5))-SUMIFS(代发抵账!$F$5:$F$304,代发抵账!$E$5:$E$304,$A15,代发抵账!$D$5:$D$304,"总包代发工资",代发抵账!$H$5:$H$304,"&gt;="&amp;_辅助!$J$4,代发抵账!$H$5:$H$304,"&lt;="&amp;_辅助!$J$5)+SUMIFS(资金流水!$R$6:$R$2005,资金流水!$J$6:$J$2005,$A15,资金流水!$X$6:$X$2005,"应付职工薪酬",资金流水!$R$6:$R$2005,"&gt;0",资金流水!$S$6:$S$2005,"&gt;="&amp;_辅助!$J$4,资金流水!$S$6:$S$2005,"&lt;="&amp;_辅助!$J$5),2))</f>
        <v>0</v>
      </c>
      <c r="G15">
        <f t="shared" si="2"/>
        <v>36511</v>
      </c>
      <c r="H15">
        <f t="shared" si="3"/>
        <v>36511</v>
      </c>
      <c r="I15">
        <f t="shared" si="4"/>
        <v>0</v>
      </c>
      <c r="J15">
        <f t="shared" si="5"/>
        <v>0</v>
      </c>
      <c r="K15">
        <f t="shared" si="6"/>
        <v>0</v>
      </c>
      <c r="L15">
        <f t="shared" si="7"/>
        <v>0</v>
      </c>
      <c r="M15">
        <f t="shared" si="8"/>
        <v>0</v>
      </c>
      <c r="P15">
        <f>基础资料!$G$17&amp;""</f>
      </c>
      <c r="Q15">
        <f>基础资料!$H$17&amp;""</f>
      </c>
      <c r="R15">
        <f>基础资料!$I$17&amp;""</f>
      </c>
      <c r="S15">
        <f>IF($P15="",0,ROUND(N(基础资料!$K$17)+SUMIFS(资金流水!$R$6:$R$2005,资金流水!$C$6:$C$2005,$P15,资金流水!$S$6:$S$2005,"&gt;="&amp;_辅助!$J$4,资金流水!$S$6:$S$2005,"&lt;="&amp;_辅助!$J$2)-SUMIFS(资金流水!$R$6:$R$2005,资金流水!$AD$6:$AD$2005,$P15,资金流水!$X$6:$X$2005,"账户互转",资金流水!$S$6:$S$2005,"&gt;="&amp;_辅助!$J$4,资金流水!$S$6:$S$2005,"&lt;="&amp;_辅助!$J$2),2))</f>
        <v>0</v>
      </c>
      <c r="T15">
        <f>IF($P15="",0,ROUND(N(基础资料!$K$17)+SUMIFS(资金流水!$R$6:$R$2005,资金流水!$C$6:$C$2005,$P15,资金流水!$S$6:$S$2005,"&gt;="&amp;_辅助!$J$4,资金流水!$S$6:$S$2005,"&lt;="&amp;_辅助!$J$5)-SUMIFS(资金流水!$R$6:$R$2005,资金流水!$AD$6:$AD$2005,$P15,资金流水!$X$6:$X$2005,"账户互转",资金流水!$S$6:$S$2005,"&gt;="&amp;_辅助!$J$4,资金流水!$S$6:$S$2005,"&lt;="&amp;_辅助!$J$5),2))</f>
        <v>0</v>
      </c>
    </row>
    <row r="16">
      <c r="A16" t="str">
        <f>往来单位!$B$17&amp;""</f>
        <v>南昌盈厚建材</v>
      </c>
      <c r="B16" t="str">
        <f>往来单位!$C$17&amp;""</f>
        <v>材料供应商</v>
      </c>
      <c r="C16">
        <f t="shared" si="0"/>
        <v>0</v>
      </c>
      <c r="D16">
        <f t="shared" si="1"/>
        <v>0</v>
      </c>
      <c r="E16">
        <f>IF(OR($A16="",NOT(OR($B16="管理人员",$B16="工人"))),0,ROUND(N(往来单位!$M$17)+J16-K16-L16+M16,2))</f>
        <v>0</v>
      </c>
      <c r="F16">
        <f>IF(OR($A16="",NOT(OR($B16="管理人员",$B16="工人"))),0,ROUND(N(往来单位!$M$17)+SUMIFS(考勤工资!$W$5:$W$1004,考勤工资!$C$5:$C$1004,$A16,考勤工资!$Y$5:$Y$1004,"&gt;="&amp;_辅助!$J$4,考勤工资!$Y$5:$Y$1004,"&lt;="&amp;_辅助!$J$5)-(-SUMIFS(资金流水!$R$6:$R$2005,资金流水!$J$6:$J$2005,$A16,资金流水!$X$6:$X$2005,"应付职工薪酬",资金流水!$R$6:$R$2005,"&lt;0",资金流水!$S$6:$S$2005,"&gt;="&amp;_辅助!$J$4,资金流水!$S$6:$S$2005,"&lt;="&amp;_辅助!$J$5))-SUMIFS(代发抵账!$F$5:$F$304,代发抵账!$E$5:$E$304,$A16,代发抵账!$D$5:$D$304,"总包代发工资",代发抵账!$H$5:$H$304,"&gt;="&amp;_辅助!$J$4,代发抵账!$H$5:$H$304,"&lt;="&amp;_辅助!$J$5)+SUMIFS(资金流水!$R$6:$R$2005,资金流水!$J$6:$J$2005,$A16,资金流水!$X$6:$X$2005,"应付职工薪酬",资金流水!$R$6:$R$2005,"&gt;0",资金流水!$S$6:$S$2005,"&gt;="&amp;_辅助!$J$4,资金流水!$S$6:$S$2005,"&lt;="&amp;_辅助!$J$5),2))</f>
        <v>0</v>
      </c>
      <c r="G16">
        <f t="shared" si="2"/>
        <v>34674</v>
      </c>
      <c r="H16">
        <f t="shared" si="3"/>
        <v>34674</v>
      </c>
      <c r="I16">
        <f t="shared" si="4"/>
        <v>0</v>
      </c>
      <c r="J16">
        <f t="shared" si="5"/>
        <v>0</v>
      </c>
      <c r="K16">
        <f t="shared" si="6"/>
        <v>0</v>
      </c>
      <c r="L16">
        <f t="shared" si="7"/>
        <v>0</v>
      </c>
      <c r="M16">
        <f t="shared" si="8"/>
        <v>0</v>
      </c>
      <c r="P16">
        <f>基础资料!$G$18&amp;""</f>
      </c>
      <c r="Q16">
        <f>基础资料!$H$18&amp;""</f>
      </c>
      <c r="R16">
        <f>基础资料!$I$18&amp;""</f>
      </c>
      <c r="S16">
        <f>IF($P16="",0,ROUND(N(基础资料!$K$18)+SUMIFS(资金流水!$R$6:$R$2005,资金流水!$C$6:$C$2005,$P16,资金流水!$S$6:$S$2005,"&gt;="&amp;_辅助!$J$4,资金流水!$S$6:$S$2005,"&lt;="&amp;_辅助!$J$2)-SUMIFS(资金流水!$R$6:$R$2005,资金流水!$AD$6:$AD$2005,$P16,资金流水!$X$6:$X$2005,"账户互转",资金流水!$S$6:$S$2005,"&gt;="&amp;_辅助!$J$4,资金流水!$S$6:$S$2005,"&lt;="&amp;_辅助!$J$2),2))</f>
        <v>0</v>
      </c>
      <c r="T16">
        <f>IF($P16="",0,ROUND(N(基础资料!$K$18)+SUMIFS(资金流水!$R$6:$R$2005,资金流水!$C$6:$C$2005,$P16,资金流水!$S$6:$S$2005,"&gt;="&amp;_辅助!$J$4,资金流水!$S$6:$S$2005,"&lt;="&amp;_辅助!$J$5)-SUMIFS(资金流水!$R$6:$R$2005,资金流水!$AD$6:$AD$2005,$P16,资金流水!$X$6:$X$2005,"账户互转",资金流水!$S$6:$S$2005,"&gt;="&amp;_辅助!$J$4,资金流水!$S$6:$S$2005,"&lt;="&amp;_辅助!$J$5),2))</f>
        <v>0</v>
      </c>
    </row>
    <row r="17">
      <c r="A17" t="str">
        <f>往来单位!$B$18&amp;""</f>
        <v>浙缆元通电缆</v>
      </c>
      <c r="B17" t="str">
        <f>往来单位!$C$18&amp;""</f>
        <v>材料供应商</v>
      </c>
      <c r="C17">
        <f t="shared" si="0"/>
        <v>0</v>
      </c>
      <c r="D17">
        <f t="shared" si="1"/>
        <v>0</v>
      </c>
      <c r="E17">
        <f>IF(OR($A17="",NOT(OR($B17="管理人员",$B17="工人"))),0,ROUND(N(往来单位!$M$18)+J17-K17-L17+M17,2))</f>
        <v>0</v>
      </c>
      <c r="F17">
        <f>IF(OR($A17="",NOT(OR($B17="管理人员",$B17="工人"))),0,ROUND(N(往来单位!$M$18)+SUMIFS(考勤工资!$W$5:$W$1004,考勤工资!$C$5:$C$1004,$A17,考勤工资!$Y$5:$Y$1004,"&gt;="&amp;_辅助!$J$4,考勤工资!$Y$5:$Y$1004,"&lt;="&amp;_辅助!$J$5)-(-SUMIFS(资金流水!$R$6:$R$2005,资金流水!$J$6:$J$2005,$A17,资金流水!$X$6:$X$2005,"应付职工薪酬",资金流水!$R$6:$R$2005,"&lt;0",资金流水!$S$6:$S$2005,"&gt;="&amp;_辅助!$J$4,资金流水!$S$6:$S$2005,"&lt;="&amp;_辅助!$J$5))-SUMIFS(代发抵账!$F$5:$F$304,代发抵账!$E$5:$E$304,$A17,代发抵账!$D$5:$D$304,"总包代发工资",代发抵账!$H$5:$H$304,"&gt;="&amp;_辅助!$J$4,代发抵账!$H$5:$H$304,"&lt;="&amp;_辅助!$J$5)+SUMIFS(资金流水!$R$6:$R$2005,资金流水!$J$6:$J$2005,$A17,资金流水!$X$6:$X$2005,"应付职工薪酬",资金流水!$R$6:$R$2005,"&gt;0",资金流水!$S$6:$S$2005,"&gt;="&amp;_辅助!$J$4,资金流水!$S$6:$S$2005,"&lt;="&amp;_辅助!$J$5),2))</f>
        <v>0</v>
      </c>
      <c r="G17">
        <f t="shared" si="2"/>
        <v>74807.4</v>
      </c>
      <c r="H17">
        <f t="shared" si="3"/>
        <v>74807.4</v>
      </c>
      <c r="I17">
        <f t="shared" si="4"/>
        <v>0</v>
      </c>
      <c r="J17">
        <f t="shared" si="5"/>
        <v>0</v>
      </c>
      <c r="K17">
        <f t="shared" si="6"/>
        <v>0</v>
      </c>
      <c r="L17">
        <f t="shared" si="7"/>
        <v>0</v>
      </c>
      <c r="M17">
        <f t="shared" si="8"/>
        <v>0</v>
      </c>
      <c r="P17">
        <f>基础资料!$G$19&amp;""</f>
      </c>
      <c r="Q17">
        <f>基础资料!$H$19&amp;""</f>
      </c>
      <c r="R17">
        <f>基础资料!$I$19&amp;""</f>
      </c>
      <c r="S17">
        <f>IF($P17="",0,ROUND(N(基础资料!$K$19)+SUMIFS(资金流水!$R$6:$R$2005,资金流水!$C$6:$C$2005,$P17,资金流水!$S$6:$S$2005,"&gt;="&amp;_辅助!$J$4,资金流水!$S$6:$S$2005,"&lt;="&amp;_辅助!$J$2)-SUMIFS(资金流水!$R$6:$R$2005,资金流水!$AD$6:$AD$2005,$P17,资金流水!$X$6:$X$2005,"账户互转",资金流水!$S$6:$S$2005,"&gt;="&amp;_辅助!$J$4,资金流水!$S$6:$S$2005,"&lt;="&amp;_辅助!$J$2),2))</f>
        <v>0</v>
      </c>
      <c r="T17">
        <f>IF($P17="",0,ROUND(N(基础资料!$K$19)+SUMIFS(资金流水!$R$6:$R$2005,资金流水!$C$6:$C$2005,$P17,资金流水!$S$6:$S$2005,"&gt;="&amp;_辅助!$J$4,资金流水!$S$6:$S$2005,"&lt;="&amp;_辅助!$J$5)-SUMIFS(资金流水!$R$6:$R$2005,资金流水!$AD$6:$AD$2005,$P17,资金流水!$X$6:$X$2005,"账户互转",资金流水!$S$6:$S$2005,"&gt;="&amp;_辅助!$J$4,资金流水!$S$6:$S$2005,"&lt;="&amp;_辅助!$J$5),2))</f>
        <v>0</v>
      </c>
    </row>
    <row r="18">
      <c r="A18" t="str">
        <f>往来单位!$B$19&amp;""</f>
        <v>江西允诺消防</v>
      </c>
      <c r="B18" t="str">
        <f>往来单位!$C$19&amp;""</f>
        <v>材料供应商</v>
      </c>
      <c r="C18">
        <f t="shared" si="0"/>
        <v>0</v>
      </c>
      <c r="D18">
        <f t="shared" si="1"/>
        <v>0</v>
      </c>
      <c r="E18">
        <f>IF(OR($A18="",NOT(OR($B18="管理人员",$B18="工人"))),0,ROUND(N(往来单位!$M$19)+J18-K18-L18+M18,2))</f>
        <v>0</v>
      </c>
      <c r="F18">
        <f>IF(OR($A18="",NOT(OR($B18="管理人员",$B18="工人"))),0,ROUND(N(往来单位!$M$19)+SUMIFS(考勤工资!$W$5:$W$1004,考勤工资!$C$5:$C$1004,$A18,考勤工资!$Y$5:$Y$1004,"&gt;="&amp;_辅助!$J$4,考勤工资!$Y$5:$Y$1004,"&lt;="&amp;_辅助!$J$5)-(-SUMIFS(资金流水!$R$6:$R$2005,资金流水!$J$6:$J$2005,$A18,资金流水!$X$6:$X$2005,"应付职工薪酬",资金流水!$R$6:$R$2005,"&lt;0",资金流水!$S$6:$S$2005,"&gt;="&amp;_辅助!$J$4,资金流水!$S$6:$S$2005,"&lt;="&amp;_辅助!$J$5))-SUMIFS(代发抵账!$F$5:$F$304,代发抵账!$E$5:$E$304,$A18,代发抵账!$D$5:$D$304,"总包代发工资",代发抵账!$H$5:$H$304,"&gt;="&amp;_辅助!$J$4,代发抵账!$H$5:$H$304,"&lt;="&amp;_辅助!$J$5)+SUMIFS(资金流水!$R$6:$R$2005,资金流水!$J$6:$J$2005,$A18,资金流水!$X$6:$X$2005,"应付职工薪酬",资金流水!$R$6:$R$2005,"&gt;0",资金流水!$S$6:$S$2005,"&gt;="&amp;_辅助!$J$4,资金流水!$S$6:$S$2005,"&lt;="&amp;_辅助!$J$5),2))</f>
        <v>0</v>
      </c>
      <c r="G18">
        <f t="shared" si="2"/>
        <v>45881</v>
      </c>
      <c r="H18">
        <f t="shared" si="3"/>
        <v>45881</v>
      </c>
      <c r="I18">
        <f t="shared" si="4"/>
        <v>0</v>
      </c>
      <c r="J18">
        <f t="shared" si="5"/>
        <v>0</v>
      </c>
      <c r="K18">
        <f t="shared" si="6"/>
        <v>0</v>
      </c>
      <c r="L18">
        <f t="shared" si="7"/>
        <v>0</v>
      </c>
      <c r="M18">
        <f t="shared" si="8"/>
        <v>0</v>
      </c>
      <c r="P18">
        <f>基础资料!$G$20&amp;""</f>
      </c>
      <c r="Q18">
        <f>基础资料!$H$20&amp;""</f>
      </c>
      <c r="R18">
        <f>基础资料!$I$20&amp;""</f>
      </c>
      <c r="S18">
        <f>IF($P18="",0,ROUND(N(基础资料!$K$20)+SUMIFS(资金流水!$R$6:$R$2005,资金流水!$C$6:$C$2005,$P18,资金流水!$S$6:$S$2005,"&gt;="&amp;_辅助!$J$4,资金流水!$S$6:$S$2005,"&lt;="&amp;_辅助!$J$2)-SUMIFS(资金流水!$R$6:$R$2005,资金流水!$AD$6:$AD$2005,$P18,资金流水!$X$6:$X$2005,"账户互转",资金流水!$S$6:$S$2005,"&gt;="&amp;_辅助!$J$4,资金流水!$S$6:$S$2005,"&lt;="&amp;_辅助!$J$2),2))</f>
        <v>0</v>
      </c>
      <c r="T18">
        <f>IF($P18="",0,ROUND(N(基础资料!$K$20)+SUMIFS(资金流水!$R$6:$R$2005,资金流水!$C$6:$C$2005,$P18,资金流水!$S$6:$S$2005,"&gt;="&amp;_辅助!$J$4,资金流水!$S$6:$S$2005,"&lt;="&amp;_辅助!$J$5)-SUMIFS(资金流水!$R$6:$R$2005,资金流水!$AD$6:$AD$2005,$P18,资金流水!$X$6:$X$2005,"账户互转",资金流水!$S$6:$S$2005,"&gt;="&amp;_辅助!$J$4,资金流水!$S$6:$S$2005,"&lt;="&amp;_辅助!$J$5),2))</f>
        <v>0</v>
      </c>
    </row>
    <row r="19">
      <c r="A19" t="str">
        <f>往来单位!$B$20&amp;""</f>
        <v>江西沐丰水箱</v>
      </c>
      <c r="B19" t="str">
        <f>往来单位!$C$20&amp;""</f>
        <v>材料供应商</v>
      </c>
      <c r="C19">
        <f t="shared" si="0"/>
        <v>1500</v>
      </c>
      <c r="D19">
        <f t="shared" si="1"/>
        <v>23500</v>
      </c>
      <c r="E19">
        <f>IF(OR($A19="",NOT(OR($B19="管理人员",$B19="工人"))),0,ROUND(N(往来单位!$M$20)+J19-K19-L19+M19,2))</f>
        <v>0</v>
      </c>
      <c r="F19">
        <f>IF(OR($A19="",NOT(OR($B19="管理人员",$B19="工人"))),0,ROUND(N(往来单位!$M$20)+SUMIFS(考勤工资!$W$5:$W$1004,考勤工资!$C$5:$C$1004,$A19,考勤工资!$Y$5:$Y$1004,"&gt;="&amp;_辅助!$J$4,考勤工资!$Y$5:$Y$1004,"&lt;="&amp;_辅助!$J$5)-(-SUMIFS(资金流水!$R$6:$R$2005,资金流水!$J$6:$J$2005,$A19,资金流水!$X$6:$X$2005,"应付职工薪酬",资金流水!$R$6:$R$2005,"&lt;0",资金流水!$S$6:$S$2005,"&gt;="&amp;_辅助!$J$4,资金流水!$S$6:$S$2005,"&lt;="&amp;_辅助!$J$5))-SUMIFS(代发抵账!$F$5:$F$304,代发抵账!$E$5:$E$304,$A19,代发抵账!$D$5:$D$304,"总包代发工资",代发抵账!$H$5:$H$304,"&gt;="&amp;_辅助!$J$4,代发抵账!$H$5:$H$304,"&lt;="&amp;_辅助!$J$5)+SUMIFS(资金流水!$R$6:$R$2005,资金流水!$J$6:$J$2005,$A19,资金流水!$X$6:$X$2005,"应付职工薪酬",资金流水!$R$6:$R$2005,"&gt;0",资金流水!$S$6:$S$2005,"&gt;="&amp;_辅助!$J$4,资金流水!$S$6:$S$2005,"&lt;="&amp;_辅助!$J$5),2))</f>
        <v>0</v>
      </c>
      <c r="G19">
        <f t="shared" si="2"/>
        <v>55000</v>
      </c>
      <c r="H19">
        <f t="shared" si="3"/>
        <v>53500</v>
      </c>
      <c r="I19">
        <f t="shared" si="4"/>
        <v>0</v>
      </c>
      <c r="J19">
        <f t="shared" si="5"/>
        <v>0</v>
      </c>
      <c r="K19">
        <f t="shared" si="6"/>
        <v>0</v>
      </c>
      <c r="L19">
        <f t="shared" si="7"/>
        <v>0</v>
      </c>
      <c r="M19">
        <f t="shared" si="8"/>
        <v>0</v>
      </c>
      <c r="P19">
        <f>基础资料!$G$21&amp;""</f>
      </c>
      <c r="Q19">
        <f>基础资料!$H$21&amp;""</f>
      </c>
      <c r="R19">
        <f>基础资料!$I$21&amp;""</f>
      </c>
      <c r="S19">
        <f>IF($P19="",0,ROUND(N(基础资料!$K$21)+SUMIFS(资金流水!$R$6:$R$2005,资金流水!$C$6:$C$2005,$P19,资金流水!$S$6:$S$2005,"&gt;="&amp;_辅助!$J$4,资金流水!$S$6:$S$2005,"&lt;="&amp;_辅助!$J$2)-SUMIFS(资金流水!$R$6:$R$2005,资金流水!$AD$6:$AD$2005,$P19,资金流水!$X$6:$X$2005,"账户互转",资金流水!$S$6:$S$2005,"&gt;="&amp;_辅助!$J$4,资金流水!$S$6:$S$2005,"&lt;="&amp;_辅助!$J$2),2))</f>
        <v>0</v>
      </c>
      <c r="T19">
        <f>IF($P19="",0,ROUND(N(基础资料!$K$21)+SUMIFS(资金流水!$R$6:$R$2005,资金流水!$C$6:$C$2005,$P19,资金流水!$S$6:$S$2005,"&gt;="&amp;_辅助!$J$4,资金流水!$S$6:$S$2005,"&lt;="&amp;_辅助!$J$5)-SUMIFS(资金流水!$R$6:$R$2005,资金流水!$AD$6:$AD$2005,$P19,资金流水!$X$6:$X$2005,"账户互转",资金流水!$S$6:$S$2005,"&gt;="&amp;_辅助!$J$4,资金流水!$S$6:$S$2005,"&lt;="&amp;_辅助!$J$5),2))</f>
        <v>0</v>
      </c>
    </row>
    <row r="20">
      <c r="A20" t="str">
        <f>往来单位!$B$21&amp;""</f>
        <v>上海诚果泵阀</v>
      </c>
      <c r="B20" t="str">
        <f>往来单位!$C$21&amp;""</f>
        <v>材料供应商</v>
      </c>
      <c r="C20">
        <f t="shared" si="0"/>
        <v>0</v>
      </c>
      <c r="D20">
        <f t="shared" si="1"/>
        <v>11800</v>
      </c>
      <c r="E20">
        <f>IF(OR($A20="",NOT(OR($B20="管理人员",$B20="工人"))),0,ROUND(N(往来单位!$M$21)+J20-K20-L20+M20,2))</f>
        <v>0</v>
      </c>
      <c r="F20">
        <f>IF(OR($A20="",NOT(OR($B20="管理人员",$B20="工人"))),0,ROUND(N(往来单位!$M$21)+SUMIFS(考勤工资!$W$5:$W$1004,考勤工资!$C$5:$C$1004,$A20,考勤工资!$Y$5:$Y$1004,"&gt;="&amp;_辅助!$J$4,考勤工资!$Y$5:$Y$1004,"&lt;="&amp;_辅助!$J$5)-(-SUMIFS(资金流水!$R$6:$R$2005,资金流水!$J$6:$J$2005,$A20,资金流水!$X$6:$X$2005,"应付职工薪酬",资金流水!$R$6:$R$2005,"&lt;0",资金流水!$S$6:$S$2005,"&gt;="&amp;_辅助!$J$4,资金流水!$S$6:$S$2005,"&lt;="&amp;_辅助!$J$5))-SUMIFS(代发抵账!$F$5:$F$304,代发抵账!$E$5:$E$304,$A20,代发抵账!$D$5:$D$304,"总包代发工资",代发抵账!$H$5:$H$304,"&gt;="&amp;_辅助!$J$4,代发抵账!$H$5:$H$304,"&lt;="&amp;_辅助!$J$5)+SUMIFS(资金流水!$R$6:$R$2005,资金流水!$J$6:$J$2005,$A20,资金流水!$X$6:$X$2005,"应付职工薪酬",资金流水!$R$6:$R$2005,"&gt;0",资金流水!$S$6:$S$2005,"&gt;="&amp;_辅助!$J$4,资金流水!$S$6:$S$2005,"&lt;="&amp;_辅助!$J$5),2))</f>
        <v>0</v>
      </c>
      <c r="G20">
        <f t="shared" si="2"/>
        <v>90744</v>
      </c>
      <c r="H20">
        <f t="shared" si="3"/>
        <v>90744</v>
      </c>
      <c r="I20">
        <f t="shared" si="4"/>
        <v>0</v>
      </c>
      <c r="J20">
        <f t="shared" si="5"/>
        <v>0</v>
      </c>
      <c r="K20">
        <f t="shared" si="6"/>
        <v>0</v>
      </c>
      <c r="L20">
        <f t="shared" si="7"/>
        <v>0</v>
      </c>
      <c r="M20">
        <f t="shared" si="8"/>
        <v>0</v>
      </c>
      <c r="P20">
        <f>基础资料!$G$22&amp;""</f>
      </c>
      <c r="Q20">
        <f>基础资料!$H$22&amp;""</f>
      </c>
      <c r="R20">
        <f>基础资料!$I$22&amp;""</f>
      </c>
      <c r="S20">
        <f>IF($P20="",0,ROUND(N(基础资料!$K$22)+SUMIFS(资金流水!$R$6:$R$2005,资金流水!$C$6:$C$2005,$P20,资金流水!$S$6:$S$2005,"&gt;="&amp;_辅助!$J$4,资金流水!$S$6:$S$2005,"&lt;="&amp;_辅助!$J$2)-SUMIFS(资金流水!$R$6:$R$2005,资金流水!$AD$6:$AD$2005,$P20,资金流水!$X$6:$X$2005,"账户互转",资金流水!$S$6:$S$2005,"&gt;="&amp;_辅助!$J$4,资金流水!$S$6:$S$2005,"&lt;="&amp;_辅助!$J$2),2))</f>
        <v>0</v>
      </c>
      <c r="T20">
        <f>IF($P20="",0,ROUND(N(基础资料!$K$22)+SUMIFS(资金流水!$R$6:$R$2005,资金流水!$C$6:$C$2005,$P20,资金流水!$S$6:$S$2005,"&gt;="&amp;_辅助!$J$4,资金流水!$S$6:$S$2005,"&lt;="&amp;_辅助!$J$5)-SUMIFS(资金流水!$R$6:$R$2005,资金流水!$AD$6:$AD$2005,$P20,资金流水!$X$6:$X$2005,"账户互转",资金流水!$S$6:$S$2005,"&gt;="&amp;_辅助!$J$4,资金流水!$S$6:$S$2005,"&lt;="&amp;_辅助!$J$5),2))</f>
        <v>0</v>
      </c>
    </row>
    <row r="21">
      <c r="A21" t="str">
        <f>往来单位!$B$22&amp;""</f>
        <v>佩力通风</v>
      </c>
      <c r="B21" t="str">
        <f>往来单位!$C$22&amp;""</f>
        <v>材料供应商</v>
      </c>
      <c r="C21">
        <f t="shared" si="0"/>
        <v>-1673</v>
      </c>
      <c r="D21">
        <f t="shared" si="1"/>
        <v>7397</v>
      </c>
      <c r="E21">
        <f>IF(OR($A21="",NOT(OR($B21="管理人员",$B21="工人"))),0,ROUND(N(往来单位!$M$22)+J21-K21-L21+M21,2))</f>
        <v>0</v>
      </c>
      <c r="F21">
        <f>IF(OR($A21="",NOT(OR($B21="管理人员",$B21="工人"))),0,ROUND(N(往来单位!$M$22)+SUMIFS(考勤工资!$W$5:$W$1004,考勤工资!$C$5:$C$1004,$A21,考勤工资!$Y$5:$Y$1004,"&gt;="&amp;_辅助!$J$4,考勤工资!$Y$5:$Y$1004,"&lt;="&amp;_辅助!$J$5)-(-SUMIFS(资金流水!$R$6:$R$2005,资金流水!$J$6:$J$2005,$A21,资金流水!$X$6:$X$2005,"应付职工薪酬",资金流水!$R$6:$R$2005,"&lt;0",资金流水!$S$6:$S$2005,"&gt;="&amp;_辅助!$J$4,资金流水!$S$6:$S$2005,"&lt;="&amp;_辅助!$J$5))-SUMIFS(代发抵账!$F$5:$F$304,代发抵账!$E$5:$E$304,$A21,代发抵账!$D$5:$D$304,"总包代发工资",代发抵账!$H$5:$H$304,"&gt;="&amp;_辅助!$J$4,代发抵账!$H$5:$H$304,"&lt;="&amp;_辅助!$J$5)+SUMIFS(资金流水!$R$6:$R$2005,资金流水!$J$6:$J$2005,$A21,资金流水!$X$6:$X$2005,"应付职工薪酬",资金流水!$R$6:$R$2005,"&gt;0",资金流水!$S$6:$S$2005,"&gt;="&amp;_辅助!$J$4,资金流水!$S$6:$S$2005,"&lt;="&amp;_辅助!$J$5),2))</f>
        <v>0</v>
      </c>
      <c r="G21">
        <f t="shared" si="2"/>
        <v>112695</v>
      </c>
      <c r="H21">
        <f t="shared" si="3"/>
        <v>114368</v>
      </c>
      <c r="I21">
        <f t="shared" si="4"/>
        <v>0</v>
      </c>
      <c r="J21">
        <f t="shared" si="5"/>
        <v>0</v>
      </c>
      <c r="K21">
        <f t="shared" si="6"/>
        <v>0</v>
      </c>
      <c r="L21">
        <f t="shared" si="7"/>
        <v>0</v>
      </c>
      <c r="M21">
        <f t="shared" si="8"/>
        <v>0</v>
      </c>
      <c r="P21">
        <f>基础资料!$G$23&amp;""</f>
      </c>
      <c r="Q21">
        <f>基础资料!$H$23&amp;""</f>
      </c>
      <c r="R21">
        <f>基础资料!$I$23&amp;""</f>
      </c>
      <c r="S21">
        <f>IF($P21="",0,ROUND(N(基础资料!$K$23)+SUMIFS(资金流水!$R$6:$R$2005,资金流水!$C$6:$C$2005,$P21,资金流水!$S$6:$S$2005,"&gt;="&amp;_辅助!$J$4,资金流水!$S$6:$S$2005,"&lt;="&amp;_辅助!$J$2)-SUMIFS(资金流水!$R$6:$R$2005,资金流水!$AD$6:$AD$2005,$P21,资金流水!$X$6:$X$2005,"账户互转",资金流水!$S$6:$S$2005,"&gt;="&amp;_辅助!$J$4,资金流水!$S$6:$S$2005,"&lt;="&amp;_辅助!$J$2),2))</f>
        <v>0</v>
      </c>
      <c r="T21">
        <f>IF($P21="",0,ROUND(N(基础资料!$K$23)+SUMIFS(资金流水!$R$6:$R$2005,资金流水!$C$6:$C$2005,$P21,资金流水!$S$6:$S$2005,"&gt;="&amp;_辅助!$J$4,资金流水!$S$6:$S$2005,"&lt;="&amp;_辅助!$J$5)-SUMIFS(资金流水!$R$6:$R$2005,资金流水!$AD$6:$AD$2005,$P21,资金流水!$X$6:$X$2005,"账户互转",资金流水!$S$6:$S$2005,"&gt;="&amp;_辅助!$J$4,资金流水!$S$6:$S$2005,"&lt;="&amp;_辅助!$J$5),2))</f>
        <v>0</v>
      </c>
    </row>
    <row r="22">
      <c r="A22" t="str">
        <f>往来单位!$B$23&amp;""</f>
        <v>浙江寅盾智能</v>
      </c>
      <c r="B22" t="str">
        <f>往来单位!$C$23&amp;""</f>
        <v>材料供应商</v>
      </c>
      <c r="C22">
        <f t="shared" si="0"/>
        <v>0</v>
      </c>
      <c r="D22">
        <f t="shared" si="1"/>
        <v>0</v>
      </c>
      <c r="E22">
        <f>IF(OR($A22="",NOT(OR($B22="管理人员",$B22="工人"))),0,ROUND(N(往来单位!$M$23)+J22-K22-L22+M22,2))</f>
        <v>0</v>
      </c>
      <c r="F22">
        <f>IF(OR($A22="",NOT(OR($B22="管理人员",$B22="工人"))),0,ROUND(N(往来单位!$M$23)+SUMIFS(考勤工资!$W$5:$W$1004,考勤工资!$C$5:$C$1004,$A22,考勤工资!$Y$5:$Y$1004,"&gt;="&amp;_辅助!$J$4,考勤工资!$Y$5:$Y$1004,"&lt;="&amp;_辅助!$J$5)-(-SUMIFS(资金流水!$R$6:$R$2005,资金流水!$J$6:$J$2005,$A22,资金流水!$X$6:$X$2005,"应付职工薪酬",资金流水!$R$6:$R$2005,"&lt;0",资金流水!$S$6:$S$2005,"&gt;="&amp;_辅助!$J$4,资金流水!$S$6:$S$2005,"&lt;="&amp;_辅助!$J$5))-SUMIFS(代发抵账!$F$5:$F$304,代发抵账!$E$5:$E$304,$A22,代发抵账!$D$5:$D$304,"总包代发工资",代发抵账!$H$5:$H$304,"&gt;="&amp;_辅助!$J$4,代发抵账!$H$5:$H$304,"&lt;="&amp;_辅助!$J$5)+SUMIFS(资金流水!$R$6:$R$2005,资金流水!$J$6:$J$2005,$A22,资金流水!$X$6:$X$2005,"应付职工薪酬",资金流水!$R$6:$R$2005,"&gt;0",资金流水!$S$6:$S$2005,"&gt;="&amp;_辅助!$J$4,资金流水!$S$6:$S$2005,"&lt;="&amp;_辅助!$J$5),2))</f>
        <v>0</v>
      </c>
      <c r="G22">
        <f t="shared" si="2"/>
        <v>42600</v>
      </c>
      <c r="H22">
        <f t="shared" si="3"/>
        <v>42600</v>
      </c>
      <c r="I22">
        <f t="shared" si="4"/>
        <v>0</v>
      </c>
      <c r="J22">
        <f t="shared" si="5"/>
        <v>0</v>
      </c>
      <c r="K22">
        <f t="shared" si="6"/>
        <v>0</v>
      </c>
      <c r="L22">
        <f t="shared" si="7"/>
        <v>0</v>
      </c>
      <c r="M22">
        <f t="shared" si="8"/>
        <v>0</v>
      </c>
      <c r="P22">
        <f>基础资料!$G$24&amp;""</f>
      </c>
      <c r="Q22">
        <f>基础资料!$H$24&amp;""</f>
      </c>
      <c r="R22">
        <f>基础资料!$I$24&amp;""</f>
      </c>
      <c r="S22">
        <f>IF($P22="",0,ROUND(N(基础资料!$K$24)+SUMIFS(资金流水!$R$6:$R$2005,资金流水!$C$6:$C$2005,$P22,资金流水!$S$6:$S$2005,"&gt;="&amp;_辅助!$J$4,资金流水!$S$6:$S$2005,"&lt;="&amp;_辅助!$J$2)-SUMIFS(资金流水!$R$6:$R$2005,资金流水!$AD$6:$AD$2005,$P22,资金流水!$X$6:$X$2005,"账户互转",资金流水!$S$6:$S$2005,"&gt;="&amp;_辅助!$J$4,资金流水!$S$6:$S$2005,"&lt;="&amp;_辅助!$J$2),2))</f>
        <v>0</v>
      </c>
      <c r="T22">
        <f>IF($P22="",0,ROUND(N(基础资料!$K$24)+SUMIFS(资金流水!$R$6:$R$2005,资金流水!$C$6:$C$2005,$P22,资金流水!$S$6:$S$2005,"&gt;="&amp;_辅助!$J$4,资金流水!$S$6:$S$2005,"&lt;="&amp;_辅助!$J$5)-SUMIFS(资金流水!$R$6:$R$2005,资金流水!$AD$6:$AD$2005,$P22,资金流水!$X$6:$X$2005,"账户互转",资金流水!$S$6:$S$2005,"&gt;="&amp;_辅助!$J$4,资金流水!$S$6:$S$2005,"&lt;="&amp;_辅助!$J$5),2))</f>
        <v>0</v>
      </c>
    </row>
    <row r="23">
      <c r="A23" t="str">
        <f>往来单位!$B$24&amp;""</f>
        <v>华翔桥架</v>
      </c>
      <c r="B23" t="str">
        <f>往来单位!$C$24&amp;""</f>
        <v>材料供应商</v>
      </c>
      <c r="C23">
        <f t="shared" si="0"/>
        <v>0</v>
      </c>
      <c r="D23">
        <f t="shared" si="1"/>
        <v>0</v>
      </c>
      <c r="E23">
        <f>IF(OR($A23="",NOT(OR($B23="管理人员",$B23="工人"))),0,ROUND(N(往来单位!$M$24)+J23-K23-L23+M23,2))</f>
        <v>0</v>
      </c>
      <c r="F23">
        <f>IF(OR($A23="",NOT(OR($B23="管理人员",$B23="工人"))),0,ROUND(N(往来单位!$M$24)+SUMIFS(考勤工资!$W$5:$W$1004,考勤工资!$C$5:$C$1004,$A23,考勤工资!$Y$5:$Y$1004,"&gt;="&amp;_辅助!$J$4,考勤工资!$Y$5:$Y$1004,"&lt;="&amp;_辅助!$J$5)-(-SUMIFS(资金流水!$R$6:$R$2005,资金流水!$J$6:$J$2005,$A23,资金流水!$X$6:$X$2005,"应付职工薪酬",资金流水!$R$6:$R$2005,"&lt;0",资金流水!$S$6:$S$2005,"&gt;="&amp;_辅助!$J$4,资金流水!$S$6:$S$2005,"&lt;="&amp;_辅助!$J$5))-SUMIFS(代发抵账!$F$5:$F$304,代发抵账!$E$5:$E$304,$A23,代发抵账!$D$5:$D$304,"总包代发工资",代发抵账!$H$5:$H$304,"&gt;="&amp;_辅助!$J$4,代发抵账!$H$5:$H$304,"&lt;="&amp;_辅助!$J$5)+SUMIFS(资金流水!$R$6:$R$2005,资金流水!$J$6:$J$2005,$A23,资金流水!$X$6:$X$2005,"应付职工薪酬",资金流水!$R$6:$R$2005,"&gt;0",资金流水!$S$6:$S$2005,"&gt;="&amp;_辅助!$J$4,资金流水!$S$6:$S$2005,"&lt;="&amp;_辅助!$J$5),2))</f>
        <v>0</v>
      </c>
      <c r="G23">
        <f t="shared" si="2"/>
        <v>0</v>
      </c>
      <c r="H23">
        <f t="shared" si="3"/>
        <v>0</v>
      </c>
      <c r="I23">
        <f t="shared" si="4"/>
        <v>0</v>
      </c>
      <c r="J23">
        <f t="shared" si="5"/>
        <v>0</v>
      </c>
      <c r="K23">
        <f t="shared" si="6"/>
        <v>0</v>
      </c>
      <c r="L23">
        <f t="shared" si="7"/>
        <v>0</v>
      </c>
      <c r="M23">
        <f t="shared" si="8"/>
        <v>0</v>
      </c>
    </row>
    <row r="24">
      <c r="A24" t="str">
        <f>往来单位!$B$25&amp;""</f>
        <v>拓齐</v>
      </c>
      <c r="B24" t="str">
        <f>往来单位!$C$25&amp;""</f>
        <v>材料供应商</v>
      </c>
      <c r="C24">
        <f t="shared" si="0"/>
        <v>0</v>
      </c>
      <c r="D24">
        <f t="shared" si="1"/>
        <v>0</v>
      </c>
      <c r="E24">
        <f>IF(OR($A24="",NOT(OR($B24="管理人员",$B24="工人"))),0,ROUND(N(往来单位!$M$25)+J24-K24-L24+M24,2))</f>
        <v>0</v>
      </c>
      <c r="F24">
        <f>IF(OR($A24="",NOT(OR($B24="管理人员",$B24="工人"))),0,ROUND(N(往来单位!$M$25)+SUMIFS(考勤工资!$W$5:$W$1004,考勤工资!$C$5:$C$1004,$A24,考勤工资!$Y$5:$Y$1004,"&gt;="&amp;_辅助!$J$4,考勤工资!$Y$5:$Y$1004,"&lt;="&amp;_辅助!$J$5)-(-SUMIFS(资金流水!$R$6:$R$2005,资金流水!$J$6:$J$2005,$A24,资金流水!$X$6:$X$2005,"应付职工薪酬",资金流水!$R$6:$R$2005,"&lt;0",资金流水!$S$6:$S$2005,"&gt;="&amp;_辅助!$J$4,资金流水!$S$6:$S$2005,"&lt;="&amp;_辅助!$J$5))-SUMIFS(代发抵账!$F$5:$F$304,代发抵账!$E$5:$E$304,$A24,代发抵账!$D$5:$D$304,"总包代发工资",代发抵账!$H$5:$H$304,"&gt;="&amp;_辅助!$J$4,代发抵账!$H$5:$H$304,"&lt;="&amp;_辅助!$J$5)+SUMIFS(资金流水!$R$6:$R$2005,资金流水!$J$6:$J$2005,$A24,资金流水!$X$6:$X$2005,"应付职工薪酬",资金流水!$R$6:$R$2005,"&gt;0",资金流水!$S$6:$S$2005,"&gt;="&amp;_辅助!$J$4,资金流水!$S$6:$S$2005,"&lt;="&amp;_辅助!$J$5),2))</f>
        <v>0</v>
      </c>
      <c r="G24">
        <f t="shared" si="2"/>
        <v>0</v>
      </c>
      <c r="H24">
        <f t="shared" si="3"/>
        <v>0</v>
      </c>
      <c r="I24">
        <f t="shared" si="4"/>
        <v>0</v>
      </c>
      <c r="J24">
        <f t="shared" si="5"/>
        <v>0</v>
      </c>
      <c r="K24">
        <f t="shared" si="6"/>
        <v>0</v>
      </c>
      <c r="L24">
        <f t="shared" si="7"/>
        <v>0</v>
      </c>
      <c r="M24">
        <f t="shared" si="8"/>
        <v>0</v>
      </c>
    </row>
    <row r="25">
      <c r="A25" t="str">
        <f>往来单位!$B$26&amp;""</f>
        <v>四川久远智能消防</v>
      </c>
      <c r="B25" t="str">
        <f>往来单位!$C$26&amp;""</f>
        <v>材料供应商</v>
      </c>
      <c r="C25">
        <f t="shared" si="0"/>
        <v>0</v>
      </c>
      <c r="D25">
        <f t="shared" si="1"/>
        <v>0</v>
      </c>
      <c r="E25">
        <f>IF(OR($A25="",NOT(OR($B25="管理人员",$B25="工人"))),0,ROUND(N(往来单位!$M$26)+J25-K25-L25+M25,2))</f>
        <v>0</v>
      </c>
      <c r="F25">
        <f>IF(OR($A25="",NOT(OR($B25="管理人员",$B25="工人"))),0,ROUND(N(往来单位!$M$26)+SUMIFS(考勤工资!$W$5:$W$1004,考勤工资!$C$5:$C$1004,$A25,考勤工资!$Y$5:$Y$1004,"&gt;="&amp;_辅助!$J$4,考勤工资!$Y$5:$Y$1004,"&lt;="&amp;_辅助!$J$5)-(-SUMIFS(资金流水!$R$6:$R$2005,资金流水!$J$6:$J$2005,$A25,资金流水!$X$6:$X$2005,"应付职工薪酬",资金流水!$R$6:$R$2005,"&lt;0",资金流水!$S$6:$S$2005,"&gt;="&amp;_辅助!$J$4,资金流水!$S$6:$S$2005,"&lt;="&amp;_辅助!$J$5))-SUMIFS(代发抵账!$F$5:$F$304,代发抵账!$E$5:$E$304,$A25,代发抵账!$D$5:$D$304,"总包代发工资",代发抵账!$H$5:$H$304,"&gt;="&amp;_辅助!$J$4,代发抵账!$H$5:$H$304,"&lt;="&amp;_辅助!$J$5)+SUMIFS(资金流水!$R$6:$R$2005,资金流水!$J$6:$J$2005,$A25,资金流水!$X$6:$X$2005,"应付职工薪酬",资金流水!$R$6:$R$2005,"&gt;0",资金流水!$S$6:$S$2005,"&gt;="&amp;_辅助!$J$4,资金流水!$S$6:$S$2005,"&lt;="&amp;_辅助!$J$5),2))</f>
        <v>0</v>
      </c>
      <c r="G25">
        <f t="shared" si="2"/>
        <v>0</v>
      </c>
      <c r="H25">
        <f t="shared" si="3"/>
        <v>0</v>
      </c>
      <c r="I25">
        <f t="shared" si="4"/>
        <v>0</v>
      </c>
      <c r="J25">
        <f t="shared" si="5"/>
        <v>0</v>
      </c>
      <c r="K25">
        <f t="shared" si="6"/>
        <v>0</v>
      </c>
      <c r="L25">
        <f t="shared" si="7"/>
        <v>0</v>
      </c>
      <c r="M25">
        <f t="shared" si="8"/>
        <v>0</v>
      </c>
    </row>
    <row r="26">
      <c r="A26" t="str">
        <f>往来单位!$B$27&amp;""</f>
        <v>九江恒讯消防</v>
      </c>
      <c r="B26" t="str">
        <f>往来单位!$C$27&amp;""</f>
        <v>材料供应商</v>
      </c>
      <c r="C26">
        <f t="shared" si="0"/>
        <v>0</v>
      </c>
      <c r="D26">
        <f t="shared" si="1"/>
        <v>0</v>
      </c>
      <c r="E26">
        <f>IF(OR($A26="",NOT(OR($B26="管理人员",$B26="工人"))),0,ROUND(N(往来单位!$M$27)+J26-K26-L26+M26,2))</f>
        <v>0</v>
      </c>
      <c r="F26">
        <f>IF(OR($A26="",NOT(OR($B26="管理人员",$B26="工人"))),0,ROUND(N(往来单位!$M$27)+SUMIFS(考勤工资!$W$5:$W$1004,考勤工资!$C$5:$C$1004,$A26,考勤工资!$Y$5:$Y$1004,"&gt;="&amp;_辅助!$J$4,考勤工资!$Y$5:$Y$1004,"&lt;="&amp;_辅助!$J$5)-(-SUMIFS(资金流水!$R$6:$R$2005,资金流水!$J$6:$J$2005,$A26,资金流水!$X$6:$X$2005,"应付职工薪酬",资金流水!$R$6:$R$2005,"&lt;0",资金流水!$S$6:$S$2005,"&gt;="&amp;_辅助!$J$4,资金流水!$S$6:$S$2005,"&lt;="&amp;_辅助!$J$5))-SUMIFS(代发抵账!$F$5:$F$304,代发抵账!$E$5:$E$304,$A26,代发抵账!$D$5:$D$304,"总包代发工资",代发抵账!$H$5:$H$304,"&gt;="&amp;_辅助!$J$4,代发抵账!$H$5:$H$304,"&lt;="&amp;_辅助!$J$5)+SUMIFS(资金流水!$R$6:$R$2005,资金流水!$J$6:$J$2005,$A26,资金流水!$X$6:$X$2005,"应付职工薪酬",资金流水!$R$6:$R$2005,"&gt;0",资金流水!$S$6:$S$2005,"&gt;="&amp;_辅助!$J$4,资金流水!$S$6:$S$2005,"&lt;="&amp;_辅助!$J$5),2))</f>
        <v>0</v>
      </c>
      <c r="G26">
        <f t="shared" si="2"/>
        <v>0</v>
      </c>
      <c r="H26">
        <f t="shared" si="3"/>
        <v>0</v>
      </c>
      <c r="I26">
        <f t="shared" si="4"/>
        <v>0</v>
      </c>
      <c r="J26">
        <f t="shared" si="5"/>
        <v>0</v>
      </c>
      <c r="K26">
        <f t="shared" si="6"/>
        <v>0</v>
      </c>
      <c r="L26">
        <f t="shared" si="7"/>
        <v>0</v>
      </c>
      <c r="M26">
        <f t="shared" si="8"/>
        <v>0</v>
      </c>
    </row>
    <row r="27">
      <c r="A27" t="str">
        <f>往来单位!$B$28&amp;""</f>
        <v>恩旗老叶</v>
      </c>
      <c r="B27" t="str">
        <f>往来单位!$C$28&amp;""</f>
        <v>分包</v>
      </c>
      <c r="C27">
        <f t="shared" si="0"/>
        <v>0</v>
      </c>
      <c r="D27">
        <f t="shared" si="1"/>
        <v>13000</v>
      </c>
      <c r="E27">
        <f>IF(OR($A27="",NOT(OR($B27="管理人员",$B27="工人"))),0,ROUND(N(往来单位!$M$28)+J27-K27-L27+M27,2))</f>
        <v>0</v>
      </c>
      <c r="F27">
        <f>IF(OR($A27="",NOT(OR($B27="管理人员",$B27="工人"))),0,ROUND(N(往来单位!$M$28)+SUMIFS(考勤工资!$W$5:$W$1004,考勤工资!$C$5:$C$1004,$A27,考勤工资!$Y$5:$Y$1004,"&gt;="&amp;_辅助!$J$4,考勤工资!$Y$5:$Y$1004,"&lt;="&amp;_辅助!$J$5)-(-SUMIFS(资金流水!$R$6:$R$2005,资金流水!$J$6:$J$2005,$A27,资金流水!$X$6:$X$2005,"应付职工薪酬",资金流水!$R$6:$R$2005,"&lt;0",资金流水!$S$6:$S$2005,"&gt;="&amp;_辅助!$J$4,资金流水!$S$6:$S$2005,"&lt;="&amp;_辅助!$J$5))-SUMIFS(代发抵账!$F$5:$F$304,代发抵账!$E$5:$E$304,$A27,代发抵账!$D$5:$D$304,"总包代发工资",代发抵账!$H$5:$H$304,"&gt;="&amp;_辅助!$J$4,代发抵账!$H$5:$H$304,"&lt;="&amp;_辅助!$J$5)+SUMIFS(资金流水!$R$6:$R$2005,资金流水!$J$6:$J$2005,$A27,资金流水!$X$6:$X$2005,"应付职工薪酬",资金流水!$R$6:$R$2005,"&gt;0",资金流水!$S$6:$S$2005,"&gt;="&amp;_辅助!$J$4,资金流水!$S$6:$S$2005,"&lt;="&amp;_辅助!$J$5),2))</f>
        <v>0</v>
      </c>
      <c r="G27">
        <f t="shared" si="2"/>
        <v>558437.5</v>
      </c>
      <c r="H27">
        <f t="shared" si="3"/>
        <v>558437.5</v>
      </c>
      <c r="I27">
        <f t="shared" si="4"/>
        <v>0</v>
      </c>
      <c r="J27">
        <f t="shared" si="5"/>
        <v>0</v>
      </c>
      <c r="K27">
        <f t="shared" si="6"/>
        <v>0</v>
      </c>
      <c r="L27">
        <f t="shared" si="7"/>
        <v>0</v>
      </c>
      <c r="M27">
        <f t="shared" si="8"/>
        <v>0</v>
      </c>
    </row>
    <row r="28">
      <c r="A28" t="str">
        <f>往来单位!$B$29&amp;""</f>
        <v>吴群</v>
      </c>
      <c r="B28" t="str">
        <f>往来单位!$C$29&amp;""</f>
        <v>分包</v>
      </c>
      <c r="C28">
        <f t="shared" si="0"/>
        <v>0</v>
      </c>
      <c r="D28">
        <f t="shared" si="1"/>
        <v>15000</v>
      </c>
      <c r="E28">
        <f>IF(OR($A28="",NOT(OR($B28="管理人员",$B28="工人"))),0,ROUND(N(往来单位!$M$29)+J28-K28-L28+M28,2))</f>
        <v>0</v>
      </c>
      <c r="F28">
        <f>IF(OR($A28="",NOT(OR($B28="管理人员",$B28="工人"))),0,ROUND(N(往来单位!$M$29)+SUMIFS(考勤工资!$W$5:$W$1004,考勤工资!$C$5:$C$1004,$A28,考勤工资!$Y$5:$Y$1004,"&gt;="&amp;_辅助!$J$4,考勤工资!$Y$5:$Y$1004,"&lt;="&amp;_辅助!$J$5)-(-SUMIFS(资金流水!$R$6:$R$2005,资金流水!$J$6:$J$2005,$A28,资金流水!$X$6:$X$2005,"应付职工薪酬",资金流水!$R$6:$R$2005,"&lt;0",资金流水!$S$6:$S$2005,"&gt;="&amp;_辅助!$J$4,资金流水!$S$6:$S$2005,"&lt;="&amp;_辅助!$J$5))-SUMIFS(代发抵账!$F$5:$F$304,代发抵账!$E$5:$E$304,$A28,代发抵账!$D$5:$D$304,"总包代发工资",代发抵账!$H$5:$H$304,"&gt;="&amp;_辅助!$J$4,代发抵账!$H$5:$H$304,"&lt;="&amp;_辅助!$J$5)+SUMIFS(资金流水!$R$6:$R$2005,资金流水!$J$6:$J$2005,$A28,资金流水!$X$6:$X$2005,"应付职工薪酬",资金流水!$R$6:$R$2005,"&gt;0",资金流水!$S$6:$S$2005,"&gt;="&amp;_辅助!$J$4,资金流水!$S$6:$S$2005,"&lt;="&amp;_辅助!$J$5),2))</f>
        <v>0</v>
      </c>
      <c r="G28">
        <f t="shared" si="2"/>
        <v>78100</v>
      </c>
      <c r="H28">
        <f t="shared" si="3"/>
        <v>78100</v>
      </c>
      <c r="I28">
        <f t="shared" si="4"/>
        <v>0</v>
      </c>
      <c r="J28">
        <f t="shared" si="5"/>
        <v>0</v>
      </c>
      <c r="K28">
        <f t="shared" si="6"/>
        <v>0</v>
      </c>
      <c r="L28">
        <f t="shared" si="7"/>
        <v>0</v>
      </c>
      <c r="M28">
        <f t="shared" si="8"/>
        <v>0</v>
      </c>
    </row>
    <row r="29">
      <c r="A29" t="str">
        <f>往来单位!$B$30&amp;""</f>
        <v>吴聪</v>
      </c>
      <c r="B29" t="str">
        <f>往来单位!$C$30&amp;""</f>
        <v>分包</v>
      </c>
      <c r="C29">
        <f t="shared" si="0"/>
        <v>0</v>
      </c>
      <c r="D29">
        <f t="shared" si="1"/>
        <v>0</v>
      </c>
      <c r="E29">
        <f>IF(OR($A29="",NOT(OR($B29="管理人员",$B29="工人"))),0,ROUND(N(往来单位!$M$30)+J29-K29-L29+M29,2))</f>
        <v>0</v>
      </c>
      <c r="F29">
        <f>IF(OR($A29="",NOT(OR($B29="管理人员",$B29="工人"))),0,ROUND(N(往来单位!$M$30)+SUMIFS(考勤工资!$W$5:$W$1004,考勤工资!$C$5:$C$1004,$A29,考勤工资!$Y$5:$Y$1004,"&gt;="&amp;_辅助!$J$4,考勤工资!$Y$5:$Y$1004,"&lt;="&amp;_辅助!$J$5)-(-SUMIFS(资金流水!$R$6:$R$2005,资金流水!$J$6:$J$2005,$A29,资金流水!$X$6:$X$2005,"应付职工薪酬",资金流水!$R$6:$R$2005,"&lt;0",资金流水!$S$6:$S$2005,"&gt;="&amp;_辅助!$J$4,资金流水!$S$6:$S$2005,"&lt;="&amp;_辅助!$J$5))-SUMIFS(代发抵账!$F$5:$F$304,代发抵账!$E$5:$E$304,$A29,代发抵账!$D$5:$D$304,"总包代发工资",代发抵账!$H$5:$H$304,"&gt;="&amp;_辅助!$J$4,代发抵账!$H$5:$H$304,"&lt;="&amp;_辅助!$J$5)+SUMIFS(资金流水!$R$6:$R$2005,资金流水!$J$6:$J$2005,$A29,资金流水!$X$6:$X$2005,"应付职工薪酬",资金流水!$R$6:$R$2005,"&gt;0",资金流水!$S$6:$S$2005,"&gt;="&amp;_辅助!$J$4,资金流水!$S$6:$S$2005,"&lt;="&amp;_辅助!$J$5),2))</f>
        <v>0</v>
      </c>
      <c r="G29">
        <f t="shared" si="2"/>
        <v>28000</v>
      </c>
      <c r="H29">
        <f t="shared" si="3"/>
        <v>28000</v>
      </c>
      <c r="I29">
        <f t="shared" si="4"/>
        <v>0</v>
      </c>
      <c r="J29">
        <f t="shared" si="5"/>
        <v>0</v>
      </c>
      <c r="K29">
        <f t="shared" si="6"/>
        <v>0</v>
      </c>
      <c r="L29">
        <f t="shared" si="7"/>
        <v>0</v>
      </c>
      <c r="M29">
        <f t="shared" si="8"/>
        <v>0</v>
      </c>
    </row>
    <row r="30">
      <c r="A30" t="str">
        <f>往来单位!$B$31&amp;""</f>
        <v>九江朱总</v>
      </c>
      <c r="B30" t="str">
        <f>往来单位!$C$31&amp;""</f>
        <v>分包</v>
      </c>
      <c r="C30">
        <f t="shared" si="0"/>
        <v>-400</v>
      </c>
      <c r="D30">
        <f t="shared" si="1"/>
        <v>-400</v>
      </c>
      <c r="E30">
        <f>IF(OR($A30="",NOT(OR($B30="管理人员",$B30="工人"))),0,ROUND(N(往来单位!$M$31)+J30-K30-L30+M30,2))</f>
        <v>0</v>
      </c>
      <c r="F30">
        <f>IF(OR($A30="",NOT(OR($B30="管理人员",$B30="工人"))),0,ROUND(N(往来单位!$M$31)+SUMIFS(考勤工资!$W$5:$W$1004,考勤工资!$C$5:$C$1004,$A30,考勤工资!$Y$5:$Y$1004,"&gt;="&amp;_辅助!$J$4,考勤工资!$Y$5:$Y$1004,"&lt;="&amp;_辅助!$J$5)-(-SUMIFS(资金流水!$R$6:$R$2005,资金流水!$J$6:$J$2005,$A30,资金流水!$X$6:$X$2005,"应付职工薪酬",资金流水!$R$6:$R$2005,"&lt;0",资金流水!$S$6:$S$2005,"&gt;="&amp;_辅助!$J$4,资金流水!$S$6:$S$2005,"&lt;="&amp;_辅助!$J$5))-SUMIFS(代发抵账!$F$5:$F$304,代发抵账!$E$5:$E$304,$A30,代发抵账!$D$5:$D$304,"总包代发工资",代发抵账!$H$5:$H$304,"&gt;="&amp;_辅助!$J$4,代发抵账!$H$5:$H$304,"&lt;="&amp;_辅助!$J$5)+SUMIFS(资金流水!$R$6:$R$2005,资金流水!$J$6:$J$2005,$A30,资金流水!$X$6:$X$2005,"应付职工薪酬",资金流水!$R$6:$R$2005,"&gt;0",资金流水!$S$6:$S$2005,"&gt;="&amp;_辅助!$J$4,资金流水!$S$6:$S$2005,"&lt;="&amp;_辅助!$J$5),2))</f>
        <v>0</v>
      </c>
      <c r="G30">
        <f t="shared" si="2"/>
        <v>55000</v>
      </c>
      <c r="H30">
        <f t="shared" si="3"/>
        <v>55400</v>
      </c>
      <c r="I30">
        <f t="shared" si="4"/>
        <v>0</v>
      </c>
      <c r="J30">
        <f t="shared" si="5"/>
        <v>0</v>
      </c>
      <c r="K30">
        <f t="shared" si="6"/>
        <v>0</v>
      </c>
      <c r="L30">
        <f t="shared" si="7"/>
        <v>0</v>
      </c>
      <c r="M30">
        <f t="shared" si="8"/>
        <v>0</v>
      </c>
    </row>
    <row r="31">
      <c r="A31" t="str">
        <f>往来单位!$B$32&amp;""</f>
        <v>共安门业</v>
      </c>
      <c r="B31" t="str">
        <f>往来单位!$C$32&amp;""</f>
        <v>分包</v>
      </c>
      <c r="C31">
        <f t="shared" si="0"/>
        <v>0.53</v>
      </c>
      <c r="D31">
        <f t="shared" si="1"/>
        <v>12540.53</v>
      </c>
      <c r="E31">
        <f>IF(OR($A31="",NOT(OR($B31="管理人员",$B31="工人"))),0,ROUND(N(往来单位!$M$32)+J31-K31-L31+M31,2))</f>
        <v>0</v>
      </c>
      <c r="F31">
        <f>IF(OR($A31="",NOT(OR($B31="管理人员",$B31="工人"))),0,ROUND(N(往来单位!$M$32)+SUMIFS(考勤工资!$W$5:$W$1004,考勤工资!$C$5:$C$1004,$A31,考勤工资!$Y$5:$Y$1004,"&gt;="&amp;_辅助!$J$4,考勤工资!$Y$5:$Y$1004,"&lt;="&amp;_辅助!$J$5)-(-SUMIFS(资金流水!$R$6:$R$2005,资金流水!$J$6:$J$2005,$A31,资金流水!$X$6:$X$2005,"应付职工薪酬",资金流水!$R$6:$R$2005,"&lt;0",资金流水!$S$6:$S$2005,"&gt;="&amp;_辅助!$J$4,资金流水!$S$6:$S$2005,"&lt;="&amp;_辅助!$J$5))-SUMIFS(代发抵账!$F$5:$F$304,代发抵账!$E$5:$E$304,$A31,代发抵账!$D$5:$D$304,"总包代发工资",代发抵账!$H$5:$H$304,"&gt;="&amp;_辅助!$J$4,代发抵账!$H$5:$H$304,"&lt;="&amp;_辅助!$J$5)+SUMIFS(资金流水!$R$6:$R$2005,资金流水!$J$6:$J$2005,$A31,资金流水!$X$6:$X$2005,"应付职工薪酬",资金流水!$R$6:$R$2005,"&gt;0",资金流水!$S$6:$S$2005,"&gt;="&amp;_辅助!$J$4,资金流水!$S$6:$S$2005,"&lt;="&amp;_辅助!$J$5),2))</f>
        <v>0</v>
      </c>
      <c r="G31">
        <f t="shared" si="2"/>
        <v>128922.53</v>
      </c>
      <c r="H31">
        <f t="shared" si="3"/>
        <v>128922</v>
      </c>
      <c r="I31">
        <f t="shared" si="4"/>
        <v>0</v>
      </c>
      <c r="J31">
        <f t="shared" si="5"/>
        <v>0</v>
      </c>
      <c r="K31">
        <f t="shared" si="6"/>
        <v>0</v>
      </c>
      <c r="L31">
        <f t="shared" si="7"/>
        <v>0</v>
      </c>
      <c r="M31">
        <f t="shared" si="8"/>
        <v>0</v>
      </c>
    </row>
    <row r="32">
      <c r="A32" t="str">
        <f>往来单位!$B$33&amp;""</f>
        <v>图揽成善</v>
      </c>
      <c r="B32" t="str">
        <f>往来单位!$C$33&amp;""</f>
        <v>分包</v>
      </c>
      <c r="C32">
        <f t="shared" si="0"/>
        <v>54217</v>
      </c>
      <c r="D32">
        <f t="shared" si="1"/>
        <v>74217</v>
      </c>
      <c r="E32">
        <f>IF(OR($A32="",NOT(OR($B32="管理人员",$B32="工人"))),0,ROUND(N(往来单位!$M$33)+J32-K32-L32+M32,2))</f>
        <v>0</v>
      </c>
      <c r="F32">
        <f>IF(OR($A32="",NOT(OR($B32="管理人员",$B32="工人"))),0,ROUND(N(往来单位!$M$33)+SUMIFS(考勤工资!$W$5:$W$1004,考勤工资!$C$5:$C$1004,$A32,考勤工资!$Y$5:$Y$1004,"&gt;="&amp;_辅助!$J$4,考勤工资!$Y$5:$Y$1004,"&lt;="&amp;_辅助!$J$5)-(-SUMIFS(资金流水!$R$6:$R$2005,资金流水!$J$6:$J$2005,$A32,资金流水!$X$6:$X$2005,"应付职工薪酬",资金流水!$R$6:$R$2005,"&lt;0",资金流水!$S$6:$S$2005,"&gt;="&amp;_辅助!$J$4,资金流水!$S$6:$S$2005,"&lt;="&amp;_辅助!$J$5))-SUMIFS(代发抵账!$F$5:$F$304,代发抵账!$E$5:$E$304,$A32,代发抵账!$D$5:$D$304,"总包代发工资",代发抵账!$H$5:$H$304,"&gt;="&amp;_辅助!$J$4,代发抵账!$H$5:$H$304,"&lt;="&amp;_辅助!$J$5)+SUMIFS(资金流水!$R$6:$R$2005,资金流水!$J$6:$J$2005,$A32,资金流水!$X$6:$X$2005,"应付职工薪酬",资金流水!$R$6:$R$2005,"&gt;0",资金流水!$S$6:$S$2005,"&gt;="&amp;_辅助!$J$4,资金流水!$S$6:$S$2005,"&lt;="&amp;_辅助!$J$5),2))</f>
        <v>0</v>
      </c>
      <c r="G32">
        <f t="shared" si="2"/>
        <v>155462</v>
      </c>
      <c r="H32">
        <f t="shared" si="3"/>
        <v>101245</v>
      </c>
      <c r="I32">
        <f t="shared" si="4"/>
        <v>0</v>
      </c>
      <c r="J32">
        <f t="shared" si="5"/>
        <v>0</v>
      </c>
      <c r="K32">
        <f t="shared" si="6"/>
        <v>0</v>
      </c>
      <c r="L32">
        <f t="shared" si="7"/>
        <v>0</v>
      </c>
      <c r="M32">
        <f t="shared" si="8"/>
        <v>0</v>
      </c>
    </row>
    <row r="33">
      <c r="A33" t="str">
        <f>往来单位!$B$34&amp;""</f>
        <v>祝冬冬</v>
      </c>
      <c r="B33" t="str">
        <f>往来单位!$C$34&amp;""</f>
        <v>分包</v>
      </c>
      <c r="C33">
        <f t="shared" si="0"/>
        <v>8000</v>
      </c>
      <c r="D33">
        <f t="shared" si="1"/>
        <v>28000</v>
      </c>
      <c r="E33">
        <f>IF(OR($A33="",NOT(OR($B33="管理人员",$B33="工人"))),0,ROUND(N(往来单位!$M$34)+J33-K33-L33+M33,2))</f>
        <v>0</v>
      </c>
      <c r="F33">
        <f>IF(OR($A33="",NOT(OR($B33="管理人员",$B33="工人"))),0,ROUND(N(往来单位!$M$34)+SUMIFS(考勤工资!$W$5:$W$1004,考勤工资!$C$5:$C$1004,$A33,考勤工资!$Y$5:$Y$1004,"&gt;="&amp;_辅助!$J$4,考勤工资!$Y$5:$Y$1004,"&lt;="&amp;_辅助!$J$5)-(-SUMIFS(资金流水!$R$6:$R$2005,资金流水!$J$6:$J$2005,$A33,资金流水!$X$6:$X$2005,"应付职工薪酬",资金流水!$R$6:$R$2005,"&lt;0",资金流水!$S$6:$S$2005,"&gt;="&amp;_辅助!$J$4,资金流水!$S$6:$S$2005,"&lt;="&amp;_辅助!$J$5))-SUMIFS(代发抵账!$F$5:$F$304,代发抵账!$E$5:$E$304,$A33,代发抵账!$D$5:$D$304,"总包代发工资",代发抵账!$H$5:$H$304,"&gt;="&amp;_辅助!$J$4,代发抵账!$H$5:$H$304,"&lt;="&amp;_辅助!$J$5)+SUMIFS(资金流水!$R$6:$R$2005,资金流水!$J$6:$J$2005,$A33,资金流水!$X$6:$X$2005,"应付职工薪酬",资金流水!$R$6:$R$2005,"&gt;0",资金流水!$S$6:$S$2005,"&gt;="&amp;_辅助!$J$4,资金流水!$S$6:$S$2005,"&lt;="&amp;_辅助!$J$5),2))</f>
        <v>0</v>
      </c>
      <c r="G33">
        <f t="shared" si="2"/>
        <v>140000</v>
      </c>
      <c r="H33">
        <f t="shared" si="3"/>
        <v>132000</v>
      </c>
      <c r="I33">
        <f t="shared" si="4"/>
        <v>0</v>
      </c>
      <c r="J33">
        <f t="shared" si="5"/>
        <v>0</v>
      </c>
      <c r="K33">
        <f t="shared" si="6"/>
        <v>0</v>
      </c>
      <c r="L33">
        <f t="shared" si="7"/>
        <v>0</v>
      </c>
      <c r="M33">
        <f t="shared" si="8"/>
        <v>0</v>
      </c>
    </row>
    <row r="34">
      <c r="A34" t="str">
        <f>往来单位!$B$35&amp;""</f>
        <v>张小朋（分包）</v>
      </c>
      <c r="B34" t="str">
        <f>往来单位!$C$35&amp;""</f>
        <v>分包</v>
      </c>
      <c r="C34">
        <f t="shared" si="0"/>
        <v>2150</v>
      </c>
      <c r="D34">
        <f t="shared" si="1"/>
        <v>2150</v>
      </c>
      <c r="E34">
        <f>IF(OR($A34="",NOT(OR($B34="管理人员",$B34="工人"))),0,ROUND(N(往来单位!$M$35)+J34-K34-L34+M34,2))</f>
        <v>0</v>
      </c>
      <c r="F34">
        <f>IF(OR($A34="",NOT(OR($B34="管理人员",$B34="工人"))),0,ROUND(N(往来单位!$M$35)+SUMIFS(考勤工资!$W$5:$W$1004,考勤工资!$C$5:$C$1004,$A34,考勤工资!$Y$5:$Y$1004,"&gt;="&amp;_辅助!$J$4,考勤工资!$Y$5:$Y$1004,"&lt;="&amp;_辅助!$J$5)-(-SUMIFS(资金流水!$R$6:$R$2005,资金流水!$J$6:$J$2005,$A34,资金流水!$X$6:$X$2005,"应付职工薪酬",资金流水!$R$6:$R$2005,"&lt;0",资金流水!$S$6:$S$2005,"&gt;="&amp;_辅助!$J$4,资金流水!$S$6:$S$2005,"&lt;="&amp;_辅助!$J$5))-SUMIFS(代发抵账!$F$5:$F$304,代发抵账!$E$5:$E$304,$A34,代发抵账!$D$5:$D$304,"总包代发工资",代发抵账!$H$5:$H$304,"&gt;="&amp;_辅助!$J$4,代发抵账!$H$5:$H$304,"&lt;="&amp;_辅助!$J$5)+SUMIFS(资金流水!$R$6:$R$2005,资金流水!$J$6:$J$2005,$A34,资金流水!$X$6:$X$2005,"应付职工薪酬",资金流水!$R$6:$R$2005,"&gt;0",资金流水!$S$6:$S$2005,"&gt;="&amp;_辅助!$J$4,资金流水!$S$6:$S$2005,"&lt;="&amp;_辅助!$J$5),2))</f>
        <v>0</v>
      </c>
      <c r="G34">
        <f t="shared" si="2"/>
        <v>52410</v>
      </c>
      <c r="H34">
        <f t="shared" si="3"/>
        <v>50260</v>
      </c>
      <c r="I34">
        <f t="shared" si="4"/>
        <v>0</v>
      </c>
      <c r="J34">
        <f t="shared" si="5"/>
        <v>0</v>
      </c>
      <c r="K34">
        <f t="shared" si="6"/>
        <v>0</v>
      </c>
      <c r="L34">
        <f t="shared" si="7"/>
        <v>0</v>
      </c>
      <c r="M34">
        <f t="shared" si="8"/>
        <v>0</v>
      </c>
    </row>
    <row r="35">
      <c r="A35" t="str">
        <f>往来单位!$B$36&amp;""</f>
        <v>徐怀生</v>
      </c>
      <c r="B35" t="str">
        <f>往来单位!$C$36&amp;""</f>
        <v>分包</v>
      </c>
      <c r="C35">
        <f t="shared" si="0"/>
        <v>0</v>
      </c>
      <c r="D35">
        <f t="shared" si="1"/>
        <v>0</v>
      </c>
      <c r="E35">
        <f>IF(OR($A35="",NOT(OR($B35="管理人员",$B35="工人"))),0,ROUND(N(往来单位!$M$36)+J35-K35-L35+M35,2))</f>
        <v>0</v>
      </c>
      <c r="F35">
        <f>IF(OR($A35="",NOT(OR($B35="管理人员",$B35="工人"))),0,ROUND(N(往来单位!$M$36)+SUMIFS(考勤工资!$W$5:$W$1004,考勤工资!$C$5:$C$1004,$A35,考勤工资!$Y$5:$Y$1004,"&gt;="&amp;_辅助!$J$4,考勤工资!$Y$5:$Y$1004,"&lt;="&amp;_辅助!$J$5)-(-SUMIFS(资金流水!$R$6:$R$2005,资金流水!$J$6:$J$2005,$A35,资金流水!$X$6:$X$2005,"应付职工薪酬",资金流水!$R$6:$R$2005,"&lt;0",资金流水!$S$6:$S$2005,"&gt;="&amp;_辅助!$J$4,资金流水!$S$6:$S$2005,"&lt;="&amp;_辅助!$J$5))-SUMIFS(代发抵账!$F$5:$F$304,代发抵账!$E$5:$E$304,$A35,代发抵账!$D$5:$D$304,"总包代发工资",代发抵账!$H$5:$H$304,"&gt;="&amp;_辅助!$J$4,代发抵账!$H$5:$H$304,"&lt;="&amp;_辅助!$J$5)+SUMIFS(资金流水!$R$6:$R$2005,资金流水!$J$6:$J$2005,$A35,资金流水!$X$6:$X$2005,"应付职工薪酬",资金流水!$R$6:$R$2005,"&gt;0",资金流水!$S$6:$S$2005,"&gt;="&amp;_辅助!$J$4,资金流水!$S$6:$S$2005,"&lt;="&amp;_辅助!$J$5),2))</f>
        <v>0</v>
      </c>
      <c r="G35">
        <f t="shared" si="2"/>
        <v>35960</v>
      </c>
      <c r="H35">
        <f t="shared" si="3"/>
        <v>35960</v>
      </c>
      <c r="I35">
        <f t="shared" si="4"/>
        <v>0</v>
      </c>
      <c r="J35">
        <f t="shared" si="5"/>
        <v>0</v>
      </c>
      <c r="K35">
        <f t="shared" si="6"/>
        <v>0</v>
      </c>
      <c r="L35">
        <f t="shared" si="7"/>
        <v>0</v>
      </c>
      <c r="M35">
        <f t="shared" si="8"/>
        <v>0</v>
      </c>
    </row>
    <row r="36">
      <c r="A36" t="str">
        <f>往来单位!$B$37&amp;""</f>
        <v>龚文坚</v>
      </c>
      <c r="B36" t="str">
        <f>往来单位!$C$37&amp;""</f>
        <v>分包</v>
      </c>
      <c r="C36">
        <f t="shared" si="0"/>
        <v>-3845</v>
      </c>
      <c r="D36">
        <f t="shared" si="1"/>
        <v>-3845</v>
      </c>
      <c r="E36">
        <f>IF(OR($A36="",NOT(OR($B36="管理人员",$B36="工人"))),0,ROUND(N(往来单位!$M$37)+J36-K36-L36+M36,2))</f>
        <v>0</v>
      </c>
      <c r="F36">
        <f>IF(OR($A36="",NOT(OR($B36="管理人员",$B36="工人"))),0,ROUND(N(往来单位!$M$37)+SUMIFS(考勤工资!$W$5:$W$1004,考勤工资!$C$5:$C$1004,$A36,考勤工资!$Y$5:$Y$1004,"&gt;="&amp;_辅助!$J$4,考勤工资!$Y$5:$Y$1004,"&lt;="&amp;_辅助!$J$5)-(-SUMIFS(资金流水!$R$6:$R$2005,资金流水!$J$6:$J$2005,$A36,资金流水!$X$6:$X$2005,"应付职工薪酬",资金流水!$R$6:$R$2005,"&lt;0",资金流水!$S$6:$S$2005,"&gt;="&amp;_辅助!$J$4,资金流水!$S$6:$S$2005,"&lt;="&amp;_辅助!$J$5))-SUMIFS(代发抵账!$F$5:$F$304,代发抵账!$E$5:$E$304,$A36,代发抵账!$D$5:$D$304,"总包代发工资",代发抵账!$H$5:$H$304,"&gt;="&amp;_辅助!$J$4,代发抵账!$H$5:$H$304,"&lt;="&amp;_辅助!$J$5)+SUMIFS(资金流水!$R$6:$R$2005,资金流水!$J$6:$J$2005,$A36,资金流水!$X$6:$X$2005,"应付职工薪酬",资金流水!$R$6:$R$2005,"&gt;0",资金流水!$S$6:$S$2005,"&gt;="&amp;_辅助!$J$4,资金流水!$S$6:$S$2005,"&lt;="&amp;_辅助!$J$5),2))</f>
        <v>0</v>
      </c>
      <c r="G36">
        <f t="shared" si="2"/>
        <v>541875</v>
      </c>
      <c r="H36">
        <f t="shared" si="3"/>
        <v>545720</v>
      </c>
      <c r="I36">
        <f t="shared" si="4"/>
        <v>0</v>
      </c>
      <c r="J36">
        <f t="shared" si="5"/>
        <v>0</v>
      </c>
      <c r="K36">
        <f t="shared" si="6"/>
        <v>0</v>
      </c>
      <c r="L36">
        <f t="shared" si="7"/>
        <v>0</v>
      </c>
      <c r="M36">
        <f t="shared" si="8"/>
        <v>0</v>
      </c>
    </row>
    <row r="37">
      <c r="A37" t="str">
        <f>往来单位!$B$38&amp;""</f>
        <v>程章赐（分包）</v>
      </c>
      <c r="B37" t="str">
        <f>往来单位!$C$38&amp;""</f>
        <v>分包</v>
      </c>
      <c r="C37">
        <f t="shared" si="0"/>
        <v>6000</v>
      </c>
      <c r="D37">
        <f t="shared" si="1"/>
        <v>6000</v>
      </c>
      <c r="E37">
        <f>IF(OR($A37="",NOT(OR($B37="管理人员",$B37="工人"))),0,ROUND(N(往来单位!$M$38)+J37-K37-L37+M37,2))</f>
        <v>0</v>
      </c>
      <c r="F37">
        <f>IF(OR($A37="",NOT(OR($B37="管理人员",$B37="工人"))),0,ROUND(N(往来单位!$M$38)+SUMIFS(考勤工资!$W$5:$W$1004,考勤工资!$C$5:$C$1004,$A37,考勤工资!$Y$5:$Y$1004,"&gt;="&amp;_辅助!$J$4,考勤工资!$Y$5:$Y$1004,"&lt;="&amp;_辅助!$J$5)-(-SUMIFS(资金流水!$R$6:$R$2005,资金流水!$J$6:$J$2005,$A37,资金流水!$X$6:$X$2005,"应付职工薪酬",资金流水!$R$6:$R$2005,"&lt;0",资金流水!$S$6:$S$2005,"&gt;="&amp;_辅助!$J$4,资金流水!$S$6:$S$2005,"&lt;="&amp;_辅助!$J$5))-SUMIFS(代发抵账!$F$5:$F$304,代发抵账!$E$5:$E$304,$A37,代发抵账!$D$5:$D$304,"总包代发工资",代发抵账!$H$5:$H$304,"&gt;="&amp;_辅助!$J$4,代发抵账!$H$5:$H$304,"&lt;="&amp;_辅助!$J$5)+SUMIFS(资金流水!$R$6:$R$2005,资金流水!$J$6:$J$2005,$A37,资金流水!$X$6:$X$2005,"应付职工薪酬",资金流水!$R$6:$R$2005,"&gt;0",资金流水!$S$6:$S$2005,"&gt;="&amp;_辅助!$J$4,资金流水!$S$6:$S$2005,"&lt;="&amp;_辅助!$J$5),2))</f>
        <v>0</v>
      </c>
      <c r="G37">
        <f t="shared" si="2"/>
        <v>18000</v>
      </c>
      <c r="H37">
        <f t="shared" si="3"/>
        <v>12000</v>
      </c>
      <c r="I37">
        <f t="shared" si="4"/>
        <v>0</v>
      </c>
      <c r="J37">
        <f t="shared" si="5"/>
        <v>0</v>
      </c>
      <c r="K37">
        <f t="shared" si="6"/>
        <v>0</v>
      </c>
      <c r="L37">
        <f t="shared" si="7"/>
        <v>0</v>
      </c>
      <c r="M37">
        <f t="shared" si="8"/>
        <v>0</v>
      </c>
    </row>
    <row r="38">
      <c r="A38" t="str">
        <f>往来单位!$B$39&amp;""</f>
        <v>杨工</v>
      </c>
      <c r="B38" t="str">
        <f>往来单位!$C$39&amp;""</f>
        <v>机械运输</v>
      </c>
      <c r="C38">
        <f t="shared" si="0"/>
        <v>68875</v>
      </c>
      <c r="D38">
        <f t="shared" si="1"/>
        <v>68875</v>
      </c>
      <c r="E38">
        <f>IF(OR($A38="",NOT(OR($B38="管理人员",$B38="工人"))),0,ROUND(N(往来单位!$M$39)+J38-K38-L38+M38,2))</f>
        <v>0</v>
      </c>
      <c r="F38">
        <f>IF(OR($A38="",NOT(OR($B38="管理人员",$B38="工人"))),0,ROUND(N(往来单位!$M$39)+SUMIFS(考勤工资!$W$5:$W$1004,考勤工资!$C$5:$C$1004,$A38,考勤工资!$Y$5:$Y$1004,"&gt;="&amp;_辅助!$J$4,考勤工资!$Y$5:$Y$1004,"&lt;="&amp;_辅助!$J$5)-(-SUMIFS(资金流水!$R$6:$R$2005,资金流水!$J$6:$J$2005,$A38,资金流水!$X$6:$X$2005,"应付职工薪酬",资金流水!$R$6:$R$2005,"&lt;0",资金流水!$S$6:$S$2005,"&gt;="&amp;_辅助!$J$4,资金流水!$S$6:$S$2005,"&lt;="&amp;_辅助!$J$5))-SUMIFS(代发抵账!$F$5:$F$304,代发抵账!$E$5:$E$304,$A38,代发抵账!$D$5:$D$304,"总包代发工资",代发抵账!$H$5:$H$304,"&gt;="&amp;_辅助!$J$4,代发抵账!$H$5:$H$304,"&lt;="&amp;_辅助!$J$5)+SUMIFS(资金流水!$R$6:$R$2005,资金流水!$J$6:$J$2005,$A38,资金流水!$X$6:$X$2005,"应付职工薪酬",资金流水!$R$6:$R$2005,"&gt;0",资金流水!$S$6:$S$2005,"&gt;="&amp;_辅助!$J$4,资金流水!$S$6:$S$2005,"&lt;="&amp;_辅助!$J$5),2))</f>
        <v>0</v>
      </c>
      <c r="G38">
        <f t="shared" si="2"/>
        <v>98875</v>
      </c>
      <c r="H38">
        <f t="shared" si="3"/>
        <v>30000</v>
      </c>
      <c r="I38">
        <f t="shared" si="4"/>
        <v>0</v>
      </c>
      <c r="J38">
        <f t="shared" si="5"/>
        <v>0</v>
      </c>
      <c r="K38">
        <f t="shared" si="6"/>
        <v>0</v>
      </c>
      <c r="L38">
        <f t="shared" si="7"/>
        <v>0</v>
      </c>
      <c r="M38">
        <f t="shared" si="8"/>
        <v>0</v>
      </c>
    </row>
    <row r="39">
      <c r="A39" t="str">
        <f>往来单位!$B$40&amp;""</f>
        <v>徐工</v>
      </c>
      <c r="B39" t="str">
        <f>往来单位!$C$40&amp;""</f>
        <v>机械运输</v>
      </c>
      <c r="C39">
        <f t="shared" si="0"/>
        <v>1900</v>
      </c>
      <c r="D39">
        <f t="shared" si="1"/>
        <v>1900</v>
      </c>
      <c r="E39">
        <f>IF(OR($A39="",NOT(OR($B39="管理人员",$B39="工人"))),0,ROUND(N(往来单位!$M$40)+J39-K39-L39+M39,2))</f>
        <v>0</v>
      </c>
      <c r="F39">
        <f>IF(OR($A39="",NOT(OR($B39="管理人员",$B39="工人"))),0,ROUND(N(往来单位!$M$40)+SUMIFS(考勤工资!$W$5:$W$1004,考勤工资!$C$5:$C$1004,$A39,考勤工资!$Y$5:$Y$1004,"&gt;="&amp;_辅助!$J$4,考勤工资!$Y$5:$Y$1004,"&lt;="&amp;_辅助!$J$5)-(-SUMIFS(资金流水!$R$6:$R$2005,资金流水!$J$6:$J$2005,$A39,资金流水!$X$6:$X$2005,"应付职工薪酬",资金流水!$R$6:$R$2005,"&lt;0",资金流水!$S$6:$S$2005,"&gt;="&amp;_辅助!$J$4,资金流水!$S$6:$S$2005,"&lt;="&amp;_辅助!$J$5))-SUMIFS(代发抵账!$F$5:$F$304,代发抵账!$E$5:$E$304,$A39,代发抵账!$D$5:$D$304,"总包代发工资",代发抵账!$H$5:$H$304,"&gt;="&amp;_辅助!$J$4,代发抵账!$H$5:$H$304,"&lt;="&amp;_辅助!$J$5)+SUMIFS(资金流水!$R$6:$R$2005,资金流水!$J$6:$J$2005,$A39,资金流水!$X$6:$X$2005,"应付职工薪酬",资金流水!$R$6:$R$2005,"&gt;0",资金流水!$S$6:$S$2005,"&gt;="&amp;_辅助!$J$4,资金流水!$S$6:$S$2005,"&lt;="&amp;_辅助!$J$5),2))</f>
        <v>0</v>
      </c>
      <c r="G39">
        <f t="shared" si="2"/>
        <v>6900</v>
      </c>
      <c r="H39">
        <f t="shared" si="3"/>
        <v>5000</v>
      </c>
      <c r="I39">
        <f t="shared" si="4"/>
        <v>5000</v>
      </c>
      <c r="J39">
        <f t="shared" si="5"/>
        <v>0</v>
      </c>
      <c r="K39">
        <f t="shared" si="6"/>
        <v>0</v>
      </c>
      <c r="L39">
        <f t="shared" si="7"/>
        <v>0</v>
      </c>
      <c r="M39">
        <f t="shared" si="8"/>
        <v>0</v>
      </c>
    </row>
    <row r="40">
      <c r="A40" t="str">
        <f>往来单位!$B$41&amp;""</f>
        <v>德安县恒建工程部</v>
      </c>
      <c r="B40" t="str">
        <f>往来单位!$C$41&amp;""</f>
        <v>机械运输</v>
      </c>
      <c r="C40">
        <f t="shared" si="0"/>
        <v>0</v>
      </c>
      <c r="D40">
        <f t="shared" si="1"/>
        <v>0</v>
      </c>
      <c r="E40">
        <f>IF(OR($A40="",NOT(OR($B40="管理人员",$B40="工人"))),0,ROUND(N(往来单位!$M$41)+J40-K40-L40+M40,2))</f>
        <v>0</v>
      </c>
      <c r="F40">
        <f>IF(OR($A40="",NOT(OR($B40="管理人员",$B40="工人"))),0,ROUND(N(往来单位!$M$41)+SUMIFS(考勤工资!$W$5:$W$1004,考勤工资!$C$5:$C$1004,$A40,考勤工资!$Y$5:$Y$1004,"&gt;="&amp;_辅助!$J$4,考勤工资!$Y$5:$Y$1004,"&lt;="&amp;_辅助!$J$5)-(-SUMIFS(资金流水!$R$6:$R$2005,资金流水!$J$6:$J$2005,$A40,资金流水!$X$6:$X$2005,"应付职工薪酬",资金流水!$R$6:$R$2005,"&lt;0",资金流水!$S$6:$S$2005,"&gt;="&amp;_辅助!$J$4,资金流水!$S$6:$S$2005,"&lt;="&amp;_辅助!$J$5))-SUMIFS(代发抵账!$F$5:$F$304,代发抵账!$E$5:$E$304,$A40,代发抵账!$D$5:$D$304,"总包代发工资",代发抵账!$H$5:$H$304,"&gt;="&amp;_辅助!$J$4,代发抵账!$H$5:$H$304,"&lt;="&amp;_辅助!$J$5)+SUMIFS(资金流水!$R$6:$R$2005,资金流水!$J$6:$J$2005,$A40,资金流水!$X$6:$X$2005,"应付职工薪酬",资金流水!$R$6:$R$2005,"&gt;0",资金流水!$S$6:$S$2005,"&gt;="&amp;_辅助!$J$4,资金流水!$S$6:$S$2005,"&lt;="&amp;_辅助!$J$5),2))</f>
        <v>0</v>
      </c>
      <c r="G40">
        <f t="shared" si="2"/>
        <v>800</v>
      </c>
      <c r="H40">
        <f t="shared" si="3"/>
        <v>800</v>
      </c>
      <c r="I40">
        <f t="shared" si="4"/>
        <v>800</v>
      </c>
      <c r="J40">
        <f t="shared" si="5"/>
        <v>0</v>
      </c>
      <c r="K40">
        <f t="shared" si="6"/>
        <v>0</v>
      </c>
      <c r="L40">
        <f t="shared" si="7"/>
        <v>0</v>
      </c>
      <c r="M40">
        <f t="shared" si="8"/>
        <v>0</v>
      </c>
    </row>
    <row r="41">
      <c r="A41" t="str">
        <f>往来单位!$B$42&amp;""</f>
        <v>航帆增辉</v>
      </c>
      <c r="B41" t="str">
        <f>往来单位!$C$42&amp;""</f>
        <v>机械运输</v>
      </c>
      <c r="C41">
        <f t="shared" si="0"/>
        <v>0</v>
      </c>
      <c r="D41">
        <f t="shared" si="1"/>
        <v>0</v>
      </c>
      <c r="E41">
        <f>IF(OR($A41="",NOT(OR($B41="管理人员",$B41="工人"))),0,ROUND(N(往来单位!$M$42)+J41-K41-L41+M41,2))</f>
        <v>0</v>
      </c>
      <c r="F41">
        <f>IF(OR($A41="",NOT(OR($B41="管理人员",$B41="工人"))),0,ROUND(N(往来单位!$M$42)+SUMIFS(考勤工资!$W$5:$W$1004,考勤工资!$C$5:$C$1004,$A41,考勤工资!$Y$5:$Y$1004,"&gt;="&amp;_辅助!$J$4,考勤工资!$Y$5:$Y$1004,"&lt;="&amp;_辅助!$J$5)-(-SUMIFS(资金流水!$R$6:$R$2005,资金流水!$J$6:$J$2005,$A41,资金流水!$X$6:$X$2005,"应付职工薪酬",资金流水!$R$6:$R$2005,"&lt;0",资金流水!$S$6:$S$2005,"&gt;="&amp;_辅助!$J$4,资金流水!$S$6:$S$2005,"&lt;="&amp;_辅助!$J$5))-SUMIFS(代发抵账!$F$5:$F$304,代发抵账!$E$5:$E$304,$A41,代发抵账!$D$5:$D$304,"总包代发工资",代发抵账!$H$5:$H$304,"&gt;="&amp;_辅助!$J$4,代发抵账!$H$5:$H$304,"&lt;="&amp;_辅助!$J$5)+SUMIFS(资金流水!$R$6:$R$2005,资金流水!$J$6:$J$2005,$A41,资金流水!$X$6:$X$2005,"应付职工薪酬",资金流水!$R$6:$R$2005,"&gt;0",资金流水!$S$6:$S$2005,"&gt;="&amp;_辅助!$J$4,资金流水!$S$6:$S$2005,"&lt;="&amp;_辅助!$J$5),2))</f>
        <v>0</v>
      </c>
      <c r="G41">
        <f t="shared" si="2"/>
        <v>1000</v>
      </c>
      <c r="H41">
        <f t="shared" si="3"/>
        <v>1000</v>
      </c>
      <c r="I41">
        <f t="shared" si="4"/>
        <v>0</v>
      </c>
      <c r="J41">
        <f t="shared" si="5"/>
        <v>0</v>
      </c>
      <c r="K41">
        <f t="shared" si="6"/>
        <v>0</v>
      </c>
      <c r="L41">
        <f t="shared" si="7"/>
        <v>0</v>
      </c>
      <c r="M41">
        <f t="shared" si="8"/>
        <v>0</v>
      </c>
    </row>
    <row r="42">
      <c r="A42" t="str">
        <f>往来单位!$B$43&amp;""</f>
        <v>章德吉货运</v>
      </c>
      <c r="B42" t="str">
        <f>往来单位!$C$43&amp;""</f>
        <v>机械运输</v>
      </c>
      <c r="C42">
        <f t="shared" si="0"/>
        <v>0</v>
      </c>
      <c r="D42">
        <f t="shared" si="1"/>
        <v>0</v>
      </c>
      <c r="E42">
        <f>IF(OR($A42="",NOT(OR($B42="管理人员",$B42="工人"))),0,ROUND(N(往来单位!$M$43)+J42-K42-L42+M42,2))</f>
        <v>0</v>
      </c>
      <c r="F42">
        <f>IF(OR($A42="",NOT(OR($B42="管理人员",$B42="工人"))),0,ROUND(N(往来单位!$M$43)+SUMIFS(考勤工资!$W$5:$W$1004,考勤工资!$C$5:$C$1004,$A42,考勤工资!$Y$5:$Y$1004,"&gt;="&amp;_辅助!$J$4,考勤工资!$Y$5:$Y$1004,"&lt;="&amp;_辅助!$J$5)-(-SUMIFS(资金流水!$R$6:$R$2005,资金流水!$J$6:$J$2005,$A42,资金流水!$X$6:$X$2005,"应付职工薪酬",资金流水!$R$6:$R$2005,"&lt;0",资金流水!$S$6:$S$2005,"&gt;="&amp;_辅助!$J$4,资金流水!$S$6:$S$2005,"&lt;="&amp;_辅助!$J$5))-SUMIFS(代发抵账!$F$5:$F$304,代发抵账!$E$5:$E$304,$A42,代发抵账!$D$5:$D$304,"总包代发工资",代发抵账!$H$5:$H$304,"&gt;="&amp;_辅助!$J$4,代发抵账!$H$5:$H$304,"&lt;="&amp;_辅助!$J$5)+SUMIFS(资金流水!$R$6:$R$2005,资金流水!$J$6:$J$2005,$A42,资金流水!$X$6:$X$2005,"应付职工薪酬",资金流水!$R$6:$R$2005,"&gt;0",资金流水!$S$6:$S$2005,"&gt;="&amp;_辅助!$J$4,资金流水!$S$6:$S$2005,"&lt;="&amp;_辅助!$J$5),2))</f>
        <v>0</v>
      </c>
      <c r="G42">
        <f t="shared" si="2"/>
        <v>280</v>
      </c>
      <c r="H42">
        <f t="shared" si="3"/>
        <v>280</v>
      </c>
      <c r="I42">
        <f t="shared" si="4"/>
        <v>0</v>
      </c>
      <c r="J42">
        <f t="shared" si="5"/>
        <v>0</v>
      </c>
      <c r="K42">
        <f t="shared" si="6"/>
        <v>0</v>
      </c>
      <c r="L42">
        <f t="shared" si="7"/>
        <v>0</v>
      </c>
      <c r="M42">
        <f t="shared" si="8"/>
        <v>0</v>
      </c>
    </row>
    <row r="43">
      <c r="A43" t="str">
        <f>往来单位!$B$44&amp;""</f>
        <v>聂峰</v>
      </c>
      <c r="B43" t="str">
        <f>往来单位!$C$44&amp;""</f>
        <v>工人</v>
      </c>
      <c r="C43">
        <f t="shared" si="0"/>
        <v>0</v>
      </c>
      <c r="D43">
        <f t="shared" si="1"/>
        <v>0</v>
      </c>
      <c r="E43">
        <f>IF(OR($A43="",NOT(OR($B43="管理人员",$B43="工人"))),0,ROUND(N(往来单位!$M$44)+J43-K43-L43+M43,2))</f>
        <v>24000</v>
      </c>
      <c r="F43">
        <f>IF(OR($A43="",NOT(OR($B43="管理人员",$B43="工人"))),0,ROUND(N(往来单位!$M$44)+SUMIFS(考勤工资!$W$5:$W$1004,考勤工资!$C$5:$C$1004,$A43,考勤工资!$Y$5:$Y$1004,"&gt;="&amp;_辅助!$J$4,考勤工资!$Y$5:$Y$1004,"&lt;="&amp;_辅助!$J$5)-(-SUMIFS(资金流水!$R$6:$R$2005,资金流水!$J$6:$J$2005,$A43,资金流水!$X$6:$X$2005,"应付职工薪酬",资金流水!$R$6:$R$2005,"&lt;0",资金流水!$S$6:$S$2005,"&gt;="&amp;_辅助!$J$4,资金流水!$S$6:$S$2005,"&lt;="&amp;_辅助!$J$5))-SUMIFS(代发抵账!$F$5:$F$304,代发抵账!$E$5:$E$304,$A43,代发抵账!$D$5:$D$304,"总包代发工资",代发抵账!$H$5:$H$304,"&gt;="&amp;_辅助!$J$4,代发抵账!$H$5:$H$304,"&lt;="&amp;_辅助!$J$5)+SUMIFS(资金流水!$R$6:$R$2005,资金流水!$J$6:$J$2005,$A43,资金流水!$X$6:$X$2005,"应付职工薪酬",资金流水!$R$6:$R$2005,"&gt;0",资金流水!$S$6:$S$2005,"&gt;="&amp;_辅助!$J$4,资金流水!$S$6:$S$2005,"&lt;="&amp;_辅助!$J$5),2))</f>
        <v>0</v>
      </c>
      <c r="G43">
        <f t="shared" si="2"/>
        <v>0</v>
      </c>
      <c r="H43">
        <f t="shared" si="3"/>
        <v>0</v>
      </c>
      <c r="I43">
        <f t="shared" si="4"/>
        <v>0</v>
      </c>
      <c r="J43">
        <f t="shared" si="5"/>
        <v>30000</v>
      </c>
      <c r="K43">
        <f t="shared" si="6"/>
        <v>6000</v>
      </c>
      <c r="L43">
        <f t="shared" si="7"/>
        <v>0</v>
      </c>
      <c r="M43">
        <f t="shared" si="8"/>
        <v>0</v>
      </c>
    </row>
    <row r="44">
      <c r="A44" t="str">
        <f>往来单位!$B$45&amp;""</f>
        <v>袁斌财</v>
      </c>
      <c r="B44" t="str">
        <f>往来单位!$C$45&amp;""</f>
        <v>工人</v>
      </c>
      <c r="C44">
        <f t="shared" si="0"/>
        <v>0</v>
      </c>
      <c r="D44">
        <f t="shared" si="1"/>
        <v>0</v>
      </c>
      <c r="E44">
        <f>IF(OR($A44="",NOT(OR($B44="管理人员",$B44="工人"))),0,ROUND(N(往来单位!$M$45)+J44-K44-L44+M44,2))</f>
        <v>11021.1</v>
      </c>
      <c r="F44">
        <f>IF(OR($A44="",NOT(OR($B44="管理人员",$B44="工人"))),0,ROUND(N(往来单位!$M$45)+SUMIFS(考勤工资!$W$5:$W$1004,考勤工资!$C$5:$C$1004,$A44,考勤工资!$Y$5:$Y$1004,"&gt;="&amp;_辅助!$J$4,考勤工资!$Y$5:$Y$1004,"&lt;="&amp;_辅助!$J$5)-(-SUMIFS(资金流水!$R$6:$R$2005,资金流水!$J$6:$J$2005,$A44,资金流水!$X$6:$X$2005,"应付职工薪酬",资金流水!$R$6:$R$2005,"&lt;0",资金流水!$S$6:$S$2005,"&gt;="&amp;_辅助!$J$4,资金流水!$S$6:$S$2005,"&lt;="&amp;_辅助!$J$5))-SUMIFS(代发抵账!$F$5:$F$304,代发抵账!$E$5:$E$304,$A44,代发抵账!$D$5:$D$304,"总包代发工资",代发抵账!$H$5:$H$304,"&gt;="&amp;_辅助!$J$4,代发抵账!$H$5:$H$304,"&lt;="&amp;_辅助!$J$5)+SUMIFS(资金流水!$R$6:$R$2005,资金流水!$J$6:$J$2005,$A44,资金流水!$X$6:$X$2005,"应付职工薪酬",资金流水!$R$6:$R$2005,"&gt;0",资金流水!$S$6:$S$2005,"&gt;="&amp;_辅助!$J$4,资金流水!$S$6:$S$2005,"&lt;="&amp;_辅助!$J$5),2))</f>
        <v>0</v>
      </c>
      <c r="G44">
        <f t="shared" si="2"/>
        <v>0</v>
      </c>
      <c r="H44">
        <f t="shared" si="3"/>
        <v>0</v>
      </c>
      <c r="I44">
        <f t="shared" si="4"/>
        <v>0</v>
      </c>
      <c r="J44">
        <f t="shared" si="5"/>
        <v>20021.1</v>
      </c>
      <c r="K44">
        <f t="shared" si="6"/>
        <v>9000</v>
      </c>
      <c r="L44">
        <f t="shared" si="7"/>
        <v>0</v>
      </c>
      <c r="M44">
        <f t="shared" si="8"/>
        <v>0</v>
      </c>
    </row>
    <row r="45">
      <c r="A45" t="str">
        <f>往来单位!$B$46&amp;""</f>
        <v>胡家新</v>
      </c>
      <c r="B45" t="str">
        <f>往来单位!$C$46&amp;""</f>
        <v>工人</v>
      </c>
      <c r="C45">
        <f t="shared" si="0"/>
        <v>0</v>
      </c>
      <c r="D45">
        <f t="shared" si="1"/>
        <v>0</v>
      </c>
      <c r="E45">
        <f>IF(OR($A45="",NOT(OR($B45="管理人员",$B45="工人"))),0,ROUND(N(往来单位!$M$46)+J45-K45-L45+M45,2))</f>
        <v>3260</v>
      </c>
      <c r="F45">
        <f>IF(OR($A45="",NOT(OR($B45="管理人员",$B45="工人"))),0,ROUND(N(往来单位!$M$46)+SUMIFS(考勤工资!$W$5:$W$1004,考勤工资!$C$5:$C$1004,$A45,考勤工资!$Y$5:$Y$1004,"&gt;="&amp;_辅助!$J$4,考勤工资!$Y$5:$Y$1004,"&lt;="&amp;_辅助!$J$5)-(-SUMIFS(资金流水!$R$6:$R$2005,资金流水!$J$6:$J$2005,$A45,资金流水!$X$6:$X$2005,"应付职工薪酬",资金流水!$R$6:$R$2005,"&lt;0",资金流水!$S$6:$S$2005,"&gt;="&amp;_辅助!$J$4,资金流水!$S$6:$S$2005,"&lt;="&amp;_辅助!$J$5))-SUMIFS(代发抵账!$F$5:$F$304,代发抵账!$E$5:$E$304,$A45,代发抵账!$D$5:$D$304,"总包代发工资",代发抵账!$H$5:$H$304,"&gt;="&amp;_辅助!$J$4,代发抵账!$H$5:$H$304,"&lt;="&amp;_辅助!$J$5)+SUMIFS(资金流水!$R$6:$R$2005,资金流水!$J$6:$J$2005,$A45,资金流水!$X$6:$X$2005,"应付职工薪酬",资金流水!$R$6:$R$2005,"&gt;0",资金流水!$S$6:$S$2005,"&gt;="&amp;_辅助!$J$4,资金流水!$S$6:$S$2005,"&lt;="&amp;_辅助!$J$5),2))</f>
        <v>0</v>
      </c>
      <c r="G45">
        <f t="shared" si="2"/>
        <v>0</v>
      </c>
      <c r="H45">
        <f t="shared" si="3"/>
        <v>0</v>
      </c>
      <c r="I45">
        <f t="shared" si="4"/>
        <v>0</v>
      </c>
      <c r="J45">
        <f t="shared" si="5"/>
        <v>10260</v>
      </c>
      <c r="K45">
        <f t="shared" si="6"/>
        <v>7000</v>
      </c>
      <c r="L45">
        <f t="shared" si="7"/>
        <v>0</v>
      </c>
      <c r="M45">
        <f t="shared" si="8"/>
        <v>0</v>
      </c>
    </row>
    <row r="46">
      <c r="A46" t="str">
        <f>往来单位!$B$47&amp;""</f>
        <v>刘海</v>
      </c>
      <c r="B46" t="str">
        <f>往来单位!$C$47&amp;""</f>
        <v>工人</v>
      </c>
      <c r="C46">
        <f t="shared" si="0"/>
        <v>0</v>
      </c>
      <c r="D46">
        <f t="shared" si="1"/>
        <v>0</v>
      </c>
      <c r="E46">
        <f>IF(OR($A46="",NOT(OR($B46="管理人员",$B46="工人"))),0,ROUND(N(往来单位!$M$47)+J46-K46-L46+M46,2))</f>
        <v>2250</v>
      </c>
      <c r="F46">
        <f>IF(OR($A46="",NOT(OR($B46="管理人员",$B46="工人"))),0,ROUND(N(往来单位!$M$47)+SUMIFS(考勤工资!$W$5:$W$1004,考勤工资!$C$5:$C$1004,$A46,考勤工资!$Y$5:$Y$1004,"&gt;="&amp;_辅助!$J$4,考勤工资!$Y$5:$Y$1004,"&lt;="&amp;_辅助!$J$5)-(-SUMIFS(资金流水!$R$6:$R$2005,资金流水!$J$6:$J$2005,$A46,资金流水!$X$6:$X$2005,"应付职工薪酬",资金流水!$R$6:$R$2005,"&lt;0",资金流水!$S$6:$S$2005,"&gt;="&amp;_辅助!$J$4,资金流水!$S$6:$S$2005,"&lt;="&amp;_辅助!$J$5))-SUMIFS(代发抵账!$F$5:$F$304,代发抵账!$E$5:$E$304,$A46,代发抵账!$D$5:$D$304,"总包代发工资",代发抵账!$H$5:$H$304,"&gt;="&amp;_辅助!$J$4,代发抵账!$H$5:$H$304,"&lt;="&amp;_辅助!$J$5)+SUMIFS(资金流水!$R$6:$R$2005,资金流水!$J$6:$J$2005,$A46,资金流水!$X$6:$X$2005,"应付职工薪酬",资金流水!$R$6:$R$2005,"&gt;0",资金流水!$S$6:$S$2005,"&gt;="&amp;_辅助!$J$4,资金流水!$S$6:$S$2005,"&lt;="&amp;_辅助!$J$5),2))</f>
        <v>0</v>
      </c>
      <c r="G46">
        <f t="shared" si="2"/>
        <v>0</v>
      </c>
      <c r="H46">
        <f t="shared" si="3"/>
        <v>0</v>
      </c>
      <c r="I46">
        <f t="shared" si="4"/>
        <v>0</v>
      </c>
      <c r="J46">
        <f t="shared" si="5"/>
        <v>8250</v>
      </c>
      <c r="K46">
        <f t="shared" si="6"/>
        <v>6000</v>
      </c>
      <c r="L46">
        <f t="shared" si="7"/>
        <v>0</v>
      </c>
      <c r="M46">
        <f t="shared" si="8"/>
        <v>0</v>
      </c>
    </row>
    <row r="47">
      <c r="A47" t="str">
        <f>往来单位!$B$48&amp;""</f>
        <v>程章赐</v>
      </c>
      <c r="B47" t="str">
        <f>往来单位!$C$48&amp;""</f>
        <v>工人</v>
      </c>
      <c r="C47">
        <f t="shared" si="0"/>
        <v>0</v>
      </c>
      <c r="D47">
        <f t="shared" si="1"/>
        <v>0</v>
      </c>
      <c r="E47">
        <f>IF(OR($A47="",NOT(OR($B47="管理人员",$B47="工人"))),0,ROUND(N(往来单位!$M$48)+J47-K47-L47+M47,2))</f>
        <v>8425</v>
      </c>
      <c r="F47">
        <f>IF(OR($A47="",NOT(OR($B47="管理人员",$B47="工人"))),0,ROUND(N(往来单位!$M$48)+SUMIFS(考勤工资!$W$5:$W$1004,考勤工资!$C$5:$C$1004,$A47,考勤工资!$Y$5:$Y$1004,"&gt;="&amp;_辅助!$J$4,考勤工资!$Y$5:$Y$1004,"&lt;="&amp;_辅助!$J$5)-(-SUMIFS(资金流水!$R$6:$R$2005,资金流水!$J$6:$J$2005,$A47,资金流水!$X$6:$X$2005,"应付职工薪酬",资金流水!$R$6:$R$2005,"&lt;0",资金流水!$S$6:$S$2005,"&gt;="&amp;_辅助!$J$4,资金流水!$S$6:$S$2005,"&lt;="&amp;_辅助!$J$5))-SUMIFS(代发抵账!$F$5:$F$304,代发抵账!$E$5:$E$304,$A47,代发抵账!$D$5:$D$304,"总包代发工资",代发抵账!$H$5:$H$304,"&gt;="&amp;_辅助!$J$4,代发抵账!$H$5:$H$304,"&lt;="&amp;_辅助!$J$5)+SUMIFS(资金流水!$R$6:$R$2005,资金流水!$J$6:$J$2005,$A47,资金流水!$X$6:$X$2005,"应付职工薪酬",资金流水!$R$6:$R$2005,"&gt;0",资金流水!$S$6:$S$2005,"&gt;="&amp;_辅助!$J$4,资金流水!$S$6:$S$2005,"&lt;="&amp;_辅助!$J$5),2))</f>
        <v>0</v>
      </c>
      <c r="G47">
        <f t="shared" si="2"/>
        <v>0</v>
      </c>
      <c r="H47">
        <f t="shared" si="3"/>
        <v>0</v>
      </c>
      <c r="I47">
        <f t="shared" si="4"/>
        <v>0</v>
      </c>
      <c r="J47">
        <f t="shared" si="5"/>
        <v>12425</v>
      </c>
      <c r="K47">
        <f t="shared" si="6"/>
        <v>4000</v>
      </c>
      <c r="L47">
        <f t="shared" si="7"/>
        <v>0</v>
      </c>
      <c r="M47">
        <f t="shared" si="8"/>
        <v>0</v>
      </c>
    </row>
    <row r="48">
      <c r="A48" t="str">
        <f>往来单位!$B$49&amp;""</f>
        <v>程章材</v>
      </c>
      <c r="B48" t="str">
        <f>往来单位!$C$49&amp;""</f>
        <v>工人</v>
      </c>
      <c r="C48">
        <f t="shared" si="0"/>
        <v>0</v>
      </c>
      <c r="D48">
        <f t="shared" si="1"/>
        <v>0</v>
      </c>
      <c r="E48">
        <f>IF(OR($A48="",NOT(OR($B48="管理人员",$B48="工人"))),0,ROUND(N(往来单位!$M$49)+J48-K48-L48+M48,2))</f>
        <v>2500</v>
      </c>
      <c r="F48">
        <f>IF(OR($A48="",NOT(OR($B48="管理人员",$B48="工人"))),0,ROUND(N(往来单位!$M$49)+SUMIFS(考勤工资!$W$5:$W$1004,考勤工资!$C$5:$C$1004,$A48,考勤工资!$Y$5:$Y$1004,"&gt;="&amp;_辅助!$J$4,考勤工资!$Y$5:$Y$1004,"&lt;="&amp;_辅助!$J$5)-(-SUMIFS(资金流水!$R$6:$R$2005,资金流水!$J$6:$J$2005,$A48,资金流水!$X$6:$X$2005,"应付职工薪酬",资金流水!$R$6:$R$2005,"&lt;0",资金流水!$S$6:$S$2005,"&gt;="&amp;_辅助!$J$4,资金流水!$S$6:$S$2005,"&lt;="&amp;_辅助!$J$5))-SUMIFS(代发抵账!$F$5:$F$304,代发抵账!$E$5:$E$304,$A48,代发抵账!$D$5:$D$304,"总包代发工资",代发抵账!$H$5:$H$304,"&gt;="&amp;_辅助!$J$4,代发抵账!$H$5:$H$304,"&lt;="&amp;_辅助!$J$5)+SUMIFS(资金流水!$R$6:$R$2005,资金流水!$J$6:$J$2005,$A48,资金流水!$X$6:$X$2005,"应付职工薪酬",资金流水!$R$6:$R$2005,"&gt;0",资金流水!$S$6:$S$2005,"&gt;="&amp;_辅助!$J$4,资金流水!$S$6:$S$2005,"&lt;="&amp;_辅助!$J$5),2))</f>
        <v>0</v>
      </c>
      <c r="G48">
        <f t="shared" si="2"/>
        <v>0</v>
      </c>
      <c r="H48">
        <f t="shared" si="3"/>
        <v>0</v>
      </c>
      <c r="I48">
        <f t="shared" si="4"/>
        <v>0</v>
      </c>
      <c r="J48">
        <f t="shared" si="5"/>
        <v>6500</v>
      </c>
      <c r="K48">
        <f t="shared" si="6"/>
        <v>4000</v>
      </c>
      <c r="L48">
        <f t="shared" si="7"/>
        <v>0</v>
      </c>
      <c r="M48">
        <f t="shared" si="8"/>
        <v>0</v>
      </c>
    </row>
    <row r="49">
      <c r="A49" t="str">
        <f>往来单位!$B$50&amp;""</f>
        <v>叶炳南</v>
      </c>
      <c r="B49" t="str">
        <f>往来单位!$C$50&amp;""</f>
        <v>工人</v>
      </c>
      <c r="C49">
        <f t="shared" si="0"/>
        <v>0</v>
      </c>
      <c r="D49">
        <f t="shared" si="1"/>
        <v>0</v>
      </c>
      <c r="E49">
        <f>IF(OR($A49="",NOT(OR($B49="管理人员",$B49="工人"))),0,ROUND(N(往来单位!$M$50)+J49-K49-L49+M49,2))</f>
        <v>-492.6</v>
      </c>
      <c r="F49">
        <f>IF(OR($A49="",NOT(OR($B49="管理人员",$B49="工人"))),0,ROUND(N(往来单位!$M$50)+SUMIFS(考勤工资!$W$5:$W$1004,考勤工资!$C$5:$C$1004,$A49,考勤工资!$Y$5:$Y$1004,"&gt;="&amp;_辅助!$J$4,考勤工资!$Y$5:$Y$1004,"&lt;="&amp;_辅助!$J$5)-(-SUMIFS(资金流水!$R$6:$R$2005,资金流水!$J$6:$J$2005,$A49,资金流水!$X$6:$X$2005,"应付职工薪酬",资金流水!$R$6:$R$2005,"&lt;0",资金流水!$S$6:$S$2005,"&gt;="&amp;_辅助!$J$4,资金流水!$S$6:$S$2005,"&lt;="&amp;_辅助!$J$5))-SUMIFS(代发抵账!$F$5:$F$304,代发抵账!$E$5:$E$304,$A49,代发抵账!$D$5:$D$304,"总包代发工资",代发抵账!$H$5:$H$304,"&gt;="&amp;_辅助!$J$4,代发抵账!$H$5:$H$304,"&lt;="&amp;_辅助!$J$5)+SUMIFS(资金流水!$R$6:$R$2005,资金流水!$J$6:$J$2005,$A49,资金流水!$X$6:$X$2005,"应付职工薪酬",资金流水!$R$6:$R$2005,"&gt;0",资金流水!$S$6:$S$2005,"&gt;="&amp;_辅助!$J$4,资金流水!$S$6:$S$2005,"&lt;="&amp;_辅助!$J$5),2))</f>
        <v>0</v>
      </c>
      <c r="G49">
        <f t="shared" si="2"/>
        <v>0</v>
      </c>
      <c r="H49">
        <f t="shared" si="3"/>
        <v>0</v>
      </c>
      <c r="I49">
        <f t="shared" si="4"/>
        <v>0</v>
      </c>
      <c r="J49">
        <f t="shared" si="5"/>
        <v>8507.4</v>
      </c>
      <c r="K49">
        <f t="shared" si="6"/>
        <v>9000</v>
      </c>
      <c r="L49">
        <f t="shared" si="7"/>
        <v>0</v>
      </c>
      <c r="M49">
        <f t="shared" si="8"/>
        <v>0</v>
      </c>
    </row>
    <row r="50">
      <c r="A50" t="str">
        <f>往来单位!$B$51&amp;""</f>
        <v>万焕和</v>
      </c>
      <c r="B50" t="str">
        <f>往来单位!$C$51&amp;""</f>
        <v>工人</v>
      </c>
      <c r="C50">
        <f t="shared" si="0"/>
        <v>0</v>
      </c>
      <c r="D50">
        <f t="shared" si="1"/>
        <v>0</v>
      </c>
      <c r="E50">
        <f>IF(OR($A50="",NOT(OR($B50="管理人员",$B50="工人"))),0,ROUND(N(往来单位!$M$51)+J50-K50-L50+M50,2))</f>
        <v>-6040</v>
      </c>
      <c r="F50">
        <f>IF(OR($A50="",NOT(OR($B50="管理人员",$B50="工人"))),0,ROUND(N(往来单位!$M$51)+SUMIFS(考勤工资!$W$5:$W$1004,考勤工资!$C$5:$C$1004,$A50,考勤工资!$Y$5:$Y$1004,"&gt;="&amp;_辅助!$J$4,考勤工资!$Y$5:$Y$1004,"&lt;="&amp;_辅助!$J$5)-(-SUMIFS(资金流水!$R$6:$R$2005,资金流水!$J$6:$J$2005,$A50,资金流水!$X$6:$X$2005,"应付职工薪酬",资金流水!$R$6:$R$2005,"&lt;0",资金流水!$S$6:$S$2005,"&gt;="&amp;_辅助!$J$4,资金流水!$S$6:$S$2005,"&lt;="&amp;_辅助!$J$5))-SUMIFS(代发抵账!$F$5:$F$304,代发抵账!$E$5:$E$304,$A50,代发抵账!$D$5:$D$304,"总包代发工资",代发抵账!$H$5:$H$304,"&gt;="&amp;_辅助!$J$4,代发抵账!$H$5:$H$304,"&lt;="&amp;_辅助!$J$5)+SUMIFS(资金流水!$R$6:$R$2005,资金流水!$J$6:$J$2005,$A50,资金流水!$X$6:$X$2005,"应付职工薪酬",资金流水!$R$6:$R$2005,"&gt;0",资金流水!$S$6:$S$2005,"&gt;="&amp;_辅助!$J$4,资金流水!$S$6:$S$2005,"&lt;="&amp;_辅助!$J$5),2))</f>
        <v>0</v>
      </c>
      <c r="G50">
        <f t="shared" si="2"/>
        <v>0</v>
      </c>
      <c r="H50">
        <f t="shared" si="3"/>
        <v>0</v>
      </c>
      <c r="I50">
        <f t="shared" si="4"/>
        <v>0</v>
      </c>
      <c r="J50">
        <f t="shared" si="5"/>
        <v>960</v>
      </c>
      <c r="K50">
        <f t="shared" si="6"/>
        <v>7000</v>
      </c>
      <c r="L50">
        <f t="shared" si="7"/>
        <v>0</v>
      </c>
      <c r="M50">
        <f t="shared" si="8"/>
        <v>0</v>
      </c>
    </row>
    <row r="51">
      <c r="A51" t="str">
        <f>往来单位!$B$52&amp;""</f>
        <v>邓泽贵</v>
      </c>
      <c r="B51" t="str">
        <f>往来单位!$C$52&amp;""</f>
        <v>工人</v>
      </c>
      <c r="C51">
        <f t="shared" si="0"/>
        <v>0</v>
      </c>
      <c r="D51">
        <f t="shared" si="1"/>
        <v>0</v>
      </c>
      <c r="E51">
        <f>IF(OR($A51="",NOT(OR($B51="管理人员",$B51="工人"))),0,ROUND(N(往来单位!$M$52)+J51-K51-L51+M51,2))</f>
        <v>-15811.31</v>
      </c>
      <c r="F51">
        <f>IF(OR($A51="",NOT(OR($B51="管理人员",$B51="工人"))),0,ROUND(N(往来单位!$M$52)+SUMIFS(考勤工资!$W$5:$W$1004,考勤工资!$C$5:$C$1004,$A51,考勤工资!$Y$5:$Y$1004,"&gt;="&amp;_辅助!$J$4,考勤工资!$Y$5:$Y$1004,"&lt;="&amp;_辅助!$J$5)-(-SUMIFS(资金流水!$R$6:$R$2005,资金流水!$J$6:$J$2005,$A51,资金流水!$X$6:$X$2005,"应付职工薪酬",资金流水!$R$6:$R$2005,"&lt;0",资金流水!$S$6:$S$2005,"&gt;="&amp;_辅助!$J$4,资金流水!$S$6:$S$2005,"&lt;="&amp;_辅助!$J$5))-SUMIFS(代发抵账!$F$5:$F$304,代发抵账!$E$5:$E$304,$A51,代发抵账!$D$5:$D$304,"总包代发工资",代发抵账!$H$5:$H$304,"&gt;="&amp;_辅助!$J$4,代发抵账!$H$5:$H$304,"&lt;="&amp;_辅助!$J$5)+SUMIFS(资金流水!$R$6:$R$2005,资金流水!$J$6:$J$2005,$A51,资金流水!$X$6:$X$2005,"应付职工薪酬",资金流水!$R$6:$R$2005,"&gt;0",资金流水!$S$6:$S$2005,"&gt;="&amp;_辅助!$J$4,资金流水!$S$6:$S$2005,"&lt;="&amp;_辅助!$J$5),2))</f>
        <v>0</v>
      </c>
      <c r="G51">
        <f t="shared" si="2"/>
        <v>0</v>
      </c>
      <c r="H51">
        <f t="shared" si="3"/>
        <v>0</v>
      </c>
      <c r="I51">
        <f t="shared" si="4"/>
        <v>0</v>
      </c>
      <c r="J51">
        <f t="shared" si="5"/>
        <v>9373</v>
      </c>
      <c r="K51">
        <f t="shared" si="6"/>
        <v>25184.31</v>
      </c>
      <c r="L51">
        <f t="shared" si="7"/>
        <v>0</v>
      </c>
      <c r="M51">
        <f t="shared" si="8"/>
        <v>0</v>
      </c>
    </row>
    <row r="52">
      <c r="A52" t="str">
        <f>往来单位!$B$53&amp;""</f>
        <v>吴长友</v>
      </c>
      <c r="B52" t="str">
        <f>往来单位!$C$53&amp;""</f>
        <v>工人</v>
      </c>
      <c r="C52">
        <f t="shared" si="0"/>
        <v>0</v>
      </c>
      <c r="D52">
        <f t="shared" si="1"/>
        <v>0</v>
      </c>
      <c r="E52">
        <f>IF(OR($A52="",NOT(OR($B52="管理人员",$B52="工人"))),0,ROUND(N(往来单位!$M$53)+J52-K52-L52+M52,2))</f>
        <v>-1287.6</v>
      </c>
      <c r="F52">
        <f>IF(OR($A52="",NOT(OR($B52="管理人员",$B52="工人"))),0,ROUND(N(往来单位!$M$53)+SUMIFS(考勤工资!$W$5:$W$1004,考勤工资!$C$5:$C$1004,$A52,考勤工资!$Y$5:$Y$1004,"&gt;="&amp;_辅助!$J$4,考勤工资!$Y$5:$Y$1004,"&lt;="&amp;_辅助!$J$5)-(-SUMIFS(资金流水!$R$6:$R$2005,资金流水!$J$6:$J$2005,$A52,资金流水!$X$6:$X$2005,"应付职工薪酬",资金流水!$R$6:$R$2005,"&lt;0",资金流水!$S$6:$S$2005,"&gt;="&amp;_辅助!$J$4,资金流水!$S$6:$S$2005,"&lt;="&amp;_辅助!$J$5))-SUMIFS(代发抵账!$F$5:$F$304,代发抵账!$E$5:$E$304,$A52,代发抵账!$D$5:$D$304,"总包代发工资",代发抵账!$H$5:$H$304,"&gt;="&amp;_辅助!$J$4,代发抵账!$H$5:$H$304,"&lt;="&amp;_辅助!$J$5)+SUMIFS(资金流水!$R$6:$R$2005,资金流水!$J$6:$J$2005,$A52,资金流水!$X$6:$X$2005,"应付职工薪酬",资金流水!$R$6:$R$2005,"&gt;0",资金流水!$S$6:$S$2005,"&gt;="&amp;_辅助!$J$4,资金流水!$S$6:$S$2005,"&lt;="&amp;_辅助!$J$5),2))</f>
        <v>0</v>
      </c>
      <c r="G52">
        <f t="shared" si="2"/>
        <v>0</v>
      </c>
      <c r="H52">
        <f t="shared" si="3"/>
        <v>0</v>
      </c>
      <c r="I52">
        <f t="shared" si="4"/>
        <v>0</v>
      </c>
      <c r="J52">
        <f t="shared" si="5"/>
        <v>4712.4</v>
      </c>
      <c r="K52">
        <f t="shared" si="6"/>
        <v>6000</v>
      </c>
      <c r="L52">
        <f t="shared" si="7"/>
        <v>0</v>
      </c>
      <c r="M52">
        <f t="shared" si="8"/>
        <v>0</v>
      </c>
    </row>
    <row r="53">
      <c r="A53" t="str">
        <f>往来单位!$B$54&amp;""</f>
        <v>闵清林</v>
      </c>
      <c r="B53" t="str">
        <f>往来单位!$C$54&amp;""</f>
        <v>工人</v>
      </c>
      <c r="C53">
        <f t="shared" si="0"/>
        <v>0</v>
      </c>
      <c r="D53">
        <f t="shared" si="1"/>
        <v>0</v>
      </c>
      <c r="E53">
        <f>IF(OR($A53="",NOT(OR($B53="管理人员",$B53="工人"))),0,ROUND(N(往来单位!$M$54)+J53-K53-L53+M53,2))</f>
        <v>-9537</v>
      </c>
      <c r="F53">
        <f>IF(OR($A53="",NOT(OR($B53="管理人员",$B53="工人"))),0,ROUND(N(往来单位!$M$54)+SUMIFS(考勤工资!$W$5:$W$1004,考勤工资!$C$5:$C$1004,$A53,考勤工资!$Y$5:$Y$1004,"&gt;="&amp;_辅助!$J$4,考勤工资!$Y$5:$Y$1004,"&lt;="&amp;_辅助!$J$5)-(-SUMIFS(资金流水!$R$6:$R$2005,资金流水!$J$6:$J$2005,$A53,资金流水!$X$6:$X$2005,"应付职工薪酬",资金流水!$R$6:$R$2005,"&lt;0",资金流水!$S$6:$S$2005,"&gt;="&amp;_辅助!$J$4,资金流水!$S$6:$S$2005,"&lt;="&amp;_辅助!$J$5))-SUMIFS(代发抵账!$F$5:$F$304,代发抵账!$E$5:$E$304,$A53,代发抵账!$D$5:$D$304,"总包代发工资",代发抵账!$H$5:$H$304,"&gt;="&amp;_辅助!$J$4,代发抵账!$H$5:$H$304,"&lt;="&amp;_辅助!$J$5)+SUMIFS(资金流水!$R$6:$R$2005,资金流水!$J$6:$J$2005,$A53,资金流水!$X$6:$X$2005,"应付职工薪酬",资金流水!$R$6:$R$2005,"&gt;0",资金流水!$S$6:$S$2005,"&gt;="&amp;_辅助!$J$4,资金流水!$S$6:$S$2005,"&lt;="&amp;_辅助!$J$5),2))</f>
        <v>0</v>
      </c>
      <c r="G53">
        <f t="shared" si="2"/>
        <v>0</v>
      </c>
      <c r="H53">
        <f t="shared" si="3"/>
        <v>0</v>
      </c>
      <c r="I53">
        <f t="shared" si="4"/>
        <v>0</v>
      </c>
      <c r="J53">
        <f t="shared" si="5"/>
        <v>4050</v>
      </c>
      <c r="K53">
        <f t="shared" si="6"/>
        <v>13587</v>
      </c>
      <c r="L53">
        <f t="shared" si="7"/>
        <v>0</v>
      </c>
      <c r="M53">
        <f t="shared" si="8"/>
        <v>0</v>
      </c>
    </row>
    <row r="54">
      <c r="A54" t="str">
        <f>往来单位!$B$55&amp;""</f>
        <v>徐从国</v>
      </c>
      <c r="B54" t="str">
        <f>往来单位!$C$55&amp;""</f>
        <v>工人</v>
      </c>
      <c r="C54">
        <f t="shared" si="0"/>
        <v>0</v>
      </c>
      <c r="D54">
        <f t="shared" si="1"/>
        <v>0</v>
      </c>
      <c r="E54">
        <f>IF(OR($A54="",NOT(OR($B54="管理人员",$B54="工人"))),0,ROUND(N(往来单位!$M$55)+J54-K54-L54+M54,2))</f>
        <v>860</v>
      </c>
      <c r="F54">
        <f>IF(OR($A54="",NOT(OR($B54="管理人员",$B54="工人"))),0,ROUND(N(往来单位!$M$55)+SUMIFS(考勤工资!$W$5:$W$1004,考勤工资!$C$5:$C$1004,$A54,考勤工资!$Y$5:$Y$1004,"&gt;="&amp;_辅助!$J$4,考勤工资!$Y$5:$Y$1004,"&lt;="&amp;_辅助!$J$5)-(-SUMIFS(资金流水!$R$6:$R$2005,资金流水!$J$6:$J$2005,$A54,资金流水!$X$6:$X$2005,"应付职工薪酬",资金流水!$R$6:$R$2005,"&lt;0",资金流水!$S$6:$S$2005,"&gt;="&amp;_辅助!$J$4,资金流水!$S$6:$S$2005,"&lt;="&amp;_辅助!$J$5))-SUMIFS(代发抵账!$F$5:$F$304,代发抵账!$E$5:$E$304,$A54,代发抵账!$D$5:$D$304,"总包代发工资",代发抵账!$H$5:$H$304,"&gt;="&amp;_辅助!$J$4,代发抵账!$H$5:$H$304,"&lt;="&amp;_辅助!$J$5)+SUMIFS(资金流水!$R$6:$R$2005,资金流水!$J$6:$J$2005,$A54,资金流水!$X$6:$X$2005,"应付职工薪酬",资金流水!$R$6:$R$2005,"&gt;0",资金流水!$S$6:$S$2005,"&gt;="&amp;_辅助!$J$4,资金流水!$S$6:$S$2005,"&lt;="&amp;_辅助!$J$5),2))</f>
        <v>0</v>
      </c>
      <c r="G54">
        <f t="shared" si="2"/>
        <v>0</v>
      </c>
      <c r="H54">
        <f t="shared" si="3"/>
        <v>0</v>
      </c>
      <c r="I54">
        <f t="shared" si="4"/>
        <v>0</v>
      </c>
      <c r="J54">
        <f t="shared" si="5"/>
        <v>6860</v>
      </c>
      <c r="K54">
        <f t="shared" si="6"/>
        <v>6000</v>
      </c>
      <c r="L54">
        <f t="shared" si="7"/>
        <v>0</v>
      </c>
      <c r="M54">
        <f t="shared" si="8"/>
        <v>0</v>
      </c>
    </row>
    <row r="55">
      <c r="A55" t="str">
        <f>往来单位!$B$56&amp;""</f>
        <v>梅秀刚</v>
      </c>
      <c r="B55" t="str">
        <f>往来单位!$C$56&amp;""</f>
        <v>工人</v>
      </c>
      <c r="C55">
        <f t="shared" si="0"/>
        <v>0</v>
      </c>
      <c r="D55">
        <f t="shared" si="1"/>
        <v>0</v>
      </c>
      <c r="E55">
        <f>IF(OR($A55="",NOT(OR($B55="管理人员",$B55="工人"))),0,ROUND(N(往来单位!$M$56)+J55-K55-L55+M55,2))</f>
        <v>-7090</v>
      </c>
      <c r="F55">
        <f>IF(OR($A55="",NOT(OR($B55="管理人员",$B55="工人"))),0,ROUND(N(往来单位!$M$56)+SUMIFS(考勤工资!$W$5:$W$1004,考勤工资!$C$5:$C$1004,$A55,考勤工资!$Y$5:$Y$1004,"&gt;="&amp;_辅助!$J$4,考勤工资!$Y$5:$Y$1004,"&lt;="&amp;_辅助!$J$5)-(-SUMIFS(资金流水!$R$6:$R$2005,资金流水!$J$6:$J$2005,$A55,资金流水!$X$6:$X$2005,"应付职工薪酬",资金流水!$R$6:$R$2005,"&lt;0",资金流水!$S$6:$S$2005,"&gt;="&amp;_辅助!$J$4,资金流水!$S$6:$S$2005,"&lt;="&amp;_辅助!$J$5))-SUMIFS(代发抵账!$F$5:$F$304,代发抵账!$E$5:$E$304,$A55,代发抵账!$D$5:$D$304,"总包代发工资",代发抵账!$H$5:$H$304,"&gt;="&amp;_辅助!$J$4,代发抵账!$H$5:$H$304,"&lt;="&amp;_辅助!$J$5)+SUMIFS(资金流水!$R$6:$R$2005,资金流水!$J$6:$J$2005,$A55,资金流水!$X$6:$X$2005,"应付职工薪酬",资金流水!$R$6:$R$2005,"&gt;0",资金流水!$S$6:$S$2005,"&gt;="&amp;_辅助!$J$4,资金流水!$S$6:$S$2005,"&lt;="&amp;_辅助!$J$5),2))</f>
        <v>0</v>
      </c>
      <c r="G55">
        <f t="shared" si="2"/>
        <v>0</v>
      </c>
      <c r="H55">
        <f t="shared" si="3"/>
        <v>0</v>
      </c>
      <c r="I55">
        <f t="shared" si="4"/>
        <v>0</v>
      </c>
      <c r="J55">
        <f t="shared" si="5"/>
        <v>3910</v>
      </c>
      <c r="K55">
        <f t="shared" si="6"/>
        <v>11000</v>
      </c>
      <c r="L55">
        <f t="shared" si="7"/>
        <v>0</v>
      </c>
      <c r="M55">
        <f t="shared" si="8"/>
        <v>0</v>
      </c>
    </row>
    <row r="56">
      <c r="A56" t="str">
        <f>往来单位!$B$57&amp;""</f>
        <v>金南水</v>
      </c>
      <c r="B56" t="str">
        <f>往来单位!$C$57&amp;""</f>
        <v>工人</v>
      </c>
      <c r="C56">
        <f t="shared" si="0"/>
        <v>0</v>
      </c>
      <c r="D56">
        <f t="shared" si="1"/>
        <v>0</v>
      </c>
      <c r="E56">
        <f>IF(OR($A56="",NOT(OR($B56="管理人员",$B56="工人"))),0,ROUND(N(往来单位!$M$57)+J56-K56-L56+M56,2))</f>
        <v>-13895</v>
      </c>
      <c r="F56">
        <f>IF(OR($A56="",NOT(OR($B56="管理人员",$B56="工人"))),0,ROUND(N(往来单位!$M$57)+SUMIFS(考勤工资!$W$5:$W$1004,考勤工资!$C$5:$C$1004,$A56,考勤工资!$Y$5:$Y$1004,"&gt;="&amp;_辅助!$J$4,考勤工资!$Y$5:$Y$1004,"&lt;="&amp;_辅助!$J$5)-(-SUMIFS(资金流水!$R$6:$R$2005,资金流水!$J$6:$J$2005,$A56,资金流水!$X$6:$X$2005,"应付职工薪酬",资金流水!$R$6:$R$2005,"&lt;0",资金流水!$S$6:$S$2005,"&gt;="&amp;_辅助!$J$4,资金流水!$S$6:$S$2005,"&lt;="&amp;_辅助!$J$5))-SUMIFS(代发抵账!$F$5:$F$304,代发抵账!$E$5:$E$304,$A56,代发抵账!$D$5:$D$304,"总包代发工资",代发抵账!$H$5:$H$304,"&gt;="&amp;_辅助!$J$4,代发抵账!$H$5:$H$304,"&lt;="&amp;_辅助!$J$5)+SUMIFS(资金流水!$R$6:$R$2005,资金流水!$J$6:$J$2005,$A56,资金流水!$X$6:$X$2005,"应付职工薪酬",资金流水!$R$6:$R$2005,"&gt;0",资金流水!$S$6:$S$2005,"&gt;="&amp;_辅助!$J$4,资金流水!$S$6:$S$2005,"&lt;="&amp;_辅助!$J$5),2))</f>
        <v>0</v>
      </c>
      <c r="G56">
        <f t="shared" si="2"/>
        <v>0</v>
      </c>
      <c r="H56">
        <f t="shared" si="3"/>
        <v>0</v>
      </c>
      <c r="I56">
        <f t="shared" si="4"/>
        <v>0</v>
      </c>
      <c r="J56">
        <f t="shared" si="5"/>
        <v>7105</v>
      </c>
      <c r="K56">
        <f t="shared" si="6"/>
        <v>21000</v>
      </c>
      <c r="L56">
        <f t="shared" si="7"/>
        <v>0</v>
      </c>
      <c r="M56">
        <f t="shared" si="8"/>
        <v>0</v>
      </c>
    </row>
    <row r="57">
      <c r="A57" t="str">
        <f>往来单位!$B$58&amp;""</f>
        <v>金李平</v>
      </c>
      <c r="B57" t="str">
        <f>往来单位!$C$58&amp;""</f>
        <v>工人</v>
      </c>
      <c r="C57">
        <f t="shared" si="0"/>
        <v>0</v>
      </c>
      <c r="D57">
        <f t="shared" si="1"/>
        <v>0</v>
      </c>
      <c r="E57">
        <f>IF(OR($A57="",NOT(OR($B57="管理人员",$B57="工人"))),0,ROUND(N(往来单位!$M$58)+J57-K57-L57+M57,2))</f>
        <v>-144.4</v>
      </c>
      <c r="F57">
        <f>IF(OR($A57="",NOT(OR($B57="管理人员",$B57="工人"))),0,ROUND(N(往来单位!$M$58)+SUMIFS(考勤工资!$W$5:$W$1004,考勤工资!$C$5:$C$1004,$A57,考勤工资!$Y$5:$Y$1004,"&gt;="&amp;_辅助!$J$4,考勤工资!$Y$5:$Y$1004,"&lt;="&amp;_辅助!$J$5)-(-SUMIFS(资金流水!$R$6:$R$2005,资金流水!$J$6:$J$2005,$A57,资金流水!$X$6:$X$2005,"应付职工薪酬",资金流水!$R$6:$R$2005,"&lt;0",资金流水!$S$6:$S$2005,"&gt;="&amp;_辅助!$J$4,资金流水!$S$6:$S$2005,"&lt;="&amp;_辅助!$J$5))-SUMIFS(代发抵账!$F$5:$F$304,代发抵账!$E$5:$E$304,$A57,代发抵账!$D$5:$D$304,"总包代发工资",代发抵账!$H$5:$H$304,"&gt;="&amp;_辅助!$J$4,代发抵账!$H$5:$H$304,"&lt;="&amp;_辅助!$J$5)+SUMIFS(资金流水!$R$6:$R$2005,资金流水!$J$6:$J$2005,$A57,资金流水!$X$6:$X$2005,"应付职工薪酬",资金流水!$R$6:$R$2005,"&gt;0",资金流水!$S$6:$S$2005,"&gt;="&amp;_辅助!$J$4,资金流水!$S$6:$S$2005,"&lt;="&amp;_辅助!$J$5),2))</f>
        <v>0</v>
      </c>
      <c r="G57">
        <f t="shared" si="2"/>
        <v>0</v>
      </c>
      <c r="H57">
        <f t="shared" si="3"/>
        <v>0</v>
      </c>
      <c r="I57">
        <f t="shared" si="4"/>
        <v>0</v>
      </c>
      <c r="J57">
        <f t="shared" si="5"/>
        <v>3855.6</v>
      </c>
      <c r="K57">
        <f t="shared" si="6"/>
        <v>4000</v>
      </c>
      <c r="L57">
        <f t="shared" si="7"/>
        <v>0</v>
      </c>
      <c r="M57">
        <f t="shared" si="8"/>
        <v>0</v>
      </c>
    </row>
    <row r="58">
      <c r="A58" t="str">
        <f>往来单位!$B$59&amp;""</f>
        <v>杨明定</v>
      </c>
      <c r="B58" t="str">
        <f>往来单位!$C$59&amp;""</f>
        <v>工人</v>
      </c>
      <c r="C58">
        <f t="shared" si="0"/>
        <v>0</v>
      </c>
      <c r="D58">
        <f t="shared" si="1"/>
        <v>0</v>
      </c>
      <c r="E58">
        <f>IF(OR($A58="",NOT(OR($B58="管理人员",$B58="工人"))),0,ROUND(N(往来单位!$M$59)+J58-K58-L58+M58,2))</f>
        <v>116.8</v>
      </c>
      <c r="F58">
        <f>IF(OR($A58="",NOT(OR($B58="管理人员",$B58="工人"))),0,ROUND(N(往来单位!$M$59)+SUMIFS(考勤工资!$W$5:$W$1004,考勤工资!$C$5:$C$1004,$A58,考勤工资!$Y$5:$Y$1004,"&gt;="&amp;_辅助!$J$4,考勤工资!$Y$5:$Y$1004,"&lt;="&amp;_辅助!$J$5)-(-SUMIFS(资金流水!$R$6:$R$2005,资金流水!$J$6:$J$2005,$A58,资金流水!$X$6:$X$2005,"应付职工薪酬",资金流水!$R$6:$R$2005,"&lt;0",资金流水!$S$6:$S$2005,"&gt;="&amp;_辅助!$J$4,资金流水!$S$6:$S$2005,"&lt;="&amp;_辅助!$J$5))-SUMIFS(代发抵账!$F$5:$F$304,代发抵账!$E$5:$E$304,$A58,代发抵账!$D$5:$D$304,"总包代发工资",代发抵账!$H$5:$H$304,"&gt;="&amp;_辅助!$J$4,代发抵账!$H$5:$H$304,"&lt;="&amp;_辅助!$J$5)+SUMIFS(资金流水!$R$6:$R$2005,资金流水!$J$6:$J$2005,$A58,资金流水!$X$6:$X$2005,"应付职工薪酬",资金流水!$R$6:$R$2005,"&gt;0",资金流水!$S$6:$S$2005,"&gt;="&amp;_辅助!$J$4,资金流水!$S$6:$S$2005,"&lt;="&amp;_辅助!$J$5),2))</f>
        <v>0</v>
      </c>
      <c r="G58">
        <f t="shared" si="2"/>
        <v>0</v>
      </c>
      <c r="H58">
        <f t="shared" si="3"/>
        <v>0</v>
      </c>
      <c r="I58">
        <f t="shared" si="4"/>
        <v>0</v>
      </c>
      <c r="J58">
        <f t="shared" si="5"/>
        <v>4116.8</v>
      </c>
      <c r="K58">
        <f t="shared" si="6"/>
        <v>4000</v>
      </c>
      <c r="L58">
        <f t="shared" si="7"/>
        <v>0</v>
      </c>
      <c r="M58">
        <f t="shared" si="8"/>
        <v>0</v>
      </c>
    </row>
    <row r="59">
      <c r="A59" t="str">
        <f>往来单位!$B$60&amp;""</f>
        <v>王兴蛟</v>
      </c>
      <c r="B59" t="str">
        <f>往来单位!$C$60&amp;""</f>
        <v>工人</v>
      </c>
      <c r="C59">
        <f t="shared" si="0"/>
        <v>0</v>
      </c>
      <c r="D59">
        <f t="shared" si="1"/>
        <v>0</v>
      </c>
      <c r="E59">
        <f>IF(OR($A59="",NOT(OR($B59="管理人员",$B59="工人"))),0,ROUND(N(往来单位!$M$60)+J59-K59-L59+M59,2))</f>
        <v>289.6</v>
      </c>
      <c r="F59">
        <f>IF(OR($A59="",NOT(OR($B59="管理人员",$B59="工人"))),0,ROUND(N(往来单位!$M$60)+SUMIFS(考勤工资!$W$5:$W$1004,考勤工资!$C$5:$C$1004,$A59,考勤工资!$Y$5:$Y$1004,"&gt;="&amp;_辅助!$J$4,考勤工资!$Y$5:$Y$1004,"&lt;="&amp;_辅助!$J$5)-(-SUMIFS(资金流水!$R$6:$R$2005,资金流水!$J$6:$J$2005,$A59,资金流水!$X$6:$X$2005,"应付职工薪酬",资金流水!$R$6:$R$2005,"&lt;0",资金流水!$S$6:$S$2005,"&gt;="&amp;_辅助!$J$4,资金流水!$S$6:$S$2005,"&lt;="&amp;_辅助!$J$5))-SUMIFS(代发抵账!$F$5:$F$304,代发抵账!$E$5:$E$304,$A59,代发抵账!$D$5:$D$304,"总包代发工资",代发抵账!$H$5:$H$304,"&gt;="&amp;_辅助!$J$4,代发抵账!$H$5:$H$304,"&lt;="&amp;_辅助!$J$5)+SUMIFS(资金流水!$R$6:$R$2005,资金流水!$J$6:$J$2005,$A59,资金流水!$X$6:$X$2005,"应付职工薪酬",资金流水!$R$6:$R$2005,"&gt;0",资金流水!$S$6:$S$2005,"&gt;="&amp;_辅助!$J$4,资金流水!$S$6:$S$2005,"&lt;="&amp;_辅助!$J$5),2))</f>
        <v>0</v>
      </c>
      <c r="G59">
        <f t="shared" si="2"/>
        <v>0</v>
      </c>
      <c r="H59">
        <f t="shared" si="3"/>
        <v>0</v>
      </c>
      <c r="I59">
        <f t="shared" si="4"/>
        <v>0</v>
      </c>
      <c r="J59">
        <f t="shared" si="5"/>
        <v>7289.6</v>
      </c>
      <c r="K59">
        <f t="shared" si="6"/>
        <v>12000</v>
      </c>
      <c r="L59">
        <f t="shared" si="7"/>
        <v>0</v>
      </c>
      <c r="M59">
        <f t="shared" si="8"/>
        <v>5000</v>
      </c>
    </row>
    <row r="60">
      <c r="A60" t="str">
        <f>往来单位!$B$61&amp;""</f>
        <v>高征坤</v>
      </c>
      <c r="B60" t="str">
        <f>往来单位!$C$61&amp;""</f>
        <v>工人</v>
      </c>
      <c r="C60">
        <f t="shared" si="0"/>
        <v>0</v>
      </c>
      <c r="D60">
        <f t="shared" si="1"/>
        <v>0</v>
      </c>
      <c r="E60">
        <f>IF(OR($A60="",NOT(OR($B60="管理人员",$B60="工人"))),0,ROUND(N(往来单位!$M$61)+J60-K60-L60+M60,2))</f>
        <v>-230</v>
      </c>
      <c r="F60">
        <f>IF(OR($A60="",NOT(OR($B60="管理人员",$B60="工人"))),0,ROUND(N(往来单位!$M$61)+SUMIFS(考勤工资!$W$5:$W$1004,考勤工资!$C$5:$C$1004,$A60,考勤工资!$Y$5:$Y$1004,"&gt;="&amp;_辅助!$J$4,考勤工资!$Y$5:$Y$1004,"&lt;="&amp;_辅助!$J$5)-(-SUMIFS(资金流水!$R$6:$R$2005,资金流水!$J$6:$J$2005,$A60,资金流水!$X$6:$X$2005,"应付职工薪酬",资金流水!$R$6:$R$2005,"&lt;0",资金流水!$S$6:$S$2005,"&gt;="&amp;_辅助!$J$4,资金流水!$S$6:$S$2005,"&lt;="&amp;_辅助!$J$5))-SUMIFS(代发抵账!$F$5:$F$304,代发抵账!$E$5:$E$304,$A60,代发抵账!$D$5:$D$304,"总包代发工资",代发抵账!$H$5:$H$304,"&gt;="&amp;_辅助!$J$4,代发抵账!$H$5:$H$304,"&lt;="&amp;_辅助!$J$5)+SUMIFS(资金流水!$R$6:$R$2005,资金流水!$J$6:$J$2005,$A60,资金流水!$X$6:$X$2005,"应付职工薪酬",资金流水!$R$6:$R$2005,"&gt;0",资金流水!$S$6:$S$2005,"&gt;="&amp;_辅助!$J$4,资金流水!$S$6:$S$2005,"&lt;="&amp;_辅助!$J$5),2))</f>
        <v>0</v>
      </c>
      <c r="G60">
        <f t="shared" si="2"/>
        <v>0</v>
      </c>
      <c r="H60">
        <f t="shared" si="3"/>
        <v>0</v>
      </c>
      <c r="I60">
        <f t="shared" si="4"/>
        <v>0</v>
      </c>
      <c r="J60">
        <f t="shared" si="5"/>
        <v>3770</v>
      </c>
      <c r="K60">
        <f t="shared" si="6"/>
        <v>4000</v>
      </c>
      <c r="L60">
        <f t="shared" si="7"/>
        <v>0</v>
      </c>
      <c r="M60">
        <f t="shared" si="8"/>
        <v>0</v>
      </c>
    </row>
    <row r="61">
      <c r="A61" t="str">
        <f>往来单位!$B$62&amp;""</f>
        <v>张亮亮</v>
      </c>
      <c r="B61" t="str">
        <f>往来单位!$C$62&amp;""</f>
        <v>工人</v>
      </c>
      <c r="C61">
        <f t="shared" si="0"/>
        <v>0</v>
      </c>
      <c r="D61">
        <f t="shared" si="1"/>
        <v>0</v>
      </c>
      <c r="E61">
        <f>IF(OR($A61="",NOT(OR($B61="管理人员",$B61="工人"))),0,ROUND(N(往来单位!$M$62)+J61-K61-L61+M61,2))</f>
        <v>-8540</v>
      </c>
      <c r="F61">
        <f>IF(OR($A61="",NOT(OR($B61="管理人员",$B61="工人"))),0,ROUND(N(往来单位!$M$62)+SUMIFS(考勤工资!$W$5:$W$1004,考勤工资!$C$5:$C$1004,$A61,考勤工资!$Y$5:$Y$1004,"&gt;="&amp;_辅助!$J$4,考勤工资!$Y$5:$Y$1004,"&lt;="&amp;_辅助!$J$5)-(-SUMIFS(资金流水!$R$6:$R$2005,资金流水!$J$6:$J$2005,$A61,资金流水!$X$6:$X$2005,"应付职工薪酬",资金流水!$R$6:$R$2005,"&lt;0",资金流水!$S$6:$S$2005,"&gt;="&amp;_辅助!$J$4,资金流水!$S$6:$S$2005,"&lt;="&amp;_辅助!$J$5))-SUMIFS(代发抵账!$F$5:$F$304,代发抵账!$E$5:$E$304,$A61,代发抵账!$D$5:$D$304,"总包代发工资",代发抵账!$H$5:$H$304,"&gt;="&amp;_辅助!$J$4,代发抵账!$H$5:$H$304,"&lt;="&amp;_辅助!$J$5)+SUMIFS(资金流水!$R$6:$R$2005,资金流水!$J$6:$J$2005,$A61,资金流水!$X$6:$X$2005,"应付职工薪酬",资金流水!$R$6:$R$2005,"&gt;0",资金流水!$S$6:$S$2005,"&gt;="&amp;_辅助!$J$4,资金流水!$S$6:$S$2005,"&lt;="&amp;_辅助!$J$5),2))</f>
        <v>0</v>
      </c>
      <c r="G61">
        <f t="shared" si="2"/>
        <v>0</v>
      </c>
      <c r="H61">
        <f t="shared" si="3"/>
        <v>0</v>
      </c>
      <c r="I61">
        <f t="shared" si="4"/>
        <v>0</v>
      </c>
      <c r="J61">
        <f t="shared" si="5"/>
        <v>5460</v>
      </c>
      <c r="K61">
        <f t="shared" si="6"/>
        <v>14000</v>
      </c>
      <c r="L61">
        <f t="shared" si="7"/>
        <v>0</v>
      </c>
      <c r="M61">
        <f t="shared" si="8"/>
        <v>0</v>
      </c>
    </row>
    <row r="62">
      <c r="A62" t="str">
        <f>往来单位!$B$63&amp;""</f>
        <v>成峰</v>
      </c>
      <c r="B62" t="str">
        <f>往来单位!$C$63&amp;""</f>
        <v>工人</v>
      </c>
      <c r="C62">
        <f t="shared" si="0"/>
        <v>0</v>
      </c>
      <c r="D62">
        <f t="shared" si="1"/>
        <v>0</v>
      </c>
      <c r="E62">
        <f>IF(OR($A62="",NOT(OR($B62="管理人员",$B62="工人"))),0,ROUND(N(往来单位!$M$63)+J62-K62-L62+M62,2))</f>
        <v>5990</v>
      </c>
      <c r="F62">
        <f>IF(OR($A62="",NOT(OR($B62="管理人员",$B62="工人"))),0,ROUND(N(往来单位!$M$63)+SUMIFS(考勤工资!$W$5:$W$1004,考勤工资!$C$5:$C$1004,$A62,考勤工资!$Y$5:$Y$1004,"&gt;="&amp;_辅助!$J$4,考勤工资!$Y$5:$Y$1004,"&lt;="&amp;_辅助!$J$5)-(-SUMIFS(资金流水!$R$6:$R$2005,资金流水!$J$6:$J$2005,$A62,资金流水!$X$6:$X$2005,"应付职工薪酬",资金流水!$R$6:$R$2005,"&lt;0",资金流水!$S$6:$S$2005,"&gt;="&amp;_辅助!$J$4,资金流水!$S$6:$S$2005,"&lt;="&amp;_辅助!$J$5))-SUMIFS(代发抵账!$F$5:$F$304,代发抵账!$E$5:$E$304,$A62,代发抵账!$D$5:$D$304,"总包代发工资",代发抵账!$H$5:$H$304,"&gt;="&amp;_辅助!$J$4,代发抵账!$H$5:$H$304,"&lt;="&amp;_辅助!$J$5)+SUMIFS(资金流水!$R$6:$R$2005,资金流水!$J$6:$J$2005,$A62,资金流水!$X$6:$X$2005,"应付职工薪酬",资金流水!$R$6:$R$2005,"&gt;0",资金流水!$S$6:$S$2005,"&gt;="&amp;_辅助!$J$4,资金流水!$S$6:$S$2005,"&lt;="&amp;_辅助!$J$5),2))</f>
        <v>0</v>
      </c>
      <c r="G62">
        <f t="shared" si="2"/>
        <v>0</v>
      </c>
      <c r="H62">
        <f t="shared" si="3"/>
        <v>0</v>
      </c>
      <c r="I62">
        <f t="shared" si="4"/>
        <v>0</v>
      </c>
      <c r="J62">
        <f t="shared" si="5"/>
        <v>9990</v>
      </c>
      <c r="K62">
        <f t="shared" si="6"/>
        <v>4000</v>
      </c>
      <c r="L62">
        <f t="shared" si="7"/>
        <v>0</v>
      </c>
      <c r="M62">
        <f t="shared" si="8"/>
        <v>0</v>
      </c>
    </row>
    <row r="63">
      <c r="A63" t="str">
        <f>往来单位!$B$64&amp;""</f>
        <v>何正新</v>
      </c>
      <c r="B63" t="str">
        <f>往来单位!$C$64&amp;""</f>
        <v>工人</v>
      </c>
      <c r="C63">
        <f t="shared" si="0"/>
        <v>0</v>
      </c>
      <c r="D63">
        <f t="shared" si="1"/>
        <v>0</v>
      </c>
      <c r="E63">
        <f>IF(OR($A63="",NOT(OR($B63="管理人员",$B63="工人"))),0,ROUND(N(往来单位!$M$64)+J63-K63-L63+M63,2))</f>
        <v>8320</v>
      </c>
      <c r="F63">
        <f>IF(OR($A63="",NOT(OR($B63="管理人员",$B63="工人"))),0,ROUND(N(往来单位!$M$64)+SUMIFS(考勤工资!$W$5:$W$1004,考勤工资!$C$5:$C$1004,$A63,考勤工资!$Y$5:$Y$1004,"&gt;="&amp;_辅助!$J$4,考勤工资!$Y$5:$Y$1004,"&lt;="&amp;_辅助!$J$5)-(-SUMIFS(资金流水!$R$6:$R$2005,资金流水!$J$6:$J$2005,$A63,资金流水!$X$6:$X$2005,"应付职工薪酬",资金流水!$R$6:$R$2005,"&lt;0",资金流水!$S$6:$S$2005,"&gt;="&amp;_辅助!$J$4,资金流水!$S$6:$S$2005,"&lt;="&amp;_辅助!$J$5))-SUMIFS(代发抵账!$F$5:$F$304,代发抵账!$E$5:$E$304,$A63,代发抵账!$D$5:$D$304,"总包代发工资",代发抵账!$H$5:$H$304,"&gt;="&amp;_辅助!$J$4,代发抵账!$H$5:$H$304,"&lt;="&amp;_辅助!$J$5)+SUMIFS(资金流水!$R$6:$R$2005,资金流水!$J$6:$J$2005,$A63,资金流水!$X$6:$X$2005,"应付职工薪酬",资金流水!$R$6:$R$2005,"&gt;0",资金流水!$S$6:$S$2005,"&gt;="&amp;_辅助!$J$4,资金流水!$S$6:$S$2005,"&lt;="&amp;_辅助!$J$5),2))</f>
        <v>0</v>
      </c>
      <c r="G63">
        <f t="shared" si="2"/>
        <v>0</v>
      </c>
      <c r="H63">
        <f t="shared" si="3"/>
        <v>0</v>
      </c>
      <c r="I63">
        <f t="shared" si="4"/>
        <v>0</v>
      </c>
      <c r="J63">
        <f t="shared" si="5"/>
        <v>8320</v>
      </c>
      <c r="K63">
        <f t="shared" si="6"/>
        <v>0</v>
      </c>
      <c r="L63">
        <f t="shared" si="7"/>
        <v>0</v>
      </c>
      <c r="M63">
        <f t="shared" si="8"/>
        <v>0</v>
      </c>
    </row>
    <row r="64">
      <c r="A64" t="str">
        <f>往来单位!$B$65&amp;""</f>
        <v>吴志刚</v>
      </c>
      <c r="B64" t="str">
        <f>往来单位!$C$65&amp;""</f>
        <v>工人</v>
      </c>
      <c r="C64">
        <f t="shared" si="0"/>
        <v>0</v>
      </c>
      <c r="D64">
        <f t="shared" si="1"/>
        <v>0</v>
      </c>
      <c r="E64">
        <f>IF(OR($A64="",NOT(OR($B64="管理人员",$B64="工人"))),0,ROUND(N(往来单位!$M$65)+J64-K64-L64+M64,2))</f>
        <v>-3802</v>
      </c>
      <c r="F64">
        <f>IF(OR($A64="",NOT(OR($B64="管理人员",$B64="工人"))),0,ROUND(N(往来单位!$M$65)+SUMIFS(考勤工资!$W$5:$W$1004,考勤工资!$C$5:$C$1004,$A64,考勤工资!$Y$5:$Y$1004,"&gt;="&amp;_辅助!$J$4,考勤工资!$Y$5:$Y$1004,"&lt;="&amp;_辅助!$J$5)-(-SUMIFS(资金流水!$R$6:$R$2005,资金流水!$J$6:$J$2005,$A64,资金流水!$X$6:$X$2005,"应付职工薪酬",资金流水!$R$6:$R$2005,"&lt;0",资金流水!$S$6:$S$2005,"&gt;="&amp;_辅助!$J$4,资金流水!$S$6:$S$2005,"&lt;="&amp;_辅助!$J$5))-SUMIFS(代发抵账!$F$5:$F$304,代发抵账!$E$5:$E$304,$A64,代发抵账!$D$5:$D$304,"总包代发工资",代发抵账!$H$5:$H$304,"&gt;="&amp;_辅助!$J$4,代发抵账!$H$5:$H$304,"&lt;="&amp;_辅助!$J$5)+SUMIFS(资金流水!$R$6:$R$2005,资金流水!$J$6:$J$2005,$A64,资金流水!$X$6:$X$2005,"应付职工薪酬",资金流水!$R$6:$R$2005,"&gt;0",资金流水!$S$6:$S$2005,"&gt;="&amp;_辅助!$J$4,资金流水!$S$6:$S$2005,"&lt;="&amp;_辅助!$J$5),2))</f>
        <v>0</v>
      </c>
      <c r="G64">
        <f t="shared" si="2"/>
        <v>0</v>
      </c>
      <c r="H64">
        <f t="shared" si="3"/>
        <v>0</v>
      </c>
      <c r="I64">
        <f t="shared" si="4"/>
        <v>0</v>
      </c>
      <c r="J64">
        <f t="shared" si="5"/>
        <v>9198</v>
      </c>
      <c r="K64">
        <f t="shared" si="6"/>
        <v>13000</v>
      </c>
      <c r="L64">
        <f t="shared" si="7"/>
        <v>0</v>
      </c>
      <c r="M64">
        <f t="shared" si="8"/>
        <v>0</v>
      </c>
    </row>
    <row r="65">
      <c r="A65" t="str">
        <f>往来单位!$B$66&amp;""</f>
        <v>张小友</v>
      </c>
      <c r="B65" t="str">
        <f>往来单位!$C$66&amp;""</f>
        <v>工人</v>
      </c>
      <c r="C65">
        <f t="shared" si="0"/>
        <v>0</v>
      </c>
      <c r="D65">
        <f t="shared" si="1"/>
        <v>0</v>
      </c>
      <c r="E65">
        <f>IF(OR($A65="",NOT(OR($B65="管理人员",$B65="工人"))),0,ROUND(N(往来单位!$M$66)+J65-K65-L65+M65,2))</f>
        <v>5180</v>
      </c>
      <c r="F65">
        <f>IF(OR($A65="",NOT(OR($B65="管理人员",$B65="工人"))),0,ROUND(N(往来单位!$M$66)+SUMIFS(考勤工资!$W$5:$W$1004,考勤工资!$C$5:$C$1004,$A65,考勤工资!$Y$5:$Y$1004,"&gt;="&amp;_辅助!$J$4,考勤工资!$Y$5:$Y$1004,"&lt;="&amp;_辅助!$J$5)-(-SUMIFS(资金流水!$R$6:$R$2005,资金流水!$J$6:$J$2005,$A65,资金流水!$X$6:$X$2005,"应付职工薪酬",资金流水!$R$6:$R$2005,"&lt;0",资金流水!$S$6:$S$2005,"&gt;="&amp;_辅助!$J$4,资金流水!$S$6:$S$2005,"&lt;="&amp;_辅助!$J$5))-SUMIFS(代发抵账!$F$5:$F$304,代发抵账!$E$5:$E$304,$A65,代发抵账!$D$5:$D$304,"总包代发工资",代发抵账!$H$5:$H$304,"&gt;="&amp;_辅助!$J$4,代发抵账!$H$5:$H$304,"&lt;="&amp;_辅助!$J$5)+SUMIFS(资金流水!$R$6:$R$2005,资金流水!$J$6:$J$2005,$A65,资金流水!$X$6:$X$2005,"应付职工薪酬",资金流水!$R$6:$R$2005,"&gt;0",资金流水!$S$6:$S$2005,"&gt;="&amp;_辅助!$J$4,资金流水!$S$6:$S$2005,"&lt;="&amp;_辅助!$J$5),2))</f>
        <v>0</v>
      </c>
      <c r="G65">
        <f t="shared" si="2"/>
        <v>0</v>
      </c>
      <c r="H65">
        <f t="shared" si="3"/>
        <v>0</v>
      </c>
      <c r="I65">
        <f t="shared" si="4"/>
        <v>0</v>
      </c>
      <c r="J65">
        <f t="shared" si="5"/>
        <v>5180</v>
      </c>
      <c r="K65">
        <f t="shared" si="6"/>
        <v>0</v>
      </c>
      <c r="L65">
        <f t="shared" si="7"/>
        <v>0</v>
      </c>
      <c r="M65">
        <f t="shared" si="8"/>
        <v>0</v>
      </c>
    </row>
    <row r="66">
      <c r="A66" t="str">
        <f>往来单位!$B$67&amp;""</f>
        <v>曹买生</v>
      </c>
      <c r="B66" t="str">
        <f>往来单位!$C$67&amp;""</f>
        <v>工人</v>
      </c>
      <c r="C66">
        <f t="shared" si="0"/>
        <v>0</v>
      </c>
      <c r="D66">
        <f t="shared" si="1"/>
        <v>0</v>
      </c>
      <c r="E66">
        <f>IF(OR($A66="",NOT(OR($B66="管理人员",$B66="工人"))),0,ROUND(N(往来单位!$M$67)+J66-K66-L66+M66,2))</f>
        <v>1080</v>
      </c>
      <c r="F66">
        <f>IF(OR($A66="",NOT(OR($B66="管理人员",$B66="工人"))),0,ROUND(N(往来单位!$M$67)+SUMIFS(考勤工资!$W$5:$W$1004,考勤工资!$C$5:$C$1004,$A66,考勤工资!$Y$5:$Y$1004,"&gt;="&amp;_辅助!$J$4,考勤工资!$Y$5:$Y$1004,"&lt;="&amp;_辅助!$J$5)-(-SUMIFS(资金流水!$R$6:$R$2005,资金流水!$J$6:$J$2005,$A66,资金流水!$X$6:$X$2005,"应付职工薪酬",资金流水!$R$6:$R$2005,"&lt;0",资金流水!$S$6:$S$2005,"&gt;="&amp;_辅助!$J$4,资金流水!$S$6:$S$2005,"&lt;="&amp;_辅助!$J$5))-SUMIFS(代发抵账!$F$5:$F$304,代发抵账!$E$5:$E$304,$A66,代发抵账!$D$5:$D$304,"总包代发工资",代发抵账!$H$5:$H$304,"&gt;="&amp;_辅助!$J$4,代发抵账!$H$5:$H$304,"&lt;="&amp;_辅助!$J$5)+SUMIFS(资金流水!$R$6:$R$2005,资金流水!$J$6:$J$2005,$A66,资金流水!$X$6:$X$2005,"应付职工薪酬",资金流水!$R$6:$R$2005,"&gt;0",资金流水!$S$6:$S$2005,"&gt;="&amp;_辅助!$J$4,资金流水!$S$6:$S$2005,"&lt;="&amp;_辅助!$J$5),2))</f>
        <v>0</v>
      </c>
      <c r="G66">
        <f t="shared" si="2"/>
        <v>0</v>
      </c>
      <c r="H66">
        <f t="shared" si="3"/>
        <v>0</v>
      </c>
      <c r="I66">
        <f t="shared" si="4"/>
        <v>0</v>
      </c>
      <c r="J66">
        <f t="shared" si="5"/>
        <v>1080</v>
      </c>
      <c r="K66">
        <f t="shared" si="6"/>
        <v>0</v>
      </c>
      <c r="L66">
        <f t="shared" si="7"/>
        <v>0</v>
      </c>
      <c r="M66">
        <f t="shared" si="8"/>
        <v>0</v>
      </c>
    </row>
    <row r="67">
      <c r="A67" t="str">
        <f>往来单位!$B$68&amp;""</f>
        <v>刘桂水</v>
      </c>
      <c r="B67" t="str">
        <f>往来单位!$C$68&amp;""</f>
        <v>工人</v>
      </c>
      <c r="C67">
        <f t="shared" si="0"/>
        <v>0</v>
      </c>
      <c r="D67">
        <f t="shared" si="1"/>
        <v>0</v>
      </c>
      <c r="E67">
        <f>IF(OR($A67="",NOT(OR($B67="管理人员",$B67="工人"))),0,ROUND(N(往来单位!$M$68)+J67-K67-L67+M67,2))</f>
        <v>810</v>
      </c>
      <c r="F67">
        <f>IF(OR($A67="",NOT(OR($B67="管理人员",$B67="工人"))),0,ROUND(N(往来单位!$M$68)+SUMIFS(考勤工资!$W$5:$W$1004,考勤工资!$C$5:$C$1004,$A67,考勤工资!$Y$5:$Y$1004,"&gt;="&amp;_辅助!$J$4,考勤工资!$Y$5:$Y$1004,"&lt;="&amp;_辅助!$J$5)-(-SUMIFS(资金流水!$R$6:$R$2005,资金流水!$J$6:$J$2005,$A67,资金流水!$X$6:$X$2005,"应付职工薪酬",资金流水!$R$6:$R$2005,"&lt;0",资金流水!$S$6:$S$2005,"&gt;="&amp;_辅助!$J$4,资金流水!$S$6:$S$2005,"&lt;="&amp;_辅助!$J$5))-SUMIFS(代发抵账!$F$5:$F$304,代发抵账!$E$5:$E$304,$A67,代发抵账!$D$5:$D$304,"总包代发工资",代发抵账!$H$5:$H$304,"&gt;="&amp;_辅助!$J$4,代发抵账!$H$5:$H$304,"&lt;="&amp;_辅助!$J$5)+SUMIFS(资金流水!$R$6:$R$2005,资金流水!$J$6:$J$2005,$A67,资金流水!$X$6:$X$2005,"应付职工薪酬",资金流水!$R$6:$R$2005,"&gt;0",资金流水!$S$6:$S$2005,"&gt;="&amp;_辅助!$J$4,资金流水!$S$6:$S$2005,"&lt;="&amp;_辅助!$J$5),2))</f>
        <v>0</v>
      </c>
      <c r="G67">
        <f t="shared" si="2"/>
        <v>0</v>
      </c>
      <c r="H67">
        <f t="shared" si="3"/>
        <v>0</v>
      </c>
      <c r="I67">
        <f t="shared" si="4"/>
        <v>0</v>
      </c>
      <c r="J67">
        <f t="shared" si="5"/>
        <v>810</v>
      </c>
      <c r="K67">
        <f t="shared" si="6"/>
        <v>0</v>
      </c>
      <c r="L67">
        <f t="shared" si="7"/>
        <v>0</v>
      </c>
      <c r="M67">
        <f t="shared" si="8"/>
        <v>0</v>
      </c>
    </row>
    <row r="68">
      <c r="A68" t="str">
        <f>往来单位!$B$69&amp;""</f>
        <v>张小朋</v>
      </c>
      <c r="B68" t="str">
        <f>往来单位!$C$69&amp;""</f>
        <v>工人</v>
      </c>
      <c r="C68">
        <f t="shared" si="0"/>
        <v>0</v>
      </c>
      <c r="D68">
        <f t="shared" si="1"/>
        <v>0</v>
      </c>
      <c r="E68">
        <f>IF(OR($A68="",NOT(OR($B68="管理人员",$B68="工人"))),0,ROUND(N(往来单位!$M$69)+J68-K68-L68+M68,2))</f>
        <v>4400</v>
      </c>
      <c r="F68">
        <f>IF(OR($A68="",NOT(OR($B68="管理人员",$B68="工人"))),0,ROUND(N(往来单位!$M$69)+SUMIFS(考勤工资!$W$5:$W$1004,考勤工资!$C$5:$C$1004,$A68,考勤工资!$Y$5:$Y$1004,"&gt;="&amp;_辅助!$J$4,考勤工资!$Y$5:$Y$1004,"&lt;="&amp;_辅助!$J$5)-(-SUMIFS(资金流水!$R$6:$R$2005,资金流水!$J$6:$J$2005,$A68,资金流水!$X$6:$X$2005,"应付职工薪酬",资金流水!$R$6:$R$2005,"&lt;0",资金流水!$S$6:$S$2005,"&gt;="&amp;_辅助!$J$4,资金流水!$S$6:$S$2005,"&lt;="&amp;_辅助!$J$5))-SUMIFS(代发抵账!$F$5:$F$304,代发抵账!$E$5:$E$304,$A68,代发抵账!$D$5:$D$304,"总包代发工资",代发抵账!$H$5:$H$304,"&gt;="&amp;_辅助!$J$4,代发抵账!$H$5:$H$304,"&lt;="&amp;_辅助!$J$5)+SUMIFS(资金流水!$R$6:$R$2005,资金流水!$J$6:$J$2005,$A68,资金流水!$X$6:$X$2005,"应付职工薪酬",资金流水!$R$6:$R$2005,"&gt;0",资金流水!$S$6:$S$2005,"&gt;="&amp;_辅助!$J$4,资金流水!$S$6:$S$2005,"&lt;="&amp;_辅助!$J$5),2))</f>
        <v>0</v>
      </c>
      <c r="G68">
        <f t="shared" si="2"/>
        <v>0</v>
      </c>
      <c r="H68">
        <f t="shared" si="3"/>
        <v>0</v>
      </c>
      <c r="I68">
        <f t="shared" si="4"/>
        <v>0</v>
      </c>
      <c r="J68">
        <f t="shared" si="5"/>
        <v>4400</v>
      </c>
      <c r="K68">
        <f t="shared" si="6"/>
        <v>0</v>
      </c>
      <c r="L68">
        <f t="shared" si="7"/>
        <v>0</v>
      </c>
      <c r="M68">
        <f t="shared" si="8"/>
        <v>0</v>
      </c>
    </row>
    <row r="69">
      <c r="A69" t="str">
        <f>往来单位!$B$70&amp;""</f>
        <v>叶焰平</v>
      </c>
      <c r="B69" t="str">
        <f>往来单位!$C$70&amp;""</f>
        <v>工人</v>
      </c>
      <c r="C69">
        <f t="shared" si="0"/>
        <v>0</v>
      </c>
      <c r="D69">
        <f t="shared" si="1"/>
        <v>0</v>
      </c>
      <c r="E69">
        <f>IF(OR($A69="",NOT(OR($B69="管理人员",$B69="工人"))),0,ROUND(N(往来单位!$M$70)+J69-K69-L69+M69,2))</f>
        <v>-10500</v>
      </c>
      <c r="F69">
        <f>IF(OR($A69="",NOT(OR($B69="管理人员",$B69="工人"))),0,ROUND(N(往来单位!$M$70)+SUMIFS(考勤工资!$W$5:$W$1004,考勤工资!$C$5:$C$1004,$A69,考勤工资!$Y$5:$Y$1004,"&gt;="&amp;_辅助!$J$4,考勤工资!$Y$5:$Y$1004,"&lt;="&amp;_辅助!$J$5)-(-SUMIFS(资金流水!$R$6:$R$2005,资金流水!$J$6:$J$2005,$A69,资金流水!$X$6:$X$2005,"应付职工薪酬",资金流水!$R$6:$R$2005,"&lt;0",资金流水!$S$6:$S$2005,"&gt;="&amp;_辅助!$J$4,资金流水!$S$6:$S$2005,"&lt;="&amp;_辅助!$J$5))-SUMIFS(代发抵账!$F$5:$F$304,代发抵账!$E$5:$E$304,$A69,代发抵账!$D$5:$D$304,"总包代发工资",代发抵账!$H$5:$H$304,"&gt;="&amp;_辅助!$J$4,代发抵账!$H$5:$H$304,"&lt;="&amp;_辅助!$J$5)+SUMIFS(资金流水!$R$6:$R$2005,资金流水!$J$6:$J$2005,$A69,资金流水!$X$6:$X$2005,"应付职工薪酬",资金流水!$R$6:$R$2005,"&gt;0",资金流水!$S$6:$S$2005,"&gt;="&amp;_辅助!$J$4,资金流水!$S$6:$S$2005,"&lt;="&amp;_辅助!$J$5),2))</f>
        <v>0</v>
      </c>
      <c r="G69">
        <f t="shared" si="2"/>
        <v>0</v>
      </c>
      <c r="H69">
        <f t="shared" si="3"/>
        <v>0</v>
      </c>
      <c r="I69">
        <f t="shared" si="4"/>
        <v>0</v>
      </c>
      <c r="J69">
        <f t="shared" si="5"/>
        <v>14500</v>
      </c>
      <c r="K69">
        <f t="shared" si="6"/>
        <v>25000</v>
      </c>
      <c r="L69">
        <f t="shared" si="7"/>
        <v>0</v>
      </c>
      <c r="M69">
        <f t="shared" si="8"/>
        <v>0</v>
      </c>
    </row>
    <row r="70">
      <c r="A70" t="str">
        <f>往来单位!$B$71&amp;""</f>
        <v>张滨</v>
      </c>
      <c r="B70" t="str">
        <f>往来单位!$C$71&amp;""</f>
        <v>管理人员</v>
      </c>
      <c r="C70">
        <f t="shared" si="0"/>
        <v>0</v>
      </c>
      <c r="D70">
        <f t="shared" si="1"/>
        <v>0</v>
      </c>
      <c r="E70">
        <f>IF(OR($A70="",NOT(OR($B70="管理人员",$B70="工人"))),0,ROUND(N(往来单位!$M$71)+J70-K70-L70+M70,2))</f>
        <v>-12000</v>
      </c>
      <c r="F70">
        <f>IF(OR($A70="",NOT(OR($B70="管理人员",$B70="工人"))),0,ROUND(N(往来单位!$M$71)+SUMIFS(考勤工资!$W$5:$W$1004,考勤工资!$C$5:$C$1004,$A70,考勤工资!$Y$5:$Y$1004,"&gt;="&amp;_辅助!$J$4,考勤工资!$Y$5:$Y$1004,"&lt;="&amp;_辅助!$J$5)-(-SUMIFS(资金流水!$R$6:$R$2005,资金流水!$J$6:$J$2005,$A70,资金流水!$X$6:$X$2005,"应付职工薪酬",资金流水!$R$6:$R$2005,"&lt;0",资金流水!$S$6:$S$2005,"&gt;="&amp;_辅助!$J$4,资金流水!$S$6:$S$2005,"&lt;="&amp;_辅助!$J$5))-SUMIFS(代发抵账!$F$5:$F$304,代发抵账!$E$5:$E$304,$A70,代发抵账!$D$5:$D$304,"总包代发工资",代发抵账!$H$5:$H$304,"&gt;="&amp;_辅助!$J$4,代发抵账!$H$5:$H$304,"&lt;="&amp;_辅助!$J$5)+SUMIFS(资金流水!$R$6:$R$2005,资金流水!$J$6:$J$2005,$A70,资金流水!$X$6:$X$2005,"应付职工薪酬",资金流水!$R$6:$R$2005,"&gt;0",资金流水!$S$6:$S$2005,"&gt;="&amp;_辅助!$J$4,资金流水!$S$6:$S$2005,"&lt;="&amp;_辅助!$J$5),2))</f>
        <v>0</v>
      </c>
      <c r="G70">
        <f t="shared" si="2"/>
        <v>0</v>
      </c>
      <c r="H70">
        <f t="shared" si="3"/>
        <v>0</v>
      </c>
      <c r="I70">
        <f t="shared" si="4"/>
        <v>0</v>
      </c>
      <c r="J70">
        <f t="shared" si="5"/>
        <v>8000</v>
      </c>
      <c r="K70">
        <f t="shared" si="6"/>
        <v>20000</v>
      </c>
      <c r="L70">
        <f t="shared" si="7"/>
        <v>0</v>
      </c>
      <c r="M70">
        <f t="shared" si="8"/>
        <v>0</v>
      </c>
    </row>
    <row r="71">
      <c r="A71" t="str">
        <f>往来单位!$B$72&amp;""</f>
        <v>张淑平</v>
      </c>
      <c r="B71" t="str">
        <f>往来单位!$C$72&amp;""</f>
        <v>管理人员</v>
      </c>
      <c r="C71">
        <f t="shared" si="0"/>
        <v>0</v>
      </c>
      <c r="D71">
        <f t="shared" si="1"/>
        <v>0</v>
      </c>
      <c r="E71">
        <f>IF(OR($A71="",NOT(OR($B71="管理人员",$B71="工人"))),0,ROUND(N(往来单位!$M$72)+J71-K71-L71+M71,2))</f>
        <v>5000</v>
      </c>
      <c r="F71">
        <f>IF(OR($A71="",NOT(OR($B71="管理人员",$B71="工人"))),0,ROUND(N(往来单位!$M$72)+SUMIFS(考勤工资!$W$5:$W$1004,考勤工资!$C$5:$C$1004,$A71,考勤工资!$Y$5:$Y$1004,"&gt;="&amp;_辅助!$J$4,考勤工资!$Y$5:$Y$1004,"&lt;="&amp;_辅助!$J$5)-(-SUMIFS(资金流水!$R$6:$R$2005,资金流水!$J$6:$J$2005,$A71,资金流水!$X$6:$X$2005,"应付职工薪酬",资金流水!$R$6:$R$2005,"&lt;0",资金流水!$S$6:$S$2005,"&gt;="&amp;_辅助!$J$4,资金流水!$S$6:$S$2005,"&lt;="&amp;_辅助!$J$5))-SUMIFS(代发抵账!$F$5:$F$304,代发抵账!$E$5:$E$304,$A71,代发抵账!$D$5:$D$304,"总包代发工资",代发抵账!$H$5:$H$304,"&gt;="&amp;_辅助!$J$4,代发抵账!$H$5:$H$304,"&lt;="&amp;_辅助!$J$5)+SUMIFS(资金流水!$R$6:$R$2005,资金流水!$J$6:$J$2005,$A71,资金流水!$X$6:$X$2005,"应付职工薪酬",资金流水!$R$6:$R$2005,"&gt;0",资金流水!$S$6:$S$2005,"&gt;="&amp;_辅助!$J$4,资金流水!$S$6:$S$2005,"&lt;="&amp;_辅助!$J$5),2))</f>
        <v>0</v>
      </c>
      <c r="G71">
        <f t="shared" si="2"/>
        <v>0</v>
      </c>
      <c r="H71">
        <f t="shared" si="3"/>
        <v>0</v>
      </c>
      <c r="I71">
        <f t="shared" si="4"/>
        <v>0</v>
      </c>
      <c r="J71">
        <f t="shared" si="5"/>
        <v>5000</v>
      </c>
      <c r="K71">
        <f t="shared" si="6"/>
        <v>0</v>
      </c>
      <c r="L71">
        <f t="shared" si="7"/>
        <v>0</v>
      </c>
      <c r="M71">
        <f t="shared" si="8"/>
        <v>0</v>
      </c>
    </row>
    <row r="72">
      <c r="A72" t="str">
        <f>往来单位!$B$73&amp;""</f>
        <v>聂辉</v>
      </c>
      <c r="B72" t="str">
        <f>往来单位!$C$73&amp;""</f>
        <v>管理人员</v>
      </c>
      <c r="C72">
        <f t="shared" si="0"/>
        <v>0</v>
      </c>
      <c r="D72">
        <f t="shared" si="1"/>
        <v>0</v>
      </c>
      <c r="E72">
        <f>IF(OR($A72="",NOT(OR($B72="管理人员",$B72="工人"))),0,ROUND(N(往来单位!$M$73)+J72-K72-L72+M72,2))</f>
        <v>10000</v>
      </c>
      <c r="F72">
        <f>IF(OR($A72="",NOT(OR($B72="管理人员",$B72="工人"))),0,ROUND(N(往来单位!$M$73)+SUMIFS(考勤工资!$W$5:$W$1004,考勤工资!$C$5:$C$1004,$A72,考勤工资!$Y$5:$Y$1004,"&gt;="&amp;_辅助!$J$4,考勤工资!$Y$5:$Y$1004,"&lt;="&amp;_辅助!$J$5)-(-SUMIFS(资金流水!$R$6:$R$2005,资金流水!$J$6:$J$2005,$A72,资金流水!$X$6:$X$2005,"应付职工薪酬",资金流水!$R$6:$R$2005,"&lt;0",资金流水!$S$6:$S$2005,"&gt;="&amp;_辅助!$J$4,资金流水!$S$6:$S$2005,"&lt;="&amp;_辅助!$J$5))-SUMIFS(代发抵账!$F$5:$F$304,代发抵账!$E$5:$E$304,$A72,代发抵账!$D$5:$D$304,"总包代发工资",代发抵账!$H$5:$H$304,"&gt;="&amp;_辅助!$J$4,代发抵账!$H$5:$H$304,"&lt;="&amp;_辅助!$J$5)+SUMIFS(资金流水!$R$6:$R$2005,资金流水!$J$6:$J$2005,$A72,资金流水!$X$6:$X$2005,"应付职工薪酬",资金流水!$R$6:$R$2005,"&gt;0",资金流水!$S$6:$S$2005,"&gt;="&amp;_辅助!$J$4,资金流水!$S$6:$S$2005,"&lt;="&amp;_辅助!$J$5),2))</f>
        <v>0</v>
      </c>
      <c r="G72">
        <f t="shared" si="2"/>
        <v>0</v>
      </c>
      <c r="H72">
        <f t="shared" si="3"/>
        <v>0</v>
      </c>
      <c r="I72">
        <f t="shared" si="4"/>
        <v>0</v>
      </c>
      <c r="J72">
        <f t="shared" si="5"/>
        <v>10000</v>
      </c>
      <c r="K72">
        <f t="shared" si="6"/>
        <v>0</v>
      </c>
      <c r="L72">
        <f t="shared" si="7"/>
        <v>0</v>
      </c>
      <c r="M72">
        <f t="shared" si="8"/>
        <v>0</v>
      </c>
    </row>
    <row r="73">
      <c r="A73" t="str">
        <f>往来单位!$B$74&amp;""</f>
        <v>王伟</v>
      </c>
      <c r="B73" t="str">
        <f>往来单位!$C$74&amp;""</f>
        <v>管理人员</v>
      </c>
      <c r="C73">
        <f t="shared" si="0"/>
        <v>0</v>
      </c>
      <c r="D73">
        <f t="shared" si="1"/>
        <v>0</v>
      </c>
      <c r="E73">
        <f>IF(OR($A73="",NOT(OR($B73="管理人员",$B73="工人"))),0,ROUND(N(往来单位!$M$74)+J73-K73-L73+M73,2))</f>
        <v>5000</v>
      </c>
      <c r="F73">
        <f>IF(OR($A73="",NOT(OR($B73="管理人员",$B73="工人"))),0,ROUND(N(往来单位!$M$74)+SUMIFS(考勤工资!$W$5:$W$1004,考勤工资!$C$5:$C$1004,$A73,考勤工资!$Y$5:$Y$1004,"&gt;="&amp;_辅助!$J$4,考勤工资!$Y$5:$Y$1004,"&lt;="&amp;_辅助!$J$5)-(-SUMIFS(资金流水!$R$6:$R$2005,资金流水!$J$6:$J$2005,$A73,资金流水!$X$6:$X$2005,"应付职工薪酬",资金流水!$R$6:$R$2005,"&lt;0",资金流水!$S$6:$S$2005,"&gt;="&amp;_辅助!$J$4,资金流水!$S$6:$S$2005,"&lt;="&amp;_辅助!$J$5))-SUMIFS(代发抵账!$F$5:$F$304,代发抵账!$E$5:$E$304,$A73,代发抵账!$D$5:$D$304,"总包代发工资",代发抵账!$H$5:$H$304,"&gt;="&amp;_辅助!$J$4,代发抵账!$H$5:$H$304,"&lt;="&amp;_辅助!$J$5)+SUMIFS(资金流水!$R$6:$R$2005,资金流水!$J$6:$J$2005,$A73,资金流水!$X$6:$X$2005,"应付职工薪酬",资金流水!$R$6:$R$2005,"&gt;0",资金流水!$S$6:$S$2005,"&gt;="&amp;_辅助!$J$4,资金流水!$S$6:$S$2005,"&lt;="&amp;_辅助!$J$5),2))</f>
        <v>0</v>
      </c>
      <c r="G73">
        <f t="shared" si="2"/>
        <v>0</v>
      </c>
      <c r="H73">
        <f t="shared" si="3"/>
        <v>0</v>
      </c>
      <c r="I73">
        <f t="shared" si="4"/>
        <v>0</v>
      </c>
      <c r="J73">
        <f t="shared" si="5"/>
        <v>10000</v>
      </c>
      <c r="K73">
        <f t="shared" si="6"/>
        <v>5000</v>
      </c>
      <c r="L73">
        <f t="shared" si="7"/>
        <v>0</v>
      </c>
      <c r="M73">
        <f t="shared" si="8"/>
        <v>0</v>
      </c>
    </row>
    <row r="74">
      <c r="A74" t="str">
        <f>往来单位!$B$75&amp;""</f>
        <v>姚俊强</v>
      </c>
      <c r="B74" t="str">
        <f>往来单位!$C$75&amp;""</f>
        <v>管理人员</v>
      </c>
      <c r="C74">
        <f t="shared" si="0"/>
        <v>0</v>
      </c>
      <c r="D74">
        <f t="shared" si="1"/>
        <v>0</v>
      </c>
      <c r="E74">
        <f>IF(OR($A74="",NOT(OR($B74="管理人员",$B74="工人"))),0,ROUND(N(往来单位!$M$75)+J74-K74-L74+M74,2))</f>
        <v>4500</v>
      </c>
      <c r="F74">
        <f>IF(OR($A74="",NOT(OR($B74="管理人员",$B74="工人"))),0,ROUND(N(往来单位!$M$75)+SUMIFS(考勤工资!$W$5:$W$1004,考勤工资!$C$5:$C$1004,$A74,考勤工资!$Y$5:$Y$1004,"&gt;="&amp;_辅助!$J$4,考勤工资!$Y$5:$Y$1004,"&lt;="&amp;_辅助!$J$5)-(-SUMIFS(资金流水!$R$6:$R$2005,资金流水!$J$6:$J$2005,$A74,资金流水!$X$6:$X$2005,"应付职工薪酬",资金流水!$R$6:$R$2005,"&lt;0",资金流水!$S$6:$S$2005,"&gt;="&amp;_辅助!$J$4,资金流水!$S$6:$S$2005,"&lt;="&amp;_辅助!$J$5))-SUMIFS(代发抵账!$F$5:$F$304,代发抵账!$E$5:$E$304,$A74,代发抵账!$D$5:$D$304,"总包代发工资",代发抵账!$H$5:$H$304,"&gt;="&amp;_辅助!$J$4,代发抵账!$H$5:$H$304,"&lt;="&amp;_辅助!$J$5)+SUMIFS(资金流水!$R$6:$R$2005,资金流水!$J$6:$J$2005,$A74,资金流水!$X$6:$X$2005,"应付职工薪酬",资金流水!$R$6:$R$2005,"&gt;0",资金流水!$S$6:$S$2005,"&gt;="&amp;_辅助!$J$4,资金流水!$S$6:$S$2005,"&lt;="&amp;_辅助!$J$5),2))</f>
        <v>0</v>
      </c>
      <c r="G74">
        <f t="shared" si="2"/>
        <v>0</v>
      </c>
      <c r="H74">
        <f t="shared" si="3"/>
        <v>0</v>
      </c>
      <c r="I74">
        <f t="shared" si="4"/>
        <v>0</v>
      </c>
      <c r="J74">
        <f t="shared" si="5"/>
        <v>4500</v>
      </c>
      <c r="K74">
        <f t="shared" si="6"/>
        <v>0</v>
      </c>
      <c r="L74">
        <f t="shared" si="7"/>
        <v>0</v>
      </c>
      <c r="M74">
        <f t="shared" si="8"/>
        <v>0</v>
      </c>
    </row>
    <row r="75">
      <c r="A75" t="str">
        <f>往来单位!$B$76&amp;""</f>
        <v>陈德银</v>
      </c>
      <c r="B75" t="str">
        <f>往来单位!$C$76&amp;""</f>
        <v>工人</v>
      </c>
      <c r="C75">
        <f t="shared" si="0"/>
        <v>0</v>
      </c>
      <c r="D75">
        <f t="shared" si="1"/>
        <v>0</v>
      </c>
      <c r="E75">
        <f>IF(OR($A75="",NOT(OR($B75="管理人员",$B75="工人"))),0,ROUND(N(往来单位!$M$76)+J75-K75-L75+M75,2))</f>
        <v>-1040</v>
      </c>
      <c r="F75">
        <f>IF(OR($A75="",NOT(OR($B75="管理人员",$B75="工人"))),0,ROUND(N(往来单位!$M$76)+SUMIFS(考勤工资!$W$5:$W$1004,考勤工资!$C$5:$C$1004,$A75,考勤工资!$Y$5:$Y$1004,"&gt;="&amp;_辅助!$J$4,考勤工资!$Y$5:$Y$1004,"&lt;="&amp;_辅助!$J$5)-(-SUMIFS(资金流水!$R$6:$R$2005,资金流水!$J$6:$J$2005,$A75,资金流水!$X$6:$X$2005,"应付职工薪酬",资金流水!$R$6:$R$2005,"&lt;0",资金流水!$S$6:$S$2005,"&gt;="&amp;_辅助!$J$4,资金流水!$S$6:$S$2005,"&lt;="&amp;_辅助!$J$5))-SUMIFS(代发抵账!$F$5:$F$304,代发抵账!$E$5:$E$304,$A75,代发抵账!$D$5:$D$304,"总包代发工资",代发抵账!$H$5:$H$304,"&gt;="&amp;_辅助!$J$4,代发抵账!$H$5:$H$304,"&lt;="&amp;_辅助!$J$5)+SUMIFS(资金流水!$R$6:$R$2005,资金流水!$J$6:$J$2005,$A75,资金流水!$X$6:$X$2005,"应付职工薪酬",资金流水!$R$6:$R$2005,"&gt;0",资金流水!$S$6:$S$2005,"&gt;="&amp;_辅助!$J$4,资金流水!$S$6:$S$2005,"&lt;="&amp;_辅助!$J$5),2))</f>
        <v>0</v>
      </c>
      <c r="G75">
        <f t="shared" si="2"/>
        <v>0</v>
      </c>
      <c r="H75">
        <f t="shared" si="3"/>
        <v>0</v>
      </c>
      <c r="I75">
        <f t="shared" si="4"/>
        <v>0</v>
      </c>
      <c r="J75">
        <f t="shared" si="5"/>
        <v>0</v>
      </c>
      <c r="K75">
        <f t="shared" si="6"/>
        <v>1040</v>
      </c>
      <c r="L75">
        <f t="shared" si="7"/>
        <v>0</v>
      </c>
      <c r="M75">
        <f t="shared" si="8"/>
        <v>0</v>
      </c>
    </row>
    <row r="76">
      <c r="A76" t="str">
        <f>往来单位!$B$77&amp;""</f>
        <v>邓付贞</v>
      </c>
      <c r="B76" t="str">
        <f>往来单位!$C$77&amp;""</f>
        <v>工人</v>
      </c>
      <c r="C76">
        <f t="shared" si="0"/>
        <v>0</v>
      </c>
      <c r="D76">
        <f t="shared" si="1"/>
        <v>0</v>
      </c>
      <c r="E76">
        <f>IF(OR($A76="",NOT(OR($B76="管理人员",$B76="工人"))),0,ROUND(N(往来单位!$M$77)+J76-K76-L76+M76,2))</f>
        <v>-5000</v>
      </c>
      <c r="F76">
        <f>IF(OR($A76="",NOT(OR($B76="管理人员",$B76="工人"))),0,ROUND(N(往来单位!$M$77)+SUMIFS(考勤工资!$W$5:$W$1004,考勤工资!$C$5:$C$1004,$A76,考勤工资!$Y$5:$Y$1004,"&gt;="&amp;_辅助!$J$4,考勤工资!$Y$5:$Y$1004,"&lt;="&amp;_辅助!$J$5)-(-SUMIFS(资金流水!$R$6:$R$2005,资金流水!$J$6:$J$2005,$A76,资金流水!$X$6:$X$2005,"应付职工薪酬",资金流水!$R$6:$R$2005,"&lt;0",资金流水!$S$6:$S$2005,"&gt;="&amp;_辅助!$J$4,资金流水!$S$6:$S$2005,"&lt;="&amp;_辅助!$J$5))-SUMIFS(代发抵账!$F$5:$F$304,代发抵账!$E$5:$E$304,$A76,代发抵账!$D$5:$D$304,"总包代发工资",代发抵账!$H$5:$H$304,"&gt;="&amp;_辅助!$J$4,代发抵账!$H$5:$H$304,"&lt;="&amp;_辅助!$J$5)+SUMIFS(资金流水!$R$6:$R$2005,资金流水!$J$6:$J$2005,$A76,资金流水!$X$6:$X$2005,"应付职工薪酬",资金流水!$R$6:$R$2005,"&gt;0",资金流水!$S$6:$S$2005,"&gt;="&amp;_辅助!$J$4,资金流水!$S$6:$S$2005,"&lt;="&amp;_辅助!$J$5),2))</f>
        <v>0</v>
      </c>
      <c r="G76">
        <f t="shared" si="2"/>
        <v>0</v>
      </c>
      <c r="H76">
        <f t="shared" si="3"/>
        <v>0</v>
      </c>
      <c r="I76">
        <f t="shared" si="4"/>
        <v>0</v>
      </c>
      <c r="J76">
        <f t="shared" si="5"/>
        <v>0</v>
      </c>
      <c r="K76">
        <f t="shared" si="6"/>
        <v>5000</v>
      </c>
      <c r="L76">
        <f t="shared" si="7"/>
        <v>0</v>
      </c>
      <c r="M76">
        <f t="shared" si="8"/>
        <v>0</v>
      </c>
    </row>
    <row r="77">
      <c r="A77" t="str">
        <f>往来单位!$B$78&amp;""</f>
        <v>桂木生</v>
      </c>
      <c r="B77" t="str">
        <f>往来单位!$C$78&amp;""</f>
        <v>工人</v>
      </c>
      <c r="C77">
        <f t="shared" si="0"/>
        <v>0</v>
      </c>
      <c r="D77">
        <f t="shared" si="1"/>
        <v>0</v>
      </c>
      <c r="E77">
        <f>IF(OR($A77="",NOT(OR($B77="管理人员",$B77="工人"))),0,ROUND(N(往来单位!$M$78)+J77-K77-L77+M77,2))</f>
        <v>0</v>
      </c>
      <c r="F77">
        <f>IF(OR($A77="",NOT(OR($B77="管理人员",$B77="工人"))),0,ROUND(N(往来单位!$M$78)+SUMIFS(考勤工资!$W$5:$W$1004,考勤工资!$C$5:$C$1004,$A77,考勤工资!$Y$5:$Y$1004,"&gt;="&amp;_辅助!$J$4,考勤工资!$Y$5:$Y$1004,"&lt;="&amp;_辅助!$J$5)-(-SUMIFS(资金流水!$R$6:$R$2005,资金流水!$J$6:$J$2005,$A77,资金流水!$X$6:$X$2005,"应付职工薪酬",资金流水!$R$6:$R$2005,"&lt;0",资金流水!$S$6:$S$2005,"&gt;="&amp;_辅助!$J$4,资金流水!$S$6:$S$2005,"&lt;="&amp;_辅助!$J$5))-SUMIFS(代发抵账!$F$5:$F$304,代发抵账!$E$5:$E$304,$A77,代发抵账!$D$5:$D$304,"总包代发工资",代发抵账!$H$5:$H$304,"&gt;="&amp;_辅助!$J$4,代发抵账!$H$5:$H$304,"&lt;="&amp;_辅助!$J$5)+SUMIFS(资金流水!$R$6:$R$2005,资金流水!$J$6:$J$2005,$A77,资金流水!$X$6:$X$2005,"应付职工薪酬",资金流水!$R$6:$R$2005,"&gt;0",资金流水!$S$6:$S$2005,"&gt;="&amp;_辅助!$J$4,资金流水!$S$6:$S$2005,"&lt;="&amp;_辅助!$J$5),2))</f>
        <v>0</v>
      </c>
      <c r="G77">
        <f t="shared" si="2"/>
        <v>0</v>
      </c>
      <c r="H77">
        <f t="shared" si="3"/>
        <v>0</v>
      </c>
      <c r="I77">
        <f t="shared" si="4"/>
        <v>0</v>
      </c>
      <c r="J77">
        <f t="shared" si="5"/>
        <v>0</v>
      </c>
      <c r="K77">
        <f t="shared" si="6"/>
        <v>0</v>
      </c>
      <c r="L77">
        <f t="shared" si="7"/>
        <v>0</v>
      </c>
      <c r="M77">
        <f t="shared" si="8"/>
        <v>0</v>
      </c>
    </row>
    <row r="78">
      <c r="A78" t="str">
        <f>往来单位!$B$79&amp;""</f>
        <v>徐平</v>
      </c>
      <c r="B78" t="str">
        <f>往来单位!$C$79&amp;""</f>
        <v>工人</v>
      </c>
      <c r="C78">
        <f t="shared" si="0"/>
        <v>0</v>
      </c>
      <c r="D78">
        <f t="shared" si="1"/>
        <v>0</v>
      </c>
      <c r="E78">
        <f>IF(OR($A78="",NOT(OR($B78="管理人员",$B78="工人"))),0,ROUND(N(往来单位!$M$79)+J78-K78-L78+M78,2))</f>
        <v>1925</v>
      </c>
      <c r="F78">
        <f>IF(OR($A78="",NOT(OR($B78="管理人员",$B78="工人"))),0,ROUND(N(往来单位!$M$79)+SUMIFS(考勤工资!$W$5:$W$1004,考勤工资!$C$5:$C$1004,$A78,考勤工资!$Y$5:$Y$1004,"&gt;="&amp;_辅助!$J$4,考勤工资!$Y$5:$Y$1004,"&lt;="&amp;_辅助!$J$5)-(-SUMIFS(资金流水!$R$6:$R$2005,资金流水!$J$6:$J$2005,$A78,资金流水!$X$6:$X$2005,"应付职工薪酬",资金流水!$R$6:$R$2005,"&lt;0",资金流水!$S$6:$S$2005,"&gt;="&amp;_辅助!$J$4,资金流水!$S$6:$S$2005,"&lt;="&amp;_辅助!$J$5))-SUMIFS(代发抵账!$F$5:$F$304,代发抵账!$E$5:$E$304,$A78,代发抵账!$D$5:$D$304,"总包代发工资",代发抵账!$H$5:$H$304,"&gt;="&amp;_辅助!$J$4,代发抵账!$H$5:$H$304,"&lt;="&amp;_辅助!$J$5)+SUMIFS(资金流水!$R$6:$R$2005,资金流水!$J$6:$J$2005,$A78,资金流水!$X$6:$X$2005,"应付职工薪酬",资金流水!$R$6:$R$2005,"&gt;0",资金流水!$S$6:$S$2005,"&gt;="&amp;_辅助!$J$4,资金流水!$S$6:$S$2005,"&lt;="&amp;_辅助!$J$5),2))</f>
        <v>0</v>
      </c>
      <c r="G78">
        <f t="shared" si="2"/>
        <v>0</v>
      </c>
      <c r="H78">
        <f t="shared" si="3"/>
        <v>0</v>
      </c>
      <c r="I78">
        <f t="shared" si="4"/>
        <v>0</v>
      </c>
      <c r="J78">
        <f t="shared" si="5"/>
        <v>1925</v>
      </c>
      <c r="K78">
        <f t="shared" si="6"/>
        <v>0</v>
      </c>
      <c r="L78">
        <f t="shared" si="7"/>
        <v>0</v>
      </c>
      <c r="M78">
        <f t="shared" si="8"/>
        <v>0</v>
      </c>
    </row>
    <row r="79">
      <c r="A79" t="str">
        <f>往来单位!$B$80&amp;""</f>
        <v>朱俊英</v>
      </c>
      <c r="B79" t="str">
        <f>往来单位!$C$80&amp;""</f>
        <v>工人</v>
      </c>
      <c r="C79">
        <f t="shared" si="0"/>
        <v>0</v>
      </c>
      <c r="D79">
        <f t="shared" si="1"/>
        <v>0</v>
      </c>
      <c r="E79">
        <f>IF(OR($A79="",NOT(OR($B79="管理人员",$B79="工人"))),0,ROUND(N(往来单位!$M$80)+J79-K79-L79+M79,2))</f>
        <v>1320</v>
      </c>
      <c r="F79">
        <f>IF(OR($A79="",NOT(OR($B79="管理人员",$B79="工人"))),0,ROUND(N(往来单位!$M$80)+SUMIFS(考勤工资!$W$5:$W$1004,考勤工资!$C$5:$C$1004,$A79,考勤工资!$Y$5:$Y$1004,"&gt;="&amp;_辅助!$J$4,考勤工资!$Y$5:$Y$1004,"&lt;="&amp;_辅助!$J$5)-(-SUMIFS(资金流水!$R$6:$R$2005,资金流水!$J$6:$J$2005,$A79,资金流水!$X$6:$X$2005,"应付职工薪酬",资金流水!$R$6:$R$2005,"&lt;0",资金流水!$S$6:$S$2005,"&gt;="&amp;_辅助!$J$4,资金流水!$S$6:$S$2005,"&lt;="&amp;_辅助!$J$5))-SUMIFS(代发抵账!$F$5:$F$304,代发抵账!$E$5:$E$304,$A79,代发抵账!$D$5:$D$304,"总包代发工资",代发抵账!$H$5:$H$304,"&gt;="&amp;_辅助!$J$4,代发抵账!$H$5:$H$304,"&lt;="&amp;_辅助!$J$5)+SUMIFS(资金流水!$R$6:$R$2005,资金流水!$J$6:$J$2005,$A79,资金流水!$X$6:$X$2005,"应付职工薪酬",资金流水!$R$6:$R$2005,"&gt;0",资金流水!$S$6:$S$2005,"&gt;="&amp;_辅助!$J$4,资金流水!$S$6:$S$2005,"&lt;="&amp;_辅助!$J$5),2))</f>
        <v>0</v>
      </c>
      <c r="G79">
        <f t="shared" si="2"/>
        <v>0</v>
      </c>
      <c r="H79">
        <f t="shared" si="3"/>
        <v>0</v>
      </c>
      <c r="I79">
        <f t="shared" si="4"/>
        <v>0</v>
      </c>
      <c r="J79">
        <f t="shared" si="5"/>
        <v>1320</v>
      </c>
      <c r="K79">
        <f t="shared" si="6"/>
        <v>0</v>
      </c>
      <c r="L79">
        <f t="shared" si="7"/>
        <v>0</v>
      </c>
      <c r="M79">
        <f t="shared" si="8"/>
        <v>0</v>
      </c>
    </row>
    <row r="80">
      <c r="A80" t="str">
        <f>往来单位!$B$81&amp;""</f>
        <v>彭海飞</v>
      </c>
      <c r="B80" t="str">
        <f>往来单位!$C$81&amp;""</f>
        <v>工人</v>
      </c>
      <c r="C80">
        <f t="shared" si="0"/>
        <v>0</v>
      </c>
      <c r="D80">
        <f t="shared" si="1"/>
        <v>0</v>
      </c>
      <c r="E80">
        <f>IF(OR($A80="",NOT(OR($B80="管理人员",$B80="工人"))),0,ROUND(N(往来单位!$M$81)+J80-K80-L80+M80,2))</f>
        <v>1925</v>
      </c>
      <c r="F80">
        <f>IF(OR($A80="",NOT(OR($B80="管理人员",$B80="工人"))),0,ROUND(N(往来单位!$M$81)+SUMIFS(考勤工资!$W$5:$W$1004,考勤工资!$C$5:$C$1004,$A80,考勤工资!$Y$5:$Y$1004,"&gt;="&amp;_辅助!$J$4,考勤工资!$Y$5:$Y$1004,"&lt;="&amp;_辅助!$J$5)-(-SUMIFS(资金流水!$R$6:$R$2005,资金流水!$J$6:$J$2005,$A80,资金流水!$X$6:$X$2005,"应付职工薪酬",资金流水!$R$6:$R$2005,"&lt;0",资金流水!$S$6:$S$2005,"&gt;="&amp;_辅助!$J$4,资金流水!$S$6:$S$2005,"&lt;="&amp;_辅助!$J$5))-SUMIFS(代发抵账!$F$5:$F$304,代发抵账!$E$5:$E$304,$A80,代发抵账!$D$5:$D$304,"总包代发工资",代发抵账!$H$5:$H$304,"&gt;="&amp;_辅助!$J$4,代发抵账!$H$5:$H$304,"&lt;="&amp;_辅助!$J$5)+SUMIFS(资金流水!$R$6:$R$2005,资金流水!$J$6:$J$2005,$A80,资金流水!$X$6:$X$2005,"应付职工薪酬",资金流水!$R$6:$R$2005,"&gt;0",资金流水!$S$6:$S$2005,"&gt;="&amp;_辅助!$J$4,资金流水!$S$6:$S$2005,"&lt;="&amp;_辅助!$J$5),2))</f>
        <v>0</v>
      </c>
      <c r="G80">
        <f t="shared" si="2"/>
        <v>0</v>
      </c>
      <c r="H80">
        <f t="shared" si="3"/>
        <v>0</v>
      </c>
      <c r="I80">
        <f t="shared" si="4"/>
        <v>0</v>
      </c>
      <c r="J80">
        <f t="shared" si="5"/>
        <v>1925</v>
      </c>
      <c r="K80">
        <f t="shared" si="6"/>
        <v>0</v>
      </c>
      <c r="L80">
        <f t="shared" si="7"/>
        <v>0</v>
      </c>
      <c r="M80">
        <f t="shared" si="8"/>
        <v>0</v>
      </c>
    </row>
    <row r="81">
      <c r="A81" t="str">
        <f>往来单位!$B$82&amp;""</f>
        <v>钟磊</v>
      </c>
      <c r="B81" t="str">
        <f>往来单位!$C$82&amp;""</f>
        <v>工人</v>
      </c>
      <c r="C81">
        <f t="shared" si="0"/>
        <v>0</v>
      </c>
      <c r="D81">
        <f t="shared" si="1"/>
        <v>0</v>
      </c>
      <c r="E81">
        <f>IF(OR($A81="",NOT(OR($B81="管理人员",$B81="工人"))),0,ROUND(N(往来单位!$M$82)+J81-K81-L81+M81,2))</f>
        <v>1650</v>
      </c>
      <c r="F81">
        <f>IF(OR($A81="",NOT(OR($B81="管理人员",$B81="工人"))),0,ROUND(N(往来单位!$M$82)+SUMIFS(考勤工资!$W$5:$W$1004,考勤工资!$C$5:$C$1004,$A81,考勤工资!$Y$5:$Y$1004,"&gt;="&amp;_辅助!$J$4,考勤工资!$Y$5:$Y$1004,"&lt;="&amp;_辅助!$J$5)-(-SUMIFS(资金流水!$R$6:$R$2005,资金流水!$J$6:$J$2005,$A81,资金流水!$X$6:$X$2005,"应付职工薪酬",资金流水!$R$6:$R$2005,"&lt;0",资金流水!$S$6:$S$2005,"&gt;="&amp;_辅助!$J$4,资金流水!$S$6:$S$2005,"&lt;="&amp;_辅助!$J$5))-SUMIFS(代发抵账!$F$5:$F$304,代发抵账!$E$5:$E$304,$A81,代发抵账!$D$5:$D$304,"总包代发工资",代发抵账!$H$5:$H$304,"&gt;="&amp;_辅助!$J$4,代发抵账!$H$5:$H$304,"&lt;="&amp;_辅助!$J$5)+SUMIFS(资金流水!$R$6:$R$2005,资金流水!$J$6:$J$2005,$A81,资金流水!$X$6:$X$2005,"应付职工薪酬",资金流水!$R$6:$R$2005,"&gt;0",资金流水!$S$6:$S$2005,"&gt;="&amp;_辅助!$J$4,资金流水!$S$6:$S$2005,"&lt;="&amp;_辅助!$J$5),2))</f>
        <v>0</v>
      </c>
      <c r="G81">
        <f t="shared" si="2"/>
        <v>0</v>
      </c>
      <c r="H81">
        <f t="shared" si="3"/>
        <v>0</v>
      </c>
      <c r="I81">
        <f t="shared" si="4"/>
        <v>0</v>
      </c>
      <c r="J81">
        <f t="shared" si="5"/>
        <v>1650</v>
      </c>
      <c r="K81">
        <f t="shared" si="6"/>
        <v>0</v>
      </c>
      <c r="L81">
        <f t="shared" si="7"/>
        <v>0</v>
      </c>
      <c r="M81">
        <f t="shared" si="8"/>
        <v>0</v>
      </c>
    </row>
    <row r="82">
      <c r="A82" t="str">
        <f>往来单位!$B$83&amp;""</f>
        <v>朱博文</v>
      </c>
      <c r="B82" t="str">
        <f>往来单位!$C$83&amp;""</f>
        <v>管理人员</v>
      </c>
      <c r="C82">
        <f t="shared" si="0"/>
        <v>0</v>
      </c>
      <c r="D82">
        <f t="shared" si="1"/>
        <v>0</v>
      </c>
      <c r="E82">
        <f>IF(OR($A82="",NOT(OR($B82="管理人员",$B82="工人"))),0,ROUND(N(往来单位!$M$83)+J82-K82-L82+M82,2))</f>
        <v>-5500</v>
      </c>
      <c r="F82">
        <f>IF(OR($A82="",NOT(OR($B82="管理人员",$B82="工人"))),0,ROUND(N(往来单位!$M$83)+SUMIFS(考勤工资!$W$5:$W$1004,考勤工资!$C$5:$C$1004,$A82,考勤工资!$Y$5:$Y$1004,"&gt;="&amp;_辅助!$J$4,考勤工资!$Y$5:$Y$1004,"&lt;="&amp;_辅助!$J$5)-(-SUMIFS(资金流水!$R$6:$R$2005,资金流水!$J$6:$J$2005,$A82,资金流水!$X$6:$X$2005,"应付职工薪酬",资金流水!$R$6:$R$2005,"&lt;0",资金流水!$S$6:$S$2005,"&gt;="&amp;_辅助!$J$4,资金流水!$S$6:$S$2005,"&lt;="&amp;_辅助!$J$5))-SUMIFS(代发抵账!$F$5:$F$304,代发抵账!$E$5:$E$304,$A82,代发抵账!$D$5:$D$304,"总包代发工资",代发抵账!$H$5:$H$304,"&gt;="&amp;_辅助!$J$4,代发抵账!$H$5:$H$304,"&lt;="&amp;_辅助!$J$5)+SUMIFS(资金流水!$R$6:$R$2005,资金流水!$J$6:$J$2005,$A82,资金流水!$X$6:$X$2005,"应付职工薪酬",资金流水!$R$6:$R$2005,"&gt;0",资金流水!$S$6:$S$2005,"&gt;="&amp;_辅助!$J$4,资金流水!$S$6:$S$2005,"&lt;="&amp;_辅助!$J$5),2))</f>
        <v>0</v>
      </c>
      <c r="G82">
        <f t="shared" si="2"/>
        <v>0</v>
      </c>
      <c r="H82">
        <f t="shared" si="3"/>
        <v>0</v>
      </c>
      <c r="I82">
        <f t="shared" si="4"/>
        <v>0</v>
      </c>
      <c r="J82">
        <f t="shared" si="5"/>
        <v>0</v>
      </c>
      <c r="K82">
        <f t="shared" si="6"/>
        <v>5500</v>
      </c>
      <c r="L82">
        <f t="shared" si="7"/>
        <v>0</v>
      </c>
      <c r="M82">
        <f t="shared" si="8"/>
        <v>0</v>
      </c>
    </row>
    <row r="83">
      <c r="A83" t="str">
        <f>往来单位!$B$84&amp;""</f>
        <v>雷友才</v>
      </c>
      <c r="B83" t="str">
        <f>往来单位!$C$84&amp;""</f>
        <v>工人</v>
      </c>
      <c r="C83">
        <f t="shared" si="0"/>
        <v>0</v>
      </c>
      <c r="D83">
        <f t="shared" si="1"/>
        <v>0</v>
      </c>
      <c r="E83">
        <f>IF(OR($A83="",NOT(OR($B83="管理人员",$B83="工人"))),0,ROUND(N(往来单位!$M$84)+J83-K83-L83+M83,2))</f>
        <v>-2000</v>
      </c>
      <c r="F83">
        <f>IF(OR($A83="",NOT(OR($B83="管理人员",$B83="工人"))),0,ROUND(N(往来单位!$M$84)+SUMIFS(考勤工资!$W$5:$W$1004,考勤工资!$C$5:$C$1004,$A83,考勤工资!$Y$5:$Y$1004,"&gt;="&amp;_辅助!$J$4,考勤工资!$Y$5:$Y$1004,"&lt;="&amp;_辅助!$J$5)-(-SUMIFS(资金流水!$R$6:$R$2005,资金流水!$J$6:$J$2005,$A83,资金流水!$X$6:$X$2005,"应付职工薪酬",资金流水!$R$6:$R$2005,"&lt;0",资金流水!$S$6:$S$2005,"&gt;="&amp;_辅助!$J$4,资金流水!$S$6:$S$2005,"&lt;="&amp;_辅助!$J$5))-SUMIFS(代发抵账!$F$5:$F$304,代发抵账!$E$5:$E$304,$A83,代发抵账!$D$5:$D$304,"总包代发工资",代发抵账!$H$5:$H$304,"&gt;="&amp;_辅助!$J$4,代发抵账!$H$5:$H$304,"&lt;="&amp;_辅助!$J$5)+SUMIFS(资金流水!$R$6:$R$2005,资金流水!$J$6:$J$2005,$A83,资金流水!$X$6:$X$2005,"应付职工薪酬",资金流水!$R$6:$R$2005,"&gt;0",资金流水!$S$6:$S$2005,"&gt;="&amp;_辅助!$J$4,资金流水!$S$6:$S$2005,"&lt;="&amp;_辅助!$J$5),2))</f>
        <v>0</v>
      </c>
      <c r="G83">
        <f t="shared" si="2"/>
        <v>0</v>
      </c>
      <c r="H83">
        <f t="shared" si="3"/>
        <v>0</v>
      </c>
      <c r="I83">
        <f t="shared" si="4"/>
        <v>0</v>
      </c>
      <c r="J83">
        <f t="shared" si="5"/>
        <v>0</v>
      </c>
      <c r="K83">
        <f t="shared" si="6"/>
        <v>2000</v>
      </c>
      <c r="L83">
        <f t="shared" si="7"/>
        <v>0</v>
      </c>
      <c r="M83">
        <f t="shared" si="8"/>
        <v>0</v>
      </c>
    </row>
    <row r="84">
      <c r="A84" t="str">
        <f>往来单位!$B$85&amp;""</f>
        <v>占善庆</v>
      </c>
      <c r="B84" t="str">
        <f>往来单位!$C$85&amp;""</f>
        <v>工人</v>
      </c>
      <c r="C84">
        <f t="shared" si="0"/>
        <v>0</v>
      </c>
      <c r="D84">
        <f t="shared" si="1"/>
        <v>0</v>
      </c>
      <c r="E84">
        <f>IF(OR($A84="",NOT(OR($B84="管理人员",$B84="工人"))),0,ROUND(N(往来单位!$M$85)+J84-K84-L84+M84,2))</f>
        <v>-1600</v>
      </c>
      <c r="F84">
        <f>IF(OR($A84="",NOT(OR($B84="管理人员",$B84="工人"))),0,ROUND(N(往来单位!$M$85)+SUMIFS(考勤工资!$W$5:$W$1004,考勤工资!$C$5:$C$1004,$A84,考勤工资!$Y$5:$Y$1004,"&gt;="&amp;_辅助!$J$4,考勤工资!$Y$5:$Y$1004,"&lt;="&amp;_辅助!$J$5)-(-SUMIFS(资金流水!$R$6:$R$2005,资金流水!$J$6:$J$2005,$A84,资金流水!$X$6:$X$2005,"应付职工薪酬",资金流水!$R$6:$R$2005,"&lt;0",资金流水!$S$6:$S$2005,"&gt;="&amp;_辅助!$J$4,资金流水!$S$6:$S$2005,"&lt;="&amp;_辅助!$J$5))-SUMIFS(代发抵账!$F$5:$F$304,代发抵账!$E$5:$E$304,$A84,代发抵账!$D$5:$D$304,"总包代发工资",代发抵账!$H$5:$H$304,"&gt;="&amp;_辅助!$J$4,代发抵账!$H$5:$H$304,"&lt;="&amp;_辅助!$J$5)+SUMIFS(资金流水!$R$6:$R$2005,资金流水!$J$6:$J$2005,$A84,资金流水!$X$6:$X$2005,"应付职工薪酬",资金流水!$R$6:$R$2005,"&gt;0",资金流水!$S$6:$S$2005,"&gt;="&amp;_辅助!$J$4,资金流水!$S$6:$S$2005,"&lt;="&amp;_辅助!$J$5),2))</f>
        <v>0</v>
      </c>
      <c r="G84">
        <f t="shared" si="2"/>
        <v>0</v>
      </c>
      <c r="H84">
        <f t="shared" si="3"/>
        <v>0</v>
      </c>
      <c r="I84">
        <f t="shared" si="4"/>
        <v>0</v>
      </c>
      <c r="J84">
        <f t="shared" si="5"/>
        <v>0</v>
      </c>
      <c r="K84">
        <f t="shared" si="6"/>
        <v>1600</v>
      </c>
      <c r="L84">
        <f t="shared" si="7"/>
        <v>0</v>
      </c>
      <c r="M84">
        <f t="shared" si="8"/>
        <v>0</v>
      </c>
    </row>
    <row r="85">
      <c r="A85" t="str">
        <f>往来单位!$B$86&amp;""</f>
        <v>张洪林</v>
      </c>
      <c r="B85" t="str">
        <f>往来单位!$C$86&amp;""</f>
        <v>工人</v>
      </c>
      <c r="C85">
        <f t="shared" si="0"/>
        <v>0</v>
      </c>
      <c r="D85">
        <f t="shared" si="1"/>
        <v>0</v>
      </c>
      <c r="E85">
        <f>IF(OR($A85="",NOT(OR($B85="管理人员",$B85="工人"))),0,ROUND(N(往来单位!$M$86)+J85-K85-L85+M85,2))</f>
        <v>0</v>
      </c>
      <c r="F85">
        <f>IF(OR($A85="",NOT(OR($B85="管理人员",$B85="工人"))),0,ROUND(N(往来单位!$M$86)+SUMIFS(考勤工资!$W$5:$W$1004,考勤工资!$C$5:$C$1004,$A85,考勤工资!$Y$5:$Y$1004,"&gt;="&amp;_辅助!$J$4,考勤工资!$Y$5:$Y$1004,"&lt;="&amp;_辅助!$J$5)-(-SUMIFS(资金流水!$R$6:$R$2005,资金流水!$J$6:$J$2005,$A85,资金流水!$X$6:$X$2005,"应付职工薪酬",资金流水!$R$6:$R$2005,"&lt;0",资金流水!$S$6:$S$2005,"&gt;="&amp;_辅助!$J$4,资金流水!$S$6:$S$2005,"&lt;="&amp;_辅助!$J$5))-SUMIFS(代发抵账!$F$5:$F$304,代发抵账!$E$5:$E$304,$A85,代发抵账!$D$5:$D$304,"总包代发工资",代发抵账!$H$5:$H$304,"&gt;="&amp;_辅助!$J$4,代发抵账!$H$5:$H$304,"&lt;="&amp;_辅助!$J$5)+SUMIFS(资金流水!$R$6:$R$2005,资金流水!$J$6:$J$2005,$A85,资金流水!$X$6:$X$2005,"应付职工薪酬",资金流水!$R$6:$R$2005,"&gt;0",资金流水!$S$6:$S$2005,"&gt;="&amp;_辅助!$J$4,资金流水!$S$6:$S$2005,"&lt;="&amp;_辅助!$J$5),2))</f>
        <v>0</v>
      </c>
      <c r="G85">
        <f t="shared" si="2"/>
        <v>0</v>
      </c>
      <c r="H85">
        <f t="shared" si="3"/>
        <v>0</v>
      </c>
      <c r="I85">
        <f t="shared" si="4"/>
        <v>0</v>
      </c>
      <c r="J85">
        <f t="shared" si="5"/>
        <v>1120</v>
      </c>
      <c r="K85">
        <f t="shared" si="6"/>
        <v>1120</v>
      </c>
      <c r="L85">
        <f t="shared" si="7"/>
        <v>0</v>
      </c>
      <c r="M85">
        <f t="shared" si="8"/>
        <v>0</v>
      </c>
    </row>
    <row r="86">
      <c r="A86" t="str">
        <f>往来单位!$B$87&amp;""</f>
        <v>九江财小保</v>
      </c>
      <c r="B86" t="str">
        <f>往来单位!$C$87&amp;""</f>
        <v>其他</v>
      </c>
      <c r="C86">
        <f t="shared" si="0"/>
        <v>0</v>
      </c>
      <c r="D86">
        <f t="shared" si="1"/>
        <v>0</v>
      </c>
      <c r="E86">
        <f>IF(OR($A86="",NOT(OR($B86="管理人员",$B86="工人"))),0,ROUND(N(往来单位!$M$87)+J86-K86-L86+M86,2))</f>
        <v>0</v>
      </c>
      <c r="F86">
        <f>IF(OR($A86="",NOT(OR($B86="管理人员",$B86="工人"))),0,ROUND(N(往来单位!$M$87)+SUMIFS(考勤工资!$W$5:$W$1004,考勤工资!$C$5:$C$1004,$A86,考勤工资!$Y$5:$Y$1004,"&gt;="&amp;_辅助!$J$4,考勤工资!$Y$5:$Y$1004,"&lt;="&amp;_辅助!$J$5)-(-SUMIFS(资金流水!$R$6:$R$2005,资金流水!$J$6:$J$2005,$A86,资金流水!$X$6:$X$2005,"应付职工薪酬",资金流水!$R$6:$R$2005,"&lt;0",资金流水!$S$6:$S$2005,"&gt;="&amp;_辅助!$J$4,资金流水!$S$6:$S$2005,"&lt;="&amp;_辅助!$J$5))-SUMIFS(代发抵账!$F$5:$F$304,代发抵账!$E$5:$E$304,$A86,代发抵账!$D$5:$D$304,"总包代发工资",代发抵账!$H$5:$H$304,"&gt;="&amp;_辅助!$J$4,代发抵账!$H$5:$H$304,"&lt;="&amp;_辅助!$J$5)+SUMIFS(资金流水!$R$6:$R$2005,资金流水!$J$6:$J$2005,$A86,资金流水!$X$6:$X$2005,"应付职工薪酬",资金流水!$R$6:$R$2005,"&gt;0",资金流水!$S$6:$S$2005,"&gt;="&amp;_辅助!$J$4,资金流水!$S$6:$S$2005,"&lt;="&amp;_辅助!$J$5),2))</f>
        <v>0</v>
      </c>
      <c r="G86">
        <f t="shared" si="2"/>
        <v>0</v>
      </c>
      <c r="H86">
        <f t="shared" si="3"/>
        <v>0</v>
      </c>
      <c r="I86">
        <f t="shared" si="4"/>
        <v>0</v>
      </c>
      <c r="J86">
        <f t="shared" si="5"/>
        <v>0</v>
      </c>
      <c r="K86">
        <f t="shared" si="6"/>
        <v>0</v>
      </c>
      <c r="L86">
        <f t="shared" si="7"/>
        <v>0</v>
      </c>
      <c r="M86">
        <f t="shared" si="8"/>
        <v>0</v>
      </c>
    </row>
    <row r="87">
      <c r="A87">
        <f>往来单位!$B$88&amp;""</f>
      </c>
      <c r="B87">
        <f>往来单位!$C$88&amp;""</f>
      </c>
      <c r="C87">
        <f t="shared" si="0"/>
        <v>0</v>
      </c>
      <c r="D87">
        <f t="shared" si="1"/>
        <v>0</v>
      </c>
      <c r="E87">
        <f>IF(OR($A87="",NOT(OR($B87="管理人员",$B87="工人"))),0,ROUND(N(往来单位!$M$88)+J87-K87-L87+M87,2))</f>
        <v>0</v>
      </c>
      <c r="F87">
        <f>IF(OR($A87="",NOT(OR($B87="管理人员",$B87="工人"))),0,ROUND(N(往来单位!$M$88)+SUMIFS(考勤工资!$W$5:$W$1004,考勤工资!$C$5:$C$1004,$A87,考勤工资!$Y$5:$Y$1004,"&gt;="&amp;_辅助!$J$4,考勤工资!$Y$5:$Y$1004,"&lt;="&amp;_辅助!$J$5)-(-SUMIFS(资金流水!$R$6:$R$2005,资金流水!$J$6:$J$2005,$A87,资金流水!$X$6:$X$2005,"应付职工薪酬",资金流水!$R$6:$R$2005,"&lt;0",资金流水!$S$6:$S$2005,"&gt;="&amp;_辅助!$J$4,资金流水!$S$6:$S$2005,"&lt;="&amp;_辅助!$J$5))-SUMIFS(代发抵账!$F$5:$F$304,代发抵账!$E$5:$E$304,$A87,代发抵账!$D$5:$D$304,"总包代发工资",代发抵账!$H$5:$H$304,"&gt;="&amp;_辅助!$J$4,代发抵账!$H$5:$H$304,"&lt;="&amp;_辅助!$J$5)+SUMIFS(资金流水!$R$6:$R$2005,资金流水!$J$6:$J$2005,$A87,资金流水!$X$6:$X$2005,"应付职工薪酬",资金流水!$R$6:$R$2005,"&gt;0",资金流水!$S$6:$S$2005,"&gt;="&amp;_辅助!$J$4,资金流水!$S$6:$S$2005,"&lt;="&amp;_辅助!$J$5),2))</f>
        <v>0</v>
      </c>
      <c r="G87">
        <f t="shared" si="2"/>
        <v>0</v>
      </c>
      <c r="H87">
        <f t="shared" si="3"/>
        <v>0</v>
      </c>
      <c r="I87">
        <f t="shared" si="4"/>
        <v>0</v>
      </c>
      <c r="J87">
        <f t="shared" si="5"/>
        <v>0</v>
      </c>
      <c r="K87">
        <f t="shared" si="6"/>
        <v>0</v>
      </c>
      <c r="L87">
        <f t="shared" si="7"/>
        <v>0</v>
      </c>
      <c r="M87">
        <f t="shared" si="8"/>
        <v>0</v>
      </c>
    </row>
    <row r="88">
      <c r="A88">
        <f>往来单位!$B$89&amp;""</f>
      </c>
      <c r="B88">
        <f>往来单位!$C$89&amp;""</f>
      </c>
      <c r="C88">
        <f t="shared" si="0"/>
        <v>0</v>
      </c>
      <c r="D88">
        <f t="shared" si="1"/>
        <v>0</v>
      </c>
      <c r="E88">
        <f>IF(OR($A88="",NOT(OR($B88="管理人员",$B88="工人"))),0,ROUND(N(往来单位!$M$89)+J88-K88-L88+M88,2))</f>
        <v>0</v>
      </c>
      <c r="F88">
        <f>IF(OR($A88="",NOT(OR($B88="管理人员",$B88="工人"))),0,ROUND(N(往来单位!$M$89)+SUMIFS(考勤工资!$W$5:$W$1004,考勤工资!$C$5:$C$1004,$A88,考勤工资!$Y$5:$Y$1004,"&gt;="&amp;_辅助!$J$4,考勤工资!$Y$5:$Y$1004,"&lt;="&amp;_辅助!$J$5)-(-SUMIFS(资金流水!$R$6:$R$2005,资金流水!$J$6:$J$2005,$A88,资金流水!$X$6:$X$2005,"应付职工薪酬",资金流水!$R$6:$R$2005,"&lt;0",资金流水!$S$6:$S$2005,"&gt;="&amp;_辅助!$J$4,资金流水!$S$6:$S$2005,"&lt;="&amp;_辅助!$J$5))-SUMIFS(代发抵账!$F$5:$F$304,代发抵账!$E$5:$E$304,$A88,代发抵账!$D$5:$D$304,"总包代发工资",代发抵账!$H$5:$H$304,"&gt;="&amp;_辅助!$J$4,代发抵账!$H$5:$H$304,"&lt;="&amp;_辅助!$J$5)+SUMIFS(资金流水!$R$6:$R$2005,资金流水!$J$6:$J$2005,$A88,资金流水!$X$6:$X$2005,"应付职工薪酬",资金流水!$R$6:$R$2005,"&gt;0",资金流水!$S$6:$S$2005,"&gt;="&amp;_辅助!$J$4,资金流水!$S$6:$S$2005,"&lt;="&amp;_辅助!$J$5),2))</f>
        <v>0</v>
      </c>
      <c r="G88">
        <f t="shared" si="2"/>
        <v>0</v>
      </c>
      <c r="H88">
        <f t="shared" si="3"/>
        <v>0</v>
      </c>
      <c r="I88">
        <f t="shared" si="4"/>
        <v>0</v>
      </c>
      <c r="J88">
        <f t="shared" si="5"/>
        <v>0</v>
      </c>
      <c r="K88">
        <f t="shared" si="6"/>
        <v>0</v>
      </c>
      <c r="L88">
        <f t="shared" si="7"/>
        <v>0</v>
      </c>
      <c r="M88">
        <f t="shared" si="8"/>
        <v>0</v>
      </c>
    </row>
    <row r="89">
      <c r="A89">
        <f>往来单位!$B$90&amp;""</f>
      </c>
      <c r="B89">
        <f>往来单位!$C$90&amp;""</f>
      </c>
      <c r="C89">
        <f t="shared" si="0"/>
        <v>0</v>
      </c>
      <c r="D89">
        <f t="shared" si="1"/>
        <v>0</v>
      </c>
      <c r="E89">
        <f>IF(OR($A89="",NOT(OR($B89="管理人员",$B89="工人"))),0,ROUND(N(往来单位!$M$90)+J89-K89-L89+M89,2))</f>
        <v>0</v>
      </c>
      <c r="F89">
        <f>IF(OR($A89="",NOT(OR($B89="管理人员",$B89="工人"))),0,ROUND(N(往来单位!$M$90)+SUMIFS(考勤工资!$W$5:$W$1004,考勤工资!$C$5:$C$1004,$A89,考勤工资!$Y$5:$Y$1004,"&gt;="&amp;_辅助!$J$4,考勤工资!$Y$5:$Y$1004,"&lt;="&amp;_辅助!$J$5)-(-SUMIFS(资金流水!$R$6:$R$2005,资金流水!$J$6:$J$2005,$A89,资金流水!$X$6:$X$2005,"应付职工薪酬",资金流水!$R$6:$R$2005,"&lt;0",资金流水!$S$6:$S$2005,"&gt;="&amp;_辅助!$J$4,资金流水!$S$6:$S$2005,"&lt;="&amp;_辅助!$J$5))-SUMIFS(代发抵账!$F$5:$F$304,代发抵账!$E$5:$E$304,$A89,代发抵账!$D$5:$D$304,"总包代发工资",代发抵账!$H$5:$H$304,"&gt;="&amp;_辅助!$J$4,代发抵账!$H$5:$H$304,"&lt;="&amp;_辅助!$J$5)+SUMIFS(资金流水!$R$6:$R$2005,资金流水!$J$6:$J$2005,$A89,资金流水!$X$6:$X$2005,"应付职工薪酬",资金流水!$R$6:$R$2005,"&gt;0",资金流水!$S$6:$S$2005,"&gt;="&amp;_辅助!$J$4,资金流水!$S$6:$S$2005,"&lt;="&amp;_辅助!$J$5),2))</f>
        <v>0</v>
      </c>
      <c r="G89">
        <f t="shared" si="2"/>
        <v>0</v>
      </c>
      <c r="H89">
        <f t="shared" si="3"/>
        <v>0</v>
      </c>
      <c r="I89">
        <f t="shared" si="4"/>
        <v>0</v>
      </c>
      <c r="J89">
        <f t="shared" si="5"/>
        <v>0</v>
      </c>
      <c r="K89">
        <f t="shared" si="6"/>
        <v>0</v>
      </c>
      <c r="L89">
        <f t="shared" si="7"/>
        <v>0</v>
      </c>
      <c r="M89">
        <f t="shared" si="8"/>
        <v>0</v>
      </c>
    </row>
    <row r="90">
      <c r="A90">
        <f>往来单位!$B$91&amp;""</f>
      </c>
      <c r="B90">
        <f>往来单位!$C$91&amp;""</f>
      </c>
      <c r="C90">
        <f t="shared" si="0"/>
        <v>0</v>
      </c>
      <c r="D90">
        <f t="shared" si="1"/>
        <v>0</v>
      </c>
      <c r="E90">
        <f>IF(OR($A90="",NOT(OR($B90="管理人员",$B90="工人"))),0,ROUND(N(往来单位!$M$91)+J90-K90-L90+M90,2))</f>
        <v>0</v>
      </c>
      <c r="F90">
        <f>IF(OR($A90="",NOT(OR($B90="管理人员",$B90="工人"))),0,ROUND(N(往来单位!$M$91)+SUMIFS(考勤工资!$W$5:$W$1004,考勤工资!$C$5:$C$1004,$A90,考勤工资!$Y$5:$Y$1004,"&gt;="&amp;_辅助!$J$4,考勤工资!$Y$5:$Y$1004,"&lt;="&amp;_辅助!$J$5)-(-SUMIFS(资金流水!$R$6:$R$2005,资金流水!$J$6:$J$2005,$A90,资金流水!$X$6:$X$2005,"应付职工薪酬",资金流水!$R$6:$R$2005,"&lt;0",资金流水!$S$6:$S$2005,"&gt;="&amp;_辅助!$J$4,资金流水!$S$6:$S$2005,"&lt;="&amp;_辅助!$J$5))-SUMIFS(代发抵账!$F$5:$F$304,代发抵账!$E$5:$E$304,$A90,代发抵账!$D$5:$D$304,"总包代发工资",代发抵账!$H$5:$H$304,"&gt;="&amp;_辅助!$J$4,代发抵账!$H$5:$H$304,"&lt;="&amp;_辅助!$J$5)+SUMIFS(资金流水!$R$6:$R$2005,资金流水!$J$6:$J$2005,$A90,资金流水!$X$6:$X$2005,"应付职工薪酬",资金流水!$R$6:$R$2005,"&gt;0",资金流水!$S$6:$S$2005,"&gt;="&amp;_辅助!$J$4,资金流水!$S$6:$S$2005,"&lt;="&amp;_辅助!$J$5),2))</f>
        <v>0</v>
      </c>
      <c r="G90">
        <f t="shared" si="2"/>
        <v>0</v>
      </c>
      <c r="H90">
        <f t="shared" si="3"/>
        <v>0</v>
      </c>
      <c r="I90">
        <f t="shared" si="4"/>
        <v>0</v>
      </c>
      <c r="J90">
        <f t="shared" si="5"/>
        <v>0</v>
      </c>
      <c r="K90">
        <f t="shared" si="6"/>
        <v>0</v>
      </c>
      <c r="L90">
        <f t="shared" si="7"/>
        <v>0</v>
      </c>
      <c r="M90">
        <f t="shared" si="8"/>
        <v>0</v>
      </c>
    </row>
    <row r="91">
      <c r="A91">
        <f>往来单位!$B$92&amp;""</f>
      </c>
      <c r="B91">
        <f>往来单位!$C$92&amp;""</f>
      </c>
      <c r="C91">
        <f t="shared" si="0"/>
        <v>0</v>
      </c>
      <c r="D91">
        <f t="shared" si="1"/>
        <v>0</v>
      </c>
      <c r="E91">
        <f>IF(OR($A91="",NOT(OR($B91="管理人员",$B91="工人"))),0,ROUND(N(往来单位!$M$92)+J91-K91-L91+M91,2))</f>
        <v>0</v>
      </c>
      <c r="F91">
        <f>IF(OR($A91="",NOT(OR($B91="管理人员",$B91="工人"))),0,ROUND(N(往来单位!$M$92)+SUMIFS(考勤工资!$W$5:$W$1004,考勤工资!$C$5:$C$1004,$A91,考勤工资!$Y$5:$Y$1004,"&gt;="&amp;_辅助!$J$4,考勤工资!$Y$5:$Y$1004,"&lt;="&amp;_辅助!$J$5)-(-SUMIFS(资金流水!$R$6:$R$2005,资金流水!$J$6:$J$2005,$A91,资金流水!$X$6:$X$2005,"应付职工薪酬",资金流水!$R$6:$R$2005,"&lt;0",资金流水!$S$6:$S$2005,"&gt;="&amp;_辅助!$J$4,资金流水!$S$6:$S$2005,"&lt;="&amp;_辅助!$J$5))-SUMIFS(代发抵账!$F$5:$F$304,代发抵账!$E$5:$E$304,$A91,代发抵账!$D$5:$D$304,"总包代发工资",代发抵账!$H$5:$H$304,"&gt;="&amp;_辅助!$J$4,代发抵账!$H$5:$H$304,"&lt;="&amp;_辅助!$J$5)+SUMIFS(资金流水!$R$6:$R$2005,资金流水!$J$6:$J$2005,$A91,资金流水!$X$6:$X$2005,"应付职工薪酬",资金流水!$R$6:$R$2005,"&gt;0",资金流水!$S$6:$S$2005,"&gt;="&amp;_辅助!$J$4,资金流水!$S$6:$S$2005,"&lt;="&amp;_辅助!$J$5),2))</f>
        <v>0</v>
      </c>
      <c r="G91">
        <f t="shared" si="2"/>
        <v>0</v>
      </c>
      <c r="H91">
        <f t="shared" si="3"/>
        <v>0</v>
      </c>
      <c r="I91">
        <f t="shared" si="4"/>
        <v>0</v>
      </c>
      <c r="J91">
        <f t="shared" si="5"/>
        <v>0</v>
      </c>
      <c r="K91">
        <f t="shared" si="6"/>
        <v>0</v>
      </c>
      <c r="L91">
        <f t="shared" si="7"/>
        <v>0</v>
      </c>
      <c r="M91">
        <f t="shared" si="8"/>
        <v>0</v>
      </c>
    </row>
    <row r="92">
      <c r="A92">
        <f>往来单位!$B$93&amp;""</f>
      </c>
      <c r="B92">
        <f>往来单位!$C$93&amp;""</f>
      </c>
      <c r="C92">
        <f t="shared" si="0"/>
        <v>0</v>
      </c>
      <c r="D92">
        <f t="shared" si="1"/>
        <v>0</v>
      </c>
      <c r="E92">
        <f>IF(OR($A92="",NOT(OR($B92="管理人员",$B92="工人"))),0,ROUND(N(往来单位!$M$93)+J92-K92-L92+M92,2))</f>
        <v>0</v>
      </c>
      <c r="F92">
        <f>IF(OR($A92="",NOT(OR($B92="管理人员",$B92="工人"))),0,ROUND(N(往来单位!$M$93)+SUMIFS(考勤工资!$W$5:$W$1004,考勤工资!$C$5:$C$1004,$A92,考勤工资!$Y$5:$Y$1004,"&gt;="&amp;_辅助!$J$4,考勤工资!$Y$5:$Y$1004,"&lt;="&amp;_辅助!$J$5)-(-SUMIFS(资金流水!$R$6:$R$2005,资金流水!$J$6:$J$2005,$A92,资金流水!$X$6:$X$2005,"应付职工薪酬",资金流水!$R$6:$R$2005,"&lt;0",资金流水!$S$6:$S$2005,"&gt;="&amp;_辅助!$J$4,资金流水!$S$6:$S$2005,"&lt;="&amp;_辅助!$J$5))-SUMIFS(代发抵账!$F$5:$F$304,代发抵账!$E$5:$E$304,$A92,代发抵账!$D$5:$D$304,"总包代发工资",代发抵账!$H$5:$H$304,"&gt;="&amp;_辅助!$J$4,代发抵账!$H$5:$H$304,"&lt;="&amp;_辅助!$J$5)+SUMIFS(资金流水!$R$6:$R$2005,资金流水!$J$6:$J$2005,$A92,资金流水!$X$6:$X$2005,"应付职工薪酬",资金流水!$R$6:$R$2005,"&gt;0",资金流水!$S$6:$S$2005,"&gt;="&amp;_辅助!$J$4,资金流水!$S$6:$S$2005,"&lt;="&amp;_辅助!$J$5),2))</f>
        <v>0</v>
      </c>
      <c r="G92">
        <f t="shared" si="2"/>
        <v>0</v>
      </c>
      <c r="H92">
        <f t="shared" si="3"/>
        <v>0</v>
      </c>
      <c r="I92">
        <f t="shared" si="4"/>
        <v>0</v>
      </c>
      <c r="J92">
        <f t="shared" si="5"/>
        <v>0</v>
      </c>
      <c r="K92">
        <f t="shared" si="6"/>
        <v>0</v>
      </c>
      <c r="L92">
        <f t="shared" si="7"/>
        <v>0</v>
      </c>
      <c r="M92">
        <f t="shared" si="8"/>
        <v>0</v>
      </c>
    </row>
    <row r="93">
      <c r="A93">
        <f>往来单位!$B$94&amp;""</f>
      </c>
      <c r="B93">
        <f>往来单位!$C$94&amp;""</f>
      </c>
      <c r="C93">
        <f t="shared" si="0"/>
        <v>0</v>
      </c>
      <c r="D93">
        <f t="shared" si="1"/>
        <v>0</v>
      </c>
      <c r="E93">
        <f>IF(OR($A93="",NOT(OR($B93="管理人员",$B93="工人"))),0,ROUND(N(往来单位!$M$94)+J93-K93-L93+M93,2))</f>
        <v>0</v>
      </c>
      <c r="F93">
        <f>IF(OR($A93="",NOT(OR($B93="管理人员",$B93="工人"))),0,ROUND(N(往来单位!$M$94)+SUMIFS(考勤工资!$W$5:$W$1004,考勤工资!$C$5:$C$1004,$A93,考勤工资!$Y$5:$Y$1004,"&gt;="&amp;_辅助!$J$4,考勤工资!$Y$5:$Y$1004,"&lt;="&amp;_辅助!$J$5)-(-SUMIFS(资金流水!$R$6:$R$2005,资金流水!$J$6:$J$2005,$A93,资金流水!$X$6:$X$2005,"应付职工薪酬",资金流水!$R$6:$R$2005,"&lt;0",资金流水!$S$6:$S$2005,"&gt;="&amp;_辅助!$J$4,资金流水!$S$6:$S$2005,"&lt;="&amp;_辅助!$J$5))-SUMIFS(代发抵账!$F$5:$F$304,代发抵账!$E$5:$E$304,$A93,代发抵账!$D$5:$D$304,"总包代发工资",代发抵账!$H$5:$H$304,"&gt;="&amp;_辅助!$J$4,代发抵账!$H$5:$H$304,"&lt;="&amp;_辅助!$J$5)+SUMIFS(资金流水!$R$6:$R$2005,资金流水!$J$6:$J$2005,$A93,资金流水!$X$6:$X$2005,"应付职工薪酬",资金流水!$R$6:$R$2005,"&gt;0",资金流水!$S$6:$S$2005,"&gt;="&amp;_辅助!$J$4,资金流水!$S$6:$S$2005,"&lt;="&amp;_辅助!$J$5),2))</f>
        <v>0</v>
      </c>
      <c r="G93">
        <f t="shared" si="2"/>
        <v>0</v>
      </c>
      <c r="H93">
        <f t="shared" si="3"/>
        <v>0</v>
      </c>
      <c r="I93">
        <f t="shared" si="4"/>
        <v>0</v>
      </c>
      <c r="J93">
        <f t="shared" si="5"/>
        <v>0</v>
      </c>
      <c r="K93">
        <f t="shared" si="6"/>
        <v>0</v>
      </c>
      <c r="L93">
        <f t="shared" si="7"/>
        <v>0</v>
      </c>
      <c r="M93">
        <f t="shared" si="8"/>
        <v>0</v>
      </c>
    </row>
    <row r="94">
      <c r="A94">
        <f>往来单位!$B$95&amp;""</f>
      </c>
      <c r="B94">
        <f>往来单位!$C$95&amp;""</f>
      </c>
      <c r="C94">
        <f t="shared" si="0"/>
        <v>0</v>
      </c>
      <c r="D94">
        <f t="shared" si="1"/>
        <v>0</v>
      </c>
      <c r="E94">
        <f>IF(OR($A94="",NOT(OR($B94="管理人员",$B94="工人"))),0,ROUND(N(往来单位!$M$95)+J94-K94-L94+M94,2))</f>
        <v>0</v>
      </c>
      <c r="F94">
        <f>IF(OR($A94="",NOT(OR($B94="管理人员",$B94="工人"))),0,ROUND(N(往来单位!$M$95)+SUMIFS(考勤工资!$W$5:$W$1004,考勤工资!$C$5:$C$1004,$A94,考勤工资!$Y$5:$Y$1004,"&gt;="&amp;_辅助!$J$4,考勤工资!$Y$5:$Y$1004,"&lt;="&amp;_辅助!$J$5)-(-SUMIFS(资金流水!$R$6:$R$2005,资金流水!$J$6:$J$2005,$A94,资金流水!$X$6:$X$2005,"应付职工薪酬",资金流水!$R$6:$R$2005,"&lt;0",资金流水!$S$6:$S$2005,"&gt;="&amp;_辅助!$J$4,资金流水!$S$6:$S$2005,"&lt;="&amp;_辅助!$J$5))-SUMIFS(代发抵账!$F$5:$F$304,代发抵账!$E$5:$E$304,$A94,代发抵账!$D$5:$D$304,"总包代发工资",代发抵账!$H$5:$H$304,"&gt;="&amp;_辅助!$J$4,代发抵账!$H$5:$H$304,"&lt;="&amp;_辅助!$J$5)+SUMIFS(资金流水!$R$6:$R$2005,资金流水!$J$6:$J$2005,$A94,资金流水!$X$6:$X$2005,"应付职工薪酬",资金流水!$R$6:$R$2005,"&gt;0",资金流水!$S$6:$S$2005,"&gt;="&amp;_辅助!$J$4,资金流水!$S$6:$S$2005,"&lt;="&amp;_辅助!$J$5),2))</f>
        <v>0</v>
      </c>
      <c r="G94">
        <f t="shared" si="2"/>
        <v>0</v>
      </c>
      <c r="H94">
        <f t="shared" si="3"/>
        <v>0</v>
      </c>
      <c r="I94">
        <f t="shared" si="4"/>
        <v>0</v>
      </c>
      <c r="J94">
        <f t="shared" si="5"/>
        <v>0</v>
      </c>
      <c r="K94">
        <f t="shared" si="6"/>
        <v>0</v>
      </c>
      <c r="L94">
        <f t="shared" si="7"/>
        <v>0</v>
      </c>
      <c r="M94">
        <f t="shared" si="8"/>
        <v>0</v>
      </c>
    </row>
    <row r="95">
      <c r="A95">
        <f>往来单位!$B$96&amp;""</f>
      </c>
      <c r="B95">
        <f>往来单位!$C$96&amp;""</f>
      </c>
      <c r="C95">
        <f t="shared" si="0"/>
        <v>0</v>
      </c>
      <c r="D95">
        <f t="shared" si="1"/>
        <v>0</v>
      </c>
      <c r="E95">
        <f>IF(OR($A95="",NOT(OR($B95="管理人员",$B95="工人"))),0,ROUND(N(往来单位!$M$96)+J95-K95-L95+M95,2))</f>
        <v>0</v>
      </c>
      <c r="F95">
        <f>IF(OR($A95="",NOT(OR($B95="管理人员",$B95="工人"))),0,ROUND(N(往来单位!$M$96)+SUMIFS(考勤工资!$W$5:$W$1004,考勤工资!$C$5:$C$1004,$A95,考勤工资!$Y$5:$Y$1004,"&gt;="&amp;_辅助!$J$4,考勤工资!$Y$5:$Y$1004,"&lt;="&amp;_辅助!$J$5)-(-SUMIFS(资金流水!$R$6:$R$2005,资金流水!$J$6:$J$2005,$A95,资金流水!$X$6:$X$2005,"应付职工薪酬",资金流水!$R$6:$R$2005,"&lt;0",资金流水!$S$6:$S$2005,"&gt;="&amp;_辅助!$J$4,资金流水!$S$6:$S$2005,"&lt;="&amp;_辅助!$J$5))-SUMIFS(代发抵账!$F$5:$F$304,代发抵账!$E$5:$E$304,$A95,代发抵账!$D$5:$D$304,"总包代发工资",代发抵账!$H$5:$H$304,"&gt;="&amp;_辅助!$J$4,代发抵账!$H$5:$H$304,"&lt;="&amp;_辅助!$J$5)+SUMIFS(资金流水!$R$6:$R$2005,资金流水!$J$6:$J$2005,$A95,资金流水!$X$6:$X$2005,"应付职工薪酬",资金流水!$R$6:$R$2005,"&gt;0",资金流水!$S$6:$S$2005,"&gt;="&amp;_辅助!$J$4,资金流水!$S$6:$S$2005,"&lt;="&amp;_辅助!$J$5),2))</f>
        <v>0</v>
      </c>
      <c r="G95">
        <f t="shared" si="2"/>
        <v>0</v>
      </c>
      <c r="H95">
        <f t="shared" si="3"/>
        <v>0</v>
      </c>
      <c r="I95">
        <f t="shared" si="4"/>
        <v>0</v>
      </c>
      <c r="J95">
        <f t="shared" si="5"/>
        <v>0</v>
      </c>
      <c r="K95">
        <f t="shared" si="6"/>
        <v>0</v>
      </c>
      <c r="L95">
        <f t="shared" si="7"/>
        <v>0</v>
      </c>
      <c r="M95">
        <f t="shared" si="8"/>
        <v>0</v>
      </c>
    </row>
    <row r="96">
      <c r="A96">
        <f>往来单位!$B$97&amp;""</f>
      </c>
      <c r="B96">
        <f>往来单位!$C$97&amp;""</f>
      </c>
      <c r="C96">
        <f t="shared" si="0"/>
        <v>0</v>
      </c>
      <c r="D96">
        <f t="shared" si="1"/>
        <v>0</v>
      </c>
      <c r="E96">
        <f>IF(OR($A96="",NOT(OR($B96="管理人员",$B96="工人"))),0,ROUND(N(往来单位!$M$97)+J96-K96-L96+M96,2))</f>
        <v>0</v>
      </c>
      <c r="F96">
        <f>IF(OR($A96="",NOT(OR($B96="管理人员",$B96="工人"))),0,ROUND(N(往来单位!$M$97)+SUMIFS(考勤工资!$W$5:$W$1004,考勤工资!$C$5:$C$1004,$A96,考勤工资!$Y$5:$Y$1004,"&gt;="&amp;_辅助!$J$4,考勤工资!$Y$5:$Y$1004,"&lt;="&amp;_辅助!$J$5)-(-SUMIFS(资金流水!$R$6:$R$2005,资金流水!$J$6:$J$2005,$A96,资金流水!$X$6:$X$2005,"应付职工薪酬",资金流水!$R$6:$R$2005,"&lt;0",资金流水!$S$6:$S$2005,"&gt;="&amp;_辅助!$J$4,资金流水!$S$6:$S$2005,"&lt;="&amp;_辅助!$J$5))-SUMIFS(代发抵账!$F$5:$F$304,代发抵账!$E$5:$E$304,$A96,代发抵账!$D$5:$D$304,"总包代发工资",代发抵账!$H$5:$H$304,"&gt;="&amp;_辅助!$J$4,代发抵账!$H$5:$H$304,"&lt;="&amp;_辅助!$J$5)+SUMIFS(资金流水!$R$6:$R$2005,资金流水!$J$6:$J$2005,$A96,资金流水!$X$6:$X$2005,"应付职工薪酬",资金流水!$R$6:$R$2005,"&gt;0",资金流水!$S$6:$S$2005,"&gt;="&amp;_辅助!$J$4,资金流水!$S$6:$S$2005,"&lt;="&amp;_辅助!$J$5),2))</f>
        <v>0</v>
      </c>
      <c r="G96">
        <f t="shared" si="2"/>
        <v>0</v>
      </c>
      <c r="H96">
        <f t="shared" si="3"/>
        <v>0</v>
      </c>
      <c r="I96">
        <f t="shared" si="4"/>
        <v>0</v>
      </c>
      <c r="J96">
        <f t="shared" si="5"/>
        <v>0</v>
      </c>
      <c r="K96">
        <f t="shared" si="6"/>
        <v>0</v>
      </c>
      <c r="L96">
        <f t="shared" si="7"/>
        <v>0</v>
      </c>
      <c r="M96">
        <f t="shared" si="8"/>
        <v>0</v>
      </c>
    </row>
    <row r="97">
      <c r="A97">
        <f>往来单位!$B$98&amp;""</f>
      </c>
      <c r="B97">
        <f>往来单位!$C$98&amp;""</f>
      </c>
      <c r="C97">
        <f t="shared" si="0"/>
        <v>0</v>
      </c>
      <c r="D97">
        <f t="shared" si="1"/>
        <v>0</v>
      </c>
      <c r="E97">
        <f>IF(OR($A97="",NOT(OR($B97="管理人员",$B97="工人"))),0,ROUND(N(往来单位!$M$98)+J97-K97-L97+M97,2))</f>
        <v>0</v>
      </c>
      <c r="F97">
        <f>IF(OR($A97="",NOT(OR($B97="管理人员",$B97="工人"))),0,ROUND(N(往来单位!$M$98)+SUMIFS(考勤工资!$W$5:$W$1004,考勤工资!$C$5:$C$1004,$A97,考勤工资!$Y$5:$Y$1004,"&gt;="&amp;_辅助!$J$4,考勤工资!$Y$5:$Y$1004,"&lt;="&amp;_辅助!$J$5)-(-SUMIFS(资金流水!$R$6:$R$2005,资金流水!$J$6:$J$2005,$A97,资金流水!$X$6:$X$2005,"应付职工薪酬",资金流水!$R$6:$R$2005,"&lt;0",资金流水!$S$6:$S$2005,"&gt;="&amp;_辅助!$J$4,资金流水!$S$6:$S$2005,"&lt;="&amp;_辅助!$J$5))-SUMIFS(代发抵账!$F$5:$F$304,代发抵账!$E$5:$E$304,$A97,代发抵账!$D$5:$D$304,"总包代发工资",代发抵账!$H$5:$H$304,"&gt;="&amp;_辅助!$J$4,代发抵账!$H$5:$H$304,"&lt;="&amp;_辅助!$J$5)+SUMIFS(资金流水!$R$6:$R$2005,资金流水!$J$6:$J$2005,$A97,资金流水!$X$6:$X$2005,"应付职工薪酬",资金流水!$R$6:$R$2005,"&gt;0",资金流水!$S$6:$S$2005,"&gt;="&amp;_辅助!$J$4,资金流水!$S$6:$S$2005,"&lt;="&amp;_辅助!$J$5),2))</f>
        <v>0</v>
      </c>
      <c r="G97">
        <f t="shared" si="2"/>
        <v>0</v>
      </c>
      <c r="H97">
        <f t="shared" si="3"/>
        <v>0</v>
      </c>
      <c r="I97">
        <f t="shared" si="4"/>
        <v>0</v>
      </c>
      <c r="J97">
        <f t="shared" si="5"/>
        <v>0</v>
      </c>
      <c r="K97">
        <f t="shared" si="6"/>
        <v>0</v>
      </c>
      <c r="L97">
        <f t="shared" si="7"/>
        <v>0</v>
      </c>
      <c r="M97">
        <f t="shared" si="8"/>
        <v>0</v>
      </c>
    </row>
    <row r="98">
      <c r="A98">
        <f>往来单位!$B$99&amp;""</f>
      </c>
      <c r="B98">
        <f>往来单位!$C$99&amp;""</f>
      </c>
      <c r="C98">
        <f t="shared" si="0"/>
        <v>0</v>
      </c>
      <c r="D98">
        <f t="shared" si="1"/>
        <v>0</v>
      </c>
      <c r="E98">
        <f>IF(OR($A98="",NOT(OR($B98="管理人员",$B98="工人"))),0,ROUND(N(往来单位!$M$99)+J98-K98-L98+M98,2))</f>
        <v>0</v>
      </c>
      <c r="F98">
        <f>IF(OR($A98="",NOT(OR($B98="管理人员",$B98="工人"))),0,ROUND(N(往来单位!$M$99)+SUMIFS(考勤工资!$W$5:$W$1004,考勤工资!$C$5:$C$1004,$A98,考勤工资!$Y$5:$Y$1004,"&gt;="&amp;_辅助!$J$4,考勤工资!$Y$5:$Y$1004,"&lt;="&amp;_辅助!$J$5)-(-SUMIFS(资金流水!$R$6:$R$2005,资金流水!$J$6:$J$2005,$A98,资金流水!$X$6:$X$2005,"应付职工薪酬",资金流水!$R$6:$R$2005,"&lt;0",资金流水!$S$6:$S$2005,"&gt;="&amp;_辅助!$J$4,资金流水!$S$6:$S$2005,"&lt;="&amp;_辅助!$J$5))-SUMIFS(代发抵账!$F$5:$F$304,代发抵账!$E$5:$E$304,$A98,代发抵账!$D$5:$D$304,"总包代发工资",代发抵账!$H$5:$H$304,"&gt;="&amp;_辅助!$J$4,代发抵账!$H$5:$H$304,"&lt;="&amp;_辅助!$J$5)+SUMIFS(资金流水!$R$6:$R$2005,资金流水!$J$6:$J$2005,$A98,资金流水!$X$6:$X$2005,"应付职工薪酬",资金流水!$R$6:$R$2005,"&gt;0",资金流水!$S$6:$S$2005,"&gt;="&amp;_辅助!$J$4,资金流水!$S$6:$S$2005,"&lt;="&amp;_辅助!$J$5),2))</f>
        <v>0</v>
      </c>
      <c r="G98">
        <f t="shared" si="2"/>
        <v>0</v>
      </c>
      <c r="H98">
        <f t="shared" si="3"/>
        <v>0</v>
      </c>
      <c r="I98">
        <f t="shared" si="4"/>
        <v>0</v>
      </c>
      <c r="J98">
        <f t="shared" si="5"/>
        <v>0</v>
      </c>
      <c r="K98">
        <f t="shared" si="6"/>
        <v>0</v>
      </c>
      <c r="L98">
        <f t="shared" si="7"/>
        <v>0</v>
      </c>
      <c r="M98">
        <f t="shared" si="8"/>
        <v>0</v>
      </c>
    </row>
    <row r="99">
      <c r="A99">
        <f>往来单位!$B$100&amp;""</f>
      </c>
      <c r="B99">
        <f>往来单位!$C$100&amp;""</f>
      </c>
      <c r="C99">
        <f t="shared" si="0"/>
        <v>0</v>
      </c>
      <c r="D99">
        <f t="shared" si="1"/>
        <v>0</v>
      </c>
      <c r="E99">
        <f>IF(OR($A99="",NOT(OR($B99="管理人员",$B99="工人"))),0,ROUND(N(往来单位!$M$100)+J99-K99-L99+M99,2))</f>
        <v>0</v>
      </c>
      <c r="F99">
        <f>IF(OR($A99="",NOT(OR($B99="管理人员",$B99="工人"))),0,ROUND(N(往来单位!$M$100)+SUMIFS(考勤工资!$W$5:$W$1004,考勤工资!$C$5:$C$1004,$A99,考勤工资!$Y$5:$Y$1004,"&gt;="&amp;_辅助!$J$4,考勤工资!$Y$5:$Y$1004,"&lt;="&amp;_辅助!$J$5)-(-SUMIFS(资金流水!$R$6:$R$2005,资金流水!$J$6:$J$2005,$A99,资金流水!$X$6:$X$2005,"应付职工薪酬",资金流水!$R$6:$R$2005,"&lt;0",资金流水!$S$6:$S$2005,"&gt;="&amp;_辅助!$J$4,资金流水!$S$6:$S$2005,"&lt;="&amp;_辅助!$J$5))-SUMIFS(代发抵账!$F$5:$F$304,代发抵账!$E$5:$E$304,$A99,代发抵账!$D$5:$D$304,"总包代发工资",代发抵账!$H$5:$H$304,"&gt;="&amp;_辅助!$J$4,代发抵账!$H$5:$H$304,"&lt;="&amp;_辅助!$J$5)+SUMIFS(资金流水!$R$6:$R$2005,资金流水!$J$6:$J$2005,$A99,资金流水!$X$6:$X$2005,"应付职工薪酬",资金流水!$R$6:$R$2005,"&gt;0",资金流水!$S$6:$S$2005,"&gt;="&amp;_辅助!$J$4,资金流水!$S$6:$S$2005,"&lt;="&amp;_辅助!$J$5),2))</f>
        <v>0</v>
      </c>
      <c r="G99">
        <f t="shared" si="2"/>
        <v>0</v>
      </c>
      <c r="H99">
        <f t="shared" si="3"/>
        <v>0</v>
      </c>
      <c r="I99">
        <f t="shared" si="4"/>
        <v>0</v>
      </c>
      <c r="J99">
        <f t="shared" si="5"/>
        <v>0</v>
      </c>
      <c r="K99">
        <f t="shared" si="6"/>
        <v>0</v>
      </c>
      <c r="L99">
        <f t="shared" si="7"/>
        <v>0</v>
      </c>
      <c r="M99">
        <f t="shared" si="8"/>
        <v>0</v>
      </c>
    </row>
    <row r="100">
      <c r="A100">
        <f>往来单位!$B$101&amp;""</f>
      </c>
      <c r="B100">
        <f>往来单位!$C$101&amp;""</f>
      </c>
      <c r="C100">
        <f t="shared" si="0"/>
        <v>0</v>
      </c>
      <c r="D100">
        <f t="shared" si="1"/>
        <v>0</v>
      </c>
      <c r="E100">
        <f>IF(OR($A100="",NOT(OR($B100="管理人员",$B100="工人"))),0,ROUND(N(往来单位!$M$101)+J100-K100-L100+M100,2))</f>
        <v>0</v>
      </c>
      <c r="F100">
        <f>IF(OR($A100="",NOT(OR($B100="管理人员",$B100="工人"))),0,ROUND(N(往来单位!$M$101)+SUMIFS(考勤工资!$W$5:$W$1004,考勤工资!$C$5:$C$1004,$A100,考勤工资!$Y$5:$Y$1004,"&gt;="&amp;_辅助!$J$4,考勤工资!$Y$5:$Y$1004,"&lt;="&amp;_辅助!$J$5)-(-SUMIFS(资金流水!$R$6:$R$2005,资金流水!$J$6:$J$2005,$A100,资金流水!$X$6:$X$2005,"应付职工薪酬",资金流水!$R$6:$R$2005,"&lt;0",资金流水!$S$6:$S$2005,"&gt;="&amp;_辅助!$J$4,资金流水!$S$6:$S$2005,"&lt;="&amp;_辅助!$J$5))-SUMIFS(代发抵账!$F$5:$F$304,代发抵账!$E$5:$E$304,$A100,代发抵账!$D$5:$D$304,"总包代发工资",代发抵账!$H$5:$H$304,"&gt;="&amp;_辅助!$J$4,代发抵账!$H$5:$H$304,"&lt;="&amp;_辅助!$J$5)+SUMIFS(资金流水!$R$6:$R$2005,资金流水!$J$6:$J$2005,$A100,资金流水!$X$6:$X$2005,"应付职工薪酬",资金流水!$R$6:$R$2005,"&gt;0",资金流水!$S$6:$S$2005,"&gt;="&amp;_辅助!$J$4,资金流水!$S$6:$S$2005,"&lt;="&amp;_辅助!$J$5),2))</f>
        <v>0</v>
      </c>
      <c r="G100">
        <f t="shared" si="2"/>
        <v>0</v>
      </c>
      <c r="H100">
        <f t="shared" si="3"/>
        <v>0</v>
      </c>
      <c r="I100">
        <f t="shared" si="4"/>
        <v>0</v>
      </c>
      <c r="J100">
        <f t="shared" si="5"/>
        <v>0</v>
      </c>
      <c r="K100">
        <f t="shared" si="6"/>
        <v>0</v>
      </c>
      <c r="L100">
        <f t="shared" si="7"/>
        <v>0</v>
      </c>
      <c r="M100">
        <f t="shared" si="8"/>
        <v>0</v>
      </c>
    </row>
    <row r="101">
      <c r="A101">
        <f>往来单位!$B$102&amp;""</f>
      </c>
      <c r="B101">
        <f>往来单位!$C$102&amp;""</f>
      </c>
      <c r="C101">
        <f t="shared" si="0"/>
        <v>0</v>
      </c>
      <c r="D101">
        <f t="shared" si="1"/>
        <v>0</v>
      </c>
      <c r="E101">
        <f>IF(OR($A101="",NOT(OR($B101="管理人员",$B101="工人"))),0,ROUND(N(往来单位!$M$102)+J101-K101-L101+M101,2))</f>
        <v>0</v>
      </c>
      <c r="F101">
        <f>IF(OR($A101="",NOT(OR($B101="管理人员",$B101="工人"))),0,ROUND(N(往来单位!$M$102)+SUMIFS(考勤工资!$W$5:$W$1004,考勤工资!$C$5:$C$1004,$A101,考勤工资!$Y$5:$Y$1004,"&gt;="&amp;_辅助!$J$4,考勤工资!$Y$5:$Y$1004,"&lt;="&amp;_辅助!$J$5)-(-SUMIFS(资金流水!$R$6:$R$2005,资金流水!$J$6:$J$2005,$A101,资金流水!$X$6:$X$2005,"应付职工薪酬",资金流水!$R$6:$R$2005,"&lt;0",资金流水!$S$6:$S$2005,"&gt;="&amp;_辅助!$J$4,资金流水!$S$6:$S$2005,"&lt;="&amp;_辅助!$J$5))-SUMIFS(代发抵账!$F$5:$F$304,代发抵账!$E$5:$E$304,$A101,代发抵账!$D$5:$D$304,"总包代发工资",代发抵账!$H$5:$H$304,"&gt;="&amp;_辅助!$J$4,代发抵账!$H$5:$H$304,"&lt;="&amp;_辅助!$J$5)+SUMIFS(资金流水!$R$6:$R$2005,资金流水!$J$6:$J$2005,$A101,资金流水!$X$6:$X$2005,"应付职工薪酬",资金流水!$R$6:$R$2005,"&gt;0",资金流水!$S$6:$S$2005,"&gt;="&amp;_辅助!$J$4,资金流水!$S$6:$S$2005,"&lt;="&amp;_辅助!$J$5),2))</f>
        <v>0</v>
      </c>
      <c r="G101">
        <f t="shared" si="2"/>
        <v>0</v>
      </c>
      <c r="H101">
        <f t="shared" si="3"/>
        <v>0</v>
      </c>
      <c r="I101">
        <f t="shared" si="4"/>
        <v>0</v>
      </c>
      <c r="J101">
        <f t="shared" si="5"/>
        <v>0</v>
      </c>
      <c r="K101">
        <f t="shared" si="6"/>
        <v>0</v>
      </c>
      <c r="L101">
        <f t="shared" si="7"/>
        <v>0</v>
      </c>
      <c r="M101">
        <f t="shared" si="8"/>
        <v>0</v>
      </c>
    </row>
    <row r="102">
      <c r="A102">
        <f>往来单位!$B$103&amp;""</f>
      </c>
      <c r="B102">
        <f>往来单位!$C$103&amp;""</f>
      </c>
      <c r="C102">
        <f t="shared" si="0"/>
        <v>0</v>
      </c>
      <c r="D102">
        <f t="shared" si="1"/>
        <v>0</v>
      </c>
      <c r="E102">
        <f>IF(OR($A102="",NOT(OR($B102="管理人员",$B102="工人"))),0,ROUND(N(往来单位!$M$103)+J102-K102-L102+M102,2))</f>
        <v>0</v>
      </c>
      <c r="F102">
        <f>IF(OR($A102="",NOT(OR($B102="管理人员",$B102="工人"))),0,ROUND(N(往来单位!$M$103)+SUMIFS(考勤工资!$W$5:$W$1004,考勤工资!$C$5:$C$1004,$A102,考勤工资!$Y$5:$Y$1004,"&gt;="&amp;_辅助!$J$4,考勤工资!$Y$5:$Y$1004,"&lt;="&amp;_辅助!$J$5)-(-SUMIFS(资金流水!$R$6:$R$2005,资金流水!$J$6:$J$2005,$A102,资金流水!$X$6:$X$2005,"应付职工薪酬",资金流水!$R$6:$R$2005,"&lt;0",资金流水!$S$6:$S$2005,"&gt;="&amp;_辅助!$J$4,资金流水!$S$6:$S$2005,"&lt;="&amp;_辅助!$J$5))-SUMIFS(代发抵账!$F$5:$F$304,代发抵账!$E$5:$E$304,$A102,代发抵账!$D$5:$D$304,"总包代发工资",代发抵账!$H$5:$H$304,"&gt;="&amp;_辅助!$J$4,代发抵账!$H$5:$H$304,"&lt;="&amp;_辅助!$J$5)+SUMIFS(资金流水!$R$6:$R$2005,资金流水!$J$6:$J$2005,$A102,资金流水!$X$6:$X$2005,"应付职工薪酬",资金流水!$R$6:$R$2005,"&gt;0",资金流水!$S$6:$S$2005,"&gt;="&amp;_辅助!$J$4,资金流水!$S$6:$S$2005,"&lt;="&amp;_辅助!$J$5),2))</f>
        <v>0</v>
      </c>
      <c r="G102">
        <f t="shared" si="2"/>
        <v>0</v>
      </c>
      <c r="H102">
        <f t="shared" si="3"/>
        <v>0</v>
      </c>
      <c r="I102">
        <f t="shared" si="4"/>
        <v>0</v>
      </c>
      <c r="J102">
        <f t="shared" si="5"/>
        <v>0</v>
      </c>
      <c r="K102">
        <f t="shared" si="6"/>
        <v>0</v>
      </c>
      <c r="L102">
        <f t="shared" si="7"/>
        <v>0</v>
      </c>
      <c r="M102">
        <f t="shared" si="8"/>
        <v>0</v>
      </c>
    </row>
    <row r="103">
      <c r="A103">
        <f>往来单位!$B$104&amp;""</f>
      </c>
      <c r="B103">
        <f>往来单位!$C$104&amp;""</f>
      </c>
      <c r="C103">
        <f t="shared" si="0"/>
        <v>0</v>
      </c>
      <c r="D103">
        <f t="shared" si="1"/>
        <v>0</v>
      </c>
      <c r="E103">
        <f>IF(OR($A103="",NOT(OR($B103="管理人员",$B103="工人"))),0,ROUND(N(往来单位!$M$104)+J103-K103-L103+M103,2))</f>
        <v>0</v>
      </c>
      <c r="F103">
        <f>IF(OR($A103="",NOT(OR($B103="管理人员",$B103="工人"))),0,ROUND(N(往来单位!$M$104)+SUMIFS(考勤工资!$W$5:$W$1004,考勤工资!$C$5:$C$1004,$A103,考勤工资!$Y$5:$Y$1004,"&gt;="&amp;_辅助!$J$4,考勤工资!$Y$5:$Y$1004,"&lt;="&amp;_辅助!$J$5)-(-SUMIFS(资金流水!$R$6:$R$2005,资金流水!$J$6:$J$2005,$A103,资金流水!$X$6:$X$2005,"应付职工薪酬",资金流水!$R$6:$R$2005,"&lt;0",资金流水!$S$6:$S$2005,"&gt;="&amp;_辅助!$J$4,资金流水!$S$6:$S$2005,"&lt;="&amp;_辅助!$J$5))-SUMIFS(代发抵账!$F$5:$F$304,代发抵账!$E$5:$E$304,$A103,代发抵账!$D$5:$D$304,"总包代发工资",代发抵账!$H$5:$H$304,"&gt;="&amp;_辅助!$J$4,代发抵账!$H$5:$H$304,"&lt;="&amp;_辅助!$J$5)+SUMIFS(资金流水!$R$6:$R$2005,资金流水!$J$6:$J$2005,$A103,资金流水!$X$6:$X$2005,"应付职工薪酬",资金流水!$R$6:$R$2005,"&gt;0",资金流水!$S$6:$S$2005,"&gt;="&amp;_辅助!$J$4,资金流水!$S$6:$S$2005,"&lt;="&amp;_辅助!$J$5),2))</f>
        <v>0</v>
      </c>
      <c r="G103">
        <f t="shared" si="2"/>
        <v>0</v>
      </c>
      <c r="H103">
        <f t="shared" si="3"/>
        <v>0</v>
      </c>
      <c r="I103">
        <f t="shared" si="4"/>
        <v>0</v>
      </c>
      <c r="J103">
        <f t="shared" si="5"/>
        <v>0</v>
      </c>
      <c r="K103">
        <f t="shared" si="6"/>
        <v>0</v>
      </c>
      <c r="L103">
        <f t="shared" si="7"/>
        <v>0</v>
      </c>
      <c r="M103">
        <f t="shared" si="8"/>
        <v>0</v>
      </c>
    </row>
    <row r="104">
      <c r="A104">
        <f>往来单位!$B$105&amp;""</f>
      </c>
      <c r="B104">
        <f>往来单位!$C$105&amp;""</f>
      </c>
      <c r="C104">
        <f t="shared" si="0"/>
        <v>0</v>
      </c>
      <c r="D104">
        <f t="shared" si="1"/>
        <v>0</v>
      </c>
      <c r="E104">
        <f>IF(OR($A104="",NOT(OR($B104="管理人员",$B104="工人"))),0,ROUND(N(往来单位!$M$105)+J104-K104-L104+M104,2))</f>
        <v>0</v>
      </c>
      <c r="F104">
        <f>IF(OR($A104="",NOT(OR($B104="管理人员",$B104="工人"))),0,ROUND(N(往来单位!$M$105)+SUMIFS(考勤工资!$W$5:$W$1004,考勤工资!$C$5:$C$1004,$A104,考勤工资!$Y$5:$Y$1004,"&gt;="&amp;_辅助!$J$4,考勤工资!$Y$5:$Y$1004,"&lt;="&amp;_辅助!$J$5)-(-SUMIFS(资金流水!$R$6:$R$2005,资金流水!$J$6:$J$2005,$A104,资金流水!$X$6:$X$2005,"应付职工薪酬",资金流水!$R$6:$R$2005,"&lt;0",资金流水!$S$6:$S$2005,"&gt;="&amp;_辅助!$J$4,资金流水!$S$6:$S$2005,"&lt;="&amp;_辅助!$J$5))-SUMIFS(代发抵账!$F$5:$F$304,代发抵账!$E$5:$E$304,$A104,代发抵账!$D$5:$D$304,"总包代发工资",代发抵账!$H$5:$H$304,"&gt;="&amp;_辅助!$J$4,代发抵账!$H$5:$H$304,"&lt;="&amp;_辅助!$J$5)+SUMIFS(资金流水!$R$6:$R$2005,资金流水!$J$6:$J$2005,$A104,资金流水!$X$6:$X$2005,"应付职工薪酬",资金流水!$R$6:$R$2005,"&gt;0",资金流水!$S$6:$S$2005,"&gt;="&amp;_辅助!$J$4,资金流水!$S$6:$S$2005,"&lt;="&amp;_辅助!$J$5),2))</f>
        <v>0</v>
      </c>
      <c r="G104">
        <f t="shared" si="2"/>
        <v>0</v>
      </c>
      <c r="H104">
        <f t="shared" si="3"/>
        <v>0</v>
      </c>
      <c r="I104">
        <f t="shared" si="4"/>
        <v>0</v>
      </c>
      <c r="J104">
        <f t="shared" si="5"/>
        <v>0</v>
      </c>
      <c r="K104">
        <f t="shared" si="6"/>
        <v>0</v>
      </c>
      <c r="L104">
        <f t="shared" si="7"/>
        <v>0</v>
      </c>
      <c r="M104">
        <f t="shared" si="8"/>
        <v>0</v>
      </c>
    </row>
    <row r="105">
      <c r="A105">
        <f>往来单位!$B$106&amp;""</f>
      </c>
      <c r="B105">
        <f>往来单位!$C$106&amp;""</f>
      </c>
      <c r="C105">
        <f t="shared" si="0"/>
        <v>0</v>
      </c>
      <c r="D105">
        <f t="shared" si="1"/>
        <v>0</v>
      </c>
      <c r="E105">
        <f>IF(OR($A105="",NOT(OR($B105="管理人员",$B105="工人"))),0,ROUND(N(往来单位!$M$106)+J105-K105-L105+M105,2))</f>
        <v>0</v>
      </c>
      <c r="F105">
        <f>IF(OR($A105="",NOT(OR($B105="管理人员",$B105="工人"))),0,ROUND(N(往来单位!$M$106)+SUMIFS(考勤工资!$W$5:$W$1004,考勤工资!$C$5:$C$1004,$A105,考勤工资!$Y$5:$Y$1004,"&gt;="&amp;_辅助!$J$4,考勤工资!$Y$5:$Y$1004,"&lt;="&amp;_辅助!$J$5)-(-SUMIFS(资金流水!$R$6:$R$2005,资金流水!$J$6:$J$2005,$A105,资金流水!$X$6:$X$2005,"应付职工薪酬",资金流水!$R$6:$R$2005,"&lt;0",资金流水!$S$6:$S$2005,"&gt;="&amp;_辅助!$J$4,资金流水!$S$6:$S$2005,"&lt;="&amp;_辅助!$J$5))-SUMIFS(代发抵账!$F$5:$F$304,代发抵账!$E$5:$E$304,$A105,代发抵账!$D$5:$D$304,"总包代发工资",代发抵账!$H$5:$H$304,"&gt;="&amp;_辅助!$J$4,代发抵账!$H$5:$H$304,"&lt;="&amp;_辅助!$J$5)+SUMIFS(资金流水!$R$6:$R$2005,资金流水!$J$6:$J$2005,$A105,资金流水!$X$6:$X$2005,"应付职工薪酬",资金流水!$R$6:$R$2005,"&gt;0",资金流水!$S$6:$S$2005,"&gt;="&amp;_辅助!$J$4,资金流水!$S$6:$S$2005,"&lt;="&amp;_辅助!$J$5),2))</f>
        <v>0</v>
      </c>
      <c r="G105">
        <f t="shared" si="2"/>
        <v>0</v>
      </c>
      <c r="H105">
        <f t="shared" si="3"/>
        <v>0</v>
      </c>
      <c r="I105">
        <f t="shared" si="4"/>
        <v>0</v>
      </c>
      <c r="J105">
        <f t="shared" si="5"/>
        <v>0</v>
      </c>
      <c r="K105">
        <f t="shared" si="6"/>
        <v>0</v>
      </c>
      <c r="L105">
        <f t="shared" si="7"/>
        <v>0</v>
      </c>
      <c r="M105">
        <f t="shared" si="8"/>
        <v>0</v>
      </c>
    </row>
    <row r="106">
      <c r="A106">
        <f>往来单位!$B$107&amp;""</f>
      </c>
      <c r="B106">
        <f>往来单位!$C$107&amp;""</f>
      </c>
      <c r="C106">
        <f t="shared" si="0"/>
        <v>0</v>
      </c>
      <c r="D106">
        <f t="shared" si="1"/>
        <v>0</v>
      </c>
      <c r="E106">
        <f>IF(OR($A106="",NOT(OR($B106="管理人员",$B106="工人"))),0,ROUND(N(往来单位!$M$107)+J106-K106-L106+M106,2))</f>
        <v>0</v>
      </c>
      <c r="F106">
        <f>IF(OR($A106="",NOT(OR($B106="管理人员",$B106="工人"))),0,ROUND(N(往来单位!$M$107)+SUMIFS(考勤工资!$W$5:$W$1004,考勤工资!$C$5:$C$1004,$A106,考勤工资!$Y$5:$Y$1004,"&gt;="&amp;_辅助!$J$4,考勤工资!$Y$5:$Y$1004,"&lt;="&amp;_辅助!$J$5)-(-SUMIFS(资金流水!$R$6:$R$2005,资金流水!$J$6:$J$2005,$A106,资金流水!$X$6:$X$2005,"应付职工薪酬",资金流水!$R$6:$R$2005,"&lt;0",资金流水!$S$6:$S$2005,"&gt;="&amp;_辅助!$J$4,资金流水!$S$6:$S$2005,"&lt;="&amp;_辅助!$J$5))-SUMIFS(代发抵账!$F$5:$F$304,代发抵账!$E$5:$E$304,$A106,代发抵账!$D$5:$D$304,"总包代发工资",代发抵账!$H$5:$H$304,"&gt;="&amp;_辅助!$J$4,代发抵账!$H$5:$H$304,"&lt;="&amp;_辅助!$J$5)+SUMIFS(资金流水!$R$6:$R$2005,资金流水!$J$6:$J$2005,$A106,资金流水!$X$6:$X$2005,"应付职工薪酬",资金流水!$R$6:$R$2005,"&gt;0",资金流水!$S$6:$S$2005,"&gt;="&amp;_辅助!$J$4,资金流水!$S$6:$S$2005,"&lt;="&amp;_辅助!$J$5),2))</f>
        <v>0</v>
      </c>
      <c r="G106">
        <f t="shared" si="2"/>
        <v>0</v>
      </c>
      <c r="H106">
        <f t="shared" si="3"/>
        <v>0</v>
      </c>
      <c r="I106">
        <f t="shared" si="4"/>
        <v>0</v>
      </c>
      <c r="J106">
        <f t="shared" si="5"/>
        <v>0</v>
      </c>
      <c r="K106">
        <f t="shared" si="6"/>
        <v>0</v>
      </c>
      <c r="L106">
        <f t="shared" si="7"/>
        <v>0</v>
      </c>
      <c r="M106">
        <f t="shared" si="8"/>
        <v>0</v>
      </c>
    </row>
    <row r="107">
      <c r="A107">
        <f>往来单位!$B$108&amp;""</f>
      </c>
      <c r="B107">
        <f>往来单位!$C$108&amp;""</f>
      </c>
      <c r="C107">
        <f t="shared" si="0"/>
        <v>0</v>
      </c>
      <c r="D107">
        <f t="shared" si="1"/>
        <v>0</v>
      </c>
      <c r="E107">
        <f>IF(OR($A107="",NOT(OR($B107="管理人员",$B107="工人"))),0,ROUND(N(往来单位!$M$108)+J107-K107-L107+M107,2))</f>
        <v>0</v>
      </c>
      <c r="F107">
        <f>IF(OR($A107="",NOT(OR($B107="管理人员",$B107="工人"))),0,ROUND(N(往来单位!$M$108)+SUMIFS(考勤工资!$W$5:$W$1004,考勤工资!$C$5:$C$1004,$A107,考勤工资!$Y$5:$Y$1004,"&gt;="&amp;_辅助!$J$4,考勤工资!$Y$5:$Y$1004,"&lt;="&amp;_辅助!$J$5)-(-SUMIFS(资金流水!$R$6:$R$2005,资金流水!$J$6:$J$2005,$A107,资金流水!$X$6:$X$2005,"应付职工薪酬",资金流水!$R$6:$R$2005,"&lt;0",资金流水!$S$6:$S$2005,"&gt;="&amp;_辅助!$J$4,资金流水!$S$6:$S$2005,"&lt;="&amp;_辅助!$J$5))-SUMIFS(代发抵账!$F$5:$F$304,代发抵账!$E$5:$E$304,$A107,代发抵账!$D$5:$D$304,"总包代发工资",代发抵账!$H$5:$H$304,"&gt;="&amp;_辅助!$J$4,代发抵账!$H$5:$H$304,"&lt;="&amp;_辅助!$J$5)+SUMIFS(资金流水!$R$6:$R$2005,资金流水!$J$6:$J$2005,$A107,资金流水!$X$6:$X$2005,"应付职工薪酬",资金流水!$R$6:$R$2005,"&gt;0",资金流水!$S$6:$S$2005,"&gt;="&amp;_辅助!$J$4,资金流水!$S$6:$S$2005,"&lt;="&amp;_辅助!$J$5),2))</f>
        <v>0</v>
      </c>
      <c r="G107">
        <f t="shared" si="2"/>
        <v>0</v>
      </c>
      <c r="H107">
        <f t="shared" si="3"/>
        <v>0</v>
      </c>
      <c r="I107">
        <f t="shared" si="4"/>
        <v>0</v>
      </c>
      <c r="J107">
        <f t="shared" si="5"/>
        <v>0</v>
      </c>
      <c r="K107">
        <f t="shared" si="6"/>
        <v>0</v>
      </c>
      <c r="L107">
        <f t="shared" si="7"/>
        <v>0</v>
      </c>
      <c r="M107">
        <f t="shared" si="8"/>
        <v>0</v>
      </c>
    </row>
    <row r="108">
      <c r="A108">
        <f>往来单位!$B$109&amp;""</f>
      </c>
      <c r="B108">
        <f>往来单位!$C$109&amp;""</f>
      </c>
      <c r="C108">
        <f t="shared" si="0"/>
        <v>0</v>
      </c>
      <c r="D108">
        <f t="shared" si="1"/>
        <v>0</v>
      </c>
      <c r="E108">
        <f>IF(OR($A108="",NOT(OR($B108="管理人员",$B108="工人"))),0,ROUND(N(往来单位!$M$109)+J108-K108-L108+M108,2))</f>
        <v>0</v>
      </c>
      <c r="F108">
        <f>IF(OR($A108="",NOT(OR($B108="管理人员",$B108="工人"))),0,ROUND(N(往来单位!$M$109)+SUMIFS(考勤工资!$W$5:$W$1004,考勤工资!$C$5:$C$1004,$A108,考勤工资!$Y$5:$Y$1004,"&gt;="&amp;_辅助!$J$4,考勤工资!$Y$5:$Y$1004,"&lt;="&amp;_辅助!$J$5)-(-SUMIFS(资金流水!$R$6:$R$2005,资金流水!$J$6:$J$2005,$A108,资金流水!$X$6:$X$2005,"应付职工薪酬",资金流水!$R$6:$R$2005,"&lt;0",资金流水!$S$6:$S$2005,"&gt;="&amp;_辅助!$J$4,资金流水!$S$6:$S$2005,"&lt;="&amp;_辅助!$J$5))-SUMIFS(代发抵账!$F$5:$F$304,代发抵账!$E$5:$E$304,$A108,代发抵账!$D$5:$D$304,"总包代发工资",代发抵账!$H$5:$H$304,"&gt;="&amp;_辅助!$J$4,代发抵账!$H$5:$H$304,"&lt;="&amp;_辅助!$J$5)+SUMIFS(资金流水!$R$6:$R$2005,资金流水!$J$6:$J$2005,$A108,资金流水!$X$6:$X$2005,"应付职工薪酬",资金流水!$R$6:$R$2005,"&gt;0",资金流水!$S$6:$S$2005,"&gt;="&amp;_辅助!$J$4,资金流水!$S$6:$S$2005,"&lt;="&amp;_辅助!$J$5),2))</f>
        <v>0</v>
      </c>
      <c r="G108">
        <f t="shared" si="2"/>
        <v>0</v>
      </c>
      <c r="H108">
        <f t="shared" si="3"/>
        <v>0</v>
      </c>
      <c r="I108">
        <f t="shared" si="4"/>
        <v>0</v>
      </c>
      <c r="J108">
        <f t="shared" si="5"/>
        <v>0</v>
      </c>
      <c r="K108">
        <f t="shared" si="6"/>
        <v>0</v>
      </c>
      <c r="L108">
        <f t="shared" si="7"/>
        <v>0</v>
      </c>
      <c r="M108">
        <f t="shared" si="8"/>
        <v>0</v>
      </c>
    </row>
    <row r="109">
      <c r="A109">
        <f>往来单位!$B$110&amp;""</f>
      </c>
      <c r="B109">
        <f>往来单位!$C$110&amp;""</f>
      </c>
      <c r="C109">
        <f t="shared" si="0"/>
        <v>0</v>
      </c>
      <c r="D109">
        <f t="shared" si="1"/>
        <v>0</v>
      </c>
      <c r="E109">
        <f>IF(OR($A109="",NOT(OR($B109="管理人员",$B109="工人"))),0,ROUND(N(往来单位!$M$110)+J109-K109-L109+M109,2))</f>
        <v>0</v>
      </c>
      <c r="F109">
        <f>IF(OR($A109="",NOT(OR($B109="管理人员",$B109="工人"))),0,ROUND(N(往来单位!$M$110)+SUMIFS(考勤工资!$W$5:$W$1004,考勤工资!$C$5:$C$1004,$A109,考勤工资!$Y$5:$Y$1004,"&gt;="&amp;_辅助!$J$4,考勤工资!$Y$5:$Y$1004,"&lt;="&amp;_辅助!$J$5)-(-SUMIFS(资金流水!$R$6:$R$2005,资金流水!$J$6:$J$2005,$A109,资金流水!$X$6:$X$2005,"应付职工薪酬",资金流水!$R$6:$R$2005,"&lt;0",资金流水!$S$6:$S$2005,"&gt;="&amp;_辅助!$J$4,资金流水!$S$6:$S$2005,"&lt;="&amp;_辅助!$J$5))-SUMIFS(代发抵账!$F$5:$F$304,代发抵账!$E$5:$E$304,$A109,代发抵账!$D$5:$D$304,"总包代发工资",代发抵账!$H$5:$H$304,"&gt;="&amp;_辅助!$J$4,代发抵账!$H$5:$H$304,"&lt;="&amp;_辅助!$J$5)+SUMIFS(资金流水!$R$6:$R$2005,资金流水!$J$6:$J$2005,$A109,资金流水!$X$6:$X$2005,"应付职工薪酬",资金流水!$R$6:$R$2005,"&gt;0",资金流水!$S$6:$S$2005,"&gt;="&amp;_辅助!$J$4,资金流水!$S$6:$S$2005,"&lt;="&amp;_辅助!$J$5),2))</f>
        <v>0</v>
      </c>
      <c r="G109">
        <f t="shared" si="2"/>
        <v>0</v>
      </c>
      <c r="H109">
        <f t="shared" si="3"/>
        <v>0</v>
      </c>
      <c r="I109">
        <f t="shared" si="4"/>
        <v>0</v>
      </c>
      <c r="J109">
        <f t="shared" si="5"/>
        <v>0</v>
      </c>
      <c r="K109">
        <f t="shared" si="6"/>
        <v>0</v>
      </c>
      <c r="L109">
        <f t="shared" si="7"/>
        <v>0</v>
      </c>
      <c r="M109">
        <f t="shared" si="8"/>
        <v>0</v>
      </c>
    </row>
    <row r="110">
      <c r="A110">
        <f>往来单位!$B$111&amp;""</f>
      </c>
      <c r="B110">
        <f>往来单位!$C$111&amp;""</f>
      </c>
      <c r="C110">
        <f t="shared" si="0"/>
        <v>0</v>
      </c>
      <c r="D110">
        <f t="shared" si="1"/>
        <v>0</v>
      </c>
      <c r="E110">
        <f>IF(OR($A110="",NOT(OR($B110="管理人员",$B110="工人"))),0,ROUND(N(往来单位!$M$111)+J110-K110-L110+M110,2))</f>
        <v>0</v>
      </c>
      <c r="F110">
        <f>IF(OR($A110="",NOT(OR($B110="管理人员",$B110="工人"))),0,ROUND(N(往来单位!$M$111)+SUMIFS(考勤工资!$W$5:$W$1004,考勤工资!$C$5:$C$1004,$A110,考勤工资!$Y$5:$Y$1004,"&gt;="&amp;_辅助!$J$4,考勤工资!$Y$5:$Y$1004,"&lt;="&amp;_辅助!$J$5)-(-SUMIFS(资金流水!$R$6:$R$2005,资金流水!$J$6:$J$2005,$A110,资金流水!$X$6:$X$2005,"应付职工薪酬",资金流水!$R$6:$R$2005,"&lt;0",资金流水!$S$6:$S$2005,"&gt;="&amp;_辅助!$J$4,资金流水!$S$6:$S$2005,"&lt;="&amp;_辅助!$J$5))-SUMIFS(代发抵账!$F$5:$F$304,代发抵账!$E$5:$E$304,$A110,代发抵账!$D$5:$D$304,"总包代发工资",代发抵账!$H$5:$H$304,"&gt;="&amp;_辅助!$J$4,代发抵账!$H$5:$H$304,"&lt;="&amp;_辅助!$J$5)+SUMIFS(资金流水!$R$6:$R$2005,资金流水!$J$6:$J$2005,$A110,资金流水!$X$6:$X$2005,"应付职工薪酬",资金流水!$R$6:$R$2005,"&gt;0",资金流水!$S$6:$S$2005,"&gt;="&amp;_辅助!$J$4,资金流水!$S$6:$S$2005,"&lt;="&amp;_辅助!$J$5),2))</f>
        <v>0</v>
      </c>
      <c r="G110">
        <f t="shared" si="2"/>
        <v>0</v>
      </c>
      <c r="H110">
        <f t="shared" si="3"/>
        <v>0</v>
      </c>
      <c r="I110">
        <f t="shared" si="4"/>
        <v>0</v>
      </c>
      <c r="J110">
        <f t="shared" si="5"/>
        <v>0</v>
      </c>
      <c r="K110">
        <f t="shared" si="6"/>
        <v>0</v>
      </c>
      <c r="L110">
        <f t="shared" si="7"/>
        <v>0</v>
      </c>
      <c r="M110">
        <f t="shared" si="8"/>
        <v>0</v>
      </c>
    </row>
    <row r="111">
      <c r="A111">
        <f>往来单位!$B$112&amp;""</f>
      </c>
      <c r="B111">
        <f>往来单位!$C$112&amp;""</f>
      </c>
      <c r="C111">
        <f t="shared" si="0"/>
        <v>0</v>
      </c>
      <c r="D111">
        <f t="shared" si="1"/>
        <v>0</v>
      </c>
      <c r="E111">
        <f>IF(OR($A111="",NOT(OR($B111="管理人员",$B111="工人"))),0,ROUND(N(往来单位!$M$112)+J111-K111-L111+M111,2))</f>
        <v>0</v>
      </c>
      <c r="F111">
        <f>IF(OR($A111="",NOT(OR($B111="管理人员",$B111="工人"))),0,ROUND(N(往来单位!$M$112)+SUMIFS(考勤工资!$W$5:$W$1004,考勤工资!$C$5:$C$1004,$A111,考勤工资!$Y$5:$Y$1004,"&gt;="&amp;_辅助!$J$4,考勤工资!$Y$5:$Y$1004,"&lt;="&amp;_辅助!$J$5)-(-SUMIFS(资金流水!$R$6:$R$2005,资金流水!$J$6:$J$2005,$A111,资金流水!$X$6:$X$2005,"应付职工薪酬",资金流水!$R$6:$R$2005,"&lt;0",资金流水!$S$6:$S$2005,"&gt;="&amp;_辅助!$J$4,资金流水!$S$6:$S$2005,"&lt;="&amp;_辅助!$J$5))-SUMIFS(代发抵账!$F$5:$F$304,代发抵账!$E$5:$E$304,$A111,代发抵账!$D$5:$D$304,"总包代发工资",代发抵账!$H$5:$H$304,"&gt;="&amp;_辅助!$J$4,代发抵账!$H$5:$H$304,"&lt;="&amp;_辅助!$J$5)+SUMIFS(资金流水!$R$6:$R$2005,资金流水!$J$6:$J$2005,$A111,资金流水!$X$6:$X$2005,"应付职工薪酬",资金流水!$R$6:$R$2005,"&gt;0",资金流水!$S$6:$S$2005,"&gt;="&amp;_辅助!$J$4,资金流水!$S$6:$S$2005,"&lt;="&amp;_辅助!$J$5),2))</f>
        <v>0</v>
      </c>
      <c r="G111">
        <f t="shared" si="2"/>
        <v>0</v>
      </c>
      <c r="H111">
        <f t="shared" si="3"/>
        <v>0</v>
      </c>
      <c r="I111">
        <f t="shared" si="4"/>
        <v>0</v>
      </c>
      <c r="J111">
        <f t="shared" si="5"/>
        <v>0</v>
      </c>
      <c r="K111">
        <f t="shared" si="6"/>
        <v>0</v>
      </c>
      <c r="L111">
        <f t="shared" si="7"/>
        <v>0</v>
      </c>
      <c r="M111">
        <f t="shared" si="8"/>
        <v>0</v>
      </c>
    </row>
    <row r="112">
      <c r="A112">
        <f>往来单位!$B$113&amp;""</f>
      </c>
      <c r="B112">
        <f>往来单位!$C$113&amp;""</f>
      </c>
      <c r="C112">
        <f t="shared" si="0"/>
        <v>0</v>
      </c>
      <c r="D112">
        <f t="shared" si="1"/>
        <v>0</v>
      </c>
      <c r="E112">
        <f>IF(OR($A112="",NOT(OR($B112="管理人员",$B112="工人"))),0,ROUND(N(往来单位!$M$113)+J112-K112-L112+M112,2))</f>
        <v>0</v>
      </c>
      <c r="F112">
        <f>IF(OR($A112="",NOT(OR($B112="管理人员",$B112="工人"))),0,ROUND(N(往来单位!$M$113)+SUMIFS(考勤工资!$W$5:$W$1004,考勤工资!$C$5:$C$1004,$A112,考勤工资!$Y$5:$Y$1004,"&gt;="&amp;_辅助!$J$4,考勤工资!$Y$5:$Y$1004,"&lt;="&amp;_辅助!$J$5)-(-SUMIFS(资金流水!$R$6:$R$2005,资金流水!$J$6:$J$2005,$A112,资金流水!$X$6:$X$2005,"应付职工薪酬",资金流水!$R$6:$R$2005,"&lt;0",资金流水!$S$6:$S$2005,"&gt;="&amp;_辅助!$J$4,资金流水!$S$6:$S$2005,"&lt;="&amp;_辅助!$J$5))-SUMIFS(代发抵账!$F$5:$F$304,代发抵账!$E$5:$E$304,$A112,代发抵账!$D$5:$D$304,"总包代发工资",代发抵账!$H$5:$H$304,"&gt;="&amp;_辅助!$J$4,代发抵账!$H$5:$H$304,"&lt;="&amp;_辅助!$J$5)+SUMIFS(资金流水!$R$6:$R$2005,资金流水!$J$6:$J$2005,$A112,资金流水!$X$6:$X$2005,"应付职工薪酬",资金流水!$R$6:$R$2005,"&gt;0",资金流水!$S$6:$S$2005,"&gt;="&amp;_辅助!$J$4,资金流水!$S$6:$S$2005,"&lt;="&amp;_辅助!$J$5),2))</f>
        <v>0</v>
      </c>
      <c r="G112">
        <f t="shared" si="2"/>
        <v>0</v>
      </c>
      <c r="H112">
        <f t="shared" si="3"/>
        <v>0</v>
      </c>
      <c r="I112">
        <f t="shared" si="4"/>
        <v>0</v>
      </c>
      <c r="J112">
        <f t="shared" si="5"/>
        <v>0</v>
      </c>
      <c r="K112">
        <f t="shared" si="6"/>
        <v>0</v>
      </c>
      <c r="L112">
        <f t="shared" si="7"/>
        <v>0</v>
      </c>
      <c r="M112">
        <f t="shared" si="8"/>
        <v>0</v>
      </c>
    </row>
    <row r="113">
      <c r="A113">
        <f>往来单位!$B$114&amp;""</f>
      </c>
      <c r="B113">
        <f>往来单位!$C$114&amp;""</f>
      </c>
      <c r="C113">
        <f t="shared" si="0"/>
        <v>0</v>
      </c>
      <c r="D113">
        <f t="shared" si="1"/>
        <v>0</v>
      </c>
      <c r="E113">
        <f>IF(OR($A113="",NOT(OR($B113="管理人员",$B113="工人"))),0,ROUND(N(往来单位!$M$114)+J113-K113-L113+M113,2))</f>
        <v>0</v>
      </c>
      <c r="F113">
        <f>IF(OR($A113="",NOT(OR($B113="管理人员",$B113="工人"))),0,ROUND(N(往来单位!$M$114)+SUMIFS(考勤工资!$W$5:$W$1004,考勤工资!$C$5:$C$1004,$A113,考勤工资!$Y$5:$Y$1004,"&gt;="&amp;_辅助!$J$4,考勤工资!$Y$5:$Y$1004,"&lt;="&amp;_辅助!$J$5)-(-SUMIFS(资金流水!$R$6:$R$2005,资金流水!$J$6:$J$2005,$A113,资金流水!$X$6:$X$2005,"应付职工薪酬",资金流水!$R$6:$R$2005,"&lt;0",资金流水!$S$6:$S$2005,"&gt;="&amp;_辅助!$J$4,资金流水!$S$6:$S$2005,"&lt;="&amp;_辅助!$J$5))-SUMIFS(代发抵账!$F$5:$F$304,代发抵账!$E$5:$E$304,$A113,代发抵账!$D$5:$D$304,"总包代发工资",代发抵账!$H$5:$H$304,"&gt;="&amp;_辅助!$J$4,代发抵账!$H$5:$H$304,"&lt;="&amp;_辅助!$J$5)+SUMIFS(资金流水!$R$6:$R$2005,资金流水!$J$6:$J$2005,$A113,资金流水!$X$6:$X$2005,"应付职工薪酬",资金流水!$R$6:$R$2005,"&gt;0",资金流水!$S$6:$S$2005,"&gt;="&amp;_辅助!$J$4,资金流水!$S$6:$S$2005,"&lt;="&amp;_辅助!$J$5),2))</f>
        <v>0</v>
      </c>
      <c r="G113">
        <f t="shared" si="2"/>
        <v>0</v>
      </c>
      <c r="H113">
        <f t="shared" si="3"/>
        <v>0</v>
      </c>
      <c r="I113">
        <f t="shared" si="4"/>
        <v>0</v>
      </c>
      <c r="J113">
        <f t="shared" si="5"/>
        <v>0</v>
      </c>
      <c r="K113">
        <f t="shared" si="6"/>
        <v>0</v>
      </c>
      <c r="L113">
        <f t="shared" si="7"/>
        <v>0</v>
      </c>
      <c r="M113">
        <f t="shared" si="8"/>
        <v>0</v>
      </c>
    </row>
    <row r="114">
      <c r="A114">
        <f>往来单位!$B$115&amp;""</f>
      </c>
      <c r="B114">
        <f>往来单位!$C$115&amp;""</f>
      </c>
      <c r="C114">
        <f t="shared" si="0"/>
        <v>0</v>
      </c>
      <c r="D114">
        <f t="shared" si="1"/>
        <v>0</v>
      </c>
      <c r="E114">
        <f>IF(OR($A114="",NOT(OR($B114="管理人员",$B114="工人"))),0,ROUND(N(往来单位!$M$115)+J114-K114-L114+M114,2))</f>
        <v>0</v>
      </c>
      <c r="F114">
        <f>IF(OR($A114="",NOT(OR($B114="管理人员",$B114="工人"))),0,ROUND(N(往来单位!$M$115)+SUMIFS(考勤工资!$W$5:$W$1004,考勤工资!$C$5:$C$1004,$A114,考勤工资!$Y$5:$Y$1004,"&gt;="&amp;_辅助!$J$4,考勤工资!$Y$5:$Y$1004,"&lt;="&amp;_辅助!$J$5)-(-SUMIFS(资金流水!$R$6:$R$2005,资金流水!$J$6:$J$2005,$A114,资金流水!$X$6:$X$2005,"应付职工薪酬",资金流水!$R$6:$R$2005,"&lt;0",资金流水!$S$6:$S$2005,"&gt;="&amp;_辅助!$J$4,资金流水!$S$6:$S$2005,"&lt;="&amp;_辅助!$J$5))-SUMIFS(代发抵账!$F$5:$F$304,代发抵账!$E$5:$E$304,$A114,代发抵账!$D$5:$D$304,"总包代发工资",代发抵账!$H$5:$H$304,"&gt;="&amp;_辅助!$J$4,代发抵账!$H$5:$H$304,"&lt;="&amp;_辅助!$J$5)+SUMIFS(资金流水!$R$6:$R$2005,资金流水!$J$6:$J$2005,$A114,资金流水!$X$6:$X$2005,"应付职工薪酬",资金流水!$R$6:$R$2005,"&gt;0",资金流水!$S$6:$S$2005,"&gt;="&amp;_辅助!$J$4,资金流水!$S$6:$S$2005,"&lt;="&amp;_辅助!$J$5),2))</f>
        <v>0</v>
      </c>
      <c r="G114">
        <f t="shared" si="2"/>
        <v>0</v>
      </c>
      <c r="H114">
        <f t="shared" si="3"/>
        <v>0</v>
      </c>
      <c r="I114">
        <f t="shared" si="4"/>
        <v>0</v>
      </c>
      <c r="J114">
        <f t="shared" si="5"/>
        <v>0</v>
      </c>
      <c r="K114">
        <f t="shared" si="6"/>
        <v>0</v>
      </c>
      <c r="L114">
        <f t="shared" si="7"/>
        <v>0</v>
      </c>
      <c r="M114">
        <f t="shared" si="8"/>
        <v>0</v>
      </c>
    </row>
    <row r="115">
      <c r="A115">
        <f>往来单位!$B$116&amp;""</f>
      </c>
      <c r="B115">
        <f>往来单位!$C$116&amp;""</f>
      </c>
      <c r="C115">
        <f t="shared" si="0"/>
        <v>0</v>
      </c>
      <c r="D115">
        <f t="shared" si="1"/>
        <v>0</v>
      </c>
      <c r="E115">
        <f>IF(OR($A115="",NOT(OR($B115="管理人员",$B115="工人"))),0,ROUND(N(往来单位!$M$116)+J115-K115-L115+M115,2))</f>
        <v>0</v>
      </c>
      <c r="F115">
        <f>IF(OR($A115="",NOT(OR($B115="管理人员",$B115="工人"))),0,ROUND(N(往来单位!$M$116)+SUMIFS(考勤工资!$W$5:$W$1004,考勤工资!$C$5:$C$1004,$A115,考勤工资!$Y$5:$Y$1004,"&gt;="&amp;_辅助!$J$4,考勤工资!$Y$5:$Y$1004,"&lt;="&amp;_辅助!$J$5)-(-SUMIFS(资金流水!$R$6:$R$2005,资金流水!$J$6:$J$2005,$A115,资金流水!$X$6:$X$2005,"应付职工薪酬",资金流水!$R$6:$R$2005,"&lt;0",资金流水!$S$6:$S$2005,"&gt;="&amp;_辅助!$J$4,资金流水!$S$6:$S$2005,"&lt;="&amp;_辅助!$J$5))-SUMIFS(代发抵账!$F$5:$F$304,代发抵账!$E$5:$E$304,$A115,代发抵账!$D$5:$D$304,"总包代发工资",代发抵账!$H$5:$H$304,"&gt;="&amp;_辅助!$J$4,代发抵账!$H$5:$H$304,"&lt;="&amp;_辅助!$J$5)+SUMIFS(资金流水!$R$6:$R$2005,资金流水!$J$6:$J$2005,$A115,资金流水!$X$6:$X$2005,"应付职工薪酬",资金流水!$R$6:$R$2005,"&gt;0",资金流水!$S$6:$S$2005,"&gt;="&amp;_辅助!$J$4,资金流水!$S$6:$S$2005,"&lt;="&amp;_辅助!$J$5),2))</f>
        <v>0</v>
      </c>
      <c r="G115">
        <f t="shared" si="2"/>
        <v>0</v>
      </c>
      <c r="H115">
        <f t="shared" si="3"/>
        <v>0</v>
      </c>
      <c r="I115">
        <f t="shared" si="4"/>
        <v>0</v>
      </c>
      <c r="J115">
        <f t="shared" si="5"/>
        <v>0</v>
      </c>
      <c r="K115">
        <f t="shared" si="6"/>
        <v>0</v>
      </c>
      <c r="L115">
        <f t="shared" si="7"/>
        <v>0</v>
      </c>
      <c r="M115">
        <f t="shared" si="8"/>
        <v>0</v>
      </c>
    </row>
    <row r="116">
      <c r="A116">
        <f>往来单位!$B$117&amp;""</f>
      </c>
      <c r="B116">
        <f>往来单位!$C$117&amp;""</f>
      </c>
      <c r="C116">
        <f t="shared" si="0"/>
        <v>0</v>
      </c>
      <c r="D116">
        <f t="shared" si="1"/>
        <v>0</v>
      </c>
      <c r="E116">
        <f>IF(OR($A116="",NOT(OR($B116="管理人员",$B116="工人"))),0,ROUND(N(往来单位!$M$117)+J116-K116-L116+M116,2))</f>
        <v>0</v>
      </c>
      <c r="F116">
        <f>IF(OR($A116="",NOT(OR($B116="管理人员",$B116="工人"))),0,ROUND(N(往来单位!$M$117)+SUMIFS(考勤工资!$W$5:$W$1004,考勤工资!$C$5:$C$1004,$A116,考勤工资!$Y$5:$Y$1004,"&gt;="&amp;_辅助!$J$4,考勤工资!$Y$5:$Y$1004,"&lt;="&amp;_辅助!$J$5)-(-SUMIFS(资金流水!$R$6:$R$2005,资金流水!$J$6:$J$2005,$A116,资金流水!$X$6:$X$2005,"应付职工薪酬",资金流水!$R$6:$R$2005,"&lt;0",资金流水!$S$6:$S$2005,"&gt;="&amp;_辅助!$J$4,资金流水!$S$6:$S$2005,"&lt;="&amp;_辅助!$J$5))-SUMIFS(代发抵账!$F$5:$F$304,代发抵账!$E$5:$E$304,$A116,代发抵账!$D$5:$D$304,"总包代发工资",代发抵账!$H$5:$H$304,"&gt;="&amp;_辅助!$J$4,代发抵账!$H$5:$H$304,"&lt;="&amp;_辅助!$J$5)+SUMIFS(资金流水!$R$6:$R$2005,资金流水!$J$6:$J$2005,$A116,资金流水!$X$6:$X$2005,"应付职工薪酬",资金流水!$R$6:$R$2005,"&gt;0",资金流水!$S$6:$S$2005,"&gt;="&amp;_辅助!$J$4,资金流水!$S$6:$S$2005,"&lt;="&amp;_辅助!$J$5),2))</f>
        <v>0</v>
      </c>
      <c r="G116">
        <f t="shared" si="2"/>
        <v>0</v>
      </c>
      <c r="H116">
        <f t="shared" si="3"/>
        <v>0</v>
      </c>
      <c r="I116">
        <f t="shared" si="4"/>
        <v>0</v>
      </c>
      <c r="J116">
        <f t="shared" si="5"/>
        <v>0</v>
      </c>
      <c r="K116">
        <f t="shared" si="6"/>
        <v>0</v>
      </c>
      <c r="L116">
        <f t="shared" si="7"/>
        <v>0</v>
      </c>
      <c r="M116">
        <f t="shared" si="8"/>
        <v>0</v>
      </c>
    </row>
    <row r="117">
      <c r="A117">
        <f>往来单位!$B$118&amp;""</f>
      </c>
      <c r="B117">
        <f>往来单位!$C$118&amp;""</f>
      </c>
      <c r="C117">
        <f t="shared" si="0"/>
        <v>0</v>
      </c>
      <c r="D117">
        <f t="shared" si="1"/>
        <v>0</v>
      </c>
      <c r="E117">
        <f>IF(OR($A117="",NOT(OR($B117="管理人员",$B117="工人"))),0,ROUND(N(往来单位!$M$118)+J117-K117-L117+M117,2))</f>
        <v>0</v>
      </c>
      <c r="F117">
        <f>IF(OR($A117="",NOT(OR($B117="管理人员",$B117="工人"))),0,ROUND(N(往来单位!$M$118)+SUMIFS(考勤工资!$W$5:$W$1004,考勤工资!$C$5:$C$1004,$A117,考勤工资!$Y$5:$Y$1004,"&gt;="&amp;_辅助!$J$4,考勤工资!$Y$5:$Y$1004,"&lt;="&amp;_辅助!$J$5)-(-SUMIFS(资金流水!$R$6:$R$2005,资金流水!$J$6:$J$2005,$A117,资金流水!$X$6:$X$2005,"应付职工薪酬",资金流水!$R$6:$R$2005,"&lt;0",资金流水!$S$6:$S$2005,"&gt;="&amp;_辅助!$J$4,资金流水!$S$6:$S$2005,"&lt;="&amp;_辅助!$J$5))-SUMIFS(代发抵账!$F$5:$F$304,代发抵账!$E$5:$E$304,$A117,代发抵账!$D$5:$D$304,"总包代发工资",代发抵账!$H$5:$H$304,"&gt;="&amp;_辅助!$J$4,代发抵账!$H$5:$H$304,"&lt;="&amp;_辅助!$J$5)+SUMIFS(资金流水!$R$6:$R$2005,资金流水!$J$6:$J$2005,$A117,资金流水!$X$6:$X$2005,"应付职工薪酬",资金流水!$R$6:$R$2005,"&gt;0",资金流水!$S$6:$S$2005,"&gt;="&amp;_辅助!$J$4,资金流水!$S$6:$S$2005,"&lt;="&amp;_辅助!$J$5),2))</f>
        <v>0</v>
      </c>
      <c r="G117">
        <f t="shared" si="2"/>
        <v>0</v>
      </c>
      <c r="H117">
        <f t="shared" si="3"/>
        <v>0</v>
      </c>
      <c r="I117">
        <f t="shared" si="4"/>
        <v>0</v>
      </c>
      <c r="J117">
        <f t="shared" si="5"/>
        <v>0</v>
      </c>
      <c r="K117">
        <f t="shared" si="6"/>
        <v>0</v>
      </c>
      <c r="L117">
        <f t="shared" si="7"/>
        <v>0</v>
      </c>
      <c r="M117">
        <f t="shared" si="8"/>
        <v>0</v>
      </c>
    </row>
    <row r="118">
      <c r="A118">
        <f>往来单位!$B$119&amp;""</f>
      </c>
      <c r="B118">
        <f>往来单位!$C$119&amp;""</f>
      </c>
      <c r="C118">
        <f t="shared" si="0"/>
        <v>0</v>
      </c>
      <c r="D118">
        <f t="shared" si="1"/>
        <v>0</v>
      </c>
      <c r="E118">
        <f>IF(OR($A118="",NOT(OR($B118="管理人员",$B118="工人"))),0,ROUND(N(往来单位!$M$119)+J118-K118-L118+M118,2))</f>
        <v>0</v>
      </c>
      <c r="F118">
        <f>IF(OR($A118="",NOT(OR($B118="管理人员",$B118="工人"))),0,ROUND(N(往来单位!$M$119)+SUMIFS(考勤工资!$W$5:$W$1004,考勤工资!$C$5:$C$1004,$A118,考勤工资!$Y$5:$Y$1004,"&gt;="&amp;_辅助!$J$4,考勤工资!$Y$5:$Y$1004,"&lt;="&amp;_辅助!$J$5)-(-SUMIFS(资金流水!$R$6:$R$2005,资金流水!$J$6:$J$2005,$A118,资金流水!$X$6:$X$2005,"应付职工薪酬",资金流水!$R$6:$R$2005,"&lt;0",资金流水!$S$6:$S$2005,"&gt;="&amp;_辅助!$J$4,资金流水!$S$6:$S$2005,"&lt;="&amp;_辅助!$J$5))-SUMIFS(代发抵账!$F$5:$F$304,代发抵账!$E$5:$E$304,$A118,代发抵账!$D$5:$D$304,"总包代发工资",代发抵账!$H$5:$H$304,"&gt;="&amp;_辅助!$J$4,代发抵账!$H$5:$H$304,"&lt;="&amp;_辅助!$J$5)+SUMIFS(资金流水!$R$6:$R$2005,资金流水!$J$6:$J$2005,$A118,资金流水!$X$6:$X$2005,"应付职工薪酬",资金流水!$R$6:$R$2005,"&gt;0",资金流水!$S$6:$S$2005,"&gt;="&amp;_辅助!$J$4,资金流水!$S$6:$S$2005,"&lt;="&amp;_辅助!$J$5),2))</f>
        <v>0</v>
      </c>
      <c r="G118">
        <f t="shared" si="2"/>
        <v>0</v>
      </c>
      <c r="H118">
        <f t="shared" si="3"/>
        <v>0</v>
      </c>
      <c r="I118">
        <f t="shared" si="4"/>
        <v>0</v>
      </c>
      <c r="J118">
        <f t="shared" si="5"/>
        <v>0</v>
      </c>
      <c r="K118">
        <f t="shared" si="6"/>
        <v>0</v>
      </c>
      <c r="L118">
        <f t="shared" si="7"/>
        <v>0</v>
      </c>
      <c r="M118">
        <f t="shared" si="8"/>
        <v>0</v>
      </c>
    </row>
    <row r="119">
      <c r="A119">
        <f>往来单位!$B$120&amp;""</f>
      </c>
      <c r="B119">
        <f>往来单位!$C$120&amp;""</f>
      </c>
      <c r="C119">
        <f t="shared" si="0"/>
        <v>0</v>
      </c>
      <c r="D119">
        <f t="shared" si="1"/>
        <v>0</v>
      </c>
      <c r="E119">
        <f>IF(OR($A119="",NOT(OR($B119="管理人员",$B119="工人"))),0,ROUND(N(往来单位!$M$120)+J119-K119-L119+M119,2))</f>
        <v>0</v>
      </c>
      <c r="F119">
        <f>IF(OR($A119="",NOT(OR($B119="管理人员",$B119="工人"))),0,ROUND(N(往来单位!$M$120)+SUMIFS(考勤工资!$W$5:$W$1004,考勤工资!$C$5:$C$1004,$A119,考勤工资!$Y$5:$Y$1004,"&gt;="&amp;_辅助!$J$4,考勤工资!$Y$5:$Y$1004,"&lt;="&amp;_辅助!$J$5)-(-SUMIFS(资金流水!$R$6:$R$2005,资金流水!$J$6:$J$2005,$A119,资金流水!$X$6:$X$2005,"应付职工薪酬",资金流水!$R$6:$R$2005,"&lt;0",资金流水!$S$6:$S$2005,"&gt;="&amp;_辅助!$J$4,资金流水!$S$6:$S$2005,"&lt;="&amp;_辅助!$J$5))-SUMIFS(代发抵账!$F$5:$F$304,代发抵账!$E$5:$E$304,$A119,代发抵账!$D$5:$D$304,"总包代发工资",代发抵账!$H$5:$H$304,"&gt;="&amp;_辅助!$J$4,代发抵账!$H$5:$H$304,"&lt;="&amp;_辅助!$J$5)+SUMIFS(资金流水!$R$6:$R$2005,资金流水!$J$6:$J$2005,$A119,资金流水!$X$6:$X$2005,"应付职工薪酬",资金流水!$R$6:$R$2005,"&gt;0",资金流水!$S$6:$S$2005,"&gt;="&amp;_辅助!$J$4,资金流水!$S$6:$S$2005,"&lt;="&amp;_辅助!$J$5),2))</f>
        <v>0</v>
      </c>
      <c r="G119">
        <f t="shared" si="2"/>
        <v>0</v>
      </c>
      <c r="H119">
        <f t="shared" si="3"/>
        <v>0</v>
      </c>
      <c r="I119">
        <f t="shared" si="4"/>
        <v>0</v>
      </c>
      <c r="J119">
        <f t="shared" si="5"/>
        <v>0</v>
      </c>
      <c r="K119">
        <f t="shared" si="6"/>
        <v>0</v>
      </c>
      <c r="L119">
        <f t="shared" si="7"/>
        <v>0</v>
      </c>
      <c r="M119">
        <f t="shared" si="8"/>
        <v>0</v>
      </c>
    </row>
    <row r="120">
      <c r="A120">
        <f>往来单位!$B$121&amp;""</f>
      </c>
      <c r="B120">
        <f>往来单位!$C$121&amp;""</f>
      </c>
      <c r="C120">
        <f t="shared" si="0"/>
        <v>0</v>
      </c>
      <c r="D120">
        <f t="shared" si="1"/>
        <v>0</v>
      </c>
      <c r="E120">
        <f>IF(OR($A120="",NOT(OR($B120="管理人员",$B120="工人"))),0,ROUND(N(往来单位!$M$121)+J120-K120-L120+M120,2))</f>
        <v>0</v>
      </c>
      <c r="F120">
        <f>IF(OR($A120="",NOT(OR($B120="管理人员",$B120="工人"))),0,ROUND(N(往来单位!$M$121)+SUMIFS(考勤工资!$W$5:$W$1004,考勤工资!$C$5:$C$1004,$A120,考勤工资!$Y$5:$Y$1004,"&gt;="&amp;_辅助!$J$4,考勤工资!$Y$5:$Y$1004,"&lt;="&amp;_辅助!$J$5)-(-SUMIFS(资金流水!$R$6:$R$2005,资金流水!$J$6:$J$2005,$A120,资金流水!$X$6:$X$2005,"应付职工薪酬",资金流水!$R$6:$R$2005,"&lt;0",资金流水!$S$6:$S$2005,"&gt;="&amp;_辅助!$J$4,资金流水!$S$6:$S$2005,"&lt;="&amp;_辅助!$J$5))-SUMIFS(代发抵账!$F$5:$F$304,代发抵账!$E$5:$E$304,$A120,代发抵账!$D$5:$D$304,"总包代发工资",代发抵账!$H$5:$H$304,"&gt;="&amp;_辅助!$J$4,代发抵账!$H$5:$H$304,"&lt;="&amp;_辅助!$J$5)+SUMIFS(资金流水!$R$6:$R$2005,资金流水!$J$6:$J$2005,$A120,资金流水!$X$6:$X$2005,"应付职工薪酬",资金流水!$R$6:$R$2005,"&gt;0",资金流水!$S$6:$S$2005,"&gt;="&amp;_辅助!$J$4,资金流水!$S$6:$S$2005,"&lt;="&amp;_辅助!$J$5),2))</f>
        <v>0</v>
      </c>
      <c r="G120">
        <f t="shared" si="2"/>
        <v>0</v>
      </c>
      <c r="H120">
        <f t="shared" si="3"/>
        <v>0</v>
      </c>
      <c r="I120">
        <f t="shared" si="4"/>
        <v>0</v>
      </c>
      <c r="J120">
        <f t="shared" si="5"/>
        <v>0</v>
      </c>
      <c r="K120">
        <f t="shared" si="6"/>
        <v>0</v>
      </c>
      <c r="L120">
        <f t="shared" si="7"/>
        <v>0</v>
      </c>
      <c r="M120">
        <f t="shared" si="8"/>
        <v>0</v>
      </c>
    </row>
    <row r="121">
      <c r="A121">
        <f>往来单位!$B$122&amp;""</f>
      </c>
      <c r="B121">
        <f>往来单位!$C$122&amp;""</f>
      </c>
      <c r="C121">
        <f t="shared" si="0"/>
        <v>0</v>
      </c>
      <c r="D121">
        <f t="shared" si="1"/>
        <v>0</v>
      </c>
      <c r="E121">
        <f>IF(OR($A121="",NOT(OR($B121="管理人员",$B121="工人"))),0,ROUND(N(往来单位!$M$122)+J121-K121-L121+M121,2))</f>
        <v>0</v>
      </c>
      <c r="F121">
        <f>IF(OR($A121="",NOT(OR($B121="管理人员",$B121="工人"))),0,ROUND(N(往来单位!$M$122)+SUMIFS(考勤工资!$W$5:$W$1004,考勤工资!$C$5:$C$1004,$A121,考勤工资!$Y$5:$Y$1004,"&gt;="&amp;_辅助!$J$4,考勤工资!$Y$5:$Y$1004,"&lt;="&amp;_辅助!$J$5)-(-SUMIFS(资金流水!$R$6:$R$2005,资金流水!$J$6:$J$2005,$A121,资金流水!$X$6:$X$2005,"应付职工薪酬",资金流水!$R$6:$R$2005,"&lt;0",资金流水!$S$6:$S$2005,"&gt;="&amp;_辅助!$J$4,资金流水!$S$6:$S$2005,"&lt;="&amp;_辅助!$J$5))-SUMIFS(代发抵账!$F$5:$F$304,代发抵账!$E$5:$E$304,$A121,代发抵账!$D$5:$D$304,"总包代发工资",代发抵账!$H$5:$H$304,"&gt;="&amp;_辅助!$J$4,代发抵账!$H$5:$H$304,"&lt;="&amp;_辅助!$J$5)+SUMIFS(资金流水!$R$6:$R$2005,资金流水!$J$6:$J$2005,$A121,资金流水!$X$6:$X$2005,"应付职工薪酬",资金流水!$R$6:$R$2005,"&gt;0",资金流水!$S$6:$S$2005,"&gt;="&amp;_辅助!$J$4,资金流水!$S$6:$S$2005,"&lt;="&amp;_辅助!$J$5),2))</f>
        <v>0</v>
      </c>
      <c r="G121">
        <f t="shared" si="2"/>
        <v>0</v>
      </c>
      <c r="H121">
        <f t="shared" si="3"/>
        <v>0</v>
      </c>
      <c r="I121">
        <f t="shared" si="4"/>
        <v>0</v>
      </c>
      <c r="J121">
        <f t="shared" si="5"/>
        <v>0</v>
      </c>
      <c r="K121">
        <f t="shared" si="6"/>
        <v>0</v>
      </c>
      <c r="L121">
        <f t="shared" si="7"/>
        <v>0</v>
      </c>
      <c r="M121">
        <f t="shared" si="8"/>
        <v>0</v>
      </c>
    </row>
    <row r="122">
      <c r="A122">
        <f>往来单位!$B$123&amp;""</f>
      </c>
      <c r="B122">
        <f>往来单位!$C$123&amp;""</f>
      </c>
      <c r="C122">
        <f t="shared" si="0"/>
        <v>0</v>
      </c>
      <c r="D122">
        <f t="shared" si="1"/>
        <v>0</v>
      </c>
      <c r="E122">
        <f>IF(OR($A122="",NOT(OR($B122="管理人员",$B122="工人"))),0,ROUND(N(往来单位!$M$123)+J122-K122-L122+M122,2))</f>
        <v>0</v>
      </c>
      <c r="F122">
        <f>IF(OR($A122="",NOT(OR($B122="管理人员",$B122="工人"))),0,ROUND(N(往来单位!$M$123)+SUMIFS(考勤工资!$W$5:$W$1004,考勤工资!$C$5:$C$1004,$A122,考勤工资!$Y$5:$Y$1004,"&gt;="&amp;_辅助!$J$4,考勤工资!$Y$5:$Y$1004,"&lt;="&amp;_辅助!$J$5)-(-SUMIFS(资金流水!$R$6:$R$2005,资金流水!$J$6:$J$2005,$A122,资金流水!$X$6:$X$2005,"应付职工薪酬",资金流水!$R$6:$R$2005,"&lt;0",资金流水!$S$6:$S$2005,"&gt;="&amp;_辅助!$J$4,资金流水!$S$6:$S$2005,"&lt;="&amp;_辅助!$J$5))-SUMIFS(代发抵账!$F$5:$F$304,代发抵账!$E$5:$E$304,$A122,代发抵账!$D$5:$D$304,"总包代发工资",代发抵账!$H$5:$H$304,"&gt;="&amp;_辅助!$J$4,代发抵账!$H$5:$H$304,"&lt;="&amp;_辅助!$J$5)+SUMIFS(资金流水!$R$6:$R$2005,资金流水!$J$6:$J$2005,$A122,资金流水!$X$6:$X$2005,"应付职工薪酬",资金流水!$R$6:$R$2005,"&gt;0",资金流水!$S$6:$S$2005,"&gt;="&amp;_辅助!$J$4,资金流水!$S$6:$S$2005,"&lt;="&amp;_辅助!$J$5),2))</f>
        <v>0</v>
      </c>
      <c r="G122">
        <f t="shared" si="2"/>
        <v>0</v>
      </c>
      <c r="H122">
        <f t="shared" si="3"/>
        <v>0</v>
      </c>
      <c r="I122">
        <f t="shared" si="4"/>
        <v>0</v>
      </c>
      <c r="J122">
        <f t="shared" si="5"/>
        <v>0</v>
      </c>
      <c r="K122">
        <f t="shared" si="6"/>
        <v>0</v>
      </c>
      <c r="L122">
        <f t="shared" si="7"/>
        <v>0</v>
      </c>
      <c r="M122">
        <f t="shared" si="8"/>
        <v>0</v>
      </c>
    </row>
    <row r="123">
      <c r="A123">
        <f>往来单位!$B$124&amp;""</f>
      </c>
      <c r="B123">
        <f>往来单位!$C$124&amp;""</f>
      </c>
      <c r="C123">
        <f t="shared" si="0"/>
        <v>0</v>
      </c>
      <c r="D123">
        <f t="shared" si="1"/>
        <v>0</v>
      </c>
      <c r="E123">
        <f>IF(OR($A123="",NOT(OR($B123="管理人员",$B123="工人"))),0,ROUND(N(往来单位!$M$124)+J123-K123-L123+M123,2))</f>
        <v>0</v>
      </c>
      <c r="F123">
        <f>IF(OR($A123="",NOT(OR($B123="管理人员",$B123="工人"))),0,ROUND(N(往来单位!$M$124)+SUMIFS(考勤工资!$W$5:$W$1004,考勤工资!$C$5:$C$1004,$A123,考勤工资!$Y$5:$Y$1004,"&gt;="&amp;_辅助!$J$4,考勤工资!$Y$5:$Y$1004,"&lt;="&amp;_辅助!$J$5)-(-SUMIFS(资金流水!$R$6:$R$2005,资金流水!$J$6:$J$2005,$A123,资金流水!$X$6:$X$2005,"应付职工薪酬",资金流水!$R$6:$R$2005,"&lt;0",资金流水!$S$6:$S$2005,"&gt;="&amp;_辅助!$J$4,资金流水!$S$6:$S$2005,"&lt;="&amp;_辅助!$J$5))-SUMIFS(代发抵账!$F$5:$F$304,代发抵账!$E$5:$E$304,$A123,代发抵账!$D$5:$D$304,"总包代发工资",代发抵账!$H$5:$H$304,"&gt;="&amp;_辅助!$J$4,代发抵账!$H$5:$H$304,"&lt;="&amp;_辅助!$J$5)+SUMIFS(资金流水!$R$6:$R$2005,资金流水!$J$6:$J$2005,$A123,资金流水!$X$6:$X$2005,"应付职工薪酬",资金流水!$R$6:$R$2005,"&gt;0",资金流水!$S$6:$S$2005,"&gt;="&amp;_辅助!$J$4,资金流水!$S$6:$S$2005,"&lt;="&amp;_辅助!$J$5),2))</f>
        <v>0</v>
      </c>
      <c r="G123">
        <f t="shared" si="2"/>
        <v>0</v>
      </c>
      <c r="H123">
        <f t="shared" si="3"/>
        <v>0</v>
      </c>
      <c r="I123">
        <f t="shared" si="4"/>
        <v>0</v>
      </c>
      <c r="J123">
        <f t="shared" si="5"/>
        <v>0</v>
      </c>
      <c r="K123">
        <f t="shared" si="6"/>
        <v>0</v>
      </c>
      <c r="L123">
        <f t="shared" si="7"/>
        <v>0</v>
      </c>
      <c r="M123">
        <f t="shared" si="8"/>
        <v>0</v>
      </c>
    </row>
    <row r="124">
      <c r="A124">
        <f>往来单位!$B$125&amp;""</f>
      </c>
      <c r="B124">
        <f>往来单位!$C$125&amp;""</f>
      </c>
      <c r="C124">
        <f t="shared" si="0"/>
        <v>0</v>
      </c>
      <c r="D124">
        <f t="shared" si="1"/>
        <v>0</v>
      </c>
      <c r="E124">
        <f>IF(OR($A124="",NOT(OR($B124="管理人员",$B124="工人"))),0,ROUND(N(往来单位!$M$125)+J124-K124-L124+M124,2))</f>
        <v>0</v>
      </c>
      <c r="F124">
        <f>IF(OR($A124="",NOT(OR($B124="管理人员",$B124="工人"))),0,ROUND(N(往来单位!$M$125)+SUMIFS(考勤工资!$W$5:$W$1004,考勤工资!$C$5:$C$1004,$A124,考勤工资!$Y$5:$Y$1004,"&gt;="&amp;_辅助!$J$4,考勤工资!$Y$5:$Y$1004,"&lt;="&amp;_辅助!$J$5)-(-SUMIFS(资金流水!$R$6:$R$2005,资金流水!$J$6:$J$2005,$A124,资金流水!$X$6:$X$2005,"应付职工薪酬",资金流水!$R$6:$R$2005,"&lt;0",资金流水!$S$6:$S$2005,"&gt;="&amp;_辅助!$J$4,资金流水!$S$6:$S$2005,"&lt;="&amp;_辅助!$J$5))-SUMIFS(代发抵账!$F$5:$F$304,代发抵账!$E$5:$E$304,$A124,代发抵账!$D$5:$D$304,"总包代发工资",代发抵账!$H$5:$H$304,"&gt;="&amp;_辅助!$J$4,代发抵账!$H$5:$H$304,"&lt;="&amp;_辅助!$J$5)+SUMIFS(资金流水!$R$6:$R$2005,资金流水!$J$6:$J$2005,$A124,资金流水!$X$6:$X$2005,"应付职工薪酬",资金流水!$R$6:$R$2005,"&gt;0",资金流水!$S$6:$S$2005,"&gt;="&amp;_辅助!$J$4,资金流水!$S$6:$S$2005,"&lt;="&amp;_辅助!$J$5),2))</f>
        <v>0</v>
      </c>
      <c r="G124">
        <f t="shared" si="2"/>
        <v>0</v>
      </c>
      <c r="H124">
        <f t="shared" si="3"/>
        <v>0</v>
      </c>
      <c r="I124">
        <f t="shared" si="4"/>
        <v>0</v>
      </c>
      <c r="J124">
        <f t="shared" si="5"/>
        <v>0</v>
      </c>
      <c r="K124">
        <f t="shared" si="6"/>
        <v>0</v>
      </c>
      <c r="L124">
        <f t="shared" si="7"/>
        <v>0</v>
      </c>
      <c r="M124">
        <f t="shared" si="8"/>
        <v>0</v>
      </c>
    </row>
    <row r="125">
      <c r="A125">
        <f>往来单位!$B$126&amp;""</f>
      </c>
      <c r="B125">
        <f>往来单位!$C$126&amp;""</f>
      </c>
      <c r="C125">
        <f t="shared" si="0"/>
        <v>0</v>
      </c>
      <c r="D125">
        <f t="shared" si="1"/>
        <v>0</v>
      </c>
      <c r="E125">
        <f>IF(OR($A125="",NOT(OR($B125="管理人员",$B125="工人"))),0,ROUND(N(往来单位!$M$126)+J125-K125-L125+M125,2))</f>
        <v>0</v>
      </c>
      <c r="F125">
        <f>IF(OR($A125="",NOT(OR($B125="管理人员",$B125="工人"))),0,ROUND(N(往来单位!$M$126)+SUMIFS(考勤工资!$W$5:$W$1004,考勤工资!$C$5:$C$1004,$A125,考勤工资!$Y$5:$Y$1004,"&gt;="&amp;_辅助!$J$4,考勤工资!$Y$5:$Y$1004,"&lt;="&amp;_辅助!$J$5)-(-SUMIFS(资金流水!$R$6:$R$2005,资金流水!$J$6:$J$2005,$A125,资金流水!$X$6:$X$2005,"应付职工薪酬",资金流水!$R$6:$R$2005,"&lt;0",资金流水!$S$6:$S$2005,"&gt;="&amp;_辅助!$J$4,资金流水!$S$6:$S$2005,"&lt;="&amp;_辅助!$J$5))-SUMIFS(代发抵账!$F$5:$F$304,代发抵账!$E$5:$E$304,$A125,代发抵账!$D$5:$D$304,"总包代发工资",代发抵账!$H$5:$H$304,"&gt;="&amp;_辅助!$J$4,代发抵账!$H$5:$H$304,"&lt;="&amp;_辅助!$J$5)+SUMIFS(资金流水!$R$6:$R$2005,资金流水!$J$6:$J$2005,$A125,资金流水!$X$6:$X$2005,"应付职工薪酬",资金流水!$R$6:$R$2005,"&gt;0",资金流水!$S$6:$S$2005,"&gt;="&amp;_辅助!$J$4,资金流水!$S$6:$S$2005,"&lt;="&amp;_辅助!$J$5),2))</f>
        <v>0</v>
      </c>
      <c r="G125">
        <f t="shared" si="2"/>
        <v>0</v>
      </c>
      <c r="H125">
        <f t="shared" si="3"/>
        <v>0</v>
      </c>
      <c r="I125">
        <f t="shared" si="4"/>
        <v>0</v>
      </c>
      <c r="J125">
        <f t="shared" si="5"/>
        <v>0</v>
      </c>
      <c r="K125">
        <f t="shared" si="6"/>
        <v>0</v>
      </c>
      <c r="L125">
        <f t="shared" si="7"/>
        <v>0</v>
      </c>
      <c r="M125">
        <f t="shared" si="8"/>
        <v>0</v>
      </c>
    </row>
    <row r="126">
      <c r="A126">
        <f>往来单位!$B$127&amp;""</f>
      </c>
      <c r="B126">
        <f>往来单位!$C$127&amp;""</f>
      </c>
      <c r="C126">
        <f t="shared" si="0"/>
        <v>0</v>
      </c>
      <c r="D126">
        <f t="shared" si="1"/>
        <v>0</v>
      </c>
      <c r="E126">
        <f>IF(OR($A126="",NOT(OR($B126="管理人员",$B126="工人"))),0,ROUND(N(往来单位!$M$127)+J126-K126-L126+M126,2))</f>
        <v>0</v>
      </c>
      <c r="F126">
        <f>IF(OR($A126="",NOT(OR($B126="管理人员",$B126="工人"))),0,ROUND(N(往来单位!$M$127)+SUMIFS(考勤工资!$W$5:$W$1004,考勤工资!$C$5:$C$1004,$A126,考勤工资!$Y$5:$Y$1004,"&gt;="&amp;_辅助!$J$4,考勤工资!$Y$5:$Y$1004,"&lt;="&amp;_辅助!$J$5)-(-SUMIFS(资金流水!$R$6:$R$2005,资金流水!$J$6:$J$2005,$A126,资金流水!$X$6:$X$2005,"应付职工薪酬",资金流水!$R$6:$R$2005,"&lt;0",资金流水!$S$6:$S$2005,"&gt;="&amp;_辅助!$J$4,资金流水!$S$6:$S$2005,"&lt;="&amp;_辅助!$J$5))-SUMIFS(代发抵账!$F$5:$F$304,代发抵账!$E$5:$E$304,$A126,代发抵账!$D$5:$D$304,"总包代发工资",代发抵账!$H$5:$H$304,"&gt;="&amp;_辅助!$J$4,代发抵账!$H$5:$H$304,"&lt;="&amp;_辅助!$J$5)+SUMIFS(资金流水!$R$6:$R$2005,资金流水!$J$6:$J$2005,$A126,资金流水!$X$6:$X$2005,"应付职工薪酬",资金流水!$R$6:$R$2005,"&gt;0",资金流水!$S$6:$S$2005,"&gt;="&amp;_辅助!$J$4,资金流水!$S$6:$S$2005,"&lt;="&amp;_辅助!$J$5),2))</f>
        <v>0</v>
      </c>
      <c r="G126">
        <f t="shared" si="2"/>
        <v>0</v>
      </c>
      <c r="H126">
        <f t="shared" si="3"/>
        <v>0</v>
      </c>
      <c r="I126">
        <f t="shared" si="4"/>
        <v>0</v>
      </c>
      <c r="J126">
        <f t="shared" si="5"/>
        <v>0</v>
      </c>
      <c r="K126">
        <f t="shared" si="6"/>
        <v>0</v>
      </c>
      <c r="L126">
        <f t="shared" si="7"/>
        <v>0</v>
      </c>
      <c r="M126">
        <f t="shared" si="8"/>
        <v>0</v>
      </c>
    </row>
    <row r="127">
      <c r="A127">
        <f>往来单位!$B$128&amp;""</f>
      </c>
      <c r="B127">
        <f>往来单位!$C$128&amp;""</f>
      </c>
      <c r="C127">
        <f t="shared" si="0"/>
        <v>0</v>
      </c>
      <c r="D127">
        <f t="shared" si="1"/>
        <v>0</v>
      </c>
      <c r="E127">
        <f>IF(OR($A127="",NOT(OR($B127="管理人员",$B127="工人"))),0,ROUND(N(往来单位!$M$128)+J127-K127-L127+M127,2))</f>
        <v>0</v>
      </c>
      <c r="F127">
        <f>IF(OR($A127="",NOT(OR($B127="管理人员",$B127="工人"))),0,ROUND(N(往来单位!$M$128)+SUMIFS(考勤工资!$W$5:$W$1004,考勤工资!$C$5:$C$1004,$A127,考勤工资!$Y$5:$Y$1004,"&gt;="&amp;_辅助!$J$4,考勤工资!$Y$5:$Y$1004,"&lt;="&amp;_辅助!$J$5)-(-SUMIFS(资金流水!$R$6:$R$2005,资金流水!$J$6:$J$2005,$A127,资金流水!$X$6:$X$2005,"应付职工薪酬",资金流水!$R$6:$R$2005,"&lt;0",资金流水!$S$6:$S$2005,"&gt;="&amp;_辅助!$J$4,资金流水!$S$6:$S$2005,"&lt;="&amp;_辅助!$J$5))-SUMIFS(代发抵账!$F$5:$F$304,代发抵账!$E$5:$E$304,$A127,代发抵账!$D$5:$D$304,"总包代发工资",代发抵账!$H$5:$H$304,"&gt;="&amp;_辅助!$J$4,代发抵账!$H$5:$H$304,"&lt;="&amp;_辅助!$J$5)+SUMIFS(资金流水!$R$6:$R$2005,资金流水!$J$6:$J$2005,$A127,资金流水!$X$6:$X$2005,"应付职工薪酬",资金流水!$R$6:$R$2005,"&gt;0",资金流水!$S$6:$S$2005,"&gt;="&amp;_辅助!$J$4,资金流水!$S$6:$S$2005,"&lt;="&amp;_辅助!$J$5),2))</f>
        <v>0</v>
      </c>
      <c r="G127">
        <f t="shared" si="2"/>
        <v>0</v>
      </c>
      <c r="H127">
        <f t="shared" si="3"/>
        <v>0</v>
      </c>
      <c r="I127">
        <f t="shared" si="4"/>
        <v>0</v>
      </c>
      <c r="J127">
        <f t="shared" si="5"/>
        <v>0</v>
      </c>
      <c r="K127">
        <f t="shared" si="6"/>
        <v>0</v>
      </c>
      <c r="L127">
        <f t="shared" si="7"/>
        <v>0</v>
      </c>
      <c r="M127">
        <f t="shared" si="8"/>
        <v>0</v>
      </c>
    </row>
    <row r="128">
      <c r="A128">
        <f>往来单位!$B$129&amp;""</f>
      </c>
      <c r="B128">
        <f>往来单位!$C$129&amp;""</f>
      </c>
      <c r="C128">
        <f t="shared" si="0"/>
        <v>0</v>
      </c>
      <c r="D128">
        <f t="shared" si="1"/>
        <v>0</v>
      </c>
      <c r="E128">
        <f>IF(OR($A128="",NOT(OR($B128="管理人员",$B128="工人"))),0,ROUND(N(往来单位!$M$129)+J128-K128-L128+M128,2))</f>
        <v>0</v>
      </c>
      <c r="F128">
        <f>IF(OR($A128="",NOT(OR($B128="管理人员",$B128="工人"))),0,ROUND(N(往来单位!$M$129)+SUMIFS(考勤工资!$W$5:$W$1004,考勤工资!$C$5:$C$1004,$A128,考勤工资!$Y$5:$Y$1004,"&gt;="&amp;_辅助!$J$4,考勤工资!$Y$5:$Y$1004,"&lt;="&amp;_辅助!$J$5)-(-SUMIFS(资金流水!$R$6:$R$2005,资金流水!$J$6:$J$2005,$A128,资金流水!$X$6:$X$2005,"应付职工薪酬",资金流水!$R$6:$R$2005,"&lt;0",资金流水!$S$6:$S$2005,"&gt;="&amp;_辅助!$J$4,资金流水!$S$6:$S$2005,"&lt;="&amp;_辅助!$J$5))-SUMIFS(代发抵账!$F$5:$F$304,代发抵账!$E$5:$E$304,$A128,代发抵账!$D$5:$D$304,"总包代发工资",代发抵账!$H$5:$H$304,"&gt;="&amp;_辅助!$J$4,代发抵账!$H$5:$H$304,"&lt;="&amp;_辅助!$J$5)+SUMIFS(资金流水!$R$6:$R$2005,资金流水!$J$6:$J$2005,$A128,资金流水!$X$6:$X$2005,"应付职工薪酬",资金流水!$R$6:$R$2005,"&gt;0",资金流水!$S$6:$S$2005,"&gt;="&amp;_辅助!$J$4,资金流水!$S$6:$S$2005,"&lt;="&amp;_辅助!$J$5),2))</f>
        <v>0</v>
      </c>
      <c r="G128">
        <f t="shared" si="2"/>
        <v>0</v>
      </c>
      <c r="H128">
        <f t="shared" si="3"/>
        <v>0</v>
      </c>
      <c r="I128">
        <f t="shared" si="4"/>
        <v>0</v>
      </c>
      <c r="J128">
        <f t="shared" si="5"/>
        <v>0</v>
      </c>
      <c r="K128">
        <f t="shared" si="6"/>
        <v>0</v>
      </c>
      <c r="L128">
        <f t="shared" si="7"/>
        <v>0</v>
      </c>
      <c r="M128">
        <f t="shared" si="8"/>
        <v>0</v>
      </c>
    </row>
    <row r="129">
      <c r="A129">
        <f>往来单位!$B$130&amp;""</f>
      </c>
      <c r="B129">
        <f>往来单位!$C$130&amp;""</f>
      </c>
      <c r="C129">
        <f t="shared" si="0"/>
        <v>0</v>
      </c>
      <c r="D129">
        <f t="shared" si="1"/>
        <v>0</v>
      </c>
      <c r="E129">
        <f>IF(OR($A129="",NOT(OR($B129="管理人员",$B129="工人"))),0,ROUND(N(往来单位!$M$130)+J129-K129-L129+M129,2))</f>
        <v>0</v>
      </c>
      <c r="F129">
        <f>IF(OR($A129="",NOT(OR($B129="管理人员",$B129="工人"))),0,ROUND(N(往来单位!$M$130)+SUMIFS(考勤工资!$W$5:$W$1004,考勤工资!$C$5:$C$1004,$A129,考勤工资!$Y$5:$Y$1004,"&gt;="&amp;_辅助!$J$4,考勤工资!$Y$5:$Y$1004,"&lt;="&amp;_辅助!$J$5)-(-SUMIFS(资金流水!$R$6:$R$2005,资金流水!$J$6:$J$2005,$A129,资金流水!$X$6:$X$2005,"应付职工薪酬",资金流水!$R$6:$R$2005,"&lt;0",资金流水!$S$6:$S$2005,"&gt;="&amp;_辅助!$J$4,资金流水!$S$6:$S$2005,"&lt;="&amp;_辅助!$J$5))-SUMIFS(代发抵账!$F$5:$F$304,代发抵账!$E$5:$E$304,$A129,代发抵账!$D$5:$D$304,"总包代发工资",代发抵账!$H$5:$H$304,"&gt;="&amp;_辅助!$J$4,代发抵账!$H$5:$H$304,"&lt;="&amp;_辅助!$J$5)+SUMIFS(资金流水!$R$6:$R$2005,资金流水!$J$6:$J$2005,$A129,资金流水!$X$6:$X$2005,"应付职工薪酬",资金流水!$R$6:$R$2005,"&gt;0",资金流水!$S$6:$S$2005,"&gt;="&amp;_辅助!$J$4,资金流水!$S$6:$S$2005,"&lt;="&amp;_辅助!$J$5),2))</f>
        <v>0</v>
      </c>
      <c r="G129">
        <f t="shared" si="2"/>
        <v>0</v>
      </c>
      <c r="H129">
        <f t="shared" si="3"/>
        <v>0</v>
      </c>
      <c r="I129">
        <f t="shared" si="4"/>
        <v>0</v>
      </c>
      <c r="J129">
        <f t="shared" si="5"/>
        <v>0</v>
      </c>
      <c r="K129">
        <f t="shared" si="6"/>
        <v>0</v>
      </c>
      <c r="L129">
        <f t="shared" si="7"/>
        <v>0</v>
      </c>
      <c r="M129">
        <f t="shared" si="8"/>
        <v>0</v>
      </c>
    </row>
    <row r="130">
      <c r="A130">
        <f>往来单位!$B$131&amp;""</f>
      </c>
      <c r="B130">
        <f>往来单位!$C$131&amp;""</f>
      </c>
      <c r="C130">
        <f t="shared" si="0"/>
        <v>0</v>
      </c>
      <c r="D130">
        <f t="shared" si="1"/>
        <v>0</v>
      </c>
      <c r="E130">
        <f>IF(OR($A130="",NOT(OR($B130="管理人员",$B130="工人"))),0,ROUND(N(往来单位!$M$131)+J130-K130-L130+M130,2))</f>
        <v>0</v>
      </c>
      <c r="F130">
        <f>IF(OR($A130="",NOT(OR($B130="管理人员",$B130="工人"))),0,ROUND(N(往来单位!$M$131)+SUMIFS(考勤工资!$W$5:$W$1004,考勤工资!$C$5:$C$1004,$A130,考勤工资!$Y$5:$Y$1004,"&gt;="&amp;_辅助!$J$4,考勤工资!$Y$5:$Y$1004,"&lt;="&amp;_辅助!$J$5)-(-SUMIFS(资金流水!$R$6:$R$2005,资金流水!$J$6:$J$2005,$A130,资金流水!$X$6:$X$2005,"应付职工薪酬",资金流水!$R$6:$R$2005,"&lt;0",资金流水!$S$6:$S$2005,"&gt;="&amp;_辅助!$J$4,资金流水!$S$6:$S$2005,"&lt;="&amp;_辅助!$J$5))-SUMIFS(代发抵账!$F$5:$F$304,代发抵账!$E$5:$E$304,$A130,代发抵账!$D$5:$D$304,"总包代发工资",代发抵账!$H$5:$H$304,"&gt;="&amp;_辅助!$J$4,代发抵账!$H$5:$H$304,"&lt;="&amp;_辅助!$J$5)+SUMIFS(资金流水!$R$6:$R$2005,资金流水!$J$6:$J$2005,$A130,资金流水!$X$6:$X$2005,"应付职工薪酬",资金流水!$R$6:$R$2005,"&gt;0",资金流水!$S$6:$S$2005,"&gt;="&amp;_辅助!$J$4,资金流水!$S$6:$S$2005,"&lt;="&amp;_辅助!$J$5),2))</f>
        <v>0</v>
      </c>
      <c r="G130">
        <f t="shared" si="2"/>
        <v>0</v>
      </c>
      <c r="H130">
        <f t="shared" si="3"/>
        <v>0</v>
      </c>
      <c r="I130">
        <f t="shared" si="4"/>
        <v>0</v>
      </c>
      <c r="J130">
        <f t="shared" si="5"/>
        <v>0</v>
      </c>
      <c r="K130">
        <f t="shared" si="6"/>
        <v>0</v>
      </c>
      <c r="L130">
        <f t="shared" si="7"/>
        <v>0</v>
      </c>
      <c r="M130">
        <f t="shared" si="8"/>
        <v>0</v>
      </c>
    </row>
    <row r="131">
      <c r="A131">
        <f>往来单位!$B$132&amp;""</f>
      </c>
      <c r="B131">
        <f>往来单位!$C$132&amp;""</f>
      </c>
      <c r="C131">
        <f t="shared" si="0"/>
        <v>0</v>
      </c>
      <c r="D131">
        <f t="shared" si="1"/>
        <v>0</v>
      </c>
      <c r="E131">
        <f>IF(OR($A131="",NOT(OR($B131="管理人员",$B131="工人"))),0,ROUND(N(往来单位!$M$132)+J131-K131-L131+M131,2))</f>
        <v>0</v>
      </c>
      <c r="F131">
        <f>IF(OR($A131="",NOT(OR($B131="管理人员",$B131="工人"))),0,ROUND(N(往来单位!$M$132)+SUMIFS(考勤工资!$W$5:$W$1004,考勤工资!$C$5:$C$1004,$A131,考勤工资!$Y$5:$Y$1004,"&gt;="&amp;_辅助!$J$4,考勤工资!$Y$5:$Y$1004,"&lt;="&amp;_辅助!$J$5)-(-SUMIFS(资金流水!$R$6:$R$2005,资金流水!$J$6:$J$2005,$A131,资金流水!$X$6:$X$2005,"应付职工薪酬",资金流水!$R$6:$R$2005,"&lt;0",资金流水!$S$6:$S$2005,"&gt;="&amp;_辅助!$J$4,资金流水!$S$6:$S$2005,"&lt;="&amp;_辅助!$J$5))-SUMIFS(代发抵账!$F$5:$F$304,代发抵账!$E$5:$E$304,$A131,代发抵账!$D$5:$D$304,"总包代发工资",代发抵账!$H$5:$H$304,"&gt;="&amp;_辅助!$J$4,代发抵账!$H$5:$H$304,"&lt;="&amp;_辅助!$J$5)+SUMIFS(资金流水!$R$6:$R$2005,资金流水!$J$6:$J$2005,$A131,资金流水!$X$6:$X$2005,"应付职工薪酬",资金流水!$R$6:$R$2005,"&gt;0",资金流水!$S$6:$S$2005,"&gt;="&amp;_辅助!$J$4,资金流水!$S$6:$S$2005,"&lt;="&amp;_辅助!$J$5),2))</f>
        <v>0</v>
      </c>
      <c r="G131">
        <f t="shared" si="2"/>
        <v>0</v>
      </c>
      <c r="H131">
        <f t="shared" si="3"/>
        <v>0</v>
      </c>
      <c r="I131">
        <f t="shared" si="4"/>
        <v>0</v>
      </c>
      <c r="J131">
        <f t="shared" si="5"/>
        <v>0</v>
      </c>
      <c r="K131">
        <f t="shared" si="6"/>
        <v>0</v>
      </c>
      <c r="L131">
        <f t="shared" si="7"/>
        <v>0</v>
      </c>
      <c r="M131">
        <f t="shared" si="8"/>
        <v>0</v>
      </c>
    </row>
    <row r="132">
      <c r="A132">
        <f>往来单位!$B$133&amp;""</f>
      </c>
      <c r="B132">
        <f>往来单位!$C$133&amp;""</f>
      </c>
      <c r="C132">
        <f t="shared" si="0"/>
        <v>0</v>
      </c>
      <c r="D132">
        <f t="shared" si="1"/>
        <v>0</v>
      </c>
      <c r="E132">
        <f>IF(OR($A132="",NOT(OR($B132="管理人员",$B132="工人"))),0,ROUND(N(往来单位!$M$133)+J132-K132-L132+M132,2))</f>
        <v>0</v>
      </c>
      <c r="F132">
        <f>IF(OR($A132="",NOT(OR($B132="管理人员",$B132="工人"))),0,ROUND(N(往来单位!$M$133)+SUMIFS(考勤工资!$W$5:$W$1004,考勤工资!$C$5:$C$1004,$A132,考勤工资!$Y$5:$Y$1004,"&gt;="&amp;_辅助!$J$4,考勤工资!$Y$5:$Y$1004,"&lt;="&amp;_辅助!$J$5)-(-SUMIFS(资金流水!$R$6:$R$2005,资金流水!$J$6:$J$2005,$A132,资金流水!$X$6:$X$2005,"应付职工薪酬",资金流水!$R$6:$R$2005,"&lt;0",资金流水!$S$6:$S$2005,"&gt;="&amp;_辅助!$J$4,资金流水!$S$6:$S$2005,"&lt;="&amp;_辅助!$J$5))-SUMIFS(代发抵账!$F$5:$F$304,代发抵账!$E$5:$E$304,$A132,代发抵账!$D$5:$D$304,"总包代发工资",代发抵账!$H$5:$H$304,"&gt;="&amp;_辅助!$J$4,代发抵账!$H$5:$H$304,"&lt;="&amp;_辅助!$J$5)+SUMIFS(资金流水!$R$6:$R$2005,资金流水!$J$6:$J$2005,$A132,资金流水!$X$6:$X$2005,"应付职工薪酬",资金流水!$R$6:$R$2005,"&gt;0",资金流水!$S$6:$S$2005,"&gt;="&amp;_辅助!$J$4,资金流水!$S$6:$S$2005,"&lt;="&amp;_辅助!$J$5),2))</f>
        <v>0</v>
      </c>
      <c r="G132">
        <f t="shared" si="2"/>
        <v>0</v>
      </c>
      <c r="H132">
        <f t="shared" si="3"/>
        <v>0</v>
      </c>
      <c r="I132">
        <f t="shared" si="4"/>
        <v>0</v>
      </c>
      <c r="J132">
        <f t="shared" si="5"/>
        <v>0</v>
      </c>
      <c r="K132">
        <f t="shared" si="6"/>
        <v>0</v>
      </c>
      <c r="L132">
        <f t="shared" si="7"/>
        <v>0</v>
      </c>
      <c r="M132">
        <f t="shared" si="8"/>
        <v>0</v>
      </c>
    </row>
    <row r="133">
      <c r="A133">
        <f>往来单位!$B$134&amp;""</f>
      </c>
      <c r="B133">
        <f>往来单位!$C$134&amp;""</f>
      </c>
      <c r="C133">
        <f t="shared" si="0"/>
        <v>0</v>
      </c>
      <c r="D133">
        <f t="shared" si="1"/>
        <v>0</v>
      </c>
      <c r="E133">
        <f>IF(OR($A133="",NOT(OR($B133="管理人员",$B133="工人"))),0,ROUND(N(往来单位!$M$134)+J133-K133-L133+M133,2))</f>
        <v>0</v>
      </c>
      <c r="F133">
        <f>IF(OR($A133="",NOT(OR($B133="管理人员",$B133="工人"))),0,ROUND(N(往来单位!$M$134)+SUMIFS(考勤工资!$W$5:$W$1004,考勤工资!$C$5:$C$1004,$A133,考勤工资!$Y$5:$Y$1004,"&gt;="&amp;_辅助!$J$4,考勤工资!$Y$5:$Y$1004,"&lt;="&amp;_辅助!$J$5)-(-SUMIFS(资金流水!$R$6:$R$2005,资金流水!$J$6:$J$2005,$A133,资金流水!$X$6:$X$2005,"应付职工薪酬",资金流水!$R$6:$R$2005,"&lt;0",资金流水!$S$6:$S$2005,"&gt;="&amp;_辅助!$J$4,资金流水!$S$6:$S$2005,"&lt;="&amp;_辅助!$J$5))-SUMIFS(代发抵账!$F$5:$F$304,代发抵账!$E$5:$E$304,$A133,代发抵账!$D$5:$D$304,"总包代发工资",代发抵账!$H$5:$H$304,"&gt;="&amp;_辅助!$J$4,代发抵账!$H$5:$H$304,"&lt;="&amp;_辅助!$J$5)+SUMIFS(资金流水!$R$6:$R$2005,资金流水!$J$6:$J$2005,$A133,资金流水!$X$6:$X$2005,"应付职工薪酬",资金流水!$R$6:$R$2005,"&gt;0",资金流水!$S$6:$S$2005,"&gt;="&amp;_辅助!$J$4,资金流水!$S$6:$S$2005,"&lt;="&amp;_辅助!$J$5),2))</f>
        <v>0</v>
      </c>
      <c r="G133">
        <f t="shared" si="2"/>
        <v>0</v>
      </c>
      <c r="H133">
        <f t="shared" si="3"/>
        <v>0</v>
      </c>
      <c r="I133">
        <f t="shared" si="4"/>
        <v>0</v>
      </c>
      <c r="J133">
        <f t="shared" si="5"/>
        <v>0</v>
      </c>
      <c r="K133">
        <f t="shared" si="6"/>
        <v>0</v>
      </c>
      <c r="L133">
        <f t="shared" si="7"/>
        <v>0</v>
      </c>
      <c r="M133">
        <f t="shared" si="8"/>
        <v>0</v>
      </c>
    </row>
    <row r="134">
      <c r="A134">
        <f>往来单位!$B$135&amp;""</f>
      </c>
      <c r="B134">
        <f>往来单位!$C$135&amp;""</f>
      </c>
      <c r="C134">
        <f t="shared" si="0"/>
        <v>0</v>
      </c>
      <c r="D134">
        <f t="shared" si="1"/>
        <v>0</v>
      </c>
      <c r="E134">
        <f>IF(OR($A134="",NOT(OR($B134="管理人员",$B134="工人"))),0,ROUND(N(往来单位!$M$135)+J134-K134-L134+M134,2))</f>
        <v>0</v>
      </c>
      <c r="F134">
        <f>IF(OR($A134="",NOT(OR($B134="管理人员",$B134="工人"))),0,ROUND(N(往来单位!$M$135)+SUMIFS(考勤工资!$W$5:$W$1004,考勤工资!$C$5:$C$1004,$A134,考勤工资!$Y$5:$Y$1004,"&gt;="&amp;_辅助!$J$4,考勤工资!$Y$5:$Y$1004,"&lt;="&amp;_辅助!$J$5)-(-SUMIFS(资金流水!$R$6:$R$2005,资金流水!$J$6:$J$2005,$A134,资金流水!$X$6:$X$2005,"应付职工薪酬",资金流水!$R$6:$R$2005,"&lt;0",资金流水!$S$6:$S$2005,"&gt;="&amp;_辅助!$J$4,资金流水!$S$6:$S$2005,"&lt;="&amp;_辅助!$J$5))-SUMIFS(代发抵账!$F$5:$F$304,代发抵账!$E$5:$E$304,$A134,代发抵账!$D$5:$D$304,"总包代发工资",代发抵账!$H$5:$H$304,"&gt;="&amp;_辅助!$J$4,代发抵账!$H$5:$H$304,"&lt;="&amp;_辅助!$J$5)+SUMIFS(资金流水!$R$6:$R$2005,资金流水!$J$6:$J$2005,$A134,资金流水!$X$6:$X$2005,"应付职工薪酬",资金流水!$R$6:$R$2005,"&gt;0",资金流水!$S$6:$S$2005,"&gt;="&amp;_辅助!$J$4,资金流水!$S$6:$S$2005,"&lt;="&amp;_辅助!$J$5),2))</f>
        <v>0</v>
      </c>
      <c r="G134">
        <f t="shared" si="2"/>
        <v>0</v>
      </c>
      <c r="H134">
        <f t="shared" si="3"/>
        <v>0</v>
      </c>
      <c r="I134">
        <f t="shared" si="4"/>
        <v>0</v>
      </c>
      <c r="J134">
        <f t="shared" si="5"/>
        <v>0</v>
      </c>
      <c r="K134">
        <f t="shared" si="6"/>
        <v>0</v>
      </c>
      <c r="L134">
        <f t="shared" si="7"/>
        <v>0</v>
      </c>
      <c r="M134">
        <f t="shared" si="8"/>
        <v>0</v>
      </c>
    </row>
    <row r="135">
      <c r="A135">
        <f>往来单位!$B$136&amp;""</f>
      </c>
      <c r="B135">
        <f>往来单位!$C$136&amp;""</f>
      </c>
      <c r="C135">
        <f t="shared" si="0"/>
        <v>0</v>
      </c>
      <c r="D135">
        <f t="shared" si="1"/>
        <v>0</v>
      </c>
      <c r="E135">
        <f>IF(OR($A135="",NOT(OR($B135="管理人员",$B135="工人"))),0,ROUND(N(往来单位!$M$136)+J135-K135-L135+M135,2))</f>
        <v>0</v>
      </c>
      <c r="F135">
        <f>IF(OR($A135="",NOT(OR($B135="管理人员",$B135="工人"))),0,ROUND(N(往来单位!$M$136)+SUMIFS(考勤工资!$W$5:$W$1004,考勤工资!$C$5:$C$1004,$A135,考勤工资!$Y$5:$Y$1004,"&gt;="&amp;_辅助!$J$4,考勤工资!$Y$5:$Y$1004,"&lt;="&amp;_辅助!$J$5)-(-SUMIFS(资金流水!$R$6:$R$2005,资金流水!$J$6:$J$2005,$A135,资金流水!$X$6:$X$2005,"应付职工薪酬",资金流水!$R$6:$R$2005,"&lt;0",资金流水!$S$6:$S$2005,"&gt;="&amp;_辅助!$J$4,资金流水!$S$6:$S$2005,"&lt;="&amp;_辅助!$J$5))-SUMIFS(代发抵账!$F$5:$F$304,代发抵账!$E$5:$E$304,$A135,代发抵账!$D$5:$D$304,"总包代发工资",代发抵账!$H$5:$H$304,"&gt;="&amp;_辅助!$J$4,代发抵账!$H$5:$H$304,"&lt;="&amp;_辅助!$J$5)+SUMIFS(资金流水!$R$6:$R$2005,资金流水!$J$6:$J$2005,$A135,资金流水!$X$6:$X$2005,"应付职工薪酬",资金流水!$R$6:$R$2005,"&gt;0",资金流水!$S$6:$S$2005,"&gt;="&amp;_辅助!$J$4,资金流水!$S$6:$S$2005,"&lt;="&amp;_辅助!$J$5),2))</f>
        <v>0</v>
      </c>
      <c r="G135">
        <f t="shared" si="2"/>
        <v>0</v>
      </c>
      <c r="H135">
        <f t="shared" si="3"/>
        <v>0</v>
      </c>
      <c r="I135">
        <f t="shared" si="4"/>
        <v>0</v>
      </c>
      <c r="J135">
        <f t="shared" si="5"/>
        <v>0</v>
      </c>
      <c r="K135">
        <f t="shared" si="6"/>
        <v>0</v>
      </c>
      <c r="L135">
        <f t="shared" si="7"/>
        <v>0</v>
      </c>
      <c r="M135">
        <f t="shared" si="8"/>
        <v>0</v>
      </c>
    </row>
    <row r="136">
      <c r="A136">
        <f>往来单位!$B$137&amp;""</f>
      </c>
      <c r="B136">
        <f>往来单位!$C$137&amp;""</f>
      </c>
      <c r="C136">
        <f t="shared" si="0"/>
        <v>0</v>
      </c>
      <c r="D136">
        <f t="shared" si="1"/>
        <v>0</v>
      </c>
      <c r="E136">
        <f>IF(OR($A136="",NOT(OR($B136="管理人员",$B136="工人"))),0,ROUND(N(往来单位!$M$137)+J136-K136-L136+M136,2))</f>
        <v>0</v>
      </c>
      <c r="F136">
        <f>IF(OR($A136="",NOT(OR($B136="管理人员",$B136="工人"))),0,ROUND(N(往来单位!$M$137)+SUMIFS(考勤工资!$W$5:$W$1004,考勤工资!$C$5:$C$1004,$A136,考勤工资!$Y$5:$Y$1004,"&gt;="&amp;_辅助!$J$4,考勤工资!$Y$5:$Y$1004,"&lt;="&amp;_辅助!$J$5)-(-SUMIFS(资金流水!$R$6:$R$2005,资金流水!$J$6:$J$2005,$A136,资金流水!$X$6:$X$2005,"应付职工薪酬",资金流水!$R$6:$R$2005,"&lt;0",资金流水!$S$6:$S$2005,"&gt;="&amp;_辅助!$J$4,资金流水!$S$6:$S$2005,"&lt;="&amp;_辅助!$J$5))-SUMIFS(代发抵账!$F$5:$F$304,代发抵账!$E$5:$E$304,$A136,代发抵账!$D$5:$D$304,"总包代发工资",代发抵账!$H$5:$H$304,"&gt;="&amp;_辅助!$J$4,代发抵账!$H$5:$H$304,"&lt;="&amp;_辅助!$J$5)+SUMIFS(资金流水!$R$6:$R$2005,资金流水!$J$6:$J$2005,$A136,资金流水!$X$6:$X$2005,"应付职工薪酬",资金流水!$R$6:$R$2005,"&gt;0",资金流水!$S$6:$S$2005,"&gt;="&amp;_辅助!$J$4,资金流水!$S$6:$S$2005,"&lt;="&amp;_辅助!$J$5),2))</f>
        <v>0</v>
      </c>
      <c r="G136">
        <f t="shared" si="2"/>
        <v>0</v>
      </c>
      <c r="H136">
        <f t="shared" si="3"/>
        <v>0</v>
      </c>
      <c r="I136">
        <f t="shared" si="4"/>
        <v>0</v>
      </c>
      <c r="J136">
        <f t="shared" si="5"/>
        <v>0</v>
      </c>
      <c r="K136">
        <f t="shared" si="6"/>
        <v>0</v>
      </c>
      <c r="L136">
        <f t="shared" si="7"/>
        <v>0</v>
      </c>
      <c r="M136">
        <f t="shared" si="8"/>
        <v>0</v>
      </c>
    </row>
    <row r="137">
      <c r="A137">
        <f>往来单位!$B$138&amp;""</f>
      </c>
      <c r="B137">
        <f>往来单位!$C$138&amp;""</f>
      </c>
      <c r="C137">
        <f t="shared" si="0"/>
        <v>0</v>
      </c>
      <c r="D137">
        <f t="shared" si="1"/>
        <v>0</v>
      </c>
      <c r="E137">
        <f>IF(OR($A137="",NOT(OR($B137="管理人员",$B137="工人"))),0,ROUND(N(往来单位!$M$138)+J137-K137-L137+M137,2))</f>
        <v>0</v>
      </c>
      <c r="F137">
        <f>IF(OR($A137="",NOT(OR($B137="管理人员",$B137="工人"))),0,ROUND(N(往来单位!$M$138)+SUMIFS(考勤工资!$W$5:$W$1004,考勤工资!$C$5:$C$1004,$A137,考勤工资!$Y$5:$Y$1004,"&gt;="&amp;_辅助!$J$4,考勤工资!$Y$5:$Y$1004,"&lt;="&amp;_辅助!$J$5)-(-SUMIFS(资金流水!$R$6:$R$2005,资金流水!$J$6:$J$2005,$A137,资金流水!$X$6:$X$2005,"应付职工薪酬",资金流水!$R$6:$R$2005,"&lt;0",资金流水!$S$6:$S$2005,"&gt;="&amp;_辅助!$J$4,资金流水!$S$6:$S$2005,"&lt;="&amp;_辅助!$J$5))-SUMIFS(代发抵账!$F$5:$F$304,代发抵账!$E$5:$E$304,$A137,代发抵账!$D$5:$D$304,"总包代发工资",代发抵账!$H$5:$H$304,"&gt;="&amp;_辅助!$J$4,代发抵账!$H$5:$H$304,"&lt;="&amp;_辅助!$J$5)+SUMIFS(资金流水!$R$6:$R$2005,资金流水!$J$6:$J$2005,$A137,资金流水!$X$6:$X$2005,"应付职工薪酬",资金流水!$R$6:$R$2005,"&gt;0",资金流水!$S$6:$S$2005,"&gt;="&amp;_辅助!$J$4,资金流水!$S$6:$S$2005,"&lt;="&amp;_辅助!$J$5),2))</f>
        <v>0</v>
      </c>
      <c r="G137">
        <f t="shared" si="2"/>
        <v>0</v>
      </c>
      <c r="H137">
        <f t="shared" si="3"/>
        <v>0</v>
      </c>
      <c r="I137">
        <f t="shared" si="4"/>
        <v>0</v>
      </c>
      <c r="J137">
        <f t="shared" si="5"/>
        <v>0</v>
      </c>
      <c r="K137">
        <f t="shared" si="6"/>
        <v>0</v>
      </c>
      <c r="L137">
        <f t="shared" si="7"/>
        <v>0</v>
      </c>
      <c r="M137">
        <f t="shared" si="8"/>
        <v>0</v>
      </c>
    </row>
    <row r="138">
      <c r="A138">
        <f>往来单位!$B$139&amp;""</f>
      </c>
      <c r="B138">
        <f>往来单位!$C$139&amp;""</f>
      </c>
      <c r="C138">
        <f t="shared" si="0"/>
        <v>0</v>
      </c>
      <c r="D138">
        <f t="shared" si="1"/>
        <v>0</v>
      </c>
      <c r="E138">
        <f>IF(OR($A138="",NOT(OR($B138="管理人员",$B138="工人"))),0,ROUND(N(往来单位!$M$139)+J138-K138-L138+M138,2))</f>
        <v>0</v>
      </c>
      <c r="F138">
        <f>IF(OR($A138="",NOT(OR($B138="管理人员",$B138="工人"))),0,ROUND(N(往来单位!$M$139)+SUMIFS(考勤工资!$W$5:$W$1004,考勤工资!$C$5:$C$1004,$A138,考勤工资!$Y$5:$Y$1004,"&gt;="&amp;_辅助!$J$4,考勤工资!$Y$5:$Y$1004,"&lt;="&amp;_辅助!$J$5)-(-SUMIFS(资金流水!$R$6:$R$2005,资金流水!$J$6:$J$2005,$A138,资金流水!$X$6:$X$2005,"应付职工薪酬",资金流水!$R$6:$R$2005,"&lt;0",资金流水!$S$6:$S$2005,"&gt;="&amp;_辅助!$J$4,资金流水!$S$6:$S$2005,"&lt;="&amp;_辅助!$J$5))-SUMIFS(代发抵账!$F$5:$F$304,代发抵账!$E$5:$E$304,$A138,代发抵账!$D$5:$D$304,"总包代发工资",代发抵账!$H$5:$H$304,"&gt;="&amp;_辅助!$J$4,代发抵账!$H$5:$H$304,"&lt;="&amp;_辅助!$J$5)+SUMIFS(资金流水!$R$6:$R$2005,资金流水!$J$6:$J$2005,$A138,资金流水!$X$6:$X$2005,"应付职工薪酬",资金流水!$R$6:$R$2005,"&gt;0",资金流水!$S$6:$S$2005,"&gt;="&amp;_辅助!$J$4,资金流水!$S$6:$S$2005,"&lt;="&amp;_辅助!$J$5),2))</f>
        <v>0</v>
      </c>
      <c r="G138">
        <f t="shared" si="2"/>
        <v>0</v>
      </c>
      <c r="H138">
        <f t="shared" si="3"/>
        <v>0</v>
      </c>
      <c r="I138">
        <f t="shared" si="4"/>
        <v>0</v>
      </c>
      <c r="J138">
        <f t="shared" si="5"/>
        <v>0</v>
      </c>
      <c r="K138">
        <f t="shared" si="6"/>
        <v>0</v>
      </c>
      <c r="L138">
        <f t="shared" si="7"/>
        <v>0</v>
      </c>
      <c r="M138">
        <f t="shared" si="8"/>
        <v>0</v>
      </c>
    </row>
    <row r="139">
      <c r="A139">
        <f>往来单位!$B$140&amp;""</f>
      </c>
      <c r="B139">
        <f>往来单位!$C$140&amp;""</f>
      </c>
      <c r="C139">
        <f t="shared" si="0"/>
        <v>0</v>
      </c>
      <c r="D139">
        <f t="shared" si="1"/>
        <v>0</v>
      </c>
      <c r="E139">
        <f>IF(OR($A139="",NOT(OR($B139="管理人员",$B139="工人"))),0,ROUND(N(往来单位!$M$140)+J139-K139-L139+M139,2))</f>
        <v>0</v>
      </c>
      <c r="F139">
        <f>IF(OR($A139="",NOT(OR($B139="管理人员",$B139="工人"))),0,ROUND(N(往来单位!$M$140)+SUMIFS(考勤工资!$W$5:$W$1004,考勤工资!$C$5:$C$1004,$A139,考勤工资!$Y$5:$Y$1004,"&gt;="&amp;_辅助!$J$4,考勤工资!$Y$5:$Y$1004,"&lt;="&amp;_辅助!$J$5)-(-SUMIFS(资金流水!$R$6:$R$2005,资金流水!$J$6:$J$2005,$A139,资金流水!$X$6:$X$2005,"应付职工薪酬",资金流水!$R$6:$R$2005,"&lt;0",资金流水!$S$6:$S$2005,"&gt;="&amp;_辅助!$J$4,资金流水!$S$6:$S$2005,"&lt;="&amp;_辅助!$J$5))-SUMIFS(代发抵账!$F$5:$F$304,代发抵账!$E$5:$E$304,$A139,代发抵账!$D$5:$D$304,"总包代发工资",代发抵账!$H$5:$H$304,"&gt;="&amp;_辅助!$J$4,代发抵账!$H$5:$H$304,"&lt;="&amp;_辅助!$J$5)+SUMIFS(资金流水!$R$6:$R$2005,资金流水!$J$6:$J$2005,$A139,资金流水!$X$6:$X$2005,"应付职工薪酬",资金流水!$R$6:$R$2005,"&gt;0",资金流水!$S$6:$S$2005,"&gt;="&amp;_辅助!$J$4,资金流水!$S$6:$S$2005,"&lt;="&amp;_辅助!$J$5),2))</f>
        <v>0</v>
      </c>
      <c r="G139">
        <f t="shared" si="2"/>
        <v>0</v>
      </c>
      <c r="H139">
        <f t="shared" si="3"/>
        <v>0</v>
      </c>
      <c r="I139">
        <f t="shared" si="4"/>
        <v>0</v>
      </c>
      <c r="J139">
        <f t="shared" si="5"/>
        <v>0</v>
      </c>
      <c r="K139">
        <f t="shared" si="6"/>
        <v>0</v>
      </c>
      <c r="L139">
        <f t="shared" si="7"/>
        <v>0</v>
      </c>
      <c r="M139">
        <f t="shared" si="8"/>
        <v>0</v>
      </c>
    </row>
    <row r="140">
      <c r="A140">
        <f>往来单位!$B$141&amp;""</f>
      </c>
      <c r="B140">
        <f>往来单位!$C$141&amp;""</f>
      </c>
      <c r="C140">
        <f t="shared" si="0"/>
        <v>0</v>
      </c>
      <c r="D140">
        <f t="shared" si="1"/>
        <v>0</v>
      </c>
      <c r="E140">
        <f>IF(OR($A140="",NOT(OR($B140="管理人员",$B140="工人"))),0,ROUND(N(往来单位!$M$141)+J140-K140-L140+M140,2))</f>
        <v>0</v>
      </c>
      <c r="F140">
        <f>IF(OR($A140="",NOT(OR($B140="管理人员",$B140="工人"))),0,ROUND(N(往来单位!$M$141)+SUMIFS(考勤工资!$W$5:$W$1004,考勤工资!$C$5:$C$1004,$A140,考勤工资!$Y$5:$Y$1004,"&gt;="&amp;_辅助!$J$4,考勤工资!$Y$5:$Y$1004,"&lt;="&amp;_辅助!$J$5)-(-SUMIFS(资金流水!$R$6:$R$2005,资金流水!$J$6:$J$2005,$A140,资金流水!$X$6:$X$2005,"应付职工薪酬",资金流水!$R$6:$R$2005,"&lt;0",资金流水!$S$6:$S$2005,"&gt;="&amp;_辅助!$J$4,资金流水!$S$6:$S$2005,"&lt;="&amp;_辅助!$J$5))-SUMIFS(代发抵账!$F$5:$F$304,代发抵账!$E$5:$E$304,$A140,代发抵账!$D$5:$D$304,"总包代发工资",代发抵账!$H$5:$H$304,"&gt;="&amp;_辅助!$J$4,代发抵账!$H$5:$H$304,"&lt;="&amp;_辅助!$J$5)+SUMIFS(资金流水!$R$6:$R$2005,资金流水!$J$6:$J$2005,$A140,资金流水!$X$6:$X$2005,"应付职工薪酬",资金流水!$R$6:$R$2005,"&gt;0",资金流水!$S$6:$S$2005,"&gt;="&amp;_辅助!$J$4,资金流水!$S$6:$S$2005,"&lt;="&amp;_辅助!$J$5),2))</f>
        <v>0</v>
      </c>
      <c r="G140">
        <f t="shared" si="2"/>
        <v>0</v>
      </c>
      <c r="H140">
        <f t="shared" si="3"/>
        <v>0</v>
      </c>
      <c r="I140">
        <f t="shared" si="4"/>
        <v>0</v>
      </c>
      <c r="J140">
        <f t="shared" si="5"/>
        <v>0</v>
      </c>
      <c r="K140">
        <f t="shared" si="6"/>
        <v>0</v>
      </c>
      <c r="L140">
        <f t="shared" si="7"/>
        <v>0</v>
      </c>
      <c r="M140">
        <f t="shared" si="8"/>
        <v>0</v>
      </c>
    </row>
    <row r="141">
      <c r="A141">
        <f>往来单位!$B$142&amp;""</f>
      </c>
      <c r="B141">
        <f>往来单位!$C$142&amp;""</f>
      </c>
      <c r="C141">
        <f t="shared" si="0"/>
        <v>0</v>
      </c>
      <c r="D141">
        <f t="shared" si="1"/>
        <v>0</v>
      </c>
      <c r="E141">
        <f>IF(OR($A141="",NOT(OR($B141="管理人员",$B141="工人"))),0,ROUND(N(往来单位!$M$142)+J141-K141-L141+M141,2))</f>
        <v>0</v>
      </c>
      <c r="F141">
        <f>IF(OR($A141="",NOT(OR($B141="管理人员",$B141="工人"))),0,ROUND(N(往来单位!$M$142)+SUMIFS(考勤工资!$W$5:$W$1004,考勤工资!$C$5:$C$1004,$A141,考勤工资!$Y$5:$Y$1004,"&gt;="&amp;_辅助!$J$4,考勤工资!$Y$5:$Y$1004,"&lt;="&amp;_辅助!$J$5)-(-SUMIFS(资金流水!$R$6:$R$2005,资金流水!$J$6:$J$2005,$A141,资金流水!$X$6:$X$2005,"应付职工薪酬",资金流水!$R$6:$R$2005,"&lt;0",资金流水!$S$6:$S$2005,"&gt;="&amp;_辅助!$J$4,资金流水!$S$6:$S$2005,"&lt;="&amp;_辅助!$J$5))-SUMIFS(代发抵账!$F$5:$F$304,代发抵账!$E$5:$E$304,$A141,代发抵账!$D$5:$D$304,"总包代发工资",代发抵账!$H$5:$H$304,"&gt;="&amp;_辅助!$J$4,代发抵账!$H$5:$H$304,"&lt;="&amp;_辅助!$J$5)+SUMIFS(资金流水!$R$6:$R$2005,资金流水!$J$6:$J$2005,$A141,资金流水!$X$6:$X$2005,"应付职工薪酬",资金流水!$R$6:$R$2005,"&gt;0",资金流水!$S$6:$S$2005,"&gt;="&amp;_辅助!$J$4,资金流水!$S$6:$S$2005,"&lt;="&amp;_辅助!$J$5),2))</f>
        <v>0</v>
      </c>
      <c r="G141">
        <f t="shared" si="2"/>
        <v>0</v>
      </c>
      <c r="H141">
        <f t="shared" si="3"/>
        <v>0</v>
      </c>
      <c r="I141">
        <f t="shared" si="4"/>
        <v>0</v>
      </c>
      <c r="J141">
        <f t="shared" si="5"/>
        <v>0</v>
      </c>
      <c r="K141">
        <f t="shared" si="6"/>
        <v>0</v>
      </c>
      <c r="L141">
        <f t="shared" si="7"/>
        <v>0</v>
      </c>
      <c r="M141">
        <f t="shared" si="8"/>
        <v>0</v>
      </c>
    </row>
    <row r="142">
      <c r="A142">
        <f>往来单位!$B$143&amp;""</f>
      </c>
      <c r="B142">
        <f>往来单位!$C$143&amp;""</f>
      </c>
      <c r="C142">
        <f t="shared" si="0"/>
        <v>0</v>
      </c>
      <c r="D142">
        <f t="shared" si="1"/>
        <v>0</v>
      </c>
      <c r="E142">
        <f>IF(OR($A142="",NOT(OR($B142="管理人员",$B142="工人"))),0,ROUND(N(往来单位!$M$143)+J142-K142-L142+M142,2))</f>
        <v>0</v>
      </c>
      <c r="F142">
        <f>IF(OR($A142="",NOT(OR($B142="管理人员",$B142="工人"))),0,ROUND(N(往来单位!$M$143)+SUMIFS(考勤工资!$W$5:$W$1004,考勤工资!$C$5:$C$1004,$A142,考勤工资!$Y$5:$Y$1004,"&gt;="&amp;_辅助!$J$4,考勤工资!$Y$5:$Y$1004,"&lt;="&amp;_辅助!$J$5)-(-SUMIFS(资金流水!$R$6:$R$2005,资金流水!$J$6:$J$2005,$A142,资金流水!$X$6:$X$2005,"应付职工薪酬",资金流水!$R$6:$R$2005,"&lt;0",资金流水!$S$6:$S$2005,"&gt;="&amp;_辅助!$J$4,资金流水!$S$6:$S$2005,"&lt;="&amp;_辅助!$J$5))-SUMIFS(代发抵账!$F$5:$F$304,代发抵账!$E$5:$E$304,$A142,代发抵账!$D$5:$D$304,"总包代发工资",代发抵账!$H$5:$H$304,"&gt;="&amp;_辅助!$J$4,代发抵账!$H$5:$H$304,"&lt;="&amp;_辅助!$J$5)+SUMIFS(资金流水!$R$6:$R$2005,资金流水!$J$6:$J$2005,$A142,资金流水!$X$6:$X$2005,"应付职工薪酬",资金流水!$R$6:$R$2005,"&gt;0",资金流水!$S$6:$S$2005,"&gt;="&amp;_辅助!$J$4,资金流水!$S$6:$S$2005,"&lt;="&amp;_辅助!$J$5),2))</f>
        <v>0</v>
      </c>
      <c r="G142">
        <f t="shared" si="2"/>
        <v>0</v>
      </c>
      <c r="H142">
        <f t="shared" si="3"/>
        <v>0</v>
      </c>
      <c r="I142">
        <f t="shared" si="4"/>
        <v>0</v>
      </c>
      <c r="J142">
        <f t="shared" si="5"/>
        <v>0</v>
      </c>
      <c r="K142">
        <f t="shared" si="6"/>
        <v>0</v>
      </c>
      <c r="L142">
        <f t="shared" si="7"/>
        <v>0</v>
      </c>
      <c r="M142">
        <f t="shared" si="8"/>
        <v>0</v>
      </c>
    </row>
    <row r="143">
      <c r="A143">
        <f>往来单位!$B$144&amp;""</f>
      </c>
      <c r="B143">
        <f>往来单位!$C$144&amp;""</f>
      </c>
      <c r="C143">
        <f t="shared" si="0"/>
        <v>0</v>
      </c>
      <c r="D143">
        <f t="shared" si="1"/>
        <v>0</v>
      </c>
      <c r="E143">
        <f>IF(OR($A143="",NOT(OR($B143="管理人员",$B143="工人"))),0,ROUND(N(往来单位!$M$144)+J143-K143-L143+M143,2))</f>
        <v>0</v>
      </c>
      <c r="F143">
        <f>IF(OR($A143="",NOT(OR($B143="管理人员",$B143="工人"))),0,ROUND(N(往来单位!$M$144)+SUMIFS(考勤工资!$W$5:$W$1004,考勤工资!$C$5:$C$1004,$A143,考勤工资!$Y$5:$Y$1004,"&gt;="&amp;_辅助!$J$4,考勤工资!$Y$5:$Y$1004,"&lt;="&amp;_辅助!$J$5)-(-SUMIFS(资金流水!$R$6:$R$2005,资金流水!$J$6:$J$2005,$A143,资金流水!$X$6:$X$2005,"应付职工薪酬",资金流水!$R$6:$R$2005,"&lt;0",资金流水!$S$6:$S$2005,"&gt;="&amp;_辅助!$J$4,资金流水!$S$6:$S$2005,"&lt;="&amp;_辅助!$J$5))-SUMIFS(代发抵账!$F$5:$F$304,代发抵账!$E$5:$E$304,$A143,代发抵账!$D$5:$D$304,"总包代发工资",代发抵账!$H$5:$H$304,"&gt;="&amp;_辅助!$J$4,代发抵账!$H$5:$H$304,"&lt;="&amp;_辅助!$J$5)+SUMIFS(资金流水!$R$6:$R$2005,资金流水!$J$6:$J$2005,$A143,资金流水!$X$6:$X$2005,"应付职工薪酬",资金流水!$R$6:$R$2005,"&gt;0",资金流水!$S$6:$S$2005,"&gt;="&amp;_辅助!$J$4,资金流水!$S$6:$S$2005,"&lt;="&amp;_辅助!$J$5),2))</f>
        <v>0</v>
      </c>
      <c r="G143">
        <f t="shared" si="2"/>
        <v>0</v>
      </c>
      <c r="H143">
        <f t="shared" si="3"/>
        <v>0</v>
      </c>
      <c r="I143">
        <f t="shared" si="4"/>
        <v>0</v>
      </c>
      <c r="J143">
        <f t="shared" si="5"/>
        <v>0</v>
      </c>
      <c r="K143">
        <f t="shared" si="6"/>
        <v>0</v>
      </c>
      <c r="L143">
        <f t="shared" si="7"/>
        <v>0</v>
      </c>
      <c r="M143">
        <f t="shared" si="8"/>
        <v>0</v>
      </c>
    </row>
    <row r="144">
      <c r="A144">
        <f>往来单位!$B$145&amp;""</f>
      </c>
      <c r="B144">
        <f>往来单位!$C$145&amp;""</f>
      </c>
      <c r="C144">
        <f t="shared" si="0"/>
        <v>0</v>
      </c>
      <c r="D144">
        <f t="shared" si="1"/>
        <v>0</v>
      </c>
      <c r="E144">
        <f>IF(OR($A144="",NOT(OR($B144="管理人员",$B144="工人"))),0,ROUND(N(往来单位!$M$145)+J144-K144-L144+M144,2))</f>
        <v>0</v>
      </c>
      <c r="F144">
        <f>IF(OR($A144="",NOT(OR($B144="管理人员",$B144="工人"))),0,ROUND(N(往来单位!$M$145)+SUMIFS(考勤工资!$W$5:$W$1004,考勤工资!$C$5:$C$1004,$A144,考勤工资!$Y$5:$Y$1004,"&gt;="&amp;_辅助!$J$4,考勤工资!$Y$5:$Y$1004,"&lt;="&amp;_辅助!$J$5)-(-SUMIFS(资金流水!$R$6:$R$2005,资金流水!$J$6:$J$2005,$A144,资金流水!$X$6:$X$2005,"应付职工薪酬",资金流水!$R$6:$R$2005,"&lt;0",资金流水!$S$6:$S$2005,"&gt;="&amp;_辅助!$J$4,资金流水!$S$6:$S$2005,"&lt;="&amp;_辅助!$J$5))-SUMIFS(代发抵账!$F$5:$F$304,代发抵账!$E$5:$E$304,$A144,代发抵账!$D$5:$D$304,"总包代发工资",代发抵账!$H$5:$H$304,"&gt;="&amp;_辅助!$J$4,代发抵账!$H$5:$H$304,"&lt;="&amp;_辅助!$J$5)+SUMIFS(资金流水!$R$6:$R$2005,资金流水!$J$6:$J$2005,$A144,资金流水!$X$6:$X$2005,"应付职工薪酬",资金流水!$R$6:$R$2005,"&gt;0",资金流水!$S$6:$S$2005,"&gt;="&amp;_辅助!$J$4,资金流水!$S$6:$S$2005,"&lt;="&amp;_辅助!$J$5),2))</f>
        <v>0</v>
      </c>
      <c r="G144">
        <f t="shared" si="2"/>
        <v>0</v>
      </c>
      <c r="H144">
        <f t="shared" si="3"/>
        <v>0</v>
      </c>
      <c r="I144">
        <f t="shared" si="4"/>
        <v>0</v>
      </c>
      <c r="J144">
        <f t="shared" si="5"/>
        <v>0</v>
      </c>
      <c r="K144">
        <f t="shared" si="6"/>
        <v>0</v>
      </c>
      <c r="L144">
        <f t="shared" si="7"/>
        <v>0</v>
      </c>
      <c r="M144">
        <f t="shared" si="8"/>
        <v>0</v>
      </c>
    </row>
    <row r="145">
      <c r="A145">
        <f>往来单位!$B$146&amp;""</f>
      </c>
      <c r="B145">
        <f>往来单位!$C$146&amp;""</f>
      </c>
      <c r="C145">
        <f t="shared" si="0"/>
        <v>0</v>
      </c>
      <c r="D145">
        <f t="shared" si="1"/>
        <v>0</v>
      </c>
      <c r="E145">
        <f>IF(OR($A145="",NOT(OR($B145="管理人员",$B145="工人"))),0,ROUND(N(往来单位!$M$146)+J145-K145-L145+M145,2))</f>
        <v>0</v>
      </c>
      <c r="F145">
        <f>IF(OR($A145="",NOT(OR($B145="管理人员",$B145="工人"))),0,ROUND(N(往来单位!$M$146)+SUMIFS(考勤工资!$W$5:$W$1004,考勤工资!$C$5:$C$1004,$A145,考勤工资!$Y$5:$Y$1004,"&gt;="&amp;_辅助!$J$4,考勤工资!$Y$5:$Y$1004,"&lt;="&amp;_辅助!$J$5)-(-SUMIFS(资金流水!$R$6:$R$2005,资金流水!$J$6:$J$2005,$A145,资金流水!$X$6:$X$2005,"应付职工薪酬",资金流水!$R$6:$R$2005,"&lt;0",资金流水!$S$6:$S$2005,"&gt;="&amp;_辅助!$J$4,资金流水!$S$6:$S$2005,"&lt;="&amp;_辅助!$J$5))-SUMIFS(代发抵账!$F$5:$F$304,代发抵账!$E$5:$E$304,$A145,代发抵账!$D$5:$D$304,"总包代发工资",代发抵账!$H$5:$H$304,"&gt;="&amp;_辅助!$J$4,代发抵账!$H$5:$H$304,"&lt;="&amp;_辅助!$J$5)+SUMIFS(资金流水!$R$6:$R$2005,资金流水!$J$6:$J$2005,$A145,资金流水!$X$6:$X$2005,"应付职工薪酬",资金流水!$R$6:$R$2005,"&gt;0",资金流水!$S$6:$S$2005,"&gt;="&amp;_辅助!$J$4,资金流水!$S$6:$S$2005,"&lt;="&amp;_辅助!$J$5),2))</f>
        <v>0</v>
      </c>
      <c r="G145">
        <f t="shared" si="2"/>
        <v>0</v>
      </c>
      <c r="H145">
        <f t="shared" si="3"/>
        <v>0</v>
      </c>
      <c r="I145">
        <f t="shared" si="4"/>
        <v>0</v>
      </c>
      <c r="J145">
        <f t="shared" si="5"/>
        <v>0</v>
      </c>
      <c r="K145">
        <f t="shared" si="6"/>
        <v>0</v>
      </c>
      <c r="L145">
        <f t="shared" si="7"/>
        <v>0</v>
      </c>
      <c r="M145">
        <f t="shared" si="8"/>
        <v>0</v>
      </c>
    </row>
    <row r="146">
      <c r="A146">
        <f>往来单位!$B$147&amp;""</f>
      </c>
      <c r="B146">
        <f>往来单位!$C$147&amp;""</f>
      </c>
      <c r="C146">
        <f t="shared" si="0"/>
        <v>0</v>
      </c>
      <c r="D146">
        <f t="shared" si="1"/>
        <v>0</v>
      </c>
      <c r="E146">
        <f>IF(OR($A146="",NOT(OR($B146="管理人员",$B146="工人"))),0,ROUND(N(往来单位!$M$147)+J146-K146-L146+M146,2))</f>
        <v>0</v>
      </c>
      <c r="F146">
        <f>IF(OR($A146="",NOT(OR($B146="管理人员",$B146="工人"))),0,ROUND(N(往来单位!$M$147)+SUMIFS(考勤工资!$W$5:$W$1004,考勤工资!$C$5:$C$1004,$A146,考勤工资!$Y$5:$Y$1004,"&gt;="&amp;_辅助!$J$4,考勤工资!$Y$5:$Y$1004,"&lt;="&amp;_辅助!$J$5)-(-SUMIFS(资金流水!$R$6:$R$2005,资金流水!$J$6:$J$2005,$A146,资金流水!$X$6:$X$2005,"应付职工薪酬",资金流水!$R$6:$R$2005,"&lt;0",资金流水!$S$6:$S$2005,"&gt;="&amp;_辅助!$J$4,资金流水!$S$6:$S$2005,"&lt;="&amp;_辅助!$J$5))-SUMIFS(代发抵账!$F$5:$F$304,代发抵账!$E$5:$E$304,$A146,代发抵账!$D$5:$D$304,"总包代发工资",代发抵账!$H$5:$H$304,"&gt;="&amp;_辅助!$J$4,代发抵账!$H$5:$H$304,"&lt;="&amp;_辅助!$J$5)+SUMIFS(资金流水!$R$6:$R$2005,资金流水!$J$6:$J$2005,$A146,资金流水!$X$6:$X$2005,"应付职工薪酬",资金流水!$R$6:$R$2005,"&gt;0",资金流水!$S$6:$S$2005,"&gt;="&amp;_辅助!$J$4,资金流水!$S$6:$S$2005,"&lt;="&amp;_辅助!$J$5),2))</f>
        <v>0</v>
      </c>
      <c r="G146">
        <f t="shared" si="2"/>
        <v>0</v>
      </c>
      <c r="H146">
        <f t="shared" si="3"/>
        <v>0</v>
      </c>
      <c r="I146">
        <f t="shared" si="4"/>
        <v>0</v>
      </c>
      <c r="J146">
        <f t="shared" si="5"/>
        <v>0</v>
      </c>
      <c r="K146">
        <f t="shared" si="6"/>
        <v>0</v>
      </c>
      <c r="L146">
        <f t="shared" si="7"/>
        <v>0</v>
      </c>
      <c r="M146">
        <f t="shared" si="8"/>
        <v>0</v>
      </c>
    </row>
    <row r="147">
      <c r="A147">
        <f>往来单位!$B$148&amp;""</f>
      </c>
      <c r="B147">
        <f>往来单位!$C$148&amp;""</f>
      </c>
      <c r="C147">
        <f t="shared" si="0"/>
        <v>0</v>
      </c>
      <c r="D147">
        <f t="shared" si="1"/>
        <v>0</v>
      </c>
      <c r="E147">
        <f>IF(OR($A147="",NOT(OR($B147="管理人员",$B147="工人"))),0,ROUND(N(往来单位!$M$148)+J147-K147-L147+M147,2))</f>
        <v>0</v>
      </c>
      <c r="F147">
        <f>IF(OR($A147="",NOT(OR($B147="管理人员",$B147="工人"))),0,ROUND(N(往来单位!$M$148)+SUMIFS(考勤工资!$W$5:$W$1004,考勤工资!$C$5:$C$1004,$A147,考勤工资!$Y$5:$Y$1004,"&gt;="&amp;_辅助!$J$4,考勤工资!$Y$5:$Y$1004,"&lt;="&amp;_辅助!$J$5)-(-SUMIFS(资金流水!$R$6:$R$2005,资金流水!$J$6:$J$2005,$A147,资金流水!$X$6:$X$2005,"应付职工薪酬",资金流水!$R$6:$R$2005,"&lt;0",资金流水!$S$6:$S$2005,"&gt;="&amp;_辅助!$J$4,资金流水!$S$6:$S$2005,"&lt;="&amp;_辅助!$J$5))-SUMIFS(代发抵账!$F$5:$F$304,代发抵账!$E$5:$E$304,$A147,代发抵账!$D$5:$D$304,"总包代发工资",代发抵账!$H$5:$H$304,"&gt;="&amp;_辅助!$J$4,代发抵账!$H$5:$H$304,"&lt;="&amp;_辅助!$J$5)+SUMIFS(资金流水!$R$6:$R$2005,资金流水!$J$6:$J$2005,$A147,资金流水!$X$6:$X$2005,"应付职工薪酬",资金流水!$R$6:$R$2005,"&gt;0",资金流水!$S$6:$S$2005,"&gt;="&amp;_辅助!$J$4,资金流水!$S$6:$S$2005,"&lt;="&amp;_辅助!$J$5),2))</f>
        <v>0</v>
      </c>
      <c r="G147">
        <f t="shared" si="2"/>
        <v>0</v>
      </c>
      <c r="H147">
        <f t="shared" si="3"/>
        <v>0</v>
      </c>
      <c r="I147">
        <f t="shared" si="4"/>
        <v>0</v>
      </c>
      <c r="J147">
        <f t="shared" si="5"/>
        <v>0</v>
      </c>
      <c r="K147">
        <f t="shared" si="6"/>
        <v>0</v>
      </c>
      <c r="L147">
        <f t="shared" si="7"/>
        <v>0</v>
      </c>
      <c r="M147">
        <f t="shared" si="8"/>
        <v>0</v>
      </c>
    </row>
    <row r="148">
      <c r="A148">
        <f>往来单位!$B$149&amp;""</f>
      </c>
      <c r="B148">
        <f>往来单位!$C$149&amp;""</f>
      </c>
      <c r="C148">
        <f t="shared" si="0"/>
        <v>0</v>
      </c>
      <c r="D148">
        <f t="shared" si="1"/>
        <v>0</v>
      </c>
      <c r="E148">
        <f>IF(OR($A148="",NOT(OR($B148="管理人员",$B148="工人"))),0,ROUND(N(往来单位!$M$149)+J148-K148-L148+M148,2))</f>
        <v>0</v>
      </c>
      <c r="F148">
        <f>IF(OR($A148="",NOT(OR($B148="管理人员",$B148="工人"))),0,ROUND(N(往来单位!$M$149)+SUMIFS(考勤工资!$W$5:$W$1004,考勤工资!$C$5:$C$1004,$A148,考勤工资!$Y$5:$Y$1004,"&gt;="&amp;_辅助!$J$4,考勤工资!$Y$5:$Y$1004,"&lt;="&amp;_辅助!$J$5)-(-SUMIFS(资金流水!$R$6:$R$2005,资金流水!$J$6:$J$2005,$A148,资金流水!$X$6:$X$2005,"应付职工薪酬",资金流水!$R$6:$R$2005,"&lt;0",资金流水!$S$6:$S$2005,"&gt;="&amp;_辅助!$J$4,资金流水!$S$6:$S$2005,"&lt;="&amp;_辅助!$J$5))-SUMIFS(代发抵账!$F$5:$F$304,代发抵账!$E$5:$E$304,$A148,代发抵账!$D$5:$D$304,"总包代发工资",代发抵账!$H$5:$H$304,"&gt;="&amp;_辅助!$J$4,代发抵账!$H$5:$H$304,"&lt;="&amp;_辅助!$J$5)+SUMIFS(资金流水!$R$6:$R$2005,资金流水!$J$6:$J$2005,$A148,资金流水!$X$6:$X$2005,"应付职工薪酬",资金流水!$R$6:$R$2005,"&gt;0",资金流水!$S$6:$S$2005,"&gt;="&amp;_辅助!$J$4,资金流水!$S$6:$S$2005,"&lt;="&amp;_辅助!$J$5),2))</f>
        <v>0</v>
      </c>
      <c r="G148">
        <f t="shared" si="2"/>
        <v>0</v>
      </c>
      <c r="H148">
        <f t="shared" si="3"/>
        <v>0</v>
      </c>
      <c r="I148">
        <f t="shared" si="4"/>
        <v>0</v>
      </c>
      <c r="J148">
        <f t="shared" si="5"/>
        <v>0</v>
      </c>
      <c r="K148">
        <f t="shared" si="6"/>
        <v>0</v>
      </c>
      <c r="L148">
        <f t="shared" si="7"/>
        <v>0</v>
      </c>
      <c r="M148">
        <f t="shared" si="8"/>
        <v>0</v>
      </c>
    </row>
    <row r="149">
      <c r="A149">
        <f>往来单位!$B$150&amp;""</f>
      </c>
      <c r="B149">
        <f>往来单位!$C$150&amp;""</f>
      </c>
      <c r="C149">
        <f t="shared" si="0"/>
        <v>0</v>
      </c>
      <c r="D149">
        <f t="shared" si="1"/>
        <v>0</v>
      </c>
      <c r="E149">
        <f>IF(OR($A149="",NOT(OR($B149="管理人员",$B149="工人"))),0,ROUND(N(往来单位!$M$150)+J149-K149-L149+M149,2))</f>
        <v>0</v>
      </c>
      <c r="F149">
        <f>IF(OR($A149="",NOT(OR($B149="管理人员",$B149="工人"))),0,ROUND(N(往来单位!$M$150)+SUMIFS(考勤工资!$W$5:$W$1004,考勤工资!$C$5:$C$1004,$A149,考勤工资!$Y$5:$Y$1004,"&gt;="&amp;_辅助!$J$4,考勤工资!$Y$5:$Y$1004,"&lt;="&amp;_辅助!$J$5)-(-SUMIFS(资金流水!$R$6:$R$2005,资金流水!$J$6:$J$2005,$A149,资金流水!$X$6:$X$2005,"应付职工薪酬",资金流水!$R$6:$R$2005,"&lt;0",资金流水!$S$6:$S$2005,"&gt;="&amp;_辅助!$J$4,资金流水!$S$6:$S$2005,"&lt;="&amp;_辅助!$J$5))-SUMIFS(代发抵账!$F$5:$F$304,代发抵账!$E$5:$E$304,$A149,代发抵账!$D$5:$D$304,"总包代发工资",代发抵账!$H$5:$H$304,"&gt;="&amp;_辅助!$J$4,代发抵账!$H$5:$H$304,"&lt;="&amp;_辅助!$J$5)+SUMIFS(资金流水!$R$6:$R$2005,资金流水!$J$6:$J$2005,$A149,资金流水!$X$6:$X$2005,"应付职工薪酬",资金流水!$R$6:$R$2005,"&gt;0",资金流水!$S$6:$S$2005,"&gt;="&amp;_辅助!$J$4,资金流水!$S$6:$S$2005,"&lt;="&amp;_辅助!$J$5),2))</f>
        <v>0</v>
      </c>
      <c r="G149">
        <f t="shared" si="2"/>
        <v>0</v>
      </c>
      <c r="H149">
        <f t="shared" si="3"/>
        <v>0</v>
      </c>
      <c r="I149">
        <f t="shared" si="4"/>
        <v>0</v>
      </c>
      <c r="J149">
        <f t="shared" si="5"/>
        <v>0</v>
      </c>
      <c r="K149">
        <f t="shared" si="6"/>
        <v>0</v>
      </c>
      <c r="L149">
        <f t="shared" si="7"/>
        <v>0</v>
      </c>
      <c r="M149">
        <f t="shared" si="8"/>
        <v>0</v>
      </c>
    </row>
    <row r="150">
      <c r="A150">
        <f>往来单位!$B$151&amp;""</f>
      </c>
      <c r="B150">
        <f>往来单位!$C$151&amp;""</f>
      </c>
      <c r="C150">
        <f t="shared" si="0"/>
        <v>0</v>
      </c>
      <c r="D150">
        <f t="shared" si="1"/>
        <v>0</v>
      </c>
      <c r="E150">
        <f>IF(OR($A150="",NOT(OR($B150="管理人员",$B150="工人"))),0,ROUND(N(往来单位!$M$151)+J150-K150-L150+M150,2))</f>
        <v>0</v>
      </c>
      <c r="F150">
        <f>IF(OR($A150="",NOT(OR($B150="管理人员",$B150="工人"))),0,ROUND(N(往来单位!$M$151)+SUMIFS(考勤工资!$W$5:$W$1004,考勤工资!$C$5:$C$1004,$A150,考勤工资!$Y$5:$Y$1004,"&gt;="&amp;_辅助!$J$4,考勤工资!$Y$5:$Y$1004,"&lt;="&amp;_辅助!$J$5)-(-SUMIFS(资金流水!$R$6:$R$2005,资金流水!$J$6:$J$2005,$A150,资金流水!$X$6:$X$2005,"应付职工薪酬",资金流水!$R$6:$R$2005,"&lt;0",资金流水!$S$6:$S$2005,"&gt;="&amp;_辅助!$J$4,资金流水!$S$6:$S$2005,"&lt;="&amp;_辅助!$J$5))-SUMIFS(代发抵账!$F$5:$F$304,代发抵账!$E$5:$E$304,$A150,代发抵账!$D$5:$D$304,"总包代发工资",代发抵账!$H$5:$H$304,"&gt;="&amp;_辅助!$J$4,代发抵账!$H$5:$H$304,"&lt;="&amp;_辅助!$J$5)+SUMIFS(资金流水!$R$6:$R$2005,资金流水!$J$6:$J$2005,$A150,资金流水!$X$6:$X$2005,"应付职工薪酬",资金流水!$R$6:$R$2005,"&gt;0",资金流水!$S$6:$S$2005,"&gt;="&amp;_辅助!$J$4,资金流水!$S$6:$S$2005,"&lt;="&amp;_辅助!$J$5),2))</f>
        <v>0</v>
      </c>
      <c r="G150">
        <f t="shared" si="2"/>
        <v>0</v>
      </c>
      <c r="H150">
        <f t="shared" si="3"/>
        <v>0</v>
      </c>
      <c r="I150">
        <f t="shared" si="4"/>
        <v>0</v>
      </c>
      <c r="J150">
        <f t="shared" si="5"/>
        <v>0</v>
      </c>
      <c r="K150">
        <f t="shared" si="6"/>
        <v>0</v>
      </c>
      <c r="L150">
        <f t="shared" si="7"/>
        <v>0</v>
      </c>
      <c r="M150">
        <f t="shared" si="8"/>
        <v>0</v>
      </c>
    </row>
    <row r="151">
      <c r="A151">
        <f>往来单位!$B$152&amp;""</f>
      </c>
      <c r="B151">
        <f>往来单位!$C$152&amp;""</f>
      </c>
      <c r="C151">
        <f t="shared" si="0"/>
        <v>0</v>
      </c>
      <c r="D151">
        <f t="shared" si="1"/>
        <v>0</v>
      </c>
      <c r="E151">
        <f>IF(OR($A151="",NOT(OR($B151="管理人员",$B151="工人"))),0,ROUND(N(往来单位!$M$152)+J151-K151-L151+M151,2))</f>
        <v>0</v>
      </c>
      <c r="F151">
        <f>IF(OR($A151="",NOT(OR($B151="管理人员",$B151="工人"))),0,ROUND(N(往来单位!$M$152)+SUMIFS(考勤工资!$W$5:$W$1004,考勤工资!$C$5:$C$1004,$A151,考勤工资!$Y$5:$Y$1004,"&gt;="&amp;_辅助!$J$4,考勤工资!$Y$5:$Y$1004,"&lt;="&amp;_辅助!$J$5)-(-SUMIFS(资金流水!$R$6:$R$2005,资金流水!$J$6:$J$2005,$A151,资金流水!$X$6:$X$2005,"应付职工薪酬",资金流水!$R$6:$R$2005,"&lt;0",资金流水!$S$6:$S$2005,"&gt;="&amp;_辅助!$J$4,资金流水!$S$6:$S$2005,"&lt;="&amp;_辅助!$J$5))-SUMIFS(代发抵账!$F$5:$F$304,代发抵账!$E$5:$E$304,$A151,代发抵账!$D$5:$D$304,"总包代发工资",代发抵账!$H$5:$H$304,"&gt;="&amp;_辅助!$J$4,代发抵账!$H$5:$H$304,"&lt;="&amp;_辅助!$J$5)+SUMIFS(资金流水!$R$6:$R$2005,资金流水!$J$6:$J$2005,$A151,资金流水!$X$6:$X$2005,"应付职工薪酬",资金流水!$R$6:$R$2005,"&gt;0",资金流水!$S$6:$S$2005,"&gt;="&amp;_辅助!$J$4,资金流水!$S$6:$S$2005,"&lt;="&amp;_辅助!$J$5),2))</f>
        <v>0</v>
      </c>
      <c r="G151">
        <f t="shared" si="2"/>
        <v>0</v>
      </c>
      <c r="H151">
        <f t="shared" si="3"/>
        <v>0</v>
      </c>
      <c r="I151">
        <f t="shared" si="4"/>
        <v>0</v>
      </c>
      <c r="J151">
        <f t="shared" si="5"/>
        <v>0</v>
      </c>
      <c r="K151">
        <f t="shared" si="6"/>
        <v>0</v>
      </c>
      <c r="L151">
        <f t="shared" si="7"/>
        <v>0</v>
      </c>
      <c r="M151">
        <f t="shared" si="8"/>
        <v>0</v>
      </c>
    </row>
    <row r="152">
      <c r="A152">
        <f>往来单位!$B$153&amp;""</f>
      </c>
      <c r="B152">
        <f>往来单位!$C$153&amp;""</f>
      </c>
      <c r="C152">
        <f t="shared" si="0"/>
        <v>0</v>
      </c>
      <c r="D152">
        <f t="shared" si="1"/>
        <v>0</v>
      </c>
      <c r="E152">
        <f>IF(OR($A152="",NOT(OR($B152="管理人员",$B152="工人"))),0,ROUND(N(往来单位!$M$153)+J152-K152-L152+M152,2))</f>
        <v>0</v>
      </c>
      <c r="F152">
        <f>IF(OR($A152="",NOT(OR($B152="管理人员",$B152="工人"))),0,ROUND(N(往来单位!$M$153)+SUMIFS(考勤工资!$W$5:$W$1004,考勤工资!$C$5:$C$1004,$A152,考勤工资!$Y$5:$Y$1004,"&gt;="&amp;_辅助!$J$4,考勤工资!$Y$5:$Y$1004,"&lt;="&amp;_辅助!$J$5)-(-SUMIFS(资金流水!$R$6:$R$2005,资金流水!$J$6:$J$2005,$A152,资金流水!$X$6:$X$2005,"应付职工薪酬",资金流水!$R$6:$R$2005,"&lt;0",资金流水!$S$6:$S$2005,"&gt;="&amp;_辅助!$J$4,资金流水!$S$6:$S$2005,"&lt;="&amp;_辅助!$J$5))-SUMIFS(代发抵账!$F$5:$F$304,代发抵账!$E$5:$E$304,$A152,代发抵账!$D$5:$D$304,"总包代发工资",代发抵账!$H$5:$H$304,"&gt;="&amp;_辅助!$J$4,代发抵账!$H$5:$H$304,"&lt;="&amp;_辅助!$J$5)+SUMIFS(资金流水!$R$6:$R$2005,资金流水!$J$6:$J$2005,$A152,资金流水!$X$6:$X$2005,"应付职工薪酬",资金流水!$R$6:$R$2005,"&gt;0",资金流水!$S$6:$S$2005,"&gt;="&amp;_辅助!$J$4,资金流水!$S$6:$S$2005,"&lt;="&amp;_辅助!$J$5),2))</f>
        <v>0</v>
      </c>
      <c r="G152">
        <f t="shared" si="2"/>
        <v>0</v>
      </c>
      <c r="H152">
        <f t="shared" si="3"/>
        <v>0</v>
      </c>
      <c r="I152">
        <f t="shared" si="4"/>
        <v>0</v>
      </c>
      <c r="J152">
        <f t="shared" si="5"/>
        <v>0</v>
      </c>
      <c r="K152">
        <f t="shared" si="6"/>
        <v>0</v>
      </c>
      <c r="L152">
        <f t="shared" si="7"/>
        <v>0</v>
      </c>
      <c r="M152">
        <f t="shared" si="8"/>
        <v>0</v>
      </c>
    </row>
    <row r="153">
      <c r="A153">
        <f>往来单位!$B$154&amp;""</f>
      </c>
      <c r="B153">
        <f>往来单位!$C$154&amp;""</f>
      </c>
      <c r="C153">
        <f t="shared" si="0"/>
        <v>0</v>
      </c>
      <c r="D153">
        <f t="shared" si="1"/>
        <v>0</v>
      </c>
      <c r="E153">
        <f>IF(OR($A153="",NOT(OR($B153="管理人员",$B153="工人"))),0,ROUND(N(往来单位!$M$154)+J153-K153-L153+M153,2))</f>
        <v>0</v>
      </c>
      <c r="F153">
        <f>IF(OR($A153="",NOT(OR($B153="管理人员",$B153="工人"))),0,ROUND(N(往来单位!$M$154)+SUMIFS(考勤工资!$W$5:$W$1004,考勤工资!$C$5:$C$1004,$A153,考勤工资!$Y$5:$Y$1004,"&gt;="&amp;_辅助!$J$4,考勤工资!$Y$5:$Y$1004,"&lt;="&amp;_辅助!$J$5)-(-SUMIFS(资金流水!$R$6:$R$2005,资金流水!$J$6:$J$2005,$A153,资金流水!$X$6:$X$2005,"应付职工薪酬",资金流水!$R$6:$R$2005,"&lt;0",资金流水!$S$6:$S$2005,"&gt;="&amp;_辅助!$J$4,资金流水!$S$6:$S$2005,"&lt;="&amp;_辅助!$J$5))-SUMIFS(代发抵账!$F$5:$F$304,代发抵账!$E$5:$E$304,$A153,代发抵账!$D$5:$D$304,"总包代发工资",代发抵账!$H$5:$H$304,"&gt;="&amp;_辅助!$J$4,代发抵账!$H$5:$H$304,"&lt;="&amp;_辅助!$J$5)+SUMIFS(资金流水!$R$6:$R$2005,资金流水!$J$6:$J$2005,$A153,资金流水!$X$6:$X$2005,"应付职工薪酬",资金流水!$R$6:$R$2005,"&gt;0",资金流水!$S$6:$S$2005,"&gt;="&amp;_辅助!$J$4,资金流水!$S$6:$S$2005,"&lt;="&amp;_辅助!$J$5),2))</f>
        <v>0</v>
      </c>
      <c r="G153">
        <f t="shared" si="2"/>
        <v>0</v>
      </c>
      <c r="H153">
        <f t="shared" si="3"/>
        <v>0</v>
      </c>
      <c r="I153">
        <f t="shared" si="4"/>
        <v>0</v>
      </c>
      <c r="J153">
        <f t="shared" si="5"/>
        <v>0</v>
      </c>
      <c r="K153">
        <f t="shared" si="6"/>
        <v>0</v>
      </c>
      <c r="L153">
        <f t="shared" si="7"/>
        <v>0</v>
      </c>
      <c r="M153">
        <f t="shared" si="8"/>
        <v>0</v>
      </c>
    </row>
    <row r="154">
      <c r="A154">
        <f>往来单位!$B$155&amp;""</f>
      </c>
      <c r="B154">
        <f>往来单位!$C$155&amp;""</f>
      </c>
      <c r="C154">
        <f t="shared" si="0"/>
        <v>0</v>
      </c>
      <c r="D154">
        <f t="shared" si="1"/>
        <v>0</v>
      </c>
      <c r="E154">
        <f>IF(OR($A154="",NOT(OR($B154="管理人员",$B154="工人"))),0,ROUND(N(往来单位!$M$155)+J154-K154-L154+M154,2))</f>
        <v>0</v>
      </c>
      <c r="F154">
        <f>IF(OR($A154="",NOT(OR($B154="管理人员",$B154="工人"))),0,ROUND(N(往来单位!$M$155)+SUMIFS(考勤工资!$W$5:$W$1004,考勤工资!$C$5:$C$1004,$A154,考勤工资!$Y$5:$Y$1004,"&gt;="&amp;_辅助!$J$4,考勤工资!$Y$5:$Y$1004,"&lt;="&amp;_辅助!$J$5)-(-SUMIFS(资金流水!$R$6:$R$2005,资金流水!$J$6:$J$2005,$A154,资金流水!$X$6:$X$2005,"应付职工薪酬",资金流水!$R$6:$R$2005,"&lt;0",资金流水!$S$6:$S$2005,"&gt;="&amp;_辅助!$J$4,资金流水!$S$6:$S$2005,"&lt;="&amp;_辅助!$J$5))-SUMIFS(代发抵账!$F$5:$F$304,代发抵账!$E$5:$E$304,$A154,代发抵账!$D$5:$D$304,"总包代发工资",代发抵账!$H$5:$H$304,"&gt;="&amp;_辅助!$J$4,代发抵账!$H$5:$H$304,"&lt;="&amp;_辅助!$J$5)+SUMIFS(资金流水!$R$6:$R$2005,资金流水!$J$6:$J$2005,$A154,资金流水!$X$6:$X$2005,"应付职工薪酬",资金流水!$R$6:$R$2005,"&gt;0",资金流水!$S$6:$S$2005,"&gt;="&amp;_辅助!$J$4,资金流水!$S$6:$S$2005,"&lt;="&amp;_辅助!$J$5),2))</f>
        <v>0</v>
      </c>
      <c r="G154">
        <f t="shared" si="2"/>
        <v>0</v>
      </c>
      <c r="H154">
        <f t="shared" si="3"/>
        <v>0</v>
      </c>
      <c r="I154">
        <f t="shared" si="4"/>
        <v>0</v>
      </c>
      <c r="J154">
        <f t="shared" si="5"/>
        <v>0</v>
      </c>
      <c r="K154">
        <f t="shared" si="6"/>
        <v>0</v>
      </c>
      <c r="L154">
        <f t="shared" si="7"/>
        <v>0</v>
      </c>
      <c r="M154">
        <f t="shared" si="8"/>
        <v>0</v>
      </c>
    </row>
    <row r="155">
      <c r="A155">
        <f>往来单位!$B$156&amp;""</f>
      </c>
      <c r="B155">
        <f>往来单位!$C$156&amp;""</f>
      </c>
      <c r="C155">
        <f t="shared" si="0"/>
        <v>0</v>
      </c>
      <c r="D155">
        <f t="shared" si="1"/>
        <v>0</v>
      </c>
      <c r="E155">
        <f>IF(OR($A155="",NOT(OR($B155="管理人员",$B155="工人"))),0,ROUND(N(往来单位!$M$156)+J155-K155-L155+M155,2))</f>
        <v>0</v>
      </c>
      <c r="F155">
        <f>IF(OR($A155="",NOT(OR($B155="管理人员",$B155="工人"))),0,ROUND(N(往来单位!$M$156)+SUMIFS(考勤工资!$W$5:$W$1004,考勤工资!$C$5:$C$1004,$A155,考勤工资!$Y$5:$Y$1004,"&gt;="&amp;_辅助!$J$4,考勤工资!$Y$5:$Y$1004,"&lt;="&amp;_辅助!$J$5)-(-SUMIFS(资金流水!$R$6:$R$2005,资金流水!$J$6:$J$2005,$A155,资金流水!$X$6:$X$2005,"应付职工薪酬",资金流水!$R$6:$R$2005,"&lt;0",资金流水!$S$6:$S$2005,"&gt;="&amp;_辅助!$J$4,资金流水!$S$6:$S$2005,"&lt;="&amp;_辅助!$J$5))-SUMIFS(代发抵账!$F$5:$F$304,代发抵账!$E$5:$E$304,$A155,代发抵账!$D$5:$D$304,"总包代发工资",代发抵账!$H$5:$H$304,"&gt;="&amp;_辅助!$J$4,代发抵账!$H$5:$H$304,"&lt;="&amp;_辅助!$J$5)+SUMIFS(资金流水!$R$6:$R$2005,资金流水!$J$6:$J$2005,$A155,资金流水!$X$6:$X$2005,"应付职工薪酬",资金流水!$R$6:$R$2005,"&gt;0",资金流水!$S$6:$S$2005,"&gt;="&amp;_辅助!$J$4,资金流水!$S$6:$S$2005,"&lt;="&amp;_辅助!$J$5),2))</f>
        <v>0</v>
      </c>
      <c r="G155">
        <f t="shared" si="2"/>
        <v>0</v>
      </c>
      <c r="H155">
        <f t="shared" si="3"/>
        <v>0</v>
      </c>
      <c r="I155">
        <f t="shared" si="4"/>
        <v>0</v>
      </c>
      <c r="J155">
        <f t="shared" si="5"/>
        <v>0</v>
      </c>
      <c r="K155">
        <f t="shared" si="6"/>
        <v>0</v>
      </c>
      <c r="L155">
        <f t="shared" si="7"/>
        <v>0</v>
      </c>
      <c r="M155">
        <f t="shared" si="8"/>
        <v>0</v>
      </c>
    </row>
    <row r="156">
      <c r="A156">
        <f>往来单位!$B$157&amp;""</f>
      </c>
      <c r="B156">
        <f>往来单位!$C$157&amp;""</f>
      </c>
      <c r="C156">
        <f t="shared" si="0"/>
        <v>0</v>
      </c>
      <c r="D156">
        <f t="shared" si="1"/>
        <v>0</v>
      </c>
      <c r="E156">
        <f>IF(OR($A156="",NOT(OR($B156="管理人员",$B156="工人"))),0,ROUND(N(往来单位!$M$157)+J156-K156-L156+M156,2))</f>
        <v>0</v>
      </c>
      <c r="F156">
        <f>IF(OR($A156="",NOT(OR($B156="管理人员",$B156="工人"))),0,ROUND(N(往来单位!$M$157)+SUMIFS(考勤工资!$W$5:$W$1004,考勤工资!$C$5:$C$1004,$A156,考勤工资!$Y$5:$Y$1004,"&gt;="&amp;_辅助!$J$4,考勤工资!$Y$5:$Y$1004,"&lt;="&amp;_辅助!$J$5)-(-SUMIFS(资金流水!$R$6:$R$2005,资金流水!$J$6:$J$2005,$A156,资金流水!$X$6:$X$2005,"应付职工薪酬",资金流水!$R$6:$R$2005,"&lt;0",资金流水!$S$6:$S$2005,"&gt;="&amp;_辅助!$J$4,资金流水!$S$6:$S$2005,"&lt;="&amp;_辅助!$J$5))-SUMIFS(代发抵账!$F$5:$F$304,代发抵账!$E$5:$E$304,$A156,代发抵账!$D$5:$D$304,"总包代发工资",代发抵账!$H$5:$H$304,"&gt;="&amp;_辅助!$J$4,代发抵账!$H$5:$H$304,"&lt;="&amp;_辅助!$J$5)+SUMIFS(资金流水!$R$6:$R$2005,资金流水!$J$6:$J$2005,$A156,资金流水!$X$6:$X$2005,"应付职工薪酬",资金流水!$R$6:$R$2005,"&gt;0",资金流水!$S$6:$S$2005,"&gt;="&amp;_辅助!$J$4,资金流水!$S$6:$S$2005,"&lt;="&amp;_辅助!$J$5),2))</f>
        <v>0</v>
      </c>
      <c r="G156">
        <f t="shared" si="2"/>
        <v>0</v>
      </c>
      <c r="H156">
        <f t="shared" si="3"/>
        <v>0</v>
      </c>
      <c r="I156">
        <f t="shared" si="4"/>
        <v>0</v>
      </c>
      <c r="J156">
        <f t="shared" si="5"/>
        <v>0</v>
      </c>
      <c r="K156">
        <f t="shared" si="6"/>
        <v>0</v>
      </c>
      <c r="L156">
        <f t="shared" si="7"/>
        <v>0</v>
      </c>
      <c r="M156">
        <f t="shared" si="8"/>
        <v>0</v>
      </c>
    </row>
    <row r="157">
      <c r="A157">
        <f>往来单位!$B$158&amp;""</f>
      </c>
      <c r="B157">
        <f>往来单位!$C$158&amp;""</f>
      </c>
      <c r="C157">
        <f t="shared" si="0"/>
        <v>0</v>
      </c>
      <c r="D157">
        <f t="shared" si="1"/>
        <v>0</v>
      </c>
      <c r="E157">
        <f>IF(OR($A157="",NOT(OR($B157="管理人员",$B157="工人"))),0,ROUND(N(往来单位!$M$158)+J157-K157-L157+M157,2))</f>
        <v>0</v>
      </c>
      <c r="F157">
        <f>IF(OR($A157="",NOT(OR($B157="管理人员",$B157="工人"))),0,ROUND(N(往来单位!$M$158)+SUMIFS(考勤工资!$W$5:$W$1004,考勤工资!$C$5:$C$1004,$A157,考勤工资!$Y$5:$Y$1004,"&gt;="&amp;_辅助!$J$4,考勤工资!$Y$5:$Y$1004,"&lt;="&amp;_辅助!$J$5)-(-SUMIFS(资金流水!$R$6:$R$2005,资金流水!$J$6:$J$2005,$A157,资金流水!$X$6:$X$2005,"应付职工薪酬",资金流水!$R$6:$R$2005,"&lt;0",资金流水!$S$6:$S$2005,"&gt;="&amp;_辅助!$J$4,资金流水!$S$6:$S$2005,"&lt;="&amp;_辅助!$J$5))-SUMIFS(代发抵账!$F$5:$F$304,代发抵账!$E$5:$E$304,$A157,代发抵账!$D$5:$D$304,"总包代发工资",代发抵账!$H$5:$H$304,"&gt;="&amp;_辅助!$J$4,代发抵账!$H$5:$H$304,"&lt;="&amp;_辅助!$J$5)+SUMIFS(资金流水!$R$6:$R$2005,资金流水!$J$6:$J$2005,$A157,资金流水!$X$6:$X$2005,"应付职工薪酬",资金流水!$R$6:$R$2005,"&gt;0",资金流水!$S$6:$S$2005,"&gt;="&amp;_辅助!$J$4,资金流水!$S$6:$S$2005,"&lt;="&amp;_辅助!$J$5),2))</f>
        <v>0</v>
      </c>
      <c r="G157">
        <f t="shared" si="2"/>
        <v>0</v>
      </c>
      <c r="H157">
        <f t="shared" si="3"/>
        <v>0</v>
      </c>
      <c r="I157">
        <f t="shared" si="4"/>
        <v>0</v>
      </c>
      <c r="J157">
        <f t="shared" si="5"/>
        <v>0</v>
      </c>
      <c r="K157">
        <f t="shared" si="6"/>
        <v>0</v>
      </c>
      <c r="L157">
        <f t="shared" si="7"/>
        <v>0</v>
      </c>
      <c r="M157">
        <f t="shared" si="8"/>
        <v>0</v>
      </c>
    </row>
    <row r="158">
      <c r="A158">
        <f>往来单位!$B$159&amp;""</f>
      </c>
      <c r="B158">
        <f>往来单位!$C$159&amp;""</f>
      </c>
      <c r="C158">
        <f t="shared" si="0"/>
        <v>0</v>
      </c>
      <c r="D158">
        <f t="shared" si="1"/>
        <v>0</v>
      </c>
      <c r="E158">
        <f>IF(OR($A158="",NOT(OR($B158="管理人员",$B158="工人"))),0,ROUND(N(往来单位!$M$159)+J158-K158-L158+M158,2))</f>
        <v>0</v>
      </c>
      <c r="F158">
        <f>IF(OR($A158="",NOT(OR($B158="管理人员",$B158="工人"))),0,ROUND(N(往来单位!$M$159)+SUMIFS(考勤工资!$W$5:$W$1004,考勤工资!$C$5:$C$1004,$A158,考勤工资!$Y$5:$Y$1004,"&gt;="&amp;_辅助!$J$4,考勤工资!$Y$5:$Y$1004,"&lt;="&amp;_辅助!$J$5)-(-SUMIFS(资金流水!$R$6:$R$2005,资金流水!$J$6:$J$2005,$A158,资金流水!$X$6:$X$2005,"应付职工薪酬",资金流水!$R$6:$R$2005,"&lt;0",资金流水!$S$6:$S$2005,"&gt;="&amp;_辅助!$J$4,资金流水!$S$6:$S$2005,"&lt;="&amp;_辅助!$J$5))-SUMIFS(代发抵账!$F$5:$F$304,代发抵账!$E$5:$E$304,$A158,代发抵账!$D$5:$D$304,"总包代发工资",代发抵账!$H$5:$H$304,"&gt;="&amp;_辅助!$J$4,代发抵账!$H$5:$H$304,"&lt;="&amp;_辅助!$J$5)+SUMIFS(资金流水!$R$6:$R$2005,资金流水!$J$6:$J$2005,$A158,资金流水!$X$6:$X$2005,"应付职工薪酬",资金流水!$R$6:$R$2005,"&gt;0",资金流水!$S$6:$S$2005,"&gt;="&amp;_辅助!$J$4,资金流水!$S$6:$S$2005,"&lt;="&amp;_辅助!$J$5),2))</f>
        <v>0</v>
      </c>
      <c r="G158">
        <f t="shared" si="2"/>
        <v>0</v>
      </c>
      <c r="H158">
        <f t="shared" si="3"/>
        <v>0</v>
      </c>
      <c r="I158">
        <f t="shared" si="4"/>
        <v>0</v>
      </c>
      <c r="J158">
        <f t="shared" si="5"/>
        <v>0</v>
      </c>
      <c r="K158">
        <f t="shared" si="6"/>
        <v>0</v>
      </c>
      <c r="L158">
        <f t="shared" si="7"/>
        <v>0</v>
      </c>
      <c r="M158">
        <f t="shared" si="8"/>
        <v>0</v>
      </c>
    </row>
    <row r="159">
      <c r="A159">
        <f>往来单位!$B$160&amp;""</f>
      </c>
      <c r="B159">
        <f>往来单位!$C$160&amp;""</f>
      </c>
      <c r="C159">
        <f t="shared" si="0"/>
        <v>0</v>
      </c>
      <c r="D159">
        <f t="shared" si="1"/>
        <v>0</v>
      </c>
      <c r="E159">
        <f>IF(OR($A159="",NOT(OR($B159="管理人员",$B159="工人"))),0,ROUND(N(往来单位!$M$160)+J159-K159-L159+M159,2))</f>
        <v>0</v>
      </c>
      <c r="F159">
        <f>IF(OR($A159="",NOT(OR($B159="管理人员",$B159="工人"))),0,ROUND(N(往来单位!$M$160)+SUMIFS(考勤工资!$W$5:$W$1004,考勤工资!$C$5:$C$1004,$A159,考勤工资!$Y$5:$Y$1004,"&gt;="&amp;_辅助!$J$4,考勤工资!$Y$5:$Y$1004,"&lt;="&amp;_辅助!$J$5)-(-SUMIFS(资金流水!$R$6:$R$2005,资金流水!$J$6:$J$2005,$A159,资金流水!$X$6:$X$2005,"应付职工薪酬",资金流水!$R$6:$R$2005,"&lt;0",资金流水!$S$6:$S$2005,"&gt;="&amp;_辅助!$J$4,资金流水!$S$6:$S$2005,"&lt;="&amp;_辅助!$J$5))-SUMIFS(代发抵账!$F$5:$F$304,代发抵账!$E$5:$E$304,$A159,代发抵账!$D$5:$D$304,"总包代发工资",代发抵账!$H$5:$H$304,"&gt;="&amp;_辅助!$J$4,代发抵账!$H$5:$H$304,"&lt;="&amp;_辅助!$J$5)+SUMIFS(资金流水!$R$6:$R$2005,资金流水!$J$6:$J$2005,$A159,资金流水!$X$6:$X$2005,"应付职工薪酬",资金流水!$R$6:$R$2005,"&gt;0",资金流水!$S$6:$S$2005,"&gt;="&amp;_辅助!$J$4,资金流水!$S$6:$S$2005,"&lt;="&amp;_辅助!$J$5),2))</f>
        <v>0</v>
      </c>
      <c r="G159">
        <f t="shared" si="2"/>
        <v>0</v>
      </c>
      <c r="H159">
        <f t="shared" si="3"/>
        <v>0</v>
      </c>
      <c r="I159">
        <f t="shared" si="4"/>
        <v>0</v>
      </c>
      <c r="J159">
        <f t="shared" si="5"/>
        <v>0</v>
      </c>
      <c r="K159">
        <f t="shared" si="6"/>
        <v>0</v>
      </c>
      <c r="L159">
        <f t="shared" si="7"/>
        <v>0</v>
      </c>
      <c r="M159">
        <f t="shared" si="8"/>
        <v>0</v>
      </c>
    </row>
    <row r="160">
      <c r="A160">
        <f>往来单位!$B$161&amp;""</f>
      </c>
      <c r="B160">
        <f>往来单位!$C$161&amp;""</f>
      </c>
      <c r="C160">
        <f t="shared" si="0"/>
        <v>0</v>
      </c>
      <c r="D160">
        <f t="shared" si="1"/>
        <v>0</v>
      </c>
      <c r="E160">
        <f>IF(OR($A160="",NOT(OR($B160="管理人员",$B160="工人"))),0,ROUND(N(往来单位!$M$161)+J160-K160-L160+M160,2))</f>
        <v>0</v>
      </c>
      <c r="F160">
        <f>IF(OR($A160="",NOT(OR($B160="管理人员",$B160="工人"))),0,ROUND(N(往来单位!$M$161)+SUMIFS(考勤工资!$W$5:$W$1004,考勤工资!$C$5:$C$1004,$A160,考勤工资!$Y$5:$Y$1004,"&gt;="&amp;_辅助!$J$4,考勤工资!$Y$5:$Y$1004,"&lt;="&amp;_辅助!$J$5)-(-SUMIFS(资金流水!$R$6:$R$2005,资金流水!$J$6:$J$2005,$A160,资金流水!$X$6:$X$2005,"应付职工薪酬",资金流水!$R$6:$R$2005,"&lt;0",资金流水!$S$6:$S$2005,"&gt;="&amp;_辅助!$J$4,资金流水!$S$6:$S$2005,"&lt;="&amp;_辅助!$J$5))-SUMIFS(代发抵账!$F$5:$F$304,代发抵账!$E$5:$E$304,$A160,代发抵账!$D$5:$D$304,"总包代发工资",代发抵账!$H$5:$H$304,"&gt;="&amp;_辅助!$J$4,代发抵账!$H$5:$H$304,"&lt;="&amp;_辅助!$J$5)+SUMIFS(资金流水!$R$6:$R$2005,资金流水!$J$6:$J$2005,$A160,资金流水!$X$6:$X$2005,"应付职工薪酬",资金流水!$R$6:$R$2005,"&gt;0",资金流水!$S$6:$S$2005,"&gt;="&amp;_辅助!$J$4,资金流水!$S$6:$S$2005,"&lt;="&amp;_辅助!$J$5),2))</f>
        <v>0</v>
      </c>
      <c r="G160">
        <f t="shared" si="2"/>
        <v>0</v>
      </c>
      <c r="H160">
        <f t="shared" si="3"/>
        <v>0</v>
      </c>
      <c r="I160">
        <f t="shared" si="4"/>
        <v>0</v>
      </c>
      <c r="J160">
        <f t="shared" si="5"/>
        <v>0</v>
      </c>
      <c r="K160">
        <f t="shared" si="6"/>
        <v>0</v>
      </c>
      <c r="L160">
        <f t="shared" si="7"/>
        <v>0</v>
      </c>
      <c r="M160">
        <f t="shared" si="8"/>
        <v>0</v>
      </c>
    </row>
    <row r="161">
      <c r="A161">
        <f>往来单位!$B$162&amp;""</f>
      </c>
      <c r="B161">
        <f>往来单位!$C$162&amp;""</f>
      </c>
      <c r="C161">
        <f t="shared" si="0"/>
        <v>0</v>
      </c>
      <c r="D161">
        <f t="shared" si="1"/>
        <v>0</v>
      </c>
      <c r="E161">
        <f>IF(OR($A161="",NOT(OR($B161="管理人员",$B161="工人"))),0,ROUND(N(往来单位!$M$162)+J161-K161-L161+M161,2))</f>
        <v>0</v>
      </c>
      <c r="F161">
        <f>IF(OR($A161="",NOT(OR($B161="管理人员",$B161="工人"))),0,ROUND(N(往来单位!$M$162)+SUMIFS(考勤工资!$W$5:$W$1004,考勤工资!$C$5:$C$1004,$A161,考勤工资!$Y$5:$Y$1004,"&gt;="&amp;_辅助!$J$4,考勤工资!$Y$5:$Y$1004,"&lt;="&amp;_辅助!$J$5)-(-SUMIFS(资金流水!$R$6:$R$2005,资金流水!$J$6:$J$2005,$A161,资金流水!$X$6:$X$2005,"应付职工薪酬",资金流水!$R$6:$R$2005,"&lt;0",资金流水!$S$6:$S$2005,"&gt;="&amp;_辅助!$J$4,资金流水!$S$6:$S$2005,"&lt;="&amp;_辅助!$J$5))-SUMIFS(代发抵账!$F$5:$F$304,代发抵账!$E$5:$E$304,$A161,代发抵账!$D$5:$D$304,"总包代发工资",代发抵账!$H$5:$H$304,"&gt;="&amp;_辅助!$J$4,代发抵账!$H$5:$H$304,"&lt;="&amp;_辅助!$J$5)+SUMIFS(资金流水!$R$6:$R$2005,资金流水!$J$6:$J$2005,$A161,资金流水!$X$6:$X$2005,"应付职工薪酬",资金流水!$R$6:$R$2005,"&gt;0",资金流水!$S$6:$S$2005,"&gt;="&amp;_辅助!$J$4,资金流水!$S$6:$S$2005,"&lt;="&amp;_辅助!$J$5),2))</f>
        <v>0</v>
      </c>
      <c r="G161">
        <f t="shared" si="2"/>
        <v>0</v>
      </c>
      <c r="H161">
        <f t="shared" si="3"/>
        <v>0</v>
      </c>
      <c r="I161">
        <f t="shared" si="4"/>
        <v>0</v>
      </c>
      <c r="J161">
        <f t="shared" si="5"/>
        <v>0</v>
      </c>
      <c r="K161">
        <f t="shared" si="6"/>
        <v>0</v>
      </c>
      <c r="L161">
        <f t="shared" si="7"/>
        <v>0</v>
      </c>
      <c r="M161">
        <f t="shared" si="8"/>
        <v>0</v>
      </c>
    </row>
    <row r="162">
      <c r="A162">
        <f>往来单位!$B$163&amp;""</f>
      </c>
      <c r="B162">
        <f>往来单位!$C$163&amp;""</f>
      </c>
      <c r="C162">
        <f t="shared" si="0"/>
        <v>0</v>
      </c>
      <c r="D162">
        <f t="shared" si="1"/>
        <v>0</v>
      </c>
      <c r="E162">
        <f>IF(OR($A162="",NOT(OR($B162="管理人员",$B162="工人"))),0,ROUND(N(往来单位!$M$163)+J162-K162-L162+M162,2))</f>
        <v>0</v>
      </c>
      <c r="F162">
        <f>IF(OR($A162="",NOT(OR($B162="管理人员",$B162="工人"))),0,ROUND(N(往来单位!$M$163)+SUMIFS(考勤工资!$W$5:$W$1004,考勤工资!$C$5:$C$1004,$A162,考勤工资!$Y$5:$Y$1004,"&gt;="&amp;_辅助!$J$4,考勤工资!$Y$5:$Y$1004,"&lt;="&amp;_辅助!$J$5)-(-SUMIFS(资金流水!$R$6:$R$2005,资金流水!$J$6:$J$2005,$A162,资金流水!$X$6:$X$2005,"应付职工薪酬",资金流水!$R$6:$R$2005,"&lt;0",资金流水!$S$6:$S$2005,"&gt;="&amp;_辅助!$J$4,资金流水!$S$6:$S$2005,"&lt;="&amp;_辅助!$J$5))-SUMIFS(代发抵账!$F$5:$F$304,代发抵账!$E$5:$E$304,$A162,代发抵账!$D$5:$D$304,"总包代发工资",代发抵账!$H$5:$H$304,"&gt;="&amp;_辅助!$J$4,代发抵账!$H$5:$H$304,"&lt;="&amp;_辅助!$J$5)+SUMIFS(资金流水!$R$6:$R$2005,资金流水!$J$6:$J$2005,$A162,资金流水!$X$6:$X$2005,"应付职工薪酬",资金流水!$R$6:$R$2005,"&gt;0",资金流水!$S$6:$S$2005,"&gt;="&amp;_辅助!$J$4,资金流水!$S$6:$S$2005,"&lt;="&amp;_辅助!$J$5),2))</f>
        <v>0</v>
      </c>
      <c r="G162">
        <f t="shared" si="2"/>
        <v>0</v>
      </c>
      <c r="H162">
        <f t="shared" si="3"/>
        <v>0</v>
      </c>
      <c r="I162">
        <f t="shared" si="4"/>
        <v>0</v>
      </c>
      <c r="J162">
        <f t="shared" si="5"/>
        <v>0</v>
      </c>
      <c r="K162">
        <f t="shared" si="6"/>
        <v>0</v>
      </c>
      <c r="L162">
        <f t="shared" si="7"/>
        <v>0</v>
      </c>
      <c r="M162">
        <f t="shared" si="8"/>
        <v>0</v>
      </c>
    </row>
    <row r="163">
      <c r="A163">
        <f>往来单位!$B$164&amp;""</f>
      </c>
      <c r="B163">
        <f>往来单位!$C$164&amp;""</f>
      </c>
      <c r="C163">
        <f t="shared" si="0"/>
        <v>0</v>
      </c>
      <c r="D163">
        <f t="shared" si="1"/>
        <v>0</v>
      </c>
      <c r="E163">
        <f>IF(OR($A163="",NOT(OR($B163="管理人员",$B163="工人"))),0,ROUND(N(往来单位!$M$164)+J163-K163-L163+M163,2))</f>
        <v>0</v>
      </c>
      <c r="F163">
        <f>IF(OR($A163="",NOT(OR($B163="管理人员",$B163="工人"))),0,ROUND(N(往来单位!$M$164)+SUMIFS(考勤工资!$W$5:$W$1004,考勤工资!$C$5:$C$1004,$A163,考勤工资!$Y$5:$Y$1004,"&gt;="&amp;_辅助!$J$4,考勤工资!$Y$5:$Y$1004,"&lt;="&amp;_辅助!$J$5)-(-SUMIFS(资金流水!$R$6:$R$2005,资金流水!$J$6:$J$2005,$A163,资金流水!$X$6:$X$2005,"应付职工薪酬",资金流水!$R$6:$R$2005,"&lt;0",资金流水!$S$6:$S$2005,"&gt;="&amp;_辅助!$J$4,资金流水!$S$6:$S$2005,"&lt;="&amp;_辅助!$J$5))-SUMIFS(代发抵账!$F$5:$F$304,代发抵账!$E$5:$E$304,$A163,代发抵账!$D$5:$D$304,"总包代发工资",代发抵账!$H$5:$H$304,"&gt;="&amp;_辅助!$J$4,代发抵账!$H$5:$H$304,"&lt;="&amp;_辅助!$J$5)+SUMIFS(资金流水!$R$6:$R$2005,资金流水!$J$6:$J$2005,$A163,资金流水!$X$6:$X$2005,"应付职工薪酬",资金流水!$R$6:$R$2005,"&gt;0",资金流水!$S$6:$S$2005,"&gt;="&amp;_辅助!$J$4,资金流水!$S$6:$S$2005,"&lt;="&amp;_辅助!$J$5),2))</f>
        <v>0</v>
      </c>
      <c r="G163">
        <f t="shared" si="2"/>
        <v>0</v>
      </c>
      <c r="H163">
        <f t="shared" si="3"/>
        <v>0</v>
      </c>
      <c r="I163">
        <f t="shared" si="4"/>
        <v>0</v>
      </c>
      <c r="J163">
        <f t="shared" si="5"/>
        <v>0</v>
      </c>
      <c r="K163">
        <f t="shared" si="6"/>
        <v>0</v>
      </c>
      <c r="L163">
        <f t="shared" si="7"/>
        <v>0</v>
      </c>
      <c r="M163">
        <f t="shared" si="8"/>
        <v>0</v>
      </c>
    </row>
    <row r="164">
      <c r="A164">
        <f>往来单位!$B$165&amp;""</f>
      </c>
      <c r="B164">
        <f>往来单位!$C$165&amp;""</f>
      </c>
      <c r="C164">
        <f t="shared" si="0"/>
        <v>0</v>
      </c>
      <c r="D164">
        <f t="shared" si="1"/>
        <v>0</v>
      </c>
      <c r="E164">
        <f>IF(OR($A164="",NOT(OR($B164="管理人员",$B164="工人"))),0,ROUND(N(往来单位!$M$165)+J164-K164-L164+M164,2))</f>
        <v>0</v>
      </c>
      <c r="F164">
        <f>IF(OR($A164="",NOT(OR($B164="管理人员",$B164="工人"))),0,ROUND(N(往来单位!$M$165)+SUMIFS(考勤工资!$W$5:$W$1004,考勤工资!$C$5:$C$1004,$A164,考勤工资!$Y$5:$Y$1004,"&gt;="&amp;_辅助!$J$4,考勤工资!$Y$5:$Y$1004,"&lt;="&amp;_辅助!$J$5)-(-SUMIFS(资金流水!$R$6:$R$2005,资金流水!$J$6:$J$2005,$A164,资金流水!$X$6:$X$2005,"应付职工薪酬",资金流水!$R$6:$R$2005,"&lt;0",资金流水!$S$6:$S$2005,"&gt;="&amp;_辅助!$J$4,资金流水!$S$6:$S$2005,"&lt;="&amp;_辅助!$J$5))-SUMIFS(代发抵账!$F$5:$F$304,代发抵账!$E$5:$E$304,$A164,代发抵账!$D$5:$D$304,"总包代发工资",代发抵账!$H$5:$H$304,"&gt;="&amp;_辅助!$J$4,代发抵账!$H$5:$H$304,"&lt;="&amp;_辅助!$J$5)+SUMIFS(资金流水!$R$6:$R$2005,资金流水!$J$6:$J$2005,$A164,资金流水!$X$6:$X$2005,"应付职工薪酬",资金流水!$R$6:$R$2005,"&gt;0",资金流水!$S$6:$S$2005,"&gt;="&amp;_辅助!$J$4,资金流水!$S$6:$S$2005,"&lt;="&amp;_辅助!$J$5),2))</f>
        <v>0</v>
      </c>
      <c r="G164">
        <f t="shared" si="2"/>
        <v>0</v>
      </c>
      <c r="H164">
        <f t="shared" si="3"/>
        <v>0</v>
      </c>
      <c r="I164">
        <f t="shared" si="4"/>
        <v>0</v>
      </c>
      <c r="J164">
        <f t="shared" si="5"/>
        <v>0</v>
      </c>
      <c r="K164">
        <f t="shared" si="6"/>
        <v>0</v>
      </c>
      <c r="L164">
        <f t="shared" si="7"/>
        <v>0</v>
      </c>
      <c r="M164">
        <f t="shared" si="8"/>
        <v>0</v>
      </c>
    </row>
    <row r="165">
      <c r="A165">
        <f>往来单位!$B$166&amp;""</f>
      </c>
      <c r="B165">
        <f>往来单位!$C$166&amp;""</f>
      </c>
      <c r="C165">
        <f t="shared" si="0"/>
        <v>0</v>
      </c>
      <c r="D165">
        <f t="shared" si="1"/>
        <v>0</v>
      </c>
      <c r="E165">
        <f>IF(OR($A165="",NOT(OR($B165="管理人员",$B165="工人"))),0,ROUND(N(往来单位!$M$166)+J165-K165-L165+M165,2))</f>
        <v>0</v>
      </c>
      <c r="F165">
        <f>IF(OR($A165="",NOT(OR($B165="管理人员",$B165="工人"))),0,ROUND(N(往来单位!$M$166)+SUMIFS(考勤工资!$W$5:$W$1004,考勤工资!$C$5:$C$1004,$A165,考勤工资!$Y$5:$Y$1004,"&gt;="&amp;_辅助!$J$4,考勤工资!$Y$5:$Y$1004,"&lt;="&amp;_辅助!$J$5)-(-SUMIFS(资金流水!$R$6:$R$2005,资金流水!$J$6:$J$2005,$A165,资金流水!$X$6:$X$2005,"应付职工薪酬",资金流水!$R$6:$R$2005,"&lt;0",资金流水!$S$6:$S$2005,"&gt;="&amp;_辅助!$J$4,资金流水!$S$6:$S$2005,"&lt;="&amp;_辅助!$J$5))-SUMIFS(代发抵账!$F$5:$F$304,代发抵账!$E$5:$E$304,$A165,代发抵账!$D$5:$D$304,"总包代发工资",代发抵账!$H$5:$H$304,"&gt;="&amp;_辅助!$J$4,代发抵账!$H$5:$H$304,"&lt;="&amp;_辅助!$J$5)+SUMIFS(资金流水!$R$6:$R$2005,资金流水!$J$6:$J$2005,$A165,资金流水!$X$6:$X$2005,"应付职工薪酬",资金流水!$R$6:$R$2005,"&gt;0",资金流水!$S$6:$S$2005,"&gt;="&amp;_辅助!$J$4,资金流水!$S$6:$S$2005,"&lt;="&amp;_辅助!$J$5),2))</f>
        <v>0</v>
      </c>
      <c r="G165">
        <f t="shared" si="2"/>
        <v>0</v>
      </c>
      <c r="H165">
        <f t="shared" si="3"/>
        <v>0</v>
      </c>
      <c r="I165">
        <f t="shared" si="4"/>
        <v>0</v>
      </c>
      <c r="J165">
        <f t="shared" si="5"/>
        <v>0</v>
      </c>
      <c r="K165">
        <f t="shared" si="6"/>
        <v>0</v>
      </c>
      <c r="L165">
        <f t="shared" si="7"/>
        <v>0</v>
      </c>
      <c r="M165">
        <f t="shared" si="8"/>
        <v>0</v>
      </c>
    </row>
    <row r="166">
      <c r="A166">
        <f>往来单位!$B$167&amp;""</f>
      </c>
      <c r="B166">
        <f>往来单位!$C$167&amp;""</f>
      </c>
      <c r="C166">
        <f t="shared" si="0"/>
        <v>0</v>
      </c>
      <c r="D166">
        <f t="shared" si="1"/>
        <v>0</v>
      </c>
      <c r="E166">
        <f>IF(OR($A166="",NOT(OR($B166="管理人员",$B166="工人"))),0,ROUND(N(往来单位!$M$167)+J166-K166-L166+M166,2))</f>
        <v>0</v>
      </c>
      <c r="F166">
        <f>IF(OR($A166="",NOT(OR($B166="管理人员",$B166="工人"))),0,ROUND(N(往来单位!$M$167)+SUMIFS(考勤工资!$W$5:$W$1004,考勤工资!$C$5:$C$1004,$A166,考勤工资!$Y$5:$Y$1004,"&gt;="&amp;_辅助!$J$4,考勤工资!$Y$5:$Y$1004,"&lt;="&amp;_辅助!$J$5)-(-SUMIFS(资金流水!$R$6:$R$2005,资金流水!$J$6:$J$2005,$A166,资金流水!$X$6:$X$2005,"应付职工薪酬",资金流水!$R$6:$R$2005,"&lt;0",资金流水!$S$6:$S$2005,"&gt;="&amp;_辅助!$J$4,资金流水!$S$6:$S$2005,"&lt;="&amp;_辅助!$J$5))-SUMIFS(代发抵账!$F$5:$F$304,代发抵账!$E$5:$E$304,$A166,代发抵账!$D$5:$D$304,"总包代发工资",代发抵账!$H$5:$H$304,"&gt;="&amp;_辅助!$J$4,代发抵账!$H$5:$H$304,"&lt;="&amp;_辅助!$J$5)+SUMIFS(资金流水!$R$6:$R$2005,资金流水!$J$6:$J$2005,$A166,资金流水!$X$6:$X$2005,"应付职工薪酬",资金流水!$R$6:$R$2005,"&gt;0",资金流水!$S$6:$S$2005,"&gt;="&amp;_辅助!$J$4,资金流水!$S$6:$S$2005,"&lt;="&amp;_辅助!$J$5),2))</f>
        <v>0</v>
      </c>
      <c r="G166">
        <f t="shared" si="2"/>
        <v>0</v>
      </c>
      <c r="H166">
        <f t="shared" si="3"/>
        <v>0</v>
      </c>
      <c r="I166">
        <f t="shared" si="4"/>
        <v>0</v>
      </c>
      <c r="J166">
        <f t="shared" si="5"/>
        <v>0</v>
      </c>
      <c r="K166">
        <f t="shared" si="6"/>
        <v>0</v>
      </c>
      <c r="L166">
        <f t="shared" si="7"/>
        <v>0</v>
      </c>
      <c r="M166">
        <f t="shared" si="8"/>
        <v>0</v>
      </c>
    </row>
    <row r="167">
      <c r="A167">
        <f>往来单位!$B$168&amp;""</f>
      </c>
      <c r="B167">
        <f>往来单位!$C$168&amp;""</f>
      </c>
      <c r="C167">
        <f t="shared" si="0"/>
        <v>0</v>
      </c>
      <c r="D167">
        <f t="shared" si="1"/>
        <v>0</v>
      </c>
      <c r="E167">
        <f>IF(OR($A167="",NOT(OR($B167="管理人员",$B167="工人"))),0,ROUND(N(往来单位!$M$168)+J167-K167-L167+M167,2))</f>
        <v>0</v>
      </c>
      <c r="F167">
        <f>IF(OR($A167="",NOT(OR($B167="管理人员",$B167="工人"))),0,ROUND(N(往来单位!$M$168)+SUMIFS(考勤工资!$W$5:$W$1004,考勤工资!$C$5:$C$1004,$A167,考勤工资!$Y$5:$Y$1004,"&gt;="&amp;_辅助!$J$4,考勤工资!$Y$5:$Y$1004,"&lt;="&amp;_辅助!$J$5)-(-SUMIFS(资金流水!$R$6:$R$2005,资金流水!$J$6:$J$2005,$A167,资金流水!$X$6:$X$2005,"应付职工薪酬",资金流水!$R$6:$R$2005,"&lt;0",资金流水!$S$6:$S$2005,"&gt;="&amp;_辅助!$J$4,资金流水!$S$6:$S$2005,"&lt;="&amp;_辅助!$J$5))-SUMIFS(代发抵账!$F$5:$F$304,代发抵账!$E$5:$E$304,$A167,代发抵账!$D$5:$D$304,"总包代发工资",代发抵账!$H$5:$H$304,"&gt;="&amp;_辅助!$J$4,代发抵账!$H$5:$H$304,"&lt;="&amp;_辅助!$J$5)+SUMIFS(资金流水!$R$6:$R$2005,资金流水!$J$6:$J$2005,$A167,资金流水!$X$6:$X$2005,"应付职工薪酬",资金流水!$R$6:$R$2005,"&gt;0",资金流水!$S$6:$S$2005,"&gt;="&amp;_辅助!$J$4,资金流水!$S$6:$S$2005,"&lt;="&amp;_辅助!$J$5),2))</f>
        <v>0</v>
      </c>
      <c r="G167">
        <f t="shared" si="2"/>
        <v>0</v>
      </c>
      <c r="H167">
        <f t="shared" si="3"/>
        <v>0</v>
      </c>
      <c r="I167">
        <f t="shared" si="4"/>
        <v>0</v>
      </c>
      <c r="J167">
        <f t="shared" si="5"/>
        <v>0</v>
      </c>
      <c r="K167">
        <f t="shared" si="6"/>
        <v>0</v>
      </c>
      <c r="L167">
        <f t="shared" si="7"/>
        <v>0</v>
      </c>
      <c r="M167">
        <f t="shared" si="8"/>
        <v>0</v>
      </c>
    </row>
    <row r="168">
      <c r="A168">
        <f>往来单位!$B$169&amp;""</f>
      </c>
      <c r="B168">
        <f>往来单位!$C$169&amp;""</f>
      </c>
      <c r="C168">
        <f t="shared" si="0"/>
        <v>0</v>
      </c>
      <c r="D168">
        <f t="shared" si="1"/>
        <v>0</v>
      </c>
      <c r="E168">
        <f>IF(OR($A168="",NOT(OR($B168="管理人员",$B168="工人"))),0,ROUND(N(往来单位!$M$169)+J168-K168-L168+M168,2))</f>
        <v>0</v>
      </c>
      <c r="F168">
        <f>IF(OR($A168="",NOT(OR($B168="管理人员",$B168="工人"))),0,ROUND(N(往来单位!$M$169)+SUMIFS(考勤工资!$W$5:$W$1004,考勤工资!$C$5:$C$1004,$A168,考勤工资!$Y$5:$Y$1004,"&gt;="&amp;_辅助!$J$4,考勤工资!$Y$5:$Y$1004,"&lt;="&amp;_辅助!$J$5)-(-SUMIFS(资金流水!$R$6:$R$2005,资金流水!$J$6:$J$2005,$A168,资金流水!$X$6:$X$2005,"应付职工薪酬",资金流水!$R$6:$R$2005,"&lt;0",资金流水!$S$6:$S$2005,"&gt;="&amp;_辅助!$J$4,资金流水!$S$6:$S$2005,"&lt;="&amp;_辅助!$J$5))-SUMIFS(代发抵账!$F$5:$F$304,代发抵账!$E$5:$E$304,$A168,代发抵账!$D$5:$D$304,"总包代发工资",代发抵账!$H$5:$H$304,"&gt;="&amp;_辅助!$J$4,代发抵账!$H$5:$H$304,"&lt;="&amp;_辅助!$J$5)+SUMIFS(资金流水!$R$6:$R$2005,资金流水!$J$6:$J$2005,$A168,资金流水!$X$6:$X$2005,"应付职工薪酬",资金流水!$R$6:$R$2005,"&gt;0",资金流水!$S$6:$S$2005,"&gt;="&amp;_辅助!$J$4,资金流水!$S$6:$S$2005,"&lt;="&amp;_辅助!$J$5),2))</f>
        <v>0</v>
      </c>
      <c r="G168">
        <f t="shared" si="2"/>
        <v>0</v>
      </c>
      <c r="H168">
        <f t="shared" si="3"/>
        <v>0</v>
      </c>
      <c r="I168">
        <f t="shared" si="4"/>
        <v>0</v>
      </c>
      <c r="J168">
        <f t="shared" si="5"/>
        <v>0</v>
      </c>
      <c r="K168">
        <f t="shared" si="6"/>
        <v>0</v>
      </c>
      <c r="L168">
        <f t="shared" si="7"/>
        <v>0</v>
      </c>
      <c r="M168">
        <f t="shared" si="8"/>
        <v>0</v>
      </c>
    </row>
    <row r="169">
      <c r="A169">
        <f>往来单位!$B$170&amp;""</f>
      </c>
      <c r="B169">
        <f>往来单位!$C$170&amp;""</f>
      </c>
      <c r="C169">
        <f t="shared" si="0"/>
        <v>0</v>
      </c>
      <c r="D169">
        <f t="shared" si="1"/>
        <v>0</v>
      </c>
      <c r="E169">
        <f>IF(OR($A169="",NOT(OR($B169="管理人员",$B169="工人"))),0,ROUND(N(往来单位!$M$170)+J169-K169-L169+M169,2))</f>
        <v>0</v>
      </c>
      <c r="F169">
        <f>IF(OR($A169="",NOT(OR($B169="管理人员",$B169="工人"))),0,ROUND(N(往来单位!$M$170)+SUMIFS(考勤工资!$W$5:$W$1004,考勤工资!$C$5:$C$1004,$A169,考勤工资!$Y$5:$Y$1004,"&gt;="&amp;_辅助!$J$4,考勤工资!$Y$5:$Y$1004,"&lt;="&amp;_辅助!$J$5)-(-SUMIFS(资金流水!$R$6:$R$2005,资金流水!$J$6:$J$2005,$A169,资金流水!$X$6:$X$2005,"应付职工薪酬",资金流水!$R$6:$R$2005,"&lt;0",资金流水!$S$6:$S$2005,"&gt;="&amp;_辅助!$J$4,资金流水!$S$6:$S$2005,"&lt;="&amp;_辅助!$J$5))-SUMIFS(代发抵账!$F$5:$F$304,代发抵账!$E$5:$E$304,$A169,代发抵账!$D$5:$D$304,"总包代发工资",代发抵账!$H$5:$H$304,"&gt;="&amp;_辅助!$J$4,代发抵账!$H$5:$H$304,"&lt;="&amp;_辅助!$J$5)+SUMIFS(资金流水!$R$6:$R$2005,资金流水!$J$6:$J$2005,$A169,资金流水!$X$6:$X$2005,"应付职工薪酬",资金流水!$R$6:$R$2005,"&gt;0",资金流水!$S$6:$S$2005,"&gt;="&amp;_辅助!$J$4,资金流水!$S$6:$S$2005,"&lt;="&amp;_辅助!$J$5),2))</f>
        <v>0</v>
      </c>
      <c r="G169">
        <f t="shared" si="2"/>
        <v>0</v>
      </c>
      <c r="H169">
        <f t="shared" si="3"/>
        <v>0</v>
      </c>
      <c r="I169">
        <f t="shared" si="4"/>
        <v>0</v>
      </c>
      <c r="J169">
        <f t="shared" si="5"/>
        <v>0</v>
      </c>
      <c r="K169">
        <f t="shared" si="6"/>
        <v>0</v>
      </c>
      <c r="L169">
        <f t="shared" si="7"/>
        <v>0</v>
      </c>
      <c r="M169">
        <f t="shared" si="8"/>
        <v>0</v>
      </c>
    </row>
    <row r="170">
      <c r="A170">
        <f>往来单位!$B$171&amp;""</f>
      </c>
      <c r="B170">
        <f>往来单位!$C$171&amp;""</f>
      </c>
      <c r="C170">
        <f t="shared" si="0"/>
        <v>0</v>
      </c>
      <c r="D170">
        <f t="shared" si="1"/>
        <v>0</v>
      </c>
      <c r="E170">
        <f>IF(OR($A170="",NOT(OR($B170="管理人员",$B170="工人"))),0,ROUND(N(往来单位!$M$171)+J170-K170-L170+M170,2))</f>
        <v>0</v>
      </c>
      <c r="F170">
        <f>IF(OR($A170="",NOT(OR($B170="管理人员",$B170="工人"))),0,ROUND(N(往来单位!$M$171)+SUMIFS(考勤工资!$W$5:$W$1004,考勤工资!$C$5:$C$1004,$A170,考勤工资!$Y$5:$Y$1004,"&gt;="&amp;_辅助!$J$4,考勤工资!$Y$5:$Y$1004,"&lt;="&amp;_辅助!$J$5)-(-SUMIFS(资金流水!$R$6:$R$2005,资金流水!$J$6:$J$2005,$A170,资金流水!$X$6:$X$2005,"应付职工薪酬",资金流水!$R$6:$R$2005,"&lt;0",资金流水!$S$6:$S$2005,"&gt;="&amp;_辅助!$J$4,资金流水!$S$6:$S$2005,"&lt;="&amp;_辅助!$J$5))-SUMIFS(代发抵账!$F$5:$F$304,代发抵账!$E$5:$E$304,$A170,代发抵账!$D$5:$D$304,"总包代发工资",代发抵账!$H$5:$H$304,"&gt;="&amp;_辅助!$J$4,代发抵账!$H$5:$H$304,"&lt;="&amp;_辅助!$J$5)+SUMIFS(资金流水!$R$6:$R$2005,资金流水!$J$6:$J$2005,$A170,资金流水!$X$6:$X$2005,"应付职工薪酬",资金流水!$R$6:$R$2005,"&gt;0",资金流水!$S$6:$S$2005,"&gt;="&amp;_辅助!$J$4,资金流水!$S$6:$S$2005,"&lt;="&amp;_辅助!$J$5),2))</f>
        <v>0</v>
      </c>
      <c r="G170">
        <f t="shared" si="2"/>
        <v>0</v>
      </c>
      <c r="H170">
        <f t="shared" si="3"/>
        <v>0</v>
      </c>
      <c r="I170">
        <f t="shared" si="4"/>
        <v>0</v>
      </c>
      <c r="J170">
        <f t="shared" si="5"/>
        <v>0</v>
      </c>
      <c r="K170">
        <f t="shared" si="6"/>
        <v>0</v>
      </c>
      <c r="L170">
        <f t="shared" si="7"/>
        <v>0</v>
      </c>
      <c r="M170">
        <f t="shared" si="8"/>
        <v>0</v>
      </c>
    </row>
    <row r="171">
      <c r="A171">
        <f>往来单位!$B$172&amp;""</f>
      </c>
      <c r="B171">
        <f>往来单位!$C$172&amp;""</f>
      </c>
      <c r="C171">
        <f t="shared" si="0"/>
        <v>0</v>
      </c>
      <c r="D171">
        <f t="shared" si="1"/>
        <v>0</v>
      </c>
      <c r="E171">
        <f>IF(OR($A171="",NOT(OR($B171="管理人员",$B171="工人"))),0,ROUND(N(往来单位!$M$172)+J171-K171-L171+M171,2))</f>
        <v>0</v>
      </c>
      <c r="F171">
        <f>IF(OR($A171="",NOT(OR($B171="管理人员",$B171="工人"))),0,ROUND(N(往来单位!$M$172)+SUMIFS(考勤工资!$W$5:$W$1004,考勤工资!$C$5:$C$1004,$A171,考勤工资!$Y$5:$Y$1004,"&gt;="&amp;_辅助!$J$4,考勤工资!$Y$5:$Y$1004,"&lt;="&amp;_辅助!$J$5)-(-SUMIFS(资金流水!$R$6:$R$2005,资金流水!$J$6:$J$2005,$A171,资金流水!$X$6:$X$2005,"应付职工薪酬",资金流水!$R$6:$R$2005,"&lt;0",资金流水!$S$6:$S$2005,"&gt;="&amp;_辅助!$J$4,资金流水!$S$6:$S$2005,"&lt;="&amp;_辅助!$J$5))-SUMIFS(代发抵账!$F$5:$F$304,代发抵账!$E$5:$E$304,$A171,代发抵账!$D$5:$D$304,"总包代发工资",代发抵账!$H$5:$H$304,"&gt;="&amp;_辅助!$J$4,代发抵账!$H$5:$H$304,"&lt;="&amp;_辅助!$J$5)+SUMIFS(资金流水!$R$6:$R$2005,资金流水!$J$6:$J$2005,$A171,资金流水!$X$6:$X$2005,"应付职工薪酬",资金流水!$R$6:$R$2005,"&gt;0",资金流水!$S$6:$S$2005,"&gt;="&amp;_辅助!$J$4,资金流水!$S$6:$S$2005,"&lt;="&amp;_辅助!$J$5),2))</f>
        <v>0</v>
      </c>
      <c r="G171">
        <f t="shared" si="2"/>
        <v>0</v>
      </c>
      <c r="H171">
        <f t="shared" si="3"/>
        <v>0</v>
      </c>
      <c r="I171">
        <f t="shared" si="4"/>
        <v>0</v>
      </c>
      <c r="J171">
        <f t="shared" si="5"/>
        <v>0</v>
      </c>
      <c r="K171">
        <f t="shared" si="6"/>
        <v>0</v>
      </c>
      <c r="L171">
        <f t="shared" si="7"/>
        <v>0</v>
      </c>
      <c r="M171">
        <f t="shared" si="8"/>
        <v>0</v>
      </c>
    </row>
    <row r="172">
      <c r="A172">
        <f>往来单位!$B$173&amp;""</f>
      </c>
      <c r="B172">
        <f>往来单位!$C$173&amp;""</f>
      </c>
      <c r="C172">
        <f t="shared" si="0"/>
        <v>0</v>
      </c>
      <c r="D172">
        <f t="shared" si="1"/>
        <v>0</v>
      </c>
      <c r="E172">
        <f>IF(OR($A172="",NOT(OR($B172="管理人员",$B172="工人"))),0,ROUND(N(往来单位!$M$173)+J172-K172-L172+M172,2))</f>
        <v>0</v>
      </c>
      <c r="F172">
        <f>IF(OR($A172="",NOT(OR($B172="管理人员",$B172="工人"))),0,ROUND(N(往来单位!$M$173)+SUMIFS(考勤工资!$W$5:$W$1004,考勤工资!$C$5:$C$1004,$A172,考勤工资!$Y$5:$Y$1004,"&gt;="&amp;_辅助!$J$4,考勤工资!$Y$5:$Y$1004,"&lt;="&amp;_辅助!$J$5)-(-SUMIFS(资金流水!$R$6:$R$2005,资金流水!$J$6:$J$2005,$A172,资金流水!$X$6:$X$2005,"应付职工薪酬",资金流水!$R$6:$R$2005,"&lt;0",资金流水!$S$6:$S$2005,"&gt;="&amp;_辅助!$J$4,资金流水!$S$6:$S$2005,"&lt;="&amp;_辅助!$J$5))-SUMIFS(代发抵账!$F$5:$F$304,代发抵账!$E$5:$E$304,$A172,代发抵账!$D$5:$D$304,"总包代发工资",代发抵账!$H$5:$H$304,"&gt;="&amp;_辅助!$J$4,代发抵账!$H$5:$H$304,"&lt;="&amp;_辅助!$J$5)+SUMIFS(资金流水!$R$6:$R$2005,资金流水!$J$6:$J$2005,$A172,资金流水!$X$6:$X$2005,"应付职工薪酬",资金流水!$R$6:$R$2005,"&gt;0",资金流水!$S$6:$S$2005,"&gt;="&amp;_辅助!$J$4,资金流水!$S$6:$S$2005,"&lt;="&amp;_辅助!$J$5),2))</f>
        <v>0</v>
      </c>
      <c r="G172">
        <f t="shared" si="2"/>
        <v>0</v>
      </c>
      <c r="H172">
        <f t="shared" si="3"/>
        <v>0</v>
      </c>
      <c r="I172">
        <f t="shared" si="4"/>
        <v>0</v>
      </c>
      <c r="J172">
        <f t="shared" si="5"/>
        <v>0</v>
      </c>
      <c r="K172">
        <f t="shared" si="6"/>
        <v>0</v>
      </c>
      <c r="L172">
        <f t="shared" si="7"/>
        <v>0</v>
      </c>
      <c r="M172">
        <f t="shared" si="8"/>
        <v>0</v>
      </c>
    </row>
    <row r="173">
      <c r="A173">
        <f>往来单位!$B$174&amp;""</f>
      </c>
      <c r="B173">
        <f>往来单位!$C$174&amp;""</f>
      </c>
      <c r="C173">
        <f t="shared" si="0"/>
        <v>0</v>
      </c>
      <c r="D173">
        <f t="shared" si="1"/>
        <v>0</v>
      </c>
      <c r="E173">
        <f>IF(OR($A173="",NOT(OR($B173="管理人员",$B173="工人"))),0,ROUND(N(往来单位!$M$174)+J173-K173-L173+M173,2))</f>
        <v>0</v>
      </c>
      <c r="F173">
        <f>IF(OR($A173="",NOT(OR($B173="管理人员",$B173="工人"))),0,ROUND(N(往来单位!$M$174)+SUMIFS(考勤工资!$W$5:$W$1004,考勤工资!$C$5:$C$1004,$A173,考勤工资!$Y$5:$Y$1004,"&gt;="&amp;_辅助!$J$4,考勤工资!$Y$5:$Y$1004,"&lt;="&amp;_辅助!$J$5)-(-SUMIFS(资金流水!$R$6:$R$2005,资金流水!$J$6:$J$2005,$A173,资金流水!$X$6:$X$2005,"应付职工薪酬",资金流水!$R$6:$R$2005,"&lt;0",资金流水!$S$6:$S$2005,"&gt;="&amp;_辅助!$J$4,资金流水!$S$6:$S$2005,"&lt;="&amp;_辅助!$J$5))-SUMIFS(代发抵账!$F$5:$F$304,代发抵账!$E$5:$E$304,$A173,代发抵账!$D$5:$D$304,"总包代发工资",代发抵账!$H$5:$H$304,"&gt;="&amp;_辅助!$J$4,代发抵账!$H$5:$H$304,"&lt;="&amp;_辅助!$J$5)+SUMIFS(资金流水!$R$6:$R$2005,资金流水!$J$6:$J$2005,$A173,资金流水!$X$6:$X$2005,"应付职工薪酬",资金流水!$R$6:$R$2005,"&gt;0",资金流水!$S$6:$S$2005,"&gt;="&amp;_辅助!$J$4,资金流水!$S$6:$S$2005,"&lt;="&amp;_辅助!$J$5),2))</f>
        <v>0</v>
      </c>
      <c r="G173">
        <f t="shared" si="2"/>
        <v>0</v>
      </c>
      <c r="H173">
        <f t="shared" si="3"/>
        <v>0</v>
      </c>
      <c r="I173">
        <f t="shared" si="4"/>
        <v>0</v>
      </c>
      <c r="J173">
        <f t="shared" si="5"/>
        <v>0</v>
      </c>
      <c r="K173">
        <f t="shared" si="6"/>
        <v>0</v>
      </c>
      <c r="L173">
        <f t="shared" si="7"/>
        <v>0</v>
      </c>
      <c r="M173">
        <f t="shared" si="8"/>
        <v>0</v>
      </c>
    </row>
    <row r="174">
      <c r="A174">
        <f>往来单位!$B$175&amp;""</f>
      </c>
      <c r="B174">
        <f>往来单位!$C$175&amp;""</f>
      </c>
      <c r="C174">
        <f t="shared" si="0"/>
        <v>0</v>
      </c>
      <c r="D174">
        <f t="shared" si="1"/>
        <v>0</v>
      </c>
      <c r="E174">
        <f>IF(OR($A174="",NOT(OR($B174="管理人员",$B174="工人"))),0,ROUND(N(往来单位!$M$175)+J174-K174-L174+M174,2))</f>
        <v>0</v>
      </c>
      <c r="F174">
        <f>IF(OR($A174="",NOT(OR($B174="管理人员",$B174="工人"))),0,ROUND(N(往来单位!$M$175)+SUMIFS(考勤工资!$W$5:$W$1004,考勤工资!$C$5:$C$1004,$A174,考勤工资!$Y$5:$Y$1004,"&gt;="&amp;_辅助!$J$4,考勤工资!$Y$5:$Y$1004,"&lt;="&amp;_辅助!$J$5)-(-SUMIFS(资金流水!$R$6:$R$2005,资金流水!$J$6:$J$2005,$A174,资金流水!$X$6:$X$2005,"应付职工薪酬",资金流水!$R$6:$R$2005,"&lt;0",资金流水!$S$6:$S$2005,"&gt;="&amp;_辅助!$J$4,资金流水!$S$6:$S$2005,"&lt;="&amp;_辅助!$J$5))-SUMIFS(代发抵账!$F$5:$F$304,代发抵账!$E$5:$E$304,$A174,代发抵账!$D$5:$D$304,"总包代发工资",代发抵账!$H$5:$H$304,"&gt;="&amp;_辅助!$J$4,代发抵账!$H$5:$H$304,"&lt;="&amp;_辅助!$J$5)+SUMIFS(资金流水!$R$6:$R$2005,资金流水!$J$6:$J$2005,$A174,资金流水!$X$6:$X$2005,"应付职工薪酬",资金流水!$R$6:$R$2005,"&gt;0",资金流水!$S$6:$S$2005,"&gt;="&amp;_辅助!$J$4,资金流水!$S$6:$S$2005,"&lt;="&amp;_辅助!$J$5),2))</f>
        <v>0</v>
      </c>
      <c r="G174">
        <f t="shared" si="2"/>
        <v>0</v>
      </c>
      <c r="H174">
        <f t="shared" si="3"/>
        <v>0</v>
      </c>
      <c r="I174">
        <f t="shared" si="4"/>
        <v>0</v>
      </c>
      <c r="J174">
        <f t="shared" si="5"/>
        <v>0</v>
      </c>
      <c r="K174">
        <f t="shared" si="6"/>
        <v>0</v>
      </c>
      <c r="L174">
        <f t="shared" si="7"/>
        <v>0</v>
      </c>
      <c r="M174">
        <f t="shared" si="8"/>
        <v>0</v>
      </c>
    </row>
    <row r="175">
      <c r="A175">
        <f>往来单位!$B$176&amp;""</f>
      </c>
      <c r="B175">
        <f>往来单位!$C$176&amp;""</f>
      </c>
      <c r="C175">
        <f t="shared" si="0"/>
        <v>0</v>
      </c>
      <c r="D175">
        <f t="shared" si="1"/>
        <v>0</v>
      </c>
      <c r="E175">
        <f>IF(OR($A175="",NOT(OR($B175="管理人员",$B175="工人"))),0,ROUND(N(往来单位!$M$176)+J175-K175-L175+M175,2))</f>
        <v>0</v>
      </c>
      <c r="F175">
        <f>IF(OR($A175="",NOT(OR($B175="管理人员",$B175="工人"))),0,ROUND(N(往来单位!$M$176)+SUMIFS(考勤工资!$W$5:$W$1004,考勤工资!$C$5:$C$1004,$A175,考勤工资!$Y$5:$Y$1004,"&gt;="&amp;_辅助!$J$4,考勤工资!$Y$5:$Y$1004,"&lt;="&amp;_辅助!$J$5)-(-SUMIFS(资金流水!$R$6:$R$2005,资金流水!$J$6:$J$2005,$A175,资金流水!$X$6:$X$2005,"应付职工薪酬",资金流水!$R$6:$R$2005,"&lt;0",资金流水!$S$6:$S$2005,"&gt;="&amp;_辅助!$J$4,资金流水!$S$6:$S$2005,"&lt;="&amp;_辅助!$J$5))-SUMIFS(代发抵账!$F$5:$F$304,代发抵账!$E$5:$E$304,$A175,代发抵账!$D$5:$D$304,"总包代发工资",代发抵账!$H$5:$H$304,"&gt;="&amp;_辅助!$J$4,代发抵账!$H$5:$H$304,"&lt;="&amp;_辅助!$J$5)+SUMIFS(资金流水!$R$6:$R$2005,资金流水!$J$6:$J$2005,$A175,资金流水!$X$6:$X$2005,"应付职工薪酬",资金流水!$R$6:$R$2005,"&gt;0",资金流水!$S$6:$S$2005,"&gt;="&amp;_辅助!$J$4,资金流水!$S$6:$S$2005,"&lt;="&amp;_辅助!$J$5),2))</f>
        <v>0</v>
      </c>
      <c r="G175">
        <f t="shared" si="2"/>
        <v>0</v>
      </c>
      <c r="H175">
        <f t="shared" si="3"/>
        <v>0</v>
      </c>
      <c r="I175">
        <f t="shared" si="4"/>
        <v>0</v>
      </c>
      <c r="J175">
        <f t="shared" si="5"/>
        <v>0</v>
      </c>
      <c r="K175">
        <f t="shared" si="6"/>
        <v>0</v>
      </c>
      <c r="L175">
        <f t="shared" si="7"/>
        <v>0</v>
      </c>
      <c r="M175">
        <f t="shared" si="8"/>
        <v>0</v>
      </c>
    </row>
    <row r="176">
      <c r="A176">
        <f>往来单位!$B$177&amp;""</f>
      </c>
      <c r="B176">
        <f>往来单位!$C$177&amp;""</f>
      </c>
      <c r="C176">
        <f t="shared" si="0"/>
        <v>0</v>
      </c>
      <c r="D176">
        <f t="shared" si="1"/>
        <v>0</v>
      </c>
      <c r="E176">
        <f>IF(OR($A176="",NOT(OR($B176="管理人员",$B176="工人"))),0,ROUND(N(往来单位!$M$177)+J176-K176-L176+M176,2))</f>
        <v>0</v>
      </c>
      <c r="F176">
        <f>IF(OR($A176="",NOT(OR($B176="管理人员",$B176="工人"))),0,ROUND(N(往来单位!$M$177)+SUMIFS(考勤工资!$W$5:$W$1004,考勤工资!$C$5:$C$1004,$A176,考勤工资!$Y$5:$Y$1004,"&gt;="&amp;_辅助!$J$4,考勤工资!$Y$5:$Y$1004,"&lt;="&amp;_辅助!$J$5)-(-SUMIFS(资金流水!$R$6:$R$2005,资金流水!$J$6:$J$2005,$A176,资金流水!$X$6:$X$2005,"应付职工薪酬",资金流水!$R$6:$R$2005,"&lt;0",资金流水!$S$6:$S$2005,"&gt;="&amp;_辅助!$J$4,资金流水!$S$6:$S$2005,"&lt;="&amp;_辅助!$J$5))-SUMIFS(代发抵账!$F$5:$F$304,代发抵账!$E$5:$E$304,$A176,代发抵账!$D$5:$D$304,"总包代发工资",代发抵账!$H$5:$H$304,"&gt;="&amp;_辅助!$J$4,代发抵账!$H$5:$H$304,"&lt;="&amp;_辅助!$J$5)+SUMIFS(资金流水!$R$6:$R$2005,资金流水!$J$6:$J$2005,$A176,资金流水!$X$6:$X$2005,"应付职工薪酬",资金流水!$R$6:$R$2005,"&gt;0",资金流水!$S$6:$S$2005,"&gt;="&amp;_辅助!$J$4,资金流水!$S$6:$S$2005,"&lt;="&amp;_辅助!$J$5),2))</f>
        <v>0</v>
      </c>
      <c r="G176">
        <f t="shared" si="2"/>
        <v>0</v>
      </c>
      <c r="H176">
        <f t="shared" si="3"/>
        <v>0</v>
      </c>
      <c r="I176">
        <f t="shared" si="4"/>
        <v>0</v>
      </c>
      <c r="J176">
        <f t="shared" si="5"/>
        <v>0</v>
      </c>
      <c r="K176">
        <f t="shared" si="6"/>
        <v>0</v>
      </c>
      <c r="L176">
        <f t="shared" si="7"/>
        <v>0</v>
      </c>
      <c r="M176">
        <f t="shared" si="8"/>
        <v>0</v>
      </c>
    </row>
    <row r="177">
      <c r="A177">
        <f>往来单位!$B$178&amp;""</f>
      </c>
      <c r="B177">
        <f>往来单位!$C$178&amp;""</f>
      </c>
      <c r="C177">
        <f t="shared" si="0"/>
        <v>0</v>
      </c>
      <c r="D177">
        <f t="shared" si="1"/>
        <v>0</v>
      </c>
      <c r="E177">
        <f>IF(OR($A177="",NOT(OR($B177="管理人员",$B177="工人"))),0,ROUND(N(往来单位!$M$178)+J177-K177-L177+M177,2))</f>
        <v>0</v>
      </c>
      <c r="F177">
        <f>IF(OR($A177="",NOT(OR($B177="管理人员",$B177="工人"))),0,ROUND(N(往来单位!$M$178)+SUMIFS(考勤工资!$W$5:$W$1004,考勤工资!$C$5:$C$1004,$A177,考勤工资!$Y$5:$Y$1004,"&gt;="&amp;_辅助!$J$4,考勤工资!$Y$5:$Y$1004,"&lt;="&amp;_辅助!$J$5)-(-SUMIFS(资金流水!$R$6:$R$2005,资金流水!$J$6:$J$2005,$A177,资金流水!$X$6:$X$2005,"应付职工薪酬",资金流水!$R$6:$R$2005,"&lt;0",资金流水!$S$6:$S$2005,"&gt;="&amp;_辅助!$J$4,资金流水!$S$6:$S$2005,"&lt;="&amp;_辅助!$J$5))-SUMIFS(代发抵账!$F$5:$F$304,代发抵账!$E$5:$E$304,$A177,代发抵账!$D$5:$D$304,"总包代发工资",代发抵账!$H$5:$H$304,"&gt;="&amp;_辅助!$J$4,代发抵账!$H$5:$H$304,"&lt;="&amp;_辅助!$J$5)+SUMIFS(资金流水!$R$6:$R$2005,资金流水!$J$6:$J$2005,$A177,资金流水!$X$6:$X$2005,"应付职工薪酬",资金流水!$R$6:$R$2005,"&gt;0",资金流水!$S$6:$S$2005,"&gt;="&amp;_辅助!$J$4,资金流水!$S$6:$S$2005,"&lt;="&amp;_辅助!$J$5),2))</f>
        <v>0</v>
      </c>
      <c r="G177">
        <f t="shared" si="2"/>
        <v>0</v>
      </c>
      <c r="H177">
        <f t="shared" si="3"/>
        <v>0</v>
      </c>
      <c r="I177">
        <f t="shared" si="4"/>
        <v>0</v>
      </c>
      <c r="J177">
        <f t="shared" si="5"/>
        <v>0</v>
      </c>
      <c r="K177">
        <f t="shared" si="6"/>
        <v>0</v>
      </c>
      <c r="L177">
        <f t="shared" si="7"/>
        <v>0</v>
      </c>
      <c r="M177">
        <f t="shared" si="8"/>
        <v>0</v>
      </c>
    </row>
    <row r="178">
      <c r="A178">
        <f>往来单位!$B$179&amp;""</f>
      </c>
      <c r="B178">
        <f>往来单位!$C$179&amp;""</f>
      </c>
      <c r="C178">
        <f t="shared" si="0"/>
        <v>0</v>
      </c>
      <c r="D178">
        <f t="shared" si="1"/>
        <v>0</v>
      </c>
      <c r="E178">
        <f>IF(OR($A178="",NOT(OR($B178="管理人员",$B178="工人"))),0,ROUND(N(往来单位!$M$179)+J178-K178-L178+M178,2))</f>
        <v>0</v>
      </c>
      <c r="F178">
        <f>IF(OR($A178="",NOT(OR($B178="管理人员",$B178="工人"))),0,ROUND(N(往来单位!$M$179)+SUMIFS(考勤工资!$W$5:$W$1004,考勤工资!$C$5:$C$1004,$A178,考勤工资!$Y$5:$Y$1004,"&gt;="&amp;_辅助!$J$4,考勤工资!$Y$5:$Y$1004,"&lt;="&amp;_辅助!$J$5)-(-SUMIFS(资金流水!$R$6:$R$2005,资金流水!$J$6:$J$2005,$A178,资金流水!$X$6:$X$2005,"应付职工薪酬",资金流水!$R$6:$R$2005,"&lt;0",资金流水!$S$6:$S$2005,"&gt;="&amp;_辅助!$J$4,资金流水!$S$6:$S$2005,"&lt;="&amp;_辅助!$J$5))-SUMIFS(代发抵账!$F$5:$F$304,代发抵账!$E$5:$E$304,$A178,代发抵账!$D$5:$D$304,"总包代发工资",代发抵账!$H$5:$H$304,"&gt;="&amp;_辅助!$J$4,代发抵账!$H$5:$H$304,"&lt;="&amp;_辅助!$J$5)+SUMIFS(资金流水!$R$6:$R$2005,资金流水!$J$6:$J$2005,$A178,资金流水!$X$6:$X$2005,"应付职工薪酬",资金流水!$R$6:$R$2005,"&gt;0",资金流水!$S$6:$S$2005,"&gt;="&amp;_辅助!$J$4,资金流水!$S$6:$S$2005,"&lt;="&amp;_辅助!$J$5),2))</f>
        <v>0</v>
      </c>
      <c r="G178">
        <f t="shared" si="2"/>
        <v>0</v>
      </c>
      <c r="H178">
        <f t="shared" si="3"/>
        <v>0</v>
      </c>
      <c r="I178">
        <f t="shared" si="4"/>
        <v>0</v>
      </c>
      <c r="J178">
        <f t="shared" si="5"/>
        <v>0</v>
      </c>
      <c r="K178">
        <f t="shared" si="6"/>
        <v>0</v>
      </c>
      <c r="L178">
        <f t="shared" si="7"/>
        <v>0</v>
      </c>
      <c r="M178">
        <f t="shared" si="8"/>
        <v>0</v>
      </c>
    </row>
    <row r="179">
      <c r="A179">
        <f>往来单位!$B$180&amp;""</f>
      </c>
      <c r="B179">
        <f>往来单位!$C$180&amp;""</f>
      </c>
      <c r="C179">
        <f t="shared" si="0"/>
        <v>0</v>
      </c>
      <c r="D179">
        <f t="shared" si="1"/>
        <v>0</v>
      </c>
      <c r="E179">
        <f>IF(OR($A179="",NOT(OR($B179="管理人员",$B179="工人"))),0,ROUND(N(往来单位!$M$180)+J179-K179-L179+M179,2))</f>
        <v>0</v>
      </c>
      <c r="F179">
        <f>IF(OR($A179="",NOT(OR($B179="管理人员",$B179="工人"))),0,ROUND(N(往来单位!$M$180)+SUMIFS(考勤工资!$W$5:$W$1004,考勤工资!$C$5:$C$1004,$A179,考勤工资!$Y$5:$Y$1004,"&gt;="&amp;_辅助!$J$4,考勤工资!$Y$5:$Y$1004,"&lt;="&amp;_辅助!$J$5)-(-SUMIFS(资金流水!$R$6:$R$2005,资金流水!$J$6:$J$2005,$A179,资金流水!$X$6:$X$2005,"应付职工薪酬",资金流水!$R$6:$R$2005,"&lt;0",资金流水!$S$6:$S$2005,"&gt;="&amp;_辅助!$J$4,资金流水!$S$6:$S$2005,"&lt;="&amp;_辅助!$J$5))-SUMIFS(代发抵账!$F$5:$F$304,代发抵账!$E$5:$E$304,$A179,代发抵账!$D$5:$D$304,"总包代发工资",代发抵账!$H$5:$H$304,"&gt;="&amp;_辅助!$J$4,代发抵账!$H$5:$H$304,"&lt;="&amp;_辅助!$J$5)+SUMIFS(资金流水!$R$6:$R$2005,资金流水!$J$6:$J$2005,$A179,资金流水!$X$6:$X$2005,"应付职工薪酬",资金流水!$R$6:$R$2005,"&gt;0",资金流水!$S$6:$S$2005,"&gt;="&amp;_辅助!$J$4,资金流水!$S$6:$S$2005,"&lt;="&amp;_辅助!$J$5),2))</f>
        <v>0</v>
      </c>
      <c r="G179">
        <f t="shared" si="2"/>
        <v>0</v>
      </c>
      <c r="H179">
        <f t="shared" si="3"/>
        <v>0</v>
      </c>
      <c r="I179">
        <f t="shared" si="4"/>
        <v>0</v>
      </c>
      <c r="J179">
        <f t="shared" si="5"/>
        <v>0</v>
      </c>
      <c r="K179">
        <f t="shared" si="6"/>
        <v>0</v>
      </c>
      <c r="L179">
        <f t="shared" si="7"/>
        <v>0</v>
      </c>
      <c r="M179">
        <f t="shared" si="8"/>
        <v>0</v>
      </c>
    </row>
    <row r="180">
      <c r="A180">
        <f>往来单位!$B$181&amp;""</f>
      </c>
      <c r="B180">
        <f>往来单位!$C$181&amp;""</f>
      </c>
      <c r="C180">
        <f t="shared" si="0"/>
        <v>0</v>
      </c>
      <c r="D180">
        <f t="shared" si="1"/>
        <v>0</v>
      </c>
      <c r="E180">
        <f>IF(OR($A180="",NOT(OR($B180="管理人员",$B180="工人"))),0,ROUND(N(往来单位!$M$181)+J180-K180-L180+M180,2))</f>
        <v>0</v>
      </c>
      <c r="F180">
        <f>IF(OR($A180="",NOT(OR($B180="管理人员",$B180="工人"))),0,ROUND(N(往来单位!$M$181)+SUMIFS(考勤工资!$W$5:$W$1004,考勤工资!$C$5:$C$1004,$A180,考勤工资!$Y$5:$Y$1004,"&gt;="&amp;_辅助!$J$4,考勤工资!$Y$5:$Y$1004,"&lt;="&amp;_辅助!$J$5)-(-SUMIFS(资金流水!$R$6:$R$2005,资金流水!$J$6:$J$2005,$A180,资金流水!$X$6:$X$2005,"应付职工薪酬",资金流水!$R$6:$R$2005,"&lt;0",资金流水!$S$6:$S$2005,"&gt;="&amp;_辅助!$J$4,资金流水!$S$6:$S$2005,"&lt;="&amp;_辅助!$J$5))-SUMIFS(代发抵账!$F$5:$F$304,代发抵账!$E$5:$E$304,$A180,代发抵账!$D$5:$D$304,"总包代发工资",代发抵账!$H$5:$H$304,"&gt;="&amp;_辅助!$J$4,代发抵账!$H$5:$H$304,"&lt;="&amp;_辅助!$J$5)+SUMIFS(资金流水!$R$6:$R$2005,资金流水!$J$6:$J$2005,$A180,资金流水!$X$6:$X$2005,"应付职工薪酬",资金流水!$R$6:$R$2005,"&gt;0",资金流水!$S$6:$S$2005,"&gt;="&amp;_辅助!$J$4,资金流水!$S$6:$S$2005,"&lt;="&amp;_辅助!$J$5),2))</f>
        <v>0</v>
      </c>
      <c r="G180">
        <f t="shared" si="2"/>
        <v>0</v>
      </c>
      <c r="H180">
        <f t="shared" si="3"/>
        <v>0</v>
      </c>
      <c r="I180">
        <f t="shared" si="4"/>
        <v>0</v>
      </c>
      <c r="J180">
        <f t="shared" si="5"/>
        <v>0</v>
      </c>
      <c r="K180">
        <f t="shared" si="6"/>
        <v>0</v>
      </c>
      <c r="L180">
        <f t="shared" si="7"/>
        <v>0</v>
      </c>
      <c r="M180">
        <f t="shared" si="8"/>
        <v>0</v>
      </c>
    </row>
    <row r="181">
      <c r="A181">
        <f>往来单位!$B$182&amp;""</f>
      </c>
      <c r="B181">
        <f>往来单位!$C$182&amp;""</f>
      </c>
      <c r="C181">
        <f t="shared" si="0"/>
        <v>0</v>
      </c>
      <c r="D181">
        <f t="shared" si="1"/>
        <v>0</v>
      </c>
      <c r="E181">
        <f>IF(OR($A181="",NOT(OR($B181="管理人员",$B181="工人"))),0,ROUND(N(往来单位!$M$182)+J181-K181-L181+M181,2))</f>
        <v>0</v>
      </c>
      <c r="F181">
        <f>IF(OR($A181="",NOT(OR($B181="管理人员",$B181="工人"))),0,ROUND(N(往来单位!$M$182)+SUMIFS(考勤工资!$W$5:$W$1004,考勤工资!$C$5:$C$1004,$A181,考勤工资!$Y$5:$Y$1004,"&gt;="&amp;_辅助!$J$4,考勤工资!$Y$5:$Y$1004,"&lt;="&amp;_辅助!$J$5)-(-SUMIFS(资金流水!$R$6:$R$2005,资金流水!$J$6:$J$2005,$A181,资金流水!$X$6:$X$2005,"应付职工薪酬",资金流水!$R$6:$R$2005,"&lt;0",资金流水!$S$6:$S$2005,"&gt;="&amp;_辅助!$J$4,资金流水!$S$6:$S$2005,"&lt;="&amp;_辅助!$J$5))-SUMIFS(代发抵账!$F$5:$F$304,代发抵账!$E$5:$E$304,$A181,代发抵账!$D$5:$D$304,"总包代发工资",代发抵账!$H$5:$H$304,"&gt;="&amp;_辅助!$J$4,代发抵账!$H$5:$H$304,"&lt;="&amp;_辅助!$J$5)+SUMIFS(资金流水!$R$6:$R$2005,资金流水!$J$6:$J$2005,$A181,资金流水!$X$6:$X$2005,"应付职工薪酬",资金流水!$R$6:$R$2005,"&gt;0",资金流水!$S$6:$S$2005,"&gt;="&amp;_辅助!$J$4,资金流水!$S$6:$S$2005,"&lt;="&amp;_辅助!$J$5),2))</f>
        <v>0</v>
      </c>
      <c r="G181">
        <f t="shared" si="2"/>
        <v>0</v>
      </c>
      <c r="H181">
        <f t="shared" si="3"/>
        <v>0</v>
      </c>
      <c r="I181">
        <f t="shared" si="4"/>
        <v>0</v>
      </c>
      <c r="J181">
        <f t="shared" si="5"/>
        <v>0</v>
      </c>
      <c r="K181">
        <f t="shared" si="6"/>
        <v>0</v>
      </c>
      <c r="L181">
        <f t="shared" si="7"/>
        <v>0</v>
      </c>
      <c r="M181">
        <f t="shared" si="8"/>
        <v>0</v>
      </c>
    </row>
    <row r="182">
      <c r="A182">
        <f>往来单位!$B$183&amp;""</f>
      </c>
      <c r="B182">
        <f>往来单位!$C$183&amp;""</f>
      </c>
      <c r="C182">
        <f t="shared" si="0"/>
        <v>0</v>
      </c>
      <c r="D182">
        <f t="shared" si="1"/>
        <v>0</v>
      </c>
      <c r="E182">
        <f>IF(OR($A182="",NOT(OR($B182="管理人员",$B182="工人"))),0,ROUND(N(往来单位!$M$183)+J182-K182-L182+M182,2))</f>
        <v>0</v>
      </c>
      <c r="F182">
        <f>IF(OR($A182="",NOT(OR($B182="管理人员",$B182="工人"))),0,ROUND(N(往来单位!$M$183)+SUMIFS(考勤工资!$W$5:$W$1004,考勤工资!$C$5:$C$1004,$A182,考勤工资!$Y$5:$Y$1004,"&gt;="&amp;_辅助!$J$4,考勤工资!$Y$5:$Y$1004,"&lt;="&amp;_辅助!$J$5)-(-SUMIFS(资金流水!$R$6:$R$2005,资金流水!$J$6:$J$2005,$A182,资金流水!$X$6:$X$2005,"应付职工薪酬",资金流水!$R$6:$R$2005,"&lt;0",资金流水!$S$6:$S$2005,"&gt;="&amp;_辅助!$J$4,资金流水!$S$6:$S$2005,"&lt;="&amp;_辅助!$J$5))-SUMIFS(代发抵账!$F$5:$F$304,代发抵账!$E$5:$E$304,$A182,代发抵账!$D$5:$D$304,"总包代发工资",代发抵账!$H$5:$H$304,"&gt;="&amp;_辅助!$J$4,代发抵账!$H$5:$H$304,"&lt;="&amp;_辅助!$J$5)+SUMIFS(资金流水!$R$6:$R$2005,资金流水!$J$6:$J$2005,$A182,资金流水!$X$6:$X$2005,"应付职工薪酬",资金流水!$R$6:$R$2005,"&gt;0",资金流水!$S$6:$S$2005,"&gt;="&amp;_辅助!$J$4,资金流水!$S$6:$S$2005,"&lt;="&amp;_辅助!$J$5),2))</f>
        <v>0</v>
      </c>
      <c r="G182">
        <f t="shared" si="2"/>
        <v>0</v>
      </c>
      <c r="H182">
        <f t="shared" si="3"/>
        <v>0</v>
      </c>
      <c r="I182">
        <f t="shared" si="4"/>
        <v>0</v>
      </c>
      <c r="J182">
        <f t="shared" si="5"/>
        <v>0</v>
      </c>
      <c r="K182">
        <f t="shared" si="6"/>
        <v>0</v>
      </c>
      <c r="L182">
        <f t="shared" si="7"/>
        <v>0</v>
      </c>
      <c r="M182">
        <f t="shared" si="8"/>
        <v>0</v>
      </c>
    </row>
    <row r="183">
      <c r="A183">
        <f>往来单位!$B$184&amp;""</f>
      </c>
      <c r="B183">
        <f>往来单位!$C$184&amp;""</f>
      </c>
      <c r="C183">
        <f t="shared" si="0"/>
        <v>0</v>
      </c>
      <c r="D183">
        <f t="shared" si="1"/>
        <v>0</v>
      </c>
      <c r="E183">
        <f>IF(OR($A183="",NOT(OR($B183="管理人员",$B183="工人"))),0,ROUND(N(往来单位!$M$184)+J183-K183-L183+M183,2))</f>
        <v>0</v>
      </c>
      <c r="F183">
        <f>IF(OR($A183="",NOT(OR($B183="管理人员",$B183="工人"))),0,ROUND(N(往来单位!$M$184)+SUMIFS(考勤工资!$W$5:$W$1004,考勤工资!$C$5:$C$1004,$A183,考勤工资!$Y$5:$Y$1004,"&gt;="&amp;_辅助!$J$4,考勤工资!$Y$5:$Y$1004,"&lt;="&amp;_辅助!$J$5)-(-SUMIFS(资金流水!$R$6:$R$2005,资金流水!$J$6:$J$2005,$A183,资金流水!$X$6:$X$2005,"应付职工薪酬",资金流水!$R$6:$R$2005,"&lt;0",资金流水!$S$6:$S$2005,"&gt;="&amp;_辅助!$J$4,资金流水!$S$6:$S$2005,"&lt;="&amp;_辅助!$J$5))-SUMIFS(代发抵账!$F$5:$F$304,代发抵账!$E$5:$E$304,$A183,代发抵账!$D$5:$D$304,"总包代发工资",代发抵账!$H$5:$H$304,"&gt;="&amp;_辅助!$J$4,代发抵账!$H$5:$H$304,"&lt;="&amp;_辅助!$J$5)+SUMIFS(资金流水!$R$6:$R$2005,资金流水!$J$6:$J$2005,$A183,资金流水!$X$6:$X$2005,"应付职工薪酬",资金流水!$R$6:$R$2005,"&gt;0",资金流水!$S$6:$S$2005,"&gt;="&amp;_辅助!$J$4,资金流水!$S$6:$S$2005,"&lt;="&amp;_辅助!$J$5),2))</f>
        <v>0</v>
      </c>
      <c r="G183">
        <f t="shared" si="2"/>
        <v>0</v>
      </c>
      <c r="H183">
        <f t="shared" si="3"/>
        <v>0</v>
      </c>
      <c r="I183">
        <f t="shared" si="4"/>
        <v>0</v>
      </c>
      <c r="J183">
        <f t="shared" si="5"/>
        <v>0</v>
      </c>
      <c r="K183">
        <f t="shared" si="6"/>
        <v>0</v>
      </c>
      <c r="L183">
        <f t="shared" si="7"/>
        <v>0</v>
      </c>
      <c r="M183">
        <f t="shared" si="8"/>
        <v>0</v>
      </c>
    </row>
    <row r="184">
      <c r="A184">
        <f>往来单位!$B$185&amp;""</f>
      </c>
      <c r="B184">
        <f>往来单位!$C$185&amp;""</f>
      </c>
      <c r="C184">
        <f t="shared" si="0"/>
        <v>0</v>
      </c>
      <c r="D184">
        <f t="shared" si="1"/>
        <v>0</v>
      </c>
      <c r="E184">
        <f>IF(OR($A184="",NOT(OR($B184="管理人员",$B184="工人"))),0,ROUND(N(往来单位!$M$185)+J184-K184-L184+M184,2))</f>
        <v>0</v>
      </c>
      <c r="F184">
        <f>IF(OR($A184="",NOT(OR($B184="管理人员",$B184="工人"))),0,ROUND(N(往来单位!$M$185)+SUMIFS(考勤工资!$W$5:$W$1004,考勤工资!$C$5:$C$1004,$A184,考勤工资!$Y$5:$Y$1004,"&gt;="&amp;_辅助!$J$4,考勤工资!$Y$5:$Y$1004,"&lt;="&amp;_辅助!$J$5)-(-SUMIFS(资金流水!$R$6:$R$2005,资金流水!$J$6:$J$2005,$A184,资金流水!$X$6:$X$2005,"应付职工薪酬",资金流水!$R$6:$R$2005,"&lt;0",资金流水!$S$6:$S$2005,"&gt;="&amp;_辅助!$J$4,资金流水!$S$6:$S$2005,"&lt;="&amp;_辅助!$J$5))-SUMIFS(代发抵账!$F$5:$F$304,代发抵账!$E$5:$E$304,$A184,代发抵账!$D$5:$D$304,"总包代发工资",代发抵账!$H$5:$H$304,"&gt;="&amp;_辅助!$J$4,代发抵账!$H$5:$H$304,"&lt;="&amp;_辅助!$J$5)+SUMIFS(资金流水!$R$6:$R$2005,资金流水!$J$6:$J$2005,$A184,资金流水!$X$6:$X$2005,"应付职工薪酬",资金流水!$R$6:$R$2005,"&gt;0",资金流水!$S$6:$S$2005,"&gt;="&amp;_辅助!$J$4,资金流水!$S$6:$S$2005,"&lt;="&amp;_辅助!$J$5),2))</f>
        <v>0</v>
      </c>
      <c r="G184">
        <f t="shared" si="2"/>
        <v>0</v>
      </c>
      <c r="H184">
        <f t="shared" si="3"/>
        <v>0</v>
      </c>
      <c r="I184">
        <f t="shared" si="4"/>
        <v>0</v>
      </c>
      <c r="J184">
        <f t="shared" si="5"/>
        <v>0</v>
      </c>
      <c r="K184">
        <f t="shared" si="6"/>
        <v>0</v>
      </c>
      <c r="L184">
        <f t="shared" si="7"/>
        <v>0</v>
      </c>
      <c r="M184">
        <f t="shared" si="8"/>
        <v>0</v>
      </c>
    </row>
    <row r="185">
      <c r="A185">
        <f>往来单位!$B$186&amp;""</f>
      </c>
      <c r="B185">
        <f>往来单位!$C$186&amp;""</f>
      </c>
      <c r="C185">
        <f t="shared" si="0"/>
        <v>0</v>
      </c>
      <c r="D185">
        <f t="shared" si="1"/>
        <v>0</v>
      </c>
      <c r="E185">
        <f>IF(OR($A185="",NOT(OR($B185="管理人员",$B185="工人"))),0,ROUND(N(往来单位!$M$186)+J185-K185-L185+M185,2))</f>
        <v>0</v>
      </c>
      <c r="F185">
        <f>IF(OR($A185="",NOT(OR($B185="管理人员",$B185="工人"))),0,ROUND(N(往来单位!$M$186)+SUMIFS(考勤工资!$W$5:$W$1004,考勤工资!$C$5:$C$1004,$A185,考勤工资!$Y$5:$Y$1004,"&gt;="&amp;_辅助!$J$4,考勤工资!$Y$5:$Y$1004,"&lt;="&amp;_辅助!$J$5)-(-SUMIFS(资金流水!$R$6:$R$2005,资金流水!$J$6:$J$2005,$A185,资金流水!$X$6:$X$2005,"应付职工薪酬",资金流水!$R$6:$R$2005,"&lt;0",资金流水!$S$6:$S$2005,"&gt;="&amp;_辅助!$J$4,资金流水!$S$6:$S$2005,"&lt;="&amp;_辅助!$J$5))-SUMIFS(代发抵账!$F$5:$F$304,代发抵账!$E$5:$E$304,$A185,代发抵账!$D$5:$D$304,"总包代发工资",代发抵账!$H$5:$H$304,"&gt;="&amp;_辅助!$J$4,代发抵账!$H$5:$H$304,"&lt;="&amp;_辅助!$J$5)+SUMIFS(资金流水!$R$6:$R$2005,资金流水!$J$6:$J$2005,$A185,资金流水!$X$6:$X$2005,"应付职工薪酬",资金流水!$R$6:$R$2005,"&gt;0",资金流水!$S$6:$S$2005,"&gt;="&amp;_辅助!$J$4,资金流水!$S$6:$S$2005,"&lt;="&amp;_辅助!$J$5),2))</f>
        <v>0</v>
      </c>
      <c r="G185">
        <f t="shared" si="2"/>
        <v>0</v>
      </c>
      <c r="H185">
        <f t="shared" si="3"/>
        <v>0</v>
      </c>
      <c r="I185">
        <f t="shared" si="4"/>
        <v>0</v>
      </c>
      <c r="J185">
        <f t="shared" si="5"/>
        <v>0</v>
      </c>
      <c r="K185">
        <f t="shared" si="6"/>
        <v>0</v>
      </c>
      <c r="L185">
        <f t="shared" si="7"/>
        <v>0</v>
      </c>
      <c r="M185">
        <f t="shared" si="8"/>
        <v>0</v>
      </c>
    </row>
    <row r="186">
      <c r="A186">
        <f>往来单位!$B$187&amp;""</f>
      </c>
      <c r="B186">
        <f>往来单位!$C$187&amp;""</f>
      </c>
      <c r="C186">
        <f t="shared" si="0"/>
        <v>0</v>
      </c>
      <c r="D186">
        <f t="shared" si="1"/>
        <v>0</v>
      </c>
      <c r="E186">
        <f>IF(OR($A186="",NOT(OR($B186="管理人员",$B186="工人"))),0,ROUND(N(往来单位!$M$187)+J186-K186-L186+M186,2))</f>
        <v>0</v>
      </c>
      <c r="F186">
        <f>IF(OR($A186="",NOT(OR($B186="管理人员",$B186="工人"))),0,ROUND(N(往来单位!$M$187)+SUMIFS(考勤工资!$W$5:$W$1004,考勤工资!$C$5:$C$1004,$A186,考勤工资!$Y$5:$Y$1004,"&gt;="&amp;_辅助!$J$4,考勤工资!$Y$5:$Y$1004,"&lt;="&amp;_辅助!$J$5)-(-SUMIFS(资金流水!$R$6:$R$2005,资金流水!$J$6:$J$2005,$A186,资金流水!$X$6:$X$2005,"应付职工薪酬",资金流水!$R$6:$R$2005,"&lt;0",资金流水!$S$6:$S$2005,"&gt;="&amp;_辅助!$J$4,资金流水!$S$6:$S$2005,"&lt;="&amp;_辅助!$J$5))-SUMIFS(代发抵账!$F$5:$F$304,代发抵账!$E$5:$E$304,$A186,代发抵账!$D$5:$D$304,"总包代发工资",代发抵账!$H$5:$H$304,"&gt;="&amp;_辅助!$J$4,代发抵账!$H$5:$H$304,"&lt;="&amp;_辅助!$J$5)+SUMIFS(资金流水!$R$6:$R$2005,资金流水!$J$6:$J$2005,$A186,资金流水!$X$6:$X$2005,"应付职工薪酬",资金流水!$R$6:$R$2005,"&gt;0",资金流水!$S$6:$S$2005,"&gt;="&amp;_辅助!$J$4,资金流水!$S$6:$S$2005,"&lt;="&amp;_辅助!$J$5),2))</f>
        <v>0</v>
      </c>
      <c r="G186">
        <f t="shared" si="2"/>
        <v>0</v>
      </c>
      <c r="H186">
        <f t="shared" si="3"/>
        <v>0</v>
      </c>
      <c r="I186">
        <f t="shared" si="4"/>
        <v>0</v>
      </c>
      <c r="J186">
        <f t="shared" si="5"/>
        <v>0</v>
      </c>
      <c r="K186">
        <f t="shared" si="6"/>
        <v>0</v>
      </c>
      <c r="L186">
        <f t="shared" si="7"/>
        <v>0</v>
      </c>
      <c r="M186">
        <f t="shared" si="8"/>
        <v>0</v>
      </c>
    </row>
    <row r="187">
      <c r="A187">
        <f>往来单位!$B$188&amp;""</f>
      </c>
      <c r="B187">
        <f>往来单位!$C$188&amp;""</f>
      </c>
      <c r="C187">
        <f t="shared" si="0"/>
        <v>0</v>
      </c>
      <c r="D187">
        <f t="shared" si="1"/>
        <v>0</v>
      </c>
      <c r="E187">
        <f>IF(OR($A187="",NOT(OR($B187="管理人员",$B187="工人"))),0,ROUND(N(往来单位!$M$188)+J187-K187-L187+M187,2))</f>
        <v>0</v>
      </c>
      <c r="F187">
        <f>IF(OR($A187="",NOT(OR($B187="管理人员",$B187="工人"))),0,ROUND(N(往来单位!$M$188)+SUMIFS(考勤工资!$W$5:$W$1004,考勤工资!$C$5:$C$1004,$A187,考勤工资!$Y$5:$Y$1004,"&gt;="&amp;_辅助!$J$4,考勤工资!$Y$5:$Y$1004,"&lt;="&amp;_辅助!$J$5)-(-SUMIFS(资金流水!$R$6:$R$2005,资金流水!$J$6:$J$2005,$A187,资金流水!$X$6:$X$2005,"应付职工薪酬",资金流水!$R$6:$R$2005,"&lt;0",资金流水!$S$6:$S$2005,"&gt;="&amp;_辅助!$J$4,资金流水!$S$6:$S$2005,"&lt;="&amp;_辅助!$J$5))-SUMIFS(代发抵账!$F$5:$F$304,代发抵账!$E$5:$E$304,$A187,代发抵账!$D$5:$D$304,"总包代发工资",代发抵账!$H$5:$H$304,"&gt;="&amp;_辅助!$J$4,代发抵账!$H$5:$H$304,"&lt;="&amp;_辅助!$J$5)+SUMIFS(资金流水!$R$6:$R$2005,资金流水!$J$6:$J$2005,$A187,资金流水!$X$6:$X$2005,"应付职工薪酬",资金流水!$R$6:$R$2005,"&gt;0",资金流水!$S$6:$S$2005,"&gt;="&amp;_辅助!$J$4,资金流水!$S$6:$S$2005,"&lt;="&amp;_辅助!$J$5),2))</f>
        <v>0</v>
      </c>
      <c r="G187">
        <f t="shared" si="2"/>
        <v>0</v>
      </c>
      <c r="H187">
        <f t="shared" si="3"/>
        <v>0</v>
      </c>
      <c r="I187">
        <f t="shared" si="4"/>
        <v>0</v>
      </c>
      <c r="J187">
        <f t="shared" si="5"/>
        <v>0</v>
      </c>
      <c r="K187">
        <f t="shared" si="6"/>
        <v>0</v>
      </c>
      <c r="L187">
        <f t="shared" si="7"/>
        <v>0</v>
      </c>
      <c r="M187">
        <f t="shared" si="8"/>
        <v>0</v>
      </c>
    </row>
    <row r="188">
      <c r="A188">
        <f>往来单位!$B$189&amp;""</f>
      </c>
      <c r="B188">
        <f>往来单位!$C$189&amp;""</f>
      </c>
      <c r="C188">
        <f t="shared" si="0"/>
        <v>0</v>
      </c>
      <c r="D188">
        <f t="shared" si="1"/>
        <v>0</v>
      </c>
      <c r="E188">
        <f>IF(OR($A188="",NOT(OR($B188="管理人员",$B188="工人"))),0,ROUND(N(往来单位!$M$189)+J188-K188-L188+M188,2))</f>
        <v>0</v>
      </c>
      <c r="F188">
        <f>IF(OR($A188="",NOT(OR($B188="管理人员",$B188="工人"))),0,ROUND(N(往来单位!$M$189)+SUMIFS(考勤工资!$W$5:$W$1004,考勤工资!$C$5:$C$1004,$A188,考勤工资!$Y$5:$Y$1004,"&gt;="&amp;_辅助!$J$4,考勤工资!$Y$5:$Y$1004,"&lt;="&amp;_辅助!$J$5)-(-SUMIFS(资金流水!$R$6:$R$2005,资金流水!$J$6:$J$2005,$A188,资金流水!$X$6:$X$2005,"应付职工薪酬",资金流水!$R$6:$R$2005,"&lt;0",资金流水!$S$6:$S$2005,"&gt;="&amp;_辅助!$J$4,资金流水!$S$6:$S$2005,"&lt;="&amp;_辅助!$J$5))-SUMIFS(代发抵账!$F$5:$F$304,代发抵账!$E$5:$E$304,$A188,代发抵账!$D$5:$D$304,"总包代发工资",代发抵账!$H$5:$H$304,"&gt;="&amp;_辅助!$J$4,代发抵账!$H$5:$H$304,"&lt;="&amp;_辅助!$J$5)+SUMIFS(资金流水!$R$6:$R$2005,资金流水!$J$6:$J$2005,$A188,资金流水!$X$6:$X$2005,"应付职工薪酬",资金流水!$R$6:$R$2005,"&gt;0",资金流水!$S$6:$S$2005,"&gt;="&amp;_辅助!$J$4,资金流水!$S$6:$S$2005,"&lt;="&amp;_辅助!$J$5),2))</f>
        <v>0</v>
      </c>
      <c r="G188">
        <f t="shared" si="2"/>
        <v>0</v>
      </c>
      <c r="H188">
        <f t="shared" si="3"/>
        <v>0</v>
      </c>
      <c r="I188">
        <f t="shared" si="4"/>
        <v>0</v>
      </c>
      <c r="J188">
        <f t="shared" si="5"/>
        <v>0</v>
      </c>
      <c r="K188">
        <f t="shared" si="6"/>
        <v>0</v>
      </c>
      <c r="L188">
        <f t="shared" si="7"/>
        <v>0</v>
      </c>
      <c r="M188">
        <f t="shared" si="8"/>
        <v>0</v>
      </c>
    </row>
    <row r="189">
      <c r="A189">
        <f>往来单位!$B$190&amp;""</f>
      </c>
      <c r="B189">
        <f>往来单位!$C$190&amp;""</f>
      </c>
      <c r="C189">
        <f t="shared" si="0"/>
        <v>0</v>
      </c>
      <c r="D189">
        <f t="shared" si="1"/>
        <v>0</v>
      </c>
      <c r="E189">
        <f>IF(OR($A189="",NOT(OR($B189="管理人员",$B189="工人"))),0,ROUND(N(往来单位!$M$190)+J189-K189-L189+M189,2))</f>
        <v>0</v>
      </c>
      <c r="F189">
        <f>IF(OR($A189="",NOT(OR($B189="管理人员",$B189="工人"))),0,ROUND(N(往来单位!$M$190)+SUMIFS(考勤工资!$W$5:$W$1004,考勤工资!$C$5:$C$1004,$A189,考勤工资!$Y$5:$Y$1004,"&gt;="&amp;_辅助!$J$4,考勤工资!$Y$5:$Y$1004,"&lt;="&amp;_辅助!$J$5)-(-SUMIFS(资金流水!$R$6:$R$2005,资金流水!$J$6:$J$2005,$A189,资金流水!$X$6:$X$2005,"应付职工薪酬",资金流水!$R$6:$R$2005,"&lt;0",资金流水!$S$6:$S$2005,"&gt;="&amp;_辅助!$J$4,资金流水!$S$6:$S$2005,"&lt;="&amp;_辅助!$J$5))-SUMIFS(代发抵账!$F$5:$F$304,代发抵账!$E$5:$E$304,$A189,代发抵账!$D$5:$D$304,"总包代发工资",代发抵账!$H$5:$H$304,"&gt;="&amp;_辅助!$J$4,代发抵账!$H$5:$H$304,"&lt;="&amp;_辅助!$J$5)+SUMIFS(资金流水!$R$6:$R$2005,资金流水!$J$6:$J$2005,$A189,资金流水!$X$6:$X$2005,"应付职工薪酬",资金流水!$R$6:$R$2005,"&gt;0",资金流水!$S$6:$S$2005,"&gt;="&amp;_辅助!$J$4,资金流水!$S$6:$S$2005,"&lt;="&amp;_辅助!$J$5),2))</f>
        <v>0</v>
      </c>
      <c r="G189">
        <f t="shared" si="2"/>
        <v>0</v>
      </c>
      <c r="H189">
        <f t="shared" si="3"/>
        <v>0</v>
      </c>
      <c r="I189">
        <f t="shared" si="4"/>
        <v>0</v>
      </c>
      <c r="J189">
        <f t="shared" si="5"/>
        <v>0</v>
      </c>
      <c r="K189">
        <f t="shared" si="6"/>
        <v>0</v>
      </c>
      <c r="L189">
        <f t="shared" si="7"/>
        <v>0</v>
      </c>
      <c r="M189">
        <f t="shared" si="8"/>
        <v>0</v>
      </c>
    </row>
    <row r="190">
      <c r="A190">
        <f>往来单位!$B$191&amp;""</f>
      </c>
      <c r="B190">
        <f>往来单位!$C$191&amp;""</f>
      </c>
      <c r="C190">
        <f t="shared" si="0"/>
        <v>0</v>
      </c>
      <c r="D190">
        <f t="shared" si="1"/>
        <v>0</v>
      </c>
      <c r="E190">
        <f>IF(OR($A190="",NOT(OR($B190="管理人员",$B190="工人"))),0,ROUND(N(往来单位!$M$191)+J190-K190-L190+M190,2))</f>
        <v>0</v>
      </c>
      <c r="F190">
        <f>IF(OR($A190="",NOT(OR($B190="管理人员",$B190="工人"))),0,ROUND(N(往来单位!$M$191)+SUMIFS(考勤工资!$W$5:$W$1004,考勤工资!$C$5:$C$1004,$A190,考勤工资!$Y$5:$Y$1004,"&gt;="&amp;_辅助!$J$4,考勤工资!$Y$5:$Y$1004,"&lt;="&amp;_辅助!$J$5)-(-SUMIFS(资金流水!$R$6:$R$2005,资金流水!$J$6:$J$2005,$A190,资金流水!$X$6:$X$2005,"应付职工薪酬",资金流水!$R$6:$R$2005,"&lt;0",资金流水!$S$6:$S$2005,"&gt;="&amp;_辅助!$J$4,资金流水!$S$6:$S$2005,"&lt;="&amp;_辅助!$J$5))-SUMIFS(代发抵账!$F$5:$F$304,代发抵账!$E$5:$E$304,$A190,代发抵账!$D$5:$D$304,"总包代发工资",代发抵账!$H$5:$H$304,"&gt;="&amp;_辅助!$J$4,代发抵账!$H$5:$H$304,"&lt;="&amp;_辅助!$J$5)+SUMIFS(资金流水!$R$6:$R$2005,资金流水!$J$6:$J$2005,$A190,资金流水!$X$6:$X$2005,"应付职工薪酬",资金流水!$R$6:$R$2005,"&gt;0",资金流水!$S$6:$S$2005,"&gt;="&amp;_辅助!$J$4,资金流水!$S$6:$S$2005,"&lt;="&amp;_辅助!$J$5),2))</f>
        <v>0</v>
      </c>
      <c r="G190">
        <f t="shared" si="2"/>
        <v>0</v>
      </c>
      <c r="H190">
        <f t="shared" si="3"/>
        <v>0</v>
      </c>
      <c r="I190">
        <f t="shared" si="4"/>
        <v>0</v>
      </c>
      <c r="J190">
        <f t="shared" si="5"/>
        <v>0</v>
      </c>
      <c r="K190">
        <f t="shared" si="6"/>
        <v>0</v>
      </c>
      <c r="L190">
        <f t="shared" si="7"/>
        <v>0</v>
      </c>
      <c r="M190">
        <f t="shared" si="8"/>
        <v>0</v>
      </c>
    </row>
    <row r="191">
      <c r="A191">
        <f>往来单位!$B$192&amp;""</f>
      </c>
      <c r="B191">
        <f>往来单位!$C$192&amp;""</f>
      </c>
      <c r="C191">
        <f t="shared" si="0"/>
        <v>0</v>
      </c>
      <c r="D191">
        <f t="shared" si="1"/>
        <v>0</v>
      </c>
      <c r="E191">
        <f>IF(OR($A191="",NOT(OR($B191="管理人员",$B191="工人"))),0,ROUND(N(往来单位!$M$192)+J191-K191-L191+M191,2))</f>
        <v>0</v>
      </c>
      <c r="F191">
        <f>IF(OR($A191="",NOT(OR($B191="管理人员",$B191="工人"))),0,ROUND(N(往来单位!$M$192)+SUMIFS(考勤工资!$W$5:$W$1004,考勤工资!$C$5:$C$1004,$A191,考勤工资!$Y$5:$Y$1004,"&gt;="&amp;_辅助!$J$4,考勤工资!$Y$5:$Y$1004,"&lt;="&amp;_辅助!$J$5)-(-SUMIFS(资金流水!$R$6:$R$2005,资金流水!$J$6:$J$2005,$A191,资金流水!$X$6:$X$2005,"应付职工薪酬",资金流水!$R$6:$R$2005,"&lt;0",资金流水!$S$6:$S$2005,"&gt;="&amp;_辅助!$J$4,资金流水!$S$6:$S$2005,"&lt;="&amp;_辅助!$J$5))-SUMIFS(代发抵账!$F$5:$F$304,代发抵账!$E$5:$E$304,$A191,代发抵账!$D$5:$D$304,"总包代发工资",代发抵账!$H$5:$H$304,"&gt;="&amp;_辅助!$J$4,代发抵账!$H$5:$H$304,"&lt;="&amp;_辅助!$J$5)+SUMIFS(资金流水!$R$6:$R$2005,资金流水!$J$6:$J$2005,$A191,资金流水!$X$6:$X$2005,"应付职工薪酬",资金流水!$R$6:$R$2005,"&gt;0",资金流水!$S$6:$S$2005,"&gt;="&amp;_辅助!$J$4,资金流水!$S$6:$S$2005,"&lt;="&amp;_辅助!$J$5),2))</f>
        <v>0</v>
      </c>
      <c r="G191">
        <f t="shared" si="2"/>
        <v>0</v>
      </c>
      <c r="H191">
        <f t="shared" si="3"/>
        <v>0</v>
      </c>
      <c r="I191">
        <f t="shared" si="4"/>
        <v>0</v>
      </c>
      <c r="J191">
        <f t="shared" si="5"/>
        <v>0</v>
      </c>
      <c r="K191">
        <f t="shared" si="6"/>
        <v>0</v>
      </c>
      <c r="L191">
        <f t="shared" si="7"/>
        <v>0</v>
      </c>
      <c r="M191">
        <f t="shared" si="8"/>
        <v>0</v>
      </c>
    </row>
    <row r="192">
      <c r="A192">
        <f>往来单位!$B$193&amp;""</f>
      </c>
      <c r="B192">
        <f>往来单位!$C$193&amp;""</f>
      </c>
      <c r="C192">
        <f t="shared" si="0"/>
        <v>0</v>
      </c>
      <c r="D192">
        <f t="shared" si="1"/>
        <v>0</v>
      </c>
      <c r="E192">
        <f>IF(OR($A192="",NOT(OR($B192="管理人员",$B192="工人"))),0,ROUND(N(往来单位!$M$193)+J192-K192-L192+M192,2))</f>
        <v>0</v>
      </c>
      <c r="F192">
        <f>IF(OR($A192="",NOT(OR($B192="管理人员",$B192="工人"))),0,ROUND(N(往来单位!$M$193)+SUMIFS(考勤工资!$W$5:$W$1004,考勤工资!$C$5:$C$1004,$A192,考勤工资!$Y$5:$Y$1004,"&gt;="&amp;_辅助!$J$4,考勤工资!$Y$5:$Y$1004,"&lt;="&amp;_辅助!$J$5)-(-SUMIFS(资金流水!$R$6:$R$2005,资金流水!$J$6:$J$2005,$A192,资金流水!$X$6:$X$2005,"应付职工薪酬",资金流水!$R$6:$R$2005,"&lt;0",资金流水!$S$6:$S$2005,"&gt;="&amp;_辅助!$J$4,资金流水!$S$6:$S$2005,"&lt;="&amp;_辅助!$J$5))-SUMIFS(代发抵账!$F$5:$F$304,代发抵账!$E$5:$E$304,$A192,代发抵账!$D$5:$D$304,"总包代发工资",代发抵账!$H$5:$H$304,"&gt;="&amp;_辅助!$J$4,代发抵账!$H$5:$H$304,"&lt;="&amp;_辅助!$J$5)+SUMIFS(资金流水!$R$6:$R$2005,资金流水!$J$6:$J$2005,$A192,资金流水!$X$6:$X$2005,"应付职工薪酬",资金流水!$R$6:$R$2005,"&gt;0",资金流水!$S$6:$S$2005,"&gt;="&amp;_辅助!$J$4,资金流水!$S$6:$S$2005,"&lt;="&amp;_辅助!$J$5),2))</f>
        <v>0</v>
      </c>
      <c r="G192">
        <f t="shared" si="2"/>
        <v>0</v>
      </c>
      <c r="H192">
        <f t="shared" si="3"/>
        <v>0</v>
      </c>
      <c r="I192">
        <f t="shared" si="4"/>
        <v>0</v>
      </c>
      <c r="J192">
        <f t="shared" si="5"/>
        <v>0</v>
      </c>
      <c r="K192">
        <f t="shared" si="6"/>
        <v>0</v>
      </c>
      <c r="L192">
        <f t="shared" si="7"/>
        <v>0</v>
      </c>
      <c r="M192">
        <f t="shared" si="8"/>
        <v>0</v>
      </c>
    </row>
    <row r="193">
      <c r="A193">
        <f>往来单位!$B$194&amp;""</f>
      </c>
      <c r="B193">
        <f>往来单位!$C$194&amp;""</f>
      </c>
      <c r="C193">
        <f t="shared" si="0"/>
        <v>0</v>
      </c>
      <c r="D193">
        <f t="shared" si="1"/>
        <v>0</v>
      </c>
      <c r="E193">
        <f>IF(OR($A193="",NOT(OR($B193="管理人员",$B193="工人"))),0,ROUND(N(往来单位!$M$194)+J193-K193-L193+M193,2))</f>
        <v>0</v>
      </c>
      <c r="F193">
        <f>IF(OR($A193="",NOT(OR($B193="管理人员",$B193="工人"))),0,ROUND(N(往来单位!$M$194)+SUMIFS(考勤工资!$W$5:$W$1004,考勤工资!$C$5:$C$1004,$A193,考勤工资!$Y$5:$Y$1004,"&gt;="&amp;_辅助!$J$4,考勤工资!$Y$5:$Y$1004,"&lt;="&amp;_辅助!$J$5)-(-SUMIFS(资金流水!$R$6:$R$2005,资金流水!$J$6:$J$2005,$A193,资金流水!$X$6:$X$2005,"应付职工薪酬",资金流水!$R$6:$R$2005,"&lt;0",资金流水!$S$6:$S$2005,"&gt;="&amp;_辅助!$J$4,资金流水!$S$6:$S$2005,"&lt;="&amp;_辅助!$J$5))-SUMIFS(代发抵账!$F$5:$F$304,代发抵账!$E$5:$E$304,$A193,代发抵账!$D$5:$D$304,"总包代发工资",代发抵账!$H$5:$H$304,"&gt;="&amp;_辅助!$J$4,代发抵账!$H$5:$H$304,"&lt;="&amp;_辅助!$J$5)+SUMIFS(资金流水!$R$6:$R$2005,资金流水!$J$6:$J$2005,$A193,资金流水!$X$6:$X$2005,"应付职工薪酬",资金流水!$R$6:$R$2005,"&gt;0",资金流水!$S$6:$S$2005,"&gt;="&amp;_辅助!$J$4,资金流水!$S$6:$S$2005,"&lt;="&amp;_辅助!$J$5),2))</f>
        <v>0</v>
      </c>
      <c r="G193">
        <f t="shared" si="2"/>
        <v>0</v>
      </c>
      <c r="H193">
        <f t="shared" si="3"/>
        <v>0</v>
      </c>
      <c r="I193">
        <f t="shared" si="4"/>
        <v>0</v>
      </c>
      <c r="J193">
        <f t="shared" si="5"/>
        <v>0</v>
      </c>
      <c r="K193">
        <f t="shared" si="6"/>
        <v>0</v>
      </c>
      <c r="L193">
        <f t="shared" si="7"/>
        <v>0</v>
      </c>
      <c r="M193">
        <f t="shared" si="8"/>
        <v>0</v>
      </c>
    </row>
    <row r="194">
      <c r="A194">
        <f>往来单位!$B$195&amp;""</f>
      </c>
      <c r="B194">
        <f>往来单位!$C$195&amp;""</f>
      </c>
      <c r="C194">
        <f t="shared" si="0"/>
        <v>0</v>
      </c>
      <c r="D194">
        <f t="shared" si="1"/>
        <v>0</v>
      </c>
      <c r="E194">
        <f>IF(OR($A194="",NOT(OR($B194="管理人员",$B194="工人"))),0,ROUND(N(往来单位!$M$195)+J194-K194-L194+M194,2))</f>
        <v>0</v>
      </c>
      <c r="F194">
        <f>IF(OR($A194="",NOT(OR($B194="管理人员",$B194="工人"))),0,ROUND(N(往来单位!$M$195)+SUMIFS(考勤工资!$W$5:$W$1004,考勤工资!$C$5:$C$1004,$A194,考勤工资!$Y$5:$Y$1004,"&gt;="&amp;_辅助!$J$4,考勤工资!$Y$5:$Y$1004,"&lt;="&amp;_辅助!$J$5)-(-SUMIFS(资金流水!$R$6:$R$2005,资金流水!$J$6:$J$2005,$A194,资金流水!$X$6:$X$2005,"应付职工薪酬",资金流水!$R$6:$R$2005,"&lt;0",资金流水!$S$6:$S$2005,"&gt;="&amp;_辅助!$J$4,资金流水!$S$6:$S$2005,"&lt;="&amp;_辅助!$J$5))-SUMIFS(代发抵账!$F$5:$F$304,代发抵账!$E$5:$E$304,$A194,代发抵账!$D$5:$D$304,"总包代发工资",代发抵账!$H$5:$H$304,"&gt;="&amp;_辅助!$J$4,代发抵账!$H$5:$H$304,"&lt;="&amp;_辅助!$J$5)+SUMIFS(资金流水!$R$6:$R$2005,资金流水!$J$6:$J$2005,$A194,资金流水!$X$6:$X$2005,"应付职工薪酬",资金流水!$R$6:$R$2005,"&gt;0",资金流水!$S$6:$S$2005,"&gt;="&amp;_辅助!$J$4,资金流水!$S$6:$S$2005,"&lt;="&amp;_辅助!$J$5),2))</f>
        <v>0</v>
      </c>
      <c r="G194">
        <f t="shared" si="2"/>
        <v>0</v>
      </c>
      <c r="H194">
        <f t="shared" si="3"/>
        <v>0</v>
      </c>
      <c r="I194">
        <f t="shared" si="4"/>
        <v>0</v>
      </c>
      <c r="J194">
        <f t="shared" si="5"/>
        <v>0</v>
      </c>
      <c r="K194">
        <f t="shared" si="6"/>
        <v>0</v>
      </c>
      <c r="L194">
        <f t="shared" si="7"/>
        <v>0</v>
      </c>
      <c r="M194">
        <f t="shared" si="8"/>
        <v>0</v>
      </c>
    </row>
    <row r="195">
      <c r="A195">
        <f>往来单位!$B$196&amp;""</f>
      </c>
      <c r="B195">
        <f>往来单位!$C$196&amp;""</f>
      </c>
      <c r="C195">
        <f t="shared" si="0"/>
        <v>0</v>
      </c>
      <c r="D195">
        <f t="shared" si="1"/>
        <v>0</v>
      </c>
      <c r="E195">
        <f>IF(OR($A195="",NOT(OR($B195="管理人员",$B195="工人"))),0,ROUND(N(往来单位!$M$196)+J195-K195-L195+M195,2))</f>
        <v>0</v>
      </c>
      <c r="F195">
        <f>IF(OR($A195="",NOT(OR($B195="管理人员",$B195="工人"))),0,ROUND(N(往来单位!$M$196)+SUMIFS(考勤工资!$W$5:$W$1004,考勤工资!$C$5:$C$1004,$A195,考勤工资!$Y$5:$Y$1004,"&gt;="&amp;_辅助!$J$4,考勤工资!$Y$5:$Y$1004,"&lt;="&amp;_辅助!$J$5)-(-SUMIFS(资金流水!$R$6:$R$2005,资金流水!$J$6:$J$2005,$A195,资金流水!$X$6:$X$2005,"应付职工薪酬",资金流水!$R$6:$R$2005,"&lt;0",资金流水!$S$6:$S$2005,"&gt;="&amp;_辅助!$J$4,资金流水!$S$6:$S$2005,"&lt;="&amp;_辅助!$J$5))-SUMIFS(代发抵账!$F$5:$F$304,代发抵账!$E$5:$E$304,$A195,代发抵账!$D$5:$D$304,"总包代发工资",代发抵账!$H$5:$H$304,"&gt;="&amp;_辅助!$J$4,代发抵账!$H$5:$H$304,"&lt;="&amp;_辅助!$J$5)+SUMIFS(资金流水!$R$6:$R$2005,资金流水!$J$6:$J$2005,$A195,资金流水!$X$6:$X$2005,"应付职工薪酬",资金流水!$R$6:$R$2005,"&gt;0",资金流水!$S$6:$S$2005,"&gt;="&amp;_辅助!$J$4,资金流水!$S$6:$S$2005,"&lt;="&amp;_辅助!$J$5),2))</f>
        <v>0</v>
      </c>
      <c r="G195">
        <f t="shared" si="2"/>
        <v>0</v>
      </c>
      <c r="H195">
        <f t="shared" si="3"/>
        <v>0</v>
      </c>
      <c r="I195">
        <f t="shared" si="4"/>
        <v>0</v>
      </c>
      <c r="J195">
        <f t="shared" si="5"/>
        <v>0</v>
      </c>
      <c r="K195">
        <f t="shared" si="6"/>
        <v>0</v>
      </c>
      <c r="L195">
        <f t="shared" si="7"/>
        <v>0</v>
      </c>
      <c r="M195">
        <f t="shared" si="8"/>
        <v>0</v>
      </c>
    </row>
    <row r="196">
      <c r="A196">
        <f>往来单位!$B$197&amp;""</f>
      </c>
      <c r="B196">
        <f>往来单位!$C$197&amp;""</f>
      </c>
      <c r="C196">
        <f t="shared" si="0"/>
        <v>0</v>
      </c>
      <c r="D196">
        <f t="shared" si="1"/>
        <v>0</v>
      </c>
      <c r="E196">
        <f>IF(OR($A196="",NOT(OR($B196="管理人员",$B196="工人"))),0,ROUND(N(往来单位!$M$197)+J196-K196-L196+M196,2))</f>
        <v>0</v>
      </c>
      <c r="F196">
        <f>IF(OR($A196="",NOT(OR($B196="管理人员",$B196="工人"))),0,ROUND(N(往来单位!$M$197)+SUMIFS(考勤工资!$W$5:$W$1004,考勤工资!$C$5:$C$1004,$A196,考勤工资!$Y$5:$Y$1004,"&gt;="&amp;_辅助!$J$4,考勤工资!$Y$5:$Y$1004,"&lt;="&amp;_辅助!$J$5)-(-SUMIFS(资金流水!$R$6:$R$2005,资金流水!$J$6:$J$2005,$A196,资金流水!$X$6:$X$2005,"应付职工薪酬",资金流水!$R$6:$R$2005,"&lt;0",资金流水!$S$6:$S$2005,"&gt;="&amp;_辅助!$J$4,资金流水!$S$6:$S$2005,"&lt;="&amp;_辅助!$J$5))-SUMIFS(代发抵账!$F$5:$F$304,代发抵账!$E$5:$E$304,$A196,代发抵账!$D$5:$D$304,"总包代发工资",代发抵账!$H$5:$H$304,"&gt;="&amp;_辅助!$J$4,代发抵账!$H$5:$H$304,"&lt;="&amp;_辅助!$J$5)+SUMIFS(资金流水!$R$6:$R$2005,资金流水!$J$6:$J$2005,$A196,资金流水!$X$6:$X$2005,"应付职工薪酬",资金流水!$R$6:$R$2005,"&gt;0",资金流水!$S$6:$S$2005,"&gt;="&amp;_辅助!$J$4,资金流水!$S$6:$S$2005,"&lt;="&amp;_辅助!$J$5),2))</f>
        <v>0</v>
      </c>
      <c r="G196">
        <f t="shared" si="2"/>
        <v>0</v>
      </c>
      <c r="H196">
        <f t="shared" si="3"/>
        <v>0</v>
      </c>
      <c r="I196">
        <f t="shared" si="4"/>
        <v>0</v>
      </c>
      <c r="J196">
        <f t="shared" si="5"/>
        <v>0</v>
      </c>
      <c r="K196">
        <f t="shared" si="6"/>
        <v>0</v>
      </c>
      <c r="L196">
        <f t="shared" si="7"/>
        <v>0</v>
      </c>
      <c r="M196">
        <f t="shared" si="8"/>
        <v>0</v>
      </c>
    </row>
    <row r="197">
      <c r="A197">
        <f>往来单位!$B$198&amp;""</f>
      </c>
      <c r="B197">
        <f>往来单位!$C$198&amp;""</f>
      </c>
      <c r="C197">
        <f t="shared" si="0"/>
        <v>0</v>
      </c>
      <c r="D197">
        <f t="shared" si="1"/>
        <v>0</v>
      </c>
      <c r="E197">
        <f>IF(OR($A197="",NOT(OR($B197="管理人员",$B197="工人"))),0,ROUND(N(往来单位!$M$198)+J197-K197-L197+M197,2))</f>
        <v>0</v>
      </c>
      <c r="F197">
        <f>IF(OR($A197="",NOT(OR($B197="管理人员",$B197="工人"))),0,ROUND(N(往来单位!$M$198)+SUMIFS(考勤工资!$W$5:$W$1004,考勤工资!$C$5:$C$1004,$A197,考勤工资!$Y$5:$Y$1004,"&gt;="&amp;_辅助!$J$4,考勤工资!$Y$5:$Y$1004,"&lt;="&amp;_辅助!$J$5)-(-SUMIFS(资金流水!$R$6:$R$2005,资金流水!$J$6:$J$2005,$A197,资金流水!$X$6:$X$2005,"应付职工薪酬",资金流水!$R$6:$R$2005,"&lt;0",资金流水!$S$6:$S$2005,"&gt;="&amp;_辅助!$J$4,资金流水!$S$6:$S$2005,"&lt;="&amp;_辅助!$J$5))-SUMIFS(代发抵账!$F$5:$F$304,代发抵账!$E$5:$E$304,$A197,代发抵账!$D$5:$D$304,"总包代发工资",代发抵账!$H$5:$H$304,"&gt;="&amp;_辅助!$J$4,代发抵账!$H$5:$H$304,"&lt;="&amp;_辅助!$J$5)+SUMIFS(资金流水!$R$6:$R$2005,资金流水!$J$6:$J$2005,$A197,资金流水!$X$6:$X$2005,"应付职工薪酬",资金流水!$R$6:$R$2005,"&gt;0",资金流水!$S$6:$S$2005,"&gt;="&amp;_辅助!$J$4,资金流水!$S$6:$S$2005,"&lt;="&amp;_辅助!$J$5),2))</f>
        <v>0</v>
      </c>
      <c r="G197">
        <f t="shared" si="2"/>
        <v>0</v>
      </c>
      <c r="H197">
        <f t="shared" si="3"/>
        <v>0</v>
      </c>
      <c r="I197">
        <f t="shared" si="4"/>
        <v>0</v>
      </c>
      <c r="J197">
        <f t="shared" si="5"/>
        <v>0</v>
      </c>
      <c r="K197">
        <f t="shared" si="6"/>
        <v>0</v>
      </c>
      <c r="L197">
        <f t="shared" si="7"/>
        <v>0</v>
      </c>
      <c r="M197">
        <f t="shared" si="8"/>
        <v>0</v>
      </c>
    </row>
    <row r="198">
      <c r="A198">
        <f>往来单位!$B$199&amp;""</f>
      </c>
      <c r="B198">
        <f>往来单位!$C$199&amp;""</f>
      </c>
      <c r="C198">
        <f t="shared" si="0"/>
        <v>0</v>
      </c>
      <c r="D198">
        <f t="shared" si="1"/>
        <v>0</v>
      </c>
      <c r="E198">
        <f>IF(OR($A198="",NOT(OR($B198="管理人员",$B198="工人"))),0,ROUND(N(往来单位!$M$199)+J198-K198-L198+M198,2))</f>
        <v>0</v>
      </c>
      <c r="F198">
        <f>IF(OR($A198="",NOT(OR($B198="管理人员",$B198="工人"))),0,ROUND(N(往来单位!$M$199)+SUMIFS(考勤工资!$W$5:$W$1004,考勤工资!$C$5:$C$1004,$A198,考勤工资!$Y$5:$Y$1004,"&gt;="&amp;_辅助!$J$4,考勤工资!$Y$5:$Y$1004,"&lt;="&amp;_辅助!$J$5)-(-SUMIFS(资金流水!$R$6:$R$2005,资金流水!$J$6:$J$2005,$A198,资金流水!$X$6:$X$2005,"应付职工薪酬",资金流水!$R$6:$R$2005,"&lt;0",资金流水!$S$6:$S$2005,"&gt;="&amp;_辅助!$J$4,资金流水!$S$6:$S$2005,"&lt;="&amp;_辅助!$J$5))-SUMIFS(代发抵账!$F$5:$F$304,代发抵账!$E$5:$E$304,$A198,代发抵账!$D$5:$D$304,"总包代发工资",代发抵账!$H$5:$H$304,"&gt;="&amp;_辅助!$J$4,代发抵账!$H$5:$H$304,"&lt;="&amp;_辅助!$J$5)+SUMIFS(资金流水!$R$6:$R$2005,资金流水!$J$6:$J$2005,$A198,资金流水!$X$6:$X$2005,"应付职工薪酬",资金流水!$R$6:$R$2005,"&gt;0",资金流水!$S$6:$S$2005,"&gt;="&amp;_辅助!$J$4,资金流水!$S$6:$S$2005,"&lt;="&amp;_辅助!$J$5),2))</f>
        <v>0</v>
      </c>
      <c r="G198">
        <f t="shared" si="2"/>
        <v>0</v>
      </c>
      <c r="H198">
        <f t="shared" si="3"/>
        <v>0</v>
      </c>
      <c r="I198">
        <f t="shared" si="4"/>
        <v>0</v>
      </c>
      <c r="J198">
        <f t="shared" si="5"/>
        <v>0</v>
      </c>
      <c r="K198">
        <f t="shared" si="6"/>
        <v>0</v>
      </c>
      <c r="L198">
        <f t="shared" si="7"/>
        <v>0</v>
      </c>
      <c r="M198">
        <f t="shared" si="8"/>
        <v>0</v>
      </c>
    </row>
    <row r="199">
      <c r="A199">
        <f>往来单位!$B$200&amp;""</f>
      </c>
      <c r="B199">
        <f>往来单位!$C$200&amp;""</f>
      </c>
      <c r="C199">
        <f t="shared" si="0"/>
        <v>0</v>
      </c>
      <c r="D199">
        <f t="shared" si="1"/>
        <v>0</v>
      </c>
      <c r="E199">
        <f>IF(OR($A199="",NOT(OR($B199="管理人员",$B199="工人"))),0,ROUND(N(往来单位!$M$200)+J199-K199-L199+M199,2))</f>
        <v>0</v>
      </c>
      <c r="F199">
        <f>IF(OR($A199="",NOT(OR($B199="管理人员",$B199="工人"))),0,ROUND(N(往来单位!$M$200)+SUMIFS(考勤工资!$W$5:$W$1004,考勤工资!$C$5:$C$1004,$A199,考勤工资!$Y$5:$Y$1004,"&gt;="&amp;_辅助!$J$4,考勤工资!$Y$5:$Y$1004,"&lt;="&amp;_辅助!$J$5)-(-SUMIFS(资金流水!$R$6:$R$2005,资金流水!$J$6:$J$2005,$A199,资金流水!$X$6:$X$2005,"应付职工薪酬",资金流水!$R$6:$R$2005,"&lt;0",资金流水!$S$6:$S$2005,"&gt;="&amp;_辅助!$J$4,资金流水!$S$6:$S$2005,"&lt;="&amp;_辅助!$J$5))-SUMIFS(代发抵账!$F$5:$F$304,代发抵账!$E$5:$E$304,$A199,代发抵账!$D$5:$D$304,"总包代发工资",代发抵账!$H$5:$H$304,"&gt;="&amp;_辅助!$J$4,代发抵账!$H$5:$H$304,"&lt;="&amp;_辅助!$J$5)+SUMIFS(资金流水!$R$6:$R$2005,资金流水!$J$6:$J$2005,$A199,资金流水!$X$6:$X$2005,"应付职工薪酬",资金流水!$R$6:$R$2005,"&gt;0",资金流水!$S$6:$S$2005,"&gt;="&amp;_辅助!$J$4,资金流水!$S$6:$S$2005,"&lt;="&amp;_辅助!$J$5),2))</f>
        <v>0</v>
      </c>
      <c r="G199">
        <f t="shared" si="2"/>
        <v>0</v>
      </c>
      <c r="H199">
        <f t="shared" si="3"/>
        <v>0</v>
      </c>
      <c r="I199">
        <f t="shared" si="4"/>
        <v>0</v>
      </c>
      <c r="J199">
        <f t="shared" si="5"/>
        <v>0</v>
      </c>
      <c r="K199">
        <f t="shared" si="6"/>
        <v>0</v>
      </c>
      <c r="L199">
        <f t="shared" si="7"/>
        <v>0</v>
      </c>
      <c r="M199">
        <f t="shared" si="8"/>
        <v>0</v>
      </c>
    </row>
    <row r="200">
      <c r="A200">
        <f>往来单位!$B$201&amp;""</f>
      </c>
      <c r="B200">
        <f>往来单位!$C$201&amp;""</f>
      </c>
      <c r="C200">
        <f t="shared" si="0"/>
        <v>0</v>
      </c>
      <c r="D200">
        <f t="shared" si="1"/>
        <v>0</v>
      </c>
      <c r="E200">
        <f>IF(OR($A200="",NOT(OR($B200="管理人员",$B200="工人"))),0,ROUND(N(往来单位!$M$201)+J200-K200-L200+M200,2))</f>
        <v>0</v>
      </c>
      <c r="F200">
        <f>IF(OR($A200="",NOT(OR($B200="管理人员",$B200="工人"))),0,ROUND(N(往来单位!$M$201)+SUMIFS(考勤工资!$W$5:$W$1004,考勤工资!$C$5:$C$1004,$A200,考勤工资!$Y$5:$Y$1004,"&gt;="&amp;_辅助!$J$4,考勤工资!$Y$5:$Y$1004,"&lt;="&amp;_辅助!$J$5)-(-SUMIFS(资金流水!$R$6:$R$2005,资金流水!$J$6:$J$2005,$A200,资金流水!$X$6:$X$2005,"应付职工薪酬",资金流水!$R$6:$R$2005,"&lt;0",资金流水!$S$6:$S$2005,"&gt;="&amp;_辅助!$J$4,资金流水!$S$6:$S$2005,"&lt;="&amp;_辅助!$J$5))-SUMIFS(代发抵账!$F$5:$F$304,代发抵账!$E$5:$E$304,$A200,代发抵账!$D$5:$D$304,"总包代发工资",代发抵账!$H$5:$H$304,"&gt;="&amp;_辅助!$J$4,代发抵账!$H$5:$H$304,"&lt;="&amp;_辅助!$J$5)+SUMIFS(资金流水!$R$6:$R$2005,资金流水!$J$6:$J$2005,$A200,资金流水!$X$6:$X$2005,"应付职工薪酬",资金流水!$R$6:$R$2005,"&gt;0",资金流水!$S$6:$S$2005,"&gt;="&amp;_辅助!$J$4,资金流水!$S$6:$S$2005,"&lt;="&amp;_辅助!$J$5),2))</f>
        <v>0</v>
      </c>
      <c r="G200">
        <f t="shared" si="2"/>
        <v>0</v>
      </c>
      <c r="H200">
        <f t="shared" si="3"/>
        <v>0</v>
      </c>
      <c r="I200">
        <f t="shared" si="4"/>
        <v>0</v>
      </c>
      <c r="J200">
        <f t="shared" si="5"/>
        <v>0</v>
      </c>
      <c r="K200">
        <f t="shared" si="6"/>
        <v>0</v>
      </c>
      <c r="L200">
        <f t="shared" si="7"/>
        <v>0</v>
      </c>
      <c r="M200">
        <f t="shared" si="8"/>
        <v>0</v>
      </c>
    </row>
    <row r="201">
      <c r="A201">
        <f>往来单位!$B$202&amp;""</f>
      </c>
      <c r="B201">
        <f>往来单位!$C$202&amp;""</f>
      </c>
      <c r="C201">
        <f t="shared" si="0"/>
        <v>0</v>
      </c>
      <c r="D201">
        <f t="shared" si="1"/>
        <v>0</v>
      </c>
      <c r="E201">
        <f>IF(OR($A201="",NOT(OR($B201="管理人员",$B201="工人"))),0,ROUND(N(往来单位!$M$202)+J201-K201-L201+M201,2))</f>
        <v>0</v>
      </c>
      <c r="F201">
        <f>IF(OR($A201="",NOT(OR($B201="管理人员",$B201="工人"))),0,ROUND(N(往来单位!$M$202)+SUMIFS(考勤工资!$W$5:$W$1004,考勤工资!$C$5:$C$1004,$A201,考勤工资!$Y$5:$Y$1004,"&gt;="&amp;_辅助!$J$4,考勤工资!$Y$5:$Y$1004,"&lt;="&amp;_辅助!$J$5)-(-SUMIFS(资金流水!$R$6:$R$2005,资金流水!$J$6:$J$2005,$A201,资金流水!$X$6:$X$2005,"应付职工薪酬",资金流水!$R$6:$R$2005,"&lt;0",资金流水!$S$6:$S$2005,"&gt;="&amp;_辅助!$J$4,资金流水!$S$6:$S$2005,"&lt;="&amp;_辅助!$J$5))-SUMIFS(代发抵账!$F$5:$F$304,代发抵账!$E$5:$E$304,$A201,代发抵账!$D$5:$D$304,"总包代发工资",代发抵账!$H$5:$H$304,"&gt;="&amp;_辅助!$J$4,代发抵账!$H$5:$H$304,"&lt;="&amp;_辅助!$J$5)+SUMIFS(资金流水!$R$6:$R$2005,资金流水!$J$6:$J$2005,$A201,资金流水!$X$6:$X$2005,"应付职工薪酬",资金流水!$R$6:$R$2005,"&gt;0",资金流水!$S$6:$S$2005,"&gt;="&amp;_辅助!$J$4,资金流水!$S$6:$S$2005,"&lt;="&amp;_辅助!$J$5),2))</f>
        <v>0</v>
      </c>
      <c r="G201">
        <f t="shared" si="2"/>
        <v>0</v>
      </c>
      <c r="H201">
        <f t="shared" si="3"/>
        <v>0</v>
      </c>
      <c r="I201">
        <f t="shared" si="4"/>
        <v>0</v>
      </c>
      <c r="J201">
        <f t="shared" si="5"/>
        <v>0</v>
      </c>
      <c r="K201">
        <f t="shared" si="6"/>
        <v>0</v>
      </c>
      <c r="L201">
        <f t="shared" si="7"/>
        <v>0</v>
      </c>
      <c r="M201">
        <f t="shared" si="8"/>
        <v>0</v>
      </c>
    </row>
    <row r="202">
      <c r="A202">
        <f>往来单位!$B$203&amp;""</f>
      </c>
      <c r="B202">
        <f>往来单位!$C$203&amp;""</f>
      </c>
      <c r="C202">
        <f t="shared" si="0"/>
        <v>0</v>
      </c>
      <c r="D202">
        <f t="shared" si="1"/>
        <v>0</v>
      </c>
      <c r="E202">
        <f>IF(OR($A202="",NOT(OR($B202="管理人员",$B202="工人"))),0,ROUND(N(往来单位!$M$203)+J202-K202-L202+M202,2))</f>
        <v>0</v>
      </c>
      <c r="F202">
        <f>IF(OR($A202="",NOT(OR($B202="管理人员",$B202="工人"))),0,ROUND(N(往来单位!$M$203)+SUMIFS(考勤工资!$W$5:$W$1004,考勤工资!$C$5:$C$1004,$A202,考勤工资!$Y$5:$Y$1004,"&gt;="&amp;_辅助!$J$4,考勤工资!$Y$5:$Y$1004,"&lt;="&amp;_辅助!$J$5)-(-SUMIFS(资金流水!$R$6:$R$2005,资金流水!$J$6:$J$2005,$A202,资金流水!$X$6:$X$2005,"应付职工薪酬",资金流水!$R$6:$R$2005,"&lt;0",资金流水!$S$6:$S$2005,"&gt;="&amp;_辅助!$J$4,资金流水!$S$6:$S$2005,"&lt;="&amp;_辅助!$J$5))-SUMIFS(代发抵账!$F$5:$F$304,代发抵账!$E$5:$E$304,$A202,代发抵账!$D$5:$D$304,"总包代发工资",代发抵账!$H$5:$H$304,"&gt;="&amp;_辅助!$J$4,代发抵账!$H$5:$H$304,"&lt;="&amp;_辅助!$J$5)+SUMIFS(资金流水!$R$6:$R$2005,资金流水!$J$6:$J$2005,$A202,资金流水!$X$6:$X$2005,"应付职工薪酬",资金流水!$R$6:$R$2005,"&gt;0",资金流水!$S$6:$S$2005,"&gt;="&amp;_辅助!$J$4,资金流水!$S$6:$S$2005,"&lt;="&amp;_辅助!$J$5),2))</f>
        <v>0</v>
      </c>
      <c r="G202">
        <f t="shared" si="2"/>
        <v>0</v>
      </c>
      <c r="H202">
        <f t="shared" si="3"/>
        <v>0</v>
      </c>
      <c r="I202">
        <f t="shared" si="4"/>
        <v>0</v>
      </c>
      <c r="J202">
        <f t="shared" si="5"/>
        <v>0</v>
      </c>
      <c r="K202">
        <f t="shared" si="6"/>
        <v>0</v>
      </c>
      <c r="L202">
        <f t="shared" si="7"/>
        <v>0</v>
      </c>
      <c r="M202">
        <f t="shared" si="8"/>
        <v>0</v>
      </c>
    </row>
    <row r="203">
      <c r="A203">
        <f>往来单位!$B$204&amp;""</f>
      </c>
      <c r="B203">
        <f>往来单位!$C$204&amp;""</f>
      </c>
      <c r="C203">
        <f t="shared" si="0"/>
        <v>0</v>
      </c>
      <c r="D203">
        <f t="shared" si="1"/>
        <v>0</v>
      </c>
      <c r="E203">
        <f>IF(OR($A203="",NOT(OR($B203="管理人员",$B203="工人"))),0,ROUND(N(往来单位!$M$204)+J203-K203-L203+M203,2))</f>
        <v>0</v>
      </c>
      <c r="F203">
        <f>IF(OR($A203="",NOT(OR($B203="管理人员",$B203="工人"))),0,ROUND(N(往来单位!$M$204)+SUMIFS(考勤工资!$W$5:$W$1004,考勤工资!$C$5:$C$1004,$A203,考勤工资!$Y$5:$Y$1004,"&gt;="&amp;_辅助!$J$4,考勤工资!$Y$5:$Y$1004,"&lt;="&amp;_辅助!$J$5)-(-SUMIFS(资金流水!$R$6:$R$2005,资金流水!$J$6:$J$2005,$A203,资金流水!$X$6:$X$2005,"应付职工薪酬",资金流水!$R$6:$R$2005,"&lt;0",资金流水!$S$6:$S$2005,"&gt;="&amp;_辅助!$J$4,资金流水!$S$6:$S$2005,"&lt;="&amp;_辅助!$J$5))-SUMIFS(代发抵账!$F$5:$F$304,代发抵账!$E$5:$E$304,$A203,代发抵账!$D$5:$D$304,"总包代发工资",代发抵账!$H$5:$H$304,"&gt;="&amp;_辅助!$J$4,代发抵账!$H$5:$H$304,"&lt;="&amp;_辅助!$J$5)+SUMIFS(资金流水!$R$6:$R$2005,资金流水!$J$6:$J$2005,$A203,资金流水!$X$6:$X$2005,"应付职工薪酬",资金流水!$R$6:$R$2005,"&gt;0",资金流水!$S$6:$S$2005,"&gt;="&amp;_辅助!$J$4,资金流水!$S$6:$S$2005,"&lt;="&amp;_辅助!$J$5),2))</f>
        <v>0</v>
      </c>
      <c r="G203">
        <f t="shared" si="2"/>
        <v>0</v>
      </c>
      <c r="H203">
        <f t="shared" si="3"/>
        <v>0</v>
      </c>
      <c r="I203">
        <f t="shared" si="4"/>
        <v>0</v>
      </c>
      <c r="J203">
        <f t="shared" si="5"/>
        <v>0</v>
      </c>
      <c r="K203">
        <f t="shared" si="6"/>
        <v>0</v>
      </c>
      <c r="L203">
        <f t="shared" si="7"/>
        <v>0</v>
      </c>
      <c r="M203">
        <f t="shared" si="8"/>
        <v>0</v>
      </c>
    </row>
    <row r="204">
      <c r="A204">
        <f>往来单位!$B$205&amp;""</f>
      </c>
      <c r="B204">
        <f>往来单位!$C$205&amp;""</f>
      </c>
      <c r="C204">
        <f t="shared" si="0"/>
        <v>0</v>
      </c>
      <c r="D204">
        <f t="shared" si="1"/>
        <v>0</v>
      </c>
      <c r="E204">
        <f>IF(OR($A204="",NOT(OR($B204="管理人员",$B204="工人"))),0,ROUND(N(往来单位!$M$205)+J204-K204-L204+M204,2))</f>
        <v>0</v>
      </c>
      <c r="F204">
        <f>IF(OR($A204="",NOT(OR($B204="管理人员",$B204="工人"))),0,ROUND(N(往来单位!$M$205)+SUMIFS(考勤工资!$W$5:$W$1004,考勤工资!$C$5:$C$1004,$A204,考勤工资!$Y$5:$Y$1004,"&gt;="&amp;_辅助!$J$4,考勤工资!$Y$5:$Y$1004,"&lt;="&amp;_辅助!$J$5)-(-SUMIFS(资金流水!$R$6:$R$2005,资金流水!$J$6:$J$2005,$A204,资金流水!$X$6:$X$2005,"应付职工薪酬",资金流水!$R$6:$R$2005,"&lt;0",资金流水!$S$6:$S$2005,"&gt;="&amp;_辅助!$J$4,资金流水!$S$6:$S$2005,"&lt;="&amp;_辅助!$J$5))-SUMIFS(代发抵账!$F$5:$F$304,代发抵账!$E$5:$E$304,$A204,代发抵账!$D$5:$D$304,"总包代发工资",代发抵账!$H$5:$H$304,"&gt;="&amp;_辅助!$J$4,代发抵账!$H$5:$H$304,"&lt;="&amp;_辅助!$J$5)+SUMIFS(资金流水!$R$6:$R$2005,资金流水!$J$6:$J$2005,$A204,资金流水!$X$6:$X$2005,"应付职工薪酬",资金流水!$R$6:$R$2005,"&gt;0",资金流水!$S$6:$S$2005,"&gt;="&amp;_辅助!$J$4,资金流水!$S$6:$S$2005,"&lt;="&amp;_辅助!$J$5),2))</f>
        <v>0</v>
      </c>
      <c r="G204">
        <f t="shared" si="2"/>
        <v>0</v>
      </c>
      <c r="H204">
        <f t="shared" si="3"/>
        <v>0</v>
      </c>
      <c r="I204">
        <f t="shared" si="4"/>
        <v>0</v>
      </c>
      <c r="J204">
        <f t="shared" si="5"/>
        <v>0</v>
      </c>
      <c r="K204">
        <f t="shared" si="6"/>
        <v>0</v>
      </c>
      <c r="L204">
        <f t="shared" si="7"/>
        <v>0</v>
      </c>
      <c r="M204">
        <f t="shared" si="8"/>
        <v>0</v>
      </c>
    </row>
    <row r="205">
      <c r="A205">
        <f>往来单位!$B$206&amp;""</f>
      </c>
      <c r="B205">
        <f>往来单位!$C$206&amp;""</f>
      </c>
      <c r="C205">
        <f t="shared" si="0"/>
        <v>0</v>
      </c>
      <c r="D205">
        <f t="shared" si="1"/>
        <v>0</v>
      </c>
      <c r="E205">
        <f>IF(OR($A205="",NOT(OR($B205="管理人员",$B205="工人"))),0,ROUND(N(往来单位!$M$206)+J205-K205-L205+M205,2))</f>
        <v>0</v>
      </c>
      <c r="F205">
        <f>IF(OR($A205="",NOT(OR($B205="管理人员",$B205="工人"))),0,ROUND(N(往来单位!$M$206)+SUMIFS(考勤工资!$W$5:$W$1004,考勤工资!$C$5:$C$1004,$A205,考勤工资!$Y$5:$Y$1004,"&gt;="&amp;_辅助!$J$4,考勤工资!$Y$5:$Y$1004,"&lt;="&amp;_辅助!$J$5)-(-SUMIFS(资金流水!$R$6:$R$2005,资金流水!$J$6:$J$2005,$A205,资金流水!$X$6:$X$2005,"应付职工薪酬",资金流水!$R$6:$R$2005,"&lt;0",资金流水!$S$6:$S$2005,"&gt;="&amp;_辅助!$J$4,资金流水!$S$6:$S$2005,"&lt;="&amp;_辅助!$J$5))-SUMIFS(代发抵账!$F$5:$F$304,代发抵账!$E$5:$E$304,$A205,代发抵账!$D$5:$D$304,"总包代发工资",代发抵账!$H$5:$H$304,"&gt;="&amp;_辅助!$J$4,代发抵账!$H$5:$H$304,"&lt;="&amp;_辅助!$J$5)+SUMIFS(资金流水!$R$6:$R$2005,资金流水!$J$6:$J$2005,$A205,资金流水!$X$6:$X$2005,"应付职工薪酬",资金流水!$R$6:$R$2005,"&gt;0",资金流水!$S$6:$S$2005,"&gt;="&amp;_辅助!$J$4,资金流水!$S$6:$S$2005,"&lt;="&amp;_辅助!$J$5),2))</f>
        <v>0</v>
      </c>
      <c r="G205">
        <f t="shared" si="2"/>
        <v>0</v>
      </c>
      <c r="H205">
        <f t="shared" si="3"/>
        <v>0</v>
      </c>
      <c r="I205">
        <f t="shared" si="4"/>
        <v>0</v>
      </c>
      <c r="J205">
        <f t="shared" si="5"/>
        <v>0</v>
      </c>
      <c r="K205">
        <f t="shared" si="6"/>
        <v>0</v>
      </c>
      <c r="L205">
        <f t="shared" si="7"/>
        <v>0</v>
      </c>
      <c r="M205">
        <f t="shared" si="8"/>
        <v>0</v>
      </c>
    </row>
    <row r="206">
      <c r="A206">
        <f>往来单位!$B$207&amp;""</f>
      </c>
      <c r="B206">
        <f>往来单位!$C$207&amp;""</f>
      </c>
      <c r="C206">
        <f t="shared" si="0"/>
        <v>0</v>
      </c>
      <c r="D206">
        <f t="shared" si="1"/>
        <v>0</v>
      </c>
      <c r="E206">
        <f>IF(OR($A206="",NOT(OR($B206="管理人员",$B206="工人"))),0,ROUND(N(往来单位!$M$207)+J206-K206-L206+M206,2))</f>
        <v>0</v>
      </c>
      <c r="F206">
        <f>IF(OR($A206="",NOT(OR($B206="管理人员",$B206="工人"))),0,ROUND(N(往来单位!$M$207)+SUMIFS(考勤工资!$W$5:$W$1004,考勤工资!$C$5:$C$1004,$A206,考勤工资!$Y$5:$Y$1004,"&gt;="&amp;_辅助!$J$4,考勤工资!$Y$5:$Y$1004,"&lt;="&amp;_辅助!$J$5)-(-SUMIFS(资金流水!$R$6:$R$2005,资金流水!$J$6:$J$2005,$A206,资金流水!$X$6:$X$2005,"应付职工薪酬",资金流水!$R$6:$R$2005,"&lt;0",资金流水!$S$6:$S$2005,"&gt;="&amp;_辅助!$J$4,资金流水!$S$6:$S$2005,"&lt;="&amp;_辅助!$J$5))-SUMIFS(代发抵账!$F$5:$F$304,代发抵账!$E$5:$E$304,$A206,代发抵账!$D$5:$D$304,"总包代发工资",代发抵账!$H$5:$H$304,"&gt;="&amp;_辅助!$J$4,代发抵账!$H$5:$H$304,"&lt;="&amp;_辅助!$J$5)+SUMIFS(资金流水!$R$6:$R$2005,资金流水!$J$6:$J$2005,$A206,资金流水!$X$6:$X$2005,"应付职工薪酬",资金流水!$R$6:$R$2005,"&gt;0",资金流水!$S$6:$S$2005,"&gt;="&amp;_辅助!$J$4,资金流水!$S$6:$S$2005,"&lt;="&amp;_辅助!$J$5),2))</f>
        <v>0</v>
      </c>
      <c r="G206">
        <f t="shared" si="2"/>
        <v>0</v>
      </c>
      <c r="H206">
        <f t="shared" si="3"/>
        <v>0</v>
      </c>
      <c r="I206">
        <f t="shared" si="4"/>
        <v>0</v>
      </c>
      <c r="J206">
        <f t="shared" si="5"/>
        <v>0</v>
      </c>
      <c r="K206">
        <f t="shared" si="6"/>
        <v>0</v>
      </c>
      <c r="L206">
        <f t="shared" si="7"/>
        <v>0</v>
      </c>
      <c r="M206">
        <f t="shared" si="8"/>
        <v>0</v>
      </c>
    </row>
    <row r="207">
      <c r="A207">
        <f>往来单位!$B$208&amp;""</f>
      </c>
      <c r="B207">
        <f>往来单位!$C$208&amp;""</f>
      </c>
      <c r="C207">
        <f t="shared" si="0"/>
        <v>0</v>
      </c>
      <c r="D207">
        <f t="shared" si="1"/>
        <v>0</v>
      </c>
      <c r="E207">
        <f>IF(OR($A207="",NOT(OR($B207="管理人员",$B207="工人"))),0,ROUND(N(往来单位!$M$208)+J207-K207-L207+M207,2))</f>
        <v>0</v>
      </c>
      <c r="F207">
        <f>IF(OR($A207="",NOT(OR($B207="管理人员",$B207="工人"))),0,ROUND(N(往来单位!$M$208)+SUMIFS(考勤工资!$W$5:$W$1004,考勤工资!$C$5:$C$1004,$A207,考勤工资!$Y$5:$Y$1004,"&gt;="&amp;_辅助!$J$4,考勤工资!$Y$5:$Y$1004,"&lt;="&amp;_辅助!$J$5)-(-SUMIFS(资金流水!$R$6:$R$2005,资金流水!$J$6:$J$2005,$A207,资金流水!$X$6:$X$2005,"应付职工薪酬",资金流水!$R$6:$R$2005,"&lt;0",资金流水!$S$6:$S$2005,"&gt;="&amp;_辅助!$J$4,资金流水!$S$6:$S$2005,"&lt;="&amp;_辅助!$J$5))-SUMIFS(代发抵账!$F$5:$F$304,代发抵账!$E$5:$E$304,$A207,代发抵账!$D$5:$D$304,"总包代发工资",代发抵账!$H$5:$H$304,"&gt;="&amp;_辅助!$J$4,代发抵账!$H$5:$H$304,"&lt;="&amp;_辅助!$J$5)+SUMIFS(资金流水!$R$6:$R$2005,资金流水!$J$6:$J$2005,$A207,资金流水!$X$6:$X$2005,"应付职工薪酬",资金流水!$R$6:$R$2005,"&gt;0",资金流水!$S$6:$S$2005,"&gt;="&amp;_辅助!$J$4,资金流水!$S$6:$S$2005,"&lt;="&amp;_辅助!$J$5),2))</f>
        <v>0</v>
      </c>
      <c r="G207">
        <f t="shared" si="2"/>
        <v>0</v>
      </c>
      <c r="H207">
        <f t="shared" si="3"/>
        <v>0</v>
      </c>
      <c r="I207">
        <f t="shared" si="4"/>
        <v>0</v>
      </c>
      <c r="J207">
        <f t="shared" si="5"/>
        <v>0</v>
      </c>
      <c r="K207">
        <f t="shared" si="6"/>
        <v>0</v>
      </c>
      <c r="L207">
        <f t="shared" si="7"/>
        <v>0</v>
      </c>
      <c r="M207">
        <f t="shared" si="8"/>
        <v>0</v>
      </c>
    </row>
    <row r="208">
      <c r="A208">
        <f>往来单位!$B$209&amp;""</f>
      </c>
      <c r="B208">
        <f>往来单位!$C$209&amp;""</f>
      </c>
      <c r="C208">
        <f t="shared" si="0"/>
        <v>0</v>
      </c>
      <c r="D208">
        <f t="shared" si="1"/>
        <v>0</v>
      </c>
      <c r="E208">
        <f>IF(OR($A208="",NOT(OR($B208="管理人员",$B208="工人"))),0,ROUND(N(往来单位!$M$209)+J208-K208-L208+M208,2))</f>
        <v>0</v>
      </c>
      <c r="F208">
        <f>IF(OR($A208="",NOT(OR($B208="管理人员",$B208="工人"))),0,ROUND(N(往来单位!$M$209)+SUMIFS(考勤工资!$W$5:$W$1004,考勤工资!$C$5:$C$1004,$A208,考勤工资!$Y$5:$Y$1004,"&gt;="&amp;_辅助!$J$4,考勤工资!$Y$5:$Y$1004,"&lt;="&amp;_辅助!$J$5)-(-SUMIFS(资金流水!$R$6:$R$2005,资金流水!$J$6:$J$2005,$A208,资金流水!$X$6:$X$2005,"应付职工薪酬",资金流水!$R$6:$R$2005,"&lt;0",资金流水!$S$6:$S$2005,"&gt;="&amp;_辅助!$J$4,资金流水!$S$6:$S$2005,"&lt;="&amp;_辅助!$J$5))-SUMIFS(代发抵账!$F$5:$F$304,代发抵账!$E$5:$E$304,$A208,代发抵账!$D$5:$D$304,"总包代发工资",代发抵账!$H$5:$H$304,"&gt;="&amp;_辅助!$J$4,代发抵账!$H$5:$H$304,"&lt;="&amp;_辅助!$J$5)+SUMIFS(资金流水!$R$6:$R$2005,资金流水!$J$6:$J$2005,$A208,资金流水!$X$6:$X$2005,"应付职工薪酬",资金流水!$R$6:$R$2005,"&gt;0",资金流水!$S$6:$S$2005,"&gt;="&amp;_辅助!$J$4,资金流水!$S$6:$S$2005,"&lt;="&amp;_辅助!$J$5),2))</f>
        <v>0</v>
      </c>
      <c r="G208">
        <f t="shared" si="2"/>
        <v>0</v>
      </c>
      <c r="H208">
        <f t="shared" si="3"/>
        <v>0</v>
      </c>
      <c r="I208">
        <f t="shared" si="4"/>
        <v>0</v>
      </c>
      <c r="J208">
        <f t="shared" si="5"/>
        <v>0</v>
      </c>
      <c r="K208">
        <f t="shared" si="6"/>
        <v>0</v>
      </c>
      <c r="L208">
        <f t="shared" si="7"/>
        <v>0</v>
      </c>
      <c r="M208">
        <f t="shared" si="8"/>
        <v>0</v>
      </c>
    </row>
    <row r="209">
      <c r="A209">
        <f>往来单位!$B$210&amp;""</f>
      </c>
      <c r="B209">
        <f>往来单位!$C$210&amp;""</f>
      </c>
      <c r="C209">
        <f t="shared" si="0"/>
        <v>0</v>
      </c>
      <c r="D209">
        <f t="shared" si="1"/>
        <v>0</v>
      </c>
      <c r="E209">
        <f>IF(OR($A209="",NOT(OR($B209="管理人员",$B209="工人"))),0,ROUND(N(往来单位!$M$210)+J209-K209-L209+M209,2))</f>
        <v>0</v>
      </c>
      <c r="F209">
        <f>IF(OR($A209="",NOT(OR($B209="管理人员",$B209="工人"))),0,ROUND(N(往来单位!$M$210)+SUMIFS(考勤工资!$W$5:$W$1004,考勤工资!$C$5:$C$1004,$A209,考勤工资!$Y$5:$Y$1004,"&gt;="&amp;_辅助!$J$4,考勤工资!$Y$5:$Y$1004,"&lt;="&amp;_辅助!$J$5)-(-SUMIFS(资金流水!$R$6:$R$2005,资金流水!$J$6:$J$2005,$A209,资金流水!$X$6:$X$2005,"应付职工薪酬",资金流水!$R$6:$R$2005,"&lt;0",资金流水!$S$6:$S$2005,"&gt;="&amp;_辅助!$J$4,资金流水!$S$6:$S$2005,"&lt;="&amp;_辅助!$J$5))-SUMIFS(代发抵账!$F$5:$F$304,代发抵账!$E$5:$E$304,$A209,代发抵账!$D$5:$D$304,"总包代发工资",代发抵账!$H$5:$H$304,"&gt;="&amp;_辅助!$J$4,代发抵账!$H$5:$H$304,"&lt;="&amp;_辅助!$J$5)+SUMIFS(资金流水!$R$6:$R$2005,资金流水!$J$6:$J$2005,$A209,资金流水!$X$6:$X$2005,"应付职工薪酬",资金流水!$R$6:$R$2005,"&gt;0",资金流水!$S$6:$S$2005,"&gt;="&amp;_辅助!$J$4,资金流水!$S$6:$S$2005,"&lt;="&amp;_辅助!$J$5),2))</f>
        <v>0</v>
      </c>
      <c r="G209">
        <f t="shared" si="2"/>
        <v>0</v>
      </c>
      <c r="H209">
        <f t="shared" si="3"/>
        <v>0</v>
      </c>
      <c r="I209">
        <f t="shared" si="4"/>
        <v>0</v>
      </c>
      <c r="J209">
        <f t="shared" si="5"/>
        <v>0</v>
      </c>
      <c r="K209">
        <f t="shared" si="6"/>
        <v>0</v>
      </c>
      <c r="L209">
        <f t="shared" si="7"/>
        <v>0</v>
      </c>
      <c r="M209">
        <f t="shared" si="8"/>
        <v>0</v>
      </c>
    </row>
    <row r="210">
      <c r="A210">
        <f>往来单位!$B$211&amp;""</f>
      </c>
      <c r="B210">
        <f>往来单位!$C$211&amp;""</f>
      </c>
      <c r="C210">
        <f t="shared" si="0"/>
        <v>0</v>
      </c>
      <c r="D210">
        <f t="shared" si="1"/>
        <v>0</v>
      </c>
      <c r="E210">
        <f>IF(OR($A210="",NOT(OR($B210="管理人员",$B210="工人"))),0,ROUND(N(往来单位!$M$211)+J210-K210-L210+M210,2))</f>
        <v>0</v>
      </c>
      <c r="F210">
        <f>IF(OR($A210="",NOT(OR($B210="管理人员",$B210="工人"))),0,ROUND(N(往来单位!$M$211)+SUMIFS(考勤工资!$W$5:$W$1004,考勤工资!$C$5:$C$1004,$A210,考勤工资!$Y$5:$Y$1004,"&gt;="&amp;_辅助!$J$4,考勤工资!$Y$5:$Y$1004,"&lt;="&amp;_辅助!$J$5)-(-SUMIFS(资金流水!$R$6:$R$2005,资金流水!$J$6:$J$2005,$A210,资金流水!$X$6:$X$2005,"应付职工薪酬",资金流水!$R$6:$R$2005,"&lt;0",资金流水!$S$6:$S$2005,"&gt;="&amp;_辅助!$J$4,资金流水!$S$6:$S$2005,"&lt;="&amp;_辅助!$J$5))-SUMIFS(代发抵账!$F$5:$F$304,代发抵账!$E$5:$E$304,$A210,代发抵账!$D$5:$D$304,"总包代发工资",代发抵账!$H$5:$H$304,"&gt;="&amp;_辅助!$J$4,代发抵账!$H$5:$H$304,"&lt;="&amp;_辅助!$J$5)+SUMIFS(资金流水!$R$6:$R$2005,资金流水!$J$6:$J$2005,$A210,资金流水!$X$6:$X$2005,"应付职工薪酬",资金流水!$R$6:$R$2005,"&gt;0",资金流水!$S$6:$S$2005,"&gt;="&amp;_辅助!$J$4,资金流水!$S$6:$S$2005,"&lt;="&amp;_辅助!$J$5),2))</f>
        <v>0</v>
      </c>
      <c r="G210">
        <f t="shared" si="2"/>
        <v>0</v>
      </c>
      <c r="H210">
        <f t="shared" si="3"/>
        <v>0</v>
      </c>
      <c r="I210">
        <f t="shared" si="4"/>
        <v>0</v>
      </c>
      <c r="J210">
        <f t="shared" si="5"/>
        <v>0</v>
      </c>
      <c r="K210">
        <f t="shared" si="6"/>
        <v>0</v>
      </c>
      <c r="L210">
        <f t="shared" si="7"/>
        <v>0</v>
      </c>
      <c r="M210">
        <f t="shared" si="8"/>
        <v>0</v>
      </c>
    </row>
    <row r="211">
      <c r="A211">
        <f>往来单位!$B$212&amp;""</f>
      </c>
      <c r="B211">
        <f>往来单位!$C$212&amp;""</f>
      </c>
      <c r="C211">
        <f t="shared" si="0"/>
        <v>0</v>
      </c>
      <c r="D211">
        <f t="shared" si="1"/>
        <v>0</v>
      </c>
      <c r="E211">
        <f>IF(OR($A211="",NOT(OR($B211="管理人员",$B211="工人"))),0,ROUND(N(往来单位!$M$212)+J211-K211-L211+M211,2))</f>
        <v>0</v>
      </c>
      <c r="F211">
        <f>IF(OR($A211="",NOT(OR($B211="管理人员",$B211="工人"))),0,ROUND(N(往来单位!$M$212)+SUMIFS(考勤工资!$W$5:$W$1004,考勤工资!$C$5:$C$1004,$A211,考勤工资!$Y$5:$Y$1004,"&gt;="&amp;_辅助!$J$4,考勤工资!$Y$5:$Y$1004,"&lt;="&amp;_辅助!$J$5)-(-SUMIFS(资金流水!$R$6:$R$2005,资金流水!$J$6:$J$2005,$A211,资金流水!$X$6:$X$2005,"应付职工薪酬",资金流水!$R$6:$R$2005,"&lt;0",资金流水!$S$6:$S$2005,"&gt;="&amp;_辅助!$J$4,资金流水!$S$6:$S$2005,"&lt;="&amp;_辅助!$J$5))-SUMIFS(代发抵账!$F$5:$F$304,代发抵账!$E$5:$E$304,$A211,代发抵账!$D$5:$D$304,"总包代发工资",代发抵账!$H$5:$H$304,"&gt;="&amp;_辅助!$J$4,代发抵账!$H$5:$H$304,"&lt;="&amp;_辅助!$J$5)+SUMIFS(资金流水!$R$6:$R$2005,资金流水!$J$6:$J$2005,$A211,资金流水!$X$6:$X$2005,"应付职工薪酬",资金流水!$R$6:$R$2005,"&gt;0",资金流水!$S$6:$S$2005,"&gt;="&amp;_辅助!$J$4,资金流水!$S$6:$S$2005,"&lt;="&amp;_辅助!$J$5),2))</f>
        <v>0</v>
      </c>
      <c r="G211">
        <f t="shared" si="2"/>
        <v>0</v>
      </c>
      <c r="H211">
        <f t="shared" si="3"/>
        <v>0</v>
      </c>
      <c r="I211">
        <f t="shared" si="4"/>
        <v>0</v>
      </c>
      <c r="J211">
        <f t="shared" si="5"/>
        <v>0</v>
      </c>
      <c r="K211">
        <f t="shared" si="6"/>
        <v>0</v>
      </c>
      <c r="L211">
        <f t="shared" si="7"/>
        <v>0</v>
      </c>
      <c r="M211">
        <f t="shared" si="8"/>
        <v>0</v>
      </c>
    </row>
    <row r="212">
      <c r="A212">
        <f>往来单位!$B$213&amp;""</f>
      </c>
      <c r="B212">
        <f>往来单位!$C$213&amp;""</f>
      </c>
      <c r="C212">
        <f t="shared" si="0"/>
        <v>0</v>
      </c>
      <c r="D212">
        <f t="shared" si="1"/>
        <v>0</v>
      </c>
      <c r="E212">
        <f>IF(OR($A212="",NOT(OR($B212="管理人员",$B212="工人"))),0,ROUND(N(往来单位!$M$213)+J212-K212-L212+M212,2))</f>
        <v>0</v>
      </c>
      <c r="F212">
        <f>IF(OR($A212="",NOT(OR($B212="管理人员",$B212="工人"))),0,ROUND(N(往来单位!$M$213)+SUMIFS(考勤工资!$W$5:$W$1004,考勤工资!$C$5:$C$1004,$A212,考勤工资!$Y$5:$Y$1004,"&gt;="&amp;_辅助!$J$4,考勤工资!$Y$5:$Y$1004,"&lt;="&amp;_辅助!$J$5)-(-SUMIFS(资金流水!$R$6:$R$2005,资金流水!$J$6:$J$2005,$A212,资金流水!$X$6:$X$2005,"应付职工薪酬",资金流水!$R$6:$R$2005,"&lt;0",资金流水!$S$6:$S$2005,"&gt;="&amp;_辅助!$J$4,资金流水!$S$6:$S$2005,"&lt;="&amp;_辅助!$J$5))-SUMIFS(代发抵账!$F$5:$F$304,代发抵账!$E$5:$E$304,$A212,代发抵账!$D$5:$D$304,"总包代发工资",代发抵账!$H$5:$H$304,"&gt;="&amp;_辅助!$J$4,代发抵账!$H$5:$H$304,"&lt;="&amp;_辅助!$J$5)+SUMIFS(资金流水!$R$6:$R$2005,资金流水!$J$6:$J$2005,$A212,资金流水!$X$6:$X$2005,"应付职工薪酬",资金流水!$R$6:$R$2005,"&gt;0",资金流水!$S$6:$S$2005,"&gt;="&amp;_辅助!$J$4,资金流水!$S$6:$S$2005,"&lt;="&amp;_辅助!$J$5),2))</f>
        <v>0</v>
      </c>
      <c r="G212">
        <f t="shared" si="2"/>
        <v>0</v>
      </c>
      <c r="H212">
        <f t="shared" si="3"/>
        <v>0</v>
      </c>
      <c r="I212">
        <f t="shared" si="4"/>
        <v>0</v>
      </c>
      <c r="J212">
        <f t="shared" si="5"/>
        <v>0</v>
      </c>
      <c r="K212">
        <f t="shared" si="6"/>
        <v>0</v>
      </c>
      <c r="L212">
        <f t="shared" si="7"/>
        <v>0</v>
      </c>
      <c r="M212">
        <f t="shared" si="8"/>
        <v>0</v>
      </c>
    </row>
    <row r="213">
      <c r="A213">
        <f>往来单位!$B$214&amp;""</f>
      </c>
      <c r="B213">
        <f>往来单位!$C$214&amp;""</f>
      </c>
      <c r="C213">
        <f t="shared" si="0"/>
        <v>0</v>
      </c>
      <c r="D213">
        <f t="shared" si="1"/>
        <v>0</v>
      </c>
      <c r="E213">
        <f>IF(OR($A213="",NOT(OR($B213="管理人员",$B213="工人"))),0,ROUND(N(往来单位!$M$214)+J213-K213-L213+M213,2))</f>
        <v>0</v>
      </c>
      <c r="F213">
        <f>IF(OR($A213="",NOT(OR($B213="管理人员",$B213="工人"))),0,ROUND(N(往来单位!$M$214)+SUMIFS(考勤工资!$W$5:$W$1004,考勤工资!$C$5:$C$1004,$A213,考勤工资!$Y$5:$Y$1004,"&gt;="&amp;_辅助!$J$4,考勤工资!$Y$5:$Y$1004,"&lt;="&amp;_辅助!$J$5)-(-SUMIFS(资金流水!$R$6:$R$2005,资金流水!$J$6:$J$2005,$A213,资金流水!$X$6:$X$2005,"应付职工薪酬",资金流水!$R$6:$R$2005,"&lt;0",资金流水!$S$6:$S$2005,"&gt;="&amp;_辅助!$J$4,资金流水!$S$6:$S$2005,"&lt;="&amp;_辅助!$J$5))-SUMIFS(代发抵账!$F$5:$F$304,代发抵账!$E$5:$E$304,$A213,代发抵账!$D$5:$D$304,"总包代发工资",代发抵账!$H$5:$H$304,"&gt;="&amp;_辅助!$J$4,代发抵账!$H$5:$H$304,"&lt;="&amp;_辅助!$J$5)+SUMIFS(资金流水!$R$6:$R$2005,资金流水!$J$6:$J$2005,$A213,资金流水!$X$6:$X$2005,"应付职工薪酬",资金流水!$R$6:$R$2005,"&gt;0",资金流水!$S$6:$S$2005,"&gt;="&amp;_辅助!$J$4,资金流水!$S$6:$S$2005,"&lt;="&amp;_辅助!$J$5),2))</f>
        <v>0</v>
      </c>
      <c r="G213">
        <f t="shared" si="2"/>
        <v>0</v>
      </c>
      <c r="H213">
        <f t="shared" si="3"/>
        <v>0</v>
      </c>
      <c r="I213">
        <f t="shared" si="4"/>
        <v>0</v>
      </c>
      <c r="J213">
        <f t="shared" si="5"/>
        <v>0</v>
      </c>
      <c r="K213">
        <f t="shared" si="6"/>
        <v>0</v>
      </c>
      <c r="L213">
        <f t="shared" si="7"/>
        <v>0</v>
      </c>
      <c r="M213">
        <f t="shared" si="8"/>
        <v>0</v>
      </c>
    </row>
    <row r="214">
      <c r="A214">
        <f>往来单位!$B$215&amp;""</f>
      </c>
      <c r="B214">
        <f>往来单位!$C$215&amp;""</f>
      </c>
      <c r="C214">
        <f t="shared" si="0"/>
        <v>0</v>
      </c>
      <c r="D214">
        <f t="shared" si="1"/>
        <v>0</v>
      </c>
      <c r="E214">
        <f>IF(OR($A214="",NOT(OR($B214="管理人员",$B214="工人"))),0,ROUND(N(往来单位!$M$215)+J214-K214-L214+M214,2))</f>
        <v>0</v>
      </c>
      <c r="F214">
        <f>IF(OR($A214="",NOT(OR($B214="管理人员",$B214="工人"))),0,ROUND(N(往来单位!$M$215)+SUMIFS(考勤工资!$W$5:$W$1004,考勤工资!$C$5:$C$1004,$A214,考勤工资!$Y$5:$Y$1004,"&gt;="&amp;_辅助!$J$4,考勤工资!$Y$5:$Y$1004,"&lt;="&amp;_辅助!$J$5)-(-SUMIFS(资金流水!$R$6:$R$2005,资金流水!$J$6:$J$2005,$A214,资金流水!$X$6:$X$2005,"应付职工薪酬",资金流水!$R$6:$R$2005,"&lt;0",资金流水!$S$6:$S$2005,"&gt;="&amp;_辅助!$J$4,资金流水!$S$6:$S$2005,"&lt;="&amp;_辅助!$J$5))-SUMIFS(代发抵账!$F$5:$F$304,代发抵账!$E$5:$E$304,$A214,代发抵账!$D$5:$D$304,"总包代发工资",代发抵账!$H$5:$H$304,"&gt;="&amp;_辅助!$J$4,代发抵账!$H$5:$H$304,"&lt;="&amp;_辅助!$J$5)+SUMIFS(资金流水!$R$6:$R$2005,资金流水!$J$6:$J$2005,$A214,资金流水!$X$6:$X$2005,"应付职工薪酬",资金流水!$R$6:$R$2005,"&gt;0",资金流水!$S$6:$S$2005,"&gt;="&amp;_辅助!$J$4,资金流水!$S$6:$S$2005,"&lt;="&amp;_辅助!$J$5),2))</f>
        <v>0</v>
      </c>
      <c r="G214">
        <f t="shared" si="2"/>
        <v>0</v>
      </c>
      <c r="H214">
        <f t="shared" si="3"/>
        <v>0</v>
      </c>
      <c r="I214">
        <f t="shared" si="4"/>
        <v>0</v>
      </c>
      <c r="J214">
        <f t="shared" si="5"/>
        <v>0</v>
      </c>
      <c r="K214">
        <f t="shared" si="6"/>
        <v>0</v>
      </c>
      <c r="L214">
        <f t="shared" si="7"/>
        <v>0</v>
      </c>
      <c r="M214">
        <f t="shared" si="8"/>
        <v>0</v>
      </c>
    </row>
    <row r="215">
      <c r="A215">
        <f>往来单位!$B$216&amp;""</f>
      </c>
      <c r="B215">
        <f>往来单位!$C$216&amp;""</f>
      </c>
      <c r="C215">
        <f t="shared" si="0"/>
        <v>0</v>
      </c>
      <c r="D215">
        <f t="shared" si="1"/>
        <v>0</v>
      </c>
      <c r="E215">
        <f>IF(OR($A215="",NOT(OR($B215="管理人员",$B215="工人"))),0,ROUND(N(往来单位!$M$216)+J215-K215-L215+M215,2))</f>
        <v>0</v>
      </c>
      <c r="F215">
        <f>IF(OR($A215="",NOT(OR($B215="管理人员",$B215="工人"))),0,ROUND(N(往来单位!$M$216)+SUMIFS(考勤工资!$W$5:$W$1004,考勤工资!$C$5:$C$1004,$A215,考勤工资!$Y$5:$Y$1004,"&gt;="&amp;_辅助!$J$4,考勤工资!$Y$5:$Y$1004,"&lt;="&amp;_辅助!$J$5)-(-SUMIFS(资金流水!$R$6:$R$2005,资金流水!$J$6:$J$2005,$A215,资金流水!$X$6:$X$2005,"应付职工薪酬",资金流水!$R$6:$R$2005,"&lt;0",资金流水!$S$6:$S$2005,"&gt;="&amp;_辅助!$J$4,资金流水!$S$6:$S$2005,"&lt;="&amp;_辅助!$J$5))-SUMIFS(代发抵账!$F$5:$F$304,代发抵账!$E$5:$E$304,$A215,代发抵账!$D$5:$D$304,"总包代发工资",代发抵账!$H$5:$H$304,"&gt;="&amp;_辅助!$J$4,代发抵账!$H$5:$H$304,"&lt;="&amp;_辅助!$J$5)+SUMIFS(资金流水!$R$6:$R$2005,资金流水!$J$6:$J$2005,$A215,资金流水!$X$6:$X$2005,"应付职工薪酬",资金流水!$R$6:$R$2005,"&gt;0",资金流水!$S$6:$S$2005,"&gt;="&amp;_辅助!$J$4,资金流水!$S$6:$S$2005,"&lt;="&amp;_辅助!$J$5),2))</f>
        <v>0</v>
      </c>
      <c r="G215">
        <f t="shared" si="2"/>
        <v>0</v>
      </c>
      <c r="H215">
        <f t="shared" si="3"/>
        <v>0</v>
      </c>
      <c r="I215">
        <f t="shared" si="4"/>
        <v>0</v>
      </c>
      <c r="J215">
        <f t="shared" si="5"/>
        <v>0</v>
      </c>
      <c r="K215">
        <f t="shared" si="6"/>
        <v>0</v>
      </c>
      <c r="L215">
        <f t="shared" si="7"/>
        <v>0</v>
      </c>
      <c r="M215">
        <f t="shared" si="8"/>
        <v>0</v>
      </c>
    </row>
    <row r="216">
      <c r="A216">
        <f>往来单位!$B$217&amp;""</f>
      </c>
      <c r="B216">
        <f>往来单位!$C$217&amp;""</f>
      </c>
      <c r="C216">
        <f t="shared" si="0"/>
        <v>0</v>
      </c>
      <c r="D216">
        <f t="shared" si="1"/>
        <v>0</v>
      </c>
      <c r="E216">
        <f>IF(OR($A216="",NOT(OR($B216="管理人员",$B216="工人"))),0,ROUND(N(往来单位!$M$217)+J216-K216-L216+M216,2))</f>
        <v>0</v>
      </c>
      <c r="F216">
        <f>IF(OR($A216="",NOT(OR($B216="管理人员",$B216="工人"))),0,ROUND(N(往来单位!$M$217)+SUMIFS(考勤工资!$W$5:$W$1004,考勤工资!$C$5:$C$1004,$A216,考勤工资!$Y$5:$Y$1004,"&gt;="&amp;_辅助!$J$4,考勤工资!$Y$5:$Y$1004,"&lt;="&amp;_辅助!$J$5)-(-SUMIFS(资金流水!$R$6:$R$2005,资金流水!$J$6:$J$2005,$A216,资金流水!$X$6:$X$2005,"应付职工薪酬",资金流水!$R$6:$R$2005,"&lt;0",资金流水!$S$6:$S$2005,"&gt;="&amp;_辅助!$J$4,资金流水!$S$6:$S$2005,"&lt;="&amp;_辅助!$J$5))-SUMIFS(代发抵账!$F$5:$F$304,代发抵账!$E$5:$E$304,$A216,代发抵账!$D$5:$D$304,"总包代发工资",代发抵账!$H$5:$H$304,"&gt;="&amp;_辅助!$J$4,代发抵账!$H$5:$H$304,"&lt;="&amp;_辅助!$J$5)+SUMIFS(资金流水!$R$6:$R$2005,资金流水!$J$6:$J$2005,$A216,资金流水!$X$6:$X$2005,"应付职工薪酬",资金流水!$R$6:$R$2005,"&gt;0",资金流水!$S$6:$S$2005,"&gt;="&amp;_辅助!$J$4,资金流水!$S$6:$S$2005,"&lt;="&amp;_辅助!$J$5),2))</f>
        <v>0</v>
      </c>
      <c r="G216">
        <f t="shared" si="2"/>
        <v>0</v>
      </c>
      <c r="H216">
        <f t="shared" si="3"/>
        <v>0</v>
      </c>
      <c r="I216">
        <f t="shared" si="4"/>
        <v>0</v>
      </c>
      <c r="J216">
        <f t="shared" si="5"/>
        <v>0</v>
      </c>
      <c r="K216">
        <f t="shared" si="6"/>
        <v>0</v>
      </c>
      <c r="L216">
        <f t="shared" si="7"/>
        <v>0</v>
      </c>
      <c r="M216">
        <f t="shared" si="8"/>
        <v>0</v>
      </c>
    </row>
    <row r="217">
      <c r="A217">
        <f>往来单位!$B$218&amp;""</f>
      </c>
      <c r="B217">
        <f>往来单位!$C$218&amp;""</f>
      </c>
      <c r="C217">
        <f t="shared" si="0"/>
        <v>0</v>
      </c>
      <c r="D217">
        <f t="shared" si="1"/>
        <v>0</v>
      </c>
      <c r="E217">
        <f>IF(OR($A217="",NOT(OR($B217="管理人员",$B217="工人"))),0,ROUND(N(往来单位!$M$218)+J217-K217-L217+M217,2))</f>
        <v>0</v>
      </c>
      <c r="F217">
        <f>IF(OR($A217="",NOT(OR($B217="管理人员",$B217="工人"))),0,ROUND(N(往来单位!$M$218)+SUMIFS(考勤工资!$W$5:$W$1004,考勤工资!$C$5:$C$1004,$A217,考勤工资!$Y$5:$Y$1004,"&gt;="&amp;_辅助!$J$4,考勤工资!$Y$5:$Y$1004,"&lt;="&amp;_辅助!$J$5)-(-SUMIFS(资金流水!$R$6:$R$2005,资金流水!$J$6:$J$2005,$A217,资金流水!$X$6:$X$2005,"应付职工薪酬",资金流水!$R$6:$R$2005,"&lt;0",资金流水!$S$6:$S$2005,"&gt;="&amp;_辅助!$J$4,资金流水!$S$6:$S$2005,"&lt;="&amp;_辅助!$J$5))-SUMIFS(代发抵账!$F$5:$F$304,代发抵账!$E$5:$E$304,$A217,代发抵账!$D$5:$D$304,"总包代发工资",代发抵账!$H$5:$H$304,"&gt;="&amp;_辅助!$J$4,代发抵账!$H$5:$H$304,"&lt;="&amp;_辅助!$J$5)+SUMIFS(资金流水!$R$6:$R$2005,资金流水!$J$6:$J$2005,$A217,资金流水!$X$6:$X$2005,"应付职工薪酬",资金流水!$R$6:$R$2005,"&gt;0",资金流水!$S$6:$S$2005,"&gt;="&amp;_辅助!$J$4,资金流水!$S$6:$S$2005,"&lt;="&amp;_辅助!$J$5),2))</f>
        <v>0</v>
      </c>
      <c r="G217">
        <f t="shared" si="2"/>
        <v>0</v>
      </c>
      <c r="H217">
        <f t="shared" si="3"/>
        <v>0</v>
      </c>
      <c r="I217">
        <f t="shared" si="4"/>
        <v>0</v>
      </c>
      <c r="J217">
        <f t="shared" si="5"/>
        <v>0</v>
      </c>
      <c r="K217">
        <f t="shared" si="6"/>
        <v>0</v>
      </c>
      <c r="L217">
        <f t="shared" si="7"/>
        <v>0</v>
      </c>
      <c r="M217">
        <f t="shared" si="8"/>
        <v>0</v>
      </c>
    </row>
    <row r="218">
      <c r="A218">
        <f>往来单位!$B$219&amp;""</f>
      </c>
      <c r="B218">
        <f>往来单位!$C$219&amp;""</f>
      </c>
      <c r="C218">
        <f t="shared" si="0"/>
        <v>0</v>
      </c>
      <c r="D218">
        <f t="shared" si="1"/>
        <v>0</v>
      </c>
      <c r="E218">
        <f>IF(OR($A218="",NOT(OR($B218="管理人员",$B218="工人"))),0,ROUND(N(往来单位!$M$219)+J218-K218-L218+M218,2))</f>
        <v>0</v>
      </c>
      <c r="F218">
        <f>IF(OR($A218="",NOT(OR($B218="管理人员",$B218="工人"))),0,ROUND(N(往来单位!$M$219)+SUMIFS(考勤工资!$W$5:$W$1004,考勤工资!$C$5:$C$1004,$A218,考勤工资!$Y$5:$Y$1004,"&gt;="&amp;_辅助!$J$4,考勤工资!$Y$5:$Y$1004,"&lt;="&amp;_辅助!$J$5)-(-SUMIFS(资金流水!$R$6:$R$2005,资金流水!$J$6:$J$2005,$A218,资金流水!$X$6:$X$2005,"应付职工薪酬",资金流水!$R$6:$R$2005,"&lt;0",资金流水!$S$6:$S$2005,"&gt;="&amp;_辅助!$J$4,资金流水!$S$6:$S$2005,"&lt;="&amp;_辅助!$J$5))-SUMIFS(代发抵账!$F$5:$F$304,代发抵账!$E$5:$E$304,$A218,代发抵账!$D$5:$D$304,"总包代发工资",代发抵账!$H$5:$H$304,"&gt;="&amp;_辅助!$J$4,代发抵账!$H$5:$H$304,"&lt;="&amp;_辅助!$J$5)+SUMIFS(资金流水!$R$6:$R$2005,资金流水!$J$6:$J$2005,$A218,资金流水!$X$6:$X$2005,"应付职工薪酬",资金流水!$R$6:$R$2005,"&gt;0",资金流水!$S$6:$S$2005,"&gt;="&amp;_辅助!$J$4,资金流水!$S$6:$S$2005,"&lt;="&amp;_辅助!$J$5),2))</f>
        <v>0</v>
      </c>
      <c r="G218">
        <f t="shared" si="2"/>
        <v>0</v>
      </c>
      <c r="H218">
        <f t="shared" si="3"/>
        <v>0</v>
      </c>
      <c r="I218">
        <f t="shared" si="4"/>
        <v>0</v>
      </c>
      <c r="J218">
        <f t="shared" si="5"/>
        <v>0</v>
      </c>
      <c r="K218">
        <f t="shared" si="6"/>
        <v>0</v>
      </c>
      <c r="L218">
        <f t="shared" si="7"/>
        <v>0</v>
      </c>
      <c r="M218">
        <f t="shared" si="8"/>
        <v>0</v>
      </c>
    </row>
    <row r="219">
      <c r="A219">
        <f>往来单位!$B$220&amp;""</f>
      </c>
      <c r="B219">
        <f>往来单位!$C$220&amp;""</f>
      </c>
      <c r="C219">
        <f t="shared" si="0"/>
        <v>0</v>
      </c>
      <c r="D219">
        <f t="shared" si="1"/>
        <v>0</v>
      </c>
      <c r="E219">
        <f>IF(OR($A219="",NOT(OR($B219="管理人员",$B219="工人"))),0,ROUND(N(往来单位!$M$220)+J219-K219-L219+M219,2))</f>
        <v>0</v>
      </c>
      <c r="F219">
        <f>IF(OR($A219="",NOT(OR($B219="管理人员",$B219="工人"))),0,ROUND(N(往来单位!$M$220)+SUMIFS(考勤工资!$W$5:$W$1004,考勤工资!$C$5:$C$1004,$A219,考勤工资!$Y$5:$Y$1004,"&gt;="&amp;_辅助!$J$4,考勤工资!$Y$5:$Y$1004,"&lt;="&amp;_辅助!$J$5)-(-SUMIFS(资金流水!$R$6:$R$2005,资金流水!$J$6:$J$2005,$A219,资金流水!$X$6:$X$2005,"应付职工薪酬",资金流水!$R$6:$R$2005,"&lt;0",资金流水!$S$6:$S$2005,"&gt;="&amp;_辅助!$J$4,资金流水!$S$6:$S$2005,"&lt;="&amp;_辅助!$J$5))-SUMIFS(代发抵账!$F$5:$F$304,代发抵账!$E$5:$E$304,$A219,代发抵账!$D$5:$D$304,"总包代发工资",代发抵账!$H$5:$H$304,"&gt;="&amp;_辅助!$J$4,代发抵账!$H$5:$H$304,"&lt;="&amp;_辅助!$J$5)+SUMIFS(资金流水!$R$6:$R$2005,资金流水!$J$6:$J$2005,$A219,资金流水!$X$6:$X$2005,"应付职工薪酬",资金流水!$R$6:$R$2005,"&gt;0",资金流水!$S$6:$S$2005,"&gt;="&amp;_辅助!$J$4,资金流水!$S$6:$S$2005,"&lt;="&amp;_辅助!$J$5),2))</f>
        <v>0</v>
      </c>
      <c r="G219">
        <f t="shared" si="2"/>
        <v>0</v>
      </c>
      <c r="H219">
        <f t="shared" si="3"/>
        <v>0</v>
      </c>
      <c r="I219">
        <f t="shared" si="4"/>
        <v>0</v>
      </c>
      <c r="J219">
        <f t="shared" si="5"/>
        <v>0</v>
      </c>
      <c r="K219">
        <f t="shared" si="6"/>
        <v>0</v>
      </c>
      <c r="L219">
        <f t="shared" si="7"/>
        <v>0</v>
      </c>
      <c r="M219">
        <f t="shared" si="8"/>
        <v>0</v>
      </c>
    </row>
    <row r="220">
      <c r="A220">
        <f>往来单位!$B$221&amp;""</f>
      </c>
      <c r="B220">
        <f>往来单位!$C$221&amp;""</f>
      </c>
      <c r="C220">
        <f t="shared" si="0"/>
        <v>0</v>
      </c>
      <c r="D220">
        <f t="shared" si="1"/>
        <v>0</v>
      </c>
      <c r="E220">
        <f>IF(OR($A220="",NOT(OR($B220="管理人员",$B220="工人"))),0,ROUND(N(往来单位!$M$221)+J220-K220-L220+M220,2))</f>
        <v>0</v>
      </c>
      <c r="F220">
        <f>IF(OR($A220="",NOT(OR($B220="管理人员",$B220="工人"))),0,ROUND(N(往来单位!$M$221)+SUMIFS(考勤工资!$W$5:$W$1004,考勤工资!$C$5:$C$1004,$A220,考勤工资!$Y$5:$Y$1004,"&gt;="&amp;_辅助!$J$4,考勤工资!$Y$5:$Y$1004,"&lt;="&amp;_辅助!$J$5)-(-SUMIFS(资金流水!$R$6:$R$2005,资金流水!$J$6:$J$2005,$A220,资金流水!$X$6:$X$2005,"应付职工薪酬",资金流水!$R$6:$R$2005,"&lt;0",资金流水!$S$6:$S$2005,"&gt;="&amp;_辅助!$J$4,资金流水!$S$6:$S$2005,"&lt;="&amp;_辅助!$J$5))-SUMIFS(代发抵账!$F$5:$F$304,代发抵账!$E$5:$E$304,$A220,代发抵账!$D$5:$D$304,"总包代发工资",代发抵账!$H$5:$H$304,"&gt;="&amp;_辅助!$J$4,代发抵账!$H$5:$H$304,"&lt;="&amp;_辅助!$J$5)+SUMIFS(资金流水!$R$6:$R$2005,资金流水!$J$6:$J$2005,$A220,资金流水!$X$6:$X$2005,"应付职工薪酬",资金流水!$R$6:$R$2005,"&gt;0",资金流水!$S$6:$S$2005,"&gt;="&amp;_辅助!$J$4,资金流水!$S$6:$S$2005,"&lt;="&amp;_辅助!$J$5),2))</f>
        <v>0</v>
      </c>
      <c r="G220">
        <f t="shared" si="2"/>
        <v>0</v>
      </c>
      <c r="H220">
        <f t="shared" si="3"/>
        <v>0</v>
      </c>
      <c r="I220">
        <f t="shared" si="4"/>
        <v>0</v>
      </c>
      <c r="J220">
        <f t="shared" si="5"/>
        <v>0</v>
      </c>
      <c r="K220">
        <f t="shared" si="6"/>
        <v>0</v>
      </c>
      <c r="L220">
        <f t="shared" si="7"/>
        <v>0</v>
      </c>
      <c r="M220">
        <f t="shared" si="8"/>
        <v>0</v>
      </c>
    </row>
    <row r="221">
      <c r="A221">
        <f>往来单位!$B$222&amp;""</f>
      </c>
      <c r="B221">
        <f>往来单位!$C$222&amp;""</f>
      </c>
      <c r="C221">
        <f t="shared" si="0"/>
        <v>0</v>
      </c>
      <c r="D221">
        <f t="shared" si="1"/>
        <v>0</v>
      </c>
      <c r="E221">
        <f>IF(OR($A221="",NOT(OR($B221="管理人员",$B221="工人"))),0,ROUND(N(往来单位!$M$222)+J221-K221-L221+M221,2))</f>
        <v>0</v>
      </c>
      <c r="F221">
        <f>IF(OR($A221="",NOT(OR($B221="管理人员",$B221="工人"))),0,ROUND(N(往来单位!$M$222)+SUMIFS(考勤工资!$W$5:$W$1004,考勤工资!$C$5:$C$1004,$A221,考勤工资!$Y$5:$Y$1004,"&gt;="&amp;_辅助!$J$4,考勤工资!$Y$5:$Y$1004,"&lt;="&amp;_辅助!$J$5)-(-SUMIFS(资金流水!$R$6:$R$2005,资金流水!$J$6:$J$2005,$A221,资金流水!$X$6:$X$2005,"应付职工薪酬",资金流水!$R$6:$R$2005,"&lt;0",资金流水!$S$6:$S$2005,"&gt;="&amp;_辅助!$J$4,资金流水!$S$6:$S$2005,"&lt;="&amp;_辅助!$J$5))-SUMIFS(代发抵账!$F$5:$F$304,代发抵账!$E$5:$E$304,$A221,代发抵账!$D$5:$D$304,"总包代发工资",代发抵账!$H$5:$H$304,"&gt;="&amp;_辅助!$J$4,代发抵账!$H$5:$H$304,"&lt;="&amp;_辅助!$J$5)+SUMIFS(资金流水!$R$6:$R$2005,资金流水!$J$6:$J$2005,$A221,资金流水!$X$6:$X$2005,"应付职工薪酬",资金流水!$R$6:$R$2005,"&gt;0",资金流水!$S$6:$S$2005,"&gt;="&amp;_辅助!$J$4,资金流水!$S$6:$S$2005,"&lt;="&amp;_辅助!$J$5),2))</f>
        <v>0</v>
      </c>
      <c r="G221">
        <f t="shared" si="2"/>
        <v>0</v>
      </c>
      <c r="H221">
        <f t="shared" si="3"/>
        <v>0</v>
      </c>
      <c r="I221">
        <f t="shared" si="4"/>
        <v>0</v>
      </c>
      <c r="J221">
        <f t="shared" si="5"/>
        <v>0</v>
      </c>
      <c r="K221">
        <f t="shared" si="6"/>
        <v>0</v>
      </c>
      <c r="L221">
        <f t="shared" si="7"/>
        <v>0</v>
      </c>
      <c r="M221">
        <f t="shared" si="8"/>
        <v>0</v>
      </c>
    </row>
    <row r="222">
      <c r="A222">
        <f>往来单位!$B$223&amp;""</f>
      </c>
      <c r="B222">
        <f>往来单位!$C$223&amp;""</f>
      </c>
      <c r="C222">
        <f t="shared" si="0"/>
        <v>0</v>
      </c>
      <c r="D222">
        <f t="shared" si="1"/>
        <v>0</v>
      </c>
      <c r="E222">
        <f>IF(OR($A222="",NOT(OR($B222="管理人员",$B222="工人"))),0,ROUND(N(往来单位!$M$223)+J222-K222-L222+M222,2))</f>
        <v>0</v>
      </c>
      <c r="F222">
        <f>IF(OR($A222="",NOT(OR($B222="管理人员",$B222="工人"))),0,ROUND(N(往来单位!$M$223)+SUMIFS(考勤工资!$W$5:$W$1004,考勤工资!$C$5:$C$1004,$A222,考勤工资!$Y$5:$Y$1004,"&gt;="&amp;_辅助!$J$4,考勤工资!$Y$5:$Y$1004,"&lt;="&amp;_辅助!$J$5)-(-SUMIFS(资金流水!$R$6:$R$2005,资金流水!$J$6:$J$2005,$A222,资金流水!$X$6:$X$2005,"应付职工薪酬",资金流水!$R$6:$R$2005,"&lt;0",资金流水!$S$6:$S$2005,"&gt;="&amp;_辅助!$J$4,资金流水!$S$6:$S$2005,"&lt;="&amp;_辅助!$J$5))-SUMIFS(代发抵账!$F$5:$F$304,代发抵账!$E$5:$E$304,$A222,代发抵账!$D$5:$D$304,"总包代发工资",代发抵账!$H$5:$H$304,"&gt;="&amp;_辅助!$J$4,代发抵账!$H$5:$H$304,"&lt;="&amp;_辅助!$J$5)+SUMIFS(资金流水!$R$6:$R$2005,资金流水!$J$6:$J$2005,$A222,资金流水!$X$6:$X$2005,"应付职工薪酬",资金流水!$R$6:$R$2005,"&gt;0",资金流水!$S$6:$S$2005,"&gt;="&amp;_辅助!$J$4,资金流水!$S$6:$S$2005,"&lt;="&amp;_辅助!$J$5),2))</f>
        <v>0</v>
      </c>
      <c r="G222">
        <f t="shared" si="2"/>
        <v>0</v>
      </c>
      <c r="H222">
        <f t="shared" si="3"/>
        <v>0</v>
      </c>
      <c r="I222">
        <f t="shared" si="4"/>
        <v>0</v>
      </c>
      <c r="J222">
        <f t="shared" si="5"/>
        <v>0</v>
      </c>
      <c r="K222">
        <f t="shared" si="6"/>
        <v>0</v>
      </c>
      <c r="L222">
        <f t="shared" si="7"/>
        <v>0</v>
      </c>
      <c r="M222">
        <f t="shared" si="8"/>
        <v>0</v>
      </c>
    </row>
    <row r="223">
      <c r="A223">
        <f>往来单位!$B$224&amp;""</f>
      </c>
      <c r="B223">
        <f>往来单位!$C$224&amp;""</f>
      </c>
      <c r="C223">
        <f t="shared" si="0"/>
        <v>0</v>
      </c>
      <c r="D223">
        <f t="shared" si="1"/>
        <v>0</v>
      </c>
      <c r="E223">
        <f>IF(OR($A223="",NOT(OR($B223="管理人员",$B223="工人"))),0,ROUND(N(往来单位!$M$224)+J223-K223-L223+M223,2))</f>
        <v>0</v>
      </c>
      <c r="F223">
        <f>IF(OR($A223="",NOT(OR($B223="管理人员",$B223="工人"))),0,ROUND(N(往来单位!$M$224)+SUMIFS(考勤工资!$W$5:$W$1004,考勤工资!$C$5:$C$1004,$A223,考勤工资!$Y$5:$Y$1004,"&gt;="&amp;_辅助!$J$4,考勤工资!$Y$5:$Y$1004,"&lt;="&amp;_辅助!$J$5)-(-SUMIFS(资金流水!$R$6:$R$2005,资金流水!$J$6:$J$2005,$A223,资金流水!$X$6:$X$2005,"应付职工薪酬",资金流水!$R$6:$R$2005,"&lt;0",资金流水!$S$6:$S$2005,"&gt;="&amp;_辅助!$J$4,资金流水!$S$6:$S$2005,"&lt;="&amp;_辅助!$J$5))-SUMIFS(代发抵账!$F$5:$F$304,代发抵账!$E$5:$E$304,$A223,代发抵账!$D$5:$D$304,"总包代发工资",代发抵账!$H$5:$H$304,"&gt;="&amp;_辅助!$J$4,代发抵账!$H$5:$H$304,"&lt;="&amp;_辅助!$J$5)+SUMIFS(资金流水!$R$6:$R$2005,资金流水!$J$6:$J$2005,$A223,资金流水!$X$6:$X$2005,"应付职工薪酬",资金流水!$R$6:$R$2005,"&gt;0",资金流水!$S$6:$S$2005,"&gt;="&amp;_辅助!$J$4,资金流水!$S$6:$S$2005,"&lt;="&amp;_辅助!$J$5),2))</f>
        <v>0</v>
      </c>
      <c r="G223">
        <f t="shared" si="2"/>
        <v>0</v>
      </c>
      <c r="H223">
        <f t="shared" si="3"/>
        <v>0</v>
      </c>
      <c r="I223">
        <f t="shared" si="4"/>
        <v>0</v>
      </c>
      <c r="J223">
        <f t="shared" si="5"/>
        <v>0</v>
      </c>
      <c r="K223">
        <f t="shared" si="6"/>
        <v>0</v>
      </c>
      <c r="L223">
        <f t="shared" si="7"/>
        <v>0</v>
      </c>
      <c r="M223">
        <f t="shared" si="8"/>
        <v>0</v>
      </c>
    </row>
    <row r="224">
      <c r="A224">
        <f>往来单位!$B$225&amp;""</f>
      </c>
      <c r="B224">
        <f>往来单位!$C$225&amp;""</f>
      </c>
      <c r="C224">
        <f t="shared" si="0"/>
        <v>0</v>
      </c>
      <c r="D224">
        <f t="shared" si="1"/>
        <v>0</v>
      </c>
      <c r="E224">
        <f>IF(OR($A224="",NOT(OR($B224="管理人员",$B224="工人"))),0,ROUND(N(往来单位!$M$225)+J224-K224-L224+M224,2))</f>
        <v>0</v>
      </c>
      <c r="F224">
        <f>IF(OR($A224="",NOT(OR($B224="管理人员",$B224="工人"))),0,ROUND(N(往来单位!$M$225)+SUMIFS(考勤工资!$W$5:$W$1004,考勤工资!$C$5:$C$1004,$A224,考勤工资!$Y$5:$Y$1004,"&gt;="&amp;_辅助!$J$4,考勤工资!$Y$5:$Y$1004,"&lt;="&amp;_辅助!$J$5)-(-SUMIFS(资金流水!$R$6:$R$2005,资金流水!$J$6:$J$2005,$A224,资金流水!$X$6:$X$2005,"应付职工薪酬",资金流水!$R$6:$R$2005,"&lt;0",资金流水!$S$6:$S$2005,"&gt;="&amp;_辅助!$J$4,资金流水!$S$6:$S$2005,"&lt;="&amp;_辅助!$J$5))-SUMIFS(代发抵账!$F$5:$F$304,代发抵账!$E$5:$E$304,$A224,代发抵账!$D$5:$D$304,"总包代发工资",代发抵账!$H$5:$H$304,"&gt;="&amp;_辅助!$J$4,代发抵账!$H$5:$H$304,"&lt;="&amp;_辅助!$J$5)+SUMIFS(资金流水!$R$6:$R$2005,资金流水!$J$6:$J$2005,$A224,资金流水!$X$6:$X$2005,"应付职工薪酬",资金流水!$R$6:$R$2005,"&gt;0",资金流水!$S$6:$S$2005,"&gt;="&amp;_辅助!$J$4,资金流水!$S$6:$S$2005,"&lt;="&amp;_辅助!$J$5),2))</f>
        <v>0</v>
      </c>
      <c r="G224">
        <f t="shared" si="2"/>
        <v>0</v>
      </c>
      <c r="H224">
        <f t="shared" si="3"/>
        <v>0</v>
      </c>
      <c r="I224">
        <f t="shared" si="4"/>
        <v>0</v>
      </c>
      <c r="J224">
        <f t="shared" si="5"/>
        <v>0</v>
      </c>
      <c r="K224">
        <f t="shared" si="6"/>
        <v>0</v>
      </c>
      <c r="L224">
        <f t="shared" si="7"/>
        <v>0</v>
      </c>
      <c r="M224">
        <f t="shared" si="8"/>
        <v>0</v>
      </c>
    </row>
    <row r="225">
      <c r="A225">
        <f>往来单位!$B$226&amp;""</f>
      </c>
      <c r="B225">
        <f>往来单位!$C$226&amp;""</f>
      </c>
      <c r="C225">
        <f t="shared" si="0"/>
        <v>0</v>
      </c>
      <c r="D225">
        <f t="shared" si="1"/>
        <v>0</v>
      </c>
      <c r="E225">
        <f>IF(OR($A225="",NOT(OR($B225="管理人员",$B225="工人"))),0,ROUND(N(往来单位!$M$226)+J225-K225-L225+M225,2))</f>
        <v>0</v>
      </c>
      <c r="F225">
        <f>IF(OR($A225="",NOT(OR($B225="管理人员",$B225="工人"))),0,ROUND(N(往来单位!$M$226)+SUMIFS(考勤工资!$W$5:$W$1004,考勤工资!$C$5:$C$1004,$A225,考勤工资!$Y$5:$Y$1004,"&gt;="&amp;_辅助!$J$4,考勤工资!$Y$5:$Y$1004,"&lt;="&amp;_辅助!$J$5)-(-SUMIFS(资金流水!$R$6:$R$2005,资金流水!$J$6:$J$2005,$A225,资金流水!$X$6:$X$2005,"应付职工薪酬",资金流水!$R$6:$R$2005,"&lt;0",资金流水!$S$6:$S$2005,"&gt;="&amp;_辅助!$J$4,资金流水!$S$6:$S$2005,"&lt;="&amp;_辅助!$J$5))-SUMIFS(代发抵账!$F$5:$F$304,代发抵账!$E$5:$E$304,$A225,代发抵账!$D$5:$D$304,"总包代发工资",代发抵账!$H$5:$H$304,"&gt;="&amp;_辅助!$J$4,代发抵账!$H$5:$H$304,"&lt;="&amp;_辅助!$J$5)+SUMIFS(资金流水!$R$6:$R$2005,资金流水!$J$6:$J$2005,$A225,资金流水!$X$6:$X$2005,"应付职工薪酬",资金流水!$R$6:$R$2005,"&gt;0",资金流水!$S$6:$S$2005,"&gt;="&amp;_辅助!$J$4,资金流水!$S$6:$S$2005,"&lt;="&amp;_辅助!$J$5),2))</f>
        <v>0</v>
      </c>
      <c r="G225">
        <f t="shared" si="2"/>
        <v>0</v>
      </c>
      <c r="H225">
        <f t="shared" si="3"/>
        <v>0</v>
      </c>
      <c r="I225">
        <f t="shared" si="4"/>
        <v>0</v>
      </c>
      <c r="J225">
        <f t="shared" si="5"/>
        <v>0</v>
      </c>
      <c r="K225">
        <f t="shared" si="6"/>
        <v>0</v>
      </c>
      <c r="L225">
        <f t="shared" si="7"/>
        <v>0</v>
      </c>
      <c r="M225">
        <f t="shared" si="8"/>
        <v>0</v>
      </c>
    </row>
    <row r="226">
      <c r="A226">
        <f>往来单位!$B$227&amp;""</f>
      </c>
      <c r="B226">
        <f>往来单位!$C$227&amp;""</f>
      </c>
      <c r="C226">
        <f t="shared" si="0"/>
        <v>0</v>
      </c>
      <c r="D226">
        <f t="shared" si="1"/>
        <v>0</v>
      </c>
      <c r="E226">
        <f>IF(OR($A226="",NOT(OR($B226="管理人员",$B226="工人"))),0,ROUND(N(往来单位!$M$227)+J226-K226-L226+M226,2))</f>
        <v>0</v>
      </c>
      <c r="F226">
        <f>IF(OR($A226="",NOT(OR($B226="管理人员",$B226="工人"))),0,ROUND(N(往来单位!$M$227)+SUMIFS(考勤工资!$W$5:$W$1004,考勤工资!$C$5:$C$1004,$A226,考勤工资!$Y$5:$Y$1004,"&gt;="&amp;_辅助!$J$4,考勤工资!$Y$5:$Y$1004,"&lt;="&amp;_辅助!$J$5)-(-SUMIFS(资金流水!$R$6:$R$2005,资金流水!$J$6:$J$2005,$A226,资金流水!$X$6:$X$2005,"应付职工薪酬",资金流水!$R$6:$R$2005,"&lt;0",资金流水!$S$6:$S$2005,"&gt;="&amp;_辅助!$J$4,资金流水!$S$6:$S$2005,"&lt;="&amp;_辅助!$J$5))-SUMIFS(代发抵账!$F$5:$F$304,代发抵账!$E$5:$E$304,$A226,代发抵账!$D$5:$D$304,"总包代发工资",代发抵账!$H$5:$H$304,"&gt;="&amp;_辅助!$J$4,代发抵账!$H$5:$H$304,"&lt;="&amp;_辅助!$J$5)+SUMIFS(资金流水!$R$6:$R$2005,资金流水!$J$6:$J$2005,$A226,资金流水!$X$6:$X$2005,"应付职工薪酬",资金流水!$R$6:$R$2005,"&gt;0",资金流水!$S$6:$S$2005,"&gt;="&amp;_辅助!$J$4,资金流水!$S$6:$S$2005,"&lt;="&amp;_辅助!$J$5),2))</f>
        <v>0</v>
      </c>
      <c r="G226">
        <f t="shared" si="2"/>
        <v>0</v>
      </c>
      <c r="H226">
        <f t="shared" si="3"/>
        <v>0</v>
      </c>
      <c r="I226">
        <f t="shared" si="4"/>
        <v>0</v>
      </c>
      <c r="J226">
        <f t="shared" si="5"/>
        <v>0</v>
      </c>
      <c r="K226">
        <f t="shared" si="6"/>
        <v>0</v>
      </c>
      <c r="L226">
        <f t="shared" si="7"/>
        <v>0</v>
      </c>
      <c r="M226">
        <f t="shared" si="8"/>
        <v>0</v>
      </c>
    </row>
    <row r="227">
      <c r="A227">
        <f>往来单位!$B$228&amp;""</f>
      </c>
      <c r="B227">
        <f>往来单位!$C$228&amp;""</f>
      </c>
      <c r="C227">
        <f t="shared" si="0"/>
        <v>0</v>
      </c>
      <c r="D227">
        <f t="shared" si="1"/>
        <v>0</v>
      </c>
      <c r="E227">
        <f>IF(OR($A227="",NOT(OR($B227="管理人员",$B227="工人"))),0,ROUND(N(往来单位!$M$228)+J227-K227-L227+M227,2))</f>
        <v>0</v>
      </c>
      <c r="F227">
        <f>IF(OR($A227="",NOT(OR($B227="管理人员",$B227="工人"))),0,ROUND(N(往来单位!$M$228)+SUMIFS(考勤工资!$W$5:$W$1004,考勤工资!$C$5:$C$1004,$A227,考勤工资!$Y$5:$Y$1004,"&gt;="&amp;_辅助!$J$4,考勤工资!$Y$5:$Y$1004,"&lt;="&amp;_辅助!$J$5)-(-SUMIFS(资金流水!$R$6:$R$2005,资金流水!$J$6:$J$2005,$A227,资金流水!$X$6:$X$2005,"应付职工薪酬",资金流水!$R$6:$R$2005,"&lt;0",资金流水!$S$6:$S$2005,"&gt;="&amp;_辅助!$J$4,资金流水!$S$6:$S$2005,"&lt;="&amp;_辅助!$J$5))-SUMIFS(代发抵账!$F$5:$F$304,代发抵账!$E$5:$E$304,$A227,代发抵账!$D$5:$D$304,"总包代发工资",代发抵账!$H$5:$H$304,"&gt;="&amp;_辅助!$J$4,代发抵账!$H$5:$H$304,"&lt;="&amp;_辅助!$J$5)+SUMIFS(资金流水!$R$6:$R$2005,资金流水!$J$6:$J$2005,$A227,资金流水!$X$6:$X$2005,"应付职工薪酬",资金流水!$R$6:$R$2005,"&gt;0",资金流水!$S$6:$S$2005,"&gt;="&amp;_辅助!$J$4,资金流水!$S$6:$S$2005,"&lt;="&amp;_辅助!$J$5),2))</f>
        <v>0</v>
      </c>
      <c r="G227">
        <f t="shared" si="2"/>
        <v>0</v>
      </c>
      <c r="H227">
        <f t="shared" si="3"/>
        <v>0</v>
      </c>
      <c r="I227">
        <f t="shared" si="4"/>
        <v>0</v>
      </c>
      <c r="J227">
        <f t="shared" si="5"/>
        <v>0</v>
      </c>
      <c r="K227">
        <f t="shared" si="6"/>
        <v>0</v>
      </c>
      <c r="L227">
        <f t="shared" si="7"/>
        <v>0</v>
      </c>
      <c r="M227">
        <f t="shared" si="8"/>
        <v>0</v>
      </c>
    </row>
    <row r="228">
      <c r="A228">
        <f>往来单位!$B$229&amp;""</f>
      </c>
      <c r="B228">
        <f>往来单位!$C$229&amp;""</f>
      </c>
      <c r="C228">
        <f t="shared" si="0"/>
        <v>0</v>
      </c>
      <c r="D228">
        <f t="shared" si="1"/>
        <v>0</v>
      </c>
      <c r="E228">
        <f>IF(OR($A228="",NOT(OR($B228="管理人员",$B228="工人"))),0,ROUND(N(往来单位!$M$229)+J228-K228-L228+M228,2))</f>
        <v>0</v>
      </c>
      <c r="F228">
        <f>IF(OR($A228="",NOT(OR($B228="管理人员",$B228="工人"))),0,ROUND(N(往来单位!$M$229)+SUMIFS(考勤工资!$W$5:$W$1004,考勤工资!$C$5:$C$1004,$A228,考勤工资!$Y$5:$Y$1004,"&gt;="&amp;_辅助!$J$4,考勤工资!$Y$5:$Y$1004,"&lt;="&amp;_辅助!$J$5)-(-SUMIFS(资金流水!$R$6:$R$2005,资金流水!$J$6:$J$2005,$A228,资金流水!$X$6:$X$2005,"应付职工薪酬",资金流水!$R$6:$R$2005,"&lt;0",资金流水!$S$6:$S$2005,"&gt;="&amp;_辅助!$J$4,资金流水!$S$6:$S$2005,"&lt;="&amp;_辅助!$J$5))-SUMIFS(代发抵账!$F$5:$F$304,代发抵账!$E$5:$E$304,$A228,代发抵账!$D$5:$D$304,"总包代发工资",代发抵账!$H$5:$H$304,"&gt;="&amp;_辅助!$J$4,代发抵账!$H$5:$H$304,"&lt;="&amp;_辅助!$J$5)+SUMIFS(资金流水!$R$6:$R$2005,资金流水!$J$6:$J$2005,$A228,资金流水!$X$6:$X$2005,"应付职工薪酬",资金流水!$R$6:$R$2005,"&gt;0",资金流水!$S$6:$S$2005,"&gt;="&amp;_辅助!$J$4,资金流水!$S$6:$S$2005,"&lt;="&amp;_辅助!$J$5),2))</f>
        <v>0</v>
      </c>
      <c r="G228">
        <f t="shared" si="2"/>
        <v>0</v>
      </c>
      <c r="H228">
        <f t="shared" si="3"/>
        <v>0</v>
      </c>
      <c r="I228">
        <f t="shared" si="4"/>
        <v>0</v>
      </c>
      <c r="J228">
        <f t="shared" si="5"/>
        <v>0</v>
      </c>
      <c r="K228">
        <f t="shared" si="6"/>
        <v>0</v>
      </c>
      <c r="L228">
        <f t="shared" si="7"/>
        <v>0</v>
      </c>
      <c r="M228">
        <f t="shared" si="8"/>
        <v>0</v>
      </c>
    </row>
    <row r="229">
      <c r="A229">
        <f>往来单位!$B$230&amp;""</f>
      </c>
      <c r="B229">
        <f>往来单位!$C$230&amp;""</f>
      </c>
      <c r="C229">
        <f t="shared" si="0"/>
        <v>0</v>
      </c>
      <c r="D229">
        <f t="shared" si="1"/>
        <v>0</v>
      </c>
      <c r="E229">
        <f>IF(OR($A229="",NOT(OR($B229="管理人员",$B229="工人"))),0,ROUND(N(往来单位!$M$230)+J229-K229-L229+M229,2))</f>
        <v>0</v>
      </c>
      <c r="F229">
        <f>IF(OR($A229="",NOT(OR($B229="管理人员",$B229="工人"))),0,ROUND(N(往来单位!$M$230)+SUMIFS(考勤工资!$W$5:$W$1004,考勤工资!$C$5:$C$1004,$A229,考勤工资!$Y$5:$Y$1004,"&gt;="&amp;_辅助!$J$4,考勤工资!$Y$5:$Y$1004,"&lt;="&amp;_辅助!$J$5)-(-SUMIFS(资金流水!$R$6:$R$2005,资金流水!$J$6:$J$2005,$A229,资金流水!$X$6:$X$2005,"应付职工薪酬",资金流水!$R$6:$R$2005,"&lt;0",资金流水!$S$6:$S$2005,"&gt;="&amp;_辅助!$J$4,资金流水!$S$6:$S$2005,"&lt;="&amp;_辅助!$J$5))-SUMIFS(代发抵账!$F$5:$F$304,代发抵账!$E$5:$E$304,$A229,代发抵账!$D$5:$D$304,"总包代发工资",代发抵账!$H$5:$H$304,"&gt;="&amp;_辅助!$J$4,代发抵账!$H$5:$H$304,"&lt;="&amp;_辅助!$J$5)+SUMIFS(资金流水!$R$6:$R$2005,资金流水!$J$6:$J$2005,$A229,资金流水!$X$6:$X$2005,"应付职工薪酬",资金流水!$R$6:$R$2005,"&gt;0",资金流水!$S$6:$S$2005,"&gt;="&amp;_辅助!$J$4,资金流水!$S$6:$S$2005,"&lt;="&amp;_辅助!$J$5),2))</f>
        <v>0</v>
      </c>
      <c r="G229">
        <f t="shared" si="2"/>
        <v>0</v>
      </c>
      <c r="H229">
        <f t="shared" si="3"/>
        <v>0</v>
      </c>
      <c r="I229">
        <f t="shared" si="4"/>
        <v>0</v>
      </c>
      <c r="J229">
        <f t="shared" si="5"/>
        <v>0</v>
      </c>
      <c r="K229">
        <f t="shared" si="6"/>
        <v>0</v>
      </c>
      <c r="L229">
        <f t="shared" si="7"/>
        <v>0</v>
      </c>
      <c r="M229">
        <f t="shared" si="8"/>
        <v>0</v>
      </c>
    </row>
    <row r="230">
      <c r="A230">
        <f>往来单位!$B$231&amp;""</f>
      </c>
      <c r="B230">
        <f>往来单位!$C$231&amp;""</f>
      </c>
      <c r="C230">
        <f t="shared" si="0"/>
        <v>0</v>
      </c>
      <c r="D230">
        <f t="shared" si="1"/>
        <v>0</v>
      </c>
      <c r="E230">
        <f>IF(OR($A230="",NOT(OR($B230="管理人员",$B230="工人"))),0,ROUND(N(往来单位!$M$231)+J230-K230-L230+M230,2))</f>
        <v>0</v>
      </c>
      <c r="F230">
        <f>IF(OR($A230="",NOT(OR($B230="管理人员",$B230="工人"))),0,ROUND(N(往来单位!$M$231)+SUMIFS(考勤工资!$W$5:$W$1004,考勤工资!$C$5:$C$1004,$A230,考勤工资!$Y$5:$Y$1004,"&gt;="&amp;_辅助!$J$4,考勤工资!$Y$5:$Y$1004,"&lt;="&amp;_辅助!$J$5)-(-SUMIFS(资金流水!$R$6:$R$2005,资金流水!$J$6:$J$2005,$A230,资金流水!$X$6:$X$2005,"应付职工薪酬",资金流水!$R$6:$R$2005,"&lt;0",资金流水!$S$6:$S$2005,"&gt;="&amp;_辅助!$J$4,资金流水!$S$6:$S$2005,"&lt;="&amp;_辅助!$J$5))-SUMIFS(代发抵账!$F$5:$F$304,代发抵账!$E$5:$E$304,$A230,代发抵账!$D$5:$D$304,"总包代发工资",代发抵账!$H$5:$H$304,"&gt;="&amp;_辅助!$J$4,代发抵账!$H$5:$H$304,"&lt;="&amp;_辅助!$J$5)+SUMIFS(资金流水!$R$6:$R$2005,资金流水!$J$6:$J$2005,$A230,资金流水!$X$6:$X$2005,"应付职工薪酬",资金流水!$R$6:$R$2005,"&gt;0",资金流水!$S$6:$S$2005,"&gt;="&amp;_辅助!$J$4,资金流水!$S$6:$S$2005,"&lt;="&amp;_辅助!$J$5),2))</f>
        <v>0</v>
      </c>
      <c r="G230">
        <f t="shared" si="2"/>
        <v>0</v>
      </c>
      <c r="H230">
        <f t="shared" si="3"/>
        <v>0</v>
      </c>
      <c r="I230">
        <f t="shared" si="4"/>
        <v>0</v>
      </c>
      <c r="J230">
        <f t="shared" si="5"/>
        <v>0</v>
      </c>
      <c r="K230">
        <f t="shared" si="6"/>
        <v>0</v>
      </c>
      <c r="L230">
        <f t="shared" si="7"/>
        <v>0</v>
      </c>
      <c r="M230">
        <f t="shared" si="8"/>
        <v>0</v>
      </c>
    </row>
    <row r="231">
      <c r="A231">
        <f>往来单位!$B$232&amp;""</f>
      </c>
      <c r="B231">
        <f>往来单位!$C$232&amp;""</f>
      </c>
      <c r="C231">
        <f t="shared" si="0"/>
        <v>0</v>
      </c>
      <c r="D231">
        <f t="shared" si="1"/>
        <v>0</v>
      </c>
      <c r="E231">
        <f>IF(OR($A231="",NOT(OR($B231="管理人员",$B231="工人"))),0,ROUND(N(往来单位!$M$232)+J231-K231-L231+M231,2))</f>
        <v>0</v>
      </c>
      <c r="F231">
        <f>IF(OR($A231="",NOT(OR($B231="管理人员",$B231="工人"))),0,ROUND(N(往来单位!$M$232)+SUMIFS(考勤工资!$W$5:$W$1004,考勤工资!$C$5:$C$1004,$A231,考勤工资!$Y$5:$Y$1004,"&gt;="&amp;_辅助!$J$4,考勤工资!$Y$5:$Y$1004,"&lt;="&amp;_辅助!$J$5)-(-SUMIFS(资金流水!$R$6:$R$2005,资金流水!$J$6:$J$2005,$A231,资金流水!$X$6:$X$2005,"应付职工薪酬",资金流水!$R$6:$R$2005,"&lt;0",资金流水!$S$6:$S$2005,"&gt;="&amp;_辅助!$J$4,资金流水!$S$6:$S$2005,"&lt;="&amp;_辅助!$J$5))-SUMIFS(代发抵账!$F$5:$F$304,代发抵账!$E$5:$E$304,$A231,代发抵账!$D$5:$D$304,"总包代发工资",代发抵账!$H$5:$H$304,"&gt;="&amp;_辅助!$J$4,代发抵账!$H$5:$H$304,"&lt;="&amp;_辅助!$J$5)+SUMIFS(资金流水!$R$6:$R$2005,资金流水!$J$6:$J$2005,$A231,资金流水!$X$6:$X$2005,"应付职工薪酬",资金流水!$R$6:$R$2005,"&gt;0",资金流水!$S$6:$S$2005,"&gt;="&amp;_辅助!$J$4,资金流水!$S$6:$S$2005,"&lt;="&amp;_辅助!$J$5),2))</f>
        <v>0</v>
      </c>
      <c r="G231">
        <f t="shared" si="2"/>
        <v>0</v>
      </c>
      <c r="H231">
        <f t="shared" si="3"/>
        <v>0</v>
      </c>
      <c r="I231">
        <f t="shared" si="4"/>
        <v>0</v>
      </c>
      <c r="J231">
        <f t="shared" si="5"/>
        <v>0</v>
      </c>
      <c r="K231">
        <f t="shared" si="6"/>
        <v>0</v>
      </c>
      <c r="L231">
        <f t="shared" si="7"/>
        <v>0</v>
      </c>
      <c r="M231">
        <f t="shared" si="8"/>
        <v>0</v>
      </c>
    </row>
    <row r="232">
      <c r="A232">
        <f>往来单位!$B$233&amp;""</f>
      </c>
      <c r="B232">
        <f>往来单位!$C$233&amp;""</f>
      </c>
      <c r="C232">
        <f t="shared" si="0"/>
        <v>0</v>
      </c>
      <c r="D232">
        <f t="shared" si="1"/>
        <v>0</v>
      </c>
      <c r="E232">
        <f>IF(OR($A232="",NOT(OR($B232="管理人员",$B232="工人"))),0,ROUND(N(往来单位!$M$233)+J232-K232-L232+M232,2))</f>
        <v>0</v>
      </c>
      <c r="F232">
        <f>IF(OR($A232="",NOT(OR($B232="管理人员",$B232="工人"))),0,ROUND(N(往来单位!$M$233)+SUMIFS(考勤工资!$W$5:$W$1004,考勤工资!$C$5:$C$1004,$A232,考勤工资!$Y$5:$Y$1004,"&gt;="&amp;_辅助!$J$4,考勤工资!$Y$5:$Y$1004,"&lt;="&amp;_辅助!$J$5)-(-SUMIFS(资金流水!$R$6:$R$2005,资金流水!$J$6:$J$2005,$A232,资金流水!$X$6:$X$2005,"应付职工薪酬",资金流水!$R$6:$R$2005,"&lt;0",资金流水!$S$6:$S$2005,"&gt;="&amp;_辅助!$J$4,资金流水!$S$6:$S$2005,"&lt;="&amp;_辅助!$J$5))-SUMIFS(代发抵账!$F$5:$F$304,代发抵账!$E$5:$E$304,$A232,代发抵账!$D$5:$D$304,"总包代发工资",代发抵账!$H$5:$H$304,"&gt;="&amp;_辅助!$J$4,代发抵账!$H$5:$H$304,"&lt;="&amp;_辅助!$J$5)+SUMIFS(资金流水!$R$6:$R$2005,资金流水!$J$6:$J$2005,$A232,资金流水!$X$6:$X$2005,"应付职工薪酬",资金流水!$R$6:$R$2005,"&gt;0",资金流水!$S$6:$S$2005,"&gt;="&amp;_辅助!$J$4,资金流水!$S$6:$S$2005,"&lt;="&amp;_辅助!$J$5),2))</f>
        <v>0</v>
      </c>
      <c r="G232">
        <f t="shared" si="2"/>
        <v>0</v>
      </c>
      <c r="H232">
        <f t="shared" si="3"/>
        <v>0</v>
      </c>
      <c r="I232">
        <f t="shared" si="4"/>
        <v>0</v>
      </c>
      <c r="J232">
        <f t="shared" si="5"/>
        <v>0</v>
      </c>
      <c r="K232">
        <f t="shared" si="6"/>
        <v>0</v>
      </c>
      <c r="L232">
        <f t="shared" si="7"/>
        <v>0</v>
      </c>
      <c r="M232">
        <f t="shared" si="8"/>
        <v>0</v>
      </c>
    </row>
    <row r="233">
      <c r="A233">
        <f>往来单位!$B$234&amp;""</f>
      </c>
      <c r="B233">
        <f>往来单位!$C$234&amp;""</f>
      </c>
      <c r="C233">
        <f t="shared" si="0"/>
        <v>0</v>
      </c>
      <c r="D233">
        <f t="shared" si="1"/>
        <v>0</v>
      </c>
      <c r="E233">
        <f>IF(OR($A233="",NOT(OR($B233="管理人员",$B233="工人"))),0,ROUND(N(往来单位!$M$234)+J233-K233-L233+M233,2))</f>
        <v>0</v>
      </c>
      <c r="F233">
        <f>IF(OR($A233="",NOT(OR($B233="管理人员",$B233="工人"))),0,ROUND(N(往来单位!$M$234)+SUMIFS(考勤工资!$W$5:$W$1004,考勤工资!$C$5:$C$1004,$A233,考勤工资!$Y$5:$Y$1004,"&gt;="&amp;_辅助!$J$4,考勤工资!$Y$5:$Y$1004,"&lt;="&amp;_辅助!$J$5)-(-SUMIFS(资金流水!$R$6:$R$2005,资金流水!$J$6:$J$2005,$A233,资金流水!$X$6:$X$2005,"应付职工薪酬",资金流水!$R$6:$R$2005,"&lt;0",资金流水!$S$6:$S$2005,"&gt;="&amp;_辅助!$J$4,资金流水!$S$6:$S$2005,"&lt;="&amp;_辅助!$J$5))-SUMIFS(代发抵账!$F$5:$F$304,代发抵账!$E$5:$E$304,$A233,代发抵账!$D$5:$D$304,"总包代发工资",代发抵账!$H$5:$H$304,"&gt;="&amp;_辅助!$J$4,代发抵账!$H$5:$H$304,"&lt;="&amp;_辅助!$J$5)+SUMIFS(资金流水!$R$6:$R$2005,资金流水!$J$6:$J$2005,$A233,资金流水!$X$6:$X$2005,"应付职工薪酬",资金流水!$R$6:$R$2005,"&gt;0",资金流水!$S$6:$S$2005,"&gt;="&amp;_辅助!$J$4,资金流水!$S$6:$S$2005,"&lt;="&amp;_辅助!$J$5),2))</f>
        <v>0</v>
      </c>
      <c r="G233">
        <f t="shared" si="2"/>
        <v>0</v>
      </c>
      <c r="H233">
        <f t="shared" si="3"/>
        <v>0</v>
      </c>
      <c r="I233">
        <f t="shared" si="4"/>
        <v>0</v>
      </c>
      <c r="J233">
        <f t="shared" si="5"/>
        <v>0</v>
      </c>
      <c r="K233">
        <f t="shared" si="6"/>
        <v>0</v>
      </c>
      <c r="L233">
        <f t="shared" si="7"/>
        <v>0</v>
      </c>
      <c r="M233">
        <f t="shared" si="8"/>
        <v>0</v>
      </c>
    </row>
    <row r="234">
      <c r="A234">
        <f>往来单位!$B$235&amp;""</f>
      </c>
      <c r="B234">
        <f>往来单位!$C$235&amp;""</f>
      </c>
      <c r="C234">
        <f t="shared" si="0"/>
        <v>0</v>
      </c>
      <c r="D234">
        <f t="shared" si="1"/>
        <v>0</v>
      </c>
      <c r="E234">
        <f>IF(OR($A234="",NOT(OR($B234="管理人员",$B234="工人"))),0,ROUND(N(往来单位!$M$235)+J234-K234-L234+M234,2))</f>
        <v>0</v>
      </c>
      <c r="F234">
        <f>IF(OR($A234="",NOT(OR($B234="管理人员",$B234="工人"))),0,ROUND(N(往来单位!$M$235)+SUMIFS(考勤工资!$W$5:$W$1004,考勤工资!$C$5:$C$1004,$A234,考勤工资!$Y$5:$Y$1004,"&gt;="&amp;_辅助!$J$4,考勤工资!$Y$5:$Y$1004,"&lt;="&amp;_辅助!$J$5)-(-SUMIFS(资金流水!$R$6:$R$2005,资金流水!$J$6:$J$2005,$A234,资金流水!$X$6:$X$2005,"应付职工薪酬",资金流水!$R$6:$R$2005,"&lt;0",资金流水!$S$6:$S$2005,"&gt;="&amp;_辅助!$J$4,资金流水!$S$6:$S$2005,"&lt;="&amp;_辅助!$J$5))-SUMIFS(代发抵账!$F$5:$F$304,代发抵账!$E$5:$E$304,$A234,代发抵账!$D$5:$D$304,"总包代发工资",代发抵账!$H$5:$H$304,"&gt;="&amp;_辅助!$J$4,代发抵账!$H$5:$H$304,"&lt;="&amp;_辅助!$J$5)+SUMIFS(资金流水!$R$6:$R$2005,资金流水!$J$6:$J$2005,$A234,资金流水!$X$6:$X$2005,"应付职工薪酬",资金流水!$R$6:$R$2005,"&gt;0",资金流水!$S$6:$S$2005,"&gt;="&amp;_辅助!$J$4,资金流水!$S$6:$S$2005,"&lt;="&amp;_辅助!$J$5),2))</f>
        <v>0</v>
      </c>
      <c r="G234">
        <f t="shared" si="2"/>
        <v>0</v>
      </c>
      <c r="H234">
        <f t="shared" si="3"/>
        <v>0</v>
      </c>
      <c r="I234">
        <f t="shared" si="4"/>
        <v>0</v>
      </c>
      <c r="J234">
        <f t="shared" si="5"/>
        <v>0</v>
      </c>
      <c r="K234">
        <f t="shared" si="6"/>
        <v>0</v>
      </c>
      <c r="L234">
        <f t="shared" si="7"/>
        <v>0</v>
      </c>
      <c r="M234">
        <f t="shared" si="8"/>
        <v>0</v>
      </c>
    </row>
    <row r="235">
      <c r="A235">
        <f>往来单位!$B$236&amp;""</f>
      </c>
      <c r="B235">
        <f>往来单位!$C$236&amp;""</f>
      </c>
      <c r="C235">
        <f t="shared" si="0"/>
        <v>0</v>
      </c>
      <c r="D235">
        <f t="shared" si="1"/>
        <v>0</v>
      </c>
      <c r="E235">
        <f>IF(OR($A235="",NOT(OR($B235="管理人员",$B235="工人"))),0,ROUND(N(往来单位!$M$236)+J235-K235-L235+M235,2))</f>
        <v>0</v>
      </c>
      <c r="F235">
        <f>IF(OR($A235="",NOT(OR($B235="管理人员",$B235="工人"))),0,ROUND(N(往来单位!$M$236)+SUMIFS(考勤工资!$W$5:$W$1004,考勤工资!$C$5:$C$1004,$A235,考勤工资!$Y$5:$Y$1004,"&gt;="&amp;_辅助!$J$4,考勤工资!$Y$5:$Y$1004,"&lt;="&amp;_辅助!$J$5)-(-SUMIFS(资金流水!$R$6:$R$2005,资金流水!$J$6:$J$2005,$A235,资金流水!$X$6:$X$2005,"应付职工薪酬",资金流水!$R$6:$R$2005,"&lt;0",资金流水!$S$6:$S$2005,"&gt;="&amp;_辅助!$J$4,资金流水!$S$6:$S$2005,"&lt;="&amp;_辅助!$J$5))-SUMIFS(代发抵账!$F$5:$F$304,代发抵账!$E$5:$E$304,$A235,代发抵账!$D$5:$D$304,"总包代发工资",代发抵账!$H$5:$H$304,"&gt;="&amp;_辅助!$J$4,代发抵账!$H$5:$H$304,"&lt;="&amp;_辅助!$J$5)+SUMIFS(资金流水!$R$6:$R$2005,资金流水!$J$6:$J$2005,$A235,资金流水!$X$6:$X$2005,"应付职工薪酬",资金流水!$R$6:$R$2005,"&gt;0",资金流水!$S$6:$S$2005,"&gt;="&amp;_辅助!$J$4,资金流水!$S$6:$S$2005,"&lt;="&amp;_辅助!$J$5),2))</f>
        <v>0</v>
      </c>
      <c r="G235">
        <f t="shared" si="2"/>
        <v>0</v>
      </c>
      <c r="H235">
        <f t="shared" si="3"/>
        <v>0</v>
      </c>
      <c r="I235">
        <f t="shared" si="4"/>
        <v>0</v>
      </c>
      <c r="J235">
        <f t="shared" si="5"/>
        <v>0</v>
      </c>
      <c r="K235">
        <f t="shared" si="6"/>
        <v>0</v>
      </c>
      <c r="L235">
        <f t="shared" si="7"/>
        <v>0</v>
      </c>
      <c r="M235">
        <f t="shared" si="8"/>
        <v>0</v>
      </c>
    </row>
    <row r="236">
      <c r="A236">
        <f>往来单位!$B$237&amp;""</f>
      </c>
      <c r="B236">
        <f>往来单位!$C$237&amp;""</f>
      </c>
      <c r="C236">
        <f t="shared" si="0"/>
        <v>0</v>
      </c>
      <c r="D236">
        <f t="shared" si="1"/>
        <v>0</v>
      </c>
      <c r="E236">
        <f>IF(OR($A236="",NOT(OR($B236="管理人员",$B236="工人"))),0,ROUND(N(往来单位!$M$237)+J236-K236-L236+M236,2))</f>
        <v>0</v>
      </c>
      <c r="F236">
        <f>IF(OR($A236="",NOT(OR($B236="管理人员",$B236="工人"))),0,ROUND(N(往来单位!$M$237)+SUMIFS(考勤工资!$W$5:$W$1004,考勤工资!$C$5:$C$1004,$A236,考勤工资!$Y$5:$Y$1004,"&gt;="&amp;_辅助!$J$4,考勤工资!$Y$5:$Y$1004,"&lt;="&amp;_辅助!$J$5)-(-SUMIFS(资金流水!$R$6:$R$2005,资金流水!$J$6:$J$2005,$A236,资金流水!$X$6:$X$2005,"应付职工薪酬",资金流水!$R$6:$R$2005,"&lt;0",资金流水!$S$6:$S$2005,"&gt;="&amp;_辅助!$J$4,资金流水!$S$6:$S$2005,"&lt;="&amp;_辅助!$J$5))-SUMIFS(代发抵账!$F$5:$F$304,代发抵账!$E$5:$E$304,$A236,代发抵账!$D$5:$D$304,"总包代发工资",代发抵账!$H$5:$H$304,"&gt;="&amp;_辅助!$J$4,代发抵账!$H$5:$H$304,"&lt;="&amp;_辅助!$J$5)+SUMIFS(资金流水!$R$6:$R$2005,资金流水!$J$6:$J$2005,$A236,资金流水!$X$6:$X$2005,"应付职工薪酬",资金流水!$R$6:$R$2005,"&gt;0",资金流水!$S$6:$S$2005,"&gt;="&amp;_辅助!$J$4,资金流水!$S$6:$S$2005,"&lt;="&amp;_辅助!$J$5),2))</f>
        <v>0</v>
      </c>
      <c r="G236">
        <f t="shared" si="2"/>
        <v>0</v>
      </c>
      <c r="H236">
        <f t="shared" si="3"/>
        <v>0</v>
      </c>
      <c r="I236">
        <f t="shared" si="4"/>
        <v>0</v>
      </c>
      <c r="J236">
        <f t="shared" si="5"/>
        <v>0</v>
      </c>
      <c r="K236">
        <f t="shared" si="6"/>
        <v>0</v>
      </c>
      <c r="L236">
        <f t="shared" si="7"/>
        <v>0</v>
      </c>
      <c r="M236">
        <f t="shared" si="8"/>
        <v>0</v>
      </c>
    </row>
    <row r="237">
      <c r="A237">
        <f>往来单位!$B$238&amp;""</f>
      </c>
      <c r="B237">
        <f>往来单位!$C$238&amp;""</f>
      </c>
      <c r="C237">
        <f t="shared" si="0"/>
        <v>0</v>
      </c>
      <c r="D237">
        <f t="shared" si="1"/>
        <v>0</v>
      </c>
      <c r="E237">
        <f>IF(OR($A237="",NOT(OR($B237="管理人员",$B237="工人"))),0,ROUND(N(往来单位!$M$238)+J237-K237-L237+M237,2))</f>
        <v>0</v>
      </c>
      <c r="F237">
        <f>IF(OR($A237="",NOT(OR($B237="管理人员",$B237="工人"))),0,ROUND(N(往来单位!$M$238)+SUMIFS(考勤工资!$W$5:$W$1004,考勤工资!$C$5:$C$1004,$A237,考勤工资!$Y$5:$Y$1004,"&gt;="&amp;_辅助!$J$4,考勤工资!$Y$5:$Y$1004,"&lt;="&amp;_辅助!$J$5)-(-SUMIFS(资金流水!$R$6:$R$2005,资金流水!$J$6:$J$2005,$A237,资金流水!$X$6:$X$2005,"应付职工薪酬",资金流水!$R$6:$R$2005,"&lt;0",资金流水!$S$6:$S$2005,"&gt;="&amp;_辅助!$J$4,资金流水!$S$6:$S$2005,"&lt;="&amp;_辅助!$J$5))-SUMIFS(代发抵账!$F$5:$F$304,代发抵账!$E$5:$E$304,$A237,代发抵账!$D$5:$D$304,"总包代发工资",代发抵账!$H$5:$H$304,"&gt;="&amp;_辅助!$J$4,代发抵账!$H$5:$H$304,"&lt;="&amp;_辅助!$J$5)+SUMIFS(资金流水!$R$6:$R$2005,资金流水!$J$6:$J$2005,$A237,资金流水!$X$6:$X$2005,"应付职工薪酬",资金流水!$R$6:$R$2005,"&gt;0",资金流水!$S$6:$S$2005,"&gt;="&amp;_辅助!$J$4,资金流水!$S$6:$S$2005,"&lt;="&amp;_辅助!$J$5),2))</f>
        <v>0</v>
      </c>
      <c r="G237">
        <f t="shared" si="2"/>
        <v>0</v>
      </c>
      <c r="H237">
        <f t="shared" si="3"/>
        <v>0</v>
      </c>
      <c r="I237">
        <f t="shared" si="4"/>
        <v>0</v>
      </c>
      <c r="J237">
        <f t="shared" si="5"/>
        <v>0</v>
      </c>
      <c r="K237">
        <f t="shared" si="6"/>
        <v>0</v>
      </c>
      <c r="L237">
        <f t="shared" si="7"/>
        <v>0</v>
      </c>
      <c r="M237">
        <f t="shared" si="8"/>
        <v>0</v>
      </c>
    </row>
    <row r="238">
      <c r="A238">
        <f>往来单位!$B$239&amp;""</f>
      </c>
      <c r="B238">
        <f>往来单位!$C$239&amp;""</f>
      </c>
      <c r="C238">
        <f t="shared" si="0"/>
        <v>0</v>
      </c>
      <c r="D238">
        <f t="shared" si="1"/>
        <v>0</v>
      </c>
      <c r="E238">
        <f>IF(OR($A238="",NOT(OR($B238="管理人员",$B238="工人"))),0,ROUND(N(往来单位!$M$239)+J238-K238-L238+M238,2))</f>
        <v>0</v>
      </c>
      <c r="F238">
        <f>IF(OR($A238="",NOT(OR($B238="管理人员",$B238="工人"))),0,ROUND(N(往来单位!$M$239)+SUMIFS(考勤工资!$W$5:$W$1004,考勤工资!$C$5:$C$1004,$A238,考勤工资!$Y$5:$Y$1004,"&gt;="&amp;_辅助!$J$4,考勤工资!$Y$5:$Y$1004,"&lt;="&amp;_辅助!$J$5)-(-SUMIFS(资金流水!$R$6:$R$2005,资金流水!$J$6:$J$2005,$A238,资金流水!$X$6:$X$2005,"应付职工薪酬",资金流水!$R$6:$R$2005,"&lt;0",资金流水!$S$6:$S$2005,"&gt;="&amp;_辅助!$J$4,资金流水!$S$6:$S$2005,"&lt;="&amp;_辅助!$J$5))-SUMIFS(代发抵账!$F$5:$F$304,代发抵账!$E$5:$E$304,$A238,代发抵账!$D$5:$D$304,"总包代发工资",代发抵账!$H$5:$H$304,"&gt;="&amp;_辅助!$J$4,代发抵账!$H$5:$H$304,"&lt;="&amp;_辅助!$J$5)+SUMIFS(资金流水!$R$6:$R$2005,资金流水!$J$6:$J$2005,$A238,资金流水!$X$6:$X$2005,"应付职工薪酬",资金流水!$R$6:$R$2005,"&gt;0",资金流水!$S$6:$S$2005,"&gt;="&amp;_辅助!$J$4,资金流水!$S$6:$S$2005,"&lt;="&amp;_辅助!$J$5),2))</f>
        <v>0</v>
      </c>
      <c r="G238">
        <f t="shared" si="2"/>
        <v>0</v>
      </c>
      <c r="H238">
        <f t="shared" si="3"/>
        <v>0</v>
      </c>
      <c r="I238">
        <f t="shared" si="4"/>
        <v>0</v>
      </c>
      <c r="J238">
        <f t="shared" si="5"/>
        <v>0</v>
      </c>
      <c r="K238">
        <f t="shared" si="6"/>
        <v>0</v>
      </c>
      <c r="L238">
        <f t="shared" si="7"/>
        <v>0</v>
      </c>
      <c r="M238">
        <f t="shared" si="8"/>
        <v>0</v>
      </c>
    </row>
    <row r="239">
      <c r="A239">
        <f>往来单位!$B$240&amp;""</f>
      </c>
      <c r="B239">
        <f>往来单位!$C$240&amp;""</f>
      </c>
      <c r="C239">
        <f t="shared" si="0"/>
        <v>0</v>
      </c>
      <c r="D239">
        <f t="shared" si="1"/>
        <v>0</v>
      </c>
      <c r="E239">
        <f>IF(OR($A239="",NOT(OR($B239="管理人员",$B239="工人"))),0,ROUND(N(往来单位!$M$240)+J239-K239-L239+M239,2))</f>
        <v>0</v>
      </c>
      <c r="F239">
        <f>IF(OR($A239="",NOT(OR($B239="管理人员",$B239="工人"))),0,ROUND(N(往来单位!$M$240)+SUMIFS(考勤工资!$W$5:$W$1004,考勤工资!$C$5:$C$1004,$A239,考勤工资!$Y$5:$Y$1004,"&gt;="&amp;_辅助!$J$4,考勤工资!$Y$5:$Y$1004,"&lt;="&amp;_辅助!$J$5)-(-SUMIFS(资金流水!$R$6:$R$2005,资金流水!$J$6:$J$2005,$A239,资金流水!$X$6:$X$2005,"应付职工薪酬",资金流水!$R$6:$R$2005,"&lt;0",资金流水!$S$6:$S$2005,"&gt;="&amp;_辅助!$J$4,资金流水!$S$6:$S$2005,"&lt;="&amp;_辅助!$J$5))-SUMIFS(代发抵账!$F$5:$F$304,代发抵账!$E$5:$E$304,$A239,代发抵账!$D$5:$D$304,"总包代发工资",代发抵账!$H$5:$H$304,"&gt;="&amp;_辅助!$J$4,代发抵账!$H$5:$H$304,"&lt;="&amp;_辅助!$J$5)+SUMIFS(资金流水!$R$6:$R$2005,资金流水!$J$6:$J$2005,$A239,资金流水!$X$6:$X$2005,"应付职工薪酬",资金流水!$R$6:$R$2005,"&gt;0",资金流水!$S$6:$S$2005,"&gt;="&amp;_辅助!$J$4,资金流水!$S$6:$S$2005,"&lt;="&amp;_辅助!$J$5),2))</f>
        <v>0</v>
      </c>
      <c r="G239">
        <f t="shared" si="2"/>
        <v>0</v>
      </c>
      <c r="H239">
        <f t="shared" si="3"/>
        <v>0</v>
      </c>
      <c r="I239">
        <f t="shared" si="4"/>
        <v>0</v>
      </c>
      <c r="J239">
        <f t="shared" si="5"/>
        <v>0</v>
      </c>
      <c r="K239">
        <f t="shared" si="6"/>
        <v>0</v>
      </c>
      <c r="L239">
        <f t="shared" si="7"/>
        <v>0</v>
      </c>
      <c r="M239">
        <f t="shared" si="8"/>
        <v>0</v>
      </c>
    </row>
    <row r="240">
      <c r="A240">
        <f>往来单位!$B$241&amp;""</f>
      </c>
      <c r="B240">
        <f>往来单位!$C$241&amp;""</f>
      </c>
      <c r="C240">
        <f t="shared" si="0"/>
        <v>0</v>
      </c>
      <c r="D240">
        <f t="shared" si="1"/>
        <v>0</v>
      </c>
      <c r="E240">
        <f>IF(OR($A240="",NOT(OR($B240="管理人员",$B240="工人"))),0,ROUND(N(往来单位!$M$241)+J240-K240-L240+M240,2))</f>
        <v>0</v>
      </c>
      <c r="F240">
        <f>IF(OR($A240="",NOT(OR($B240="管理人员",$B240="工人"))),0,ROUND(N(往来单位!$M$241)+SUMIFS(考勤工资!$W$5:$W$1004,考勤工资!$C$5:$C$1004,$A240,考勤工资!$Y$5:$Y$1004,"&gt;="&amp;_辅助!$J$4,考勤工资!$Y$5:$Y$1004,"&lt;="&amp;_辅助!$J$5)-(-SUMIFS(资金流水!$R$6:$R$2005,资金流水!$J$6:$J$2005,$A240,资金流水!$X$6:$X$2005,"应付职工薪酬",资金流水!$R$6:$R$2005,"&lt;0",资金流水!$S$6:$S$2005,"&gt;="&amp;_辅助!$J$4,资金流水!$S$6:$S$2005,"&lt;="&amp;_辅助!$J$5))-SUMIFS(代发抵账!$F$5:$F$304,代发抵账!$E$5:$E$304,$A240,代发抵账!$D$5:$D$304,"总包代发工资",代发抵账!$H$5:$H$304,"&gt;="&amp;_辅助!$J$4,代发抵账!$H$5:$H$304,"&lt;="&amp;_辅助!$J$5)+SUMIFS(资金流水!$R$6:$R$2005,资金流水!$J$6:$J$2005,$A240,资金流水!$X$6:$X$2005,"应付职工薪酬",资金流水!$R$6:$R$2005,"&gt;0",资金流水!$S$6:$S$2005,"&gt;="&amp;_辅助!$J$4,资金流水!$S$6:$S$2005,"&lt;="&amp;_辅助!$J$5),2))</f>
        <v>0</v>
      </c>
      <c r="G240">
        <f t="shared" si="2"/>
        <v>0</v>
      </c>
      <c r="H240">
        <f t="shared" si="3"/>
        <v>0</v>
      </c>
      <c r="I240">
        <f t="shared" si="4"/>
        <v>0</v>
      </c>
      <c r="J240">
        <f t="shared" si="5"/>
        <v>0</v>
      </c>
      <c r="K240">
        <f t="shared" si="6"/>
        <v>0</v>
      </c>
      <c r="L240">
        <f t="shared" si="7"/>
        <v>0</v>
      </c>
      <c r="M240">
        <f t="shared" si="8"/>
        <v>0</v>
      </c>
    </row>
    <row r="241">
      <c r="A241">
        <f>往来单位!$B$242&amp;""</f>
      </c>
      <c r="B241">
        <f>往来单位!$C$242&amp;""</f>
      </c>
      <c r="C241">
        <f t="shared" si="0"/>
        <v>0</v>
      </c>
      <c r="D241">
        <f t="shared" si="1"/>
        <v>0</v>
      </c>
      <c r="E241">
        <f>IF(OR($A241="",NOT(OR($B241="管理人员",$B241="工人"))),0,ROUND(N(往来单位!$M$242)+J241-K241-L241+M241,2))</f>
        <v>0</v>
      </c>
      <c r="F241">
        <f>IF(OR($A241="",NOT(OR($B241="管理人员",$B241="工人"))),0,ROUND(N(往来单位!$M$242)+SUMIFS(考勤工资!$W$5:$W$1004,考勤工资!$C$5:$C$1004,$A241,考勤工资!$Y$5:$Y$1004,"&gt;="&amp;_辅助!$J$4,考勤工资!$Y$5:$Y$1004,"&lt;="&amp;_辅助!$J$5)-(-SUMIFS(资金流水!$R$6:$R$2005,资金流水!$J$6:$J$2005,$A241,资金流水!$X$6:$X$2005,"应付职工薪酬",资金流水!$R$6:$R$2005,"&lt;0",资金流水!$S$6:$S$2005,"&gt;="&amp;_辅助!$J$4,资金流水!$S$6:$S$2005,"&lt;="&amp;_辅助!$J$5))-SUMIFS(代发抵账!$F$5:$F$304,代发抵账!$E$5:$E$304,$A241,代发抵账!$D$5:$D$304,"总包代发工资",代发抵账!$H$5:$H$304,"&gt;="&amp;_辅助!$J$4,代发抵账!$H$5:$H$304,"&lt;="&amp;_辅助!$J$5)+SUMIFS(资金流水!$R$6:$R$2005,资金流水!$J$6:$J$2005,$A241,资金流水!$X$6:$X$2005,"应付职工薪酬",资金流水!$R$6:$R$2005,"&gt;0",资金流水!$S$6:$S$2005,"&gt;="&amp;_辅助!$J$4,资金流水!$S$6:$S$2005,"&lt;="&amp;_辅助!$J$5),2))</f>
        <v>0</v>
      </c>
      <c r="G241">
        <f t="shared" si="2"/>
        <v>0</v>
      </c>
      <c r="H241">
        <f t="shared" si="3"/>
        <v>0</v>
      </c>
      <c r="I241">
        <f t="shared" si="4"/>
        <v>0</v>
      </c>
      <c r="J241">
        <f t="shared" si="5"/>
        <v>0</v>
      </c>
      <c r="K241">
        <f t="shared" si="6"/>
        <v>0</v>
      </c>
      <c r="L241">
        <f t="shared" si="7"/>
        <v>0</v>
      </c>
      <c r="M241">
        <f t="shared" si="8"/>
        <v>0</v>
      </c>
    </row>
    <row r="242">
      <c r="A242">
        <f>往来单位!$B$243&amp;""</f>
      </c>
      <c r="B242">
        <f>往来单位!$C$243&amp;""</f>
      </c>
      <c r="C242">
        <f t="shared" si="0"/>
        <v>0</v>
      </c>
      <c r="D242">
        <f t="shared" si="1"/>
        <v>0</v>
      </c>
      <c r="E242">
        <f>IF(OR($A242="",NOT(OR($B242="管理人员",$B242="工人"))),0,ROUND(N(往来单位!$M$243)+J242-K242-L242+M242,2))</f>
        <v>0</v>
      </c>
      <c r="F242">
        <f>IF(OR($A242="",NOT(OR($B242="管理人员",$B242="工人"))),0,ROUND(N(往来单位!$M$243)+SUMIFS(考勤工资!$W$5:$W$1004,考勤工资!$C$5:$C$1004,$A242,考勤工资!$Y$5:$Y$1004,"&gt;="&amp;_辅助!$J$4,考勤工资!$Y$5:$Y$1004,"&lt;="&amp;_辅助!$J$5)-(-SUMIFS(资金流水!$R$6:$R$2005,资金流水!$J$6:$J$2005,$A242,资金流水!$X$6:$X$2005,"应付职工薪酬",资金流水!$R$6:$R$2005,"&lt;0",资金流水!$S$6:$S$2005,"&gt;="&amp;_辅助!$J$4,资金流水!$S$6:$S$2005,"&lt;="&amp;_辅助!$J$5))-SUMIFS(代发抵账!$F$5:$F$304,代发抵账!$E$5:$E$304,$A242,代发抵账!$D$5:$D$304,"总包代发工资",代发抵账!$H$5:$H$304,"&gt;="&amp;_辅助!$J$4,代发抵账!$H$5:$H$304,"&lt;="&amp;_辅助!$J$5)+SUMIFS(资金流水!$R$6:$R$2005,资金流水!$J$6:$J$2005,$A242,资金流水!$X$6:$X$2005,"应付职工薪酬",资金流水!$R$6:$R$2005,"&gt;0",资金流水!$S$6:$S$2005,"&gt;="&amp;_辅助!$J$4,资金流水!$S$6:$S$2005,"&lt;="&amp;_辅助!$J$5),2))</f>
        <v>0</v>
      </c>
      <c r="G242">
        <f t="shared" si="2"/>
        <v>0</v>
      </c>
      <c r="H242">
        <f t="shared" si="3"/>
        <v>0</v>
      </c>
      <c r="I242">
        <f t="shared" si="4"/>
        <v>0</v>
      </c>
      <c r="J242">
        <f t="shared" si="5"/>
        <v>0</v>
      </c>
      <c r="K242">
        <f t="shared" si="6"/>
        <v>0</v>
      </c>
      <c r="L242">
        <f t="shared" si="7"/>
        <v>0</v>
      </c>
      <c r="M242">
        <f t="shared" si="8"/>
        <v>0</v>
      </c>
    </row>
    <row r="243">
      <c r="A243">
        <f>往来单位!$B$244&amp;""</f>
      </c>
      <c r="B243">
        <f>往来单位!$C$244&amp;""</f>
      </c>
      <c r="C243">
        <f t="shared" si="0"/>
        <v>0</v>
      </c>
      <c r="D243">
        <f t="shared" si="1"/>
        <v>0</v>
      </c>
      <c r="E243">
        <f>IF(OR($A243="",NOT(OR($B243="管理人员",$B243="工人"))),0,ROUND(N(往来单位!$M$244)+J243-K243-L243+M243,2))</f>
        <v>0</v>
      </c>
      <c r="F243">
        <f>IF(OR($A243="",NOT(OR($B243="管理人员",$B243="工人"))),0,ROUND(N(往来单位!$M$244)+SUMIFS(考勤工资!$W$5:$W$1004,考勤工资!$C$5:$C$1004,$A243,考勤工资!$Y$5:$Y$1004,"&gt;="&amp;_辅助!$J$4,考勤工资!$Y$5:$Y$1004,"&lt;="&amp;_辅助!$J$5)-(-SUMIFS(资金流水!$R$6:$R$2005,资金流水!$J$6:$J$2005,$A243,资金流水!$X$6:$X$2005,"应付职工薪酬",资金流水!$R$6:$R$2005,"&lt;0",资金流水!$S$6:$S$2005,"&gt;="&amp;_辅助!$J$4,资金流水!$S$6:$S$2005,"&lt;="&amp;_辅助!$J$5))-SUMIFS(代发抵账!$F$5:$F$304,代发抵账!$E$5:$E$304,$A243,代发抵账!$D$5:$D$304,"总包代发工资",代发抵账!$H$5:$H$304,"&gt;="&amp;_辅助!$J$4,代发抵账!$H$5:$H$304,"&lt;="&amp;_辅助!$J$5)+SUMIFS(资金流水!$R$6:$R$2005,资金流水!$J$6:$J$2005,$A243,资金流水!$X$6:$X$2005,"应付职工薪酬",资金流水!$R$6:$R$2005,"&gt;0",资金流水!$S$6:$S$2005,"&gt;="&amp;_辅助!$J$4,资金流水!$S$6:$S$2005,"&lt;="&amp;_辅助!$J$5),2))</f>
        <v>0</v>
      </c>
      <c r="G243">
        <f t="shared" si="2"/>
        <v>0</v>
      </c>
      <c r="H243">
        <f t="shared" si="3"/>
        <v>0</v>
      </c>
      <c r="I243">
        <f t="shared" si="4"/>
        <v>0</v>
      </c>
      <c r="J243">
        <f t="shared" si="5"/>
        <v>0</v>
      </c>
      <c r="K243">
        <f t="shared" si="6"/>
        <v>0</v>
      </c>
      <c r="L243">
        <f t="shared" si="7"/>
        <v>0</v>
      </c>
      <c r="M243">
        <f t="shared" si="8"/>
        <v>0</v>
      </c>
    </row>
    <row r="244">
      <c r="A244">
        <f>往来单位!$B$245&amp;""</f>
      </c>
      <c r="B244">
        <f>往来单位!$C$245&amp;""</f>
      </c>
      <c r="C244">
        <f t="shared" si="0"/>
        <v>0</v>
      </c>
      <c r="D244">
        <f t="shared" si="1"/>
        <v>0</v>
      </c>
      <c r="E244">
        <f>IF(OR($A244="",NOT(OR($B244="管理人员",$B244="工人"))),0,ROUND(N(往来单位!$M$245)+J244-K244-L244+M244,2))</f>
        <v>0</v>
      </c>
      <c r="F244">
        <f>IF(OR($A244="",NOT(OR($B244="管理人员",$B244="工人"))),0,ROUND(N(往来单位!$M$245)+SUMIFS(考勤工资!$W$5:$W$1004,考勤工资!$C$5:$C$1004,$A244,考勤工资!$Y$5:$Y$1004,"&gt;="&amp;_辅助!$J$4,考勤工资!$Y$5:$Y$1004,"&lt;="&amp;_辅助!$J$5)-(-SUMIFS(资金流水!$R$6:$R$2005,资金流水!$J$6:$J$2005,$A244,资金流水!$X$6:$X$2005,"应付职工薪酬",资金流水!$R$6:$R$2005,"&lt;0",资金流水!$S$6:$S$2005,"&gt;="&amp;_辅助!$J$4,资金流水!$S$6:$S$2005,"&lt;="&amp;_辅助!$J$5))-SUMIFS(代发抵账!$F$5:$F$304,代发抵账!$E$5:$E$304,$A244,代发抵账!$D$5:$D$304,"总包代发工资",代发抵账!$H$5:$H$304,"&gt;="&amp;_辅助!$J$4,代发抵账!$H$5:$H$304,"&lt;="&amp;_辅助!$J$5)+SUMIFS(资金流水!$R$6:$R$2005,资金流水!$J$6:$J$2005,$A244,资金流水!$X$6:$X$2005,"应付职工薪酬",资金流水!$R$6:$R$2005,"&gt;0",资金流水!$S$6:$S$2005,"&gt;="&amp;_辅助!$J$4,资金流水!$S$6:$S$2005,"&lt;="&amp;_辅助!$J$5),2))</f>
        <v>0</v>
      </c>
      <c r="G244">
        <f t="shared" si="2"/>
        <v>0</v>
      </c>
      <c r="H244">
        <f t="shared" si="3"/>
        <v>0</v>
      </c>
      <c r="I244">
        <f t="shared" si="4"/>
        <v>0</v>
      </c>
      <c r="J244">
        <f t="shared" si="5"/>
        <v>0</v>
      </c>
      <c r="K244">
        <f t="shared" si="6"/>
        <v>0</v>
      </c>
      <c r="L244">
        <f t="shared" si="7"/>
        <v>0</v>
      </c>
      <c r="M244">
        <f t="shared" si="8"/>
        <v>0</v>
      </c>
    </row>
    <row r="245">
      <c r="A245">
        <f>往来单位!$B$246&amp;""</f>
      </c>
      <c r="B245">
        <f>往来单位!$C$246&amp;""</f>
      </c>
      <c r="C245">
        <f t="shared" si="0"/>
        <v>0</v>
      </c>
      <c r="D245">
        <f t="shared" si="1"/>
        <v>0</v>
      </c>
      <c r="E245">
        <f>IF(OR($A245="",NOT(OR($B245="管理人员",$B245="工人"))),0,ROUND(N(往来单位!$M$246)+J245-K245-L245+M245,2))</f>
        <v>0</v>
      </c>
      <c r="F245">
        <f>IF(OR($A245="",NOT(OR($B245="管理人员",$B245="工人"))),0,ROUND(N(往来单位!$M$246)+SUMIFS(考勤工资!$W$5:$W$1004,考勤工资!$C$5:$C$1004,$A245,考勤工资!$Y$5:$Y$1004,"&gt;="&amp;_辅助!$J$4,考勤工资!$Y$5:$Y$1004,"&lt;="&amp;_辅助!$J$5)-(-SUMIFS(资金流水!$R$6:$R$2005,资金流水!$J$6:$J$2005,$A245,资金流水!$X$6:$X$2005,"应付职工薪酬",资金流水!$R$6:$R$2005,"&lt;0",资金流水!$S$6:$S$2005,"&gt;="&amp;_辅助!$J$4,资金流水!$S$6:$S$2005,"&lt;="&amp;_辅助!$J$5))-SUMIFS(代发抵账!$F$5:$F$304,代发抵账!$E$5:$E$304,$A245,代发抵账!$D$5:$D$304,"总包代发工资",代发抵账!$H$5:$H$304,"&gt;="&amp;_辅助!$J$4,代发抵账!$H$5:$H$304,"&lt;="&amp;_辅助!$J$5)+SUMIFS(资金流水!$R$6:$R$2005,资金流水!$J$6:$J$2005,$A245,资金流水!$X$6:$X$2005,"应付职工薪酬",资金流水!$R$6:$R$2005,"&gt;0",资金流水!$S$6:$S$2005,"&gt;="&amp;_辅助!$J$4,资金流水!$S$6:$S$2005,"&lt;="&amp;_辅助!$J$5),2))</f>
        <v>0</v>
      </c>
      <c r="G245">
        <f t="shared" si="2"/>
        <v>0</v>
      </c>
      <c r="H245">
        <f t="shared" si="3"/>
        <v>0</v>
      </c>
      <c r="I245">
        <f t="shared" si="4"/>
        <v>0</v>
      </c>
      <c r="J245">
        <f t="shared" si="5"/>
        <v>0</v>
      </c>
      <c r="K245">
        <f t="shared" si="6"/>
        <v>0</v>
      </c>
      <c r="L245">
        <f t="shared" si="7"/>
        <v>0</v>
      </c>
      <c r="M245">
        <f t="shared" si="8"/>
        <v>0</v>
      </c>
    </row>
    <row r="246">
      <c r="A246">
        <f>往来单位!$B$247&amp;""</f>
      </c>
      <c r="B246">
        <f>往来单位!$C$247&amp;""</f>
      </c>
      <c r="C246">
        <f t="shared" si="0"/>
        <v>0</v>
      </c>
      <c r="D246">
        <f t="shared" si="1"/>
        <v>0</v>
      </c>
      <c r="E246">
        <f>IF(OR($A246="",NOT(OR($B246="管理人员",$B246="工人"))),0,ROUND(N(往来单位!$M$247)+J246-K246-L246+M246,2))</f>
        <v>0</v>
      </c>
      <c r="F246">
        <f>IF(OR($A246="",NOT(OR($B246="管理人员",$B246="工人"))),0,ROUND(N(往来单位!$M$247)+SUMIFS(考勤工资!$W$5:$W$1004,考勤工资!$C$5:$C$1004,$A246,考勤工资!$Y$5:$Y$1004,"&gt;="&amp;_辅助!$J$4,考勤工资!$Y$5:$Y$1004,"&lt;="&amp;_辅助!$J$5)-(-SUMIFS(资金流水!$R$6:$R$2005,资金流水!$J$6:$J$2005,$A246,资金流水!$X$6:$X$2005,"应付职工薪酬",资金流水!$R$6:$R$2005,"&lt;0",资金流水!$S$6:$S$2005,"&gt;="&amp;_辅助!$J$4,资金流水!$S$6:$S$2005,"&lt;="&amp;_辅助!$J$5))-SUMIFS(代发抵账!$F$5:$F$304,代发抵账!$E$5:$E$304,$A246,代发抵账!$D$5:$D$304,"总包代发工资",代发抵账!$H$5:$H$304,"&gt;="&amp;_辅助!$J$4,代发抵账!$H$5:$H$304,"&lt;="&amp;_辅助!$J$5)+SUMIFS(资金流水!$R$6:$R$2005,资金流水!$J$6:$J$2005,$A246,资金流水!$X$6:$X$2005,"应付职工薪酬",资金流水!$R$6:$R$2005,"&gt;0",资金流水!$S$6:$S$2005,"&gt;="&amp;_辅助!$J$4,资金流水!$S$6:$S$2005,"&lt;="&amp;_辅助!$J$5),2))</f>
        <v>0</v>
      </c>
      <c r="G246">
        <f t="shared" si="2"/>
        <v>0</v>
      </c>
      <c r="H246">
        <f t="shared" si="3"/>
        <v>0</v>
      </c>
      <c r="I246">
        <f t="shared" si="4"/>
        <v>0</v>
      </c>
      <c r="J246">
        <f t="shared" si="5"/>
        <v>0</v>
      </c>
      <c r="K246">
        <f t="shared" si="6"/>
        <v>0</v>
      </c>
      <c r="L246">
        <f t="shared" si="7"/>
        <v>0</v>
      </c>
      <c r="M246">
        <f t="shared" si="8"/>
        <v>0</v>
      </c>
    </row>
    <row r="247">
      <c r="A247">
        <f>往来单位!$B$248&amp;""</f>
      </c>
      <c r="B247">
        <f>往来单位!$C$248&amp;""</f>
      </c>
      <c r="C247">
        <f t="shared" si="0"/>
        <v>0</v>
      </c>
      <c r="D247">
        <f t="shared" si="1"/>
        <v>0</v>
      </c>
      <c r="E247">
        <f>IF(OR($A247="",NOT(OR($B247="管理人员",$B247="工人"))),0,ROUND(N(往来单位!$M$248)+J247-K247-L247+M247,2))</f>
        <v>0</v>
      </c>
      <c r="F247">
        <f>IF(OR($A247="",NOT(OR($B247="管理人员",$B247="工人"))),0,ROUND(N(往来单位!$M$248)+SUMIFS(考勤工资!$W$5:$W$1004,考勤工资!$C$5:$C$1004,$A247,考勤工资!$Y$5:$Y$1004,"&gt;="&amp;_辅助!$J$4,考勤工资!$Y$5:$Y$1004,"&lt;="&amp;_辅助!$J$5)-(-SUMIFS(资金流水!$R$6:$R$2005,资金流水!$J$6:$J$2005,$A247,资金流水!$X$6:$X$2005,"应付职工薪酬",资金流水!$R$6:$R$2005,"&lt;0",资金流水!$S$6:$S$2005,"&gt;="&amp;_辅助!$J$4,资金流水!$S$6:$S$2005,"&lt;="&amp;_辅助!$J$5))-SUMIFS(代发抵账!$F$5:$F$304,代发抵账!$E$5:$E$304,$A247,代发抵账!$D$5:$D$304,"总包代发工资",代发抵账!$H$5:$H$304,"&gt;="&amp;_辅助!$J$4,代发抵账!$H$5:$H$304,"&lt;="&amp;_辅助!$J$5)+SUMIFS(资金流水!$R$6:$R$2005,资金流水!$J$6:$J$2005,$A247,资金流水!$X$6:$X$2005,"应付职工薪酬",资金流水!$R$6:$R$2005,"&gt;0",资金流水!$S$6:$S$2005,"&gt;="&amp;_辅助!$J$4,资金流水!$S$6:$S$2005,"&lt;="&amp;_辅助!$J$5),2))</f>
        <v>0</v>
      </c>
      <c r="G247">
        <f t="shared" si="2"/>
        <v>0</v>
      </c>
      <c r="H247">
        <f t="shared" si="3"/>
        <v>0</v>
      </c>
      <c r="I247">
        <f t="shared" si="4"/>
        <v>0</v>
      </c>
      <c r="J247">
        <f t="shared" si="5"/>
        <v>0</v>
      </c>
      <c r="K247">
        <f t="shared" si="6"/>
        <v>0</v>
      </c>
      <c r="L247">
        <f t="shared" si="7"/>
        <v>0</v>
      </c>
      <c r="M247">
        <f t="shared" si="8"/>
        <v>0</v>
      </c>
    </row>
    <row r="248">
      <c r="A248">
        <f>往来单位!$B$249&amp;""</f>
      </c>
      <c r="B248">
        <f>往来单位!$C$249&amp;""</f>
      </c>
      <c r="C248">
        <f t="shared" si="0"/>
        <v>0</v>
      </c>
      <c r="D248">
        <f t="shared" si="1"/>
        <v>0</v>
      </c>
      <c r="E248">
        <f>IF(OR($A248="",NOT(OR($B248="管理人员",$B248="工人"))),0,ROUND(N(往来单位!$M$249)+J248-K248-L248+M248,2))</f>
        <v>0</v>
      </c>
      <c r="F248">
        <f>IF(OR($A248="",NOT(OR($B248="管理人员",$B248="工人"))),0,ROUND(N(往来单位!$M$249)+SUMIFS(考勤工资!$W$5:$W$1004,考勤工资!$C$5:$C$1004,$A248,考勤工资!$Y$5:$Y$1004,"&gt;="&amp;_辅助!$J$4,考勤工资!$Y$5:$Y$1004,"&lt;="&amp;_辅助!$J$5)-(-SUMIFS(资金流水!$R$6:$R$2005,资金流水!$J$6:$J$2005,$A248,资金流水!$X$6:$X$2005,"应付职工薪酬",资金流水!$R$6:$R$2005,"&lt;0",资金流水!$S$6:$S$2005,"&gt;="&amp;_辅助!$J$4,资金流水!$S$6:$S$2005,"&lt;="&amp;_辅助!$J$5))-SUMIFS(代发抵账!$F$5:$F$304,代发抵账!$E$5:$E$304,$A248,代发抵账!$D$5:$D$304,"总包代发工资",代发抵账!$H$5:$H$304,"&gt;="&amp;_辅助!$J$4,代发抵账!$H$5:$H$304,"&lt;="&amp;_辅助!$J$5)+SUMIFS(资金流水!$R$6:$R$2005,资金流水!$J$6:$J$2005,$A248,资金流水!$X$6:$X$2005,"应付职工薪酬",资金流水!$R$6:$R$2005,"&gt;0",资金流水!$S$6:$S$2005,"&gt;="&amp;_辅助!$J$4,资金流水!$S$6:$S$2005,"&lt;="&amp;_辅助!$J$5),2))</f>
        <v>0</v>
      </c>
      <c r="G248">
        <f t="shared" si="2"/>
        <v>0</v>
      </c>
      <c r="H248">
        <f t="shared" si="3"/>
        <v>0</v>
      </c>
      <c r="I248">
        <f t="shared" si="4"/>
        <v>0</v>
      </c>
      <c r="J248">
        <f t="shared" si="5"/>
        <v>0</v>
      </c>
      <c r="K248">
        <f t="shared" si="6"/>
        <v>0</v>
      </c>
      <c r="L248">
        <f t="shared" si="7"/>
        <v>0</v>
      </c>
      <c r="M248">
        <f t="shared" si="8"/>
        <v>0</v>
      </c>
    </row>
    <row r="249">
      <c r="A249">
        <f>往来单位!$B$250&amp;""</f>
      </c>
      <c r="B249">
        <f>往来单位!$C$250&amp;""</f>
      </c>
      <c r="C249">
        <f t="shared" si="0"/>
        <v>0</v>
      </c>
      <c r="D249">
        <f t="shared" si="1"/>
        <v>0</v>
      </c>
      <c r="E249">
        <f>IF(OR($A249="",NOT(OR($B249="管理人员",$B249="工人"))),0,ROUND(N(往来单位!$M$250)+J249-K249-L249+M249,2))</f>
        <v>0</v>
      </c>
      <c r="F249">
        <f>IF(OR($A249="",NOT(OR($B249="管理人员",$B249="工人"))),0,ROUND(N(往来单位!$M$250)+SUMIFS(考勤工资!$W$5:$W$1004,考勤工资!$C$5:$C$1004,$A249,考勤工资!$Y$5:$Y$1004,"&gt;="&amp;_辅助!$J$4,考勤工资!$Y$5:$Y$1004,"&lt;="&amp;_辅助!$J$5)-(-SUMIFS(资金流水!$R$6:$R$2005,资金流水!$J$6:$J$2005,$A249,资金流水!$X$6:$X$2005,"应付职工薪酬",资金流水!$R$6:$R$2005,"&lt;0",资金流水!$S$6:$S$2005,"&gt;="&amp;_辅助!$J$4,资金流水!$S$6:$S$2005,"&lt;="&amp;_辅助!$J$5))-SUMIFS(代发抵账!$F$5:$F$304,代发抵账!$E$5:$E$304,$A249,代发抵账!$D$5:$D$304,"总包代发工资",代发抵账!$H$5:$H$304,"&gt;="&amp;_辅助!$J$4,代发抵账!$H$5:$H$304,"&lt;="&amp;_辅助!$J$5)+SUMIFS(资金流水!$R$6:$R$2005,资金流水!$J$6:$J$2005,$A249,资金流水!$X$6:$X$2005,"应付职工薪酬",资金流水!$R$6:$R$2005,"&gt;0",资金流水!$S$6:$S$2005,"&gt;="&amp;_辅助!$J$4,资金流水!$S$6:$S$2005,"&lt;="&amp;_辅助!$J$5),2))</f>
        <v>0</v>
      </c>
      <c r="G249">
        <f t="shared" si="2"/>
        <v>0</v>
      </c>
      <c r="H249">
        <f t="shared" si="3"/>
        <v>0</v>
      </c>
      <c r="I249">
        <f t="shared" si="4"/>
        <v>0</v>
      </c>
      <c r="J249">
        <f t="shared" si="5"/>
        <v>0</v>
      </c>
      <c r="K249">
        <f t="shared" si="6"/>
        <v>0</v>
      </c>
      <c r="L249">
        <f t="shared" si="7"/>
        <v>0</v>
      </c>
      <c r="M249">
        <f t="shared" si="8"/>
        <v>0</v>
      </c>
    </row>
    <row r="250">
      <c r="A250">
        <f>往来单位!$B$251&amp;""</f>
      </c>
      <c r="B250">
        <f>往来单位!$C$251&amp;""</f>
      </c>
      <c r="C250">
        <f t="shared" si="0"/>
        <v>0</v>
      </c>
      <c r="D250">
        <f t="shared" si="1"/>
        <v>0</v>
      </c>
      <c r="E250">
        <f>IF(OR($A250="",NOT(OR($B250="管理人员",$B250="工人"))),0,ROUND(N(往来单位!$M$251)+J250-K250-L250+M250,2))</f>
        <v>0</v>
      </c>
      <c r="F250">
        <f>IF(OR($A250="",NOT(OR($B250="管理人员",$B250="工人"))),0,ROUND(N(往来单位!$M$251)+SUMIFS(考勤工资!$W$5:$W$1004,考勤工资!$C$5:$C$1004,$A250,考勤工资!$Y$5:$Y$1004,"&gt;="&amp;_辅助!$J$4,考勤工资!$Y$5:$Y$1004,"&lt;="&amp;_辅助!$J$5)-(-SUMIFS(资金流水!$R$6:$R$2005,资金流水!$J$6:$J$2005,$A250,资金流水!$X$6:$X$2005,"应付职工薪酬",资金流水!$R$6:$R$2005,"&lt;0",资金流水!$S$6:$S$2005,"&gt;="&amp;_辅助!$J$4,资金流水!$S$6:$S$2005,"&lt;="&amp;_辅助!$J$5))-SUMIFS(代发抵账!$F$5:$F$304,代发抵账!$E$5:$E$304,$A250,代发抵账!$D$5:$D$304,"总包代发工资",代发抵账!$H$5:$H$304,"&gt;="&amp;_辅助!$J$4,代发抵账!$H$5:$H$304,"&lt;="&amp;_辅助!$J$5)+SUMIFS(资金流水!$R$6:$R$2005,资金流水!$J$6:$J$2005,$A250,资金流水!$X$6:$X$2005,"应付职工薪酬",资金流水!$R$6:$R$2005,"&gt;0",资金流水!$S$6:$S$2005,"&gt;="&amp;_辅助!$J$4,资金流水!$S$6:$S$2005,"&lt;="&amp;_辅助!$J$5),2))</f>
        <v>0</v>
      </c>
      <c r="G250">
        <f t="shared" si="2"/>
        <v>0</v>
      </c>
      <c r="H250">
        <f t="shared" si="3"/>
        <v>0</v>
      </c>
      <c r="I250">
        <f t="shared" si="4"/>
        <v>0</v>
      </c>
      <c r="J250">
        <f t="shared" si="5"/>
        <v>0</v>
      </c>
      <c r="K250">
        <f t="shared" si="6"/>
        <v>0</v>
      </c>
      <c r="L250">
        <f t="shared" si="7"/>
        <v>0</v>
      </c>
      <c r="M250">
        <f t="shared" si="8"/>
        <v>0</v>
      </c>
    </row>
    <row r="251">
      <c r="A251">
        <f>往来单位!$B$252&amp;""</f>
      </c>
      <c r="B251">
        <f>往来单位!$C$252&amp;""</f>
      </c>
      <c r="C251">
        <f t="shared" si="0"/>
        <v>0</v>
      </c>
      <c r="D251">
        <f t="shared" si="1"/>
        <v>0</v>
      </c>
      <c r="E251">
        <f>IF(OR($A251="",NOT(OR($B251="管理人员",$B251="工人"))),0,ROUND(N(往来单位!$M$252)+J251-K251-L251+M251,2))</f>
        <v>0</v>
      </c>
      <c r="F251">
        <f>IF(OR($A251="",NOT(OR($B251="管理人员",$B251="工人"))),0,ROUND(N(往来单位!$M$252)+SUMIFS(考勤工资!$W$5:$W$1004,考勤工资!$C$5:$C$1004,$A251,考勤工资!$Y$5:$Y$1004,"&gt;="&amp;_辅助!$J$4,考勤工资!$Y$5:$Y$1004,"&lt;="&amp;_辅助!$J$5)-(-SUMIFS(资金流水!$R$6:$R$2005,资金流水!$J$6:$J$2005,$A251,资金流水!$X$6:$X$2005,"应付职工薪酬",资金流水!$R$6:$R$2005,"&lt;0",资金流水!$S$6:$S$2005,"&gt;="&amp;_辅助!$J$4,资金流水!$S$6:$S$2005,"&lt;="&amp;_辅助!$J$5))-SUMIFS(代发抵账!$F$5:$F$304,代发抵账!$E$5:$E$304,$A251,代发抵账!$D$5:$D$304,"总包代发工资",代发抵账!$H$5:$H$304,"&gt;="&amp;_辅助!$J$4,代发抵账!$H$5:$H$304,"&lt;="&amp;_辅助!$J$5)+SUMIFS(资金流水!$R$6:$R$2005,资金流水!$J$6:$J$2005,$A251,资金流水!$X$6:$X$2005,"应付职工薪酬",资金流水!$R$6:$R$2005,"&gt;0",资金流水!$S$6:$S$2005,"&gt;="&amp;_辅助!$J$4,资金流水!$S$6:$S$2005,"&lt;="&amp;_辅助!$J$5),2))</f>
        <v>0</v>
      </c>
      <c r="G251">
        <f t="shared" si="2"/>
        <v>0</v>
      </c>
      <c r="H251">
        <f t="shared" si="3"/>
        <v>0</v>
      </c>
      <c r="I251">
        <f t="shared" si="4"/>
        <v>0</v>
      </c>
      <c r="J251">
        <f t="shared" si="5"/>
        <v>0</v>
      </c>
      <c r="K251">
        <f t="shared" si="6"/>
        <v>0</v>
      </c>
      <c r="L251">
        <f t="shared" si="7"/>
        <v>0</v>
      </c>
      <c r="M251">
        <f t="shared" si="8"/>
        <v>0</v>
      </c>
    </row>
    <row r="252">
      <c r="A252">
        <f>往来单位!$B$253&amp;""</f>
      </c>
      <c r="B252">
        <f>往来单位!$C$253&amp;""</f>
      </c>
      <c r="C252">
        <f t="shared" si="0"/>
        <v>0</v>
      </c>
      <c r="D252">
        <f t="shared" si="1"/>
        <v>0</v>
      </c>
      <c r="E252">
        <f>IF(OR($A252="",NOT(OR($B252="管理人员",$B252="工人"))),0,ROUND(N(往来单位!$M$253)+J252-K252-L252+M252,2))</f>
        <v>0</v>
      </c>
      <c r="F252">
        <f>IF(OR($A252="",NOT(OR($B252="管理人员",$B252="工人"))),0,ROUND(N(往来单位!$M$253)+SUMIFS(考勤工资!$W$5:$W$1004,考勤工资!$C$5:$C$1004,$A252,考勤工资!$Y$5:$Y$1004,"&gt;="&amp;_辅助!$J$4,考勤工资!$Y$5:$Y$1004,"&lt;="&amp;_辅助!$J$5)-(-SUMIFS(资金流水!$R$6:$R$2005,资金流水!$J$6:$J$2005,$A252,资金流水!$X$6:$X$2005,"应付职工薪酬",资金流水!$R$6:$R$2005,"&lt;0",资金流水!$S$6:$S$2005,"&gt;="&amp;_辅助!$J$4,资金流水!$S$6:$S$2005,"&lt;="&amp;_辅助!$J$5))-SUMIFS(代发抵账!$F$5:$F$304,代发抵账!$E$5:$E$304,$A252,代发抵账!$D$5:$D$304,"总包代发工资",代发抵账!$H$5:$H$304,"&gt;="&amp;_辅助!$J$4,代发抵账!$H$5:$H$304,"&lt;="&amp;_辅助!$J$5)+SUMIFS(资金流水!$R$6:$R$2005,资金流水!$J$6:$J$2005,$A252,资金流水!$X$6:$X$2005,"应付职工薪酬",资金流水!$R$6:$R$2005,"&gt;0",资金流水!$S$6:$S$2005,"&gt;="&amp;_辅助!$J$4,资金流水!$S$6:$S$2005,"&lt;="&amp;_辅助!$J$5),2))</f>
        <v>0</v>
      </c>
      <c r="G252">
        <f t="shared" si="2"/>
        <v>0</v>
      </c>
      <c r="H252">
        <f t="shared" si="3"/>
        <v>0</v>
      </c>
      <c r="I252">
        <f t="shared" si="4"/>
        <v>0</v>
      </c>
      <c r="J252">
        <f t="shared" si="5"/>
        <v>0</v>
      </c>
      <c r="K252">
        <f t="shared" si="6"/>
        <v>0</v>
      </c>
      <c r="L252">
        <f t="shared" si="7"/>
        <v>0</v>
      </c>
      <c r="M252">
        <f t="shared" si="8"/>
        <v>0</v>
      </c>
    </row>
    <row r="253">
      <c r="A253">
        <f>往来单位!$B$254&amp;""</f>
      </c>
      <c r="B253">
        <f>往来单位!$C$254&amp;""</f>
      </c>
      <c r="C253">
        <f t="shared" si="0"/>
        <v>0</v>
      </c>
      <c r="D253">
        <f t="shared" si="1"/>
        <v>0</v>
      </c>
      <c r="E253">
        <f>IF(OR($A253="",NOT(OR($B253="管理人员",$B253="工人"))),0,ROUND(N(往来单位!$M$254)+J253-K253-L253+M253,2))</f>
        <v>0</v>
      </c>
      <c r="F253">
        <f>IF(OR($A253="",NOT(OR($B253="管理人员",$B253="工人"))),0,ROUND(N(往来单位!$M$254)+SUMIFS(考勤工资!$W$5:$W$1004,考勤工资!$C$5:$C$1004,$A253,考勤工资!$Y$5:$Y$1004,"&gt;="&amp;_辅助!$J$4,考勤工资!$Y$5:$Y$1004,"&lt;="&amp;_辅助!$J$5)-(-SUMIFS(资金流水!$R$6:$R$2005,资金流水!$J$6:$J$2005,$A253,资金流水!$X$6:$X$2005,"应付职工薪酬",资金流水!$R$6:$R$2005,"&lt;0",资金流水!$S$6:$S$2005,"&gt;="&amp;_辅助!$J$4,资金流水!$S$6:$S$2005,"&lt;="&amp;_辅助!$J$5))-SUMIFS(代发抵账!$F$5:$F$304,代发抵账!$E$5:$E$304,$A253,代发抵账!$D$5:$D$304,"总包代发工资",代发抵账!$H$5:$H$304,"&gt;="&amp;_辅助!$J$4,代发抵账!$H$5:$H$304,"&lt;="&amp;_辅助!$J$5)+SUMIFS(资金流水!$R$6:$R$2005,资金流水!$J$6:$J$2005,$A253,资金流水!$X$6:$X$2005,"应付职工薪酬",资金流水!$R$6:$R$2005,"&gt;0",资金流水!$S$6:$S$2005,"&gt;="&amp;_辅助!$J$4,资金流水!$S$6:$S$2005,"&lt;="&amp;_辅助!$J$5),2))</f>
        <v>0</v>
      </c>
      <c r="G253">
        <f t="shared" si="2"/>
        <v>0</v>
      </c>
      <c r="H253">
        <f t="shared" si="3"/>
        <v>0</v>
      </c>
      <c r="I253">
        <f t="shared" si="4"/>
        <v>0</v>
      </c>
      <c r="J253">
        <f t="shared" si="5"/>
        <v>0</v>
      </c>
      <c r="K253">
        <f t="shared" si="6"/>
        <v>0</v>
      </c>
      <c r="L253">
        <f t="shared" si="7"/>
        <v>0</v>
      </c>
      <c r="M253">
        <f t="shared" si="8"/>
        <v>0</v>
      </c>
    </row>
    <row r="254">
      <c r="A254">
        <f>往来单位!$B$255&amp;""</f>
      </c>
      <c r="B254">
        <f>往来单位!$C$255&amp;""</f>
      </c>
      <c r="C254">
        <f t="shared" si="0"/>
        <v>0</v>
      </c>
      <c r="D254">
        <f t="shared" si="1"/>
        <v>0</v>
      </c>
      <c r="E254">
        <f>IF(OR($A254="",NOT(OR($B254="管理人员",$B254="工人"))),0,ROUND(N(往来单位!$M$255)+J254-K254-L254+M254,2))</f>
        <v>0</v>
      </c>
      <c r="F254">
        <f>IF(OR($A254="",NOT(OR($B254="管理人员",$B254="工人"))),0,ROUND(N(往来单位!$M$255)+SUMIFS(考勤工资!$W$5:$W$1004,考勤工资!$C$5:$C$1004,$A254,考勤工资!$Y$5:$Y$1004,"&gt;="&amp;_辅助!$J$4,考勤工资!$Y$5:$Y$1004,"&lt;="&amp;_辅助!$J$5)-(-SUMIFS(资金流水!$R$6:$R$2005,资金流水!$J$6:$J$2005,$A254,资金流水!$X$6:$X$2005,"应付职工薪酬",资金流水!$R$6:$R$2005,"&lt;0",资金流水!$S$6:$S$2005,"&gt;="&amp;_辅助!$J$4,资金流水!$S$6:$S$2005,"&lt;="&amp;_辅助!$J$5))-SUMIFS(代发抵账!$F$5:$F$304,代发抵账!$E$5:$E$304,$A254,代发抵账!$D$5:$D$304,"总包代发工资",代发抵账!$H$5:$H$304,"&gt;="&amp;_辅助!$J$4,代发抵账!$H$5:$H$304,"&lt;="&amp;_辅助!$J$5)+SUMIFS(资金流水!$R$6:$R$2005,资金流水!$J$6:$J$2005,$A254,资金流水!$X$6:$X$2005,"应付职工薪酬",资金流水!$R$6:$R$2005,"&gt;0",资金流水!$S$6:$S$2005,"&gt;="&amp;_辅助!$J$4,资金流水!$S$6:$S$2005,"&lt;="&amp;_辅助!$J$5),2))</f>
        <v>0</v>
      </c>
      <c r="G254">
        <f t="shared" si="2"/>
        <v>0</v>
      </c>
      <c r="H254">
        <f t="shared" si="3"/>
        <v>0</v>
      </c>
      <c r="I254">
        <f t="shared" si="4"/>
        <v>0</v>
      </c>
      <c r="J254">
        <f t="shared" si="5"/>
        <v>0</v>
      </c>
      <c r="K254">
        <f t="shared" si="6"/>
        <v>0</v>
      </c>
      <c r="L254">
        <f t="shared" si="7"/>
        <v>0</v>
      </c>
      <c r="M254">
        <f t="shared" si="8"/>
        <v>0</v>
      </c>
    </row>
    <row r="255">
      <c r="A255">
        <f>往来单位!$B$256&amp;""</f>
      </c>
      <c r="B255">
        <f>往来单位!$C$256&amp;""</f>
      </c>
      <c r="C255">
        <f t="shared" si="0"/>
        <v>0</v>
      </c>
      <c r="D255">
        <f t="shared" si="1"/>
        <v>0</v>
      </c>
      <c r="E255">
        <f>IF(OR($A255="",NOT(OR($B255="管理人员",$B255="工人"))),0,ROUND(N(往来单位!$M$256)+J255-K255-L255+M255,2))</f>
        <v>0</v>
      </c>
      <c r="F255">
        <f>IF(OR($A255="",NOT(OR($B255="管理人员",$B255="工人"))),0,ROUND(N(往来单位!$M$256)+SUMIFS(考勤工资!$W$5:$W$1004,考勤工资!$C$5:$C$1004,$A255,考勤工资!$Y$5:$Y$1004,"&gt;="&amp;_辅助!$J$4,考勤工资!$Y$5:$Y$1004,"&lt;="&amp;_辅助!$J$5)-(-SUMIFS(资金流水!$R$6:$R$2005,资金流水!$J$6:$J$2005,$A255,资金流水!$X$6:$X$2005,"应付职工薪酬",资金流水!$R$6:$R$2005,"&lt;0",资金流水!$S$6:$S$2005,"&gt;="&amp;_辅助!$J$4,资金流水!$S$6:$S$2005,"&lt;="&amp;_辅助!$J$5))-SUMIFS(代发抵账!$F$5:$F$304,代发抵账!$E$5:$E$304,$A255,代发抵账!$D$5:$D$304,"总包代发工资",代发抵账!$H$5:$H$304,"&gt;="&amp;_辅助!$J$4,代发抵账!$H$5:$H$304,"&lt;="&amp;_辅助!$J$5)+SUMIFS(资金流水!$R$6:$R$2005,资金流水!$J$6:$J$2005,$A255,资金流水!$X$6:$X$2005,"应付职工薪酬",资金流水!$R$6:$R$2005,"&gt;0",资金流水!$S$6:$S$2005,"&gt;="&amp;_辅助!$J$4,资金流水!$S$6:$S$2005,"&lt;="&amp;_辅助!$J$5),2))</f>
        <v>0</v>
      </c>
      <c r="G255">
        <f t="shared" si="2"/>
        <v>0</v>
      </c>
      <c r="H255">
        <f t="shared" si="3"/>
        <v>0</v>
      </c>
      <c r="I255">
        <f t="shared" si="4"/>
        <v>0</v>
      </c>
      <c r="J255">
        <f t="shared" si="5"/>
        <v>0</v>
      </c>
      <c r="K255">
        <f t="shared" si="6"/>
        <v>0</v>
      </c>
      <c r="L255">
        <f t="shared" si="7"/>
        <v>0</v>
      </c>
      <c r="M255">
        <f t="shared" si="8"/>
        <v>0</v>
      </c>
    </row>
    <row r="256">
      <c r="A256">
        <f>往来单位!$B$257&amp;""</f>
      </c>
      <c r="B256">
        <f>往来单位!$C$257&amp;""</f>
      </c>
      <c r="C256">
        <f t="shared" si="0"/>
        <v>0</v>
      </c>
      <c r="D256">
        <f t="shared" si="1"/>
        <v>0</v>
      </c>
      <c r="E256">
        <f>IF(OR($A256="",NOT(OR($B256="管理人员",$B256="工人"))),0,ROUND(N(往来单位!$M$257)+J256-K256-L256+M256,2))</f>
        <v>0</v>
      </c>
      <c r="F256">
        <f>IF(OR($A256="",NOT(OR($B256="管理人员",$B256="工人"))),0,ROUND(N(往来单位!$M$257)+SUMIFS(考勤工资!$W$5:$W$1004,考勤工资!$C$5:$C$1004,$A256,考勤工资!$Y$5:$Y$1004,"&gt;="&amp;_辅助!$J$4,考勤工资!$Y$5:$Y$1004,"&lt;="&amp;_辅助!$J$5)-(-SUMIFS(资金流水!$R$6:$R$2005,资金流水!$J$6:$J$2005,$A256,资金流水!$X$6:$X$2005,"应付职工薪酬",资金流水!$R$6:$R$2005,"&lt;0",资金流水!$S$6:$S$2005,"&gt;="&amp;_辅助!$J$4,资金流水!$S$6:$S$2005,"&lt;="&amp;_辅助!$J$5))-SUMIFS(代发抵账!$F$5:$F$304,代发抵账!$E$5:$E$304,$A256,代发抵账!$D$5:$D$304,"总包代发工资",代发抵账!$H$5:$H$304,"&gt;="&amp;_辅助!$J$4,代发抵账!$H$5:$H$304,"&lt;="&amp;_辅助!$J$5)+SUMIFS(资金流水!$R$6:$R$2005,资金流水!$J$6:$J$2005,$A256,资金流水!$X$6:$X$2005,"应付职工薪酬",资金流水!$R$6:$R$2005,"&gt;0",资金流水!$S$6:$S$2005,"&gt;="&amp;_辅助!$J$4,资金流水!$S$6:$S$2005,"&lt;="&amp;_辅助!$J$5),2))</f>
        <v>0</v>
      </c>
      <c r="G256">
        <f t="shared" si="2"/>
        <v>0</v>
      </c>
      <c r="H256">
        <f t="shared" si="3"/>
        <v>0</v>
      </c>
      <c r="I256">
        <f t="shared" si="4"/>
        <v>0</v>
      </c>
      <c r="J256">
        <f t="shared" si="5"/>
        <v>0</v>
      </c>
      <c r="K256">
        <f t="shared" si="6"/>
        <v>0</v>
      </c>
      <c r="L256">
        <f t="shared" si="7"/>
        <v>0</v>
      </c>
      <c r="M256">
        <f t="shared" si="8"/>
        <v>0</v>
      </c>
    </row>
    <row r="257">
      <c r="A257">
        <f>往来单位!$B$258&amp;""</f>
      </c>
      <c r="B257">
        <f>往来单位!$C$258&amp;""</f>
      </c>
      <c r="C257">
        <f t="shared" si="0"/>
        <v>0</v>
      </c>
      <c r="D257">
        <f t="shared" si="1"/>
        <v>0</v>
      </c>
      <c r="E257">
        <f>IF(OR($A257="",NOT(OR($B257="管理人员",$B257="工人"))),0,ROUND(N(往来单位!$M$258)+J257-K257-L257+M257,2))</f>
        <v>0</v>
      </c>
      <c r="F257">
        <f>IF(OR($A257="",NOT(OR($B257="管理人员",$B257="工人"))),0,ROUND(N(往来单位!$M$258)+SUMIFS(考勤工资!$W$5:$W$1004,考勤工资!$C$5:$C$1004,$A257,考勤工资!$Y$5:$Y$1004,"&gt;="&amp;_辅助!$J$4,考勤工资!$Y$5:$Y$1004,"&lt;="&amp;_辅助!$J$5)-(-SUMIFS(资金流水!$R$6:$R$2005,资金流水!$J$6:$J$2005,$A257,资金流水!$X$6:$X$2005,"应付职工薪酬",资金流水!$R$6:$R$2005,"&lt;0",资金流水!$S$6:$S$2005,"&gt;="&amp;_辅助!$J$4,资金流水!$S$6:$S$2005,"&lt;="&amp;_辅助!$J$5))-SUMIFS(代发抵账!$F$5:$F$304,代发抵账!$E$5:$E$304,$A257,代发抵账!$D$5:$D$304,"总包代发工资",代发抵账!$H$5:$H$304,"&gt;="&amp;_辅助!$J$4,代发抵账!$H$5:$H$304,"&lt;="&amp;_辅助!$J$5)+SUMIFS(资金流水!$R$6:$R$2005,资金流水!$J$6:$J$2005,$A257,资金流水!$X$6:$X$2005,"应付职工薪酬",资金流水!$R$6:$R$2005,"&gt;0",资金流水!$S$6:$S$2005,"&gt;="&amp;_辅助!$J$4,资金流水!$S$6:$S$2005,"&lt;="&amp;_辅助!$J$5),2))</f>
        <v>0</v>
      </c>
      <c r="G257">
        <f t="shared" si="2"/>
        <v>0</v>
      </c>
      <c r="H257">
        <f t="shared" si="3"/>
        <v>0</v>
      </c>
      <c r="I257">
        <f t="shared" si="4"/>
        <v>0</v>
      </c>
      <c r="J257">
        <f t="shared" si="5"/>
        <v>0</v>
      </c>
      <c r="K257">
        <f t="shared" si="6"/>
        <v>0</v>
      </c>
      <c r="L257">
        <f t="shared" si="7"/>
        <v>0</v>
      </c>
      <c r="M257">
        <f t="shared" si="8"/>
        <v>0</v>
      </c>
    </row>
    <row r="258">
      <c r="A258">
        <f>往来单位!$B$259&amp;""</f>
      </c>
      <c r="B258">
        <f>往来单位!$C$259&amp;""</f>
      </c>
      <c r="C258">
        <f t="shared" si="0"/>
        <v>0</v>
      </c>
      <c r="D258">
        <f t="shared" si="1"/>
        <v>0</v>
      </c>
      <c r="E258">
        <f>IF(OR($A258="",NOT(OR($B258="管理人员",$B258="工人"))),0,ROUND(N(往来单位!$M$259)+J258-K258-L258+M258,2))</f>
        <v>0</v>
      </c>
      <c r="F258">
        <f>IF(OR($A258="",NOT(OR($B258="管理人员",$B258="工人"))),0,ROUND(N(往来单位!$M$259)+SUMIFS(考勤工资!$W$5:$W$1004,考勤工资!$C$5:$C$1004,$A258,考勤工资!$Y$5:$Y$1004,"&gt;="&amp;_辅助!$J$4,考勤工资!$Y$5:$Y$1004,"&lt;="&amp;_辅助!$J$5)-(-SUMIFS(资金流水!$R$6:$R$2005,资金流水!$J$6:$J$2005,$A258,资金流水!$X$6:$X$2005,"应付职工薪酬",资金流水!$R$6:$R$2005,"&lt;0",资金流水!$S$6:$S$2005,"&gt;="&amp;_辅助!$J$4,资金流水!$S$6:$S$2005,"&lt;="&amp;_辅助!$J$5))-SUMIFS(代发抵账!$F$5:$F$304,代发抵账!$E$5:$E$304,$A258,代发抵账!$D$5:$D$304,"总包代发工资",代发抵账!$H$5:$H$304,"&gt;="&amp;_辅助!$J$4,代发抵账!$H$5:$H$304,"&lt;="&amp;_辅助!$J$5)+SUMIFS(资金流水!$R$6:$R$2005,资金流水!$J$6:$J$2005,$A258,资金流水!$X$6:$X$2005,"应付职工薪酬",资金流水!$R$6:$R$2005,"&gt;0",资金流水!$S$6:$S$2005,"&gt;="&amp;_辅助!$J$4,资金流水!$S$6:$S$2005,"&lt;="&amp;_辅助!$J$5),2))</f>
        <v>0</v>
      </c>
      <c r="G258">
        <f t="shared" si="2"/>
        <v>0</v>
      </c>
      <c r="H258">
        <f t="shared" si="3"/>
        <v>0</v>
      </c>
      <c r="I258">
        <f t="shared" si="4"/>
        <v>0</v>
      </c>
      <c r="J258">
        <f t="shared" si="5"/>
        <v>0</v>
      </c>
      <c r="K258">
        <f t="shared" si="6"/>
        <v>0</v>
      </c>
      <c r="L258">
        <f t="shared" si="7"/>
        <v>0</v>
      </c>
      <c r="M258">
        <f t="shared" si="8"/>
        <v>0</v>
      </c>
    </row>
    <row r="259">
      <c r="A259">
        <f>往来单位!$B$260&amp;""</f>
      </c>
      <c r="B259">
        <f>往来单位!$C$260&amp;""</f>
      </c>
      <c r="C259">
        <f t="shared" si="0"/>
        <v>0</v>
      </c>
      <c r="D259">
        <f t="shared" si="1"/>
        <v>0</v>
      </c>
      <c r="E259">
        <f>IF(OR($A259="",NOT(OR($B259="管理人员",$B259="工人"))),0,ROUND(N(往来单位!$M$260)+J259-K259-L259+M259,2))</f>
        <v>0</v>
      </c>
      <c r="F259">
        <f>IF(OR($A259="",NOT(OR($B259="管理人员",$B259="工人"))),0,ROUND(N(往来单位!$M$260)+SUMIFS(考勤工资!$W$5:$W$1004,考勤工资!$C$5:$C$1004,$A259,考勤工资!$Y$5:$Y$1004,"&gt;="&amp;_辅助!$J$4,考勤工资!$Y$5:$Y$1004,"&lt;="&amp;_辅助!$J$5)-(-SUMIFS(资金流水!$R$6:$R$2005,资金流水!$J$6:$J$2005,$A259,资金流水!$X$6:$X$2005,"应付职工薪酬",资金流水!$R$6:$R$2005,"&lt;0",资金流水!$S$6:$S$2005,"&gt;="&amp;_辅助!$J$4,资金流水!$S$6:$S$2005,"&lt;="&amp;_辅助!$J$5))-SUMIFS(代发抵账!$F$5:$F$304,代发抵账!$E$5:$E$304,$A259,代发抵账!$D$5:$D$304,"总包代发工资",代发抵账!$H$5:$H$304,"&gt;="&amp;_辅助!$J$4,代发抵账!$H$5:$H$304,"&lt;="&amp;_辅助!$J$5)+SUMIFS(资金流水!$R$6:$R$2005,资金流水!$J$6:$J$2005,$A259,资金流水!$X$6:$X$2005,"应付职工薪酬",资金流水!$R$6:$R$2005,"&gt;0",资金流水!$S$6:$S$2005,"&gt;="&amp;_辅助!$J$4,资金流水!$S$6:$S$2005,"&lt;="&amp;_辅助!$J$5),2))</f>
        <v>0</v>
      </c>
      <c r="G259">
        <f t="shared" si="2"/>
        <v>0</v>
      </c>
      <c r="H259">
        <f t="shared" si="3"/>
        <v>0</v>
      </c>
      <c r="I259">
        <f t="shared" si="4"/>
        <v>0</v>
      </c>
      <c r="J259">
        <f t="shared" si="5"/>
        <v>0</v>
      </c>
      <c r="K259">
        <f t="shared" si="6"/>
        <v>0</v>
      </c>
      <c r="L259">
        <f t="shared" si="7"/>
        <v>0</v>
      </c>
      <c r="M259">
        <f t="shared" si="8"/>
        <v>0</v>
      </c>
    </row>
    <row r="260">
      <c r="A260">
        <f>往来单位!$B$261&amp;""</f>
      </c>
      <c r="B260">
        <f>往来单位!$C$261&amp;""</f>
      </c>
      <c r="C260">
        <f t="shared" si="0"/>
        <v>0</v>
      </c>
      <c r="D260">
        <f t="shared" si="1"/>
        <v>0</v>
      </c>
      <c r="E260">
        <f>IF(OR($A260="",NOT(OR($B260="管理人员",$B260="工人"))),0,ROUND(N(往来单位!$M$261)+J260-K260-L260+M260,2))</f>
        <v>0</v>
      </c>
      <c r="F260">
        <f>IF(OR($A260="",NOT(OR($B260="管理人员",$B260="工人"))),0,ROUND(N(往来单位!$M$261)+SUMIFS(考勤工资!$W$5:$W$1004,考勤工资!$C$5:$C$1004,$A260,考勤工资!$Y$5:$Y$1004,"&gt;="&amp;_辅助!$J$4,考勤工资!$Y$5:$Y$1004,"&lt;="&amp;_辅助!$J$5)-(-SUMIFS(资金流水!$R$6:$R$2005,资金流水!$J$6:$J$2005,$A260,资金流水!$X$6:$X$2005,"应付职工薪酬",资金流水!$R$6:$R$2005,"&lt;0",资金流水!$S$6:$S$2005,"&gt;="&amp;_辅助!$J$4,资金流水!$S$6:$S$2005,"&lt;="&amp;_辅助!$J$5))-SUMIFS(代发抵账!$F$5:$F$304,代发抵账!$E$5:$E$304,$A260,代发抵账!$D$5:$D$304,"总包代发工资",代发抵账!$H$5:$H$304,"&gt;="&amp;_辅助!$J$4,代发抵账!$H$5:$H$304,"&lt;="&amp;_辅助!$J$5)+SUMIFS(资金流水!$R$6:$R$2005,资金流水!$J$6:$J$2005,$A260,资金流水!$X$6:$X$2005,"应付职工薪酬",资金流水!$R$6:$R$2005,"&gt;0",资金流水!$S$6:$S$2005,"&gt;="&amp;_辅助!$J$4,资金流水!$S$6:$S$2005,"&lt;="&amp;_辅助!$J$5),2))</f>
        <v>0</v>
      </c>
      <c r="G260">
        <f t="shared" si="2"/>
        <v>0</v>
      </c>
      <c r="H260">
        <f t="shared" si="3"/>
        <v>0</v>
      </c>
      <c r="I260">
        <f t="shared" si="4"/>
        <v>0</v>
      </c>
      <c r="J260">
        <f t="shared" si="5"/>
        <v>0</v>
      </c>
      <c r="K260">
        <f t="shared" si="6"/>
        <v>0</v>
      </c>
      <c r="L260">
        <f t="shared" si="7"/>
        <v>0</v>
      </c>
      <c r="M260">
        <f t="shared" si="8"/>
        <v>0</v>
      </c>
    </row>
    <row r="261">
      <c r="A261">
        <f>往来单位!$B$262&amp;""</f>
      </c>
      <c r="B261">
        <f>往来单位!$C$262&amp;""</f>
      </c>
      <c r="C261">
        <f t="shared" si="0"/>
        <v>0</v>
      </c>
      <c r="D261">
        <f t="shared" si="1"/>
        <v>0</v>
      </c>
      <c r="E261">
        <f>IF(OR($A261="",NOT(OR($B261="管理人员",$B261="工人"))),0,ROUND(N(往来单位!$M$262)+J261-K261-L261+M261,2))</f>
        <v>0</v>
      </c>
      <c r="F261">
        <f>IF(OR($A261="",NOT(OR($B261="管理人员",$B261="工人"))),0,ROUND(N(往来单位!$M$262)+SUMIFS(考勤工资!$W$5:$W$1004,考勤工资!$C$5:$C$1004,$A261,考勤工资!$Y$5:$Y$1004,"&gt;="&amp;_辅助!$J$4,考勤工资!$Y$5:$Y$1004,"&lt;="&amp;_辅助!$J$5)-(-SUMIFS(资金流水!$R$6:$R$2005,资金流水!$J$6:$J$2005,$A261,资金流水!$X$6:$X$2005,"应付职工薪酬",资金流水!$R$6:$R$2005,"&lt;0",资金流水!$S$6:$S$2005,"&gt;="&amp;_辅助!$J$4,资金流水!$S$6:$S$2005,"&lt;="&amp;_辅助!$J$5))-SUMIFS(代发抵账!$F$5:$F$304,代发抵账!$E$5:$E$304,$A261,代发抵账!$D$5:$D$304,"总包代发工资",代发抵账!$H$5:$H$304,"&gt;="&amp;_辅助!$J$4,代发抵账!$H$5:$H$304,"&lt;="&amp;_辅助!$J$5)+SUMIFS(资金流水!$R$6:$R$2005,资金流水!$J$6:$J$2005,$A261,资金流水!$X$6:$X$2005,"应付职工薪酬",资金流水!$R$6:$R$2005,"&gt;0",资金流水!$S$6:$S$2005,"&gt;="&amp;_辅助!$J$4,资金流水!$S$6:$S$2005,"&lt;="&amp;_辅助!$J$5),2))</f>
        <v>0</v>
      </c>
      <c r="G261">
        <f t="shared" si="2"/>
        <v>0</v>
      </c>
      <c r="H261">
        <f t="shared" si="3"/>
        <v>0</v>
      </c>
      <c r="I261">
        <f t="shared" si="4"/>
        <v>0</v>
      </c>
      <c r="J261">
        <f t="shared" si="5"/>
        <v>0</v>
      </c>
      <c r="K261">
        <f t="shared" si="6"/>
        <v>0</v>
      </c>
      <c r="L261">
        <f t="shared" si="7"/>
        <v>0</v>
      </c>
      <c r="M261">
        <f t="shared" si="8"/>
        <v>0</v>
      </c>
    </row>
    <row r="262">
      <c r="A262">
        <f>往来单位!$B$263&amp;""</f>
      </c>
      <c r="B262">
        <f>往来单位!$C$263&amp;""</f>
      </c>
      <c r="C262">
        <f t="shared" si="0"/>
        <v>0</v>
      </c>
      <c r="D262">
        <f t="shared" si="1"/>
        <v>0</v>
      </c>
      <c r="E262">
        <f>IF(OR($A262="",NOT(OR($B262="管理人员",$B262="工人"))),0,ROUND(N(往来单位!$M$263)+J262-K262-L262+M262,2))</f>
        <v>0</v>
      </c>
      <c r="F262">
        <f>IF(OR($A262="",NOT(OR($B262="管理人员",$B262="工人"))),0,ROUND(N(往来单位!$M$263)+SUMIFS(考勤工资!$W$5:$W$1004,考勤工资!$C$5:$C$1004,$A262,考勤工资!$Y$5:$Y$1004,"&gt;="&amp;_辅助!$J$4,考勤工资!$Y$5:$Y$1004,"&lt;="&amp;_辅助!$J$5)-(-SUMIFS(资金流水!$R$6:$R$2005,资金流水!$J$6:$J$2005,$A262,资金流水!$X$6:$X$2005,"应付职工薪酬",资金流水!$R$6:$R$2005,"&lt;0",资金流水!$S$6:$S$2005,"&gt;="&amp;_辅助!$J$4,资金流水!$S$6:$S$2005,"&lt;="&amp;_辅助!$J$5))-SUMIFS(代发抵账!$F$5:$F$304,代发抵账!$E$5:$E$304,$A262,代发抵账!$D$5:$D$304,"总包代发工资",代发抵账!$H$5:$H$304,"&gt;="&amp;_辅助!$J$4,代发抵账!$H$5:$H$304,"&lt;="&amp;_辅助!$J$5)+SUMIFS(资金流水!$R$6:$R$2005,资金流水!$J$6:$J$2005,$A262,资金流水!$X$6:$X$2005,"应付职工薪酬",资金流水!$R$6:$R$2005,"&gt;0",资金流水!$S$6:$S$2005,"&gt;="&amp;_辅助!$J$4,资金流水!$S$6:$S$2005,"&lt;="&amp;_辅助!$J$5),2))</f>
        <v>0</v>
      </c>
      <c r="G262">
        <f t="shared" si="2"/>
        <v>0</v>
      </c>
      <c r="H262">
        <f t="shared" si="3"/>
        <v>0</v>
      </c>
      <c r="I262">
        <f t="shared" si="4"/>
        <v>0</v>
      </c>
      <c r="J262">
        <f t="shared" si="5"/>
        <v>0</v>
      </c>
      <c r="K262">
        <f t="shared" si="6"/>
        <v>0</v>
      </c>
      <c r="L262">
        <f t="shared" si="7"/>
        <v>0</v>
      </c>
      <c r="M262">
        <f t="shared" si="8"/>
        <v>0</v>
      </c>
    </row>
    <row r="263">
      <c r="A263">
        <f>往来单位!$B$264&amp;""</f>
      </c>
      <c r="B263">
        <f>往来单位!$C$264&amp;""</f>
      </c>
      <c r="C263">
        <f t="shared" si="0"/>
        <v>0</v>
      </c>
      <c r="D263">
        <f t="shared" si="1"/>
        <v>0</v>
      </c>
      <c r="E263">
        <f>IF(OR($A263="",NOT(OR($B263="管理人员",$B263="工人"))),0,ROUND(N(往来单位!$M$264)+J263-K263-L263+M263,2))</f>
        <v>0</v>
      </c>
      <c r="F263">
        <f>IF(OR($A263="",NOT(OR($B263="管理人员",$B263="工人"))),0,ROUND(N(往来单位!$M$264)+SUMIFS(考勤工资!$W$5:$W$1004,考勤工资!$C$5:$C$1004,$A263,考勤工资!$Y$5:$Y$1004,"&gt;="&amp;_辅助!$J$4,考勤工资!$Y$5:$Y$1004,"&lt;="&amp;_辅助!$J$5)-(-SUMIFS(资金流水!$R$6:$R$2005,资金流水!$J$6:$J$2005,$A263,资金流水!$X$6:$X$2005,"应付职工薪酬",资金流水!$R$6:$R$2005,"&lt;0",资金流水!$S$6:$S$2005,"&gt;="&amp;_辅助!$J$4,资金流水!$S$6:$S$2005,"&lt;="&amp;_辅助!$J$5))-SUMIFS(代发抵账!$F$5:$F$304,代发抵账!$E$5:$E$304,$A263,代发抵账!$D$5:$D$304,"总包代发工资",代发抵账!$H$5:$H$304,"&gt;="&amp;_辅助!$J$4,代发抵账!$H$5:$H$304,"&lt;="&amp;_辅助!$J$5)+SUMIFS(资金流水!$R$6:$R$2005,资金流水!$J$6:$J$2005,$A263,资金流水!$X$6:$X$2005,"应付职工薪酬",资金流水!$R$6:$R$2005,"&gt;0",资金流水!$S$6:$S$2005,"&gt;="&amp;_辅助!$J$4,资金流水!$S$6:$S$2005,"&lt;="&amp;_辅助!$J$5),2))</f>
        <v>0</v>
      </c>
      <c r="G263">
        <f t="shared" si="2"/>
        <v>0</v>
      </c>
      <c r="H263">
        <f t="shared" si="3"/>
        <v>0</v>
      </c>
      <c r="I263">
        <f t="shared" si="4"/>
        <v>0</v>
      </c>
      <c r="J263">
        <f t="shared" si="5"/>
        <v>0</v>
      </c>
      <c r="K263">
        <f t="shared" si="6"/>
        <v>0</v>
      </c>
      <c r="L263">
        <f t="shared" si="7"/>
        <v>0</v>
      </c>
      <c r="M263">
        <f t="shared" si="8"/>
        <v>0</v>
      </c>
    </row>
    <row r="264">
      <c r="A264">
        <f>往来单位!$B$265&amp;""</f>
      </c>
      <c r="B264">
        <f>往来单位!$C$265&amp;""</f>
      </c>
      <c r="C264">
        <f t="shared" si="0"/>
        <v>0</v>
      </c>
      <c r="D264">
        <f t="shared" si="1"/>
        <v>0</v>
      </c>
      <c r="E264">
        <f>IF(OR($A264="",NOT(OR($B264="管理人员",$B264="工人"))),0,ROUND(N(往来单位!$M$265)+J264-K264-L264+M264,2))</f>
        <v>0</v>
      </c>
      <c r="F264">
        <f>IF(OR($A264="",NOT(OR($B264="管理人员",$B264="工人"))),0,ROUND(N(往来单位!$M$265)+SUMIFS(考勤工资!$W$5:$W$1004,考勤工资!$C$5:$C$1004,$A264,考勤工资!$Y$5:$Y$1004,"&gt;="&amp;_辅助!$J$4,考勤工资!$Y$5:$Y$1004,"&lt;="&amp;_辅助!$J$5)-(-SUMIFS(资金流水!$R$6:$R$2005,资金流水!$J$6:$J$2005,$A264,资金流水!$X$6:$X$2005,"应付职工薪酬",资金流水!$R$6:$R$2005,"&lt;0",资金流水!$S$6:$S$2005,"&gt;="&amp;_辅助!$J$4,资金流水!$S$6:$S$2005,"&lt;="&amp;_辅助!$J$5))-SUMIFS(代发抵账!$F$5:$F$304,代发抵账!$E$5:$E$304,$A264,代发抵账!$D$5:$D$304,"总包代发工资",代发抵账!$H$5:$H$304,"&gt;="&amp;_辅助!$J$4,代发抵账!$H$5:$H$304,"&lt;="&amp;_辅助!$J$5)+SUMIFS(资金流水!$R$6:$R$2005,资金流水!$J$6:$J$2005,$A264,资金流水!$X$6:$X$2005,"应付职工薪酬",资金流水!$R$6:$R$2005,"&gt;0",资金流水!$S$6:$S$2005,"&gt;="&amp;_辅助!$J$4,资金流水!$S$6:$S$2005,"&lt;="&amp;_辅助!$J$5),2))</f>
        <v>0</v>
      </c>
      <c r="G264">
        <f t="shared" si="2"/>
        <v>0</v>
      </c>
      <c r="H264">
        <f t="shared" si="3"/>
        <v>0</v>
      </c>
      <c r="I264">
        <f t="shared" si="4"/>
        <v>0</v>
      </c>
      <c r="J264">
        <f t="shared" si="5"/>
        <v>0</v>
      </c>
      <c r="K264">
        <f t="shared" si="6"/>
        <v>0</v>
      </c>
      <c r="L264">
        <f t="shared" si="7"/>
        <v>0</v>
      </c>
      <c r="M264">
        <f t="shared" si="8"/>
        <v>0</v>
      </c>
    </row>
    <row r="265">
      <c r="A265">
        <f>往来单位!$B$266&amp;""</f>
      </c>
      <c r="B265">
        <f>往来单位!$C$266&amp;""</f>
      </c>
      <c r="C265">
        <f t="shared" si="0"/>
        <v>0</v>
      </c>
      <c r="D265">
        <f t="shared" si="1"/>
        <v>0</v>
      </c>
      <c r="E265">
        <f>IF(OR($A265="",NOT(OR($B265="管理人员",$B265="工人"))),0,ROUND(N(往来单位!$M$266)+J265-K265-L265+M265,2))</f>
        <v>0</v>
      </c>
      <c r="F265">
        <f>IF(OR($A265="",NOT(OR($B265="管理人员",$B265="工人"))),0,ROUND(N(往来单位!$M$266)+SUMIFS(考勤工资!$W$5:$W$1004,考勤工资!$C$5:$C$1004,$A265,考勤工资!$Y$5:$Y$1004,"&gt;="&amp;_辅助!$J$4,考勤工资!$Y$5:$Y$1004,"&lt;="&amp;_辅助!$J$5)-(-SUMIFS(资金流水!$R$6:$R$2005,资金流水!$J$6:$J$2005,$A265,资金流水!$X$6:$X$2005,"应付职工薪酬",资金流水!$R$6:$R$2005,"&lt;0",资金流水!$S$6:$S$2005,"&gt;="&amp;_辅助!$J$4,资金流水!$S$6:$S$2005,"&lt;="&amp;_辅助!$J$5))-SUMIFS(代发抵账!$F$5:$F$304,代发抵账!$E$5:$E$304,$A265,代发抵账!$D$5:$D$304,"总包代发工资",代发抵账!$H$5:$H$304,"&gt;="&amp;_辅助!$J$4,代发抵账!$H$5:$H$304,"&lt;="&amp;_辅助!$J$5)+SUMIFS(资金流水!$R$6:$R$2005,资金流水!$J$6:$J$2005,$A265,资金流水!$X$6:$X$2005,"应付职工薪酬",资金流水!$R$6:$R$2005,"&gt;0",资金流水!$S$6:$S$2005,"&gt;="&amp;_辅助!$J$4,资金流水!$S$6:$S$2005,"&lt;="&amp;_辅助!$J$5),2))</f>
        <v>0</v>
      </c>
      <c r="G265">
        <f t="shared" si="2"/>
        <v>0</v>
      </c>
      <c r="H265">
        <f t="shared" si="3"/>
        <v>0</v>
      </c>
      <c r="I265">
        <f t="shared" si="4"/>
        <v>0</v>
      </c>
      <c r="J265">
        <f t="shared" si="5"/>
        <v>0</v>
      </c>
      <c r="K265">
        <f t="shared" si="6"/>
        <v>0</v>
      </c>
      <c r="L265">
        <f t="shared" si="7"/>
        <v>0</v>
      </c>
      <c r="M265">
        <f t="shared" si="8"/>
        <v>0</v>
      </c>
    </row>
    <row r="266">
      <c r="A266">
        <f>往来单位!$B$267&amp;""</f>
      </c>
      <c r="B266">
        <f>往来单位!$C$267&amp;""</f>
      </c>
      <c r="C266">
        <f t="shared" si="0"/>
        <v>0</v>
      </c>
      <c r="D266">
        <f t="shared" si="1"/>
        <v>0</v>
      </c>
      <c r="E266">
        <f>IF(OR($A266="",NOT(OR($B266="管理人员",$B266="工人"))),0,ROUND(N(往来单位!$M$267)+J266-K266-L266+M266,2))</f>
        <v>0</v>
      </c>
      <c r="F266">
        <f>IF(OR($A266="",NOT(OR($B266="管理人员",$B266="工人"))),0,ROUND(N(往来单位!$M$267)+SUMIFS(考勤工资!$W$5:$W$1004,考勤工资!$C$5:$C$1004,$A266,考勤工资!$Y$5:$Y$1004,"&gt;="&amp;_辅助!$J$4,考勤工资!$Y$5:$Y$1004,"&lt;="&amp;_辅助!$J$5)-(-SUMIFS(资金流水!$R$6:$R$2005,资金流水!$J$6:$J$2005,$A266,资金流水!$X$6:$X$2005,"应付职工薪酬",资金流水!$R$6:$R$2005,"&lt;0",资金流水!$S$6:$S$2005,"&gt;="&amp;_辅助!$J$4,资金流水!$S$6:$S$2005,"&lt;="&amp;_辅助!$J$5))-SUMIFS(代发抵账!$F$5:$F$304,代发抵账!$E$5:$E$304,$A266,代发抵账!$D$5:$D$304,"总包代发工资",代发抵账!$H$5:$H$304,"&gt;="&amp;_辅助!$J$4,代发抵账!$H$5:$H$304,"&lt;="&amp;_辅助!$J$5)+SUMIFS(资金流水!$R$6:$R$2005,资金流水!$J$6:$J$2005,$A266,资金流水!$X$6:$X$2005,"应付职工薪酬",资金流水!$R$6:$R$2005,"&gt;0",资金流水!$S$6:$S$2005,"&gt;="&amp;_辅助!$J$4,资金流水!$S$6:$S$2005,"&lt;="&amp;_辅助!$J$5),2))</f>
        <v>0</v>
      </c>
      <c r="G266">
        <f t="shared" si="2"/>
        <v>0</v>
      </c>
      <c r="H266">
        <f t="shared" si="3"/>
        <v>0</v>
      </c>
      <c r="I266">
        <f t="shared" si="4"/>
        <v>0</v>
      </c>
      <c r="J266">
        <f t="shared" si="5"/>
        <v>0</v>
      </c>
      <c r="K266">
        <f t="shared" si="6"/>
        <v>0</v>
      </c>
      <c r="L266">
        <f t="shared" si="7"/>
        <v>0</v>
      </c>
      <c r="M266">
        <f t="shared" si="8"/>
        <v>0</v>
      </c>
    </row>
    <row r="267">
      <c r="A267">
        <f>往来单位!$B$268&amp;""</f>
      </c>
      <c r="B267">
        <f>往来单位!$C$268&amp;""</f>
      </c>
      <c r="C267">
        <f t="shared" si="0"/>
        <v>0</v>
      </c>
      <c r="D267">
        <f t="shared" si="1"/>
        <v>0</v>
      </c>
      <c r="E267">
        <f>IF(OR($A267="",NOT(OR($B267="管理人员",$B267="工人"))),0,ROUND(N(往来单位!$M$268)+J267-K267-L267+M267,2))</f>
        <v>0</v>
      </c>
      <c r="F267">
        <f>IF(OR($A267="",NOT(OR($B267="管理人员",$B267="工人"))),0,ROUND(N(往来单位!$M$268)+SUMIFS(考勤工资!$W$5:$W$1004,考勤工资!$C$5:$C$1004,$A267,考勤工资!$Y$5:$Y$1004,"&gt;="&amp;_辅助!$J$4,考勤工资!$Y$5:$Y$1004,"&lt;="&amp;_辅助!$J$5)-(-SUMIFS(资金流水!$R$6:$R$2005,资金流水!$J$6:$J$2005,$A267,资金流水!$X$6:$X$2005,"应付职工薪酬",资金流水!$R$6:$R$2005,"&lt;0",资金流水!$S$6:$S$2005,"&gt;="&amp;_辅助!$J$4,资金流水!$S$6:$S$2005,"&lt;="&amp;_辅助!$J$5))-SUMIFS(代发抵账!$F$5:$F$304,代发抵账!$E$5:$E$304,$A267,代发抵账!$D$5:$D$304,"总包代发工资",代发抵账!$H$5:$H$304,"&gt;="&amp;_辅助!$J$4,代发抵账!$H$5:$H$304,"&lt;="&amp;_辅助!$J$5)+SUMIFS(资金流水!$R$6:$R$2005,资金流水!$J$6:$J$2005,$A267,资金流水!$X$6:$X$2005,"应付职工薪酬",资金流水!$R$6:$R$2005,"&gt;0",资金流水!$S$6:$S$2005,"&gt;="&amp;_辅助!$J$4,资金流水!$S$6:$S$2005,"&lt;="&amp;_辅助!$J$5),2))</f>
        <v>0</v>
      </c>
      <c r="G267">
        <f t="shared" si="2"/>
        <v>0</v>
      </c>
      <c r="H267">
        <f t="shared" si="3"/>
        <v>0</v>
      </c>
      <c r="I267">
        <f t="shared" si="4"/>
        <v>0</v>
      </c>
      <c r="J267">
        <f t="shared" si="5"/>
        <v>0</v>
      </c>
      <c r="K267">
        <f t="shared" si="6"/>
        <v>0</v>
      </c>
      <c r="L267">
        <f t="shared" si="7"/>
        <v>0</v>
      </c>
      <c r="M267">
        <f t="shared" si="8"/>
        <v>0</v>
      </c>
    </row>
    <row r="268">
      <c r="A268">
        <f>往来单位!$B$269&amp;""</f>
      </c>
      <c r="B268">
        <f>往来单位!$C$269&amp;""</f>
      </c>
      <c r="C268">
        <f t="shared" si="0"/>
        <v>0</v>
      </c>
      <c r="D268">
        <f t="shared" si="1"/>
        <v>0</v>
      </c>
      <c r="E268">
        <f>IF(OR($A268="",NOT(OR($B268="管理人员",$B268="工人"))),0,ROUND(N(往来单位!$M$269)+J268-K268-L268+M268,2))</f>
        <v>0</v>
      </c>
      <c r="F268">
        <f>IF(OR($A268="",NOT(OR($B268="管理人员",$B268="工人"))),0,ROUND(N(往来单位!$M$269)+SUMIFS(考勤工资!$W$5:$W$1004,考勤工资!$C$5:$C$1004,$A268,考勤工资!$Y$5:$Y$1004,"&gt;="&amp;_辅助!$J$4,考勤工资!$Y$5:$Y$1004,"&lt;="&amp;_辅助!$J$5)-(-SUMIFS(资金流水!$R$6:$R$2005,资金流水!$J$6:$J$2005,$A268,资金流水!$X$6:$X$2005,"应付职工薪酬",资金流水!$R$6:$R$2005,"&lt;0",资金流水!$S$6:$S$2005,"&gt;="&amp;_辅助!$J$4,资金流水!$S$6:$S$2005,"&lt;="&amp;_辅助!$J$5))-SUMIFS(代发抵账!$F$5:$F$304,代发抵账!$E$5:$E$304,$A268,代发抵账!$D$5:$D$304,"总包代发工资",代发抵账!$H$5:$H$304,"&gt;="&amp;_辅助!$J$4,代发抵账!$H$5:$H$304,"&lt;="&amp;_辅助!$J$5)+SUMIFS(资金流水!$R$6:$R$2005,资金流水!$J$6:$J$2005,$A268,资金流水!$X$6:$X$2005,"应付职工薪酬",资金流水!$R$6:$R$2005,"&gt;0",资金流水!$S$6:$S$2005,"&gt;="&amp;_辅助!$J$4,资金流水!$S$6:$S$2005,"&lt;="&amp;_辅助!$J$5),2))</f>
        <v>0</v>
      </c>
      <c r="G268">
        <f t="shared" si="2"/>
        <v>0</v>
      </c>
      <c r="H268">
        <f t="shared" si="3"/>
        <v>0</v>
      </c>
      <c r="I268">
        <f t="shared" si="4"/>
        <v>0</v>
      </c>
      <c r="J268">
        <f t="shared" si="5"/>
        <v>0</v>
      </c>
      <c r="K268">
        <f t="shared" si="6"/>
        <v>0</v>
      </c>
      <c r="L268">
        <f t="shared" si="7"/>
        <v>0</v>
      </c>
      <c r="M268">
        <f t="shared" si="8"/>
        <v>0</v>
      </c>
    </row>
    <row r="269">
      <c r="A269">
        <f>往来单位!$B$270&amp;""</f>
      </c>
      <c r="B269">
        <f>往来单位!$C$270&amp;""</f>
      </c>
      <c r="C269">
        <f t="shared" si="0"/>
        <v>0</v>
      </c>
      <c r="D269">
        <f t="shared" si="1"/>
        <v>0</v>
      </c>
      <c r="E269">
        <f>IF(OR($A269="",NOT(OR($B269="管理人员",$B269="工人"))),0,ROUND(N(往来单位!$M$270)+J269-K269-L269+M269,2))</f>
        <v>0</v>
      </c>
      <c r="F269">
        <f>IF(OR($A269="",NOT(OR($B269="管理人员",$B269="工人"))),0,ROUND(N(往来单位!$M$270)+SUMIFS(考勤工资!$W$5:$W$1004,考勤工资!$C$5:$C$1004,$A269,考勤工资!$Y$5:$Y$1004,"&gt;="&amp;_辅助!$J$4,考勤工资!$Y$5:$Y$1004,"&lt;="&amp;_辅助!$J$5)-(-SUMIFS(资金流水!$R$6:$R$2005,资金流水!$J$6:$J$2005,$A269,资金流水!$X$6:$X$2005,"应付职工薪酬",资金流水!$R$6:$R$2005,"&lt;0",资金流水!$S$6:$S$2005,"&gt;="&amp;_辅助!$J$4,资金流水!$S$6:$S$2005,"&lt;="&amp;_辅助!$J$5))-SUMIFS(代发抵账!$F$5:$F$304,代发抵账!$E$5:$E$304,$A269,代发抵账!$D$5:$D$304,"总包代发工资",代发抵账!$H$5:$H$304,"&gt;="&amp;_辅助!$J$4,代发抵账!$H$5:$H$304,"&lt;="&amp;_辅助!$J$5)+SUMIFS(资金流水!$R$6:$R$2005,资金流水!$J$6:$J$2005,$A269,资金流水!$X$6:$X$2005,"应付职工薪酬",资金流水!$R$6:$R$2005,"&gt;0",资金流水!$S$6:$S$2005,"&gt;="&amp;_辅助!$J$4,资金流水!$S$6:$S$2005,"&lt;="&amp;_辅助!$J$5),2))</f>
        <v>0</v>
      </c>
      <c r="G269">
        <f t="shared" si="2"/>
        <v>0</v>
      </c>
      <c r="H269">
        <f t="shared" si="3"/>
        <v>0</v>
      </c>
      <c r="I269">
        <f t="shared" si="4"/>
        <v>0</v>
      </c>
      <c r="J269">
        <f t="shared" si="5"/>
        <v>0</v>
      </c>
      <c r="K269">
        <f t="shared" si="6"/>
        <v>0</v>
      </c>
      <c r="L269">
        <f t="shared" si="7"/>
        <v>0</v>
      </c>
      <c r="M269">
        <f t="shared" si="8"/>
        <v>0</v>
      </c>
    </row>
    <row r="270">
      <c r="A270">
        <f>往来单位!$B$271&amp;""</f>
      </c>
      <c r="B270">
        <f>往来单位!$C$271&amp;""</f>
      </c>
      <c r="C270">
        <f t="shared" si="0"/>
        <v>0</v>
      </c>
      <c r="D270">
        <f t="shared" si="1"/>
        <v>0</v>
      </c>
      <c r="E270">
        <f>IF(OR($A270="",NOT(OR($B270="管理人员",$B270="工人"))),0,ROUND(N(往来单位!$M$271)+J270-K270-L270+M270,2))</f>
        <v>0</v>
      </c>
      <c r="F270">
        <f>IF(OR($A270="",NOT(OR($B270="管理人员",$B270="工人"))),0,ROUND(N(往来单位!$M$271)+SUMIFS(考勤工资!$W$5:$W$1004,考勤工资!$C$5:$C$1004,$A270,考勤工资!$Y$5:$Y$1004,"&gt;="&amp;_辅助!$J$4,考勤工资!$Y$5:$Y$1004,"&lt;="&amp;_辅助!$J$5)-(-SUMIFS(资金流水!$R$6:$R$2005,资金流水!$J$6:$J$2005,$A270,资金流水!$X$6:$X$2005,"应付职工薪酬",资金流水!$R$6:$R$2005,"&lt;0",资金流水!$S$6:$S$2005,"&gt;="&amp;_辅助!$J$4,资金流水!$S$6:$S$2005,"&lt;="&amp;_辅助!$J$5))-SUMIFS(代发抵账!$F$5:$F$304,代发抵账!$E$5:$E$304,$A270,代发抵账!$D$5:$D$304,"总包代发工资",代发抵账!$H$5:$H$304,"&gt;="&amp;_辅助!$J$4,代发抵账!$H$5:$H$304,"&lt;="&amp;_辅助!$J$5)+SUMIFS(资金流水!$R$6:$R$2005,资金流水!$J$6:$J$2005,$A270,资金流水!$X$6:$X$2005,"应付职工薪酬",资金流水!$R$6:$R$2005,"&gt;0",资金流水!$S$6:$S$2005,"&gt;="&amp;_辅助!$J$4,资金流水!$S$6:$S$2005,"&lt;="&amp;_辅助!$J$5),2))</f>
        <v>0</v>
      </c>
      <c r="G270">
        <f t="shared" si="2"/>
        <v>0</v>
      </c>
      <c r="H270">
        <f t="shared" si="3"/>
        <v>0</v>
      </c>
      <c r="I270">
        <f t="shared" si="4"/>
        <v>0</v>
      </c>
      <c r="J270">
        <f t="shared" si="5"/>
        <v>0</v>
      </c>
      <c r="K270">
        <f t="shared" si="6"/>
        <v>0</v>
      </c>
      <c r="L270">
        <f t="shared" si="7"/>
        <v>0</v>
      </c>
      <c r="M270">
        <f t="shared" si="8"/>
        <v>0</v>
      </c>
    </row>
    <row r="271">
      <c r="A271">
        <f>往来单位!$B$272&amp;""</f>
      </c>
      <c r="B271">
        <f>往来单位!$C$272&amp;""</f>
      </c>
      <c r="C271">
        <f t="shared" si="0"/>
        <v>0</v>
      </c>
      <c r="D271">
        <f t="shared" si="1"/>
        <v>0</v>
      </c>
      <c r="E271">
        <f>IF(OR($A271="",NOT(OR($B271="管理人员",$B271="工人"))),0,ROUND(N(往来单位!$M$272)+J271-K271-L271+M271,2))</f>
        <v>0</v>
      </c>
      <c r="F271">
        <f>IF(OR($A271="",NOT(OR($B271="管理人员",$B271="工人"))),0,ROUND(N(往来单位!$M$272)+SUMIFS(考勤工资!$W$5:$W$1004,考勤工资!$C$5:$C$1004,$A271,考勤工资!$Y$5:$Y$1004,"&gt;="&amp;_辅助!$J$4,考勤工资!$Y$5:$Y$1004,"&lt;="&amp;_辅助!$J$5)-(-SUMIFS(资金流水!$R$6:$R$2005,资金流水!$J$6:$J$2005,$A271,资金流水!$X$6:$X$2005,"应付职工薪酬",资金流水!$R$6:$R$2005,"&lt;0",资金流水!$S$6:$S$2005,"&gt;="&amp;_辅助!$J$4,资金流水!$S$6:$S$2005,"&lt;="&amp;_辅助!$J$5))-SUMIFS(代发抵账!$F$5:$F$304,代发抵账!$E$5:$E$304,$A271,代发抵账!$D$5:$D$304,"总包代发工资",代发抵账!$H$5:$H$304,"&gt;="&amp;_辅助!$J$4,代发抵账!$H$5:$H$304,"&lt;="&amp;_辅助!$J$5)+SUMIFS(资金流水!$R$6:$R$2005,资金流水!$J$6:$J$2005,$A271,资金流水!$X$6:$X$2005,"应付职工薪酬",资金流水!$R$6:$R$2005,"&gt;0",资金流水!$S$6:$S$2005,"&gt;="&amp;_辅助!$J$4,资金流水!$S$6:$S$2005,"&lt;="&amp;_辅助!$J$5),2))</f>
        <v>0</v>
      </c>
      <c r="G271">
        <f t="shared" si="2"/>
        <v>0</v>
      </c>
      <c r="H271">
        <f t="shared" si="3"/>
        <v>0</v>
      </c>
      <c r="I271">
        <f t="shared" si="4"/>
        <v>0</v>
      </c>
      <c r="J271">
        <f t="shared" si="5"/>
        <v>0</v>
      </c>
      <c r="K271">
        <f t="shared" si="6"/>
        <v>0</v>
      </c>
      <c r="L271">
        <f t="shared" si="7"/>
        <v>0</v>
      </c>
      <c r="M271">
        <f t="shared" si="8"/>
        <v>0</v>
      </c>
    </row>
    <row r="272">
      <c r="A272">
        <f>往来单位!$B$273&amp;""</f>
      </c>
      <c r="B272">
        <f>往来单位!$C$273&amp;""</f>
      </c>
      <c r="C272">
        <f t="shared" si="0"/>
        <v>0</v>
      </c>
      <c r="D272">
        <f t="shared" si="1"/>
        <v>0</v>
      </c>
      <c r="E272">
        <f>IF(OR($A272="",NOT(OR($B272="管理人员",$B272="工人"))),0,ROUND(N(往来单位!$M$273)+J272-K272-L272+M272,2))</f>
        <v>0</v>
      </c>
      <c r="F272">
        <f>IF(OR($A272="",NOT(OR($B272="管理人员",$B272="工人"))),0,ROUND(N(往来单位!$M$273)+SUMIFS(考勤工资!$W$5:$W$1004,考勤工资!$C$5:$C$1004,$A272,考勤工资!$Y$5:$Y$1004,"&gt;="&amp;_辅助!$J$4,考勤工资!$Y$5:$Y$1004,"&lt;="&amp;_辅助!$J$5)-(-SUMIFS(资金流水!$R$6:$R$2005,资金流水!$J$6:$J$2005,$A272,资金流水!$X$6:$X$2005,"应付职工薪酬",资金流水!$R$6:$R$2005,"&lt;0",资金流水!$S$6:$S$2005,"&gt;="&amp;_辅助!$J$4,资金流水!$S$6:$S$2005,"&lt;="&amp;_辅助!$J$5))-SUMIFS(代发抵账!$F$5:$F$304,代发抵账!$E$5:$E$304,$A272,代发抵账!$D$5:$D$304,"总包代发工资",代发抵账!$H$5:$H$304,"&gt;="&amp;_辅助!$J$4,代发抵账!$H$5:$H$304,"&lt;="&amp;_辅助!$J$5)+SUMIFS(资金流水!$R$6:$R$2005,资金流水!$J$6:$J$2005,$A272,资金流水!$X$6:$X$2005,"应付职工薪酬",资金流水!$R$6:$R$2005,"&gt;0",资金流水!$S$6:$S$2005,"&gt;="&amp;_辅助!$J$4,资金流水!$S$6:$S$2005,"&lt;="&amp;_辅助!$J$5),2))</f>
        <v>0</v>
      </c>
      <c r="G272">
        <f t="shared" si="2"/>
        <v>0</v>
      </c>
      <c r="H272">
        <f t="shared" si="3"/>
        <v>0</v>
      </c>
      <c r="I272">
        <f t="shared" si="4"/>
        <v>0</v>
      </c>
      <c r="J272">
        <f t="shared" si="5"/>
        <v>0</v>
      </c>
      <c r="K272">
        <f t="shared" si="6"/>
        <v>0</v>
      </c>
      <c r="L272">
        <f t="shared" si="7"/>
        <v>0</v>
      </c>
      <c r="M272">
        <f t="shared" si="8"/>
        <v>0</v>
      </c>
    </row>
    <row r="273">
      <c r="A273">
        <f>往来单位!$B$274&amp;""</f>
      </c>
      <c r="B273">
        <f>往来单位!$C$274&amp;""</f>
      </c>
      <c r="C273">
        <f t="shared" si="0"/>
        <v>0</v>
      </c>
      <c r="D273">
        <f t="shared" si="1"/>
        <v>0</v>
      </c>
      <c r="E273">
        <f>IF(OR($A273="",NOT(OR($B273="管理人员",$B273="工人"))),0,ROUND(N(往来单位!$M$274)+J273-K273-L273+M273,2))</f>
        <v>0</v>
      </c>
      <c r="F273">
        <f>IF(OR($A273="",NOT(OR($B273="管理人员",$B273="工人"))),0,ROUND(N(往来单位!$M$274)+SUMIFS(考勤工资!$W$5:$W$1004,考勤工资!$C$5:$C$1004,$A273,考勤工资!$Y$5:$Y$1004,"&gt;="&amp;_辅助!$J$4,考勤工资!$Y$5:$Y$1004,"&lt;="&amp;_辅助!$J$5)-(-SUMIFS(资金流水!$R$6:$R$2005,资金流水!$J$6:$J$2005,$A273,资金流水!$X$6:$X$2005,"应付职工薪酬",资金流水!$R$6:$R$2005,"&lt;0",资金流水!$S$6:$S$2005,"&gt;="&amp;_辅助!$J$4,资金流水!$S$6:$S$2005,"&lt;="&amp;_辅助!$J$5))-SUMIFS(代发抵账!$F$5:$F$304,代发抵账!$E$5:$E$304,$A273,代发抵账!$D$5:$D$304,"总包代发工资",代发抵账!$H$5:$H$304,"&gt;="&amp;_辅助!$J$4,代发抵账!$H$5:$H$304,"&lt;="&amp;_辅助!$J$5)+SUMIFS(资金流水!$R$6:$R$2005,资金流水!$J$6:$J$2005,$A273,资金流水!$X$6:$X$2005,"应付职工薪酬",资金流水!$R$6:$R$2005,"&gt;0",资金流水!$S$6:$S$2005,"&gt;="&amp;_辅助!$J$4,资金流水!$S$6:$S$2005,"&lt;="&amp;_辅助!$J$5),2))</f>
        <v>0</v>
      </c>
      <c r="G273">
        <f t="shared" si="2"/>
        <v>0</v>
      </c>
      <c r="H273">
        <f t="shared" si="3"/>
        <v>0</v>
      </c>
      <c r="I273">
        <f t="shared" si="4"/>
        <v>0</v>
      </c>
      <c r="J273">
        <f t="shared" si="5"/>
        <v>0</v>
      </c>
      <c r="K273">
        <f t="shared" si="6"/>
        <v>0</v>
      </c>
      <c r="L273">
        <f t="shared" si="7"/>
        <v>0</v>
      </c>
      <c r="M273">
        <f t="shared" si="8"/>
        <v>0</v>
      </c>
    </row>
    <row r="274">
      <c r="A274">
        <f>往来单位!$B$275&amp;""</f>
      </c>
      <c r="B274">
        <f>往来单位!$C$275&amp;""</f>
      </c>
      <c r="C274">
        <f t="shared" si="0"/>
        <v>0</v>
      </c>
      <c r="D274">
        <f t="shared" si="1"/>
        <v>0</v>
      </c>
      <c r="E274">
        <f>IF(OR($A274="",NOT(OR($B274="管理人员",$B274="工人"))),0,ROUND(N(往来单位!$M$275)+J274-K274-L274+M274,2))</f>
        <v>0</v>
      </c>
      <c r="F274">
        <f>IF(OR($A274="",NOT(OR($B274="管理人员",$B274="工人"))),0,ROUND(N(往来单位!$M$275)+SUMIFS(考勤工资!$W$5:$W$1004,考勤工资!$C$5:$C$1004,$A274,考勤工资!$Y$5:$Y$1004,"&gt;="&amp;_辅助!$J$4,考勤工资!$Y$5:$Y$1004,"&lt;="&amp;_辅助!$J$5)-(-SUMIFS(资金流水!$R$6:$R$2005,资金流水!$J$6:$J$2005,$A274,资金流水!$X$6:$X$2005,"应付职工薪酬",资金流水!$R$6:$R$2005,"&lt;0",资金流水!$S$6:$S$2005,"&gt;="&amp;_辅助!$J$4,资金流水!$S$6:$S$2005,"&lt;="&amp;_辅助!$J$5))-SUMIFS(代发抵账!$F$5:$F$304,代发抵账!$E$5:$E$304,$A274,代发抵账!$D$5:$D$304,"总包代发工资",代发抵账!$H$5:$H$304,"&gt;="&amp;_辅助!$J$4,代发抵账!$H$5:$H$304,"&lt;="&amp;_辅助!$J$5)+SUMIFS(资金流水!$R$6:$R$2005,资金流水!$J$6:$J$2005,$A274,资金流水!$X$6:$X$2005,"应付职工薪酬",资金流水!$R$6:$R$2005,"&gt;0",资金流水!$S$6:$S$2005,"&gt;="&amp;_辅助!$J$4,资金流水!$S$6:$S$2005,"&lt;="&amp;_辅助!$J$5),2))</f>
        <v>0</v>
      </c>
      <c r="G274">
        <f t="shared" si="2"/>
        <v>0</v>
      </c>
      <c r="H274">
        <f t="shared" si="3"/>
        <v>0</v>
      </c>
      <c r="I274">
        <f t="shared" si="4"/>
        <v>0</v>
      </c>
      <c r="J274">
        <f t="shared" si="5"/>
        <v>0</v>
      </c>
      <c r="K274">
        <f t="shared" si="6"/>
        <v>0</v>
      </c>
      <c r="L274">
        <f t="shared" si="7"/>
        <v>0</v>
      </c>
      <c r="M274">
        <f t="shared" si="8"/>
        <v>0</v>
      </c>
    </row>
    <row r="275">
      <c r="A275">
        <f>往来单位!$B$276&amp;""</f>
      </c>
      <c r="B275">
        <f>往来单位!$C$276&amp;""</f>
      </c>
      <c r="C275">
        <f t="shared" si="0"/>
        <v>0</v>
      </c>
      <c r="D275">
        <f t="shared" si="1"/>
        <v>0</v>
      </c>
      <c r="E275">
        <f>IF(OR($A275="",NOT(OR($B275="管理人员",$B275="工人"))),0,ROUND(N(往来单位!$M$276)+J275-K275-L275+M275,2))</f>
        <v>0</v>
      </c>
      <c r="F275">
        <f>IF(OR($A275="",NOT(OR($B275="管理人员",$B275="工人"))),0,ROUND(N(往来单位!$M$276)+SUMIFS(考勤工资!$W$5:$W$1004,考勤工资!$C$5:$C$1004,$A275,考勤工资!$Y$5:$Y$1004,"&gt;="&amp;_辅助!$J$4,考勤工资!$Y$5:$Y$1004,"&lt;="&amp;_辅助!$J$5)-(-SUMIFS(资金流水!$R$6:$R$2005,资金流水!$J$6:$J$2005,$A275,资金流水!$X$6:$X$2005,"应付职工薪酬",资金流水!$R$6:$R$2005,"&lt;0",资金流水!$S$6:$S$2005,"&gt;="&amp;_辅助!$J$4,资金流水!$S$6:$S$2005,"&lt;="&amp;_辅助!$J$5))-SUMIFS(代发抵账!$F$5:$F$304,代发抵账!$E$5:$E$304,$A275,代发抵账!$D$5:$D$304,"总包代发工资",代发抵账!$H$5:$H$304,"&gt;="&amp;_辅助!$J$4,代发抵账!$H$5:$H$304,"&lt;="&amp;_辅助!$J$5)+SUMIFS(资金流水!$R$6:$R$2005,资金流水!$J$6:$J$2005,$A275,资金流水!$X$6:$X$2005,"应付职工薪酬",资金流水!$R$6:$R$2005,"&gt;0",资金流水!$S$6:$S$2005,"&gt;="&amp;_辅助!$J$4,资金流水!$S$6:$S$2005,"&lt;="&amp;_辅助!$J$5),2))</f>
        <v>0</v>
      </c>
      <c r="G275">
        <f t="shared" si="2"/>
        <v>0</v>
      </c>
      <c r="H275">
        <f t="shared" si="3"/>
        <v>0</v>
      </c>
      <c r="I275">
        <f t="shared" si="4"/>
        <v>0</v>
      </c>
      <c r="J275">
        <f t="shared" si="5"/>
        <v>0</v>
      </c>
      <c r="K275">
        <f t="shared" si="6"/>
        <v>0</v>
      </c>
      <c r="L275">
        <f t="shared" si="7"/>
        <v>0</v>
      </c>
      <c r="M275">
        <f t="shared" si="8"/>
        <v>0</v>
      </c>
    </row>
    <row r="276">
      <c r="A276">
        <f>往来单位!$B$277&amp;""</f>
      </c>
      <c r="B276">
        <f>往来单位!$C$277&amp;""</f>
      </c>
      <c r="C276">
        <f t="shared" si="0"/>
        <v>0</v>
      </c>
      <c r="D276">
        <f t="shared" si="1"/>
        <v>0</v>
      </c>
      <c r="E276">
        <f>IF(OR($A276="",NOT(OR($B276="管理人员",$B276="工人"))),0,ROUND(N(往来单位!$M$277)+J276-K276-L276+M276,2))</f>
        <v>0</v>
      </c>
      <c r="F276">
        <f>IF(OR($A276="",NOT(OR($B276="管理人员",$B276="工人"))),0,ROUND(N(往来单位!$M$277)+SUMIFS(考勤工资!$W$5:$W$1004,考勤工资!$C$5:$C$1004,$A276,考勤工资!$Y$5:$Y$1004,"&gt;="&amp;_辅助!$J$4,考勤工资!$Y$5:$Y$1004,"&lt;="&amp;_辅助!$J$5)-(-SUMIFS(资金流水!$R$6:$R$2005,资金流水!$J$6:$J$2005,$A276,资金流水!$X$6:$X$2005,"应付职工薪酬",资金流水!$R$6:$R$2005,"&lt;0",资金流水!$S$6:$S$2005,"&gt;="&amp;_辅助!$J$4,资金流水!$S$6:$S$2005,"&lt;="&amp;_辅助!$J$5))-SUMIFS(代发抵账!$F$5:$F$304,代发抵账!$E$5:$E$304,$A276,代发抵账!$D$5:$D$304,"总包代发工资",代发抵账!$H$5:$H$304,"&gt;="&amp;_辅助!$J$4,代发抵账!$H$5:$H$304,"&lt;="&amp;_辅助!$J$5)+SUMIFS(资金流水!$R$6:$R$2005,资金流水!$J$6:$J$2005,$A276,资金流水!$X$6:$X$2005,"应付职工薪酬",资金流水!$R$6:$R$2005,"&gt;0",资金流水!$S$6:$S$2005,"&gt;="&amp;_辅助!$J$4,资金流水!$S$6:$S$2005,"&lt;="&amp;_辅助!$J$5),2))</f>
        <v>0</v>
      </c>
      <c r="G276">
        <f t="shared" si="2"/>
        <v>0</v>
      </c>
      <c r="H276">
        <f t="shared" si="3"/>
        <v>0</v>
      </c>
      <c r="I276">
        <f t="shared" si="4"/>
        <v>0</v>
      </c>
      <c r="J276">
        <f t="shared" si="5"/>
        <v>0</v>
      </c>
      <c r="K276">
        <f t="shared" si="6"/>
        <v>0</v>
      </c>
      <c r="L276">
        <f t="shared" si="7"/>
        <v>0</v>
      </c>
      <c r="M276">
        <f t="shared" si="8"/>
        <v>0</v>
      </c>
    </row>
    <row r="277">
      <c r="A277">
        <f>往来单位!$B$278&amp;""</f>
      </c>
      <c r="B277">
        <f>往来单位!$C$278&amp;""</f>
      </c>
      <c r="C277">
        <f t="shared" si="0"/>
        <v>0</v>
      </c>
      <c r="D277">
        <f t="shared" si="1"/>
        <v>0</v>
      </c>
      <c r="E277">
        <f>IF(OR($A277="",NOT(OR($B277="管理人员",$B277="工人"))),0,ROUND(N(往来单位!$M$278)+J277-K277-L277+M277,2))</f>
        <v>0</v>
      </c>
      <c r="F277">
        <f>IF(OR($A277="",NOT(OR($B277="管理人员",$B277="工人"))),0,ROUND(N(往来单位!$M$278)+SUMIFS(考勤工资!$W$5:$W$1004,考勤工资!$C$5:$C$1004,$A277,考勤工资!$Y$5:$Y$1004,"&gt;="&amp;_辅助!$J$4,考勤工资!$Y$5:$Y$1004,"&lt;="&amp;_辅助!$J$5)-(-SUMIFS(资金流水!$R$6:$R$2005,资金流水!$J$6:$J$2005,$A277,资金流水!$X$6:$X$2005,"应付职工薪酬",资金流水!$R$6:$R$2005,"&lt;0",资金流水!$S$6:$S$2005,"&gt;="&amp;_辅助!$J$4,资金流水!$S$6:$S$2005,"&lt;="&amp;_辅助!$J$5))-SUMIFS(代发抵账!$F$5:$F$304,代发抵账!$E$5:$E$304,$A277,代发抵账!$D$5:$D$304,"总包代发工资",代发抵账!$H$5:$H$304,"&gt;="&amp;_辅助!$J$4,代发抵账!$H$5:$H$304,"&lt;="&amp;_辅助!$J$5)+SUMIFS(资金流水!$R$6:$R$2005,资金流水!$J$6:$J$2005,$A277,资金流水!$X$6:$X$2005,"应付职工薪酬",资金流水!$R$6:$R$2005,"&gt;0",资金流水!$S$6:$S$2005,"&gt;="&amp;_辅助!$J$4,资金流水!$S$6:$S$2005,"&lt;="&amp;_辅助!$J$5),2))</f>
        <v>0</v>
      </c>
      <c r="G277">
        <f t="shared" si="2"/>
        <v>0</v>
      </c>
      <c r="H277">
        <f t="shared" si="3"/>
        <v>0</v>
      </c>
      <c r="I277">
        <f t="shared" si="4"/>
        <v>0</v>
      </c>
      <c r="J277">
        <f t="shared" si="5"/>
        <v>0</v>
      </c>
      <c r="K277">
        <f t="shared" si="6"/>
        <v>0</v>
      </c>
      <c r="L277">
        <f t="shared" si="7"/>
        <v>0</v>
      </c>
      <c r="M277">
        <f t="shared" si="8"/>
        <v>0</v>
      </c>
    </row>
    <row r="278">
      <c r="A278">
        <f>往来单位!$B$279&amp;""</f>
      </c>
      <c r="B278">
        <f>往来单位!$C$279&amp;""</f>
      </c>
      <c r="C278">
        <f t="shared" si="0"/>
        <v>0</v>
      </c>
      <c r="D278">
        <f t="shared" si="1"/>
        <v>0</v>
      </c>
      <c r="E278">
        <f>IF(OR($A278="",NOT(OR($B278="管理人员",$B278="工人"))),0,ROUND(N(往来单位!$M$279)+J278-K278-L278+M278,2))</f>
        <v>0</v>
      </c>
      <c r="F278">
        <f>IF(OR($A278="",NOT(OR($B278="管理人员",$B278="工人"))),0,ROUND(N(往来单位!$M$279)+SUMIFS(考勤工资!$W$5:$W$1004,考勤工资!$C$5:$C$1004,$A278,考勤工资!$Y$5:$Y$1004,"&gt;="&amp;_辅助!$J$4,考勤工资!$Y$5:$Y$1004,"&lt;="&amp;_辅助!$J$5)-(-SUMIFS(资金流水!$R$6:$R$2005,资金流水!$J$6:$J$2005,$A278,资金流水!$X$6:$X$2005,"应付职工薪酬",资金流水!$R$6:$R$2005,"&lt;0",资金流水!$S$6:$S$2005,"&gt;="&amp;_辅助!$J$4,资金流水!$S$6:$S$2005,"&lt;="&amp;_辅助!$J$5))-SUMIFS(代发抵账!$F$5:$F$304,代发抵账!$E$5:$E$304,$A278,代发抵账!$D$5:$D$304,"总包代发工资",代发抵账!$H$5:$H$304,"&gt;="&amp;_辅助!$J$4,代发抵账!$H$5:$H$304,"&lt;="&amp;_辅助!$J$5)+SUMIFS(资金流水!$R$6:$R$2005,资金流水!$J$6:$J$2005,$A278,资金流水!$X$6:$X$2005,"应付职工薪酬",资金流水!$R$6:$R$2005,"&gt;0",资金流水!$S$6:$S$2005,"&gt;="&amp;_辅助!$J$4,资金流水!$S$6:$S$2005,"&lt;="&amp;_辅助!$J$5),2))</f>
        <v>0</v>
      </c>
      <c r="G278">
        <f t="shared" si="2"/>
        <v>0</v>
      </c>
      <c r="H278">
        <f t="shared" si="3"/>
        <v>0</v>
      </c>
      <c r="I278">
        <f t="shared" si="4"/>
        <v>0</v>
      </c>
      <c r="J278">
        <f t="shared" si="5"/>
        <v>0</v>
      </c>
      <c r="K278">
        <f t="shared" si="6"/>
        <v>0</v>
      </c>
      <c r="L278">
        <f t="shared" si="7"/>
        <v>0</v>
      </c>
      <c r="M278">
        <f t="shared" si="8"/>
        <v>0</v>
      </c>
    </row>
    <row r="279">
      <c r="A279">
        <f>往来单位!$B$280&amp;""</f>
      </c>
      <c r="B279">
        <f>往来单位!$C$280&amp;""</f>
      </c>
      <c r="C279">
        <f t="shared" si="0"/>
        <v>0</v>
      </c>
      <c r="D279">
        <f t="shared" si="1"/>
        <v>0</v>
      </c>
      <c r="E279">
        <f>IF(OR($A279="",NOT(OR($B279="管理人员",$B279="工人"))),0,ROUND(N(往来单位!$M$280)+J279-K279-L279+M279,2))</f>
        <v>0</v>
      </c>
      <c r="F279">
        <f>IF(OR($A279="",NOT(OR($B279="管理人员",$B279="工人"))),0,ROUND(N(往来单位!$M$280)+SUMIFS(考勤工资!$W$5:$W$1004,考勤工资!$C$5:$C$1004,$A279,考勤工资!$Y$5:$Y$1004,"&gt;="&amp;_辅助!$J$4,考勤工资!$Y$5:$Y$1004,"&lt;="&amp;_辅助!$J$5)-(-SUMIFS(资金流水!$R$6:$R$2005,资金流水!$J$6:$J$2005,$A279,资金流水!$X$6:$X$2005,"应付职工薪酬",资金流水!$R$6:$R$2005,"&lt;0",资金流水!$S$6:$S$2005,"&gt;="&amp;_辅助!$J$4,资金流水!$S$6:$S$2005,"&lt;="&amp;_辅助!$J$5))-SUMIFS(代发抵账!$F$5:$F$304,代发抵账!$E$5:$E$304,$A279,代发抵账!$D$5:$D$304,"总包代发工资",代发抵账!$H$5:$H$304,"&gt;="&amp;_辅助!$J$4,代发抵账!$H$5:$H$304,"&lt;="&amp;_辅助!$J$5)+SUMIFS(资金流水!$R$6:$R$2005,资金流水!$J$6:$J$2005,$A279,资金流水!$X$6:$X$2005,"应付职工薪酬",资金流水!$R$6:$R$2005,"&gt;0",资金流水!$S$6:$S$2005,"&gt;="&amp;_辅助!$J$4,资金流水!$S$6:$S$2005,"&lt;="&amp;_辅助!$J$5),2))</f>
        <v>0</v>
      </c>
      <c r="G279">
        <f t="shared" si="2"/>
        <v>0</v>
      </c>
      <c r="H279">
        <f t="shared" si="3"/>
        <v>0</v>
      </c>
      <c r="I279">
        <f t="shared" si="4"/>
        <v>0</v>
      </c>
      <c r="J279">
        <f t="shared" si="5"/>
        <v>0</v>
      </c>
      <c r="K279">
        <f t="shared" si="6"/>
        <v>0</v>
      </c>
      <c r="L279">
        <f t="shared" si="7"/>
        <v>0</v>
      </c>
      <c r="M279">
        <f t="shared" si="8"/>
        <v>0</v>
      </c>
    </row>
    <row r="280">
      <c r="A280">
        <f>往来单位!$B$281&amp;""</f>
      </c>
      <c r="B280">
        <f>往来单位!$C$281&amp;""</f>
      </c>
      <c r="C280">
        <f t="shared" si="0"/>
        <v>0</v>
      </c>
      <c r="D280">
        <f t="shared" si="1"/>
        <v>0</v>
      </c>
      <c r="E280">
        <f>IF(OR($A280="",NOT(OR($B280="管理人员",$B280="工人"))),0,ROUND(N(往来单位!$M$281)+J280-K280-L280+M280,2))</f>
        <v>0</v>
      </c>
      <c r="F280">
        <f>IF(OR($A280="",NOT(OR($B280="管理人员",$B280="工人"))),0,ROUND(N(往来单位!$M$281)+SUMIFS(考勤工资!$W$5:$W$1004,考勤工资!$C$5:$C$1004,$A280,考勤工资!$Y$5:$Y$1004,"&gt;="&amp;_辅助!$J$4,考勤工资!$Y$5:$Y$1004,"&lt;="&amp;_辅助!$J$5)-(-SUMIFS(资金流水!$R$6:$R$2005,资金流水!$J$6:$J$2005,$A280,资金流水!$X$6:$X$2005,"应付职工薪酬",资金流水!$R$6:$R$2005,"&lt;0",资金流水!$S$6:$S$2005,"&gt;="&amp;_辅助!$J$4,资金流水!$S$6:$S$2005,"&lt;="&amp;_辅助!$J$5))-SUMIFS(代发抵账!$F$5:$F$304,代发抵账!$E$5:$E$304,$A280,代发抵账!$D$5:$D$304,"总包代发工资",代发抵账!$H$5:$H$304,"&gt;="&amp;_辅助!$J$4,代发抵账!$H$5:$H$304,"&lt;="&amp;_辅助!$J$5)+SUMIFS(资金流水!$R$6:$R$2005,资金流水!$J$6:$J$2005,$A280,资金流水!$X$6:$X$2005,"应付职工薪酬",资金流水!$R$6:$R$2005,"&gt;0",资金流水!$S$6:$S$2005,"&gt;="&amp;_辅助!$J$4,资金流水!$S$6:$S$2005,"&lt;="&amp;_辅助!$J$5),2))</f>
        <v>0</v>
      </c>
      <c r="G280">
        <f t="shared" si="2"/>
        <v>0</v>
      </c>
      <c r="H280">
        <f t="shared" si="3"/>
        <v>0</v>
      </c>
      <c r="I280">
        <f t="shared" si="4"/>
        <v>0</v>
      </c>
      <c r="J280">
        <f t="shared" si="5"/>
        <v>0</v>
      </c>
      <c r="K280">
        <f t="shared" si="6"/>
        <v>0</v>
      </c>
      <c r="L280">
        <f t="shared" si="7"/>
        <v>0</v>
      </c>
      <c r="M280">
        <f t="shared" si="8"/>
        <v>0</v>
      </c>
    </row>
    <row r="281">
      <c r="A281">
        <f>往来单位!$B$282&amp;""</f>
      </c>
      <c r="B281">
        <f>往来单位!$C$282&amp;""</f>
      </c>
      <c r="C281">
        <f t="shared" si="0"/>
        <v>0</v>
      </c>
      <c r="D281">
        <f t="shared" si="1"/>
        <v>0</v>
      </c>
      <c r="E281">
        <f>IF(OR($A281="",NOT(OR($B281="管理人员",$B281="工人"))),0,ROUND(N(往来单位!$M$282)+J281-K281-L281+M281,2))</f>
        <v>0</v>
      </c>
      <c r="F281">
        <f>IF(OR($A281="",NOT(OR($B281="管理人员",$B281="工人"))),0,ROUND(N(往来单位!$M$282)+SUMIFS(考勤工资!$W$5:$W$1004,考勤工资!$C$5:$C$1004,$A281,考勤工资!$Y$5:$Y$1004,"&gt;="&amp;_辅助!$J$4,考勤工资!$Y$5:$Y$1004,"&lt;="&amp;_辅助!$J$5)-(-SUMIFS(资金流水!$R$6:$R$2005,资金流水!$J$6:$J$2005,$A281,资金流水!$X$6:$X$2005,"应付职工薪酬",资金流水!$R$6:$R$2005,"&lt;0",资金流水!$S$6:$S$2005,"&gt;="&amp;_辅助!$J$4,资金流水!$S$6:$S$2005,"&lt;="&amp;_辅助!$J$5))-SUMIFS(代发抵账!$F$5:$F$304,代发抵账!$E$5:$E$304,$A281,代发抵账!$D$5:$D$304,"总包代发工资",代发抵账!$H$5:$H$304,"&gt;="&amp;_辅助!$J$4,代发抵账!$H$5:$H$304,"&lt;="&amp;_辅助!$J$5)+SUMIFS(资金流水!$R$6:$R$2005,资金流水!$J$6:$J$2005,$A281,资金流水!$X$6:$X$2005,"应付职工薪酬",资金流水!$R$6:$R$2005,"&gt;0",资金流水!$S$6:$S$2005,"&gt;="&amp;_辅助!$J$4,资金流水!$S$6:$S$2005,"&lt;="&amp;_辅助!$J$5),2))</f>
        <v>0</v>
      </c>
      <c r="G281">
        <f t="shared" si="2"/>
        <v>0</v>
      </c>
      <c r="H281">
        <f t="shared" si="3"/>
        <v>0</v>
      </c>
      <c r="I281">
        <f t="shared" si="4"/>
        <v>0</v>
      </c>
      <c r="J281">
        <f t="shared" si="5"/>
        <v>0</v>
      </c>
      <c r="K281">
        <f t="shared" si="6"/>
        <v>0</v>
      </c>
      <c r="L281">
        <f t="shared" si="7"/>
        <v>0</v>
      </c>
      <c r="M281">
        <f t="shared" si="8"/>
        <v>0</v>
      </c>
    </row>
    <row r="282">
      <c r="A282">
        <f>往来单位!$B$283&amp;""</f>
      </c>
      <c r="B282">
        <f>往来单位!$C$283&amp;""</f>
      </c>
      <c r="C282">
        <f t="shared" si="0"/>
        <v>0</v>
      </c>
      <c r="D282">
        <f t="shared" si="1"/>
        <v>0</v>
      </c>
      <c r="E282">
        <f>IF(OR($A282="",NOT(OR($B282="管理人员",$B282="工人"))),0,ROUND(N(往来单位!$M$283)+J282-K282-L282+M282,2))</f>
        <v>0</v>
      </c>
      <c r="F282">
        <f>IF(OR($A282="",NOT(OR($B282="管理人员",$B282="工人"))),0,ROUND(N(往来单位!$M$283)+SUMIFS(考勤工资!$W$5:$W$1004,考勤工资!$C$5:$C$1004,$A282,考勤工资!$Y$5:$Y$1004,"&gt;="&amp;_辅助!$J$4,考勤工资!$Y$5:$Y$1004,"&lt;="&amp;_辅助!$J$5)-(-SUMIFS(资金流水!$R$6:$R$2005,资金流水!$J$6:$J$2005,$A282,资金流水!$X$6:$X$2005,"应付职工薪酬",资金流水!$R$6:$R$2005,"&lt;0",资金流水!$S$6:$S$2005,"&gt;="&amp;_辅助!$J$4,资金流水!$S$6:$S$2005,"&lt;="&amp;_辅助!$J$5))-SUMIFS(代发抵账!$F$5:$F$304,代发抵账!$E$5:$E$304,$A282,代发抵账!$D$5:$D$304,"总包代发工资",代发抵账!$H$5:$H$304,"&gt;="&amp;_辅助!$J$4,代发抵账!$H$5:$H$304,"&lt;="&amp;_辅助!$J$5)+SUMIFS(资金流水!$R$6:$R$2005,资金流水!$J$6:$J$2005,$A282,资金流水!$X$6:$X$2005,"应付职工薪酬",资金流水!$R$6:$R$2005,"&gt;0",资金流水!$S$6:$S$2005,"&gt;="&amp;_辅助!$J$4,资金流水!$S$6:$S$2005,"&lt;="&amp;_辅助!$J$5),2))</f>
        <v>0</v>
      </c>
      <c r="G282">
        <f t="shared" si="2"/>
        <v>0</v>
      </c>
      <c r="H282">
        <f t="shared" si="3"/>
        <v>0</v>
      </c>
      <c r="I282">
        <f t="shared" si="4"/>
        <v>0</v>
      </c>
      <c r="J282">
        <f t="shared" si="5"/>
        <v>0</v>
      </c>
      <c r="K282">
        <f t="shared" si="6"/>
        <v>0</v>
      </c>
      <c r="L282">
        <f t="shared" si="7"/>
        <v>0</v>
      </c>
      <c r="M282">
        <f t="shared" si="8"/>
        <v>0</v>
      </c>
    </row>
    <row r="283">
      <c r="A283">
        <f>往来单位!$B$284&amp;""</f>
      </c>
      <c r="B283">
        <f>往来单位!$C$284&amp;""</f>
      </c>
      <c r="C283">
        <f t="shared" si="0"/>
        <v>0</v>
      </c>
      <c r="D283">
        <f t="shared" si="1"/>
        <v>0</v>
      </c>
      <c r="E283">
        <f>IF(OR($A283="",NOT(OR($B283="管理人员",$B283="工人"))),0,ROUND(N(往来单位!$M$284)+J283-K283-L283+M283,2))</f>
        <v>0</v>
      </c>
      <c r="F283">
        <f>IF(OR($A283="",NOT(OR($B283="管理人员",$B283="工人"))),0,ROUND(N(往来单位!$M$284)+SUMIFS(考勤工资!$W$5:$W$1004,考勤工资!$C$5:$C$1004,$A283,考勤工资!$Y$5:$Y$1004,"&gt;="&amp;_辅助!$J$4,考勤工资!$Y$5:$Y$1004,"&lt;="&amp;_辅助!$J$5)-(-SUMIFS(资金流水!$R$6:$R$2005,资金流水!$J$6:$J$2005,$A283,资金流水!$X$6:$X$2005,"应付职工薪酬",资金流水!$R$6:$R$2005,"&lt;0",资金流水!$S$6:$S$2005,"&gt;="&amp;_辅助!$J$4,资金流水!$S$6:$S$2005,"&lt;="&amp;_辅助!$J$5))-SUMIFS(代发抵账!$F$5:$F$304,代发抵账!$E$5:$E$304,$A283,代发抵账!$D$5:$D$304,"总包代发工资",代发抵账!$H$5:$H$304,"&gt;="&amp;_辅助!$J$4,代发抵账!$H$5:$H$304,"&lt;="&amp;_辅助!$J$5)+SUMIFS(资金流水!$R$6:$R$2005,资金流水!$J$6:$J$2005,$A283,资金流水!$X$6:$X$2005,"应付职工薪酬",资金流水!$R$6:$R$2005,"&gt;0",资金流水!$S$6:$S$2005,"&gt;="&amp;_辅助!$J$4,资金流水!$S$6:$S$2005,"&lt;="&amp;_辅助!$J$5),2))</f>
        <v>0</v>
      </c>
      <c r="G283">
        <f t="shared" si="2"/>
        <v>0</v>
      </c>
      <c r="H283">
        <f t="shared" si="3"/>
        <v>0</v>
      </c>
      <c r="I283">
        <f t="shared" si="4"/>
        <v>0</v>
      </c>
      <c r="J283">
        <f t="shared" si="5"/>
        <v>0</v>
      </c>
      <c r="K283">
        <f t="shared" si="6"/>
        <v>0</v>
      </c>
      <c r="L283">
        <f t="shared" si="7"/>
        <v>0</v>
      </c>
      <c r="M283">
        <f t="shared" si="8"/>
        <v>0</v>
      </c>
    </row>
    <row r="284">
      <c r="A284">
        <f>往来单位!$B$285&amp;""</f>
      </c>
      <c r="B284">
        <f>往来单位!$C$285&amp;""</f>
      </c>
      <c r="C284">
        <f t="shared" si="0"/>
        <v>0</v>
      </c>
      <c r="D284">
        <f t="shared" si="1"/>
        <v>0</v>
      </c>
      <c r="E284">
        <f>IF(OR($A284="",NOT(OR($B284="管理人员",$B284="工人"))),0,ROUND(N(往来单位!$M$285)+J284-K284-L284+M284,2))</f>
        <v>0</v>
      </c>
      <c r="F284">
        <f>IF(OR($A284="",NOT(OR($B284="管理人员",$B284="工人"))),0,ROUND(N(往来单位!$M$285)+SUMIFS(考勤工资!$W$5:$W$1004,考勤工资!$C$5:$C$1004,$A284,考勤工资!$Y$5:$Y$1004,"&gt;="&amp;_辅助!$J$4,考勤工资!$Y$5:$Y$1004,"&lt;="&amp;_辅助!$J$5)-(-SUMIFS(资金流水!$R$6:$R$2005,资金流水!$J$6:$J$2005,$A284,资金流水!$X$6:$X$2005,"应付职工薪酬",资金流水!$R$6:$R$2005,"&lt;0",资金流水!$S$6:$S$2005,"&gt;="&amp;_辅助!$J$4,资金流水!$S$6:$S$2005,"&lt;="&amp;_辅助!$J$5))-SUMIFS(代发抵账!$F$5:$F$304,代发抵账!$E$5:$E$304,$A284,代发抵账!$D$5:$D$304,"总包代发工资",代发抵账!$H$5:$H$304,"&gt;="&amp;_辅助!$J$4,代发抵账!$H$5:$H$304,"&lt;="&amp;_辅助!$J$5)+SUMIFS(资金流水!$R$6:$R$2005,资金流水!$J$6:$J$2005,$A284,资金流水!$X$6:$X$2005,"应付职工薪酬",资金流水!$R$6:$R$2005,"&gt;0",资金流水!$S$6:$S$2005,"&gt;="&amp;_辅助!$J$4,资金流水!$S$6:$S$2005,"&lt;="&amp;_辅助!$J$5),2))</f>
        <v>0</v>
      </c>
      <c r="G284">
        <f t="shared" si="2"/>
        <v>0</v>
      </c>
      <c r="H284">
        <f t="shared" si="3"/>
        <v>0</v>
      </c>
      <c r="I284">
        <f t="shared" si="4"/>
        <v>0</v>
      </c>
      <c r="J284">
        <f t="shared" si="5"/>
        <v>0</v>
      </c>
      <c r="K284">
        <f t="shared" si="6"/>
        <v>0</v>
      </c>
      <c r="L284">
        <f t="shared" si="7"/>
        <v>0</v>
      </c>
      <c r="M284">
        <f t="shared" si="8"/>
        <v>0</v>
      </c>
    </row>
    <row r="285">
      <c r="A285">
        <f>往来单位!$B$286&amp;""</f>
      </c>
      <c r="B285">
        <f>往来单位!$C$286&amp;""</f>
      </c>
      <c r="C285">
        <f t="shared" si="0"/>
        <v>0</v>
      </c>
      <c r="D285">
        <f t="shared" si="1"/>
        <v>0</v>
      </c>
      <c r="E285">
        <f>IF(OR($A285="",NOT(OR($B285="管理人员",$B285="工人"))),0,ROUND(N(往来单位!$M$286)+J285-K285-L285+M285,2))</f>
        <v>0</v>
      </c>
      <c r="F285">
        <f>IF(OR($A285="",NOT(OR($B285="管理人员",$B285="工人"))),0,ROUND(N(往来单位!$M$286)+SUMIFS(考勤工资!$W$5:$W$1004,考勤工资!$C$5:$C$1004,$A285,考勤工资!$Y$5:$Y$1004,"&gt;="&amp;_辅助!$J$4,考勤工资!$Y$5:$Y$1004,"&lt;="&amp;_辅助!$J$5)-(-SUMIFS(资金流水!$R$6:$R$2005,资金流水!$J$6:$J$2005,$A285,资金流水!$X$6:$X$2005,"应付职工薪酬",资金流水!$R$6:$R$2005,"&lt;0",资金流水!$S$6:$S$2005,"&gt;="&amp;_辅助!$J$4,资金流水!$S$6:$S$2005,"&lt;="&amp;_辅助!$J$5))-SUMIFS(代发抵账!$F$5:$F$304,代发抵账!$E$5:$E$304,$A285,代发抵账!$D$5:$D$304,"总包代发工资",代发抵账!$H$5:$H$304,"&gt;="&amp;_辅助!$J$4,代发抵账!$H$5:$H$304,"&lt;="&amp;_辅助!$J$5)+SUMIFS(资金流水!$R$6:$R$2005,资金流水!$J$6:$J$2005,$A285,资金流水!$X$6:$X$2005,"应付职工薪酬",资金流水!$R$6:$R$2005,"&gt;0",资金流水!$S$6:$S$2005,"&gt;="&amp;_辅助!$J$4,资金流水!$S$6:$S$2005,"&lt;="&amp;_辅助!$J$5),2))</f>
        <v>0</v>
      </c>
      <c r="G285">
        <f t="shared" si="2"/>
        <v>0</v>
      </c>
      <c r="H285">
        <f t="shared" si="3"/>
        <v>0</v>
      </c>
      <c r="I285">
        <f t="shared" si="4"/>
        <v>0</v>
      </c>
      <c r="J285">
        <f t="shared" si="5"/>
        <v>0</v>
      </c>
      <c r="K285">
        <f t="shared" si="6"/>
        <v>0</v>
      </c>
      <c r="L285">
        <f t="shared" si="7"/>
        <v>0</v>
      </c>
      <c r="M285">
        <f t="shared" si="8"/>
        <v>0</v>
      </c>
    </row>
    <row r="286">
      <c r="A286">
        <f>往来单位!$B$287&amp;""</f>
      </c>
      <c r="B286">
        <f>往来单位!$C$287&amp;""</f>
      </c>
      <c r="C286">
        <f t="shared" si="0"/>
        <v>0</v>
      </c>
      <c r="D286">
        <f t="shared" si="1"/>
        <v>0</v>
      </c>
      <c r="E286">
        <f>IF(OR($A286="",NOT(OR($B286="管理人员",$B286="工人"))),0,ROUND(N(往来单位!$M$287)+J286-K286-L286+M286,2))</f>
        <v>0</v>
      </c>
      <c r="F286">
        <f>IF(OR($A286="",NOT(OR($B286="管理人员",$B286="工人"))),0,ROUND(N(往来单位!$M$287)+SUMIFS(考勤工资!$W$5:$W$1004,考勤工资!$C$5:$C$1004,$A286,考勤工资!$Y$5:$Y$1004,"&gt;="&amp;_辅助!$J$4,考勤工资!$Y$5:$Y$1004,"&lt;="&amp;_辅助!$J$5)-(-SUMIFS(资金流水!$R$6:$R$2005,资金流水!$J$6:$J$2005,$A286,资金流水!$X$6:$X$2005,"应付职工薪酬",资金流水!$R$6:$R$2005,"&lt;0",资金流水!$S$6:$S$2005,"&gt;="&amp;_辅助!$J$4,资金流水!$S$6:$S$2005,"&lt;="&amp;_辅助!$J$5))-SUMIFS(代发抵账!$F$5:$F$304,代发抵账!$E$5:$E$304,$A286,代发抵账!$D$5:$D$304,"总包代发工资",代发抵账!$H$5:$H$304,"&gt;="&amp;_辅助!$J$4,代发抵账!$H$5:$H$304,"&lt;="&amp;_辅助!$J$5)+SUMIFS(资金流水!$R$6:$R$2005,资金流水!$J$6:$J$2005,$A286,资金流水!$X$6:$X$2005,"应付职工薪酬",资金流水!$R$6:$R$2005,"&gt;0",资金流水!$S$6:$S$2005,"&gt;="&amp;_辅助!$J$4,资金流水!$S$6:$S$2005,"&lt;="&amp;_辅助!$J$5),2))</f>
        <v>0</v>
      </c>
      <c r="G286">
        <f t="shared" si="2"/>
        <v>0</v>
      </c>
      <c r="H286">
        <f t="shared" si="3"/>
        <v>0</v>
      </c>
      <c r="I286">
        <f t="shared" si="4"/>
        <v>0</v>
      </c>
      <c r="J286">
        <f t="shared" si="5"/>
        <v>0</v>
      </c>
      <c r="K286">
        <f t="shared" si="6"/>
        <v>0</v>
      </c>
      <c r="L286">
        <f t="shared" si="7"/>
        <v>0</v>
      </c>
      <c r="M286">
        <f t="shared" si="8"/>
        <v>0</v>
      </c>
    </row>
    <row r="287">
      <c r="A287">
        <f>往来单位!$B$288&amp;""</f>
      </c>
      <c r="B287">
        <f>往来单位!$C$288&amp;""</f>
      </c>
      <c r="C287">
        <f t="shared" si="0"/>
        <v>0</v>
      </c>
      <c r="D287">
        <f t="shared" si="1"/>
        <v>0</v>
      </c>
      <c r="E287">
        <f>IF(OR($A287="",NOT(OR($B287="管理人员",$B287="工人"))),0,ROUND(N(往来单位!$M$288)+J287-K287-L287+M287,2))</f>
        <v>0</v>
      </c>
      <c r="F287">
        <f>IF(OR($A287="",NOT(OR($B287="管理人员",$B287="工人"))),0,ROUND(N(往来单位!$M$288)+SUMIFS(考勤工资!$W$5:$W$1004,考勤工资!$C$5:$C$1004,$A287,考勤工资!$Y$5:$Y$1004,"&gt;="&amp;_辅助!$J$4,考勤工资!$Y$5:$Y$1004,"&lt;="&amp;_辅助!$J$5)-(-SUMIFS(资金流水!$R$6:$R$2005,资金流水!$J$6:$J$2005,$A287,资金流水!$X$6:$X$2005,"应付职工薪酬",资金流水!$R$6:$R$2005,"&lt;0",资金流水!$S$6:$S$2005,"&gt;="&amp;_辅助!$J$4,资金流水!$S$6:$S$2005,"&lt;="&amp;_辅助!$J$5))-SUMIFS(代发抵账!$F$5:$F$304,代发抵账!$E$5:$E$304,$A287,代发抵账!$D$5:$D$304,"总包代发工资",代发抵账!$H$5:$H$304,"&gt;="&amp;_辅助!$J$4,代发抵账!$H$5:$H$304,"&lt;="&amp;_辅助!$J$5)+SUMIFS(资金流水!$R$6:$R$2005,资金流水!$J$6:$J$2005,$A287,资金流水!$X$6:$X$2005,"应付职工薪酬",资金流水!$R$6:$R$2005,"&gt;0",资金流水!$S$6:$S$2005,"&gt;="&amp;_辅助!$J$4,资金流水!$S$6:$S$2005,"&lt;="&amp;_辅助!$J$5),2))</f>
        <v>0</v>
      </c>
      <c r="G287">
        <f t="shared" si="2"/>
        <v>0</v>
      </c>
      <c r="H287">
        <f t="shared" si="3"/>
        <v>0</v>
      </c>
      <c r="I287">
        <f t="shared" si="4"/>
        <v>0</v>
      </c>
      <c r="J287">
        <f t="shared" si="5"/>
        <v>0</v>
      </c>
      <c r="K287">
        <f t="shared" si="6"/>
        <v>0</v>
      </c>
      <c r="L287">
        <f t="shared" si="7"/>
        <v>0</v>
      </c>
      <c r="M287">
        <f t="shared" si="8"/>
        <v>0</v>
      </c>
    </row>
    <row r="288">
      <c r="A288">
        <f>往来单位!$B$289&amp;""</f>
      </c>
      <c r="B288">
        <f>往来单位!$C$289&amp;""</f>
      </c>
      <c r="C288">
        <f t="shared" si="0"/>
        <v>0</v>
      </c>
      <c r="D288">
        <f t="shared" si="1"/>
        <v>0</v>
      </c>
      <c r="E288">
        <f>IF(OR($A288="",NOT(OR($B288="管理人员",$B288="工人"))),0,ROUND(N(往来单位!$M$289)+J288-K288-L288+M288,2))</f>
        <v>0</v>
      </c>
      <c r="F288">
        <f>IF(OR($A288="",NOT(OR($B288="管理人员",$B288="工人"))),0,ROUND(N(往来单位!$M$289)+SUMIFS(考勤工资!$W$5:$W$1004,考勤工资!$C$5:$C$1004,$A288,考勤工资!$Y$5:$Y$1004,"&gt;="&amp;_辅助!$J$4,考勤工资!$Y$5:$Y$1004,"&lt;="&amp;_辅助!$J$5)-(-SUMIFS(资金流水!$R$6:$R$2005,资金流水!$J$6:$J$2005,$A288,资金流水!$X$6:$X$2005,"应付职工薪酬",资金流水!$R$6:$R$2005,"&lt;0",资金流水!$S$6:$S$2005,"&gt;="&amp;_辅助!$J$4,资金流水!$S$6:$S$2005,"&lt;="&amp;_辅助!$J$5))-SUMIFS(代发抵账!$F$5:$F$304,代发抵账!$E$5:$E$304,$A288,代发抵账!$D$5:$D$304,"总包代发工资",代发抵账!$H$5:$H$304,"&gt;="&amp;_辅助!$J$4,代发抵账!$H$5:$H$304,"&lt;="&amp;_辅助!$J$5)+SUMIFS(资金流水!$R$6:$R$2005,资金流水!$J$6:$J$2005,$A288,资金流水!$X$6:$X$2005,"应付职工薪酬",资金流水!$R$6:$R$2005,"&gt;0",资金流水!$S$6:$S$2005,"&gt;="&amp;_辅助!$J$4,资金流水!$S$6:$S$2005,"&lt;="&amp;_辅助!$J$5),2))</f>
        <v>0</v>
      </c>
      <c r="G288">
        <f t="shared" si="2"/>
        <v>0</v>
      </c>
      <c r="H288">
        <f t="shared" si="3"/>
        <v>0</v>
      </c>
      <c r="I288">
        <f t="shared" si="4"/>
        <v>0</v>
      </c>
      <c r="J288">
        <f t="shared" si="5"/>
        <v>0</v>
      </c>
      <c r="K288">
        <f t="shared" si="6"/>
        <v>0</v>
      </c>
      <c r="L288">
        <f t="shared" si="7"/>
        <v>0</v>
      </c>
      <c r="M288">
        <f t="shared" si="8"/>
        <v>0</v>
      </c>
    </row>
    <row r="289">
      <c r="A289">
        <f>往来单位!$B$290&amp;""</f>
      </c>
      <c r="B289">
        <f>往来单位!$C$290&amp;""</f>
      </c>
      <c r="C289">
        <f t="shared" si="0"/>
        <v>0</v>
      </c>
      <c r="D289">
        <f t="shared" si="1"/>
        <v>0</v>
      </c>
      <c r="E289">
        <f>IF(OR($A289="",NOT(OR($B289="管理人员",$B289="工人"))),0,ROUND(N(往来单位!$M$290)+J289-K289-L289+M289,2))</f>
        <v>0</v>
      </c>
      <c r="F289">
        <f>IF(OR($A289="",NOT(OR($B289="管理人员",$B289="工人"))),0,ROUND(N(往来单位!$M$290)+SUMIFS(考勤工资!$W$5:$W$1004,考勤工资!$C$5:$C$1004,$A289,考勤工资!$Y$5:$Y$1004,"&gt;="&amp;_辅助!$J$4,考勤工资!$Y$5:$Y$1004,"&lt;="&amp;_辅助!$J$5)-(-SUMIFS(资金流水!$R$6:$R$2005,资金流水!$J$6:$J$2005,$A289,资金流水!$X$6:$X$2005,"应付职工薪酬",资金流水!$R$6:$R$2005,"&lt;0",资金流水!$S$6:$S$2005,"&gt;="&amp;_辅助!$J$4,资金流水!$S$6:$S$2005,"&lt;="&amp;_辅助!$J$5))-SUMIFS(代发抵账!$F$5:$F$304,代发抵账!$E$5:$E$304,$A289,代发抵账!$D$5:$D$304,"总包代发工资",代发抵账!$H$5:$H$304,"&gt;="&amp;_辅助!$J$4,代发抵账!$H$5:$H$304,"&lt;="&amp;_辅助!$J$5)+SUMIFS(资金流水!$R$6:$R$2005,资金流水!$J$6:$J$2005,$A289,资金流水!$X$6:$X$2005,"应付职工薪酬",资金流水!$R$6:$R$2005,"&gt;0",资金流水!$S$6:$S$2005,"&gt;="&amp;_辅助!$J$4,资金流水!$S$6:$S$2005,"&lt;="&amp;_辅助!$J$5),2))</f>
        <v>0</v>
      </c>
      <c r="G289">
        <f t="shared" si="2"/>
        <v>0</v>
      </c>
      <c r="H289">
        <f t="shared" si="3"/>
        <v>0</v>
      </c>
      <c r="I289">
        <f t="shared" si="4"/>
        <v>0</v>
      </c>
      <c r="J289">
        <f t="shared" si="5"/>
        <v>0</v>
      </c>
      <c r="K289">
        <f t="shared" si="6"/>
        <v>0</v>
      </c>
      <c r="L289">
        <f t="shared" si="7"/>
        <v>0</v>
      </c>
      <c r="M289">
        <f t="shared" si="8"/>
        <v>0</v>
      </c>
    </row>
    <row r="290">
      <c r="A290">
        <f>往来单位!$B$291&amp;""</f>
      </c>
      <c r="B290">
        <f>往来单位!$C$291&amp;""</f>
      </c>
      <c r="C290">
        <f t="shared" si="0"/>
        <v>0</v>
      </c>
      <c r="D290">
        <f t="shared" si="1"/>
        <v>0</v>
      </c>
      <c r="E290">
        <f>IF(OR($A290="",NOT(OR($B290="管理人员",$B290="工人"))),0,ROUND(N(往来单位!$M$291)+J290-K290-L290+M290,2))</f>
        <v>0</v>
      </c>
      <c r="F290">
        <f>IF(OR($A290="",NOT(OR($B290="管理人员",$B290="工人"))),0,ROUND(N(往来单位!$M$291)+SUMIFS(考勤工资!$W$5:$W$1004,考勤工资!$C$5:$C$1004,$A290,考勤工资!$Y$5:$Y$1004,"&gt;="&amp;_辅助!$J$4,考勤工资!$Y$5:$Y$1004,"&lt;="&amp;_辅助!$J$5)-(-SUMIFS(资金流水!$R$6:$R$2005,资金流水!$J$6:$J$2005,$A290,资金流水!$X$6:$X$2005,"应付职工薪酬",资金流水!$R$6:$R$2005,"&lt;0",资金流水!$S$6:$S$2005,"&gt;="&amp;_辅助!$J$4,资金流水!$S$6:$S$2005,"&lt;="&amp;_辅助!$J$5))-SUMIFS(代发抵账!$F$5:$F$304,代发抵账!$E$5:$E$304,$A290,代发抵账!$D$5:$D$304,"总包代发工资",代发抵账!$H$5:$H$304,"&gt;="&amp;_辅助!$J$4,代发抵账!$H$5:$H$304,"&lt;="&amp;_辅助!$J$5)+SUMIFS(资金流水!$R$6:$R$2005,资金流水!$J$6:$J$2005,$A290,资金流水!$X$6:$X$2005,"应付职工薪酬",资金流水!$R$6:$R$2005,"&gt;0",资金流水!$S$6:$S$2005,"&gt;="&amp;_辅助!$J$4,资金流水!$S$6:$S$2005,"&lt;="&amp;_辅助!$J$5),2))</f>
        <v>0</v>
      </c>
      <c r="G290">
        <f t="shared" si="2"/>
        <v>0</v>
      </c>
      <c r="H290">
        <f t="shared" si="3"/>
        <v>0</v>
      </c>
      <c r="I290">
        <f t="shared" si="4"/>
        <v>0</v>
      </c>
      <c r="J290">
        <f t="shared" si="5"/>
        <v>0</v>
      </c>
      <c r="K290">
        <f t="shared" si="6"/>
        <v>0</v>
      </c>
      <c r="L290">
        <f t="shared" si="7"/>
        <v>0</v>
      </c>
      <c r="M290">
        <f t="shared" si="8"/>
        <v>0</v>
      </c>
    </row>
    <row r="291">
      <c r="A291">
        <f>往来单位!$B$292&amp;""</f>
      </c>
      <c r="B291">
        <f>往来单位!$C$292&amp;""</f>
      </c>
      <c r="C291">
        <f t="shared" si="0"/>
        <v>0</v>
      </c>
      <c r="D291">
        <f t="shared" si="1"/>
        <v>0</v>
      </c>
      <c r="E291">
        <f>IF(OR($A291="",NOT(OR($B291="管理人员",$B291="工人"))),0,ROUND(N(往来单位!$M$292)+J291-K291-L291+M291,2))</f>
        <v>0</v>
      </c>
      <c r="F291">
        <f>IF(OR($A291="",NOT(OR($B291="管理人员",$B291="工人"))),0,ROUND(N(往来单位!$M$292)+SUMIFS(考勤工资!$W$5:$W$1004,考勤工资!$C$5:$C$1004,$A291,考勤工资!$Y$5:$Y$1004,"&gt;="&amp;_辅助!$J$4,考勤工资!$Y$5:$Y$1004,"&lt;="&amp;_辅助!$J$5)-(-SUMIFS(资金流水!$R$6:$R$2005,资金流水!$J$6:$J$2005,$A291,资金流水!$X$6:$X$2005,"应付职工薪酬",资金流水!$R$6:$R$2005,"&lt;0",资金流水!$S$6:$S$2005,"&gt;="&amp;_辅助!$J$4,资金流水!$S$6:$S$2005,"&lt;="&amp;_辅助!$J$5))-SUMIFS(代发抵账!$F$5:$F$304,代发抵账!$E$5:$E$304,$A291,代发抵账!$D$5:$D$304,"总包代发工资",代发抵账!$H$5:$H$304,"&gt;="&amp;_辅助!$J$4,代发抵账!$H$5:$H$304,"&lt;="&amp;_辅助!$J$5)+SUMIFS(资金流水!$R$6:$R$2005,资金流水!$J$6:$J$2005,$A291,资金流水!$X$6:$X$2005,"应付职工薪酬",资金流水!$R$6:$R$2005,"&gt;0",资金流水!$S$6:$S$2005,"&gt;="&amp;_辅助!$J$4,资金流水!$S$6:$S$2005,"&lt;="&amp;_辅助!$J$5),2))</f>
        <v>0</v>
      </c>
      <c r="G291">
        <f t="shared" si="2"/>
        <v>0</v>
      </c>
      <c r="H291">
        <f t="shared" si="3"/>
        <v>0</v>
      </c>
      <c r="I291">
        <f t="shared" si="4"/>
        <v>0</v>
      </c>
      <c r="J291">
        <f t="shared" si="5"/>
        <v>0</v>
      </c>
      <c r="K291">
        <f t="shared" si="6"/>
        <v>0</v>
      </c>
      <c r="L291">
        <f t="shared" si="7"/>
        <v>0</v>
      </c>
      <c r="M291">
        <f t="shared" si="8"/>
        <v>0</v>
      </c>
    </row>
    <row r="292">
      <c r="A292">
        <f>往来单位!$B$293&amp;""</f>
      </c>
      <c r="B292">
        <f>往来单位!$C$293&amp;""</f>
      </c>
      <c r="C292">
        <f t="shared" si="0"/>
        <v>0</v>
      </c>
      <c r="D292">
        <f t="shared" si="1"/>
        <v>0</v>
      </c>
      <c r="E292">
        <f>IF(OR($A292="",NOT(OR($B292="管理人员",$B292="工人"))),0,ROUND(N(往来单位!$M$293)+J292-K292-L292+M292,2))</f>
        <v>0</v>
      </c>
      <c r="F292">
        <f>IF(OR($A292="",NOT(OR($B292="管理人员",$B292="工人"))),0,ROUND(N(往来单位!$M$293)+SUMIFS(考勤工资!$W$5:$W$1004,考勤工资!$C$5:$C$1004,$A292,考勤工资!$Y$5:$Y$1004,"&gt;="&amp;_辅助!$J$4,考勤工资!$Y$5:$Y$1004,"&lt;="&amp;_辅助!$J$5)-(-SUMIFS(资金流水!$R$6:$R$2005,资金流水!$J$6:$J$2005,$A292,资金流水!$X$6:$X$2005,"应付职工薪酬",资金流水!$R$6:$R$2005,"&lt;0",资金流水!$S$6:$S$2005,"&gt;="&amp;_辅助!$J$4,资金流水!$S$6:$S$2005,"&lt;="&amp;_辅助!$J$5))-SUMIFS(代发抵账!$F$5:$F$304,代发抵账!$E$5:$E$304,$A292,代发抵账!$D$5:$D$304,"总包代发工资",代发抵账!$H$5:$H$304,"&gt;="&amp;_辅助!$J$4,代发抵账!$H$5:$H$304,"&lt;="&amp;_辅助!$J$5)+SUMIFS(资金流水!$R$6:$R$2005,资金流水!$J$6:$J$2005,$A292,资金流水!$X$6:$X$2005,"应付职工薪酬",资金流水!$R$6:$R$2005,"&gt;0",资金流水!$S$6:$S$2005,"&gt;="&amp;_辅助!$J$4,资金流水!$S$6:$S$2005,"&lt;="&amp;_辅助!$J$5),2))</f>
        <v>0</v>
      </c>
      <c r="G292">
        <f t="shared" si="2"/>
        <v>0</v>
      </c>
      <c r="H292">
        <f t="shared" si="3"/>
        <v>0</v>
      </c>
      <c r="I292">
        <f t="shared" si="4"/>
        <v>0</v>
      </c>
      <c r="J292">
        <f t="shared" si="5"/>
        <v>0</v>
      </c>
      <c r="K292">
        <f t="shared" si="6"/>
        <v>0</v>
      </c>
      <c r="L292">
        <f t="shared" si="7"/>
        <v>0</v>
      </c>
      <c r="M292">
        <f t="shared" si="8"/>
        <v>0</v>
      </c>
    </row>
    <row r="293">
      <c r="A293">
        <f>往来单位!$B$294&amp;""</f>
      </c>
      <c r="B293">
        <f>往来单位!$C$294&amp;""</f>
      </c>
      <c r="C293">
        <f t="shared" si="0"/>
        <v>0</v>
      </c>
      <c r="D293">
        <f t="shared" si="1"/>
        <v>0</v>
      </c>
      <c r="E293">
        <f>IF(OR($A293="",NOT(OR($B293="管理人员",$B293="工人"))),0,ROUND(N(往来单位!$M$294)+J293-K293-L293+M293,2))</f>
        <v>0</v>
      </c>
      <c r="F293">
        <f>IF(OR($A293="",NOT(OR($B293="管理人员",$B293="工人"))),0,ROUND(N(往来单位!$M$294)+SUMIFS(考勤工资!$W$5:$W$1004,考勤工资!$C$5:$C$1004,$A293,考勤工资!$Y$5:$Y$1004,"&gt;="&amp;_辅助!$J$4,考勤工资!$Y$5:$Y$1004,"&lt;="&amp;_辅助!$J$5)-(-SUMIFS(资金流水!$R$6:$R$2005,资金流水!$J$6:$J$2005,$A293,资金流水!$X$6:$X$2005,"应付职工薪酬",资金流水!$R$6:$R$2005,"&lt;0",资金流水!$S$6:$S$2005,"&gt;="&amp;_辅助!$J$4,资金流水!$S$6:$S$2005,"&lt;="&amp;_辅助!$J$5))-SUMIFS(代发抵账!$F$5:$F$304,代发抵账!$E$5:$E$304,$A293,代发抵账!$D$5:$D$304,"总包代发工资",代发抵账!$H$5:$H$304,"&gt;="&amp;_辅助!$J$4,代发抵账!$H$5:$H$304,"&lt;="&amp;_辅助!$J$5)+SUMIFS(资金流水!$R$6:$R$2005,资金流水!$J$6:$J$2005,$A293,资金流水!$X$6:$X$2005,"应付职工薪酬",资金流水!$R$6:$R$2005,"&gt;0",资金流水!$S$6:$S$2005,"&gt;="&amp;_辅助!$J$4,资金流水!$S$6:$S$2005,"&lt;="&amp;_辅助!$J$5),2))</f>
        <v>0</v>
      </c>
      <c r="G293">
        <f t="shared" si="2"/>
        <v>0</v>
      </c>
      <c r="H293">
        <f t="shared" si="3"/>
        <v>0</v>
      </c>
      <c r="I293">
        <f t="shared" si="4"/>
        <v>0</v>
      </c>
      <c r="J293">
        <f t="shared" si="5"/>
        <v>0</v>
      </c>
      <c r="K293">
        <f t="shared" si="6"/>
        <v>0</v>
      </c>
      <c r="L293">
        <f t="shared" si="7"/>
        <v>0</v>
      </c>
      <c r="M293">
        <f t="shared" si="8"/>
        <v>0</v>
      </c>
    </row>
    <row r="294">
      <c r="A294">
        <f>往来单位!$B$295&amp;""</f>
      </c>
      <c r="B294">
        <f>往来单位!$C$295&amp;""</f>
      </c>
      <c r="C294">
        <f t="shared" si="0"/>
        <v>0</v>
      </c>
      <c r="D294">
        <f t="shared" si="1"/>
        <v>0</v>
      </c>
      <c r="E294">
        <f>IF(OR($A294="",NOT(OR($B294="管理人员",$B294="工人"))),0,ROUND(N(往来单位!$M$295)+J294-K294-L294+M294,2))</f>
        <v>0</v>
      </c>
      <c r="F294">
        <f>IF(OR($A294="",NOT(OR($B294="管理人员",$B294="工人"))),0,ROUND(N(往来单位!$M$295)+SUMIFS(考勤工资!$W$5:$W$1004,考勤工资!$C$5:$C$1004,$A294,考勤工资!$Y$5:$Y$1004,"&gt;="&amp;_辅助!$J$4,考勤工资!$Y$5:$Y$1004,"&lt;="&amp;_辅助!$J$5)-(-SUMIFS(资金流水!$R$6:$R$2005,资金流水!$J$6:$J$2005,$A294,资金流水!$X$6:$X$2005,"应付职工薪酬",资金流水!$R$6:$R$2005,"&lt;0",资金流水!$S$6:$S$2005,"&gt;="&amp;_辅助!$J$4,资金流水!$S$6:$S$2005,"&lt;="&amp;_辅助!$J$5))-SUMIFS(代发抵账!$F$5:$F$304,代发抵账!$E$5:$E$304,$A294,代发抵账!$D$5:$D$304,"总包代发工资",代发抵账!$H$5:$H$304,"&gt;="&amp;_辅助!$J$4,代发抵账!$H$5:$H$304,"&lt;="&amp;_辅助!$J$5)+SUMIFS(资金流水!$R$6:$R$2005,资金流水!$J$6:$J$2005,$A294,资金流水!$X$6:$X$2005,"应付职工薪酬",资金流水!$R$6:$R$2005,"&gt;0",资金流水!$S$6:$S$2005,"&gt;="&amp;_辅助!$J$4,资金流水!$S$6:$S$2005,"&lt;="&amp;_辅助!$J$5),2))</f>
        <v>0</v>
      </c>
      <c r="G294">
        <f t="shared" si="2"/>
        <v>0</v>
      </c>
      <c r="H294">
        <f t="shared" si="3"/>
        <v>0</v>
      </c>
      <c r="I294">
        <f t="shared" si="4"/>
        <v>0</v>
      </c>
      <c r="J294">
        <f t="shared" si="5"/>
        <v>0</v>
      </c>
      <c r="K294">
        <f t="shared" si="6"/>
        <v>0</v>
      </c>
      <c r="L294">
        <f t="shared" si="7"/>
        <v>0</v>
      </c>
      <c r="M294">
        <f t="shared" si="8"/>
        <v>0</v>
      </c>
    </row>
    <row r="295">
      <c r="A295">
        <f>往来单位!$B$296&amp;""</f>
      </c>
      <c r="B295">
        <f>往来单位!$C$296&amp;""</f>
      </c>
      <c r="C295">
        <f t="shared" si="0"/>
        <v>0</v>
      </c>
      <c r="D295">
        <f t="shared" si="1"/>
        <v>0</v>
      </c>
      <c r="E295">
        <f>IF(OR($A295="",NOT(OR($B295="管理人员",$B295="工人"))),0,ROUND(N(往来单位!$M$296)+J295-K295-L295+M295,2))</f>
        <v>0</v>
      </c>
      <c r="F295">
        <f>IF(OR($A295="",NOT(OR($B295="管理人员",$B295="工人"))),0,ROUND(N(往来单位!$M$296)+SUMIFS(考勤工资!$W$5:$W$1004,考勤工资!$C$5:$C$1004,$A295,考勤工资!$Y$5:$Y$1004,"&gt;="&amp;_辅助!$J$4,考勤工资!$Y$5:$Y$1004,"&lt;="&amp;_辅助!$J$5)-(-SUMIFS(资金流水!$R$6:$R$2005,资金流水!$J$6:$J$2005,$A295,资金流水!$X$6:$X$2005,"应付职工薪酬",资金流水!$R$6:$R$2005,"&lt;0",资金流水!$S$6:$S$2005,"&gt;="&amp;_辅助!$J$4,资金流水!$S$6:$S$2005,"&lt;="&amp;_辅助!$J$5))-SUMIFS(代发抵账!$F$5:$F$304,代发抵账!$E$5:$E$304,$A295,代发抵账!$D$5:$D$304,"总包代发工资",代发抵账!$H$5:$H$304,"&gt;="&amp;_辅助!$J$4,代发抵账!$H$5:$H$304,"&lt;="&amp;_辅助!$J$5)+SUMIFS(资金流水!$R$6:$R$2005,资金流水!$J$6:$J$2005,$A295,资金流水!$X$6:$X$2005,"应付职工薪酬",资金流水!$R$6:$R$2005,"&gt;0",资金流水!$S$6:$S$2005,"&gt;="&amp;_辅助!$J$4,资金流水!$S$6:$S$2005,"&lt;="&amp;_辅助!$J$5),2))</f>
        <v>0</v>
      </c>
      <c r="G295">
        <f t="shared" si="2"/>
        <v>0</v>
      </c>
      <c r="H295">
        <f t="shared" si="3"/>
        <v>0</v>
      </c>
      <c r="I295">
        <f t="shared" si="4"/>
        <v>0</v>
      </c>
      <c r="J295">
        <f t="shared" si="5"/>
        <v>0</v>
      </c>
      <c r="K295">
        <f t="shared" si="6"/>
        <v>0</v>
      </c>
      <c r="L295">
        <f t="shared" si="7"/>
        <v>0</v>
      </c>
      <c r="M295">
        <f t="shared" si="8"/>
        <v>0</v>
      </c>
    </row>
    <row r="296">
      <c r="A296">
        <f>往来单位!$B$297&amp;""</f>
      </c>
      <c r="B296">
        <f>往来单位!$C$297&amp;""</f>
      </c>
      <c r="C296">
        <f t="shared" si="0"/>
        <v>0</v>
      </c>
      <c r="D296">
        <f t="shared" si="1"/>
        <v>0</v>
      </c>
      <c r="E296">
        <f>IF(OR($A296="",NOT(OR($B296="管理人员",$B296="工人"))),0,ROUND(N(往来单位!$M$297)+J296-K296-L296+M296,2))</f>
        <v>0</v>
      </c>
      <c r="F296">
        <f>IF(OR($A296="",NOT(OR($B296="管理人员",$B296="工人"))),0,ROUND(N(往来单位!$M$297)+SUMIFS(考勤工资!$W$5:$W$1004,考勤工资!$C$5:$C$1004,$A296,考勤工资!$Y$5:$Y$1004,"&gt;="&amp;_辅助!$J$4,考勤工资!$Y$5:$Y$1004,"&lt;="&amp;_辅助!$J$5)-(-SUMIFS(资金流水!$R$6:$R$2005,资金流水!$J$6:$J$2005,$A296,资金流水!$X$6:$X$2005,"应付职工薪酬",资金流水!$R$6:$R$2005,"&lt;0",资金流水!$S$6:$S$2005,"&gt;="&amp;_辅助!$J$4,资金流水!$S$6:$S$2005,"&lt;="&amp;_辅助!$J$5))-SUMIFS(代发抵账!$F$5:$F$304,代发抵账!$E$5:$E$304,$A296,代发抵账!$D$5:$D$304,"总包代发工资",代发抵账!$H$5:$H$304,"&gt;="&amp;_辅助!$J$4,代发抵账!$H$5:$H$304,"&lt;="&amp;_辅助!$J$5)+SUMIFS(资金流水!$R$6:$R$2005,资金流水!$J$6:$J$2005,$A296,资金流水!$X$6:$X$2005,"应付职工薪酬",资金流水!$R$6:$R$2005,"&gt;0",资金流水!$S$6:$S$2005,"&gt;="&amp;_辅助!$J$4,资金流水!$S$6:$S$2005,"&lt;="&amp;_辅助!$J$5),2))</f>
        <v>0</v>
      </c>
      <c r="G296">
        <f t="shared" si="2"/>
        <v>0</v>
      </c>
      <c r="H296">
        <f t="shared" si="3"/>
        <v>0</v>
      </c>
      <c r="I296">
        <f t="shared" si="4"/>
        <v>0</v>
      </c>
      <c r="J296">
        <f t="shared" si="5"/>
        <v>0</v>
      </c>
      <c r="K296">
        <f t="shared" si="6"/>
        <v>0</v>
      </c>
      <c r="L296">
        <f t="shared" si="7"/>
        <v>0</v>
      </c>
      <c r="M296">
        <f t="shared" si="8"/>
        <v>0</v>
      </c>
    </row>
    <row r="297">
      <c r="A297">
        <f>往来单位!$B$298&amp;""</f>
      </c>
      <c r="B297">
        <f>往来单位!$C$298&amp;""</f>
      </c>
      <c r="C297">
        <f t="shared" si="0"/>
        <v>0</v>
      </c>
      <c r="D297">
        <f t="shared" si="1"/>
        <v>0</v>
      </c>
      <c r="E297">
        <f>IF(OR($A297="",NOT(OR($B297="管理人员",$B297="工人"))),0,ROUND(N(往来单位!$M$298)+J297-K297-L297+M297,2))</f>
        <v>0</v>
      </c>
      <c r="F297">
        <f>IF(OR($A297="",NOT(OR($B297="管理人员",$B297="工人"))),0,ROUND(N(往来单位!$M$298)+SUMIFS(考勤工资!$W$5:$W$1004,考勤工资!$C$5:$C$1004,$A297,考勤工资!$Y$5:$Y$1004,"&gt;="&amp;_辅助!$J$4,考勤工资!$Y$5:$Y$1004,"&lt;="&amp;_辅助!$J$5)-(-SUMIFS(资金流水!$R$6:$R$2005,资金流水!$J$6:$J$2005,$A297,资金流水!$X$6:$X$2005,"应付职工薪酬",资金流水!$R$6:$R$2005,"&lt;0",资金流水!$S$6:$S$2005,"&gt;="&amp;_辅助!$J$4,资金流水!$S$6:$S$2005,"&lt;="&amp;_辅助!$J$5))-SUMIFS(代发抵账!$F$5:$F$304,代发抵账!$E$5:$E$304,$A297,代发抵账!$D$5:$D$304,"总包代发工资",代发抵账!$H$5:$H$304,"&gt;="&amp;_辅助!$J$4,代发抵账!$H$5:$H$304,"&lt;="&amp;_辅助!$J$5)+SUMIFS(资金流水!$R$6:$R$2005,资金流水!$J$6:$J$2005,$A297,资金流水!$X$6:$X$2005,"应付职工薪酬",资金流水!$R$6:$R$2005,"&gt;0",资金流水!$S$6:$S$2005,"&gt;="&amp;_辅助!$J$4,资金流水!$S$6:$S$2005,"&lt;="&amp;_辅助!$J$5),2))</f>
        <v>0</v>
      </c>
      <c r="G297">
        <f t="shared" si="2"/>
        <v>0</v>
      </c>
      <c r="H297">
        <f t="shared" si="3"/>
        <v>0</v>
      </c>
      <c r="I297">
        <f t="shared" si="4"/>
        <v>0</v>
      </c>
      <c r="J297">
        <f t="shared" si="5"/>
        <v>0</v>
      </c>
      <c r="K297">
        <f t="shared" si="6"/>
        <v>0</v>
      </c>
      <c r="L297">
        <f t="shared" si="7"/>
        <v>0</v>
      </c>
      <c r="M297">
        <f t="shared" si="8"/>
        <v>0</v>
      </c>
    </row>
    <row r="298">
      <c r="A298">
        <f>往来单位!$B$299&amp;""</f>
      </c>
      <c r="B298">
        <f>往来单位!$C$299&amp;""</f>
      </c>
      <c r="C298">
        <f t="shared" si="0"/>
        <v>0</v>
      </c>
      <c r="D298">
        <f t="shared" si="1"/>
        <v>0</v>
      </c>
      <c r="E298">
        <f>IF(OR($A298="",NOT(OR($B298="管理人员",$B298="工人"))),0,ROUND(N(往来单位!$M$299)+J298-K298-L298+M298,2))</f>
        <v>0</v>
      </c>
      <c r="F298">
        <f>IF(OR($A298="",NOT(OR($B298="管理人员",$B298="工人"))),0,ROUND(N(往来单位!$M$299)+SUMIFS(考勤工资!$W$5:$W$1004,考勤工资!$C$5:$C$1004,$A298,考勤工资!$Y$5:$Y$1004,"&gt;="&amp;_辅助!$J$4,考勤工资!$Y$5:$Y$1004,"&lt;="&amp;_辅助!$J$5)-(-SUMIFS(资金流水!$R$6:$R$2005,资金流水!$J$6:$J$2005,$A298,资金流水!$X$6:$X$2005,"应付职工薪酬",资金流水!$R$6:$R$2005,"&lt;0",资金流水!$S$6:$S$2005,"&gt;="&amp;_辅助!$J$4,资金流水!$S$6:$S$2005,"&lt;="&amp;_辅助!$J$5))-SUMIFS(代发抵账!$F$5:$F$304,代发抵账!$E$5:$E$304,$A298,代发抵账!$D$5:$D$304,"总包代发工资",代发抵账!$H$5:$H$304,"&gt;="&amp;_辅助!$J$4,代发抵账!$H$5:$H$304,"&lt;="&amp;_辅助!$J$5)+SUMIFS(资金流水!$R$6:$R$2005,资金流水!$J$6:$J$2005,$A298,资金流水!$X$6:$X$2005,"应付职工薪酬",资金流水!$R$6:$R$2005,"&gt;0",资金流水!$S$6:$S$2005,"&gt;="&amp;_辅助!$J$4,资金流水!$S$6:$S$2005,"&lt;="&amp;_辅助!$J$5),2))</f>
        <v>0</v>
      </c>
      <c r="G298">
        <f t="shared" si="2"/>
        <v>0</v>
      </c>
      <c r="H298">
        <f t="shared" si="3"/>
        <v>0</v>
      </c>
      <c r="I298">
        <f t="shared" si="4"/>
        <v>0</v>
      </c>
      <c r="J298">
        <f t="shared" si="5"/>
        <v>0</v>
      </c>
      <c r="K298">
        <f t="shared" si="6"/>
        <v>0</v>
      </c>
      <c r="L298">
        <f t="shared" si="7"/>
        <v>0</v>
      </c>
      <c r="M298">
        <f t="shared" si="8"/>
        <v>0</v>
      </c>
    </row>
    <row r="299">
      <c r="A299">
        <f>往来单位!$B$300&amp;""</f>
      </c>
      <c r="B299">
        <f>往来单位!$C$300&amp;""</f>
      </c>
      <c r="C299">
        <f t="shared" si="0"/>
        <v>0</v>
      </c>
      <c r="D299">
        <f t="shared" si="1"/>
        <v>0</v>
      </c>
      <c r="E299">
        <f>IF(OR($A299="",NOT(OR($B299="管理人员",$B299="工人"))),0,ROUND(N(往来单位!$M$300)+J299-K299-L299+M299,2))</f>
        <v>0</v>
      </c>
      <c r="F299">
        <f>IF(OR($A299="",NOT(OR($B299="管理人员",$B299="工人"))),0,ROUND(N(往来单位!$M$300)+SUMIFS(考勤工资!$W$5:$W$1004,考勤工资!$C$5:$C$1004,$A299,考勤工资!$Y$5:$Y$1004,"&gt;="&amp;_辅助!$J$4,考勤工资!$Y$5:$Y$1004,"&lt;="&amp;_辅助!$J$5)-(-SUMIFS(资金流水!$R$6:$R$2005,资金流水!$J$6:$J$2005,$A299,资金流水!$X$6:$X$2005,"应付职工薪酬",资金流水!$R$6:$R$2005,"&lt;0",资金流水!$S$6:$S$2005,"&gt;="&amp;_辅助!$J$4,资金流水!$S$6:$S$2005,"&lt;="&amp;_辅助!$J$5))-SUMIFS(代发抵账!$F$5:$F$304,代发抵账!$E$5:$E$304,$A299,代发抵账!$D$5:$D$304,"总包代发工资",代发抵账!$H$5:$H$304,"&gt;="&amp;_辅助!$J$4,代发抵账!$H$5:$H$304,"&lt;="&amp;_辅助!$J$5)+SUMIFS(资金流水!$R$6:$R$2005,资金流水!$J$6:$J$2005,$A299,资金流水!$X$6:$X$2005,"应付职工薪酬",资金流水!$R$6:$R$2005,"&gt;0",资金流水!$S$6:$S$2005,"&gt;="&amp;_辅助!$J$4,资金流水!$S$6:$S$2005,"&lt;="&amp;_辅助!$J$5),2))</f>
        <v>0</v>
      </c>
      <c r="G299">
        <f t="shared" si="2"/>
        <v>0</v>
      </c>
      <c r="H299">
        <f t="shared" si="3"/>
        <v>0</v>
      </c>
      <c r="I299">
        <f t="shared" si="4"/>
        <v>0</v>
      </c>
      <c r="J299">
        <f t="shared" si="5"/>
        <v>0</v>
      </c>
      <c r="K299">
        <f t="shared" si="6"/>
        <v>0</v>
      </c>
      <c r="L299">
        <f t="shared" si="7"/>
        <v>0</v>
      </c>
      <c r="M299">
        <f t="shared" si="8"/>
        <v>0</v>
      </c>
    </row>
    <row r="300">
      <c r="A300">
        <f>往来单位!$B$301&amp;""</f>
      </c>
      <c r="B300">
        <f>往来单位!$C$301&amp;""</f>
      </c>
      <c r="C300">
        <f t="shared" si="0"/>
        <v>0</v>
      </c>
      <c r="D300">
        <f t="shared" si="1"/>
        <v>0</v>
      </c>
      <c r="E300">
        <f>IF(OR($A300="",NOT(OR($B300="管理人员",$B300="工人"))),0,ROUND(N(往来单位!$M$301)+J300-K300-L300+M300,2))</f>
        <v>0</v>
      </c>
      <c r="F300">
        <f>IF(OR($A300="",NOT(OR($B300="管理人员",$B300="工人"))),0,ROUND(N(往来单位!$M$301)+SUMIFS(考勤工资!$W$5:$W$1004,考勤工资!$C$5:$C$1004,$A300,考勤工资!$Y$5:$Y$1004,"&gt;="&amp;_辅助!$J$4,考勤工资!$Y$5:$Y$1004,"&lt;="&amp;_辅助!$J$5)-(-SUMIFS(资金流水!$R$6:$R$2005,资金流水!$J$6:$J$2005,$A300,资金流水!$X$6:$X$2005,"应付职工薪酬",资金流水!$R$6:$R$2005,"&lt;0",资金流水!$S$6:$S$2005,"&gt;="&amp;_辅助!$J$4,资金流水!$S$6:$S$2005,"&lt;="&amp;_辅助!$J$5))-SUMIFS(代发抵账!$F$5:$F$304,代发抵账!$E$5:$E$304,$A300,代发抵账!$D$5:$D$304,"总包代发工资",代发抵账!$H$5:$H$304,"&gt;="&amp;_辅助!$J$4,代发抵账!$H$5:$H$304,"&lt;="&amp;_辅助!$J$5)+SUMIFS(资金流水!$R$6:$R$2005,资金流水!$J$6:$J$2005,$A300,资金流水!$X$6:$X$2005,"应付职工薪酬",资金流水!$R$6:$R$2005,"&gt;0",资金流水!$S$6:$S$2005,"&gt;="&amp;_辅助!$J$4,资金流水!$S$6:$S$2005,"&lt;="&amp;_辅助!$J$5),2))</f>
        <v>0</v>
      </c>
      <c r="G300">
        <f t="shared" si="2"/>
        <v>0</v>
      </c>
      <c r="H300">
        <f t="shared" si="3"/>
        <v>0</v>
      </c>
      <c r="I300">
        <f t="shared" si="4"/>
        <v>0</v>
      </c>
      <c r="J300">
        <f t="shared" si="5"/>
        <v>0</v>
      </c>
      <c r="K300">
        <f t="shared" si="6"/>
        <v>0</v>
      </c>
      <c r="L300">
        <f t="shared" si="7"/>
        <v>0</v>
      </c>
      <c r="M300">
        <f t="shared" si="8"/>
        <v>0</v>
      </c>
    </row>
    <row r="301">
      <c r="A301">
        <f>往来单位!$B$302&amp;""</f>
      </c>
      <c r="B301">
        <f>往来单位!$C$302&amp;""</f>
      </c>
      <c r="C301">
        <f t="shared" si="0"/>
        <v>0</v>
      </c>
      <c r="D301">
        <f t="shared" si="1"/>
        <v>0</v>
      </c>
      <c r="E301">
        <f>IF(OR($A301="",NOT(OR($B301="管理人员",$B301="工人"))),0,ROUND(N(往来单位!$M$302)+J301-K301-L301+M301,2))</f>
        <v>0</v>
      </c>
      <c r="F301">
        <f>IF(OR($A301="",NOT(OR($B301="管理人员",$B301="工人"))),0,ROUND(N(往来单位!$M$302)+SUMIFS(考勤工资!$W$5:$W$1004,考勤工资!$C$5:$C$1004,$A301,考勤工资!$Y$5:$Y$1004,"&gt;="&amp;_辅助!$J$4,考勤工资!$Y$5:$Y$1004,"&lt;="&amp;_辅助!$J$5)-(-SUMIFS(资金流水!$R$6:$R$2005,资金流水!$J$6:$J$2005,$A301,资金流水!$X$6:$X$2005,"应付职工薪酬",资金流水!$R$6:$R$2005,"&lt;0",资金流水!$S$6:$S$2005,"&gt;="&amp;_辅助!$J$4,资金流水!$S$6:$S$2005,"&lt;="&amp;_辅助!$J$5))-SUMIFS(代发抵账!$F$5:$F$304,代发抵账!$E$5:$E$304,$A301,代发抵账!$D$5:$D$304,"总包代发工资",代发抵账!$H$5:$H$304,"&gt;="&amp;_辅助!$J$4,代发抵账!$H$5:$H$304,"&lt;="&amp;_辅助!$J$5)+SUMIFS(资金流水!$R$6:$R$2005,资金流水!$J$6:$J$2005,$A301,资金流水!$X$6:$X$2005,"应付职工薪酬",资金流水!$R$6:$R$2005,"&gt;0",资金流水!$S$6:$S$2005,"&gt;="&amp;_辅助!$J$4,资金流水!$S$6:$S$2005,"&lt;="&amp;_辅助!$J$5),2))</f>
        <v>0</v>
      </c>
      <c r="G301">
        <f t="shared" si="2"/>
        <v>0</v>
      </c>
      <c r="H301">
        <f t="shared" si="3"/>
        <v>0</v>
      </c>
      <c r="I301">
        <f t="shared" si="4"/>
        <v>0</v>
      </c>
      <c r="J301">
        <f t="shared" si="5"/>
        <v>0</v>
      </c>
      <c r="K301">
        <f t="shared" si="6"/>
        <v>0</v>
      </c>
      <c r="L301">
        <f t="shared" si="7"/>
        <v>0</v>
      </c>
      <c r="M301">
        <f t="shared" si="8"/>
        <v>0</v>
      </c>
    </row>
    <row r="302">
      <c r="A302">
        <f>往来单位!$B$303&amp;""</f>
      </c>
      <c r="B302">
        <f>往来单位!$C$303&amp;""</f>
      </c>
      <c r="C302">
        <f t="shared" si="0"/>
        <v>0</v>
      </c>
      <c r="D302">
        <f t="shared" si="1"/>
        <v>0</v>
      </c>
      <c r="E302">
        <f>IF(OR($A302="",NOT(OR($B302="管理人员",$B302="工人"))),0,ROUND(N(往来单位!$M$303)+J302-K302-L302+M302,2))</f>
        <v>0</v>
      </c>
      <c r="F302">
        <f>IF(OR($A302="",NOT(OR($B302="管理人员",$B302="工人"))),0,ROUND(N(往来单位!$M$303)+SUMIFS(考勤工资!$W$5:$W$1004,考勤工资!$C$5:$C$1004,$A302,考勤工资!$Y$5:$Y$1004,"&gt;="&amp;_辅助!$J$4,考勤工资!$Y$5:$Y$1004,"&lt;="&amp;_辅助!$J$5)-(-SUMIFS(资金流水!$R$6:$R$2005,资金流水!$J$6:$J$2005,$A302,资金流水!$X$6:$X$2005,"应付职工薪酬",资金流水!$R$6:$R$2005,"&lt;0",资金流水!$S$6:$S$2005,"&gt;="&amp;_辅助!$J$4,资金流水!$S$6:$S$2005,"&lt;="&amp;_辅助!$J$5))-SUMIFS(代发抵账!$F$5:$F$304,代发抵账!$E$5:$E$304,$A302,代发抵账!$D$5:$D$304,"总包代发工资",代发抵账!$H$5:$H$304,"&gt;="&amp;_辅助!$J$4,代发抵账!$H$5:$H$304,"&lt;="&amp;_辅助!$J$5)+SUMIFS(资金流水!$R$6:$R$2005,资金流水!$J$6:$J$2005,$A302,资金流水!$X$6:$X$2005,"应付职工薪酬",资金流水!$R$6:$R$2005,"&gt;0",资金流水!$S$6:$S$2005,"&gt;="&amp;_辅助!$J$4,资金流水!$S$6:$S$2005,"&lt;="&amp;_辅助!$J$5),2))</f>
        <v>0</v>
      </c>
      <c r="G302">
        <f t="shared" si="2"/>
        <v>0</v>
      </c>
      <c r="H302">
        <f t="shared" si="3"/>
        <v>0</v>
      </c>
      <c r="I302">
        <f t="shared" si="4"/>
        <v>0</v>
      </c>
      <c r="J302">
        <f t="shared" si="5"/>
        <v>0</v>
      </c>
      <c r="K302">
        <f t="shared" si="6"/>
        <v>0</v>
      </c>
      <c r="L302">
        <f t="shared" si="7"/>
        <v>0</v>
      </c>
      <c r="M302">
        <f t="shared" si="8"/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A900"/>
  <sheetViews>
    <sheetView tabSelected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2" max="12"/>
    <col width="13" customWidth="1" min="14" max="14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hidden="1" width="13" customWidth="1" min="79" max="79"/>
  </cols>
  <sheetData>
    <row r="1">
      <c r="A1" t="str">
        <f>IF(项目档案!$B$4="","",TRIM(项目档案!$B$4&amp;""))</f>
        <v>德安养老中心</v>
      </c>
      <c r="B1" t="str">
        <f t="shared" ref="B1:B4" si="0">项目档案!$B$4&amp;""</f>
        <v>德安养老中心</v>
      </c>
      <c r="C1" t="str">
        <f>IF(往来单位!$B$4="","",TRIM(往来单位!$B$4&amp;""))</f>
        <v>九江浔辉建筑工程有限公司</v>
      </c>
      <c r="D1" t="str">
        <f>往来单位!$B$4&amp;""</f>
        <v>九江浔辉建筑工程有限公司</v>
      </c>
      <c r="E1" t="inlineStr">
        <is>
          <t>公司管理</t>
        </is>
      </c>
      <c r="F1" t="str">
        <f>TRIM(基础资料!$G$5&amp;"")</f>
        <v>九江银行</v>
      </c>
      <c r="G1" t="str">
        <f>基础资料!$G$5&amp;""</f>
        <v>九江银行</v>
      </c>
      <c r="H1" t="inlineStr">
        <is>
          <t>材料费</t>
        </is>
      </c>
      <c r="I1" t="inlineStr">
        <is>
          <t>本年1月</t>
        </is>
      </c>
      <c r="J1">
        <f>_辅助!$J$7*100+1</f>
        <v>202601</v>
      </c>
      <c r="L1" t="str">
        <f>IFERROR(INDEX(往来单位!$B$4:$B$303,MATCH(1,$N$1:$N$300,0))&amp;"","")</f>
        <v>九江浔辉建筑工程有限公司</v>
      </c>
      <c r="N1" s="2">
        <f>SUM(CA1:CA1)</f>
        <v>1</v>
      </c>
      <c r="P1">
        <f>IF(A1="",0,LEN(A1)*10000+9999)</f>
        <v>69999</v>
      </c>
      <c r="Q1">
        <f>IF(LARGE($P$1:$P$240,1)=0,0,MATCH(LARGE($P$1:$P$240,1),$P$1:$P$240,0))</f>
        <v>37</v>
      </c>
      <c r="R1" t="str">
        <f t="shared" ref="R1:R240" si="60">IF(Q1=0,"",INDEX($A$1:$A$240,Q1)&amp;"")</f>
        <v>德安农商行总部</v>
      </c>
      <c r="S1" t="str">
        <f t="shared" ref="S1:S240" si="61">IF(Q1=0,"",INDEX($B$1:$B$240,Q1))</f>
        <v>德安农商行总部</v>
      </c>
      <c r="T1">
        <f>IF(C1="",0,LEN(C1)*10000+9999)</f>
        <v>129999</v>
      </c>
      <c r="U1">
        <f>IF(LARGE($T$1:$T$900,1)=0,0,MATCH(LARGE($T$1:$T$900,1),$T$1:$T$900,0))</f>
        <v>13</v>
      </c>
      <c r="V1" t="str">
        <f t="shared" ref="V1:V900" si="62">IF(U1=0,"",INDEX($C$1:$C$900,U1)&amp;"")</f>
        <v>德安县博河产业控股集团有限公司</v>
      </c>
      <c r="W1" t="str">
        <f t="shared" ref="W1:W900" si="63">IF(U1=0,"",INDEX($D$1:$D$900,U1))</f>
        <v>德安县博河产业控股集团有限公司</v>
      </c>
      <c r="X1">
        <f>IF(F1="",0,LEN(F1)*10000+9999)</f>
        <v>49999</v>
      </c>
      <c r="Y1">
        <f>IF(LARGE($X$1:$X$40,1)=0,0,MATCH(LARGE($X$1:$X$40,1),$X$1:$X$40,0))</f>
        <v>5</v>
      </c>
      <c r="Z1" t="str">
        <f t="shared" ref="Z1:Z40" si="64">IF(Y1=0,"",INDEX($F$1:$F$40,Y1)&amp;"")</f>
        <v>聂辉个人户</v>
      </c>
      <c r="AA1" t="str">
        <f t="shared" ref="AA1:AA40" si="65">IF(Y1=0,"",INDEX($G$1:$G$40,Y1))</f>
        <v>聂辉个人户</v>
      </c>
      <c r="AB1">
        <f>IF(OR(基础资料!$AB$5="全",基础资料!$AB$5="收"),基础资料!$AA$5&amp;"","")</f>
      </c>
      <c r="AC1" t="str">
        <f>IF(OR(基础资料!$AB$5="全",基础资料!$AB$5="支"),基础资料!$AA$5&amp;"","")</f>
        <v>购置</v>
      </c>
      <c r="CA1" s="2">
        <f>IF(往来单位!$C$4="甲方/总包",1,0)</f>
        <v>1</v>
      </c>
    </row>
    <row r="2">
      <c r="A2" t="str">
        <f>IF(项目档案!$B$4="","",TRIM(项目档案!$O$4&amp;""))</f>
        <v>德养</v>
      </c>
      <c r="B2" t="str">
        <f t="shared" si="0"/>
        <v>德安养老中心</v>
      </c>
      <c r="C2">
        <f>IF(往来单位!$B$4="","",TRIM(往来单位!$D$4&amp;""))</f>
      </c>
      <c r="D2" t="str">
        <f>往来单位!$B$4&amp;""</f>
        <v>九江浔辉建筑工程有限公司</v>
      </c>
      <c r="E2" t="str">
        <f>IF(项目档案!$B$4="","",项目档案!$B$4)</f>
        <v>德安养老中心</v>
      </c>
      <c r="F2" t="str">
        <f>TRIM(基础资料!$G$6&amp;"")</f>
        <v>农业银行</v>
      </c>
      <c r="G2" t="str">
        <f>基础资料!$G$6&amp;""</f>
        <v>农业银行</v>
      </c>
      <c r="H2" t="inlineStr">
        <is>
          <t>人工费</t>
        </is>
      </c>
      <c r="I2" t="inlineStr">
        <is>
          <t>截止月</t>
        </is>
      </c>
      <c r="J2">
        <f>IF(YEAR(_辅助!$J$9)=_辅助!$J$7,YEAR(_辅助!$J$9)*100+MONTH(_辅助!$J$9),IF(YEAR(_辅助!$J$9)&gt;_辅助!$J$7,_辅助!$J$7*100+12,_辅助!$J$7*100+1))</f>
        <v>202608</v>
      </c>
      <c r="L2" t="str">
        <f>IFERROR(INDEX(往来单位!$B$4:$B$303,MATCH(2,$N$1:$N$300,0))&amp;"","")</f>
        <v>德安县市政工程公司</v>
      </c>
      <c r="N2" s="2">
        <f>SUM(CA1:CA2)</f>
        <v>2</v>
      </c>
      <c r="P2">
        <f>IF(A2="",0,LEN(A2)*10000+9998)</f>
        <v>29998</v>
      </c>
      <c r="Q2">
        <f>IF(LARGE($P$1:$P$240,2)=0,0,MATCH(LARGE($P$1:$P$240,2),$P$1:$P$240,0))</f>
        <v>1</v>
      </c>
      <c r="R2" t="str">
        <f t="shared" si="60"/>
        <v>德安养老中心</v>
      </c>
      <c r="S2" t="str">
        <f t="shared" si="61"/>
        <v>德安养老中心</v>
      </c>
      <c r="T2">
        <f>IF(C2="",0,LEN(C2)*10000+9998)</f>
        <v>0</v>
      </c>
      <c r="U2">
        <f>IF(LARGE($T$1:$T$900,2)=0,0,MATCH(LARGE($T$1:$T$900,2),$T$1:$T$900,0))</f>
        <v>7</v>
      </c>
      <c r="V2" t="str">
        <f t="shared" si="62"/>
        <v>德安县水利水电建筑工程公司</v>
      </c>
      <c r="W2" t="str">
        <f t="shared" si="63"/>
        <v>德安县水利水电建筑工程公司</v>
      </c>
      <c r="X2">
        <f>IF(F2="",0,LEN(F2)*10000+9998)</f>
        <v>49998</v>
      </c>
      <c r="Y2">
        <f>IF(LARGE($X$1:$X$40,2)=0,0,MATCH(LARGE($X$1:$X$40,2),$X$1:$X$40,0))</f>
        <v>6</v>
      </c>
      <c r="Z2" t="str">
        <f t="shared" si="64"/>
        <v>王伟个人户</v>
      </c>
      <c r="AA2" t="str">
        <f t="shared" si="65"/>
        <v>王伟个人户</v>
      </c>
      <c r="AB2">
        <f>IF(OR(基础资料!$AB$6="全",基础资料!$AB$6="收"),基础资料!$AA$6&amp;"","")</f>
      </c>
      <c r="AC2" t="str">
        <f>IF(OR(基础资料!$AB$6="全",基础资料!$AB$6="支"),基础资料!$AA$6&amp;"","")</f>
        <v>购车</v>
      </c>
      <c r="CA2" s="2">
        <f>IF(往来单位!$C$5="甲方/总包",1,0)</f>
        <v>1</v>
      </c>
    </row>
    <row r="3">
      <c r="A3" t="str">
        <f>IF(项目档案!$B$4="","",TRIM(项目档案!$P$4&amp;""))</f>
        <v>养老中心</v>
      </c>
      <c r="B3" t="str">
        <f t="shared" si="0"/>
        <v>德安养老中心</v>
      </c>
      <c r="C3">
        <f>IF(往来单位!$B$4="","",TRIM(往来单位!$E$4&amp;""))</f>
      </c>
      <c r="D3" t="str">
        <f>往来单位!$B$4&amp;""</f>
        <v>九江浔辉建筑工程有限公司</v>
      </c>
      <c r="E3" t="str">
        <f>IF(项目档案!$B$5="","",项目档案!$B$5)</f>
        <v>科创中心</v>
      </c>
      <c r="F3" t="str">
        <f>TRIM(基础资料!$G$7&amp;"")</f>
        <v>工商银行</v>
      </c>
      <c r="G3" t="str">
        <f>基础资料!$G$7&amp;""</f>
        <v>工商银行</v>
      </c>
      <c r="H3" t="inlineStr">
        <is>
          <t>分包费</t>
        </is>
      </c>
      <c r="I3" t="inlineStr">
        <is>
          <t>截止月末</t>
        </is>
      </c>
      <c r="J3">
        <f>EOMONTH(DATE(INT(_辅助!$J$2/100),MOD(_辅助!$J$2,100),1),0)</f>
        <v>46265</v>
      </c>
      <c r="L3" t="str">
        <f>IFERROR(INDEX(往来单位!$B$4:$B$303,MATCH(3,$N$1:$N$300,0))&amp;"","")</f>
        <v>德安县水利水电建筑工程公司</v>
      </c>
      <c r="N3" s="2">
        <f>SUM(CA1:CA3)</f>
        <v>3</v>
      </c>
      <c r="P3">
        <f>IF(A3="",0,LEN(A3)*10000+9997)</f>
        <v>49997</v>
      </c>
      <c r="Q3">
        <f>IF(LARGE($P$1:$P$240,3)=0,0,MATCH(LARGE($P$1:$P$240,3),$P$1:$P$240,0))</f>
        <v>33</v>
      </c>
      <c r="R3" t="str">
        <f t="shared" si="60"/>
        <v>博河科创中心</v>
      </c>
      <c r="S3" t="str">
        <f t="shared" si="61"/>
        <v>博河科创中心</v>
      </c>
      <c r="T3">
        <f>IF(C3="",0,LEN(C3)*10000+9997)</f>
        <v>0</v>
      </c>
      <c r="U3">
        <f>IF(LARGE($T$1:$T$900,3)=0,0,MATCH(LARGE($T$1:$T$900,3),$T$1:$T$900,0))</f>
        <v>1</v>
      </c>
      <c r="V3" t="str">
        <f t="shared" si="62"/>
        <v>九江浔辉建筑工程有限公司</v>
      </c>
      <c r="W3" t="str">
        <f t="shared" si="63"/>
        <v>九江浔辉建筑工程有限公司</v>
      </c>
      <c r="X3">
        <f>IF(F3="",0,LEN(F3)*10000+9997)</f>
        <v>49997</v>
      </c>
      <c r="Y3">
        <f>IF(LARGE($X$1:$X$40,3)=0,0,MATCH(LARGE($X$1:$X$40,3),$X$1:$X$40,0))</f>
        <v>7</v>
      </c>
      <c r="Z3" t="str">
        <f t="shared" si="64"/>
        <v>张滨个人户</v>
      </c>
      <c r="AA3" t="str">
        <f t="shared" si="65"/>
        <v>张滨个人户</v>
      </c>
      <c r="AB3">
        <f>IF(OR(基础资料!$AB$7="全",基础资料!$AB$7="收"),基础资料!$AA$7&amp;"","")</f>
      </c>
      <c r="AC3" t="str">
        <f>IF(OR(基础资料!$AB$7="全",基础资料!$AB$7="支"),基础资料!$AA$7&amp;"","")</f>
        <v>买车</v>
      </c>
      <c r="CA3" s="2">
        <f>IF(往来单位!$C$6="甲方/总包",1,0)</f>
        <v>1</v>
      </c>
    </row>
    <row r="4">
      <c r="A4">
        <f>IF(项目档案!$B$4="","",TRIM(项目档案!$Q$4&amp;""))</f>
      </c>
      <c r="B4" t="str">
        <f t="shared" si="0"/>
        <v>德安养老中心</v>
      </c>
      <c r="C4" t="str">
        <f>IF(往来单位!$B$5="","",TRIM(往来单位!$B$5&amp;""))</f>
        <v>德安县市政工程公司</v>
      </c>
      <c r="D4" t="str">
        <f>往来单位!$B$5&amp;""</f>
        <v>德安县市政工程公司</v>
      </c>
      <c r="E4" t="str">
        <f>IF(项目档案!$B$6="","",项目档案!$B$6)</f>
        <v>九安架空层</v>
      </c>
      <c r="F4" t="str">
        <f>TRIM(基础资料!$G$8&amp;"")</f>
        <v>现金</v>
      </c>
      <c r="G4" t="str">
        <f>基础资料!$G$8&amp;""</f>
        <v>现金</v>
      </c>
      <c r="H4" t="inlineStr">
        <is>
          <t>机械运输费</t>
        </is>
      </c>
      <c r="I4" t="inlineStr">
        <is>
          <t>建账年月</t>
        </is>
      </c>
      <c r="J4">
        <f>YEAR(基础资料!$C$9)*100+MONTH(基础资料!$C$9)</f>
        <v>202603</v>
      </c>
      <c r="L4" t="str">
        <f>IFERROR(INDEX(往来单位!$B$4:$B$303,MATCH(4,$N$1:$N$300,0))&amp;"","")</f>
        <v>江西揽之建设工程有限公司</v>
      </c>
      <c r="N4" s="2">
        <f>SUM(CA1:CA4)</f>
        <v>4</v>
      </c>
      <c r="P4">
        <f>IF(A4="",0,LEN(A4)*10000+9996)</f>
        <v>0</v>
      </c>
      <c r="Q4">
        <f>IF(LARGE($P$1:$P$240,4)=0,0,MATCH(LARGE($P$1:$P$240,4),$P$1:$P$240,0))</f>
        <v>61</v>
      </c>
      <c r="R4" t="str">
        <f t="shared" si="60"/>
        <v>吴山政府项目</v>
      </c>
      <c r="S4" t="str">
        <f t="shared" si="61"/>
        <v>吴山政府项目</v>
      </c>
      <c r="T4">
        <f>IF(C4="",0,LEN(C4)*10000+9996)</f>
        <v>99996</v>
      </c>
      <c r="U4">
        <f>IF(LARGE($T$1:$T$900,4)=0,0,MATCH(LARGE($T$1:$T$900,4),$T$1:$T$900,0))</f>
        <v>10</v>
      </c>
      <c r="V4" t="str">
        <f t="shared" si="62"/>
        <v>江西揽之建设工程有限公司</v>
      </c>
      <c r="W4" t="str">
        <f t="shared" si="63"/>
        <v>江西揽之建设工程有限公司</v>
      </c>
      <c r="X4">
        <f>IF(F4="",0,LEN(F4)*10000+9996)</f>
        <v>29996</v>
      </c>
      <c r="Y4">
        <f>IF(LARGE($X$1:$X$40,4)=0,0,MATCH(LARGE($X$1:$X$40,4),$X$1:$X$40,0))</f>
        <v>1</v>
      </c>
      <c r="Z4" t="str">
        <f t="shared" si="64"/>
        <v>九江银行</v>
      </c>
      <c r="AA4" t="str">
        <f t="shared" si="65"/>
        <v>九江银行</v>
      </c>
      <c r="AB4">
        <f>IF(OR(基础资料!$AB$8="全",基础资料!$AB$8="收"),基础资料!$AA$8&amp;"","")</f>
      </c>
      <c r="AC4" t="str">
        <f>IF(OR(基础资料!$AB$8="全",基础资料!$AB$8="支"),基础资料!$AA$8&amp;"","")</f>
        <v>购买设备</v>
      </c>
      <c r="CA4" s="2">
        <f>IF(往来单位!$C$7="甲方/总包",1,0)</f>
        <v>1</v>
      </c>
    </row>
    <row r="5">
      <c r="A5" t="str">
        <f>IF(项目档案!$B$5="","",TRIM(项目档案!$B$5&amp;""))</f>
        <v>科创中心</v>
      </c>
      <c r="B5" t="str">
        <f t="shared" ref="B5:B8" si="1">项目档案!$B$5&amp;""</f>
        <v>科创中心</v>
      </c>
      <c r="C5">
        <f>IF(往来单位!$B$5="","",TRIM(往来单位!$D$5&amp;""))</f>
      </c>
      <c r="D5" t="str">
        <f>往来单位!$B$5&amp;""</f>
        <v>德安县市政工程公司</v>
      </c>
      <c r="E5" t="str">
        <f>IF(项目档案!$B$7="","",项目档案!$B$7)</f>
        <v>数字产业园</v>
      </c>
      <c r="F5" t="str">
        <f>TRIM(基础资料!$G$9&amp;"")</f>
        <v>聂辉个人户</v>
      </c>
      <c r="G5" t="str">
        <f>基础资料!$G$9&amp;""</f>
        <v>聂辉个人户</v>
      </c>
      <c r="H5" t="inlineStr">
        <is>
          <t>其他直接费</t>
        </is>
      </c>
      <c r="I5" t="inlineStr">
        <is>
          <t>上年12月</t>
        </is>
      </c>
      <c r="J5">
        <f>(_辅助!$J$7-1)*100+12</f>
        <v>202512</v>
      </c>
      <c r="L5" t="str">
        <f>IFERROR(INDEX(往来单位!$B$4:$B$303,MATCH(5,$N$1:$N$300,0))&amp;"","")</f>
        <v>德安县博河产业控股集团有限公司</v>
      </c>
      <c r="N5" s="2">
        <f>SUM(CA1:CA5)</f>
        <v>5</v>
      </c>
      <c r="P5">
        <f>IF(A5="",0,LEN(A5)*10000+9995)</f>
        <v>49995</v>
      </c>
      <c r="Q5">
        <f>IF(LARGE($P$1:$P$240,5)=0,0,MATCH(LARGE($P$1:$P$240,5),$P$1:$P$240,0))</f>
        <v>9</v>
      </c>
      <c r="R5" t="str">
        <f t="shared" si="60"/>
        <v>九安架空层</v>
      </c>
      <c r="S5" t="str">
        <f t="shared" si="61"/>
        <v>九安架空层</v>
      </c>
      <c r="T5">
        <f>IF(C5="",0,LEN(C5)*10000+9995)</f>
        <v>0</v>
      </c>
      <c r="U5">
        <f>IF(LARGE($T$1:$T$900,5)=0,0,MATCH(LARGE($T$1:$T$900,5),$T$1:$T$900,0))</f>
        <v>4</v>
      </c>
      <c r="V5" t="str">
        <f t="shared" si="62"/>
        <v>德安县市政工程公司</v>
      </c>
      <c r="W5" t="str">
        <f t="shared" si="63"/>
        <v>德安县市政工程公司</v>
      </c>
      <c r="X5">
        <f>IF(F5="",0,LEN(F5)*10000+9995)</f>
        <v>59995</v>
      </c>
      <c r="Y5">
        <f>IF(LARGE($X$1:$X$40,5)=0,0,MATCH(LARGE($X$1:$X$40,5),$X$1:$X$40,0))</f>
        <v>2</v>
      </c>
      <c r="Z5" t="str">
        <f t="shared" si="64"/>
        <v>农业银行</v>
      </c>
      <c r="AA5" t="str">
        <f t="shared" si="65"/>
        <v>农业银行</v>
      </c>
      <c r="AB5">
        <f>IF(OR(基础资料!$AB$9="全",基础资料!$AB$9="收"),基础资料!$AA$9&amp;"","")</f>
      </c>
      <c r="AC5" t="str">
        <f>IF(OR(基础资料!$AB$9="全",基础资料!$AB$9="支"),基础资料!$AA$9&amp;"","")</f>
        <v>车款</v>
      </c>
      <c r="CA5" s="2">
        <f>IF(往来单位!$C$8="甲方/总包",1,0)</f>
        <v>1</v>
      </c>
    </row>
    <row r="6">
      <c r="A6" t="str">
        <f>IF(项目档案!$B$5="","",TRIM(项目档案!$O$5&amp;""))</f>
        <v>科创</v>
      </c>
      <c r="B6" t="str">
        <f t="shared" si="1"/>
        <v>科创中心</v>
      </c>
      <c r="C6">
        <f>IF(往来单位!$B$5="","",TRIM(往来单位!$E$5&amp;""))</f>
      </c>
      <c r="D6" t="str">
        <f>往来单位!$B$5&amp;""</f>
        <v>德安县市政工程公司</v>
      </c>
      <c r="E6" t="str">
        <f>IF(项目档案!$B$8="","",项目档案!$B$8)</f>
        <v>邹桥派出所</v>
      </c>
      <c r="F6" t="str">
        <f>TRIM(基础资料!$G$10&amp;"")</f>
        <v>王伟个人户</v>
      </c>
      <c r="G6" t="str">
        <f>基础资料!$G$10&amp;""</f>
        <v>王伟个人户</v>
      </c>
      <c r="H6" t="inlineStr">
        <is>
          <t>票据贴息</t>
        </is>
      </c>
      <c r="I6" t="inlineStr">
        <is>
          <t>建账年</t>
        </is>
      </c>
      <c r="J6">
        <f>YEAR(基础资料!$C$9)</f>
        <v>2026</v>
      </c>
      <c r="L6" t="str">
        <f>IFERROR(INDEX(往来单位!$B$4:$B$303,MATCH(6,$N$1:$N$300,0))&amp;"","")</f>
        <v>德安农商银行</v>
      </c>
      <c r="N6" s="2">
        <f>SUM(CA1:CA6)</f>
        <v>6</v>
      </c>
      <c r="P6">
        <f>IF(A6="",0,LEN(A6)*10000+9994)</f>
        <v>29994</v>
      </c>
      <c r="Q6">
        <f>IF(LARGE($P$1:$P$240,6)=0,0,MATCH(LARGE($P$1:$P$240,6),$P$1:$P$240,0))</f>
        <v>13</v>
      </c>
      <c r="R6" t="str">
        <f t="shared" si="60"/>
        <v>数字产业园</v>
      </c>
      <c r="S6" t="str">
        <f t="shared" si="61"/>
        <v>数字产业园</v>
      </c>
      <c r="T6">
        <f>IF(C6="",0,LEN(C6)*10000+9994)</f>
        <v>0</v>
      </c>
      <c r="U6">
        <f>IF(LARGE($T$1:$T$900,6)=0,0,MATCH(LARGE($T$1:$T$900,6),$T$1:$T$900,0))</f>
        <v>25</v>
      </c>
      <c r="V6" t="str">
        <f t="shared" si="62"/>
        <v>九江安洋钢材熊总</v>
      </c>
      <c r="W6" t="str">
        <f t="shared" si="63"/>
        <v>九江安洋钢材熊总</v>
      </c>
      <c r="X6">
        <f>IF(F6="",0,LEN(F6)*10000+9994)</f>
        <v>59994</v>
      </c>
      <c r="Y6">
        <f>IF(LARGE($X$1:$X$40,6)=0,0,MATCH(LARGE($X$1:$X$40,6),$X$1:$X$40,0))</f>
        <v>3</v>
      </c>
      <c r="Z6" t="str">
        <f t="shared" si="64"/>
        <v>工商银行</v>
      </c>
      <c r="AA6" t="str">
        <f t="shared" si="65"/>
        <v>工商银行</v>
      </c>
      <c r="AB6" t="str">
        <f>IF(OR(基础资料!$AB$10="全",基础资料!$AB$10="收"),基础资料!$AA$10&amp;"","")</f>
        <v>印花</v>
      </c>
      <c r="AC6" t="str">
        <f>IF(OR(基础资料!$AB$10="全",基础资料!$AB$10="支"),基础资料!$AA$10&amp;"","")</f>
        <v>印花</v>
      </c>
      <c r="CA6" s="2">
        <f>IF(往来单位!$C$9="甲方/总包",1,0)</f>
        <v>1</v>
      </c>
    </row>
    <row r="7">
      <c r="A7">
        <f>IF(项目档案!$B$5="","",TRIM(项目档案!$P$5&amp;""))</f>
      </c>
      <c r="B7" t="str">
        <f t="shared" si="1"/>
        <v>科创中心</v>
      </c>
      <c r="C7" t="str">
        <f>IF(往来单位!$B$6="","",TRIM(往来单位!$B$6&amp;""))</f>
        <v>德安县水利水电建筑工程公司</v>
      </c>
      <c r="D7" t="str">
        <f>往来单位!$B$6&amp;""</f>
        <v>德安县水利水电建筑工程公司</v>
      </c>
      <c r="E7" t="str">
        <f>IF(项目档案!$B$9="","",项目档案!$B$9)</f>
        <v>抚州1号楼</v>
      </c>
      <c r="F7" t="str">
        <f>TRIM(基础资料!$G$11&amp;"")</f>
        <v>张滨个人户</v>
      </c>
      <c r="G7" t="str">
        <f>基础资料!$G$11&amp;""</f>
        <v>张滨个人户</v>
      </c>
      <c r="H7" t="inlineStr">
        <is>
          <t>管理人员工资</t>
        </is>
      </c>
      <c r="I7" t="inlineStr">
        <is>
          <t>报表年度</t>
        </is>
      </c>
      <c r="J7">
        <f>IF(ISNUMBER(首页!$C$4),首页!$C$4,YEAR(_辅助!$J$10))</f>
        <v>2026</v>
      </c>
      <c r="L7" t="str">
        <f>IFERROR(INDEX(往来单位!$B$4:$B$303,MATCH(7,$N$1:$N$300,0))&amp;"","")</f>
        <v>江西赣粤高速</v>
      </c>
      <c r="N7" s="2">
        <f>SUM(CA1:CA7)</f>
        <v>7</v>
      </c>
      <c r="P7">
        <f>IF(A7="",0,LEN(A7)*10000+9993)</f>
        <v>0</v>
      </c>
      <c r="Q7">
        <f>IF(LARGE($P$1:$P$240,7)=0,0,MATCH(LARGE($P$1:$P$240,7),$P$1:$P$240,0))</f>
        <v>17</v>
      </c>
      <c r="R7" t="str">
        <f t="shared" si="60"/>
        <v>邹桥派出所</v>
      </c>
      <c r="S7" t="str">
        <f t="shared" si="61"/>
        <v>邹桥派出所</v>
      </c>
      <c r="T7">
        <f>IF(C7="",0,LEN(C7)*10000+9993)</f>
        <v>139993</v>
      </c>
      <c r="U7">
        <f>IF(LARGE($T$1:$T$900,7)=0,0,MATCH(LARGE($T$1:$T$900,7),$T$1:$T$900,0))</f>
        <v>37</v>
      </c>
      <c r="V7" t="str">
        <f t="shared" si="62"/>
        <v>杭州行消物资贸易</v>
      </c>
      <c r="W7" t="str">
        <f t="shared" si="63"/>
        <v>杭州行消物资贸易</v>
      </c>
      <c r="X7">
        <f>IF(F7="",0,LEN(F7)*10000+9993)</f>
        <v>59993</v>
      </c>
      <c r="Y7">
        <f>IF(LARGE($X$1:$X$40,7)=0,0,MATCH(LARGE($X$1:$X$40,7),$X$1:$X$40,0))</f>
        <v>8</v>
      </c>
      <c r="Z7" t="str">
        <f t="shared" si="64"/>
        <v>承兑汇票</v>
      </c>
      <c r="AA7" t="str">
        <f t="shared" si="65"/>
        <v>承兑汇票</v>
      </c>
      <c r="AB7" t="str">
        <f>IF(OR(基础资料!$AB$11="全",基础资料!$AB$11="收"),基础资料!$AA$11&amp;"","")</f>
        <v>转九江银行</v>
      </c>
      <c r="AC7" t="str">
        <f>IF(OR(基础资料!$AB$11="全",基础资料!$AB$11="支"),基础资料!$AA$11&amp;"","")</f>
        <v>转九江银行</v>
      </c>
      <c r="CA7" s="2">
        <f>IF(往来单位!$C$10="甲方/总包",1,0)</f>
        <v>1</v>
      </c>
    </row>
    <row r="8">
      <c r="A8">
        <f>IF(项目档案!$B$5="","",TRIM(项目档案!$Q$5&amp;""))</f>
      </c>
      <c r="B8" t="str">
        <f t="shared" si="1"/>
        <v>科创中心</v>
      </c>
      <c r="C8">
        <f>IF(往来单位!$B$6="","",TRIM(往来单位!$D$6&amp;""))</f>
      </c>
      <c r="D8" t="str">
        <f>往来单位!$B$6&amp;""</f>
        <v>德安县水利水电建筑工程公司</v>
      </c>
      <c r="E8" t="str">
        <f>IF(项目档案!$B$10="","",项目档案!$B$10)</f>
        <v>抚州8号楼</v>
      </c>
      <c r="F8" t="str">
        <f>TRIM(基础资料!$G$12&amp;"")</f>
        <v>承兑汇票</v>
      </c>
      <c r="G8" t="str">
        <f>基础资料!$G$12&amp;""</f>
        <v>承兑汇票</v>
      </c>
      <c r="H8" t="inlineStr">
        <is>
          <t>社保费</t>
        </is>
      </c>
      <c r="I8" t="inlineStr">
        <is>
          <t>截止几月</t>
        </is>
      </c>
      <c r="J8">
        <f>MOD(_辅助!$J$2,100)</f>
        <v>8</v>
      </c>
      <c r="L8">
        <f>IFERROR(INDEX(往来单位!$B$4:$B$303,MATCH(8,$N$1:$N$300,0))&amp;"","")</f>
      </c>
      <c r="N8" s="2">
        <f>SUM(CA1:CA8)</f>
        <v>7</v>
      </c>
      <c r="P8">
        <f>IF(A8="",0,LEN(A8)*10000+9992)</f>
        <v>0</v>
      </c>
      <c r="Q8">
        <f>IF(LARGE($P$1:$P$240,8)=0,0,MATCH(LARGE($P$1:$P$240,8),$P$1:$P$240,0))</f>
        <v>21</v>
      </c>
      <c r="R8" t="str">
        <f t="shared" si="60"/>
        <v>抚州1号楼</v>
      </c>
      <c r="S8" t="str">
        <f t="shared" si="61"/>
        <v>抚州1号楼</v>
      </c>
      <c r="T8">
        <f>IF(C8="",0,LEN(C8)*10000+9992)</f>
        <v>0</v>
      </c>
      <c r="U8">
        <f>IF(LARGE($T$1:$T$900,8)=0,0,MATCH(LARGE($T$1:$T$900,8),$T$1:$T$900,0))</f>
        <v>67</v>
      </c>
      <c r="V8" t="str">
        <f t="shared" si="62"/>
        <v>四川久远智能消防</v>
      </c>
      <c r="W8" t="str">
        <f t="shared" si="63"/>
        <v>四川久远智能消防</v>
      </c>
      <c r="X8">
        <f>IF(F8="",0,LEN(F8)*10000+9992)</f>
        <v>49992</v>
      </c>
      <c r="Y8">
        <f>IF(LARGE($X$1:$X$40,8)=0,0,MATCH(LARGE($X$1:$X$40,8),$X$1:$X$40,0))</f>
        <v>4</v>
      </c>
      <c r="Z8" t="str">
        <f t="shared" si="64"/>
        <v>现金</v>
      </c>
      <c r="AA8" t="str">
        <f t="shared" si="65"/>
        <v>现金</v>
      </c>
      <c r="AB8" t="str">
        <f>IF(OR(基础资料!$AB$12="全",基础资料!$AB$12="收"),基础资料!$AA$12&amp;"","")</f>
        <v>转农业银行</v>
      </c>
      <c r="AC8" t="str">
        <f>IF(OR(基础资料!$AB$12="全",基础资料!$AB$12="支"),基础资料!$AA$12&amp;"","")</f>
        <v>转农业银行</v>
      </c>
      <c r="CA8" s="2">
        <f>IF(往来单位!$C$11="甲方/总包",1,0)</f>
        <v>0</v>
      </c>
    </row>
    <row r="9">
      <c r="A9" t="str">
        <f>IF(项目档案!$B$6="","",TRIM(项目档案!$B$6&amp;""))</f>
        <v>九安架空层</v>
      </c>
      <c r="B9" t="str">
        <f t="shared" ref="B9:B12" si="2">项目档案!$B$6&amp;""</f>
        <v>九安架空层</v>
      </c>
      <c r="C9">
        <f>IF(往来单位!$B$6="","",TRIM(往来单位!$E$6&amp;""))</f>
      </c>
      <c r="D9" t="str">
        <f>往来单位!$B$6&amp;""</f>
        <v>德安县水利水电建筑工程公司</v>
      </c>
      <c r="E9" t="str">
        <f>IF(项目档案!$B$11="","",项目档案!$B$11)</f>
        <v>抚州2号楼</v>
      </c>
      <c r="F9">
        <f>TRIM(基础资料!$G$13&amp;"")</f>
      </c>
      <c r="G9">
        <f>基础资料!$G$13&amp;""</f>
      </c>
      <c r="H9" t="inlineStr">
        <is>
          <t>办公费</t>
        </is>
      </c>
      <c r="I9" t="inlineStr">
        <is>
          <t>截止日（月底）</t>
        </is>
      </c>
      <c r="J9">
        <f>EOMONTH(IF(ISNUMBER(首页!$F$4),首页!$F$4,IF(YEAR(_辅助!$J$10)=_辅助!$J$7,_辅助!$J$10,DATE(_辅助!$J$7,12,31))),0)</f>
        <v>46265</v>
      </c>
      <c r="L9">
        <f>IFERROR(INDEX(往来单位!$B$4:$B$303,MATCH(9,$N$1:$N$300,0))&amp;"","")</f>
      </c>
      <c r="N9" s="2">
        <f>SUM(CA1:CA9)</f>
        <v>7</v>
      </c>
      <c r="P9">
        <f>IF(A9="",0,LEN(A9)*10000+9991)</f>
        <v>59991</v>
      </c>
      <c r="Q9">
        <f>IF(LARGE($P$1:$P$240,9)=0,0,MATCH(LARGE($P$1:$P$240,9),$P$1:$P$240,0))</f>
        <v>25</v>
      </c>
      <c r="R9" t="str">
        <f t="shared" si="60"/>
        <v>抚州8号楼</v>
      </c>
      <c r="S9" t="str">
        <f t="shared" si="61"/>
        <v>抚州8号楼</v>
      </c>
      <c r="T9">
        <f>IF(C9="",0,LEN(C9)*10000+9991)</f>
        <v>0</v>
      </c>
      <c r="U9">
        <f>IF(LARGE($T$1:$T$900,9)=0,0,MATCH(LARGE($T$1:$T$900,9),$T$1:$T$900,0))</f>
        <v>112</v>
      </c>
      <c r="V9" t="str">
        <f t="shared" si="62"/>
        <v>德安县恒建工程部</v>
      </c>
      <c r="W9" t="str">
        <f t="shared" si="63"/>
        <v>德安县恒建工程部</v>
      </c>
      <c r="X9">
        <f>IF(F9="",0,LEN(F9)*10000+9991)</f>
        <v>0</v>
      </c>
      <c r="Y9">
        <f>IF(LARGE($X$1:$X$40,9)=0,0,MATCH(LARGE($X$1:$X$40,9),$X$1:$X$40,0))</f>
        <v>25</v>
      </c>
      <c r="Z9" t="str">
        <f t="shared" si="64"/>
        <v>聂辉</v>
      </c>
      <c r="AA9" t="str">
        <f t="shared" si="65"/>
        <v>聂辉个人户</v>
      </c>
      <c r="AB9" t="str">
        <f>IF(OR(基础资料!$AB$13="全",基础资料!$AB$13="收"),基础资料!$AA$13&amp;"","")</f>
        <v>转工商银行</v>
      </c>
      <c r="AC9" t="str">
        <f>IF(OR(基础资料!$AB$13="全",基础资料!$AB$13="支"),基础资料!$AA$13&amp;"","")</f>
        <v>转工商银行</v>
      </c>
      <c r="CA9" s="2">
        <f>IF(往来单位!$C$12="甲方/总包",1,0)</f>
        <v>0</v>
      </c>
    </row>
    <row r="10">
      <c r="A10" t="str">
        <f>IF(项目档案!$B$6="","",TRIM(项目档案!$O$6&amp;""))</f>
        <v>架空层</v>
      </c>
      <c r="B10" t="str">
        <f t="shared" si="2"/>
        <v>九安架空层</v>
      </c>
      <c r="C10" t="str">
        <f>IF(往来单位!$B$7="","",TRIM(往来单位!$B$7&amp;""))</f>
        <v>江西揽之建设工程有限公司</v>
      </c>
      <c r="D10" t="str">
        <f>往来单位!$B$7&amp;""</f>
        <v>江西揽之建设工程有限公司</v>
      </c>
      <c r="E10" t="str">
        <f>IF(项目档案!$B$12="","",项目档案!$B$12)</f>
        <v>博河科创中心</v>
      </c>
      <c r="F10">
        <f>TRIM(基础资料!$G$14&amp;"")</f>
      </c>
      <c r="G10">
        <f>基础资料!$G$14&amp;""</f>
      </c>
      <c r="H10" t="inlineStr">
        <is>
          <t>食堂伙食</t>
        </is>
      </c>
      <c r="I10" t="inlineStr">
        <is>
          <t>最后一笔</t>
        </is>
      </c>
      <c r="J10">
        <f>IF(MAX(资金流水!$B$6:$B$2005)=0,基础资料!$C$9,MAX(资金流水!$B$6:$B$2005))</f>
        <v>46262.0</v>
      </c>
      <c r="L10">
        <f>IFERROR(INDEX(往来单位!$B$4:$B$303,MATCH(10,$N$1:$N$300,0))&amp;"","")</f>
      </c>
      <c r="N10" s="2">
        <f>SUM(CA1:CA10)</f>
        <v>7</v>
      </c>
      <c r="P10">
        <f>IF(A10="",0,LEN(A10)*10000+9990)</f>
        <v>39990</v>
      </c>
      <c r="Q10">
        <f>IF(LARGE($P$1:$P$240,10)=0,0,MATCH(LARGE($P$1:$P$240,10),$P$1:$P$240,0))</f>
        <v>29</v>
      </c>
      <c r="R10" t="str">
        <f t="shared" si="60"/>
        <v>抚州2号楼</v>
      </c>
      <c r="S10" t="str">
        <f t="shared" si="61"/>
        <v>抚州2号楼</v>
      </c>
      <c r="T10">
        <f>IF(C10="",0,LEN(C10)*10000+9990)</f>
        <v>129990</v>
      </c>
      <c r="U10">
        <f>IF(LARGE($T$1:$T$900,10)=0,0,MATCH(LARGE($T$1:$T$900,10),$T$1:$T$900,0))</f>
        <v>94</v>
      </c>
      <c r="V10" t="str">
        <f t="shared" si="62"/>
        <v>张小朋（分包）</v>
      </c>
      <c r="W10" t="str">
        <f t="shared" si="63"/>
        <v>张小朋（分包）</v>
      </c>
      <c r="X10">
        <f>IF(F10="",0,LEN(F10)*10000+9990)</f>
        <v>0</v>
      </c>
      <c r="Y10">
        <f>IF(LARGE($X$1:$X$40,10)=0,0,MATCH(LARGE($X$1:$X$40,10),$X$1:$X$40,0))</f>
        <v>26</v>
      </c>
      <c r="Z10" t="str">
        <f t="shared" si="64"/>
        <v>王伟</v>
      </c>
      <c r="AA10" t="str">
        <f t="shared" si="65"/>
        <v>王伟个人户</v>
      </c>
      <c r="AB10" t="str">
        <f>IF(OR(基础资料!$AB$14="全",基础资料!$AB$14="收"),基础资料!$AA$14&amp;"","")</f>
        <v>转竣辉</v>
      </c>
      <c r="AC10" t="str">
        <f>IF(OR(基础资料!$AB$14="全",基础资料!$AB$14="支"),基础资料!$AA$14&amp;"","")</f>
        <v>转竣辉</v>
      </c>
      <c r="CA10" s="2">
        <f>IF(往来单位!$C$13="甲方/总包",1,0)</f>
        <v>0</v>
      </c>
    </row>
    <row r="11">
      <c r="A11" t="str">
        <f>IF(项目档案!$B$6="","",TRIM(项目档案!$P$6&amp;""))</f>
        <v>九安</v>
      </c>
      <c r="B11" t="str">
        <f t="shared" si="2"/>
        <v>九安架空层</v>
      </c>
      <c r="C11">
        <f>IF(往来单位!$B$7="","",TRIM(往来单位!$D$7&amp;""))</f>
      </c>
      <c r="D11" t="str">
        <f>往来单位!$B$7&amp;""</f>
        <v>江西揽之建设工程有限公司</v>
      </c>
      <c r="E11" t="str">
        <f>IF(项目档案!$B$13="","",项目档案!$B$13)</f>
        <v>德安农商行总部</v>
      </c>
      <c r="F11">
        <f>TRIM(基础资料!$G$15&amp;"")</f>
      </c>
      <c r="G11">
        <f>基础资料!$G$15&amp;""</f>
      </c>
      <c r="H11" t="inlineStr">
        <is>
          <t>业务招待费</t>
        </is>
      </c>
      <c r="L11">
        <f>IFERROR(INDEX(往来单位!$B$4:$B$303,MATCH(11,$N$1:$N$300,0))&amp;"","")</f>
      </c>
      <c r="N11" s="2">
        <f>SUM(CA1:CA11)</f>
        <v>7</v>
      </c>
      <c r="P11">
        <f>IF(A11="",0,LEN(A11)*10000+9989)</f>
        <v>29989</v>
      </c>
      <c r="Q11">
        <f>IF(LARGE($P$1:$P$240,11)=0,0,MATCH(LARGE($P$1:$P$240,11),$P$1:$P$240,0))</f>
        <v>55</v>
      </c>
      <c r="R11" t="str">
        <f t="shared" si="60"/>
        <v>共青办公楼</v>
      </c>
      <c r="S11" t="str">
        <f t="shared" si="61"/>
        <v>隆世光伏</v>
      </c>
      <c r="T11">
        <f>IF(C11="",0,LEN(C11)*10000+9989)</f>
        <v>0</v>
      </c>
      <c r="U11">
        <f>IF(LARGE($T$1:$T$900,11)=0,0,MATCH(LARGE($T$1:$T$900,11),$T$1:$T$900,0))</f>
        <v>103</v>
      </c>
      <c r="V11" t="str">
        <f t="shared" si="62"/>
        <v>程章赐（分包）</v>
      </c>
      <c r="W11" t="str">
        <f t="shared" si="63"/>
        <v>程章赐（分包）</v>
      </c>
      <c r="X11">
        <f>IF(F11="",0,LEN(F11)*10000+9989)</f>
        <v>0</v>
      </c>
      <c r="Y11">
        <f>IF(LARGE($X$1:$X$40,11)=0,0,MATCH(LARGE($X$1:$X$40,11),$X$1:$X$40,0))</f>
        <v>27</v>
      </c>
      <c r="Z11" t="str">
        <f t="shared" si="64"/>
        <v>张滨</v>
      </c>
      <c r="AA11" t="str">
        <f t="shared" si="65"/>
        <v>张滨个人户</v>
      </c>
      <c r="AB11" t="str">
        <f>IF(OR(基础资料!$AB$15="全",基础资料!$AB$15="收"),基础资料!$AA$15&amp;"","")</f>
        <v>互转</v>
      </c>
      <c r="AC11" t="str">
        <f>IF(OR(基础资料!$AB$15="全",基础资料!$AB$15="支"),基础资料!$AA$15&amp;"","")</f>
        <v>互转</v>
      </c>
      <c r="CA11" s="2">
        <f>IF(往来单位!$C$14="甲方/总包",1,0)</f>
        <v>0</v>
      </c>
    </row>
    <row r="12">
      <c r="A12">
        <f>IF(项目档案!$B$6="","",TRIM(项目档案!$Q$6&amp;""))</f>
      </c>
      <c r="B12" t="str">
        <f t="shared" si="2"/>
        <v>九安架空层</v>
      </c>
      <c r="C12">
        <f>IF(往来单位!$B$7="","",TRIM(往来单位!$E$7&amp;""))</f>
      </c>
      <c r="D12" t="str">
        <f>往来单位!$B$7&amp;""</f>
        <v>江西揽之建设工程有限公司</v>
      </c>
      <c r="E12" t="str">
        <f>IF(项目档案!$B$14="","",项目档案!$B$14)</f>
        <v>示范园</v>
      </c>
      <c r="F12">
        <f>TRIM(基础资料!$G$16&amp;"")</f>
      </c>
      <c r="G12">
        <f>基础资料!$G$16&amp;""</f>
      </c>
      <c r="H12" t="inlineStr">
        <is>
          <t>车辆差旅</t>
        </is>
      </c>
      <c r="L12">
        <f>IFERROR(INDEX(往来单位!$B$4:$B$303,MATCH(12,$N$1:$N$300,0))&amp;"","")</f>
      </c>
      <c r="N12" s="2">
        <f>SUM(CA1:CA12)</f>
        <v>7</v>
      </c>
      <c r="P12">
        <f>IF(A12="",0,LEN(A12)*10000+9988)</f>
        <v>0</v>
      </c>
      <c r="Q12">
        <f>IF(LARGE($P$1:$P$240,12)=0,0,MATCH(LARGE($P$1:$P$240,12),$P$1:$P$240,0))</f>
        <v>57</v>
      </c>
      <c r="R12" t="str">
        <f t="shared" si="60"/>
        <v>中国联项目</v>
      </c>
      <c r="S12" t="str">
        <f t="shared" si="61"/>
        <v>中国联项目</v>
      </c>
      <c r="T12">
        <f>IF(C12="",0,LEN(C12)*10000+9988)</f>
        <v>0</v>
      </c>
      <c r="U12">
        <f>IF(LARGE($T$1:$T$900,12)=0,0,MATCH(LARGE($T$1:$T$900,12),$T$1:$T$900,0))</f>
        <v>16</v>
      </c>
      <c r="V12" t="str">
        <f t="shared" si="62"/>
        <v>德安农商银行</v>
      </c>
      <c r="W12" t="str">
        <f t="shared" si="63"/>
        <v>德安农商银行</v>
      </c>
      <c r="X12">
        <f>IF(F12="",0,LEN(F12)*10000+9988)</f>
        <v>0</v>
      </c>
      <c r="Y12">
        <f>IF(LARGE($X$1:$X$40,12)=0,0,MATCH(LARGE($X$1:$X$40,12),$X$1:$X$40,0))</f>
        <v>0</v>
      </c>
      <c r="Z12">
        <f t="shared" si="64"/>
      </c>
      <c r="AA12">
        <f t="shared" si="65"/>
      </c>
      <c r="AB12" t="str">
        <f>IF(OR(基础资料!$AB$16="全",基础资料!$AB$16="收"),基础资料!$AA$16&amp;"","")</f>
        <v>转入</v>
      </c>
      <c r="AC12">
        <f>IF(OR(基础资料!$AB$16="全",基础资料!$AB$16="支"),基础资料!$AA$16&amp;"","")</f>
      </c>
      <c r="CA12" s="2">
        <f>IF(往来单位!$C$15="甲方/总包",1,0)</f>
        <v>0</v>
      </c>
    </row>
    <row r="13">
      <c r="A13" t="str">
        <f>IF(项目档案!$B$7="","",TRIM(项目档案!$B$7&amp;""))</f>
        <v>数字产业园</v>
      </c>
      <c r="B13" t="str">
        <f t="shared" ref="B13:B16" si="3">项目档案!$B$7&amp;""</f>
        <v>数字产业园</v>
      </c>
      <c r="C13" t="str">
        <f>IF(往来单位!$B$8="","",TRIM(往来单位!$B$8&amp;""))</f>
        <v>德安县博河产业控股集团有限公司</v>
      </c>
      <c r="D13" t="str">
        <f>往来单位!$B$8&amp;""</f>
        <v>德安县博河产业控股集团有限公司</v>
      </c>
      <c r="E13" t="str">
        <f>IF(项目档案!$B$15="","",项目档案!$B$15)</f>
        <v>恒科华府</v>
      </c>
      <c r="F13">
        <f>TRIM(基础资料!$G$17&amp;"")</f>
      </c>
      <c r="G13">
        <f>基础资料!$G$17&amp;""</f>
      </c>
      <c r="H13" t="inlineStr">
        <is>
          <t>折旧费</t>
        </is>
      </c>
      <c r="L13">
        <f>IFERROR(INDEX(往来单位!$B$4:$B$303,MATCH(13,$N$1:$N$300,0))&amp;"","")</f>
      </c>
      <c r="N13" s="2">
        <f>SUM(CA1:CA13)</f>
        <v>7</v>
      </c>
      <c r="P13">
        <f>IF(A13="",0,LEN(A13)*10000+9987)</f>
        <v>59987</v>
      </c>
      <c r="Q13">
        <f>IF(LARGE($P$1:$P$240,13)=0,0,MATCH(LARGE($P$1:$P$240,13),$P$1:$P$240,0))</f>
        <v>3</v>
      </c>
      <c r="R13" t="str">
        <f t="shared" si="60"/>
        <v>养老中心</v>
      </c>
      <c r="S13" t="str">
        <f t="shared" si="61"/>
        <v>德安养老中心</v>
      </c>
      <c r="T13">
        <f>IF(C13="",0,LEN(C13)*10000+9987)</f>
        <v>159987</v>
      </c>
      <c r="U13">
        <f>IF(LARGE($T$1:$T$900,13)=0,0,MATCH(LARGE($T$1:$T$900,13),$T$1:$T$900,0))</f>
        <v>19</v>
      </c>
      <c r="V13" t="str">
        <f t="shared" si="62"/>
        <v>江西赣粤高速</v>
      </c>
      <c r="W13" t="str">
        <f t="shared" si="63"/>
        <v>江西赣粤高速</v>
      </c>
      <c r="X13">
        <f>IF(F13="",0,LEN(F13)*10000+9987)</f>
        <v>0</v>
      </c>
      <c r="Y13">
        <f>IF(LARGE($X$1:$X$40,13)=0,0,MATCH(LARGE($X$1:$X$40,13),$X$1:$X$40,0))</f>
        <v>0</v>
      </c>
      <c r="Z13">
        <f t="shared" si="64"/>
      </c>
      <c r="AA13">
        <f t="shared" si="65"/>
      </c>
      <c r="AB13">
        <f>IF(OR(基础资料!$AB$17="全",基础资料!$AB$17="收"),基础资料!$AA$17&amp;"","")</f>
      </c>
      <c r="AC13" t="str">
        <f>IF(OR(基础资料!$AB$17="全",基础资料!$AB$17="支"),基础资料!$AA$17&amp;"","")</f>
        <v>转出</v>
      </c>
      <c r="CA13" s="2">
        <f>IF(往来单位!$C$16="甲方/总包",1,0)</f>
        <v>0</v>
      </c>
    </row>
    <row r="14">
      <c r="A14" t="str">
        <f>IF(项目档案!$B$7="","",TRIM(项目档案!$O$7&amp;""))</f>
        <v>产业园</v>
      </c>
      <c r="B14" t="str">
        <f t="shared" si="3"/>
        <v>数字产业园</v>
      </c>
      <c r="C14">
        <f>IF(往来单位!$B$8="","",TRIM(往来单位!$D$8&amp;""))</f>
      </c>
      <c r="D14" t="str">
        <f>往来单位!$B$8&amp;""</f>
        <v>德安县博河产业控股集团有限公司</v>
      </c>
      <c r="E14" t="str">
        <f>IF(项目档案!$B$16="","",项目档案!$B$16)</f>
        <v>赣粤高速</v>
      </c>
      <c r="F14">
        <f>TRIM(基础资料!$G$18&amp;"")</f>
      </c>
      <c r="G14">
        <f>基础资料!$G$18&amp;""</f>
      </c>
      <c r="H14" t="inlineStr">
        <is>
          <t>其他管理费</t>
        </is>
      </c>
      <c r="L14">
        <f>IFERROR(INDEX(往来单位!$B$4:$B$303,MATCH(14,$N$1:$N$300,0))&amp;"","")</f>
      </c>
      <c r="N14" s="2">
        <f>SUM(CA1:CA14)</f>
        <v>7</v>
      </c>
      <c r="P14">
        <f>IF(A14="",0,LEN(A14)*10000+9986)</f>
        <v>39986</v>
      </c>
      <c r="Q14">
        <f>IF(LARGE($P$1:$P$240,14)=0,0,MATCH(LARGE($P$1:$P$240,14),$P$1:$P$240,0))</f>
        <v>5</v>
      </c>
      <c r="R14" t="str">
        <f t="shared" si="60"/>
        <v>科创中心</v>
      </c>
      <c r="S14" t="str">
        <f t="shared" si="61"/>
        <v>科创中心</v>
      </c>
      <c r="T14">
        <f>IF(C14="",0,LEN(C14)*10000+9986)</f>
        <v>0</v>
      </c>
      <c r="U14">
        <f>IF(LARGE($T$1:$T$900,14)=0,0,MATCH(LARGE($T$1:$T$900,14),$T$1:$T$900,0))</f>
        <v>20</v>
      </c>
      <c r="V14" t="str">
        <f t="shared" si="62"/>
        <v>赣粤高速公路</v>
      </c>
      <c r="W14" t="str">
        <f t="shared" si="63"/>
        <v>江西赣粤高速</v>
      </c>
      <c r="X14">
        <f>IF(F14="",0,LEN(F14)*10000+9986)</f>
        <v>0</v>
      </c>
      <c r="Y14">
        <f>IF(LARGE($X$1:$X$40,14)=0,0,MATCH(LARGE($X$1:$X$40,14),$X$1:$X$40,0))</f>
        <v>0</v>
      </c>
      <c r="Z14">
        <f t="shared" si="64"/>
      </c>
      <c r="AA14">
        <f t="shared" si="65"/>
      </c>
      <c r="AB14" t="str">
        <f>IF(OR(基础资料!$AB$18="全",基础资料!$AB$18="收"),基础资料!$AA$18&amp;"","")</f>
        <v>工资退回</v>
      </c>
      <c r="AC14">
        <f>IF(OR(基础资料!$AB$18="全",基础资料!$AB$18="支"),基础资料!$AA$18&amp;"","")</f>
      </c>
      <c r="CA14" s="2">
        <f>IF(往来单位!$C$17="甲方/总包",1,0)</f>
        <v>0</v>
      </c>
    </row>
    <row r="15">
      <c r="A15">
        <f>IF(项目档案!$B$7="","",TRIM(项目档案!$P$7&amp;""))</f>
      </c>
      <c r="B15" t="str">
        <f t="shared" si="3"/>
        <v>数字产业园</v>
      </c>
      <c r="C15">
        <f>IF(往来单位!$B$8="","",TRIM(往来单位!$E$8&amp;""))</f>
      </c>
      <c r="D15" t="str">
        <f>往来单位!$B$8&amp;""</f>
        <v>德安县博河产业控股集团有限公司</v>
      </c>
      <c r="E15" t="str">
        <f>IF(项目档案!$B$17="","",项目档案!$B$17)</f>
        <v>隆世光伏</v>
      </c>
      <c r="F15">
        <f>TRIM(基础资料!$G$19&amp;"")</f>
      </c>
      <c r="G15">
        <f>基础资料!$G$19&amp;""</f>
      </c>
      <c r="H15" t="inlineStr">
        <is>
          <t>利息支出</t>
        </is>
      </c>
      <c r="L15">
        <f>IFERROR(INDEX(往来单位!$B$4:$B$303,MATCH(15,$N$1:$N$300,0))&amp;"","")</f>
      </c>
      <c r="N15" s="2">
        <f>SUM(CA1:CA15)</f>
        <v>7</v>
      </c>
      <c r="P15">
        <f>IF(A15="",0,LEN(A15)*10000+9985)</f>
        <v>0</v>
      </c>
      <c r="Q15">
        <f>IF(LARGE($P$1:$P$240,15)=0,0,MATCH(LARGE($P$1:$P$240,15),$P$1:$P$240,0))</f>
        <v>22</v>
      </c>
      <c r="R15" t="str">
        <f t="shared" si="60"/>
        <v>抚州1#</v>
      </c>
      <c r="S15" t="str">
        <f t="shared" si="61"/>
        <v>抚州1号楼</v>
      </c>
      <c r="T15">
        <f>IF(C15="",0,LEN(C15)*10000+9985)</f>
        <v>0</v>
      </c>
      <c r="U15">
        <f>IF(LARGE($T$1:$T$900,15)=0,0,MATCH(LARGE($T$1:$T$900,15),$T$1:$T$900,0))</f>
        <v>28</v>
      </c>
      <c r="V15" t="str">
        <f t="shared" si="62"/>
        <v>鑫城五金庄总</v>
      </c>
      <c r="W15" t="str">
        <f t="shared" si="63"/>
        <v>鑫城五金庄总</v>
      </c>
      <c r="X15">
        <f>IF(F15="",0,LEN(F15)*10000+9985)</f>
        <v>0</v>
      </c>
      <c r="Y15">
        <f>IF(LARGE($X$1:$X$40,15)=0,0,MATCH(LARGE($X$1:$X$40,15),$X$1:$X$40,0))</f>
        <v>0</v>
      </c>
      <c r="Z15">
        <f t="shared" si="64"/>
      </c>
      <c r="AA15">
        <f t="shared" si="65"/>
      </c>
      <c r="AB15" t="str">
        <f>IF(OR(基础资料!$AB$19="全",基础资料!$AB$19="收"),基础资料!$AA$19&amp;"","")</f>
        <v>退工资</v>
      </c>
      <c r="AC15">
        <f>IF(OR(基础资料!$AB$19="全",基础资料!$AB$19="支"),基础资料!$AA$19&amp;"","")</f>
      </c>
      <c r="CA15" s="2">
        <f>IF(往来单位!$C$18="甲方/总包",1,0)</f>
        <v>0</v>
      </c>
    </row>
    <row r="16">
      <c r="A16">
        <f>IF(项目档案!$B$7="","",TRIM(项目档案!$Q$7&amp;""))</f>
      </c>
      <c r="B16" t="str">
        <f t="shared" si="3"/>
        <v>数字产业园</v>
      </c>
      <c r="C16" t="str">
        <f>IF(往来单位!$B$9="","",TRIM(往来单位!$B$9&amp;""))</f>
        <v>德安农商银行</v>
      </c>
      <c r="D16" t="str">
        <f>往来单位!$B$9&amp;""</f>
        <v>德安农商银行</v>
      </c>
      <c r="E16" t="str">
        <f>IF(项目档案!$B$18="","",项目档案!$B$18)</f>
        <v>中国联项目</v>
      </c>
      <c r="F16">
        <f>TRIM(基础资料!$G$20&amp;"")</f>
      </c>
      <c r="G16">
        <f>基础资料!$G$20&amp;""</f>
      </c>
      <c r="H16" t="inlineStr">
        <is>
          <t>手续费</t>
        </is>
      </c>
      <c r="L16">
        <f>IFERROR(INDEX(往来单位!$B$4:$B$303,MATCH(16,$N$1:$N$300,0))&amp;"","")</f>
      </c>
      <c r="N16" s="2">
        <f>SUM(CA1:CA16)</f>
        <v>7</v>
      </c>
      <c r="P16">
        <f>IF(A16="",0,LEN(A16)*10000+9984)</f>
        <v>0</v>
      </c>
      <c r="Q16">
        <f>IF(LARGE($P$1:$P$240,16)=0,0,MATCH(LARGE($P$1:$P$240,16),$P$1:$P$240,0))</f>
        <v>26</v>
      </c>
      <c r="R16" t="str">
        <f t="shared" si="60"/>
        <v>抚州8#</v>
      </c>
      <c r="S16" t="str">
        <f t="shared" si="61"/>
        <v>抚州8号楼</v>
      </c>
      <c r="T16">
        <f>IF(C16="",0,LEN(C16)*10000+9984)</f>
        <v>69984</v>
      </c>
      <c r="U16">
        <f>IF(LARGE($T$1:$T$900,16)=0,0,MATCH(LARGE($T$1:$T$900,16),$T$1:$T$900,0))</f>
        <v>40</v>
      </c>
      <c r="V16" t="str">
        <f t="shared" si="62"/>
        <v>南昌盈厚建材</v>
      </c>
      <c r="W16" t="str">
        <f t="shared" si="63"/>
        <v>南昌盈厚建材</v>
      </c>
      <c r="X16">
        <f>IF(F16="",0,LEN(F16)*10000+9984)</f>
        <v>0</v>
      </c>
      <c r="Y16">
        <f>IF(LARGE($X$1:$X$40,16)=0,0,MATCH(LARGE($X$1:$X$40,16),$X$1:$X$40,0))</f>
        <v>0</v>
      </c>
      <c r="Z16">
        <f t="shared" si="64"/>
      </c>
      <c r="AA16">
        <f t="shared" si="65"/>
      </c>
      <c r="AB16" t="str">
        <f>IF(OR(基础资料!$AB$20="全",基础资料!$AB$20="收"),基础资料!$AA$20&amp;"","")</f>
        <v>多发退回</v>
      </c>
      <c r="AC16">
        <f>IF(OR(基础资料!$AB$20="全",基础资料!$AB$20="支"),基础资料!$AA$20&amp;"","")</f>
      </c>
      <c r="CA16" s="2">
        <f>IF(往来单位!$C$19="甲方/总包",1,0)</f>
        <v>0</v>
      </c>
    </row>
    <row r="17">
      <c r="A17" t="str">
        <f>IF(项目档案!$B$8="","",TRIM(项目档案!$B$8&amp;""))</f>
        <v>邹桥派出所</v>
      </c>
      <c r="B17" t="str">
        <f t="shared" ref="B17:B20" si="4">项目档案!$B$8&amp;""</f>
        <v>邹桥派出所</v>
      </c>
      <c r="C17" t="str">
        <f>IF(往来单位!$B$9="","",TRIM(往来单位!$D$9&amp;""))</f>
        <v>农商银行</v>
      </c>
      <c r="D17" t="str">
        <f>往来单位!$B$9&amp;""</f>
        <v>德安农商银行</v>
      </c>
      <c r="E17" t="str">
        <f>IF(项目档案!$B$19="","",项目档案!$B$19)</f>
        <v>吴山政府项目</v>
      </c>
      <c r="F17">
        <f>TRIM(基础资料!$G$21&amp;"")</f>
      </c>
      <c r="G17">
        <f>基础资料!$G$21&amp;""</f>
      </c>
      <c r="H17" t="inlineStr">
        <is>
          <t>利息收入</t>
        </is>
      </c>
      <c r="L17">
        <f>IFERROR(INDEX(往来单位!$B$4:$B$303,MATCH(17,$N$1:$N$300,0))&amp;"","")</f>
      </c>
      <c r="N17" s="2">
        <f>SUM(CA1:CA17)</f>
        <v>7</v>
      </c>
      <c r="P17">
        <f>IF(A17="",0,LEN(A17)*10000+9983)</f>
        <v>59983</v>
      </c>
      <c r="Q17">
        <f>IF(LARGE($P$1:$P$240,17)=0,0,MATCH(LARGE($P$1:$P$240,17),$P$1:$P$240,0))</f>
        <v>30</v>
      </c>
      <c r="R17" t="str">
        <f t="shared" si="60"/>
        <v>抚州2#</v>
      </c>
      <c r="S17" t="str">
        <f t="shared" si="61"/>
        <v>抚州2号楼</v>
      </c>
      <c r="T17">
        <f>IF(C17="",0,LEN(C17)*10000+9983)</f>
        <v>49983</v>
      </c>
      <c r="U17">
        <f>IF(LARGE($T$1:$T$900,17)=0,0,MATCH(LARGE($T$1:$T$900,17),$T$1:$T$900,0))</f>
        <v>43</v>
      </c>
      <c r="V17" t="str">
        <f t="shared" si="62"/>
        <v>浙缆元通电缆</v>
      </c>
      <c r="W17" t="str">
        <f t="shared" si="63"/>
        <v>浙缆元通电缆</v>
      </c>
      <c r="X17">
        <f>IF(F17="",0,LEN(F17)*10000+9983)</f>
        <v>0</v>
      </c>
      <c r="Y17">
        <f>IF(LARGE($X$1:$X$40,17)=0,0,MATCH(LARGE($X$1:$X$40,17),$X$1:$X$40,0))</f>
        <v>0</v>
      </c>
      <c r="Z17">
        <f t="shared" si="64"/>
      </c>
      <c r="AA17">
        <f t="shared" si="65"/>
      </c>
      <c r="AB17" t="str">
        <f>IF(OR(基础资料!$AB$21="全",基础资料!$AB$21="收"),基础资料!$AA$21&amp;"","")</f>
        <v>股东借款</v>
      </c>
      <c r="AC17" t="str">
        <f>IF(OR(基础资料!$AB$21="全",基础资料!$AB$21="支"),基础资料!$AA$21&amp;"","")</f>
        <v>股东借款</v>
      </c>
      <c r="CA17" s="2">
        <f>IF(往来单位!$C$20="甲方/总包",1,0)</f>
        <v>0</v>
      </c>
    </row>
    <row r="18">
      <c r="A18" t="str">
        <f>IF(项目档案!$B$8="","",TRIM(项目档案!$O$8&amp;""))</f>
        <v>邹桥</v>
      </c>
      <c r="B18" t="str">
        <f t="shared" si="4"/>
        <v>邹桥派出所</v>
      </c>
      <c r="C18">
        <f>IF(往来单位!$B$9="","",TRIM(往来单位!$E$9&amp;""))</f>
      </c>
      <c r="D18" t="str">
        <f>往来单位!$B$9&amp;""</f>
        <v>德安农商银行</v>
      </c>
      <c r="E18">
        <f>IF(项目档案!$B$20="","",项目档案!$B$20)</f>
      </c>
      <c r="F18">
        <f>TRIM(基础资料!$G$22&amp;"")</f>
      </c>
      <c r="G18">
        <f>基础资料!$G$22&amp;""</f>
      </c>
      <c r="H18" t="inlineStr">
        <is>
          <t>其他收入</t>
        </is>
      </c>
      <c r="L18">
        <f>IFERROR(INDEX(往来单位!$B$4:$B$303,MATCH(18,$N$1:$N$300,0))&amp;"","")</f>
      </c>
      <c r="N18" s="2">
        <f>SUM(CA1:CA18)</f>
        <v>7</v>
      </c>
      <c r="P18">
        <f>IF(A18="",0,LEN(A18)*10000+9982)</f>
        <v>29982</v>
      </c>
      <c r="Q18">
        <f>IF(LARGE($P$1:$P$240,18)=0,0,MATCH(LARGE($P$1:$P$240,18),$P$1:$P$240,0))</f>
        <v>39</v>
      </c>
      <c r="R18" t="str">
        <f t="shared" si="60"/>
        <v>德安农商</v>
      </c>
      <c r="S18" t="str">
        <f t="shared" si="61"/>
        <v>德安农商行总部</v>
      </c>
      <c r="T18">
        <f>IF(C18="",0,LEN(C18)*10000+9982)</f>
        <v>0</v>
      </c>
      <c r="U18">
        <f>IF(LARGE($T$1:$T$900,18)=0,0,MATCH(LARGE($T$1:$T$900,18),$T$1:$T$900,0))</f>
        <v>46</v>
      </c>
      <c r="V18" t="str">
        <f t="shared" si="62"/>
        <v>江西允诺消防</v>
      </c>
      <c r="W18" t="str">
        <f t="shared" si="63"/>
        <v>江西允诺消防</v>
      </c>
      <c r="X18">
        <f>IF(F18="",0,LEN(F18)*10000+9982)</f>
        <v>0</v>
      </c>
      <c r="Y18">
        <f>IF(LARGE($X$1:$X$40,18)=0,0,MATCH(LARGE($X$1:$X$40,18),$X$1:$X$40,0))</f>
        <v>0</v>
      </c>
      <c r="Z18">
        <f t="shared" si="64"/>
      </c>
      <c r="AA18">
        <f t="shared" si="65"/>
      </c>
      <c r="AB18" t="str">
        <f>IF(OR(基础资料!$AB$22="全",基础资料!$AB$22="收"),基础资料!$AA$22&amp;"","")</f>
        <v>个人借款</v>
      </c>
      <c r="AC18" t="str">
        <f>IF(OR(基础资料!$AB$22="全",基础资料!$AB$22="支"),基础资料!$AA$22&amp;"","")</f>
        <v>个人借款</v>
      </c>
      <c r="CA18" s="2">
        <f>IF(往来单位!$C$21="甲方/总包",1,0)</f>
        <v>0</v>
      </c>
    </row>
    <row r="19">
      <c r="A19">
        <f>IF(项目档案!$B$8="","",TRIM(项目档案!$P$8&amp;""))</f>
      </c>
      <c r="B19" t="str">
        <f t="shared" si="4"/>
        <v>邹桥派出所</v>
      </c>
      <c r="C19" t="str">
        <f>IF(往来单位!$B$10="","",TRIM(往来单位!$B$10&amp;""))</f>
        <v>江西赣粤高速</v>
      </c>
      <c r="D19" t="str">
        <f>往来单位!$B$10&amp;""</f>
        <v>江西赣粤高速</v>
      </c>
      <c r="E19">
        <f>IF(项目档案!$B$21="","",项目档案!$B$21)</f>
      </c>
      <c r="F19">
        <f>TRIM(基础资料!$G$23&amp;"")</f>
      </c>
      <c r="G19">
        <f>基础资料!$G$23&amp;""</f>
      </c>
      <c r="H19" t="inlineStr">
        <is>
          <t>其他支出</t>
        </is>
      </c>
      <c r="L19">
        <f>IFERROR(INDEX(往来单位!$B$4:$B$303,MATCH(19,$N$1:$N$300,0))&amp;"","")</f>
      </c>
      <c r="N19" s="2">
        <f>SUM(CA1:CA19)</f>
        <v>7</v>
      </c>
      <c r="P19">
        <f>IF(A19="",0,LEN(A19)*10000+9981)</f>
        <v>0</v>
      </c>
      <c r="Q19">
        <f>IF(LARGE($P$1:$P$240,19)=0,0,MATCH(LARGE($P$1:$P$240,19),$P$1:$P$240,0))</f>
        <v>45</v>
      </c>
      <c r="R19" t="str">
        <f t="shared" si="60"/>
        <v>恒科华府</v>
      </c>
      <c r="S19" t="str">
        <f t="shared" si="61"/>
        <v>恒科华府</v>
      </c>
      <c r="T19">
        <f>IF(C19="",0,LEN(C19)*10000+9981)</f>
        <v>69981</v>
      </c>
      <c r="U19">
        <f>IF(LARGE($T$1:$T$900,19)=0,0,MATCH(LARGE($T$1:$T$900,19),$T$1:$T$900,0))</f>
        <v>49</v>
      </c>
      <c r="V19" t="str">
        <f t="shared" si="62"/>
        <v>江西沐丰水箱</v>
      </c>
      <c r="W19" t="str">
        <f t="shared" si="63"/>
        <v>江西沐丰水箱</v>
      </c>
      <c r="X19">
        <f>IF(F19="",0,LEN(F19)*10000+9981)</f>
        <v>0</v>
      </c>
      <c r="Y19">
        <f>IF(LARGE($X$1:$X$40,19)=0,0,MATCH(LARGE($X$1:$X$40,19),$X$1:$X$40,0))</f>
        <v>0</v>
      </c>
      <c r="Z19">
        <f t="shared" si="64"/>
      </c>
      <c r="AA19">
        <f t="shared" si="65"/>
      </c>
      <c r="AB19" t="str">
        <f>IF(OR(基础资料!$AB$23="全",基础资料!$AB$23="收"),基础资料!$AA$23&amp;"","")</f>
        <v>还聂辉</v>
      </c>
      <c r="AC19" t="str">
        <f>IF(OR(基础资料!$AB$23="全",基础资料!$AB$23="支"),基础资料!$AA$23&amp;"","")</f>
        <v>还聂辉</v>
      </c>
      <c r="CA19" s="2">
        <f>IF(往来单位!$C$22="甲方/总包",1,0)</f>
        <v>0</v>
      </c>
    </row>
    <row r="20">
      <c r="A20">
        <f>IF(项目档案!$B$8="","",TRIM(项目档案!$Q$8&amp;""))</f>
      </c>
      <c r="B20" t="str">
        <f t="shared" si="4"/>
        <v>邹桥派出所</v>
      </c>
      <c r="C20" t="str">
        <f>IF(往来单位!$B$10="","",TRIM(往来单位!$D$10&amp;""))</f>
        <v>赣粤高速公路</v>
      </c>
      <c r="D20" t="str">
        <f>往来单位!$B$10&amp;""</f>
        <v>江西赣粤高速</v>
      </c>
      <c r="E20">
        <f>IF(项目档案!$B$22="","",项目档案!$B$22)</f>
      </c>
      <c r="F20">
        <f>TRIM(基础资料!$G$24&amp;"")</f>
      </c>
      <c r="G20">
        <f>基础资料!$G$24&amp;""</f>
      </c>
      <c r="H20" t="inlineStr">
        <is>
          <t>其他税费</t>
        </is>
      </c>
      <c r="L20">
        <f>IFERROR(INDEX(往来单位!$B$4:$B$303,MATCH(20,$N$1:$N$300,0))&amp;"","")</f>
      </c>
      <c r="N20" s="2">
        <f>SUM(CA1:CA20)</f>
        <v>7</v>
      </c>
      <c r="P20">
        <f>IF(A20="",0,LEN(A20)*10000+9980)</f>
        <v>0</v>
      </c>
      <c r="Q20">
        <f>IF(LARGE($P$1:$P$240,20)=0,0,MATCH(LARGE($P$1:$P$240,20),$P$1:$P$240,0))</f>
        <v>49</v>
      </c>
      <c r="R20" t="str">
        <f t="shared" si="60"/>
        <v>赣粤高速</v>
      </c>
      <c r="S20" t="str">
        <f t="shared" si="61"/>
        <v>赣粤高速</v>
      </c>
      <c r="T20">
        <f>IF(C20="",0,LEN(C20)*10000+9980)</f>
        <v>69980</v>
      </c>
      <c r="U20">
        <f>IF(LARGE($T$1:$T$900,20)=0,0,MATCH(LARGE($T$1:$T$900,20),$T$1:$T$900,0))</f>
        <v>52</v>
      </c>
      <c r="V20" t="str">
        <f t="shared" si="62"/>
        <v>上海诚果泵阀</v>
      </c>
      <c r="W20" t="str">
        <f t="shared" si="63"/>
        <v>上海诚果泵阀</v>
      </c>
      <c r="X20">
        <f>IF(F20="",0,LEN(F20)*10000+9980)</f>
        <v>0</v>
      </c>
      <c r="Y20">
        <f>IF(LARGE($X$1:$X$40,20)=0,0,MATCH(LARGE($X$1:$X$40,20),$X$1:$X$40,0))</f>
        <v>0</v>
      </c>
      <c r="Z20">
        <f t="shared" si="64"/>
      </c>
      <c r="AA20">
        <f t="shared" si="65"/>
      </c>
      <c r="AB20" t="str">
        <f>IF(OR(基础资料!$AB$24="全",基础资料!$AB$24="收"),基础资料!$AA$24&amp;"","")</f>
        <v>还王伟</v>
      </c>
      <c r="AC20" t="str">
        <f>IF(OR(基础资料!$AB$24="全",基础资料!$AB$24="支"),基础资料!$AA$24&amp;"","")</f>
        <v>还王伟</v>
      </c>
      <c r="CA20" s="2">
        <f>IF(往来单位!$C$23="甲方/总包",1,0)</f>
        <v>0</v>
      </c>
    </row>
    <row r="21">
      <c r="A21" t="str">
        <f>IF(项目档案!$B$9="","",TRIM(项目档案!$B$9&amp;""))</f>
        <v>抚州1号楼</v>
      </c>
      <c r="B21" t="str">
        <f t="shared" ref="B21:B24" si="5">项目档案!$B$9&amp;""</f>
        <v>抚州1号楼</v>
      </c>
      <c r="C21">
        <f>IF(往来单位!$B$10="","",TRIM(往来单位!$E$10&amp;""))</f>
      </c>
      <c r="D21" t="str">
        <f>往来单位!$B$10&amp;""</f>
        <v>江西赣粤高速</v>
      </c>
      <c r="E21">
        <f>IF(项目档案!$B$23="","",项目档案!$B$23)</f>
      </c>
      <c r="F21">
        <f>IF(基础资料!$H$5="个人户",TRIM(基础资料!$I$5&amp;""),"")</f>
      </c>
      <c r="G21" t="str">
        <f>基础资料!$G$5&amp;""</f>
        <v>九江银行</v>
      </c>
      <c r="H21" t="inlineStr">
        <is>
          <t>所得税</t>
        </is>
      </c>
      <c r="L21">
        <f>IFERROR(INDEX(往来单位!$B$4:$B$303,MATCH(21,$N$1:$N$300,0))&amp;"","")</f>
      </c>
      <c r="N21" s="2">
        <f>SUM(CA1:CA21)</f>
        <v>7</v>
      </c>
      <c r="P21">
        <f>IF(A21="",0,LEN(A21)*10000+9979)</f>
        <v>59979</v>
      </c>
      <c r="Q21">
        <f>IF(LARGE($P$1:$P$240,21)=0,0,MATCH(LARGE($P$1:$P$240,21),$P$1:$P$240,0))</f>
        <v>53</v>
      </c>
      <c r="R21" t="str">
        <f t="shared" si="60"/>
        <v>隆世光伏</v>
      </c>
      <c r="S21" t="str">
        <f t="shared" si="61"/>
        <v>隆世光伏</v>
      </c>
      <c r="T21">
        <f>IF(C21="",0,LEN(C21)*10000+9979)</f>
        <v>0</v>
      </c>
      <c r="U21">
        <f>IF(LARGE($T$1:$T$900,21)=0,0,MATCH(LARGE($T$1:$T$900,21),$T$1:$T$900,0))</f>
        <v>58</v>
      </c>
      <c r="V21" t="str">
        <f t="shared" si="62"/>
        <v>浙江寅盾智能</v>
      </c>
      <c r="W21" t="str">
        <f t="shared" si="63"/>
        <v>浙江寅盾智能</v>
      </c>
      <c r="X21">
        <f>IF(F21="",0,LEN(F21)*10000+9979)</f>
        <v>0</v>
      </c>
      <c r="Y21">
        <f>IF(LARGE($X$1:$X$40,21)=0,0,MATCH(LARGE($X$1:$X$40,21),$X$1:$X$40,0))</f>
        <v>0</v>
      </c>
      <c r="Z21">
        <f t="shared" si="64"/>
      </c>
      <c r="AA21">
        <f t="shared" si="65"/>
      </c>
      <c r="AB21" t="str">
        <f>IF(OR(基础资料!$AB$25="全",基础资料!$AB$25="收"),基础资料!$AA$25&amp;"","")</f>
        <v>还张滨</v>
      </c>
      <c r="AC21" t="str">
        <f>IF(OR(基础资料!$AB$25="全",基础资料!$AB$25="支"),基础资料!$AA$25&amp;"","")</f>
        <v>还张滨</v>
      </c>
      <c r="CA21" s="2">
        <f>IF(往来单位!$C$24="甲方/总包",1,0)</f>
        <v>0</v>
      </c>
    </row>
    <row r="22">
      <c r="A22" t="str">
        <f>IF(项目档案!$B$9="","",TRIM(项目档案!$O$9&amp;""))</f>
        <v>抚州1#</v>
      </c>
      <c r="B22" t="str">
        <f t="shared" si="5"/>
        <v>抚州1号楼</v>
      </c>
      <c r="C22" t="str">
        <f>IF(往来单位!$B$11="","",TRIM(往来单位!$B$11&amp;""))</f>
        <v>筑强</v>
      </c>
      <c r="D22" t="str">
        <f>往来单位!$B$11&amp;""</f>
        <v>筑强</v>
      </c>
      <c r="E22">
        <f>IF(项目档案!$B$24="","",项目档案!$B$24)</f>
      </c>
      <c r="F22">
        <f>IF(基础资料!$H$6="个人户",TRIM(基础资料!$I$6&amp;""),"")</f>
      </c>
      <c r="G22" t="str">
        <f>基础资料!$G$6&amp;""</f>
        <v>农业银行</v>
      </c>
      <c r="H22" t="inlineStr">
        <is>
          <t>应收账款</t>
        </is>
      </c>
      <c r="L22">
        <f>IFERROR(INDEX(往来单位!$B$4:$B$303,MATCH(22,$N$1:$N$300,0))&amp;"","")</f>
      </c>
      <c r="N22" s="2">
        <f>SUM(CA1:CA22)</f>
        <v>7</v>
      </c>
      <c r="P22">
        <f>IF(A22="",0,LEN(A22)*10000+9978)</f>
        <v>49978</v>
      </c>
      <c r="Q22">
        <f>IF(LARGE($P$1:$P$240,22)=0,0,MATCH(LARGE($P$1:$P$240,22),$P$1:$P$240,0))</f>
        <v>54</v>
      </c>
      <c r="R22" t="str">
        <f t="shared" si="60"/>
        <v>德祥工地</v>
      </c>
      <c r="S22" t="str">
        <f t="shared" si="61"/>
        <v>隆世光伏</v>
      </c>
      <c r="T22">
        <f>IF(C22="",0,LEN(C22)*10000+9978)</f>
        <v>29978</v>
      </c>
      <c r="U22">
        <f>IF(LARGE($T$1:$T$900,22)=0,0,MATCH(LARGE($T$1:$T$900,22),$T$1:$T$900,0))</f>
        <v>70</v>
      </c>
      <c r="V22" t="str">
        <f t="shared" si="62"/>
        <v>九江恒讯消防</v>
      </c>
      <c r="W22" t="str">
        <f t="shared" si="63"/>
        <v>九江恒讯消防</v>
      </c>
      <c r="X22">
        <f>IF(F22="",0,LEN(F22)*10000+9978)</f>
        <v>0</v>
      </c>
      <c r="Y22">
        <f>IF(LARGE($X$1:$X$40,22)=0,0,MATCH(LARGE($X$1:$X$40,22),$X$1:$X$40,0))</f>
        <v>0</v>
      </c>
      <c r="Z22">
        <f t="shared" si="64"/>
      </c>
      <c r="AA22">
        <f t="shared" si="65"/>
      </c>
      <c r="AB22" t="str">
        <f>IF(OR(基础资料!$AB$26="全",基础资料!$AB$26="收"),基础资料!$AA$26&amp;"","")</f>
        <v>借款</v>
      </c>
      <c r="AC22" t="str">
        <f>IF(OR(基础资料!$AB$26="全",基础资料!$AB$26="支"),基础资料!$AA$26&amp;"","")</f>
        <v>借款</v>
      </c>
      <c r="CA22" s="2">
        <f>IF(往来单位!$C$25="甲方/总包",1,0)</f>
        <v>0</v>
      </c>
    </row>
    <row r="23">
      <c r="A23">
        <f>IF(项目档案!$B$9="","",TRIM(项目档案!$P$9&amp;""))</f>
      </c>
      <c r="B23" t="str">
        <f t="shared" si="5"/>
        <v>抚州1号楼</v>
      </c>
      <c r="C23" t="str">
        <f>IF(往来单位!$B$11="","",TRIM(往来单位!$D$11&amp;""))</f>
        <v>筑强建材</v>
      </c>
      <c r="D23" t="str">
        <f>往来单位!$B$11&amp;""</f>
        <v>筑强</v>
      </c>
      <c r="E23">
        <f>IF(项目档案!$B$25="","",项目档案!$B$25)</f>
      </c>
      <c r="F23">
        <f>IF(基础资料!$H$7="个人户",TRIM(基础资料!$I$7&amp;""),"")</f>
      </c>
      <c r="G23" t="str">
        <f>基础资料!$G$7&amp;""</f>
        <v>工商银行</v>
      </c>
      <c r="H23" t="inlineStr">
        <is>
          <t>应付款</t>
        </is>
      </c>
      <c r="L23">
        <f>IFERROR(INDEX(往来单位!$B$4:$B$303,MATCH(23,$N$1:$N$300,0))&amp;"","")</f>
      </c>
      <c r="N23" s="2">
        <f>SUM(CA1:CA23)</f>
        <v>7</v>
      </c>
      <c r="P23">
        <f>IF(A23="",0,LEN(A23)*10000+9977)</f>
        <v>0</v>
      </c>
      <c r="Q23">
        <f>IF(LARGE($P$1:$P$240,23)=0,0,MATCH(LARGE($P$1:$P$240,23),$P$1:$P$240,0))</f>
        <v>10</v>
      </c>
      <c r="R23" t="str">
        <f t="shared" si="60"/>
        <v>架空层</v>
      </c>
      <c r="S23" t="str">
        <f t="shared" si="61"/>
        <v>九安架空层</v>
      </c>
      <c r="T23">
        <f>IF(C23="",0,LEN(C23)*10000+9977)</f>
        <v>49977</v>
      </c>
      <c r="U23">
        <f>IF(LARGE($T$1:$T$900,23)=0,0,MATCH(LARGE($T$1:$T$900,23),$T$1:$T$900,0))</f>
        <v>31</v>
      </c>
      <c r="V23" t="str">
        <f t="shared" si="62"/>
        <v>浔阳楼电缆</v>
      </c>
      <c r="W23" t="str">
        <f t="shared" si="63"/>
        <v>浔阳楼电缆</v>
      </c>
      <c r="X23">
        <f>IF(F23="",0,LEN(F23)*10000+9977)</f>
        <v>0</v>
      </c>
      <c r="Y23">
        <f>IF(LARGE($X$1:$X$40,23)=0,0,MATCH(LARGE($X$1:$X$40,23),$X$1:$X$40,0))</f>
        <v>0</v>
      </c>
      <c r="Z23">
        <f t="shared" si="64"/>
      </c>
      <c r="AA23">
        <f t="shared" si="65"/>
      </c>
      <c r="AB23" t="str">
        <f>IF(OR(基础资料!$AB$27="全",基础资料!$AB$27="收"),基础资料!$AA$27&amp;"","")</f>
        <v>报销</v>
      </c>
      <c r="AC23" t="str">
        <f>IF(OR(基础资料!$AB$27="全",基础资料!$AB$27="支"),基础资料!$AA$27&amp;"","")</f>
        <v>报销</v>
      </c>
      <c r="CA23" s="2">
        <f>IF(往来单位!$C$26="甲方/总包",1,0)</f>
        <v>0</v>
      </c>
    </row>
    <row r="24">
      <c r="A24">
        <f>IF(项目档案!$B$9="","",TRIM(项目档案!$Q$9&amp;""))</f>
      </c>
      <c r="B24" t="str">
        <f t="shared" si="5"/>
        <v>抚州1号楼</v>
      </c>
      <c r="C24">
        <f>IF(往来单位!$B$11="","",TRIM(往来单位!$E$11&amp;""))</f>
      </c>
      <c r="D24" t="str">
        <f>往来单位!$B$11&amp;""</f>
        <v>筑强</v>
      </c>
      <c r="E24">
        <f>IF(项目档案!$B$26="","",项目档案!$B$26)</f>
      </c>
      <c r="F24">
        <f>IF(基础资料!$H$8="个人户",TRIM(基础资料!$I$8&amp;""),"")</f>
      </c>
      <c r="G24" t="str">
        <f>基础资料!$G$8&amp;""</f>
        <v>现金</v>
      </c>
      <c r="H24" t="inlineStr">
        <is>
          <t>应付职工薪酬</t>
        </is>
      </c>
      <c r="L24">
        <f>IFERROR(INDEX(往来单位!$B$4:$B$303,MATCH(24,$N$1:$N$300,0))&amp;"","")</f>
      </c>
      <c r="N24" s="2">
        <f>SUM(CA1:CA24)</f>
        <v>7</v>
      </c>
      <c r="P24">
        <f>IF(A24="",0,LEN(A24)*10000+9976)</f>
        <v>0</v>
      </c>
      <c r="Q24">
        <f>IF(LARGE($P$1:$P$240,24)=0,0,MATCH(LARGE($P$1:$P$240,24),$P$1:$P$240,0))</f>
        <v>14</v>
      </c>
      <c r="R24" t="str">
        <f t="shared" si="60"/>
        <v>产业园</v>
      </c>
      <c r="S24" t="str">
        <f t="shared" si="61"/>
        <v>数字产业园</v>
      </c>
      <c r="T24">
        <f>IF(C24="",0,LEN(C24)*10000+9976)</f>
        <v>0</v>
      </c>
      <c r="U24">
        <f>IF(LARGE($T$1:$T$900,24)=0,0,MATCH(LARGE($T$1:$T$900,24),$T$1:$T$900,0))</f>
        <v>95</v>
      </c>
      <c r="V24" t="str">
        <f t="shared" si="62"/>
        <v>张小朋分包</v>
      </c>
      <c r="W24" t="str">
        <f t="shared" si="63"/>
        <v>张小朋（分包）</v>
      </c>
      <c r="X24">
        <f>IF(F24="",0,LEN(F24)*10000+9976)</f>
        <v>0</v>
      </c>
      <c r="Y24">
        <f>IF(LARGE($X$1:$X$40,24)=0,0,MATCH(LARGE($X$1:$X$40,24),$X$1:$X$40,0))</f>
        <v>0</v>
      </c>
      <c r="Z24">
        <f t="shared" si="64"/>
      </c>
      <c r="AA24">
        <f t="shared" si="65"/>
      </c>
      <c r="AB24" t="str">
        <f>IF(OR(基础资料!$AB$28="全",基础资料!$AB$28="收"),基础资料!$AA$28&amp;"","")</f>
        <v>备用金</v>
      </c>
      <c r="AC24" t="str">
        <f>IF(OR(基础资料!$AB$28="全",基础资料!$AB$28="支"),基础资料!$AA$28&amp;"","")</f>
        <v>备用金</v>
      </c>
      <c r="CA24" s="2">
        <f>IF(往来单位!$C$27="甲方/总包",1,0)</f>
        <v>0</v>
      </c>
    </row>
    <row r="25">
      <c r="A25" t="str">
        <f>IF(项目档案!$B$10="","",TRIM(项目档案!$B$10&amp;""))</f>
        <v>抚州8号楼</v>
      </c>
      <c r="B25" t="str">
        <f t="shared" ref="B25:B28" si="6">项目档案!$B$10&amp;""</f>
        <v>抚州8号楼</v>
      </c>
      <c r="C25" t="str">
        <f>IF(往来单位!$B$12="","",TRIM(往来单位!$B$12&amp;""))</f>
        <v>九江安洋钢材熊总</v>
      </c>
      <c r="D25" t="str">
        <f>往来单位!$B$12&amp;""</f>
        <v>九江安洋钢材熊总</v>
      </c>
      <c r="E25">
        <f>IF(项目档案!$B$27="","",项目档案!$B$27)</f>
      </c>
      <c r="F25" t="str">
        <f>IF(基础资料!$H$9="个人户",TRIM(基础资料!$I$9&amp;""),"")</f>
        <v>聂辉</v>
      </c>
      <c r="G25" t="str">
        <f>基础资料!$G$9&amp;""</f>
        <v>聂辉个人户</v>
      </c>
      <c r="H25" t="inlineStr">
        <is>
          <t>短期借款</t>
        </is>
      </c>
      <c r="L25">
        <f>IFERROR(INDEX(往来单位!$B$4:$B$303,MATCH(25,$N$1:$N$300,0))&amp;"","")</f>
      </c>
      <c r="N25" s="2">
        <f>SUM(CA1:CA25)</f>
        <v>7</v>
      </c>
      <c r="P25">
        <f>IF(A25="",0,LEN(A25)*10000+9975)</f>
        <v>59975</v>
      </c>
      <c r="Q25">
        <f>IF(LARGE($P$1:$P$240,25)=0,0,MATCH(LARGE($P$1:$P$240,25),$P$1:$P$240,0))</f>
        <v>38</v>
      </c>
      <c r="R25" t="str">
        <f t="shared" si="60"/>
        <v>农商行</v>
      </c>
      <c r="S25" t="str">
        <f t="shared" si="61"/>
        <v>德安农商行总部</v>
      </c>
      <c r="T25">
        <f>IF(C25="",0,LEN(C25)*10000+9975)</f>
        <v>89975</v>
      </c>
      <c r="U25">
        <f>IF(LARGE($T$1:$T$900,25)=0,0,MATCH(LARGE($T$1:$T$900,25),$T$1:$T$900,0))</f>
        <v>104</v>
      </c>
      <c r="V25" t="str">
        <f t="shared" si="62"/>
        <v>程章赐分包</v>
      </c>
      <c r="W25" t="str">
        <f t="shared" si="63"/>
        <v>程章赐（分包）</v>
      </c>
      <c r="X25">
        <f>IF(F25="",0,LEN(F25)*10000+9975)</f>
        <v>29975</v>
      </c>
      <c r="Y25">
        <f>IF(LARGE($X$1:$X$40,25)=0,0,MATCH(LARGE($X$1:$X$40,25),$X$1:$X$40,0))</f>
        <v>0</v>
      </c>
      <c r="Z25">
        <f t="shared" si="64"/>
      </c>
      <c r="AA25">
        <f t="shared" si="65"/>
      </c>
      <c r="AB25" t="str">
        <f>IF(OR(基础资料!$AB$29="全",基础资料!$AB$29="收"),基础资料!$AA$29&amp;"","")</f>
        <v>贷款利息</v>
      </c>
      <c r="AC25" t="str">
        <f>IF(OR(基础资料!$AB$29="全",基础资料!$AB$29="支"),基础资料!$AA$29&amp;"","")</f>
        <v>贷款利息</v>
      </c>
      <c r="CA25" s="2">
        <f>IF(往来单位!$C$28="甲方/总包",1,0)</f>
        <v>0</v>
      </c>
    </row>
    <row r="26">
      <c r="A26" t="str">
        <f>IF(项目档案!$B$10="","",TRIM(项目档案!$O$10&amp;""))</f>
        <v>抚州8#</v>
      </c>
      <c r="B26" t="str">
        <f t="shared" si="6"/>
        <v>抚州8号楼</v>
      </c>
      <c r="C26" t="str">
        <f>IF(往来单位!$B$12="","",TRIM(往来单位!$D$12&amp;""))</f>
        <v>安洋</v>
      </c>
      <c r="D26" t="str">
        <f>往来单位!$B$12&amp;""</f>
        <v>九江安洋钢材熊总</v>
      </c>
      <c r="E26">
        <f>IF(项目档案!$B$28="","",项目档案!$B$28)</f>
      </c>
      <c r="F26" t="str">
        <f>IF(基础资料!$H$10="个人户",TRIM(基础资料!$I$10&amp;""),"")</f>
        <v>王伟</v>
      </c>
      <c r="G26" t="str">
        <f>基础资料!$G$10&amp;""</f>
        <v>王伟个人户</v>
      </c>
      <c r="H26" t="inlineStr">
        <is>
          <t>其他应收款</t>
        </is>
      </c>
      <c r="L26">
        <f>IFERROR(INDEX(往来单位!$B$4:$B$303,MATCH(26,$N$1:$N$300,0))&amp;"","")</f>
      </c>
      <c r="N26" s="2">
        <f>SUM(CA1:CA26)</f>
        <v>7</v>
      </c>
      <c r="P26">
        <f>IF(A26="",0,LEN(A26)*10000+9974)</f>
        <v>49974</v>
      </c>
      <c r="Q26">
        <f>IF(LARGE($P$1:$P$240,26)=0,0,MATCH(LARGE($P$1:$P$240,26),$P$1:$P$240,0))</f>
        <v>41</v>
      </c>
      <c r="R26" t="str">
        <f t="shared" si="60"/>
        <v>示范园</v>
      </c>
      <c r="S26" t="str">
        <f t="shared" si="61"/>
        <v>示范园</v>
      </c>
      <c r="T26">
        <f>IF(C26="",0,LEN(C26)*10000+9974)</f>
        <v>29974</v>
      </c>
      <c r="U26">
        <f>IF(LARGE($T$1:$T$900,26)=0,0,MATCH(LARGE($T$1:$T$900,26),$T$1:$T$900,0))</f>
        <v>118</v>
      </c>
      <c r="V26" t="str">
        <f t="shared" si="62"/>
        <v>章德吉货运</v>
      </c>
      <c r="W26" t="str">
        <f t="shared" si="63"/>
        <v>章德吉货运</v>
      </c>
      <c r="X26">
        <f>IF(F26="",0,LEN(F26)*10000+9974)</f>
        <v>29974</v>
      </c>
      <c r="Y26">
        <f>IF(LARGE($X$1:$X$40,26)=0,0,MATCH(LARGE($X$1:$X$40,26),$X$1:$X$40,0))</f>
        <v>0</v>
      </c>
      <c r="Z26">
        <f t="shared" si="64"/>
      </c>
      <c r="AA26">
        <f t="shared" si="65"/>
      </c>
      <c r="AB26" t="str">
        <f>IF(OR(基础资料!$AB$30="全",基础资料!$AB$30="收"),基础资料!$AA$30&amp;"","")</f>
        <v>汇票利息</v>
      </c>
      <c r="AC26" t="str">
        <f>IF(OR(基础资料!$AB$30="全",基础资料!$AB$30="支"),基础资料!$AA$30&amp;"","")</f>
        <v>汇票利息</v>
      </c>
      <c r="CA26" s="2">
        <f>IF(往来单位!$C$29="甲方/总包",1,0)</f>
        <v>0</v>
      </c>
    </row>
    <row r="27">
      <c r="A27">
        <f>IF(项目档案!$B$10="","",TRIM(项目档案!$P$10&amp;""))</f>
      </c>
      <c r="B27" t="str">
        <f t="shared" si="6"/>
        <v>抚州8号楼</v>
      </c>
      <c r="C27">
        <f>IF(往来单位!$B$12="","",TRIM(往来单位!$E$12&amp;""))</f>
      </c>
      <c r="D27" t="str">
        <f>往来单位!$B$12&amp;""</f>
        <v>九江安洋钢材熊总</v>
      </c>
      <c r="E27">
        <f>IF(项目档案!$B$29="","",项目档案!$B$29)</f>
      </c>
      <c r="F27" t="str">
        <f>IF(基础资料!$H$11="个人户",TRIM(基础资料!$I$11&amp;""),"")</f>
        <v>张滨</v>
      </c>
      <c r="G27" t="str">
        <f>基础资料!$G$11&amp;""</f>
        <v>张滨个人户</v>
      </c>
      <c r="H27" t="inlineStr">
        <is>
          <t>应交税费</t>
        </is>
      </c>
      <c r="L27">
        <f>IFERROR(INDEX(往来单位!$B$4:$B$303,MATCH(27,$N$1:$N$300,0))&amp;"","")</f>
      </c>
      <c r="N27" s="2">
        <f>SUM(CA1:CA27)</f>
        <v>7</v>
      </c>
      <c r="P27">
        <f>IF(A27="",0,LEN(A27)*10000+9973)</f>
        <v>0</v>
      </c>
      <c r="Q27">
        <f>IF(LARGE($P$1:$P$240,27)=0,0,MATCH(LARGE($P$1:$P$240,27),$P$1:$P$240,0))</f>
        <v>58</v>
      </c>
      <c r="R27" t="str">
        <f t="shared" si="60"/>
        <v>中国联</v>
      </c>
      <c r="S27" t="str">
        <f t="shared" si="61"/>
        <v>中国联项目</v>
      </c>
      <c r="T27">
        <f>IF(C27="",0,LEN(C27)*10000+9973)</f>
        <v>0</v>
      </c>
      <c r="U27">
        <f>IF(LARGE($T$1:$T$900,27)=0,0,MATCH(LARGE($T$1:$T$900,27),$T$1:$T$900,0))</f>
        <v>250</v>
      </c>
      <c r="V27" t="str">
        <f t="shared" si="62"/>
        <v>九江财小保</v>
      </c>
      <c r="W27" t="str">
        <f t="shared" si="63"/>
        <v>九江财小保</v>
      </c>
      <c r="X27">
        <f>IF(F27="",0,LEN(F27)*10000+9973)</f>
        <v>29973</v>
      </c>
      <c r="Y27">
        <f>IF(LARGE($X$1:$X$40,27)=0,0,MATCH(LARGE($X$1:$X$40,27),$X$1:$X$40,0))</f>
        <v>0</v>
      </c>
      <c r="Z27">
        <f t="shared" si="64"/>
      </c>
      <c r="AA27">
        <f t="shared" si="65"/>
      </c>
      <c r="AB27" t="str">
        <f>IF(OR(基础资料!$AB$31="全",基础资料!$AB$31="收"),基础资料!$AA$31&amp;"","")</f>
        <v>贴息</v>
      </c>
      <c r="AC27" t="str">
        <f>IF(OR(基础资料!$AB$31="全",基础资料!$AB$31="支"),基础资料!$AA$31&amp;"","")</f>
        <v>贴息</v>
      </c>
      <c r="CA27" s="2">
        <f>IF(往来单位!$C$30="甲方/总包",1,0)</f>
        <v>0</v>
      </c>
    </row>
    <row r="28">
      <c r="A28">
        <f>IF(项目档案!$B$10="","",TRIM(项目档案!$Q$10&amp;""))</f>
      </c>
      <c r="B28" t="str">
        <f t="shared" si="6"/>
        <v>抚州8号楼</v>
      </c>
      <c r="C28" t="str">
        <f>IF(往来单位!$B$13="","",TRIM(往来单位!$B$13&amp;""))</f>
        <v>鑫城五金庄总</v>
      </c>
      <c r="D28" t="str">
        <f>往来单位!$B$13&amp;""</f>
        <v>鑫城五金庄总</v>
      </c>
      <c r="E28">
        <f>IF(项目档案!$B$30="","",项目档案!$B$30)</f>
      </c>
      <c r="F28">
        <f>IF(基础资料!$H$12="个人户",TRIM(基础资料!$I$12&amp;""),"")</f>
      </c>
      <c r="G28" t="str">
        <f>基础资料!$G$12&amp;""</f>
        <v>承兑汇票</v>
      </c>
      <c r="H28" t="inlineStr">
        <is>
          <t>应付设备款</t>
        </is>
      </c>
      <c r="L28">
        <f>IFERROR(INDEX(往来单位!$B$4:$B$303,MATCH(28,$N$1:$N$300,0))&amp;"","")</f>
      </c>
      <c r="N28" s="2">
        <f>SUM(CA1:CA28)</f>
        <v>7</v>
      </c>
      <c r="P28">
        <f>IF(A28="",0,LEN(A28)*10000+9972)</f>
        <v>0</v>
      </c>
      <c r="Q28">
        <f>IF(LARGE($P$1:$P$240,28)=0,0,MATCH(LARGE($P$1:$P$240,28),$P$1:$P$240,0))</f>
        <v>2</v>
      </c>
      <c r="R28" t="str">
        <f t="shared" si="60"/>
        <v>德养</v>
      </c>
      <c r="S28" t="str">
        <f t="shared" si="61"/>
        <v>德安养老中心</v>
      </c>
      <c r="T28">
        <f>IF(C28="",0,LEN(C28)*10000+9972)</f>
        <v>69972</v>
      </c>
      <c r="U28">
        <f>IF(LARGE($T$1:$T$900,28)=0,0,MATCH(LARGE($T$1:$T$900,28),$T$1:$T$900,0))</f>
        <v>17</v>
      </c>
      <c r="V28" t="str">
        <f t="shared" si="62"/>
        <v>农商银行</v>
      </c>
      <c r="W28" t="str">
        <f t="shared" si="63"/>
        <v>德安农商银行</v>
      </c>
      <c r="X28">
        <f>IF(F28="",0,LEN(F28)*10000+9972)</f>
        <v>0</v>
      </c>
      <c r="Y28">
        <f>IF(LARGE($X$1:$X$40,28)=0,0,MATCH(LARGE($X$1:$X$40,28),$X$1:$X$40,0))</f>
        <v>0</v>
      </c>
      <c r="Z28">
        <f t="shared" si="64"/>
      </c>
      <c r="AA28">
        <f t="shared" si="65"/>
      </c>
      <c r="AB28" t="str">
        <f>IF(OR(基础资料!$AB$32="全",基础资料!$AB$32="收"),基础资料!$AA$32&amp;"","")</f>
        <v>利息收入</v>
      </c>
      <c r="AC28" t="str">
        <f>IF(OR(基础资料!$AB$32="全",基础资料!$AB$32="支"),基础资料!$AA$32&amp;"","")</f>
        <v>利息收入</v>
      </c>
      <c r="CA28" s="2">
        <f>IF(往来单位!$C$31="甲方/总包",1,0)</f>
        <v>0</v>
      </c>
    </row>
    <row r="29">
      <c r="A29" t="str">
        <f>IF(项目档案!$B$11="","",TRIM(项目档案!$B$11&amp;""))</f>
        <v>抚州2号楼</v>
      </c>
      <c r="B29" t="str">
        <f t="shared" ref="B29:B32" si="7">项目档案!$B$11&amp;""</f>
        <v>抚州2号楼</v>
      </c>
      <c r="C29" t="str">
        <f>IF(往来单位!$B$13="","",TRIM(往来单位!$D$13&amp;""))</f>
        <v>鑫城五金</v>
      </c>
      <c r="D29" t="str">
        <f>往来单位!$B$13&amp;""</f>
        <v>鑫城五金庄总</v>
      </c>
      <c r="E29">
        <f>IF(项目档案!$B$31="","",项目档案!$B$31)</f>
      </c>
      <c r="F29">
        <f>IF(基础资料!$H$13="个人户",TRIM(基础资料!$I$13&amp;""),"")</f>
      </c>
      <c r="G29">
        <f>基础资料!$G$13&amp;""</f>
      </c>
      <c r="H29" t="inlineStr">
        <is>
          <t>实收资本</t>
        </is>
      </c>
      <c r="L29">
        <f>IFERROR(INDEX(往来单位!$B$4:$B$303,MATCH(29,$N$1:$N$300,0))&amp;"","")</f>
      </c>
      <c r="N29" s="2">
        <f>SUM(CA1:CA29)</f>
        <v>7</v>
      </c>
      <c r="P29">
        <f>IF(A29="",0,LEN(A29)*10000+9971)</f>
        <v>59971</v>
      </c>
      <c r="Q29">
        <f>IF(LARGE($P$1:$P$240,29)=0,0,MATCH(LARGE($P$1:$P$240,29),$P$1:$P$240,0))</f>
        <v>6</v>
      </c>
      <c r="R29" t="str">
        <f t="shared" si="60"/>
        <v>科创</v>
      </c>
      <c r="S29" t="str">
        <f t="shared" si="61"/>
        <v>科创中心</v>
      </c>
      <c r="T29">
        <f>IF(C29="",0,LEN(C29)*10000+9971)</f>
        <v>49971</v>
      </c>
      <c r="U29">
        <f>IF(LARGE($T$1:$T$900,29)=0,0,MATCH(LARGE($T$1:$T$900,29),$T$1:$T$900,0))</f>
        <v>23</v>
      </c>
      <c r="V29" t="str">
        <f t="shared" si="62"/>
        <v>筑强建材</v>
      </c>
      <c r="W29" t="str">
        <f t="shared" si="63"/>
        <v>筑强</v>
      </c>
      <c r="X29">
        <f>IF(F29="",0,LEN(F29)*10000+9971)</f>
        <v>0</v>
      </c>
      <c r="Y29">
        <f>IF(LARGE($X$1:$X$40,29)=0,0,MATCH(LARGE($X$1:$X$40,29),$X$1:$X$40,0))</f>
        <v>0</v>
      </c>
      <c r="Z29">
        <f t="shared" si="64"/>
      </c>
      <c r="AA29">
        <f t="shared" si="65"/>
      </c>
      <c r="AB29" t="str">
        <f>IF(OR(基础资料!$AB$33="全",基础资料!$AB$33="收"),基础资料!$AA$33&amp;"","")</f>
        <v>入息</v>
      </c>
      <c r="AC29" t="str">
        <f>IF(OR(基础资料!$AB$33="全",基础资料!$AB$33="支"),基础资料!$AA$33&amp;"","")</f>
        <v>入息</v>
      </c>
      <c r="CA29" s="2">
        <f>IF(往来单位!$C$32="甲方/总包",1,0)</f>
        <v>0</v>
      </c>
    </row>
    <row r="30">
      <c r="A30" t="str">
        <f>IF(项目档案!$B$11="","",TRIM(项目档案!$O$11&amp;""))</f>
        <v>抚州2#</v>
      </c>
      <c r="B30" t="str">
        <f t="shared" si="7"/>
        <v>抚州2号楼</v>
      </c>
      <c r="C30">
        <f>IF(往来单位!$B$13="","",TRIM(往来单位!$E$13&amp;""))</f>
      </c>
      <c r="D30" t="str">
        <f>往来单位!$B$13&amp;""</f>
        <v>鑫城五金庄总</v>
      </c>
      <c r="E30">
        <f>IF(项目档案!$B$32="","",项目档案!$B$32)</f>
      </c>
      <c r="F30">
        <f>IF(基础资料!$H$14="个人户",TRIM(基础资料!$I$14&amp;""),"")</f>
      </c>
      <c r="G30">
        <f>基础资料!$G$14&amp;""</f>
      </c>
      <c r="H30" t="inlineStr">
        <is>
          <t>账户互转</t>
        </is>
      </c>
      <c r="L30">
        <f>IFERROR(INDEX(往来单位!$B$4:$B$303,MATCH(30,$N$1:$N$300,0))&amp;"","")</f>
      </c>
      <c r="N30" s="2">
        <f>SUM(CA1:CA30)</f>
        <v>7</v>
      </c>
      <c r="P30">
        <f>IF(A30="",0,LEN(A30)*10000+9970)</f>
        <v>49970</v>
      </c>
      <c r="Q30">
        <f>IF(LARGE($P$1:$P$240,30)=0,0,MATCH(LARGE($P$1:$P$240,30),$P$1:$P$240,0))</f>
        <v>11</v>
      </c>
      <c r="R30" t="str">
        <f t="shared" si="60"/>
        <v>九安</v>
      </c>
      <c r="S30" t="str">
        <f t="shared" si="61"/>
        <v>九安架空层</v>
      </c>
      <c r="T30">
        <f>IF(C30="",0,LEN(C30)*10000+9970)</f>
        <v>0</v>
      </c>
      <c r="U30">
        <f>IF(LARGE($T$1:$T$900,30)=0,0,MATCH(LARGE($T$1:$T$900,30),$T$1:$T$900,0))</f>
        <v>29</v>
      </c>
      <c r="V30" t="str">
        <f t="shared" si="62"/>
        <v>鑫城五金</v>
      </c>
      <c r="W30" t="str">
        <f t="shared" si="63"/>
        <v>鑫城五金庄总</v>
      </c>
      <c r="X30">
        <f>IF(F30="",0,LEN(F30)*10000+9970)</f>
        <v>0</v>
      </c>
      <c r="Y30">
        <f>IF(LARGE($X$1:$X$40,30)=0,0,MATCH(LARGE($X$1:$X$40,30),$X$1:$X$40,0))</f>
        <v>0</v>
      </c>
      <c r="Z30">
        <f t="shared" si="64"/>
      </c>
      <c r="AA30">
        <f t="shared" si="65"/>
      </c>
      <c r="AB30" t="str">
        <f>IF(OR(基础资料!$AB$34="全",基础资料!$AB$34="收"),基础资料!$AA$34&amp;"","")</f>
        <v>结息</v>
      </c>
      <c r="AC30" t="str">
        <f>IF(OR(基础资料!$AB$34="全",基础资料!$AB$34="支"),基础资料!$AA$34&amp;"","")</f>
        <v>结息</v>
      </c>
      <c r="CA30" s="2">
        <f>IF(往来单位!$C$33="甲方/总包",1,0)</f>
        <v>0</v>
      </c>
    </row>
    <row r="31">
      <c r="A31">
        <f>IF(项目档案!$B$11="","",TRIM(项目档案!$P$11&amp;""))</f>
      </c>
      <c r="B31" t="str">
        <f t="shared" si="7"/>
        <v>抚州2号楼</v>
      </c>
      <c r="C31" t="str">
        <f>IF(往来单位!$B$14="","",TRIM(往来单位!$B$14&amp;""))</f>
        <v>浔阳楼电缆</v>
      </c>
      <c r="D31" t="str">
        <f>往来单位!$B$14&amp;""</f>
        <v>浔阳楼电缆</v>
      </c>
      <c r="E31">
        <f>IF(项目档案!$B$33="","",项目档案!$B$33)</f>
      </c>
      <c r="F31">
        <f>IF(基础资料!$H$15="个人户",TRIM(基础资料!$I$15&amp;""),"")</f>
      </c>
      <c r="G31">
        <f>基础资料!$G$15&amp;""</f>
      </c>
      <c r="L31">
        <f>IFERROR(INDEX(往来单位!$B$4:$B$303,MATCH(31,$N$1:$N$300,0))&amp;"","")</f>
      </c>
      <c r="N31" s="2">
        <f>SUM(CA1:CA31)</f>
        <v>7</v>
      </c>
      <c r="P31">
        <f>IF(A31="",0,LEN(A31)*10000+9969)</f>
        <v>0</v>
      </c>
      <c r="Q31">
        <f>IF(LARGE($P$1:$P$240,31)=0,0,MATCH(LARGE($P$1:$P$240,31),$P$1:$P$240,0))</f>
        <v>18</v>
      </c>
      <c r="R31" t="str">
        <f t="shared" si="60"/>
        <v>邹桥</v>
      </c>
      <c r="S31" t="str">
        <f t="shared" si="61"/>
        <v>邹桥派出所</v>
      </c>
      <c r="T31">
        <f>IF(C31="",0,LEN(C31)*10000+9969)</f>
        <v>59969</v>
      </c>
      <c r="U31">
        <f>IF(LARGE($T$1:$T$900,31)=0,0,MATCH(LARGE($T$1:$T$900,31),$T$1:$T$900,0))</f>
        <v>34</v>
      </c>
      <c r="V31" t="str">
        <f t="shared" si="62"/>
        <v>启航五金</v>
      </c>
      <c r="W31" t="str">
        <f t="shared" si="63"/>
        <v>启航五金</v>
      </c>
      <c r="X31">
        <f>IF(F31="",0,LEN(F31)*10000+9969)</f>
        <v>0</v>
      </c>
      <c r="Y31">
        <f>IF(LARGE($X$1:$X$40,31)=0,0,MATCH(LARGE($X$1:$X$40,31),$X$1:$X$40,0))</f>
        <v>0</v>
      </c>
      <c r="Z31">
        <f t="shared" si="64"/>
      </c>
      <c r="AA31">
        <f t="shared" si="65"/>
      </c>
      <c r="AB31" t="str">
        <f>IF(OR(基础资料!$AB$35="全",基础资料!$AB$35="收"),基础资料!$AA$35&amp;"","")</f>
        <v>利息</v>
      </c>
      <c r="AC31" t="str">
        <f>IF(OR(基础资料!$AB$35="全",基础资料!$AB$35="支"),基础资料!$AA$35&amp;"","")</f>
        <v>利息</v>
      </c>
      <c r="CA31" s="2">
        <f>IF(往来单位!$C$34="甲方/总包",1,0)</f>
        <v>0</v>
      </c>
    </row>
    <row r="32">
      <c r="A32">
        <f>IF(项目档案!$B$11="","",TRIM(项目档案!$Q$11&amp;""))</f>
      </c>
      <c r="B32" t="str">
        <f t="shared" si="7"/>
        <v>抚州2号楼</v>
      </c>
      <c r="C32" t="str">
        <f>IF(往来单位!$B$14="","",TRIM(往来单位!$D$14&amp;""))</f>
        <v>浔阳楼</v>
      </c>
      <c r="D32" t="str">
        <f>往来单位!$B$14&amp;""</f>
        <v>浔阳楼电缆</v>
      </c>
      <c r="E32">
        <f>IF(项目档案!$B$34="","",项目档案!$B$34)</f>
      </c>
      <c r="F32">
        <f>IF(基础资料!$H$16="个人户",TRIM(基础资料!$I$16&amp;""),"")</f>
      </c>
      <c r="G32">
        <f>基础资料!$G$16&amp;""</f>
      </c>
      <c r="L32">
        <f>IFERROR(INDEX(往来单位!$B$4:$B$303,MATCH(32,$N$1:$N$300,0))&amp;"","")</f>
      </c>
      <c r="N32" s="2">
        <f>SUM(CA1:CA32)</f>
        <v>7</v>
      </c>
      <c r="P32">
        <f>IF(A32="",0,LEN(A32)*10000+9968)</f>
        <v>0</v>
      </c>
      <c r="Q32">
        <f>IF(LARGE($P$1:$P$240,32)=0,0,MATCH(LARGE($P$1:$P$240,32),$P$1:$P$240,0))</f>
        <v>34</v>
      </c>
      <c r="R32" t="str">
        <f t="shared" si="60"/>
        <v>博河</v>
      </c>
      <c r="S32" t="str">
        <f t="shared" si="61"/>
        <v>博河科创中心</v>
      </c>
      <c r="T32">
        <f>IF(C32="",0,LEN(C32)*10000+9968)</f>
        <v>39968</v>
      </c>
      <c r="U32">
        <f>IF(LARGE($T$1:$T$900,32)=0,0,MATCH(LARGE($T$1:$T$900,32),$T$1:$T$900,0))</f>
        <v>38</v>
      </c>
      <c r="V32" t="str">
        <f t="shared" si="62"/>
        <v>杭州行消</v>
      </c>
      <c r="W32" t="str">
        <f t="shared" si="63"/>
        <v>杭州行消物资贸易</v>
      </c>
      <c r="X32">
        <f>IF(F32="",0,LEN(F32)*10000+9968)</f>
        <v>0</v>
      </c>
      <c r="Y32">
        <f>IF(LARGE($X$1:$X$40,32)=0,0,MATCH(LARGE($X$1:$X$40,32),$X$1:$X$40,0))</f>
        <v>0</v>
      </c>
      <c r="Z32">
        <f t="shared" si="64"/>
      </c>
      <c r="AA32">
        <f t="shared" si="65"/>
      </c>
      <c r="AB32" t="str">
        <f>IF(OR(基础资料!$AB$36="全",基础资料!$AB$36="收"),基础资料!$AA$36&amp;"","")</f>
        <v>贷款</v>
      </c>
      <c r="AC32" t="str">
        <f>IF(OR(基础资料!$AB$36="全",基础资料!$AB$36="支"),基础资料!$AA$36&amp;"","")</f>
        <v>贷款</v>
      </c>
      <c r="CA32" s="2">
        <f>IF(往来单位!$C$35="甲方/总包",1,0)</f>
        <v>0</v>
      </c>
    </row>
    <row r="33">
      <c r="A33" t="str">
        <f>IF(项目档案!$B$12="","",TRIM(项目档案!$B$12&amp;""))</f>
        <v>博河科创中心</v>
      </c>
      <c r="B33" t="str">
        <f t="shared" ref="B33:B36" si="8">项目档案!$B$12&amp;""</f>
        <v>博河科创中心</v>
      </c>
      <c r="C33">
        <f>IF(往来单位!$B$14="","",TRIM(往来单位!$E$14&amp;""))</f>
      </c>
      <c r="D33" t="str">
        <f>往来单位!$B$14&amp;""</f>
        <v>浔阳楼电缆</v>
      </c>
      <c r="E33">
        <f>IF(项目档案!$B$35="","",项目档案!$B$35)</f>
      </c>
      <c r="F33">
        <f>IF(基础资料!$H$17="个人户",TRIM(基础资料!$I$17&amp;""),"")</f>
      </c>
      <c r="G33">
        <f>基础资料!$G$17&amp;""</f>
      </c>
      <c r="L33">
        <f>IFERROR(INDEX(往来单位!$B$4:$B$303,MATCH(33,$N$1:$N$300,0))&amp;"","")</f>
      </c>
      <c r="N33" s="2">
        <f>SUM(CA1:CA33)</f>
        <v>7</v>
      </c>
      <c r="P33">
        <f>IF(A33="",0,LEN(A33)*10000+9967)</f>
        <v>69967</v>
      </c>
      <c r="Q33">
        <f>IF(LARGE($P$1:$P$240,33)=0,0,MATCH(LARGE($P$1:$P$240,33),$P$1:$P$240,0))</f>
        <v>62</v>
      </c>
      <c r="R33" t="str">
        <f t="shared" si="60"/>
        <v>吴山</v>
      </c>
      <c r="S33" t="str">
        <f t="shared" si="61"/>
        <v>吴山政府项目</v>
      </c>
      <c r="T33">
        <f>IF(C33="",0,LEN(C33)*10000+9967)</f>
        <v>0</v>
      </c>
      <c r="U33">
        <f>IF(LARGE($T$1:$T$900,33)=0,0,MATCH(LARGE($T$1:$T$900,33),$T$1:$T$900,0))</f>
        <v>53</v>
      </c>
      <c r="V33" t="str">
        <f t="shared" si="62"/>
        <v>上海诚果</v>
      </c>
      <c r="W33" t="str">
        <f t="shared" si="63"/>
        <v>上海诚果泵阀</v>
      </c>
      <c r="X33">
        <f>IF(F33="",0,LEN(F33)*10000+9967)</f>
        <v>0</v>
      </c>
      <c r="Y33">
        <f>IF(LARGE($X$1:$X$40,33)=0,0,MATCH(LARGE($X$1:$X$40,33),$X$1:$X$40,0))</f>
        <v>0</v>
      </c>
      <c r="Z33">
        <f t="shared" si="64"/>
      </c>
      <c r="AA33">
        <f t="shared" si="65"/>
      </c>
      <c r="AB33" t="str">
        <f>IF(OR(基础资料!$AB$37="全",基础资料!$AB$37="收"),基础资料!$AA$37&amp;"","")</f>
        <v>手续费</v>
      </c>
      <c r="AC33" t="str">
        <f>IF(OR(基础资料!$AB$37="全",基础资料!$AB$37="支"),基础资料!$AA$37&amp;"","")</f>
        <v>手续费</v>
      </c>
      <c r="CA33" s="2">
        <f>IF(往来单位!$C$36="甲方/总包",1,0)</f>
        <v>0</v>
      </c>
    </row>
    <row r="34">
      <c r="A34" t="str">
        <f>IF(项目档案!$B$12="","",TRIM(项目档案!$O$12&amp;""))</f>
        <v>博河</v>
      </c>
      <c r="B34" t="str">
        <f t="shared" si="8"/>
        <v>博河科创中心</v>
      </c>
      <c r="C34" t="str">
        <f>IF(往来单位!$B$15="","",TRIM(往来单位!$B$15&amp;""))</f>
        <v>启航五金</v>
      </c>
      <c r="D34" t="str">
        <f>往来单位!$B$15&amp;""</f>
        <v>启航五金</v>
      </c>
      <c r="E34">
        <f>IF(项目档案!$B$36="","",项目档案!$B$36)</f>
      </c>
      <c r="F34">
        <f>IF(基础资料!$H$18="个人户",TRIM(基础资料!$I$18&amp;""),"")</f>
      </c>
      <c r="G34">
        <f>基础资料!$G$18&amp;""</f>
      </c>
      <c r="L34">
        <f>IFERROR(INDEX(往来单位!$B$4:$B$303,MATCH(34,$N$1:$N$300,0))&amp;"","")</f>
      </c>
      <c r="N34" s="2">
        <f>SUM(CA1:CA34)</f>
        <v>7</v>
      </c>
      <c r="P34">
        <f>IF(A34="",0,LEN(A34)*10000+9966)</f>
        <v>29966</v>
      </c>
      <c r="Q34">
        <f>IF(LARGE($P$1:$P$240,34)=0,0,MATCH(LARGE($P$1:$P$240,34),$P$1:$P$240,0))</f>
        <v>0</v>
      </c>
      <c r="R34">
        <f t="shared" si="60"/>
      </c>
      <c r="S34">
        <f t="shared" si="61"/>
      </c>
      <c r="T34">
        <f>IF(C34="",0,LEN(C34)*10000+9966)</f>
        <v>49966</v>
      </c>
      <c r="U34">
        <f>IF(LARGE($T$1:$T$900,34)=0,0,MATCH(LARGE($T$1:$T$900,34),$T$1:$T$900,0))</f>
        <v>55</v>
      </c>
      <c r="V34" t="str">
        <f t="shared" si="62"/>
        <v>佩力通风</v>
      </c>
      <c r="W34" t="str">
        <f t="shared" si="63"/>
        <v>佩力通风</v>
      </c>
      <c r="X34">
        <f>IF(F34="",0,LEN(F34)*10000+9966)</f>
        <v>0</v>
      </c>
      <c r="Y34">
        <f>IF(LARGE($X$1:$X$40,34)=0,0,MATCH(LARGE($X$1:$X$40,34),$X$1:$X$40,0))</f>
        <v>0</v>
      </c>
      <c r="Z34">
        <f t="shared" si="64"/>
      </c>
      <c r="AA34">
        <f t="shared" si="65"/>
      </c>
      <c r="AB34" t="str">
        <f>IF(OR(基础资料!$AB$38="全",基础资料!$AB$38="收"),基础资料!$AA$38&amp;"","")</f>
        <v>年服务费</v>
      </c>
      <c r="AC34" t="str">
        <f>IF(OR(基础资料!$AB$38="全",基础资料!$AB$38="支"),基础资料!$AA$38&amp;"","")</f>
        <v>年服务费</v>
      </c>
      <c r="CA34" s="2">
        <f>IF(往来单位!$C$37="甲方/总包",1,0)</f>
        <v>0</v>
      </c>
    </row>
    <row r="35">
      <c r="A35">
        <f>IF(项目档案!$B$12="","",TRIM(项目档案!$P$12&amp;""))</f>
      </c>
      <c r="B35" t="str">
        <f t="shared" si="8"/>
        <v>博河科创中心</v>
      </c>
      <c r="C35" t="str">
        <f>IF(往来单位!$B$15="","",TRIM(往来单位!$D$15&amp;""))</f>
        <v>启航</v>
      </c>
      <c r="D35" t="str">
        <f>往来单位!$B$15&amp;""</f>
        <v>启航五金</v>
      </c>
      <c r="E35">
        <f>IF(项目档案!$B$37="","",项目档案!$B$37)</f>
      </c>
      <c r="F35">
        <f>IF(基础资料!$H$19="个人户",TRIM(基础资料!$I$19&amp;""),"")</f>
      </c>
      <c r="G35">
        <f>基础资料!$G$19&amp;""</f>
      </c>
      <c r="L35">
        <f>IFERROR(INDEX(往来单位!$B$4:$B$303,MATCH(35,$N$1:$N$300,0))&amp;"","")</f>
      </c>
      <c r="N35" s="2">
        <f>SUM(CA1:CA35)</f>
        <v>7</v>
      </c>
      <c r="P35">
        <f>IF(A35="",0,LEN(A35)*10000+9965)</f>
        <v>0</v>
      </c>
      <c r="Q35">
        <f>IF(LARGE($P$1:$P$240,35)=0,0,MATCH(LARGE($P$1:$P$240,35),$P$1:$P$240,0))</f>
        <v>0</v>
      </c>
      <c r="R35">
        <f t="shared" si="60"/>
      </c>
      <c r="S35">
        <f t="shared" si="61"/>
      </c>
      <c r="T35">
        <f>IF(C35="",0,LEN(C35)*10000+9965)</f>
        <v>29965</v>
      </c>
      <c r="U35">
        <f>IF(LARGE($T$1:$T$900,35)=0,0,MATCH(LARGE($T$1:$T$900,35),$T$1:$T$900,0))</f>
        <v>61</v>
      </c>
      <c r="V35" t="str">
        <f t="shared" si="62"/>
        <v>华翔桥架</v>
      </c>
      <c r="W35" t="str">
        <f t="shared" si="63"/>
        <v>华翔桥架</v>
      </c>
      <c r="X35">
        <f>IF(F35="",0,LEN(F35)*10000+9965)</f>
        <v>0</v>
      </c>
      <c r="Y35">
        <f>IF(LARGE($X$1:$X$40,35)=0,0,MATCH(LARGE($X$1:$X$40,35),$X$1:$X$40,0))</f>
        <v>0</v>
      </c>
      <c r="Z35">
        <f t="shared" si="64"/>
      </c>
      <c r="AA35">
        <f t="shared" si="65"/>
      </c>
      <c r="AB35" t="str">
        <f>IF(OR(基础资料!$AB$39="全",基础资料!$AB$39="收"),基础资料!$AA$39&amp;"","")</f>
        <v>维护费</v>
      </c>
      <c r="AC35" t="str">
        <f>IF(OR(基础资料!$AB$39="全",基础资料!$AB$39="支"),基础资料!$AA$39&amp;"","")</f>
        <v>维护费</v>
      </c>
      <c r="CA35" s="2">
        <f>IF(往来单位!$C$38="甲方/总包",1,0)</f>
        <v>0</v>
      </c>
    </row>
    <row r="36">
      <c r="A36">
        <f>IF(项目档案!$B$12="","",TRIM(项目档案!$Q$12&amp;""))</f>
      </c>
      <c r="B36" t="str">
        <f t="shared" si="8"/>
        <v>博河科创中心</v>
      </c>
      <c r="C36">
        <f>IF(往来单位!$B$15="","",TRIM(往来单位!$E$15&amp;""))</f>
      </c>
      <c r="D36" t="str">
        <f>往来单位!$B$15&amp;""</f>
        <v>启航五金</v>
      </c>
      <c r="E36">
        <f>IF(项目档案!$B$38="","",项目档案!$B$38)</f>
      </c>
      <c r="F36">
        <f>IF(基础资料!$H$20="个人户",TRIM(基础资料!$I$20&amp;""),"")</f>
      </c>
      <c r="G36">
        <f>基础资料!$G$20&amp;""</f>
      </c>
      <c r="L36">
        <f>IFERROR(INDEX(往来单位!$B$4:$B$303,MATCH(36,$N$1:$N$300,0))&amp;"","")</f>
      </c>
      <c r="N36" s="2">
        <f>SUM(CA1:CA36)</f>
        <v>7</v>
      </c>
      <c r="P36">
        <f>IF(A36="",0,LEN(A36)*10000+9964)</f>
        <v>0</v>
      </c>
      <c r="Q36">
        <f>IF(LARGE($P$1:$P$240,36)=0,0,MATCH(LARGE($P$1:$P$240,36),$P$1:$P$240,0))</f>
        <v>0</v>
      </c>
      <c r="R36">
        <f t="shared" si="60"/>
      </c>
      <c r="S36">
        <f t="shared" si="61"/>
      </c>
      <c r="T36">
        <f>IF(C36="",0,LEN(C36)*10000+9964)</f>
        <v>0</v>
      </c>
      <c r="U36">
        <f>IF(LARGE($T$1:$T$900,36)=0,0,MATCH(LARGE($T$1:$T$900,36),$T$1:$T$900,0))</f>
        <v>73</v>
      </c>
      <c r="V36" t="str">
        <f t="shared" si="62"/>
        <v>恩旗老叶</v>
      </c>
      <c r="W36" t="str">
        <f t="shared" si="63"/>
        <v>恩旗老叶</v>
      </c>
      <c r="X36">
        <f>IF(F36="",0,LEN(F36)*10000+9964)</f>
        <v>0</v>
      </c>
      <c r="Y36">
        <f>IF(LARGE($X$1:$X$40,36)=0,0,MATCH(LARGE($X$1:$X$40,36),$X$1:$X$40,0))</f>
        <v>0</v>
      </c>
      <c r="Z36">
        <f t="shared" si="64"/>
      </c>
      <c r="AA36">
        <f t="shared" si="65"/>
      </c>
      <c r="AB36" t="str">
        <f>IF(OR(基础资料!$AB$40="全",基础资料!$AB$40="收"),基础资料!$AA$40&amp;"","")</f>
        <v>欠费补缴</v>
      </c>
      <c r="AC36" t="str">
        <f>IF(OR(基础资料!$AB$40="全",基础资料!$AB$40="支"),基础资料!$AA$40&amp;"","")</f>
        <v>欠费补缴</v>
      </c>
      <c r="CA36" s="2">
        <f>IF(往来单位!$C$39="甲方/总包",1,0)</f>
        <v>0</v>
      </c>
    </row>
    <row r="37">
      <c r="A37" t="str">
        <f>IF(项目档案!$B$13="","",TRIM(项目档案!$B$13&amp;""))</f>
        <v>德安农商行总部</v>
      </c>
      <c r="B37" t="str">
        <f t="shared" ref="B37:B40" si="9">项目档案!$B$13&amp;""</f>
        <v>德安农商行总部</v>
      </c>
      <c r="C37" t="str">
        <f>IF(往来单位!$B$16="","",TRIM(往来单位!$B$16&amp;""))</f>
        <v>杭州行消物资贸易</v>
      </c>
      <c r="D37" t="str">
        <f>往来单位!$B$16&amp;""</f>
        <v>杭州行消物资贸易</v>
      </c>
      <c r="E37">
        <f>IF(项目档案!$B$39="","",项目档案!$B$39)</f>
      </c>
      <c r="F37">
        <f>IF(基础资料!$H$21="个人户",TRIM(基础资料!$I$21&amp;""),"")</f>
      </c>
      <c r="G37">
        <f>基础资料!$G$21&amp;""</f>
      </c>
      <c r="L37">
        <f>IFERROR(INDEX(往来单位!$B$4:$B$303,MATCH(37,$N$1:$N$300,0))&amp;"","")</f>
      </c>
      <c r="N37" s="2">
        <f>SUM(CA1:CA37)</f>
        <v>7</v>
      </c>
      <c r="P37">
        <f>IF(A37="",0,LEN(A37)*10000+9963)</f>
        <v>79963</v>
      </c>
      <c r="Q37">
        <f>IF(LARGE($P$1:$P$240,37)=0,0,MATCH(LARGE($P$1:$P$240,37),$P$1:$P$240,0))</f>
        <v>0</v>
      </c>
      <c r="R37">
        <f t="shared" si="60"/>
      </c>
      <c r="S37">
        <f t="shared" si="61"/>
      </c>
      <c r="T37">
        <f>IF(C37="",0,LEN(C37)*10000+9963)</f>
        <v>89963</v>
      </c>
      <c r="U37">
        <f>IF(LARGE($T$1:$T$900,37)=0,0,MATCH(LARGE($T$1:$T$900,37),$T$1:$T$900,0))</f>
        <v>82</v>
      </c>
      <c r="V37" t="str">
        <f t="shared" si="62"/>
        <v>九江朱总</v>
      </c>
      <c r="W37" t="str">
        <f t="shared" si="63"/>
        <v>九江朱总</v>
      </c>
      <c r="X37">
        <f>IF(F37="",0,LEN(F37)*10000+9963)</f>
        <v>0</v>
      </c>
      <c r="Y37">
        <f>IF(LARGE($X$1:$X$40,37)=0,0,MATCH(LARGE($X$1:$X$40,37),$X$1:$X$40,0))</f>
        <v>0</v>
      </c>
      <c r="Z37">
        <f t="shared" si="64"/>
      </c>
      <c r="AA37">
        <f t="shared" si="65"/>
      </c>
      <c r="AB37" t="str">
        <f>IF(OR(基础资料!$AB$41="全",基础资料!$AB$41="收"),基础资料!$AA$41&amp;"","")</f>
        <v>保证金</v>
      </c>
      <c r="AC37" t="str">
        <f>IF(OR(基础资料!$AB$41="全",基础资料!$AB$41="支"),基础资料!$AA$41&amp;"","")</f>
        <v>保证金</v>
      </c>
      <c r="CA37" s="2">
        <f>IF(往来单位!$C$40="甲方/总包",1,0)</f>
        <v>0</v>
      </c>
    </row>
    <row r="38">
      <c r="A38" t="str">
        <f>IF(项目档案!$B$13="","",TRIM(项目档案!$O$13&amp;""))</f>
        <v>农商行</v>
      </c>
      <c r="B38" t="str">
        <f t="shared" si="9"/>
        <v>德安农商行总部</v>
      </c>
      <c r="C38" t="str">
        <f>IF(往来单位!$B$16="","",TRIM(往来单位!$D$16&amp;""))</f>
        <v>杭州行消</v>
      </c>
      <c r="D38" t="str">
        <f>往来单位!$B$16&amp;""</f>
        <v>杭州行消物资贸易</v>
      </c>
      <c r="E38">
        <f>IF(项目档案!$B$40="","",项目档案!$B$40)</f>
      </c>
      <c r="F38">
        <f>IF(基础资料!$H$22="个人户",TRIM(基础资料!$I$22&amp;""),"")</f>
      </c>
      <c r="G38">
        <f>基础资料!$G$22&amp;""</f>
      </c>
      <c r="L38">
        <f>IFERROR(INDEX(往来单位!$B$4:$B$303,MATCH(38,$N$1:$N$300,0))&amp;"","")</f>
      </c>
      <c r="N38" s="2">
        <f>SUM(CA1:CA38)</f>
        <v>7</v>
      </c>
      <c r="P38">
        <f>IF(A38="",0,LEN(A38)*10000+9962)</f>
        <v>39962</v>
      </c>
      <c r="Q38">
        <f>IF(LARGE($P$1:$P$240,38)=0,0,MATCH(LARGE($P$1:$P$240,38),$P$1:$P$240,0))</f>
        <v>0</v>
      </c>
      <c r="R38">
        <f t="shared" si="60"/>
      </c>
      <c r="S38">
        <f t="shared" si="61"/>
      </c>
      <c r="T38">
        <f>IF(C38="",0,LEN(C38)*10000+9962)</f>
        <v>49962</v>
      </c>
      <c r="U38">
        <f>IF(LARGE($T$1:$T$900,38)=0,0,MATCH(LARGE($T$1:$T$900,38),$T$1:$T$900,0))</f>
        <v>85</v>
      </c>
      <c r="V38" t="str">
        <f t="shared" si="62"/>
        <v>共安门业</v>
      </c>
      <c r="W38" t="str">
        <f t="shared" si="63"/>
        <v>共安门业</v>
      </c>
      <c r="X38">
        <f>IF(F38="",0,LEN(F38)*10000+9962)</f>
        <v>0</v>
      </c>
      <c r="Y38">
        <f>IF(LARGE($X$1:$X$40,38)=0,0,MATCH(LARGE($X$1:$X$40,38),$X$1:$X$40,0))</f>
        <v>0</v>
      </c>
      <c r="Z38">
        <f t="shared" si="64"/>
      </c>
      <c r="AA38">
        <f t="shared" si="65"/>
      </c>
      <c r="AB38" t="str">
        <f>IF(OR(基础资料!$AB$42="全",基础资料!$AB$42="收"),基础资料!$AA$42&amp;"","")</f>
        <v>押金</v>
      </c>
      <c r="AC38" t="str">
        <f>IF(OR(基础资料!$AB$42="全",基础资料!$AB$42="支"),基础资料!$AA$42&amp;"","")</f>
        <v>押金</v>
      </c>
      <c r="CA38" s="2">
        <f>IF(往来单位!$C$41="甲方/总包",1,0)</f>
        <v>0</v>
      </c>
    </row>
    <row r="39">
      <c r="A39" t="str">
        <f>IF(项目档案!$B$13="","",TRIM(项目档案!$P$13&amp;""))</f>
        <v>德安农商</v>
      </c>
      <c r="B39" t="str">
        <f t="shared" si="9"/>
        <v>德安农商行总部</v>
      </c>
      <c r="C39" t="str">
        <f>IF(往来单位!$B$16="","",TRIM(往来单位!$E$16&amp;""))</f>
        <v>行消</v>
      </c>
      <c r="D39" t="str">
        <f>往来单位!$B$16&amp;""</f>
        <v>杭州行消物资贸易</v>
      </c>
      <c r="E39">
        <f>IF(项目档案!$B$41="","",项目档案!$B$41)</f>
      </c>
      <c r="F39">
        <f>IF(基础资料!$H$23="个人户",TRIM(基础资料!$I$23&amp;""),"")</f>
      </c>
      <c r="G39">
        <f>基础资料!$G$23&amp;""</f>
      </c>
      <c r="L39">
        <f>IFERROR(INDEX(往来单位!$B$4:$B$303,MATCH(39,$N$1:$N$300,0))&amp;"","")</f>
      </c>
      <c r="N39" s="2">
        <f>SUM(CA1:CA39)</f>
        <v>7</v>
      </c>
      <c r="P39">
        <f>IF(A39="",0,LEN(A39)*10000+9961)</f>
        <v>49961</v>
      </c>
      <c r="Q39">
        <f>IF(LARGE($P$1:$P$240,39)=0,0,MATCH(LARGE($P$1:$P$240,39),$P$1:$P$240,0))</f>
        <v>0</v>
      </c>
      <c r="R39">
        <f t="shared" si="60"/>
      </c>
      <c r="S39">
        <f t="shared" si="61"/>
      </c>
      <c r="T39">
        <f>IF(C39="",0,LEN(C39)*10000+9961)</f>
        <v>29961</v>
      </c>
      <c r="U39">
        <f>IF(LARGE($T$1:$T$900,39)=0,0,MATCH(LARGE($T$1:$T$900,39),$T$1:$T$900,0))</f>
        <v>88</v>
      </c>
      <c r="V39" t="str">
        <f t="shared" si="62"/>
        <v>图揽成善</v>
      </c>
      <c r="W39" t="str">
        <f t="shared" si="63"/>
        <v>图揽成善</v>
      </c>
      <c r="X39">
        <f>IF(F39="",0,LEN(F39)*10000+9961)</f>
        <v>0</v>
      </c>
      <c r="Y39">
        <f>IF(LARGE($X$1:$X$40,39)=0,0,MATCH(LARGE($X$1:$X$40,39),$X$1:$X$40,0))</f>
        <v>0</v>
      </c>
      <c r="Z39">
        <f t="shared" si="64"/>
      </c>
      <c r="AA39">
        <f t="shared" si="65"/>
      </c>
      <c r="AB39" t="str">
        <f>IF(OR(基础资料!$AB$43="全",基础资料!$AB$43="收"),基础资料!$AA$43&amp;"","")</f>
        <v>工程款</v>
      </c>
      <c r="AC39">
        <f>IF(OR(基础资料!$AB$43="全",基础资料!$AB$43="支"),基础资料!$AA$43&amp;"","")</f>
      </c>
      <c r="CA39" s="2">
        <f>IF(往来单位!$C$42="甲方/总包",1,0)</f>
        <v>0</v>
      </c>
    </row>
    <row r="40">
      <c r="A40">
        <f>IF(项目档案!$B$13="","",TRIM(项目档案!$Q$13&amp;""))</f>
      </c>
      <c r="B40" t="str">
        <f t="shared" si="9"/>
        <v>德安农商行总部</v>
      </c>
      <c r="C40" t="str">
        <f>IF(往来单位!$B$17="","",TRIM(往来单位!$B$17&amp;""))</f>
        <v>南昌盈厚建材</v>
      </c>
      <c r="D40" t="str">
        <f>往来单位!$B$17&amp;""</f>
        <v>南昌盈厚建材</v>
      </c>
      <c r="E40">
        <f>IF(项目档案!$B$42="","",项目档案!$B$42)</f>
      </c>
      <c r="F40">
        <f>IF(基础资料!$H$24="个人户",TRIM(基础资料!$I$24&amp;""),"")</f>
      </c>
      <c r="G40">
        <f>基础资料!$G$24&amp;""</f>
      </c>
      <c r="L40">
        <f>IFERROR(INDEX(往来单位!$B$4:$B$303,MATCH(40,$N$1:$N$300,0))&amp;"","")</f>
      </c>
      <c r="N40" s="2">
        <f>SUM(CA1:CA40)</f>
        <v>7</v>
      </c>
      <c r="P40">
        <f>IF(A40="",0,LEN(A40)*10000+9960)</f>
        <v>0</v>
      </c>
      <c r="Q40">
        <f>IF(LARGE($P$1:$P$240,40)=0,0,MATCH(LARGE($P$1:$P$240,40),$P$1:$P$240,0))</f>
        <v>0</v>
      </c>
      <c r="R40">
        <f t="shared" si="60"/>
      </c>
      <c r="S40">
        <f t="shared" si="61"/>
      </c>
      <c r="T40">
        <f>IF(C40="",0,LEN(C40)*10000+9960)</f>
        <v>69960</v>
      </c>
      <c r="U40">
        <f>IF(LARGE($T$1:$T$900,40)=0,0,MATCH(LARGE($T$1:$T$900,40),$T$1:$T$900,0))</f>
        <v>115</v>
      </c>
      <c r="V40" t="str">
        <f t="shared" si="62"/>
        <v>航帆增辉</v>
      </c>
      <c r="W40" t="str">
        <f t="shared" si="63"/>
        <v>航帆增辉</v>
      </c>
      <c r="X40">
        <f>IF(F40="",0,LEN(F40)*10000+9960)</f>
        <v>0</v>
      </c>
      <c r="Y40">
        <f>IF(LARGE($X$1:$X$40,40)=0,0,MATCH(LARGE($X$1:$X$40,40),$X$1:$X$40,0))</f>
        <v>0</v>
      </c>
      <c r="Z40">
        <f t="shared" si="64"/>
      </c>
      <c r="AA40">
        <f t="shared" si="65"/>
      </c>
      <c r="AB40" t="str">
        <f>IF(OR(基础资料!$AB$44="全",基础资料!$AB$44="收"),基础资料!$AA$44&amp;"","")</f>
        <v>进度款</v>
      </c>
      <c r="AC40">
        <f>IF(OR(基础资料!$AB$44="全",基础资料!$AB$44="支"),基础资料!$AA$44&amp;"","")</f>
      </c>
      <c r="CA40" s="2">
        <f>IF(往来单位!$C$43="甲方/总包",1,0)</f>
        <v>0</v>
      </c>
    </row>
    <row r="41">
      <c r="A41" t="str">
        <f>IF(项目档案!$B$14="","",TRIM(项目档案!$B$14&amp;""))</f>
        <v>示范园</v>
      </c>
      <c r="B41" t="str">
        <f t="shared" ref="B41:B44" si="10">项目档案!$B$14&amp;""</f>
        <v>示范园</v>
      </c>
      <c r="C41" t="str">
        <f>IF(往来单位!$B$17="","",TRIM(往来单位!$D$17&amp;""))</f>
        <v>盈厚</v>
      </c>
      <c r="D41" t="str">
        <f>往来单位!$B$17&amp;""</f>
        <v>南昌盈厚建材</v>
      </c>
      <c r="E41">
        <f>IF(项目档案!$B$43="","",项目档案!$B$43)</f>
      </c>
      <c r="L41">
        <f>IFERROR(INDEX(往来单位!$B$4:$B$303,MATCH(41,$N$1:$N$300,0))&amp;"","")</f>
      </c>
      <c r="N41" s="2">
        <f>SUM(CA1:CA41)</f>
        <v>7</v>
      </c>
      <c r="P41">
        <f>IF(A41="",0,LEN(A41)*10000+9959)</f>
        <v>39959</v>
      </c>
      <c r="Q41">
        <f>IF(LARGE($P$1:$P$240,41)=0,0,MATCH(LARGE($P$1:$P$240,41),$P$1:$P$240,0))</f>
        <v>0</v>
      </c>
      <c r="R41">
        <f t="shared" si="60"/>
      </c>
      <c r="S41">
        <f t="shared" si="61"/>
      </c>
      <c r="T41">
        <f>IF(C41="",0,LEN(C41)*10000+9959)</f>
        <v>29959</v>
      </c>
      <c r="U41">
        <f>IF(LARGE($T$1:$T$900,41)=0,0,MATCH(LARGE($T$1:$T$900,41),$T$1:$T$900,0))</f>
        <v>32</v>
      </c>
      <c r="V41" t="str">
        <f t="shared" si="62"/>
        <v>浔阳楼</v>
      </c>
      <c r="W41" t="str">
        <f t="shared" si="63"/>
        <v>浔阳楼电缆</v>
      </c>
      <c r="AB41" t="str">
        <f>IF(OR(基础资料!$AB$45="全",基础资料!$AB$45="收"),基础资料!$AA$45&amp;"","")</f>
        <v>结算款</v>
      </c>
      <c r="AC41">
        <f>IF(OR(基础资料!$AB$45="全",基础资料!$AB$45="支"),基础资料!$AA$45&amp;"","")</f>
      </c>
      <c r="CA41" s="2">
        <f>IF(往来单位!$C$44="甲方/总包",1,0)</f>
        <v>0</v>
      </c>
    </row>
    <row r="42">
      <c r="A42">
        <f>IF(项目档案!$B$14="","",TRIM(项目档案!$O$14&amp;""))</f>
      </c>
      <c r="B42" t="str">
        <f t="shared" si="10"/>
        <v>示范园</v>
      </c>
      <c r="C42">
        <f>IF(往来单位!$B$17="","",TRIM(往来单位!$E$17&amp;""))</f>
      </c>
      <c r="D42" t="str">
        <f>往来单位!$B$17&amp;""</f>
        <v>南昌盈厚建材</v>
      </c>
      <c r="E42">
        <f>IF(项目档案!$B$44="","",项目档案!$B$44)</f>
      </c>
      <c r="L42">
        <f>IFERROR(INDEX(往来单位!$B$4:$B$303,MATCH(42,$N$1:$N$300,0))&amp;"","")</f>
      </c>
      <c r="N42" s="2">
        <f>SUM(CA1:CA42)</f>
        <v>7</v>
      </c>
      <c r="P42">
        <f>IF(A42="",0,LEN(A42)*10000+9958)</f>
        <v>0</v>
      </c>
      <c r="Q42">
        <f>IF(LARGE($P$1:$P$240,42)=0,0,MATCH(LARGE($P$1:$P$240,42),$P$1:$P$240,0))</f>
        <v>0</v>
      </c>
      <c r="R42">
        <f t="shared" si="60"/>
      </c>
      <c r="S42">
        <f t="shared" si="61"/>
      </c>
      <c r="T42">
        <f>IF(C42="",0,LEN(C42)*10000+9958)</f>
        <v>0</v>
      </c>
      <c r="U42">
        <f>IF(LARGE($T$1:$T$900,42)=0,0,MATCH(LARGE($T$1:$T$900,42),$T$1:$T$900,0))</f>
        <v>91</v>
      </c>
      <c r="V42" t="str">
        <f t="shared" si="62"/>
        <v>祝冬冬</v>
      </c>
      <c r="W42" t="str">
        <f t="shared" si="63"/>
        <v>祝冬冬</v>
      </c>
      <c r="AB42">
        <f>IF(OR(基础资料!$AB$46="全",基础资料!$AB$46="收"),基础资料!$AA$46&amp;"","")</f>
      </c>
      <c r="AC42" t="str">
        <f>IF(OR(基础资料!$AB$46="全",基础资料!$AB$46="支"),基础资料!$AA$46&amp;"","")</f>
        <v>工程款</v>
      </c>
      <c r="CA42" s="2">
        <f>IF(往来单位!$C$45="甲方/总包",1,0)</f>
        <v>0</v>
      </c>
    </row>
    <row r="43">
      <c r="A43">
        <f>IF(项目档案!$B$14="","",TRIM(项目档案!$P$14&amp;""))</f>
      </c>
      <c r="B43" t="str">
        <f t="shared" si="10"/>
        <v>示范园</v>
      </c>
      <c r="C43" t="str">
        <f>IF(往来单位!$B$18="","",TRIM(往来单位!$B$18&amp;""))</f>
        <v>浙缆元通电缆</v>
      </c>
      <c r="D43" t="str">
        <f>往来单位!$B$18&amp;""</f>
        <v>浙缆元通电缆</v>
      </c>
      <c r="E43">
        <f>IF(项目档案!$B$45="","",项目档案!$B$45)</f>
      </c>
      <c r="L43">
        <f>IFERROR(INDEX(往来单位!$B$4:$B$303,MATCH(43,$N$1:$N$300,0))&amp;"","")</f>
      </c>
      <c r="N43" s="2">
        <f>SUM(CA1:CA43)</f>
        <v>7</v>
      </c>
      <c r="P43">
        <f>IF(A43="",0,LEN(A43)*10000+9957)</f>
        <v>0</v>
      </c>
      <c r="Q43">
        <f>IF(LARGE($P$1:$P$240,43)=0,0,MATCH(LARGE($P$1:$P$240,43),$P$1:$P$240,0))</f>
        <v>0</v>
      </c>
      <c r="R43">
        <f t="shared" si="60"/>
      </c>
      <c r="S43">
        <f t="shared" si="61"/>
      </c>
      <c r="T43">
        <f>IF(C43="",0,LEN(C43)*10000+9957)</f>
        <v>69957</v>
      </c>
      <c r="U43">
        <f>IF(LARGE($T$1:$T$900,43)=0,0,MATCH(LARGE($T$1:$T$900,43),$T$1:$T$900,0))</f>
        <v>97</v>
      </c>
      <c r="V43" t="str">
        <f t="shared" si="62"/>
        <v>徐怀生</v>
      </c>
      <c r="W43" t="str">
        <f t="shared" si="63"/>
        <v>徐怀生</v>
      </c>
      <c r="AB43" t="str">
        <f>IF(OR(基础资料!$AB$47="全",基础资料!$AB$47="收"),基础资料!$AA$47&amp;"","")</f>
        <v>企业所得税</v>
      </c>
      <c r="AC43" t="str">
        <f>IF(OR(基础资料!$AB$47="全",基础资料!$AB$47="支"),基础资料!$AA$47&amp;"","")</f>
        <v>企业所得税</v>
      </c>
      <c r="CA43" s="2">
        <f>IF(往来单位!$C$46="甲方/总包",1,0)</f>
        <v>0</v>
      </c>
    </row>
    <row r="44">
      <c r="A44">
        <f>IF(项目档案!$B$14="","",TRIM(项目档案!$Q$14&amp;""))</f>
      </c>
      <c r="B44" t="str">
        <f t="shared" si="10"/>
        <v>示范园</v>
      </c>
      <c r="C44" t="str">
        <f>IF(往来单位!$B$18="","",TRIM(往来单位!$D$18&amp;""))</f>
        <v>浙缆</v>
      </c>
      <c r="D44" t="str">
        <f>往来单位!$B$18&amp;""</f>
        <v>浙缆元通电缆</v>
      </c>
      <c r="E44">
        <f>IF(项目档案!$B$46="","",项目档案!$B$46)</f>
      </c>
      <c r="L44">
        <f>IFERROR(INDEX(往来单位!$B$4:$B$303,MATCH(44,$N$1:$N$300,0))&amp;"","")</f>
      </c>
      <c r="N44" s="2">
        <f>SUM(CA1:CA44)</f>
        <v>7</v>
      </c>
      <c r="P44">
        <f>IF(A44="",0,LEN(A44)*10000+9956)</f>
        <v>0</v>
      </c>
      <c r="Q44">
        <f>IF(LARGE($P$1:$P$240,44)=0,0,MATCH(LARGE($P$1:$P$240,44),$P$1:$P$240,0))</f>
        <v>0</v>
      </c>
      <c r="R44">
        <f t="shared" si="60"/>
      </c>
      <c r="S44">
        <f t="shared" si="61"/>
      </c>
      <c r="T44">
        <f>IF(C44="",0,LEN(C44)*10000+9956)</f>
        <v>29956</v>
      </c>
      <c r="U44">
        <f>IF(LARGE($T$1:$T$900,44)=0,0,MATCH(LARGE($T$1:$T$900,44),$T$1:$T$900,0))</f>
        <v>100</v>
      </c>
      <c r="V44" t="str">
        <f t="shared" si="62"/>
        <v>龚文坚</v>
      </c>
      <c r="W44" t="str">
        <f t="shared" si="63"/>
        <v>龚文坚</v>
      </c>
      <c r="AB44" t="str">
        <f>IF(OR(基础资料!$AB$48="全",基础资料!$AB$48="收"),基础资料!$AA$48&amp;"","")</f>
        <v>所得税</v>
      </c>
      <c r="AC44" t="str">
        <f>IF(OR(基础资料!$AB$48="全",基础资料!$AB$48="支"),基础资料!$AA$48&amp;"","")</f>
        <v>所得税</v>
      </c>
      <c r="CA44" s="2">
        <f>IF(往来单位!$C$47="甲方/总包",1,0)</f>
        <v>0</v>
      </c>
    </row>
    <row r="45">
      <c r="A45" t="str">
        <f>IF(项目档案!$B$15="","",TRIM(项目档案!$B$15&amp;""))</f>
        <v>恒科华府</v>
      </c>
      <c r="B45" t="str">
        <f t="shared" ref="B45:B48" si="11">项目档案!$B$15&amp;""</f>
        <v>恒科华府</v>
      </c>
      <c r="C45" t="str">
        <f>IF(往来单位!$B$18="","",TRIM(往来单位!$E$18&amp;""))</f>
        <v>元通</v>
      </c>
      <c r="D45" t="str">
        <f>往来单位!$B$18&amp;""</f>
        <v>浙缆元通电缆</v>
      </c>
      <c r="E45">
        <f>IF(项目档案!$B$47="","",项目档案!$B$47)</f>
      </c>
      <c r="L45">
        <f>IFERROR(INDEX(往来单位!$B$4:$B$303,MATCH(45,$N$1:$N$300,0))&amp;"","")</f>
      </c>
      <c r="N45" s="2">
        <f>SUM(CA1:CA45)</f>
        <v>7</v>
      </c>
      <c r="P45">
        <f>IF(A45="",0,LEN(A45)*10000+9955)</f>
        <v>49955</v>
      </c>
      <c r="Q45">
        <f>IF(LARGE($P$1:$P$240,45)=0,0,MATCH(LARGE($P$1:$P$240,45),$P$1:$P$240,0))</f>
        <v>0</v>
      </c>
      <c r="R45">
        <f t="shared" si="60"/>
      </c>
      <c r="S45">
        <f t="shared" si="61"/>
      </c>
      <c r="T45">
        <f>IF(C45="",0,LEN(C45)*10000+9955)</f>
        <v>29955</v>
      </c>
      <c r="U45">
        <f>IF(LARGE($T$1:$T$900,45)=0,0,MATCH(LARGE($T$1:$T$900,45),$T$1:$T$900,0))</f>
        <v>119</v>
      </c>
      <c r="V45" t="str">
        <f t="shared" si="62"/>
        <v>章德吉</v>
      </c>
      <c r="W45" t="str">
        <f t="shared" si="63"/>
        <v>章德吉货运</v>
      </c>
      <c r="AB45" t="str">
        <f>IF(OR(基础资料!$AB$49="全",基础资料!$AB$49="收"),基础资料!$AA$49&amp;"","")</f>
        <v>预缴</v>
      </c>
      <c r="AC45" t="str">
        <f>IF(OR(基础资料!$AB$49="全",基础资料!$AB$49="支"),基础资料!$AA$49&amp;"","")</f>
        <v>预缴</v>
      </c>
      <c r="CA45" s="2">
        <f>IF(往来单位!$C$48="甲方/总包",1,0)</f>
        <v>0</v>
      </c>
    </row>
    <row r="46">
      <c r="A46">
        <f>IF(项目档案!$B$15="","",TRIM(项目档案!$O$15&amp;""))</f>
      </c>
      <c r="B46" t="str">
        <f t="shared" si="11"/>
        <v>恒科华府</v>
      </c>
      <c r="C46" t="str">
        <f>IF(往来单位!$B$19="","",TRIM(往来单位!$B$19&amp;""))</f>
        <v>江西允诺消防</v>
      </c>
      <c r="D46" t="str">
        <f>往来单位!$B$19&amp;""</f>
        <v>江西允诺消防</v>
      </c>
      <c r="E46">
        <f>IF(项目档案!$B$48="","",项目档案!$B$48)</f>
      </c>
      <c r="L46">
        <f>IFERROR(INDEX(往来单位!$B$4:$B$303,MATCH(46,$N$1:$N$300,0))&amp;"","")</f>
      </c>
      <c r="N46" s="2">
        <f>SUM(CA1:CA46)</f>
        <v>7</v>
      </c>
      <c r="P46">
        <f>IF(A46="",0,LEN(A46)*10000+9954)</f>
        <v>0</v>
      </c>
      <c r="Q46">
        <f>IF(LARGE($P$1:$P$240,46)=0,0,MATCH(LARGE($P$1:$P$240,46),$P$1:$P$240,0))</f>
        <v>0</v>
      </c>
      <c r="R46">
        <f t="shared" si="60"/>
      </c>
      <c r="S46">
        <f t="shared" si="61"/>
      </c>
      <c r="T46">
        <f>IF(C46="",0,LEN(C46)*10000+9954)</f>
        <v>69954</v>
      </c>
      <c r="U46">
        <f>IF(LARGE($T$1:$T$900,46)=0,0,MATCH(LARGE($T$1:$T$900,46),$T$1:$T$900,0))</f>
        <v>124</v>
      </c>
      <c r="V46" t="str">
        <f t="shared" si="62"/>
        <v>袁斌财</v>
      </c>
      <c r="W46" t="str">
        <f t="shared" si="63"/>
        <v>袁斌财</v>
      </c>
      <c r="AB46" t="str">
        <f>IF(OR(基础资料!$AB$50="全",基础资料!$AB$50="收"),基础资料!$AA$50&amp;"","")</f>
        <v>增值税</v>
      </c>
      <c r="AC46" t="str">
        <f>IF(OR(基础资料!$AB$50="全",基础资料!$AB$50="支"),基础资料!$AA$50&amp;"","")</f>
        <v>增值税</v>
      </c>
      <c r="CA46" s="2">
        <f>IF(往来单位!$C$49="甲方/总包",1,0)</f>
        <v>0</v>
      </c>
    </row>
    <row r="47">
      <c r="A47">
        <f>IF(项目档案!$B$15="","",TRIM(项目档案!$P$15&amp;""))</f>
      </c>
      <c r="B47" t="str">
        <f t="shared" si="11"/>
        <v>恒科华府</v>
      </c>
      <c r="C47" t="str">
        <f>IF(往来单位!$B$19="","",TRIM(往来单位!$D$19&amp;""))</f>
        <v>允诺</v>
      </c>
      <c r="D47" t="str">
        <f>往来单位!$B$19&amp;""</f>
        <v>江西允诺消防</v>
      </c>
      <c r="E47">
        <f>IF(项目档案!$B$49="","",项目档案!$B$49)</f>
      </c>
      <c r="L47">
        <f>IFERROR(INDEX(往来单位!$B$4:$B$303,MATCH(47,$N$1:$N$300,0))&amp;"","")</f>
      </c>
      <c r="N47" s="2">
        <f>SUM(CA1:CA47)</f>
        <v>7</v>
      </c>
      <c r="P47">
        <f>IF(A47="",0,LEN(A47)*10000+9953)</f>
        <v>0</v>
      </c>
      <c r="Q47">
        <f>IF(LARGE($P$1:$P$240,47)=0,0,MATCH(LARGE($P$1:$P$240,47),$P$1:$P$240,0))</f>
        <v>0</v>
      </c>
      <c r="R47">
        <f t="shared" si="60"/>
      </c>
      <c r="S47">
        <f t="shared" si="61"/>
      </c>
      <c r="T47">
        <f>IF(C47="",0,LEN(C47)*10000+9953)</f>
        <v>29953</v>
      </c>
      <c r="U47">
        <f>IF(LARGE($T$1:$T$900,47)=0,0,MATCH(LARGE($T$1:$T$900,47),$T$1:$T$900,0))</f>
        <v>127</v>
      </c>
      <c r="V47" t="str">
        <f t="shared" si="62"/>
        <v>胡家新</v>
      </c>
      <c r="W47" t="str">
        <f t="shared" si="63"/>
        <v>胡家新</v>
      </c>
      <c r="AB47" t="str">
        <f>IF(OR(基础资料!$AB$51="全",基础资料!$AB$51="收"),基础资料!$AA$51&amp;"","")</f>
        <v>城市维护建设税</v>
      </c>
      <c r="AC47" t="str">
        <f>IF(OR(基础资料!$AB$51="全",基础资料!$AB$51="支"),基础资料!$AA$51&amp;"","")</f>
        <v>城市维护建设税</v>
      </c>
      <c r="CA47" s="2">
        <f>IF(往来单位!$C$50="甲方/总包",1,0)</f>
        <v>0</v>
      </c>
    </row>
    <row r="48">
      <c r="A48">
        <f>IF(项目档案!$B$15="","",TRIM(项目档案!$Q$15&amp;""))</f>
      </c>
      <c r="B48" t="str">
        <f t="shared" si="11"/>
        <v>恒科华府</v>
      </c>
      <c r="C48">
        <f>IF(往来单位!$B$19="","",TRIM(往来单位!$E$19&amp;""))</f>
      </c>
      <c r="D48" t="str">
        <f>往来单位!$B$19&amp;""</f>
        <v>江西允诺消防</v>
      </c>
      <c r="E48">
        <f>IF(项目档案!$B$50="","",项目档案!$B$50)</f>
      </c>
      <c r="L48">
        <f>IFERROR(INDEX(往来单位!$B$4:$B$303,MATCH(48,$N$1:$N$300,0))&amp;"","")</f>
      </c>
      <c r="N48" s="2">
        <f>SUM(CA1:CA48)</f>
        <v>7</v>
      </c>
      <c r="P48">
        <f>IF(A48="",0,LEN(A48)*10000+9952)</f>
        <v>0</v>
      </c>
      <c r="Q48">
        <f>IF(LARGE($P$1:$P$240,48)=0,0,MATCH(LARGE($P$1:$P$240,48),$P$1:$P$240,0))</f>
        <v>0</v>
      </c>
      <c r="R48">
        <f t="shared" si="60"/>
      </c>
      <c r="S48">
        <f t="shared" si="61"/>
      </c>
      <c r="T48">
        <f>IF(C48="",0,LEN(C48)*10000+9952)</f>
        <v>0</v>
      </c>
      <c r="U48">
        <f>IF(LARGE($T$1:$T$900,48)=0,0,MATCH(LARGE($T$1:$T$900,48),$T$1:$T$900,0))</f>
        <v>133</v>
      </c>
      <c r="V48" t="str">
        <f t="shared" si="62"/>
        <v>程章赐</v>
      </c>
      <c r="W48" t="str">
        <f t="shared" si="63"/>
        <v>程章赐</v>
      </c>
      <c r="AB48" t="str">
        <f>IF(OR(基础资料!$AB$52="全",基础资料!$AB$52="收"),基础资料!$AA$52&amp;"","")</f>
        <v>附加</v>
      </c>
      <c r="AC48" t="str">
        <f>IF(OR(基础资料!$AB$52="全",基础资料!$AB$52="支"),基础资料!$AA$52&amp;"","")</f>
        <v>附加</v>
      </c>
      <c r="CA48" s="2">
        <f>IF(往来单位!$C$51="甲方/总包",1,0)</f>
        <v>0</v>
      </c>
    </row>
    <row r="49">
      <c r="A49" t="str">
        <f>IF(项目档案!$B$16="","",TRIM(项目档案!$B$16&amp;""))</f>
        <v>赣粤高速</v>
      </c>
      <c r="B49" t="str">
        <f t="shared" ref="B49:B52" si="12">项目档案!$B$16&amp;""</f>
        <v>赣粤高速</v>
      </c>
      <c r="C49" t="str">
        <f>IF(往来单位!$B$20="","",TRIM(往来单位!$B$20&amp;""))</f>
        <v>江西沐丰水箱</v>
      </c>
      <c r="D49" t="str">
        <f>往来单位!$B$20&amp;""</f>
        <v>江西沐丰水箱</v>
      </c>
      <c r="E49">
        <f>IF(项目档案!$B$51="","",项目档案!$B$51)</f>
      </c>
      <c r="L49">
        <f>IFERROR(INDEX(往来单位!$B$4:$B$303,MATCH(49,$N$1:$N$300,0))&amp;"","")</f>
      </c>
      <c r="N49" s="2">
        <f>SUM(CA1:CA49)</f>
        <v>7</v>
      </c>
      <c r="P49">
        <f>IF(A49="",0,LEN(A49)*10000+9951)</f>
        <v>49951</v>
      </c>
      <c r="Q49">
        <f>IF(LARGE($P$1:$P$240,49)=0,0,MATCH(LARGE($P$1:$P$240,49),$P$1:$P$240,0))</f>
        <v>0</v>
      </c>
      <c r="R49">
        <f t="shared" si="60"/>
      </c>
      <c r="S49">
        <f t="shared" si="61"/>
      </c>
      <c r="T49">
        <f>IF(C49="",0,LEN(C49)*10000+9951)</f>
        <v>69951</v>
      </c>
      <c r="U49">
        <f>IF(LARGE($T$1:$T$900,49)=0,0,MATCH(LARGE($T$1:$T$900,49),$T$1:$T$900,0))</f>
        <v>136</v>
      </c>
      <c r="V49" t="str">
        <f t="shared" si="62"/>
        <v>程章材</v>
      </c>
      <c r="W49" t="str">
        <f t="shared" si="63"/>
        <v>程章材</v>
      </c>
      <c r="AB49" t="str">
        <f>IF(OR(基础资料!$AB$53="全",基础资料!$AB$53="收"),基础资料!$AA$53&amp;"","")</f>
        <v>缴税</v>
      </c>
      <c r="AC49" t="str">
        <f>IF(OR(基础资料!$AB$53="全",基础资料!$AB$53="支"),基础资料!$AA$53&amp;"","")</f>
        <v>缴税</v>
      </c>
      <c r="CA49" s="2">
        <f>IF(往来单位!$C$52="甲方/总包",1,0)</f>
        <v>0</v>
      </c>
    </row>
    <row r="50">
      <c r="A50">
        <f>IF(项目档案!$B$16="","",TRIM(项目档案!$O$16&amp;""))</f>
      </c>
      <c r="B50" t="str">
        <f t="shared" si="12"/>
        <v>赣粤高速</v>
      </c>
      <c r="C50" t="str">
        <f>IF(往来单位!$B$20="","",TRIM(往来单位!$D$20&amp;""))</f>
        <v>沐丰</v>
      </c>
      <c r="D50" t="str">
        <f>往来单位!$B$20&amp;""</f>
        <v>江西沐丰水箱</v>
      </c>
      <c r="E50">
        <f>IF(项目档案!$B$52="","",项目档案!$B$52)</f>
      </c>
      <c r="L50">
        <f>IFERROR(INDEX(往来单位!$B$4:$B$303,MATCH(50,$N$1:$N$300,0))&amp;"","")</f>
      </c>
      <c r="N50" s="2">
        <f>SUM(CA1:CA50)</f>
        <v>7</v>
      </c>
      <c r="P50">
        <f>IF(A50="",0,LEN(A50)*10000+9950)</f>
        <v>0</v>
      </c>
      <c r="Q50">
        <f>IF(LARGE($P$1:$P$240,50)=0,0,MATCH(LARGE($P$1:$P$240,50),$P$1:$P$240,0))</f>
        <v>0</v>
      </c>
      <c r="R50">
        <f t="shared" si="60"/>
      </c>
      <c r="S50">
        <f t="shared" si="61"/>
      </c>
      <c r="T50">
        <f>IF(C50="",0,LEN(C50)*10000+9950)</f>
        <v>29950</v>
      </c>
      <c r="U50">
        <f>IF(LARGE($T$1:$T$900,50)=0,0,MATCH(LARGE($T$1:$T$900,50),$T$1:$T$900,0))</f>
        <v>139</v>
      </c>
      <c r="V50" t="str">
        <f t="shared" si="62"/>
        <v>叶炳南</v>
      </c>
      <c r="W50" t="str">
        <f t="shared" si="63"/>
        <v>叶炳南</v>
      </c>
      <c r="AB50" t="str">
        <f>IF(OR(基础资料!$AB$54="全",基础资料!$AB$54="收"),基础资料!$AA$54&amp;"","")</f>
        <v>税款</v>
      </c>
      <c r="AC50" t="str">
        <f>IF(OR(基础资料!$AB$54="全",基础资料!$AB$54="支"),基础资料!$AA$54&amp;"","")</f>
        <v>税款</v>
      </c>
      <c r="CA50" s="2">
        <f>IF(往来单位!$C$53="甲方/总包",1,0)</f>
        <v>0</v>
      </c>
    </row>
    <row r="51">
      <c r="A51">
        <f>IF(项目档案!$B$16="","",TRIM(项目档案!$P$16&amp;""))</f>
      </c>
      <c r="B51" t="str">
        <f t="shared" si="12"/>
        <v>赣粤高速</v>
      </c>
      <c r="C51">
        <f>IF(往来单位!$B$20="","",TRIM(往来单位!$E$20&amp;""))</f>
      </c>
      <c r="D51" t="str">
        <f>往来单位!$B$20&amp;""</f>
        <v>江西沐丰水箱</v>
      </c>
      <c r="E51">
        <f>IF(项目档案!$B$53="","",项目档案!$B$53)</f>
      </c>
      <c r="L51">
        <f>IFERROR(INDEX(往来单位!$B$4:$B$303,MATCH(51,$N$1:$N$300,0))&amp;"","")</f>
      </c>
      <c r="N51" s="2">
        <f>N50+SUM(CA51:CA51)</f>
        <v>7</v>
      </c>
      <c r="P51">
        <f>IF(A51="",0,LEN(A51)*10000+9949)</f>
        <v>0</v>
      </c>
      <c r="Q51">
        <f>IF(LARGE($P$1:$P$240,51)=0,0,MATCH(LARGE($P$1:$P$240,51),$P$1:$P$240,0))</f>
        <v>0</v>
      </c>
      <c r="R51">
        <f t="shared" si="60"/>
      </c>
      <c r="S51">
        <f t="shared" si="61"/>
      </c>
      <c r="T51">
        <f>IF(C51="",0,LEN(C51)*10000+9949)</f>
        <v>0</v>
      </c>
      <c r="U51">
        <f>IF(LARGE($T$1:$T$900,51)=0,0,MATCH(LARGE($T$1:$T$900,51),$T$1:$T$900,0))</f>
        <v>142</v>
      </c>
      <c r="V51" t="str">
        <f t="shared" si="62"/>
        <v>万焕和</v>
      </c>
      <c r="W51" t="str">
        <f t="shared" si="63"/>
        <v>万焕和</v>
      </c>
      <c r="AB51" t="str">
        <f>IF(OR(基础资料!$AB$55="全",基础资料!$AB$55="收"),基础资料!$AA$55&amp;"","")</f>
        <v>代扣个税</v>
      </c>
      <c r="AC51" t="str">
        <f>IF(OR(基础资料!$AB$55="全",基础资料!$AB$55="支"),基础资料!$AA$55&amp;"","")</f>
        <v>代扣个税</v>
      </c>
      <c r="CA51" s="2">
        <f>IF(往来单位!$C$54="甲方/总包",1,0)</f>
        <v>0</v>
      </c>
    </row>
    <row r="52">
      <c r="A52">
        <f>IF(项目档案!$B$16="","",TRIM(项目档案!$Q$16&amp;""))</f>
      </c>
      <c r="B52" t="str">
        <f t="shared" si="12"/>
        <v>赣粤高速</v>
      </c>
      <c r="C52" t="str">
        <f>IF(往来单位!$B$21="","",TRIM(往来单位!$B$21&amp;""))</f>
        <v>上海诚果泵阀</v>
      </c>
      <c r="D52" t="str">
        <f>往来单位!$B$21&amp;""</f>
        <v>上海诚果泵阀</v>
      </c>
      <c r="E52">
        <f>IF(项目档案!$B$54="","",项目档案!$B$54)</f>
      </c>
      <c r="L52">
        <f>IFERROR(INDEX(往来单位!$B$4:$B$303,MATCH(52,$N$1:$N$300,0))&amp;"","")</f>
      </c>
      <c r="N52" s="2">
        <f>N50+SUM(CA51:CA52)</f>
        <v>7</v>
      </c>
      <c r="P52">
        <f>IF(A52="",0,LEN(A52)*10000+9948)</f>
        <v>0</v>
      </c>
      <c r="Q52">
        <f>IF(LARGE($P$1:$P$240,52)=0,0,MATCH(LARGE($P$1:$P$240,52),$P$1:$P$240,0))</f>
        <v>0</v>
      </c>
      <c r="R52">
        <f t="shared" si="60"/>
      </c>
      <c r="S52">
        <f t="shared" si="61"/>
      </c>
      <c r="T52">
        <f>IF(C52="",0,LEN(C52)*10000+9948)</f>
        <v>69948</v>
      </c>
      <c r="U52">
        <f>IF(LARGE($T$1:$T$900,52)=0,0,MATCH(LARGE($T$1:$T$900,52),$T$1:$T$900,0))</f>
        <v>145</v>
      </c>
      <c r="V52" t="str">
        <f t="shared" si="62"/>
        <v>邓泽贵</v>
      </c>
      <c r="W52" t="str">
        <f t="shared" si="63"/>
        <v>邓泽贵</v>
      </c>
      <c r="AB52" t="str">
        <f>IF(OR(基础资料!$AB$56="全",基础资料!$AB$56="收"),基础资料!$AA$56&amp;"","")</f>
        <v>代缴员工个税</v>
      </c>
      <c r="AC52" t="str">
        <f>IF(OR(基础资料!$AB$56="全",基础资料!$AB$56="支"),基础资料!$AA$56&amp;"","")</f>
        <v>代缴员工个税</v>
      </c>
      <c r="CA52" s="2">
        <f>IF(往来单位!$C$55="甲方/总包",1,0)</f>
        <v>0</v>
      </c>
    </row>
    <row r="53">
      <c r="A53" t="str">
        <f>IF(项目档案!$B$17="","",TRIM(项目档案!$B$17&amp;""))</f>
        <v>隆世光伏</v>
      </c>
      <c r="B53" t="str">
        <f t="shared" ref="B53:B56" si="13">项目档案!$B$17&amp;""</f>
        <v>隆世光伏</v>
      </c>
      <c r="C53" t="str">
        <f>IF(往来单位!$B$21="","",TRIM(往来单位!$D$21&amp;""))</f>
        <v>上海诚果</v>
      </c>
      <c r="D53" t="str">
        <f>往来单位!$B$21&amp;""</f>
        <v>上海诚果泵阀</v>
      </c>
      <c r="E53">
        <f>IF(项目档案!$B$55="","",项目档案!$B$55)</f>
      </c>
      <c r="L53">
        <f>IFERROR(INDEX(往来单位!$B$4:$B$303,MATCH(53,$N$1:$N$300,0))&amp;"","")</f>
      </c>
      <c r="N53" s="2">
        <f>N50+SUM(CA51:CA53)</f>
        <v>7</v>
      </c>
      <c r="P53">
        <f>IF(A53="",0,LEN(A53)*10000+9947)</f>
        <v>49947</v>
      </c>
      <c r="Q53">
        <f>IF(LARGE($P$1:$P$240,53)=0,0,MATCH(LARGE($P$1:$P$240,53),$P$1:$P$240,0))</f>
        <v>0</v>
      </c>
      <c r="R53">
        <f t="shared" si="60"/>
      </c>
      <c r="S53">
        <f t="shared" si="61"/>
      </c>
      <c r="T53">
        <f>IF(C53="",0,LEN(C53)*10000+9947)</f>
        <v>49947</v>
      </c>
      <c r="U53">
        <f>IF(LARGE($T$1:$T$900,53)=0,0,MATCH(LARGE($T$1:$T$900,53),$T$1:$T$900,0))</f>
        <v>148</v>
      </c>
      <c r="V53" t="str">
        <f t="shared" si="62"/>
        <v>吴长友</v>
      </c>
      <c r="W53" t="str">
        <f t="shared" si="63"/>
        <v>吴长友</v>
      </c>
      <c r="AB53" t="str">
        <f>IF(OR(基础资料!$AB$57="全",基础资料!$AB$57="收"),基础资料!$AA$57&amp;"","")</f>
        <v>代缴个税</v>
      </c>
      <c r="AC53" t="str">
        <f>IF(OR(基础资料!$AB$57="全",基础资料!$AB$57="支"),基础资料!$AA$57&amp;"","")</f>
        <v>代缴个税</v>
      </c>
      <c r="CA53" s="2">
        <f>IF(往来单位!$C$56="甲方/总包",1,0)</f>
        <v>0</v>
      </c>
    </row>
    <row r="54">
      <c r="A54" t="str">
        <f>IF(项目档案!$B$17="","",TRIM(项目档案!$O$17&amp;""))</f>
        <v>德祥工地</v>
      </c>
      <c r="B54" t="str">
        <f t="shared" si="13"/>
        <v>隆世光伏</v>
      </c>
      <c r="C54" t="str">
        <f>IF(往来单位!$B$21="","",TRIM(往来单位!$E$21&amp;""))</f>
        <v>诚果</v>
      </c>
      <c r="D54" t="str">
        <f>往来单位!$B$21&amp;""</f>
        <v>上海诚果泵阀</v>
      </c>
      <c r="E54">
        <f>IF(项目档案!$B$56="","",项目档案!$B$56)</f>
      </c>
      <c r="L54">
        <f>IFERROR(INDEX(往来单位!$B$4:$B$303,MATCH(54,$N$1:$N$300,0))&amp;"","")</f>
      </c>
      <c r="N54" s="2">
        <f>N50+SUM(CA51:CA54)</f>
        <v>7</v>
      </c>
      <c r="P54">
        <f>IF(A54="",0,LEN(A54)*10000+9946)</f>
        <v>49946</v>
      </c>
      <c r="Q54">
        <f>IF(LARGE($P$1:$P$240,54)=0,0,MATCH(LARGE($P$1:$P$240,54),$P$1:$P$240,0))</f>
        <v>0</v>
      </c>
      <c r="R54">
        <f t="shared" si="60"/>
      </c>
      <c r="S54">
        <f t="shared" si="61"/>
      </c>
      <c r="T54">
        <f>IF(C54="",0,LEN(C54)*10000+9946)</f>
        <v>29946</v>
      </c>
      <c r="U54">
        <f>IF(LARGE($T$1:$T$900,54)=0,0,MATCH(LARGE($T$1:$T$900,54),$T$1:$T$900,0))</f>
        <v>151</v>
      </c>
      <c r="V54" t="str">
        <f t="shared" si="62"/>
        <v>闵清林</v>
      </c>
      <c r="W54" t="str">
        <f t="shared" si="63"/>
        <v>闵清林</v>
      </c>
      <c r="AB54" t="str">
        <f>IF(OR(基础资料!$AB$58="全",基础资料!$AB$58="收"),基础资料!$AA$58&amp;"","")</f>
        <v>社保</v>
      </c>
      <c r="AC54" t="str">
        <f>IF(OR(基础资料!$AB$58="全",基础资料!$AB$58="支"),基础资料!$AA$58&amp;"","")</f>
        <v>社保</v>
      </c>
      <c r="CA54" s="2">
        <f>IF(往来单位!$C$57="甲方/总包",1,0)</f>
        <v>0</v>
      </c>
    </row>
    <row r="55">
      <c r="A55" t="str">
        <f>IF(项目档案!$B$17="","",TRIM(项目档案!$P$17&amp;""))</f>
        <v>共青办公楼</v>
      </c>
      <c r="B55" t="str">
        <f t="shared" si="13"/>
        <v>隆世光伏</v>
      </c>
      <c r="C55" t="str">
        <f>IF(往来单位!$B$22="","",TRIM(往来单位!$B$22&amp;""))</f>
        <v>佩力通风</v>
      </c>
      <c r="D55" t="str">
        <f>往来单位!$B$22&amp;""</f>
        <v>佩力通风</v>
      </c>
      <c r="E55">
        <f>IF(项目档案!$B$57="","",项目档案!$B$57)</f>
      </c>
      <c r="L55">
        <f>IFERROR(INDEX(往来单位!$B$4:$B$303,MATCH(55,$N$1:$N$300,0))&amp;"","")</f>
      </c>
      <c r="N55" s="2">
        <f>N50+SUM(CA51:CA55)</f>
        <v>7</v>
      </c>
      <c r="P55">
        <f>IF(A55="",0,LEN(A55)*10000+9945)</f>
        <v>59945</v>
      </c>
      <c r="Q55">
        <f>IF(LARGE($P$1:$P$240,55)=0,0,MATCH(LARGE($P$1:$P$240,55),$P$1:$P$240,0))</f>
        <v>0</v>
      </c>
      <c r="R55">
        <f t="shared" si="60"/>
      </c>
      <c r="S55">
        <f t="shared" si="61"/>
      </c>
      <c r="T55">
        <f>IF(C55="",0,LEN(C55)*10000+9945)</f>
        <v>49945</v>
      </c>
      <c r="U55">
        <f>IF(LARGE($T$1:$T$900,55)=0,0,MATCH(LARGE($T$1:$T$900,55),$T$1:$T$900,0))</f>
        <v>154</v>
      </c>
      <c r="V55" t="str">
        <f t="shared" si="62"/>
        <v>徐从国</v>
      </c>
      <c r="W55" t="str">
        <f t="shared" si="63"/>
        <v>徐从国</v>
      </c>
      <c r="AB55" t="str">
        <f>IF(OR(基础资料!$AB$59="全",基础资料!$AB$59="收"),基础资料!$AA$59&amp;"","")</f>
        <v>公积金</v>
      </c>
      <c r="AC55" t="str">
        <f>IF(OR(基础资料!$AB$59="全",基础资料!$AB$59="支"),基础资料!$AA$59&amp;"","")</f>
        <v>公积金</v>
      </c>
      <c r="CA55" s="2">
        <f>IF(往来单位!$C$58="甲方/总包",1,0)</f>
        <v>0</v>
      </c>
    </row>
    <row r="56">
      <c r="A56">
        <f>IF(项目档案!$B$17="","",TRIM(项目档案!$Q$17&amp;""))</f>
      </c>
      <c r="B56" t="str">
        <f t="shared" si="13"/>
        <v>隆世光伏</v>
      </c>
      <c r="C56" t="str">
        <f>IF(往来单位!$B$22="","",TRIM(往来单位!$D$22&amp;""))</f>
        <v>佩力</v>
      </c>
      <c r="D56" t="str">
        <f>往来单位!$B$22&amp;""</f>
        <v>佩力通风</v>
      </c>
      <c r="E56">
        <f>IF(项目档案!$B$58="","",项目档案!$B$58)</f>
      </c>
      <c r="L56">
        <f>IFERROR(INDEX(往来单位!$B$4:$B$303,MATCH(56,$N$1:$N$300,0))&amp;"","")</f>
      </c>
      <c r="N56" s="2">
        <f>N50+SUM(CA51:CA56)</f>
        <v>7</v>
      </c>
      <c r="P56">
        <f>IF(A56="",0,LEN(A56)*10000+9944)</f>
        <v>0</v>
      </c>
      <c r="Q56">
        <f>IF(LARGE($P$1:$P$240,56)=0,0,MATCH(LARGE($P$1:$P$240,56),$P$1:$P$240,0))</f>
        <v>0</v>
      </c>
      <c r="R56">
        <f t="shared" si="60"/>
      </c>
      <c r="S56">
        <f t="shared" si="61"/>
      </c>
      <c r="T56">
        <f>IF(C56="",0,LEN(C56)*10000+9944)</f>
        <v>29944</v>
      </c>
      <c r="U56">
        <f>IF(LARGE($T$1:$T$900,56)=0,0,MATCH(LARGE($T$1:$T$900,56),$T$1:$T$900,0))</f>
        <v>157</v>
      </c>
      <c r="V56" t="str">
        <f t="shared" si="62"/>
        <v>梅秀刚</v>
      </c>
      <c r="W56" t="str">
        <f t="shared" si="63"/>
        <v>梅秀刚</v>
      </c>
      <c r="AB56" t="str">
        <f>IF(OR(基础资料!$AB$60="全",基础资料!$AB$60="收"),基础资料!$AA$60&amp;"","")</f>
        <v>分包</v>
      </c>
      <c r="AC56" t="str">
        <f>IF(OR(基础资料!$AB$60="全",基础资料!$AB$60="支"),基础资料!$AA$60&amp;"","")</f>
        <v>分包</v>
      </c>
      <c r="CA56" s="2">
        <f>IF(往来单位!$C$59="甲方/总包",1,0)</f>
        <v>0</v>
      </c>
    </row>
    <row r="57">
      <c r="A57" t="str">
        <f>IF(项目档案!$B$18="","",TRIM(项目档案!$B$18&amp;""))</f>
        <v>中国联项目</v>
      </c>
      <c r="B57" t="str">
        <f t="shared" ref="B57:B60" si="14">项目档案!$B$18&amp;""</f>
        <v>中国联项目</v>
      </c>
      <c r="C57">
        <f>IF(往来单位!$B$22="","",TRIM(往来单位!$E$22&amp;""))</f>
      </c>
      <c r="D57" t="str">
        <f>往来单位!$B$22&amp;""</f>
        <v>佩力通风</v>
      </c>
      <c r="E57">
        <f>IF(项目档案!$B$59="","",项目档案!$B$59)</f>
      </c>
      <c r="L57">
        <f>IFERROR(INDEX(往来单位!$B$4:$B$303,MATCH(57,$N$1:$N$300,0))&amp;"","")</f>
      </c>
      <c r="N57" s="2">
        <f>N50+SUM(CA51:CA57)</f>
        <v>7</v>
      </c>
      <c r="P57">
        <f>IF(A57="",0,LEN(A57)*10000+9943)</f>
        <v>59943</v>
      </c>
      <c r="Q57">
        <f>IF(LARGE($P$1:$P$240,57)=0,0,MATCH(LARGE($P$1:$P$240,57),$P$1:$P$240,0))</f>
        <v>0</v>
      </c>
      <c r="R57">
        <f t="shared" si="60"/>
      </c>
      <c r="S57">
        <f t="shared" si="61"/>
      </c>
      <c r="T57">
        <f>IF(C57="",0,LEN(C57)*10000+9943)</f>
        <v>0</v>
      </c>
      <c r="U57">
        <f>IF(LARGE($T$1:$T$900,57)=0,0,MATCH(LARGE($T$1:$T$900,57),$T$1:$T$900,0))</f>
        <v>160</v>
      </c>
      <c r="V57" t="str">
        <f t="shared" si="62"/>
        <v>金南水</v>
      </c>
      <c r="W57" t="str">
        <f t="shared" si="63"/>
        <v>金南水</v>
      </c>
      <c r="AB57" t="str">
        <f>IF(OR(基础资料!$AB$61="全",基础资料!$AB$61="收"),基础资料!$AA$61&amp;"","")</f>
        <v>劳务费</v>
      </c>
      <c r="AC57" t="str">
        <f>IF(OR(基础资料!$AB$61="全",基础资料!$AB$61="支"),基础资料!$AA$61&amp;"","")</f>
        <v>劳务费</v>
      </c>
      <c r="CA57" s="2">
        <f>IF(往来单位!$C$60="甲方/总包",1,0)</f>
        <v>0</v>
      </c>
    </row>
    <row r="58">
      <c r="A58" t="str">
        <f>IF(项目档案!$B$18="","",TRIM(项目档案!$O$18&amp;""))</f>
        <v>中国联</v>
      </c>
      <c r="B58" t="str">
        <f t="shared" si="14"/>
        <v>中国联项目</v>
      </c>
      <c r="C58" t="str">
        <f>IF(往来单位!$B$23="","",TRIM(往来单位!$B$23&amp;""))</f>
        <v>浙江寅盾智能</v>
      </c>
      <c r="D58" t="str">
        <f>往来单位!$B$23&amp;""</f>
        <v>浙江寅盾智能</v>
      </c>
      <c r="E58">
        <f>IF(项目档案!$B$60="","",项目档案!$B$60)</f>
      </c>
      <c r="L58">
        <f>IFERROR(INDEX(往来单位!$B$4:$B$303,MATCH(58,$N$1:$N$300,0))&amp;"","")</f>
      </c>
      <c r="N58" s="2">
        <f>N50+SUM(CA51:CA58)</f>
        <v>7</v>
      </c>
      <c r="P58">
        <f>IF(A58="",0,LEN(A58)*10000+9942)</f>
        <v>39942</v>
      </c>
      <c r="Q58">
        <f>IF(LARGE($P$1:$P$240,58)=0,0,MATCH(LARGE($P$1:$P$240,58),$P$1:$P$240,0))</f>
        <v>0</v>
      </c>
      <c r="R58">
        <f t="shared" si="60"/>
      </c>
      <c r="S58">
        <f t="shared" si="61"/>
      </c>
      <c r="T58">
        <f>IF(C58="",0,LEN(C58)*10000+9942)</f>
        <v>69942</v>
      </c>
      <c r="U58">
        <f>IF(LARGE($T$1:$T$900,58)=0,0,MATCH(LARGE($T$1:$T$900,58),$T$1:$T$900,0))</f>
        <v>163</v>
      </c>
      <c r="V58" t="str">
        <f t="shared" si="62"/>
        <v>金李平</v>
      </c>
      <c r="W58" t="str">
        <f t="shared" si="63"/>
        <v>金李平</v>
      </c>
      <c r="AB58" t="str">
        <f>IF(OR(基础资料!$AB$62="全",基础资料!$AB$62="收"),基础资料!$AA$62&amp;"","")</f>
        <v>挖机</v>
      </c>
      <c r="AC58" t="str">
        <f>IF(OR(基础资料!$AB$62="全",基础资料!$AB$62="支"),基础资料!$AA$62&amp;"","")</f>
        <v>挖机</v>
      </c>
      <c r="CA58" s="2">
        <f>IF(往来单位!$C$61="甲方/总包",1,0)</f>
        <v>0</v>
      </c>
    </row>
    <row r="59">
      <c r="A59">
        <f>IF(项目档案!$B$18="","",TRIM(项目档案!$P$18&amp;""))</f>
      </c>
      <c r="B59" t="str">
        <f t="shared" si="14"/>
        <v>中国联项目</v>
      </c>
      <c r="C59" t="str">
        <f>IF(往来单位!$B$23="","",TRIM(往来单位!$D$23&amp;""))</f>
        <v>寅盾</v>
      </c>
      <c r="D59" t="str">
        <f>往来单位!$B$23&amp;""</f>
        <v>浙江寅盾智能</v>
      </c>
      <c r="E59">
        <f>IF(项目档案!$B$61="","",项目档案!$B$61)</f>
      </c>
      <c r="L59">
        <f>IFERROR(INDEX(往来单位!$B$4:$B$303,MATCH(59,$N$1:$N$300,0))&amp;"","")</f>
      </c>
      <c r="N59" s="2">
        <f>N50+SUM(CA51:CA59)</f>
        <v>7</v>
      </c>
      <c r="P59">
        <f>IF(A59="",0,LEN(A59)*10000+9941)</f>
        <v>0</v>
      </c>
      <c r="Q59">
        <f>IF(LARGE($P$1:$P$240,59)=0,0,MATCH(LARGE($P$1:$P$240,59),$P$1:$P$240,0))</f>
        <v>0</v>
      </c>
      <c r="R59">
        <f t="shared" si="60"/>
      </c>
      <c r="S59">
        <f t="shared" si="61"/>
      </c>
      <c r="T59">
        <f>IF(C59="",0,LEN(C59)*10000+9941)</f>
        <v>29941</v>
      </c>
      <c r="U59">
        <f>IF(LARGE($T$1:$T$900,59)=0,0,MATCH(LARGE($T$1:$T$900,59),$T$1:$T$900,0))</f>
        <v>166</v>
      </c>
      <c r="V59" t="str">
        <f t="shared" si="62"/>
        <v>杨明定</v>
      </c>
      <c r="W59" t="str">
        <f t="shared" si="63"/>
        <v>杨明定</v>
      </c>
      <c r="AB59" t="str">
        <f>IF(OR(基础资料!$AB$63="全",基础资料!$AB$63="收"),基础资料!$AA$63&amp;"","")</f>
        <v>机械</v>
      </c>
      <c r="AC59" t="str">
        <f>IF(OR(基础资料!$AB$63="全",基础资料!$AB$63="支"),基础资料!$AA$63&amp;"","")</f>
        <v>机械</v>
      </c>
      <c r="CA59" s="2">
        <f>IF(往来单位!$C$62="甲方/总包",1,0)</f>
        <v>0</v>
      </c>
    </row>
    <row r="60">
      <c r="A60">
        <f>IF(项目档案!$B$18="","",TRIM(项目档案!$Q$18&amp;""))</f>
      </c>
      <c r="B60" t="str">
        <f t="shared" si="14"/>
        <v>中国联项目</v>
      </c>
      <c r="C60">
        <f>IF(往来单位!$B$23="","",TRIM(往来单位!$E$23&amp;""))</f>
      </c>
      <c r="D60" t="str">
        <f>往来单位!$B$23&amp;""</f>
        <v>浙江寅盾智能</v>
      </c>
      <c r="E60">
        <f>IF(项目档案!$B$62="","",项目档案!$B$62)</f>
      </c>
      <c r="L60">
        <f>IFERROR(INDEX(往来单位!$B$4:$B$303,MATCH(60,$N$1:$N$300,0))&amp;"","")</f>
      </c>
      <c r="N60" s="2">
        <f>N50+SUM(CA51:CA60)</f>
        <v>7</v>
      </c>
      <c r="P60">
        <f>IF(A60="",0,LEN(A60)*10000+9940)</f>
        <v>0</v>
      </c>
      <c r="Q60">
        <f>IF(LARGE($P$1:$P$240,60)=0,0,MATCH(LARGE($P$1:$P$240,60),$P$1:$P$240,0))</f>
        <v>0</v>
      </c>
      <c r="R60">
        <f t="shared" si="60"/>
      </c>
      <c r="S60">
        <f t="shared" si="61"/>
      </c>
      <c r="T60">
        <f>IF(C60="",0,LEN(C60)*10000+9940)</f>
        <v>0</v>
      </c>
      <c r="U60">
        <f>IF(LARGE($T$1:$T$900,60)=0,0,MATCH(LARGE($T$1:$T$900,60),$T$1:$T$900,0))</f>
        <v>169</v>
      </c>
      <c r="V60" t="str">
        <f t="shared" si="62"/>
        <v>王兴蛟</v>
      </c>
      <c r="W60" t="str">
        <f t="shared" si="63"/>
        <v>王兴蛟</v>
      </c>
      <c r="AB60" t="str">
        <f>IF(OR(基础资料!$AB$64="全",基础资料!$AB$64="收"),基础资料!$AA$64&amp;"","")</f>
        <v>吊车</v>
      </c>
      <c r="AC60" t="str">
        <f>IF(OR(基础资料!$AB$64="全",基础资料!$AB$64="支"),基础资料!$AA$64&amp;"","")</f>
        <v>吊车</v>
      </c>
      <c r="CA60" s="2">
        <f>IF(往来单位!$C$63="甲方/总包",1,0)</f>
        <v>0</v>
      </c>
    </row>
    <row r="61">
      <c r="A61" t="str">
        <f>IF(项目档案!$B$19="","",TRIM(项目档案!$B$19&amp;""))</f>
        <v>吴山政府项目</v>
      </c>
      <c r="B61" t="str">
        <f t="shared" ref="B61:B64" si="15">项目档案!$B$19&amp;""</f>
        <v>吴山政府项目</v>
      </c>
      <c r="C61" t="str">
        <f>IF(往来单位!$B$24="","",TRIM(往来单位!$B$24&amp;""))</f>
        <v>华翔桥架</v>
      </c>
      <c r="D61" t="str">
        <f>往来单位!$B$24&amp;""</f>
        <v>华翔桥架</v>
      </c>
      <c r="E61">
        <f>IF(项目档案!$B$63="","",项目档案!$B$63)</f>
      </c>
      <c r="L61">
        <f>IFERROR(INDEX(往来单位!$B$4:$B$303,MATCH(61,$N$1:$N$300,0))&amp;"","")</f>
      </c>
      <c r="N61" s="2">
        <f>N50+SUM(CA51:CA61)</f>
        <v>7</v>
      </c>
      <c r="P61">
        <f>IF(A61="",0,LEN(A61)*10000+9939)</f>
        <v>69939</v>
      </c>
      <c r="Q61">
        <f>IF(LARGE($P$1:$P$240,61)=0,0,MATCH(LARGE($P$1:$P$240,61),$P$1:$P$240,0))</f>
        <v>0</v>
      </c>
      <c r="R61">
        <f t="shared" si="60"/>
      </c>
      <c r="S61">
        <f t="shared" si="61"/>
      </c>
      <c r="T61">
        <f>IF(C61="",0,LEN(C61)*10000+9939)</f>
        <v>49939</v>
      </c>
      <c r="U61">
        <f>IF(LARGE($T$1:$T$900,61)=0,0,MATCH(LARGE($T$1:$T$900,61),$T$1:$T$900,0))</f>
        <v>170</v>
      </c>
      <c r="V61" t="str">
        <f t="shared" si="62"/>
        <v>王兴姣</v>
      </c>
      <c r="W61" t="str">
        <f t="shared" si="63"/>
        <v>王兴蛟</v>
      </c>
      <c r="AB61" t="str">
        <f>IF(OR(基础资料!$AB$65="全",基础资料!$AB$65="收"),基础资料!$AA$65&amp;"","")</f>
        <v>运输</v>
      </c>
      <c r="AC61" t="str">
        <f>IF(OR(基础资料!$AB$65="全",基础资料!$AB$65="支"),基础资料!$AA$65&amp;"","")</f>
        <v>运输</v>
      </c>
      <c r="CA61" s="2">
        <f>IF(往来单位!$C$64="甲方/总包",1,0)</f>
        <v>0</v>
      </c>
    </row>
    <row r="62">
      <c r="A62" t="str">
        <f>IF(项目档案!$B$19="","",TRIM(项目档案!$O$19&amp;""))</f>
        <v>吴山</v>
      </c>
      <c r="B62" t="str">
        <f t="shared" si="15"/>
        <v>吴山政府项目</v>
      </c>
      <c r="C62" t="str">
        <f>IF(往来单位!$B$24="","",TRIM(往来单位!$D$24&amp;""))</f>
        <v>华翔</v>
      </c>
      <c r="D62" t="str">
        <f>往来单位!$B$24&amp;""</f>
        <v>华翔桥架</v>
      </c>
      <c r="L62">
        <f>IFERROR(INDEX(往来单位!$B$4:$B$303,MATCH(62,$N$1:$N$300,0))&amp;"","")</f>
      </c>
      <c r="N62" s="2">
        <f>N50+SUM(CA51:CA62)</f>
        <v>7</v>
      </c>
      <c r="P62">
        <f>IF(A62="",0,LEN(A62)*10000+9938)</f>
        <v>29938</v>
      </c>
      <c r="Q62">
        <f>IF(LARGE($P$1:$P$240,62)=0,0,MATCH(LARGE($P$1:$P$240,62),$P$1:$P$240,0))</f>
        <v>0</v>
      </c>
      <c r="R62">
        <f t="shared" si="60"/>
      </c>
      <c r="S62">
        <f t="shared" si="61"/>
      </c>
      <c r="T62">
        <f>IF(C62="",0,LEN(C62)*10000+9938)</f>
        <v>29938</v>
      </c>
      <c r="U62">
        <f>IF(LARGE($T$1:$T$900,62)=0,0,MATCH(LARGE($T$1:$T$900,62),$T$1:$T$900,0))</f>
        <v>172</v>
      </c>
      <c r="V62" t="str">
        <f t="shared" si="62"/>
        <v>高征坤</v>
      </c>
      <c r="W62" t="str">
        <f t="shared" si="63"/>
        <v>高征坤</v>
      </c>
      <c r="AB62" t="str">
        <f>IF(OR(基础资料!$AB$66="全",基础资料!$AB$66="收"),基础资料!$AA$66&amp;"","")</f>
        <v>搬运</v>
      </c>
      <c r="AC62" t="str">
        <f>IF(OR(基础资料!$AB$66="全",基础资料!$AB$66="支"),基础资料!$AA$66&amp;"","")</f>
        <v>搬运</v>
      </c>
      <c r="CA62" s="2">
        <f>IF(往来单位!$C$65="甲方/总包",1,0)</f>
        <v>0</v>
      </c>
    </row>
    <row r="63">
      <c r="A63">
        <f>IF(项目档案!$B$19="","",TRIM(项目档案!$P$19&amp;""))</f>
      </c>
      <c r="B63" t="str">
        <f t="shared" si="15"/>
        <v>吴山政府项目</v>
      </c>
      <c r="C63">
        <f>IF(往来单位!$B$24="","",TRIM(往来单位!$E$24&amp;""))</f>
      </c>
      <c r="D63" t="str">
        <f>往来单位!$B$24&amp;""</f>
        <v>华翔桥架</v>
      </c>
      <c r="L63">
        <f>IFERROR(INDEX(往来单位!$B$4:$B$303,MATCH(63,$N$1:$N$300,0))&amp;"","")</f>
      </c>
      <c r="N63" s="2">
        <f>N50+SUM(CA51:CA63)</f>
        <v>7</v>
      </c>
      <c r="P63">
        <f>IF(A63="",0,LEN(A63)*10000+9937)</f>
        <v>0</v>
      </c>
      <c r="Q63">
        <f>IF(LARGE($P$1:$P$240,63)=0,0,MATCH(LARGE($P$1:$P$240,63),$P$1:$P$240,0))</f>
        <v>0</v>
      </c>
      <c r="R63">
        <f t="shared" si="60"/>
      </c>
      <c r="S63">
        <f t="shared" si="61"/>
      </c>
      <c r="T63">
        <f>IF(C63="",0,LEN(C63)*10000+9937)</f>
        <v>0</v>
      </c>
      <c r="U63">
        <f>IF(LARGE($T$1:$T$900,63)=0,0,MATCH(LARGE($T$1:$T$900,63),$T$1:$T$900,0))</f>
        <v>175</v>
      </c>
      <c r="V63" t="str">
        <f t="shared" si="62"/>
        <v>张亮亮</v>
      </c>
      <c r="W63" t="str">
        <f t="shared" si="63"/>
        <v>张亮亮</v>
      </c>
      <c r="AB63" t="str">
        <f>IF(OR(基础资料!$AB$67="全",基础资料!$AB$67="收"),基础资料!$AA$67&amp;"","")</f>
        <v>货运</v>
      </c>
      <c r="AC63" t="str">
        <f>IF(OR(基础资料!$AB$67="全",基础资料!$AB$67="支"),基础资料!$AA$67&amp;"","")</f>
        <v>货运</v>
      </c>
      <c r="CA63" s="2">
        <f>IF(往来单位!$C$66="甲方/总包",1,0)</f>
        <v>0</v>
      </c>
    </row>
    <row r="64">
      <c r="A64">
        <f>IF(项目档案!$B$19="","",TRIM(项目档案!$Q$19&amp;""))</f>
      </c>
      <c r="B64" t="str">
        <f t="shared" si="15"/>
        <v>吴山政府项目</v>
      </c>
      <c r="C64" t="str">
        <f>IF(往来单位!$B$25="","",TRIM(往来单位!$B$25&amp;""))</f>
        <v>拓齐</v>
      </c>
      <c r="D64" t="str">
        <f>往来单位!$B$25&amp;""</f>
        <v>拓齐</v>
      </c>
      <c r="L64">
        <f>IFERROR(INDEX(往来单位!$B$4:$B$303,MATCH(64,$N$1:$N$300,0))&amp;"","")</f>
      </c>
      <c r="N64" s="2">
        <f>N50+SUM(CA51:CA64)</f>
        <v>7</v>
      </c>
      <c r="P64">
        <f>IF(A64="",0,LEN(A64)*10000+9936)</f>
        <v>0</v>
      </c>
      <c r="Q64">
        <f>IF(LARGE($P$1:$P$240,64)=0,0,MATCH(LARGE($P$1:$P$240,64),$P$1:$P$240,0))</f>
        <v>0</v>
      </c>
      <c r="R64">
        <f t="shared" si="60"/>
      </c>
      <c r="S64">
        <f t="shared" si="61"/>
      </c>
      <c r="T64">
        <f>IF(C64="",0,LEN(C64)*10000+9936)</f>
        <v>29936</v>
      </c>
      <c r="U64">
        <f>IF(LARGE($T$1:$T$900,64)=0,0,MATCH(LARGE($T$1:$T$900,64),$T$1:$T$900,0))</f>
        <v>181</v>
      </c>
      <c r="V64" t="str">
        <f t="shared" si="62"/>
        <v>何正新</v>
      </c>
      <c r="W64" t="str">
        <f t="shared" si="63"/>
        <v>何正新</v>
      </c>
      <c r="AB64" t="str">
        <f>IF(OR(基础资料!$AB$68="全",基础资料!$AB$68="收"),基础资料!$AA$68&amp;"","")</f>
        <v>叉车</v>
      </c>
      <c r="AC64" t="str">
        <f>IF(OR(基础资料!$AB$68="全",基础资料!$AB$68="支"),基础资料!$AA$68&amp;"","")</f>
        <v>叉车</v>
      </c>
      <c r="CA64" s="2">
        <f>IF(往来单位!$C$67="甲方/总包",1,0)</f>
        <v>0</v>
      </c>
    </row>
    <row r="65">
      <c r="A65">
        <f>IF(项目档案!$B$20="","",TRIM(项目档案!$B$20&amp;""))</f>
      </c>
      <c r="B65">
        <f t="shared" ref="B65:B68" si="16">项目档案!$B$20&amp;""</f>
      </c>
      <c r="C65">
        <f>IF(往来单位!$B$25="","",TRIM(往来单位!$D$25&amp;""))</f>
      </c>
      <c r="D65" t="str">
        <f>往来单位!$B$25&amp;""</f>
        <v>拓齐</v>
      </c>
      <c r="L65">
        <f>IFERROR(INDEX(往来单位!$B$4:$B$303,MATCH(65,$N$1:$N$300,0))&amp;"","")</f>
      </c>
      <c r="N65" s="2">
        <f>N50+SUM(CA51:CA65)</f>
        <v>7</v>
      </c>
      <c r="P65">
        <f>IF(A65="",0,LEN(A65)*10000+9935)</f>
        <v>0</v>
      </c>
      <c r="Q65">
        <f>IF(LARGE($P$1:$P$240,65)=0,0,MATCH(LARGE($P$1:$P$240,65),$P$1:$P$240,0))</f>
        <v>0</v>
      </c>
      <c r="R65">
        <f t="shared" si="60"/>
      </c>
      <c r="S65">
        <f t="shared" si="61"/>
      </c>
      <c r="T65">
        <f>IF(C65="",0,LEN(C65)*10000+9935)</f>
        <v>0</v>
      </c>
      <c r="U65">
        <f>IF(LARGE($T$1:$T$900,65)=0,0,MATCH(LARGE($T$1:$T$900,65),$T$1:$T$900,0))</f>
        <v>184</v>
      </c>
      <c r="V65" t="str">
        <f t="shared" si="62"/>
        <v>吴志刚</v>
      </c>
      <c r="W65" t="str">
        <f t="shared" si="63"/>
        <v>吴志刚</v>
      </c>
      <c r="AB65" t="str">
        <f>IF(OR(基础资料!$AB$69="全",基础资料!$AB$69="收"),基础资料!$AA$69&amp;"","")</f>
        <v>检测</v>
      </c>
      <c r="AC65" t="str">
        <f>IF(OR(基础资料!$AB$69="全",基础资料!$AB$69="支"),基础资料!$AA$69&amp;"","")</f>
        <v>检测</v>
      </c>
      <c r="CA65" s="2">
        <f>IF(往来单位!$C$68="甲方/总包",1,0)</f>
        <v>0</v>
      </c>
    </row>
    <row r="66">
      <c r="A66">
        <f>IF(项目档案!$B$20="","",TRIM(项目档案!$O$20&amp;""))</f>
      </c>
      <c r="B66">
        <f t="shared" si="16"/>
      </c>
      <c r="C66">
        <f>IF(往来单位!$B$25="","",TRIM(往来单位!$E$25&amp;""))</f>
      </c>
      <c r="D66" t="str">
        <f>往来单位!$B$25&amp;""</f>
        <v>拓齐</v>
      </c>
      <c r="L66">
        <f>IFERROR(INDEX(往来单位!$B$4:$B$303,MATCH(66,$N$1:$N$300,0))&amp;"","")</f>
      </c>
      <c r="N66" s="2">
        <f>N50+SUM(CA51:CA66)</f>
        <v>7</v>
      </c>
      <c r="P66">
        <f>IF(A66="",0,LEN(A66)*10000+9934)</f>
        <v>0</v>
      </c>
      <c r="Q66">
        <f>IF(LARGE($P$1:$P$240,66)=0,0,MATCH(LARGE($P$1:$P$240,66),$P$1:$P$240,0))</f>
        <v>0</v>
      </c>
      <c r="R66">
        <f t="shared" si="60"/>
      </c>
      <c r="S66">
        <f t="shared" si="61"/>
      </c>
      <c r="T66">
        <f>IF(C66="",0,LEN(C66)*10000+9934)</f>
        <v>0</v>
      </c>
      <c r="U66">
        <f>IF(LARGE($T$1:$T$900,66)=0,0,MATCH(LARGE($T$1:$T$900,66),$T$1:$T$900,0))</f>
        <v>187</v>
      </c>
      <c r="V66" t="str">
        <f t="shared" si="62"/>
        <v>张小友</v>
      </c>
      <c r="W66" t="str">
        <f t="shared" si="63"/>
        <v>张小友</v>
      </c>
      <c r="AB66" t="str">
        <f>IF(OR(基础资料!$AB$70="全",基础资料!$AB$70="收"),基础资料!$AA$70&amp;"","")</f>
        <v>期间费</v>
      </c>
      <c r="AC66" t="str">
        <f>IF(OR(基础资料!$AB$70="全",基础资料!$AB$70="支"),基础资料!$AA$70&amp;"","")</f>
        <v>期间费</v>
      </c>
      <c r="CA66" s="2">
        <f>IF(往来单位!$C$69="甲方/总包",1,0)</f>
        <v>0</v>
      </c>
    </row>
    <row r="67">
      <c r="A67">
        <f>IF(项目档案!$B$20="","",TRIM(项目档案!$P$20&amp;""))</f>
      </c>
      <c r="B67">
        <f t="shared" si="16"/>
      </c>
      <c r="C67" t="str">
        <f>IF(往来单位!$B$26="","",TRIM(往来单位!$B$26&amp;""))</f>
        <v>四川久远智能消防</v>
      </c>
      <c r="D67" t="str">
        <f>往来单位!$B$26&amp;""</f>
        <v>四川久远智能消防</v>
      </c>
      <c r="L67">
        <f>IFERROR(INDEX(往来单位!$B$4:$B$303,MATCH(67,$N$1:$N$300,0))&amp;"","")</f>
      </c>
      <c r="N67" s="2">
        <f>N50+SUM(CA51:CA67)</f>
        <v>7</v>
      </c>
      <c r="P67">
        <f>IF(A67="",0,LEN(A67)*10000+9933)</f>
        <v>0</v>
      </c>
      <c r="Q67">
        <f>IF(LARGE($P$1:$P$240,67)=0,0,MATCH(LARGE($P$1:$P$240,67),$P$1:$P$240,0))</f>
        <v>0</v>
      </c>
      <c r="R67">
        <f t="shared" si="60"/>
      </c>
      <c r="S67">
        <f t="shared" si="61"/>
      </c>
      <c r="T67">
        <f>IF(C67="",0,LEN(C67)*10000+9933)</f>
        <v>89933</v>
      </c>
      <c r="U67">
        <f>IF(LARGE($T$1:$T$900,67)=0,0,MATCH(LARGE($T$1:$T$900,67),$T$1:$T$900,0))</f>
        <v>190</v>
      </c>
      <c r="V67" t="str">
        <f t="shared" si="62"/>
        <v>曹买生</v>
      </c>
      <c r="W67" t="str">
        <f t="shared" si="63"/>
        <v>曹买生</v>
      </c>
      <c r="AB67" t="str">
        <f>IF(OR(基础资料!$AB$71="全",基础资料!$AB$71="收"),基础资料!$AA$71&amp;"","")</f>
        <v>工人餐</v>
      </c>
      <c r="AC67" t="str">
        <f>IF(OR(基础资料!$AB$71="全",基础资料!$AB$71="支"),基础资料!$AA$71&amp;"","")</f>
        <v>工人餐</v>
      </c>
      <c r="CA67" s="2">
        <f>IF(往来单位!$C$70="甲方/总包",1,0)</f>
        <v>0</v>
      </c>
    </row>
    <row r="68">
      <c r="A68">
        <f>IF(项目档案!$B$20="","",TRIM(项目档案!$Q$20&amp;""))</f>
      </c>
      <c r="B68">
        <f t="shared" si="16"/>
      </c>
      <c r="C68" t="str">
        <f>IF(往来单位!$B$26="","",TRIM(往来单位!$D$26&amp;""))</f>
        <v>久远</v>
      </c>
      <c r="D68" t="str">
        <f>往来单位!$B$26&amp;""</f>
        <v>四川久远智能消防</v>
      </c>
      <c r="L68">
        <f>IFERROR(INDEX(往来单位!$B$4:$B$303,MATCH(68,$N$1:$N$300,0))&amp;"","")</f>
      </c>
      <c r="N68" s="2">
        <f>N50+SUM(CA51:CA68)</f>
        <v>7</v>
      </c>
      <c r="P68">
        <f>IF(A68="",0,LEN(A68)*10000+9932)</f>
        <v>0</v>
      </c>
      <c r="Q68">
        <f>IF(LARGE($P$1:$P$240,68)=0,0,MATCH(LARGE($P$1:$P$240,68),$P$1:$P$240,0))</f>
        <v>0</v>
      </c>
      <c r="R68">
        <f t="shared" si="60"/>
      </c>
      <c r="S68">
        <f t="shared" si="61"/>
      </c>
      <c r="T68">
        <f>IF(C68="",0,LEN(C68)*10000+9932)</f>
        <v>29932</v>
      </c>
      <c r="U68">
        <f>IF(LARGE($T$1:$T$900,68)=0,0,MATCH(LARGE($T$1:$T$900,68),$T$1:$T$900,0))</f>
        <v>193</v>
      </c>
      <c r="V68" t="str">
        <f t="shared" si="62"/>
        <v>刘桂水</v>
      </c>
      <c r="W68" t="str">
        <f t="shared" si="63"/>
        <v>刘桂水</v>
      </c>
      <c r="AB68" t="str">
        <f>IF(OR(基础资料!$AB$72="全",基础资料!$AB$72="收"),基础资料!$AA$72&amp;"","")</f>
        <v>售后</v>
      </c>
      <c r="AC68" t="str">
        <f>IF(OR(基础资料!$AB$72="全",基础资料!$AB$72="支"),基础资料!$AA$72&amp;"","")</f>
        <v>售后</v>
      </c>
      <c r="CA68" s="2">
        <f>IF(往来单位!$C$71="甲方/总包",1,0)</f>
        <v>0</v>
      </c>
    </row>
    <row r="69">
      <c r="A69">
        <f>IF(项目档案!$B$21="","",TRIM(项目档案!$B$21&amp;""))</f>
      </c>
      <c r="B69">
        <f t="shared" ref="B69:B72" si="17">项目档案!$B$21&amp;""</f>
      </c>
      <c r="C69">
        <f>IF(往来单位!$B$26="","",TRIM(往来单位!$E$26&amp;""))</f>
      </c>
      <c r="D69" t="str">
        <f>往来单位!$B$26&amp;""</f>
        <v>四川久远智能消防</v>
      </c>
      <c r="L69">
        <f>IFERROR(INDEX(往来单位!$B$4:$B$303,MATCH(69,$N$1:$N$300,0))&amp;"","")</f>
      </c>
      <c r="N69" s="2">
        <f>N50+SUM(CA51:CA69)</f>
        <v>7</v>
      </c>
      <c r="P69">
        <f>IF(A69="",0,LEN(A69)*10000+9931)</f>
        <v>0</v>
      </c>
      <c r="Q69">
        <f>IF(LARGE($P$1:$P$240,69)=0,0,MATCH(LARGE($P$1:$P$240,69),$P$1:$P$240,0))</f>
        <v>0</v>
      </c>
      <c r="R69">
        <f t="shared" si="60"/>
      </c>
      <c r="S69">
        <f t="shared" si="61"/>
      </c>
      <c r="T69">
        <f>IF(C69="",0,LEN(C69)*10000+9931)</f>
        <v>0</v>
      </c>
      <c r="U69">
        <f>IF(LARGE($T$1:$T$900,69)=0,0,MATCH(LARGE($T$1:$T$900,69),$T$1:$T$900,0))</f>
        <v>196</v>
      </c>
      <c r="V69" t="str">
        <f t="shared" si="62"/>
        <v>张小朋</v>
      </c>
      <c r="W69" t="str">
        <f t="shared" si="63"/>
        <v>张小朋</v>
      </c>
      <c r="AB69" t="str">
        <f>IF(OR(基础资料!$AB$73="全",基础资料!$AB$73="收"),基础资料!$AA$73&amp;"","")</f>
        <v>设计费</v>
      </c>
      <c r="AC69" t="str">
        <f>IF(OR(基础资料!$AB$73="全",基础资料!$AB$73="支"),基础资料!$AA$73&amp;"","")</f>
        <v>设计费</v>
      </c>
      <c r="CA69" s="2">
        <f>IF(往来单位!$C$72="甲方/总包",1,0)</f>
        <v>0</v>
      </c>
    </row>
    <row r="70">
      <c r="A70">
        <f>IF(项目档案!$B$21="","",TRIM(项目档案!$O$21&amp;""))</f>
      </c>
      <c r="B70">
        <f t="shared" si="17"/>
      </c>
      <c r="C70" t="str">
        <f>IF(往来单位!$B$27="","",TRIM(往来单位!$B$27&amp;""))</f>
        <v>九江恒讯消防</v>
      </c>
      <c r="D70" t="str">
        <f>往来单位!$B$27&amp;""</f>
        <v>九江恒讯消防</v>
      </c>
      <c r="L70">
        <f>IFERROR(INDEX(往来单位!$B$4:$B$303,MATCH(70,$N$1:$N$300,0))&amp;"","")</f>
      </c>
      <c r="N70" s="2">
        <f>N50+SUM(CA51:CA70)</f>
        <v>7</v>
      </c>
      <c r="P70">
        <f>IF(A70="",0,LEN(A70)*10000+9930)</f>
        <v>0</v>
      </c>
      <c r="Q70">
        <f>IF(LARGE($P$1:$P$240,70)=0,0,MATCH(LARGE($P$1:$P$240,70),$P$1:$P$240,0))</f>
        <v>0</v>
      </c>
      <c r="R70">
        <f t="shared" si="60"/>
      </c>
      <c r="S70">
        <f t="shared" si="61"/>
      </c>
      <c r="T70">
        <f>IF(C70="",0,LEN(C70)*10000+9930)</f>
        <v>69930</v>
      </c>
      <c r="U70">
        <f>IF(LARGE($T$1:$T$900,70)=0,0,MATCH(LARGE($T$1:$T$900,70),$T$1:$T$900,0))</f>
        <v>199</v>
      </c>
      <c r="V70" t="str">
        <f t="shared" si="62"/>
        <v>叶焰平</v>
      </c>
      <c r="W70" t="str">
        <f t="shared" si="63"/>
        <v>叶焰平</v>
      </c>
      <c r="AB70" t="str">
        <f>IF(OR(基础资料!$AB$74="全",基础资料!$AB$74="收"),基础资料!$AA$74&amp;"","")</f>
        <v>图纸</v>
      </c>
      <c r="AC70" t="str">
        <f>IF(OR(基础资料!$AB$74="全",基础资料!$AB$74="支"),基础资料!$AA$74&amp;"","")</f>
        <v>图纸</v>
      </c>
      <c r="CA70" s="2">
        <f>IF(往来单位!$C$73="甲方/总包",1,0)</f>
        <v>0</v>
      </c>
    </row>
    <row r="71">
      <c r="A71">
        <f>IF(项目档案!$B$21="","",TRIM(项目档案!$P$21&amp;""))</f>
      </c>
      <c r="B71">
        <f t="shared" si="17"/>
      </c>
      <c r="C71" t="str">
        <f>IF(往来单位!$B$27="","",TRIM(往来单位!$D$27&amp;""))</f>
        <v>恒讯</v>
      </c>
      <c r="D71" t="str">
        <f>往来单位!$B$27&amp;""</f>
        <v>九江恒讯消防</v>
      </c>
      <c r="L71">
        <f>IFERROR(INDEX(往来单位!$B$4:$B$303,MATCH(71,$N$1:$N$300,0))&amp;"","")</f>
      </c>
      <c r="N71" s="2">
        <f>N50+SUM(CA51:CA71)</f>
        <v>7</v>
      </c>
      <c r="P71">
        <f>IF(A71="",0,LEN(A71)*10000+9929)</f>
        <v>0</v>
      </c>
      <c r="Q71">
        <f>IF(LARGE($P$1:$P$240,71)=0,0,MATCH(LARGE($P$1:$P$240,71),$P$1:$P$240,0))</f>
        <v>0</v>
      </c>
      <c r="R71">
        <f t="shared" si="60"/>
      </c>
      <c r="S71">
        <f t="shared" si="61"/>
      </c>
      <c r="T71">
        <f>IF(C71="",0,LEN(C71)*10000+9929)</f>
        <v>29929</v>
      </c>
      <c r="U71">
        <f>IF(LARGE($T$1:$T$900,71)=0,0,MATCH(LARGE($T$1:$T$900,71),$T$1:$T$900,0))</f>
        <v>205</v>
      </c>
      <c r="V71" t="str">
        <f t="shared" si="62"/>
        <v>张淑平</v>
      </c>
      <c r="W71" t="str">
        <f t="shared" si="63"/>
        <v>张淑平</v>
      </c>
      <c r="AB71" t="str">
        <f>IF(OR(基础资料!$AB$75="全",基础资料!$AB$75="收"),基础资料!$AA$75&amp;"","")</f>
        <v>材料</v>
      </c>
      <c r="AC71" t="str">
        <f>IF(OR(基础资料!$AB$75="全",基础资料!$AB$75="支"),基础资料!$AA$75&amp;"","")</f>
        <v>材料</v>
      </c>
      <c r="CA71" s="2">
        <f>IF(往来单位!$C$74="甲方/总包",1,0)</f>
        <v>0</v>
      </c>
    </row>
    <row r="72">
      <c r="A72">
        <f>IF(项目档案!$B$21="","",TRIM(项目档案!$Q$21&amp;""))</f>
      </c>
      <c r="B72">
        <f t="shared" si="17"/>
      </c>
      <c r="C72">
        <f>IF(往来单位!$B$27="","",TRIM(往来单位!$E$27&amp;""))</f>
      </c>
      <c r="D72" t="str">
        <f>往来单位!$B$27&amp;""</f>
        <v>九江恒讯消防</v>
      </c>
      <c r="L72">
        <f>IFERROR(INDEX(往来单位!$B$4:$B$303,MATCH(72,$N$1:$N$300,0))&amp;"","")</f>
      </c>
      <c r="N72" s="2">
        <f>N50+SUM(CA51:CA72)</f>
        <v>7</v>
      </c>
      <c r="P72">
        <f>IF(A72="",0,LEN(A72)*10000+9928)</f>
        <v>0</v>
      </c>
      <c r="Q72">
        <f>IF(LARGE($P$1:$P$240,72)=0,0,MATCH(LARGE($P$1:$P$240,72),$P$1:$P$240,0))</f>
        <v>0</v>
      </c>
      <c r="R72">
        <f t="shared" si="60"/>
      </c>
      <c r="S72">
        <f t="shared" si="61"/>
      </c>
      <c r="T72">
        <f>IF(C72="",0,LEN(C72)*10000+9928)</f>
        <v>0</v>
      </c>
      <c r="U72">
        <f>IF(LARGE($T$1:$T$900,72)=0,0,MATCH(LARGE($T$1:$T$900,72),$T$1:$T$900,0))</f>
        <v>214</v>
      </c>
      <c r="V72" t="str">
        <f t="shared" si="62"/>
        <v>姚俊强</v>
      </c>
      <c r="W72" t="str">
        <f t="shared" si="63"/>
        <v>姚俊强</v>
      </c>
      <c r="AB72" t="str">
        <f>IF(OR(基础资料!$AB$76="全",基础资料!$AB$76="收"),基础资料!$AA$76&amp;"","")</f>
        <v>货款</v>
      </c>
      <c r="AC72" t="str">
        <f>IF(OR(基础资料!$AB$76="全",基础资料!$AB$76="支"),基础资料!$AA$76&amp;"","")</f>
        <v>货款</v>
      </c>
      <c r="CA72" s="2">
        <f>IF(往来单位!$C$75="甲方/总包",1,0)</f>
        <v>0</v>
      </c>
    </row>
    <row r="73">
      <c r="A73">
        <f>IF(项目档案!$B$22="","",TRIM(项目档案!$B$22&amp;""))</f>
      </c>
      <c r="B73">
        <f t="shared" ref="B73:B76" si="18">项目档案!$B$22&amp;""</f>
      </c>
      <c r="C73" t="str">
        <f>IF(往来单位!$B$28="","",TRIM(往来单位!$B$28&amp;""))</f>
        <v>恩旗老叶</v>
      </c>
      <c r="D73" t="str">
        <f>往来单位!$B$28&amp;""</f>
        <v>恩旗老叶</v>
      </c>
      <c r="L73">
        <f>IFERROR(INDEX(往来单位!$B$4:$B$303,MATCH(73,$N$1:$N$300,0))&amp;"","")</f>
      </c>
      <c r="N73" s="2">
        <f>N50+SUM(CA51:CA73)</f>
        <v>7</v>
      </c>
      <c r="P73">
        <f>IF(A73="",0,LEN(A73)*10000+9927)</f>
        <v>0</v>
      </c>
      <c r="Q73">
        <f>IF(LARGE($P$1:$P$240,73)=0,0,MATCH(LARGE($P$1:$P$240,73),$P$1:$P$240,0))</f>
        <v>0</v>
      </c>
      <c r="R73">
        <f t="shared" si="60"/>
      </c>
      <c r="S73">
        <f t="shared" si="61"/>
      </c>
      <c r="T73">
        <f>IF(C73="",0,LEN(C73)*10000+9927)</f>
        <v>49927</v>
      </c>
      <c r="U73">
        <f>IF(LARGE($T$1:$T$900,73)=0,0,MATCH(LARGE($T$1:$T$900,73),$T$1:$T$900,0))</f>
        <v>217</v>
      </c>
      <c r="V73" t="str">
        <f t="shared" si="62"/>
        <v>陈德银</v>
      </c>
      <c r="W73" t="str">
        <f t="shared" si="63"/>
        <v>陈德银</v>
      </c>
      <c r="AB73" t="str">
        <f>IF(OR(基础资料!$AB$77="全",基础资料!$AB$77="收"),基础资料!$AA$77&amp;"","")</f>
        <v>设备款</v>
      </c>
      <c r="AC73" t="str">
        <f>IF(OR(基础资料!$AB$77="全",基础资料!$AB$77="支"),基础资料!$AA$77&amp;"","")</f>
        <v>设备款</v>
      </c>
      <c r="CA73" s="2">
        <f>IF(往来单位!$C$76="甲方/总包",1,0)</f>
        <v>0</v>
      </c>
    </row>
    <row r="74">
      <c r="A74">
        <f>IF(项目档案!$B$22="","",TRIM(项目档案!$O$22&amp;""))</f>
      </c>
      <c r="B74">
        <f t="shared" si="18"/>
      </c>
      <c r="C74" t="str">
        <f>IF(往来单位!$B$28="","",TRIM(往来单位!$D$28&amp;""))</f>
        <v>老叶</v>
      </c>
      <c r="D74" t="str">
        <f>往来单位!$B$28&amp;""</f>
        <v>恩旗老叶</v>
      </c>
      <c r="L74">
        <f>IFERROR(INDEX(往来单位!$B$4:$B$303,MATCH(74,$N$1:$N$300,0))&amp;"","")</f>
      </c>
      <c r="N74" s="2">
        <f>N50+SUM(CA51:CA74)</f>
        <v>7</v>
      </c>
      <c r="P74">
        <f>IF(A74="",0,LEN(A74)*10000+9926)</f>
        <v>0</v>
      </c>
      <c r="Q74">
        <f>IF(LARGE($P$1:$P$240,74)=0,0,MATCH(LARGE($P$1:$P$240,74),$P$1:$P$240,0))</f>
        <v>0</v>
      </c>
      <c r="R74">
        <f t="shared" si="60"/>
      </c>
      <c r="S74">
        <f t="shared" si="61"/>
      </c>
      <c r="T74">
        <f>IF(C74="",0,LEN(C74)*10000+9926)</f>
        <v>29926</v>
      </c>
      <c r="U74">
        <f>IF(LARGE($T$1:$T$900,74)=0,0,MATCH(LARGE($T$1:$T$900,74),$T$1:$T$900,0))</f>
        <v>220</v>
      </c>
      <c r="V74" t="str">
        <f t="shared" si="62"/>
        <v>邓付贞</v>
      </c>
      <c r="W74" t="str">
        <f t="shared" si="63"/>
        <v>邓付贞</v>
      </c>
      <c r="AB74" t="str">
        <f>IF(OR(基础资料!$AB$78="全",基础资料!$AB$78="收"),基础资料!$AA$78&amp;"","")</f>
        <v>电线</v>
      </c>
      <c r="AC74" t="str">
        <f>IF(OR(基础资料!$AB$78="全",基础资料!$AB$78="支"),基础资料!$AA$78&amp;"","")</f>
        <v>电线</v>
      </c>
      <c r="CA74" s="2">
        <f>IF(往来单位!$C$77="甲方/总包",1,0)</f>
        <v>0</v>
      </c>
    </row>
    <row r="75">
      <c r="A75">
        <f>IF(项目档案!$B$22="","",TRIM(项目档案!$P$22&amp;""))</f>
      </c>
      <c r="B75">
        <f t="shared" si="18"/>
      </c>
      <c r="C75">
        <f>IF(往来单位!$B$28="","",TRIM(往来单位!$E$28&amp;""))</f>
      </c>
      <c r="D75" t="str">
        <f>往来单位!$B$28&amp;""</f>
        <v>恩旗老叶</v>
      </c>
      <c r="L75">
        <f>IFERROR(INDEX(往来单位!$B$4:$B$303,MATCH(75,$N$1:$N$300,0))&amp;"","")</f>
      </c>
      <c r="N75" s="2">
        <f>N50+SUM(CA51:CA75)</f>
        <v>7</v>
      </c>
      <c r="P75">
        <f>IF(A75="",0,LEN(A75)*10000+9925)</f>
        <v>0</v>
      </c>
      <c r="Q75">
        <f>IF(LARGE($P$1:$P$240,75)=0,0,MATCH(LARGE($P$1:$P$240,75),$P$1:$P$240,0))</f>
        <v>0</v>
      </c>
      <c r="R75">
        <f t="shared" si="60"/>
      </c>
      <c r="S75">
        <f t="shared" si="61"/>
      </c>
      <c r="T75">
        <f>IF(C75="",0,LEN(C75)*10000+9925)</f>
        <v>0</v>
      </c>
      <c r="U75">
        <f>IF(LARGE($T$1:$T$900,75)=0,0,MATCH(LARGE($T$1:$T$900,75),$T$1:$T$900,0))</f>
        <v>223</v>
      </c>
      <c r="V75" t="str">
        <f t="shared" si="62"/>
        <v>桂木生</v>
      </c>
      <c r="W75" t="str">
        <f t="shared" si="63"/>
        <v>桂木生</v>
      </c>
      <c r="AB75" t="str">
        <f>IF(OR(基础资料!$AB$79="全",基础资料!$AB$79="收"),基础资料!$AA$79&amp;"","")</f>
        <v>电缆</v>
      </c>
      <c r="AC75" t="str">
        <f>IF(OR(基础资料!$AB$79="全",基础资料!$AB$79="支"),基础资料!$AA$79&amp;"","")</f>
        <v>电缆</v>
      </c>
      <c r="CA75" s="2">
        <f>IF(往来单位!$C$78="甲方/总包",1,0)</f>
        <v>0</v>
      </c>
    </row>
    <row r="76">
      <c r="A76">
        <f>IF(项目档案!$B$22="","",TRIM(项目档案!$Q$22&amp;""))</f>
      </c>
      <c r="B76">
        <f t="shared" si="18"/>
      </c>
      <c r="C76" t="str">
        <f>IF(往来单位!$B$29="","",TRIM(往来单位!$B$29&amp;""))</f>
        <v>吴群</v>
      </c>
      <c r="D76" t="str">
        <f>往来单位!$B$29&amp;""</f>
        <v>吴群</v>
      </c>
      <c r="L76">
        <f>IFERROR(INDEX(往来单位!$B$4:$B$303,MATCH(76,$N$1:$N$300,0))&amp;"","")</f>
      </c>
      <c r="N76" s="2">
        <f>N50+SUM(CA51:CA76)</f>
        <v>7</v>
      </c>
      <c r="P76">
        <f>IF(A76="",0,LEN(A76)*10000+9924)</f>
        <v>0</v>
      </c>
      <c r="Q76">
        <f>IF(LARGE($P$1:$P$240,76)=0,0,MATCH(LARGE($P$1:$P$240,76),$P$1:$P$240,0))</f>
        <v>0</v>
      </c>
      <c r="R76">
        <f t="shared" si="60"/>
      </c>
      <c r="S76">
        <f t="shared" si="61"/>
      </c>
      <c r="T76">
        <f>IF(C76="",0,LEN(C76)*10000+9924)</f>
        <v>29924</v>
      </c>
      <c r="U76">
        <f>IF(LARGE($T$1:$T$900,76)=0,0,MATCH(LARGE($T$1:$T$900,76),$T$1:$T$900,0))</f>
        <v>229</v>
      </c>
      <c r="V76" t="str">
        <f t="shared" si="62"/>
        <v>朱俊英</v>
      </c>
      <c r="W76" t="str">
        <f t="shared" si="63"/>
        <v>朱俊英</v>
      </c>
      <c r="AB76" t="str">
        <f>IF(OR(基础资料!$AB$80="全",基础资料!$AB$80="收"),基础资料!$AA$80&amp;"","")</f>
        <v>桥架</v>
      </c>
      <c r="AC76" t="str">
        <f>IF(OR(基础资料!$AB$80="全",基础资料!$AB$80="支"),基础资料!$AA$80&amp;"","")</f>
        <v>桥架</v>
      </c>
      <c r="CA76" s="2">
        <f>IF(往来单位!$C$79="甲方/总包",1,0)</f>
        <v>0</v>
      </c>
    </row>
    <row r="77">
      <c r="A77">
        <f>IF(项目档案!$B$23="","",TRIM(项目档案!$B$23&amp;""))</f>
      </c>
      <c r="B77">
        <f t="shared" ref="B77:B80" si="19">项目档案!$B$23&amp;""</f>
      </c>
      <c r="C77">
        <f>IF(往来单位!$B$29="","",TRIM(往来单位!$D$29&amp;""))</f>
      </c>
      <c r="D77" t="str">
        <f>往来单位!$B$29&amp;""</f>
        <v>吴群</v>
      </c>
      <c r="L77">
        <f>IFERROR(INDEX(往来单位!$B$4:$B$303,MATCH(77,$N$1:$N$300,0))&amp;"","")</f>
      </c>
      <c r="N77" s="2">
        <f>N50+SUM(CA51:CA77)</f>
        <v>7</v>
      </c>
      <c r="P77">
        <f>IF(A77="",0,LEN(A77)*10000+9923)</f>
        <v>0</v>
      </c>
      <c r="Q77">
        <f>IF(LARGE($P$1:$P$240,77)=0,0,MATCH(LARGE($P$1:$P$240,77),$P$1:$P$240,0))</f>
        <v>0</v>
      </c>
      <c r="R77">
        <f t="shared" si="60"/>
      </c>
      <c r="S77">
        <f t="shared" si="61"/>
      </c>
      <c r="T77">
        <f>IF(C77="",0,LEN(C77)*10000+9923)</f>
        <v>0</v>
      </c>
      <c r="U77">
        <f>IF(LARGE($T$1:$T$900,77)=0,0,MATCH(LARGE($T$1:$T$900,77),$T$1:$T$900,0))</f>
        <v>232</v>
      </c>
      <c r="V77" t="str">
        <f t="shared" si="62"/>
        <v>彭海飞</v>
      </c>
      <c r="W77" t="str">
        <f t="shared" si="63"/>
        <v>彭海飞</v>
      </c>
      <c r="AB77" t="str">
        <f>IF(OR(基础资料!$AB$81="全",基础资料!$AB$81="收"),基础资料!$AA$81&amp;"","")</f>
        <v>水箱</v>
      </c>
      <c r="AC77" t="str">
        <f>IF(OR(基础资料!$AB$81="全",基础资料!$AB$81="支"),基础资料!$AA$81&amp;"","")</f>
        <v>水箱</v>
      </c>
      <c r="CA77" s="2">
        <f>IF(往来单位!$C$80="甲方/总包",1,0)</f>
        <v>0</v>
      </c>
    </row>
    <row r="78">
      <c r="A78">
        <f>IF(项目档案!$B$23="","",TRIM(项目档案!$O$23&amp;""))</f>
      </c>
      <c r="B78">
        <f t="shared" si="19"/>
      </c>
      <c r="C78">
        <f>IF(往来单位!$B$29="","",TRIM(往来单位!$E$29&amp;""))</f>
      </c>
      <c r="D78" t="str">
        <f>往来单位!$B$29&amp;""</f>
        <v>吴群</v>
      </c>
      <c r="L78">
        <f>IFERROR(INDEX(往来单位!$B$4:$B$303,MATCH(78,$N$1:$N$300,0))&amp;"","")</f>
      </c>
      <c r="N78" s="2">
        <f>N50+SUM(CA51:CA78)</f>
        <v>7</v>
      </c>
      <c r="P78">
        <f>IF(A78="",0,LEN(A78)*10000+9922)</f>
        <v>0</v>
      </c>
      <c r="Q78">
        <f>IF(LARGE($P$1:$P$240,78)=0,0,MATCH(LARGE($P$1:$P$240,78),$P$1:$P$240,0))</f>
        <v>0</v>
      </c>
      <c r="R78">
        <f t="shared" si="60"/>
      </c>
      <c r="S78">
        <f t="shared" si="61"/>
      </c>
      <c r="T78">
        <f>IF(C78="",0,LEN(C78)*10000+9922)</f>
        <v>0</v>
      </c>
      <c r="U78">
        <f>IF(LARGE($T$1:$T$900,78)=0,0,MATCH(LARGE($T$1:$T$900,78),$T$1:$T$900,0))</f>
        <v>238</v>
      </c>
      <c r="V78" t="str">
        <f t="shared" si="62"/>
        <v>朱博文</v>
      </c>
      <c r="W78" t="str">
        <f t="shared" si="63"/>
        <v>朱博文</v>
      </c>
      <c r="AB78" t="str">
        <f>IF(OR(基础资料!$AB$82="全",基础资料!$AB$82="收"),基础资料!$AA$82&amp;"","")</f>
        <v>水泵</v>
      </c>
      <c r="AC78" t="str">
        <f>IF(OR(基础资料!$AB$82="全",基础资料!$AB$82="支"),基础资料!$AA$82&amp;"","")</f>
        <v>水泵</v>
      </c>
      <c r="CA78" s="2">
        <f>IF(往来单位!$C$81="甲方/总包",1,0)</f>
        <v>0</v>
      </c>
    </row>
    <row r="79">
      <c r="A79">
        <f>IF(项目档案!$B$23="","",TRIM(项目档案!$P$23&amp;""))</f>
      </c>
      <c r="B79">
        <f t="shared" si="19"/>
      </c>
      <c r="C79" t="str">
        <f>IF(往来单位!$B$30="","",TRIM(往来单位!$B$30&amp;""))</f>
        <v>吴聪</v>
      </c>
      <c r="D79" t="str">
        <f>往来单位!$B$30&amp;""</f>
        <v>吴聪</v>
      </c>
      <c r="L79">
        <f>IFERROR(INDEX(往来单位!$B$4:$B$303,MATCH(79,$N$1:$N$300,0))&amp;"","")</f>
      </c>
      <c r="N79" s="2">
        <f>N50+SUM(CA51:CA79)</f>
        <v>7</v>
      </c>
      <c r="P79">
        <f>IF(A79="",0,LEN(A79)*10000+9921)</f>
        <v>0</v>
      </c>
      <c r="Q79">
        <f>IF(LARGE($P$1:$P$240,79)=0,0,MATCH(LARGE($P$1:$P$240,79),$P$1:$P$240,0))</f>
        <v>0</v>
      </c>
      <c r="R79">
        <f t="shared" si="60"/>
      </c>
      <c r="S79">
        <f t="shared" si="61"/>
      </c>
      <c r="T79">
        <f>IF(C79="",0,LEN(C79)*10000+9921)</f>
        <v>29921</v>
      </c>
      <c r="U79">
        <f>IF(LARGE($T$1:$T$900,79)=0,0,MATCH(LARGE($T$1:$T$900,79),$T$1:$T$900,0))</f>
        <v>241</v>
      </c>
      <c r="V79" t="str">
        <f t="shared" si="62"/>
        <v>雷友才</v>
      </c>
      <c r="W79" t="str">
        <f t="shared" si="63"/>
        <v>雷友才</v>
      </c>
      <c r="AB79" t="str">
        <f>IF(OR(基础资料!$AB$83="全",基础资料!$AB$83="收"),基础资料!$AA$83&amp;"","")</f>
        <v>阀</v>
      </c>
      <c r="AC79" t="str">
        <f>IF(OR(基础资料!$AB$83="全",基础资料!$AB$83="支"),基础资料!$AA$83&amp;"","")</f>
        <v>阀</v>
      </c>
      <c r="CA79" s="2">
        <f>IF(往来单位!$C$82="甲方/总包",1,0)</f>
        <v>0</v>
      </c>
    </row>
    <row r="80">
      <c r="A80">
        <f>IF(项目档案!$B$23="","",TRIM(项目档案!$Q$23&amp;""))</f>
      </c>
      <c r="B80">
        <f t="shared" si="19"/>
      </c>
      <c r="C80">
        <f>IF(往来单位!$B$30="","",TRIM(往来单位!$D$30&amp;""))</f>
      </c>
      <c r="D80" t="str">
        <f>往来单位!$B$30&amp;""</f>
        <v>吴聪</v>
      </c>
      <c r="L80">
        <f>IFERROR(INDEX(往来单位!$B$4:$B$303,MATCH(80,$N$1:$N$300,0))&amp;"","")</f>
      </c>
      <c r="N80" s="2">
        <f>N50+SUM(CA51:CA80)</f>
        <v>7</v>
      </c>
      <c r="P80">
        <f>IF(A80="",0,LEN(A80)*10000+9920)</f>
        <v>0</v>
      </c>
      <c r="Q80">
        <f>IF(LARGE($P$1:$P$240,80)=0,0,MATCH(LARGE($P$1:$P$240,80),$P$1:$P$240,0))</f>
        <v>0</v>
      </c>
      <c r="R80">
        <f t="shared" si="60"/>
      </c>
      <c r="S80">
        <f t="shared" si="61"/>
      </c>
      <c r="T80">
        <f>IF(C80="",0,LEN(C80)*10000+9920)</f>
        <v>0</v>
      </c>
      <c r="U80">
        <f>IF(LARGE($T$1:$T$900,80)=0,0,MATCH(LARGE($T$1:$T$900,80),$T$1:$T$900,0))</f>
        <v>244</v>
      </c>
      <c r="V80" t="str">
        <f t="shared" si="62"/>
        <v>占善庆</v>
      </c>
      <c r="W80" t="str">
        <f t="shared" si="63"/>
        <v>占善庆</v>
      </c>
      <c r="AB80" t="str">
        <f>IF(OR(基础资料!$AB$84="全",基础资料!$AB$84="收"),基础资料!$AA$84&amp;"","")</f>
        <v>五金</v>
      </c>
      <c r="AC80" t="str">
        <f>IF(OR(基础资料!$AB$84="全",基础资料!$AB$84="支"),基础资料!$AA$84&amp;"","")</f>
        <v>五金</v>
      </c>
      <c r="CA80" s="2">
        <f>IF(往来单位!$C$83="甲方/总包",1,0)</f>
        <v>0</v>
      </c>
    </row>
    <row r="81">
      <c r="A81">
        <f>IF(项目档案!$B$24="","",TRIM(项目档案!$B$24&amp;""))</f>
      </c>
      <c r="B81">
        <f t="shared" ref="B81:B84" si="20">项目档案!$B$24&amp;""</f>
      </c>
      <c r="C81">
        <f>IF(往来单位!$B$30="","",TRIM(往来单位!$E$30&amp;""))</f>
      </c>
      <c r="D81" t="str">
        <f>往来单位!$B$30&amp;""</f>
        <v>吴聪</v>
      </c>
      <c r="L81">
        <f>IFERROR(INDEX(往来单位!$B$4:$B$303,MATCH(81,$N$1:$N$300,0))&amp;"","")</f>
      </c>
      <c r="N81" s="2">
        <f>N50+SUM(CA51:CA81)</f>
        <v>7</v>
      </c>
      <c r="P81">
        <f>IF(A81="",0,LEN(A81)*10000+9919)</f>
        <v>0</v>
      </c>
      <c r="Q81">
        <f>IF(LARGE($P$1:$P$240,81)=0,0,MATCH(LARGE($P$1:$P$240,81),$P$1:$P$240,0))</f>
        <v>0</v>
      </c>
      <c r="R81">
        <f t="shared" si="60"/>
      </c>
      <c r="S81">
        <f t="shared" si="61"/>
      </c>
      <c r="T81">
        <f>IF(C81="",0,LEN(C81)*10000+9919)</f>
        <v>0</v>
      </c>
      <c r="U81">
        <f>IF(LARGE($T$1:$T$900,81)=0,0,MATCH(LARGE($T$1:$T$900,81),$T$1:$T$900,0))</f>
        <v>247</v>
      </c>
      <c r="V81" t="str">
        <f t="shared" si="62"/>
        <v>张洪林</v>
      </c>
      <c r="W81" t="str">
        <f t="shared" si="63"/>
        <v>张洪林</v>
      </c>
      <c r="AB81" t="str">
        <f>IF(OR(基础资料!$AB$85="全",基础资料!$AB$85="收"),基础资料!$AA$85&amp;"","")</f>
        <v>钢材</v>
      </c>
      <c r="AC81" t="str">
        <f>IF(OR(基础资料!$AB$85="全",基础资料!$AB$85="支"),基础资料!$AA$85&amp;"","")</f>
        <v>钢材</v>
      </c>
      <c r="CA81" s="2">
        <f>IF(往来单位!$C$84="甲方/总包",1,0)</f>
        <v>0</v>
      </c>
    </row>
    <row r="82">
      <c r="A82">
        <f>IF(项目档案!$B$24="","",TRIM(项目档案!$O$24&amp;""))</f>
      </c>
      <c r="B82">
        <f t="shared" si="20"/>
      </c>
      <c r="C82" t="str">
        <f>IF(往来单位!$B$31="","",TRIM(往来单位!$B$31&amp;""))</f>
        <v>九江朱总</v>
      </c>
      <c r="D82" t="str">
        <f>往来单位!$B$31&amp;""</f>
        <v>九江朱总</v>
      </c>
      <c r="L82">
        <f>IFERROR(INDEX(往来单位!$B$4:$B$303,MATCH(82,$N$1:$N$300,0))&amp;"","")</f>
      </c>
      <c r="N82" s="2">
        <f>N50+SUM(CA51:CA82)</f>
        <v>7</v>
      </c>
      <c r="P82">
        <f>IF(A82="",0,LEN(A82)*10000+9918)</f>
        <v>0</v>
      </c>
      <c r="Q82">
        <f>IF(LARGE($P$1:$P$240,82)=0,0,MATCH(LARGE($P$1:$P$240,82),$P$1:$P$240,0))</f>
        <v>0</v>
      </c>
      <c r="R82">
        <f t="shared" si="60"/>
      </c>
      <c r="S82">
        <f t="shared" si="61"/>
      </c>
      <c r="T82">
        <f>IF(C82="",0,LEN(C82)*10000+9918)</f>
        <v>49918</v>
      </c>
      <c r="U82">
        <f>IF(LARGE($T$1:$T$900,82)=0,0,MATCH(LARGE($T$1:$T$900,82),$T$1:$T$900,0))</f>
        <v>22</v>
      </c>
      <c r="V82" t="str">
        <f t="shared" si="62"/>
        <v>筑强</v>
      </c>
      <c r="W82" t="str">
        <f t="shared" si="63"/>
        <v>筑强</v>
      </c>
      <c r="AB82" t="str">
        <f>IF(OR(基础资料!$AB$86="全",基础资料!$AB$86="收"),基础资料!$AA$86&amp;"","")</f>
        <v>井盖</v>
      </c>
      <c r="AC82" t="str">
        <f>IF(OR(基础资料!$AB$86="全",基础资料!$AB$86="支"),基础资料!$AA$86&amp;"","")</f>
        <v>井盖</v>
      </c>
      <c r="CA82" s="2">
        <f>IF(往来单位!$C$85="甲方/总包",1,0)</f>
        <v>0</v>
      </c>
    </row>
    <row r="83">
      <c r="A83">
        <f>IF(项目档案!$B$24="","",TRIM(项目档案!$P$24&amp;""))</f>
      </c>
      <c r="B83">
        <f t="shared" si="20"/>
      </c>
      <c r="C83" t="str">
        <f>IF(往来单位!$B$31="","",TRIM(往来单位!$D$31&amp;""))</f>
        <v>朱总</v>
      </c>
      <c r="D83" t="str">
        <f>往来单位!$B$31&amp;""</f>
        <v>九江朱总</v>
      </c>
      <c r="L83">
        <f>IFERROR(INDEX(往来单位!$B$4:$B$303,MATCH(83,$N$1:$N$300,0))&amp;"","")</f>
      </c>
      <c r="N83" s="2">
        <f>N50+SUM(CA51:CA83)</f>
        <v>7</v>
      </c>
      <c r="P83">
        <f>IF(A83="",0,LEN(A83)*10000+9917)</f>
        <v>0</v>
      </c>
      <c r="Q83">
        <f>IF(LARGE($P$1:$P$240,83)=0,0,MATCH(LARGE($P$1:$P$240,83),$P$1:$P$240,0))</f>
        <v>0</v>
      </c>
      <c r="R83">
        <f t="shared" si="60"/>
      </c>
      <c r="S83">
        <f t="shared" si="61"/>
      </c>
      <c r="T83">
        <f>IF(C83="",0,LEN(C83)*10000+9917)</f>
        <v>29917</v>
      </c>
      <c r="U83">
        <f>IF(LARGE($T$1:$T$900,83)=0,0,MATCH(LARGE($T$1:$T$900,83),$T$1:$T$900,0))</f>
        <v>26</v>
      </c>
      <c r="V83" t="str">
        <f t="shared" si="62"/>
        <v>安洋</v>
      </c>
      <c r="W83" t="str">
        <f t="shared" si="63"/>
        <v>九江安洋钢材熊总</v>
      </c>
      <c r="AB83" t="str">
        <f>IF(OR(基础资料!$AB$87="全",基础资料!$AB$87="收"),基础资料!$AA$87&amp;"","")</f>
        <v>油漆</v>
      </c>
      <c r="AC83" t="str">
        <f>IF(OR(基础资料!$AB$87="全",基础资料!$AB$87="支"),基础资料!$AA$87&amp;"","")</f>
        <v>油漆</v>
      </c>
      <c r="CA83" s="2">
        <f>IF(往来单位!$C$86="甲方/总包",1,0)</f>
        <v>0</v>
      </c>
    </row>
    <row r="84">
      <c r="A84">
        <f>IF(项目档案!$B$24="","",TRIM(项目档案!$Q$24&amp;""))</f>
      </c>
      <c r="B84">
        <f t="shared" si="20"/>
      </c>
      <c r="C84">
        <f>IF(往来单位!$B$31="","",TRIM(往来单位!$E$31&amp;""))</f>
      </c>
      <c r="D84" t="str">
        <f>往来单位!$B$31&amp;""</f>
        <v>九江朱总</v>
      </c>
      <c r="L84">
        <f>IFERROR(INDEX(往来单位!$B$4:$B$303,MATCH(84,$N$1:$N$300,0))&amp;"","")</f>
      </c>
      <c r="N84" s="2">
        <f>N50+SUM(CA51:CA84)</f>
        <v>7</v>
      </c>
      <c r="P84">
        <f>IF(A84="",0,LEN(A84)*10000+9916)</f>
        <v>0</v>
      </c>
      <c r="Q84">
        <f>IF(LARGE($P$1:$P$240,84)=0,0,MATCH(LARGE($P$1:$P$240,84),$P$1:$P$240,0))</f>
        <v>0</v>
      </c>
      <c r="R84">
        <f t="shared" si="60"/>
      </c>
      <c r="S84">
        <f t="shared" si="61"/>
      </c>
      <c r="T84">
        <f>IF(C84="",0,LEN(C84)*10000+9916)</f>
        <v>0</v>
      </c>
      <c r="U84">
        <f>IF(LARGE($T$1:$T$900,84)=0,0,MATCH(LARGE($T$1:$T$900,84),$T$1:$T$900,0))</f>
        <v>35</v>
      </c>
      <c r="V84" t="str">
        <f t="shared" si="62"/>
        <v>启航</v>
      </c>
      <c r="W84" t="str">
        <f t="shared" si="63"/>
        <v>启航五金</v>
      </c>
      <c r="AB84" t="str">
        <f>IF(OR(基础资料!$AB$88="全",基础资料!$AB$88="收"),基础资料!$AA$88&amp;"","")</f>
        <v>草皮</v>
      </c>
      <c r="AC84" t="str">
        <f>IF(OR(基础资料!$AB$88="全",基础资料!$AB$88="支"),基础资料!$AA$88&amp;"","")</f>
        <v>草皮</v>
      </c>
      <c r="CA84" s="2">
        <f>IF(往来单位!$C$87="甲方/总包",1,0)</f>
        <v>0</v>
      </c>
    </row>
    <row r="85">
      <c r="A85">
        <f>IF(项目档案!$B$25="","",TRIM(项目档案!$B$25&amp;""))</f>
      </c>
      <c r="B85">
        <f t="shared" ref="B85:B88" si="21">项目档案!$B$25&amp;""</f>
      </c>
      <c r="C85" t="str">
        <f>IF(往来单位!$B$32="","",TRIM(往来单位!$B$32&amp;""))</f>
        <v>共安门业</v>
      </c>
      <c r="D85" t="str">
        <f>往来单位!$B$32&amp;""</f>
        <v>共安门业</v>
      </c>
      <c r="L85">
        <f>IFERROR(INDEX(往来单位!$B$4:$B$303,MATCH(85,$N$1:$N$300,0))&amp;"","")</f>
      </c>
      <c r="N85" s="2">
        <f>N50+SUM(CA51:CA85)</f>
        <v>7</v>
      </c>
      <c r="P85">
        <f>IF(A85="",0,LEN(A85)*10000+9915)</f>
        <v>0</v>
      </c>
      <c r="Q85">
        <f>IF(LARGE($P$1:$P$240,85)=0,0,MATCH(LARGE($P$1:$P$240,85),$P$1:$P$240,0))</f>
        <v>0</v>
      </c>
      <c r="R85">
        <f t="shared" si="60"/>
      </c>
      <c r="S85">
        <f t="shared" si="61"/>
      </c>
      <c r="T85">
        <f>IF(C85="",0,LEN(C85)*10000+9915)</f>
        <v>49915</v>
      </c>
      <c r="U85">
        <f>IF(LARGE($T$1:$T$900,85)=0,0,MATCH(LARGE($T$1:$T$900,85),$T$1:$T$900,0))</f>
        <v>39</v>
      </c>
      <c r="V85" t="str">
        <f t="shared" si="62"/>
        <v>行消</v>
      </c>
      <c r="W85" t="str">
        <f t="shared" si="63"/>
        <v>杭州行消物资贸易</v>
      </c>
      <c r="AB85" t="str">
        <f>IF(OR(基础资料!$AB$89="全",基础资料!$AB$89="收"),基础资料!$AA$89&amp;"","")</f>
        <v>树苗</v>
      </c>
      <c r="AC85" t="str">
        <f>IF(OR(基础资料!$AB$89="全",基础资料!$AB$89="支"),基础资料!$AA$89&amp;"","")</f>
        <v>树苗</v>
      </c>
      <c r="CA85" s="2">
        <f>IF(往来单位!$C$88="甲方/总包",1,0)</f>
        <v>0</v>
      </c>
    </row>
    <row r="86">
      <c r="A86">
        <f>IF(项目档案!$B$25="","",TRIM(项目档案!$O$25&amp;""))</f>
      </c>
      <c r="B86">
        <f t="shared" si="21"/>
      </c>
      <c r="C86" t="str">
        <f>IF(往来单位!$B$32="","",TRIM(往来单位!$D$32&amp;""))</f>
        <v>共安</v>
      </c>
      <c r="D86" t="str">
        <f>往来单位!$B$32&amp;""</f>
        <v>共安门业</v>
      </c>
      <c r="L86">
        <f>IFERROR(INDEX(往来单位!$B$4:$B$303,MATCH(86,$N$1:$N$300,0))&amp;"","")</f>
      </c>
      <c r="N86" s="2">
        <f>N50+SUM(CA51:CA86)</f>
        <v>7</v>
      </c>
      <c r="P86">
        <f>IF(A86="",0,LEN(A86)*10000+9914)</f>
        <v>0</v>
      </c>
      <c r="Q86">
        <f>IF(LARGE($P$1:$P$240,86)=0,0,MATCH(LARGE($P$1:$P$240,86),$P$1:$P$240,0))</f>
        <v>0</v>
      </c>
      <c r="R86">
        <f t="shared" si="60"/>
      </c>
      <c r="S86">
        <f t="shared" si="61"/>
      </c>
      <c r="T86">
        <f>IF(C86="",0,LEN(C86)*10000+9914)</f>
        <v>29914</v>
      </c>
      <c r="U86">
        <f>IF(LARGE($T$1:$T$900,86)=0,0,MATCH(LARGE($T$1:$T$900,86),$T$1:$T$900,0))</f>
        <v>41</v>
      </c>
      <c r="V86" t="str">
        <f t="shared" si="62"/>
        <v>盈厚</v>
      </c>
      <c r="W86" t="str">
        <f t="shared" si="63"/>
        <v>南昌盈厚建材</v>
      </c>
      <c r="AB86" t="str">
        <f>IF(OR(基础资料!$AB$90="全",基础资料!$AB$90="收"),基础资料!$AA$90&amp;"","")</f>
        <v>支架</v>
      </c>
      <c r="AC86" t="str">
        <f>IF(OR(基础资料!$AB$90="全",基础资料!$AB$90="支"),基础资料!$AA$90&amp;"","")</f>
        <v>支架</v>
      </c>
      <c r="CA86" s="2">
        <f>IF(往来单位!$C$89="甲方/总包",1,0)</f>
        <v>0</v>
      </c>
    </row>
    <row r="87">
      <c r="A87">
        <f>IF(项目档案!$B$25="","",TRIM(项目档案!$P$25&amp;""))</f>
      </c>
      <c r="B87">
        <f t="shared" si="21"/>
      </c>
      <c r="C87">
        <f>IF(往来单位!$B$32="","",TRIM(往来单位!$E$32&amp;""))</f>
      </c>
      <c r="D87" t="str">
        <f>往来单位!$B$32&amp;""</f>
        <v>共安门业</v>
      </c>
      <c r="L87">
        <f>IFERROR(INDEX(往来单位!$B$4:$B$303,MATCH(87,$N$1:$N$300,0))&amp;"","")</f>
      </c>
      <c r="N87" s="2">
        <f>N50+SUM(CA51:CA87)</f>
        <v>7</v>
      </c>
      <c r="P87">
        <f>IF(A87="",0,LEN(A87)*10000+9913)</f>
        <v>0</v>
      </c>
      <c r="Q87">
        <f>IF(LARGE($P$1:$P$240,87)=0,0,MATCH(LARGE($P$1:$P$240,87),$P$1:$P$240,0))</f>
        <v>0</v>
      </c>
      <c r="R87">
        <f t="shared" si="60"/>
      </c>
      <c r="S87">
        <f t="shared" si="61"/>
      </c>
      <c r="T87">
        <f>IF(C87="",0,LEN(C87)*10000+9913)</f>
        <v>0</v>
      </c>
      <c r="U87">
        <f>IF(LARGE($T$1:$T$900,87)=0,0,MATCH(LARGE($T$1:$T$900,87),$T$1:$T$900,0))</f>
        <v>44</v>
      </c>
      <c r="V87" t="str">
        <f t="shared" si="62"/>
        <v>浙缆</v>
      </c>
      <c r="W87" t="str">
        <f t="shared" si="63"/>
        <v>浙缆元通电缆</v>
      </c>
      <c r="AB87" t="str">
        <f>IF(OR(基础资料!$AB$91="全",基础资料!$AB$91="收"),基础资料!$AA$91&amp;"","")</f>
        <v>消防器材</v>
      </c>
      <c r="AC87" t="str">
        <f>IF(OR(基础资料!$AB$91="全",基础资料!$AB$91="支"),基础资料!$AA$91&amp;"","")</f>
        <v>消防器材</v>
      </c>
      <c r="CA87" s="2">
        <f>IF(往来单位!$C$90="甲方/总包",1,0)</f>
        <v>0</v>
      </c>
    </row>
    <row r="88">
      <c r="A88">
        <f>IF(项目档案!$B$25="","",TRIM(项目档案!$Q$25&amp;""))</f>
      </c>
      <c r="B88">
        <f t="shared" si="21"/>
      </c>
      <c r="C88" t="str">
        <f>IF(往来单位!$B$33="","",TRIM(往来单位!$B$33&amp;""))</f>
        <v>图揽成善</v>
      </c>
      <c r="D88" t="str">
        <f>往来单位!$B$33&amp;""</f>
        <v>图揽成善</v>
      </c>
      <c r="L88">
        <f>IFERROR(INDEX(往来单位!$B$4:$B$303,MATCH(88,$N$1:$N$300,0))&amp;"","")</f>
      </c>
      <c r="N88" s="2">
        <f>N50+SUM(CA51:CA88)</f>
        <v>7</v>
      </c>
      <c r="P88">
        <f>IF(A88="",0,LEN(A88)*10000+9912)</f>
        <v>0</v>
      </c>
      <c r="Q88">
        <f>IF(LARGE($P$1:$P$240,88)=0,0,MATCH(LARGE($P$1:$P$240,88),$P$1:$P$240,0))</f>
        <v>0</v>
      </c>
      <c r="R88">
        <f t="shared" si="60"/>
      </c>
      <c r="S88">
        <f t="shared" si="61"/>
      </c>
      <c r="T88">
        <f>IF(C88="",0,LEN(C88)*10000+9912)</f>
        <v>49912</v>
      </c>
      <c r="U88">
        <f>IF(LARGE($T$1:$T$900,88)=0,0,MATCH(LARGE($T$1:$T$900,88),$T$1:$T$900,0))</f>
        <v>45</v>
      </c>
      <c r="V88" t="str">
        <f t="shared" si="62"/>
        <v>元通</v>
      </c>
      <c r="W88" t="str">
        <f t="shared" si="63"/>
        <v>浙缆元通电缆</v>
      </c>
      <c r="AB88" t="str">
        <f>IF(OR(基础资料!$AB$92="全",基础资料!$AB$92="收"),基础资料!$AA$92&amp;"","")</f>
        <v>管材</v>
      </c>
      <c r="AC88" t="str">
        <f>IF(OR(基础资料!$AB$92="全",基础资料!$AB$92="支"),基础资料!$AA$92&amp;"","")</f>
        <v>管材</v>
      </c>
      <c r="CA88" s="2">
        <f>IF(往来单位!$C$91="甲方/总包",1,0)</f>
        <v>0</v>
      </c>
    </row>
    <row r="89">
      <c r="A89">
        <f>IF(项目档案!$B$26="","",TRIM(项目档案!$B$26&amp;""))</f>
      </c>
      <c r="B89">
        <f t="shared" ref="B89:B92" si="22">项目档案!$B$26&amp;""</f>
      </c>
      <c r="C89" t="str">
        <f>IF(往来单位!$B$33="","",TRIM(往来单位!$D$33&amp;""))</f>
        <v>图揽</v>
      </c>
      <c r="D89" t="str">
        <f>往来单位!$B$33&amp;""</f>
        <v>图揽成善</v>
      </c>
      <c r="L89">
        <f>IFERROR(INDEX(往来单位!$B$4:$B$303,MATCH(89,$N$1:$N$300,0))&amp;"","")</f>
      </c>
      <c r="N89" s="2">
        <f>N50+SUM(CA51:CA89)</f>
        <v>7</v>
      </c>
      <c r="P89">
        <f>IF(A89="",0,LEN(A89)*10000+9911)</f>
        <v>0</v>
      </c>
      <c r="Q89">
        <f>IF(LARGE($P$1:$P$240,89)=0,0,MATCH(LARGE($P$1:$P$240,89),$P$1:$P$240,0))</f>
        <v>0</v>
      </c>
      <c r="R89">
        <f t="shared" si="60"/>
      </c>
      <c r="S89">
        <f t="shared" si="61"/>
      </c>
      <c r="T89">
        <f>IF(C89="",0,LEN(C89)*10000+9911)</f>
        <v>29911</v>
      </c>
      <c r="U89">
        <f>IF(LARGE($T$1:$T$900,89)=0,0,MATCH(LARGE($T$1:$T$900,89),$T$1:$T$900,0))</f>
        <v>47</v>
      </c>
      <c r="V89" t="str">
        <f t="shared" si="62"/>
        <v>允诺</v>
      </c>
      <c r="W89" t="str">
        <f t="shared" si="63"/>
        <v>江西允诺消防</v>
      </c>
      <c r="AB89" t="str">
        <f>IF(OR(基础资料!$AB$93="全",基础资料!$AB$93="收"),基础资料!$AA$93&amp;"","")</f>
        <v>临时工</v>
      </c>
      <c r="AC89" t="str">
        <f>IF(OR(基础资料!$AB$93="全",基础资料!$AB$93="支"),基础资料!$AA$93&amp;"","")</f>
        <v>临时工</v>
      </c>
      <c r="CA89" s="2">
        <f>IF(往来单位!$C$92="甲方/总包",1,0)</f>
        <v>0</v>
      </c>
    </row>
    <row r="90">
      <c r="A90">
        <f>IF(项目档案!$B$26="","",TRIM(项目档案!$O$26&amp;""))</f>
      </c>
      <c r="B90">
        <f t="shared" si="22"/>
      </c>
      <c r="C90">
        <f>IF(往来单位!$B$33="","",TRIM(往来单位!$E$33&amp;""))</f>
      </c>
      <c r="D90" t="str">
        <f>往来单位!$B$33&amp;""</f>
        <v>图揽成善</v>
      </c>
      <c r="L90">
        <f>IFERROR(INDEX(往来单位!$B$4:$B$303,MATCH(90,$N$1:$N$300,0))&amp;"","")</f>
      </c>
      <c r="N90" s="2">
        <f>N50+SUM(CA51:CA90)</f>
        <v>7</v>
      </c>
      <c r="P90">
        <f>IF(A90="",0,LEN(A90)*10000+9910)</f>
        <v>0</v>
      </c>
      <c r="Q90">
        <f>IF(LARGE($P$1:$P$240,90)=0,0,MATCH(LARGE($P$1:$P$240,90),$P$1:$P$240,0))</f>
        <v>0</v>
      </c>
      <c r="R90">
        <f t="shared" si="60"/>
      </c>
      <c r="S90">
        <f t="shared" si="61"/>
      </c>
      <c r="T90">
        <f>IF(C90="",0,LEN(C90)*10000+9910)</f>
        <v>0</v>
      </c>
      <c r="U90">
        <f>IF(LARGE($T$1:$T$900,90)=0,0,MATCH(LARGE($T$1:$T$900,90),$T$1:$T$900,0))</f>
        <v>50</v>
      </c>
      <c r="V90" t="str">
        <f t="shared" si="62"/>
        <v>沐丰</v>
      </c>
      <c r="W90" t="str">
        <f t="shared" si="63"/>
        <v>江西沐丰水箱</v>
      </c>
      <c r="AB90" t="str">
        <f>IF(OR(基础资料!$AB$94="全",基础资料!$AB$94="收"),基础资料!$AA$94&amp;"","")</f>
        <v>点工</v>
      </c>
      <c r="AC90" t="str">
        <f>IF(OR(基础资料!$AB$94="全",基础资料!$AB$94="支"),基础资料!$AA$94&amp;"","")</f>
        <v>点工</v>
      </c>
      <c r="CA90" s="2">
        <f>IF(往来单位!$C$93="甲方/总包",1,0)</f>
        <v>0</v>
      </c>
    </row>
    <row r="91">
      <c r="A91">
        <f>IF(项目档案!$B$26="","",TRIM(项目档案!$P$26&amp;""))</f>
      </c>
      <c r="B91">
        <f t="shared" si="22"/>
      </c>
      <c r="C91" t="str">
        <f>IF(往来单位!$B$34="","",TRIM(往来单位!$B$34&amp;""))</f>
        <v>祝冬冬</v>
      </c>
      <c r="D91" t="str">
        <f>往来单位!$B$34&amp;""</f>
        <v>祝冬冬</v>
      </c>
      <c r="L91">
        <f>IFERROR(INDEX(往来单位!$B$4:$B$303,MATCH(91,$N$1:$N$300,0))&amp;"","")</f>
      </c>
      <c r="N91" s="2">
        <f>N50+SUM(CA51:CA91)</f>
        <v>7</v>
      </c>
      <c r="P91">
        <f>IF(A91="",0,LEN(A91)*10000+9909)</f>
        <v>0</v>
      </c>
      <c r="Q91">
        <f>IF(LARGE($P$1:$P$240,91)=0,0,MATCH(LARGE($P$1:$P$240,91),$P$1:$P$240,0))</f>
        <v>0</v>
      </c>
      <c r="R91">
        <f t="shared" si="60"/>
      </c>
      <c r="S91">
        <f t="shared" si="61"/>
      </c>
      <c r="T91">
        <f>IF(C91="",0,LEN(C91)*10000+9909)</f>
        <v>39909</v>
      </c>
      <c r="U91">
        <f>IF(LARGE($T$1:$T$900,91)=0,0,MATCH(LARGE($T$1:$T$900,91),$T$1:$T$900,0))</f>
        <v>54</v>
      </c>
      <c r="V91" t="str">
        <f t="shared" si="62"/>
        <v>诚果</v>
      </c>
      <c r="W91" t="str">
        <f t="shared" si="63"/>
        <v>上海诚果泵阀</v>
      </c>
      <c r="AB91" t="str">
        <f>IF(OR(基础资料!$AB$95="全",基础资料!$AB$95="收"),基础资料!$AA$95&amp;"","")</f>
        <v>工资</v>
      </c>
      <c r="AC91" t="str">
        <f>IF(OR(基础资料!$AB$95="全",基础资料!$AB$95="支"),基础资料!$AA$95&amp;"","")</f>
        <v>工资</v>
      </c>
      <c r="CA91" s="2">
        <f>IF(往来单位!$C$94="甲方/总包",1,0)</f>
        <v>0</v>
      </c>
    </row>
    <row r="92">
      <c r="A92">
        <f>IF(项目档案!$B$26="","",TRIM(项目档案!$Q$26&amp;""))</f>
      </c>
      <c r="B92">
        <f t="shared" si="22"/>
      </c>
      <c r="C92">
        <f>IF(往来单位!$B$34="","",TRIM(往来单位!$D$34&amp;""))</f>
      </c>
      <c r="D92" t="str">
        <f>往来单位!$B$34&amp;""</f>
        <v>祝冬冬</v>
      </c>
      <c r="L92">
        <f>IFERROR(INDEX(往来单位!$B$4:$B$303,MATCH(92,$N$1:$N$300,0))&amp;"","")</f>
      </c>
      <c r="N92" s="2">
        <f>N50+SUM(CA51:CA92)</f>
        <v>7</v>
      </c>
      <c r="P92">
        <f>IF(A92="",0,LEN(A92)*10000+9908)</f>
        <v>0</v>
      </c>
      <c r="Q92">
        <f>IF(LARGE($P$1:$P$240,92)=0,0,MATCH(LARGE($P$1:$P$240,92),$P$1:$P$240,0))</f>
        <v>0</v>
      </c>
      <c r="R92">
        <f t="shared" si="60"/>
      </c>
      <c r="S92">
        <f t="shared" si="61"/>
      </c>
      <c r="T92">
        <f>IF(C92="",0,LEN(C92)*10000+9908)</f>
        <v>0</v>
      </c>
      <c r="U92">
        <f>IF(LARGE($T$1:$T$900,92)=0,0,MATCH(LARGE($T$1:$T$900,92),$T$1:$T$900,0))</f>
        <v>56</v>
      </c>
      <c r="V92" t="str">
        <f t="shared" si="62"/>
        <v>佩力</v>
      </c>
      <c r="W92" t="str">
        <f t="shared" si="63"/>
        <v>佩力通风</v>
      </c>
      <c r="AB92" t="str">
        <f>IF(OR(基础资料!$AB$96="全",基础资料!$AB$96="收"),基础资料!$AA$96&amp;"","")</f>
        <v>酒</v>
      </c>
      <c r="AC92" t="str">
        <f>IF(OR(基础资料!$AB$96="全",基础资料!$AB$96="支"),基础资料!$AA$96&amp;"","")</f>
        <v>酒</v>
      </c>
      <c r="CA92" s="2">
        <f>IF(往来单位!$C$95="甲方/总包",1,0)</f>
        <v>0</v>
      </c>
    </row>
    <row r="93">
      <c r="A93">
        <f>IF(项目档案!$B$27="","",TRIM(项目档案!$B$27&amp;""))</f>
      </c>
      <c r="B93">
        <f t="shared" ref="B93:B96" si="23">项目档案!$B$27&amp;""</f>
      </c>
      <c r="C93">
        <f>IF(往来单位!$B$34="","",TRIM(往来单位!$E$34&amp;""))</f>
      </c>
      <c r="D93" t="str">
        <f>往来单位!$B$34&amp;""</f>
        <v>祝冬冬</v>
      </c>
      <c r="L93">
        <f>IFERROR(INDEX(往来单位!$B$4:$B$303,MATCH(93,$N$1:$N$300,0))&amp;"","")</f>
      </c>
      <c r="N93" s="2">
        <f>N50+SUM(CA51:CA93)</f>
        <v>7</v>
      </c>
      <c r="P93">
        <f>IF(A93="",0,LEN(A93)*10000+9907)</f>
        <v>0</v>
      </c>
      <c r="Q93">
        <f>IF(LARGE($P$1:$P$240,93)=0,0,MATCH(LARGE($P$1:$P$240,93),$P$1:$P$240,0))</f>
        <v>0</v>
      </c>
      <c r="R93">
        <f t="shared" si="60"/>
      </c>
      <c r="S93">
        <f t="shared" si="61"/>
      </c>
      <c r="T93">
        <f>IF(C93="",0,LEN(C93)*10000+9907)</f>
        <v>0</v>
      </c>
      <c r="U93">
        <f>IF(LARGE($T$1:$T$900,93)=0,0,MATCH(LARGE($T$1:$T$900,93),$T$1:$T$900,0))</f>
        <v>59</v>
      </c>
      <c r="V93" t="str">
        <f t="shared" si="62"/>
        <v>寅盾</v>
      </c>
      <c r="W93" t="str">
        <f t="shared" si="63"/>
        <v>浙江寅盾智能</v>
      </c>
      <c r="AB93" t="str">
        <f>IF(OR(基础资料!$AB$97="全",基础资料!$AB$97="收"),基础资料!$AA$97&amp;"","")</f>
        <v>餐费</v>
      </c>
      <c r="AC93" t="str">
        <f>IF(OR(基础资料!$AB$97="全",基础资料!$AB$97="支"),基础资料!$AA$97&amp;"","")</f>
        <v>餐费</v>
      </c>
      <c r="CA93" s="2">
        <f>IF(往来单位!$C$96="甲方/总包",1,0)</f>
        <v>0</v>
      </c>
    </row>
    <row r="94">
      <c r="A94">
        <f>IF(项目档案!$B$27="","",TRIM(项目档案!$O$27&amp;""))</f>
      </c>
      <c r="B94">
        <f t="shared" si="23"/>
      </c>
      <c r="C94" t="str">
        <f>IF(往来单位!$B$35="","",TRIM(往来单位!$B$35&amp;""))</f>
        <v>张小朋（分包）</v>
      </c>
      <c r="D94" t="str">
        <f>往来单位!$B$35&amp;""</f>
        <v>张小朋（分包）</v>
      </c>
      <c r="L94">
        <f>IFERROR(INDEX(往来单位!$B$4:$B$303,MATCH(94,$N$1:$N$300,0))&amp;"","")</f>
      </c>
      <c r="N94" s="2">
        <f>N50+SUM(CA51:CA94)</f>
        <v>7</v>
      </c>
      <c r="P94">
        <f>IF(A94="",0,LEN(A94)*10000+9906)</f>
        <v>0</v>
      </c>
      <c r="Q94">
        <f>IF(LARGE($P$1:$P$240,94)=0,0,MATCH(LARGE($P$1:$P$240,94),$P$1:$P$240,0))</f>
        <v>0</v>
      </c>
      <c r="R94">
        <f t="shared" si="60"/>
      </c>
      <c r="S94">
        <f t="shared" si="61"/>
      </c>
      <c r="T94">
        <f>IF(C94="",0,LEN(C94)*10000+9906)</f>
        <v>79906</v>
      </c>
      <c r="U94">
        <f>IF(LARGE($T$1:$T$900,94)=0,0,MATCH(LARGE($T$1:$T$900,94),$T$1:$T$900,0))</f>
        <v>62</v>
      </c>
      <c r="V94" t="str">
        <f t="shared" si="62"/>
        <v>华翔</v>
      </c>
      <c r="W94" t="str">
        <f t="shared" si="63"/>
        <v>华翔桥架</v>
      </c>
      <c r="AB94" t="str">
        <f>IF(OR(基础资料!$AB$98="全",基础资料!$AB$98="收"),基础资料!$AA$98&amp;"","")</f>
        <v>工作餐</v>
      </c>
      <c r="AC94" t="str">
        <f>IF(OR(基础资料!$AB$98="全",基础资料!$AB$98="支"),基础资料!$AA$98&amp;"","")</f>
        <v>工作餐</v>
      </c>
      <c r="CA94" s="2">
        <f>IF(往来单位!$C$97="甲方/总包",1,0)</f>
        <v>0</v>
      </c>
    </row>
    <row r="95">
      <c r="A95">
        <f>IF(项目档案!$B$27="","",TRIM(项目档案!$P$27&amp;""))</f>
      </c>
      <c r="B95">
        <f t="shared" si="23"/>
      </c>
      <c r="C95" t="str">
        <f>IF(往来单位!$B$35="","",TRIM(往来单位!$D$35&amp;""))</f>
        <v>张小朋分包</v>
      </c>
      <c r="D95" t="str">
        <f>往来单位!$B$35&amp;""</f>
        <v>张小朋（分包）</v>
      </c>
      <c r="L95">
        <f>IFERROR(INDEX(往来单位!$B$4:$B$303,MATCH(95,$N$1:$N$300,0))&amp;"","")</f>
      </c>
      <c r="N95" s="2">
        <f>N50+SUM(CA51:CA95)</f>
        <v>7</v>
      </c>
      <c r="P95">
        <f>IF(A95="",0,LEN(A95)*10000+9905)</f>
        <v>0</v>
      </c>
      <c r="Q95">
        <f>IF(LARGE($P$1:$P$240,95)=0,0,MATCH(LARGE($P$1:$P$240,95),$P$1:$P$240,0))</f>
        <v>0</v>
      </c>
      <c r="R95">
        <f t="shared" si="60"/>
      </c>
      <c r="S95">
        <f t="shared" si="61"/>
      </c>
      <c r="T95">
        <f>IF(C95="",0,LEN(C95)*10000+9905)</f>
        <v>59905</v>
      </c>
      <c r="U95">
        <f>IF(LARGE($T$1:$T$900,95)=0,0,MATCH(LARGE($T$1:$T$900,95),$T$1:$T$900,0))</f>
        <v>64</v>
      </c>
      <c r="V95" t="str">
        <f t="shared" si="62"/>
        <v>拓齐</v>
      </c>
      <c r="W95" t="str">
        <f t="shared" si="63"/>
        <v>拓齐</v>
      </c>
      <c r="AB95" t="str">
        <f>IF(OR(基础资料!$AB$99="全",基础资料!$AB$99="收"),基础资料!$AA$99&amp;"","")</f>
        <v>聚餐</v>
      </c>
      <c r="AC95" t="str">
        <f>IF(OR(基础资料!$AB$99="全",基础资料!$AB$99="支"),基础资料!$AA$99&amp;"","")</f>
        <v>聚餐</v>
      </c>
      <c r="CA95" s="2">
        <f>IF(往来单位!$C$98="甲方/总包",1,0)</f>
        <v>0</v>
      </c>
    </row>
    <row r="96">
      <c r="A96">
        <f>IF(项目档案!$B$27="","",TRIM(项目档案!$Q$27&amp;""))</f>
      </c>
      <c r="B96">
        <f t="shared" si="23"/>
      </c>
      <c r="C96">
        <f>IF(往来单位!$B$35="","",TRIM(往来单位!$E$35&amp;""))</f>
      </c>
      <c r="D96" t="str">
        <f>往来单位!$B$35&amp;""</f>
        <v>张小朋（分包）</v>
      </c>
      <c r="L96">
        <f>IFERROR(INDEX(往来单位!$B$4:$B$303,MATCH(96,$N$1:$N$300,0))&amp;"","")</f>
      </c>
      <c r="N96" s="2">
        <f>N50+SUM(CA51:CA96)</f>
        <v>7</v>
      </c>
      <c r="P96">
        <f>IF(A96="",0,LEN(A96)*10000+9904)</f>
        <v>0</v>
      </c>
      <c r="Q96">
        <f>IF(LARGE($P$1:$P$240,96)=0,0,MATCH(LARGE($P$1:$P$240,96),$P$1:$P$240,0))</f>
        <v>0</v>
      </c>
      <c r="R96">
        <f t="shared" si="60"/>
      </c>
      <c r="S96">
        <f t="shared" si="61"/>
      </c>
      <c r="T96">
        <f>IF(C96="",0,LEN(C96)*10000+9904)</f>
        <v>0</v>
      </c>
      <c r="U96">
        <f>IF(LARGE($T$1:$T$900,96)=0,0,MATCH(LARGE($T$1:$T$900,96),$T$1:$T$900,0))</f>
        <v>68</v>
      </c>
      <c r="V96" t="str">
        <f t="shared" si="62"/>
        <v>久远</v>
      </c>
      <c r="W96" t="str">
        <f t="shared" si="63"/>
        <v>四川久远智能消防</v>
      </c>
      <c r="AB96" t="str">
        <f>IF(OR(基础资料!$AB$100="全",基础资料!$AB$100="收"),基础资料!$AA$100&amp;"","")</f>
        <v>海鲜</v>
      </c>
      <c r="AC96" t="str">
        <f>IF(OR(基础资料!$AB$100="全",基础资料!$AB$100="支"),基础资料!$AA$100&amp;"","")</f>
        <v>海鲜</v>
      </c>
      <c r="CA96" s="2">
        <f>IF(往来单位!$C$99="甲方/总包",1,0)</f>
        <v>0</v>
      </c>
    </row>
    <row r="97">
      <c r="A97">
        <f>IF(项目档案!$B$28="","",TRIM(项目档案!$B$28&amp;""))</f>
      </c>
      <c r="B97">
        <f t="shared" ref="B97:B100" si="24">项目档案!$B$28&amp;""</f>
      </c>
      <c r="C97" t="str">
        <f>IF(往来单位!$B$36="","",TRIM(往来单位!$B$36&amp;""))</f>
        <v>徐怀生</v>
      </c>
      <c r="D97" t="str">
        <f>往来单位!$B$36&amp;""</f>
        <v>徐怀生</v>
      </c>
      <c r="L97">
        <f>IFERROR(INDEX(往来单位!$B$4:$B$303,MATCH(97,$N$1:$N$300,0))&amp;"","")</f>
      </c>
      <c r="N97" s="2">
        <f>N50+SUM(CA51:CA97)</f>
        <v>7</v>
      </c>
      <c r="P97">
        <f>IF(A97="",0,LEN(A97)*10000+9903)</f>
        <v>0</v>
      </c>
      <c r="Q97">
        <f>IF(LARGE($P$1:$P$240,97)=0,0,MATCH(LARGE($P$1:$P$240,97),$P$1:$P$240,0))</f>
        <v>0</v>
      </c>
      <c r="R97">
        <f t="shared" si="60"/>
      </c>
      <c r="S97">
        <f t="shared" si="61"/>
      </c>
      <c r="T97">
        <f>IF(C97="",0,LEN(C97)*10000+9903)</f>
        <v>39903</v>
      </c>
      <c r="U97">
        <f>IF(LARGE($T$1:$T$900,97)=0,0,MATCH(LARGE($T$1:$T$900,97),$T$1:$T$900,0))</f>
        <v>71</v>
      </c>
      <c r="V97" t="str">
        <f t="shared" si="62"/>
        <v>恒讯</v>
      </c>
      <c r="W97" t="str">
        <f t="shared" si="63"/>
        <v>九江恒讯消防</v>
      </c>
      <c r="AB97" t="str">
        <f>IF(OR(基础资料!$AB$101="全",基础资料!$AB$101="收"),基础资料!$AA$101&amp;"","")</f>
        <v>水果</v>
      </c>
      <c r="AC97" t="str">
        <f>IF(OR(基础资料!$AB$101="全",基础资料!$AB$101="支"),基础资料!$AA$101&amp;"","")</f>
        <v>水果</v>
      </c>
      <c r="CA97" s="2">
        <f>IF(往来单位!$C$100="甲方/总包",1,0)</f>
        <v>0</v>
      </c>
    </row>
    <row r="98">
      <c r="A98">
        <f>IF(项目档案!$B$28="","",TRIM(项目档案!$O$28&amp;""))</f>
      </c>
      <c r="B98">
        <f t="shared" si="24"/>
      </c>
      <c r="C98">
        <f>IF(往来单位!$B$36="","",TRIM(往来单位!$D$36&amp;""))</f>
      </c>
      <c r="D98" t="str">
        <f>往来单位!$B$36&amp;""</f>
        <v>徐怀生</v>
      </c>
      <c r="L98">
        <f>IFERROR(INDEX(往来单位!$B$4:$B$303,MATCH(98,$N$1:$N$300,0))&amp;"","")</f>
      </c>
      <c r="N98" s="2">
        <f>N50+SUM(CA51:CA98)</f>
        <v>7</v>
      </c>
      <c r="P98">
        <f>IF(A98="",0,LEN(A98)*10000+9902)</f>
        <v>0</v>
      </c>
      <c r="Q98">
        <f>IF(LARGE($P$1:$P$240,98)=0,0,MATCH(LARGE($P$1:$P$240,98),$P$1:$P$240,0))</f>
        <v>0</v>
      </c>
      <c r="R98">
        <f t="shared" si="60"/>
      </c>
      <c r="S98">
        <f t="shared" si="61"/>
      </c>
      <c r="T98">
        <f>IF(C98="",0,LEN(C98)*10000+9902)</f>
        <v>0</v>
      </c>
      <c r="U98">
        <f>IF(LARGE($T$1:$T$900,98)=0,0,MATCH(LARGE($T$1:$T$900,98),$T$1:$T$900,0))</f>
        <v>74</v>
      </c>
      <c r="V98" t="str">
        <f t="shared" si="62"/>
        <v>老叶</v>
      </c>
      <c r="W98" t="str">
        <f t="shared" si="63"/>
        <v>恩旗老叶</v>
      </c>
      <c r="AB98" t="str">
        <f>IF(OR(基础资料!$AB$102="全",基础资料!$AB$102="收"),基础资料!$AA$102&amp;"","")</f>
        <v>茶叶</v>
      </c>
      <c r="AC98" t="str">
        <f>IF(OR(基础资料!$AB$102="全",基础资料!$AB$102="支"),基础资料!$AA$102&amp;"","")</f>
        <v>茶叶</v>
      </c>
      <c r="CA98" s="2">
        <f>IF(往来单位!$C$101="甲方/总包",1,0)</f>
        <v>0</v>
      </c>
    </row>
    <row r="99">
      <c r="A99">
        <f>IF(项目档案!$B$28="","",TRIM(项目档案!$P$28&amp;""))</f>
      </c>
      <c r="B99">
        <f t="shared" si="24"/>
      </c>
      <c r="C99">
        <f>IF(往来单位!$B$36="","",TRIM(往来单位!$E$36&amp;""))</f>
      </c>
      <c r="D99" t="str">
        <f>往来单位!$B$36&amp;""</f>
        <v>徐怀生</v>
      </c>
      <c r="L99">
        <f>IFERROR(INDEX(往来单位!$B$4:$B$303,MATCH(99,$N$1:$N$300,0))&amp;"","")</f>
      </c>
      <c r="N99" s="2">
        <f>N50+SUM(CA51:CA99)</f>
        <v>7</v>
      </c>
      <c r="P99">
        <f>IF(A99="",0,LEN(A99)*10000+9901)</f>
        <v>0</v>
      </c>
      <c r="Q99">
        <f>IF(LARGE($P$1:$P$240,99)=0,0,MATCH(LARGE($P$1:$P$240,99),$P$1:$P$240,0))</f>
        <v>0</v>
      </c>
      <c r="R99">
        <f t="shared" si="60"/>
      </c>
      <c r="S99">
        <f t="shared" si="61"/>
      </c>
      <c r="T99">
        <f>IF(C99="",0,LEN(C99)*10000+9901)</f>
        <v>0</v>
      </c>
      <c r="U99">
        <f>IF(LARGE($T$1:$T$900,99)=0,0,MATCH(LARGE($T$1:$T$900,99),$T$1:$T$900,0))</f>
        <v>76</v>
      </c>
      <c r="V99" t="str">
        <f t="shared" si="62"/>
        <v>吴群</v>
      </c>
      <c r="W99" t="str">
        <f t="shared" si="63"/>
        <v>吴群</v>
      </c>
      <c r="AB99" t="str">
        <f>IF(OR(基础资料!$AB$103="全",基础资料!$AB$103="收"),基础资料!$AA$103&amp;"","")</f>
        <v>住宿</v>
      </c>
      <c r="AC99" t="str">
        <f>IF(OR(基础资料!$AB$103="全",基础资料!$AB$103="支"),基础资料!$AA$103&amp;"","")</f>
        <v>住宿</v>
      </c>
      <c r="CA99" s="2">
        <f>IF(往来单位!$C$102="甲方/总包",1,0)</f>
        <v>0</v>
      </c>
    </row>
    <row r="100">
      <c r="A100">
        <f>IF(项目档案!$B$28="","",TRIM(项目档案!$Q$28&amp;""))</f>
      </c>
      <c r="B100">
        <f t="shared" si="24"/>
      </c>
      <c r="C100" t="str">
        <f>IF(往来单位!$B$37="","",TRIM(往来单位!$B$37&amp;""))</f>
        <v>龚文坚</v>
      </c>
      <c r="D100" t="str">
        <f>往来单位!$B$37&amp;""</f>
        <v>龚文坚</v>
      </c>
      <c r="L100">
        <f>IFERROR(INDEX(往来单位!$B$4:$B$303,MATCH(100,$N$1:$N$300,0))&amp;"","")</f>
      </c>
      <c r="N100" s="2">
        <f>N50+SUM(CA51:CA100)</f>
        <v>7</v>
      </c>
      <c r="P100">
        <f>IF(A100="",0,LEN(A100)*10000+9900)</f>
        <v>0</v>
      </c>
      <c r="Q100">
        <f>IF(LARGE($P$1:$P$240,100)=0,0,MATCH(LARGE($P$1:$P$240,100),$P$1:$P$240,0))</f>
        <v>0</v>
      </c>
      <c r="R100">
        <f t="shared" si="60"/>
      </c>
      <c r="S100">
        <f t="shared" si="61"/>
      </c>
      <c r="T100">
        <f>IF(C100="",0,LEN(C100)*10000+9900)</f>
        <v>39900</v>
      </c>
      <c r="U100">
        <f>IF(LARGE($T$1:$T$900,100)=0,0,MATCH(LARGE($T$1:$T$900,100),$T$1:$T$900,0))</f>
        <v>79</v>
      </c>
      <c r="V100" t="str">
        <f t="shared" si="62"/>
        <v>吴聪</v>
      </c>
      <c r="W100" t="str">
        <f t="shared" si="63"/>
        <v>吴聪</v>
      </c>
      <c r="AB100" t="str">
        <f>IF(OR(基础资料!$AB$104="全",基础资料!$AB$104="收"),基础资料!$AA$104&amp;"","")</f>
        <v>烟</v>
      </c>
      <c r="AC100" t="str">
        <f>IF(OR(基础资料!$AB$104="全",基础资料!$AB$104="支"),基础资料!$AA$104&amp;"","")</f>
        <v>烟</v>
      </c>
      <c r="CA100" s="2">
        <f>IF(往来单位!$C$103="甲方/总包",1,0)</f>
        <v>0</v>
      </c>
    </row>
    <row r="101">
      <c r="A101">
        <f>IF(项目档案!$B$29="","",TRIM(项目档案!$B$29&amp;""))</f>
      </c>
      <c r="B101">
        <f t="shared" ref="B101:B104" si="25">项目档案!$B$29&amp;""</f>
      </c>
      <c r="C101">
        <f>IF(往来单位!$B$37="","",TRIM(往来单位!$D$37&amp;""))</f>
      </c>
      <c r="D101" t="str">
        <f>往来单位!$B$37&amp;""</f>
        <v>龚文坚</v>
      </c>
      <c r="N101" s="2">
        <f>N100+SUM(CA101:CA101)</f>
        <v>7</v>
      </c>
      <c r="P101">
        <f>IF(A101="",0,LEN(A101)*10000+9899)</f>
        <v>0</v>
      </c>
      <c r="Q101">
        <f>IF(LARGE($P$1:$P$240,101)=0,0,MATCH(LARGE($P$1:$P$240,101),$P$1:$P$240,0))</f>
        <v>0</v>
      </c>
      <c r="R101">
        <f t="shared" si="60"/>
      </c>
      <c r="S101">
        <f t="shared" si="61"/>
      </c>
      <c r="T101">
        <f>IF(C101="",0,LEN(C101)*10000+9899)</f>
        <v>0</v>
      </c>
      <c r="U101">
        <f>IF(LARGE($T$1:$T$900,101)=0,0,MATCH(LARGE($T$1:$T$900,101),$T$1:$T$900,0))</f>
        <v>83</v>
      </c>
      <c r="V101" t="str">
        <f t="shared" si="62"/>
        <v>朱总</v>
      </c>
      <c r="W101" t="str">
        <f t="shared" si="63"/>
        <v>九江朱总</v>
      </c>
      <c r="AB101" t="str">
        <f>IF(OR(基础资料!$AB$105="全",基础资料!$AB$105="收"),基础资料!$AA$105&amp;"","")</f>
        <v>快餐</v>
      </c>
      <c r="AC101" t="str">
        <f>IF(OR(基础资料!$AB$105="全",基础资料!$AB$105="支"),基础资料!$AA$105&amp;"","")</f>
        <v>快餐</v>
      </c>
      <c r="CA101" s="2">
        <f>IF(往来单位!$C$104="甲方/总包",1,0)</f>
        <v>0</v>
      </c>
    </row>
    <row r="102">
      <c r="A102">
        <f>IF(项目档案!$B$29="","",TRIM(项目档案!$O$29&amp;""))</f>
      </c>
      <c r="B102">
        <f t="shared" si="25"/>
      </c>
      <c r="C102">
        <f>IF(往来单位!$B$37="","",TRIM(往来单位!$E$37&amp;""))</f>
      </c>
      <c r="D102" t="str">
        <f>往来单位!$B$37&amp;""</f>
        <v>龚文坚</v>
      </c>
      <c r="N102" s="2">
        <f>N100+SUM(CA101:CA102)</f>
        <v>7</v>
      </c>
      <c r="P102">
        <f>IF(A102="",0,LEN(A102)*10000+9898)</f>
        <v>0</v>
      </c>
      <c r="Q102">
        <f>IF(LARGE($P$1:$P$240,102)=0,0,MATCH(LARGE($P$1:$P$240,102),$P$1:$P$240,0))</f>
        <v>0</v>
      </c>
      <c r="R102">
        <f t="shared" si="60"/>
      </c>
      <c r="S102">
        <f t="shared" si="61"/>
      </c>
      <c r="T102">
        <f>IF(C102="",0,LEN(C102)*10000+9898)</f>
        <v>0</v>
      </c>
      <c r="U102">
        <f>IF(LARGE($T$1:$T$900,102)=0,0,MATCH(LARGE($T$1:$T$900,102),$T$1:$T$900,0))</f>
        <v>86</v>
      </c>
      <c r="V102" t="str">
        <f t="shared" si="62"/>
        <v>共安</v>
      </c>
      <c r="W102" t="str">
        <f t="shared" si="63"/>
        <v>共安门业</v>
      </c>
      <c r="AB102" t="str">
        <f>IF(OR(基础资料!$AB$106="全",基础资料!$AB$106="收"),基础资料!$AA$106&amp;"","")</f>
        <v>买菜</v>
      </c>
      <c r="AC102" t="str">
        <f>IF(OR(基础资料!$AB$106="全",基础资料!$AB$106="支"),基础资料!$AA$106&amp;"","")</f>
        <v>买菜</v>
      </c>
      <c r="CA102" s="2">
        <f>IF(往来单位!$C$105="甲方/总包",1,0)</f>
        <v>0</v>
      </c>
    </row>
    <row r="103">
      <c r="A103">
        <f>IF(项目档案!$B$29="","",TRIM(项目档案!$P$29&amp;""))</f>
      </c>
      <c r="B103">
        <f t="shared" si="25"/>
      </c>
      <c r="C103" t="str">
        <f>IF(往来单位!$B$38="","",TRIM(往来单位!$B$38&amp;""))</f>
        <v>程章赐（分包）</v>
      </c>
      <c r="D103" t="str">
        <f>往来单位!$B$38&amp;""</f>
        <v>程章赐（分包）</v>
      </c>
      <c r="N103" s="2">
        <f>N100+SUM(CA101:CA103)</f>
        <v>7</v>
      </c>
      <c r="P103">
        <f>IF(A103="",0,LEN(A103)*10000+9897)</f>
        <v>0</v>
      </c>
      <c r="Q103">
        <f>IF(LARGE($P$1:$P$240,103)=0,0,MATCH(LARGE($P$1:$P$240,103),$P$1:$P$240,0))</f>
        <v>0</v>
      </c>
      <c r="R103">
        <f t="shared" si="60"/>
      </c>
      <c r="S103">
        <f t="shared" si="61"/>
      </c>
      <c r="T103">
        <f>IF(C103="",0,LEN(C103)*10000+9897)</f>
        <v>79897</v>
      </c>
      <c r="U103">
        <f>IF(LARGE($T$1:$T$900,103)=0,0,MATCH(LARGE($T$1:$T$900,103),$T$1:$T$900,0))</f>
        <v>89</v>
      </c>
      <c r="V103" t="str">
        <f t="shared" si="62"/>
        <v>图揽</v>
      </c>
      <c r="W103" t="str">
        <f t="shared" si="63"/>
        <v>图揽成善</v>
      </c>
      <c r="AB103" t="str">
        <f>IF(OR(基础资料!$AB$107="全",基础资料!$AB$107="收"),基础资料!$AA$107&amp;"","")</f>
        <v>大米</v>
      </c>
      <c r="AC103" t="str">
        <f>IF(OR(基础资料!$AB$107="全",基础资料!$AB$107="支"),基础资料!$AA$107&amp;"","")</f>
        <v>大米</v>
      </c>
      <c r="CA103" s="2">
        <f>IF(往来单位!$C$106="甲方/总包",1,0)</f>
        <v>0</v>
      </c>
    </row>
    <row r="104">
      <c r="A104">
        <f>IF(项目档案!$B$29="","",TRIM(项目档案!$Q$29&amp;""))</f>
      </c>
      <c r="B104">
        <f t="shared" si="25"/>
      </c>
      <c r="C104" t="str">
        <f>IF(往来单位!$B$38="","",TRIM(往来单位!$D$38&amp;""))</f>
        <v>程章赐分包</v>
      </c>
      <c r="D104" t="str">
        <f>往来单位!$B$38&amp;""</f>
        <v>程章赐（分包）</v>
      </c>
      <c r="N104" s="2">
        <f>N100+SUM(CA101:CA104)</f>
        <v>7</v>
      </c>
      <c r="P104">
        <f>IF(A104="",0,LEN(A104)*10000+9896)</f>
        <v>0</v>
      </c>
      <c r="Q104">
        <f>IF(LARGE($P$1:$P$240,104)=0,0,MATCH(LARGE($P$1:$P$240,104),$P$1:$P$240,0))</f>
        <v>0</v>
      </c>
      <c r="R104">
        <f t="shared" si="60"/>
      </c>
      <c r="S104">
        <f t="shared" si="61"/>
      </c>
      <c r="T104">
        <f>IF(C104="",0,LEN(C104)*10000+9896)</f>
        <v>59896</v>
      </c>
      <c r="U104">
        <f>IF(LARGE($T$1:$T$900,104)=0,0,MATCH(LARGE($T$1:$T$900,104),$T$1:$T$900,0))</f>
        <v>106</v>
      </c>
      <c r="V104" t="str">
        <f t="shared" si="62"/>
        <v>杨工</v>
      </c>
      <c r="W104" t="str">
        <f t="shared" si="63"/>
        <v>杨工</v>
      </c>
      <c r="AB104" t="str">
        <f>IF(OR(基础资料!$AB$108="全",基础资料!$AB$108="收"),基础资料!$AA$108&amp;"","")</f>
        <v>煤气</v>
      </c>
      <c r="AC104" t="str">
        <f>IF(OR(基础资料!$AB$108="全",基础资料!$AB$108="支"),基础资料!$AA$108&amp;"","")</f>
        <v>煤气</v>
      </c>
      <c r="CA104" s="2">
        <f>IF(往来单位!$C$107="甲方/总包",1,0)</f>
        <v>0</v>
      </c>
    </row>
    <row r="105">
      <c r="A105">
        <f>IF(项目档案!$B$30="","",TRIM(项目档案!$B$30&amp;""))</f>
      </c>
      <c r="B105">
        <f t="shared" ref="B105:B108" si="26">项目档案!$B$30&amp;""</f>
      </c>
      <c r="C105">
        <f>IF(往来单位!$B$38="","",TRIM(往来单位!$E$38&amp;""))</f>
      </c>
      <c r="D105" t="str">
        <f>往来单位!$B$38&amp;""</f>
        <v>程章赐（分包）</v>
      </c>
      <c r="N105" s="2">
        <f>N100+SUM(CA101:CA105)</f>
        <v>7</v>
      </c>
      <c r="P105">
        <f>IF(A105="",0,LEN(A105)*10000+9895)</f>
        <v>0</v>
      </c>
      <c r="Q105">
        <f>IF(LARGE($P$1:$P$240,105)=0,0,MATCH(LARGE($P$1:$P$240,105),$P$1:$P$240,0))</f>
        <v>0</v>
      </c>
      <c r="R105">
        <f t="shared" si="60"/>
      </c>
      <c r="S105">
        <f t="shared" si="61"/>
      </c>
      <c r="T105">
        <f>IF(C105="",0,LEN(C105)*10000+9895)</f>
        <v>0</v>
      </c>
      <c r="U105">
        <f>IF(LARGE($T$1:$T$900,105)=0,0,MATCH(LARGE($T$1:$T$900,105),$T$1:$T$900,0))</f>
        <v>109</v>
      </c>
      <c r="V105" t="str">
        <f t="shared" si="62"/>
        <v>徐工</v>
      </c>
      <c r="W105" t="str">
        <f t="shared" si="63"/>
        <v>徐工</v>
      </c>
      <c r="AB105" t="str">
        <f>IF(OR(基础资料!$AB$109="全",基础资料!$AB$109="收"),基础资料!$AA$109&amp;"","")</f>
        <v>食堂</v>
      </c>
      <c r="AC105" t="str">
        <f>IF(OR(基础资料!$AB$109="全",基础资料!$AB$109="支"),基础资料!$AA$109&amp;"","")</f>
        <v>食堂</v>
      </c>
      <c r="CA105" s="2">
        <f>IF(往来单位!$C$108="甲方/总包",1,0)</f>
        <v>0</v>
      </c>
    </row>
    <row r="106">
      <c r="A106">
        <f>IF(项目档案!$B$30="","",TRIM(项目档案!$O$30&amp;""))</f>
      </c>
      <c r="B106">
        <f t="shared" si="26"/>
      </c>
      <c r="C106" t="str">
        <f>IF(往来单位!$B$39="","",TRIM(往来单位!$B$39&amp;""))</f>
        <v>杨工</v>
      </c>
      <c r="D106" t="str">
        <f>往来单位!$B$39&amp;""</f>
        <v>杨工</v>
      </c>
      <c r="N106" s="2">
        <f>N100+SUM(CA101:CA106)</f>
        <v>7</v>
      </c>
      <c r="P106">
        <f>IF(A106="",0,LEN(A106)*10000+9894)</f>
        <v>0</v>
      </c>
      <c r="Q106">
        <f>IF(LARGE($P$1:$P$240,106)=0,0,MATCH(LARGE($P$1:$P$240,106),$P$1:$P$240,0))</f>
        <v>0</v>
      </c>
      <c r="R106">
        <f t="shared" si="60"/>
      </c>
      <c r="S106">
        <f t="shared" si="61"/>
      </c>
      <c r="T106">
        <f>IF(C106="",0,LEN(C106)*10000+9894)</f>
        <v>29894</v>
      </c>
      <c r="U106">
        <f>IF(LARGE($T$1:$T$900,106)=0,0,MATCH(LARGE($T$1:$T$900,106),$T$1:$T$900,0))</f>
        <v>113</v>
      </c>
      <c r="V106" t="str">
        <f t="shared" si="62"/>
        <v>恒建</v>
      </c>
      <c r="W106" t="str">
        <f t="shared" si="63"/>
        <v>德安县恒建工程部</v>
      </c>
      <c r="AB106" t="str">
        <f>IF(OR(基础资料!$AB$110="全",基础资料!$AB$110="收"),基础资料!$AA$110&amp;"","")</f>
        <v>加油</v>
      </c>
      <c r="AC106" t="str">
        <f>IF(OR(基础资料!$AB$110="全",基础资料!$AB$110="支"),基础资料!$AA$110&amp;"","")</f>
        <v>加油</v>
      </c>
      <c r="CA106" s="2">
        <f>IF(往来单位!$C$109="甲方/总包",1,0)</f>
        <v>0</v>
      </c>
    </row>
    <row r="107">
      <c r="A107">
        <f>IF(项目档案!$B$30="","",TRIM(项目档案!$P$30&amp;""))</f>
      </c>
      <c r="B107">
        <f t="shared" si="26"/>
      </c>
      <c r="C107">
        <f>IF(往来单位!$B$39="","",TRIM(往来单位!$D$39&amp;""))</f>
      </c>
      <c r="D107" t="str">
        <f>往来单位!$B$39&amp;""</f>
        <v>杨工</v>
      </c>
      <c r="N107" s="2">
        <f>N100+SUM(CA101:CA107)</f>
        <v>7</v>
      </c>
      <c r="P107">
        <f>IF(A107="",0,LEN(A107)*10000+9893)</f>
        <v>0</v>
      </c>
      <c r="Q107">
        <f>IF(LARGE($P$1:$P$240,107)=0,0,MATCH(LARGE($P$1:$P$240,107),$P$1:$P$240,0))</f>
        <v>0</v>
      </c>
      <c r="R107">
        <f t="shared" si="60"/>
      </c>
      <c r="S107">
        <f t="shared" si="61"/>
      </c>
      <c r="T107">
        <f>IF(C107="",0,LEN(C107)*10000+9893)</f>
        <v>0</v>
      </c>
      <c r="U107">
        <f>IF(LARGE($T$1:$T$900,107)=0,0,MATCH(LARGE($T$1:$T$900,107),$T$1:$T$900,0))</f>
        <v>121</v>
      </c>
      <c r="V107" t="str">
        <f t="shared" si="62"/>
        <v>聂峰</v>
      </c>
      <c r="W107" t="str">
        <f t="shared" si="63"/>
        <v>聂峰</v>
      </c>
      <c r="AB107" t="str">
        <f>IF(OR(基础资料!$AB$111="全",基础资料!$AB$111="收"),基础资料!$AA$111&amp;"","")</f>
        <v>维修</v>
      </c>
      <c r="AC107" t="str">
        <f>IF(OR(基础资料!$AB$111="全",基础资料!$AB$111="支"),基础资料!$AA$111&amp;"","")</f>
        <v>维修</v>
      </c>
      <c r="CA107" s="2">
        <f>IF(往来单位!$C$110="甲方/总包",1,0)</f>
        <v>0</v>
      </c>
    </row>
    <row r="108">
      <c r="A108">
        <f>IF(项目档案!$B$30="","",TRIM(项目档案!$Q$30&amp;""))</f>
      </c>
      <c r="B108">
        <f t="shared" si="26"/>
      </c>
      <c r="C108">
        <f>IF(往来单位!$B$39="","",TRIM(往来单位!$E$39&amp;""))</f>
      </c>
      <c r="D108" t="str">
        <f>往来单位!$B$39&amp;""</f>
        <v>杨工</v>
      </c>
      <c r="N108" s="2">
        <f>N100+SUM(CA101:CA108)</f>
        <v>7</v>
      </c>
      <c r="P108">
        <f>IF(A108="",0,LEN(A108)*10000+9892)</f>
        <v>0</v>
      </c>
      <c r="Q108">
        <f>IF(LARGE($P$1:$P$240,108)=0,0,MATCH(LARGE($P$1:$P$240,108),$P$1:$P$240,0))</f>
        <v>0</v>
      </c>
      <c r="R108">
        <f t="shared" si="60"/>
      </c>
      <c r="S108">
        <f t="shared" si="61"/>
      </c>
      <c r="T108">
        <f>IF(C108="",0,LEN(C108)*10000+9892)</f>
        <v>0</v>
      </c>
      <c r="U108">
        <f>IF(LARGE($T$1:$T$900,108)=0,0,MATCH(LARGE($T$1:$T$900,108),$T$1:$T$900,0))</f>
        <v>130</v>
      </c>
      <c r="V108" t="str">
        <f t="shared" si="62"/>
        <v>刘海</v>
      </c>
      <c r="W108" t="str">
        <f t="shared" si="63"/>
        <v>刘海</v>
      </c>
      <c r="AB108" t="str">
        <f>IF(OR(基础资料!$AB$112="全",基础资料!$AB$112="收"),基础资料!$AA$112&amp;"","")</f>
        <v>皮卡</v>
      </c>
      <c r="AC108" t="str">
        <f>IF(OR(基础资料!$AB$112="全",基础资料!$AB$112="支"),基础资料!$AA$112&amp;"","")</f>
        <v>皮卡</v>
      </c>
      <c r="CA108" s="2">
        <f>IF(往来单位!$C$111="甲方/总包",1,0)</f>
        <v>0</v>
      </c>
    </row>
    <row r="109">
      <c r="A109">
        <f>IF(项目档案!$B$31="","",TRIM(项目档案!$B$31&amp;""))</f>
      </c>
      <c r="B109">
        <f t="shared" ref="B109:B112" si="27">项目档案!$B$31&amp;""</f>
      </c>
      <c r="C109" t="str">
        <f>IF(往来单位!$B$40="","",TRIM(往来单位!$B$40&amp;""))</f>
        <v>徐工</v>
      </c>
      <c r="D109" t="str">
        <f>往来单位!$B$40&amp;""</f>
        <v>徐工</v>
      </c>
      <c r="N109" s="2">
        <f>N100+SUM(CA101:CA109)</f>
        <v>7</v>
      </c>
      <c r="P109">
        <f>IF(A109="",0,LEN(A109)*10000+9891)</f>
        <v>0</v>
      </c>
      <c r="Q109">
        <f>IF(LARGE($P$1:$P$240,109)=0,0,MATCH(LARGE($P$1:$P$240,109),$P$1:$P$240,0))</f>
        <v>0</v>
      </c>
      <c r="R109">
        <f t="shared" si="60"/>
      </c>
      <c r="S109">
        <f t="shared" si="61"/>
      </c>
      <c r="T109">
        <f>IF(C109="",0,LEN(C109)*10000+9891)</f>
        <v>29891</v>
      </c>
      <c r="U109">
        <f>IF(LARGE($T$1:$T$900,109)=0,0,MATCH(LARGE($T$1:$T$900,109),$T$1:$T$900,0))</f>
        <v>178</v>
      </c>
      <c r="V109" t="str">
        <f t="shared" si="62"/>
        <v>成峰</v>
      </c>
      <c r="W109" t="str">
        <f t="shared" si="63"/>
        <v>成峰</v>
      </c>
      <c r="AB109" t="str">
        <f>IF(OR(基础资料!$AB$113="全",基础资料!$AB$113="收"),基础资料!$AA$113&amp;"","")</f>
        <v>汽车</v>
      </c>
      <c r="AC109" t="str">
        <f>IF(OR(基础资料!$AB$113="全",基础资料!$AB$113="支"),基础资料!$AA$113&amp;"","")</f>
        <v>汽车</v>
      </c>
      <c r="CA109" s="2">
        <f>IF(往来单位!$C$112="甲方/总包",1,0)</f>
        <v>0</v>
      </c>
    </row>
    <row r="110">
      <c r="A110">
        <f>IF(项目档案!$B$31="","",TRIM(项目档案!$O$31&amp;""))</f>
      </c>
      <c r="B110">
        <f t="shared" si="27"/>
      </c>
      <c r="C110">
        <f>IF(往来单位!$B$40="","",TRIM(往来单位!$D$40&amp;""))</f>
      </c>
      <c r="D110" t="str">
        <f>往来单位!$B$40&amp;""</f>
        <v>徐工</v>
      </c>
      <c r="N110" s="2">
        <f>N100+SUM(CA101:CA110)</f>
        <v>7</v>
      </c>
      <c r="P110">
        <f>IF(A110="",0,LEN(A110)*10000+9890)</f>
        <v>0</v>
      </c>
      <c r="Q110">
        <f>IF(LARGE($P$1:$P$240,110)=0,0,MATCH(LARGE($P$1:$P$240,110),$P$1:$P$240,0))</f>
        <v>0</v>
      </c>
      <c r="R110">
        <f t="shared" si="60"/>
      </c>
      <c r="S110">
        <f t="shared" si="61"/>
      </c>
      <c r="T110">
        <f>IF(C110="",0,LEN(C110)*10000+9890)</f>
        <v>0</v>
      </c>
      <c r="U110">
        <f>IF(LARGE($T$1:$T$900,110)=0,0,MATCH(LARGE($T$1:$T$900,110),$T$1:$T$900,0))</f>
        <v>202</v>
      </c>
      <c r="V110" t="str">
        <f t="shared" si="62"/>
        <v>张滨</v>
      </c>
      <c r="W110" t="str">
        <f t="shared" si="63"/>
        <v>张滨</v>
      </c>
      <c r="AB110" t="str">
        <f>IF(OR(基础资料!$AB$114="全",基础资料!$AB$114="收"),基础资料!$AA$114&amp;"","")</f>
        <v>油费</v>
      </c>
      <c r="AC110" t="str">
        <f>IF(OR(基础资料!$AB$114="全",基础资料!$AB$114="支"),基础资料!$AA$114&amp;"","")</f>
        <v>油费</v>
      </c>
      <c r="CA110" s="2">
        <f>IF(往来单位!$C$113="甲方/总包",1,0)</f>
        <v>0</v>
      </c>
    </row>
    <row r="111">
      <c r="A111">
        <f>IF(项目档案!$B$31="","",TRIM(项目档案!$P$31&amp;""))</f>
      </c>
      <c r="B111">
        <f t="shared" si="27"/>
      </c>
      <c r="C111">
        <f>IF(往来单位!$B$40="","",TRIM(往来单位!$E$40&amp;""))</f>
      </c>
      <c r="D111" t="str">
        <f>往来单位!$B$40&amp;""</f>
        <v>徐工</v>
      </c>
      <c r="N111" s="2">
        <f>N100+SUM(CA101:CA111)</f>
        <v>7</v>
      </c>
      <c r="P111">
        <f>IF(A111="",0,LEN(A111)*10000+9889)</f>
        <v>0</v>
      </c>
      <c r="Q111">
        <f>IF(LARGE($P$1:$P$240,111)=0,0,MATCH(LARGE($P$1:$P$240,111),$P$1:$P$240,0))</f>
        <v>0</v>
      </c>
      <c r="R111">
        <f t="shared" si="60"/>
      </c>
      <c r="S111">
        <f t="shared" si="61"/>
      </c>
      <c r="T111">
        <f>IF(C111="",0,LEN(C111)*10000+9889)</f>
        <v>0</v>
      </c>
      <c r="U111">
        <f>IF(LARGE($T$1:$T$900,111)=0,0,MATCH(LARGE($T$1:$T$900,111),$T$1:$T$900,0))</f>
        <v>208</v>
      </c>
      <c r="V111" t="str">
        <f t="shared" si="62"/>
        <v>聂辉</v>
      </c>
      <c r="W111" t="str">
        <f t="shared" si="63"/>
        <v>聂辉</v>
      </c>
      <c r="AB111" t="str">
        <f>IF(OR(基础资料!$AB$115="全",基础资料!$AB$115="收"),基础资料!$AA$115&amp;"","")</f>
        <v>停车</v>
      </c>
      <c r="AC111" t="str">
        <f>IF(OR(基础资料!$AB$115="全",基础资料!$AB$115="支"),基础资料!$AA$115&amp;"","")</f>
        <v>停车</v>
      </c>
      <c r="CA111" s="2">
        <f>IF(往来单位!$C$114="甲方/总包",1,0)</f>
        <v>0</v>
      </c>
    </row>
    <row r="112">
      <c r="A112">
        <f>IF(项目档案!$B$31="","",TRIM(项目档案!$Q$31&amp;""))</f>
      </c>
      <c r="B112">
        <f t="shared" si="27"/>
      </c>
      <c r="C112" t="str">
        <f>IF(往来单位!$B$41="","",TRIM(往来单位!$B$41&amp;""))</f>
        <v>德安县恒建工程部</v>
      </c>
      <c r="D112" t="str">
        <f>往来单位!$B$41&amp;""</f>
        <v>德安县恒建工程部</v>
      </c>
      <c r="N112" s="2">
        <f>N100+SUM(CA101:CA112)</f>
        <v>7</v>
      </c>
      <c r="P112">
        <f>IF(A112="",0,LEN(A112)*10000+9888)</f>
        <v>0</v>
      </c>
      <c r="Q112">
        <f>IF(LARGE($P$1:$P$240,112)=0,0,MATCH(LARGE($P$1:$P$240,112),$P$1:$P$240,0))</f>
        <v>0</v>
      </c>
      <c r="R112">
        <f t="shared" si="60"/>
      </c>
      <c r="S112">
        <f t="shared" si="61"/>
      </c>
      <c r="T112">
        <f>IF(C112="",0,LEN(C112)*10000+9888)</f>
        <v>89888</v>
      </c>
      <c r="U112">
        <f>IF(LARGE($T$1:$T$900,112)=0,0,MATCH(LARGE($T$1:$T$900,112),$T$1:$T$900,0))</f>
        <v>211</v>
      </c>
      <c r="V112" t="str">
        <f t="shared" si="62"/>
        <v>王伟</v>
      </c>
      <c r="W112" t="str">
        <f t="shared" si="63"/>
        <v>王伟</v>
      </c>
      <c r="AB112" t="str">
        <f>IF(OR(基础资料!$AB$116="全",基础资料!$AB$116="收"),基础资料!$AA$116&amp;"","")</f>
        <v>过路</v>
      </c>
      <c r="AC112" t="str">
        <f>IF(OR(基础资料!$AB$116="全",基础资料!$AB$116="支"),基础资料!$AA$116&amp;"","")</f>
        <v>过路</v>
      </c>
      <c r="CA112" s="2">
        <f>IF(往来单位!$C$115="甲方/总包",1,0)</f>
        <v>0</v>
      </c>
    </row>
    <row r="113">
      <c r="A113">
        <f>IF(项目档案!$B$32="","",TRIM(项目档案!$B$32&amp;""))</f>
      </c>
      <c r="B113">
        <f t="shared" ref="B113:B116" si="28">项目档案!$B$32&amp;""</f>
      </c>
      <c r="C113" t="str">
        <f>IF(往来单位!$B$41="","",TRIM(往来单位!$D$41&amp;""))</f>
        <v>恒建</v>
      </c>
      <c r="D113" t="str">
        <f>往来单位!$B$41&amp;""</f>
        <v>德安县恒建工程部</v>
      </c>
      <c r="N113" s="2">
        <f>N100+SUM(CA101:CA113)</f>
        <v>7</v>
      </c>
      <c r="P113">
        <f>IF(A113="",0,LEN(A113)*10000+9887)</f>
        <v>0</v>
      </c>
      <c r="Q113">
        <f>IF(LARGE($P$1:$P$240,113)=0,0,MATCH(LARGE($P$1:$P$240,113),$P$1:$P$240,0))</f>
        <v>0</v>
      </c>
      <c r="R113">
        <f t="shared" si="60"/>
      </c>
      <c r="S113">
        <f t="shared" si="61"/>
      </c>
      <c r="T113">
        <f>IF(C113="",0,LEN(C113)*10000+9887)</f>
        <v>29887</v>
      </c>
      <c r="U113">
        <f>IF(LARGE($T$1:$T$900,113)=0,0,MATCH(LARGE($T$1:$T$900,113),$T$1:$T$900,0))</f>
        <v>226</v>
      </c>
      <c r="V113" t="str">
        <f t="shared" si="62"/>
        <v>徐平</v>
      </c>
      <c r="W113" t="str">
        <f t="shared" si="63"/>
        <v>徐平</v>
      </c>
      <c r="AB113" t="str">
        <f>IF(OR(基础资料!$AB$117="全",基础资料!$AB$117="收"),基础资料!$AA$117&amp;"","")</f>
        <v>保险</v>
      </c>
      <c r="AC113" t="str">
        <f>IF(OR(基础资料!$AB$117="全",基础资料!$AB$117="支"),基础资料!$AA$117&amp;"","")</f>
        <v>保险</v>
      </c>
      <c r="CA113" s="2">
        <f>IF(往来单位!$C$116="甲方/总包",1,0)</f>
        <v>0</v>
      </c>
    </row>
    <row r="114">
      <c r="A114">
        <f>IF(项目档案!$B$32="","",TRIM(项目档案!$O$32&amp;""))</f>
      </c>
      <c r="B114">
        <f t="shared" si="28"/>
      </c>
      <c r="C114">
        <f>IF(往来单位!$B$41="","",TRIM(往来单位!$E$41&amp;""))</f>
      </c>
      <c r="D114" t="str">
        <f>往来单位!$B$41&amp;""</f>
        <v>德安县恒建工程部</v>
      </c>
      <c r="N114" s="2">
        <f>N100+SUM(CA101:CA114)</f>
        <v>7</v>
      </c>
      <c r="P114">
        <f>IF(A114="",0,LEN(A114)*10000+9886)</f>
        <v>0</v>
      </c>
      <c r="Q114">
        <f>IF(LARGE($P$1:$P$240,114)=0,0,MATCH(LARGE($P$1:$P$240,114),$P$1:$P$240,0))</f>
        <v>0</v>
      </c>
      <c r="R114">
        <f t="shared" si="60"/>
      </c>
      <c r="S114">
        <f t="shared" si="61"/>
      </c>
      <c r="T114">
        <f>IF(C114="",0,LEN(C114)*10000+9886)</f>
        <v>0</v>
      </c>
      <c r="U114">
        <f>IF(LARGE($T$1:$T$900,114)=0,0,MATCH(LARGE($T$1:$T$900,114),$T$1:$T$900,0))</f>
        <v>235</v>
      </c>
      <c r="V114" t="str">
        <f t="shared" si="62"/>
        <v>钟磊</v>
      </c>
      <c r="W114" t="str">
        <f t="shared" si="63"/>
        <v>钟磊</v>
      </c>
      <c r="AB114" t="str">
        <f>IF(OR(基础资料!$AB$118="全",基础资料!$AB$118="收"),基础资料!$AA$118&amp;"","")</f>
        <v>出差</v>
      </c>
      <c r="AC114" t="str">
        <f>IF(OR(基础资料!$AB$118="全",基础资料!$AB$118="支"),基础资料!$AA$118&amp;"","")</f>
        <v>出差</v>
      </c>
      <c r="CA114" s="2">
        <f>IF(往来单位!$C$117="甲方/总包",1,0)</f>
        <v>0</v>
      </c>
    </row>
    <row r="115">
      <c r="A115">
        <f>IF(项目档案!$B$32="","",TRIM(项目档案!$P$32&amp;""))</f>
      </c>
      <c r="B115">
        <f t="shared" si="28"/>
      </c>
      <c r="C115" t="str">
        <f>IF(往来单位!$B$42="","",TRIM(往来单位!$B$42&amp;""))</f>
        <v>航帆增辉</v>
      </c>
      <c r="D115" t="str">
        <f>往来单位!$B$42&amp;""</f>
        <v>航帆增辉</v>
      </c>
      <c r="N115" s="2">
        <f>N100+SUM(CA101:CA115)</f>
        <v>7</v>
      </c>
      <c r="P115">
        <f>IF(A115="",0,LEN(A115)*10000+9885)</f>
        <v>0</v>
      </c>
      <c r="Q115">
        <f>IF(LARGE($P$1:$P$240,115)=0,0,MATCH(LARGE($P$1:$P$240,115),$P$1:$P$240,0))</f>
        <v>0</v>
      </c>
      <c r="R115">
        <f t="shared" si="60"/>
      </c>
      <c r="S115">
        <f t="shared" si="61"/>
      </c>
      <c r="T115">
        <f>IF(C115="",0,LEN(C115)*10000+9885)</f>
        <v>49885</v>
      </c>
      <c r="U115">
        <f>IF(LARGE($T$1:$T$900,115)=0,0,MATCH(LARGE($T$1:$T$900,115),$T$1:$T$900,0))</f>
        <v>0</v>
      </c>
      <c r="V115">
        <f t="shared" si="62"/>
      </c>
      <c r="W115">
        <f t="shared" si="63"/>
      </c>
      <c r="AB115" t="str">
        <f>IF(OR(基础资料!$AB$119="全",基础资料!$AB$119="收"),基础资料!$AA$119&amp;"","")</f>
        <v>快递</v>
      </c>
      <c r="AC115" t="str">
        <f>IF(OR(基础资料!$AB$119="全",基础资料!$AB$119="支"),基础资料!$AA$119&amp;"","")</f>
        <v>快递</v>
      </c>
      <c r="CA115" s="2">
        <f>IF(往来单位!$C$118="甲方/总包",1,0)</f>
        <v>0</v>
      </c>
    </row>
    <row r="116">
      <c r="A116">
        <f>IF(项目档案!$B$32="","",TRIM(项目档案!$Q$32&amp;""))</f>
      </c>
      <c r="B116">
        <f t="shared" si="28"/>
      </c>
      <c r="C116">
        <f>IF(往来单位!$B$42="","",TRIM(往来单位!$D$42&amp;""))</f>
      </c>
      <c r="D116" t="str">
        <f>往来单位!$B$42&amp;""</f>
        <v>航帆增辉</v>
      </c>
      <c r="N116" s="2">
        <f>N100+SUM(CA101:CA116)</f>
        <v>7</v>
      </c>
      <c r="P116">
        <f>IF(A116="",0,LEN(A116)*10000+9884)</f>
        <v>0</v>
      </c>
      <c r="Q116">
        <f>IF(LARGE($P$1:$P$240,116)=0,0,MATCH(LARGE($P$1:$P$240,116),$P$1:$P$240,0))</f>
        <v>0</v>
      </c>
      <c r="R116">
        <f t="shared" si="60"/>
      </c>
      <c r="S116">
        <f t="shared" si="61"/>
      </c>
      <c r="T116">
        <f>IF(C116="",0,LEN(C116)*10000+9884)</f>
        <v>0</v>
      </c>
      <c r="U116">
        <f>IF(LARGE($T$1:$T$900,116)=0,0,MATCH(LARGE($T$1:$T$900,116),$T$1:$T$900,0))</f>
        <v>0</v>
      </c>
      <c r="V116">
        <f t="shared" si="62"/>
      </c>
      <c r="W116">
        <f t="shared" si="63"/>
      </c>
      <c r="AB116" t="str">
        <f>IF(OR(基础资料!$AB$120="全",基础资料!$AB$120="收"),基础资料!$AA$120&amp;"","")</f>
        <v>日用品</v>
      </c>
      <c r="AC116" t="str">
        <f>IF(OR(基础资料!$AB$120="全",基础资料!$AB$120="支"),基础资料!$AA$120&amp;"","")</f>
        <v>日用品</v>
      </c>
      <c r="CA116" s="2">
        <f>IF(往来单位!$C$119="甲方/总包",1,0)</f>
        <v>0</v>
      </c>
    </row>
    <row r="117">
      <c r="A117">
        <f>IF(项目档案!$B$33="","",TRIM(项目档案!$B$33&amp;""))</f>
      </c>
      <c r="B117">
        <f t="shared" ref="B117:B120" si="29">项目档案!$B$33&amp;""</f>
      </c>
      <c r="C117">
        <f>IF(往来单位!$B$42="","",TRIM(往来单位!$E$42&amp;""))</f>
      </c>
      <c r="D117" t="str">
        <f>往来单位!$B$42&amp;""</f>
        <v>航帆增辉</v>
      </c>
      <c r="N117" s="2">
        <f>N100+SUM(CA101:CA117)</f>
        <v>7</v>
      </c>
      <c r="P117">
        <f>IF(A117="",0,LEN(A117)*10000+9883)</f>
        <v>0</v>
      </c>
      <c r="Q117">
        <f>IF(LARGE($P$1:$P$240,117)=0,0,MATCH(LARGE($P$1:$P$240,117),$P$1:$P$240,0))</f>
        <v>0</v>
      </c>
      <c r="R117">
        <f t="shared" si="60"/>
      </c>
      <c r="S117">
        <f t="shared" si="61"/>
      </c>
      <c r="T117">
        <f>IF(C117="",0,LEN(C117)*10000+9883)</f>
        <v>0</v>
      </c>
      <c r="U117">
        <f>IF(LARGE($T$1:$T$900,117)=0,0,MATCH(LARGE($T$1:$T$900,117),$T$1:$T$900,0))</f>
        <v>0</v>
      </c>
      <c r="V117">
        <f t="shared" si="62"/>
      </c>
      <c r="W117">
        <f t="shared" si="63"/>
      </c>
      <c r="AB117" t="str">
        <f>IF(OR(基础资料!$AB$121="全",基础资料!$AB$121="收"),基础资料!$AA$121&amp;"","")</f>
        <v>抽纸</v>
      </c>
      <c r="AC117" t="str">
        <f>IF(OR(基础资料!$AB$121="全",基础资料!$AB$121="支"),基础资料!$AA$121&amp;"","")</f>
        <v>抽纸</v>
      </c>
      <c r="CA117" s="2">
        <f>IF(往来单位!$C$120="甲方/总包",1,0)</f>
        <v>0</v>
      </c>
    </row>
    <row r="118">
      <c r="A118">
        <f>IF(项目档案!$B$33="","",TRIM(项目档案!$O$33&amp;""))</f>
      </c>
      <c r="B118">
        <f t="shared" si="29"/>
      </c>
      <c r="C118" t="str">
        <f>IF(往来单位!$B$43="","",TRIM(往来单位!$B$43&amp;""))</f>
        <v>章德吉货运</v>
      </c>
      <c r="D118" t="str">
        <f>往来单位!$B$43&amp;""</f>
        <v>章德吉货运</v>
      </c>
      <c r="N118" s="2">
        <f>N100+SUM(CA101:CA118)</f>
        <v>7</v>
      </c>
      <c r="P118">
        <f>IF(A118="",0,LEN(A118)*10000+9882)</f>
        <v>0</v>
      </c>
      <c r="Q118">
        <f>IF(LARGE($P$1:$P$240,118)=0,0,MATCH(LARGE($P$1:$P$240,118),$P$1:$P$240,0))</f>
        <v>0</v>
      </c>
      <c r="R118">
        <f t="shared" si="60"/>
      </c>
      <c r="S118">
        <f t="shared" si="61"/>
      </c>
      <c r="T118">
        <f>IF(C118="",0,LEN(C118)*10000+9882)</f>
        <v>59882</v>
      </c>
      <c r="U118">
        <f>IF(LARGE($T$1:$T$900,118)=0,0,MATCH(LARGE($T$1:$T$900,118),$T$1:$T$900,0))</f>
        <v>0</v>
      </c>
      <c r="V118">
        <f t="shared" si="62"/>
      </c>
      <c r="W118">
        <f t="shared" si="63"/>
      </c>
      <c r="AB118" t="str">
        <f>IF(OR(基础资料!$AB$122="全",基础资料!$AB$122="收"),基础资料!$AA$122&amp;"","")</f>
        <v>洗洁精</v>
      </c>
      <c r="AC118" t="str">
        <f>IF(OR(基础资料!$AB$122="全",基础资料!$AB$122="支"),基础资料!$AA$122&amp;"","")</f>
        <v>洗洁精</v>
      </c>
      <c r="CA118" s="2">
        <f>IF(往来单位!$C$121="甲方/总包",1,0)</f>
        <v>0</v>
      </c>
    </row>
    <row r="119">
      <c r="A119">
        <f>IF(项目档案!$B$33="","",TRIM(项目档案!$P$33&amp;""))</f>
      </c>
      <c r="B119">
        <f t="shared" si="29"/>
      </c>
      <c r="C119" t="str">
        <f>IF(往来单位!$B$43="","",TRIM(往来单位!$D$43&amp;""))</f>
        <v>章德吉</v>
      </c>
      <c r="D119" t="str">
        <f>往来单位!$B$43&amp;""</f>
        <v>章德吉货运</v>
      </c>
      <c r="N119" s="2">
        <f>N100+SUM(CA101:CA119)</f>
        <v>7</v>
      </c>
      <c r="P119">
        <f>IF(A119="",0,LEN(A119)*10000+9881)</f>
        <v>0</v>
      </c>
      <c r="Q119">
        <f>IF(LARGE($P$1:$P$240,119)=0,0,MATCH(LARGE($P$1:$P$240,119),$P$1:$P$240,0))</f>
        <v>0</v>
      </c>
      <c r="R119">
        <f t="shared" si="60"/>
      </c>
      <c r="S119">
        <f t="shared" si="61"/>
      </c>
      <c r="T119">
        <f>IF(C119="",0,LEN(C119)*10000+9881)</f>
        <v>39881</v>
      </c>
      <c r="U119">
        <f>IF(LARGE($T$1:$T$900,119)=0,0,MATCH(LARGE($T$1:$T$900,119),$T$1:$T$900,0))</f>
        <v>0</v>
      </c>
      <c r="V119">
        <f t="shared" si="62"/>
      </c>
      <c r="W119">
        <f t="shared" si="63"/>
      </c>
      <c r="AB119" t="str">
        <f>IF(OR(基础资料!$AB$123="全",基础资料!$AB$123="收"),基础资料!$AA$123&amp;"","")</f>
        <v>门头</v>
      </c>
      <c r="AC119" t="str">
        <f>IF(OR(基础资料!$AB$123="全",基础资料!$AB$123="支"),基础资料!$AA$123&amp;"","")</f>
        <v>门头</v>
      </c>
      <c r="CA119" s="2">
        <f>IF(往来单位!$C$122="甲方/总包",1,0)</f>
        <v>0</v>
      </c>
    </row>
    <row r="120">
      <c r="A120">
        <f>IF(项目档案!$B$33="","",TRIM(项目档案!$Q$33&amp;""))</f>
      </c>
      <c r="B120">
        <f t="shared" si="29"/>
      </c>
      <c r="C120">
        <f>IF(往来单位!$B$43="","",TRIM(往来单位!$E$43&amp;""))</f>
      </c>
      <c r="D120" t="str">
        <f>往来单位!$B$43&amp;""</f>
        <v>章德吉货运</v>
      </c>
      <c r="N120" s="2">
        <f>N100+SUM(CA101:CA120)</f>
        <v>7</v>
      </c>
      <c r="P120">
        <f>IF(A120="",0,LEN(A120)*10000+9880)</f>
        <v>0</v>
      </c>
      <c r="Q120">
        <f>IF(LARGE($P$1:$P$240,120)=0,0,MATCH(LARGE($P$1:$P$240,120),$P$1:$P$240,0))</f>
        <v>0</v>
      </c>
      <c r="R120">
        <f t="shared" si="60"/>
      </c>
      <c r="S120">
        <f t="shared" si="61"/>
      </c>
      <c r="T120">
        <f>IF(C120="",0,LEN(C120)*10000+9880)</f>
        <v>0</v>
      </c>
      <c r="U120">
        <f>IF(LARGE($T$1:$T$900,120)=0,0,MATCH(LARGE($T$1:$T$900,120),$T$1:$T$900,0))</f>
        <v>0</v>
      </c>
      <c r="V120">
        <f t="shared" si="62"/>
      </c>
      <c r="W120">
        <f t="shared" si="63"/>
      </c>
      <c r="AB120" t="str">
        <f>IF(OR(基础资料!$AB$124="全",基础资料!$AB$124="收"),基础资料!$AA$124&amp;"","")</f>
        <v>代账</v>
      </c>
      <c r="AC120" t="str">
        <f>IF(OR(基础资料!$AB$124="全",基础资料!$AB$124="支"),基础资料!$AA$124&amp;"","")</f>
        <v>代账</v>
      </c>
      <c r="CA120" s="2">
        <f>IF(往来单位!$C$123="甲方/总包",1,0)</f>
        <v>0</v>
      </c>
    </row>
    <row r="121">
      <c r="A121">
        <f>IF(项目档案!$B$34="","",TRIM(项目档案!$B$34&amp;""))</f>
      </c>
      <c r="B121">
        <f t="shared" ref="B121:B124" si="30">项目档案!$B$34&amp;""</f>
      </c>
      <c r="C121" t="str">
        <f>IF(往来单位!$B$44="","",TRIM(往来单位!$B$44&amp;""))</f>
        <v>聂峰</v>
      </c>
      <c r="D121" t="str">
        <f>往来单位!$B$44&amp;""</f>
        <v>聂峰</v>
      </c>
      <c r="N121" s="2">
        <f>N100+SUM(CA101:CA121)</f>
        <v>7</v>
      </c>
      <c r="P121">
        <f>IF(A121="",0,LEN(A121)*10000+9879)</f>
        <v>0</v>
      </c>
      <c r="Q121">
        <f>IF(LARGE($P$1:$P$240,121)=0,0,MATCH(LARGE($P$1:$P$240,121),$P$1:$P$240,0))</f>
        <v>0</v>
      </c>
      <c r="R121">
        <f t="shared" si="60"/>
      </c>
      <c r="S121">
        <f t="shared" si="61"/>
      </c>
      <c r="T121">
        <f>IF(C121="",0,LEN(C121)*10000+9879)</f>
        <v>29879</v>
      </c>
      <c r="U121">
        <f>IF(LARGE($T$1:$T$900,121)=0,0,MATCH(LARGE($T$1:$T$900,121),$T$1:$T$900,0))</f>
        <v>0</v>
      </c>
      <c r="V121">
        <f t="shared" si="62"/>
      </c>
      <c r="W121">
        <f t="shared" si="63"/>
      </c>
      <c r="AB121" t="str">
        <f>IF(OR(基础资料!$AB$125="全",基础资料!$AB$125="收"),基础资料!$AA$125&amp;"","")</f>
        <v>注册费</v>
      </c>
      <c r="AC121" t="str">
        <f>IF(OR(基础资料!$AB$125="全",基础资料!$AB$125="支"),基础资料!$AA$125&amp;"","")</f>
        <v>注册费</v>
      </c>
      <c r="CA121" s="2">
        <f>IF(往来单位!$C$124="甲方/总包",1,0)</f>
        <v>0</v>
      </c>
    </row>
    <row r="122">
      <c r="A122">
        <f>IF(项目档案!$B$34="","",TRIM(项目档案!$O$34&amp;""))</f>
      </c>
      <c r="B122">
        <f t="shared" si="30"/>
      </c>
      <c r="C122">
        <f>IF(往来单位!$B$44="","",TRIM(往来单位!$D$44&amp;""))</f>
      </c>
      <c r="D122" t="str">
        <f>往来单位!$B$44&amp;""</f>
        <v>聂峰</v>
      </c>
      <c r="N122" s="2">
        <f>N100+SUM(CA101:CA122)</f>
        <v>7</v>
      </c>
      <c r="P122">
        <f>IF(A122="",0,LEN(A122)*10000+9878)</f>
        <v>0</v>
      </c>
      <c r="Q122">
        <f>IF(LARGE($P$1:$P$240,122)=0,0,MATCH(LARGE($P$1:$P$240,122),$P$1:$P$240,0))</f>
        <v>0</v>
      </c>
      <c r="R122">
        <f t="shared" si="60"/>
      </c>
      <c r="S122">
        <f t="shared" si="61"/>
      </c>
      <c r="T122">
        <f>IF(C122="",0,LEN(C122)*10000+9878)</f>
        <v>0</v>
      </c>
      <c r="U122">
        <f>IF(LARGE($T$1:$T$900,122)=0,0,MATCH(LARGE($T$1:$T$900,122),$T$1:$T$900,0))</f>
        <v>0</v>
      </c>
      <c r="V122">
        <f t="shared" si="62"/>
      </c>
      <c r="W122">
        <f t="shared" si="63"/>
      </c>
      <c r="AB122" t="str">
        <f>IF(OR(基础资料!$AB$126="全",基础资料!$AB$126="收"),基础资料!$AA$126&amp;"","")</f>
        <v>办公</v>
      </c>
      <c r="AC122" t="str">
        <f>IF(OR(基础资料!$AB$126="全",基础资料!$AB$126="支"),基础资料!$AA$126&amp;"","")</f>
        <v>办公</v>
      </c>
      <c r="CA122" s="2">
        <f>IF(往来单位!$C$125="甲方/总包",1,0)</f>
        <v>0</v>
      </c>
    </row>
    <row r="123">
      <c r="A123">
        <f>IF(项目档案!$B$34="","",TRIM(项目档案!$P$34&amp;""))</f>
      </c>
      <c r="B123">
        <f t="shared" si="30"/>
      </c>
      <c r="C123">
        <f>IF(往来单位!$B$44="","",TRIM(往来单位!$E$44&amp;""))</f>
      </c>
      <c r="D123" t="str">
        <f>往来单位!$B$44&amp;""</f>
        <v>聂峰</v>
      </c>
      <c r="N123" s="2">
        <f>N100+SUM(CA101:CA123)</f>
        <v>7</v>
      </c>
      <c r="P123">
        <f>IF(A123="",0,LEN(A123)*10000+9877)</f>
        <v>0</v>
      </c>
      <c r="Q123">
        <f>IF(LARGE($P$1:$P$240,123)=0,0,MATCH(LARGE($P$1:$P$240,123),$P$1:$P$240,0))</f>
        <v>0</v>
      </c>
      <c r="R123">
        <f t="shared" si="60"/>
      </c>
      <c r="S123">
        <f t="shared" si="61"/>
      </c>
      <c r="T123">
        <f>IF(C123="",0,LEN(C123)*10000+9877)</f>
        <v>0</v>
      </c>
      <c r="U123">
        <f>IF(LARGE($T$1:$T$900,123)=0,0,MATCH(LARGE($T$1:$T$900,123),$T$1:$T$900,0))</f>
        <v>0</v>
      </c>
      <c r="V123">
        <f t="shared" si="62"/>
      </c>
      <c r="W123">
        <f t="shared" si="63"/>
      </c>
      <c r="AB123" t="str">
        <f>IF(OR(基础资料!$AB$127="全",基础资料!$AB$127="收"),基础资料!$AA$127&amp;"","")</f>
        <v>服务费</v>
      </c>
      <c r="AC123" t="str">
        <f>IF(OR(基础资料!$AB$127="全",基础资料!$AB$127="支"),基础资料!$AA$127&amp;"","")</f>
        <v>服务费</v>
      </c>
      <c r="CA123" s="2">
        <f>IF(往来单位!$C$126="甲方/总包",1,0)</f>
        <v>0</v>
      </c>
    </row>
    <row r="124">
      <c r="A124">
        <f>IF(项目档案!$B$34="","",TRIM(项目档案!$Q$34&amp;""))</f>
      </c>
      <c r="B124">
        <f t="shared" si="30"/>
      </c>
      <c r="C124" t="str">
        <f>IF(往来单位!$B$45="","",TRIM(往来单位!$B$45&amp;""))</f>
        <v>袁斌财</v>
      </c>
      <c r="D124" t="str">
        <f>往来单位!$B$45&amp;""</f>
        <v>袁斌财</v>
      </c>
      <c r="N124" s="2">
        <f>N100+SUM(CA101:CA124)</f>
        <v>7</v>
      </c>
      <c r="P124">
        <f>IF(A124="",0,LEN(A124)*10000+9876)</f>
        <v>0</v>
      </c>
      <c r="Q124">
        <f>IF(LARGE($P$1:$P$240,124)=0,0,MATCH(LARGE($P$1:$P$240,124),$P$1:$P$240,0))</f>
        <v>0</v>
      </c>
      <c r="R124">
        <f t="shared" si="60"/>
      </c>
      <c r="S124">
        <f t="shared" si="61"/>
      </c>
      <c r="T124">
        <f>IF(C124="",0,LEN(C124)*10000+9876)</f>
        <v>39876</v>
      </c>
      <c r="U124">
        <f>IF(LARGE($T$1:$T$900,124)=0,0,MATCH(LARGE($T$1:$T$900,124),$T$1:$T$900,0))</f>
        <v>0</v>
      </c>
      <c r="V124">
        <f t="shared" si="62"/>
      </c>
      <c r="W124">
        <f t="shared" si="63"/>
      </c>
      <c r="AB124" t="str">
        <f>IF(OR(基础资料!$AB$128="全",基础资料!$AB$128="收"),基础资料!$AA$128&amp;"","")</f>
        <v>房租</v>
      </c>
      <c r="AC124" t="str">
        <f>IF(OR(基础资料!$AB$128="全",基础资料!$AB$128="支"),基础资料!$AA$128&amp;"","")</f>
        <v>房租</v>
      </c>
      <c r="CA124" s="2">
        <f>IF(往来单位!$C$127="甲方/总包",1,0)</f>
        <v>0</v>
      </c>
    </row>
    <row r="125">
      <c r="A125">
        <f>IF(项目档案!$B$35="","",TRIM(项目档案!$B$35&amp;""))</f>
      </c>
      <c r="B125">
        <f t="shared" ref="B125:B128" si="31">项目档案!$B$35&amp;""</f>
      </c>
      <c r="C125">
        <f>IF(往来单位!$B$45="","",TRIM(往来单位!$D$45&amp;""))</f>
      </c>
      <c r="D125" t="str">
        <f>往来单位!$B$45&amp;""</f>
        <v>袁斌财</v>
      </c>
      <c r="N125" s="2">
        <f>N100+SUM(CA101:CA125)</f>
        <v>7</v>
      </c>
      <c r="P125">
        <f>IF(A125="",0,LEN(A125)*10000+9875)</f>
        <v>0</v>
      </c>
      <c r="Q125">
        <f>IF(LARGE($P$1:$P$240,125)=0,0,MATCH(LARGE($P$1:$P$240,125),$P$1:$P$240,0))</f>
        <v>0</v>
      </c>
      <c r="R125">
        <f t="shared" si="60"/>
      </c>
      <c r="S125">
        <f t="shared" si="61"/>
      </c>
      <c r="T125">
        <f>IF(C125="",0,LEN(C125)*10000+9875)</f>
        <v>0</v>
      </c>
      <c r="U125">
        <f>IF(LARGE($T$1:$T$900,125)=0,0,MATCH(LARGE($T$1:$T$900,125),$T$1:$T$900,0))</f>
        <v>0</v>
      </c>
      <c r="V125">
        <f t="shared" si="62"/>
      </c>
      <c r="W125">
        <f t="shared" si="63"/>
      </c>
      <c r="AB125" t="str">
        <f>IF(OR(基础资料!$AB$129="全",基础资料!$AB$129="收"),基础资料!$AA$129&amp;"","")</f>
        <v>云链平台</v>
      </c>
      <c r="AC125" t="str">
        <f>IF(OR(基础资料!$AB$129="全",基础资料!$AB$129="支"),基础资料!$AA$129&amp;"","")</f>
        <v>云链平台</v>
      </c>
      <c r="CA125" s="2">
        <f>IF(往来单位!$C$128="甲方/总包",1,0)</f>
        <v>0</v>
      </c>
    </row>
    <row r="126">
      <c r="A126">
        <f>IF(项目档案!$B$35="","",TRIM(项目档案!$O$35&amp;""))</f>
      </c>
      <c r="B126">
        <f t="shared" si="31"/>
      </c>
      <c r="C126">
        <f>IF(往来单位!$B$45="","",TRIM(往来单位!$E$45&amp;""))</f>
      </c>
      <c r="D126" t="str">
        <f>往来单位!$B$45&amp;""</f>
        <v>袁斌财</v>
      </c>
      <c r="N126" s="2">
        <f>N100+SUM(CA101:CA126)</f>
        <v>7</v>
      </c>
      <c r="P126">
        <f>IF(A126="",0,LEN(A126)*10000+9874)</f>
        <v>0</v>
      </c>
      <c r="Q126">
        <f>IF(LARGE($P$1:$P$240,126)=0,0,MATCH(LARGE($P$1:$P$240,126),$P$1:$P$240,0))</f>
        <v>0</v>
      </c>
      <c r="R126">
        <f t="shared" si="60"/>
      </c>
      <c r="S126">
        <f t="shared" si="61"/>
      </c>
      <c r="T126">
        <f>IF(C126="",0,LEN(C126)*10000+9874)</f>
        <v>0</v>
      </c>
      <c r="U126">
        <f>IF(LARGE($T$1:$T$900,126)=0,0,MATCH(LARGE($T$1:$T$900,126),$T$1:$T$900,0))</f>
        <v>0</v>
      </c>
      <c r="V126">
        <f t="shared" si="62"/>
      </c>
      <c r="W126">
        <f t="shared" si="63"/>
      </c>
      <c r="AB126" t="str">
        <f>IF(OR(基础资料!$AB$130="全",基础资料!$AB$130="收"),基础资料!$AA$130&amp;"","")</f>
        <v>汇款退回</v>
      </c>
      <c r="AC126" t="str">
        <f>IF(OR(基础资料!$AB$130="全",基础资料!$AB$130="支"),基础资料!$AA$130&amp;"","")</f>
        <v>汇款退回</v>
      </c>
      <c r="CA126" s="2">
        <f>IF(往来单位!$C$129="甲方/总包",1,0)</f>
        <v>0</v>
      </c>
    </row>
    <row r="127">
      <c r="A127">
        <f>IF(项目档案!$B$35="","",TRIM(项目档案!$P$35&amp;""))</f>
      </c>
      <c r="B127">
        <f t="shared" si="31"/>
      </c>
      <c r="C127" t="str">
        <f>IF(往来单位!$B$46="","",TRIM(往来单位!$B$46&amp;""))</f>
        <v>胡家新</v>
      </c>
      <c r="D127" t="str">
        <f>往来单位!$B$46&amp;""</f>
        <v>胡家新</v>
      </c>
      <c r="N127" s="2">
        <f>N100+SUM(CA101:CA127)</f>
        <v>7</v>
      </c>
      <c r="P127">
        <f>IF(A127="",0,LEN(A127)*10000+9873)</f>
        <v>0</v>
      </c>
      <c r="Q127">
        <f>IF(LARGE($P$1:$P$240,127)=0,0,MATCH(LARGE($P$1:$P$240,127),$P$1:$P$240,0))</f>
        <v>0</v>
      </c>
      <c r="R127">
        <f t="shared" si="60"/>
      </c>
      <c r="S127">
        <f t="shared" si="61"/>
      </c>
      <c r="T127">
        <f>IF(C127="",0,LEN(C127)*10000+9873)</f>
        <v>39873</v>
      </c>
      <c r="U127">
        <f>IF(LARGE($T$1:$T$900,127)=0,0,MATCH(LARGE($T$1:$T$900,127),$T$1:$T$900,0))</f>
        <v>0</v>
      </c>
      <c r="V127">
        <f t="shared" si="62"/>
      </c>
      <c r="W127">
        <f t="shared" si="63"/>
      </c>
      <c r="AB127">
        <f>IF(OR(基础资料!$AB$131="全",基础资料!$AB$131="收"),基础资料!$AA$131&amp;"","")</f>
      </c>
      <c r="AC127">
        <f>IF(OR(基础资料!$AB$131="全",基础资料!$AB$131="支"),基础资料!$AA$131&amp;"","")</f>
      </c>
      <c r="CA127" s="2">
        <f>IF(往来单位!$C$130="甲方/总包",1,0)</f>
        <v>0</v>
      </c>
    </row>
    <row r="128">
      <c r="A128">
        <f>IF(项目档案!$B$35="","",TRIM(项目档案!$Q$35&amp;""))</f>
      </c>
      <c r="B128">
        <f t="shared" si="31"/>
      </c>
      <c r="C128">
        <f>IF(往来单位!$B$46="","",TRIM(往来单位!$D$46&amp;""))</f>
      </c>
      <c r="D128" t="str">
        <f>往来单位!$B$46&amp;""</f>
        <v>胡家新</v>
      </c>
      <c r="N128" s="2">
        <f>N100+SUM(CA101:CA128)</f>
        <v>7</v>
      </c>
      <c r="P128">
        <f>IF(A128="",0,LEN(A128)*10000+9872)</f>
        <v>0</v>
      </c>
      <c r="Q128">
        <f>IF(LARGE($P$1:$P$240,128)=0,0,MATCH(LARGE($P$1:$P$240,128),$P$1:$P$240,0))</f>
        <v>0</v>
      </c>
      <c r="R128">
        <f t="shared" si="60"/>
      </c>
      <c r="S128">
        <f t="shared" si="61"/>
      </c>
      <c r="T128">
        <f>IF(C128="",0,LEN(C128)*10000+9872)</f>
        <v>0</v>
      </c>
      <c r="U128">
        <f>IF(LARGE($T$1:$T$900,128)=0,0,MATCH(LARGE($T$1:$T$900,128),$T$1:$T$900,0))</f>
        <v>0</v>
      </c>
      <c r="V128">
        <f t="shared" si="62"/>
      </c>
      <c r="W128">
        <f t="shared" si="63"/>
      </c>
      <c r="AB128">
        <f>IF(OR(基础资料!$AB$132="全",基础资料!$AB$132="收"),基础资料!$AA$132&amp;"","")</f>
      </c>
      <c r="AC128">
        <f>IF(OR(基础资料!$AB$132="全",基础资料!$AB$132="支"),基础资料!$AA$132&amp;"","")</f>
      </c>
      <c r="CA128" s="2">
        <f>IF(往来单位!$C$131="甲方/总包",1,0)</f>
        <v>0</v>
      </c>
    </row>
    <row r="129">
      <c r="A129">
        <f>IF(项目档案!$B$36="","",TRIM(项目档案!$B$36&amp;""))</f>
      </c>
      <c r="B129">
        <f t="shared" ref="B129:B132" si="32">项目档案!$B$36&amp;""</f>
      </c>
      <c r="C129">
        <f>IF(往来单位!$B$46="","",TRIM(往来单位!$E$46&amp;""))</f>
      </c>
      <c r="D129" t="str">
        <f>往来单位!$B$46&amp;""</f>
        <v>胡家新</v>
      </c>
      <c r="N129" s="2">
        <f>N100+SUM(CA101:CA129)</f>
        <v>7</v>
      </c>
      <c r="P129">
        <f>IF(A129="",0,LEN(A129)*10000+9871)</f>
        <v>0</v>
      </c>
      <c r="Q129">
        <f>IF(LARGE($P$1:$P$240,129)=0,0,MATCH(LARGE($P$1:$P$240,129),$P$1:$P$240,0))</f>
        <v>0</v>
      </c>
      <c r="R129">
        <f t="shared" si="60"/>
      </c>
      <c r="S129">
        <f t="shared" si="61"/>
      </c>
      <c r="T129">
        <f>IF(C129="",0,LEN(C129)*10000+9871)</f>
        <v>0</v>
      </c>
      <c r="U129">
        <f>IF(LARGE($T$1:$T$900,129)=0,0,MATCH(LARGE($T$1:$T$900,129),$T$1:$T$900,0))</f>
        <v>0</v>
      </c>
      <c r="V129">
        <f t="shared" si="62"/>
      </c>
      <c r="W129">
        <f t="shared" si="63"/>
      </c>
      <c r="AB129">
        <f>IF(OR(基础资料!$AB$133="全",基础资料!$AB$133="收"),基础资料!$AA$133&amp;"","")</f>
      </c>
      <c r="AC129">
        <f>IF(OR(基础资料!$AB$133="全",基础资料!$AB$133="支"),基础资料!$AA$133&amp;"","")</f>
      </c>
      <c r="CA129" s="2">
        <f>IF(往来单位!$C$132="甲方/总包",1,0)</f>
        <v>0</v>
      </c>
    </row>
    <row r="130">
      <c r="A130">
        <f>IF(项目档案!$B$36="","",TRIM(项目档案!$O$36&amp;""))</f>
      </c>
      <c r="B130">
        <f t="shared" si="32"/>
      </c>
      <c r="C130" t="str">
        <f>IF(往来单位!$B$47="","",TRIM(往来单位!$B$47&amp;""))</f>
        <v>刘海</v>
      </c>
      <c r="D130" t="str">
        <f>往来单位!$B$47&amp;""</f>
        <v>刘海</v>
      </c>
      <c r="N130" s="2">
        <f>N100+SUM(CA101:CA130)</f>
        <v>7</v>
      </c>
      <c r="P130">
        <f>IF(A130="",0,LEN(A130)*10000+9870)</f>
        <v>0</v>
      </c>
      <c r="Q130">
        <f>IF(LARGE($P$1:$P$240,130)=0,0,MATCH(LARGE($P$1:$P$240,130),$P$1:$P$240,0))</f>
        <v>0</v>
      </c>
      <c r="R130">
        <f t="shared" si="60"/>
      </c>
      <c r="S130">
        <f t="shared" si="61"/>
      </c>
      <c r="T130">
        <f>IF(C130="",0,LEN(C130)*10000+9870)</f>
        <v>29870</v>
      </c>
      <c r="U130">
        <f>IF(LARGE($T$1:$T$900,130)=0,0,MATCH(LARGE($T$1:$T$900,130),$T$1:$T$900,0))</f>
        <v>0</v>
      </c>
      <c r="V130">
        <f t="shared" si="62"/>
      </c>
      <c r="W130">
        <f t="shared" si="63"/>
      </c>
      <c r="AB130">
        <f>IF(OR(基础资料!$AB$134="全",基础资料!$AB$134="收"),基础资料!$AA$134&amp;"","")</f>
      </c>
      <c r="AC130">
        <f>IF(OR(基础资料!$AB$134="全",基础资料!$AB$134="支"),基础资料!$AA$134&amp;"","")</f>
      </c>
      <c r="CA130" s="2">
        <f>IF(往来单位!$C$133="甲方/总包",1,0)</f>
        <v>0</v>
      </c>
    </row>
    <row r="131">
      <c r="A131">
        <f>IF(项目档案!$B$36="","",TRIM(项目档案!$P$36&amp;""))</f>
      </c>
      <c r="B131">
        <f t="shared" si="32"/>
      </c>
      <c r="C131">
        <f>IF(往来单位!$B$47="","",TRIM(往来单位!$D$47&amp;""))</f>
      </c>
      <c r="D131" t="str">
        <f>往来单位!$B$47&amp;""</f>
        <v>刘海</v>
      </c>
      <c r="N131" s="2">
        <f>N100+SUM(CA101:CA131)</f>
        <v>7</v>
      </c>
      <c r="P131">
        <f>IF(A131="",0,LEN(A131)*10000+9869)</f>
        <v>0</v>
      </c>
      <c r="Q131">
        <f>IF(LARGE($P$1:$P$240,131)=0,0,MATCH(LARGE($P$1:$P$240,131),$P$1:$P$240,0))</f>
        <v>0</v>
      </c>
      <c r="R131">
        <f t="shared" si="60"/>
      </c>
      <c r="S131">
        <f t="shared" si="61"/>
      </c>
      <c r="T131">
        <f>IF(C131="",0,LEN(C131)*10000+9869)</f>
        <v>0</v>
      </c>
      <c r="U131">
        <f>IF(LARGE($T$1:$T$900,131)=0,0,MATCH(LARGE($T$1:$T$900,131),$T$1:$T$900,0))</f>
        <v>0</v>
      </c>
      <c r="V131">
        <f t="shared" si="62"/>
      </c>
      <c r="W131">
        <f t="shared" si="63"/>
      </c>
      <c r="AB131">
        <f>IF(OR(基础资料!$AB$135="全",基础资料!$AB$135="收"),基础资料!$AA$135&amp;"","")</f>
      </c>
      <c r="AC131">
        <f>IF(OR(基础资料!$AB$135="全",基础资料!$AB$135="支"),基础资料!$AA$135&amp;"","")</f>
      </c>
      <c r="CA131" s="2">
        <f>IF(往来单位!$C$134="甲方/总包",1,0)</f>
        <v>0</v>
      </c>
    </row>
    <row r="132">
      <c r="A132">
        <f>IF(项目档案!$B$36="","",TRIM(项目档案!$Q$36&amp;""))</f>
      </c>
      <c r="B132">
        <f t="shared" si="32"/>
      </c>
      <c r="C132">
        <f>IF(往来单位!$B$47="","",TRIM(往来单位!$E$47&amp;""))</f>
      </c>
      <c r="D132" t="str">
        <f>往来单位!$B$47&amp;""</f>
        <v>刘海</v>
      </c>
      <c r="N132" s="2">
        <f>N100+SUM(CA101:CA132)</f>
        <v>7</v>
      </c>
      <c r="P132">
        <f>IF(A132="",0,LEN(A132)*10000+9868)</f>
        <v>0</v>
      </c>
      <c r="Q132">
        <f>IF(LARGE($P$1:$P$240,132)=0,0,MATCH(LARGE($P$1:$P$240,132),$P$1:$P$240,0))</f>
        <v>0</v>
      </c>
      <c r="R132">
        <f t="shared" si="60"/>
      </c>
      <c r="S132">
        <f t="shared" si="61"/>
      </c>
      <c r="T132">
        <f>IF(C132="",0,LEN(C132)*10000+9868)</f>
        <v>0</v>
      </c>
      <c r="U132">
        <f>IF(LARGE($T$1:$T$900,132)=0,0,MATCH(LARGE($T$1:$T$900,132),$T$1:$T$900,0))</f>
        <v>0</v>
      </c>
      <c r="V132">
        <f t="shared" si="62"/>
      </c>
      <c r="W132">
        <f t="shared" si="63"/>
      </c>
      <c r="AB132">
        <f>IF(OR(基础资料!$AB$136="全",基础资料!$AB$136="收"),基础资料!$AA$136&amp;"","")</f>
      </c>
      <c r="AC132">
        <f>IF(OR(基础资料!$AB$136="全",基础资料!$AB$136="支"),基础资料!$AA$136&amp;"","")</f>
      </c>
      <c r="CA132" s="2">
        <f>IF(往来单位!$C$135="甲方/总包",1,0)</f>
        <v>0</v>
      </c>
    </row>
    <row r="133">
      <c r="A133">
        <f>IF(项目档案!$B$37="","",TRIM(项目档案!$B$37&amp;""))</f>
      </c>
      <c r="B133">
        <f t="shared" ref="B133:B136" si="33">项目档案!$B$37&amp;""</f>
      </c>
      <c r="C133" t="str">
        <f>IF(往来单位!$B$48="","",TRIM(往来单位!$B$48&amp;""))</f>
        <v>程章赐</v>
      </c>
      <c r="D133" t="str">
        <f>往来单位!$B$48&amp;""</f>
        <v>程章赐</v>
      </c>
      <c r="N133" s="2">
        <f>N100+SUM(CA101:CA133)</f>
        <v>7</v>
      </c>
      <c r="P133">
        <f>IF(A133="",0,LEN(A133)*10000+9867)</f>
        <v>0</v>
      </c>
      <c r="Q133">
        <f>IF(LARGE($P$1:$P$240,133)=0,0,MATCH(LARGE($P$1:$P$240,133),$P$1:$P$240,0))</f>
        <v>0</v>
      </c>
      <c r="R133">
        <f t="shared" si="60"/>
      </c>
      <c r="S133">
        <f t="shared" si="61"/>
      </c>
      <c r="T133">
        <f>IF(C133="",0,LEN(C133)*10000+9867)</f>
        <v>39867</v>
      </c>
      <c r="U133">
        <f>IF(LARGE($T$1:$T$900,133)=0,0,MATCH(LARGE($T$1:$T$900,133),$T$1:$T$900,0))</f>
        <v>0</v>
      </c>
      <c r="V133">
        <f t="shared" si="62"/>
      </c>
      <c r="W133">
        <f t="shared" si="63"/>
      </c>
      <c r="AB133">
        <f>IF(OR(基础资料!$AB$137="全",基础资料!$AB$137="收"),基础资料!$AA$137&amp;"","")</f>
      </c>
      <c r="AC133">
        <f>IF(OR(基础资料!$AB$137="全",基础资料!$AB$137="支"),基础资料!$AA$137&amp;"","")</f>
      </c>
      <c r="CA133" s="2">
        <f>IF(往来单位!$C$136="甲方/总包",1,0)</f>
        <v>0</v>
      </c>
    </row>
    <row r="134">
      <c r="A134">
        <f>IF(项目档案!$B$37="","",TRIM(项目档案!$O$37&amp;""))</f>
      </c>
      <c r="B134">
        <f t="shared" si="33"/>
      </c>
      <c r="C134">
        <f>IF(往来单位!$B$48="","",TRIM(往来单位!$D$48&amp;""))</f>
      </c>
      <c r="D134" t="str">
        <f>往来单位!$B$48&amp;""</f>
        <v>程章赐</v>
      </c>
      <c r="N134" s="2">
        <f>N100+SUM(CA101:CA134)</f>
        <v>7</v>
      </c>
      <c r="P134">
        <f>IF(A134="",0,LEN(A134)*10000+9866)</f>
        <v>0</v>
      </c>
      <c r="Q134">
        <f>IF(LARGE($P$1:$P$240,134)=0,0,MATCH(LARGE($P$1:$P$240,134),$P$1:$P$240,0))</f>
        <v>0</v>
      </c>
      <c r="R134">
        <f t="shared" si="60"/>
      </c>
      <c r="S134">
        <f t="shared" si="61"/>
      </c>
      <c r="T134">
        <f>IF(C134="",0,LEN(C134)*10000+9866)</f>
        <v>0</v>
      </c>
      <c r="U134">
        <f>IF(LARGE($T$1:$T$900,134)=0,0,MATCH(LARGE($T$1:$T$900,134),$T$1:$T$900,0))</f>
        <v>0</v>
      </c>
      <c r="V134">
        <f t="shared" si="62"/>
      </c>
      <c r="W134">
        <f t="shared" si="63"/>
      </c>
      <c r="AB134">
        <f>IF(OR(基础资料!$AB$138="全",基础资料!$AB$138="收"),基础资料!$AA$138&amp;"","")</f>
      </c>
      <c r="AC134">
        <f>IF(OR(基础资料!$AB$138="全",基础资料!$AB$138="支"),基础资料!$AA$138&amp;"","")</f>
      </c>
      <c r="CA134" s="2">
        <f>IF(往来单位!$C$137="甲方/总包",1,0)</f>
        <v>0</v>
      </c>
    </row>
    <row r="135">
      <c r="A135">
        <f>IF(项目档案!$B$37="","",TRIM(项目档案!$P$37&amp;""))</f>
      </c>
      <c r="B135">
        <f t="shared" si="33"/>
      </c>
      <c r="C135">
        <f>IF(往来单位!$B$48="","",TRIM(往来单位!$E$48&amp;""))</f>
      </c>
      <c r="D135" t="str">
        <f>往来单位!$B$48&amp;""</f>
        <v>程章赐</v>
      </c>
      <c r="N135" s="2">
        <f>N100+SUM(CA101:CA135)</f>
        <v>7</v>
      </c>
      <c r="P135">
        <f>IF(A135="",0,LEN(A135)*10000+9865)</f>
        <v>0</v>
      </c>
      <c r="Q135">
        <f>IF(LARGE($P$1:$P$240,135)=0,0,MATCH(LARGE($P$1:$P$240,135),$P$1:$P$240,0))</f>
        <v>0</v>
      </c>
      <c r="R135">
        <f t="shared" si="60"/>
      </c>
      <c r="S135">
        <f t="shared" si="61"/>
      </c>
      <c r="T135">
        <f>IF(C135="",0,LEN(C135)*10000+9865)</f>
        <v>0</v>
      </c>
      <c r="U135">
        <f>IF(LARGE($T$1:$T$900,135)=0,0,MATCH(LARGE($T$1:$T$900,135),$T$1:$T$900,0))</f>
        <v>0</v>
      </c>
      <c r="V135">
        <f t="shared" si="62"/>
      </c>
      <c r="W135">
        <f t="shared" si="63"/>
      </c>
      <c r="AB135">
        <f>IF(OR(基础资料!$AB$139="全",基础资料!$AB$139="收"),基础资料!$AA$139&amp;"","")</f>
      </c>
      <c r="AC135">
        <f>IF(OR(基础资料!$AB$139="全",基础资料!$AB$139="支"),基础资料!$AA$139&amp;"","")</f>
      </c>
      <c r="CA135" s="2">
        <f>IF(往来单位!$C$138="甲方/总包",1,0)</f>
        <v>0</v>
      </c>
    </row>
    <row r="136">
      <c r="A136">
        <f>IF(项目档案!$B$37="","",TRIM(项目档案!$Q$37&amp;""))</f>
      </c>
      <c r="B136">
        <f t="shared" si="33"/>
      </c>
      <c r="C136" t="str">
        <f>IF(往来单位!$B$49="","",TRIM(往来单位!$B$49&amp;""))</f>
        <v>程章材</v>
      </c>
      <c r="D136" t="str">
        <f>往来单位!$B$49&amp;""</f>
        <v>程章材</v>
      </c>
      <c r="N136" s="2">
        <f>N100+SUM(CA101:CA136)</f>
        <v>7</v>
      </c>
      <c r="P136">
        <f>IF(A136="",0,LEN(A136)*10000+9864)</f>
        <v>0</v>
      </c>
      <c r="Q136">
        <f>IF(LARGE($P$1:$P$240,136)=0,0,MATCH(LARGE($P$1:$P$240,136),$P$1:$P$240,0))</f>
        <v>0</v>
      </c>
      <c r="R136">
        <f t="shared" si="60"/>
      </c>
      <c r="S136">
        <f t="shared" si="61"/>
      </c>
      <c r="T136">
        <f>IF(C136="",0,LEN(C136)*10000+9864)</f>
        <v>39864</v>
      </c>
      <c r="U136">
        <f>IF(LARGE($T$1:$T$900,136)=0,0,MATCH(LARGE($T$1:$T$900,136),$T$1:$T$900,0))</f>
        <v>0</v>
      </c>
      <c r="V136">
        <f t="shared" si="62"/>
      </c>
      <c r="W136">
        <f t="shared" si="63"/>
      </c>
      <c r="AB136">
        <f>IF(OR(基础资料!$AB$140="全",基础资料!$AB$140="收"),基础资料!$AA$140&amp;"","")</f>
      </c>
      <c r="AC136">
        <f>IF(OR(基础资料!$AB$140="全",基础资料!$AB$140="支"),基础资料!$AA$140&amp;"","")</f>
      </c>
      <c r="CA136" s="2">
        <f>IF(往来单位!$C$139="甲方/总包",1,0)</f>
        <v>0</v>
      </c>
    </row>
    <row r="137">
      <c r="A137">
        <f>IF(项目档案!$B$38="","",TRIM(项目档案!$B$38&amp;""))</f>
      </c>
      <c r="B137">
        <f t="shared" ref="B137:B140" si="34">项目档案!$B$38&amp;""</f>
      </c>
      <c r="C137">
        <f>IF(往来单位!$B$49="","",TRIM(往来单位!$D$49&amp;""))</f>
      </c>
      <c r="D137" t="str">
        <f>往来单位!$B$49&amp;""</f>
        <v>程章材</v>
      </c>
      <c r="N137" s="2">
        <f>N100+SUM(CA101:CA137)</f>
        <v>7</v>
      </c>
      <c r="P137">
        <f>IF(A137="",0,LEN(A137)*10000+9863)</f>
        <v>0</v>
      </c>
      <c r="Q137">
        <f>IF(LARGE($P$1:$P$240,137)=0,0,MATCH(LARGE($P$1:$P$240,137),$P$1:$P$240,0))</f>
        <v>0</v>
      </c>
      <c r="R137">
        <f t="shared" si="60"/>
      </c>
      <c r="S137">
        <f t="shared" si="61"/>
      </c>
      <c r="T137">
        <f>IF(C137="",0,LEN(C137)*10000+9863)</f>
        <v>0</v>
      </c>
      <c r="U137">
        <f>IF(LARGE($T$1:$T$900,137)=0,0,MATCH(LARGE($T$1:$T$900,137),$T$1:$T$900,0))</f>
        <v>0</v>
      </c>
      <c r="V137">
        <f t="shared" si="62"/>
      </c>
      <c r="W137">
        <f t="shared" si="63"/>
      </c>
      <c r="AB137">
        <f>IF(OR(基础资料!$AB$141="全",基础资料!$AB$141="收"),基础资料!$AA$141&amp;"","")</f>
      </c>
      <c r="AC137">
        <f>IF(OR(基础资料!$AB$141="全",基础资料!$AB$141="支"),基础资料!$AA$141&amp;"","")</f>
      </c>
      <c r="CA137" s="2">
        <f>IF(往来单位!$C$140="甲方/总包",1,0)</f>
        <v>0</v>
      </c>
    </row>
    <row r="138">
      <c r="A138">
        <f>IF(项目档案!$B$38="","",TRIM(项目档案!$O$38&amp;""))</f>
      </c>
      <c r="B138">
        <f t="shared" si="34"/>
      </c>
      <c r="C138">
        <f>IF(往来单位!$B$49="","",TRIM(往来单位!$E$49&amp;""))</f>
      </c>
      <c r="D138" t="str">
        <f>往来单位!$B$49&amp;""</f>
        <v>程章材</v>
      </c>
      <c r="N138" s="2">
        <f>N100+SUM(CA101:CA138)</f>
        <v>7</v>
      </c>
      <c r="P138">
        <f>IF(A138="",0,LEN(A138)*10000+9862)</f>
        <v>0</v>
      </c>
      <c r="Q138">
        <f>IF(LARGE($P$1:$P$240,138)=0,0,MATCH(LARGE($P$1:$P$240,138),$P$1:$P$240,0))</f>
        <v>0</v>
      </c>
      <c r="R138">
        <f t="shared" si="60"/>
      </c>
      <c r="S138">
        <f t="shared" si="61"/>
      </c>
      <c r="T138">
        <f>IF(C138="",0,LEN(C138)*10000+9862)</f>
        <v>0</v>
      </c>
      <c r="U138">
        <f>IF(LARGE($T$1:$T$900,138)=0,0,MATCH(LARGE($T$1:$T$900,138),$T$1:$T$900,0))</f>
        <v>0</v>
      </c>
      <c r="V138">
        <f t="shared" si="62"/>
      </c>
      <c r="W138">
        <f t="shared" si="63"/>
      </c>
      <c r="AB138">
        <f>IF(OR(基础资料!$AB$142="全",基础资料!$AB$142="收"),基础资料!$AA$142&amp;"","")</f>
      </c>
      <c r="AC138">
        <f>IF(OR(基础资料!$AB$142="全",基础资料!$AB$142="支"),基础资料!$AA$142&amp;"","")</f>
      </c>
      <c r="CA138" s="2">
        <f>IF(往来单位!$C$141="甲方/总包",1,0)</f>
        <v>0</v>
      </c>
    </row>
    <row r="139">
      <c r="A139">
        <f>IF(项目档案!$B$38="","",TRIM(项目档案!$P$38&amp;""))</f>
      </c>
      <c r="B139">
        <f t="shared" si="34"/>
      </c>
      <c r="C139" t="str">
        <f>IF(往来单位!$B$50="","",TRIM(往来单位!$B$50&amp;""))</f>
        <v>叶炳南</v>
      </c>
      <c r="D139" t="str">
        <f>往来单位!$B$50&amp;""</f>
        <v>叶炳南</v>
      </c>
      <c r="N139" s="2">
        <f>N100+SUM(CA101:CA139)</f>
        <v>7</v>
      </c>
      <c r="P139">
        <f>IF(A139="",0,LEN(A139)*10000+9861)</f>
        <v>0</v>
      </c>
      <c r="Q139">
        <f>IF(LARGE($P$1:$P$240,139)=0,0,MATCH(LARGE($P$1:$P$240,139),$P$1:$P$240,0))</f>
        <v>0</v>
      </c>
      <c r="R139">
        <f t="shared" si="60"/>
      </c>
      <c r="S139">
        <f t="shared" si="61"/>
      </c>
      <c r="T139">
        <f>IF(C139="",0,LEN(C139)*10000+9861)</f>
        <v>39861</v>
      </c>
      <c r="U139">
        <f>IF(LARGE($T$1:$T$900,139)=0,0,MATCH(LARGE($T$1:$T$900,139),$T$1:$T$900,0))</f>
        <v>0</v>
      </c>
      <c r="V139">
        <f t="shared" si="62"/>
      </c>
      <c r="W139">
        <f t="shared" si="63"/>
      </c>
      <c r="AB139">
        <f>IF(OR(基础资料!$AB$143="全",基础资料!$AB$143="收"),基础资料!$AA$143&amp;"","")</f>
      </c>
      <c r="AC139">
        <f>IF(OR(基础资料!$AB$143="全",基础资料!$AB$143="支"),基础资料!$AA$143&amp;"","")</f>
      </c>
      <c r="CA139" s="2">
        <f>IF(往来单位!$C$142="甲方/总包",1,0)</f>
        <v>0</v>
      </c>
    </row>
    <row r="140">
      <c r="A140">
        <f>IF(项目档案!$B$38="","",TRIM(项目档案!$Q$38&amp;""))</f>
      </c>
      <c r="B140">
        <f t="shared" si="34"/>
      </c>
      <c r="C140">
        <f>IF(往来单位!$B$50="","",TRIM(往来单位!$D$50&amp;""))</f>
      </c>
      <c r="D140" t="str">
        <f>往来单位!$B$50&amp;""</f>
        <v>叶炳南</v>
      </c>
      <c r="N140" s="2">
        <f>N100+SUM(CA101:CA140)</f>
        <v>7</v>
      </c>
      <c r="P140">
        <f>IF(A140="",0,LEN(A140)*10000+9860)</f>
        <v>0</v>
      </c>
      <c r="Q140">
        <f>IF(LARGE($P$1:$P$240,140)=0,0,MATCH(LARGE($P$1:$P$240,140),$P$1:$P$240,0))</f>
        <v>0</v>
      </c>
      <c r="R140">
        <f t="shared" si="60"/>
      </c>
      <c r="S140">
        <f t="shared" si="61"/>
      </c>
      <c r="T140">
        <f>IF(C140="",0,LEN(C140)*10000+9860)</f>
        <v>0</v>
      </c>
      <c r="U140">
        <f>IF(LARGE($T$1:$T$900,140)=0,0,MATCH(LARGE($T$1:$T$900,140),$T$1:$T$900,0))</f>
        <v>0</v>
      </c>
      <c r="V140">
        <f t="shared" si="62"/>
      </c>
      <c r="W140">
        <f t="shared" si="63"/>
      </c>
      <c r="AB140">
        <f>IF(OR(基础资料!$AB$144="全",基础资料!$AB$144="收"),基础资料!$AA$144&amp;"","")</f>
      </c>
      <c r="AC140">
        <f>IF(OR(基础资料!$AB$144="全",基础资料!$AB$144="支"),基础资料!$AA$144&amp;"","")</f>
      </c>
      <c r="CA140" s="2">
        <f>IF(往来单位!$C$143="甲方/总包",1,0)</f>
        <v>0</v>
      </c>
    </row>
    <row r="141">
      <c r="A141">
        <f>IF(项目档案!$B$39="","",TRIM(项目档案!$B$39&amp;""))</f>
      </c>
      <c r="B141">
        <f t="shared" ref="B141:B144" si="35">项目档案!$B$39&amp;""</f>
      </c>
      <c r="C141">
        <f>IF(往来单位!$B$50="","",TRIM(往来单位!$E$50&amp;""))</f>
      </c>
      <c r="D141" t="str">
        <f>往来单位!$B$50&amp;""</f>
        <v>叶炳南</v>
      </c>
      <c r="N141" s="2">
        <f>N100+SUM(CA101:CA141)</f>
        <v>7</v>
      </c>
      <c r="P141">
        <f>IF(A141="",0,LEN(A141)*10000+9859)</f>
        <v>0</v>
      </c>
      <c r="Q141">
        <f>IF(LARGE($P$1:$P$240,141)=0,0,MATCH(LARGE($P$1:$P$240,141),$P$1:$P$240,0))</f>
        <v>0</v>
      </c>
      <c r="R141">
        <f t="shared" si="60"/>
      </c>
      <c r="S141">
        <f t="shared" si="61"/>
      </c>
      <c r="T141">
        <f>IF(C141="",0,LEN(C141)*10000+9859)</f>
        <v>0</v>
      </c>
      <c r="U141">
        <f>IF(LARGE($T$1:$T$900,141)=0,0,MATCH(LARGE($T$1:$T$900,141),$T$1:$T$900,0))</f>
        <v>0</v>
      </c>
      <c r="V141">
        <f t="shared" si="62"/>
      </c>
      <c r="W141">
        <f t="shared" si="63"/>
      </c>
      <c r="AB141">
        <f>IF(OR(基础资料!$AB$145="全",基础资料!$AB$145="收"),基础资料!$AA$145&amp;"","")</f>
      </c>
      <c r="AC141">
        <f>IF(OR(基础资料!$AB$145="全",基础资料!$AB$145="支"),基础资料!$AA$145&amp;"","")</f>
      </c>
      <c r="CA141" s="2">
        <f>IF(往来单位!$C$144="甲方/总包",1,0)</f>
        <v>0</v>
      </c>
    </row>
    <row r="142">
      <c r="A142">
        <f>IF(项目档案!$B$39="","",TRIM(项目档案!$O$39&amp;""))</f>
      </c>
      <c r="B142">
        <f t="shared" si="35"/>
      </c>
      <c r="C142" t="str">
        <f>IF(往来单位!$B$51="","",TRIM(往来单位!$B$51&amp;""))</f>
        <v>万焕和</v>
      </c>
      <c r="D142" t="str">
        <f>往来单位!$B$51&amp;""</f>
        <v>万焕和</v>
      </c>
      <c r="N142" s="2">
        <f>N100+SUM(CA101:CA142)</f>
        <v>7</v>
      </c>
      <c r="P142">
        <f>IF(A142="",0,LEN(A142)*10000+9858)</f>
        <v>0</v>
      </c>
      <c r="Q142">
        <f>IF(LARGE($P$1:$P$240,142)=0,0,MATCH(LARGE($P$1:$P$240,142),$P$1:$P$240,0))</f>
        <v>0</v>
      </c>
      <c r="R142">
        <f t="shared" si="60"/>
      </c>
      <c r="S142">
        <f t="shared" si="61"/>
      </c>
      <c r="T142">
        <f>IF(C142="",0,LEN(C142)*10000+9858)</f>
        <v>39858</v>
      </c>
      <c r="U142">
        <f>IF(LARGE($T$1:$T$900,142)=0,0,MATCH(LARGE($T$1:$T$900,142),$T$1:$T$900,0))</f>
        <v>0</v>
      </c>
      <c r="V142">
        <f t="shared" si="62"/>
      </c>
      <c r="W142">
        <f t="shared" si="63"/>
      </c>
      <c r="AB142">
        <f>IF(OR(基础资料!$AB$146="全",基础资料!$AB$146="收"),基础资料!$AA$146&amp;"","")</f>
      </c>
      <c r="AC142">
        <f>IF(OR(基础资料!$AB$146="全",基础资料!$AB$146="支"),基础资料!$AA$146&amp;"","")</f>
      </c>
      <c r="CA142" s="2">
        <f>IF(往来单位!$C$145="甲方/总包",1,0)</f>
        <v>0</v>
      </c>
    </row>
    <row r="143">
      <c r="A143">
        <f>IF(项目档案!$B$39="","",TRIM(项目档案!$P$39&amp;""))</f>
      </c>
      <c r="B143">
        <f t="shared" si="35"/>
      </c>
      <c r="C143">
        <f>IF(往来单位!$B$51="","",TRIM(往来单位!$D$51&amp;""))</f>
      </c>
      <c r="D143" t="str">
        <f>往来单位!$B$51&amp;""</f>
        <v>万焕和</v>
      </c>
      <c r="N143" s="2">
        <f>N100+SUM(CA101:CA143)</f>
        <v>7</v>
      </c>
      <c r="P143">
        <f>IF(A143="",0,LEN(A143)*10000+9857)</f>
        <v>0</v>
      </c>
      <c r="Q143">
        <f>IF(LARGE($P$1:$P$240,143)=0,0,MATCH(LARGE($P$1:$P$240,143),$P$1:$P$240,0))</f>
        <v>0</v>
      </c>
      <c r="R143">
        <f t="shared" si="60"/>
      </c>
      <c r="S143">
        <f t="shared" si="61"/>
      </c>
      <c r="T143">
        <f>IF(C143="",0,LEN(C143)*10000+9857)</f>
        <v>0</v>
      </c>
      <c r="U143">
        <f>IF(LARGE($T$1:$T$900,143)=0,0,MATCH(LARGE($T$1:$T$900,143),$T$1:$T$900,0))</f>
        <v>0</v>
      </c>
      <c r="V143">
        <f t="shared" si="62"/>
      </c>
      <c r="W143">
        <f t="shared" si="63"/>
      </c>
      <c r="AB143">
        <f>IF(OR(基础资料!$AB$147="全",基础资料!$AB$147="收"),基础资料!$AA$147&amp;"","")</f>
      </c>
      <c r="AC143">
        <f>IF(OR(基础资料!$AB$147="全",基础资料!$AB$147="支"),基础资料!$AA$147&amp;"","")</f>
      </c>
      <c r="CA143" s="2">
        <f>IF(往来单位!$C$146="甲方/总包",1,0)</f>
        <v>0</v>
      </c>
    </row>
    <row r="144">
      <c r="A144">
        <f>IF(项目档案!$B$39="","",TRIM(项目档案!$Q$39&amp;""))</f>
      </c>
      <c r="B144">
        <f t="shared" si="35"/>
      </c>
      <c r="C144">
        <f>IF(往来单位!$B$51="","",TRIM(往来单位!$E$51&amp;""))</f>
      </c>
      <c r="D144" t="str">
        <f>往来单位!$B$51&amp;""</f>
        <v>万焕和</v>
      </c>
      <c r="N144" s="2">
        <f>N100+SUM(CA101:CA144)</f>
        <v>7</v>
      </c>
      <c r="P144">
        <f>IF(A144="",0,LEN(A144)*10000+9856)</f>
        <v>0</v>
      </c>
      <c r="Q144">
        <f>IF(LARGE($P$1:$P$240,144)=0,0,MATCH(LARGE($P$1:$P$240,144),$P$1:$P$240,0))</f>
        <v>0</v>
      </c>
      <c r="R144">
        <f t="shared" si="60"/>
      </c>
      <c r="S144">
        <f t="shared" si="61"/>
      </c>
      <c r="T144">
        <f>IF(C144="",0,LEN(C144)*10000+9856)</f>
        <v>0</v>
      </c>
      <c r="U144">
        <f>IF(LARGE($T$1:$T$900,144)=0,0,MATCH(LARGE($T$1:$T$900,144),$T$1:$T$900,0))</f>
        <v>0</v>
      </c>
      <c r="V144">
        <f t="shared" si="62"/>
      </c>
      <c r="W144">
        <f t="shared" si="63"/>
      </c>
      <c r="AB144">
        <f>IF(OR(基础资料!$AB$148="全",基础资料!$AB$148="收"),基础资料!$AA$148&amp;"","")</f>
      </c>
      <c r="AC144">
        <f>IF(OR(基础资料!$AB$148="全",基础资料!$AB$148="支"),基础资料!$AA$148&amp;"","")</f>
      </c>
      <c r="CA144" s="2">
        <f>IF(往来单位!$C$147="甲方/总包",1,0)</f>
        <v>0</v>
      </c>
    </row>
    <row r="145">
      <c r="A145">
        <f>IF(项目档案!$B$40="","",TRIM(项目档案!$B$40&amp;""))</f>
      </c>
      <c r="B145">
        <f t="shared" ref="B145:B148" si="36">项目档案!$B$40&amp;""</f>
      </c>
      <c r="C145" t="str">
        <f>IF(往来单位!$B$52="","",TRIM(往来单位!$B$52&amp;""))</f>
        <v>邓泽贵</v>
      </c>
      <c r="D145" t="str">
        <f>往来单位!$B$52&amp;""</f>
        <v>邓泽贵</v>
      </c>
      <c r="N145" s="2">
        <f>N100+SUM(CA101:CA145)</f>
        <v>7</v>
      </c>
      <c r="P145">
        <f>IF(A145="",0,LEN(A145)*10000+9855)</f>
        <v>0</v>
      </c>
      <c r="Q145">
        <f>IF(LARGE($P$1:$P$240,145)=0,0,MATCH(LARGE($P$1:$P$240,145),$P$1:$P$240,0))</f>
        <v>0</v>
      </c>
      <c r="R145">
        <f t="shared" si="60"/>
      </c>
      <c r="S145">
        <f t="shared" si="61"/>
      </c>
      <c r="T145">
        <f>IF(C145="",0,LEN(C145)*10000+9855)</f>
        <v>39855</v>
      </c>
      <c r="U145">
        <f>IF(LARGE($T$1:$T$900,145)=0,0,MATCH(LARGE($T$1:$T$900,145),$T$1:$T$900,0))</f>
        <v>0</v>
      </c>
      <c r="V145">
        <f t="shared" si="62"/>
      </c>
      <c r="W145">
        <f t="shared" si="63"/>
      </c>
      <c r="AB145">
        <f>IF(OR(基础资料!$AB$149="全",基础资料!$AB$149="收"),基础资料!$AA$149&amp;"","")</f>
      </c>
      <c r="AC145">
        <f>IF(OR(基础资料!$AB$149="全",基础资料!$AB$149="支"),基础资料!$AA$149&amp;"","")</f>
      </c>
      <c r="CA145" s="2">
        <f>IF(往来单位!$C$148="甲方/总包",1,0)</f>
        <v>0</v>
      </c>
    </row>
    <row r="146">
      <c r="A146">
        <f>IF(项目档案!$B$40="","",TRIM(项目档案!$O$40&amp;""))</f>
      </c>
      <c r="B146">
        <f t="shared" si="36"/>
      </c>
      <c r="C146">
        <f>IF(往来单位!$B$52="","",TRIM(往来单位!$D$52&amp;""))</f>
      </c>
      <c r="D146" t="str">
        <f>往来单位!$B$52&amp;""</f>
        <v>邓泽贵</v>
      </c>
      <c r="N146" s="2">
        <f>N100+SUM(CA101:CA146)</f>
        <v>7</v>
      </c>
      <c r="P146">
        <f>IF(A146="",0,LEN(A146)*10000+9854)</f>
        <v>0</v>
      </c>
      <c r="Q146">
        <f>IF(LARGE($P$1:$P$240,146)=0,0,MATCH(LARGE($P$1:$P$240,146),$P$1:$P$240,0))</f>
        <v>0</v>
      </c>
      <c r="R146">
        <f t="shared" si="60"/>
      </c>
      <c r="S146">
        <f t="shared" si="61"/>
      </c>
      <c r="T146">
        <f>IF(C146="",0,LEN(C146)*10000+9854)</f>
        <v>0</v>
      </c>
      <c r="U146">
        <f>IF(LARGE($T$1:$T$900,146)=0,0,MATCH(LARGE($T$1:$T$900,146),$T$1:$T$900,0))</f>
        <v>0</v>
      </c>
      <c r="V146">
        <f t="shared" si="62"/>
      </c>
      <c r="W146">
        <f t="shared" si="63"/>
      </c>
      <c r="AB146">
        <f>IF(OR(基础资料!$AB$150="全",基础资料!$AB$150="收"),基础资料!$AA$150&amp;"","")</f>
      </c>
      <c r="AC146">
        <f>IF(OR(基础资料!$AB$150="全",基础资料!$AB$150="支"),基础资料!$AA$150&amp;"","")</f>
      </c>
      <c r="CA146" s="2">
        <f>IF(往来单位!$C$149="甲方/总包",1,0)</f>
        <v>0</v>
      </c>
    </row>
    <row r="147">
      <c r="A147">
        <f>IF(项目档案!$B$40="","",TRIM(项目档案!$P$40&amp;""))</f>
      </c>
      <c r="B147">
        <f t="shared" si="36"/>
      </c>
      <c r="C147">
        <f>IF(往来单位!$B$52="","",TRIM(往来单位!$E$52&amp;""))</f>
      </c>
      <c r="D147" t="str">
        <f>往来单位!$B$52&amp;""</f>
        <v>邓泽贵</v>
      </c>
      <c r="N147" s="2">
        <f>N100+SUM(CA101:CA147)</f>
        <v>7</v>
      </c>
      <c r="P147">
        <f>IF(A147="",0,LEN(A147)*10000+9853)</f>
        <v>0</v>
      </c>
      <c r="Q147">
        <f>IF(LARGE($P$1:$P$240,147)=0,0,MATCH(LARGE($P$1:$P$240,147),$P$1:$P$240,0))</f>
        <v>0</v>
      </c>
      <c r="R147">
        <f t="shared" si="60"/>
      </c>
      <c r="S147">
        <f t="shared" si="61"/>
      </c>
      <c r="T147">
        <f>IF(C147="",0,LEN(C147)*10000+9853)</f>
        <v>0</v>
      </c>
      <c r="U147">
        <f>IF(LARGE($T$1:$T$900,147)=0,0,MATCH(LARGE($T$1:$T$900,147),$T$1:$T$900,0))</f>
        <v>0</v>
      </c>
      <c r="V147">
        <f t="shared" si="62"/>
      </c>
      <c r="W147">
        <f t="shared" si="63"/>
      </c>
      <c r="AB147">
        <f>IF(OR(基础资料!$AB$151="全",基础资料!$AB$151="收"),基础资料!$AA$151&amp;"","")</f>
      </c>
      <c r="AC147">
        <f>IF(OR(基础资料!$AB$151="全",基础资料!$AB$151="支"),基础资料!$AA$151&amp;"","")</f>
      </c>
      <c r="CA147" s="2">
        <f>IF(往来单位!$C$150="甲方/总包",1,0)</f>
        <v>0</v>
      </c>
    </row>
    <row r="148">
      <c r="A148">
        <f>IF(项目档案!$B$40="","",TRIM(项目档案!$Q$40&amp;""))</f>
      </c>
      <c r="B148">
        <f t="shared" si="36"/>
      </c>
      <c r="C148" t="str">
        <f>IF(往来单位!$B$53="","",TRIM(往来单位!$B$53&amp;""))</f>
        <v>吴长友</v>
      </c>
      <c r="D148" t="str">
        <f>往来单位!$B$53&amp;""</f>
        <v>吴长友</v>
      </c>
      <c r="N148" s="2">
        <f>N100+SUM(CA101:CA148)</f>
        <v>7</v>
      </c>
      <c r="P148">
        <f>IF(A148="",0,LEN(A148)*10000+9852)</f>
        <v>0</v>
      </c>
      <c r="Q148">
        <f>IF(LARGE($P$1:$P$240,148)=0,0,MATCH(LARGE($P$1:$P$240,148),$P$1:$P$240,0))</f>
        <v>0</v>
      </c>
      <c r="R148">
        <f t="shared" si="60"/>
      </c>
      <c r="S148">
        <f t="shared" si="61"/>
      </c>
      <c r="T148">
        <f>IF(C148="",0,LEN(C148)*10000+9852)</f>
        <v>39852</v>
      </c>
      <c r="U148">
        <f>IF(LARGE($T$1:$T$900,148)=0,0,MATCH(LARGE($T$1:$T$900,148),$T$1:$T$900,0))</f>
        <v>0</v>
      </c>
      <c r="V148">
        <f t="shared" si="62"/>
      </c>
      <c r="W148">
        <f t="shared" si="63"/>
      </c>
      <c r="AB148">
        <f>IF(OR(基础资料!$AB$152="全",基础资料!$AB$152="收"),基础资料!$AA$152&amp;"","")</f>
      </c>
      <c r="AC148">
        <f>IF(OR(基础资料!$AB$152="全",基础资料!$AB$152="支"),基础资料!$AA$152&amp;"","")</f>
      </c>
      <c r="CA148" s="2">
        <f>IF(往来单位!$C$151="甲方/总包",1,0)</f>
        <v>0</v>
      </c>
    </row>
    <row r="149">
      <c r="A149">
        <f>IF(项目档案!$B$41="","",TRIM(项目档案!$B$41&amp;""))</f>
      </c>
      <c r="B149">
        <f t="shared" ref="B149:B152" si="37">项目档案!$B$41&amp;""</f>
      </c>
      <c r="C149">
        <f>IF(往来单位!$B$53="","",TRIM(往来单位!$D$53&amp;""))</f>
      </c>
      <c r="D149" t="str">
        <f>往来单位!$B$53&amp;""</f>
        <v>吴长友</v>
      </c>
      <c r="N149" s="2">
        <f>N100+SUM(CA101:CA149)</f>
        <v>7</v>
      </c>
      <c r="P149">
        <f>IF(A149="",0,LEN(A149)*10000+9851)</f>
        <v>0</v>
      </c>
      <c r="Q149">
        <f>IF(LARGE($P$1:$P$240,149)=0,0,MATCH(LARGE($P$1:$P$240,149),$P$1:$P$240,0))</f>
        <v>0</v>
      </c>
      <c r="R149">
        <f t="shared" si="60"/>
      </c>
      <c r="S149">
        <f t="shared" si="61"/>
      </c>
      <c r="T149">
        <f>IF(C149="",0,LEN(C149)*10000+9851)</f>
        <v>0</v>
      </c>
      <c r="U149">
        <f>IF(LARGE($T$1:$T$900,149)=0,0,MATCH(LARGE($T$1:$T$900,149),$T$1:$T$900,0))</f>
        <v>0</v>
      </c>
      <c r="V149">
        <f t="shared" si="62"/>
      </c>
      <c r="W149">
        <f t="shared" si="63"/>
      </c>
      <c r="AB149">
        <f>IF(OR(基础资料!$AB$153="全",基础资料!$AB$153="收"),基础资料!$AA$153&amp;"","")</f>
      </c>
      <c r="AC149">
        <f>IF(OR(基础资料!$AB$153="全",基础资料!$AB$153="支"),基础资料!$AA$153&amp;"","")</f>
      </c>
      <c r="CA149" s="2">
        <f>IF(往来单位!$C$152="甲方/总包",1,0)</f>
        <v>0</v>
      </c>
    </row>
    <row r="150">
      <c r="A150">
        <f>IF(项目档案!$B$41="","",TRIM(项目档案!$O$41&amp;""))</f>
      </c>
      <c r="B150">
        <f t="shared" si="37"/>
      </c>
      <c r="C150">
        <f>IF(往来单位!$B$53="","",TRIM(往来单位!$E$53&amp;""))</f>
      </c>
      <c r="D150" t="str">
        <f>往来单位!$B$53&amp;""</f>
        <v>吴长友</v>
      </c>
      <c r="N150" s="2">
        <f>N100+SUM(CA101:CA150)</f>
        <v>7</v>
      </c>
      <c r="P150">
        <f>IF(A150="",0,LEN(A150)*10000+9850)</f>
        <v>0</v>
      </c>
      <c r="Q150">
        <f>IF(LARGE($P$1:$P$240,150)=0,0,MATCH(LARGE($P$1:$P$240,150),$P$1:$P$240,0))</f>
        <v>0</v>
      </c>
      <c r="R150">
        <f t="shared" si="60"/>
      </c>
      <c r="S150">
        <f t="shared" si="61"/>
      </c>
      <c r="T150">
        <f>IF(C150="",0,LEN(C150)*10000+9850)</f>
        <v>0</v>
      </c>
      <c r="U150">
        <f>IF(LARGE($T$1:$T$900,150)=0,0,MATCH(LARGE($T$1:$T$900,150),$T$1:$T$900,0))</f>
        <v>0</v>
      </c>
      <c r="V150">
        <f t="shared" si="62"/>
      </c>
      <c r="W150">
        <f t="shared" si="63"/>
      </c>
      <c r="AB150">
        <f>IF(OR(基础资料!$AB$154="全",基础资料!$AB$154="收"),基础资料!$AA$154&amp;"","")</f>
      </c>
      <c r="AC150">
        <f>IF(OR(基础资料!$AB$154="全",基础资料!$AB$154="支"),基础资料!$AA$154&amp;"","")</f>
      </c>
      <c r="CA150" s="2">
        <f>IF(往来单位!$C$153="甲方/总包",1,0)</f>
        <v>0</v>
      </c>
    </row>
    <row r="151">
      <c r="A151">
        <f>IF(项目档案!$B$41="","",TRIM(项目档案!$P$41&amp;""))</f>
      </c>
      <c r="B151">
        <f t="shared" si="37"/>
      </c>
      <c r="C151" t="str">
        <f>IF(往来单位!$B$54="","",TRIM(往来单位!$B$54&amp;""))</f>
        <v>闵清林</v>
      </c>
      <c r="D151" t="str">
        <f>往来单位!$B$54&amp;""</f>
        <v>闵清林</v>
      </c>
      <c r="N151" s="2">
        <f>N150+SUM(CA151:CA151)</f>
        <v>7</v>
      </c>
      <c r="P151">
        <f>IF(A151="",0,LEN(A151)*10000+9849)</f>
        <v>0</v>
      </c>
      <c r="Q151">
        <f>IF(LARGE($P$1:$P$240,151)=0,0,MATCH(LARGE($P$1:$P$240,151),$P$1:$P$240,0))</f>
        <v>0</v>
      </c>
      <c r="R151">
        <f t="shared" si="60"/>
      </c>
      <c r="S151">
        <f t="shared" si="61"/>
      </c>
      <c r="T151">
        <f>IF(C151="",0,LEN(C151)*10000+9849)</f>
        <v>39849</v>
      </c>
      <c r="U151">
        <f>IF(LARGE($T$1:$T$900,151)=0,0,MATCH(LARGE($T$1:$T$900,151),$T$1:$T$900,0))</f>
        <v>0</v>
      </c>
      <c r="V151">
        <f t="shared" si="62"/>
      </c>
      <c r="W151">
        <f t="shared" si="63"/>
      </c>
      <c r="AB151">
        <f>IF(OR(基础资料!$AB$155="全",基础资料!$AB$155="收"),基础资料!$AA$155&amp;"","")</f>
      </c>
      <c r="AC151">
        <f>IF(OR(基础资料!$AB$155="全",基础资料!$AB$155="支"),基础资料!$AA$155&amp;"","")</f>
      </c>
      <c r="CA151" s="2">
        <f>IF(往来单位!$C$154="甲方/总包",1,0)</f>
        <v>0</v>
      </c>
    </row>
    <row r="152">
      <c r="A152">
        <f>IF(项目档案!$B$41="","",TRIM(项目档案!$Q$41&amp;""))</f>
      </c>
      <c r="B152">
        <f t="shared" si="37"/>
      </c>
      <c r="C152">
        <f>IF(往来单位!$B$54="","",TRIM(往来单位!$D$54&amp;""))</f>
      </c>
      <c r="D152" t="str">
        <f>往来单位!$B$54&amp;""</f>
        <v>闵清林</v>
      </c>
      <c r="N152" s="2">
        <f>N150+SUM(CA151:CA152)</f>
        <v>7</v>
      </c>
      <c r="P152">
        <f>IF(A152="",0,LEN(A152)*10000+9848)</f>
        <v>0</v>
      </c>
      <c r="Q152">
        <f>IF(LARGE($P$1:$P$240,152)=0,0,MATCH(LARGE($P$1:$P$240,152),$P$1:$P$240,0))</f>
        <v>0</v>
      </c>
      <c r="R152">
        <f t="shared" si="60"/>
      </c>
      <c r="S152">
        <f t="shared" si="61"/>
      </c>
      <c r="T152">
        <f>IF(C152="",0,LEN(C152)*10000+9848)</f>
        <v>0</v>
      </c>
      <c r="U152">
        <f>IF(LARGE($T$1:$T$900,152)=0,0,MATCH(LARGE($T$1:$T$900,152),$T$1:$T$900,0))</f>
        <v>0</v>
      </c>
      <c r="V152">
        <f t="shared" si="62"/>
      </c>
      <c r="W152">
        <f t="shared" si="63"/>
      </c>
      <c r="AB152">
        <f>IF(OR(基础资料!$AB$156="全",基础资料!$AB$156="收"),基础资料!$AA$156&amp;"","")</f>
      </c>
      <c r="AC152">
        <f>IF(OR(基础资料!$AB$156="全",基础资料!$AB$156="支"),基础资料!$AA$156&amp;"","")</f>
      </c>
      <c r="CA152" s="2">
        <f>IF(往来单位!$C$155="甲方/总包",1,0)</f>
        <v>0</v>
      </c>
    </row>
    <row r="153">
      <c r="A153">
        <f>IF(项目档案!$B$42="","",TRIM(项目档案!$B$42&amp;""))</f>
      </c>
      <c r="B153">
        <f t="shared" ref="B153:B156" si="38">项目档案!$B$42&amp;""</f>
      </c>
      <c r="C153">
        <f>IF(往来单位!$B$54="","",TRIM(往来单位!$E$54&amp;""))</f>
      </c>
      <c r="D153" t="str">
        <f>往来单位!$B$54&amp;""</f>
        <v>闵清林</v>
      </c>
      <c r="N153" s="2">
        <f>N150+SUM(CA151:CA153)</f>
        <v>7</v>
      </c>
      <c r="P153">
        <f>IF(A153="",0,LEN(A153)*10000+9847)</f>
        <v>0</v>
      </c>
      <c r="Q153">
        <f>IF(LARGE($P$1:$P$240,153)=0,0,MATCH(LARGE($P$1:$P$240,153),$P$1:$P$240,0))</f>
        <v>0</v>
      </c>
      <c r="R153">
        <f t="shared" si="60"/>
      </c>
      <c r="S153">
        <f t="shared" si="61"/>
      </c>
      <c r="T153">
        <f>IF(C153="",0,LEN(C153)*10000+9847)</f>
        <v>0</v>
      </c>
      <c r="U153">
        <f>IF(LARGE($T$1:$T$900,153)=0,0,MATCH(LARGE($T$1:$T$900,153),$T$1:$T$900,0))</f>
        <v>0</v>
      </c>
      <c r="V153">
        <f t="shared" si="62"/>
      </c>
      <c r="W153">
        <f t="shared" si="63"/>
      </c>
      <c r="AB153">
        <f>IF(OR(基础资料!$AB$157="全",基础资料!$AB$157="收"),基础资料!$AA$157&amp;"","")</f>
      </c>
      <c r="AC153">
        <f>IF(OR(基础资料!$AB$157="全",基础资料!$AB$157="支"),基础资料!$AA$157&amp;"","")</f>
      </c>
      <c r="CA153" s="2">
        <f>IF(往来单位!$C$156="甲方/总包",1,0)</f>
        <v>0</v>
      </c>
    </row>
    <row r="154">
      <c r="A154">
        <f>IF(项目档案!$B$42="","",TRIM(项目档案!$O$42&amp;""))</f>
      </c>
      <c r="B154">
        <f t="shared" si="38"/>
      </c>
      <c r="C154" t="str">
        <f>IF(往来单位!$B$55="","",TRIM(往来单位!$B$55&amp;""))</f>
        <v>徐从国</v>
      </c>
      <c r="D154" t="str">
        <f>往来单位!$B$55&amp;""</f>
        <v>徐从国</v>
      </c>
      <c r="N154" s="2">
        <f>N150+SUM(CA151:CA154)</f>
        <v>7</v>
      </c>
      <c r="P154">
        <f>IF(A154="",0,LEN(A154)*10000+9846)</f>
        <v>0</v>
      </c>
      <c r="Q154">
        <f>IF(LARGE($P$1:$P$240,154)=0,0,MATCH(LARGE($P$1:$P$240,154),$P$1:$P$240,0))</f>
        <v>0</v>
      </c>
      <c r="R154">
        <f t="shared" si="60"/>
      </c>
      <c r="S154">
        <f t="shared" si="61"/>
      </c>
      <c r="T154">
        <f>IF(C154="",0,LEN(C154)*10000+9846)</f>
        <v>39846</v>
      </c>
      <c r="U154">
        <f>IF(LARGE($T$1:$T$900,154)=0,0,MATCH(LARGE($T$1:$T$900,154),$T$1:$T$900,0))</f>
        <v>0</v>
      </c>
      <c r="V154">
        <f t="shared" si="62"/>
      </c>
      <c r="W154">
        <f t="shared" si="63"/>
      </c>
      <c r="AB154">
        <f>IF(OR(基础资料!$AB$158="全",基础资料!$AB$158="收"),基础资料!$AA$158&amp;"","")</f>
      </c>
      <c r="AC154">
        <f>IF(OR(基础资料!$AB$158="全",基础资料!$AB$158="支"),基础资料!$AA$158&amp;"","")</f>
      </c>
      <c r="CA154" s="2">
        <f>IF(往来单位!$C$157="甲方/总包",1,0)</f>
        <v>0</v>
      </c>
    </row>
    <row r="155">
      <c r="A155">
        <f>IF(项目档案!$B$42="","",TRIM(项目档案!$P$42&amp;""))</f>
      </c>
      <c r="B155">
        <f t="shared" si="38"/>
      </c>
      <c r="C155">
        <f>IF(往来单位!$B$55="","",TRIM(往来单位!$D$55&amp;""))</f>
      </c>
      <c r="D155" t="str">
        <f>往来单位!$B$55&amp;""</f>
        <v>徐从国</v>
      </c>
      <c r="N155" s="2">
        <f>N150+SUM(CA151:CA155)</f>
        <v>7</v>
      </c>
      <c r="P155">
        <f>IF(A155="",0,LEN(A155)*10000+9845)</f>
        <v>0</v>
      </c>
      <c r="Q155">
        <f>IF(LARGE($P$1:$P$240,155)=0,0,MATCH(LARGE($P$1:$P$240,155),$P$1:$P$240,0))</f>
        <v>0</v>
      </c>
      <c r="R155">
        <f t="shared" si="60"/>
      </c>
      <c r="S155">
        <f t="shared" si="61"/>
      </c>
      <c r="T155">
        <f>IF(C155="",0,LEN(C155)*10000+9845)</f>
        <v>0</v>
      </c>
      <c r="U155">
        <f>IF(LARGE($T$1:$T$900,155)=0,0,MATCH(LARGE($T$1:$T$900,155),$T$1:$T$900,0))</f>
        <v>0</v>
      </c>
      <c r="V155">
        <f t="shared" si="62"/>
      </c>
      <c r="W155">
        <f t="shared" si="63"/>
      </c>
      <c r="AB155">
        <f>IF(OR(基础资料!$AB$159="全",基础资料!$AB$159="收"),基础资料!$AA$159&amp;"","")</f>
      </c>
      <c r="AC155">
        <f>IF(OR(基础资料!$AB$159="全",基础资料!$AB$159="支"),基础资料!$AA$159&amp;"","")</f>
      </c>
      <c r="CA155" s="2">
        <f>IF(往来单位!$C$158="甲方/总包",1,0)</f>
        <v>0</v>
      </c>
    </row>
    <row r="156">
      <c r="A156">
        <f>IF(项目档案!$B$42="","",TRIM(项目档案!$Q$42&amp;""))</f>
      </c>
      <c r="B156">
        <f t="shared" si="38"/>
      </c>
      <c r="C156">
        <f>IF(往来单位!$B$55="","",TRIM(往来单位!$E$55&amp;""))</f>
      </c>
      <c r="D156" t="str">
        <f>往来单位!$B$55&amp;""</f>
        <v>徐从国</v>
      </c>
      <c r="N156" s="2">
        <f>N150+SUM(CA151:CA156)</f>
        <v>7</v>
      </c>
      <c r="P156">
        <f>IF(A156="",0,LEN(A156)*10000+9844)</f>
        <v>0</v>
      </c>
      <c r="Q156">
        <f>IF(LARGE($P$1:$P$240,156)=0,0,MATCH(LARGE($P$1:$P$240,156),$P$1:$P$240,0))</f>
        <v>0</v>
      </c>
      <c r="R156">
        <f t="shared" si="60"/>
      </c>
      <c r="S156">
        <f t="shared" si="61"/>
      </c>
      <c r="T156">
        <f>IF(C156="",0,LEN(C156)*10000+9844)</f>
        <v>0</v>
      </c>
      <c r="U156">
        <f>IF(LARGE($T$1:$T$900,156)=0,0,MATCH(LARGE($T$1:$T$900,156),$T$1:$T$900,0))</f>
        <v>0</v>
      </c>
      <c r="V156">
        <f t="shared" si="62"/>
      </c>
      <c r="W156">
        <f t="shared" si="63"/>
      </c>
      <c r="AB156">
        <f>IF(OR(基础资料!$AB$160="全",基础资料!$AB$160="收"),基础资料!$AA$160&amp;"","")</f>
      </c>
      <c r="AC156">
        <f>IF(OR(基础资料!$AB$160="全",基础资料!$AB$160="支"),基础资料!$AA$160&amp;"","")</f>
      </c>
      <c r="CA156" s="2">
        <f>IF(往来单位!$C$159="甲方/总包",1,0)</f>
        <v>0</v>
      </c>
    </row>
    <row r="157">
      <c r="A157">
        <f>IF(项目档案!$B$43="","",TRIM(项目档案!$B$43&amp;""))</f>
      </c>
      <c r="B157">
        <f t="shared" ref="B157:B160" si="39">项目档案!$B$43&amp;""</f>
      </c>
      <c r="C157" t="str">
        <f>IF(往来单位!$B$56="","",TRIM(往来单位!$B$56&amp;""))</f>
        <v>梅秀刚</v>
      </c>
      <c r="D157" t="str">
        <f>往来单位!$B$56&amp;""</f>
        <v>梅秀刚</v>
      </c>
      <c r="N157" s="2">
        <f>N150+SUM(CA151:CA157)</f>
        <v>7</v>
      </c>
      <c r="P157">
        <f>IF(A157="",0,LEN(A157)*10000+9843)</f>
        <v>0</v>
      </c>
      <c r="Q157">
        <f>IF(LARGE($P$1:$P$240,157)=0,0,MATCH(LARGE($P$1:$P$240,157),$P$1:$P$240,0))</f>
        <v>0</v>
      </c>
      <c r="R157">
        <f t="shared" si="60"/>
      </c>
      <c r="S157">
        <f t="shared" si="61"/>
      </c>
      <c r="T157">
        <f>IF(C157="",0,LEN(C157)*10000+9843)</f>
        <v>39843</v>
      </c>
      <c r="U157">
        <f>IF(LARGE($T$1:$T$900,157)=0,0,MATCH(LARGE($T$1:$T$900,157),$T$1:$T$900,0))</f>
        <v>0</v>
      </c>
      <c r="V157">
        <f t="shared" si="62"/>
      </c>
      <c r="W157">
        <f t="shared" si="63"/>
      </c>
      <c r="AB157">
        <f>IF(OR(基础资料!$AB$161="全",基础资料!$AB$161="收"),基础资料!$AA$161&amp;"","")</f>
      </c>
      <c r="AC157">
        <f>IF(OR(基础资料!$AB$161="全",基础资料!$AB$161="支"),基础资料!$AA$161&amp;"","")</f>
      </c>
      <c r="CA157" s="2">
        <f>IF(往来单位!$C$160="甲方/总包",1,0)</f>
        <v>0</v>
      </c>
    </row>
    <row r="158">
      <c r="A158">
        <f>IF(项目档案!$B$43="","",TRIM(项目档案!$O$43&amp;""))</f>
      </c>
      <c r="B158">
        <f t="shared" si="39"/>
      </c>
      <c r="C158">
        <f>IF(往来单位!$B$56="","",TRIM(往来单位!$D$56&amp;""))</f>
      </c>
      <c r="D158" t="str">
        <f>往来单位!$B$56&amp;""</f>
        <v>梅秀刚</v>
      </c>
      <c r="N158" s="2">
        <f>N150+SUM(CA151:CA158)</f>
        <v>7</v>
      </c>
      <c r="P158">
        <f>IF(A158="",0,LEN(A158)*10000+9842)</f>
        <v>0</v>
      </c>
      <c r="Q158">
        <f>IF(LARGE($P$1:$P$240,158)=0,0,MATCH(LARGE($P$1:$P$240,158),$P$1:$P$240,0))</f>
        <v>0</v>
      </c>
      <c r="R158">
        <f t="shared" si="60"/>
      </c>
      <c r="S158">
        <f t="shared" si="61"/>
      </c>
      <c r="T158">
        <f>IF(C158="",0,LEN(C158)*10000+9842)</f>
        <v>0</v>
      </c>
      <c r="U158">
        <f>IF(LARGE($T$1:$T$900,158)=0,0,MATCH(LARGE($T$1:$T$900,158),$T$1:$T$900,0))</f>
        <v>0</v>
      </c>
      <c r="V158">
        <f t="shared" si="62"/>
      </c>
      <c r="W158">
        <f t="shared" si="63"/>
      </c>
      <c r="AB158">
        <f>IF(OR(基础资料!$AB$162="全",基础资料!$AB$162="收"),基础资料!$AA$162&amp;"","")</f>
      </c>
      <c r="AC158">
        <f>IF(OR(基础资料!$AB$162="全",基础资料!$AB$162="支"),基础资料!$AA$162&amp;"","")</f>
      </c>
      <c r="CA158" s="2">
        <f>IF(往来单位!$C$161="甲方/总包",1,0)</f>
        <v>0</v>
      </c>
    </row>
    <row r="159">
      <c r="A159">
        <f>IF(项目档案!$B$43="","",TRIM(项目档案!$P$43&amp;""))</f>
      </c>
      <c r="B159">
        <f t="shared" si="39"/>
      </c>
      <c r="C159">
        <f>IF(往来单位!$B$56="","",TRIM(往来单位!$E$56&amp;""))</f>
      </c>
      <c r="D159" t="str">
        <f>往来单位!$B$56&amp;""</f>
        <v>梅秀刚</v>
      </c>
      <c r="N159" s="2">
        <f>N150+SUM(CA151:CA159)</f>
        <v>7</v>
      </c>
      <c r="P159">
        <f>IF(A159="",0,LEN(A159)*10000+9841)</f>
        <v>0</v>
      </c>
      <c r="Q159">
        <f>IF(LARGE($P$1:$P$240,159)=0,0,MATCH(LARGE($P$1:$P$240,159),$P$1:$P$240,0))</f>
        <v>0</v>
      </c>
      <c r="R159">
        <f t="shared" si="60"/>
      </c>
      <c r="S159">
        <f t="shared" si="61"/>
      </c>
      <c r="T159">
        <f>IF(C159="",0,LEN(C159)*10000+9841)</f>
        <v>0</v>
      </c>
      <c r="U159">
        <f>IF(LARGE($T$1:$T$900,159)=0,0,MATCH(LARGE($T$1:$T$900,159),$T$1:$T$900,0))</f>
        <v>0</v>
      </c>
      <c r="V159">
        <f t="shared" si="62"/>
      </c>
      <c r="W159">
        <f t="shared" si="63"/>
      </c>
      <c r="AB159">
        <f>IF(OR(基础资料!$AB$163="全",基础资料!$AB$163="收"),基础资料!$AA$163&amp;"","")</f>
      </c>
      <c r="AC159">
        <f>IF(OR(基础资料!$AB$163="全",基础资料!$AB$163="支"),基础资料!$AA$163&amp;"","")</f>
      </c>
      <c r="CA159" s="2">
        <f>IF(往来单位!$C$162="甲方/总包",1,0)</f>
        <v>0</v>
      </c>
    </row>
    <row r="160">
      <c r="A160">
        <f>IF(项目档案!$B$43="","",TRIM(项目档案!$Q$43&amp;""))</f>
      </c>
      <c r="B160">
        <f t="shared" si="39"/>
      </c>
      <c r="C160" t="str">
        <f>IF(往来单位!$B$57="","",TRIM(往来单位!$B$57&amp;""))</f>
        <v>金南水</v>
      </c>
      <c r="D160" t="str">
        <f>往来单位!$B$57&amp;""</f>
        <v>金南水</v>
      </c>
      <c r="N160" s="2">
        <f>N150+SUM(CA151:CA160)</f>
        <v>7</v>
      </c>
      <c r="P160">
        <f>IF(A160="",0,LEN(A160)*10000+9840)</f>
        <v>0</v>
      </c>
      <c r="Q160">
        <f>IF(LARGE($P$1:$P$240,160)=0,0,MATCH(LARGE($P$1:$P$240,160),$P$1:$P$240,0))</f>
        <v>0</v>
      </c>
      <c r="R160">
        <f t="shared" si="60"/>
      </c>
      <c r="S160">
        <f t="shared" si="61"/>
      </c>
      <c r="T160">
        <f>IF(C160="",0,LEN(C160)*10000+9840)</f>
        <v>39840</v>
      </c>
      <c r="U160">
        <f>IF(LARGE($T$1:$T$900,160)=0,0,MATCH(LARGE($T$1:$T$900,160),$T$1:$T$900,0))</f>
        <v>0</v>
      </c>
      <c r="V160">
        <f t="shared" si="62"/>
      </c>
      <c r="W160">
        <f t="shared" si="63"/>
      </c>
      <c r="AB160">
        <f>IF(OR(基础资料!$AB$164="全",基础资料!$AB$164="收"),基础资料!$AA$164&amp;"","")</f>
      </c>
      <c r="AC160">
        <f>IF(OR(基础资料!$AB$164="全",基础资料!$AB$164="支"),基础资料!$AA$164&amp;"","")</f>
      </c>
      <c r="CA160" s="2">
        <f>IF(往来单位!$C$163="甲方/总包",1,0)</f>
        <v>0</v>
      </c>
    </row>
    <row r="161">
      <c r="A161">
        <f>IF(项目档案!$B$44="","",TRIM(项目档案!$B$44&amp;""))</f>
      </c>
      <c r="B161">
        <f t="shared" ref="B161:B164" si="40">项目档案!$B$44&amp;""</f>
      </c>
      <c r="C161">
        <f>IF(往来单位!$B$57="","",TRIM(往来单位!$D$57&amp;""))</f>
      </c>
      <c r="D161" t="str">
        <f>往来单位!$B$57&amp;""</f>
        <v>金南水</v>
      </c>
      <c r="N161" s="2">
        <f>N150+SUM(CA151:CA161)</f>
        <v>7</v>
      </c>
      <c r="P161">
        <f>IF(A161="",0,LEN(A161)*10000+9839)</f>
        <v>0</v>
      </c>
      <c r="Q161">
        <f>IF(LARGE($P$1:$P$240,161)=0,0,MATCH(LARGE($P$1:$P$240,161),$P$1:$P$240,0))</f>
        <v>0</v>
      </c>
      <c r="R161">
        <f t="shared" si="60"/>
      </c>
      <c r="S161">
        <f t="shared" si="61"/>
      </c>
      <c r="T161">
        <f>IF(C161="",0,LEN(C161)*10000+9839)</f>
        <v>0</v>
      </c>
      <c r="U161">
        <f>IF(LARGE($T$1:$T$900,161)=0,0,MATCH(LARGE($T$1:$T$900,161),$T$1:$T$900,0))</f>
        <v>0</v>
      </c>
      <c r="V161">
        <f t="shared" si="62"/>
      </c>
      <c r="W161">
        <f t="shared" si="63"/>
      </c>
      <c r="CA161" s="2">
        <f>IF(往来单位!$C$164="甲方/总包",1,0)</f>
        <v>0</v>
      </c>
    </row>
    <row r="162">
      <c r="A162">
        <f>IF(项目档案!$B$44="","",TRIM(项目档案!$O$44&amp;""))</f>
      </c>
      <c r="B162">
        <f t="shared" si="40"/>
      </c>
      <c r="C162">
        <f>IF(往来单位!$B$57="","",TRIM(往来单位!$E$57&amp;""))</f>
      </c>
      <c r="D162" t="str">
        <f>往来单位!$B$57&amp;""</f>
        <v>金南水</v>
      </c>
      <c r="N162" s="2">
        <f>N150+SUM(CA151:CA162)</f>
        <v>7</v>
      </c>
      <c r="P162">
        <f>IF(A162="",0,LEN(A162)*10000+9838)</f>
        <v>0</v>
      </c>
      <c r="Q162">
        <f>IF(LARGE($P$1:$P$240,162)=0,0,MATCH(LARGE($P$1:$P$240,162),$P$1:$P$240,0))</f>
        <v>0</v>
      </c>
      <c r="R162">
        <f t="shared" si="60"/>
      </c>
      <c r="S162">
        <f t="shared" si="61"/>
      </c>
      <c r="T162">
        <f>IF(C162="",0,LEN(C162)*10000+9838)</f>
        <v>0</v>
      </c>
      <c r="U162">
        <f>IF(LARGE($T$1:$T$900,162)=0,0,MATCH(LARGE($T$1:$T$900,162),$T$1:$T$900,0))</f>
        <v>0</v>
      </c>
      <c r="V162">
        <f t="shared" si="62"/>
      </c>
      <c r="W162">
        <f t="shared" si="63"/>
      </c>
      <c r="CA162" s="2">
        <f>IF(往来单位!$C$165="甲方/总包",1,0)</f>
        <v>0</v>
      </c>
    </row>
    <row r="163">
      <c r="A163">
        <f>IF(项目档案!$B$44="","",TRIM(项目档案!$P$44&amp;""))</f>
      </c>
      <c r="B163">
        <f t="shared" si="40"/>
      </c>
      <c r="C163" t="str">
        <f>IF(往来单位!$B$58="","",TRIM(往来单位!$B$58&amp;""))</f>
        <v>金李平</v>
      </c>
      <c r="D163" t="str">
        <f>往来单位!$B$58&amp;""</f>
        <v>金李平</v>
      </c>
      <c r="N163" s="2">
        <f>N150+SUM(CA151:CA163)</f>
        <v>7</v>
      </c>
      <c r="P163">
        <f>IF(A163="",0,LEN(A163)*10000+9837)</f>
        <v>0</v>
      </c>
      <c r="Q163">
        <f>IF(LARGE($P$1:$P$240,163)=0,0,MATCH(LARGE($P$1:$P$240,163),$P$1:$P$240,0))</f>
        <v>0</v>
      </c>
      <c r="R163">
        <f t="shared" si="60"/>
      </c>
      <c r="S163">
        <f t="shared" si="61"/>
      </c>
      <c r="T163">
        <f>IF(C163="",0,LEN(C163)*10000+9837)</f>
        <v>39837</v>
      </c>
      <c r="U163">
        <f>IF(LARGE($T$1:$T$900,163)=0,0,MATCH(LARGE($T$1:$T$900,163),$T$1:$T$900,0))</f>
        <v>0</v>
      </c>
      <c r="V163">
        <f t="shared" si="62"/>
      </c>
      <c r="W163">
        <f t="shared" si="63"/>
      </c>
      <c r="CA163" s="2">
        <f>IF(往来单位!$C$166="甲方/总包",1,0)</f>
        <v>0</v>
      </c>
    </row>
    <row r="164">
      <c r="A164">
        <f>IF(项目档案!$B$44="","",TRIM(项目档案!$Q$44&amp;""))</f>
      </c>
      <c r="B164">
        <f t="shared" si="40"/>
      </c>
      <c r="C164">
        <f>IF(往来单位!$B$58="","",TRIM(往来单位!$D$58&amp;""))</f>
      </c>
      <c r="D164" t="str">
        <f>往来单位!$B$58&amp;""</f>
        <v>金李平</v>
      </c>
      <c r="N164" s="2">
        <f>N150+SUM(CA151:CA164)</f>
        <v>7</v>
      </c>
      <c r="P164">
        <f>IF(A164="",0,LEN(A164)*10000+9836)</f>
        <v>0</v>
      </c>
      <c r="Q164">
        <f>IF(LARGE($P$1:$P$240,164)=0,0,MATCH(LARGE($P$1:$P$240,164),$P$1:$P$240,0))</f>
        <v>0</v>
      </c>
      <c r="R164">
        <f t="shared" si="60"/>
      </c>
      <c r="S164">
        <f t="shared" si="61"/>
      </c>
      <c r="T164">
        <f>IF(C164="",0,LEN(C164)*10000+9836)</f>
        <v>0</v>
      </c>
      <c r="U164">
        <f>IF(LARGE($T$1:$T$900,164)=0,0,MATCH(LARGE($T$1:$T$900,164),$T$1:$T$900,0))</f>
        <v>0</v>
      </c>
      <c r="V164">
        <f t="shared" si="62"/>
      </c>
      <c r="W164">
        <f t="shared" si="63"/>
      </c>
      <c r="CA164" s="2">
        <f>IF(往来单位!$C$167="甲方/总包",1,0)</f>
        <v>0</v>
      </c>
    </row>
    <row r="165">
      <c r="A165">
        <f>IF(项目档案!$B$45="","",TRIM(项目档案!$B$45&amp;""))</f>
      </c>
      <c r="B165">
        <f t="shared" ref="B165:B168" si="41">项目档案!$B$45&amp;""</f>
      </c>
      <c r="C165">
        <f>IF(往来单位!$B$58="","",TRIM(往来单位!$E$58&amp;""))</f>
      </c>
      <c r="D165" t="str">
        <f>往来单位!$B$58&amp;""</f>
        <v>金李平</v>
      </c>
      <c r="N165" s="2">
        <f>N150+SUM(CA151:CA165)</f>
        <v>7</v>
      </c>
      <c r="P165">
        <f>IF(A165="",0,LEN(A165)*10000+9835)</f>
        <v>0</v>
      </c>
      <c r="Q165">
        <f>IF(LARGE($P$1:$P$240,165)=0,0,MATCH(LARGE($P$1:$P$240,165),$P$1:$P$240,0))</f>
        <v>0</v>
      </c>
      <c r="R165">
        <f t="shared" si="60"/>
      </c>
      <c r="S165">
        <f t="shared" si="61"/>
      </c>
      <c r="T165">
        <f>IF(C165="",0,LEN(C165)*10000+9835)</f>
        <v>0</v>
      </c>
      <c r="U165">
        <f>IF(LARGE($T$1:$T$900,165)=0,0,MATCH(LARGE($T$1:$T$900,165),$T$1:$T$900,0))</f>
        <v>0</v>
      </c>
      <c r="V165">
        <f t="shared" si="62"/>
      </c>
      <c r="W165">
        <f t="shared" si="63"/>
      </c>
      <c r="CA165" s="2">
        <f>IF(往来单位!$C$168="甲方/总包",1,0)</f>
        <v>0</v>
      </c>
    </row>
    <row r="166">
      <c r="A166">
        <f>IF(项目档案!$B$45="","",TRIM(项目档案!$O$45&amp;""))</f>
      </c>
      <c r="B166">
        <f t="shared" si="41"/>
      </c>
      <c r="C166" t="str">
        <f>IF(往来单位!$B$59="","",TRIM(往来单位!$B$59&amp;""))</f>
        <v>杨明定</v>
      </c>
      <c r="D166" t="str">
        <f>往来单位!$B$59&amp;""</f>
        <v>杨明定</v>
      </c>
      <c r="N166" s="2">
        <f>N150+SUM(CA151:CA166)</f>
        <v>7</v>
      </c>
      <c r="P166">
        <f>IF(A166="",0,LEN(A166)*10000+9834)</f>
        <v>0</v>
      </c>
      <c r="Q166">
        <f>IF(LARGE($P$1:$P$240,166)=0,0,MATCH(LARGE($P$1:$P$240,166),$P$1:$P$240,0))</f>
        <v>0</v>
      </c>
      <c r="R166">
        <f t="shared" si="60"/>
      </c>
      <c r="S166">
        <f t="shared" si="61"/>
      </c>
      <c r="T166">
        <f>IF(C166="",0,LEN(C166)*10000+9834)</f>
        <v>39834</v>
      </c>
      <c r="U166">
        <f>IF(LARGE($T$1:$T$900,166)=0,0,MATCH(LARGE($T$1:$T$900,166),$T$1:$T$900,0))</f>
        <v>0</v>
      </c>
      <c r="V166">
        <f t="shared" si="62"/>
      </c>
      <c r="W166">
        <f t="shared" si="63"/>
      </c>
      <c r="CA166" s="2">
        <f>IF(往来单位!$C$169="甲方/总包",1,0)</f>
        <v>0</v>
      </c>
    </row>
    <row r="167">
      <c r="A167">
        <f>IF(项目档案!$B$45="","",TRIM(项目档案!$P$45&amp;""))</f>
      </c>
      <c r="B167">
        <f t="shared" si="41"/>
      </c>
      <c r="C167">
        <f>IF(往来单位!$B$59="","",TRIM(往来单位!$D$59&amp;""))</f>
      </c>
      <c r="D167" t="str">
        <f>往来单位!$B$59&amp;""</f>
        <v>杨明定</v>
      </c>
      <c r="N167" s="2">
        <f>N150+SUM(CA151:CA167)</f>
        <v>7</v>
      </c>
      <c r="P167">
        <f>IF(A167="",0,LEN(A167)*10000+9833)</f>
        <v>0</v>
      </c>
      <c r="Q167">
        <f>IF(LARGE($P$1:$P$240,167)=0,0,MATCH(LARGE($P$1:$P$240,167),$P$1:$P$240,0))</f>
        <v>0</v>
      </c>
      <c r="R167">
        <f t="shared" si="60"/>
      </c>
      <c r="S167">
        <f t="shared" si="61"/>
      </c>
      <c r="T167">
        <f>IF(C167="",0,LEN(C167)*10000+9833)</f>
        <v>0</v>
      </c>
      <c r="U167">
        <f>IF(LARGE($T$1:$T$900,167)=0,0,MATCH(LARGE($T$1:$T$900,167),$T$1:$T$900,0))</f>
        <v>0</v>
      </c>
      <c r="V167">
        <f t="shared" si="62"/>
      </c>
      <c r="W167">
        <f t="shared" si="63"/>
      </c>
      <c r="CA167" s="2">
        <f>IF(往来单位!$C$170="甲方/总包",1,0)</f>
        <v>0</v>
      </c>
    </row>
    <row r="168">
      <c r="A168">
        <f>IF(项目档案!$B$45="","",TRIM(项目档案!$Q$45&amp;""))</f>
      </c>
      <c r="B168">
        <f t="shared" si="41"/>
      </c>
      <c r="C168">
        <f>IF(往来单位!$B$59="","",TRIM(往来单位!$E$59&amp;""))</f>
      </c>
      <c r="D168" t="str">
        <f>往来单位!$B$59&amp;""</f>
        <v>杨明定</v>
      </c>
      <c r="N168" s="2">
        <f>N150+SUM(CA151:CA168)</f>
        <v>7</v>
      </c>
      <c r="P168">
        <f>IF(A168="",0,LEN(A168)*10000+9832)</f>
        <v>0</v>
      </c>
      <c r="Q168">
        <f>IF(LARGE($P$1:$P$240,168)=0,0,MATCH(LARGE($P$1:$P$240,168),$P$1:$P$240,0))</f>
        <v>0</v>
      </c>
      <c r="R168">
        <f t="shared" si="60"/>
      </c>
      <c r="S168">
        <f t="shared" si="61"/>
      </c>
      <c r="T168">
        <f>IF(C168="",0,LEN(C168)*10000+9832)</f>
        <v>0</v>
      </c>
      <c r="U168">
        <f>IF(LARGE($T$1:$T$900,168)=0,0,MATCH(LARGE($T$1:$T$900,168),$T$1:$T$900,0))</f>
        <v>0</v>
      </c>
      <c r="V168">
        <f t="shared" si="62"/>
      </c>
      <c r="W168">
        <f t="shared" si="63"/>
      </c>
      <c r="CA168" s="2">
        <f>IF(往来单位!$C$171="甲方/总包",1,0)</f>
        <v>0</v>
      </c>
    </row>
    <row r="169">
      <c r="A169">
        <f>IF(项目档案!$B$46="","",TRIM(项目档案!$B$46&amp;""))</f>
      </c>
      <c r="B169">
        <f t="shared" ref="B169:B172" si="42">项目档案!$B$46&amp;""</f>
      </c>
      <c r="C169" t="str">
        <f>IF(往来单位!$B$60="","",TRIM(往来单位!$B$60&amp;""))</f>
        <v>王兴蛟</v>
      </c>
      <c r="D169" t="str">
        <f>往来单位!$B$60&amp;""</f>
        <v>王兴蛟</v>
      </c>
      <c r="N169" s="2">
        <f>N150+SUM(CA151:CA169)</f>
        <v>7</v>
      </c>
      <c r="P169">
        <f>IF(A169="",0,LEN(A169)*10000+9831)</f>
        <v>0</v>
      </c>
      <c r="Q169">
        <f>IF(LARGE($P$1:$P$240,169)=0,0,MATCH(LARGE($P$1:$P$240,169),$P$1:$P$240,0))</f>
        <v>0</v>
      </c>
      <c r="R169">
        <f t="shared" si="60"/>
      </c>
      <c r="S169">
        <f t="shared" si="61"/>
      </c>
      <c r="T169">
        <f>IF(C169="",0,LEN(C169)*10000+9831)</f>
        <v>39831</v>
      </c>
      <c r="U169">
        <f>IF(LARGE($T$1:$T$900,169)=0,0,MATCH(LARGE($T$1:$T$900,169),$T$1:$T$900,0))</f>
        <v>0</v>
      </c>
      <c r="V169">
        <f t="shared" si="62"/>
      </c>
      <c r="W169">
        <f t="shared" si="63"/>
      </c>
      <c r="CA169" s="2">
        <f>IF(往来单位!$C$172="甲方/总包",1,0)</f>
        <v>0</v>
      </c>
    </row>
    <row r="170">
      <c r="A170">
        <f>IF(项目档案!$B$46="","",TRIM(项目档案!$O$46&amp;""))</f>
      </c>
      <c r="B170">
        <f t="shared" si="42"/>
      </c>
      <c r="C170" t="str">
        <f>IF(往来单位!$B$60="","",TRIM(往来单位!$D$60&amp;""))</f>
        <v>王兴姣</v>
      </c>
      <c r="D170" t="str">
        <f>往来单位!$B$60&amp;""</f>
        <v>王兴蛟</v>
      </c>
      <c r="N170" s="2">
        <f>N150+SUM(CA151:CA170)</f>
        <v>7</v>
      </c>
      <c r="P170">
        <f>IF(A170="",0,LEN(A170)*10000+9830)</f>
        <v>0</v>
      </c>
      <c r="Q170">
        <f>IF(LARGE($P$1:$P$240,170)=0,0,MATCH(LARGE($P$1:$P$240,170),$P$1:$P$240,0))</f>
        <v>0</v>
      </c>
      <c r="R170">
        <f t="shared" si="60"/>
      </c>
      <c r="S170">
        <f t="shared" si="61"/>
      </c>
      <c r="T170">
        <f>IF(C170="",0,LEN(C170)*10000+9830)</f>
        <v>39830</v>
      </c>
      <c r="U170">
        <f>IF(LARGE($T$1:$T$900,170)=0,0,MATCH(LARGE($T$1:$T$900,170),$T$1:$T$900,0))</f>
        <v>0</v>
      </c>
      <c r="V170">
        <f t="shared" si="62"/>
      </c>
      <c r="W170">
        <f t="shared" si="63"/>
      </c>
      <c r="CA170" s="2">
        <f>IF(往来单位!$C$173="甲方/总包",1,0)</f>
        <v>0</v>
      </c>
    </row>
    <row r="171">
      <c r="A171">
        <f>IF(项目档案!$B$46="","",TRIM(项目档案!$P$46&amp;""))</f>
      </c>
      <c r="B171">
        <f t="shared" si="42"/>
      </c>
      <c r="C171">
        <f>IF(往来单位!$B$60="","",TRIM(往来单位!$E$60&amp;""))</f>
      </c>
      <c r="D171" t="str">
        <f>往来单位!$B$60&amp;""</f>
        <v>王兴蛟</v>
      </c>
      <c r="N171" s="2">
        <f>N150+SUM(CA151:CA171)</f>
        <v>7</v>
      </c>
      <c r="P171">
        <f>IF(A171="",0,LEN(A171)*10000+9829)</f>
        <v>0</v>
      </c>
      <c r="Q171">
        <f>IF(LARGE($P$1:$P$240,171)=0,0,MATCH(LARGE($P$1:$P$240,171),$P$1:$P$240,0))</f>
        <v>0</v>
      </c>
      <c r="R171">
        <f t="shared" si="60"/>
      </c>
      <c r="S171">
        <f t="shared" si="61"/>
      </c>
      <c r="T171">
        <f>IF(C171="",0,LEN(C171)*10000+9829)</f>
        <v>0</v>
      </c>
      <c r="U171">
        <f>IF(LARGE($T$1:$T$900,171)=0,0,MATCH(LARGE($T$1:$T$900,171),$T$1:$T$900,0))</f>
        <v>0</v>
      </c>
      <c r="V171">
        <f t="shared" si="62"/>
      </c>
      <c r="W171">
        <f t="shared" si="63"/>
      </c>
      <c r="CA171" s="2">
        <f>IF(往来单位!$C$174="甲方/总包",1,0)</f>
        <v>0</v>
      </c>
    </row>
    <row r="172">
      <c r="A172">
        <f>IF(项目档案!$B$46="","",TRIM(项目档案!$Q$46&amp;""))</f>
      </c>
      <c r="B172">
        <f t="shared" si="42"/>
      </c>
      <c r="C172" t="str">
        <f>IF(往来单位!$B$61="","",TRIM(往来单位!$B$61&amp;""))</f>
        <v>高征坤</v>
      </c>
      <c r="D172" t="str">
        <f>往来单位!$B$61&amp;""</f>
        <v>高征坤</v>
      </c>
      <c r="N172" s="2">
        <f>N150+SUM(CA151:CA172)</f>
        <v>7</v>
      </c>
      <c r="P172">
        <f>IF(A172="",0,LEN(A172)*10000+9828)</f>
        <v>0</v>
      </c>
      <c r="Q172">
        <f>IF(LARGE($P$1:$P$240,172)=0,0,MATCH(LARGE($P$1:$P$240,172),$P$1:$P$240,0))</f>
        <v>0</v>
      </c>
      <c r="R172">
        <f t="shared" si="60"/>
      </c>
      <c r="S172">
        <f t="shared" si="61"/>
      </c>
      <c r="T172">
        <f>IF(C172="",0,LEN(C172)*10000+9828)</f>
        <v>39828</v>
      </c>
      <c r="U172">
        <f>IF(LARGE($T$1:$T$900,172)=0,0,MATCH(LARGE($T$1:$T$900,172),$T$1:$T$900,0))</f>
        <v>0</v>
      </c>
      <c r="V172">
        <f t="shared" si="62"/>
      </c>
      <c r="W172">
        <f t="shared" si="63"/>
      </c>
      <c r="CA172" s="2">
        <f>IF(往来单位!$C$175="甲方/总包",1,0)</f>
        <v>0</v>
      </c>
    </row>
    <row r="173">
      <c r="A173">
        <f>IF(项目档案!$B$47="","",TRIM(项目档案!$B$47&amp;""))</f>
      </c>
      <c r="B173">
        <f t="shared" ref="B173:B176" si="43">项目档案!$B$47&amp;""</f>
      </c>
      <c r="C173">
        <f>IF(往来单位!$B$61="","",TRIM(往来单位!$D$61&amp;""))</f>
      </c>
      <c r="D173" t="str">
        <f>往来单位!$B$61&amp;""</f>
        <v>高征坤</v>
      </c>
      <c r="N173" s="2">
        <f>N150+SUM(CA151:CA173)</f>
        <v>7</v>
      </c>
      <c r="P173">
        <f>IF(A173="",0,LEN(A173)*10000+9827)</f>
        <v>0</v>
      </c>
      <c r="Q173">
        <f>IF(LARGE($P$1:$P$240,173)=0,0,MATCH(LARGE($P$1:$P$240,173),$P$1:$P$240,0))</f>
        <v>0</v>
      </c>
      <c r="R173">
        <f t="shared" si="60"/>
      </c>
      <c r="S173">
        <f t="shared" si="61"/>
      </c>
      <c r="T173">
        <f>IF(C173="",0,LEN(C173)*10000+9827)</f>
        <v>0</v>
      </c>
      <c r="U173">
        <f>IF(LARGE($T$1:$T$900,173)=0,0,MATCH(LARGE($T$1:$T$900,173),$T$1:$T$900,0))</f>
        <v>0</v>
      </c>
      <c r="V173">
        <f t="shared" si="62"/>
      </c>
      <c r="W173">
        <f t="shared" si="63"/>
      </c>
      <c r="CA173" s="2">
        <f>IF(往来单位!$C$176="甲方/总包",1,0)</f>
        <v>0</v>
      </c>
    </row>
    <row r="174">
      <c r="A174">
        <f>IF(项目档案!$B$47="","",TRIM(项目档案!$O$47&amp;""))</f>
      </c>
      <c r="B174">
        <f t="shared" si="43"/>
      </c>
      <c r="C174">
        <f>IF(往来单位!$B$61="","",TRIM(往来单位!$E$61&amp;""))</f>
      </c>
      <c r="D174" t="str">
        <f>往来单位!$B$61&amp;""</f>
        <v>高征坤</v>
      </c>
      <c r="N174" s="2">
        <f>N150+SUM(CA151:CA174)</f>
        <v>7</v>
      </c>
      <c r="P174">
        <f>IF(A174="",0,LEN(A174)*10000+9826)</f>
        <v>0</v>
      </c>
      <c r="Q174">
        <f>IF(LARGE($P$1:$P$240,174)=0,0,MATCH(LARGE($P$1:$P$240,174),$P$1:$P$240,0))</f>
        <v>0</v>
      </c>
      <c r="R174">
        <f t="shared" si="60"/>
      </c>
      <c r="S174">
        <f t="shared" si="61"/>
      </c>
      <c r="T174">
        <f>IF(C174="",0,LEN(C174)*10000+9826)</f>
        <v>0</v>
      </c>
      <c r="U174">
        <f>IF(LARGE($T$1:$T$900,174)=0,0,MATCH(LARGE($T$1:$T$900,174),$T$1:$T$900,0))</f>
        <v>0</v>
      </c>
      <c r="V174">
        <f t="shared" si="62"/>
      </c>
      <c r="W174">
        <f t="shared" si="63"/>
      </c>
      <c r="CA174" s="2">
        <f>IF(往来单位!$C$177="甲方/总包",1,0)</f>
        <v>0</v>
      </c>
    </row>
    <row r="175">
      <c r="A175">
        <f>IF(项目档案!$B$47="","",TRIM(项目档案!$P$47&amp;""))</f>
      </c>
      <c r="B175">
        <f t="shared" si="43"/>
      </c>
      <c r="C175" t="str">
        <f>IF(往来单位!$B$62="","",TRIM(往来单位!$B$62&amp;""))</f>
        <v>张亮亮</v>
      </c>
      <c r="D175" t="str">
        <f>往来单位!$B$62&amp;""</f>
        <v>张亮亮</v>
      </c>
      <c r="N175" s="2">
        <f>N150+SUM(CA151:CA175)</f>
        <v>7</v>
      </c>
      <c r="P175">
        <f>IF(A175="",0,LEN(A175)*10000+9825)</f>
        <v>0</v>
      </c>
      <c r="Q175">
        <f>IF(LARGE($P$1:$P$240,175)=0,0,MATCH(LARGE($P$1:$P$240,175),$P$1:$P$240,0))</f>
        <v>0</v>
      </c>
      <c r="R175">
        <f t="shared" si="60"/>
      </c>
      <c r="S175">
        <f t="shared" si="61"/>
      </c>
      <c r="T175">
        <f>IF(C175="",0,LEN(C175)*10000+9825)</f>
        <v>39825</v>
      </c>
      <c r="U175">
        <f>IF(LARGE($T$1:$T$900,175)=0,0,MATCH(LARGE($T$1:$T$900,175),$T$1:$T$900,0))</f>
        <v>0</v>
      </c>
      <c r="V175">
        <f t="shared" si="62"/>
      </c>
      <c r="W175">
        <f t="shared" si="63"/>
      </c>
      <c r="CA175" s="2">
        <f>IF(往来单位!$C$178="甲方/总包",1,0)</f>
        <v>0</v>
      </c>
    </row>
    <row r="176">
      <c r="A176">
        <f>IF(项目档案!$B$47="","",TRIM(项目档案!$Q$47&amp;""))</f>
      </c>
      <c r="B176">
        <f t="shared" si="43"/>
      </c>
      <c r="C176">
        <f>IF(往来单位!$B$62="","",TRIM(往来单位!$D$62&amp;""))</f>
      </c>
      <c r="D176" t="str">
        <f>往来单位!$B$62&amp;""</f>
        <v>张亮亮</v>
      </c>
      <c r="N176" s="2">
        <f>N150+SUM(CA151:CA176)</f>
        <v>7</v>
      </c>
      <c r="P176">
        <f>IF(A176="",0,LEN(A176)*10000+9824)</f>
        <v>0</v>
      </c>
      <c r="Q176">
        <f>IF(LARGE($P$1:$P$240,176)=0,0,MATCH(LARGE($P$1:$P$240,176),$P$1:$P$240,0))</f>
        <v>0</v>
      </c>
      <c r="R176">
        <f t="shared" si="60"/>
      </c>
      <c r="S176">
        <f t="shared" si="61"/>
      </c>
      <c r="T176">
        <f>IF(C176="",0,LEN(C176)*10000+9824)</f>
        <v>0</v>
      </c>
      <c r="U176">
        <f>IF(LARGE($T$1:$T$900,176)=0,0,MATCH(LARGE($T$1:$T$900,176),$T$1:$T$900,0))</f>
        <v>0</v>
      </c>
      <c r="V176">
        <f t="shared" si="62"/>
      </c>
      <c r="W176">
        <f t="shared" si="63"/>
      </c>
      <c r="CA176" s="2">
        <f>IF(往来单位!$C$179="甲方/总包",1,0)</f>
        <v>0</v>
      </c>
    </row>
    <row r="177">
      <c r="A177">
        <f>IF(项目档案!$B$48="","",TRIM(项目档案!$B$48&amp;""))</f>
      </c>
      <c r="B177">
        <f t="shared" ref="B177:B180" si="44">项目档案!$B$48&amp;""</f>
      </c>
      <c r="C177">
        <f>IF(往来单位!$B$62="","",TRIM(往来单位!$E$62&amp;""))</f>
      </c>
      <c r="D177" t="str">
        <f>往来单位!$B$62&amp;""</f>
        <v>张亮亮</v>
      </c>
      <c r="N177" s="2">
        <f>N150+SUM(CA151:CA177)</f>
        <v>7</v>
      </c>
      <c r="P177">
        <f>IF(A177="",0,LEN(A177)*10000+9823)</f>
        <v>0</v>
      </c>
      <c r="Q177">
        <f>IF(LARGE($P$1:$P$240,177)=0,0,MATCH(LARGE($P$1:$P$240,177),$P$1:$P$240,0))</f>
        <v>0</v>
      </c>
      <c r="R177">
        <f t="shared" si="60"/>
      </c>
      <c r="S177">
        <f t="shared" si="61"/>
      </c>
      <c r="T177">
        <f>IF(C177="",0,LEN(C177)*10000+9823)</f>
        <v>0</v>
      </c>
      <c r="U177">
        <f>IF(LARGE($T$1:$T$900,177)=0,0,MATCH(LARGE($T$1:$T$900,177),$T$1:$T$900,0))</f>
        <v>0</v>
      </c>
      <c r="V177">
        <f t="shared" si="62"/>
      </c>
      <c r="W177">
        <f t="shared" si="63"/>
      </c>
      <c r="CA177" s="2">
        <f>IF(往来单位!$C$180="甲方/总包",1,0)</f>
        <v>0</v>
      </c>
    </row>
    <row r="178">
      <c r="A178">
        <f>IF(项目档案!$B$48="","",TRIM(项目档案!$O$48&amp;""))</f>
      </c>
      <c r="B178">
        <f t="shared" si="44"/>
      </c>
      <c r="C178" t="str">
        <f>IF(往来单位!$B$63="","",TRIM(往来单位!$B$63&amp;""))</f>
        <v>成峰</v>
      </c>
      <c r="D178" t="str">
        <f>往来单位!$B$63&amp;""</f>
        <v>成峰</v>
      </c>
      <c r="N178" s="2">
        <f>N150+SUM(CA151:CA178)</f>
        <v>7</v>
      </c>
      <c r="P178">
        <f>IF(A178="",0,LEN(A178)*10000+9822)</f>
        <v>0</v>
      </c>
      <c r="Q178">
        <f>IF(LARGE($P$1:$P$240,178)=0,0,MATCH(LARGE($P$1:$P$240,178),$P$1:$P$240,0))</f>
        <v>0</v>
      </c>
      <c r="R178">
        <f t="shared" si="60"/>
      </c>
      <c r="S178">
        <f t="shared" si="61"/>
      </c>
      <c r="T178">
        <f>IF(C178="",0,LEN(C178)*10000+9822)</f>
        <v>29822</v>
      </c>
      <c r="U178">
        <f>IF(LARGE($T$1:$T$900,178)=0,0,MATCH(LARGE($T$1:$T$900,178),$T$1:$T$900,0))</f>
        <v>0</v>
      </c>
      <c r="V178">
        <f t="shared" si="62"/>
      </c>
      <c r="W178">
        <f t="shared" si="63"/>
      </c>
      <c r="CA178" s="2">
        <f>IF(往来单位!$C$181="甲方/总包",1,0)</f>
        <v>0</v>
      </c>
    </row>
    <row r="179">
      <c r="A179">
        <f>IF(项目档案!$B$48="","",TRIM(项目档案!$P$48&amp;""))</f>
      </c>
      <c r="B179">
        <f t="shared" si="44"/>
      </c>
      <c r="C179">
        <f>IF(往来单位!$B$63="","",TRIM(往来单位!$D$63&amp;""))</f>
      </c>
      <c r="D179" t="str">
        <f>往来单位!$B$63&amp;""</f>
        <v>成峰</v>
      </c>
      <c r="N179" s="2">
        <f>N150+SUM(CA151:CA179)</f>
        <v>7</v>
      </c>
      <c r="P179">
        <f>IF(A179="",0,LEN(A179)*10000+9821)</f>
        <v>0</v>
      </c>
      <c r="Q179">
        <f>IF(LARGE($P$1:$P$240,179)=0,0,MATCH(LARGE($P$1:$P$240,179),$P$1:$P$240,0))</f>
        <v>0</v>
      </c>
      <c r="R179">
        <f t="shared" si="60"/>
      </c>
      <c r="S179">
        <f t="shared" si="61"/>
      </c>
      <c r="T179">
        <f>IF(C179="",0,LEN(C179)*10000+9821)</f>
        <v>0</v>
      </c>
      <c r="U179">
        <f>IF(LARGE($T$1:$T$900,179)=0,0,MATCH(LARGE($T$1:$T$900,179),$T$1:$T$900,0))</f>
        <v>0</v>
      </c>
      <c r="V179">
        <f t="shared" si="62"/>
      </c>
      <c r="W179">
        <f t="shared" si="63"/>
      </c>
      <c r="CA179" s="2">
        <f>IF(往来单位!$C$182="甲方/总包",1,0)</f>
        <v>0</v>
      </c>
    </row>
    <row r="180">
      <c r="A180">
        <f>IF(项目档案!$B$48="","",TRIM(项目档案!$Q$48&amp;""))</f>
      </c>
      <c r="B180">
        <f t="shared" si="44"/>
      </c>
      <c r="C180">
        <f>IF(往来单位!$B$63="","",TRIM(往来单位!$E$63&amp;""))</f>
      </c>
      <c r="D180" t="str">
        <f>往来单位!$B$63&amp;""</f>
        <v>成峰</v>
      </c>
      <c r="N180" s="2">
        <f>N150+SUM(CA151:CA180)</f>
        <v>7</v>
      </c>
      <c r="P180">
        <f>IF(A180="",0,LEN(A180)*10000+9820)</f>
        <v>0</v>
      </c>
      <c r="Q180">
        <f>IF(LARGE($P$1:$P$240,180)=0,0,MATCH(LARGE($P$1:$P$240,180),$P$1:$P$240,0))</f>
        <v>0</v>
      </c>
      <c r="R180">
        <f t="shared" si="60"/>
      </c>
      <c r="S180">
        <f t="shared" si="61"/>
      </c>
      <c r="T180">
        <f>IF(C180="",0,LEN(C180)*10000+9820)</f>
        <v>0</v>
      </c>
      <c r="U180">
        <f>IF(LARGE($T$1:$T$900,180)=0,0,MATCH(LARGE($T$1:$T$900,180),$T$1:$T$900,0))</f>
        <v>0</v>
      </c>
      <c r="V180">
        <f t="shared" si="62"/>
      </c>
      <c r="W180">
        <f t="shared" si="63"/>
      </c>
      <c r="CA180" s="2">
        <f>IF(往来单位!$C$183="甲方/总包",1,0)</f>
        <v>0</v>
      </c>
    </row>
    <row r="181">
      <c r="A181">
        <f>IF(项目档案!$B$49="","",TRIM(项目档案!$B$49&amp;""))</f>
      </c>
      <c r="B181">
        <f t="shared" ref="B181:B184" si="45">项目档案!$B$49&amp;""</f>
      </c>
      <c r="C181" t="str">
        <f>IF(往来单位!$B$64="","",TRIM(往来单位!$B$64&amp;""))</f>
        <v>何正新</v>
      </c>
      <c r="D181" t="str">
        <f>往来单位!$B$64&amp;""</f>
        <v>何正新</v>
      </c>
      <c r="N181" s="2">
        <f>N150+SUM(CA151:CA181)</f>
        <v>7</v>
      </c>
      <c r="P181">
        <f>IF(A181="",0,LEN(A181)*10000+9819)</f>
        <v>0</v>
      </c>
      <c r="Q181">
        <f>IF(LARGE($P$1:$P$240,181)=0,0,MATCH(LARGE($P$1:$P$240,181),$P$1:$P$240,0))</f>
        <v>0</v>
      </c>
      <c r="R181">
        <f t="shared" si="60"/>
      </c>
      <c r="S181">
        <f t="shared" si="61"/>
      </c>
      <c r="T181">
        <f>IF(C181="",0,LEN(C181)*10000+9819)</f>
        <v>39819</v>
      </c>
      <c r="U181">
        <f>IF(LARGE($T$1:$T$900,181)=0,0,MATCH(LARGE($T$1:$T$900,181),$T$1:$T$900,0))</f>
        <v>0</v>
      </c>
      <c r="V181">
        <f t="shared" si="62"/>
      </c>
      <c r="W181">
        <f t="shared" si="63"/>
      </c>
      <c r="CA181" s="2">
        <f>IF(往来单位!$C$184="甲方/总包",1,0)</f>
        <v>0</v>
      </c>
    </row>
    <row r="182">
      <c r="A182">
        <f>IF(项目档案!$B$49="","",TRIM(项目档案!$O$49&amp;""))</f>
      </c>
      <c r="B182">
        <f t="shared" si="45"/>
      </c>
      <c r="C182">
        <f>IF(往来单位!$B$64="","",TRIM(往来单位!$D$64&amp;""))</f>
      </c>
      <c r="D182" t="str">
        <f>往来单位!$B$64&amp;""</f>
        <v>何正新</v>
      </c>
      <c r="N182" s="2">
        <f>N150+SUM(CA151:CA182)</f>
        <v>7</v>
      </c>
      <c r="P182">
        <f>IF(A182="",0,LEN(A182)*10000+9818)</f>
        <v>0</v>
      </c>
      <c r="Q182">
        <f>IF(LARGE($P$1:$P$240,182)=0,0,MATCH(LARGE($P$1:$P$240,182),$P$1:$P$240,0))</f>
        <v>0</v>
      </c>
      <c r="R182">
        <f t="shared" si="60"/>
      </c>
      <c r="S182">
        <f t="shared" si="61"/>
      </c>
      <c r="T182">
        <f>IF(C182="",0,LEN(C182)*10000+9818)</f>
        <v>0</v>
      </c>
      <c r="U182">
        <f>IF(LARGE($T$1:$T$900,182)=0,0,MATCH(LARGE($T$1:$T$900,182),$T$1:$T$900,0))</f>
        <v>0</v>
      </c>
      <c r="V182">
        <f t="shared" si="62"/>
      </c>
      <c r="W182">
        <f t="shared" si="63"/>
      </c>
      <c r="CA182" s="2">
        <f>IF(往来单位!$C$185="甲方/总包",1,0)</f>
        <v>0</v>
      </c>
    </row>
    <row r="183">
      <c r="A183">
        <f>IF(项目档案!$B$49="","",TRIM(项目档案!$P$49&amp;""))</f>
      </c>
      <c r="B183">
        <f t="shared" si="45"/>
      </c>
      <c r="C183">
        <f>IF(往来单位!$B$64="","",TRIM(往来单位!$E$64&amp;""))</f>
      </c>
      <c r="D183" t="str">
        <f>往来单位!$B$64&amp;""</f>
        <v>何正新</v>
      </c>
      <c r="N183" s="2">
        <f>N150+SUM(CA151:CA183)</f>
        <v>7</v>
      </c>
      <c r="P183">
        <f>IF(A183="",0,LEN(A183)*10000+9817)</f>
        <v>0</v>
      </c>
      <c r="Q183">
        <f>IF(LARGE($P$1:$P$240,183)=0,0,MATCH(LARGE($P$1:$P$240,183),$P$1:$P$240,0))</f>
        <v>0</v>
      </c>
      <c r="R183">
        <f t="shared" si="60"/>
      </c>
      <c r="S183">
        <f t="shared" si="61"/>
      </c>
      <c r="T183">
        <f>IF(C183="",0,LEN(C183)*10000+9817)</f>
        <v>0</v>
      </c>
      <c r="U183">
        <f>IF(LARGE($T$1:$T$900,183)=0,0,MATCH(LARGE($T$1:$T$900,183),$T$1:$T$900,0))</f>
        <v>0</v>
      </c>
      <c r="V183">
        <f t="shared" si="62"/>
      </c>
      <c r="W183">
        <f t="shared" si="63"/>
      </c>
      <c r="CA183" s="2">
        <f>IF(往来单位!$C$186="甲方/总包",1,0)</f>
        <v>0</v>
      </c>
    </row>
    <row r="184">
      <c r="A184">
        <f>IF(项目档案!$B$49="","",TRIM(项目档案!$Q$49&amp;""))</f>
      </c>
      <c r="B184">
        <f t="shared" si="45"/>
      </c>
      <c r="C184" t="str">
        <f>IF(往来单位!$B$65="","",TRIM(往来单位!$B$65&amp;""))</f>
        <v>吴志刚</v>
      </c>
      <c r="D184" t="str">
        <f>往来单位!$B$65&amp;""</f>
        <v>吴志刚</v>
      </c>
      <c r="N184" s="2">
        <f>N150+SUM(CA151:CA184)</f>
        <v>7</v>
      </c>
      <c r="P184">
        <f>IF(A184="",0,LEN(A184)*10000+9816)</f>
        <v>0</v>
      </c>
      <c r="Q184">
        <f>IF(LARGE($P$1:$P$240,184)=0,0,MATCH(LARGE($P$1:$P$240,184),$P$1:$P$240,0))</f>
        <v>0</v>
      </c>
      <c r="R184">
        <f t="shared" si="60"/>
      </c>
      <c r="S184">
        <f t="shared" si="61"/>
      </c>
      <c r="T184">
        <f>IF(C184="",0,LEN(C184)*10000+9816)</f>
        <v>39816</v>
      </c>
      <c r="U184">
        <f>IF(LARGE($T$1:$T$900,184)=0,0,MATCH(LARGE($T$1:$T$900,184),$T$1:$T$900,0))</f>
        <v>0</v>
      </c>
      <c r="V184">
        <f t="shared" si="62"/>
      </c>
      <c r="W184">
        <f t="shared" si="63"/>
      </c>
      <c r="CA184" s="2">
        <f>IF(往来单位!$C$187="甲方/总包",1,0)</f>
        <v>0</v>
      </c>
    </row>
    <row r="185">
      <c r="A185">
        <f>IF(项目档案!$B$50="","",TRIM(项目档案!$B$50&amp;""))</f>
      </c>
      <c r="B185">
        <f t="shared" ref="B185:B188" si="46">项目档案!$B$50&amp;""</f>
      </c>
      <c r="C185">
        <f>IF(往来单位!$B$65="","",TRIM(往来单位!$D$65&amp;""))</f>
      </c>
      <c r="D185" t="str">
        <f>往来单位!$B$65&amp;""</f>
        <v>吴志刚</v>
      </c>
      <c r="N185" s="2">
        <f>N150+SUM(CA151:CA185)</f>
        <v>7</v>
      </c>
      <c r="P185">
        <f>IF(A185="",0,LEN(A185)*10000+9815)</f>
        <v>0</v>
      </c>
      <c r="Q185">
        <f>IF(LARGE($P$1:$P$240,185)=0,0,MATCH(LARGE($P$1:$P$240,185),$P$1:$P$240,0))</f>
        <v>0</v>
      </c>
      <c r="R185">
        <f t="shared" si="60"/>
      </c>
      <c r="S185">
        <f t="shared" si="61"/>
      </c>
      <c r="T185">
        <f>IF(C185="",0,LEN(C185)*10000+9815)</f>
        <v>0</v>
      </c>
      <c r="U185">
        <f>IF(LARGE($T$1:$T$900,185)=0,0,MATCH(LARGE($T$1:$T$900,185),$T$1:$T$900,0))</f>
        <v>0</v>
      </c>
      <c r="V185">
        <f t="shared" si="62"/>
      </c>
      <c r="W185">
        <f t="shared" si="63"/>
      </c>
      <c r="CA185" s="2">
        <f>IF(往来单位!$C$188="甲方/总包",1,0)</f>
        <v>0</v>
      </c>
    </row>
    <row r="186">
      <c r="A186">
        <f>IF(项目档案!$B$50="","",TRIM(项目档案!$O$50&amp;""))</f>
      </c>
      <c r="B186">
        <f t="shared" si="46"/>
      </c>
      <c r="C186">
        <f>IF(往来单位!$B$65="","",TRIM(往来单位!$E$65&amp;""))</f>
      </c>
      <c r="D186" t="str">
        <f>往来单位!$B$65&amp;""</f>
        <v>吴志刚</v>
      </c>
      <c r="N186" s="2">
        <f>N150+SUM(CA151:CA186)</f>
        <v>7</v>
      </c>
      <c r="P186">
        <f>IF(A186="",0,LEN(A186)*10000+9814)</f>
        <v>0</v>
      </c>
      <c r="Q186">
        <f>IF(LARGE($P$1:$P$240,186)=0,0,MATCH(LARGE($P$1:$P$240,186),$P$1:$P$240,0))</f>
        <v>0</v>
      </c>
      <c r="R186">
        <f t="shared" si="60"/>
      </c>
      <c r="S186">
        <f t="shared" si="61"/>
      </c>
      <c r="T186">
        <f>IF(C186="",0,LEN(C186)*10000+9814)</f>
        <v>0</v>
      </c>
      <c r="U186">
        <f>IF(LARGE($T$1:$T$900,186)=0,0,MATCH(LARGE($T$1:$T$900,186),$T$1:$T$900,0))</f>
        <v>0</v>
      </c>
      <c r="V186">
        <f t="shared" si="62"/>
      </c>
      <c r="W186">
        <f t="shared" si="63"/>
      </c>
      <c r="CA186" s="2">
        <f>IF(往来单位!$C$189="甲方/总包",1,0)</f>
        <v>0</v>
      </c>
    </row>
    <row r="187">
      <c r="A187">
        <f>IF(项目档案!$B$50="","",TRIM(项目档案!$P$50&amp;""))</f>
      </c>
      <c r="B187">
        <f t="shared" si="46"/>
      </c>
      <c r="C187" t="str">
        <f>IF(往来单位!$B$66="","",TRIM(往来单位!$B$66&amp;""))</f>
        <v>张小友</v>
      </c>
      <c r="D187" t="str">
        <f>往来单位!$B$66&amp;""</f>
        <v>张小友</v>
      </c>
      <c r="N187" s="2">
        <f>N150+SUM(CA151:CA187)</f>
        <v>7</v>
      </c>
      <c r="P187">
        <f>IF(A187="",0,LEN(A187)*10000+9813)</f>
        <v>0</v>
      </c>
      <c r="Q187">
        <f>IF(LARGE($P$1:$P$240,187)=0,0,MATCH(LARGE($P$1:$P$240,187),$P$1:$P$240,0))</f>
        <v>0</v>
      </c>
      <c r="R187">
        <f t="shared" si="60"/>
      </c>
      <c r="S187">
        <f t="shared" si="61"/>
      </c>
      <c r="T187">
        <f>IF(C187="",0,LEN(C187)*10000+9813)</f>
        <v>39813</v>
      </c>
      <c r="U187">
        <f>IF(LARGE($T$1:$T$900,187)=0,0,MATCH(LARGE($T$1:$T$900,187),$T$1:$T$900,0))</f>
        <v>0</v>
      </c>
      <c r="V187">
        <f t="shared" si="62"/>
      </c>
      <c r="W187">
        <f t="shared" si="63"/>
      </c>
      <c r="CA187" s="2">
        <f>IF(往来单位!$C$190="甲方/总包",1,0)</f>
        <v>0</v>
      </c>
    </row>
    <row r="188">
      <c r="A188">
        <f>IF(项目档案!$B$50="","",TRIM(项目档案!$Q$50&amp;""))</f>
      </c>
      <c r="B188">
        <f t="shared" si="46"/>
      </c>
      <c r="C188">
        <f>IF(往来单位!$B$66="","",TRIM(往来单位!$D$66&amp;""))</f>
      </c>
      <c r="D188" t="str">
        <f>往来单位!$B$66&amp;""</f>
        <v>张小友</v>
      </c>
      <c r="N188" s="2">
        <f>N150+SUM(CA151:CA188)</f>
        <v>7</v>
      </c>
      <c r="P188">
        <f>IF(A188="",0,LEN(A188)*10000+9812)</f>
        <v>0</v>
      </c>
      <c r="Q188">
        <f>IF(LARGE($P$1:$P$240,188)=0,0,MATCH(LARGE($P$1:$P$240,188),$P$1:$P$240,0))</f>
        <v>0</v>
      </c>
      <c r="R188">
        <f t="shared" si="60"/>
      </c>
      <c r="S188">
        <f t="shared" si="61"/>
      </c>
      <c r="T188">
        <f>IF(C188="",0,LEN(C188)*10000+9812)</f>
        <v>0</v>
      </c>
      <c r="U188">
        <f>IF(LARGE($T$1:$T$900,188)=0,0,MATCH(LARGE($T$1:$T$900,188),$T$1:$T$900,0))</f>
        <v>0</v>
      </c>
      <c r="V188">
        <f t="shared" si="62"/>
      </c>
      <c r="W188">
        <f t="shared" si="63"/>
      </c>
      <c r="CA188" s="2">
        <f>IF(往来单位!$C$191="甲方/总包",1,0)</f>
        <v>0</v>
      </c>
    </row>
    <row r="189">
      <c r="A189">
        <f>IF(项目档案!$B$51="","",TRIM(项目档案!$B$51&amp;""))</f>
      </c>
      <c r="B189">
        <f t="shared" ref="B189:B192" si="47">项目档案!$B$51&amp;""</f>
      </c>
      <c r="C189">
        <f>IF(往来单位!$B$66="","",TRIM(往来单位!$E$66&amp;""))</f>
      </c>
      <c r="D189" t="str">
        <f>往来单位!$B$66&amp;""</f>
        <v>张小友</v>
      </c>
      <c r="N189" s="2">
        <f>N150+SUM(CA151:CA189)</f>
        <v>7</v>
      </c>
      <c r="P189">
        <f>IF(A189="",0,LEN(A189)*10000+9811)</f>
        <v>0</v>
      </c>
      <c r="Q189">
        <f>IF(LARGE($P$1:$P$240,189)=0,0,MATCH(LARGE($P$1:$P$240,189),$P$1:$P$240,0))</f>
        <v>0</v>
      </c>
      <c r="R189">
        <f t="shared" si="60"/>
      </c>
      <c r="S189">
        <f t="shared" si="61"/>
      </c>
      <c r="T189">
        <f>IF(C189="",0,LEN(C189)*10000+9811)</f>
        <v>0</v>
      </c>
      <c r="U189">
        <f>IF(LARGE($T$1:$T$900,189)=0,0,MATCH(LARGE($T$1:$T$900,189),$T$1:$T$900,0))</f>
        <v>0</v>
      </c>
      <c r="V189">
        <f t="shared" si="62"/>
      </c>
      <c r="W189">
        <f t="shared" si="63"/>
      </c>
      <c r="CA189" s="2">
        <f>IF(往来单位!$C$192="甲方/总包",1,0)</f>
        <v>0</v>
      </c>
    </row>
    <row r="190">
      <c r="A190">
        <f>IF(项目档案!$B$51="","",TRIM(项目档案!$O$51&amp;""))</f>
      </c>
      <c r="B190">
        <f t="shared" si="47"/>
      </c>
      <c r="C190" t="str">
        <f>IF(往来单位!$B$67="","",TRIM(往来单位!$B$67&amp;""))</f>
        <v>曹买生</v>
      </c>
      <c r="D190" t="str">
        <f>往来单位!$B$67&amp;""</f>
        <v>曹买生</v>
      </c>
      <c r="N190" s="2">
        <f>N150+SUM(CA151:CA190)</f>
        <v>7</v>
      </c>
      <c r="P190">
        <f>IF(A190="",0,LEN(A190)*10000+9810)</f>
        <v>0</v>
      </c>
      <c r="Q190">
        <f>IF(LARGE($P$1:$P$240,190)=0,0,MATCH(LARGE($P$1:$P$240,190),$P$1:$P$240,0))</f>
        <v>0</v>
      </c>
      <c r="R190">
        <f t="shared" si="60"/>
      </c>
      <c r="S190">
        <f t="shared" si="61"/>
      </c>
      <c r="T190">
        <f>IF(C190="",0,LEN(C190)*10000+9810)</f>
        <v>39810</v>
      </c>
      <c r="U190">
        <f>IF(LARGE($T$1:$T$900,190)=0,0,MATCH(LARGE($T$1:$T$900,190),$T$1:$T$900,0))</f>
        <v>0</v>
      </c>
      <c r="V190">
        <f t="shared" si="62"/>
      </c>
      <c r="W190">
        <f t="shared" si="63"/>
      </c>
      <c r="CA190" s="2">
        <f>IF(往来单位!$C$193="甲方/总包",1,0)</f>
        <v>0</v>
      </c>
    </row>
    <row r="191">
      <c r="A191">
        <f>IF(项目档案!$B$51="","",TRIM(项目档案!$P$51&amp;""))</f>
      </c>
      <c r="B191">
        <f t="shared" si="47"/>
      </c>
      <c r="C191">
        <f>IF(往来单位!$B$67="","",TRIM(往来单位!$D$67&amp;""))</f>
      </c>
      <c r="D191" t="str">
        <f>往来单位!$B$67&amp;""</f>
        <v>曹买生</v>
      </c>
      <c r="N191" s="2">
        <f>N150+SUM(CA151:CA191)</f>
        <v>7</v>
      </c>
      <c r="P191">
        <f>IF(A191="",0,LEN(A191)*10000+9809)</f>
        <v>0</v>
      </c>
      <c r="Q191">
        <f>IF(LARGE($P$1:$P$240,191)=0,0,MATCH(LARGE($P$1:$P$240,191),$P$1:$P$240,0))</f>
        <v>0</v>
      </c>
      <c r="R191">
        <f t="shared" si="60"/>
      </c>
      <c r="S191">
        <f t="shared" si="61"/>
      </c>
      <c r="T191">
        <f>IF(C191="",0,LEN(C191)*10000+9809)</f>
        <v>0</v>
      </c>
      <c r="U191">
        <f>IF(LARGE($T$1:$T$900,191)=0,0,MATCH(LARGE($T$1:$T$900,191),$T$1:$T$900,0))</f>
        <v>0</v>
      </c>
      <c r="V191">
        <f t="shared" si="62"/>
      </c>
      <c r="W191">
        <f t="shared" si="63"/>
      </c>
      <c r="CA191" s="2">
        <f>IF(往来单位!$C$194="甲方/总包",1,0)</f>
        <v>0</v>
      </c>
    </row>
    <row r="192">
      <c r="A192">
        <f>IF(项目档案!$B$51="","",TRIM(项目档案!$Q$51&amp;""))</f>
      </c>
      <c r="B192">
        <f t="shared" si="47"/>
      </c>
      <c r="C192">
        <f>IF(往来单位!$B$67="","",TRIM(往来单位!$E$67&amp;""))</f>
      </c>
      <c r="D192" t="str">
        <f>往来单位!$B$67&amp;""</f>
        <v>曹买生</v>
      </c>
      <c r="N192" s="2">
        <f>N150+SUM(CA151:CA192)</f>
        <v>7</v>
      </c>
      <c r="P192">
        <f>IF(A192="",0,LEN(A192)*10000+9808)</f>
        <v>0</v>
      </c>
      <c r="Q192">
        <f>IF(LARGE($P$1:$P$240,192)=0,0,MATCH(LARGE($P$1:$P$240,192),$P$1:$P$240,0))</f>
        <v>0</v>
      </c>
      <c r="R192">
        <f t="shared" si="60"/>
      </c>
      <c r="S192">
        <f t="shared" si="61"/>
      </c>
      <c r="T192">
        <f>IF(C192="",0,LEN(C192)*10000+9808)</f>
        <v>0</v>
      </c>
      <c r="U192">
        <f>IF(LARGE($T$1:$T$900,192)=0,0,MATCH(LARGE($T$1:$T$900,192),$T$1:$T$900,0))</f>
        <v>0</v>
      </c>
      <c r="V192">
        <f t="shared" si="62"/>
      </c>
      <c r="W192">
        <f t="shared" si="63"/>
      </c>
      <c r="CA192" s="2">
        <f>IF(往来单位!$C$195="甲方/总包",1,0)</f>
        <v>0</v>
      </c>
    </row>
    <row r="193">
      <c r="A193">
        <f>IF(项目档案!$B$52="","",TRIM(项目档案!$B$52&amp;""))</f>
      </c>
      <c r="B193">
        <f t="shared" ref="B193:B196" si="48">项目档案!$B$52&amp;""</f>
      </c>
      <c r="C193" t="str">
        <f>IF(往来单位!$B$68="","",TRIM(往来单位!$B$68&amp;""))</f>
        <v>刘桂水</v>
      </c>
      <c r="D193" t="str">
        <f>往来单位!$B$68&amp;""</f>
        <v>刘桂水</v>
      </c>
      <c r="N193" s="2">
        <f>N150+SUM(CA151:CA193)</f>
        <v>7</v>
      </c>
      <c r="P193">
        <f>IF(A193="",0,LEN(A193)*10000+9807)</f>
        <v>0</v>
      </c>
      <c r="Q193">
        <f>IF(LARGE($P$1:$P$240,193)=0,0,MATCH(LARGE($P$1:$P$240,193),$P$1:$P$240,0))</f>
        <v>0</v>
      </c>
      <c r="R193">
        <f t="shared" si="60"/>
      </c>
      <c r="S193">
        <f t="shared" si="61"/>
      </c>
      <c r="T193">
        <f>IF(C193="",0,LEN(C193)*10000+9807)</f>
        <v>39807</v>
      </c>
      <c r="U193">
        <f>IF(LARGE($T$1:$T$900,193)=0,0,MATCH(LARGE($T$1:$T$900,193),$T$1:$T$900,0))</f>
        <v>0</v>
      </c>
      <c r="V193">
        <f t="shared" si="62"/>
      </c>
      <c r="W193">
        <f t="shared" si="63"/>
      </c>
      <c r="CA193" s="2">
        <f>IF(往来单位!$C$196="甲方/总包",1,0)</f>
        <v>0</v>
      </c>
    </row>
    <row r="194">
      <c r="A194">
        <f>IF(项目档案!$B$52="","",TRIM(项目档案!$O$52&amp;""))</f>
      </c>
      <c r="B194">
        <f t="shared" si="48"/>
      </c>
      <c r="C194">
        <f>IF(往来单位!$B$68="","",TRIM(往来单位!$D$68&amp;""))</f>
      </c>
      <c r="D194" t="str">
        <f>往来单位!$B$68&amp;""</f>
        <v>刘桂水</v>
      </c>
      <c r="N194" s="2">
        <f>N150+SUM(CA151:CA194)</f>
        <v>7</v>
      </c>
      <c r="P194">
        <f>IF(A194="",0,LEN(A194)*10000+9806)</f>
        <v>0</v>
      </c>
      <c r="Q194">
        <f>IF(LARGE($P$1:$P$240,194)=0,0,MATCH(LARGE($P$1:$P$240,194),$P$1:$P$240,0))</f>
        <v>0</v>
      </c>
      <c r="R194">
        <f t="shared" si="60"/>
      </c>
      <c r="S194">
        <f t="shared" si="61"/>
      </c>
      <c r="T194">
        <f>IF(C194="",0,LEN(C194)*10000+9806)</f>
        <v>0</v>
      </c>
      <c r="U194">
        <f>IF(LARGE($T$1:$T$900,194)=0,0,MATCH(LARGE($T$1:$T$900,194),$T$1:$T$900,0))</f>
        <v>0</v>
      </c>
      <c r="V194">
        <f t="shared" si="62"/>
      </c>
      <c r="W194">
        <f t="shared" si="63"/>
      </c>
      <c r="CA194" s="2">
        <f>IF(往来单位!$C$197="甲方/总包",1,0)</f>
        <v>0</v>
      </c>
    </row>
    <row r="195">
      <c r="A195">
        <f>IF(项目档案!$B$52="","",TRIM(项目档案!$P$52&amp;""))</f>
      </c>
      <c r="B195">
        <f t="shared" si="48"/>
      </c>
      <c r="C195">
        <f>IF(往来单位!$B$68="","",TRIM(往来单位!$E$68&amp;""))</f>
      </c>
      <c r="D195" t="str">
        <f>往来单位!$B$68&amp;""</f>
        <v>刘桂水</v>
      </c>
      <c r="N195" s="2">
        <f>N150+SUM(CA151:CA195)</f>
        <v>7</v>
      </c>
      <c r="P195">
        <f>IF(A195="",0,LEN(A195)*10000+9805)</f>
        <v>0</v>
      </c>
      <c r="Q195">
        <f>IF(LARGE($P$1:$P$240,195)=0,0,MATCH(LARGE($P$1:$P$240,195),$P$1:$P$240,0))</f>
        <v>0</v>
      </c>
      <c r="R195">
        <f t="shared" si="60"/>
      </c>
      <c r="S195">
        <f t="shared" si="61"/>
      </c>
      <c r="T195">
        <f>IF(C195="",0,LEN(C195)*10000+9805)</f>
        <v>0</v>
      </c>
      <c r="U195">
        <f>IF(LARGE($T$1:$T$900,195)=0,0,MATCH(LARGE($T$1:$T$900,195),$T$1:$T$900,0))</f>
        <v>0</v>
      </c>
      <c r="V195">
        <f t="shared" si="62"/>
      </c>
      <c r="W195">
        <f t="shared" si="63"/>
      </c>
      <c r="CA195" s="2">
        <f>IF(往来单位!$C$198="甲方/总包",1,0)</f>
        <v>0</v>
      </c>
    </row>
    <row r="196">
      <c r="A196">
        <f>IF(项目档案!$B$52="","",TRIM(项目档案!$Q$52&amp;""))</f>
      </c>
      <c r="B196">
        <f t="shared" si="48"/>
      </c>
      <c r="C196" t="str">
        <f>IF(往来单位!$B$69="","",TRIM(往来单位!$B$69&amp;""))</f>
        <v>张小朋</v>
      </c>
      <c r="D196" t="str">
        <f>往来单位!$B$69&amp;""</f>
        <v>张小朋</v>
      </c>
      <c r="N196" s="2">
        <f>N150+SUM(CA151:CA196)</f>
        <v>7</v>
      </c>
      <c r="P196">
        <f>IF(A196="",0,LEN(A196)*10000+9804)</f>
        <v>0</v>
      </c>
      <c r="Q196">
        <f>IF(LARGE($P$1:$P$240,196)=0,0,MATCH(LARGE($P$1:$P$240,196),$P$1:$P$240,0))</f>
        <v>0</v>
      </c>
      <c r="R196">
        <f t="shared" si="60"/>
      </c>
      <c r="S196">
        <f t="shared" si="61"/>
      </c>
      <c r="T196">
        <f>IF(C196="",0,LEN(C196)*10000+9804)</f>
        <v>39804</v>
      </c>
      <c r="U196">
        <f>IF(LARGE($T$1:$T$900,196)=0,0,MATCH(LARGE($T$1:$T$900,196),$T$1:$T$900,0))</f>
        <v>0</v>
      </c>
      <c r="V196">
        <f t="shared" si="62"/>
      </c>
      <c r="W196">
        <f t="shared" si="63"/>
      </c>
      <c r="CA196" s="2">
        <f>IF(往来单位!$C$199="甲方/总包",1,0)</f>
        <v>0</v>
      </c>
    </row>
    <row r="197">
      <c r="A197">
        <f>IF(项目档案!$B$53="","",TRIM(项目档案!$B$53&amp;""))</f>
      </c>
      <c r="B197">
        <f t="shared" ref="B197:B200" si="49">项目档案!$B$53&amp;""</f>
      </c>
      <c r="C197">
        <f>IF(往来单位!$B$69="","",TRIM(往来单位!$D$69&amp;""))</f>
      </c>
      <c r="D197" t="str">
        <f>往来单位!$B$69&amp;""</f>
        <v>张小朋</v>
      </c>
      <c r="N197" s="2">
        <f>N150+SUM(CA151:CA197)</f>
        <v>7</v>
      </c>
      <c r="P197">
        <f>IF(A197="",0,LEN(A197)*10000+9803)</f>
        <v>0</v>
      </c>
      <c r="Q197">
        <f>IF(LARGE($P$1:$P$240,197)=0,0,MATCH(LARGE($P$1:$P$240,197),$P$1:$P$240,0))</f>
        <v>0</v>
      </c>
      <c r="R197">
        <f t="shared" si="60"/>
      </c>
      <c r="S197">
        <f t="shared" si="61"/>
      </c>
      <c r="T197">
        <f>IF(C197="",0,LEN(C197)*10000+9803)</f>
        <v>0</v>
      </c>
      <c r="U197">
        <f>IF(LARGE($T$1:$T$900,197)=0,0,MATCH(LARGE($T$1:$T$900,197),$T$1:$T$900,0))</f>
        <v>0</v>
      </c>
      <c r="V197">
        <f t="shared" si="62"/>
      </c>
      <c r="W197">
        <f t="shared" si="63"/>
      </c>
      <c r="CA197" s="2">
        <f>IF(往来单位!$C$200="甲方/总包",1,0)</f>
        <v>0</v>
      </c>
    </row>
    <row r="198">
      <c r="A198">
        <f>IF(项目档案!$B$53="","",TRIM(项目档案!$O$53&amp;""))</f>
      </c>
      <c r="B198">
        <f t="shared" si="49"/>
      </c>
      <c r="C198">
        <f>IF(往来单位!$B$69="","",TRIM(往来单位!$E$69&amp;""))</f>
      </c>
      <c r="D198" t="str">
        <f>往来单位!$B$69&amp;""</f>
        <v>张小朋</v>
      </c>
      <c r="N198" s="2">
        <f>N150+SUM(CA151:CA198)</f>
        <v>7</v>
      </c>
      <c r="P198">
        <f>IF(A198="",0,LEN(A198)*10000+9802)</f>
        <v>0</v>
      </c>
      <c r="Q198">
        <f>IF(LARGE($P$1:$P$240,198)=0,0,MATCH(LARGE($P$1:$P$240,198),$P$1:$P$240,0))</f>
        <v>0</v>
      </c>
      <c r="R198">
        <f t="shared" si="60"/>
      </c>
      <c r="S198">
        <f t="shared" si="61"/>
      </c>
      <c r="T198">
        <f>IF(C198="",0,LEN(C198)*10000+9802)</f>
        <v>0</v>
      </c>
      <c r="U198">
        <f>IF(LARGE($T$1:$T$900,198)=0,0,MATCH(LARGE($T$1:$T$900,198),$T$1:$T$900,0))</f>
        <v>0</v>
      </c>
      <c r="V198">
        <f t="shared" si="62"/>
      </c>
      <c r="W198">
        <f t="shared" si="63"/>
      </c>
      <c r="CA198" s="2">
        <f>IF(往来单位!$C$201="甲方/总包",1,0)</f>
        <v>0</v>
      </c>
    </row>
    <row r="199">
      <c r="A199">
        <f>IF(项目档案!$B$53="","",TRIM(项目档案!$P$53&amp;""))</f>
      </c>
      <c r="B199">
        <f t="shared" si="49"/>
      </c>
      <c r="C199" t="str">
        <f>IF(往来单位!$B$70="","",TRIM(往来单位!$B$70&amp;""))</f>
        <v>叶焰平</v>
      </c>
      <c r="D199" t="str">
        <f>往来单位!$B$70&amp;""</f>
        <v>叶焰平</v>
      </c>
      <c r="N199" s="2">
        <f>N150+SUM(CA151:CA199)</f>
        <v>7</v>
      </c>
      <c r="P199">
        <f>IF(A199="",0,LEN(A199)*10000+9801)</f>
        <v>0</v>
      </c>
      <c r="Q199">
        <f>IF(LARGE($P$1:$P$240,199)=0,0,MATCH(LARGE($P$1:$P$240,199),$P$1:$P$240,0))</f>
        <v>0</v>
      </c>
      <c r="R199">
        <f t="shared" si="60"/>
      </c>
      <c r="S199">
        <f t="shared" si="61"/>
      </c>
      <c r="T199">
        <f>IF(C199="",0,LEN(C199)*10000+9801)</f>
        <v>39801</v>
      </c>
      <c r="U199">
        <f>IF(LARGE($T$1:$T$900,199)=0,0,MATCH(LARGE($T$1:$T$900,199),$T$1:$T$900,0))</f>
        <v>0</v>
      </c>
      <c r="V199">
        <f t="shared" si="62"/>
      </c>
      <c r="W199">
        <f t="shared" si="63"/>
      </c>
      <c r="CA199" s="2">
        <f>IF(往来单位!$C$202="甲方/总包",1,0)</f>
        <v>0</v>
      </c>
    </row>
    <row r="200">
      <c r="A200">
        <f>IF(项目档案!$B$53="","",TRIM(项目档案!$Q$53&amp;""))</f>
      </c>
      <c r="B200">
        <f t="shared" si="49"/>
      </c>
      <c r="C200">
        <f>IF(往来单位!$B$70="","",TRIM(往来单位!$D$70&amp;""))</f>
      </c>
      <c r="D200" t="str">
        <f>往来单位!$B$70&amp;""</f>
        <v>叶焰平</v>
      </c>
      <c r="N200" s="2">
        <f>N150+SUM(CA151:CA200)</f>
        <v>7</v>
      </c>
      <c r="P200">
        <f>IF(A200="",0,LEN(A200)*10000+9800)</f>
        <v>0</v>
      </c>
      <c r="Q200">
        <f>IF(LARGE($P$1:$P$240,200)=0,0,MATCH(LARGE($P$1:$P$240,200),$P$1:$P$240,0))</f>
        <v>0</v>
      </c>
      <c r="R200">
        <f t="shared" si="60"/>
      </c>
      <c r="S200">
        <f t="shared" si="61"/>
      </c>
      <c r="T200">
        <f>IF(C200="",0,LEN(C200)*10000+9800)</f>
        <v>0</v>
      </c>
      <c r="U200">
        <f>IF(LARGE($T$1:$T$900,200)=0,0,MATCH(LARGE($T$1:$T$900,200),$T$1:$T$900,0))</f>
        <v>0</v>
      </c>
      <c r="V200">
        <f t="shared" si="62"/>
      </c>
      <c r="W200">
        <f t="shared" si="63"/>
      </c>
      <c r="CA200" s="2">
        <f>IF(往来单位!$C$203="甲方/总包",1,0)</f>
        <v>0</v>
      </c>
    </row>
    <row r="201">
      <c r="A201">
        <f>IF(项目档案!$B$54="","",TRIM(项目档案!$B$54&amp;""))</f>
      </c>
      <c r="B201">
        <f t="shared" ref="B201:B204" si="50">项目档案!$B$54&amp;""</f>
      </c>
      <c r="C201">
        <f>IF(往来单位!$B$70="","",TRIM(往来单位!$E$70&amp;""))</f>
      </c>
      <c r="D201" t="str">
        <f>往来单位!$B$70&amp;""</f>
        <v>叶焰平</v>
      </c>
      <c r="N201" s="2">
        <f>N200+SUM(CA201:CA201)</f>
        <v>7</v>
      </c>
      <c r="P201">
        <f>IF(A201="",0,LEN(A201)*10000+9799)</f>
        <v>0</v>
      </c>
      <c r="Q201">
        <f>IF(LARGE($P$1:$P$240,201)=0,0,MATCH(LARGE($P$1:$P$240,201),$P$1:$P$240,0))</f>
        <v>0</v>
      </c>
      <c r="R201">
        <f t="shared" si="60"/>
      </c>
      <c r="S201">
        <f t="shared" si="61"/>
      </c>
      <c r="T201">
        <f>IF(C201="",0,LEN(C201)*10000+9799)</f>
        <v>0</v>
      </c>
      <c r="U201">
        <f>IF(LARGE($T$1:$T$900,201)=0,0,MATCH(LARGE($T$1:$T$900,201),$T$1:$T$900,0))</f>
        <v>0</v>
      </c>
      <c r="V201">
        <f t="shared" si="62"/>
      </c>
      <c r="W201">
        <f t="shared" si="63"/>
      </c>
      <c r="CA201" s="2">
        <f>IF(往来单位!$C$204="甲方/总包",1,0)</f>
        <v>0</v>
      </c>
    </row>
    <row r="202">
      <c r="A202">
        <f>IF(项目档案!$B$54="","",TRIM(项目档案!$O$54&amp;""))</f>
      </c>
      <c r="B202">
        <f t="shared" si="50"/>
      </c>
      <c r="C202" t="str">
        <f>IF(往来单位!$B$71="","",TRIM(往来单位!$B$71&amp;""))</f>
        <v>张滨</v>
      </c>
      <c r="D202" t="str">
        <f>往来单位!$B$71&amp;""</f>
        <v>张滨</v>
      </c>
      <c r="N202" s="2">
        <f>N200+SUM(CA201:CA202)</f>
        <v>7</v>
      </c>
      <c r="P202">
        <f>IF(A202="",0,LEN(A202)*10000+9798)</f>
        <v>0</v>
      </c>
      <c r="Q202">
        <f>IF(LARGE($P$1:$P$240,202)=0,0,MATCH(LARGE($P$1:$P$240,202),$P$1:$P$240,0))</f>
        <v>0</v>
      </c>
      <c r="R202">
        <f t="shared" si="60"/>
      </c>
      <c r="S202">
        <f t="shared" si="61"/>
      </c>
      <c r="T202">
        <f>IF(C202="",0,LEN(C202)*10000+9798)</f>
        <v>29798</v>
      </c>
      <c r="U202">
        <f>IF(LARGE($T$1:$T$900,202)=0,0,MATCH(LARGE($T$1:$T$900,202),$T$1:$T$900,0))</f>
        <v>0</v>
      </c>
      <c r="V202">
        <f t="shared" si="62"/>
      </c>
      <c r="W202">
        <f t="shared" si="63"/>
      </c>
      <c r="CA202" s="2">
        <f>IF(往来单位!$C$205="甲方/总包",1,0)</f>
        <v>0</v>
      </c>
    </row>
    <row r="203">
      <c r="A203">
        <f>IF(项目档案!$B$54="","",TRIM(项目档案!$P$54&amp;""))</f>
      </c>
      <c r="B203">
        <f t="shared" si="50"/>
      </c>
      <c r="C203">
        <f>IF(往来单位!$B$71="","",TRIM(往来单位!$D$71&amp;""))</f>
      </c>
      <c r="D203" t="str">
        <f>往来单位!$B$71&amp;""</f>
        <v>张滨</v>
      </c>
      <c r="N203" s="2">
        <f>N200+SUM(CA201:CA203)</f>
        <v>7</v>
      </c>
      <c r="P203">
        <f>IF(A203="",0,LEN(A203)*10000+9797)</f>
        <v>0</v>
      </c>
      <c r="Q203">
        <f>IF(LARGE($P$1:$P$240,203)=0,0,MATCH(LARGE($P$1:$P$240,203),$P$1:$P$240,0))</f>
        <v>0</v>
      </c>
      <c r="R203">
        <f t="shared" si="60"/>
      </c>
      <c r="S203">
        <f t="shared" si="61"/>
      </c>
      <c r="T203">
        <f>IF(C203="",0,LEN(C203)*10000+9797)</f>
        <v>0</v>
      </c>
      <c r="U203">
        <f>IF(LARGE($T$1:$T$900,203)=0,0,MATCH(LARGE($T$1:$T$900,203),$T$1:$T$900,0))</f>
        <v>0</v>
      </c>
      <c r="V203">
        <f t="shared" si="62"/>
      </c>
      <c r="W203">
        <f t="shared" si="63"/>
      </c>
      <c r="CA203" s="2">
        <f>IF(往来单位!$C$206="甲方/总包",1,0)</f>
        <v>0</v>
      </c>
    </row>
    <row r="204">
      <c r="A204">
        <f>IF(项目档案!$B$54="","",TRIM(项目档案!$Q$54&amp;""))</f>
      </c>
      <c r="B204">
        <f t="shared" si="50"/>
      </c>
      <c r="C204">
        <f>IF(往来单位!$B$71="","",TRIM(往来单位!$E$71&amp;""))</f>
      </c>
      <c r="D204" t="str">
        <f>往来单位!$B$71&amp;""</f>
        <v>张滨</v>
      </c>
      <c r="N204" s="2">
        <f>N200+SUM(CA201:CA204)</f>
        <v>7</v>
      </c>
      <c r="P204">
        <f>IF(A204="",0,LEN(A204)*10000+9796)</f>
        <v>0</v>
      </c>
      <c r="Q204">
        <f>IF(LARGE($P$1:$P$240,204)=0,0,MATCH(LARGE($P$1:$P$240,204),$P$1:$P$240,0))</f>
        <v>0</v>
      </c>
      <c r="R204">
        <f t="shared" si="60"/>
      </c>
      <c r="S204">
        <f t="shared" si="61"/>
      </c>
      <c r="T204">
        <f>IF(C204="",0,LEN(C204)*10000+9796)</f>
        <v>0</v>
      </c>
      <c r="U204">
        <f>IF(LARGE($T$1:$T$900,204)=0,0,MATCH(LARGE($T$1:$T$900,204),$T$1:$T$900,0))</f>
        <v>0</v>
      </c>
      <c r="V204">
        <f t="shared" si="62"/>
      </c>
      <c r="W204">
        <f t="shared" si="63"/>
      </c>
      <c r="CA204" s="2">
        <f>IF(往来单位!$C$207="甲方/总包",1,0)</f>
        <v>0</v>
      </c>
    </row>
    <row r="205">
      <c r="A205">
        <f>IF(项目档案!$B$55="","",TRIM(项目档案!$B$55&amp;""))</f>
      </c>
      <c r="B205">
        <f t="shared" ref="B205:B208" si="51">项目档案!$B$55&amp;""</f>
      </c>
      <c r="C205" t="str">
        <f>IF(往来单位!$B$72="","",TRIM(往来单位!$B$72&amp;""))</f>
        <v>张淑平</v>
      </c>
      <c r="D205" t="str">
        <f>往来单位!$B$72&amp;""</f>
        <v>张淑平</v>
      </c>
      <c r="N205" s="2">
        <f>N200+SUM(CA201:CA205)</f>
        <v>7</v>
      </c>
      <c r="P205">
        <f>IF(A205="",0,LEN(A205)*10000+9795)</f>
        <v>0</v>
      </c>
      <c r="Q205">
        <f>IF(LARGE($P$1:$P$240,205)=0,0,MATCH(LARGE($P$1:$P$240,205),$P$1:$P$240,0))</f>
        <v>0</v>
      </c>
      <c r="R205">
        <f t="shared" si="60"/>
      </c>
      <c r="S205">
        <f t="shared" si="61"/>
      </c>
      <c r="T205">
        <f>IF(C205="",0,LEN(C205)*10000+9795)</f>
        <v>39795</v>
      </c>
      <c r="U205">
        <f>IF(LARGE($T$1:$T$900,205)=0,0,MATCH(LARGE($T$1:$T$900,205),$T$1:$T$900,0))</f>
        <v>0</v>
      </c>
      <c r="V205">
        <f t="shared" si="62"/>
      </c>
      <c r="W205">
        <f t="shared" si="63"/>
      </c>
      <c r="CA205" s="2">
        <f>IF(往来单位!$C$208="甲方/总包",1,0)</f>
        <v>0</v>
      </c>
    </row>
    <row r="206">
      <c r="A206">
        <f>IF(项目档案!$B$55="","",TRIM(项目档案!$O$55&amp;""))</f>
      </c>
      <c r="B206">
        <f t="shared" si="51"/>
      </c>
      <c r="C206">
        <f>IF(往来单位!$B$72="","",TRIM(往来单位!$D$72&amp;""))</f>
      </c>
      <c r="D206" t="str">
        <f>往来单位!$B$72&amp;""</f>
        <v>张淑平</v>
      </c>
      <c r="N206" s="2">
        <f>N200+SUM(CA201:CA206)</f>
        <v>7</v>
      </c>
      <c r="P206">
        <f>IF(A206="",0,LEN(A206)*10000+9794)</f>
        <v>0</v>
      </c>
      <c r="Q206">
        <f>IF(LARGE($P$1:$P$240,206)=0,0,MATCH(LARGE($P$1:$P$240,206),$P$1:$P$240,0))</f>
        <v>0</v>
      </c>
      <c r="R206">
        <f t="shared" si="60"/>
      </c>
      <c r="S206">
        <f t="shared" si="61"/>
      </c>
      <c r="T206">
        <f>IF(C206="",0,LEN(C206)*10000+9794)</f>
        <v>0</v>
      </c>
      <c r="U206">
        <f>IF(LARGE($T$1:$T$900,206)=0,0,MATCH(LARGE($T$1:$T$900,206),$T$1:$T$900,0))</f>
        <v>0</v>
      </c>
      <c r="V206">
        <f t="shared" si="62"/>
      </c>
      <c r="W206">
        <f t="shared" si="63"/>
      </c>
      <c r="CA206" s="2">
        <f>IF(往来单位!$C$209="甲方/总包",1,0)</f>
        <v>0</v>
      </c>
    </row>
    <row r="207">
      <c r="A207">
        <f>IF(项目档案!$B$55="","",TRIM(项目档案!$P$55&amp;""))</f>
      </c>
      <c r="B207">
        <f t="shared" si="51"/>
      </c>
      <c r="C207">
        <f>IF(往来单位!$B$72="","",TRIM(往来单位!$E$72&amp;""))</f>
      </c>
      <c r="D207" t="str">
        <f>往来单位!$B$72&amp;""</f>
        <v>张淑平</v>
      </c>
      <c r="N207" s="2">
        <f>N200+SUM(CA201:CA207)</f>
        <v>7</v>
      </c>
      <c r="P207">
        <f>IF(A207="",0,LEN(A207)*10000+9793)</f>
        <v>0</v>
      </c>
      <c r="Q207">
        <f>IF(LARGE($P$1:$P$240,207)=0,0,MATCH(LARGE($P$1:$P$240,207),$P$1:$P$240,0))</f>
        <v>0</v>
      </c>
      <c r="R207">
        <f t="shared" si="60"/>
      </c>
      <c r="S207">
        <f t="shared" si="61"/>
      </c>
      <c r="T207">
        <f>IF(C207="",0,LEN(C207)*10000+9793)</f>
        <v>0</v>
      </c>
      <c r="U207">
        <f>IF(LARGE($T$1:$T$900,207)=0,0,MATCH(LARGE($T$1:$T$900,207),$T$1:$T$900,0))</f>
        <v>0</v>
      </c>
      <c r="V207">
        <f t="shared" si="62"/>
      </c>
      <c r="W207">
        <f t="shared" si="63"/>
      </c>
      <c r="CA207" s="2">
        <f>IF(往来单位!$C$210="甲方/总包",1,0)</f>
        <v>0</v>
      </c>
    </row>
    <row r="208">
      <c r="A208">
        <f>IF(项目档案!$B$55="","",TRIM(项目档案!$Q$55&amp;""))</f>
      </c>
      <c r="B208">
        <f t="shared" si="51"/>
      </c>
      <c r="C208" t="str">
        <f>IF(往来单位!$B$73="","",TRIM(往来单位!$B$73&amp;""))</f>
        <v>聂辉</v>
      </c>
      <c r="D208" t="str">
        <f>往来单位!$B$73&amp;""</f>
        <v>聂辉</v>
      </c>
      <c r="N208" s="2">
        <f>N200+SUM(CA201:CA208)</f>
        <v>7</v>
      </c>
      <c r="P208">
        <f>IF(A208="",0,LEN(A208)*10000+9792)</f>
        <v>0</v>
      </c>
      <c r="Q208">
        <f>IF(LARGE($P$1:$P$240,208)=0,0,MATCH(LARGE($P$1:$P$240,208),$P$1:$P$240,0))</f>
        <v>0</v>
      </c>
      <c r="R208">
        <f t="shared" si="60"/>
      </c>
      <c r="S208">
        <f t="shared" si="61"/>
      </c>
      <c r="T208">
        <f>IF(C208="",0,LEN(C208)*10000+9792)</f>
        <v>29792</v>
      </c>
      <c r="U208">
        <f>IF(LARGE($T$1:$T$900,208)=0,0,MATCH(LARGE($T$1:$T$900,208),$T$1:$T$900,0))</f>
        <v>0</v>
      </c>
      <c r="V208">
        <f t="shared" si="62"/>
      </c>
      <c r="W208">
        <f t="shared" si="63"/>
      </c>
      <c r="CA208" s="2">
        <f>IF(往来单位!$C$211="甲方/总包",1,0)</f>
        <v>0</v>
      </c>
    </row>
    <row r="209">
      <c r="A209">
        <f>IF(项目档案!$B$56="","",TRIM(项目档案!$B$56&amp;""))</f>
      </c>
      <c r="B209">
        <f t="shared" ref="B209:B212" si="52">项目档案!$B$56&amp;""</f>
      </c>
      <c r="C209">
        <f>IF(往来单位!$B$73="","",TRIM(往来单位!$D$73&amp;""))</f>
      </c>
      <c r="D209" t="str">
        <f>往来单位!$B$73&amp;""</f>
        <v>聂辉</v>
      </c>
      <c r="N209" s="2">
        <f>N200+SUM(CA201:CA209)</f>
        <v>7</v>
      </c>
      <c r="P209">
        <f>IF(A209="",0,LEN(A209)*10000+9791)</f>
        <v>0</v>
      </c>
      <c r="Q209">
        <f>IF(LARGE($P$1:$P$240,209)=0,0,MATCH(LARGE($P$1:$P$240,209),$P$1:$P$240,0))</f>
        <v>0</v>
      </c>
      <c r="R209">
        <f t="shared" si="60"/>
      </c>
      <c r="S209">
        <f t="shared" si="61"/>
      </c>
      <c r="T209">
        <f>IF(C209="",0,LEN(C209)*10000+9791)</f>
        <v>0</v>
      </c>
      <c r="U209">
        <f>IF(LARGE($T$1:$T$900,209)=0,0,MATCH(LARGE($T$1:$T$900,209),$T$1:$T$900,0))</f>
        <v>0</v>
      </c>
      <c r="V209">
        <f t="shared" si="62"/>
      </c>
      <c r="W209">
        <f t="shared" si="63"/>
      </c>
      <c r="CA209" s="2">
        <f>IF(往来单位!$C$212="甲方/总包",1,0)</f>
        <v>0</v>
      </c>
    </row>
    <row r="210">
      <c r="A210">
        <f>IF(项目档案!$B$56="","",TRIM(项目档案!$O$56&amp;""))</f>
      </c>
      <c r="B210">
        <f t="shared" si="52"/>
      </c>
      <c r="C210">
        <f>IF(往来单位!$B$73="","",TRIM(往来单位!$E$73&amp;""))</f>
      </c>
      <c r="D210" t="str">
        <f>往来单位!$B$73&amp;""</f>
        <v>聂辉</v>
      </c>
      <c r="N210" s="2">
        <f>N200+SUM(CA201:CA210)</f>
        <v>7</v>
      </c>
      <c r="P210">
        <f>IF(A210="",0,LEN(A210)*10000+9790)</f>
        <v>0</v>
      </c>
      <c r="Q210">
        <f>IF(LARGE($P$1:$P$240,210)=0,0,MATCH(LARGE($P$1:$P$240,210),$P$1:$P$240,0))</f>
        <v>0</v>
      </c>
      <c r="R210">
        <f t="shared" si="60"/>
      </c>
      <c r="S210">
        <f t="shared" si="61"/>
      </c>
      <c r="T210">
        <f>IF(C210="",0,LEN(C210)*10000+9790)</f>
        <v>0</v>
      </c>
      <c r="U210">
        <f>IF(LARGE($T$1:$T$900,210)=0,0,MATCH(LARGE($T$1:$T$900,210),$T$1:$T$900,0))</f>
        <v>0</v>
      </c>
      <c r="V210">
        <f t="shared" si="62"/>
      </c>
      <c r="W210">
        <f t="shared" si="63"/>
      </c>
      <c r="CA210" s="2">
        <f>IF(往来单位!$C$213="甲方/总包",1,0)</f>
        <v>0</v>
      </c>
    </row>
    <row r="211">
      <c r="A211">
        <f>IF(项目档案!$B$56="","",TRIM(项目档案!$P$56&amp;""))</f>
      </c>
      <c r="B211">
        <f t="shared" si="52"/>
      </c>
      <c r="C211" t="str">
        <f>IF(往来单位!$B$74="","",TRIM(往来单位!$B$74&amp;""))</f>
        <v>王伟</v>
      </c>
      <c r="D211" t="str">
        <f>往来单位!$B$74&amp;""</f>
        <v>王伟</v>
      </c>
      <c r="N211" s="2">
        <f>N200+SUM(CA201:CA211)</f>
        <v>7</v>
      </c>
      <c r="P211">
        <f>IF(A211="",0,LEN(A211)*10000+9789)</f>
        <v>0</v>
      </c>
      <c r="Q211">
        <f>IF(LARGE($P$1:$P$240,211)=0,0,MATCH(LARGE($P$1:$P$240,211),$P$1:$P$240,0))</f>
        <v>0</v>
      </c>
      <c r="R211">
        <f t="shared" si="60"/>
      </c>
      <c r="S211">
        <f t="shared" si="61"/>
      </c>
      <c r="T211">
        <f>IF(C211="",0,LEN(C211)*10000+9789)</f>
        <v>29789</v>
      </c>
      <c r="U211">
        <f>IF(LARGE($T$1:$T$900,211)=0,0,MATCH(LARGE($T$1:$T$900,211),$T$1:$T$900,0))</f>
        <v>0</v>
      </c>
      <c r="V211">
        <f t="shared" si="62"/>
      </c>
      <c r="W211">
        <f t="shared" si="63"/>
      </c>
      <c r="CA211" s="2">
        <f>IF(往来单位!$C$214="甲方/总包",1,0)</f>
        <v>0</v>
      </c>
    </row>
    <row r="212">
      <c r="A212">
        <f>IF(项目档案!$B$56="","",TRIM(项目档案!$Q$56&amp;""))</f>
      </c>
      <c r="B212">
        <f t="shared" si="52"/>
      </c>
      <c r="C212">
        <f>IF(往来单位!$B$74="","",TRIM(往来单位!$D$74&amp;""))</f>
      </c>
      <c r="D212" t="str">
        <f>往来单位!$B$74&amp;""</f>
        <v>王伟</v>
      </c>
      <c r="N212" s="2">
        <f>N200+SUM(CA201:CA212)</f>
        <v>7</v>
      </c>
      <c r="P212">
        <f>IF(A212="",0,LEN(A212)*10000+9788)</f>
        <v>0</v>
      </c>
      <c r="Q212">
        <f>IF(LARGE($P$1:$P$240,212)=0,0,MATCH(LARGE($P$1:$P$240,212),$P$1:$P$240,0))</f>
        <v>0</v>
      </c>
      <c r="R212">
        <f t="shared" si="60"/>
      </c>
      <c r="S212">
        <f t="shared" si="61"/>
      </c>
      <c r="T212">
        <f>IF(C212="",0,LEN(C212)*10000+9788)</f>
        <v>0</v>
      </c>
      <c r="U212">
        <f>IF(LARGE($T$1:$T$900,212)=0,0,MATCH(LARGE($T$1:$T$900,212),$T$1:$T$900,0))</f>
        <v>0</v>
      </c>
      <c r="V212">
        <f t="shared" si="62"/>
      </c>
      <c r="W212">
        <f t="shared" si="63"/>
      </c>
      <c r="CA212" s="2">
        <f>IF(往来单位!$C$215="甲方/总包",1,0)</f>
        <v>0</v>
      </c>
    </row>
    <row r="213">
      <c r="A213">
        <f>IF(项目档案!$B$57="","",TRIM(项目档案!$B$57&amp;""))</f>
      </c>
      <c r="B213">
        <f t="shared" ref="B213:B216" si="53">项目档案!$B$57&amp;""</f>
      </c>
      <c r="C213">
        <f>IF(往来单位!$B$74="","",TRIM(往来单位!$E$74&amp;""))</f>
      </c>
      <c r="D213" t="str">
        <f>往来单位!$B$74&amp;""</f>
        <v>王伟</v>
      </c>
      <c r="N213" s="2">
        <f>N200+SUM(CA201:CA213)</f>
        <v>7</v>
      </c>
      <c r="P213">
        <f>IF(A213="",0,LEN(A213)*10000+9787)</f>
        <v>0</v>
      </c>
      <c r="Q213">
        <f>IF(LARGE($P$1:$P$240,213)=0,0,MATCH(LARGE($P$1:$P$240,213),$P$1:$P$240,0))</f>
        <v>0</v>
      </c>
      <c r="R213">
        <f t="shared" si="60"/>
      </c>
      <c r="S213">
        <f t="shared" si="61"/>
      </c>
      <c r="T213">
        <f>IF(C213="",0,LEN(C213)*10000+9787)</f>
        <v>0</v>
      </c>
      <c r="U213">
        <f>IF(LARGE($T$1:$T$900,213)=0,0,MATCH(LARGE($T$1:$T$900,213),$T$1:$T$900,0))</f>
        <v>0</v>
      </c>
      <c r="V213">
        <f t="shared" si="62"/>
      </c>
      <c r="W213">
        <f t="shared" si="63"/>
      </c>
      <c r="CA213" s="2">
        <f>IF(往来单位!$C$216="甲方/总包",1,0)</f>
        <v>0</v>
      </c>
    </row>
    <row r="214">
      <c r="A214">
        <f>IF(项目档案!$B$57="","",TRIM(项目档案!$O$57&amp;""))</f>
      </c>
      <c r="B214">
        <f t="shared" si="53"/>
      </c>
      <c r="C214" t="str">
        <f>IF(往来单位!$B$75="","",TRIM(往来单位!$B$75&amp;""))</f>
        <v>姚俊强</v>
      </c>
      <c r="D214" t="str">
        <f>往来单位!$B$75&amp;""</f>
        <v>姚俊强</v>
      </c>
      <c r="N214" s="2">
        <f>N200+SUM(CA201:CA214)</f>
        <v>7</v>
      </c>
      <c r="P214">
        <f>IF(A214="",0,LEN(A214)*10000+9786)</f>
        <v>0</v>
      </c>
      <c r="Q214">
        <f>IF(LARGE($P$1:$P$240,214)=0,0,MATCH(LARGE($P$1:$P$240,214),$P$1:$P$240,0))</f>
        <v>0</v>
      </c>
      <c r="R214">
        <f t="shared" si="60"/>
      </c>
      <c r="S214">
        <f t="shared" si="61"/>
      </c>
      <c r="T214">
        <f>IF(C214="",0,LEN(C214)*10000+9786)</f>
        <v>39786</v>
      </c>
      <c r="U214">
        <f>IF(LARGE($T$1:$T$900,214)=0,0,MATCH(LARGE($T$1:$T$900,214),$T$1:$T$900,0))</f>
        <v>0</v>
      </c>
      <c r="V214">
        <f t="shared" si="62"/>
      </c>
      <c r="W214">
        <f t="shared" si="63"/>
      </c>
      <c r="CA214" s="2">
        <f>IF(往来单位!$C$217="甲方/总包",1,0)</f>
        <v>0</v>
      </c>
    </row>
    <row r="215">
      <c r="A215">
        <f>IF(项目档案!$B$57="","",TRIM(项目档案!$P$57&amp;""))</f>
      </c>
      <c r="B215">
        <f t="shared" si="53"/>
      </c>
      <c r="C215">
        <f>IF(往来单位!$B$75="","",TRIM(往来单位!$D$75&amp;""))</f>
      </c>
      <c r="D215" t="str">
        <f>往来单位!$B$75&amp;""</f>
        <v>姚俊强</v>
      </c>
      <c r="N215" s="2">
        <f>N200+SUM(CA201:CA215)</f>
        <v>7</v>
      </c>
      <c r="P215">
        <f>IF(A215="",0,LEN(A215)*10000+9785)</f>
        <v>0</v>
      </c>
      <c r="Q215">
        <f>IF(LARGE($P$1:$P$240,215)=0,0,MATCH(LARGE($P$1:$P$240,215),$P$1:$P$240,0))</f>
        <v>0</v>
      </c>
      <c r="R215">
        <f t="shared" si="60"/>
      </c>
      <c r="S215">
        <f t="shared" si="61"/>
      </c>
      <c r="T215">
        <f>IF(C215="",0,LEN(C215)*10000+9785)</f>
        <v>0</v>
      </c>
      <c r="U215">
        <f>IF(LARGE($T$1:$T$900,215)=0,0,MATCH(LARGE($T$1:$T$900,215),$T$1:$T$900,0))</f>
        <v>0</v>
      </c>
      <c r="V215">
        <f t="shared" si="62"/>
      </c>
      <c r="W215">
        <f t="shared" si="63"/>
      </c>
      <c r="CA215" s="2">
        <f>IF(往来单位!$C$218="甲方/总包",1,0)</f>
        <v>0</v>
      </c>
    </row>
    <row r="216">
      <c r="A216">
        <f>IF(项目档案!$B$57="","",TRIM(项目档案!$Q$57&amp;""))</f>
      </c>
      <c r="B216">
        <f t="shared" si="53"/>
      </c>
      <c r="C216">
        <f>IF(往来单位!$B$75="","",TRIM(往来单位!$E$75&amp;""))</f>
      </c>
      <c r="D216" t="str">
        <f>往来单位!$B$75&amp;""</f>
        <v>姚俊强</v>
      </c>
      <c r="N216" s="2">
        <f>N200+SUM(CA201:CA216)</f>
        <v>7</v>
      </c>
      <c r="P216">
        <f>IF(A216="",0,LEN(A216)*10000+9784)</f>
        <v>0</v>
      </c>
      <c r="Q216">
        <f>IF(LARGE($P$1:$P$240,216)=0,0,MATCH(LARGE($P$1:$P$240,216),$P$1:$P$240,0))</f>
        <v>0</v>
      </c>
      <c r="R216">
        <f t="shared" si="60"/>
      </c>
      <c r="S216">
        <f t="shared" si="61"/>
      </c>
      <c r="T216">
        <f>IF(C216="",0,LEN(C216)*10000+9784)</f>
        <v>0</v>
      </c>
      <c r="U216">
        <f>IF(LARGE($T$1:$T$900,216)=0,0,MATCH(LARGE($T$1:$T$900,216),$T$1:$T$900,0))</f>
        <v>0</v>
      </c>
      <c r="V216">
        <f t="shared" si="62"/>
      </c>
      <c r="W216">
        <f t="shared" si="63"/>
      </c>
      <c r="CA216" s="2">
        <f>IF(往来单位!$C$219="甲方/总包",1,0)</f>
        <v>0</v>
      </c>
    </row>
    <row r="217">
      <c r="A217">
        <f>IF(项目档案!$B$58="","",TRIM(项目档案!$B$58&amp;""))</f>
      </c>
      <c r="B217">
        <f t="shared" ref="B217:B220" si="54">项目档案!$B$58&amp;""</f>
      </c>
      <c r="C217" t="str">
        <f>IF(往来单位!$B$76="","",TRIM(往来单位!$B$76&amp;""))</f>
        <v>陈德银</v>
      </c>
      <c r="D217" t="str">
        <f>往来单位!$B$76&amp;""</f>
        <v>陈德银</v>
      </c>
      <c r="N217" s="2">
        <f>N200+SUM(CA201:CA217)</f>
        <v>7</v>
      </c>
      <c r="P217">
        <f>IF(A217="",0,LEN(A217)*10000+9783)</f>
        <v>0</v>
      </c>
      <c r="Q217">
        <f>IF(LARGE($P$1:$P$240,217)=0,0,MATCH(LARGE($P$1:$P$240,217),$P$1:$P$240,0))</f>
        <v>0</v>
      </c>
      <c r="R217">
        <f t="shared" si="60"/>
      </c>
      <c r="S217">
        <f t="shared" si="61"/>
      </c>
      <c r="T217">
        <f>IF(C217="",0,LEN(C217)*10000+9783)</f>
        <v>39783</v>
      </c>
      <c r="U217">
        <f>IF(LARGE($T$1:$T$900,217)=0,0,MATCH(LARGE($T$1:$T$900,217),$T$1:$T$900,0))</f>
        <v>0</v>
      </c>
      <c r="V217">
        <f t="shared" si="62"/>
      </c>
      <c r="W217">
        <f t="shared" si="63"/>
      </c>
      <c r="CA217" s="2">
        <f>IF(往来单位!$C$220="甲方/总包",1,0)</f>
        <v>0</v>
      </c>
    </row>
    <row r="218">
      <c r="A218">
        <f>IF(项目档案!$B$58="","",TRIM(项目档案!$O$58&amp;""))</f>
      </c>
      <c r="B218">
        <f t="shared" si="54"/>
      </c>
      <c r="C218">
        <f>IF(往来单位!$B$76="","",TRIM(往来单位!$D$76&amp;""))</f>
      </c>
      <c r="D218" t="str">
        <f>往来单位!$B$76&amp;""</f>
        <v>陈德银</v>
      </c>
      <c r="N218" s="2">
        <f>N200+SUM(CA201:CA218)</f>
        <v>7</v>
      </c>
      <c r="P218">
        <f>IF(A218="",0,LEN(A218)*10000+9782)</f>
        <v>0</v>
      </c>
      <c r="Q218">
        <f>IF(LARGE($P$1:$P$240,218)=0,0,MATCH(LARGE($P$1:$P$240,218),$P$1:$P$240,0))</f>
        <v>0</v>
      </c>
      <c r="R218">
        <f t="shared" si="60"/>
      </c>
      <c r="S218">
        <f t="shared" si="61"/>
      </c>
      <c r="T218">
        <f>IF(C218="",0,LEN(C218)*10000+9782)</f>
        <v>0</v>
      </c>
      <c r="U218">
        <f>IF(LARGE($T$1:$T$900,218)=0,0,MATCH(LARGE($T$1:$T$900,218),$T$1:$T$900,0))</f>
        <v>0</v>
      </c>
      <c r="V218">
        <f t="shared" si="62"/>
      </c>
      <c r="W218">
        <f t="shared" si="63"/>
      </c>
      <c r="CA218" s="2">
        <f>IF(往来单位!$C$221="甲方/总包",1,0)</f>
        <v>0</v>
      </c>
    </row>
    <row r="219">
      <c r="A219">
        <f>IF(项目档案!$B$58="","",TRIM(项目档案!$P$58&amp;""))</f>
      </c>
      <c r="B219">
        <f t="shared" si="54"/>
      </c>
      <c r="C219">
        <f>IF(往来单位!$B$76="","",TRIM(往来单位!$E$76&amp;""))</f>
      </c>
      <c r="D219" t="str">
        <f>往来单位!$B$76&amp;""</f>
        <v>陈德银</v>
      </c>
      <c r="N219" s="2">
        <f>N200+SUM(CA201:CA219)</f>
        <v>7</v>
      </c>
      <c r="P219">
        <f>IF(A219="",0,LEN(A219)*10000+9781)</f>
        <v>0</v>
      </c>
      <c r="Q219">
        <f>IF(LARGE($P$1:$P$240,219)=0,0,MATCH(LARGE($P$1:$P$240,219),$P$1:$P$240,0))</f>
        <v>0</v>
      </c>
      <c r="R219">
        <f t="shared" si="60"/>
      </c>
      <c r="S219">
        <f t="shared" si="61"/>
      </c>
      <c r="T219">
        <f>IF(C219="",0,LEN(C219)*10000+9781)</f>
        <v>0</v>
      </c>
      <c r="U219">
        <f>IF(LARGE($T$1:$T$900,219)=0,0,MATCH(LARGE($T$1:$T$900,219),$T$1:$T$900,0))</f>
        <v>0</v>
      </c>
      <c r="V219">
        <f t="shared" si="62"/>
      </c>
      <c r="W219">
        <f t="shared" si="63"/>
      </c>
      <c r="CA219" s="2">
        <f>IF(往来单位!$C$222="甲方/总包",1,0)</f>
        <v>0</v>
      </c>
    </row>
    <row r="220">
      <c r="A220">
        <f>IF(项目档案!$B$58="","",TRIM(项目档案!$Q$58&amp;""))</f>
      </c>
      <c r="B220">
        <f t="shared" si="54"/>
      </c>
      <c r="C220" t="str">
        <f>IF(往来单位!$B$77="","",TRIM(往来单位!$B$77&amp;""))</f>
        <v>邓付贞</v>
      </c>
      <c r="D220" t="str">
        <f>往来单位!$B$77&amp;""</f>
        <v>邓付贞</v>
      </c>
      <c r="N220" s="2">
        <f>N200+SUM(CA201:CA220)</f>
        <v>7</v>
      </c>
      <c r="P220">
        <f>IF(A220="",0,LEN(A220)*10000+9780)</f>
        <v>0</v>
      </c>
      <c r="Q220">
        <f>IF(LARGE($P$1:$P$240,220)=0,0,MATCH(LARGE($P$1:$P$240,220),$P$1:$P$240,0))</f>
        <v>0</v>
      </c>
      <c r="R220">
        <f t="shared" si="60"/>
      </c>
      <c r="S220">
        <f t="shared" si="61"/>
      </c>
      <c r="T220">
        <f>IF(C220="",0,LEN(C220)*10000+9780)</f>
        <v>39780</v>
      </c>
      <c r="U220">
        <f>IF(LARGE($T$1:$T$900,220)=0,0,MATCH(LARGE($T$1:$T$900,220),$T$1:$T$900,0))</f>
        <v>0</v>
      </c>
      <c r="V220">
        <f t="shared" si="62"/>
      </c>
      <c r="W220">
        <f t="shared" si="63"/>
      </c>
      <c r="CA220" s="2">
        <f>IF(往来单位!$C$223="甲方/总包",1,0)</f>
        <v>0</v>
      </c>
    </row>
    <row r="221">
      <c r="A221">
        <f>IF(项目档案!$B$59="","",TRIM(项目档案!$B$59&amp;""))</f>
      </c>
      <c r="B221">
        <f t="shared" ref="B221:B224" si="55">项目档案!$B$59&amp;""</f>
      </c>
      <c r="C221">
        <f>IF(往来单位!$B$77="","",TRIM(往来单位!$D$77&amp;""))</f>
      </c>
      <c r="D221" t="str">
        <f>往来单位!$B$77&amp;""</f>
        <v>邓付贞</v>
      </c>
      <c r="N221" s="2">
        <f>N200+SUM(CA201:CA221)</f>
        <v>7</v>
      </c>
      <c r="P221">
        <f>IF(A221="",0,LEN(A221)*10000+9779)</f>
        <v>0</v>
      </c>
      <c r="Q221">
        <f>IF(LARGE($P$1:$P$240,221)=0,0,MATCH(LARGE($P$1:$P$240,221),$P$1:$P$240,0))</f>
        <v>0</v>
      </c>
      <c r="R221">
        <f t="shared" si="60"/>
      </c>
      <c r="S221">
        <f t="shared" si="61"/>
      </c>
      <c r="T221">
        <f>IF(C221="",0,LEN(C221)*10000+9779)</f>
        <v>0</v>
      </c>
      <c r="U221">
        <f>IF(LARGE($T$1:$T$900,221)=0,0,MATCH(LARGE($T$1:$T$900,221),$T$1:$T$900,0))</f>
        <v>0</v>
      </c>
      <c r="V221">
        <f t="shared" si="62"/>
      </c>
      <c r="W221">
        <f t="shared" si="63"/>
      </c>
      <c r="CA221" s="2">
        <f>IF(往来单位!$C$224="甲方/总包",1,0)</f>
        <v>0</v>
      </c>
    </row>
    <row r="222">
      <c r="A222">
        <f>IF(项目档案!$B$59="","",TRIM(项目档案!$O$59&amp;""))</f>
      </c>
      <c r="B222">
        <f t="shared" si="55"/>
      </c>
      <c r="C222">
        <f>IF(往来单位!$B$77="","",TRIM(往来单位!$E$77&amp;""))</f>
      </c>
      <c r="D222" t="str">
        <f>往来单位!$B$77&amp;""</f>
        <v>邓付贞</v>
      </c>
      <c r="N222" s="2">
        <f>N200+SUM(CA201:CA222)</f>
        <v>7</v>
      </c>
      <c r="P222">
        <f>IF(A222="",0,LEN(A222)*10000+9778)</f>
        <v>0</v>
      </c>
      <c r="Q222">
        <f>IF(LARGE($P$1:$P$240,222)=0,0,MATCH(LARGE($P$1:$P$240,222),$P$1:$P$240,0))</f>
        <v>0</v>
      </c>
      <c r="R222">
        <f t="shared" si="60"/>
      </c>
      <c r="S222">
        <f t="shared" si="61"/>
      </c>
      <c r="T222">
        <f>IF(C222="",0,LEN(C222)*10000+9778)</f>
        <v>0</v>
      </c>
      <c r="U222">
        <f>IF(LARGE($T$1:$T$900,222)=0,0,MATCH(LARGE($T$1:$T$900,222),$T$1:$T$900,0))</f>
        <v>0</v>
      </c>
      <c r="V222">
        <f t="shared" si="62"/>
      </c>
      <c r="W222">
        <f t="shared" si="63"/>
      </c>
      <c r="CA222" s="2">
        <f>IF(往来单位!$C$225="甲方/总包",1,0)</f>
        <v>0</v>
      </c>
    </row>
    <row r="223">
      <c r="A223">
        <f>IF(项目档案!$B$59="","",TRIM(项目档案!$P$59&amp;""))</f>
      </c>
      <c r="B223">
        <f t="shared" si="55"/>
      </c>
      <c r="C223" t="str">
        <f>IF(往来单位!$B$78="","",TRIM(往来单位!$B$78&amp;""))</f>
        <v>桂木生</v>
      </c>
      <c r="D223" t="str">
        <f>往来单位!$B$78&amp;""</f>
        <v>桂木生</v>
      </c>
      <c r="N223" s="2">
        <f>N200+SUM(CA201:CA223)</f>
        <v>7</v>
      </c>
      <c r="P223">
        <f>IF(A223="",0,LEN(A223)*10000+9777)</f>
        <v>0</v>
      </c>
      <c r="Q223">
        <f>IF(LARGE($P$1:$P$240,223)=0,0,MATCH(LARGE($P$1:$P$240,223),$P$1:$P$240,0))</f>
        <v>0</v>
      </c>
      <c r="R223">
        <f t="shared" si="60"/>
      </c>
      <c r="S223">
        <f t="shared" si="61"/>
      </c>
      <c r="T223">
        <f>IF(C223="",0,LEN(C223)*10000+9777)</f>
        <v>39777</v>
      </c>
      <c r="U223">
        <f>IF(LARGE($T$1:$T$900,223)=0,0,MATCH(LARGE($T$1:$T$900,223),$T$1:$T$900,0))</f>
        <v>0</v>
      </c>
      <c r="V223">
        <f t="shared" si="62"/>
      </c>
      <c r="W223">
        <f t="shared" si="63"/>
      </c>
      <c r="CA223" s="2">
        <f>IF(往来单位!$C$226="甲方/总包",1,0)</f>
        <v>0</v>
      </c>
    </row>
    <row r="224">
      <c r="A224">
        <f>IF(项目档案!$B$59="","",TRIM(项目档案!$Q$59&amp;""))</f>
      </c>
      <c r="B224">
        <f t="shared" si="55"/>
      </c>
      <c r="C224">
        <f>IF(往来单位!$B$78="","",TRIM(往来单位!$D$78&amp;""))</f>
      </c>
      <c r="D224" t="str">
        <f>往来单位!$B$78&amp;""</f>
        <v>桂木生</v>
      </c>
      <c r="N224" s="2">
        <f>N200+SUM(CA201:CA224)</f>
        <v>7</v>
      </c>
      <c r="P224">
        <f>IF(A224="",0,LEN(A224)*10000+9776)</f>
        <v>0</v>
      </c>
      <c r="Q224">
        <f>IF(LARGE($P$1:$P$240,224)=0,0,MATCH(LARGE($P$1:$P$240,224),$P$1:$P$240,0))</f>
        <v>0</v>
      </c>
      <c r="R224">
        <f t="shared" si="60"/>
      </c>
      <c r="S224">
        <f t="shared" si="61"/>
      </c>
      <c r="T224">
        <f>IF(C224="",0,LEN(C224)*10000+9776)</f>
        <v>0</v>
      </c>
      <c r="U224">
        <f>IF(LARGE($T$1:$T$900,224)=0,0,MATCH(LARGE($T$1:$T$900,224),$T$1:$T$900,0))</f>
        <v>0</v>
      </c>
      <c r="V224">
        <f t="shared" si="62"/>
      </c>
      <c r="W224">
        <f t="shared" si="63"/>
      </c>
      <c r="CA224" s="2">
        <f>IF(往来单位!$C$227="甲方/总包",1,0)</f>
        <v>0</v>
      </c>
    </row>
    <row r="225">
      <c r="A225">
        <f>IF(项目档案!$B$60="","",TRIM(项目档案!$B$60&amp;""))</f>
      </c>
      <c r="B225">
        <f t="shared" ref="B225:B228" si="56">项目档案!$B$60&amp;""</f>
      </c>
      <c r="C225">
        <f>IF(往来单位!$B$78="","",TRIM(往来单位!$E$78&amp;""))</f>
      </c>
      <c r="D225" t="str">
        <f>往来单位!$B$78&amp;""</f>
        <v>桂木生</v>
      </c>
      <c r="N225" s="2">
        <f>N200+SUM(CA201:CA225)</f>
        <v>7</v>
      </c>
      <c r="P225">
        <f>IF(A225="",0,LEN(A225)*10000+9775)</f>
        <v>0</v>
      </c>
      <c r="Q225">
        <f>IF(LARGE($P$1:$P$240,225)=0,0,MATCH(LARGE($P$1:$P$240,225),$P$1:$P$240,0))</f>
        <v>0</v>
      </c>
      <c r="R225">
        <f t="shared" si="60"/>
      </c>
      <c r="S225">
        <f t="shared" si="61"/>
      </c>
      <c r="T225">
        <f>IF(C225="",0,LEN(C225)*10000+9775)</f>
        <v>0</v>
      </c>
      <c r="U225">
        <f>IF(LARGE($T$1:$T$900,225)=0,0,MATCH(LARGE($T$1:$T$900,225),$T$1:$T$900,0))</f>
        <v>0</v>
      </c>
      <c r="V225">
        <f t="shared" si="62"/>
      </c>
      <c r="W225">
        <f t="shared" si="63"/>
      </c>
      <c r="CA225" s="2">
        <f>IF(往来单位!$C$228="甲方/总包",1,0)</f>
        <v>0</v>
      </c>
    </row>
    <row r="226">
      <c r="A226">
        <f>IF(项目档案!$B$60="","",TRIM(项目档案!$O$60&amp;""))</f>
      </c>
      <c r="B226">
        <f t="shared" si="56"/>
      </c>
      <c r="C226" t="str">
        <f>IF(往来单位!$B$79="","",TRIM(往来单位!$B$79&amp;""))</f>
        <v>徐平</v>
      </c>
      <c r="D226" t="str">
        <f>往来单位!$B$79&amp;""</f>
        <v>徐平</v>
      </c>
      <c r="N226" s="2">
        <f>N200+SUM(CA201:CA226)</f>
        <v>7</v>
      </c>
      <c r="P226">
        <f>IF(A226="",0,LEN(A226)*10000+9774)</f>
        <v>0</v>
      </c>
      <c r="Q226">
        <f>IF(LARGE($P$1:$P$240,226)=0,0,MATCH(LARGE($P$1:$P$240,226),$P$1:$P$240,0))</f>
        <v>0</v>
      </c>
      <c r="R226">
        <f t="shared" si="60"/>
      </c>
      <c r="S226">
        <f t="shared" si="61"/>
      </c>
      <c r="T226">
        <f>IF(C226="",0,LEN(C226)*10000+9774)</f>
        <v>29774</v>
      </c>
      <c r="U226">
        <f>IF(LARGE($T$1:$T$900,226)=0,0,MATCH(LARGE($T$1:$T$900,226),$T$1:$T$900,0))</f>
        <v>0</v>
      </c>
      <c r="V226">
        <f t="shared" si="62"/>
      </c>
      <c r="W226">
        <f t="shared" si="63"/>
      </c>
      <c r="CA226" s="2">
        <f>IF(往来单位!$C$229="甲方/总包",1,0)</f>
        <v>0</v>
      </c>
    </row>
    <row r="227">
      <c r="A227">
        <f>IF(项目档案!$B$60="","",TRIM(项目档案!$P$60&amp;""))</f>
      </c>
      <c r="B227">
        <f t="shared" si="56"/>
      </c>
      <c r="C227">
        <f>IF(往来单位!$B$79="","",TRIM(往来单位!$D$79&amp;""))</f>
      </c>
      <c r="D227" t="str">
        <f>往来单位!$B$79&amp;""</f>
        <v>徐平</v>
      </c>
      <c r="N227" s="2">
        <f>N200+SUM(CA201:CA227)</f>
        <v>7</v>
      </c>
      <c r="P227">
        <f>IF(A227="",0,LEN(A227)*10000+9773)</f>
        <v>0</v>
      </c>
      <c r="Q227">
        <f>IF(LARGE($P$1:$P$240,227)=0,0,MATCH(LARGE($P$1:$P$240,227),$P$1:$P$240,0))</f>
        <v>0</v>
      </c>
      <c r="R227">
        <f t="shared" si="60"/>
      </c>
      <c r="S227">
        <f t="shared" si="61"/>
      </c>
      <c r="T227">
        <f>IF(C227="",0,LEN(C227)*10000+9773)</f>
        <v>0</v>
      </c>
      <c r="U227">
        <f>IF(LARGE($T$1:$T$900,227)=0,0,MATCH(LARGE($T$1:$T$900,227),$T$1:$T$900,0))</f>
        <v>0</v>
      </c>
      <c r="V227">
        <f t="shared" si="62"/>
      </c>
      <c r="W227">
        <f t="shared" si="63"/>
      </c>
      <c r="CA227" s="2">
        <f>IF(往来单位!$C$230="甲方/总包",1,0)</f>
        <v>0</v>
      </c>
    </row>
    <row r="228">
      <c r="A228">
        <f>IF(项目档案!$B$60="","",TRIM(项目档案!$Q$60&amp;""))</f>
      </c>
      <c r="B228">
        <f t="shared" si="56"/>
      </c>
      <c r="C228">
        <f>IF(往来单位!$B$79="","",TRIM(往来单位!$E$79&amp;""))</f>
      </c>
      <c r="D228" t="str">
        <f>往来单位!$B$79&amp;""</f>
        <v>徐平</v>
      </c>
      <c r="N228" s="2">
        <f>N200+SUM(CA201:CA228)</f>
        <v>7</v>
      </c>
      <c r="P228">
        <f>IF(A228="",0,LEN(A228)*10000+9772)</f>
        <v>0</v>
      </c>
      <c r="Q228">
        <f>IF(LARGE($P$1:$P$240,228)=0,0,MATCH(LARGE($P$1:$P$240,228),$P$1:$P$240,0))</f>
        <v>0</v>
      </c>
      <c r="R228">
        <f t="shared" si="60"/>
      </c>
      <c r="S228">
        <f t="shared" si="61"/>
      </c>
      <c r="T228">
        <f>IF(C228="",0,LEN(C228)*10000+9772)</f>
        <v>0</v>
      </c>
      <c r="U228">
        <f>IF(LARGE($T$1:$T$900,228)=0,0,MATCH(LARGE($T$1:$T$900,228),$T$1:$T$900,0))</f>
        <v>0</v>
      </c>
      <c r="V228">
        <f t="shared" si="62"/>
      </c>
      <c r="W228">
        <f t="shared" si="63"/>
      </c>
      <c r="CA228" s="2">
        <f>IF(往来单位!$C$231="甲方/总包",1,0)</f>
        <v>0</v>
      </c>
    </row>
    <row r="229">
      <c r="A229">
        <f>IF(项目档案!$B$61="","",TRIM(项目档案!$B$61&amp;""))</f>
      </c>
      <c r="B229">
        <f t="shared" ref="B229:B232" si="57">项目档案!$B$61&amp;""</f>
      </c>
      <c r="C229" t="str">
        <f>IF(往来单位!$B$80="","",TRIM(往来单位!$B$80&amp;""))</f>
        <v>朱俊英</v>
      </c>
      <c r="D229" t="str">
        <f>往来单位!$B$80&amp;""</f>
        <v>朱俊英</v>
      </c>
      <c r="N229" s="2">
        <f>N200+SUM(CA201:CA229)</f>
        <v>7</v>
      </c>
      <c r="P229">
        <f>IF(A229="",0,LEN(A229)*10000+9771)</f>
        <v>0</v>
      </c>
      <c r="Q229">
        <f>IF(LARGE($P$1:$P$240,229)=0,0,MATCH(LARGE($P$1:$P$240,229),$P$1:$P$240,0))</f>
        <v>0</v>
      </c>
      <c r="R229">
        <f t="shared" si="60"/>
      </c>
      <c r="S229">
        <f t="shared" si="61"/>
      </c>
      <c r="T229">
        <f>IF(C229="",0,LEN(C229)*10000+9771)</f>
        <v>39771</v>
      </c>
      <c r="U229">
        <f>IF(LARGE($T$1:$T$900,229)=0,0,MATCH(LARGE($T$1:$T$900,229),$T$1:$T$900,0))</f>
        <v>0</v>
      </c>
      <c r="V229">
        <f t="shared" si="62"/>
      </c>
      <c r="W229">
        <f t="shared" si="63"/>
      </c>
      <c r="CA229" s="2">
        <f>IF(往来单位!$C$232="甲方/总包",1,0)</f>
        <v>0</v>
      </c>
    </row>
    <row r="230">
      <c r="A230">
        <f>IF(项目档案!$B$61="","",TRIM(项目档案!$O$61&amp;""))</f>
      </c>
      <c r="B230">
        <f t="shared" si="57"/>
      </c>
      <c r="C230">
        <f>IF(往来单位!$B$80="","",TRIM(往来单位!$D$80&amp;""))</f>
      </c>
      <c r="D230" t="str">
        <f>往来单位!$B$80&amp;""</f>
        <v>朱俊英</v>
      </c>
      <c r="N230" s="2">
        <f>N200+SUM(CA201:CA230)</f>
        <v>7</v>
      </c>
      <c r="P230">
        <f>IF(A230="",0,LEN(A230)*10000+9770)</f>
        <v>0</v>
      </c>
      <c r="Q230">
        <f>IF(LARGE($P$1:$P$240,230)=0,0,MATCH(LARGE($P$1:$P$240,230),$P$1:$P$240,0))</f>
        <v>0</v>
      </c>
      <c r="R230">
        <f t="shared" si="60"/>
      </c>
      <c r="S230">
        <f t="shared" si="61"/>
      </c>
      <c r="T230">
        <f>IF(C230="",0,LEN(C230)*10000+9770)</f>
        <v>0</v>
      </c>
      <c r="U230">
        <f>IF(LARGE($T$1:$T$900,230)=0,0,MATCH(LARGE($T$1:$T$900,230),$T$1:$T$900,0))</f>
        <v>0</v>
      </c>
      <c r="V230">
        <f t="shared" si="62"/>
      </c>
      <c r="W230">
        <f t="shared" si="63"/>
      </c>
      <c r="CA230" s="2">
        <f>IF(往来单位!$C$233="甲方/总包",1,0)</f>
        <v>0</v>
      </c>
    </row>
    <row r="231">
      <c r="A231">
        <f>IF(项目档案!$B$61="","",TRIM(项目档案!$P$61&amp;""))</f>
      </c>
      <c r="B231">
        <f t="shared" si="57"/>
      </c>
      <c r="C231">
        <f>IF(往来单位!$B$80="","",TRIM(往来单位!$E$80&amp;""))</f>
      </c>
      <c r="D231" t="str">
        <f>往来单位!$B$80&amp;""</f>
        <v>朱俊英</v>
      </c>
      <c r="N231" s="2">
        <f>N200+SUM(CA201:CA231)</f>
        <v>7</v>
      </c>
      <c r="P231">
        <f>IF(A231="",0,LEN(A231)*10000+9769)</f>
        <v>0</v>
      </c>
      <c r="Q231">
        <f>IF(LARGE($P$1:$P$240,231)=0,0,MATCH(LARGE($P$1:$P$240,231),$P$1:$P$240,0))</f>
        <v>0</v>
      </c>
      <c r="R231">
        <f t="shared" si="60"/>
      </c>
      <c r="S231">
        <f t="shared" si="61"/>
      </c>
      <c r="T231">
        <f>IF(C231="",0,LEN(C231)*10000+9769)</f>
        <v>0</v>
      </c>
      <c r="U231">
        <f>IF(LARGE($T$1:$T$900,231)=0,0,MATCH(LARGE($T$1:$T$900,231),$T$1:$T$900,0))</f>
        <v>0</v>
      </c>
      <c r="V231">
        <f t="shared" si="62"/>
      </c>
      <c r="W231">
        <f t="shared" si="63"/>
      </c>
      <c r="CA231" s="2">
        <f>IF(往来单位!$C$234="甲方/总包",1,0)</f>
        <v>0</v>
      </c>
    </row>
    <row r="232">
      <c r="A232">
        <f>IF(项目档案!$B$61="","",TRIM(项目档案!$Q$61&amp;""))</f>
      </c>
      <c r="B232">
        <f t="shared" si="57"/>
      </c>
      <c r="C232" t="str">
        <f>IF(往来单位!$B$81="","",TRIM(往来单位!$B$81&amp;""))</f>
        <v>彭海飞</v>
      </c>
      <c r="D232" t="str">
        <f>往来单位!$B$81&amp;""</f>
        <v>彭海飞</v>
      </c>
      <c r="N232" s="2">
        <f>N200+SUM(CA201:CA232)</f>
        <v>7</v>
      </c>
      <c r="P232">
        <f>IF(A232="",0,LEN(A232)*10000+9768)</f>
        <v>0</v>
      </c>
      <c r="Q232">
        <f>IF(LARGE($P$1:$P$240,232)=0,0,MATCH(LARGE($P$1:$P$240,232),$P$1:$P$240,0))</f>
        <v>0</v>
      </c>
      <c r="R232">
        <f t="shared" si="60"/>
      </c>
      <c r="S232">
        <f t="shared" si="61"/>
      </c>
      <c r="T232">
        <f>IF(C232="",0,LEN(C232)*10000+9768)</f>
        <v>39768</v>
      </c>
      <c r="U232">
        <f>IF(LARGE($T$1:$T$900,232)=0,0,MATCH(LARGE($T$1:$T$900,232),$T$1:$T$900,0))</f>
        <v>0</v>
      </c>
      <c r="V232">
        <f t="shared" si="62"/>
      </c>
      <c r="W232">
        <f t="shared" si="63"/>
      </c>
      <c r="CA232" s="2">
        <f>IF(往来单位!$C$235="甲方/总包",1,0)</f>
        <v>0</v>
      </c>
    </row>
    <row r="233">
      <c r="A233">
        <f>IF(项目档案!$B$62="","",TRIM(项目档案!$B$62&amp;""))</f>
      </c>
      <c r="B233">
        <f t="shared" ref="B233:B236" si="58">项目档案!$B$62&amp;""</f>
      </c>
      <c r="C233">
        <f>IF(往来单位!$B$81="","",TRIM(往来单位!$D$81&amp;""))</f>
      </c>
      <c r="D233" t="str">
        <f>往来单位!$B$81&amp;""</f>
        <v>彭海飞</v>
      </c>
      <c r="N233" s="2">
        <f>N200+SUM(CA201:CA233)</f>
        <v>7</v>
      </c>
      <c r="P233">
        <f>IF(A233="",0,LEN(A233)*10000+9767)</f>
        <v>0</v>
      </c>
      <c r="Q233">
        <f>IF(LARGE($P$1:$P$240,233)=0,0,MATCH(LARGE($P$1:$P$240,233),$P$1:$P$240,0))</f>
        <v>0</v>
      </c>
      <c r="R233">
        <f t="shared" si="60"/>
      </c>
      <c r="S233">
        <f t="shared" si="61"/>
      </c>
      <c r="T233">
        <f>IF(C233="",0,LEN(C233)*10000+9767)</f>
        <v>0</v>
      </c>
      <c r="U233">
        <f>IF(LARGE($T$1:$T$900,233)=0,0,MATCH(LARGE($T$1:$T$900,233),$T$1:$T$900,0))</f>
        <v>0</v>
      </c>
      <c r="V233">
        <f t="shared" si="62"/>
      </c>
      <c r="W233">
        <f t="shared" si="63"/>
      </c>
      <c r="CA233" s="2">
        <f>IF(往来单位!$C$236="甲方/总包",1,0)</f>
        <v>0</v>
      </c>
    </row>
    <row r="234">
      <c r="A234">
        <f>IF(项目档案!$B$62="","",TRIM(项目档案!$O$62&amp;""))</f>
      </c>
      <c r="B234">
        <f t="shared" si="58"/>
      </c>
      <c r="C234">
        <f>IF(往来单位!$B$81="","",TRIM(往来单位!$E$81&amp;""))</f>
      </c>
      <c r="D234" t="str">
        <f>往来单位!$B$81&amp;""</f>
        <v>彭海飞</v>
      </c>
      <c r="N234" s="2">
        <f>N200+SUM(CA201:CA234)</f>
        <v>7</v>
      </c>
      <c r="P234">
        <f>IF(A234="",0,LEN(A234)*10000+9766)</f>
        <v>0</v>
      </c>
      <c r="Q234">
        <f>IF(LARGE($P$1:$P$240,234)=0,0,MATCH(LARGE($P$1:$P$240,234),$P$1:$P$240,0))</f>
        <v>0</v>
      </c>
      <c r="R234">
        <f t="shared" si="60"/>
      </c>
      <c r="S234">
        <f t="shared" si="61"/>
      </c>
      <c r="T234">
        <f>IF(C234="",0,LEN(C234)*10000+9766)</f>
        <v>0</v>
      </c>
      <c r="U234">
        <f>IF(LARGE($T$1:$T$900,234)=0,0,MATCH(LARGE($T$1:$T$900,234),$T$1:$T$900,0))</f>
        <v>0</v>
      </c>
      <c r="V234">
        <f t="shared" si="62"/>
      </c>
      <c r="W234">
        <f t="shared" si="63"/>
      </c>
      <c r="CA234" s="2">
        <f>IF(往来单位!$C$237="甲方/总包",1,0)</f>
        <v>0</v>
      </c>
    </row>
    <row r="235">
      <c r="A235">
        <f>IF(项目档案!$B$62="","",TRIM(项目档案!$P$62&amp;""))</f>
      </c>
      <c r="B235">
        <f t="shared" si="58"/>
      </c>
      <c r="C235" t="str">
        <f>IF(往来单位!$B$82="","",TRIM(往来单位!$B$82&amp;""))</f>
        <v>钟磊</v>
      </c>
      <c r="D235" t="str">
        <f>往来单位!$B$82&amp;""</f>
        <v>钟磊</v>
      </c>
      <c r="N235" s="2">
        <f>N200+SUM(CA201:CA235)</f>
        <v>7</v>
      </c>
      <c r="P235">
        <f>IF(A235="",0,LEN(A235)*10000+9765)</f>
        <v>0</v>
      </c>
      <c r="Q235">
        <f>IF(LARGE($P$1:$P$240,235)=0,0,MATCH(LARGE($P$1:$P$240,235),$P$1:$P$240,0))</f>
        <v>0</v>
      </c>
      <c r="R235">
        <f t="shared" si="60"/>
      </c>
      <c r="S235">
        <f t="shared" si="61"/>
      </c>
      <c r="T235">
        <f>IF(C235="",0,LEN(C235)*10000+9765)</f>
        <v>29765</v>
      </c>
      <c r="U235">
        <f>IF(LARGE($T$1:$T$900,235)=0,0,MATCH(LARGE($T$1:$T$900,235),$T$1:$T$900,0))</f>
        <v>0</v>
      </c>
      <c r="V235">
        <f t="shared" si="62"/>
      </c>
      <c r="W235">
        <f t="shared" si="63"/>
      </c>
      <c r="CA235" s="2">
        <f>IF(往来单位!$C$238="甲方/总包",1,0)</f>
        <v>0</v>
      </c>
    </row>
    <row r="236">
      <c r="A236">
        <f>IF(项目档案!$B$62="","",TRIM(项目档案!$Q$62&amp;""))</f>
      </c>
      <c r="B236">
        <f t="shared" si="58"/>
      </c>
      <c r="C236">
        <f>IF(往来单位!$B$82="","",TRIM(往来单位!$D$82&amp;""))</f>
      </c>
      <c r="D236" t="str">
        <f>往来单位!$B$82&amp;""</f>
        <v>钟磊</v>
      </c>
      <c r="N236" s="2">
        <f>N200+SUM(CA201:CA236)</f>
        <v>7</v>
      </c>
      <c r="P236">
        <f>IF(A236="",0,LEN(A236)*10000+9764)</f>
        <v>0</v>
      </c>
      <c r="Q236">
        <f>IF(LARGE($P$1:$P$240,236)=0,0,MATCH(LARGE($P$1:$P$240,236),$P$1:$P$240,0))</f>
        <v>0</v>
      </c>
      <c r="R236">
        <f t="shared" si="60"/>
      </c>
      <c r="S236">
        <f t="shared" si="61"/>
      </c>
      <c r="T236">
        <f>IF(C236="",0,LEN(C236)*10000+9764)</f>
        <v>0</v>
      </c>
      <c r="U236">
        <f>IF(LARGE($T$1:$T$900,236)=0,0,MATCH(LARGE($T$1:$T$900,236),$T$1:$T$900,0))</f>
        <v>0</v>
      </c>
      <c r="V236">
        <f t="shared" si="62"/>
      </c>
      <c r="W236">
        <f t="shared" si="63"/>
      </c>
      <c r="CA236" s="2">
        <f>IF(往来单位!$C$239="甲方/总包",1,0)</f>
        <v>0</v>
      </c>
    </row>
    <row r="237">
      <c r="A237">
        <f>IF(项目档案!$B$63="","",TRIM(项目档案!$B$63&amp;""))</f>
      </c>
      <c r="B237">
        <f t="shared" ref="B237:B240" si="59">项目档案!$B$63&amp;""</f>
      </c>
      <c r="C237">
        <f>IF(往来单位!$B$82="","",TRIM(往来单位!$E$82&amp;""))</f>
      </c>
      <c r="D237" t="str">
        <f>往来单位!$B$82&amp;""</f>
        <v>钟磊</v>
      </c>
      <c r="N237" s="2">
        <f>N200+SUM(CA201:CA237)</f>
        <v>7</v>
      </c>
      <c r="P237">
        <f>IF(A237="",0,LEN(A237)*10000+9763)</f>
        <v>0</v>
      </c>
      <c r="Q237">
        <f>IF(LARGE($P$1:$P$240,237)=0,0,MATCH(LARGE($P$1:$P$240,237),$P$1:$P$240,0))</f>
        <v>0</v>
      </c>
      <c r="R237">
        <f t="shared" si="60"/>
      </c>
      <c r="S237">
        <f t="shared" si="61"/>
      </c>
      <c r="T237">
        <f>IF(C237="",0,LEN(C237)*10000+9763)</f>
        <v>0</v>
      </c>
      <c r="U237">
        <f>IF(LARGE($T$1:$T$900,237)=0,0,MATCH(LARGE($T$1:$T$900,237),$T$1:$T$900,0))</f>
        <v>0</v>
      </c>
      <c r="V237">
        <f t="shared" si="62"/>
      </c>
      <c r="W237">
        <f t="shared" si="63"/>
      </c>
      <c r="CA237" s="2">
        <f>IF(往来单位!$C$240="甲方/总包",1,0)</f>
        <v>0</v>
      </c>
    </row>
    <row r="238">
      <c r="A238">
        <f>IF(项目档案!$B$63="","",TRIM(项目档案!$O$63&amp;""))</f>
      </c>
      <c r="B238">
        <f t="shared" si="59"/>
      </c>
      <c r="C238" t="str">
        <f>IF(往来单位!$B$83="","",TRIM(往来单位!$B$83&amp;""))</f>
        <v>朱博文</v>
      </c>
      <c r="D238" t="str">
        <f>往来单位!$B$83&amp;""</f>
        <v>朱博文</v>
      </c>
      <c r="N238" s="2">
        <f>N200+SUM(CA201:CA238)</f>
        <v>7</v>
      </c>
      <c r="P238">
        <f>IF(A238="",0,LEN(A238)*10000+9762)</f>
        <v>0</v>
      </c>
      <c r="Q238">
        <f>IF(LARGE($P$1:$P$240,238)=0,0,MATCH(LARGE($P$1:$P$240,238),$P$1:$P$240,0))</f>
        <v>0</v>
      </c>
      <c r="R238">
        <f t="shared" si="60"/>
      </c>
      <c r="S238">
        <f t="shared" si="61"/>
      </c>
      <c r="T238">
        <f>IF(C238="",0,LEN(C238)*10000+9762)</f>
        <v>39762</v>
      </c>
      <c r="U238">
        <f>IF(LARGE($T$1:$T$900,238)=0,0,MATCH(LARGE($T$1:$T$900,238),$T$1:$T$900,0))</f>
        <v>0</v>
      </c>
      <c r="V238">
        <f t="shared" si="62"/>
      </c>
      <c r="W238">
        <f t="shared" si="63"/>
      </c>
      <c r="CA238" s="2">
        <f>IF(往来单位!$C$241="甲方/总包",1,0)</f>
        <v>0</v>
      </c>
    </row>
    <row r="239">
      <c r="A239">
        <f>IF(项目档案!$B$63="","",TRIM(项目档案!$P$63&amp;""))</f>
      </c>
      <c r="B239">
        <f t="shared" si="59"/>
      </c>
      <c r="C239">
        <f>IF(往来单位!$B$83="","",TRIM(往来单位!$D$83&amp;""))</f>
      </c>
      <c r="D239" t="str">
        <f>往来单位!$B$83&amp;""</f>
        <v>朱博文</v>
      </c>
      <c r="N239" s="2">
        <f>N200+SUM(CA201:CA239)</f>
        <v>7</v>
      </c>
      <c r="P239">
        <f>IF(A239="",0,LEN(A239)*10000+9761)</f>
        <v>0</v>
      </c>
      <c r="Q239">
        <f>IF(LARGE($P$1:$P$240,239)=0,0,MATCH(LARGE($P$1:$P$240,239),$P$1:$P$240,0))</f>
        <v>0</v>
      </c>
      <c r="R239">
        <f t="shared" si="60"/>
      </c>
      <c r="S239">
        <f t="shared" si="61"/>
      </c>
      <c r="T239">
        <f>IF(C239="",0,LEN(C239)*10000+9761)</f>
        <v>0</v>
      </c>
      <c r="U239">
        <f>IF(LARGE($T$1:$T$900,239)=0,0,MATCH(LARGE($T$1:$T$900,239),$T$1:$T$900,0))</f>
        <v>0</v>
      </c>
      <c r="V239">
        <f t="shared" si="62"/>
      </c>
      <c r="W239">
        <f t="shared" si="63"/>
      </c>
      <c r="CA239" s="2">
        <f>IF(往来单位!$C$242="甲方/总包",1,0)</f>
        <v>0</v>
      </c>
    </row>
    <row r="240">
      <c r="A240">
        <f>IF(项目档案!$B$63="","",TRIM(项目档案!$Q$63&amp;""))</f>
      </c>
      <c r="B240">
        <f t="shared" si="59"/>
      </c>
      <c r="C240">
        <f>IF(往来单位!$B$83="","",TRIM(往来单位!$E$83&amp;""))</f>
      </c>
      <c r="D240" t="str">
        <f>往来单位!$B$83&amp;""</f>
        <v>朱博文</v>
      </c>
      <c r="N240" s="2">
        <f>N200+SUM(CA201:CA240)</f>
        <v>7</v>
      </c>
      <c r="P240">
        <f>IF(A240="",0,LEN(A240)*10000+9760)</f>
        <v>0</v>
      </c>
      <c r="Q240">
        <f>IF(LARGE($P$1:$P$240,240)=0,0,MATCH(LARGE($P$1:$P$240,240),$P$1:$P$240,0))</f>
        <v>0</v>
      </c>
      <c r="R240">
        <f t="shared" si="60"/>
      </c>
      <c r="S240">
        <f t="shared" si="61"/>
      </c>
      <c r="T240">
        <f>IF(C240="",0,LEN(C240)*10000+9760)</f>
        <v>0</v>
      </c>
      <c r="U240">
        <f>IF(LARGE($T$1:$T$900,240)=0,0,MATCH(LARGE($T$1:$T$900,240),$T$1:$T$900,0))</f>
        <v>0</v>
      </c>
      <c r="V240">
        <f t="shared" si="62"/>
      </c>
      <c r="W240">
        <f t="shared" si="63"/>
      </c>
      <c r="CA240" s="2">
        <f>IF(往来单位!$C$243="甲方/总包",1,0)</f>
        <v>0</v>
      </c>
    </row>
    <row r="241">
      <c r="C241" t="str">
        <f>IF(往来单位!$B$84="","",TRIM(往来单位!$B$84&amp;""))</f>
        <v>雷友才</v>
      </c>
      <c r="D241" t="str">
        <f>往来单位!$B$84&amp;""</f>
        <v>雷友才</v>
      </c>
      <c r="N241" s="2">
        <f>N200+SUM(CA201:CA241)</f>
        <v>7</v>
      </c>
      <c r="T241">
        <f>IF(C241="",0,LEN(C241)*10000+9759)</f>
        <v>39759</v>
      </c>
      <c r="U241">
        <f>IF(LARGE($T$1:$T$900,241)=0,0,MATCH(LARGE($T$1:$T$900,241),$T$1:$T$900,0))</f>
        <v>0</v>
      </c>
      <c r="V241">
        <f t="shared" si="62"/>
      </c>
      <c r="W241">
        <f t="shared" si="63"/>
      </c>
      <c r="CA241" s="2">
        <f>IF(往来单位!$C$244="甲方/总包",1,0)</f>
        <v>0</v>
      </c>
    </row>
    <row r="242">
      <c r="C242">
        <f>IF(往来单位!$B$84="","",TRIM(往来单位!$D$84&amp;""))</f>
      </c>
      <c r="D242" t="str">
        <f>往来单位!$B$84&amp;""</f>
        <v>雷友才</v>
      </c>
      <c r="N242" s="2">
        <f>N200+SUM(CA201:CA242)</f>
        <v>7</v>
      </c>
      <c r="T242">
        <f>IF(C242="",0,LEN(C242)*10000+9758)</f>
        <v>0</v>
      </c>
      <c r="U242">
        <f>IF(LARGE($T$1:$T$900,242)=0,0,MATCH(LARGE($T$1:$T$900,242),$T$1:$T$900,0))</f>
        <v>0</v>
      </c>
      <c r="V242">
        <f t="shared" si="62"/>
      </c>
      <c r="W242">
        <f t="shared" si="63"/>
      </c>
      <c r="CA242" s="2">
        <f>IF(往来单位!$C$245="甲方/总包",1,0)</f>
        <v>0</v>
      </c>
    </row>
    <row r="243">
      <c r="C243">
        <f>IF(往来单位!$B$84="","",TRIM(往来单位!$E$84&amp;""))</f>
      </c>
      <c r="D243" t="str">
        <f>往来单位!$B$84&amp;""</f>
        <v>雷友才</v>
      </c>
      <c r="N243" s="2">
        <f>N200+SUM(CA201:CA243)</f>
        <v>7</v>
      </c>
      <c r="T243">
        <f>IF(C243="",0,LEN(C243)*10000+9757)</f>
        <v>0</v>
      </c>
      <c r="U243">
        <f>IF(LARGE($T$1:$T$900,243)=0,0,MATCH(LARGE($T$1:$T$900,243),$T$1:$T$900,0))</f>
        <v>0</v>
      </c>
      <c r="V243">
        <f t="shared" si="62"/>
      </c>
      <c r="W243">
        <f t="shared" si="63"/>
      </c>
      <c r="CA243" s="2">
        <f>IF(往来单位!$C$246="甲方/总包",1,0)</f>
        <v>0</v>
      </c>
    </row>
    <row r="244">
      <c r="C244" t="str">
        <f>IF(往来单位!$B$85="","",TRIM(往来单位!$B$85&amp;""))</f>
        <v>占善庆</v>
      </c>
      <c r="D244" t="str">
        <f>往来单位!$B$85&amp;""</f>
        <v>占善庆</v>
      </c>
      <c r="N244" s="2">
        <f>N200+SUM(CA201:CA244)</f>
        <v>7</v>
      </c>
      <c r="T244">
        <f>IF(C244="",0,LEN(C244)*10000+9756)</f>
        <v>39756</v>
      </c>
      <c r="U244">
        <f>IF(LARGE($T$1:$T$900,244)=0,0,MATCH(LARGE($T$1:$T$900,244),$T$1:$T$900,0))</f>
        <v>0</v>
      </c>
      <c r="V244">
        <f t="shared" si="62"/>
      </c>
      <c r="W244">
        <f t="shared" si="63"/>
      </c>
      <c r="CA244" s="2">
        <f>IF(往来单位!$C$247="甲方/总包",1,0)</f>
        <v>0</v>
      </c>
    </row>
    <row r="245">
      <c r="C245">
        <f>IF(往来单位!$B$85="","",TRIM(往来单位!$D$85&amp;""))</f>
      </c>
      <c r="D245" t="str">
        <f>往来单位!$B$85&amp;""</f>
        <v>占善庆</v>
      </c>
      <c r="N245" s="2">
        <f>N200+SUM(CA201:CA245)</f>
        <v>7</v>
      </c>
      <c r="T245">
        <f>IF(C245="",0,LEN(C245)*10000+9755)</f>
        <v>0</v>
      </c>
      <c r="U245">
        <f>IF(LARGE($T$1:$T$900,245)=0,0,MATCH(LARGE($T$1:$T$900,245),$T$1:$T$900,0))</f>
        <v>0</v>
      </c>
      <c r="V245">
        <f t="shared" si="62"/>
      </c>
      <c r="W245">
        <f t="shared" si="63"/>
      </c>
      <c r="CA245" s="2">
        <f>IF(往来单位!$C$248="甲方/总包",1,0)</f>
        <v>0</v>
      </c>
    </row>
    <row r="246">
      <c r="C246">
        <f>IF(往来单位!$B$85="","",TRIM(往来单位!$E$85&amp;""))</f>
      </c>
      <c r="D246" t="str">
        <f>往来单位!$B$85&amp;""</f>
        <v>占善庆</v>
      </c>
      <c r="N246" s="2">
        <f>N200+SUM(CA201:CA246)</f>
        <v>7</v>
      </c>
      <c r="T246">
        <f>IF(C246="",0,LEN(C246)*10000+9754)</f>
        <v>0</v>
      </c>
      <c r="U246">
        <f>IF(LARGE($T$1:$T$900,246)=0,0,MATCH(LARGE($T$1:$T$900,246),$T$1:$T$900,0))</f>
        <v>0</v>
      </c>
      <c r="V246">
        <f t="shared" si="62"/>
      </c>
      <c r="W246">
        <f t="shared" si="63"/>
      </c>
      <c r="CA246" s="2">
        <f>IF(往来单位!$C$249="甲方/总包",1,0)</f>
        <v>0</v>
      </c>
    </row>
    <row r="247">
      <c r="C247" t="str">
        <f>IF(往来单位!$B$86="","",TRIM(往来单位!$B$86&amp;""))</f>
        <v>张洪林</v>
      </c>
      <c r="D247" t="str">
        <f>往来单位!$B$86&amp;""</f>
        <v>张洪林</v>
      </c>
      <c r="N247" s="2">
        <f>N200+SUM(CA201:CA247)</f>
        <v>7</v>
      </c>
      <c r="T247">
        <f>IF(C247="",0,LEN(C247)*10000+9753)</f>
        <v>39753</v>
      </c>
      <c r="U247">
        <f>IF(LARGE($T$1:$T$900,247)=0,0,MATCH(LARGE($T$1:$T$900,247),$T$1:$T$900,0))</f>
        <v>0</v>
      </c>
      <c r="V247">
        <f t="shared" si="62"/>
      </c>
      <c r="W247">
        <f t="shared" si="63"/>
      </c>
      <c r="CA247" s="2">
        <f>IF(往来单位!$C$250="甲方/总包",1,0)</f>
        <v>0</v>
      </c>
    </row>
    <row r="248">
      <c r="C248">
        <f>IF(往来单位!$B$86="","",TRIM(往来单位!$D$86&amp;""))</f>
      </c>
      <c r="D248" t="str">
        <f>往来单位!$B$86&amp;""</f>
        <v>张洪林</v>
      </c>
      <c r="N248" s="2">
        <f>N200+SUM(CA201:CA248)</f>
        <v>7</v>
      </c>
      <c r="T248">
        <f>IF(C248="",0,LEN(C248)*10000+9752)</f>
        <v>0</v>
      </c>
      <c r="U248">
        <f>IF(LARGE($T$1:$T$900,248)=0,0,MATCH(LARGE($T$1:$T$900,248),$T$1:$T$900,0))</f>
        <v>0</v>
      </c>
      <c r="V248">
        <f t="shared" si="62"/>
      </c>
      <c r="W248">
        <f t="shared" si="63"/>
      </c>
      <c r="CA248" s="2">
        <f>IF(往来单位!$C$251="甲方/总包",1,0)</f>
        <v>0</v>
      </c>
    </row>
    <row r="249">
      <c r="C249">
        <f>IF(往来单位!$B$86="","",TRIM(往来单位!$E$86&amp;""))</f>
      </c>
      <c r="D249" t="str">
        <f>往来单位!$B$86&amp;""</f>
        <v>张洪林</v>
      </c>
      <c r="N249" s="2">
        <f>N200+SUM(CA201:CA249)</f>
        <v>7</v>
      </c>
      <c r="T249">
        <f>IF(C249="",0,LEN(C249)*10000+9751)</f>
        <v>0</v>
      </c>
      <c r="U249">
        <f>IF(LARGE($T$1:$T$900,249)=0,0,MATCH(LARGE($T$1:$T$900,249),$T$1:$T$900,0))</f>
        <v>0</v>
      </c>
      <c r="V249">
        <f t="shared" si="62"/>
      </c>
      <c r="W249">
        <f t="shared" si="63"/>
      </c>
      <c r="CA249" s="2">
        <f>IF(往来单位!$C$252="甲方/总包",1,0)</f>
        <v>0</v>
      </c>
    </row>
    <row r="250">
      <c r="C250" t="str">
        <f>IF(往来单位!$B$87="","",TRIM(往来单位!$B$87&amp;""))</f>
        <v>九江财小保</v>
      </c>
      <c r="D250" t="str">
        <f>往来单位!$B$87&amp;""</f>
        <v>九江财小保</v>
      </c>
      <c r="N250" s="2">
        <f>N200+SUM(CA201:CA250)</f>
        <v>7</v>
      </c>
      <c r="T250">
        <f>IF(C250="",0,LEN(C250)*10000+9750)</f>
        <v>59750</v>
      </c>
      <c r="U250">
        <f>IF(LARGE($T$1:$T$900,250)=0,0,MATCH(LARGE($T$1:$T$900,250),$T$1:$T$900,0))</f>
        <v>0</v>
      </c>
      <c r="V250">
        <f t="shared" si="62"/>
      </c>
      <c r="W250">
        <f t="shared" si="63"/>
      </c>
      <c r="CA250" s="2">
        <f>IF(往来单位!$C$253="甲方/总包",1,0)</f>
        <v>0</v>
      </c>
    </row>
    <row r="251">
      <c r="C251">
        <f>IF(往来单位!$B$87="","",TRIM(往来单位!$D$87&amp;""))</f>
      </c>
      <c r="D251" t="str">
        <f>往来单位!$B$87&amp;""</f>
        <v>九江财小保</v>
      </c>
      <c r="N251" s="2">
        <f>N250+SUM(CA251:CA251)</f>
        <v>7</v>
      </c>
      <c r="T251">
        <f>IF(C251="",0,LEN(C251)*10000+9749)</f>
        <v>0</v>
      </c>
      <c r="U251">
        <f>IF(LARGE($T$1:$T$900,251)=0,0,MATCH(LARGE($T$1:$T$900,251),$T$1:$T$900,0))</f>
        <v>0</v>
      </c>
      <c r="V251">
        <f t="shared" si="62"/>
      </c>
      <c r="W251">
        <f t="shared" si="63"/>
      </c>
      <c r="CA251" s="2">
        <f>IF(往来单位!$C$254="甲方/总包",1,0)</f>
        <v>0</v>
      </c>
    </row>
    <row r="252">
      <c r="C252">
        <f>IF(往来单位!$B$87="","",TRIM(往来单位!$E$87&amp;""))</f>
      </c>
      <c r="D252" t="str">
        <f>往来单位!$B$87&amp;""</f>
        <v>九江财小保</v>
      </c>
      <c r="N252" s="2">
        <f>N250+SUM(CA251:CA252)</f>
        <v>7</v>
      </c>
      <c r="T252">
        <f>IF(C252="",0,LEN(C252)*10000+9748)</f>
        <v>0</v>
      </c>
      <c r="U252">
        <f>IF(LARGE($T$1:$T$900,252)=0,0,MATCH(LARGE($T$1:$T$900,252),$T$1:$T$900,0))</f>
        <v>0</v>
      </c>
      <c r="V252">
        <f t="shared" si="62"/>
      </c>
      <c r="W252">
        <f t="shared" si="63"/>
      </c>
      <c r="CA252" s="2">
        <f>IF(往来单位!$C$255="甲方/总包",1,0)</f>
        <v>0</v>
      </c>
    </row>
    <row r="253">
      <c r="C253">
        <f>IF(往来单位!$B$88="","",TRIM(往来单位!$B$88&amp;""))</f>
      </c>
      <c r="D253">
        <f>往来单位!$B$88&amp;""</f>
      </c>
      <c r="N253" s="2">
        <f>N250+SUM(CA251:CA253)</f>
        <v>7</v>
      </c>
      <c r="T253">
        <f>IF(C253="",0,LEN(C253)*10000+9747)</f>
        <v>0</v>
      </c>
      <c r="U253">
        <f>IF(LARGE($T$1:$T$900,253)=0,0,MATCH(LARGE($T$1:$T$900,253),$T$1:$T$900,0))</f>
        <v>0</v>
      </c>
      <c r="V253">
        <f t="shared" si="62"/>
      </c>
      <c r="W253">
        <f t="shared" si="63"/>
      </c>
      <c r="CA253" s="2">
        <f>IF(往来单位!$C$256="甲方/总包",1,0)</f>
        <v>0</v>
      </c>
    </row>
    <row r="254">
      <c r="C254">
        <f>IF(往来单位!$B$88="","",TRIM(往来单位!$D$88&amp;""))</f>
      </c>
      <c r="D254">
        <f>往来单位!$B$88&amp;""</f>
      </c>
      <c r="N254" s="2">
        <f>N250+SUM(CA251:CA254)</f>
        <v>7</v>
      </c>
      <c r="T254">
        <f>IF(C254="",0,LEN(C254)*10000+9746)</f>
        <v>0</v>
      </c>
      <c r="U254">
        <f>IF(LARGE($T$1:$T$900,254)=0,0,MATCH(LARGE($T$1:$T$900,254),$T$1:$T$900,0))</f>
        <v>0</v>
      </c>
      <c r="V254">
        <f t="shared" si="62"/>
      </c>
      <c r="W254">
        <f t="shared" si="63"/>
      </c>
      <c r="CA254" s="2">
        <f>IF(往来单位!$C$257="甲方/总包",1,0)</f>
        <v>0</v>
      </c>
    </row>
    <row r="255">
      <c r="C255">
        <f>IF(往来单位!$B$88="","",TRIM(往来单位!$E$88&amp;""))</f>
      </c>
      <c r="D255">
        <f>往来单位!$B$88&amp;""</f>
      </c>
      <c r="N255" s="2">
        <f>N250+SUM(CA251:CA255)</f>
        <v>7</v>
      </c>
      <c r="T255">
        <f>IF(C255="",0,LEN(C255)*10000+9745)</f>
        <v>0</v>
      </c>
      <c r="U255">
        <f>IF(LARGE($T$1:$T$900,255)=0,0,MATCH(LARGE($T$1:$T$900,255),$T$1:$T$900,0))</f>
        <v>0</v>
      </c>
      <c r="V255">
        <f t="shared" si="62"/>
      </c>
      <c r="W255">
        <f t="shared" si="63"/>
      </c>
      <c r="CA255" s="2">
        <f>IF(往来单位!$C$258="甲方/总包",1,0)</f>
        <v>0</v>
      </c>
    </row>
    <row r="256">
      <c r="C256">
        <f>IF(往来单位!$B$89="","",TRIM(往来单位!$B$89&amp;""))</f>
      </c>
      <c r="D256">
        <f>往来单位!$B$89&amp;""</f>
      </c>
      <c r="N256" s="2">
        <f>N250+SUM(CA251:CA256)</f>
        <v>7</v>
      </c>
      <c r="T256">
        <f>IF(C256="",0,LEN(C256)*10000+9744)</f>
        <v>0</v>
      </c>
      <c r="U256">
        <f>IF(LARGE($T$1:$T$900,256)=0,0,MATCH(LARGE($T$1:$T$900,256),$T$1:$T$900,0))</f>
        <v>0</v>
      </c>
      <c r="V256">
        <f t="shared" si="62"/>
      </c>
      <c r="W256">
        <f t="shared" si="63"/>
      </c>
      <c r="CA256" s="2">
        <f>IF(往来单位!$C$259="甲方/总包",1,0)</f>
        <v>0</v>
      </c>
    </row>
    <row r="257">
      <c r="C257">
        <f>IF(往来单位!$B$89="","",TRIM(往来单位!$D$89&amp;""))</f>
      </c>
      <c r="D257">
        <f>往来单位!$B$89&amp;""</f>
      </c>
      <c r="N257" s="2">
        <f>N250+SUM(CA251:CA257)</f>
        <v>7</v>
      </c>
      <c r="T257">
        <f>IF(C257="",0,LEN(C257)*10000+9743)</f>
        <v>0</v>
      </c>
      <c r="U257">
        <f>IF(LARGE($T$1:$T$900,257)=0,0,MATCH(LARGE($T$1:$T$900,257),$T$1:$T$900,0))</f>
        <v>0</v>
      </c>
      <c r="V257">
        <f t="shared" si="62"/>
      </c>
      <c r="W257">
        <f t="shared" si="63"/>
      </c>
      <c r="CA257" s="2">
        <f>IF(往来单位!$C$260="甲方/总包",1,0)</f>
        <v>0</v>
      </c>
    </row>
    <row r="258">
      <c r="C258">
        <f>IF(往来单位!$B$89="","",TRIM(往来单位!$E$89&amp;""))</f>
      </c>
      <c r="D258">
        <f>往来单位!$B$89&amp;""</f>
      </c>
      <c r="N258" s="2">
        <f>N250+SUM(CA251:CA258)</f>
        <v>7</v>
      </c>
      <c r="T258">
        <f>IF(C258="",0,LEN(C258)*10000+9742)</f>
        <v>0</v>
      </c>
      <c r="U258">
        <f>IF(LARGE($T$1:$T$900,258)=0,0,MATCH(LARGE($T$1:$T$900,258),$T$1:$T$900,0))</f>
        <v>0</v>
      </c>
      <c r="V258">
        <f t="shared" si="62"/>
      </c>
      <c r="W258">
        <f t="shared" si="63"/>
      </c>
      <c r="CA258" s="2">
        <f>IF(往来单位!$C$261="甲方/总包",1,0)</f>
        <v>0</v>
      </c>
    </row>
    <row r="259">
      <c r="C259">
        <f>IF(往来单位!$B$90="","",TRIM(往来单位!$B$90&amp;""))</f>
      </c>
      <c r="D259">
        <f>往来单位!$B$90&amp;""</f>
      </c>
      <c r="N259" s="2">
        <f>N250+SUM(CA251:CA259)</f>
        <v>7</v>
      </c>
      <c r="T259">
        <f>IF(C259="",0,LEN(C259)*10000+9741)</f>
        <v>0</v>
      </c>
      <c r="U259">
        <f>IF(LARGE($T$1:$T$900,259)=0,0,MATCH(LARGE($T$1:$T$900,259),$T$1:$T$900,0))</f>
        <v>0</v>
      </c>
      <c r="V259">
        <f t="shared" si="62"/>
      </c>
      <c r="W259">
        <f t="shared" si="63"/>
      </c>
      <c r="CA259" s="2">
        <f>IF(往来单位!$C$262="甲方/总包",1,0)</f>
        <v>0</v>
      </c>
    </row>
    <row r="260">
      <c r="C260">
        <f>IF(往来单位!$B$90="","",TRIM(往来单位!$D$90&amp;""))</f>
      </c>
      <c r="D260">
        <f>往来单位!$B$90&amp;""</f>
      </c>
      <c r="N260" s="2">
        <f>N250+SUM(CA251:CA260)</f>
        <v>7</v>
      </c>
      <c r="T260">
        <f>IF(C260="",0,LEN(C260)*10000+9740)</f>
        <v>0</v>
      </c>
      <c r="U260">
        <f>IF(LARGE($T$1:$T$900,260)=0,0,MATCH(LARGE($T$1:$T$900,260),$T$1:$T$900,0))</f>
        <v>0</v>
      </c>
      <c r="V260">
        <f t="shared" si="62"/>
      </c>
      <c r="W260">
        <f t="shared" si="63"/>
      </c>
      <c r="CA260" s="2">
        <f>IF(往来单位!$C$263="甲方/总包",1,0)</f>
        <v>0</v>
      </c>
    </row>
    <row r="261">
      <c r="C261">
        <f>IF(往来单位!$B$90="","",TRIM(往来单位!$E$90&amp;""))</f>
      </c>
      <c r="D261">
        <f>往来单位!$B$90&amp;""</f>
      </c>
      <c r="N261" s="2">
        <f>N250+SUM(CA251:CA261)</f>
        <v>7</v>
      </c>
      <c r="T261">
        <f>IF(C261="",0,LEN(C261)*10000+9739)</f>
        <v>0</v>
      </c>
      <c r="U261">
        <f>IF(LARGE($T$1:$T$900,261)=0,0,MATCH(LARGE($T$1:$T$900,261),$T$1:$T$900,0))</f>
        <v>0</v>
      </c>
      <c r="V261">
        <f t="shared" si="62"/>
      </c>
      <c r="W261">
        <f t="shared" si="63"/>
      </c>
      <c r="CA261" s="2">
        <f>IF(往来单位!$C$264="甲方/总包",1,0)</f>
        <v>0</v>
      </c>
    </row>
    <row r="262">
      <c r="C262">
        <f>IF(往来单位!$B$91="","",TRIM(往来单位!$B$91&amp;""))</f>
      </c>
      <c r="D262">
        <f>往来单位!$B$91&amp;""</f>
      </c>
      <c r="N262" s="2">
        <f>N250+SUM(CA251:CA262)</f>
        <v>7</v>
      </c>
      <c r="T262">
        <f>IF(C262="",0,LEN(C262)*10000+9738)</f>
        <v>0</v>
      </c>
      <c r="U262">
        <f>IF(LARGE($T$1:$T$900,262)=0,0,MATCH(LARGE($T$1:$T$900,262),$T$1:$T$900,0))</f>
        <v>0</v>
      </c>
      <c r="V262">
        <f t="shared" si="62"/>
      </c>
      <c r="W262">
        <f t="shared" si="63"/>
      </c>
      <c r="CA262" s="2">
        <f>IF(往来单位!$C$265="甲方/总包",1,0)</f>
        <v>0</v>
      </c>
    </row>
    <row r="263">
      <c r="C263">
        <f>IF(往来单位!$B$91="","",TRIM(往来单位!$D$91&amp;""))</f>
      </c>
      <c r="D263">
        <f>往来单位!$B$91&amp;""</f>
      </c>
      <c r="N263" s="2">
        <f>N250+SUM(CA251:CA263)</f>
        <v>7</v>
      </c>
      <c r="T263">
        <f>IF(C263="",0,LEN(C263)*10000+9737)</f>
        <v>0</v>
      </c>
      <c r="U263">
        <f>IF(LARGE($T$1:$T$900,263)=0,0,MATCH(LARGE($T$1:$T$900,263),$T$1:$T$900,0))</f>
        <v>0</v>
      </c>
      <c r="V263">
        <f t="shared" si="62"/>
      </c>
      <c r="W263">
        <f t="shared" si="63"/>
      </c>
      <c r="CA263" s="2">
        <f>IF(往来单位!$C$266="甲方/总包",1,0)</f>
        <v>0</v>
      </c>
    </row>
    <row r="264">
      <c r="C264">
        <f>IF(往来单位!$B$91="","",TRIM(往来单位!$E$91&amp;""))</f>
      </c>
      <c r="D264">
        <f>往来单位!$B$91&amp;""</f>
      </c>
      <c r="N264" s="2">
        <f>N250+SUM(CA251:CA264)</f>
        <v>7</v>
      </c>
      <c r="T264">
        <f>IF(C264="",0,LEN(C264)*10000+9736)</f>
        <v>0</v>
      </c>
      <c r="U264">
        <f>IF(LARGE($T$1:$T$900,264)=0,0,MATCH(LARGE($T$1:$T$900,264),$T$1:$T$900,0))</f>
        <v>0</v>
      </c>
      <c r="V264">
        <f t="shared" si="62"/>
      </c>
      <c r="W264">
        <f t="shared" si="63"/>
      </c>
      <c r="CA264" s="2">
        <f>IF(往来单位!$C$267="甲方/总包",1,0)</f>
        <v>0</v>
      </c>
    </row>
    <row r="265">
      <c r="C265">
        <f>IF(往来单位!$B$92="","",TRIM(往来单位!$B$92&amp;""))</f>
      </c>
      <c r="D265">
        <f>往来单位!$B$92&amp;""</f>
      </c>
      <c r="N265" s="2">
        <f>N250+SUM(CA251:CA265)</f>
        <v>7</v>
      </c>
      <c r="T265">
        <f>IF(C265="",0,LEN(C265)*10000+9735)</f>
        <v>0</v>
      </c>
      <c r="U265">
        <f>IF(LARGE($T$1:$T$900,265)=0,0,MATCH(LARGE($T$1:$T$900,265),$T$1:$T$900,0))</f>
        <v>0</v>
      </c>
      <c r="V265">
        <f t="shared" si="62"/>
      </c>
      <c r="W265">
        <f t="shared" si="63"/>
      </c>
      <c r="CA265" s="2">
        <f>IF(往来单位!$C$268="甲方/总包",1,0)</f>
        <v>0</v>
      </c>
    </row>
    <row r="266">
      <c r="C266">
        <f>IF(往来单位!$B$92="","",TRIM(往来单位!$D$92&amp;""))</f>
      </c>
      <c r="D266">
        <f>往来单位!$B$92&amp;""</f>
      </c>
      <c r="N266" s="2">
        <f>N250+SUM(CA251:CA266)</f>
        <v>7</v>
      </c>
      <c r="T266">
        <f>IF(C266="",0,LEN(C266)*10000+9734)</f>
        <v>0</v>
      </c>
      <c r="U266">
        <f>IF(LARGE($T$1:$T$900,266)=0,0,MATCH(LARGE($T$1:$T$900,266),$T$1:$T$900,0))</f>
        <v>0</v>
      </c>
      <c r="V266">
        <f t="shared" si="62"/>
      </c>
      <c r="W266">
        <f t="shared" si="63"/>
      </c>
      <c r="CA266" s="2">
        <f>IF(往来单位!$C$269="甲方/总包",1,0)</f>
        <v>0</v>
      </c>
    </row>
    <row r="267">
      <c r="C267">
        <f>IF(往来单位!$B$92="","",TRIM(往来单位!$E$92&amp;""))</f>
      </c>
      <c r="D267">
        <f>往来单位!$B$92&amp;""</f>
      </c>
      <c r="N267" s="2">
        <f>N250+SUM(CA251:CA267)</f>
        <v>7</v>
      </c>
      <c r="T267">
        <f>IF(C267="",0,LEN(C267)*10000+9733)</f>
        <v>0</v>
      </c>
      <c r="U267">
        <f>IF(LARGE($T$1:$T$900,267)=0,0,MATCH(LARGE($T$1:$T$900,267),$T$1:$T$900,0))</f>
        <v>0</v>
      </c>
      <c r="V267">
        <f t="shared" si="62"/>
      </c>
      <c r="W267">
        <f t="shared" si="63"/>
      </c>
      <c r="CA267" s="2">
        <f>IF(往来单位!$C$270="甲方/总包",1,0)</f>
        <v>0</v>
      </c>
    </row>
    <row r="268">
      <c r="C268">
        <f>IF(往来单位!$B$93="","",TRIM(往来单位!$B$93&amp;""))</f>
      </c>
      <c r="D268">
        <f>往来单位!$B$93&amp;""</f>
      </c>
      <c r="N268" s="2">
        <f>N250+SUM(CA251:CA268)</f>
        <v>7</v>
      </c>
      <c r="T268">
        <f>IF(C268="",0,LEN(C268)*10000+9732)</f>
        <v>0</v>
      </c>
      <c r="U268">
        <f>IF(LARGE($T$1:$T$900,268)=0,0,MATCH(LARGE($T$1:$T$900,268),$T$1:$T$900,0))</f>
        <v>0</v>
      </c>
      <c r="V268">
        <f t="shared" si="62"/>
      </c>
      <c r="W268">
        <f t="shared" si="63"/>
      </c>
      <c r="CA268" s="2">
        <f>IF(往来单位!$C$271="甲方/总包",1,0)</f>
        <v>0</v>
      </c>
    </row>
    <row r="269">
      <c r="C269">
        <f>IF(往来单位!$B$93="","",TRIM(往来单位!$D$93&amp;""))</f>
      </c>
      <c r="D269">
        <f>往来单位!$B$93&amp;""</f>
      </c>
      <c r="N269" s="2">
        <f>N250+SUM(CA251:CA269)</f>
        <v>7</v>
      </c>
      <c r="T269">
        <f>IF(C269="",0,LEN(C269)*10000+9731)</f>
        <v>0</v>
      </c>
      <c r="U269">
        <f>IF(LARGE($T$1:$T$900,269)=0,0,MATCH(LARGE($T$1:$T$900,269),$T$1:$T$900,0))</f>
        <v>0</v>
      </c>
      <c r="V269">
        <f t="shared" si="62"/>
      </c>
      <c r="W269">
        <f t="shared" si="63"/>
      </c>
      <c r="CA269" s="2">
        <f>IF(往来单位!$C$272="甲方/总包",1,0)</f>
        <v>0</v>
      </c>
    </row>
    <row r="270">
      <c r="C270">
        <f>IF(往来单位!$B$93="","",TRIM(往来单位!$E$93&amp;""))</f>
      </c>
      <c r="D270">
        <f>往来单位!$B$93&amp;""</f>
      </c>
      <c r="N270" s="2">
        <f>N250+SUM(CA251:CA270)</f>
        <v>7</v>
      </c>
      <c r="T270">
        <f>IF(C270="",0,LEN(C270)*10000+9730)</f>
        <v>0</v>
      </c>
      <c r="U270">
        <f>IF(LARGE($T$1:$T$900,270)=0,0,MATCH(LARGE($T$1:$T$900,270),$T$1:$T$900,0))</f>
        <v>0</v>
      </c>
      <c r="V270">
        <f t="shared" si="62"/>
      </c>
      <c r="W270">
        <f t="shared" si="63"/>
      </c>
      <c r="CA270" s="2">
        <f>IF(往来单位!$C$273="甲方/总包",1,0)</f>
        <v>0</v>
      </c>
    </row>
    <row r="271">
      <c r="C271">
        <f>IF(往来单位!$B$94="","",TRIM(往来单位!$B$94&amp;""))</f>
      </c>
      <c r="D271">
        <f>往来单位!$B$94&amp;""</f>
      </c>
      <c r="N271" s="2">
        <f>N250+SUM(CA251:CA271)</f>
        <v>7</v>
      </c>
      <c r="T271">
        <f>IF(C271="",0,LEN(C271)*10000+9729)</f>
        <v>0</v>
      </c>
      <c r="U271">
        <f>IF(LARGE($T$1:$T$900,271)=0,0,MATCH(LARGE($T$1:$T$900,271),$T$1:$T$900,0))</f>
        <v>0</v>
      </c>
      <c r="V271">
        <f t="shared" si="62"/>
      </c>
      <c r="W271">
        <f t="shared" si="63"/>
      </c>
      <c r="CA271" s="2">
        <f>IF(往来单位!$C$274="甲方/总包",1,0)</f>
        <v>0</v>
      </c>
    </row>
    <row r="272">
      <c r="C272">
        <f>IF(往来单位!$B$94="","",TRIM(往来单位!$D$94&amp;""))</f>
      </c>
      <c r="D272">
        <f>往来单位!$B$94&amp;""</f>
      </c>
      <c r="N272" s="2">
        <f>N250+SUM(CA251:CA272)</f>
        <v>7</v>
      </c>
      <c r="T272">
        <f>IF(C272="",0,LEN(C272)*10000+9728)</f>
        <v>0</v>
      </c>
      <c r="U272">
        <f>IF(LARGE($T$1:$T$900,272)=0,0,MATCH(LARGE($T$1:$T$900,272),$T$1:$T$900,0))</f>
        <v>0</v>
      </c>
      <c r="V272">
        <f t="shared" si="62"/>
      </c>
      <c r="W272">
        <f t="shared" si="63"/>
      </c>
      <c r="CA272" s="2">
        <f>IF(往来单位!$C$275="甲方/总包",1,0)</f>
        <v>0</v>
      </c>
    </row>
    <row r="273">
      <c r="C273">
        <f>IF(往来单位!$B$94="","",TRIM(往来单位!$E$94&amp;""))</f>
      </c>
      <c r="D273">
        <f>往来单位!$B$94&amp;""</f>
      </c>
      <c r="N273" s="2">
        <f>N250+SUM(CA251:CA273)</f>
        <v>7</v>
      </c>
      <c r="T273">
        <f>IF(C273="",0,LEN(C273)*10000+9727)</f>
        <v>0</v>
      </c>
      <c r="U273">
        <f>IF(LARGE($T$1:$T$900,273)=0,0,MATCH(LARGE($T$1:$T$900,273),$T$1:$T$900,0))</f>
        <v>0</v>
      </c>
      <c r="V273">
        <f t="shared" si="62"/>
      </c>
      <c r="W273">
        <f t="shared" si="63"/>
      </c>
      <c r="CA273" s="2">
        <f>IF(往来单位!$C$276="甲方/总包",1,0)</f>
        <v>0</v>
      </c>
    </row>
    <row r="274">
      <c r="C274">
        <f>IF(往来单位!$B$95="","",TRIM(往来单位!$B$95&amp;""))</f>
      </c>
      <c r="D274">
        <f>往来单位!$B$95&amp;""</f>
      </c>
      <c r="N274" s="2">
        <f>N250+SUM(CA251:CA274)</f>
        <v>7</v>
      </c>
      <c r="T274">
        <f>IF(C274="",0,LEN(C274)*10000+9726)</f>
        <v>0</v>
      </c>
      <c r="U274">
        <f>IF(LARGE($T$1:$T$900,274)=0,0,MATCH(LARGE($T$1:$T$900,274),$T$1:$T$900,0))</f>
        <v>0</v>
      </c>
      <c r="V274">
        <f t="shared" si="62"/>
      </c>
      <c r="W274">
        <f t="shared" si="63"/>
      </c>
      <c r="CA274" s="2">
        <f>IF(往来单位!$C$277="甲方/总包",1,0)</f>
        <v>0</v>
      </c>
    </row>
    <row r="275">
      <c r="C275">
        <f>IF(往来单位!$B$95="","",TRIM(往来单位!$D$95&amp;""))</f>
      </c>
      <c r="D275">
        <f>往来单位!$B$95&amp;""</f>
      </c>
      <c r="N275" s="2">
        <f>N250+SUM(CA251:CA275)</f>
        <v>7</v>
      </c>
      <c r="T275">
        <f>IF(C275="",0,LEN(C275)*10000+9725)</f>
        <v>0</v>
      </c>
      <c r="U275">
        <f>IF(LARGE($T$1:$T$900,275)=0,0,MATCH(LARGE($T$1:$T$900,275),$T$1:$T$900,0))</f>
        <v>0</v>
      </c>
      <c r="V275">
        <f t="shared" si="62"/>
      </c>
      <c r="W275">
        <f t="shared" si="63"/>
      </c>
      <c r="CA275" s="2">
        <f>IF(往来单位!$C$278="甲方/总包",1,0)</f>
        <v>0</v>
      </c>
    </row>
    <row r="276">
      <c r="C276">
        <f>IF(往来单位!$B$95="","",TRIM(往来单位!$E$95&amp;""))</f>
      </c>
      <c r="D276">
        <f>往来单位!$B$95&amp;""</f>
      </c>
      <c r="N276" s="2">
        <f>N250+SUM(CA251:CA276)</f>
        <v>7</v>
      </c>
      <c r="T276">
        <f>IF(C276="",0,LEN(C276)*10000+9724)</f>
        <v>0</v>
      </c>
      <c r="U276">
        <f>IF(LARGE($T$1:$T$900,276)=0,0,MATCH(LARGE($T$1:$T$900,276),$T$1:$T$900,0))</f>
        <v>0</v>
      </c>
      <c r="V276">
        <f t="shared" si="62"/>
      </c>
      <c r="W276">
        <f t="shared" si="63"/>
      </c>
      <c r="CA276" s="2">
        <f>IF(往来单位!$C$279="甲方/总包",1,0)</f>
        <v>0</v>
      </c>
    </row>
    <row r="277">
      <c r="C277">
        <f>IF(往来单位!$B$96="","",TRIM(往来单位!$B$96&amp;""))</f>
      </c>
      <c r="D277">
        <f>往来单位!$B$96&amp;""</f>
      </c>
      <c r="N277" s="2">
        <f>N250+SUM(CA251:CA277)</f>
        <v>7</v>
      </c>
      <c r="T277">
        <f>IF(C277="",0,LEN(C277)*10000+9723)</f>
        <v>0</v>
      </c>
      <c r="U277">
        <f>IF(LARGE($T$1:$T$900,277)=0,0,MATCH(LARGE($T$1:$T$900,277),$T$1:$T$900,0))</f>
        <v>0</v>
      </c>
      <c r="V277">
        <f t="shared" si="62"/>
      </c>
      <c r="W277">
        <f t="shared" si="63"/>
      </c>
      <c r="CA277" s="2">
        <f>IF(往来单位!$C$280="甲方/总包",1,0)</f>
        <v>0</v>
      </c>
    </row>
    <row r="278">
      <c r="C278">
        <f>IF(往来单位!$B$96="","",TRIM(往来单位!$D$96&amp;""))</f>
      </c>
      <c r="D278">
        <f>往来单位!$B$96&amp;""</f>
      </c>
      <c r="N278" s="2">
        <f>N250+SUM(CA251:CA278)</f>
        <v>7</v>
      </c>
      <c r="T278">
        <f>IF(C278="",0,LEN(C278)*10000+9722)</f>
        <v>0</v>
      </c>
      <c r="U278">
        <f>IF(LARGE($T$1:$T$900,278)=0,0,MATCH(LARGE($T$1:$T$900,278),$T$1:$T$900,0))</f>
        <v>0</v>
      </c>
      <c r="V278">
        <f t="shared" si="62"/>
      </c>
      <c r="W278">
        <f t="shared" si="63"/>
      </c>
      <c r="CA278" s="2">
        <f>IF(往来单位!$C$281="甲方/总包",1,0)</f>
        <v>0</v>
      </c>
    </row>
    <row r="279">
      <c r="C279">
        <f>IF(往来单位!$B$96="","",TRIM(往来单位!$E$96&amp;""))</f>
      </c>
      <c r="D279">
        <f>往来单位!$B$96&amp;""</f>
      </c>
      <c r="N279" s="2">
        <f>N250+SUM(CA251:CA279)</f>
        <v>7</v>
      </c>
      <c r="T279">
        <f>IF(C279="",0,LEN(C279)*10000+9721)</f>
        <v>0</v>
      </c>
      <c r="U279">
        <f>IF(LARGE($T$1:$T$900,279)=0,0,MATCH(LARGE($T$1:$T$900,279),$T$1:$T$900,0))</f>
        <v>0</v>
      </c>
      <c r="V279">
        <f t="shared" si="62"/>
      </c>
      <c r="W279">
        <f t="shared" si="63"/>
      </c>
      <c r="CA279" s="2">
        <f>IF(往来单位!$C$282="甲方/总包",1,0)</f>
        <v>0</v>
      </c>
    </row>
    <row r="280">
      <c r="C280">
        <f>IF(往来单位!$B$97="","",TRIM(往来单位!$B$97&amp;""))</f>
      </c>
      <c r="D280">
        <f>往来单位!$B$97&amp;""</f>
      </c>
      <c r="N280" s="2">
        <f>N250+SUM(CA251:CA280)</f>
        <v>7</v>
      </c>
      <c r="T280">
        <f>IF(C280="",0,LEN(C280)*10000+9720)</f>
        <v>0</v>
      </c>
      <c r="U280">
        <f>IF(LARGE($T$1:$T$900,280)=0,0,MATCH(LARGE($T$1:$T$900,280),$T$1:$T$900,0))</f>
        <v>0</v>
      </c>
      <c r="V280">
        <f t="shared" si="62"/>
      </c>
      <c r="W280">
        <f t="shared" si="63"/>
      </c>
      <c r="CA280" s="2">
        <f>IF(往来单位!$C$283="甲方/总包",1,0)</f>
        <v>0</v>
      </c>
    </row>
    <row r="281">
      <c r="C281">
        <f>IF(往来单位!$B$97="","",TRIM(往来单位!$D$97&amp;""))</f>
      </c>
      <c r="D281">
        <f>往来单位!$B$97&amp;""</f>
      </c>
      <c r="N281" s="2">
        <f>N250+SUM(CA251:CA281)</f>
        <v>7</v>
      </c>
      <c r="T281">
        <f>IF(C281="",0,LEN(C281)*10000+9719)</f>
        <v>0</v>
      </c>
      <c r="U281">
        <f>IF(LARGE($T$1:$T$900,281)=0,0,MATCH(LARGE($T$1:$T$900,281),$T$1:$T$900,0))</f>
        <v>0</v>
      </c>
      <c r="V281">
        <f t="shared" si="62"/>
      </c>
      <c r="W281">
        <f t="shared" si="63"/>
      </c>
      <c r="CA281" s="2">
        <f>IF(往来单位!$C$284="甲方/总包",1,0)</f>
        <v>0</v>
      </c>
    </row>
    <row r="282">
      <c r="C282">
        <f>IF(往来单位!$B$97="","",TRIM(往来单位!$E$97&amp;""))</f>
      </c>
      <c r="D282">
        <f>往来单位!$B$97&amp;""</f>
      </c>
      <c r="N282" s="2">
        <f>N250+SUM(CA251:CA282)</f>
        <v>7</v>
      </c>
      <c r="T282">
        <f>IF(C282="",0,LEN(C282)*10000+9718)</f>
        <v>0</v>
      </c>
      <c r="U282">
        <f>IF(LARGE($T$1:$T$900,282)=0,0,MATCH(LARGE($T$1:$T$900,282),$T$1:$T$900,0))</f>
        <v>0</v>
      </c>
      <c r="V282">
        <f t="shared" si="62"/>
      </c>
      <c r="W282">
        <f t="shared" si="63"/>
      </c>
      <c r="CA282" s="2">
        <f>IF(往来单位!$C$285="甲方/总包",1,0)</f>
        <v>0</v>
      </c>
    </row>
    <row r="283">
      <c r="C283">
        <f>IF(往来单位!$B$98="","",TRIM(往来单位!$B$98&amp;""))</f>
      </c>
      <c r="D283">
        <f>往来单位!$B$98&amp;""</f>
      </c>
      <c r="N283" s="2">
        <f>N250+SUM(CA251:CA283)</f>
        <v>7</v>
      </c>
      <c r="T283">
        <f>IF(C283="",0,LEN(C283)*10000+9717)</f>
        <v>0</v>
      </c>
      <c r="U283">
        <f>IF(LARGE($T$1:$T$900,283)=0,0,MATCH(LARGE($T$1:$T$900,283),$T$1:$T$900,0))</f>
        <v>0</v>
      </c>
      <c r="V283">
        <f t="shared" si="62"/>
      </c>
      <c r="W283">
        <f t="shared" si="63"/>
      </c>
      <c r="CA283" s="2">
        <f>IF(往来单位!$C$286="甲方/总包",1,0)</f>
        <v>0</v>
      </c>
    </row>
    <row r="284">
      <c r="C284">
        <f>IF(往来单位!$B$98="","",TRIM(往来单位!$D$98&amp;""))</f>
      </c>
      <c r="D284">
        <f>往来单位!$B$98&amp;""</f>
      </c>
      <c r="N284" s="2">
        <f>N250+SUM(CA251:CA284)</f>
        <v>7</v>
      </c>
      <c r="T284">
        <f>IF(C284="",0,LEN(C284)*10000+9716)</f>
        <v>0</v>
      </c>
      <c r="U284">
        <f>IF(LARGE($T$1:$T$900,284)=0,0,MATCH(LARGE($T$1:$T$900,284),$T$1:$T$900,0))</f>
        <v>0</v>
      </c>
      <c r="V284">
        <f t="shared" si="62"/>
      </c>
      <c r="W284">
        <f t="shared" si="63"/>
      </c>
      <c r="CA284" s="2">
        <f>IF(往来单位!$C$287="甲方/总包",1,0)</f>
        <v>0</v>
      </c>
    </row>
    <row r="285">
      <c r="C285">
        <f>IF(往来单位!$B$98="","",TRIM(往来单位!$E$98&amp;""))</f>
      </c>
      <c r="D285">
        <f>往来单位!$B$98&amp;""</f>
      </c>
      <c r="N285" s="2">
        <f>N250+SUM(CA251:CA285)</f>
        <v>7</v>
      </c>
      <c r="T285">
        <f>IF(C285="",0,LEN(C285)*10000+9715)</f>
        <v>0</v>
      </c>
      <c r="U285">
        <f>IF(LARGE($T$1:$T$900,285)=0,0,MATCH(LARGE($T$1:$T$900,285),$T$1:$T$900,0))</f>
        <v>0</v>
      </c>
      <c r="V285">
        <f t="shared" si="62"/>
      </c>
      <c r="W285">
        <f t="shared" si="63"/>
      </c>
      <c r="CA285" s="2">
        <f>IF(往来单位!$C$288="甲方/总包",1,0)</f>
        <v>0</v>
      </c>
    </row>
    <row r="286">
      <c r="C286">
        <f>IF(往来单位!$B$99="","",TRIM(往来单位!$B$99&amp;""))</f>
      </c>
      <c r="D286">
        <f>往来单位!$B$99&amp;""</f>
      </c>
      <c r="N286" s="2">
        <f>N250+SUM(CA251:CA286)</f>
        <v>7</v>
      </c>
      <c r="T286">
        <f>IF(C286="",0,LEN(C286)*10000+9714)</f>
        <v>0</v>
      </c>
      <c r="U286">
        <f>IF(LARGE($T$1:$T$900,286)=0,0,MATCH(LARGE($T$1:$T$900,286),$T$1:$T$900,0))</f>
        <v>0</v>
      </c>
      <c r="V286">
        <f t="shared" si="62"/>
      </c>
      <c r="W286">
        <f t="shared" si="63"/>
      </c>
      <c r="CA286" s="2">
        <f>IF(往来单位!$C$289="甲方/总包",1,0)</f>
        <v>0</v>
      </c>
    </row>
    <row r="287">
      <c r="C287">
        <f>IF(往来单位!$B$99="","",TRIM(往来单位!$D$99&amp;""))</f>
      </c>
      <c r="D287">
        <f>往来单位!$B$99&amp;""</f>
      </c>
      <c r="N287" s="2">
        <f>N250+SUM(CA251:CA287)</f>
        <v>7</v>
      </c>
      <c r="T287">
        <f>IF(C287="",0,LEN(C287)*10000+9713)</f>
        <v>0</v>
      </c>
      <c r="U287">
        <f>IF(LARGE($T$1:$T$900,287)=0,0,MATCH(LARGE($T$1:$T$900,287),$T$1:$T$900,0))</f>
        <v>0</v>
      </c>
      <c r="V287">
        <f t="shared" si="62"/>
      </c>
      <c r="W287">
        <f t="shared" si="63"/>
      </c>
      <c r="CA287" s="2">
        <f>IF(往来单位!$C$290="甲方/总包",1,0)</f>
        <v>0</v>
      </c>
    </row>
    <row r="288">
      <c r="C288">
        <f>IF(往来单位!$B$99="","",TRIM(往来单位!$E$99&amp;""))</f>
      </c>
      <c r="D288">
        <f>往来单位!$B$99&amp;""</f>
      </c>
      <c r="N288" s="2">
        <f>N250+SUM(CA251:CA288)</f>
        <v>7</v>
      </c>
      <c r="T288">
        <f>IF(C288="",0,LEN(C288)*10000+9712)</f>
        <v>0</v>
      </c>
      <c r="U288">
        <f>IF(LARGE($T$1:$T$900,288)=0,0,MATCH(LARGE($T$1:$T$900,288),$T$1:$T$900,0))</f>
        <v>0</v>
      </c>
      <c r="V288">
        <f t="shared" si="62"/>
      </c>
      <c r="W288">
        <f t="shared" si="63"/>
      </c>
      <c r="CA288" s="2">
        <f>IF(往来单位!$C$291="甲方/总包",1,0)</f>
        <v>0</v>
      </c>
    </row>
    <row r="289">
      <c r="C289">
        <f>IF(往来单位!$B$100="","",TRIM(往来单位!$B$100&amp;""))</f>
      </c>
      <c r="D289">
        <f>往来单位!$B$100&amp;""</f>
      </c>
      <c r="N289" s="2">
        <f>N250+SUM(CA251:CA289)</f>
        <v>7</v>
      </c>
      <c r="T289">
        <f>IF(C289="",0,LEN(C289)*10000+9711)</f>
        <v>0</v>
      </c>
      <c r="U289">
        <f>IF(LARGE($T$1:$T$900,289)=0,0,MATCH(LARGE($T$1:$T$900,289),$T$1:$T$900,0))</f>
        <v>0</v>
      </c>
      <c r="V289">
        <f t="shared" si="62"/>
      </c>
      <c r="W289">
        <f t="shared" si="63"/>
      </c>
      <c r="CA289" s="2">
        <f>IF(往来单位!$C$292="甲方/总包",1,0)</f>
        <v>0</v>
      </c>
    </row>
    <row r="290">
      <c r="C290">
        <f>IF(往来单位!$B$100="","",TRIM(往来单位!$D$100&amp;""))</f>
      </c>
      <c r="D290">
        <f>往来单位!$B$100&amp;""</f>
      </c>
      <c r="N290" s="2">
        <f>N250+SUM(CA251:CA290)</f>
        <v>7</v>
      </c>
      <c r="T290">
        <f>IF(C290="",0,LEN(C290)*10000+9710)</f>
        <v>0</v>
      </c>
      <c r="U290">
        <f>IF(LARGE($T$1:$T$900,290)=0,0,MATCH(LARGE($T$1:$T$900,290),$T$1:$T$900,0))</f>
        <v>0</v>
      </c>
      <c r="V290">
        <f t="shared" si="62"/>
      </c>
      <c r="W290">
        <f t="shared" si="63"/>
      </c>
      <c r="CA290" s="2">
        <f>IF(往来单位!$C$293="甲方/总包",1,0)</f>
        <v>0</v>
      </c>
    </row>
    <row r="291">
      <c r="C291">
        <f>IF(往来单位!$B$100="","",TRIM(往来单位!$E$100&amp;""))</f>
      </c>
      <c r="D291">
        <f>往来单位!$B$100&amp;""</f>
      </c>
      <c r="N291" s="2">
        <f>N250+SUM(CA251:CA291)</f>
        <v>7</v>
      </c>
      <c r="T291">
        <f>IF(C291="",0,LEN(C291)*10000+9709)</f>
        <v>0</v>
      </c>
      <c r="U291">
        <f>IF(LARGE($T$1:$T$900,291)=0,0,MATCH(LARGE($T$1:$T$900,291),$T$1:$T$900,0))</f>
        <v>0</v>
      </c>
      <c r="V291">
        <f t="shared" si="62"/>
      </c>
      <c r="W291">
        <f t="shared" si="63"/>
      </c>
      <c r="CA291" s="2">
        <f>IF(往来单位!$C$294="甲方/总包",1,0)</f>
        <v>0</v>
      </c>
    </row>
    <row r="292">
      <c r="C292">
        <f>IF(往来单位!$B$101="","",TRIM(往来单位!$B$101&amp;""))</f>
      </c>
      <c r="D292">
        <f>往来单位!$B$101&amp;""</f>
      </c>
      <c r="N292" s="2">
        <f>N250+SUM(CA251:CA292)</f>
        <v>7</v>
      </c>
      <c r="T292">
        <f>IF(C292="",0,LEN(C292)*10000+9708)</f>
        <v>0</v>
      </c>
      <c r="U292">
        <f>IF(LARGE($T$1:$T$900,292)=0,0,MATCH(LARGE($T$1:$T$900,292),$T$1:$T$900,0))</f>
        <v>0</v>
      </c>
      <c r="V292">
        <f t="shared" si="62"/>
      </c>
      <c r="W292">
        <f t="shared" si="63"/>
      </c>
      <c r="CA292" s="2">
        <f>IF(往来单位!$C$295="甲方/总包",1,0)</f>
        <v>0</v>
      </c>
    </row>
    <row r="293">
      <c r="C293">
        <f>IF(往来单位!$B$101="","",TRIM(往来单位!$D$101&amp;""))</f>
      </c>
      <c r="D293">
        <f>往来单位!$B$101&amp;""</f>
      </c>
      <c r="N293" s="2">
        <f>N250+SUM(CA251:CA293)</f>
        <v>7</v>
      </c>
      <c r="T293">
        <f>IF(C293="",0,LEN(C293)*10000+9707)</f>
        <v>0</v>
      </c>
      <c r="U293">
        <f>IF(LARGE($T$1:$T$900,293)=0,0,MATCH(LARGE($T$1:$T$900,293),$T$1:$T$900,0))</f>
        <v>0</v>
      </c>
      <c r="V293">
        <f t="shared" si="62"/>
      </c>
      <c r="W293">
        <f t="shared" si="63"/>
      </c>
      <c r="CA293" s="2">
        <f>IF(往来单位!$C$296="甲方/总包",1,0)</f>
        <v>0</v>
      </c>
    </row>
    <row r="294">
      <c r="C294">
        <f>IF(往来单位!$B$101="","",TRIM(往来单位!$E$101&amp;""))</f>
      </c>
      <c r="D294">
        <f>往来单位!$B$101&amp;""</f>
      </c>
      <c r="N294" s="2">
        <f>N250+SUM(CA251:CA294)</f>
        <v>7</v>
      </c>
      <c r="T294">
        <f>IF(C294="",0,LEN(C294)*10000+9706)</f>
        <v>0</v>
      </c>
      <c r="U294">
        <f>IF(LARGE($T$1:$T$900,294)=0,0,MATCH(LARGE($T$1:$T$900,294),$T$1:$T$900,0))</f>
        <v>0</v>
      </c>
      <c r="V294">
        <f t="shared" si="62"/>
      </c>
      <c r="W294">
        <f t="shared" si="63"/>
      </c>
      <c r="CA294" s="2">
        <f>IF(往来单位!$C$297="甲方/总包",1,0)</f>
        <v>0</v>
      </c>
    </row>
    <row r="295">
      <c r="C295">
        <f>IF(往来单位!$B$102="","",TRIM(往来单位!$B$102&amp;""))</f>
      </c>
      <c r="D295">
        <f>往来单位!$B$102&amp;""</f>
      </c>
      <c r="N295" s="2">
        <f>N250+SUM(CA251:CA295)</f>
        <v>7</v>
      </c>
      <c r="T295">
        <f>IF(C295="",0,LEN(C295)*10000+9705)</f>
        <v>0</v>
      </c>
      <c r="U295">
        <f>IF(LARGE($T$1:$T$900,295)=0,0,MATCH(LARGE($T$1:$T$900,295),$T$1:$T$900,0))</f>
        <v>0</v>
      </c>
      <c r="V295">
        <f t="shared" si="62"/>
      </c>
      <c r="W295">
        <f t="shared" si="63"/>
      </c>
      <c r="CA295" s="2">
        <f>IF(往来单位!$C$298="甲方/总包",1,0)</f>
        <v>0</v>
      </c>
    </row>
    <row r="296">
      <c r="C296">
        <f>IF(往来单位!$B$102="","",TRIM(往来单位!$D$102&amp;""))</f>
      </c>
      <c r="D296">
        <f>往来单位!$B$102&amp;""</f>
      </c>
      <c r="N296" s="2">
        <f>N250+SUM(CA251:CA296)</f>
        <v>7</v>
      </c>
      <c r="T296">
        <f>IF(C296="",0,LEN(C296)*10000+9704)</f>
        <v>0</v>
      </c>
      <c r="U296">
        <f>IF(LARGE($T$1:$T$900,296)=0,0,MATCH(LARGE($T$1:$T$900,296),$T$1:$T$900,0))</f>
        <v>0</v>
      </c>
      <c r="V296">
        <f t="shared" si="62"/>
      </c>
      <c r="W296">
        <f t="shared" si="63"/>
      </c>
      <c r="CA296" s="2">
        <f>IF(往来单位!$C$299="甲方/总包",1,0)</f>
        <v>0</v>
      </c>
    </row>
    <row r="297">
      <c r="C297">
        <f>IF(往来单位!$B$102="","",TRIM(往来单位!$E$102&amp;""))</f>
      </c>
      <c r="D297">
        <f>往来单位!$B$102&amp;""</f>
      </c>
      <c r="N297" s="2">
        <f>N250+SUM(CA251:CA297)</f>
        <v>7</v>
      </c>
      <c r="T297">
        <f>IF(C297="",0,LEN(C297)*10000+9703)</f>
        <v>0</v>
      </c>
      <c r="U297">
        <f>IF(LARGE($T$1:$T$900,297)=0,0,MATCH(LARGE($T$1:$T$900,297),$T$1:$T$900,0))</f>
        <v>0</v>
      </c>
      <c r="V297">
        <f t="shared" si="62"/>
      </c>
      <c r="W297">
        <f t="shared" si="63"/>
      </c>
      <c r="CA297" s="2">
        <f>IF(往来单位!$C$300="甲方/总包",1,0)</f>
        <v>0</v>
      </c>
    </row>
    <row r="298">
      <c r="C298">
        <f>IF(往来单位!$B$103="","",TRIM(往来单位!$B$103&amp;""))</f>
      </c>
      <c r="D298">
        <f>往来单位!$B$103&amp;""</f>
      </c>
      <c r="N298" s="2">
        <f>N250+SUM(CA251:CA298)</f>
        <v>7</v>
      </c>
      <c r="T298">
        <f>IF(C298="",0,LEN(C298)*10000+9702)</f>
        <v>0</v>
      </c>
      <c r="U298">
        <f>IF(LARGE($T$1:$T$900,298)=0,0,MATCH(LARGE($T$1:$T$900,298),$T$1:$T$900,0))</f>
        <v>0</v>
      </c>
      <c r="V298">
        <f t="shared" si="62"/>
      </c>
      <c r="W298">
        <f t="shared" si="63"/>
      </c>
      <c r="CA298" s="2">
        <f>IF(往来单位!$C$301="甲方/总包",1,0)</f>
        <v>0</v>
      </c>
    </row>
    <row r="299">
      <c r="C299">
        <f>IF(往来单位!$B$103="","",TRIM(往来单位!$D$103&amp;""))</f>
      </c>
      <c r="D299">
        <f>往来单位!$B$103&amp;""</f>
      </c>
      <c r="N299" s="2">
        <f>N250+SUM(CA251:CA299)</f>
        <v>7</v>
      </c>
      <c r="T299">
        <f>IF(C299="",0,LEN(C299)*10000+9701)</f>
        <v>0</v>
      </c>
      <c r="U299">
        <f>IF(LARGE($T$1:$T$900,299)=0,0,MATCH(LARGE($T$1:$T$900,299),$T$1:$T$900,0))</f>
        <v>0</v>
      </c>
      <c r="V299">
        <f t="shared" si="62"/>
      </c>
      <c r="W299">
        <f t="shared" si="63"/>
      </c>
      <c r="CA299" s="2">
        <f>IF(往来单位!$C$302="甲方/总包",1,0)</f>
        <v>0</v>
      </c>
    </row>
    <row r="300">
      <c r="C300">
        <f>IF(往来单位!$B$103="","",TRIM(往来单位!$E$103&amp;""))</f>
      </c>
      <c r="D300">
        <f>往来单位!$B$103&amp;""</f>
      </c>
      <c r="N300" s="2">
        <f>N250+SUM(CA251:CA300)</f>
        <v>7</v>
      </c>
      <c r="T300">
        <f>IF(C300="",0,LEN(C300)*10000+9700)</f>
        <v>0</v>
      </c>
      <c r="U300">
        <f>IF(LARGE($T$1:$T$900,300)=0,0,MATCH(LARGE($T$1:$T$900,300),$T$1:$T$900,0))</f>
        <v>0</v>
      </c>
      <c r="V300">
        <f t="shared" si="62"/>
      </c>
      <c r="W300">
        <f t="shared" si="63"/>
      </c>
      <c r="CA300" s="2">
        <f>IF(往来单位!$C$303="甲方/总包",1,0)</f>
        <v>0</v>
      </c>
    </row>
    <row r="301">
      <c r="C301">
        <f>IF(往来单位!$B$104="","",TRIM(往来单位!$B$104&amp;""))</f>
      </c>
      <c r="D301">
        <f>往来单位!$B$104&amp;""</f>
      </c>
      <c r="T301">
        <f>IF(C301="",0,LEN(C301)*10000+9699)</f>
        <v>0</v>
      </c>
      <c r="U301">
        <f>IF(LARGE($T$1:$T$900,301)=0,0,MATCH(LARGE($T$1:$T$900,301),$T$1:$T$900,0))</f>
        <v>0</v>
      </c>
      <c r="V301">
        <f t="shared" si="62"/>
      </c>
      <c r="W301">
        <f t="shared" si="63"/>
      </c>
    </row>
    <row r="302">
      <c r="C302">
        <f>IF(往来单位!$B$104="","",TRIM(往来单位!$D$104&amp;""))</f>
      </c>
      <c r="D302">
        <f>往来单位!$B$104&amp;""</f>
      </c>
      <c r="T302">
        <f>IF(C302="",0,LEN(C302)*10000+9698)</f>
        <v>0</v>
      </c>
      <c r="U302">
        <f>IF(LARGE($T$1:$T$900,302)=0,0,MATCH(LARGE($T$1:$T$900,302),$T$1:$T$900,0))</f>
        <v>0</v>
      </c>
      <c r="V302">
        <f t="shared" si="62"/>
      </c>
      <c r="W302">
        <f t="shared" si="63"/>
      </c>
    </row>
    <row r="303">
      <c r="C303">
        <f>IF(往来单位!$B$104="","",TRIM(往来单位!$E$104&amp;""))</f>
      </c>
      <c r="D303">
        <f>往来单位!$B$104&amp;""</f>
      </c>
      <c r="T303">
        <f>IF(C303="",0,LEN(C303)*10000+9697)</f>
        <v>0</v>
      </c>
      <c r="U303">
        <f>IF(LARGE($T$1:$T$900,303)=0,0,MATCH(LARGE($T$1:$T$900,303),$T$1:$T$900,0))</f>
        <v>0</v>
      </c>
      <c r="V303">
        <f t="shared" si="62"/>
      </c>
      <c r="W303">
        <f t="shared" si="63"/>
      </c>
    </row>
    <row r="304">
      <c r="C304">
        <f>IF(往来单位!$B$105="","",TRIM(往来单位!$B$105&amp;""))</f>
      </c>
      <c r="D304">
        <f>往来单位!$B$105&amp;""</f>
      </c>
      <c r="T304">
        <f>IF(C304="",0,LEN(C304)*10000+9696)</f>
        <v>0</v>
      </c>
      <c r="U304">
        <f>IF(LARGE($T$1:$T$900,304)=0,0,MATCH(LARGE($T$1:$T$900,304),$T$1:$T$900,0))</f>
        <v>0</v>
      </c>
      <c r="V304">
        <f t="shared" si="62"/>
      </c>
      <c r="W304">
        <f t="shared" si="63"/>
      </c>
    </row>
    <row r="305">
      <c r="C305">
        <f>IF(往来单位!$B$105="","",TRIM(往来单位!$D$105&amp;""))</f>
      </c>
      <c r="D305">
        <f>往来单位!$B$105&amp;""</f>
      </c>
      <c r="T305">
        <f>IF(C305="",0,LEN(C305)*10000+9695)</f>
        <v>0</v>
      </c>
      <c r="U305">
        <f>IF(LARGE($T$1:$T$900,305)=0,0,MATCH(LARGE($T$1:$T$900,305),$T$1:$T$900,0))</f>
        <v>0</v>
      </c>
      <c r="V305">
        <f t="shared" si="62"/>
      </c>
      <c r="W305">
        <f t="shared" si="63"/>
      </c>
    </row>
    <row r="306">
      <c r="C306">
        <f>IF(往来单位!$B$105="","",TRIM(往来单位!$E$105&amp;""))</f>
      </c>
      <c r="D306">
        <f>往来单位!$B$105&amp;""</f>
      </c>
      <c r="T306">
        <f>IF(C306="",0,LEN(C306)*10000+9694)</f>
        <v>0</v>
      </c>
      <c r="U306">
        <f>IF(LARGE($T$1:$T$900,306)=0,0,MATCH(LARGE($T$1:$T$900,306),$T$1:$T$900,0))</f>
        <v>0</v>
      </c>
      <c r="V306">
        <f t="shared" si="62"/>
      </c>
      <c r="W306">
        <f t="shared" si="63"/>
      </c>
    </row>
    <row r="307">
      <c r="C307">
        <f>IF(往来单位!$B$106="","",TRIM(往来单位!$B$106&amp;""))</f>
      </c>
      <c r="D307">
        <f>往来单位!$B$106&amp;""</f>
      </c>
      <c r="T307">
        <f>IF(C307="",0,LEN(C307)*10000+9693)</f>
        <v>0</v>
      </c>
      <c r="U307">
        <f>IF(LARGE($T$1:$T$900,307)=0,0,MATCH(LARGE($T$1:$T$900,307),$T$1:$T$900,0))</f>
        <v>0</v>
      </c>
      <c r="V307">
        <f t="shared" si="62"/>
      </c>
      <c r="W307">
        <f t="shared" si="63"/>
      </c>
    </row>
    <row r="308">
      <c r="C308">
        <f>IF(往来单位!$B$106="","",TRIM(往来单位!$D$106&amp;""))</f>
      </c>
      <c r="D308">
        <f>往来单位!$B$106&amp;""</f>
      </c>
      <c r="T308">
        <f>IF(C308="",0,LEN(C308)*10000+9692)</f>
        <v>0</v>
      </c>
      <c r="U308">
        <f>IF(LARGE($T$1:$T$900,308)=0,0,MATCH(LARGE($T$1:$T$900,308),$T$1:$T$900,0))</f>
        <v>0</v>
      </c>
      <c r="V308">
        <f t="shared" si="62"/>
      </c>
      <c r="W308">
        <f t="shared" si="63"/>
      </c>
    </row>
    <row r="309">
      <c r="C309">
        <f>IF(往来单位!$B$106="","",TRIM(往来单位!$E$106&amp;""))</f>
      </c>
      <c r="D309">
        <f>往来单位!$B$106&amp;""</f>
      </c>
      <c r="T309">
        <f>IF(C309="",0,LEN(C309)*10000+9691)</f>
        <v>0</v>
      </c>
      <c r="U309">
        <f>IF(LARGE($T$1:$T$900,309)=0,0,MATCH(LARGE($T$1:$T$900,309),$T$1:$T$900,0))</f>
        <v>0</v>
      </c>
      <c r="V309">
        <f t="shared" si="62"/>
      </c>
      <c r="W309">
        <f t="shared" si="63"/>
      </c>
    </row>
    <row r="310">
      <c r="C310">
        <f>IF(往来单位!$B$107="","",TRIM(往来单位!$B$107&amp;""))</f>
      </c>
      <c r="D310">
        <f>往来单位!$B$107&amp;""</f>
      </c>
      <c r="T310">
        <f>IF(C310="",0,LEN(C310)*10000+9690)</f>
        <v>0</v>
      </c>
      <c r="U310">
        <f>IF(LARGE($T$1:$T$900,310)=0,0,MATCH(LARGE($T$1:$T$900,310),$T$1:$T$900,0))</f>
        <v>0</v>
      </c>
      <c r="V310">
        <f t="shared" si="62"/>
      </c>
      <c r="W310">
        <f t="shared" si="63"/>
      </c>
    </row>
    <row r="311">
      <c r="C311">
        <f>IF(往来单位!$B$107="","",TRIM(往来单位!$D$107&amp;""))</f>
      </c>
      <c r="D311">
        <f>往来单位!$B$107&amp;""</f>
      </c>
      <c r="T311">
        <f>IF(C311="",0,LEN(C311)*10000+9689)</f>
        <v>0</v>
      </c>
      <c r="U311">
        <f>IF(LARGE($T$1:$T$900,311)=0,0,MATCH(LARGE($T$1:$T$900,311),$T$1:$T$900,0))</f>
        <v>0</v>
      </c>
      <c r="V311">
        <f t="shared" si="62"/>
      </c>
      <c r="W311">
        <f t="shared" si="63"/>
      </c>
    </row>
    <row r="312">
      <c r="C312">
        <f>IF(往来单位!$B$107="","",TRIM(往来单位!$E$107&amp;""))</f>
      </c>
      <c r="D312">
        <f>往来单位!$B$107&amp;""</f>
      </c>
      <c r="T312">
        <f>IF(C312="",0,LEN(C312)*10000+9688)</f>
        <v>0</v>
      </c>
      <c r="U312">
        <f>IF(LARGE($T$1:$T$900,312)=0,0,MATCH(LARGE($T$1:$T$900,312),$T$1:$T$900,0))</f>
        <v>0</v>
      </c>
      <c r="V312">
        <f t="shared" si="62"/>
      </c>
      <c r="W312">
        <f t="shared" si="63"/>
      </c>
    </row>
    <row r="313">
      <c r="C313">
        <f>IF(往来单位!$B$108="","",TRIM(往来单位!$B$108&amp;""))</f>
      </c>
      <c r="D313">
        <f>往来单位!$B$108&amp;""</f>
      </c>
      <c r="T313">
        <f>IF(C313="",0,LEN(C313)*10000+9687)</f>
        <v>0</v>
      </c>
      <c r="U313">
        <f>IF(LARGE($T$1:$T$900,313)=0,0,MATCH(LARGE($T$1:$T$900,313),$T$1:$T$900,0))</f>
        <v>0</v>
      </c>
      <c r="V313">
        <f t="shared" si="62"/>
      </c>
      <c r="W313">
        <f t="shared" si="63"/>
      </c>
    </row>
    <row r="314">
      <c r="C314">
        <f>IF(往来单位!$B$108="","",TRIM(往来单位!$D$108&amp;""))</f>
      </c>
      <c r="D314">
        <f>往来单位!$B$108&amp;""</f>
      </c>
      <c r="T314">
        <f>IF(C314="",0,LEN(C314)*10000+9686)</f>
        <v>0</v>
      </c>
      <c r="U314">
        <f>IF(LARGE($T$1:$T$900,314)=0,0,MATCH(LARGE($T$1:$T$900,314),$T$1:$T$900,0))</f>
        <v>0</v>
      </c>
      <c r="V314">
        <f t="shared" si="62"/>
      </c>
      <c r="W314">
        <f t="shared" si="63"/>
      </c>
    </row>
    <row r="315">
      <c r="C315">
        <f>IF(往来单位!$B$108="","",TRIM(往来单位!$E$108&amp;""))</f>
      </c>
      <c r="D315">
        <f>往来单位!$B$108&amp;""</f>
      </c>
      <c r="T315">
        <f>IF(C315="",0,LEN(C315)*10000+9685)</f>
        <v>0</v>
      </c>
      <c r="U315">
        <f>IF(LARGE($T$1:$T$900,315)=0,0,MATCH(LARGE($T$1:$T$900,315),$T$1:$T$900,0))</f>
        <v>0</v>
      </c>
      <c r="V315">
        <f t="shared" si="62"/>
      </c>
      <c r="W315">
        <f t="shared" si="63"/>
      </c>
    </row>
    <row r="316">
      <c r="C316">
        <f>IF(往来单位!$B$109="","",TRIM(往来单位!$B$109&amp;""))</f>
      </c>
      <c r="D316">
        <f>往来单位!$B$109&amp;""</f>
      </c>
      <c r="T316">
        <f>IF(C316="",0,LEN(C316)*10000+9684)</f>
        <v>0</v>
      </c>
      <c r="U316">
        <f>IF(LARGE($T$1:$T$900,316)=0,0,MATCH(LARGE($T$1:$T$900,316),$T$1:$T$900,0))</f>
        <v>0</v>
      </c>
      <c r="V316">
        <f t="shared" si="62"/>
      </c>
      <c r="W316">
        <f t="shared" si="63"/>
      </c>
    </row>
    <row r="317">
      <c r="C317">
        <f>IF(往来单位!$B$109="","",TRIM(往来单位!$D$109&amp;""))</f>
      </c>
      <c r="D317">
        <f>往来单位!$B$109&amp;""</f>
      </c>
      <c r="T317">
        <f>IF(C317="",0,LEN(C317)*10000+9683)</f>
        <v>0</v>
      </c>
      <c r="U317">
        <f>IF(LARGE($T$1:$T$900,317)=0,0,MATCH(LARGE($T$1:$T$900,317),$T$1:$T$900,0))</f>
        <v>0</v>
      </c>
      <c r="V317">
        <f t="shared" si="62"/>
      </c>
      <c r="W317">
        <f t="shared" si="63"/>
      </c>
    </row>
    <row r="318">
      <c r="C318">
        <f>IF(往来单位!$B$109="","",TRIM(往来单位!$E$109&amp;""))</f>
      </c>
      <c r="D318">
        <f>往来单位!$B$109&amp;""</f>
      </c>
      <c r="T318">
        <f>IF(C318="",0,LEN(C318)*10000+9682)</f>
        <v>0</v>
      </c>
      <c r="U318">
        <f>IF(LARGE($T$1:$T$900,318)=0,0,MATCH(LARGE($T$1:$T$900,318),$T$1:$T$900,0))</f>
        <v>0</v>
      </c>
      <c r="V318">
        <f t="shared" si="62"/>
      </c>
      <c r="W318">
        <f t="shared" si="63"/>
      </c>
    </row>
    <row r="319">
      <c r="C319">
        <f>IF(往来单位!$B$110="","",TRIM(往来单位!$B$110&amp;""))</f>
      </c>
      <c r="D319">
        <f>往来单位!$B$110&amp;""</f>
      </c>
      <c r="T319">
        <f>IF(C319="",0,LEN(C319)*10000+9681)</f>
        <v>0</v>
      </c>
      <c r="U319">
        <f>IF(LARGE($T$1:$T$900,319)=0,0,MATCH(LARGE($T$1:$T$900,319),$T$1:$T$900,0))</f>
        <v>0</v>
      </c>
      <c r="V319">
        <f t="shared" si="62"/>
      </c>
      <c r="W319">
        <f t="shared" si="63"/>
      </c>
    </row>
    <row r="320">
      <c r="C320">
        <f>IF(往来单位!$B$110="","",TRIM(往来单位!$D$110&amp;""))</f>
      </c>
      <c r="D320">
        <f>往来单位!$B$110&amp;""</f>
      </c>
      <c r="T320">
        <f>IF(C320="",0,LEN(C320)*10000+9680)</f>
        <v>0</v>
      </c>
      <c r="U320">
        <f>IF(LARGE($T$1:$T$900,320)=0,0,MATCH(LARGE($T$1:$T$900,320),$T$1:$T$900,0))</f>
        <v>0</v>
      </c>
      <c r="V320">
        <f t="shared" si="62"/>
      </c>
      <c r="W320">
        <f t="shared" si="63"/>
      </c>
    </row>
    <row r="321">
      <c r="C321">
        <f>IF(往来单位!$B$110="","",TRIM(往来单位!$E$110&amp;""))</f>
      </c>
      <c r="D321">
        <f>往来单位!$B$110&amp;""</f>
      </c>
      <c r="T321">
        <f>IF(C321="",0,LEN(C321)*10000+9679)</f>
        <v>0</v>
      </c>
      <c r="U321">
        <f>IF(LARGE($T$1:$T$900,321)=0,0,MATCH(LARGE($T$1:$T$900,321),$T$1:$T$900,0))</f>
        <v>0</v>
      </c>
      <c r="V321">
        <f t="shared" si="62"/>
      </c>
      <c r="W321">
        <f t="shared" si="63"/>
      </c>
    </row>
    <row r="322">
      <c r="C322">
        <f>IF(往来单位!$B$111="","",TRIM(往来单位!$B$111&amp;""))</f>
      </c>
      <c r="D322">
        <f>往来单位!$B$111&amp;""</f>
      </c>
      <c r="T322">
        <f>IF(C322="",0,LEN(C322)*10000+9678)</f>
        <v>0</v>
      </c>
      <c r="U322">
        <f>IF(LARGE($T$1:$T$900,322)=0,0,MATCH(LARGE($T$1:$T$900,322),$T$1:$T$900,0))</f>
        <v>0</v>
      </c>
      <c r="V322">
        <f t="shared" si="62"/>
      </c>
      <c r="W322">
        <f t="shared" si="63"/>
      </c>
    </row>
    <row r="323">
      <c r="C323">
        <f>IF(往来单位!$B$111="","",TRIM(往来单位!$D$111&amp;""))</f>
      </c>
      <c r="D323">
        <f>往来单位!$B$111&amp;""</f>
      </c>
      <c r="T323">
        <f>IF(C323="",0,LEN(C323)*10000+9677)</f>
        <v>0</v>
      </c>
      <c r="U323">
        <f>IF(LARGE($T$1:$T$900,323)=0,0,MATCH(LARGE($T$1:$T$900,323),$T$1:$T$900,0))</f>
        <v>0</v>
      </c>
      <c r="V323">
        <f t="shared" si="62"/>
      </c>
      <c r="W323">
        <f t="shared" si="63"/>
      </c>
    </row>
    <row r="324">
      <c r="C324">
        <f>IF(往来单位!$B$111="","",TRIM(往来单位!$E$111&amp;""))</f>
      </c>
      <c r="D324">
        <f>往来单位!$B$111&amp;""</f>
      </c>
      <c r="T324">
        <f>IF(C324="",0,LEN(C324)*10000+9676)</f>
        <v>0</v>
      </c>
      <c r="U324">
        <f>IF(LARGE($T$1:$T$900,324)=0,0,MATCH(LARGE($T$1:$T$900,324),$T$1:$T$900,0))</f>
        <v>0</v>
      </c>
      <c r="V324">
        <f t="shared" si="62"/>
      </c>
      <c r="W324">
        <f t="shared" si="63"/>
      </c>
    </row>
    <row r="325">
      <c r="C325">
        <f>IF(往来单位!$B$112="","",TRIM(往来单位!$B$112&amp;""))</f>
      </c>
      <c r="D325">
        <f>往来单位!$B$112&amp;""</f>
      </c>
      <c r="T325">
        <f>IF(C325="",0,LEN(C325)*10000+9675)</f>
        <v>0</v>
      </c>
      <c r="U325">
        <f>IF(LARGE($T$1:$T$900,325)=0,0,MATCH(LARGE($T$1:$T$900,325),$T$1:$T$900,0))</f>
        <v>0</v>
      </c>
      <c r="V325">
        <f t="shared" si="62"/>
      </c>
      <c r="W325">
        <f t="shared" si="63"/>
      </c>
    </row>
    <row r="326">
      <c r="C326">
        <f>IF(往来单位!$B$112="","",TRIM(往来单位!$D$112&amp;""))</f>
      </c>
      <c r="D326">
        <f>往来单位!$B$112&amp;""</f>
      </c>
      <c r="T326">
        <f>IF(C326="",0,LEN(C326)*10000+9674)</f>
        <v>0</v>
      </c>
      <c r="U326">
        <f>IF(LARGE($T$1:$T$900,326)=0,0,MATCH(LARGE($T$1:$T$900,326),$T$1:$T$900,0))</f>
        <v>0</v>
      </c>
      <c r="V326">
        <f t="shared" si="62"/>
      </c>
      <c r="W326">
        <f t="shared" si="63"/>
      </c>
    </row>
    <row r="327">
      <c r="C327">
        <f>IF(往来单位!$B$112="","",TRIM(往来单位!$E$112&amp;""))</f>
      </c>
      <c r="D327">
        <f>往来单位!$B$112&amp;""</f>
      </c>
      <c r="T327">
        <f>IF(C327="",0,LEN(C327)*10000+9673)</f>
        <v>0</v>
      </c>
      <c r="U327">
        <f>IF(LARGE($T$1:$T$900,327)=0,0,MATCH(LARGE($T$1:$T$900,327),$T$1:$T$900,0))</f>
        <v>0</v>
      </c>
      <c r="V327">
        <f t="shared" si="62"/>
      </c>
      <c r="W327">
        <f t="shared" si="63"/>
      </c>
    </row>
    <row r="328">
      <c r="C328">
        <f>IF(往来单位!$B$113="","",TRIM(往来单位!$B$113&amp;""))</f>
      </c>
      <c r="D328">
        <f>往来单位!$B$113&amp;""</f>
      </c>
      <c r="T328">
        <f>IF(C328="",0,LEN(C328)*10000+9672)</f>
        <v>0</v>
      </c>
      <c r="U328">
        <f>IF(LARGE($T$1:$T$900,328)=0,0,MATCH(LARGE($T$1:$T$900,328),$T$1:$T$900,0))</f>
        <v>0</v>
      </c>
      <c r="V328">
        <f t="shared" si="62"/>
      </c>
      <c r="W328">
        <f t="shared" si="63"/>
      </c>
    </row>
    <row r="329">
      <c r="C329">
        <f>IF(往来单位!$B$113="","",TRIM(往来单位!$D$113&amp;""))</f>
      </c>
      <c r="D329">
        <f>往来单位!$B$113&amp;""</f>
      </c>
      <c r="T329">
        <f>IF(C329="",0,LEN(C329)*10000+9671)</f>
        <v>0</v>
      </c>
      <c r="U329">
        <f>IF(LARGE($T$1:$T$900,329)=0,0,MATCH(LARGE($T$1:$T$900,329),$T$1:$T$900,0))</f>
        <v>0</v>
      </c>
      <c r="V329">
        <f t="shared" si="62"/>
      </c>
      <c r="W329">
        <f t="shared" si="63"/>
      </c>
    </row>
    <row r="330">
      <c r="C330">
        <f>IF(往来单位!$B$113="","",TRIM(往来单位!$E$113&amp;""))</f>
      </c>
      <c r="D330">
        <f>往来单位!$B$113&amp;""</f>
      </c>
      <c r="T330">
        <f>IF(C330="",0,LEN(C330)*10000+9670)</f>
        <v>0</v>
      </c>
      <c r="U330">
        <f>IF(LARGE($T$1:$T$900,330)=0,0,MATCH(LARGE($T$1:$T$900,330),$T$1:$T$900,0))</f>
        <v>0</v>
      </c>
      <c r="V330">
        <f t="shared" si="62"/>
      </c>
      <c r="W330">
        <f t="shared" si="63"/>
      </c>
    </row>
    <row r="331">
      <c r="C331">
        <f>IF(往来单位!$B$114="","",TRIM(往来单位!$B$114&amp;""))</f>
      </c>
      <c r="D331">
        <f>往来单位!$B$114&amp;""</f>
      </c>
      <c r="T331">
        <f>IF(C331="",0,LEN(C331)*10000+9669)</f>
        <v>0</v>
      </c>
      <c r="U331">
        <f>IF(LARGE($T$1:$T$900,331)=0,0,MATCH(LARGE($T$1:$T$900,331),$T$1:$T$900,0))</f>
        <v>0</v>
      </c>
      <c r="V331">
        <f t="shared" si="62"/>
      </c>
      <c r="W331">
        <f t="shared" si="63"/>
      </c>
    </row>
    <row r="332">
      <c r="C332">
        <f>IF(往来单位!$B$114="","",TRIM(往来单位!$D$114&amp;""))</f>
      </c>
      <c r="D332">
        <f>往来单位!$B$114&amp;""</f>
      </c>
      <c r="T332">
        <f>IF(C332="",0,LEN(C332)*10000+9668)</f>
        <v>0</v>
      </c>
      <c r="U332">
        <f>IF(LARGE($T$1:$T$900,332)=0,0,MATCH(LARGE($T$1:$T$900,332),$T$1:$T$900,0))</f>
        <v>0</v>
      </c>
      <c r="V332">
        <f t="shared" si="62"/>
      </c>
      <c r="W332">
        <f t="shared" si="63"/>
      </c>
    </row>
    <row r="333">
      <c r="C333">
        <f>IF(往来单位!$B$114="","",TRIM(往来单位!$E$114&amp;""))</f>
      </c>
      <c r="D333">
        <f>往来单位!$B$114&amp;""</f>
      </c>
      <c r="T333">
        <f>IF(C333="",0,LEN(C333)*10000+9667)</f>
        <v>0</v>
      </c>
      <c r="U333">
        <f>IF(LARGE($T$1:$T$900,333)=0,0,MATCH(LARGE($T$1:$T$900,333),$T$1:$T$900,0))</f>
        <v>0</v>
      </c>
      <c r="V333">
        <f t="shared" si="62"/>
      </c>
      <c r="W333">
        <f t="shared" si="63"/>
      </c>
    </row>
    <row r="334">
      <c r="C334">
        <f>IF(往来单位!$B$115="","",TRIM(往来单位!$B$115&amp;""))</f>
      </c>
      <c r="D334">
        <f>往来单位!$B$115&amp;""</f>
      </c>
      <c r="T334">
        <f>IF(C334="",0,LEN(C334)*10000+9666)</f>
        <v>0</v>
      </c>
      <c r="U334">
        <f>IF(LARGE($T$1:$T$900,334)=0,0,MATCH(LARGE($T$1:$T$900,334),$T$1:$T$900,0))</f>
        <v>0</v>
      </c>
      <c r="V334">
        <f t="shared" si="62"/>
      </c>
      <c r="W334">
        <f t="shared" si="63"/>
      </c>
    </row>
    <row r="335">
      <c r="C335">
        <f>IF(往来单位!$B$115="","",TRIM(往来单位!$D$115&amp;""))</f>
      </c>
      <c r="D335">
        <f>往来单位!$B$115&amp;""</f>
      </c>
      <c r="T335">
        <f>IF(C335="",0,LEN(C335)*10000+9665)</f>
        <v>0</v>
      </c>
      <c r="U335">
        <f>IF(LARGE($T$1:$T$900,335)=0,0,MATCH(LARGE($T$1:$T$900,335),$T$1:$T$900,0))</f>
        <v>0</v>
      </c>
      <c r="V335">
        <f t="shared" si="62"/>
      </c>
      <c r="W335">
        <f t="shared" si="63"/>
      </c>
    </row>
    <row r="336">
      <c r="C336">
        <f>IF(往来单位!$B$115="","",TRIM(往来单位!$E$115&amp;""))</f>
      </c>
      <c r="D336">
        <f>往来单位!$B$115&amp;""</f>
      </c>
      <c r="T336">
        <f>IF(C336="",0,LEN(C336)*10000+9664)</f>
        <v>0</v>
      </c>
      <c r="U336">
        <f>IF(LARGE($T$1:$T$900,336)=0,0,MATCH(LARGE($T$1:$T$900,336),$T$1:$T$900,0))</f>
        <v>0</v>
      </c>
      <c r="V336">
        <f t="shared" si="62"/>
      </c>
      <c r="W336">
        <f t="shared" si="63"/>
      </c>
    </row>
    <row r="337">
      <c r="C337">
        <f>IF(往来单位!$B$116="","",TRIM(往来单位!$B$116&amp;""))</f>
      </c>
      <c r="D337">
        <f>往来单位!$B$116&amp;""</f>
      </c>
      <c r="T337">
        <f>IF(C337="",0,LEN(C337)*10000+9663)</f>
        <v>0</v>
      </c>
      <c r="U337">
        <f>IF(LARGE($T$1:$T$900,337)=0,0,MATCH(LARGE($T$1:$T$900,337),$T$1:$T$900,0))</f>
        <v>0</v>
      </c>
      <c r="V337">
        <f t="shared" si="62"/>
      </c>
      <c r="W337">
        <f t="shared" si="63"/>
      </c>
    </row>
    <row r="338">
      <c r="C338">
        <f>IF(往来单位!$B$116="","",TRIM(往来单位!$D$116&amp;""))</f>
      </c>
      <c r="D338">
        <f>往来单位!$B$116&amp;""</f>
      </c>
      <c r="T338">
        <f>IF(C338="",0,LEN(C338)*10000+9662)</f>
        <v>0</v>
      </c>
      <c r="U338">
        <f>IF(LARGE($T$1:$T$900,338)=0,0,MATCH(LARGE($T$1:$T$900,338),$T$1:$T$900,0))</f>
        <v>0</v>
      </c>
      <c r="V338">
        <f t="shared" si="62"/>
      </c>
      <c r="W338">
        <f t="shared" si="63"/>
      </c>
    </row>
    <row r="339">
      <c r="C339">
        <f>IF(往来单位!$B$116="","",TRIM(往来单位!$E$116&amp;""))</f>
      </c>
      <c r="D339">
        <f>往来单位!$B$116&amp;""</f>
      </c>
      <c r="T339">
        <f>IF(C339="",0,LEN(C339)*10000+9661)</f>
        <v>0</v>
      </c>
      <c r="U339">
        <f>IF(LARGE($T$1:$T$900,339)=0,0,MATCH(LARGE($T$1:$T$900,339),$T$1:$T$900,0))</f>
        <v>0</v>
      </c>
      <c r="V339">
        <f t="shared" si="62"/>
      </c>
      <c r="W339">
        <f t="shared" si="63"/>
      </c>
    </row>
    <row r="340">
      <c r="C340">
        <f>IF(往来单位!$B$117="","",TRIM(往来单位!$B$117&amp;""))</f>
      </c>
      <c r="D340">
        <f>往来单位!$B$117&amp;""</f>
      </c>
      <c r="T340">
        <f>IF(C340="",0,LEN(C340)*10000+9660)</f>
        <v>0</v>
      </c>
      <c r="U340">
        <f>IF(LARGE($T$1:$T$900,340)=0,0,MATCH(LARGE($T$1:$T$900,340),$T$1:$T$900,0))</f>
        <v>0</v>
      </c>
      <c r="V340">
        <f t="shared" si="62"/>
      </c>
      <c r="W340">
        <f t="shared" si="63"/>
      </c>
    </row>
    <row r="341">
      <c r="C341">
        <f>IF(往来单位!$B$117="","",TRIM(往来单位!$D$117&amp;""))</f>
      </c>
      <c r="D341">
        <f>往来单位!$B$117&amp;""</f>
      </c>
      <c r="T341">
        <f>IF(C341="",0,LEN(C341)*10000+9659)</f>
        <v>0</v>
      </c>
      <c r="U341">
        <f>IF(LARGE($T$1:$T$900,341)=0,0,MATCH(LARGE($T$1:$T$900,341),$T$1:$T$900,0))</f>
        <v>0</v>
      </c>
      <c r="V341">
        <f t="shared" si="62"/>
      </c>
      <c r="W341">
        <f t="shared" si="63"/>
      </c>
    </row>
    <row r="342">
      <c r="C342">
        <f>IF(往来单位!$B$117="","",TRIM(往来单位!$E$117&amp;""))</f>
      </c>
      <c r="D342">
        <f>往来单位!$B$117&amp;""</f>
      </c>
      <c r="T342">
        <f>IF(C342="",0,LEN(C342)*10000+9658)</f>
        <v>0</v>
      </c>
      <c r="U342">
        <f>IF(LARGE($T$1:$T$900,342)=0,0,MATCH(LARGE($T$1:$T$900,342),$T$1:$T$900,0))</f>
        <v>0</v>
      </c>
      <c r="V342">
        <f t="shared" si="62"/>
      </c>
      <c r="W342">
        <f t="shared" si="63"/>
      </c>
    </row>
    <row r="343">
      <c r="C343">
        <f>IF(往来单位!$B$118="","",TRIM(往来单位!$B$118&amp;""))</f>
      </c>
      <c r="D343">
        <f>往来单位!$B$118&amp;""</f>
      </c>
      <c r="T343">
        <f>IF(C343="",0,LEN(C343)*10000+9657)</f>
        <v>0</v>
      </c>
      <c r="U343">
        <f>IF(LARGE($T$1:$T$900,343)=0,0,MATCH(LARGE($T$1:$T$900,343),$T$1:$T$900,0))</f>
        <v>0</v>
      </c>
      <c r="V343">
        <f t="shared" si="62"/>
      </c>
      <c r="W343">
        <f t="shared" si="63"/>
      </c>
    </row>
    <row r="344">
      <c r="C344">
        <f>IF(往来单位!$B$118="","",TRIM(往来单位!$D$118&amp;""))</f>
      </c>
      <c r="D344">
        <f>往来单位!$B$118&amp;""</f>
      </c>
      <c r="T344">
        <f>IF(C344="",0,LEN(C344)*10000+9656)</f>
        <v>0</v>
      </c>
      <c r="U344">
        <f>IF(LARGE($T$1:$T$900,344)=0,0,MATCH(LARGE($T$1:$T$900,344),$T$1:$T$900,0))</f>
        <v>0</v>
      </c>
      <c r="V344">
        <f t="shared" si="62"/>
      </c>
      <c r="W344">
        <f t="shared" si="63"/>
      </c>
    </row>
    <row r="345">
      <c r="C345">
        <f>IF(往来单位!$B$118="","",TRIM(往来单位!$E$118&amp;""))</f>
      </c>
      <c r="D345">
        <f>往来单位!$B$118&amp;""</f>
      </c>
      <c r="T345">
        <f>IF(C345="",0,LEN(C345)*10000+9655)</f>
        <v>0</v>
      </c>
      <c r="U345">
        <f>IF(LARGE($T$1:$T$900,345)=0,0,MATCH(LARGE($T$1:$T$900,345),$T$1:$T$900,0))</f>
        <v>0</v>
      </c>
      <c r="V345">
        <f t="shared" si="62"/>
      </c>
      <c r="W345">
        <f t="shared" si="63"/>
      </c>
    </row>
    <row r="346">
      <c r="C346">
        <f>IF(往来单位!$B$119="","",TRIM(往来单位!$B$119&amp;""))</f>
      </c>
      <c r="D346">
        <f>往来单位!$B$119&amp;""</f>
      </c>
      <c r="T346">
        <f>IF(C346="",0,LEN(C346)*10000+9654)</f>
        <v>0</v>
      </c>
      <c r="U346">
        <f>IF(LARGE($T$1:$T$900,346)=0,0,MATCH(LARGE($T$1:$T$900,346),$T$1:$T$900,0))</f>
        <v>0</v>
      </c>
      <c r="V346">
        <f t="shared" si="62"/>
      </c>
      <c r="W346">
        <f t="shared" si="63"/>
      </c>
    </row>
    <row r="347">
      <c r="C347">
        <f>IF(往来单位!$B$119="","",TRIM(往来单位!$D$119&amp;""))</f>
      </c>
      <c r="D347">
        <f>往来单位!$B$119&amp;""</f>
      </c>
      <c r="T347">
        <f>IF(C347="",0,LEN(C347)*10000+9653)</f>
        <v>0</v>
      </c>
      <c r="U347">
        <f>IF(LARGE($T$1:$T$900,347)=0,0,MATCH(LARGE($T$1:$T$900,347),$T$1:$T$900,0))</f>
        <v>0</v>
      </c>
      <c r="V347">
        <f t="shared" si="62"/>
      </c>
      <c r="W347">
        <f t="shared" si="63"/>
      </c>
    </row>
    <row r="348">
      <c r="C348">
        <f>IF(往来单位!$B$119="","",TRIM(往来单位!$E$119&amp;""))</f>
      </c>
      <c r="D348">
        <f>往来单位!$B$119&amp;""</f>
      </c>
      <c r="T348">
        <f>IF(C348="",0,LEN(C348)*10000+9652)</f>
        <v>0</v>
      </c>
      <c r="U348">
        <f>IF(LARGE($T$1:$T$900,348)=0,0,MATCH(LARGE($T$1:$T$900,348),$T$1:$T$900,0))</f>
        <v>0</v>
      </c>
      <c r="V348">
        <f t="shared" si="62"/>
      </c>
      <c r="W348">
        <f t="shared" si="63"/>
      </c>
    </row>
    <row r="349">
      <c r="C349">
        <f>IF(往来单位!$B$120="","",TRIM(往来单位!$B$120&amp;""))</f>
      </c>
      <c r="D349">
        <f>往来单位!$B$120&amp;""</f>
      </c>
      <c r="T349">
        <f>IF(C349="",0,LEN(C349)*10000+9651)</f>
        <v>0</v>
      </c>
      <c r="U349">
        <f>IF(LARGE($T$1:$T$900,349)=0,0,MATCH(LARGE($T$1:$T$900,349),$T$1:$T$900,0))</f>
        <v>0</v>
      </c>
      <c r="V349">
        <f t="shared" si="62"/>
      </c>
      <c r="W349">
        <f t="shared" si="63"/>
      </c>
    </row>
    <row r="350">
      <c r="C350">
        <f>IF(往来单位!$B$120="","",TRIM(往来单位!$D$120&amp;""))</f>
      </c>
      <c r="D350">
        <f>往来单位!$B$120&amp;""</f>
      </c>
      <c r="T350">
        <f>IF(C350="",0,LEN(C350)*10000+9650)</f>
        <v>0</v>
      </c>
      <c r="U350">
        <f>IF(LARGE($T$1:$T$900,350)=0,0,MATCH(LARGE($T$1:$T$900,350),$T$1:$T$900,0))</f>
        <v>0</v>
      </c>
      <c r="V350">
        <f t="shared" si="62"/>
      </c>
      <c r="W350">
        <f t="shared" si="63"/>
      </c>
    </row>
    <row r="351">
      <c r="C351">
        <f>IF(往来单位!$B$120="","",TRIM(往来单位!$E$120&amp;""))</f>
      </c>
      <c r="D351">
        <f>往来单位!$B$120&amp;""</f>
      </c>
      <c r="T351">
        <f>IF(C351="",0,LEN(C351)*10000+9649)</f>
        <v>0</v>
      </c>
      <c r="U351">
        <f>IF(LARGE($T$1:$T$900,351)=0,0,MATCH(LARGE($T$1:$T$900,351),$T$1:$T$900,0))</f>
        <v>0</v>
      </c>
      <c r="V351">
        <f t="shared" si="62"/>
      </c>
      <c r="W351">
        <f t="shared" si="63"/>
      </c>
    </row>
    <row r="352">
      <c r="C352">
        <f>IF(往来单位!$B$121="","",TRIM(往来单位!$B$121&amp;""))</f>
      </c>
      <c r="D352">
        <f>往来单位!$B$121&amp;""</f>
      </c>
      <c r="T352">
        <f>IF(C352="",0,LEN(C352)*10000+9648)</f>
        <v>0</v>
      </c>
      <c r="U352">
        <f>IF(LARGE($T$1:$T$900,352)=0,0,MATCH(LARGE($T$1:$T$900,352),$T$1:$T$900,0))</f>
        <v>0</v>
      </c>
      <c r="V352">
        <f t="shared" si="62"/>
      </c>
      <c r="W352">
        <f t="shared" si="63"/>
      </c>
    </row>
    <row r="353">
      <c r="C353">
        <f>IF(往来单位!$B$121="","",TRIM(往来单位!$D$121&amp;""))</f>
      </c>
      <c r="D353">
        <f>往来单位!$B$121&amp;""</f>
      </c>
      <c r="T353">
        <f>IF(C353="",0,LEN(C353)*10000+9647)</f>
        <v>0</v>
      </c>
      <c r="U353">
        <f>IF(LARGE($T$1:$T$900,353)=0,0,MATCH(LARGE($T$1:$T$900,353),$T$1:$T$900,0))</f>
        <v>0</v>
      </c>
      <c r="V353">
        <f t="shared" si="62"/>
      </c>
      <c r="W353">
        <f t="shared" si="63"/>
      </c>
    </row>
    <row r="354">
      <c r="C354">
        <f>IF(往来单位!$B$121="","",TRIM(往来单位!$E$121&amp;""))</f>
      </c>
      <c r="D354">
        <f>往来单位!$B$121&amp;""</f>
      </c>
      <c r="T354">
        <f>IF(C354="",0,LEN(C354)*10000+9646)</f>
        <v>0</v>
      </c>
      <c r="U354">
        <f>IF(LARGE($T$1:$T$900,354)=0,0,MATCH(LARGE($T$1:$T$900,354),$T$1:$T$900,0))</f>
        <v>0</v>
      </c>
      <c r="V354">
        <f t="shared" si="62"/>
      </c>
      <c r="W354">
        <f t="shared" si="63"/>
      </c>
    </row>
    <row r="355">
      <c r="C355">
        <f>IF(往来单位!$B$122="","",TRIM(往来单位!$B$122&amp;""))</f>
      </c>
      <c r="D355">
        <f>往来单位!$B$122&amp;""</f>
      </c>
      <c r="T355">
        <f>IF(C355="",0,LEN(C355)*10000+9645)</f>
        <v>0</v>
      </c>
      <c r="U355">
        <f>IF(LARGE($T$1:$T$900,355)=0,0,MATCH(LARGE($T$1:$T$900,355),$T$1:$T$900,0))</f>
        <v>0</v>
      </c>
      <c r="V355">
        <f t="shared" si="62"/>
      </c>
      <c r="W355">
        <f t="shared" si="63"/>
      </c>
    </row>
    <row r="356">
      <c r="C356">
        <f>IF(往来单位!$B$122="","",TRIM(往来单位!$D$122&amp;""))</f>
      </c>
      <c r="D356">
        <f>往来单位!$B$122&amp;""</f>
      </c>
      <c r="T356">
        <f>IF(C356="",0,LEN(C356)*10000+9644)</f>
        <v>0</v>
      </c>
      <c r="U356">
        <f>IF(LARGE($T$1:$T$900,356)=0,0,MATCH(LARGE($T$1:$T$900,356),$T$1:$T$900,0))</f>
        <v>0</v>
      </c>
      <c r="V356">
        <f t="shared" si="62"/>
      </c>
      <c r="W356">
        <f t="shared" si="63"/>
      </c>
    </row>
    <row r="357">
      <c r="C357">
        <f>IF(往来单位!$B$122="","",TRIM(往来单位!$E$122&amp;""))</f>
      </c>
      <c r="D357">
        <f>往来单位!$B$122&amp;""</f>
      </c>
      <c r="T357">
        <f>IF(C357="",0,LEN(C357)*10000+9643)</f>
        <v>0</v>
      </c>
      <c r="U357">
        <f>IF(LARGE($T$1:$T$900,357)=0,0,MATCH(LARGE($T$1:$T$900,357),$T$1:$T$900,0))</f>
        <v>0</v>
      </c>
      <c r="V357">
        <f t="shared" si="62"/>
      </c>
      <c r="W357">
        <f t="shared" si="63"/>
      </c>
    </row>
    <row r="358">
      <c r="C358">
        <f>IF(往来单位!$B$123="","",TRIM(往来单位!$B$123&amp;""))</f>
      </c>
      <c r="D358">
        <f>往来单位!$B$123&amp;""</f>
      </c>
      <c r="T358">
        <f>IF(C358="",0,LEN(C358)*10000+9642)</f>
        <v>0</v>
      </c>
      <c r="U358">
        <f>IF(LARGE($T$1:$T$900,358)=0,0,MATCH(LARGE($T$1:$T$900,358),$T$1:$T$900,0))</f>
        <v>0</v>
      </c>
      <c r="V358">
        <f t="shared" si="62"/>
      </c>
      <c r="W358">
        <f t="shared" si="63"/>
      </c>
    </row>
    <row r="359">
      <c r="C359">
        <f>IF(往来单位!$B$123="","",TRIM(往来单位!$D$123&amp;""))</f>
      </c>
      <c r="D359">
        <f>往来单位!$B$123&amp;""</f>
      </c>
      <c r="T359">
        <f>IF(C359="",0,LEN(C359)*10000+9641)</f>
        <v>0</v>
      </c>
      <c r="U359">
        <f>IF(LARGE($T$1:$T$900,359)=0,0,MATCH(LARGE($T$1:$T$900,359),$T$1:$T$900,0))</f>
        <v>0</v>
      </c>
      <c r="V359">
        <f t="shared" si="62"/>
      </c>
      <c r="W359">
        <f t="shared" si="63"/>
      </c>
    </row>
    <row r="360">
      <c r="C360">
        <f>IF(往来单位!$B$123="","",TRIM(往来单位!$E$123&amp;""))</f>
      </c>
      <c r="D360">
        <f>往来单位!$B$123&amp;""</f>
      </c>
      <c r="T360">
        <f>IF(C360="",0,LEN(C360)*10000+9640)</f>
        <v>0</v>
      </c>
      <c r="U360">
        <f>IF(LARGE($T$1:$T$900,360)=0,0,MATCH(LARGE($T$1:$T$900,360),$T$1:$T$900,0))</f>
        <v>0</v>
      </c>
      <c r="V360">
        <f t="shared" si="62"/>
      </c>
      <c r="W360">
        <f t="shared" si="63"/>
      </c>
    </row>
    <row r="361">
      <c r="C361">
        <f>IF(往来单位!$B$124="","",TRIM(往来单位!$B$124&amp;""))</f>
      </c>
      <c r="D361">
        <f>往来单位!$B$124&amp;""</f>
      </c>
      <c r="T361">
        <f>IF(C361="",0,LEN(C361)*10000+9639)</f>
        <v>0</v>
      </c>
      <c r="U361">
        <f>IF(LARGE($T$1:$T$900,361)=0,0,MATCH(LARGE($T$1:$T$900,361),$T$1:$T$900,0))</f>
        <v>0</v>
      </c>
      <c r="V361">
        <f t="shared" si="62"/>
      </c>
      <c r="W361">
        <f t="shared" si="63"/>
      </c>
    </row>
    <row r="362">
      <c r="C362">
        <f>IF(往来单位!$B$124="","",TRIM(往来单位!$D$124&amp;""))</f>
      </c>
      <c r="D362">
        <f>往来单位!$B$124&amp;""</f>
      </c>
      <c r="T362">
        <f>IF(C362="",0,LEN(C362)*10000+9638)</f>
        <v>0</v>
      </c>
      <c r="U362">
        <f>IF(LARGE($T$1:$T$900,362)=0,0,MATCH(LARGE($T$1:$T$900,362),$T$1:$T$900,0))</f>
        <v>0</v>
      </c>
      <c r="V362">
        <f t="shared" si="62"/>
      </c>
      <c r="W362">
        <f t="shared" si="63"/>
      </c>
    </row>
    <row r="363">
      <c r="C363">
        <f>IF(往来单位!$B$124="","",TRIM(往来单位!$E$124&amp;""))</f>
      </c>
      <c r="D363">
        <f>往来单位!$B$124&amp;""</f>
      </c>
      <c r="T363">
        <f>IF(C363="",0,LEN(C363)*10000+9637)</f>
        <v>0</v>
      </c>
      <c r="U363">
        <f>IF(LARGE($T$1:$T$900,363)=0,0,MATCH(LARGE($T$1:$T$900,363),$T$1:$T$900,0))</f>
        <v>0</v>
      </c>
      <c r="V363">
        <f t="shared" si="62"/>
      </c>
      <c r="W363">
        <f t="shared" si="63"/>
      </c>
    </row>
    <row r="364">
      <c r="C364">
        <f>IF(往来单位!$B$125="","",TRIM(往来单位!$B$125&amp;""))</f>
      </c>
      <c r="D364">
        <f>往来单位!$B$125&amp;""</f>
      </c>
      <c r="T364">
        <f>IF(C364="",0,LEN(C364)*10000+9636)</f>
        <v>0</v>
      </c>
      <c r="U364">
        <f>IF(LARGE($T$1:$T$900,364)=0,0,MATCH(LARGE($T$1:$T$900,364),$T$1:$T$900,0))</f>
        <v>0</v>
      </c>
      <c r="V364">
        <f t="shared" si="62"/>
      </c>
      <c r="W364">
        <f t="shared" si="63"/>
      </c>
    </row>
    <row r="365">
      <c r="C365">
        <f>IF(往来单位!$B$125="","",TRIM(往来单位!$D$125&amp;""))</f>
      </c>
      <c r="D365">
        <f>往来单位!$B$125&amp;""</f>
      </c>
      <c r="T365">
        <f>IF(C365="",0,LEN(C365)*10000+9635)</f>
        <v>0</v>
      </c>
      <c r="U365">
        <f>IF(LARGE($T$1:$T$900,365)=0,0,MATCH(LARGE($T$1:$T$900,365),$T$1:$T$900,0))</f>
        <v>0</v>
      </c>
      <c r="V365">
        <f t="shared" si="62"/>
      </c>
      <c r="W365">
        <f t="shared" si="63"/>
      </c>
    </row>
    <row r="366">
      <c r="C366">
        <f>IF(往来单位!$B$125="","",TRIM(往来单位!$E$125&amp;""))</f>
      </c>
      <c r="D366">
        <f>往来单位!$B$125&amp;""</f>
      </c>
      <c r="T366">
        <f>IF(C366="",0,LEN(C366)*10000+9634)</f>
        <v>0</v>
      </c>
      <c r="U366">
        <f>IF(LARGE($T$1:$T$900,366)=0,0,MATCH(LARGE($T$1:$T$900,366),$T$1:$T$900,0))</f>
        <v>0</v>
      </c>
      <c r="V366">
        <f t="shared" si="62"/>
      </c>
      <c r="W366">
        <f t="shared" si="63"/>
      </c>
    </row>
    <row r="367">
      <c r="C367">
        <f>IF(往来单位!$B$126="","",TRIM(往来单位!$B$126&amp;""))</f>
      </c>
      <c r="D367">
        <f>往来单位!$B$126&amp;""</f>
      </c>
      <c r="T367">
        <f>IF(C367="",0,LEN(C367)*10000+9633)</f>
        <v>0</v>
      </c>
      <c r="U367">
        <f>IF(LARGE($T$1:$T$900,367)=0,0,MATCH(LARGE($T$1:$T$900,367),$T$1:$T$900,0))</f>
        <v>0</v>
      </c>
      <c r="V367">
        <f t="shared" si="62"/>
      </c>
      <c r="W367">
        <f t="shared" si="63"/>
      </c>
    </row>
    <row r="368">
      <c r="C368">
        <f>IF(往来单位!$B$126="","",TRIM(往来单位!$D$126&amp;""))</f>
      </c>
      <c r="D368">
        <f>往来单位!$B$126&amp;""</f>
      </c>
      <c r="T368">
        <f>IF(C368="",0,LEN(C368)*10000+9632)</f>
        <v>0</v>
      </c>
      <c r="U368">
        <f>IF(LARGE($T$1:$T$900,368)=0,0,MATCH(LARGE($T$1:$T$900,368),$T$1:$T$900,0))</f>
        <v>0</v>
      </c>
      <c r="V368">
        <f t="shared" si="62"/>
      </c>
      <c r="W368">
        <f t="shared" si="63"/>
      </c>
    </row>
    <row r="369">
      <c r="C369">
        <f>IF(往来单位!$B$126="","",TRIM(往来单位!$E$126&amp;""))</f>
      </c>
      <c r="D369">
        <f>往来单位!$B$126&amp;""</f>
      </c>
      <c r="T369">
        <f>IF(C369="",0,LEN(C369)*10000+9631)</f>
        <v>0</v>
      </c>
      <c r="U369">
        <f>IF(LARGE($T$1:$T$900,369)=0,0,MATCH(LARGE($T$1:$T$900,369),$T$1:$T$900,0))</f>
        <v>0</v>
      </c>
      <c r="V369">
        <f t="shared" si="62"/>
      </c>
      <c r="W369">
        <f t="shared" si="63"/>
      </c>
    </row>
    <row r="370">
      <c r="C370">
        <f>IF(往来单位!$B$127="","",TRIM(往来单位!$B$127&amp;""))</f>
      </c>
      <c r="D370">
        <f>往来单位!$B$127&amp;""</f>
      </c>
      <c r="T370">
        <f>IF(C370="",0,LEN(C370)*10000+9630)</f>
        <v>0</v>
      </c>
      <c r="U370">
        <f>IF(LARGE($T$1:$T$900,370)=0,0,MATCH(LARGE($T$1:$T$900,370),$T$1:$T$900,0))</f>
        <v>0</v>
      </c>
      <c r="V370">
        <f t="shared" si="62"/>
      </c>
      <c r="W370">
        <f t="shared" si="63"/>
      </c>
    </row>
    <row r="371">
      <c r="C371">
        <f>IF(往来单位!$B$127="","",TRIM(往来单位!$D$127&amp;""))</f>
      </c>
      <c r="D371">
        <f>往来单位!$B$127&amp;""</f>
      </c>
      <c r="T371">
        <f>IF(C371="",0,LEN(C371)*10000+9629)</f>
        <v>0</v>
      </c>
      <c r="U371">
        <f>IF(LARGE($T$1:$T$900,371)=0,0,MATCH(LARGE($T$1:$T$900,371),$T$1:$T$900,0))</f>
        <v>0</v>
      </c>
      <c r="V371">
        <f t="shared" si="62"/>
      </c>
      <c r="W371">
        <f t="shared" si="63"/>
      </c>
    </row>
    <row r="372">
      <c r="C372">
        <f>IF(往来单位!$B$127="","",TRIM(往来单位!$E$127&amp;""))</f>
      </c>
      <c r="D372">
        <f>往来单位!$B$127&amp;""</f>
      </c>
      <c r="T372">
        <f>IF(C372="",0,LEN(C372)*10000+9628)</f>
        <v>0</v>
      </c>
      <c r="U372">
        <f>IF(LARGE($T$1:$T$900,372)=0,0,MATCH(LARGE($T$1:$T$900,372),$T$1:$T$900,0))</f>
        <v>0</v>
      </c>
      <c r="V372">
        <f t="shared" si="62"/>
      </c>
      <c r="W372">
        <f t="shared" si="63"/>
      </c>
    </row>
    <row r="373">
      <c r="C373">
        <f>IF(往来单位!$B$128="","",TRIM(往来单位!$B$128&amp;""))</f>
      </c>
      <c r="D373">
        <f>往来单位!$B$128&amp;""</f>
      </c>
      <c r="T373">
        <f>IF(C373="",0,LEN(C373)*10000+9627)</f>
        <v>0</v>
      </c>
      <c r="U373">
        <f>IF(LARGE($T$1:$T$900,373)=0,0,MATCH(LARGE($T$1:$T$900,373),$T$1:$T$900,0))</f>
        <v>0</v>
      </c>
      <c r="V373">
        <f t="shared" si="62"/>
      </c>
      <c r="W373">
        <f t="shared" si="63"/>
      </c>
    </row>
    <row r="374">
      <c r="C374">
        <f>IF(往来单位!$B$128="","",TRIM(往来单位!$D$128&amp;""))</f>
      </c>
      <c r="D374">
        <f>往来单位!$B$128&amp;""</f>
      </c>
      <c r="T374">
        <f>IF(C374="",0,LEN(C374)*10000+9626)</f>
        <v>0</v>
      </c>
      <c r="U374">
        <f>IF(LARGE($T$1:$T$900,374)=0,0,MATCH(LARGE($T$1:$T$900,374),$T$1:$T$900,0))</f>
        <v>0</v>
      </c>
      <c r="V374">
        <f t="shared" si="62"/>
      </c>
      <c r="W374">
        <f t="shared" si="63"/>
      </c>
    </row>
    <row r="375">
      <c r="C375">
        <f>IF(往来单位!$B$128="","",TRIM(往来单位!$E$128&amp;""))</f>
      </c>
      <c r="D375">
        <f>往来单位!$B$128&amp;""</f>
      </c>
      <c r="T375">
        <f>IF(C375="",0,LEN(C375)*10000+9625)</f>
        <v>0</v>
      </c>
      <c r="U375">
        <f>IF(LARGE($T$1:$T$900,375)=0,0,MATCH(LARGE($T$1:$T$900,375),$T$1:$T$900,0))</f>
        <v>0</v>
      </c>
      <c r="V375">
        <f t="shared" si="62"/>
      </c>
      <c r="W375">
        <f t="shared" si="63"/>
      </c>
    </row>
    <row r="376">
      <c r="C376">
        <f>IF(往来单位!$B$129="","",TRIM(往来单位!$B$129&amp;""))</f>
      </c>
      <c r="D376">
        <f>往来单位!$B$129&amp;""</f>
      </c>
      <c r="T376">
        <f>IF(C376="",0,LEN(C376)*10000+9624)</f>
        <v>0</v>
      </c>
      <c r="U376">
        <f>IF(LARGE($T$1:$T$900,376)=0,0,MATCH(LARGE($T$1:$T$900,376),$T$1:$T$900,0))</f>
        <v>0</v>
      </c>
      <c r="V376">
        <f t="shared" si="62"/>
      </c>
      <c r="W376">
        <f t="shared" si="63"/>
      </c>
    </row>
    <row r="377">
      <c r="C377">
        <f>IF(往来单位!$B$129="","",TRIM(往来单位!$D$129&amp;""))</f>
      </c>
      <c r="D377">
        <f>往来单位!$B$129&amp;""</f>
      </c>
      <c r="T377">
        <f>IF(C377="",0,LEN(C377)*10000+9623)</f>
        <v>0</v>
      </c>
      <c r="U377">
        <f>IF(LARGE($T$1:$T$900,377)=0,0,MATCH(LARGE($T$1:$T$900,377),$T$1:$T$900,0))</f>
        <v>0</v>
      </c>
      <c r="V377">
        <f t="shared" si="62"/>
      </c>
      <c r="W377">
        <f t="shared" si="63"/>
      </c>
    </row>
    <row r="378">
      <c r="C378">
        <f>IF(往来单位!$B$129="","",TRIM(往来单位!$E$129&amp;""))</f>
      </c>
      <c r="D378">
        <f>往来单位!$B$129&amp;""</f>
      </c>
      <c r="T378">
        <f>IF(C378="",0,LEN(C378)*10000+9622)</f>
        <v>0</v>
      </c>
      <c r="U378">
        <f>IF(LARGE($T$1:$T$900,378)=0,0,MATCH(LARGE($T$1:$T$900,378),$T$1:$T$900,0))</f>
        <v>0</v>
      </c>
      <c r="V378">
        <f t="shared" si="62"/>
      </c>
      <c r="W378">
        <f t="shared" si="63"/>
      </c>
    </row>
    <row r="379">
      <c r="C379">
        <f>IF(往来单位!$B$130="","",TRIM(往来单位!$B$130&amp;""))</f>
      </c>
      <c r="D379">
        <f>往来单位!$B$130&amp;""</f>
      </c>
      <c r="T379">
        <f>IF(C379="",0,LEN(C379)*10000+9621)</f>
        <v>0</v>
      </c>
      <c r="U379">
        <f>IF(LARGE($T$1:$T$900,379)=0,0,MATCH(LARGE($T$1:$T$900,379),$T$1:$T$900,0))</f>
        <v>0</v>
      </c>
      <c r="V379">
        <f t="shared" si="62"/>
      </c>
      <c r="W379">
        <f t="shared" si="63"/>
      </c>
    </row>
    <row r="380">
      <c r="C380">
        <f>IF(往来单位!$B$130="","",TRIM(往来单位!$D$130&amp;""))</f>
      </c>
      <c r="D380">
        <f>往来单位!$B$130&amp;""</f>
      </c>
      <c r="T380">
        <f>IF(C380="",0,LEN(C380)*10000+9620)</f>
        <v>0</v>
      </c>
      <c r="U380">
        <f>IF(LARGE($T$1:$T$900,380)=0,0,MATCH(LARGE($T$1:$T$900,380),$T$1:$T$900,0))</f>
        <v>0</v>
      </c>
      <c r="V380">
        <f t="shared" si="62"/>
      </c>
      <c r="W380">
        <f t="shared" si="63"/>
      </c>
    </row>
    <row r="381">
      <c r="C381">
        <f>IF(往来单位!$B$130="","",TRIM(往来单位!$E$130&amp;""))</f>
      </c>
      <c r="D381">
        <f>往来单位!$B$130&amp;""</f>
      </c>
      <c r="T381">
        <f>IF(C381="",0,LEN(C381)*10000+9619)</f>
        <v>0</v>
      </c>
      <c r="U381">
        <f>IF(LARGE($T$1:$T$900,381)=0,0,MATCH(LARGE($T$1:$T$900,381),$T$1:$T$900,0))</f>
        <v>0</v>
      </c>
      <c r="V381">
        <f t="shared" si="62"/>
      </c>
      <c r="W381">
        <f t="shared" si="63"/>
      </c>
    </row>
    <row r="382">
      <c r="C382">
        <f>IF(往来单位!$B$131="","",TRIM(往来单位!$B$131&amp;""))</f>
      </c>
      <c r="D382">
        <f>往来单位!$B$131&amp;""</f>
      </c>
      <c r="T382">
        <f>IF(C382="",0,LEN(C382)*10000+9618)</f>
        <v>0</v>
      </c>
      <c r="U382">
        <f>IF(LARGE($T$1:$T$900,382)=0,0,MATCH(LARGE($T$1:$T$900,382),$T$1:$T$900,0))</f>
        <v>0</v>
      </c>
      <c r="V382">
        <f t="shared" si="62"/>
      </c>
      <c r="W382">
        <f t="shared" si="63"/>
      </c>
    </row>
    <row r="383">
      <c r="C383">
        <f>IF(往来单位!$B$131="","",TRIM(往来单位!$D$131&amp;""))</f>
      </c>
      <c r="D383">
        <f>往来单位!$B$131&amp;""</f>
      </c>
      <c r="T383">
        <f>IF(C383="",0,LEN(C383)*10000+9617)</f>
        <v>0</v>
      </c>
      <c r="U383">
        <f>IF(LARGE($T$1:$T$900,383)=0,0,MATCH(LARGE($T$1:$T$900,383),$T$1:$T$900,0))</f>
        <v>0</v>
      </c>
      <c r="V383">
        <f t="shared" si="62"/>
      </c>
      <c r="W383">
        <f t="shared" si="63"/>
      </c>
    </row>
    <row r="384">
      <c r="C384">
        <f>IF(往来单位!$B$131="","",TRIM(往来单位!$E$131&amp;""))</f>
      </c>
      <c r="D384">
        <f>往来单位!$B$131&amp;""</f>
      </c>
      <c r="T384">
        <f>IF(C384="",0,LEN(C384)*10000+9616)</f>
        <v>0</v>
      </c>
      <c r="U384">
        <f>IF(LARGE($T$1:$T$900,384)=0,0,MATCH(LARGE($T$1:$T$900,384),$T$1:$T$900,0))</f>
        <v>0</v>
      </c>
      <c r="V384">
        <f t="shared" si="62"/>
      </c>
      <c r="W384">
        <f t="shared" si="63"/>
      </c>
    </row>
    <row r="385">
      <c r="C385">
        <f>IF(往来单位!$B$132="","",TRIM(往来单位!$B$132&amp;""))</f>
      </c>
      <c r="D385">
        <f>往来单位!$B$132&amp;""</f>
      </c>
      <c r="T385">
        <f>IF(C385="",0,LEN(C385)*10000+9615)</f>
        <v>0</v>
      </c>
      <c r="U385">
        <f>IF(LARGE($T$1:$T$900,385)=0,0,MATCH(LARGE($T$1:$T$900,385),$T$1:$T$900,0))</f>
        <v>0</v>
      </c>
      <c r="V385">
        <f t="shared" si="62"/>
      </c>
      <c r="W385">
        <f t="shared" si="63"/>
      </c>
    </row>
    <row r="386">
      <c r="C386">
        <f>IF(往来单位!$B$132="","",TRIM(往来单位!$D$132&amp;""))</f>
      </c>
      <c r="D386">
        <f>往来单位!$B$132&amp;""</f>
      </c>
      <c r="T386">
        <f>IF(C386="",0,LEN(C386)*10000+9614)</f>
        <v>0</v>
      </c>
      <c r="U386">
        <f>IF(LARGE($T$1:$T$900,386)=0,0,MATCH(LARGE($T$1:$T$900,386),$T$1:$T$900,0))</f>
        <v>0</v>
      </c>
      <c r="V386">
        <f t="shared" si="62"/>
      </c>
      <c r="W386">
        <f t="shared" si="63"/>
      </c>
    </row>
    <row r="387">
      <c r="C387">
        <f>IF(往来单位!$B$132="","",TRIM(往来单位!$E$132&amp;""))</f>
      </c>
      <c r="D387">
        <f>往来单位!$B$132&amp;""</f>
      </c>
      <c r="T387">
        <f>IF(C387="",0,LEN(C387)*10000+9613)</f>
        <v>0</v>
      </c>
      <c r="U387">
        <f>IF(LARGE($T$1:$T$900,387)=0,0,MATCH(LARGE($T$1:$T$900,387),$T$1:$T$900,0))</f>
        <v>0</v>
      </c>
      <c r="V387">
        <f t="shared" si="62"/>
      </c>
      <c r="W387">
        <f t="shared" si="63"/>
      </c>
    </row>
    <row r="388">
      <c r="C388">
        <f>IF(往来单位!$B$133="","",TRIM(往来单位!$B$133&amp;""))</f>
      </c>
      <c r="D388">
        <f>往来单位!$B$133&amp;""</f>
      </c>
      <c r="T388">
        <f>IF(C388="",0,LEN(C388)*10000+9612)</f>
        <v>0</v>
      </c>
      <c r="U388">
        <f>IF(LARGE($T$1:$T$900,388)=0,0,MATCH(LARGE($T$1:$T$900,388),$T$1:$T$900,0))</f>
        <v>0</v>
      </c>
      <c r="V388">
        <f t="shared" si="62"/>
      </c>
      <c r="W388">
        <f t="shared" si="63"/>
      </c>
    </row>
    <row r="389">
      <c r="C389">
        <f>IF(往来单位!$B$133="","",TRIM(往来单位!$D$133&amp;""))</f>
      </c>
      <c r="D389">
        <f>往来单位!$B$133&amp;""</f>
      </c>
      <c r="T389">
        <f>IF(C389="",0,LEN(C389)*10000+9611)</f>
        <v>0</v>
      </c>
      <c r="U389">
        <f>IF(LARGE($T$1:$T$900,389)=0,0,MATCH(LARGE($T$1:$T$900,389),$T$1:$T$900,0))</f>
        <v>0</v>
      </c>
      <c r="V389">
        <f t="shared" si="62"/>
      </c>
      <c r="W389">
        <f t="shared" si="63"/>
      </c>
    </row>
    <row r="390">
      <c r="C390">
        <f>IF(往来单位!$B$133="","",TRIM(往来单位!$E$133&amp;""))</f>
      </c>
      <c r="D390">
        <f>往来单位!$B$133&amp;""</f>
      </c>
      <c r="T390">
        <f>IF(C390="",0,LEN(C390)*10000+9610)</f>
        <v>0</v>
      </c>
      <c r="U390">
        <f>IF(LARGE($T$1:$T$900,390)=0,0,MATCH(LARGE($T$1:$T$900,390),$T$1:$T$900,0))</f>
        <v>0</v>
      </c>
      <c r="V390">
        <f t="shared" si="62"/>
      </c>
      <c r="W390">
        <f t="shared" si="63"/>
      </c>
    </row>
    <row r="391">
      <c r="C391">
        <f>IF(往来单位!$B$134="","",TRIM(往来单位!$B$134&amp;""))</f>
      </c>
      <c r="D391">
        <f>往来单位!$B$134&amp;""</f>
      </c>
      <c r="T391">
        <f>IF(C391="",0,LEN(C391)*10000+9609)</f>
        <v>0</v>
      </c>
      <c r="U391">
        <f>IF(LARGE($T$1:$T$900,391)=0,0,MATCH(LARGE($T$1:$T$900,391),$T$1:$T$900,0))</f>
        <v>0</v>
      </c>
      <c r="V391">
        <f t="shared" si="62"/>
      </c>
      <c r="W391">
        <f t="shared" si="63"/>
      </c>
    </row>
    <row r="392">
      <c r="C392">
        <f>IF(往来单位!$B$134="","",TRIM(往来单位!$D$134&amp;""))</f>
      </c>
      <c r="D392">
        <f>往来单位!$B$134&amp;""</f>
      </c>
      <c r="T392">
        <f>IF(C392="",0,LEN(C392)*10000+9608)</f>
        <v>0</v>
      </c>
      <c r="U392">
        <f>IF(LARGE($T$1:$T$900,392)=0,0,MATCH(LARGE($T$1:$T$900,392),$T$1:$T$900,0))</f>
        <v>0</v>
      </c>
      <c r="V392">
        <f t="shared" si="62"/>
      </c>
      <c r="W392">
        <f t="shared" si="63"/>
      </c>
    </row>
    <row r="393">
      <c r="C393">
        <f>IF(往来单位!$B$134="","",TRIM(往来单位!$E$134&amp;""))</f>
      </c>
      <c r="D393">
        <f>往来单位!$B$134&amp;""</f>
      </c>
      <c r="T393">
        <f>IF(C393="",0,LEN(C393)*10000+9607)</f>
        <v>0</v>
      </c>
      <c r="U393">
        <f>IF(LARGE($T$1:$T$900,393)=0,0,MATCH(LARGE($T$1:$T$900,393),$T$1:$T$900,0))</f>
        <v>0</v>
      </c>
      <c r="V393">
        <f t="shared" si="62"/>
      </c>
      <c r="W393">
        <f t="shared" si="63"/>
      </c>
    </row>
    <row r="394">
      <c r="C394">
        <f>IF(往来单位!$B$135="","",TRIM(往来单位!$B$135&amp;""))</f>
      </c>
      <c r="D394">
        <f>往来单位!$B$135&amp;""</f>
      </c>
      <c r="T394">
        <f>IF(C394="",0,LEN(C394)*10000+9606)</f>
        <v>0</v>
      </c>
      <c r="U394">
        <f>IF(LARGE($T$1:$T$900,394)=0,0,MATCH(LARGE($T$1:$T$900,394),$T$1:$T$900,0))</f>
        <v>0</v>
      </c>
      <c r="V394">
        <f t="shared" si="62"/>
      </c>
      <c r="W394">
        <f t="shared" si="63"/>
      </c>
    </row>
    <row r="395">
      <c r="C395">
        <f>IF(往来单位!$B$135="","",TRIM(往来单位!$D$135&amp;""))</f>
      </c>
      <c r="D395">
        <f>往来单位!$B$135&amp;""</f>
      </c>
      <c r="T395">
        <f>IF(C395="",0,LEN(C395)*10000+9605)</f>
        <v>0</v>
      </c>
      <c r="U395">
        <f>IF(LARGE($T$1:$T$900,395)=0,0,MATCH(LARGE($T$1:$T$900,395),$T$1:$T$900,0))</f>
        <v>0</v>
      </c>
      <c r="V395">
        <f t="shared" si="62"/>
      </c>
      <c r="W395">
        <f t="shared" si="63"/>
      </c>
    </row>
    <row r="396">
      <c r="C396">
        <f>IF(往来单位!$B$135="","",TRIM(往来单位!$E$135&amp;""))</f>
      </c>
      <c r="D396">
        <f>往来单位!$B$135&amp;""</f>
      </c>
      <c r="T396">
        <f>IF(C396="",0,LEN(C396)*10000+9604)</f>
        <v>0</v>
      </c>
      <c r="U396">
        <f>IF(LARGE($T$1:$T$900,396)=0,0,MATCH(LARGE($T$1:$T$900,396),$T$1:$T$900,0))</f>
        <v>0</v>
      </c>
      <c r="V396">
        <f t="shared" si="62"/>
      </c>
      <c r="W396">
        <f t="shared" si="63"/>
      </c>
    </row>
    <row r="397">
      <c r="C397">
        <f>IF(往来单位!$B$136="","",TRIM(往来单位!$B$136&amp;""))</f>
      </c>
      <c r="D397">
        <f>往来单位!$B$136&amp;""</f>
      </c>
      <c r="T397">
        <f>IF(C397="",0,LEN(C397)*10000+9603)</f>
        <v>0</v>
      </c>
      <c r="U397">
        <f>IF(LARGE($T$1:$T$900,397)=0,0,MATCH(LARGE($T$1:$T$900,397),$T$1:$T$900,0))</f>
        <v>0</v>
      </c>
      <c r="V397">
        <f t="shared" si="62"/>
      </c>
      <c r="W397">
        <f t="shared" si="63"/>
      </c>
    </row>
    <row r="398">
      <c r="C398">
        <f>IF(往来单位!$B$136="","",TRIM(往来单位!$D$136&amp;""))</f>
      </c>
      <c r="D398">
        <f>往来单位!$B$136&amp;""</f>
      </c>
      <c r="T398">
        <f>IF(C398="",0,LEN(C398)*10000+9602)</f>
        <v>0</v>
      </c>
      <c r="U398">
        <f>IF(LARGE($T$1:$T$900,398)=0,0,MATCH(LARGE($T$1:$T$900,398),$T$1:$T$900,0))</f>
        <v>0</v>
      </c>
      <c r="V398">
        <f t="shared" si="62"/>
      </c>
      <c r="W398">
        <f t="shared" si="63"/>
      </c>
    </row>
    <row r="399">
      <c r="C399">
        <f>IF(往来单位!$B$136="","",TRIM(往来单位!$E$136&amp;""))</f>
      </c>
      <c r="D399">
        <f>往来单位!$B$136&amp;""</f>
      </c>
      <c r="T399">
        <f>IF(C399="",0,LEN(C399)*10000+9601)</f>
        <v>0</v>
      </c>
      <c r="U399">
        <f>IF(LARGE($T$1:$T$900,399)=0,0,MATCH(LARGE($T$1:$T$900,399),$T$1:$T$900,0))</f>
        <v>0</v>
      </c>
      <c r="V399">
        <f t="shared" si="62"/>
      </c>
      <c r="W399">
        <f t="shared" si="63"/>
      </c>
    </row>
    <row r="400">
      <c r="C400">
        <f>IF(往来单位!$B$137="","",TRIM(往来单位!$B$137&amp;""))</f>
      </c>
      <c r="D400">
        <f>往来单位!$B$137&amp;""</f>
      </c>
      <c r="T400">
        <f>IF(C400="",0,LEN(C400)*10000+9600)</f>
        <v>0</v>
      </c>
      <c r="U400">
        <f>IF(LARGE($T$1:$T$900,400)=0,0,MATCH(LARGE($T$1:$T$900,400),$T$1:$T$900,0))</f>
        <v>0</v>
      </c>
      <c r="V400">
        <f t="shared" si="62"/>
      </c>
      <c r="W400">
        <f t="shared" si="63"/>
      </c>
    </row>
    <row r="401">
      <c r="C401">
        <f>IF(往来单位!$B$137="","",TRIM(往来单位!$D$137&amp;""))</f>
      </c>
      <c r="D401">
        <f>往来单位!$B$137&amp;""</f>
      </c>
      <c r="T401">
        <f>IF(C401="",0,LEN(C401)*10000+9599)</f>
        <v>0</v>
      </c>
      <c r="U401">
        <f>IF(LARGE($T$1:$T$900,401)=0,0,MATCH(LARGE($T$1:$T$900,401),$T$1:$T$900,0))</f>
        <v>0</v>
      </c>
      <c r="V401">
        <f t="shared" si="62"/>
      </c>
      <c r="W401">
        <f t="shared" si="63"/>
      </c>
    </row>
    <row r="402">
      <c r="C402">
        <f>IF(往来单位!$B$137="","",TRIM(往来单位!$E$137&amp;""))</f>
      </c>
      <c r="D402">
        <f>往来单位!$B$137&amp;""</f>
      </c>
      <c r="T402">
        <f>IF(C402="",0,LEN(C402)*10000+9598)</f>
        <v>0</v>
      </c>
      <c r="U402">
        <f>IF(LARGE($T$1:$T$900,402)=0,0,MATCH(LARGE($T$1:$T$900,402),$T$1:$T$900,0))</f>
        <v>0</v>
      </c>
      <c r="V402">
        <f t="shared" si="62"/>
      </c>
      <c r="W402">
        <f t="shared" si="63"/>
      </c>
    </row>
    <row r="403">
      <c r="C403">
        <f>IF(往来单位!$B$138="","",TRIM(往来单位!$B$138&amp;""))</f>
      </c>
      <c r="D403">
        <f>往来单位!$B$138&amp;""</f>
      </c>
      <c r="T403">
        <f>IF(C403="",0,LEN(C403)*10000+9597)</f>
        <v>0</v>
      </c>
      <c r="U403">
        <f>IF(LARGE($T$1:$T$900,403)=0,0,MATCH(LARGE($T$1:$T$900,403),$T$1:$T$900,0))</f>
        <v>0</v>
      </c>
      <c r="V403">
        <f t="shared" si="62"/>
      </c>
      <c r="W403">
        <f t="shared" si="63"/>
      </c>
    </row>
    <row r="404">
      <c r="C404">
        <f>IF(往来单位!$B$138="","",TRIM(往来单位!$D$138&amp;""))</f>
      </c>
      <c r="D404">
        <f>往来单位!$B$138&amp;""</f>
      </c>
      <c r="T404">
        <f>IF(C404="",0,LEN(C404)*10000+9596)</f>
        <v>0</v>
      </c>
      <c r="U404">
        <f>IF(LARGE($T$1:$T$900,404)=0,0,MATCH(LARGE($T$1:$T$900,404),$T$1:$T$900,0))</f>
        <v>0</v>
      </c>
      <c r="V404">
        <f t="shared" si="62"/>
      </c>
      <c r="W404">
        <f t="shared" si="63"/>
      </c>
    </row>
    <row r="405">
      <c r="C405">
        <f>IF(往来单位!$B$138="","",TRIM(往来单位!$E$138&amp;""))</f>
      </c>
      <c r="D405">
        <f>往来单位!$B$138&amp;""</f>
      </c>
      <c r="T405">
        <f>IF(C405="",0,LEN(C405)*10000+9595)</f>
        <v>0</v>
      </c>
      <c r="U405">
        <f>IF(LARGE($T$1:$T$900,405)=0,0,MATCH(LARGE($T$1:$T$900,405),$T$1:$T$900,0))</f>
        <v>0</v>
      </c>
      <c r="V405">
        <f t="shared" si="62"/>
      </c>
      <c r="W405">
        <f t="shared" si="63"/>
      </c>
    </row>
    <row r="406">
      <c r="C406">
        <f>IF(往来单位!$B$139="","",TRIM(往来单位!$B$139&amp;""))</f>
      </c>
      <c r="D406">
        <f>往来单位!$B$139&amp;""</f>
      </c>
      <c r="T406">
        <f>IF(C406="",0,LEN(C406)*10000+9594)</f>
        <v>0</v>
      </c>
      <c r="U406">
        <f>IF(LARGE($T$1:$T$900,406)=0,0,MATCH(LARGE($T$1:$T$900,406),$T$1:$T$900,0))</f>
        <v>0</v>
      </c>
      <c r="V406">
        <f t="shared" si="62"/>
      </c>
      <c r="W406">
        <f t="shared" si="63"/>
      </c>
    </row>
    <row r="407">
      <c r="C407">
        <f>IF(往来单位!$B$139="","",TRIM(往来单位!$D$139&amp;""))</f>
      </c>
      <c r="D407">
        <f>往来单位!$B$139&amp;""</f>
      </c>
      <c r="T407">
        <f>IF(C407="",0,LEN(C407)*10000+9593)</f>
        <v>0</v>
      </c>
      <c r="U407">
        <f>IF(LARGE($T$1:$T$900,407)=0,0,MATCH(LARGE($T$1:$T$900,407),$T$1:$T$900,0))</f>
        <v>0</v>
      </c>
      <c r="V407">
        <f t="shared" si="62"/>
      </c>
      <c r="W407">
        <f t="shared" si="63"/>
      </c>
    </row>
    <row r="408">
      <c r="C408">
        <f>IF(往来单位!$B$139="","",TRIM(往来单位!$E$139&amp;""))</f>
      </c>
      <c r="D408">
        <f>往来单位!$B$139&amp;""</f>
      </c>
      <c r="T408">
        <f>IF(C408="",0,LEN(C408)*10000+9592)</f>
        <v>0</v>
      </c>
      <c r="U408">
        <f>IF(LARGE($T$1:$T$900,408)=0,0,MATCH(LARGE($T$1:$T$900,408),$T$1:$T$900,0))</f>
        <v>0</v>
      </c>
      <c r="V408">
        <f t="shared" si="62"/>
      </c>
      <c r="W408">
        <f t="shared" si="63"/>
      </c>
    </row>
    <row r="409">
      <c r="C409">
        <f>IF(往来单位!$B$140="","",TRIM(往来单位!$B$140&amp;""))</f>
      </c>
      <c r="D409">
        <f>往来单位!$B$140&amp;""</f>
      </c>
      <c r="T409">
        <f>IF(C409="",0,LEN(C409)*10000+9591)</f>
        <v>0</v>
      </c>
      <c r="U409">
        <f>IF(LARGE($T$1:$T$900,409)=0,0,MATCH(LARGE($T$1:$T$900,409),$T$1:$T$900,0))</f>
        <v>0</v>
      </c>
      <c r="V409">
        <f t="shared" si="62"/>
      </c>
      <c r="W409">
        <f t="shared" si="63"/>
      </c>
    </row>
    <row r="410">
      <c r="C410">
        <f>IF(往来单位!$B$140="","",TRIM(往来单位!$D$140&amp;""))</f>
      </c>
      <c r="D410">
        <f>往来单位!$B$140&amp;""</f>
      </c>
      <c r="T410">
        <f>IF(C410="",0,LEN(C410)*10000+9590)</f>
        <v>0</v>
      </c>
      <c r="U410">
        <f>IF(LARGE($T$1:$T$900,410)=0,0,MATCH(LARGE($T$1:$T$900,410),$T$1:$T$900,0))</f>
        <v>0</v>
      </c>
      <c r="V410">
        <f t="shared" si="62"/>
      </c>
      <c r="W410">
        <f t="shared" si="63"/>
      </c>
    </row>
    <row r="411">
      <c r="C411">
        <f>IF(往来单位!$B$140="","",TRIM(往来单位!$E$140&amp;""))</f>
      </c>
      <c r="D411">
        <f>往来单位!$B$140&amp;""</f>
      </c>
      <c r="T411">
        <f>IF(C411="",0,LEN(C411)*10000+9589)</f>
        <v>0</v>
      </c>
      <c r="U411">
        <f>IF(LARGE($T$1:$T$900,411)=0,0,MATCH(LARGE($T$1:$T$900,411),$T$1:$T$900,0))</f>
        <v>0</v>
      </c>
      <c r="V411">
        <f t="shared" si="62"/>
      </c>
      <c r="W411">
        <f t="shared" si="63"/>
      </c>
    </row>
    <row r="412">
      <c r="C412">
        <f>IF(往来单位!$B$141="","",TRIM(往来单位!$B$141&amp;""))</f>
      </c>
      <c r="D412">
        <f>往来单位!$B$141&amp;""</f>
      </c>
      <c r="T412">
        <f>IF(C412="",0,LEN(C412)*10000+9588)</f>
        <v>0</v>
      </c>
      <c r="U412">
        <f>IF(LARGE($T$1:$T$900,412)=0,0,MATCH(LARGE($T$1:$T$900,412),$T$1:$T$900,0))</f>
        <v>0</v>
      </c>
      <c r="V412">
        <f t="shared" si="62"/>
      </c>
      <c r="W412">
        <f t="shared" si="63"/>
      </c>
    </row>
    <row r="413">
      <c r="C413">
        <f>IF(往来单位!$B$141="","",TRIM(往来单位!$D$141&amp;""))</f>
      </c>
      <c r="D413">
        <f>往来单位!$B$141&amp;""</f>
      </c>
      <c r="T413">
        <f>IF(C413="",0,LEN(C413)*10000+9587)</f>
        <v>0</v>
      </c>
      <c r="U413">
        <f>IF(LARGE($T$1:$T$900,413)=0,0,MATCH(LARGE($T$1:$T$900,413),$T$1:$T$900,0))</f>
        <v>0</v>
      </c>
      <c r="V413">
        <f t="shared" si="62"/>
      </c>
      <c r="W413">
        <f t="shared" si="63"/>
      </c>
    </row>
    <row r="414">
      <c r="C414">
        <f>IF(往来单位!$B$141="","",TRIM(往来单位!$E$141&amp;""))</f>
      </c>
      <c r="D414">
        <f>往来单位!$B$141&amp;""</f>
      </c>
      <c r="T414">
        <f>IF(C414="",0,LEN(C414)*10000+9586)</f>
        <v>0</v>
      </c>
      <c r="U414">
        <f>IF(LARGE($T$1:$T$900,414)=0,0,MATCH(LARGE($T$1:$T$900,414),$T$1:$T$900,0))</f>
        <v>0</v>
      </c>
      <c r="V414">
        <f t="shared" si="62"/>
      </c>
      <c r="W414">
        <f t="shared" si="63"/>
      </c>
    </row>
    <row r="415">
      <c r="C415">
        <f>IF(往来单位!$B$142="","",TRIM(往来单位!$B$142&amp;""))</f>
      </c>
      <c r="D415">
        <f>往来单位!$B$142&amp;""</f>
      </c>
      <c r="T415">
        <f>IF(C415="",0,LEN(C415)*10000+9585)</f>
        <v>0</v>
      </c>
      <c r="U415">
        <f>IF(LARGE($T$1:$T$900,415)=0,0,MATCH(LARGE($T$1:$T$900,415),$T$1:$T$900,0))</f>
        <v>0</v>
      </c>
      <c r="V415">
        <f t="shared" si="62"/>
      </c>
      <c r="W415">
        <f t="shared" si="63"/>
      </c>
    </row>
    <row r="416">
      <c r="C416">
        <f>IF(往来单位!$B$142="","",TRIM(往来单位!$D$142&amp;""))</f>
      </c>
      <c r="D416">
        <f>往来单位!$B$142&amp;""</f>
      </c>
      <c r="T416">
        <f>IF(C416="",0,LEN(C416)*10000+9584)</f>
        <v>0</v>
      </c>
      <c r="U416">
        <f>IF(LARGE($T$1:$T$900,416)=0,0,MATCH(LARGE($T$1:$T$900,416),$T$1:$T$900,0))</f>
        <v>0</v>
      </c>
      <c r="V416">
        <f t="shared" si="62"/>
      </c>
      <c r="W416">
        <f t="shared" si="63"/>
      </c>
    </row>
    <row r="417">
      <c r="C417">
        <f>IF(往来单位!$B$142="","",TRIM(往来单位!$E$142&amp;""))</f>
      </c>
      <c r="D417">
        <f>往来单位!$B$142&amp;""</f>
      </c>
      <c r="T417">
        <f>IF(C417="",0,LEN(C417)*10000+9583)</f>
        <v>0</v>
      </c>
      <c r="U417">
        <f>IF(LARGE($T$1:$T$900,417)=0,0,MATCH(LARGE($T$1:$T$900,417),$T$1:$T$900,0))</f>
        <v>0</v>
      </c>
      <c r="V417">
        <f t="shared" si="62"/>
      </c>
      <c r="W417">
        <f t="shared" si="63"/>
      </c>
    </row>
    <row r="418">
      <c r="C418">
        <f>IF(往来单位!$B$143="","",TRIM(往来单位!$B$143&amp;""))</f>
      </c>
      <c r="D418">
        <f>往来单位!$B$143&amp;""</f>
      </c>
      <c r="T418">
        <f>IF(C418="",0,LEN(C418)*10000+9582)</f>
        <v>0</v>
      </c>
      <c r="U418">
        <f>IF(LARGE($T$1:$T$900,418)=0,0,MATCH(LARGE($T$1:$T$900,418),$T$1:$T$900,0))</f>
        <v>0</v>
      </c>
      <c r="V418">
        <f t="shared" si="62"/>
      </c>
      <c r="W418">
        <f t="shared" si="63"/>
      </c>
    </row>
    <row r="419">
      <c r="C419">
        <f>IF(往来单位!$B$143="","",TRIM(往来单位!$D$143&amp;""))</f>
      </c>
      <c r="D419">
        <f>往来单位!$B$143&amp;""</f>
      </c>
      <c r="T419">
        <f>IF(C419="",0,LEN(C419)*10000+9581)</f>
        <v>0</v>
      </c>
      <c r="U419">
        <f>IF(LARGE($T$1:$T$900,419)=0,0,MATCH(LARGE($T$1:$T$900,419),$T$1:$T$900,0))</f>
        <v>0</v>
      </c>
      <c r="V419">
        <f t="shared" si="62"/>
      </c>
      <c r="W419">
        <f t="shared" si="63"/>
      </c>
    </row>
    <row r="420">
      <c r="C420">
        <f>IF(往来单位!$B$143="","",TRIM(往来单位!$E$143&amp;""))</f>
      </c>
      <c r="D420">
        <f>往来单位!$B$143&amp;""</f>
      </c>
      <c r="T420">
        <f>IF(C420="",0,LEN(C420)*10000+9580)</f>
        <v>0</v>
      </c>
      <c r="U420">
        <f>IF(LARGE($T$1:$T$900,420)=0,0,MATCH(LARGE($T$1:$T$900,420),$T$1:$T$900,0))</f>
        <v>0</v>
      </c>
      <c r="V420">
        <f t="shared" si="62"/>
      </c>
      <c r="W420">
        <f t="shared" si="63"/>
      </c>
    </row>
    <row r="421">
      <c r="C421">
        <f>IF(往来单位!$B$144="","",TRIM(往来单位!$B$144&amp;""))</f>
      </c>
      <c r="D421">
        <f>往来单位!$B$144&amp;""</f>
      </c>
      <c r="T421">
        <f>IF(C421="",0,LEN(C421)*10000+9579)</f>
        <v>0</v>
      </c>
      <c r="U421">
        <f>IF(LARGE($T$1:$T$900,421)=0,0,MATCH(LARGE($T$1:$T$900,421),$T$1:$T$900,0))</f>
        <v>0</v>
      </c>
      <c r="V421">
        <f t="shared" si="62"/>
      </c>
      <c r="W421">
        <f t="shared" si="63"/>
      </c>
    </row>
    <row r="422">
      <c r="C422">
        <f>IF(往来单位!$B$144="","",TRIM(往来单位!$D$144&amp;""))</f>
      </c>
      <c r="D422">
        <f>往来单位!$B$144&amp;""</f>
      </c>
      <c r="T422">
        <f>IF(C422="",0,LEN(C422)*10000+9578)</f>
        <v>0</v>
      </c>
      <c r="U422">
        <f>IF(LARGE($T$1:$T$900,422)=0,0,MATCH(LARGE($T$1:$T$900,422),$T$1:$T$900,0))</f>
        <v>0</v>
      </c>
      <c r="V422">
        <f t="shared" si="62"/>
      </c>
      <c r="W422">
        <f t="shared" si="63"/>
      </c>
    </row>
    <row r="423">
      <c r="C423">
        <f>IF(往来单位!$B$144="","",TRIM(往来单位!$E$144&amp;""))</f>
      </c>
      <c r="D423">
        <f>往来单位!$B$144&amp;""</f>
      </c>
      <c r="T423">
        <f>IF(C423="",0,LEN(C423)*10000+9577)</f>
        <v>0</v>
      </c>
      <c r="U423">
        <f>IF(LARGE($T$1:$T$900,423)=0,0,MATCH(LARGE($T$1:$T$900,423),$T$1:$T$900,0))</f>
        <v>0</v>
      </c>
      <c r="V423">
        <f t="shared" si="62"/>
      </c>
      <c r="W423">
        <f t="shared" si="63"/>
      </c>
    </row>
    <row r="424">
      <c r="C424">
        <f>IF(往来单位!$B$145="","",TRIM(往来单位!$B$145&amp;""))</f>
      </c>
      <c r="D424">
        <f>往来单位!$B$145&amp;""</f>
      </c>
      <c r="T424">
        <f>IF(C424="",0,LEN(C424)*10000+9576)</f>
        <v>0</v>
      </c>
      <c r="U424">
        <f>IF(LARGE($T$1:$T$900,424)=0,0,MATCH(LARGE($T$1:$T$900,424),$T$1:$T$900,0))</f>
        <v>0</v>
      </c>
      <c r="V424">
        <f t="shared" si="62"/>
      </c>
      <c r="W424">
        <f t="shared" si="63"/>
      </c>
    </row>
    <row r="425">
      <c r="C425">
        <f>IF(往来单位!$B$145="","",TRIM(往来单位!$D$145&amp;""))</f>
      </c>
      <c r="D425">
        <f>往来单位!$B$145&amp;""</f>
      </c>
      <c r="T425">
        <f>IF(C425="",0,LEN(C425)*10000+9575)</f>
        <v>0</v>
      </c>
      <c r="U425">
        <f>IF(LARGE($T$1:$T$900,425)=0,0,MATCH(LARGE($T$1:$T$900,425),$T$1:$T$900,0))</f>
        <v>0</v>
      </c>
      <c r="V425">
        <f t="shared" si="62"/>
      </c>
      <c r="W425">
        <f t="shared" si="63"/>
      </c>
    </row>
    <row r="426">
      <c r="C426">
        <f>IF(往来单位!$B$145="","",TRIM(往来单位!$E$145&amp;""))</f>
      </c>
      <c r="D426">
        <f>往来单位!$B$145&amp;""</f>
      </c>
      <c r="T426">
        <f>IF(C426="",0,LEN(C426)*10000+9574)</f>
        <v>0</v>
      </c>
      <c r="U426">
        <f>IF(LARGE($T$1:$T$900,426)=0,0,MATCH(LARGE($T$1:$T$900,426),$T$1:$T$900,0))</f>
        <v>0</v>
      </c>
      <c r="V426">
        <f t="shared" si="62"/>
      </c>
      <c r="W426">
        <f t="shared" si="63"/>
      </c>
    </row>
    <row r="427">
      <c r="C427">
        <f>IF(往来单位!$B$146="","",TRIM(往来单位!$B$146&amp;""))</f>
      </c>
      <c r="D427">
        <f>往来单位!$B$146&amp;""</f>
      </c>
      <c r="T427">
        <f>IF(C427="",0,LEN(C427)*10000+9573)</f>
        <v>0</v>
      </c>
      <c r="U427">
        <f>IF(LARGE($T$1:$T$900,427)=0,0,MATCH(LARGE($T$1:$T$900,427),$T$1:$T$900,0))</f>
        <v>0</v>
      </c>
      <c r="V427">
        <f t="shared" si="62"/>
      </c>
      <c r="W427">
        <f t="shared" si="63"/>
      </c>
    </row>
    <row r="428">
      <c r="C428">
        <f>IF(往来单位!$B$146="","",TRIM(往来单位!$D$146&amp;""))</f>
      </c>
      <c r="D428">
        <f>往来单位!$B$146&amp;""</f>
      </c>
      <c r="T428">
        <f>IF(C428="",0,LEN(C428)*10000+9572)</f>
        <v>0</v>
      </c>
      <c r="U428">
        <f>IF(LARGE($T$1:$T$900,428)=0,0,MATCH(LARGE($T$1:$T$900,428),$T$1:$T$900,0))</f>
        <v>0</v>
      </c>
      <c r="V428">
        <f t="shared" si="62"/>
      </c>
      <c r="W428">
        <f t="shared" si="63"/>
      </c>
    </row>
    <row r="429">
      <c r="C429">
        <f>IF(往来单位!$B$146="","",TRIM(往来单位!$E$146&amp;""))</f>
      </c>
      <c r="D429">
        <f>往来单位!$B$146&amp;""</f>
      </c>
      <c r="T429">
        <f>IF(C429="",0,LEN(C429)*10000+9571)</f>
        <v>0</v>
      </c>
      <c r="U429">
        <f>IF(LARGE($T$1:$T$900,429)=0,0,MATCH(LARGE($T$1:$T$900,429),$T$1:$T$900,0))</f>
        <v>0</v>
      </c>
      <c r="V429">
        <f t="shared" si="62"/>
      </c>
      <c r="W429">
        <f t="shared" si="63"/>
      </c>
    </row>
    <row r="430">
      <c r="C430">
        <f>IF(往来单位!$B$147="","",TRIM(往来单位!$B$147&amp;""))</f>
      </c>
      <c r="D430">
        <f>往来单位!$B$147&amp;""</f>
      </c>
      <c r="T430">
        <f>IF(C430="",0,LEN(C430)*10000+9570)</f>
        <v>0</v>
      </c>
      <c r="U430">
        <f>IF(LARGE($T$1:$T$900,430)=0,0,MATCH(LARGE($T$1:$T$900,430),$T$1:$T$900,0))</f>
        <v>0</v>
      </c>
      <c r="V430">
        <f t="shared" si="62"/>
      </c>
      <c r="W430">
        <f t="shared" si="63"/>
      </c>
    </row>
    <row r="431">
      <c r="C431">
        <f>IF(往来单位!$B$147="","",TRIM(往来单位!$D$147&amp;""))</f>
      </c>
      <c r="D431">
        <f>往来单位!$B$147&amp;""</f>
      </c>
      <c r="T431">
        <f>IF(C431="",0,LEN(C431)*10000+9569)</f>
        <v>0</v>
      </c>
      <c r="U431">
        <f>IF(LARGE($T$1:$T$900,431)=0,0,MATCH(LARGE($T$1:$T$900,431),$T$1:$T$900,0))</f>
        <v>0</v>
      </c>
      <c r="V431">
        <f t="shared" si="62"/>
      </c>
      <c r="W431">
        <f t="shared" si="63"/>
      </c>
    </row>
    <row r="432">
      <c r="C432">
        <f>IF(往来单位!$B$147="","",TRIM(往来单位!$E$147&amp;""))</f>
      </c>
      <c r="D432">
        <f>往来单位!$B$147&amp;""</f>
      </c>
      <c r="T432">
        <f>IF(C432="",0,LEN(C432)*10000+9568)</f>
        <v>0</v>
      </c>
      <c r="U432">
        <f>IF(LARGE($T$1:$T$900,432)=0,0,MATCH(LARGE($T$1:$T$900,432),$T$1:$T$900,0))</f>
        <v>0</v>
      </c>
      <c r="V432">
        <f t="shared" si="62"/>
      </c>
      <c r="W432">
        <f t="shared" si="63"/>
      </c>
    </row>
    <row r="433">
      <c r="C433">
        <f>IF(往来单位!$B$148="","",TRIM(往来单位!$B$148&amp;""))</f>
      </c>
      <c r="D433">
        <f>往来单位!$B$148&amp;""</f>
      </c>
      <c r="T433">
        <f>IF(C433="",0,LEN(C433)*10000+9567)</f>
        <v>0</v>
      </c>
      <c r="U433">
        <f>IF(LARGE($T$1:$T$900,433)=0,0,MATCH(LARGE($T$1:$T$900,433),$T$1:$T$900,0))</f>
        <v>0</v>
      </c>
      <c r="V433">
        <f t="shared" si="62"/>
      </c>
      <c r="W433">
        <f t="shared" si="63"/>
      </c>
    </row>
    <row r="434">
      <c r="C434">
        <f>IF(往来单位!$B$148="","",TRIM(往来单位!$D$148&amp;""))</f>
      </c>
      <c r="D434">
        <f>往来单位!$B$148&amp;""</f>
      </c>
      <c r="T434">
        <f>IF(C434="",0,LEN(C434)*10000+9566)</f>
        <v>0</v>
      </c>
      <c r="U434">
        <f>IF(LARGE($T$1:$T$900,434)=0,0,MATCH(LARGE($T$1:$T$900,434),$T$1:$T$900,0))</f>
        <v>0</v>
      </c>
      <c r="V434">
        <f t="shared" si="62"/>
      </c>
      <c r="W434">
        <f t="shared" si="63"/>
      </c>
    </row>
    <row r="435">
      <c r="C435">
        <f>IF(往来单位!$B$148="","",TRIM(往来单位!$E$148&amp;""))</f>
      </c>
      <c r="D435">
        <f>往来单位!$B$148&amp;""</f>
      </c>
      <c r="T435">
        <f>IF(C435="",0,LEN(C435)*10000+9565)</f>
        <v>0</v>
      </c>
      <c r="U435">
        <f>IF(LARGE($T$1:$T$900,435)=0,0,MATCH(LARGE($T$1:$T$900,435),$T$1:$T$900,0))</f>
        <v>0</v>
      </c>
      <c r="V435">
        <f t="shared" si="62"/>
      </c>
      <c r="W435">
        <f t="shared" si="63"/>
      </c>
    </row>
    <row r="436">
      <c r="C436">
        <f>IF(往来单位!$B$149="","",TRIM(往来单位!$B$149&amp;""))</f>
      </c>
      <c r="D436">
        <f>往来单位!$B$149&amp;""</f>
      </c>
      <c r="T436">
        <f>IF(C436="",0,LEN(C436)*10000+9564)</f>
        <v>0</v>
      </c>
      <c r="U436">
        <f>IF(LARGE($T$1:$T$900,436)=0,0,MATCH(LARGE($T$1:$T$900,436),$T$1:$T$900,0))</f>
        <v>0</v>
      </c>
      <c r="V436">
        <f t="shared" si="62"/>
      </c>
      <c r="W436">
        <f t="shared" si="63"/>
      </c>
    </row>
    <row r="437">
      <c r="C437">
        <f>IF(往来单位!$B$149="","",TRIM(往来单位!$D$149&amp;""))</f>
      </c>
      <c r="D437">
        <f>往来单位!$B$149&amp;""</f>
      </c>
      <c r="T437">
        <f>IF(C437="",0,LEN(C437)*10000+9563)</f>
        <v>0</v>
      </c>
      <c r="U437">
        <f>IF(LARGE($T$1:$T$900,437)=0,0,MATCH(LARGE($T$1:$T$900,437),$T$1:$T$900,0))</f>
        <v>0</v>
      </c>
      <c r="V437">
        <f t="shared" si="62"/>
      </c>
      <c r="W437">
        <f t="shared" si="63"/>
      </c>
    </row>
    <row r="438">
      <c r="C438">
        <f>IF(往来单位!$B$149="","",TRIM(往来单位!$E$149&amp;""))</f>
      </c>
      <c r="D438">
        <f>往来单位!$B$149&amp;""</f>
      </c>
      <c r="T438">
        <f>IF(C438="",0,LEN(C438)*10000+9562)</f>
        <v>0</v>
      </c>
      <c r="U438">
        <f>IF(LARGE($T$1:$T$900,438)=0,0,MATCH(LARGE($T$1:$T$900,438),$T$1:$T$900,0))</f>
        <v>0</v>
      </c>
      <c r="V438">
        <f t="shared" si="62"/>
      </c>
      <c r="W438">
        <f t="shared" si="63"/>
      </c>
    </row>
    <row r="439">
      <c r="C439">
        <f>IF(往来单位!$B$150="","",TRIM(往来单位!$B$150&amp;""))</f>
      </c>
      <c r="D439">
        <f>往来单位!$B$150&amp;""</f>
      </c>
      <c r="T439">
        <f>IF(C439="",0,LEN(C439)*10000+9561)</f>
        <v>0</v>
      </c>
      <c r="U439">
        <f>IF(LARGE($T$1:$T$900,439)=0,0,MATCH(LARGE($T$1:$T$900,439),$T$1:$T$900,0))</f>
        <v>0</v>
      </c>
      <c r="V439">
        <f t="shared" si="62"/>
      </c>
      <c r="W439">
        <f t="shared" si="63"/>
      </c>
    </row>
    <row r="440">
      <c r="C440">
        <f>IF(往来单位!$B$150="","",TRIM(往来单位!$D$150&amp;""))</f>
      </c>
      <c r="D440">
        <f>往来单位!$B$150&amp;""</f>
      </c>
      <c r="T440">
        <f>IF(C440="",0,LEN(C440)*10000+9560)</f>
        <v>0</v>
      </c>
      <c r="U440">
        <f>IF(LARGE($T$1:$T$900,440)=0,0,MATCH(LARGE($T$1:$T$900,440),$T$1:$T$900,0))</f>
        <v>0</v>
      </c>
      <c r="V440">
        <f t="shared" si="62"/>
      </c>
      <c r="W440">
        <f t="shared" si="63"/>
      </c>
    </row>
    <row r="441">
      <c r="C441">
        <f>IF(往来单位!$B$150="","",TRIM(往来单位!$E$150&amp;""))</f>
      </c>
      <c r="D441">
        <f>往来单位!$B$150&amp;""</f>
      </c>
      <c r="T441">
        <f>IF(C441="",0,LEN(C441)*10000+9559)</f>
        <v>0</v>
      </c>
      <c r="U441">
        <f>IF(LARGE($T$1:$T$900,441)=0,0,MATCH(LARGE($T$1:$T$900,441),$T$1:$T$900,0))</f>
        <v>0</v>
      </c>
      <c r="V441">
        <f t="shared" si="62"/>
      </c>
      <c r="W441">
        <f t="shared" si="63"/>
      </c>
    </row>
    <row r="442">
      <c r="C442">
        <f>IF(往来单位!$B$151="","",TRIM(往来单位!$B$151&amp;""))</f>
      </c>
      <c r="D442">
        <f>往来单位!$B$151&amp;""</f>
      </c>
      <c r="T442">
        <f>IF(C442="",0,LEN(C442)*10000+9558)</f>
        <v>0</v>
      </c>
      <c r="U442">
        <f>IF(LARGE($T$1:$T$900,442)=0,0,MATCH(LARGE($T$1:$T$900,442),$T$1:$T$900,0))</f>
        <v>0</v>
      </c>
      <c r="V442">
        <f t="shared" si="62"/>
      </c>
      <c r="W442">
        <f t="shared" si="63"/>
      </c>
    </row>
    <row r="443">
      <c r="C443">
        <f>IF(往来单位!$B$151="","",TRIM(往来单位!$D$151&amp;""))</f>
      </c>
      <c r="D443">
        <f>往来单位!$B$151&amp;""</f>
      </c>
      <c r="T443">
        <f>IF(C443="",0,LEN(C443)*10000+9557)</f>
        <v>0</v>
      </c>
      <c r="U443">
        <f>IF(LARGE($T$1:$T$900,443)=0,0,MATCH(LARGE($T$1:$T$900,443),$T$1:$T$900,0))</f>
        <v>0</v>
      </c>
      <c r="V443">
        <f t="shared" si="62"/>
      </c>
      <c r="W443">
        <f t="shared" si="63"/>
      </c>
    </row>
    <row r="444">
      <c r="C444">
        <f>IF(往来单位!$B$151="","",TRIM(往来单位!$E$151&amp;""))</f>
      </c>
      <c r="D444">
        <f>往来单位!$B$151&amp;""</f>
      </c>
      <c r="T444">
        <f>IF(C444="",0,LEN(C444)*10000+9556)</f>
        <v>0</v>
      </c>
      <c r="U444">
        <f>IF(LARGE($T$1:$T$900,444)=0,0,MATCH(LARGE($T$1:$T$900,444),$T$1:$T$900,0))</f>
        <v>0</v>
      </c>
      <c r="V444">
        <f t="shared" si="62"/>
      </c>
      <c r="W444">
        <f t="shared" si="63"/>
      </c>
    </row>
    <row r="445">
      <c r="C445">
        <f>IF(往来单位!$B$152="","",TRIM(往来单位!$B$152&amp;""))</f>
      </c>
      <c r="D445">
        <f>往来单位!$B$152&amp;""</f>
      </c>
      <c r="T445">
        <f>IF(C445="",0,LEN(C445)*10000+9555)</f>
        <v>0</v>
      </c>
      <c r="U445">
        <f>IF(LARGE($T$1:$T$900,445)=0,0,MATCH(LARGE($T$1:$T$900,445),$T$1:$T$900,0))</f>
        <v>0</v>
      </c>
      <c r="V445">
        <f t="shared" si="62"/>
      </c>
      <c r="W445">
        <f t="shared" si="63"/>
      </c>
    </row>
    <row r="446">
      <c r="C446">
        <f>IF(往来单位!$B$152="","",TRIM(往来单位!$D$152&amp;""))</f>
      </c>
      <c r="D446">
        <f>往来单位!$B$152&amp;""</f>
      </c>
      <c r="T446">
        <f>IF(C446="",0,LEN(C446)*10000+9554)</f>
        <v>0</v>
      </c>
      <c r="U446">
        <f>IF(LARGE($T$1:$T$900,446)=0,0,MATCH(LARGE($T$1:$T$900,446),$T$1:$T$900,0))</f>
        <v>0</v>
      </c>
      <c r="V446">
        <f t="shared" si="62"/>
      </c>
      <c r="W446">
        <f t="shared" si="63"/>
      </c>
    </row>
    <row r="447">
      <c r="C447">
        <f>IF(往来单位!$B$152="","",TRIM(往来单位!$E$152&amp;""))</f>
      </c>
      <c r="D447">
        <f>往来单位!$B$152&amp;""</f>
      </c>
      <c r="T447">
        <f>IF(C447="",0,LEN(C447)*10000+9553)</f>
        <v>0</v>
      </c>
      <c r="U447">
        <f>IF(LARGE($T$1:$T$900,447)=0,0,MATCH(LARGE($T$1:$T$900,447),$T$1:$T$900,0))</f>
        <v>0</v>
      </c>
      <c r="V447">
        <f t="shared" si="62"/>
      </c>
      <c r="W447">
        <f t="shared" si="63"/>
      </c>
    </row>
    <row r="448">
      <c r="C448">
        <f>IF(往来单位!$B$153="","",TRIM(往来单位!$B$153&amp;""))</f>
      </c>
      <c r="D448">
        <f>往来单位!$B$153&amp;""</f>
      </c>
      <c r="T448">
        <f>IF(C448="",0,LEN(C448)*10000+9552)</f>
        <v>0</v>
      </c>
      <c r="U448">
        <f>IF(LARGE($T$1:$T$900,448)=0,0,MATCH(LARGE($T$1:$T$900,448),$T$1:$T$900,0))</f>
        <v>0</v>
      </c>
      <c r="V448">
        <f t="shared" si="62"/>
      </c>
      <c r="W448">
        <f t="shared" si="63"/>
      </c>
    </row>
    <row r="449">
      <c r="C449">
        <f>IF(往来单位!$B$153="","",TRIM(往来单位!$D$153&amp;""))</f>
      </c>
      <c r="D449">
        <f>往来单位!$B$153&amp;""</f>
      </c>
      <c r="T449">
        <f>IF(C449="",0,LEN(C449)*10000+9551)</f>
        <v>0</v>
      </c>
      <c r="U449">
        <f>IF(LARGE($T$1:$T$900,449)=0,0,MATCH(LARGE($T$1:$T$900,449),$T$1:$T$900,0))</f>
        <v>0</v>
      </c>
      <c r="V449">
        <f t="shared" si="62"/>
      </c>
      <c r="W449">
        <f t="shared" si="63"/>
      </c>
    </row>
    <row r="450">
      <c r="C450">
        <f>IF(往来单位!$B$153="","",TRIM(往来单位!$E$153&amp;""))</f>
      </c>
      <c r="D450">
        <f>往来单位!$B$153&amp;""</f>
      </c>
      <c r="T450">
        <f>IF(C450="",0,LEN(C450)*10000+9550)</f>
        <v>0</v>
      </c>
      <c r="U450">
        <f>IF(LARGE($T$1:$T$900,450)=0,0,MATCH(LARGE($T$1:$T$900,450),$T$1:$T$900,0))</f>
        <v>0</v>
      </c>
      <c r="V450">
        <f t="shared" si="62"/>
      </c>
      <c r="W450">
        <f t="shared" si="63"/>
      </c>
    </row>
    <row r="451">
      <c r="C451">
        <f>IF(往来单位!$B$154="","",TRIM(往来单位!$B$154&amp;""))</f>
      </c>
      <c r="D451">
        <f>往来单位!$B$154&amp;""</f>
      </c>
      <c r="T451">
        <f>IF(C451="",0,LEN(C451)*10000+9549)</f>
        <v>0</v>
      </c>
      <c r="U451">
        <f>IF(LARGE($T$1:$T$900,451)=0,0,MATCH(LARGE($T$1:$T$900,451),$T$1:$T$900,0))</f>
        <v>0</v>
      </c>
      <c r="V451">
        <f t="shared" si="62"/>
      </c>
      <c r="W451">
        <f t="shared" si="63"/>
      </c>
    </row>
    <row r="452">
      <c r="C452">
        <f>IF(往来单位!$B$154="","",TRIM(往来单位!$D$154&amp;""))</f>
      </c>
      <c r="D452">
        <f>往来单位!$B$154&amp;""</f>
      </c>
      <c r="T452">
        <f>IF(C452="",0,LEN(C452)*10000+9548)</f>
        <v>0</v>
      </c>
      <c r="U452">
        <f>IF(LARGE($T$1:$T$900,452)=0,0,MATCH(LARGE($T$1:$T$900,452),$T$1:$T$900,0))</f>
        <v>0</v>
      </c>
      <c r="V452">
        <f t="shared" si="62"/>
      </c>
      <c r="W452">
        <f t="shared" si="63"/>
      </c>
    </row>
    <row r="453">
      <c r="C453">
        <f>IF(往来单位!$B$154="","",TRIM(往来单位!$E$154&amp;""))</f>
      </c>
      <c r="D453">
        <f>往来单位!$B$154&amp;""</f>
      </c>
      <c r="T453">
        <f>IF(C453="",0,LEN(C453)*10000+9547)</f>
        <v>0</v>
      </c>
      <c r="U453">
        <f>IF(LARGE($T$1:$T$900,453)=0,0,MATCH(LARGE($T$1:$T$900,453),$T$1:$T$900,0))</f>
        <v>0</v>
      </c>
      <c r="V453">
        <f t="shared" si="62"/>
      </c>
      <c r="W453">
        <f t="shared" si="63"/>
      </c>
    </row>
    <row r="454">
      <c r="C454">
        <f>IF(往来单位!$B$155="","",TRIM(往来单位!$B$155&amp;""))</f>
      </c>
      <c r="D454">
        <f>往来单位!$B$155&amp;""</f>
      </c>
      <c r="T454">
        <f>IF(C454="",0,LEN(C454)*10000+9546)</f>
        <v>0</v>
      </c>
      <c r="U454">
        <f>IF(LARGE($T$1:$T$900,454)=0,0,MATCH(LARGE($T$1:$T$900,454),$T$1:$T$900,0))</f>
        <v>0</v>
      </c>
      <c r="V454">
        <f t="shared" si="62"/>
      </c>
      <c r="W454">
        <f t="shared" si="63"/>
      </c>
    </row>
    <row r="455">
      <c r="C455">
        <f>IF(往来单位!$B$155="","",TRIM(往来单位!$D$155&amp;""))</f>
      </c>
      <c r="D455">
        <f>往来单位!$B$155&amp;""</f>
      </c>
      <c r="T455">
        <f>IF(C455="",0,LEN(C455)*10000+9545)</f>
        <v>0</v>
      </c>
      <c r="U455">
        <f>IF(LARGE($T$1:$T$900,455)=0,0,MATCH(LARGE($T$1:$T$900,455),$T$1:$T$900,0))</f>
        <v>0</v>
      </c>
      <c r="V455">
        <f t="shared" si="62"/>
      </c>
      <c r="W455">
        <f t="shared" si="63"/>
      </c>
    </row>
    <row r="456">
      <c r="C456">
        <f>IF(往来单位!$B$155="","",TRIM(往来单位!$E$155&amp;""))</f>
      </c>
      <c r="D456">
        <f>往来单位!$B$155&amp;""</f>
      </c>
      <c r="T456">
        <f>IF(C456="",0,LEN(C456)*10000+9544)</f>
        <v>0</v>
      </c>
      <c r="U456">
        <f>IF(LARGE($T$1:$T$900,456)=0,0,MATCH(LARGE($T$1:$T$900,456),$T$1:$T$900,0))</f>
        <v>0</v>
      </c>
      <c r="V456">
        <f t="shared" si="62"/>
      </c>
      <c r="W456">
        <f t="shared" si="63"/>
      </c>
    </row>
    <row r="457">
      <c r="C457">
        <f>IF(往来单位!$B$156="","",TRIM(往来单位!$B$156&amp;""))</f>
      </c>
      <c r="D457">
        <f>往来单位!$B$156&amp;""</f>
      </c>
      <c r="T457">
        <f>IF(C457="",0,LEN(C457)*10000+9543)</f>
        <v>0</v>
      </c>
      <c r="U457">
        <f>IF(LARGE($T$1:$T$900,457)=0,0,MATCH(LARGE($T$1:$T$900,457),$T$1:$T$900,0))</f>
        <v>0</v>
      </c>
      <c r="V457">
        <f t="shared" si="62"/>
      </c>
      <c r="W457">
        <f t="shared" si="63"/>
      </c>
    </row>
    <row r="458">
      <c r="C458">
        <f>IF(往来单位!$B$156="","",TRIM(往来单位!$D$156&amp;""))</f>
      </c>
      <c r="D458">
        <f>往来单位!$B$156&amp;""</f>
      </c>
      <c r="T458">
        <f>IF(C458="",0,LEN(C458)*10000+9542)</f>
        <v>0</v>
      </c>
      <c r="U458">
        <f>IF(LARGE($T$1:$T$900,458)=0,0,MATCH(LARGE($T$1:$T$900,458),$T$1:$T$900,0))</f>
        <v>0</v>
      </c>
      <c r="V458">
        <f t="shared" si="62"/>
      </c>
      <c r="W458">
        <f t="shared" si="63"/>
      </c>
    </row>
    <row r="459">
      <c r="C459">
        <f>IF(往来单位!$B$156="","",TRIM(往来单位!$E$156&amp;""))</f>
      </c>
      <c r="D459">
        <f>往来单位!$B$156&amp;""</f>
      </c>
      <c r="T459">
        <f>IF(C459="",0,LEN(C459)*10000+9541)</f>
        <v>0</v>
      </c>
      <c r="U459">
        <f>IF(LARGE($T$1:$T$900,459)=0,0,MATCH(LARGE($T$1:$T$900,459),$T$1:$T$900,0))</f>
        <v>0</v>
      </c>
      <c r="V459">
        <f t="shared" si="62"/>
      </c>
      <c r="W459">
        <f t="shared" si="63"/>
      </c>
    </row>
    <row r="460">
      <c r="C460">
        <f>IF(往来单位!$B$157="","",TRIM(往来单位!$B$157&amp;""))</f>
      </c>
      <c r="D460">
        <f>往来单位!$B$157&amp;""</f>
      </c>
      <c r="T460">
        <f>IF(C460="",0,LEN(C460)*10000+9540)</f>
        <v>0</v>
      </c>
      <c r="U460">
        <f>IF(LARGE($T$1:$T$900,460)=0,0,MATCH(LARGE($T$1:$T$900,460),$T$1:$T$900,0))</f>
        <v>0</v>
      </c>
      <c r="V460">
        <f t="shared" si="62"/>
      </c>
      <c r="W460">
        <f t="shared" si="63"/>
      </c>
    </row>
    <row r="461">
      <c r="C461">
        <f>IF(往来单位!$B$157="","",TRIM(往来单位!$D$157&amp;""))</f>
      </c>
      <c r="D461">
        <f>往来单位!$B$157&amp;""</f>
      </c>
      <c r="T461">
        <f>IF(C461="",0,LEN(C461)*10000+9539)</f>
        <v>0</v>
      </c>
      <c r="U461">
        <f>IF(LARGE($T$1:$T$900,461)=0,0,MATCH(LARGE($T$1:$T$900,461),$T$1:$T$900,0))</f>
        <v>0</v>
      </c>
      <c r="V461">
        <f t="shared" si="62"/>
      </c>
      <c r="W461">
        <f t="shared" si="63"/>
      </c>
    </row>
    <row r="462">
      <c r="C462">
        <f>IF(往来单位!$B$157="","",TRIM(往来单位!$E$157&amp;""))</f>
      </c>
      <c r="D462">
        <f>往来单位!$B$157&amp;""</f>
      </c>
      <c r="T462">
        <f>IF(C462="",0,LEN(C462)*10000+9538)</f>
        <v>0</v>
      </c>
      <c r="U462">
        <f>IF(LARGE($T$1:$T$900,462)=0,0,MATCH(LARGE($T$1:$T$900,462),$T$1:$T$900,0))</f>
        <v>0</v>
      </c>
      <c r="V462">
        <f t="shared" si="62"/>
      </c>
      <c r="W462">
        <f t="shared" si="63"/>
      </c>
    </row>
    <row r="463">
      <c r="C463">
        <f>IF(往来单位!$B$158="","",TRIM(往来单位!$B$158&amp;""))</f>
      </c>
      <c r="D463">
        <f>往来单位!$B$158&amp;""</f>
      </c>
      <c r="T463">
        <f>IF(C463="",0,LEN(C463)*10000+9537)</f>
        <v>0</v>
      </c>
      <c r="U463">
        <f>IF(LARGE($T$1:$T$900,463)=0,0,MATCH(LARGE($T$1:$T$900,463),$T$1:$T$900,0))</f>
        <v>0</v>
      </c>
      <c r="V463">
        <f t="shared" si="62"/>
      </c>
      <c r="W463">
        <f t="shared" si="63"/>
      </c>
    </row>
    <row r="464">
      <c r="C464">
        <f>IF(往来单位!$B$158="","",TRIM(往来单位!$D$158&amp;""))</f>
      </c>
      <c r="D464">
        <f>往来单位!$B$158&amp;""</f>
      </c>
      <c r="T464">
        <f>IF(C464="",0,LEN(C464)*10000+9536)</f>
        <v>0</v>
      </c>
      <c r="U464">
        <f>IF(LARGE($T$1:$T$900,464)=0,0,MATCH(LARGE($T$1:$T$900,464),$T$1:$T$900,0))</f>
        <v>0</v>
      </c>
      <c r="V464">
        <f t="shared" si="62"/>
      </c>
      <c r="W464">
        <f t="shared" si="63"/>
      </c>
    </row>
    <row r="465">
      <c r="C465">
        <f>IF(往来单位!$B$158="","",TRIM(往来单位!$E$158&amp;""))</f>
      </c>
      <c r="D465">
        <f>往来单位!$B$158&amp;""</f>
      </c>
      <c r="T465">
        <f>IF(C465="",0,LEN(C465)*10000+9535)</f>
        <v>0</v>
      </c>
      <c r="U465">
        <f>IF(LARGE($T$1:$T$900,465)=0,0,MATCH(LARGE($T$1:$T$900,465),$T$1:$T$900,0))</f>
        <v>0</v>
      </c>
      <c r="V465">
        <f t="shared" si="62"/>
      </c>
      <c r="W465">
        <f t="shared" si="63"/>
      </c>
    </row>
    <row r="466">
      <c r="C466">
        <f>IF(往来单位!$B$159="","",TRIM(往来单位!$B$159&amp;""))</f>
      </c>
      <c r="D466">
        <f>往来单位!$B$159&amp;""</f>
      </c>
      <c r="T466">
        <f>IF(C466="",0,LEN(C466)*10000+9534)</f>
        <v>0</v>
      </c>
      <c r="U466">
        <f>IF(LARGE($T$1:$T$900,466)=0,0,MATCH(LARGE($T$1:$T$900,466),$T$1:$T$900,0))</f>
        <v>0</v>
      </c>
      <c r="V466">
        <f t="shared" si="62"/>
      </c>
      <c r="W466">
        <f t="shared" si="63"/>
      </c>
    </row>
    <row r="467">
      <c r="C467">
        <f>IF(往来单位!$B$159="","",TRIM(往来单位!$D$159&amp;""))</f>
      </c>
      <c r="D467">
        <f>往来单位!$B$159&amp;""</f>
      </c>
      <c r="T467">
        <f>IF(C467="",0,LEN(C467)*10000+9533)</f>
        <v>0</v>
      </c>
      <c r="U467">
        <f>IF(LARGE($T$1:$T$900,467)=0,0,MATCH(LARGE($T$1:$T$900,467),$T$1:$T$900,0))</f>
        <v>0</v>
      </c>
      <c r="V467">
        <f t="shared" si="62"/>
      </c>
      <c r="W467">
        <f t="shared" si="63"/>
      </c>
    </row>
    <row r="468">
      <c r="C468">
        <f>IF(往来单位!$B$159="","",TRIM(往来单位!$E$159&amp;""))</f>
      </c>
      <c r="D468">
        <f>往来单位!$B$159&amp;""</f>
      </c>
      <c r="T468">
        <f>IF(C468="",0,LEN(C468)*10000+9532)</f>
        <v>0</v>
      </c>
      <c r="U468">
        <f>IF(LARGE($T$1:$T$900,468)=0,0,MATCH(LARGE($T$1:$T$900,468),$T$1:$T$900,0))</f>
        <v>0</v>
      </c>
      <c r="V468">
        <f t="shared" si="62"/>
      </c>
      <c r="W468">
        <f t="shared" si="63"/>
      </c>
    </row>
    <row r="469">
      <c r="C469">
        <f>IF(往来单位!$B$160="","",TRIM(往来单位!$B$160&amp;""))</f>
      </c>
      <c r="D469">
        <f>往来单位!$B$160&amp;""</f>
      </c>
      <c r="T469">
        <f>IF(C469="",0,LEN(C469)*10000+9531)</f>
        <v>0</v>
      </c>
      <c r="U469">
        <f>IF(LARGE($T$1:$T$900,469)=0,0,MATCH(LARGE($T$1:$T$900,469),$T$1:$T$900,0))</f>
        <v>0</v>
      </c>
      <c r="V469">
        <f t="shared" si="62"/>
      </c>
      <c r="W469">
        <f t="shared" si="63"/>
      </c>
    </row>
    <row r="470">
      <c r="C470">
        <f>IF(往来单位!$B$160="","",TRIM(往来单位!$D$160&amp;""))</f>
      </c>
      <c r="D470">
        <f>往来单位!$B$160&amp;""</f>
      </c>
      <c r="T470">
        <f>IF(C470="",0,LEN(C470)*10000+9530)</f>
        <v>0</v>
      </c>
      <c r="U470">
        <f>IF(LARGE($T$1:$T$900,470)=0,0,MATCH(LARGE($T$1:$T$900,470),$T$1:$T$900,0))</f>
        <v>0</v>
      </c>
      <c r="V470">
        <f t="shared" si="62"/>
      </c>
      <c r="W470">
        <f t="shared" si="63"/>
      </c>
    </row>
    <row r="471">
      <c r="C471">
        <f>IF(往来单位!$B$160="","",TRIM(往来单位!$E$160&amp;""))</f>
      </c>
      <c r="D471">
        <f>往来单位!$B$160&amp;""</f>
      </c>
      <c r="T471">
        <f>IF(C471="",0,LEN(C471)*10000+9529)</f>
        <v>0</v>
      </c>
      <c r="U471">
        <f>IF(LARGE($T$1:$T$900,471)=0,0,MATCH(LARGE($T$1:$T$900,471),$T$1:$T$900,0))</f>
        <v>0</v>
      </c>
      <c r="V471">
        <f t="shared" si="62"/>
      </c>
      <c r="W471">
        <f t="shared" si="63"/>
      </c>
    </row>
    <row r="472">
      <c r="C472">
        <f>IF(往来单位!$B$161="","",TRIM(往来单位!$B$161&amp;""))</f>
      </c>
      <c r="D472">
        <f>往来单位!$B$161&amp;""</f>
      </c>
      <c r="T472">
        <f>IF(C472="",0,LEN(C472)*10000+9528)</f>
        <v>0</v>
      </c>
      <c r="U472">
        <f>IF(LARGE($T$1:$T$900,472)=0,0,MATCH(LARGE($T$1:$T$900,472),$T$1:$T$900,0))</f>
        <v>0</v>
      </c>
      <c r="V472">
        <f t="shared" si="62"/>
      </c>
      <c r="W472">
        <f t="shared" si="63"/>
      </c>
    </row>
    <row r="473">
      <c r="C473">
        <f>IF(往来单位!$B$161="","",TRIM(往来单位!$D$161&amp;""))</f>
      </c>
      <c r="D473">
        <f>往来单位!$B$161&amp;""</f>
      </c>
      <c r="T473">
        <f>IF(C473="",0,LEN(C473)*10000+9527)</f>
        <v>0</v>
      </c>
      <c r="U473">
        <f>IF(LARGE($T$1:$T$900,473)=0,0,MATCH(LARGE($T$1:$T$900,473),$T$1:$T$900,0))</f>
        <v>0</v>
      </c>
      <c r="V473">
        <f t="shared" si="62"/>
      </c>
      <c r="W473">
        <f t="shared" si="63"/>
      </c>
    </row>
    <row r="474">
      <c r="C474">
        <f>IF(往来单位!$B$161="","",TRIM(往来单位!$E$161&amp;""))</f>
      </c>
      <c r="D474">
        <f>往来单位!$B$161&amp;""</f>
      </c>
      <c r="T474">
        <f>IF(C474="",0,LEN(C474)*10000+9526)</f>
        <v>0</v>
      </c>
      <c r="U474">
        <f>IF(LARGE($T$1:$T$900,474)=0,0,MATCH(LARGE($T$1:$T$900,474),$T$1:$T$900,0))</f>
        <v>0</v>
      </c>
      <c r="V474">
        <f t="shared" si="62"/>
      </c>
      <c r="W474">
        <f t="shared" si="63"/>
      </c>
    </row>
    <row r="475">
      <c r="C475">
        <f>IF(往来单位!$B$162="","",TRIM(往来单位!$B$162&amp;""))</f>
      </c>
      <c r="D475">
        <f>往来单位!$B$162&amp;""</f>
      </c>
      <c r="T475">
        <f>IF(C475="",0,LEN(C475)*10000+9525)</f>
        <v>0</v>
      </c>
      <c r="U475">
        <f>IF(LARGE($T$1:$T$900,475)=0,0,MATCH(LARGE($T$1:$T$900,475),$T$1:$T$900,0))</f>
        <v>0</v>
      </c>
      <c r="V475">
        <f t="shared" si="62"/>
      </c>
      <c r="W475">
        <f t="shared" si="63"/>
      </c>
    </row>
    <row r="476">
      <c r="C476">
        <f>IF(往来单位!$B$162="","",TRIM(往来单位!$D$162&amp;""))</f>
      </c>
      <c r="D476">
        <f>往来单位!$B$162&amp;""</f>
      </c>
      <c r="T476">
        <f>IF(C476="",0,LEN(C476)*10000+9524)</f>
        <v>0</v>
      </c>
      <c r="U476">
        <f>IF(LARGE($T$1:$T$900,476)=0,0,MATCH(LARGE($T$1:$T$900,476),$T$1:$T$900,0))</f>
        <v>0</v>
      </c>
      <c r="V476">
        <f t="shared" si="62"/>
      </c>
      <c r="W476">
        <f t="shared" si="63"/>
      </c>
    </row>
    <row r="477">
      <c r="C477">
        <f>IF(往来单位!$B$162="","",TRIM(往来单位!$E$162&amp;""))</f>
      </c>
      <c r="D477">
        <f>往来单位!$B$162&amp;""</f>
      </c>
      <c r="T477">
        <f>IF(C477="",0,LEN(C477)*10000+9523)</f>
        <v>0</v>
      </c>
      <c r="U477">
        <f>IF(LARGE($T$1:$T$900,477)=0,0,MATCH(LARGE($T$1:$T$900,477),$T$1:$T$900,0))</f>
        <v>0</v>
      </c>
      <c r="V477">
        <f t="shared" si="62"/>
      </c>
      <c r="W477">
        <f t="shared" si="63"/>
      </c>
    </row>
    <row r="478">
      <c r="C478">
        <f>IF(往来单位!$B$163="","",TRIM(往来单位!$B$163&amp;""))</f>
      </c>
      <c r="D478">
        <f>往来单位!$B$163&amp;""</f>
      </c>
      <c r="T478">
        <f>IF(C478="",0,LEN(C478)*10000+9522)</f>
        <v>0</v>
      </c>
      <c r="U478">
        <f>IF(LARGE($T$1:$T$900,478)=0,0,MATCH(LARGE($T$1:$T$900,478),$T$1:$T$900,0))</f>
        <v>0</v>
      </c>
      <c r="V478">
        <f t="shared" si="62"/>
      </c>
      <c r="W478">
        <f t="shared" si="63"/>
      </c>
    </row>
    <row r="479">
      <c r="C479">
        <f>IF(往来单位!$B$163="","",TRIM(往来单位!$D$163&amp;""))</f>
      </c>
      <c r="D479">
        <f>往来单位!$B$163&amp;""</f>
      </c>
      <c r="T479">
        <f>IF(C479="",0,LEN(C479)*10000+9521)</f>
        <v>0</v>
      </c>
      <c r="U479">
        <f>IF(LARGE($T$1:$T$900,479)=0,0,MATCH(LARGE($T$1:$T$900,479),$T$1:$T$900,0))</f>
        <v>0</v>
      </c>
      <c r="V479">
        <f t="shared" si="62"/>
      </c>
      <c r="W479">
        <f t="shared" si="63"/>
      </c>
    </row>
    <row r="480">
      <c r="C480">
        <f>IF(往来单位!$B$163="","",TRIM(往来单位!$E$163&amp;""))</f>
      </c>
      <c r="D480">
        <f>往来单位!$B$163&amp;""</f>
      </c>
      <c r="T480">
        <f>IF(C480="",0,LEN(C480)*10000+9520)</f>
        <v>0</v>
      </c>
      <c r="U480">
        <f>IF(LARGE($T$1:$T$900,480)=0,0,MATCH(LARGE($T$1:$T$900,480),$T$1:$T$900,0))</f>
        <v>0</v>
      </c>
      <c r="V480">
        <f t="shared" si="62"/>
      </c>
      <c r="W480">
        <f t="shared" si="63"/>
      </c>
    </row>
    <row r="481">
      <c r="C481">
        <f>IF(往来单位!$B$164="","",TRIM(往来单位!$B$164&amp;""))</f>
      </c>
      <c r="D481">
        <f>往来单位!$B$164&amp;""</f>
      </c>
      <c r="T481">
        <f>IF(C481="",0,LEN(C481)*10000+9519)</f>
        <v>0</v>
      </c>
      <c r="U481">
        <f>IF(LARGE($T$1:$T$900,481)=0,0,MATCH(LARGE($T$1:$T$900,481),$T$1:$T$900,0))</f>
        <v>0</v>
      </c>
      <c r="V481">
        <f t="shared" si="62"/>
      </c>
      <c r="W481">
        <f t="shared" si="63"/>
      </c>
    </row>
    <row r="482">
      <c r="C482">
        <f>IF(往来单位!$B$164="","",TRIM(往来单位!$D$164&amp;""))</f>
      </c>
      <c r="D482">
        <f>往来单位!$B$164&amp;""</f>
      </c>
      <c r="T482">
        <f>IF(C482="",0,LEN(C482)*10000+9518)</f>
        <v>0</v>
      </c>
      <c r="U482">
        <f>IF(LARGE($T$1:$T$900,482)=0,0,MATCH(LARGE($T$1:$T$900,482),$T$1:$T$900,0))</f>
        <v>0</v>
      </c>
      <c r="V482">
        <f t="shared" si="62"/>
      </c>
      <c r="W482">
        <f t="shared" si="63"/>
      </c>
    </row>
    <row r="483">
      <c r="C483">
        <f>IF(往来单位!$B$164="","",TRIM(往来单位!$E$164&amp;""))</f>
      </c>
      <c r="D483">
        <f>往来单位!$B$164&amp;""</f>
      </c>
      <c r="T483">
        <f>IF(C483="",0,LEN(C483)*10000+9517)</f>
        <v>0</v>
      </c>
      <c r="U483">
        <f>IF(LARGE($T$1:$T$900,483)=0,0,MATCH(LARGE($T$1:$T$900,483),$T$1:$T$900,0))</f>
        <v>0</v>
      </c>
      <c r="V483">
        <f t="shared" si="62"/>
      </c>
      <c r="W483">
        <f t="shared" si="63"/>
      </c>
    </row>
    <row r="484">
      <c r="C484">
        <f>IF(往来单位!$B$165="","",TRIM(往来单位!$B$165&amp;""))</f>
      </c>
      <c r="D484">
        <f>往来单位!$B$165&amp;""</f>
      </c>
      <c r="T484">
        <f>IF(C484="",0,LEN(C484)*10000+9516)</f>
        <v>0</v>
      </c>
      <c r="U484">
        <f>IF(LARGE($T$1:$T$900,484)=0,0,MATCH(LARGE($T$1:$T$900,484),$T$1:$T$900,0))</f>
        <v>0</v>
      </c>
      <c r="V484">
        <f t="shared" si="62"/>
      </c>
      <c r="W484">
        <f t="shared" si="63"/>
      </c>
    </row>
    <row r="485">
      <c r="C485">
        <f>IF(往来单位!$B$165="","",TRIM(往来单位!$D$165&amp;""))</f>
      </c>
      <c r="D485">
        <f>往来单位!$B$165&amp;""</f>
      </c>
      <c r="T485">
        <f>IF(C485="",0,LEN(C485)*10000+9515)</f>
        <v>0</v>
      </c>
      <c r="U485">
        <f>IF(LARGE($T$1:$T$900,485)=0,0,MATCH(LARGE($T$1:$T$900,485),$T$1:$T$900,0))</f>
        <v>0</v>
      </c>
      <c r="V485">
        <f t="shared" si="62"/>
      </c>
      <c r="W485">
        <f t="shared" si="63"/>
      </c>
    </row>
    <row r="486">
      <c r="C486">
        <f>IF(往来单位!$B$165="","",TRIM(往来单位!$E$165&amp;""))</f>
      </c>
      <c r="D486">
        <f>往来单位!$B$165&amp;""</f>
      </c>
      <c r="T486">
        <f>IF(C486="",0,LEN(C486)*10000+9514)</f>
        <v>0</v>
      </c>
      <c r="U486">
        <f>IF(LARGE($T$1:$T$900,486)=0,0,MATCH(LARGE($T$1:$T$900,486),$T$1:$T$900,0))</f>
        <v>0</v>
      </c>
      <c r="V486">
        <f t="shared" si="62"/>
      </c>
      <c r="W486">
        <f t="shared" si="63"/>
      </c>
    </row>
    <row r="487">
      <c r="C487">
        <f>IF(往来单位!$B$166="","",TRIM(往来单位!$B$166&amp;""))</f>
      </c>
      <c r="D487">
        <f>往来单位!$B$166&amp;""</f>
      </c>
      <c r="T487">
        <f>IF(C487="",0,LEN(C487)*10000+9513)</f>
        <v>0</v>
      </c>
      <c r="U487">
        <f>IF(LARGE($T$1:$T$900,487)=0,0,MATCH(LARGE($T$1:$T$900,487),$T$1:$T$900,0))</f>
        <v>0</v>
      </c>
      <c r="V487">
        <f t="shared" si="62"/>
      </c>
      <c r="W487">
        <f t="shared" si="63"/>
      </c>
    </row>
    <row r="488">
      <c r="C488">
        <f>IF(往来单位!$B$166="","",TRIM(往来单位!$D$166&amp;""))</f>
      </c>
      <c r="D488">
        <f>往来单位!$B$166&amp;""</f>
      </c>
      <c r="T488">
        <f>IF(C488="",0,LEN(C488)*10000+9512)</f>
        <v>0</v>
      </c>
      <c r="U488">
        <f>IF(LARGE($T$1:$T$900,488)=0,0,MATCH(LARGE($T$1:$T$900,488),$T$1:$T$900,0))</f>
        <v>0</v>
      </c>
      <c r="V488">
        <f t="shared" si="62"/>
      </c>
      <c r="W488">
        <f t="shared" si="63"/>
      </c>
    </row>
    <row r="489">
      <c r="C489">
        <f>IF(往来单位!$B$166="","",TRIM(往来单位!$E$166&amp;""))</f>
      </c>
      <c r="D489">
        <f>往来单位!$B$166&amp;""</f>
      </c>
      <c r="T489">
        <f>IF(C489="",0,LEN(C489)*10000+9511)</f>
        <v>0</v>
      </c>
      <c r="U489">
        <f>IF(LARGE($T$1:$T$900,489)=0,0,MATCH(LARGE($T$1:$T$900,489),$T$1:$T$900,0))</f>
        <v>0</v>
      </c>
      <c r="V489">
        <f t="shared" si="62"/>
      </c>
      <c r="W489">
        <f t="shared" si="63"/>
      </c>
    </row>
    <row r="490">
      <c r="C490">
        <f>IF(往来单位!$B$167="","",TRIM(往来单位!$B$167&amp;""))</f>
      </c>
      <c r="D490">
        <f>往来单位!$B$167&amp;""</f>
      </c>
      <c r="T490">
        <f>IF(C490="",0,LEN(C490)*10000+9510)</f>
        <v>0</v>
      </c>
      <c r="U490">
        <f>IF(LARGE($T$1:$T$900,490)=0,0,MATCH(LARGE($T$1:$T$900,490),$T$1:$T$900,0))</f>
        <v>0</v>
      </c>
      <c r="V490">
        <f t="shared" si="62"/>
      </c>
      <c r="W490">
        <f t="shared" si="63"/>
      </c>
    </row>
    <row r="491">
      <c r="C491">
        <f>IF(往来单位!$B$167="","",TRIM(往来单位!$D$167&amp;""))</f>
      </c>
      <c r="D491">
        <f>往来单位!$B$167&amp;""</f>
      </c>
      <c r="T491">
        <f>IF(C491="",0,LEN(C491)*10000+9509)</f>
        <v>0</v>
      </c>
      <c r="U491">
        <f>IF(LARGE($T$1:$T$900,491)=0,0,MATCH(LARGE($T$1:$T$900,491),$T$1:$T$900,0))</f>
        <v>0</v>
      </c>
      <c r="V491">
        <f t="shared" si="62"/>
      </c>
      <c r="W491">
        <f t="shared" si="63"/>
      </c>
    </row>
    <row r="492">
      <c r="C492">
        <f>IF(往来单位!$B$167="","",TRIM(往来单位!$E$167&amp;""))</f>
      </c>
      <c r="D492">
        <f>往来单位!$B$167&amp;""</f>
      </c>
      <c r="T492">
        <f>IF(C492="",0,LEN(C492)*10000+9508)</f>
        <v>0</v>
      </c>
      <c r="U492">
        <f>IF(LARGE($T$1:$T$900,492)=0,0,MATCH(LARGE($T$1:$T$900,492),$T$1:$T$900,0))</f>
        <v>0</v>
      </c>
      <c r="V492">
        <f t="shared" si="62"/>
      </c>
      <c r="W492">
        <f t="shared" si="63"/>
      </c>
    </row>
    <row r="493">
      <c r="C493">
        <f>IF(往来单位!$B$168="","",TRIM(往来单位!$B$168&amp;""))</f>
      </c>
      <c r="D493">
        <f>往来单位!$B$168&amp;""</f>
      </c>
      <c r="T493">
        <f>IF(C493="",0,LEN(C493)*10000+9507)</f>
        <v>0</v>
      </c>
      <c r="U493">
        <f>IF(LARGE($T$1:$T$900,493)=0,0,MATCH(LARGE($T$1:$T$900,493),$T$1:$T$900,0))</f>
        <v>0</v>
      </c>
      <c r="V493">
        <f t="shared" si="62"/>
      </c>
      <c r="W493">
        <f t="shared" si="63"/>
      </c>
    </row>
    <row r="494">
      <c r="C494">
        <f>IF(往来单位!$B$168="","",TRIM(往来单位!$D$168&amp;""))</f>
      </c>
      <c r="D494">
        <f>往来单位!$B$168&amp;""</f>
      </c>
      <c r="T494">
        <f>IF(C494="",0,LEN(C494)*10000+9506)</f>
        <v>0</v>
      </c>
      <c r="U494">
        <f>IF(LARGE($T$1:$T$900,494)=0,0,MATCH(LARGE($T$1:$T$900,494),$T$1:$T$900,0))</f>
        <v>0</v>
      </c>
      <c r="V494">
        <f t="shared" si="62"/>
      </c>
      <c r="W494">
        <f t="shared" si="63"/>
      </c>
    </row>
    <row r="495">
      <c r="C495">
        <f>IF(往来单位!$B$168="","",TRIM(往来单位!$E$168&amp;""))</f>
      </c>
      <c r="D495">
        <f>往来单位!$B$168&amp;""</f>
      </c>
      <c r="T495">
        <f>IF(C495="",0,LEN(C495)*10000+9505)</f>
        <v>0</v>
      </c>
      <c r="U495">
        <f>IF(LARGE($T$1:$T$900,495)=0,0,MATCH(LARGE($T$1:$T$900,495),$T$1:$T$900,0))</f>
        <v>0</v>
      </c>
      <c r="V495">
        <f t="shared" si="62"/>
      </c>
      <c r="W495">
        <f t="shared" si="63"/>
      </c>
    </row>
    <row r="496">
      <c r="C496">
        <f>IF(往来单位!$B$169="","",TRIM(往来单位!$B$169&amp;""))</f>
      </c>
      <c r="D496">
        <f>往来单位!$B$169&amp;""</f>
      </c>
      <c r="T496">
        <f>IF(C496="",0,LEN(C496)*10000+9504)</f>
        <v>0</v>
      </c>
      <c r="U496">
        <f>IF(LARGE($T$1:$T$900,496)=0,0,MATCH(LARGE($T$1:$T$900,496),$T$1:$T$900,0))</f>
        <v>0</v>
      </c>
      <c r="V496">
        <f t="shared" si="62"/>
      </c>
      <c r="W496">
        <f t="shared" si="63"/>
      </c>
    </row>
    <row r="497">
      <c r="C497">
        <f>IF(往来单位!$B$169="","",TRIM(往来单位!$D$169&amp;""))</f>
      </c>
      <c r="D497">
        <f>往来单位!$B$169&amp;""</f>
      </c>
      <c r="T497">
        <f>IF(C497="",0,LEN(C497)*10000+9503)</f>
        <v>0</v>
      </c>
      <c r="U497">
        <f>IF(LARGE($T$1:$T$900,497)=0,0,MATCH(LARGE($T$1:$T$900,497),$T$1:$T$900,0))</f>
        <v>0</v>
      </c>
      <c r="V497">
        <f t="shared" si="62"/>
      </c>
      <c r="W497">
        <f t="shared" si="63"/>
      </c>
    </row>
    <row r="498">
      <c r="C498">
        <f>IF(往来单位!$B$169="","",TRIM(往来单位!$E$169&amp;""))</f>
      </c>
      <c r="D498">
        <f>往来单位!$B$169&amp;""</f>
      </c>
      <c r="T498">
        <f>IF(C498="",0,LEN(C498)*10000+9502)</f>
        <v>0</v>
      </c>
      <c r="U498">
        <f>IF(LARGE($T$1:$T$900,498)=0,0,MATCH(LARGE($T$1:$T$900,498),$T$1:$T$900,0))</f>
        <v>0</v>
      </c>
      <c r="V498">
        <f t="shared" si="62"/>
      </c>
      <c r="W498">
        <f t="shared" si="63"/>
      </c>
    </row>
    <row r="499">
      <c r="C499">
        <f>IF(往来单位!$B$170="","",TRIM(往来单位!$B$170&amp;""))</f>
      </c>
      <c r="D499">
        <f>往来单位!$B$170&amp;""</f>
      </c>
      <c r="T499">
        <f>IF(C499="",0,LEN(C499)*10000+9501)</f>
        <v>0</v>
      </c>
      <c r="U499">
        <f>IF(LARGE($T$1:$T$900,499)=0,0,MATCH(LARGE($T$1:$T$900,499),$T$1:$T$900,0))</f>
        <v>0</v>
      </c>
      <c r="V499">
        <f t="shared" si="62"/>
      </c>
      <c r="W499">
        <f t="shared" si="63"/>
      </c>
    </row>
    <row r="500">
      <c r="C500">
        <f>IF(往来单位!$B$170="","",TRIM(往来单位!$D$170&amp;""))</f>
      </c>
      <c r="D500">
        <f>往来单位!$B$170&amp;""</f>
      </c>
      <c r="T500">
        <f>IF(C500="",0,LEN(C500)*10000+9500)</f>
        <v>0</v>
      </c>
      <c r="U500">
        <f>IF(LARGE($T$1:$T$900,500)=0,0,MATCH(LARGE($T$1:$T$900,500),$T$1:$T$900,0))</f>
        <v>0</v>
      </c>
      <c r="V500">
        <f t="shared" si="62"/>
      </c>
      <c r="W500">
        <f t="shared" si="63"/>
      </c>
    </row>
    <row r="501">
      <c r="C501">
        <f>IF(往来单位!$B$170="","",TRIM(往来单位!$E$170&amp;""))</f>
      </c>
      <c r="D501">
        <f>往来单位!$B$170&amp;""</f>
      </c>
      <c r="T501">
        <f>IF(C501="",0,LEN(C501)*10000+9499)</f>
        <v>0</v>
      </c>
      <c r="U501">
        <f>IF(LARGE($T$1:$T$900,501)=0,0,MATCH(LARGE($T$1:$T$900,501),$T$1:$T$900,0))</f>
        <v>0</v>
      </c>
      <c r="V501">
        <f t="shared" si="62"/>
      </c>
      <c r="W501">
        <f t="shared" si="63"/>
      </c>
    </row>
    <row r="502">
      <c r="C502">
        <f>IF(往来单位!$B$171="","",TRIM(往来单位!$B$171&amp;""))</f>
      </c>
      <c r="D502">
        <f>往来单位!$B$171&amp;""</f>
      </c>
      <c r="T502">
        <f>IF(C502="",0,LEN(C502)*10000+9498)</f>
        <v>0</v>
      </c>
      <c r="U502">
        <f>IF(LARGE($T$1:$T$900,502)=0,0,MATCH(LARGE($T$1:$T$900,502),$T$1:$T$900,0))</f>
        <v>0</v>
      </c>
      <c r="V502">
        <f t="shared" si="62"/>
      </c>
      <c r="W502">
        <f t="shared" si="63"/>
      </c>
    </row>
    <row r="503">
      <c r="C503">
        <f>IF(往来单位!$B$171="","",TRIM(往来单位!$D$171&amp;""))</f>
      </c>
      <c r="D503">
        <f>往来单位!$B$171&amp;""</f>
      </c>
      <c r="T503">
        <f>IF(C503="",0,LEN(C503)*10000+9497)</f>
        <v>0</v>
      </c>
      <c r="U503">
        <f>IF(LARGE($T$1:$T$900,503)=0,0,MATCH(LARGE($T$1:$T$900,503),$T$1:$T$900,0))</f>
        <v>0</v>
      </c>
      <c r="V503">
        <f t="shared" si="62"/>
      </c>
      <c r="W503">
        <f t="shared" si="63"/>
      </c>
    </row>
    <row r="504">
      <c r="C504">
        <f>IF(往来单位!$B$171="","",TRIM(往来单位!$E$171&amp;""))</f>
      </c>
      <c r="D504">
        <f>往来单位!$B$171&amp;""</f>
      </c>
      <c r="T504">
        <f>IF(C504="",0,LEN(C504)*10000+9496)</f>
        <v>0</v>
      </c>
      <c r="U504">
        <f>IF(LARGE($T$1:$T$900,504)=0,0,MATCH(LARGE($T$1:$T$900,504),$T$1:$T$900,0))</f>
        <v>0</v>
      </c>
      <c r="V504">
        <f t="shared" si="62"/>
      </c>
      <c r="W504">
        <f t="shared" si="63"/>
      </c>
    </row>
    <row r="505">
      <c r="C505">
        <f>IF(往来单位!$B$172="","",TRIM(往来单位!$B$172&amp;""))</f>
      </c>
      <c r="D505">
        <f>往来单位!$B$172&amp;""</f>
      </c>
      <c r="T505">
        <f>IF(C505="",0,LEN(C505)*10000+9495)</f>
        <v>0</v>
      </c>
      <c r="U505">
        <f>IF(LARGE($T$1:$T$900,505)=0,0,MATCH(LARGE($T$1:$T$900,505),$T$1:$T$900,0))</f>
        <v>0</v>
      </c>
      <c r="V505">
        <f t="shared" si="62"/>
      </c>
      <c r="W505">
        <f t="shared" si="63"/>
      </c>
    </row>
    <row r="506">
      <c r="C506">
        <f>IF(往来单位!$B$172="","",TRIM(往来单位!$D$172&amp;""))</f>
      </c>
      <c r="D506">
        <f>往来单位!$B$172&amp;""</f>
      </c>
      <c r="T506">
        <f>IF(C506="",0,LEN(C506)*10000+9494)</f>
        <v>0</v>
      </c>
      <c r="U506">
        <f>IF(LARGE($T$1:$T$900,506)=0,0,MATCH(LARGE($T$1:$T$900,506),$T$1:$T$900,0))</f>
        <v>0</v>
      </c>
      <c r="V506">
        <f t="shared" si="62"/>
      </c>
      <c r="W506">
        <f t="shared" si="63"/>
      </c>
    </row>
    <row r="507">
      <c r="C507">
        <f>IF(往来单位!$B$172="","",TRIM(往来单位!$E$172&amp;""))</f>
      </c>
      <c r="D507">
        <f>往来单位!$B$172&amp;""</f>
      </c>
      <c r="T507">
        <f>IF(C507="",0,LEN(C507)*10000+9493)</f>
        <v>0</v>
      </c>
      <c r="U507">
        <f>IF(LARGE($T$1:$T$900,507)=0,0,MATCH(LARGE($T$1:$T$900,507),$T$1:$T$900,0))</f>
        <v>0</v>
      </c>
      <c r="V507">
        <f t="shared" si="62"/>
      </c>
      <c r="W507">
        <f t="shared" si="63"/>
      </c>
    </row>
    <row r="508">
      <c r="C508">
        <f>IF(往来单位!$B$173="","",TRIM(往来单位!$B$173&amp;""))</f>
      </c>
      <c r="D508">
        <f>往来单位!$B$173&amp;""</f>
      </c>
      <c r="T508">
        <f>IF(C508="",0,LEN(C508)*10000+9492)</f>
        <v>0</v>
      </c>
      <c r="U508">
        <f>IF(LARGE($T$1:$T$900,508)=0,0,MATCH(LARGE($T$1:$T$900,508),$T$1:$T$900,0))</f>
        <v>0</v>
      </c>
      <c r="V508">
        <f t="shared" si="62"/>
      </c>
      <c r="W508">
        <f t="shared" si="63"/>
      </c>
    </row>
    <row r="509">
      <c r="C509">
        <f>IF(往来单位!$B$173="","",TRIM(往来单位!$D$173&amp;""))</f>
      </c>
      <c r="D509">
        <f>往来单位!$B$173&amp;""</f>
      </c>
      <c r="T509">
        <f>IF(C509="",0,LEN(C509)*10000+9491)</f>
        <v>0</v>
      </c>
      <c r="U509">
        <f>IF(LARGE($T$1:$T$900,509)=0,0,MATCH(LARGE($T$1:$T$900,509),$T$1:$T$900,0))</f>
        <v>0</v>
      </c>
      <c r="V509">
        <f t="shared" si="62"/>
      </c>
      <c r="W509">
        <f t="shared" si="63"/>
      </c>
    </row>
    <row r="510">
      <c r="C510">
        <f>IF(往来单位!$B$173="","",TRIM(往来单位!$E$173&amp;""))</f>
      </c>
      <c r="D510">
        <f>往来单位!$B$173&amp;""</f>
      </c>
      <c r="T510">
        <f>IF(C510="",0,LEN(C510)*10000+9490)</f>
        <v>0</v>
      </c>
      <c r="U510">
        <f>IF(LARGE($T$1:$T$900,510)=0,0,MATCH(LARGE($T$1:$T$900,510),$T$1:$T$900,0))</f>
        <v>0</v>
      </c>
      <c r="V510">
        <f t="shared" si="62"/>
      </c>
      <c r="W510">
        <f t="shared" si="63"/>
      </c>
    </row>
    <row r="511">
      <c r="C511">
        <f>IF(往来单位!$B$174="","",TRIM(往来单位!$B$174&amp;""))</f>
      </c>
      <c r="D511">
        <f>往来单位!$B$174&amp;""</f>
      </c>
      <c r="T511">
        <f>IF(C511="",0,LEN(C511)*10000+9489)</f>
        <v>0</v>
      </c>
      <c r="U511">
        <f>IF(LARGE($T$1:$T$900,511)=0,0,MATCH(LARGE($T$1:$T$900,511),$T$1:$T$900,0))</f>
        <v>0</v>
      </c>
      <c r="V511">
        <f t="shared" si="62"/>
      </c>
      <c r="W511">
        <f t="shared" si="63"/>
      </c>
    </row>
    <row r="512">
      <c r="C512">
        <f>IF(往来单位!$B$174="","",TRIM(往来单位!$D$174&amp;""))</f>
      </c>
      <c r="D512">
        <f>往来单位!$B$174&amp;""</f>
      </c>
      <c r="T512">
        <f>IF(C512="",0,LEN(C512)*10000+9488)</f>
        <v>0</v>
      </c>
      <c r="U512">
        <f>IF(LARGE($T$1:$T$900,512)=0,0,MATCH(LARGE($T$1:$T$900,512),$T$1:$T$900,0))</f>
        <v>0</v>
      </c>
      <c r="V512">
        <f t="shared" si="62"/>
      </c>
      <c r="W512">
        <f t="shared" si="63"/>
      </c>
    </row>
    <row r="513">
      <c r="C513">
        <f>IF(往来单位!$B$174="","",TRIM(往来单位!$E$174&amp;""))</f>
      </c>
      <c r="D513">
        <f>往来单位!$B$174&amp;""</f>
      </c>
      <c r="T513">
        <f>IF(C513="",0,LEN(C513)*10000+9487)</f>
        <v>0</v>
      </c>
      <c r="U513">
        <f>IF(LARGE($T$1:$T$900,513)=0,0,MATCH(LARGE($T$1:$T$900,513),$T$1:$T$900,0))</f>
        <v>0</v>
      </c>
      <c r="V513">
        <f t="shared" si="62"/>
      </c>
      <c r="W513">
        <f t="shared" si="63"/>
      </c>
    </row>
    <row r="514">
      <c r="C514">
        <f>IF(往来单位!$B$175="","",TRIM(往来单位!$B$175&amp;""))</f>
      </c>
      <c r="D514">
        <f>往来单位!$B$175&amp;""</f>
      </c>
      <c r="T514">
        <f>IF(C514="",0,LEN(C514)*10000+9486)</f>
        <v>0</v>
      </c>
      <c r="U514">
        <f>IF(LARGE($T$1:$T$900,514)=0,0,MATCH(LARGE($T$1:$T$900,514),$T$1:$T$900,0))</f>
        <v>0</v>
      </c>
      <c r="V514">
        <f t="shared" si="62"/>
      </c>
      <c r="W514">
        <f t="shared" si="63"/>
      </c>
    </row>
    <row r="515">
      <c r="C515">
        <f>IF(往来单位!$B$175="","",TRIM(往来单位!$D$175&amp;""))</f>
      </c>
      <c r="D515">
        <f>往来单位!$B$175&amp;""</f>
      </c>
      <c r="T515">
        <f>IF(C515="",0,LEN(C515)*10000+9485)</f>
        <v>0</v>
      </c>
      <c r="U515">
        <f>IF(LARGE($T$1:$T$900,515)=0,0,MATCH(LARGE($T$1:$T$900,515),$T$1:$T$900,0))</f>
        <v>0</v>
      </c>
      <c r="V515">
        <f t="shared" si="62"/>
      </c>
      <c r="W515">
        <f t="shared" si="63"/>
      </c>
    </row>
    <row r="516">
      <c r="C516">
        <f>IF(往来单位!$B$175="","",TRIM(往来单位!$E$175&amp;""))</f>
      </c>
      <c r="D516">
        <f>往来单位!$B$175&amp;""</f>
      </c>
      <c r="T516">
        <f>IF(C516="",0,LEN(C516)*10000+9484)</f>
        <v>0</v>
      </c>
      <c r="U516">
        <f>IF(LARGE($T$1:$T$900,516)=0,0,MATCH(LARGE($T$1:$T$900,516),$T$1:$T$900,0))</f>
        <v>0</v>
      </c>
      <c r="V516">
        <f t="shared" si="62"/>
      </c>
      <c r="W516">
        <f t="shared" si="63"/>
      </c>
    </row>
    <row r="517">
      <c r="C517">
        <f>IF(往来单位!$B$176="","",TRIM(往来单位!$B$176&amp;""))</f>
      </c>
      <c r="D517">
        <f>往来单位!$B$176&amp;""</f>
      </c>
      <c r="T517">
        <f>IF(C517="",0,LEN(C517)*10000+9483)</f>
        <v>0</v>
      </c>
      <c r="U517">
        <f>IF(LARGE($T$1:$T$900,517)=0,0,MATCH(LARGE($T$1:$T$900,517),$T$1:$T$900,0))</f>
        <v>0</v>
      </c>
      <c r="V517">
        <f t="shared" si="62"/>
      </c>
      <c r="W517">
        <f t="shared" si="63"/>
      </c>
    </row>
    <row r="518">
      <c r="C518">
        <f>IF(往来单位!$B$176="","",TRIM(往来单位!$D$176&amp;""))</f>
      </c>
      <c r="D518">
        <f>往来单位!$B$176&amp;""</f>
      </c>
      <c r="T518">
        <f>IF(C518="",0,LEN(C518)*10000+9482)</f>
        <v>0</v>
      </c>
      <c r="U518">
        <f>IF(LARGE($T$1:$T$900,518)=0,0,MATCH(LARGE($T$1:$T$900,518),$T$1:$T$900,0))</f>
        <v>0</v>
      </c>
      <c r="V518">
        <f t="shared" si="62"/>
      </c>
      <c r="W518">
        <f t="shared" si="63"/>
      </c>
    </row>
    <row r="519">
      <c r="C519">
        <f>IF(往来单位!$B$176="","",TRIM(往来单位!$E$176&amp;""))</f>
      </c>
      <c r="D519">
        <f>往来单位!$B$176&amp;""</f>
      </c>
      <c r="T519">
        <f>IF(C519="",0,LEN(C519)*10000+9481)</f>
        <v>0</v>
      </c>
      <c r="U519">
        <f>IF(LARGE($T$1:$T$900,519)=0,0,MATCH(LARGE($T$1:$T$900,519),$T$1:$T$900,0))</f>
        <v>0</v>
      </c>
      <c r="V519">
        <f t="shared" si="62"/>
      </c>
      <c r="W519">
        <f t="shared" si="63"/>
      </c>
    </row>
    <row r="520">
      <c r="C520">
        <f>IF(往来单位!$B$177="","",TRIM(往来单位!$B$177&amp;""))</f>
      </c>
      <c r="D520">
        <f>往来单位!$B$177&amp;""</f>
      </c>
      <c r="T520">
        <f>IF(C520="",0,LEN(C520)*10000+9480)</f>
        <v>0</v>
      </c>
      <c r="U520">
        <f>IF(LARGE($T$1:$T$900,520)=0,0,MATCH(LARGE($T$1:$T$900,520),$T$1:$T$900,0))</f>
        <v>0</v>
      </c>
      <c r="V520">
        <f t="shared" si="62"/>
      </c>
      <c r="W520">
        <f t="shared" si="63"/>
      </c>
    </row>
    <row r="521">
      <c r="C521">
        <f>IF(往来单位!$B$177="","",TRIM(往来单位!$D$177&amp;""))</f>
      </c>
      <c r="D521">
        <f>往来单位!$B$177&amp;""</f>
      </c>
      <c r="T521">
        <f>IF(C521="",0,LEN(C521)*10000+9479)</f>
        <v>0</v>
      </c>
      <c r="U521">
        <f>IF(LARGE($T$1:$T$900,521)=0,0,MATCH(LARGE($T$1:$T$900,521),$T$1:$T$900,0))</f>
        <v>0</v>
      </c>
      <c r="V521">
        <f t="shared" si="62"/>
      </c>
      <c r="W521">
        <f t="shared" si="63"/>
      </c>
    </row>
    <row r="522">
      <c r="C522">
        <f>IF(往来单位!$B$177="","",TRIM(往来单位!$E$177&amp;""))</f>
      </c>
      <c r="D522">
        <f>往来单位!$B$177&amp;""</f>
      </c>
      <c r="T522">
        <f>IF(C522="",0,LEN(C522)*10000+9478)</f>
        <v>0</v>
      </c>
      <c r="U522">
        <f>IF(LARGE($T$1:$T$900,522)=0,0,MATCH(LARGE($T$1:$T$900,522),$T$1:$T$900,0))</f>
        <v>0</v>
      </c>
      <c r="V522">
        <f t="shared" si="62"/>
      </c>
      <c r="W522">
        <f t="shared" si="63"/>
      </c>
    </row>
    <row r="523">
      <c r="C523">
        <f>IF(往来单位!$B$178="","",TRIM(往来单位!$B$178&amp;""))</f>
      </c>
      <c r="D523">
        <f>往来单位!$B$178&amp;""</f>
      </c>
      <c r="T523">
        <f>IF(C523="",0,LEN(C523)*10000+9477)</f>
        <v>0</v>
      </c>
      <c r="U523">
        <f>IF(LARGE($T$1:$T$900,523)=0,0,MATCH(LARGE($T$1:$T$900,523),$T$1:$T$900,0))</f>
        <v>0</v>
      </c>
      <c r="V523">
        <f t="shared" si="62"/>
      </c>
      <c r="W523">
        <f t="shared" si="63"/>
      </c>
    </row>
    <row r="524">
      <c r="C524">
        <f>IF(往来单位!$B$178="","",TRIM(往来单位!$D$178&amp;""))</f>
      </c>
      <c r="D524">
        <f>往来单位!$B$178&amp;""</f>
      </c>
      <c r="T524">
        <f>IF(C524="",0,LEN(C524)*10000+9476)</f>
        <v>0</v>
      </c>
      <c r="U524">
        <f>IF(LARGE($T$1:$T$900,524)=0,0,MATCH(LARGE($T$1:$T$900,524),$T$1:$T$900,0))</f>
        <v>0</v>
      </c>
      <c r="V524">
        <f t="shared" si="62"/>
      </c>
      <c r="W524">
        <f t="shared" si="63"/>
      </c>
    </row>
    <row r="525">
      <c r="C525">
        <f>IF(往来单位!$B$178="","",TRIM(往来单位!$E$178&amp;""))</f>
      </c>
      <c r="D525">
        <f>往来单位!$B$178&amp;""</f>
      </c>
      <c r="T525">
        <f>IF(C525="",0,LEN(C525)*10000+9475)</f>
        <v>0</v>
      </c>
      <c r="U525">
        <f>IF(LARGE($T$1:$T$900,525)=0,0,MATCH(LARGE($T$1:$T$900,525),$T$1:$T$900,0))</f>
        <v>0</v>
      </c>
      <c r="V525">
        <f t="shared" si="62"/>
      </c>
      <c r="W525">
        <f t="shared" si="63"/>
      </c>
    </row>
    <row r="526">
      <c r="C526">
        <f>IF(往来单位!$B$179="","",TRIM(往来单位!$B$179&amp;""))</f>
      </c>
      <c r="D526">
        <f>往来单位!$B$179&amp;""</f>
      </c>
      <c r="T526">
        <f>IF(C526="",0,LEN(C526)*10000+9474)</f>
        <v>0</v>
      </c>
      <c r="U526">
        <f>IF(LARGE($T$1:$T$900,526)=0,0,MATCH(LARGE($T$1:$T$900,526),$T$1:$T$900,0))</f>
        <v>0</v>
      </c>
      <c r="V526">
        <f t="shared" si="62"/>
      </c>
      <c r="W526">
        <f t="shared" si="63"/>
      </c>
    </row>
    <row r="527">
      <c r="C527">
        <f>IF(往来单位!$B$179="","",TRIM(往来单位!$D$179&amp;""))</f>
      </c>
      <c r="D527">
        <f>往来单位!$B$179&amp;""</f>
      </c>
      <c r="T527">
        <f>IF(C527="",0,LEN(C527)*10000+9473)</f>
        <v>0</v>
      </c>
      <c r="U527">
        <f>IF(LARGE($T$1:$T$900,527)=0,0,MATCH(LARGE($T$1:$T$900,527),$T$1:$T$900,0))</f>
        <v>0</v>
      </c>
      <c r="V527">
        <f t="shared" si="62"/>
      </c>
      <c r="W527">
        <f t="shared" si="63"/>
      </c>
    </row>
    <row r="528">
      <c r="C528">
        <f>IF(往来单位!$B$179="","",TRIM(往来单位!$E$179&amp;""))</f>
      </c>
      <c r="D528">
        <f>往来单位!$B$179&amp;""</f>
      </c>
      <c r="T528">
        <f>IF(C528="",0,LEN(C528)*10000+9472)</f>
        <v>0</v>
      </c>
      <c r="U528">
        <f>IF(LARGE($T$1:$T$900,528)=0,0,MATCH(LARGE($T$1:$T$900,528),$T$1:$T$900,0))</f>
        <v>0</v>
      </c>
      <c r="V528">
        <f t="shared" si="62"/>
      </c>
      <c r="W528">
        <f t="shared" si="63"/>
      </c>
    </row>
    <row r="529">
      <c r="C529">
        <f>IF(往来单位!$B$180="","",TRIM(往来单位!$B$180&amp;""))</f>
      </c>
      <c r="D529">
        <f>往来单位!$B$180&amp;""</f>
      </c>
      <c r="T529">
        <f>IF(C529="",0,LEN(C529)*10000+9471)</f>
        <v>0</v>
      </c>
      <c r="U529">
        <f>IF(LARGE($T$1:$T$900,529)=0,0,MATCH(LARGE($T$1:$T$900,529),$T$1:$T$900,0))</f>
        <v>0</v>
      </c>
      <c r="V529">
        <f t="shared" si="62"/>
      </c>
      <c r="W529">
        <f t="shared" si="63"/>
      </c>
    </row>
    <row r="530">
      <c r="C530">
        <f>IF(往来单位!$B$180="","",TRIM(往来单位!$D$180&amp;""))</f>
      </c>
      <c r="D530">
        <f>往来单位!$B$180&amp;""</f>
      </c>
      <c r="T530">
        <f>IF(C530="",0,LEN(C530)*10000+9470)</f>
        <v>0</v>
      </c>
      <c r="U530">
        <f>IF(LARGE($T$1:$T$900,530)=0,0,MATCH(LARGE($T$1:$T$900,530),$T$1:$T$900,0))</f>
        <v>0</v>
      </c>
      <c r="V530">
        <f t="shared" si="62"/>
      </c>
      <c r="W530">
        <f t="shared" si="63"/>
      </c>
    </row>
    <row r="531">
      <c r="C531">
        <f>IF(往来单位!$B$180="","",TRIM(往来单位!$E$180&amp;""))</f>
      </c>
      <c r="D531">
        <f>往来单位!$B$180&amp;""</f>
      </c>
      <c r="T531">
        <f>IF(C531="",0,LEN(C531)*10000+9469)</f>
        <v>0</v>
      </c>
      <c r="U531">
        <f>IF(LARGE($T$1:$T$900,531)=0,0,MATCH(LARGE($T$1:$T$900,531),$T$1:$T$900,0))</f>
        <v>0</v>
      </c>
      <c r="V531">
        <f t="shared" si="62"/>
      </c>
      <c r="W531">
        <f t="shared" si="63"/>
      </c>
    </row>
    <row r="532">
      <c r="C532">
        <f>IF(往来单位!$B$181="","",TRIM(往来单位!$B$181&amp;""))</f>
      </c>
      <c r="D532">
        <f>往来单位!$B$181&amp;""</f>
      </c>
      <c r="T532">
        <f>IF(C532="",0,LEN(C532)*10000+9468)</f>
        <v>0</v>
      </c>
      <c r="U532">
        <f>IF(LARGE($T$1:$T$900,532)=0,0,MATCH(LARGE($T$1:$T$900,532),$T$1:$T$900,0))</f>
        <v>0</v>
      </c>
      <c r="V532">
        <f t="shared" si="62"/>
      </c>
      <c r="W532">
        <f t="shared" si="63"/>
      </c>
    </row>
    <row r="533">
      <c r="C533">
        <f>IF(往来单位!$B$181="","",TRIM(往来单位!$D$181&amp;""))</f>
      </c>
      <c r="D533">
        <f>往来单位!$B$181&amp;""</f>
      </c>
      <c r="T533">
        <f>IF(C533="",0,LEN(C533)*10000+9467)</f>
        <v>0</v>
      </c>
      <c r="U533">
        <f>IF(LARGE($T$1:$T$900,533)=0,0,MATCH(LARGE($T$1:$T$900,533),$T$1:$T$900,0))</f>
        <v>0</v>
      </c>
      <c r="V533">
        <f t="shared" si="62"/>
      </c>
      <c r="W533">
        <f t="shared" si="63"/>
      </c>
    </row>
    <row r="534">
      <c r="C534">
        <f>IF(往来单位!$B$181="","",TRIM(往来单位!$E$181&amp;""))</f>
      </c>
      <c r="D534">
        <f>往来单位!$B$181&amp;""</f>
      </c>
      <c r="T534">
        <f>IF(C534="",0,LEN(C534)*10000+9466)</f>
        <v>0</v>
      </c>
      <c r="U534">
        <f>IF(LARGE($T$1:$T$900,534)=0,0,MATCH(LARGE($T$1:$T$900,534),$T$1:$T$900,0))</f>
        <v>0</v>
      </c>
      <c r="V534">
        <f t="shared" si="62"/>
      </c>
      <c r="W534">
        <f t="shared" si="63"/>
      </c>
    </row>
    <row r="535">
      <c r="C535">
        <f>IF(往来单位!$B$182="","",TRIM(往来单位!$B$182&amp;""))</f>
      </c>
      <c r="D535">
        <f>往来单位!$B$182&amp;""</f>
      </c>
      <c r="T535">
        <f>IF(C535="",0,LEN(C535)*10000+9465)</f>
        <v>0</v>
      </c>
      <c r="U535">
        <f>IF(LARGE($T$1:$T$900,535)=0,0,MATCH(LARGE($T$1:$T$900,535),$T$1:$T$900,0))</f>
        <v>0</v>
      </c>
      <c r="V535">
        <f t="shared" si="62"/>
      </c>
      <c r="W535">
        <f t="shared" si="63"/>
      </c>
    </row>
    <row r="536">
      <c r="C536">
        <f>IF(往来单位!$B$182="","",TRIM(往来单位!$D$182&amp;""))</f>
      </c>
      <c r="D536">
        <f>往来单位!$B$182&amp;""</f>
      </c>
      <c r="T536">
        <f>IF(C536="",0,LEN(C536)*10000+9464)</f>
        <v>0</v>
      </c>
      <c r="U536">
        <f>IF(LARGE($T$1:$T$900,536)=0,0,MATCH(LARGE($T$1:$T$900,536),$T$1:$T$900,0))</f>
        <v>0</v>
      </c>
      <c r="V536">
        <f t="shared" si="62"/>
      </c>
      <c r="W536">
        <f t="shared" si="63"/>
      </c>
    </row>
    <row r="537">
      <c r="C537">
        <f>IF(往来单位!$B$182="","",TRIM(往来单位!$E$182&amp;""))</f>
      </c>
      <c r="D537">
        <f>往来单位!$B$182&amp;""</f>
      </c>
      <c r="T537">
        <f>IF(C537="",0,LEN(C537)*10000+9463)</f>
        <v>0</v>
      </c>
      <c r="U537">
        <f>IF(LARGE($T$1:$T$900,537)=0,0,MATCH(LARGE($T$1:$T$900,537),$T$1:$T$900,0))</f>
        <v>0</v>
      </c>
      <c r="V537">
        <f t="shared" si="62"/>
      </c>
      <c r="W537">
        <f t="shared" si="63"/>
      </c>
    </row>
    <row r="538">
      <c r="C538">
        <f>IF(往来单位!$B$183="","",TRIM(往来单位!$B$183&amp;""))</f>
      </c>
      <c r="D538">
        <f>往来单位!$B$183&amp;""</f>
      </c>
      <c r="T538">
        <f>IF(C538="",0,LEN(C538)*10000+9462)</f>
        <v>0</v>
      </c>
      <c r="U538">
        <f>IF(LARGE($T$1:$T$900,538)=0,0,MATCH(LARGE($T$1:$T$900,538),$T$1:$T$900,0))</f>
        <v>0</v>
      </c>
      <c r="V538">
        <f t="shared" si="62"/>
      </c>
      <c r="W538">
        <f t="shared" si="63"/>
      </c>
    </row>
    <row r="539">
      <c r="C539">
        <f>IF(往来单位!$B$183="","",TRIM(往来单位!$D$183&amp;""))</f>
      </c>
      <c r="D539">
        <f>往来单位!$B$183&amp;""</f>
      </c>
      <c r="T539">
        <f>IF(C539="",0,LEN(C539)*10000+9461)</f>
        <v>0</v>
      </c>
      <c r="U539">
        <f>IF(LARGE($T$1:$T$900,539)=0,0,MATCH(LARGE($T$1:$T$900,539),$T$1:$T$900,0))</f>
        <v>0</v>
      </c>
      <c r="V539">
        <f t="shared" si="62"/>
      </c>
      <c r="W539">
        <f t="shared" si="63"/>
      </c>
    </row>
    <row r="540">
      <c r="C540">
        <f>IF(往来单位!$B$183="","",TRIM(往来单位!$E$183&amp;""))</f>
      </c>
      <c r="D540">
        <f>往来单位!$B$183&amp;""</f>
      </c>
      <c r="T540">
        <f>IF(C540="",0,LEN(C540)*10000+9460)</f>
        <v>0</v>
      </c>
      <c r="U540">
        <f>IF(LARGE($T$1:$T$900,540)=0,0,MATCH(LARGE($T$1:$T$900,540),$T$1:$T$900,0))</f>
        <v>0</v>
      </c>
      <c r="V540">
        <f t="shared" si="62"/>
      </c>
      <c r="W540">
        <f t="shared" si="63"/>
      </c>
    </row>
    <row r="541">
      <c r="C541">
        <f>IF(往来单位!$B$184="","",TRIM(往来单位!$B$184&amp;""))</f>
      </c>
      <c r="D541">
        <f>往来单位!$B$184&amp;""</f>
      </c>
      <c r="T541">
        <f>IF(C541="",0,LEN(C541)*10000+9459)</f>
        <v>0</v>
      </c>
      <c r="U541">
        <f>IF(LARGE($T$1:$T$900,541)=0,0,MATCH(LARGE($T$1:$T$900,541),$T$1:$T$900,0))</f>
        <v>0</v>
      </c>
      <c r="V541">
        <f t="shared" si="62"/>
      </c>
      <c r="W541">
        <f t="shared" si="63"/>
      </c>
    </row>
    <row r="542">
      <c r="C542">
        <f>IF(往来单位!$B$184="","",TRIM(往来单位!$D$184&amp;""))</f>
      </c>
      <c r="D542">
        <f>往来单位!$B$184&amp;""</f>
      </c>
      <c r="T542">
        <f>IF(C542="",0,LEN(C542)*10000+9458)</f>
        <v>0</v>
      </c>
      <c r="U542">
        <f>IF(LARGE($T$1:$T$900,542)=0,0,MATCH(LARGE($T$1:$T$900,542),$T$1:$T$900,0))</f>
        <v>0</v>
      </c>
      <c r="V542">
        <f t="shared" si="62"/>
      </c>
      <c r="W542">
        <f t="shared" si="63"/>
      </c>
    </row>
    <row r="543">
      <c r="C543">
        <f>IF(往来单位!$B$184="","",TRIM(往来单位!$E$184&amp;""))</f>
      </c>
      <c r="D543">
        <f>往来单位!$B$184&amp;""</f>
      </c>
      <c r="T543">
        <f>IF(C543="",0,LEN(C543)*10000+9457)</f>
        <v>0</v>
      </c>
      <c r="U543">
        <f>IF(LARGE($T$1:$T$900,543)=0,0,MATCH(LARGE($T$1:$T$900,543),$T$1:$T$900,0))</f>
        <v>0</v>
      </c>
      <c r="V543">
        <f t="shared" si="62"/>
      </c>
      <c r="W543">
        <f t="shared" si="63"/>
      </c>
    </row>
    <row r="544">
      <c r="C544">
        <f>IF(往来单位!$B$185="","",TRIM(往来单位!$B$185&amp;""))</f>
      </c>
      <c r="D544">
        <f>往来单位!$B$185&amp;""</f>
      </c>
      <c r="T544">
        <f>IF(C544="",0,LEN(C544)*10000+9456)</f>
        <v>0</v>
      </c>
      <c r="U544">
        <f>IF(LARGE($T$1:$T$900,544)=0,0,MATCH(LARGE($T$1:$T$900,544),$T$1:$T$900,0))</f>
        <v>0</v>
      </c>
      <c r="V544">
        <f t="shared" si="62"/>
      </c>
      <c r="W544">
        <f t="shared" si="63"/>
      </c>
    </row>
    <row r="545">
      <c r="C545">
        <f>IF(往来单位!$B$185="","",TRIM(往来单位!$D$185&amp;""))</f>
      </c>
      <c r="D545">
        <f>往来单位!$B$185&amp;""</f>
      </c>
      <c r="T545">
        <f>IF(C545="",0,LEN(C545)*10000+9455)</f>
        <v>0</v>
      </c>
      <c r="U545">
        <f>IF(LARGE($T$1:$T$900,545)=0,0,MATCH(LARGE($T$1:$T$900,545),$T$1:$T$900,0))</f>
        <v>0</v>
      </c>
      <c r="V545">
        <f t="shared" si="62"/>
      </c>
      <c r="W545">
        <f t="shared" si="63"/>
      </c>
    </row>
    <row r="546">
      <c r="C546">
        <f>IF(往来单位!$B$185="","",TRIM(往来单位!$E$185&amp;""))</f>
      </c>
      <c r="D546">
        <f>往来单位!$B$185&amp;""</f>
      </c>
      <c r="T546">
        <f>IF(C546="",0,LEN(C546)*10000+9454)</f>
        <v>0</v>
      </c>
      <c r="U546">
        <f>IF(LARGE($T$1:$T$900,546)=0,0,MATCH(LARGE($T$1:$T$900,546),$T$1:$T$900,0))</f>
        <v>0</v>
      </c>
      <c r="V546">
        <f t="shared" si="62"/>
      </c>
      <c r="W546">
        <f t="shared" si="63"/>
      </c>
    </row>
    <row r="547">
      <c r="C547">
        <f>IF(往来单位!$B$186="","",TRIM(往来单位!$B$186&amp;""))</f>
      </c>
      <c r="D547">
        <f>往来单位!$B$186&amp;""</f>
      </c>
      <c r="T547">
        <f>IF(C547="",0,LEN(C547)*10000+9453)</f>
        <v>0</v>
      </c>
      <c r="U547">
        <f>IF(LARGE($T$1:$T$900,547)=0,0,MATCH(LARGE($T$1:$T$900,547),$T$1:$T$900,0))</f>
        <v>0</v>
      </c>
      <c r="V547">
        <f t="shared" si="62"/>
      </c>
      <c r="W547">
        <f t="shared" si="63"/>
      </c>
    </row>
    <row r="548">
      <c r="C548">
        <f>IF(往来单位!$B$186="","",TRIM(往来单位!$D$186&amp;""))</f>
      </c>
      <c r="D548">
        <f>往来单位!$B$186&amp;""</f>
      </c>
      <c r="T548">
        <f>IF(C548="",0,LEN(C548)*10000+9452)</f>
        <v>0</v>
      </c>
      <c r="U548">
        <f>IF(LARGE($T$1:$T$900,548)=0,0,MATCH(LARGE($T$1:$T$900,548),$T$1:$T$900,0))</f>
        <v>0</v>
      </c>
      <c r="V548">
        <f t="shared" si="62"/>
      </c>
      <c r="W548">
        <f t="shared" si="63"/>
      </c>
    </row>
    <row r="549">
      <c r="C549">
        <f>IF(往来单位!$B$186="","",TRIM(往来单位!$E$186&amp;""))</f>
      </c>
      <c r="D549">
        <f>往来单位!$B$186&amp;""</f>
      </c>
      <c r="T549">
        <f>IF(C549="",0,LEN(C549)*10000+9451)</f>
        <v>0</v>
      </c>
      <c r="U549">
        <f>IF(LARGE($T$1:$T$900,549)=0,0,MATCH(LARGE($T$1:$T$900,549),$T$1:$T$900,0))</f>
        <v>0</v>
      </c>
      <c r="V549">
        <f t="shared" si="62"/>
      </c>
      <c r="W549">
        <f t="shared" si="63"/>
      </c>
    </row>
    <row r="550">
      <c r="C550">
        <f>IF(往来单位!$B$187="","",TRIM(往来单位!$B$187&amp;""))</f>
      </c>
      <c r="D550">
        <f>往来单位!$B$187&amp;""</f>
      </c>
      <c r="T550">
        <f>IF(C550="",0,LEN(C550)*10000+9450)</f>
        <v>0</v>
      </c>
      <c r="U550">
        <f>IF(LARGE($T$1:$T$900,550)=0,0,MATCH(LARGE($T$1:$T$900,550),$T$1:$T$900,0))</f>
        <v>0</v>
      </c>
      <c r="V550">
        <f t="shared" si="62"/>
      </c>
      <c r="W550">
        <f t="shared" si="63"/>
      </c>
    </row>
    <row r="551">
      <c r="C551">
        <f>IF(往来单位!$B$187="","",TRIM(往来单位!$D$187&amp;""))</f>
      </c>
      <c r="D551">
        <f>往来单位!$B$187&amp;""</f>
      </c>
      <c r="T551">
        <f>IF(C551="",0,LEN(C551)*10000+9449)</f>
        <v>0</v>
      </c>
      <c r="U551">
        <f>IF(LARGE($T$1:$T$900,551)=0,0,MATCH(LARGE($T$1:$T$900,551),$T$1:$T$900,0))</f>
        <v>0</v>
      </c>
      <c r="V551">
        <f t="shared" si="62"/>
      </c>
      <c r="W551">
        <f t="shared" si="63"/>
      </c>
    </row>
    <row r="552">
      <c r="C552">
        <f>IF(往来单位!$B$187="","",TRIM(往来单位!$E$187&amp;""))</f>
      </c>
      <c r="D552">
        <f>往来单位!$B$187&amp;""</f>
      </c>
      <c r="T552">
        <f>IF(C552="",0,LEN(C552)*10000+9448)</f>
        <v>0</v>
      </c>
      <c r="U552">
        <f>IF(LARGE($T$1:$T$900,552)=0,0,MATCH(LARGE($T$1:$T$900,552),$T$1:$T$900,0))</f>
        <v>0</v>
      </c>
      <c r="V552">
        <f t="shared" si="62"/>
      </c>
      <c r="W552">
        <f t="shared" si="63"/>
      </c>
    </row>
    <row r="553">
      <c r="C553">
        <f>IF(往来单位!$B$188="","",TRIM(往来单位!$B$188&amp;""))</f>
      </c>
      <c r="D553">
        <f>往来单位!$B$188&amp;""</f>
      </c>
      <c r="T553">
        <f>IF(C553="",0,LEN(C553)*10000+9447)</f>
        <v>0</v>
      </c>
      <c r="U553">
        <f>IF(LARGE($T$1:$T$900,553)=0,0,MATCH(LARGE($T$1:$T$900,553),$T$1:$T$900,0))</f>
        <v>0</v>
      </c>
      <c r="V553">
        <f t="shared" si="62"/>
      </c>
      <c r="W553">
        <f t="shared" si="63"/>
      </c>
    </row>
    <row r="554">
      <c r="C554">
        <f>IF(往来单位!$B$188="","",TRIM(往来单位!$D$188&amp;""))</f>
      </c>
      <c r="D554">
        <f>往来单位!$B$188&amp;""</f>
      </c>
      <c r="T554">
        <f>IF(C554="",0,LEN(C554)*10000+9446)</f>
        <v>0</v>
      </c>
      <c r="U554">
        <f>IF(LARGE($T$1:$T$900,554)=0,0,MATCH(LARGE($T$1:$T$900,554),$T$1:$T$900,0))</f>
        <v>0</v>
      </c>
      <c r="V554">
        <f t="shared" si="62"/>
      </c>
      <c r="W554">
        <f t="shared" si="63"/>
      </c>
    </row>
    <row r="555">
      <c r="C555">
        <f>IF(往来单位!$B$188="","",TRIM(往来单位!$E$188&amp;""))</f>
      </c>
      <c r="D555">
        <f>往来单位!$B$188&amp;""</f>
      </c>
      <c r="T555">
        <f>IF(C555="",0,LEN(C555)*10000+9445)</f>
        <v>0</v>
      </c>
      <c r="U555">
        <f>IF(LARGE($T$1:$T$900,555)=0,0,MATCH(LARGE($T$1:$T$900,555),$T$1:$T$900,0))</f>
        <v>0</v>
      </c>
      <c r="V555">
        <f t="shared" si="62"/>
      </c>
      <c r="W555">
        <f t="shared" si="63"/>
      </c>
    </row>
    <row r="556">
      <c r="C556">
        <f>IF(往来单位!$B$189="","",TRIM(往来单位!$B$189&amp;""))</f>
      </c>
      <c r="D556">
        <f>往来单位!$B$189&amp;""</f>
      </c>
      <c r="T556">
        <f>IF(C556="",0,LEN(C556)*10000+9444)</f>
        <v>0</v>
      </c>
      <c r="U556">
        <f>IF(LARGE($T$1:$T$900,556)=0,0,MATCH(LARGE($T$1:$T$900,556),$T$1:$T$900,0))</f>
        <v>0</v>
      </c>
      <c r="V556">
        <f t="shared" si="62"/>
      </c>
      <c r="W556">
        <f t="shared" si="63"/>
      </c>
    </row>
    <row r="557">
      <c r="C557">
        <f>IF(往来单位!$B$189="","",TRIM(往来单位!$D$189&amp;""))</f>
      </c>
      <c r="D557">
        <f>往来单位!$B$189&amp;""</f>
      </c>
      <c r="T557">
        <f>IF(C557="",0,LEN(C557)*10000+9443)</f>
        <v>0</v>
      </c>
      <c r="U557">
        <f>IF(LARGE($T$1:$T$900,557)=0,0,MATCH(LARGE($T$1:$T$900,557),$T$1:$T$900,0))</f>
        <v>0</v>
      </c>
      <c r="V557">
        <f t="shared" si="62"/>
      </c>
      <c r="W557">
        <f t="shared" si="63"/>
      </c>
    </row>
    <row r="558">
      <c r="C558">
        <f>IF(往来单位!$B$189="","",TRIM(往来单位!$E$189&amp;""))</f>
      </c>
      <c r="D558">
        <f>往来单位!$B$189&amp;""</f>
      </c>
      <c r="T558">
        <f>IF(C558="",0,LEN(C558)*10000+9442)</f>
        <v>0</v>
      </c>
      <c r="U558">
        <f>IF(LARGE($T$1:$T$900,558)=0,0,MATCH(LARGE($T$1:$T$900,558),$T$1:$T$900,0))</f>
        <v>0</v>
      </c>
      <c r="V558">
        <f t="shared" si="62"/>
      </c>
      <c r="W558">
        <f t="shared" si="63"/>
      </c>
    </row>
    <row r="559">
      <c r="C559">
        <f>IF(往来单位!$B$190="","",TRIM(往来单位!$B$190&amp;""))</f>
      </c>
      <c r="D559">
        <f>往来单位!$B$190&amp;""</f>
      </c>
      <c r="T559">
        <f>IF(C559="",0,LEN(C559)*10000+9441)</f>
        <v>0</v>
      </c>
      <c r="U559">
        <f>IF(LARGE($T$1:$T$900,559)=0,0,MATCH(LARGE($T$1:$T$900,559),$T$1:$T$900,0))</f>
        <v>0</v>
      </c>
      <c r="V559">
        <f t="shared" si="62"/>
      </c>
      <c r="W559">
        <f t="shared" si="63"/>
      </c>
    </row>
    <row r="560">
      <c r="C560">
        <f>IF(往来单位!$B$190="","",TRIM(往来单位!$D$190&amp;""))</f>
      </c>
      <c r="D560">
        <f>往来单位!$B$190&amp;""</f>
      </c>
      <c r="T560">
        <f>IF(C560="",0,LEN(C560)*10000+9440)</f>
        <v>0</v>
      </c>
      <c r="U560">
        <f>IF(LARGE($T$1:$T$900,560)=0,0,MATCH(LARGE($T$1:$T$900,560),$T$1:$T$900,0))</f>
        <v>0</v>
      </c>
      <c r="V560">
        <f t="shared" si="62"/>
      </c>
      <c r="W560">
        <f t="shared" si="63"/>
      </c>
    </row>
    <row r="561">
      <c r="C561">
        <f>IF(往来单位!$B$190="","",TRIM(往来单位!$E$190&amp;""))</f>
      </c>
      <c r="D561">
        <f>往来单位!$B$190&amp;""</f>
      </c>
      <c r="T561">
        <f>IF(C561="",0,LEN(C561)*10000+9439)</f>
        <v>0</v>
      </c>
      <c r="U561">
        <f>IF(LARGE($T$1:$T$900,561)=0,0,MATCH(LARGE($T$1:$T$900,561),$T$1:$T$900,0))</f>
        <v>0</v>
      </c>
      <c r="V561">
        <f t="shared" si="62"/>
      </c>
      <c r="W561">
        <f t="shared" si="63"/>
      </c>
    </row>
    <row r="562">
      <c r="C562">
        <f>IF(往来单位!$B$191="","",TRIM(往来单位!$B$191&amp;""))</f>
      </c>
      <c r="D562">
        <f>往来单位!$B$191&amp;""</f>
      </c>
      <c r="T562">
        <f>IF(C562="",0,LEN(C562)*10000+9438)</f>
        <v>0</v>
      </c>
      <c r="U562">
        <f>IF(LARGE($T$1:$T$900,562)=0,0,MATCH(LARGE($T$1:$T$900,562),$T$1:$T$900,0))</f>
        <v>0</v>
      </c>
      <c r="V562">
        <f t="shared" si="62"/>
      </c>
      <c r="W562">
        <f t="shared" si="63"/>
      </c>
    </row>
    <row r="563">
      <c r="C563">
        <f>IF(往来单位!$B$191="","",TRIM(往来单位!$D$191&amp;""))</f>
      </c>
      <c r="D563">
        <f>往来单位!$B$191&amp;""</f>
      </c>
      <c r="T563">
        <f>IF(C563="",0,LEN(C563)*10000+9437)</f>
        <v>0</v>
      </c>
      <c r="U563">
        <f>IF(LARGE($T$1:$T$900,563)=0,0,MATCH(LARGE($T$1:$T$900,563),$T$1:$T$900,0))</f>
        <v>0</v>
      </c>
      <c r="V563">
        <f t="shared" si="62"/>
      </c>
      <c r="W563">
        <f t="shared" si="63"/>
      </c>
    </row>
    <row r="564">
      <c r="C564">
        <f>IF(往来单位!$B$191="","",TRIM(往来单位!$E$191&amp;""))</f>
      </c>
      <c r="D564">
        <f>往来单位!$B$191&amp;""</f>
      </c>
      <c r="T564">
        <f>IF(C564="",0,LEN(C564)*10000+9436)</f>
        <v>0</v>
      </c>
      <c r="U564">
        <f>IF(LARGE($T$1:$T$900,564)=0,0,MATCH(LARGE($T$1:$T$900,564),$T$1:$T$900,0))</f>
        <v>0</v>
      </c>
      <c r="V564">
        <f t="shared" si="62"/>
      </c>
      <c r="W564">
        <f t="shared" si="63"/>
      </c>
    </row>
    <row r="565">
      <c r="C565">
        <f>IF(往来单位!$B$192="","",TRIM(往来单位!$B$192&amp;""))</f>
      </c>
      <c r="D565">
        <f>往来单位!$B$192&amp;""</f>
      </c>
      <c r="T565">
        <f>IF(C565="",0,LEN(C565)*10000+9435)</f>
        <v>0</v>
      </c>
      <c r="U565">
        <f>IF(LARGE($T$1:$T$900,565)=0,0,MATCH(LARGE($T$1:$T$900,565),$T$1:$T$900,0))</f>
        <v>0</v>
      </c>
      <c r="V565">
        <f t="shared" si="62"/>
      </c>
      <c r="W565">
        <f t="shared" si="63"/>
      </c>
    </row>
    <row r="566">
      <c r="C566">
        <f>IF(往来单位!$B$192="","",TRIM(往来单位!$D$192&amp;""))</f>
      </c>
      <c r="D566">
        <f>往来单位!$B$192&amp;""</f>
      </c>
      <c r="T566">
        <f>IF(C566="",0,LEN(C566)*10000+9434)</f>
        <v>0</v>
      </c>
      <c r="U566">
        <f>IF(LARGE($T$1:$T$900,566)=0,0,MATCH(LARGE($T$1:$T$900,566),$T$1:$T$900,0))</f>
        <v>0</v>
      </c>
      <c r="V566">
        <f t="shared" si="62"/>
      </c>
      <c r="W566">
        <f t="shared" si="63"/>
      </c>
    </row>
    <row r="567">
      <c r="C567">
        <f>IF(往来单位!$B$192="","",TRIM(往来单位!$E$192&amp;""))</f>
      </c>
      <c r="D567">
        <f>往来单位!$B$192&amp;""</f>
      </c>
      <c r="T567">
        <f>IF(C567="",0,LEN(C567)*10000+9433)</f>
        <v>0</v>
      </c>
      <c r="U567">
        <f>IF(LARGE($T$1:$T$900,567)=0,0,MATCH(LARGE($T$1:$T$900,567),$T$1:$T$900,0))</f>
        <v>0</v>
      </c>
      <c r="V567">
        <f t="shared" si="62"/>
      </c>
      <c r="W567">
        <f t="shared" si="63"/>
      </c>
    </row>
    <row r="568">
      <c r="C568">
        <f>IF(往来单位!$B$193="","",TRIM(往来单位!$B$193&amp;""))</f>
      </c>
      <c r="D568">
        <f>往来单位!$B$193&amp;""</f>
      </c>
      <c r="T568">
        <f>IF(C568="",0,LEN(C568)*10000+9432)</f>
        <v>0</v>
      </c>
      <c r="U568">
        <f>IF(LARGE($T$1:$T$900,568)=0,0,MATCH(LARGE($T$1:$T$900,568),$T$1:$T$900,0))</f>
        <v>0</v>
      </c>
      <c r="V568">
        <f t="shared" si="62"/>
      </c>
      <c r="W568">
        <f t="shared" si="63"/>
      </c>
    </row>
    <row r="569">
      <c r="C569">
        <f>IF(往来单位!$B$193="","",TRIM(往来单位!$D$193&amp;""))</f>
      </c>
      <c r="D569">
        <f>往来单位!$B$193&amp;""</f>
      </c>
      <c r="T569">
        <f>IF(C569="",0,LEN(C569)*10000+9431)</f>
        <v>0</v>
      </c>
      <c r="U569">
        <f>IF(LARGE($T$1:$T$900,569)=0,0,MATCH(LARGE($T$1:$T$900,569),$T$1:$T$900,0))</f>
        <v>0</v>
      </c>
      <c r="V569">
        <f t="shared" si="62"/>
      </c>
      <c r="W569">
        <f t="shared" si="63"/>
      </c>
    </row>
    <row r="570">
      <c r="C570">
        <f>IF(往来单位!$B$193="","",TRIM(往来单位!$E$193&amp;""))</f>
      </c>
      <c r="D570">
        <f>往来单位!$B$193&amp;""</f>
      </c>
      <c r="T570">
        <f>IF(C570="",0,LEN(C570)*10000+9430)</f>
        <v>0</v>
      </c>
      <c r="U570">
        <f>IF(LARGE($T$1:$T$900,570)=0,0,MATCH(LARGE($T$1:$T$900,570),$T$1:$T$900,0))</f>
        <v>0</v>
      </c>
      <c r="V570">
        <f t="shared" si="62"/>
      </c>
      <c r="W570">
        <f t="shared" si="63"/>
      </c>
    </row>
    <row r="571">
      <c r="C571">
        <f>IF(往来单位!$B$194="","",TRIM(往来单位!$B$194&amp;""))</f>
      </c>
      <c r="D571">
        <f>往来单位!$B$194&amp;""</f>
      </c>
      <c r="T571">
        <f>IF(C571="",0,LEN(C571)*10000+9429)</f>
        <v>0</v>
      </c>
      <c r="U571">
        <f>IF(LARGE($T$1:$T$900,571)=0,0,MATCH(LARGE($T$1:$T$900,571),$T$1:$T$900,0))</f>
        <v>0</v>
      </c>
      <c r="V571">
        <f t="shared" si="62"/>
      </c>
      <c r="W571">
        <f t="shared" si="63"/>
      </c>
    </row>
    <row r="572">
      <c r="C572">
        <f>IF(往来单位!$B$194="","",TRIM(往来单位!$D$194&amp;""))</f>
      </c>
      <c r="D572">
        <f>往来单位!$B$194&amp;""</f>
      </c>
      <c r="T572">
        <f>IF(C572="",0,LEN(C572)*10000+9428)</f>
        <v>0</v>
      </c>
      <c r="U572">
        <f>IF(LARGE($T$1:$T$900,572)=0,0,MATCH(LARGE($T$1:$T$900,572),$T$1:$T$900,0))</f>
        <v>0</v>
      </c>
      <c r="V572">
        <f t="shared" si="62"/>
      </c>
      <c r="W572">
        <f t="shared" si="63"/>
      </c>
    </row>
    <row r="573">
      <c r="C573">
        <f>IF(往来单位!$B$194="","",TRIM(往来单位!$E$194&amp;""))</f>
      </c>
      <c r="D573">
        <f>往来单位!$B$194&amp;""</f>
      </c>
      <c r="T573">
        <f>IF(C573="",0,LEN(C573)*10000+9427)</f>
        <v>0</v>
      </c>
      <c r="U573">
        <f>IF(LARGE($T$1:$T$900,573)=0,0,MATCH(LARGE($T$1:$T$900,573),$T$1:$T$900,0))</f>
        <v>0</v>
      </c>
      <c r="V573">
        <f t="shared" si="62"/>
      </c>
      <c r="W573">
        <f t="shared" si="63"/>
      </c>
    </row>
    <row r="574">
      <c r="C574">
        <f>IF(往来单位!$B$195="","",TRIM(往来单位!$B$195&amp;""))</f>
      </c>
      <c r="D574">
        <f>往来单位!$B$195&amp;""</f>
      </c>
      <c r="T574">
        <f>IF(C574="",0,LEN(C574)*10000+9426)</f>
        <v>0</v>
      </c>
      <c r="U574">
        <f>IF(LARGE($T$1:$T$900,574)=0,0,MATCH(LARGE($T$1:$T$900,574),$T$1:$T$900,0))</f>
        <v>0</v>
      </c>
      <c r="V574">
        <f t="shared" si="62"/>
      </c>
      <c r="W574">
        <f t="shared" si="63"/>
      </c>
    </row>
    <row r="575">
      <c r="C575">
        <f>IF(往来单位!$B$195="","",TRIM(往来单位!$D$195&amp;""))</f>
      </c>
      <c r="D575">
        <f>往来单位!$B$195&amp;""</f>
      </c>
      <c r="T575">
        <f>IF(C575="",0,LEN(C575)*10000+9425)</f>
        <v>0</v>
      </c>
      <c r="U575">
        <f>IF(LARGE($T$1:$T$900,575)=0,0,MATCH(LARGE($T$1:$T$900,575),$T$1:$T$900,0))</f>
        <v>0</v>
      </c>
      <c r="V575">
        <f t="shared" si="62"/>
      </c>
      <c r="W575">
        <f t="shared" si="63"/>
      </c>
    </row>
    <row r="576">
      <c r="C576">
        <f>IF(往来单位!$B$195="","",TRIM(往来单位!$E$195&amp;""))</f>
      </c>
      <c r="D576">
        <f>往来单位!$B$195&amp;""</f>
      </c>
      <c r="T576">
        <f>IF(C576="",0,LEN(C576)*10000+9424)</f>
        <v>0</v>
      </c>
      <c r="U576">
        <f>IF(LARGE($T$1:$T$900,576)=0,0,MATCH(LARGE($T$1:$T$900,576),$T$1:$T$900,0))</f>
        <v>0</v>
      </c>
      <c r="V576">
        <f t="shared" si="62"/>
      </c>
      <c r="W576">
        <f t="shared" si="63"/>
      </c>
    </row>
    <row r="577">
      <c r="C577">
        <f>IF(往来单位!$B$196="","",TRIM(往来单位!$B$196&amp;""))</f>
      </c>
      <c r="D577">
        <f>往来单位!$B$196&amp;""</f>
      </c>
      <c r="T577">
        <f>IF(C577="",0,LEN(C577)*10000+9423)</f>
        <v>0</v>
      </c>
      <c r="U577">
        <f>IF(LARGE($T$1:$T$900,577)=0,0,MATCH(LARGE($T$1:$T$900,577),$T$1:$T$900,0))</f>
        <v>0</v>
      </c>
      <c r="V577">
        <f t="shared" si="62"/>
      </c>
      <c r="W577">
        <f t="shared" si="63"/>
      </c>
    </row>
    <row r="578">
      <c r="C578">
        <f>IF(往来单位!$B$196="","",TRIM(往来单位!$D$196&amp;""))</f>
      </c>
      <c r="D578">
        <f>往来单位!$B$196&amp;""</f>
      </c>
      <c r="T578">
        <f>IF(C578="",0,LEN(C578)*10000+9422)</f>
        <v>0</v>
      </c>
      <c r="U578">
        <f>IF(LARGE($T$1:$T$900,578)=0,0,MATCH(LARGE($T$1:$T$900,578),$T$1:$T$900,0))</f>
        <v>0</v>
      </c>
      <c r="V578">
        <f t="shared" si="62"/>
      </c>
      <c r="W578">
        <f t="shared" si="63"/>
      </c>
    </row>
    <row r="579">
      <c r="C579">
        <f>IF(往来单位!$B$196="","",TRIM(往来单位!$E$196&amp;""))</f>
      </c>
      <c r="D579">
        <f>往来单位!$B$196&amp;""</f>
      </c>
      <c r="T579">
        <f>IF(C579="",0,LEN(C579)*10000+9421)</f>
        <v>0</v>
      </c>
      <c r="U579">
        <f>IF(LARGE($T$1:$T$900,579)=0,0,MATCH(LARGE($T$1:$T$900,579),$T$1:$T$900,0))</f>
        <v>0</v>
      </c>
      <c r="V579">
        <f t="shared" si="62"/>
      </c>
      <c r="W579">
        <f t="shared" si="63"/>
      </c>
    </row>
    <row r="580">
      <c r="C580">
        <f>IF(往来单位!$B$197="","",TRIM(往来单位!$B$197&amp;""))</f>
      </c>
      <c r="D580">
        <f>往来单位!$B$197&amp;""</f>
      </c>
      <c r="T580">
        <f>IF(C580="",0,LEN(C580)*10000+9420)</f>
        <v>0</v>
      </c>
      <c r="U580">
        <f>IF(LARGE($T$1:$T$900,580)=0,0,MATCH(LARGE($T$1:$T$900,580),$T$1:$T$900,0))</f>
        <v>0</v>
      </c>
      <c r="V580">
        <f t="shared" si="62"/>
      </c>
      <c r="W580">
        <f t="shared" si="63"/>
      </c>
    </row>
    <row r="581">
      <c r="C581">
        <f>IF(往来单位!$B$197="","",TRIM(往来单位!$D$197&amp;""))</f>
      </c>
      <c r="D581">
        <f>往来单位!$B$197&amp;""</f>
      </c>
      <c r="T581">
        <f>IF(C581="",0,LEN(C581)*10000+9419)</f>
        <v>0</v>
      </c>
      <c r="U581">
        <f>IF(LARGE($T$1:$T$900,581)=0,0,MATCH(LARGE($T$1:$T$900,581),$T$1:$T$900,0))</f>
        <v>0</v>
      </c>
      <c r="V581">
        <f t="shared" si="62"/>
      </c>
      <c r="W581">
        <f t="shared" si="63"/>
      </c>
    </row>
    <row r="582">
      <c r="C582">
        <f>IF(往来单位!$B$197="","",TRIM(往来单位!$E$197&amp;""))</f>
      </c>
      <c r="D582">
        <f>往来单位!$B$197&amp;""</f>
      </c>
      <c r="T582">
        <f>IF(C582="",0,LEN(C582)*10000+9418)</f>
        <v>0</v>
      </c>
      <c r="U582">
        <f>IF(LARGE($T$1:$T$900,582)=0,0,MATCH(LARGE($T$1:$T$900,582),$T$1:$T$900,0))</f>
        <v>0</v>
      </c>
      <c r="V582">
        <f t="shared" si="62"/>
      </c>
      <c r="W582">
        <f t="shared" si="63"/>
      </c>
    </row>
    <row r="583">
      <c r="C583">
        <f>IF(往来单位!$B$198="","",TRIM(往来单位!$B$198&amp;""))</f>
      </c>
      <c r="D583">
        <f>往来单位!$B$198&amp;""</f>
      </c>
      <c r="T583">
        <f>IF(C583="",0,LEN(C583)*10000+9417)</f>
        <v>0</v>
      </c>
      <c r="U583">
        <f>IF(LARGE($T$1:$T$900,583)=0,0,MATCH(LARGE($T$1:$T$900,583),$T$1:$T$900,0))</f>
        <v>0</v>
      </c>
      <c r="V583">
        <f t="shared" si="62"/>
      </c>
      <c r="W583">
        <f t="shared" si="63"/>
      </c>
    </row>
    <row r="584">
      <c r="C584">
        <f>IF(往来单位!$B$198="","",TRIM(往来单位!$D$198&amp;""))</f>
      </c>
      <c r="D584">
        <f>往来单位!$B$198&amp;""</f>
      </c>
      <c r="T584">
        <f>IF(C584="",0,LEN(C584)*10000+9416)</f>
        <v>0</v>
      </c>
      <c r="U584">
        <f>IF(LARGE($T$1:$T$900,584)=0,0,MATCH(LARGE($T$1:$T$900,584),$T$1:$T$900,0))</f>
        <v>0</v>
      </c>
      <c r="V584">
        <f t="shared" si="62"/>
      </c>
      <c r="W584">
        <f t="shared" si="63"/>
      </c>
    </row>
    <row r="585">
      <c r="C585">
        <f>IF(往来单位!$B$198="","",TRIM(往来单位!$E$198&amp;""))</f>
      </c>
      <c r="D585">
        <f>往来单位!$B$198&amp;""</f>
      </c>
      <c r="T585">
        <f>IF(C585="",0,LEN(C585)*10000+9415)</f>
        <v>0</v>
      </c>
      <c r="U585">
        <f>IF(LARGE($T$1:$T$900,585)=0,0,MATCH(LARGE($T$1:$T$900,585),$T$1:$T$900,0))</f>
        <v>0</v>
      </c>
      <c r="V585">
        <f t="shared" si="62"/>
      </c>
      <c r="W585">
        <f t="shared" si="63"/>
      </c>
    </row>
    <row r="586">
      <c r="C586">
        <f>IF(往来单位!$B$199="","",TRIM(往来单位!$B$199&amp;""))</f>
      </c>
      <c r="D586">
        <f>往来单位!$B$199&amp;""</f>
      </c>
      <c r="T586">
        <f>IF(C586="",0,LEN(C586)*10000+9414)</f>
        <v>0</v>
      </c>
      <c r="U586">
        <f>IF(LARGE($T$1:$T$900,586)=0,0,MATCH(LARGE($T$1:$T$900,586),$T$1:$T$900,0))</f>
        <v>0</v>
      </c>
      <c r="V586">
        <f t="shared" si="62"/>
      </c>
      <c r="W586">
        <f t="shared" si="63"/>
      </c>
    </row>
    <row r="587">
      <c r="C587">
        <f>IF(往来单位!$B$199="","",TRIM(往来单位!$D$199&amp;""))</f>
      </c>
      <c r="D587">
        <f>往来单位!$B$199&amp;""</f>
      </c>
      <c r="T587">
        <f>IF(C587="",0,LEN(C587)*10000+9413)</f>
        <v>0</v>
      </c>
      <c r="U587">
        <f>IF(LARGE($T$1:$T$900,587)=0,0,MATCH(LARGE($T$1:$T$900,587),$T$1:$T$900,0))</f>
        <v>0</v>
      </c>
      <c r="V587">
        <f t="shared" si="62"/>
      </c>
      <c r="W587">
        <f t="shared" si="63"/>
      </c>
    </row>
    <row r="588">
      <c r="C588">
        <f>IF(往来单位!$B$199="","",TRIM(往来单位!$E$199&amp;""))</f>
      </c>
      <c r="D588">
        <f>往来单位!$B$199&amp;""</f>
      </c>
      <c r="T588">
        <f>IF(C588="",0,LEN(C588)*10000+9412)</f>
        <v>0</v>
      </c>
      <c r="U588">
        <f>IF(LARGE($T$1:$T$900,588)=0,0,MATCH(LARGE($T$1:$T$900,588),$T$1:$T$900,0))</f>
        <v>0</v>
      </c>
      <c r="V588">
        <f t="shared" si="62"/>
      </c>
      <c r="W588">
        <f t="shared" si="63"/>
      </c>
    </row>
    <row r="589">
      <c r="C589">
        <f>IF(往来单位!$B$200="","",TRIM(往来单位!$B$200&amp;""))</f>
      </c>
      <c r="D589">
        <f>往来单位!$B$200&amp;""</f>
      </c>
      <c r="T589">
        <f>IF(C589="",0,LEN(C589)*10000+9411)</f>
        <v>0</v>
      </c>
      <c r="U589">
        <f>IF(LARGE($T$1:$T$900,589)=0,0,MATCH(LARGE($T$1:$T$900,589),$T$1:$T$900,0))</f>
        <v>0</v>
      </c>
      <c r="V589">
        <f t="shared" si="62"/>
      </c>
      <c r="W589">
        <f t="shared" si="63"/>
      </c>
    </row>
    <row r="590">
      <c r="C590">
        <f>IF(往来单位!$B$200="","",TRIM(往来单位!$D$200&amp;""))</f>
      </c>
      <c r="D590">
        <f>往来单位!$B$200&amp;""</f>
      </c>
      <c r="T590">
        <f>IF(C590="",0,LEN(C590)*10000+9410)</f>
        <v>0</v>
      </c>
      <c r="U590">
        <f>IF(LARGE($T$1:$T$900,590)=0,0,MATCH(LARGE($T$1:$T$900,590),$T$1:$T$900,0))</f>
        <v>0</v>
      </c>
      <c r="V590">
        <f t="shared" si="62"/>
      </c>
      <c r="W590">
        <f t="shared" si="63"/>
      </c>
    </row>
    <row r="591">
      <c r="C591">
        <f>IF(往来单位!$B$200="","",TRIM(往来单位!$E$200&amp;""))</f>
      </c>
      <c r="D591">
        <f>往来单位!$B$200&amp;""</f>
      </c>
      <c r="T591">
        <f>IF(C591="",0,LEN(C591)*10000+9409)</f>
        <v>0</v>
      </c>
      <c r="U591">
        <f>IF(LARGE($T$1:$T$900,591)=0,0,MATCH(LARGE($T$1:$T$900,591),$T$1:$T$900,0))</f>
        <v>0</v>
      </c>
      <c r="V591">
        <f t="shared" si="62"/>
      </c>
      <c r="W591">
        <f t="shared" si="63"/>
      </c>
    </row>
    <row r="592">
      <c r="C592">
        <f>IF(往来单位!$B$201="","",TRIM(往来单位!$B$201&amp;""))</f>
      </c>
      <c r="D592">
        <f>往来单位!$B$201&amp;""</f>
      </c>
      <c r="T592">
        <f>IF(C592="",0,LEN(C592)*10000+9408)</f>
        <v>0</v>
      </c>
      <c r="U592">
        <f>IF(LARGE($T$1:$T$900,592)=0,0,MATCH(LARGE($T$1:$T$900,592),$T$1:$T$900,0))</f>
        <v>0</v>
      </c>
      <c r="V592">
        <f t="shared" si="62"/>
      </c>
      <c r="W592">
        <f t="shared" si="63"/>
      </c>
    </row>
    <row r="593">
      <c r="C593">
        <f>IF(往来单位!$B$201="","",TRIM(往来单位!$D$201&amp;""))</f>
      </c>
      <c r="D593">
        <f>往来单位!$B$201&amp;""</f>
      </c>
      <c r="T593">
        <f>IF(C593="",0,LEN(C593)*10000+9407)</f>
        <v>0</v>
      </c>
      <c r="U593">
        <f>IF(LARGE($T$1:$T$900,593)=0,0,MATCH(LARGE($T$1:$T$900,593),$T$1:$T$900,0))</f>
        <v>0</v>
      </c>
      <c r="V593">
        <f t="shared" si="62"/>
      </c>
      <c r="W593">
        <f t="shared" si="63"/>
      </c>
    </row>
    <row r="594">
      <c r="C594">
        <f>IF(往来单位!$B$201="","",TRIM(往来单位!$E$201&amp;""))</f>
      </c>
      <c r="D594">
        <f>往来单位!$B$201&amp;""</f>
      </c>
      <c r="T594">
        <f>IF(C594="",0,LEN(C594)*10000+9406)</f>
        <v>0</v>
      </c>
      <c r="U594">
        <f>IF(LARGE($T$1:$T$900,594)=0,0,MATCH(LARGE($T$1:$T$900,594),$T$1:$T$900,0))</f>
        <v>0</v>
      </c>
      <c r="V594">
        <f t="shared" si="62"/>
      </c>
      <c r="W594">
        <f t="shared" si="63"/>
      </c>
    </row>
    <row r="595">
      <c r="C595">
        <f>IF(往来单位!$B$202="","",TRIM(往来单位!$B$202&amp;""))</f>
      </c>
      <c r="D595">
        <f>往来单位!$B$202&amp;""</f>
      </c>
      <c r="T595">
        <f>IF(C595="",0,LEN(C595)*10000+9405)</f>
        <v>0</v>
      </c>
      <c r="U595">
        <f>IF(LARGE($T$1:$T$900,595)=0,0,MATCH(LARGE($T$1:$T$900,595),$T$1:$T$900,0))</f>
        <v>0</v>
      </c>
      <c r="V595">
        <f t="shared" si="62"/>
      </c>
      <c r="W595">
        <f t="shared" si="63"/>
      </c>
    </row>
    <row r="596">
      <c r="C596">
        <f>IF(往来单位!$B$202="","",TRIM(往来单位!$D$202&amp;""))</f>
      </c>
      <c r="D596">
        <f>往来单位!$B$202&amp;""</f>
      </c>
      <c r="T596">
        <f>IF(C596="",0,LEN(C596)*10000+9404)</f>
        <v>0</v>
      </c>
      <c r="U596">
        <f>IF(LARGE($T$1:$T$900,596)=0,0,MATCH(LARGE($T$1:$T$900,596),$T$1:$T$900,0))</f>
        <v>0</v>
      </c>
      <c r="V596">
        <f t="shared" si="62"/>
      </c>
      <c r="W596">
        <f t="shared" si="63"/>
      </c>
    </row>
    <row r="597">
      <c r="C597">
        <f>IF(往来单位!$B$202="","",TRIM(往来单位!$E$202&amp;""))</f>
      </c>
      <c r="D597">
        <f>往来单位!$B$202&amp;""</f>
      </c>
      <c r="T597">
        <f>IF(C597="",0,LEN(C597)*10000+9403)</f>
        <v>0</v>
      </c>
      <c r="U597">
        <f>IF(LARGE($T$1:$T$900,597)=0,0,MATCH(LARGE($T$1:$T$900,597),$T$1:$T$900,0))</f>
        <v>0</v>
      </c>
      <c r="V597">
        <f t="shared" si="62"/>
      </c>
      <c r="W597">
        <f t="shared" si="63"/>
      </c>
    </row>
    <row r="598">
      <c r="C598">
        <f>IF(往来单位!$B$203="","",TRIM(往来单位!$B$203&amp;""))</f>
      </c>
      <c r="D598">
        <f>往来单位!$B$203&amp;""</f>
      </c>
      <c r="T598">
        <f>IF(C598="",0,LEN(C598)*10000+9402)</f>
        <v>0</v>
      </c>
      <c r="U598">
        <f>IF(LARGE($T$1:$T$900,598)=0,0,MATCH(LARGE($T$1:$T$900,598),$T$1:$T$900,0))</f>
        <v>0</v>
      </c>
      <c r="V598">
        <f t="shared" si="62"/>
      </c>
      <c r="W598">
        <f t="shared" si="63"/>
      </c>
    </row>
    <row r="599">
      <c r="C599">
        <f>IF(往来单位!$B$203="","",TRIM(往来单位!$D$203&amp;""))</f>
      </c>
      <c r="D599">
        <f>往来单位!$B$203&amp;""</f>
      </c>
      <c r="T599">
        <f>IF(C599="",0,LEN(C599)*10000+9401)</f>
        <v>0</v>
      </c>
      <c r="U599">
        <f>IF(LARGE($T$1:$T$900,599)=0,0,MATCH(LARGE($T$1:$T$900,599),$T$1:$T$900,0))</f>
        <v>0</v>
      </c>
      <c r="V599">
        <f t="shared" si="62"/>
      </c>
      <c r="W599">
        <f t="shared" si="63"/>
      </c>
    </row>
    <row r="600">
      <c r="C600">
        <f>IF(往来单位!$B$203="","",TRIM(往来单位!$E$203&amp;""))</f>
      </c>
      <c r="D600">
        <f>往来单位!$B$203&amp;""</f>
      </c>
      <c r="T600">
        <f>IF(C600="",0,LEN(C600)*10000+9400)</f>
        <v>0</v>
      </c>
      <c r="U600">
        <f>IF(LARGE($T$1:$T$900,600)=0,0,MATCH(LARGE($T$1:$T$900,600),$T$1:$T$900,0))</f>
        <v>0</v>
      </c>
      <c r="V600">
        <f t="shared" si="62"/>
      </c>
      <c r="W600">
        <f t="shared" si="63"/>
      </c>
    </row>
    <row r="601">
      <c r="C601">
        <f>IF(往来单位!$B$204="","",TRIM(往来单位!$B$204&amp;""))</f>
      </c>
      <c r="D601">
        <f>往来单位!$B$204&amp;""</f>
      </c>
      <c r="T601">
        <f>IF(C601="",0,LEN(C601)*10000+9399)</f>
        <v>0</v>
      </c>
      <c r="U601">
        <f>IF(LARGE($T$1:$T$900,601)=0,0,MATCH(LARGE($T$1:$T$900,601),$T$1:$T$900,0))</f>
        <v>0</v>
      </c>
      <c r="V601">
        <f t="shared" si="62"/>
      </c>
      <c r="W601">
        <f t="shared" si="63"/>
      </c>
    </row>
    <row r="602">
      <c r="C602">
        <f>IF(往来单位!$B$204="","",TRIM(往来单位!$D$204&amp;""))</f>
      </c>
      <c r="D602">
        <f>往来单位!$B$204&amp;""</f>
      </c>
      <c r="T602">
        <f>IF(C602="",0,LEN(C602)*10000+9398)</f>
        <v>0</v>
      </c>
      <c r="U602">
        <f>IF(LARGE($T$1:$T$900,602)=0,0,MATCH(LARGE($T$1:$T$900,602),$T$1:$T$900,0))</f>
        <v>0</v>
      </c>
      <c r="V602">
        <f t="shared" si="62"/>
      </c>
      <c r="W602">
        <f t="shared" si="63"/>
      </c>
    </row>
    <row r="603">
      <c r="C603">
        <f>IF(往来单位!$B$204="","",TRIM(往来单位!$E$204&amp;""))</f>
      </c>
      <c r="D603">
        <f>往来单位!$B$204&amp;""</f>
      </c>
      <c r="T603">
        <f>IF(C603="",0,LEN(C603)*10000+9397)</f>
        <v>0</v>
      </c>
      <c r="U603">
        <f>IF(LARGE($T$1:$T$900,603)=0,0,MATCH(LARGE($T$1:$T$900,603),$T$1:$T$900,0))</f>
        <v>0</v>
      </c>
      <c r="V603">
        <f t="shared" si="62"/>
      </c>
      <c r="W603">
        <f t="shared" si="63"/>
      </c>
    </row>
    <row r="604">
      <c r="C604">
        <f>IF(往来单位!$B$205="","",TRIM(往来单位!$B$205&amp;""))</f>
      </c>
      <c r="D604">
        <f>往来单位!$B$205&amp;""</f>
      </c>
      <c r="T604">
        <f>IF(C604="",0,LEN(C604)*10000+9396)</f>
        <v>0</v>
      </c>
      <c r="U604">
        <f>IF(LARGE($T$1:$T$900,604)=0,0,MATCH(LARGE($T$1:$T$900,604),$T$1:$T$900,0))</f>
        <v>0</v>
      </c>
      <c r="V604">
        <f t="shared" si="62"/>
      </c>
      <c r="W604">
        <f t="shared" si="63"/>
      </c>
    </row>
    <row r="605">
      <c r="C605">
        <f>IF(往来单位!$B$205="","",TRIM(往来单位!$D$205&amp;""))</f>
      </c>
      <c r="D605">
        <f>往来单位!$B$205&amp;""</f>
      </c>
      <c r="T605">
        <f>IF(C605="",0,LEN(C605)*10000+9395)</f>
        <v>0</v>
      </c>
      <c r="U605">
        <f>IF(LARGE($T$1:$T$900,605)=0,0,MATCH(LARGE($T$1:$T$900,605),$T$1:$T$900,0))</f>
        <v>0</v>
      </c>
      <c r="V605">
        <f t="shared" si="62"/>
      </c>
      <c r="W605">
        <f t="shared" si="63"/>
      </c>
    </row>
    <row r="606">
      <c r="C606">
        <f>IF(往来单位!$B$205="","",TRIM(往来单位!$E$205&amp;""))</f>
      </c>
      <c r="D606">
        <f>往来单位!$B$205&amp;""</f>
      </c>
      <c r="T606">
        <f>IF(C606="",0,LEN(C606)*10000+9394)</f>
        <v>0</v>
      </c>
      <c r="U606">
        <f>IF(LARGE($T$1:$T$900,606)=0,0,MATCH(LARGE($T$1:$T$900,606),$T$1:$T$900,0))</f>
        <v>0</v>
      </c>
      <c r="V606">
        <f t="shared" si="62"/>
      </c>
      <c r="W606">
        <f t="shared" si="63"/>
      </c>
    </row>
    <row r="607">
      <c r="C607">
        <f>IF(往来单位!$B$206="","",TRIM(往来单位!$B$206&amp;""))</f>
      </c>
      <c r="D607">
        <f>往来单位!$B$206&amp;""</f>
      </c>
      <c r="T607">
        <f>IF(C607="",0,LEN(C607)*10000+9393)</f>
        <v>0</v>
      </c>
      <c r="U607">
        <f>IF(LARGE($T$1:$T$900,607)=0,0,MATCH(LARGE($T$1:$T$900,607),$T$1:$T$900,0))</f>
        <v>0</v>
      </c>
      <c r="V607">
        <f t="shared" si="62"/>
      </c>
      <c r="W607">
        <f t="shared" si="63"/>
      </c>
    </row>
    <row r="608">
      <c r="C608">
        <f>IF(往来单位!$B$206="","",TRIM(往来单位!$D$206&amp;""))</f>
      </c>
      <c r="D608">
        <f>往来单位!$B$206&amp;""</f>
      </c>
      <c r="T608">
        <f>IF(C608="",0,LEN(C608)*10000+9392)</f>
        <v>0</v>
      </c>
      <c r="U608">
        <f>IF(LARGE($T$1:$T$900,608)=0,0,MATCH(LARGE($T$1:$T$900,608),$T$1:$T$900,0))</f>
        <v>0</v>
      </c>
      <c r="V608">
        <f t="shared" si="62"/>
      </c>
      <c r="W608">
        <f t="shared" si="63"/>
      </c>
    </row>
    <row r="609">
      <c r="C609">
        <f>IF(往来单位!$B$206="","",TRIM(往来单位!$E$206&amp;""))</f>
      </c>
      <c r="D609">
        <f>往来单位!$B$206&amp;""</f>
      </c>
      <c r="T609">
        <f>IF(C609="",0,LEN(C609)*10000+9391)</f>
        <v>0</v>
      </c>
      <c r="U609">
        <f>IF(LARGE($T$1:$T$900,609)=0,0,MATCH(LARGE($T$1:$T$900,609),$T$1:$T$900,0))</f>
        <v>0</v>
      </c>
      <c r="V609">
        <f t="shared" si="62"/>
      </c>
      <c r="W609">
        <f t="shared" si="63"/>
      </c>
    </row>
    <row r="610">
      <c r="C610">
        <f>IF(往来单位!$B$207="","",TRIM(往来单位!$B$207&amp;""))</f>
      </c>
      <c r="D610">
        <f>往来单位!$B$207&amp;""</f>
      </c>
      <c r="T610">
        <f>IF(C610="",0,LEN(C610)*10000+9390)</f>
        <v>0</v>
      </c>
      <c r="U610">
        <f>IF(LARGE($T$1:$T$900,610)=0,0,MATCH(LARGE($T$1:$T$900,610),$T$1:$T$900,0))</f>
        <v>0</v>
      </c>
      <c r="V610">
        <f t="shared" si="62"/>
      </c>
      <c r="W610">
        <f t="shared" si="63"/>
      </c>
    </row>
    <row r="611">
      <c r="C611">
        <f>IF(往来单位!$B$207="","",TRIM(往来单位!$D$207&amp;""))</f>
      </c>
      <c r="D611">
        <f>往来单位!$B$207&amp;""</f>
      </c>
      <c r="T611">
        <f>IF(C611="",0,LEN(C611)*10000+9389)</f>
        <v>0</v>
      </c>
      <c r="U611">
        <f>IF(LARGE($T$1:$T$900,611)=0,0,MATCH(LARGE($T$1:$T$900,611),$T$1:$T$900,0))</f>
        <v>0</v>
      </c>
      <c r="V611">
        <f t="shared" si="62"/>
      </c>
      <c r="W611">
        <f t="shared" si="63"/>
      </c>
    </row>
    <row r="612">
      <c r="C612">
        <f>IF(往来单位!$B$207="","",TRIM(往来单位!$E$207&amp;""))</f>
      </c>
      <c r="D612">
        <f>往来单位!$B$207&amp;""</f>
      </c>
      <c r="T612">
        <f>IF(C612="",0,LEN(C612)*10000+9388)</f>
        <v>0</v>
      </c>
      <c r="U612">
        <f>IF(LARGE($T$1:$T$900,612)=0,0,MATCH(LARGE($T$1:$T$900,612),$T$1:$T$900,0))</f>
        <v>0</v>
      </c>
      <c r="V612">
        <f t="shared" si="62"/>
      </c>
      <c r="W612">
        <f t="shared" si="63"/>
      </c>
    </row>
    <row r="613">
      <c r="C613">
        <f>IF(往来单位!$B$208="","",TRIM(往来单位!$B$208&amp;""))</f>
      </c>
      <c r="D613">
        <f>往来单位!$B$208&amp;""</f>
      </c>
      <c r="T613">
        <f>IF(C613="",0,LEN(C613)*10000+9387)</f>
        <v>0</v>
      </c>
      <c r="U613">
        <f>IF(LARGE($T$1:$T$900,613)=0,0,MATCH(LARGE($T$1:$T$900,613),$T$1:$T$900,0))</f>
        <v>0</v>
      </c>
      <c r="V613">
        <f t="shared" si="62"/>
      </c>
      <c r="W613">
        <f t="shared" si="63"/>
      </c>
    </row>
    <row r="614">
      <c r="C614">
        <f>IF(往来单位!$B$208="","",TRIM(往来单位!$D$208&amp;""))</f>
      </c>
      <c r="D614">
        <f>往来单位!$B$208&amp;""</f>
      </c>
      <c r="T614">
        <f>IF(C614="",0,LEN(C614)*10000+9386)</f>
        <v>0</v>
      </c>
      <c r="U614">
        <f>IF(LARGE($T$1:$T$900,614)=0,0,MATCH(LARGE($T$1:$T$900,614),$T$1:$T$900,0))</f>
        <v>0</v>
      </c>
      <c r="V614">
        <f t="shared" si="62"/>
      </c>
      <c r="W614">
        <f t="shared" si="63"/>
      </c>
    </row>
    <row r="615">
      <c r="C615">
        <f>IF(往来单位!$B$208="","",TRIM(往来单位!$E$208&amp;""))</f>
      </c>
      <c r="D615">
        <f>往来单位!$B$208&amp;""</f>
      </c>
      <c r="T615">
        <f>IF(C615="",0,LEN(C615)*10000+9385)</f>
        <v>0</v>
      </c>
      <c r="U615">
        <f>IF(LARGE($T$1:$T$900,615)=0,0,MATCH(LARGE($T$1:$T$900,615),$T$1:$T$900,0))</f>
        <v>0</v>
      </c>
      <c r="V615">
        <f t="shared" si="62"/>
      </c>
      <c r="W615">
        <f t="shared" si="63"/>
      </c>
    </row>
    <row r="616">
      <c r="C616">
        <f>IF(往来单位!$B$209="","",TRIM(往来单位!$B$209&amp;""))</f>
      </c>
      <c r="D616">
        <f>往来单位!$B$209&amp;""</f>
      </c>
      <c r="T616">
        <f>IF(C616="",0,LEN(C616)*10000+9384)</f>
        <v>0</v>
      </c>
      <c r="U616">
        <f>IF(LARGE($T$1:$T$900,616)=0,0,MATCH(LARGE($T$1:$T$900,616),$T$1:$T$900,0))</f>
        <v>0</v>
      </c>
      <c r="V616">
        <f t="shared" si="62"/>
      </c>
      <c r="W616">
        <f t="shared" si="63"/>
      </c>
    </row>
    <row r="617">
      <c r="C617">
        <f>IF(往来单位!$B$209="","",TRIM(往来单位!$D$209&amp;""))</f>
      </c>
      <c r="D617">
        <f>往来单位!$B$209&amp;""</f>
      </c>
      <c r="T617">
        <f>IF(C617="",0,LEN(C617)*10000+9383)</f>
        <v>0</v>
      </c>
      <c r="U617">
        <f>IF(LARGE($T$1:$T$900,617)=0,0,MATCH(LARGE($T$1:$T$900,617),$T$1:$T$900,0))</f>
        <v>0</v>
      </c>
      <c r="V617">
        <f t="shared" si="62"/>
      </c>
      <c r="W617">
        <f t="shared" si="63"/>
      </c>
    </row>
    <row r="618">
      <c r="C618">
        <f>IF(往来单位!$B$209="","",TRIM(往来单位!$E$209&amp;""))</f>
      </c>
      <c r="D618">
        <f>往来单位!$B$209&amp;""</f>
      </c>
      <c r="T618">
        <f>IF(C618="",0,LEN(C618)*10000+9382)</f>
        <v>0</v>
      </c>
      <c r="U618">
        <f>IF(LARGE($T$1:$T$900,618)=0,0,MATCH(LARGE($T$1:$T$900,618),$T$1:$T$900,0))</f>
        <v>0</v>
      </c>
      <c r="V618">
        <f t="shared" si="62"/>
      </c>
      <c r="W618">
        <f t="shared" si="63"/>
      </c>
    </row>
    <row r="619">
      <c r="C619">
        <f>IF(往来单位!$B$210="","",TRIM(往来单位!$B$210&amp;""))</f>
      </c>
      <c r="D619">
        <f>往来单位!$B$210&amp;""</f>
      </c>
      <c r="T619">
        <f>IF(C619="",0,LEN(C619)*10000+9381)</f>
        <v>0</v>
      </c>
      <c r="U619">
        <f>IF(LARGE($T$1:$T$900,619)=0,0,MATCH(LARGE($T$1:$T$900,619),$T$1:$T$900,0))</f>
        <v>0</v>
      </c>
      <c r="V619">
        <f t="shared" si="62"/>
      </c>
      <c r="W619">
        <f t="shared" si="63"/>
      </c>
    </row>
    <row r="620">
      <c r="C620">
        <f>IF(往来单位!$B$210="","",TRIM(往来单位!$D$210&amp;""))</f>
      </c>
      <c r="D620">
        <f>往来单位!$B$210&amp;""</f>
      </c>
      <c r="T620">
        <f>IF(C620="",0,LEN(C620)*10000+9380)</f>
        <v>0</v>
      </c>
      <c r="U620">
        <f>IF(LARGE($T$1:$T$900,620)=0,0,MATCH(LARGE($T$1:$T$900,620),$T$1:$T$900,0))</f>
        <v>0</v>
      </c>
      <c r="V620">
        <f t="shared" si="62"/>
      </c>
      <c r="W620">
        <f t="shared" si="63"/>
      </c>
    </row>
    <row r="621">
      <c r="C621">
        <f>IF(往来单位!$B$210="","",TRIM(往来单位!$E$210&amp;""))</f>
      </c>
      <c r="D621">
        <f>往来单位!$B$210&amp;""</f>
      </c>
      <c r="T621">
        <f>IF(C621="",0,LEN(C621)*10000+9379)</f>
        <v>0</v>
      </c>
      <c r="U621">
        <f>IF(LARGE($T$1:$T$900,621)=0,0,MATCH(LARGE($T$1:$T$900,621),$T$1:$T$900,0))</f>
        <v>0</v>
      </c>
      <c r="V621">
        <f t="shared" si="62"/>
      </c>
      <c r="W621">
        <f t="shared" si="63"/>
      </c>
    </row>
    <row r="622">
      <c r="C622">
        <f>IF(往来单位!$B$211="","",TRIM(往来单位!$B$211&amp;""))</f>
      </c>
      <c r="D622">
        <f>往来单位!$B$211&amp;""</f>
      </c>
      <c r="T622">
        <f>IF(C622="",0,LEN(C622)*10000+9378)</f>
        <v>0</v>
      </c>
      <c r="U622">
        <f>IF(LARGE($T$1:$T$900,622)=0,0,MATCH(LARGE($T$1:$T$900,622),$T$1:$T$900,0))</f>
        <v>0</v>
      </c>
      <c r="V622">
        <f t="shared" si="62"/>
      </c>
      <c r="W622">
        <f t="shared" si="63"/>
      </c>
    </row>
    <row r="623">
      <c r="C623">
        <f>IF(往来单位!$B$211="","",TRIM(往来单位!$D$211&amp;""))</f>
      </c>
      <c r="D623">
        <f>往来单位!$B$211&amp;""</f>
      </c>
      <c r="T623">
        <f>IF(C623="",0,LEN(C623)*10000+9377)</f>
        <v>0</v>
      </c>
      <c r="U623">
        <f>IF(LARGE($T$1:$T$900,623)=0,0,MATCH(LARGE($T$1:$T$900,623),$T$1:$T$900,0))</f>
        <v>0</v>
      </c>
      <c r="V623">
        <f t="shared" si="62"/>
      </c>
      <c r="W623">
        <f t="shared" si="63"/>
      </c>
    </row>
    <row r="624">
      <c r="C624">
        <f>IF(往来单位!$B$211="","",TRIM(往来单位!$E$211&amp;""))</f>
      </c>
      <c r="D624">
        <f>往来单位!$B$211&amp;""</f>
      </c>
      <c r="T624">
        <f>IF(C624="",0,LEN(C624)*10000+9376)</f>
        <v>0</v>
      </c>
      <c r="U624">
        <f>IF(LARGE($T$1:$T$900,624)=0,0,MATCH(LARGE($T$1:$T$900,624),$T$1:$T$900,0))</f>
        <v>0</v>
      </c>
      <c r="V624">
        <f t="shared" si="62"/>
      </c>
      <c r="W624">
        <f t="shared" si="63"/>
      </c>
    </row>
    <row r="625">
      <c r="C625">
        <f>IF(往来单位!$B$212="","",TRIM(往来单位!$B$212&amp;""))</f>
      </c>
      <c r="D625">
        <f>往来单位!$B$212&amp;""</f>
      </c>
      <c r="T625">
        <f>IF(C625="",0,LEN(C625)*10000+9375)</f>
        <v>0</v>
      </c>
      <c r="U625">
        <f>IF(LARGE($T$1:$T$900,625)=0,0,MATCH(LARGE($T$1:$T$900,625),$T$1:$T$900,0))</f>
        <v>0</v>
      </c>
      <c r="V625">
        <f t="shared" si="62"/>
      </c>
      <c r="W625">
        <f t="shared" si="63"/>
      </c>
    </row>
    <row r="626">
      <c r="C626">
        <f>IF(往来单位!$B$212="","",TRIM(往来单位!$D$212&amp;""))</f>
      </c>
      <c r="D626">
        <f>往来单位!$B$212&amp;""</f>
      </c>
      <c r="T626">
        <f>IF(C626="",0,LEN(C626)*10000+9374)</f>
        <v>0</v>
      </c>
      <c r="U626">
        <f>IF(LARGE($T$1:$T$900,626)=0,0,MATCH(LARGE($T$1:$T$900,626),$T$1:$T$900,0))</f>
        <v>0</v>
      </c>
      <c r="V626">
        <f t="shared" si="62"/>
      </c>
      <c r="W626">
        <f t="shared" si="63"/>
      </c>
    </row>
    <row r="627">
      <c r="C627">
        <f>IF(往来单位!$B$212="","",TRIM(往来单位!$E$212&amp;""))</f>
      </c>
      <c r="D627">
        <f>往来单位!$B$212&amp;""</f>
      </c>
      <c r="T627">
        <f>IF(C627="",0,LEN(C627)*10000+9373)</f>
        <v>0</v>
      </c>
      <c r="U627">
        <f>IF(LARGE($T$1:$T$900,627)=0,0,MATCH(LARGE($T$1:$T$900,627),$T$1:$T$900,0))</f>
        <v>0</v>
      </c>
      <c r="V627">
        <f t="shared" si="62"/>
      </c>
      <c r="W627">
        <f t="shared" si="63"/>
      </c>
    </row>
    <row r="628">
      <c r="C628">
        <f>IF(往来单位!$B$213="","",TRIM(往来单位!$B$213&amp;""))</f>
      </c>
      <c r="D628">
        <f>往来单位!$B$213&amp;""</f>
      </c>
      <c r="T628">
        <f>IF(C628="",0,LEN(C628)*10000+9372)</f>
        <v>0</v>
      </c>
      <c r="U628">
        <f>IF(LARGE($T$1:$T$900,628)=0,0,MATCH(LARGE($T$1:$T$900,628),$T$1:$T$900,0))</f>
        <v>0</v>
      </c>
      <c r="V628">
        <f t="shared" si="62"/>
      </c>
      <c r="W628">
        <f t="shared" si="63"/>
      </c>
    </row>
    <row r="629">
      <c r="C629">
        <f>IF(往来单位!$B$213="","",TRIM(往来单位!$D$213&amp;""))</f>
      </c>
      <c r="D629">
        <f>往来单位!$B$213&amp;""</f>
      </c>
      <c r="T629">
        <f>IF(C629="",0,LEN(C629)*10000+9371)</f>
        <v>0</v>
      </c>
      <c r="U629">
        <f>IF(LARGE($T$1:$T$900,629)=0,0,MATCH(LARGE($T$1:$T$900,629),$T$1:$T$900,0))</f>
        <v>0</v>
      </c>
      <c r="V629">
        <f t="shared" si="62"/>
      </c>
      <c r="W629">
        <f t="shared" si="63"/>
      </c>
    </row>
    <row r="630">
      <c r="C630">
        <f>IF(往来单位!$B$213="","",TRIM(往来单位!$E$213&amp;""))</f>
      </c>
      <c r="D630">
        <f>往来单位!$B$213&amp;""</f>
      </c>
      <c r="T630">
        <f>IF(C630="",0,LEN(C630)*10000+9370)</f>
        <v>0</v>
      </c>
      <c r="U630">
        <f>IF(LARGE($T$1:$T$900,630)=0,0,MATCH(LARGE($T$1:$T$900,630),$T$1:$T$900,0))</f>
        <v>0</v>
      </c>
      <c r="V630">
        <f t="shared" si="62"/>
      </c>
      <c r="W630">
        <f t="shared" si="63"/>
      </c>
    </row>
    <row r="631">
      <c r="C631">
        <f>IF(往来单位!$B$214="","",TRIM(往来单位!$B$214&amp;""))</f>
      </c>
      <c r="D631">
        <f>往来单位!$B$214&amp;""</f>
      </c>
      <c r="T631">
        <f>IF(C631="",0,LEN(C631)*10000+9369)</f>
        <v>0</v>
      </c>
      <c r="U631">
        <f>IF(LARGE($T$1:$T$900,631)=0,0,MATCH(LARGE($T$1:$T$900,631),$T$1:$T$900,0))</f>
        <v>0</v>
      </c>
      <c r="V631">
        <f t="shared" si="62"/>
      </c>
      <c r="W631">
        <f t="shared" si="63"/>
      </c>
    </row>
    <row r="632">
      <c r="C632">
        <f>IF(往来单位!$B$214="","",TRIM(往来单位!$D$214&amp;""))</f>
      </c>
      <c r="D632">
        <f>往来单位!$B$214&amp;""</f>
      </c>
      <c r="T632">
        <f>IF(C632="",0,LEN(C632)*10000+9368)</f>
        <v>0</v>
      </c>
      <c r="U632">
        <f>IF(LARGE($T$1:$T$900,632)=0,0,MATCH(LARGE($T$1:$T$900,632),$T$1:$T$900,0))</f>
        <v>0</v>
      </c>
      <c r="V632">
        <f t="shared" si="62"/>
      </c>
      <c r="W632">
        <f t="shared" si="63"/>
      </c>
    </row>
    <row r="633">
      <c r="C633">
        <f>IF(往来单位!$B$214="","",TRIM(往来单位!$E$214&amp;""))</f>
      </c>
      <c r="D633">
        <f>往来单位!$B$214&amp;""</f>
      </c>
      <c r="T633">
        <f>IF(C633="",0,LEN(C633)*10000+9367)</f>
        <v>0</v>
      </c>
      <c r="U633">
        <f>IF(LARGE($T$1:$T$900,633)=0,0,MATCH(LARGE($T$1:$T$900,633),$T$1:$T$900,0))</f>
        <v>0</v>
      </c>
      <c r="V633">
        <f t="shared" si="62"/>
      </c>
      <c r="W633">
        <f t="shared" si="63"/>
      </c>
    </row>
    <row r="634">
      <c r="C634">
        <f>IF(往来单位!$B$215="","",TRIM(往来单位!$B$215&amp;""))</f>
      </c>
      <c r="D634">
        <f>往来单位!$B$215&amp;""</f>
      </c>
      <c r="T634">
        <f>IF(C634="",0,LEN(C634)*10000+9366)</f>
        <v>0</v>
      </c>
      <c r="U634">
        <f>IF(LARGE($T$1:$T$900,634)=0,0,MATCH(LARGE($T$1:$T$900,634),$T$1:$T$900,0))</f>
        <v>0</v>
      </c>
      <c r="V634">
        <f t="shared" si="62"/>
      </c>
      <c r="W634">
        <f t="shared" si="63"/>
      </c>
    </row>
    <row r="635">
      <c r="C635">
        <f>IF(往来单位!$B$215="","",TRIM(往来单位!$D$215&amp;""))</f>
      </c>
      <c r="D635">
        <f>往来单位!$B$215&amp;""</f>
      </c>
      <c r="T635">
        <f>IF(C635="",0,LEN(C635)*10000+9365)</f>
        <v>0</v>
      </c>
      <c r="U635">
        <f>IF(LARGE($T$1:$T$900,635)=0,0,MATCH(LARGE($T$1:$T$900,635),$T$1:$T$900,0))</f>
        <v>0</v>
      </c>
      <c r="V635">
        <f t="shared" si="62"/>
      </c>
      <c r="W635">
        <f t="shared" si="63"/>
      </c>
    </row>
    <row r="636">
      <c r="C636">
        <f>IF(往来单位!$B$215="","",TRIM(往来单位!$E$215&amp;""))</f>
      </c>
      <c r="D636">
        <f>往来单位!$B$215&amp;""</f>
      </c>
      <c r="T636">
        <f>IF(C636="",0,LEN(C636)*10000+9364)</f>
        <v>0</v>
      </c>
      <c r="U636">
        <f>IF(LARGE($T$1:$T$900,636)=0,0,MATCH(LARGE($T$1:$T$900,636),$T$1:$T$900,0))</f>
        <v>0</v>
      </c>
      <c r="V636">
        <f t="shared" si="62"/>
      </c>
      <c r="W636">
        <f t="shared" si="63"/>
      </c>
    </row>
    <row r="637">
      <c r="C637">
        <f>IF(往来单位!$B$216="","",TRIM(往来单位!$B$216&amp;""))</f>
      </c>
      <c r="D637">
        <f>往来单位!$B$216&amp;""</f>
      </c>
      <c r="T637">
        <f>IF(C637="",0,LEN(C637)*10000+9363)</f>
        <v>0</v>
      </c>
      <c r="U637">
        <f>IF(LARGE($T$1:$T$900,637)=0,0,MATCH(LARGE($T$1:$T$900,637),$T$1:$T$900,0))</f>
        <v>0</v>
      </c>
      <c r="V637">
        <f t="shared" si="62"/>
      </c>
      <c r="W637">
        <f t="shared" si="63"/>
      </c>
    </row>
    <row r="638">
      <c r="C638">
        <f>IF(往来单位!$B$216="","",TRIM(往来单位!$D$216&amp;""))</f>
      </c>
      <c r="D638">
        <f>往来单位!$B$216&amp;""</f>
      </c>
      <c r="T638">
        <f>IF(C638="",0,LEN(C638)*10000+9362)</f>
        <v>0</v>
      </c>
      <c r="U638">
        <f>IF(LARGE($T$1:$T$900,638)=0,0,MATCH(LARGE($T$1:$T$900,638),$T$1:$T$900,0))</f>
        <v>0</v>
      </c>
      <c r="V638">
        <f t="shared" si="62"/>
      </c>
      <c r="W638">
        <f t="shared" si="63"/>
      </c>
    </row>
    <row r="639">
      <c r="C639">
        <f>IF(往来单位!$B$216="","",TRIM(往来单位!$E$216&amp;""))</f>
      </c>
      <c r="D639">
        <f>往来单位!$B$216&amp;""</f>
      </c>
      <c r="T639">
        <f>IF(C639="",0,LEN(C639)*10000+9361)</f>
        <v>0</v>
      </c>
      <c r="U639">
        <f>IF(LARGE($T$1:$T$900,639)=0,0,MATCH(LARGE($T$1:$T$900,639),$T$1:$T$900,0))</f>
        <v>0</v>
      </c>
      <c r="V639">
        <f t="shared" si="62"/>
      </c>
      <c r="W639">
        <f t="shared" si="63"/>
      </c>
    </row>
    <row r="640">
      <c r="C640">
        <f>IF(往来单位!$B$217="","",TRIM(往来单位!$B$217&amp;""))</f>
      </c>
      <c r="D640">
        <f>往来单位!$B$217&amp;""</f>
      </c>
      <c r="T640">
        <f>IF(C640="",0,LEN(C640)*10000+9360)</f>
        <v>0</v>
      </c>
      <c r="U640">
        <f>IF(LARGE($T$1:$T$900,640)=0,0,MATCH(LARGE($T$1:$T$900,640),$T$1:$T$900,0))</f>
        <v>0</v>
      </c>
      <c r="V640">
        <f t="shared" si="62"/>
      </c>
      <c r="W640">
        <f t="shared" si="63"/>
      </c>
    </row>
    <row r="641">
      <c r="C641">
        <f>IF(往来单位!$B$217="","",TRIM(往来单位!$D$217&amp;""))</f>
      </c>
      <c r="D641">
        <f>往来单位!$B$217&amp;""</f>
      </c>
      <c r="T641">
        <f>IF(C641="",0,LEN(C641)*10000+9359)</f>
        <v>0</v>
      </c>
      <c r="U641">
        <f>IF(LARGE($T$1:$T$900,641)=0,0,MATCH(LARGE($T$1:$T$900,641),$T$1:$T$900,0))</f>
        <v>0</v>
      </c>
      <c r="V641">
        <f t="shared" si="62"/>
      </c>
      <c r="W641">
        <f t="shared" si="63"/>
      </c>
    </row>
    <row r="642">
      <c r="C642">
        <f>IF(往来单位!$B$217="","",TRIM(往来单位!$E$217&amp;""))</f>
      </c>
      <c r="D642">
        <f>往来单位!$B$217&amp;""</f>
      </c>
      <c r="T642">
        <f>IF(C642="",0,LEN(C642)*10000+9358)</f>
        <v>0</v>
      </c>
      <c r="U642">
        <f>IF(LARGE($T$1:$T$900,642)=0,0,MATCH(LARGE($T$1:$T$900,642),$T$1:$T$900,0))</f>
        <v>0</v>
      </c>
      <c r="V642">
        <f t="shared" si="62"/>
      </c>
      <c r="W642">
        <f t="shared" si="63"/>
      </c>
    </row>
    <row r="643">
      <c r="C643">
        <f>IF(往来单位!$B$218="","",TRIM(往来单位!$B$218&amp;""))</f>
      </c>
      <c r="D643">
        <f>往来单位!$B$218&amp;""</f>
      </c>
      <c r="T643">
        <f>IF(C643="",0,LEN(C643)*10000+9357)</f>
        <v>0</v>
      </c>
      <c r="U643">
        <f>IF(LARGE($T$1:$T$900,643)=0,0,MATCH(LARGE($T$1:$T$900,643),$T$1:$T$900,0))</f>
        <v>0</v>
      </c>
      <c r="V643">
        <f t="shared" si="62"/>
      </c>
      <c r="W643">
        <f t="shared" si="63"/>
      </c>
    </row>
    <row r="644">
      <c r="C644">
        <f>IF(往来单位!$B$218="","",TRIM(往来单位!$D$218&amp;""))</f>
      </c>
      <c r="D644">
        <f>往来单位!$B$218&amp;""</f>
      </c>
      <c r="T644">
        <f>IF(C644="",0,LEN(C644)*10000+9356)</f>
        <v>0</v>
      </c>
      <c r="U644">
        <f>IF(LARGE($T$1:$T$900,644)=0,0,MATCH(LARGE($T$1:$T$900,644),$T$1:$T$900,0))</f>
        <v>0</v>
      </c>
      <c r="V644">
        <f t="shared" si="62"/>
      </c>
      <c r="W644">
        <f t="shared" si="63"/>
      </c>
    </row>
    <row r="645">
      <c r="C645">
        <f>IF(往来单位!$B$218="","",TRIM(往来单位!$E$218&amp;""))</f>
      </c>
      <c r="D645">
        <f>往来单位!$B$218&amp;""</f>
      </c>
      <c r="T645">
        <f>IF(C645="",0,LEN(C645)*10000+9355)</f>
        <v>0</v>
      </c>
      <c r="U645">
        <f>IF(LARGE($T$1:$T$900,645)=0,0,MATCH(LARGE($T$1:$T$900,645),$T$1:$T$900,0))</f>
        <v>0</v>
      </c>
      <c r="V645">
        <f t="shared" si="62"/>
      </c>
      <c r="W645">
        <f t="shared" si="63"/>
      </c>
    </row>
    <row r="646">
      <c r="C646">
        <f>IF(往来单位!$B$219="","",TRIM(往来单位!$B$219&amp;""))</f>
      </c>
      <c r="D646">
        <f>往来单位!$B$219&amp;""</f>
      </c>
      <c r="T646">
        <f>IF(C646="",0,LEN(C646)*10000+9354)</f>
        <v>0</v>
      </c>
      <c r="U646">
        <f>IF(LARGE($T$1:$T$900,646)=0,0,MATCH(LARGE($T$1:$T$900,646),$T$1:$T$900,0))</f>
        <v>0</v>
      </c>
      <c r="V646">
        <f t="shared" si="62"/>
      </c>
      <c r="W646">
        <f t="shared" si="63"/>
      </c>
    </row>
    <row r="647">
      <c r="C647">
        <f>IF(往来单位!$B$219="","",TRIM(往来单位!$D$219&amp;""))</f>
      </c>
      <c r="D647">
        <f>往来单位!$B$219&amp;""</f>
      </c>
      <c r="T647">
        <f>IF(C647="",0,LEN(C647)*10000+9353)</f>
        <v>0</v>
      </c>
      <c r="U647">
        <f>IF(LARGE($T$1:$T$900,647)=0,0,MATCH(LARGE($T$1:$T$900,647),$T$1:$T$900,0))</f>
        <v>0</v>
      </c>
      <c r="V647">
        <f t="shared" si="62"/>
      </c>
      <c r="W647">
        <f t="shared" si="63"/>
      </c>
    </row>
    <row r="648">
      <c r="C648">
        <f>IF(往来单位!$B$219="","",TRIM(往来单位!$E$219&amp;""))</f>
      </c>
      <c r="D648">
        <f>往来单位!$B$219&amp;""</f>
      </c>
      <c r="T648">
        <f>IF(C648="",0,LEN(C648)*10000+9352)</f>
        <v>0</v>
      </c>
      <c r="U648">
        <f>IF(LARGE($T$1:$T$900,648)=0,0,MATCH(LARGE($T$1:$T$900,648),$T$1:$T$900,0))</f>
        <v>0</v>
      </c>
      <c r="V648">
        <f t="shared" si="62"/>
      </c>
      <c r="W648">
        <f t="shared" si="63"/>
      </c>
    </row>
    <row r="649">
      <c r="C649">
        <f>IF(往来单位!$B$220="","",TRIM(往来单位!$B$220&amp;""))</f>
      </c>
      <c r="D649">
        <f>往来单位!$B$220&amp;""</f>
      </c>
      <c r="T649">
        <f>IF(C649="",0,LEN(C649)*10000+9351)</f>
        <v>0</v>
      </c>
      <c r="U649">
        <f>IF(LARGE($T$1:$T$900,649)=0,0,MATCH(LARGE($T$1:$T$900,649),$T$1:$T$900,0))</f>
        <v>0</v>
      </c>
      <c r="V649">
        <f t="shared" si="62"/>
      </c>
      <c r="W649">
        <f t="shared" si="63"/>
      </c>
    </row>
    <row r="650">
      <c r="C650">
        <f>IF(往来单位!$B$220="","",TRIM(往来单位!$D$220&amp;""))</f>
      </c>
      <c r="D650">
        <f>往来单位!$B$220&amp;""</f>
      </c>
      <c r="T650">
        <f>IF(C650="",0,LEN(C650)*10000+9350)</f>
        <v>0</v>
      </c>
      <c r="U650">
        <f>IF(LARGE($T$1:$T$900,650)=0,0,MATCH(LARGE($T$1:$T$900,650),$T$1:$T$900,0))</f>
        <v>0</v>
      </c>
      <c r="V650">
        <f t="shared" si="62"/>
      </c>
      <c r="W650">
        <f t="shared" si="63"/>
      </c>
    </row>
    <row r="651">
      <c r="C651">
        <f>IF(往来单位!$B$220="","",TRIM(往来单位!$E$220&amp;""))</f>
      </c>
      <c r="D651">
        <f>往来单位!$B$220&amp;""</f>
      </c>
      <c r="T651">
        <f>IF(C651="",0,LEN(C651)*10000+9349)</f>
        <v>0</v>
      </c>
      <c r="U651">
        <f>IF(LARGE($T$1:$T$900,651)=0,0,MATCH(LARGE($T$1:$T$900,651),$T$1:$T$900,0))</f>
        <v>0</v>
      </c>
      <c r="V651">
        <f t="shared" si="62"/>
      </c>
      <c r="W651">
        <f t="shared" si="63"/>
      </c>
    </row>
    <row r="652">
      <c r="C652">
        <f>IF(往来单位!$B$221="","",TRIM(往来单位!$B$221&amp;""))</f>
      </c>
      <c r="D652">
        <f>往来单位!$B$221&amp;""</f>
      </c>
      <c r="T652">
        <f>IF(C652="",0,LEN(C652)*10000+9348)</f>
        <v>0</v>
      </c>
      <c r="U652">
        <f>IF(LARGE($T$1:$T$900,652)=0,0,MATCH(LARGE($T$1:$T$900,652),$T$1:$T$900,0))</f>
        <v>0</v>
      </c>
      <c r="V652">
        <f t="shared" si="62"/>
      </c>
      <c r="W652">
        <f t="shared" si="63"/>
      </c>
    </row>
    <row r="653">
      <c r="C653">
        <f>IF(往来单位!$B$221="","",TRIM(往来单位!$D$221&amp;""))</f>
      </c>
      <c r="D653">
        <f>往来单位!$B$221&amp;""</f>
      </c>
      <c r="T653">
        <f>IF(C653="",0,LEN(C653)*10000+9347)</f>
        <v>0</v>
      </c>
      <c r="U653">
        <f>IF(LARGE($T$1:$T$900,653)=0,0,MATCH(LARGE($T$1:$T$900,653),$T$1:$T$900,0))</f>
        <v>0</v>
      </c>
      <c r="V653">
        <f t="shared" si="62"/>
      </c>
      <c r="W653">
        <f t="shared" si="63"/>
      </c>
    </row>
    <row r="654">
      <c r="C654">
        <f>IF(往来单位!$B$221="","",TRIM(往来单位!$E$221&amp;""))</f>
      </c>
      <c r="D654">
        <f>往来单位!$B$221&amp;""</f>
      </c>
      <c r="T654">
        <f>IF(C654="",0,LEN(C654)*10000+9346)</f>
        <v>0</v>
      </c>
      <c r="U654">
        <f>IF(LARGE($T$1:$T$900,654)=0,0,MATCH(LARGE($T$1:$T$900,654),$T$1:$T$900,0))</f>
        <v>0</v>
      </c>
      <c r="V654">
        <f t="shared" si="62"/>
      </c>
      <c r="W654">
        <f t="shared" si="63"/>
      </c>
    </row>
    <row r="655">
      <c r="C655">
        <f>IF(往来单位!$B$222="","",TRIM(往来单位!$B$222&amp;""))</f>
      </c>
      <c r="D655">
        <f>往来单位!$B$222&amp;""</f>
      </c>
      <c r="T655">
        <f>IF(C655="",0,LEN(C655)*10000+9345)</f>
        <v>0</v>
      </c>
      <c r="U655">
        <f>IF(LARGE($T$1:$T$900,655)=0,0,MATCH(LARGE($T$1:$T$900,655),$T$1:$T$900,0))</f>
        <v>0</v>
      </c>
      <c r="V655">
        <f t="shared" si="62"/>
      </c>
      <c r="W655">
        <f t="shared" si="63"/>
      </c>
    </row>
    <row r="656">
      <c r="C656">
        <f>IF(往来单位!$B$222="","",TRIM(往来单位!$D$222&amp;""))</f>
      </c>
      <c r="D656">
        <f>往来单位!$B$222&amp;""</f>
      </c>
      <c r="T656">
        <f>IF(C656="",0,LEN(C656)*10000+9344)</f>
        <v>0</v>
      </c>
      <c r="U656">
        <f>IF(LARGE($T$1:$T$900,656)=0,0,MATCH(LARGE($T$1:$T$900,656),$T$1:$T$900,0))</f>
        <v>0</v>
      </c>
      <c r="V656">
        <f t="shared" si="62"/>
      </c>
      <c r="W656">
        <f t="shared" si="63"/>
      </c>
    </row>
    <row r="657">
      <c r="C657">
        <f>IF(往来单位!$B$222="","",TRIM(往来单位!$E$222&amp;""))</f>
      </c>
      <c r="D657">
        <f>往来单位!$B$222&amp;""</f>
      </c>
      <c r="T657">
        <f>IF(C657="",0,LEN(C657)*10000+9343)</f>
        <v>0</v>
      </c>
      <c r="U657">
        <f>IF(LARGE($T$1:$T$900,657)=0,0,MATCH(LARGE($T$1:$T$900,657),$T$1:$T$900,0))</f>
        <v>0</v>
      </c>
      <c r="V657">
        <f t="shared" si="62"/>
      </c>
      <c r="W657">
        <f t="shared" si="63"/>
      </c>
    </row>
    <row r="658">
      <c r="C658">
        <f>IF(往来单位!$B$223="","",TRIM(往来单位!$B$223&amp;""))</f>
      </c>
      <c r="D658">
        <f>往来单位!$B$223&amp;""</f>
      </c>
      <c r="T658">
        <f>IF(C658="",0,LEN(C658)*10000+9342)</f>
        <v>0</v>
      </c>
      <c r="U658">
        <f>IF(LARGE($T$1:$T$900,658)=0,0,MATCH(LARGE($T$1:$T$900,658),$T$1:$T$900,0))</f>
        <v>0</v>
      </c>
      <c r="V658">
        <f t="shared" si="62"/>
      </c>
      <c r="W658">
        <f t="shared" si="63"/>
      </c>
    </row>
    <row r="659">
      <c r="C659">
        <f>IF(往来单位!$B$223="","",TRIM(往来单位!$D$223&amp;""))</f>
      </c>
      <c r="D659">
        <f>往来单位!$B$223&amp;""</f>
      </c>
      <c r="T659">
        <f>IF(C659="",0,LEN(C659)*10000+9341)</f>
        <v>0</v>
      </c>
      <c r="U659">
        <f>IF(LARGE($T$1:$T$900,659)=0,0,MATCH(LARGE($T$1:$T$900,659),$T$1:$T$900,0))</f>
        <v>0</v>
      </c>
      <c r="V659">
        <f t="shared" si="62"/>
      </c>
      <c r="W659">
        <f t="shared" si="63"/>
      </c>
    </row>
    <row r="660">
      <c r="C660">
        <f>IF(往来单位!$B$223="","",TRIM(往来单位!$E$223&amp;""))</f>
      </c>
      <c r="D660">
        <f>往来单位!$B$223&amp;""</f>
      </c>
      <c r="T660">
        <f>IF(C660="",0,LEN(C660)*10000+9340)</f>
        <v>0</v>
      </c>
      <c r="U660">
        <f>IF(LARGE($T$1:$T$900,660)=0,0,MATCH(LARGE($T$1:$T$900,660),$T$1:$T$900,0))</f>
        <v>0</v>
      </c>
      <c r="V660">
        <f t="shared" si="62"/>
      </c>
      <c r="W660">
        <f t="shared" si="63"/>
      </c>
    </row>
    <row r="661">
      <c r="C661">
        <f>IF(往来单位!$B$224="","",TRIM(往来单位!$B$224&amp;""))</f>
      </c>
      <c r="D661">
        <f>往来单位!$B$224&amp;""</f>
      </c>
      <c r="T661">
        <f>IF(C661="",0,LEN(C661)*10000+9339)</f>
        <v>0</v>
      </c>
      <c r="U661">
        <f>IF(LARGE($T$1:$T$900,661)=0,0,MATCH(LARGE($T$1:$T$900,661),$T$1:$T$900,0))</f>
        <v>0</v>
      </c>
      <c r="V661">
        <f t="shared" si="62"/>
      </c>
      <c r="W661">
        <f t="shared" si="63"/>
      </c>
    </row>
    <row r="662">
      <c r="C662">
        <f>IF(往来单位!$B$224="","",TRIM(往来单位!$D$224&amp;""))</f>
      </c>
      <c r="D662">
        <f>往来单位!$B$224&amp;""</f>
      </c>
      <c r="T662">
        <f>IF(C662="",0,LEN(C662)*10000+9338)</f>
        <v>0</v>
      </c>
      <c r="U662">
        <f>IF(LARGE($T$1:$T$900,662)=0,0,MATCH(LARGE($T$1:$T$900,662),$T$1:$T$900,0))</f>
        <v>0</v>
      </c>
      <c r="V662">
        <f t="shared" si="62"/>
      </c>
      <c r="W662">
        <f t="shared" si="63"/>
      </c>
    </row>
    <row r="663">
      <c r="C663">
        <f>IF(往来单位!$B$224="","",TRIM(往来单位!$E$224&amp;""))</f>
      </c>
      <c r="D663">
        <f>往来单位!$B$224&amp;""</f>
      </c>
      <c r="T663">
        <f>IF(C663="",0,LEN(C663)*10000+9337)</f>
        <v>0</v>
      </c>
      <c r="U663">
        <f>IF(LARGE($T$1:$T$900,663)=0,0,MATCH(LARGE($T$1:$T$900,663),$T$1:$T$900,0))</f>
        <v>0</v>
      </c>
      <c r="V663">
        <f t="shared" si="62"/>
      </c>
      <c r="W663">
        <f t="shared" si="63"/>
      </c>
    </row>
    <row r="664">
      <c r="C664">
        <f>IF(往来单位!$B$225="","",TRIM(往来单位!$B$225&amp;""))</f>
      </c>
      <c r="D664">
        <f>往来单位!$B$225&amp;""</f>
      </c>
      <c r="T664">
        <f>IF(C664="",0,LEN(C664)*10000+9336)</f>
        <v>0</v>
      </c>
      <c r="U664">
        <f>IF(LARGE($T$1:$T$900,664)=0,0,MATCH(LARGE($T$1:$T$900,664),$T$1:$T$900,0))</f>
        <v>0</v>
      </c>
      <c r="V664">
        <f t="shared" si="62"/>
      </c>
      <c r="W664">
        <f t="shared" si="63"/>
      </c>
    </row>
    <row r="665">
      <c r="C665">
        <f>IF(往来单位!$B$225="","",TRIM(往来单位!$D$225&amp;""))</f>
      </c>
      <c r="D665">
        <f>往来单位!$B$225&amp;""</f>
      </c>
      <c r="T665">
        <f>IF(C665="",0,LEN(C665)*10000+9335)</f>
        <v>0</v>
      </c>
      <c r="U665">
        <f>IF(LARGE($T$1:$T$900,665)=0,0,MATCH(LARGE($T$1:$T$900,665),$T$1:$T$900,0))</f>
        <v>0</v>
      </c>
      <c r="V665">
        <f t="shared" si="62"/>
      </c>
      <c r="W665">
        <f t="shared" si="63"/>
      </c>
    </row>
    <row r="666">
      <c r="C666">
        <f>IF(往来单位!$B$225="","",TRIM(往来单位!$E$225&amp;""))</f>
      </c>
      <c r="D666">
        <f>往来单位!$B$225&amp;""</f>
      </c>
      <c r="T666">
        <f>IF(C666="",0,LEN(C666)*10000+9334)</f>
        <v>0</v>
      </c>
      <c r="U666">
        <f>IF(LARGE($T$1:$T$900,666)=0,0,MATCH(LARGE($T$1:$T$900,666),$T$1:$T$900,0))</f>
        <v>0</v>
      </c>
      <c r="V666">
        <f t="shared" si="62"/>
      </c>
      <c r="W666">
        <f t="shared" si="63"/>
      </c>
    </row>
    <row r="667">
      <c r="C667">
        <f>IF(往来单位!$B$226="","",TRIM(往来单位!$B$226&amp;""))</f>
      </c>
      <c r="D667">
        <f>往来单位!$B$226&amp;""</f>
      </c>
      <c r="T667">
        <f>IF(C667="",0,LEN(C667)*10000+9333)</f>
        <v>0</v>
      </c>
      <c r="U667">
        <f>IF(LARGE($T$1:$T$900,667)=0,0,MATCH(LARGE($T$1:$T$900,667),$T$1:$T$900,0))</f>
        <v>0</v>
      </c>
      <c r="V667">
        <f t="shared" si="62"/>
      </c>
      <c r="W667">
        <f t="shared" si="63"/>
      </c>
    </row>
    <row r="668">
      <c r="C668">
        <f>IF(往来单位!$B$226="","",TRIM(往来单位!$D$226&amp;""))</f>
      </c>
      <c r="D668">
        <f>往来单位!$B$226&amp;""</f>
      </c>
      <c r="T668">
        <f>IF(C668="",0,LEN(C668)*10000+9332)</f>
        <v>0</v>
      </c>
      <c r="U668">
        <f>IF(LARGE($T$1:$T$900,668)=0,0,MATCH(LARGE($T$1:$T$900,668),$T$1:$T$900,0))</f>
        <v>0</v>
      </c>
      <c r="V668">
        <f t="shared" si="62"/>
      </c>
      <c r="W668">
        <f t="shared" si="63"/>
      </c>
    </row>
    <row r="669">
      <c r="C669">
        <f>IF(往来单位!$B$226="","",TRIM(往来单位!$E$226&amp;""))</f>
      </c>
      <c r="D669">
        <f>往来单位!$B$226&amp;""</f>
      </c>
      <c r="T669">
        <f>IF(C669="",0,LEN(C669)*10000+9331)</f>
        <v>0</v>
      </c>
      <c r="U669">
        <f>IF(LARGE($T$1:$T$900,669)=0,0,MATCH(LARGE($T$1:$T$900,669),$T$1:$T$900,0))</f>
        <v>0</v>
      </c>
      <c r="V669">
        <f t="shared" si="62"/>
      </c>
      <c r="W669">
        <f t="shared" si="63"/>
      </c>
    </row>
    <row r="670">
      <c r="C670">
        <f>IF(往来单位!$B$227="","",TRIM(往来单位!$B$227&amp;""))</f>
      </c>
      <c r="D670">
        <f>往来单位!$B$227&amp;""</f>
      </c>
      <c r="T670">
        <f>IF(C670="",0,LEN(C670)*10000+9330)</f>
        <v>0</v>
      </c>
      <c r="U670">
        <f>IF(LARGE($T$1:$T$900,670)=0,0,MATCH(LARGE($T$1:$T$900,670),$T$1:$T$900,0))</f>
        <v>0</v>
      </c>
      <c r="V670">
        <f t="shared" si="62"/>
      </c>
      <c r="W670">
        <f t="shared" si="63"/>
      </c>
    </row>
    <row r="671">
      <c r="C671">
        <f>IF(往来单位!$B$227="","",TRIM(往来单位!$D$227&amp;""))</f>
      </c>
      <c r="D671">
        <f>往来单位!$B$227&amp;""</f>
      </c>
      <c r="T671">
        <f>IF(C671="",0,LEN(C671)*10000+9329)</f>
        <v>0</v>
      </c>
      <c r="U671">
        <f>IF(LARGE($T$1:$T$900,671)=0,0,MATCH(LARGE($T$1:$T$900,671),$T$1:$T$900,0))</f>
        <v>0</v>
      </c>
      <c r="V671">
        <f t="shared" si="62"/>
      </c>
      <c r="W671">
        <f t="shared" si="63"/>
      </c>
    </row>
    <row r="672">
      <c r="C672">
        <f>IF(往来单位!$B$227="","",TRIM(往来单位!$E$227&amp;""))</f>
      </c>
      <c r="D672">
        <f>往来单位!$B$227&amp;""</f>
      </c>
      <c r="T672">
        <f>IF(C672="",0,LEN(C672)*10000+9328)</f>
        <v>0</v>
      </c>
      <c r="U672">
        <f>IF(LARGE($T$1:$T$900,672)=0,0,MATCH(LARGE($T$1:$T$900,672),$T$1:$T$900,0))</f>
        <v>0</v>
      </c>
      <c r="V672">
        <f t="shared" si="62"/>
      </c>
      <c r="W672">
        <f t="shared" si="63"/>
      </c>
    </row>
    <row r="673">
      <c r="C673">
        <f>IF(往来单位!$B$228="","",TRIM(往来单位!$B$228&amp;""))</f>
      </c>
      <c r="D673">
        <f>往来单位!$B$228&amp;""</f>
      </c>
      <c r="T673">
        <f>IF(C673="",0,LEN(C673)*10000+9327)</f>
        <v>0</v>
      </c>
      <c r="U673">
        <f>IF(LARGE($T$1:$T$900,673)=0,0,MATCH(LARGE($T$1:$T$900,673),$T$1:$T$900,0))</f>
        <v>0</v>
      </c>
      <c r="V673">
        <f t="shared" si="62"/>
      </c>
      <c r="W673">
        <f t="shared" si="63"/>
      </c>
    </row>
    <row r="674">
      <c r="C674">
        <f>IF(往来单位!$B$228="","",TRIM(往来单位!$D$228&amp;""))</f>
      </c>
      <c r="D674">
        <f>往来单位!$B$228&amp;""</f>
      </c>
      <c r="T674">
        <f>IF(C674="",0,LEN(C674)*10000+9326)</f>
        <v>0</v>
      </c>
      <c r="U674">
        <f>IF(LARGE($T$1:$T$900,674)=0,0,MATCH(LARGE($T$1:$T$900,674),$T$1:$T$900,0))</f>
        <v>0</v>
      </c>
      <c r="V674">
        <f t="shared" si="62"/>
      </c>
      <c r="W674">
        <f t="shared" si="63"/>
      </c>
    </row>
    <row r="675">
      <c r="C675">
        <f>IF(往来单位!$B$228="","",TRIM(往来单位!$E$228&amp;""))</f>
      </c>
      <c r="D675">
        <f>往来单位!$B$228&amp;""</f>
      </c>
      <c r="T675">
        <f>IF(C675="",0,LEN(C675)*10000+9325)</f>
        <v>0</v>
      </c>
      <c r="U675">
        <f>IF(LARGE($T$1:$T$900,675)=0,0,MATCH(LARGE($T$1:$T$900,675),$T$1:$T$900,0))</f>
        <v>0</v>
      </c>
      <c r="V675">
        <f t="shared" si="62"/>
      </c>
      <c r="W675">
        <f t="shared" si="63"/>
      </c>
    </row>
    <row r="676">
      <c r="C676">
        <f>IF(往来单位!$B$229="","",TRIM(往来单位!$B$229&amp;""))</f>
      </c>
      <c r="D676">
        <f>往来单位!$B$229&amp;""</f>
      </c>
      <c r="T676">
        <f>IF(C676="",0,LEN(C676)*10000+9324)</f>
        <v>0</v>
      </c>
      <c r="U676">
        <f>IF(LARGE($T$1:$T$900,676)=0,0,MATCH(LARGE($T$1:$T$900,676),$T$1:$T$900,0))</f>
        <v>0</v>
      </c>
      <c r="V676">
        <f t="shared" si="62"/>
      </c>
      <c r="W676">
        <f t="shared" si="63"/>
      </c>
    </row>
    <row r="677">
      <c r="C677">
        <f>IF(往来单位!$B$229="","",TRIM(往来单位!$D$229&amp;""))</f>
      </c>
      <c r="D677">
        <f>往来单位!$B$229&amp;""</f>
      </c>
      <c r="T677">
        <f>IF(C677="",0,LEN(C677)*10000+9323)</f>
        <v>0</v>
      </c>
      <c r="U677">
        <f>IF(LARGE($T$1:$T$900,677)=0,0,MATCH(LARGE($T$1:$T$900,677),$T$1:$T$900,0))</f>
        <v>0</v>
      </c>
      <c r="V677">
        <f t="shared" si="62"/>
      </c>
      <c r="W677">
        <f t="shared" si="63"/>
      </c>
    </row>
    <row r="678">
      <c r="C678">
        <f>IF(往来单位!$B$229="","",TRIM(往来单位!$E$229&amp;""))</f>
      </c>
      <c r="D678">
        <f>往来单位!$B$229&amp;""</f>
      </c>
      <c r="T678">
        <f>IF(C678="",0,LEN(C678)*10000+9322)</f>
        <v>0</v>
      </c>
      <c r="U678">
        <f>IF(LARGE($T$1:$T$900,678)=0,0,MATCH(LARGE($T$1:$T$900,678),$T$1:$T$900,0))</f>
        <v>0</v>
      </c>
      <c r="V678">
        <f t="shared" si="62"/>
      </c>
      <c r="W678">
        <f t="shared" si="63"/>
      </c>
    </row>
    <row r="679">
      <c r="C679">
        <f>IF(往来单位!$B$230="","",TRIM(往来单位!$B$230&amp;""))</f>
      </c>
      <c r="D679">
        <f>往来单位!$B$230&amp;""</f>
      </c>
      <c r="T679">
        <f>IF(C679="",0,LEN(C679)*10000+9321)</f>
        <v>0</v>
      </c>
      <c r="U679">
        <f>IF(LARGE($T$1:$T$900,679)=0,0,MATCH(LARGE($T$1:$T$900,679),$T$1:$T$900,0))</f>
        <v>0</v>
      </c>
      <c r="V679">
        <f t="shared" si="62"/>
      </c>
      <c r="W679">
        <f t="shared" si="63"/>
      </c>
    </row>
    <row r="680">
      <c r="C680">
        <f>IF(往来单位!$B$230="","",TRIM(往来单位!$D$230&amp;""))</f>
      </c>
      <c r="D680">
        <f>往来单位!$B$230&amp;""</f>
      </c>
      <c r="T680">
        <f>IF(C680="",0,LEN(C680)*10000+9320)</f>
        <v>0</v>
      </c>
      <c r="U680">
        <f>IF(LARGE($T$1:$T$900,680)=0,0,MATCH(LARGE($T$1:$T$900,680),$T$1:$T$900,0))</f>
        <v>0</v>
      </c>
      <c r="V680">
        <f t="shared" si="62"/>
      </c>
      <c r="W680">
        <f t="shared" si="63"/>
      </c>
    </row>
    <row r="681">
      <c r="C681">
        <f>IF(往来单位!$B$230="","",TRIM(往来单位!$E$230&amp;""))</f>
      </c>
      <c r="D681">
        <f>往来单位!$B$230&amp;""</f>
      </c>
      <c r="T681">
        <f>IF(C681="",0,LEN(C681)*10000+9319)</f>
        <v>0</v>
      </c>
      <c r="U681">
        <f>IF(LARGE($T$1:$T$900,681)=0,0,MATCH(LARGE($T$1:$T$900,681),$T$1:$T$900,0))</f>
        <v>0</v>
      </c>
      <c r="V681">
        <f t="shared" si="62"/>
      </c>
      <c r="W681">
        <f t="shared" si="63"/>
      </c>
    </row>
    <row r="682">
      <c r="C682">
        <f>IF(往来单位!$B$231="","",TRIM(往来单位!$B$231&amp;""))</f>
      </c>
      <c r="D682">
        <f>往来单位!$B$231&amp;""</f>
      </c>
      <c r="T682">
        <f>IF(C682="",0,LEN(C682)*10000+9318)</f>
        <v>0</v>
      </c>
      <c r="U682">
        <f>IF(LARGE($T$1:$T$900,682)=0,0,MATCH(LARGE($T$1:$T$900,682),$T$1:$T$900,0))</f>
        <v>0</v>
      </c>
      <c r="V682">
        <f t="shared" si="62"/>
      </c>
      <c r="W682">
        <f t="shared" si="63"/>
      </c>
    </row>
    <row r="683">
      <c r="C683">
        <f>IF(往来单位!$B$231="","",TRIM(往来单位!$D$231&amp;""))</f>
      </c>
      <c r="D683">
        <f>往来单位!$B$231&amp;""</f>
      </c>
      <c r="T683">
        <f>IF(C683="",0,LEN(C683)*10000+9317)</f>
        <v>0</v>
      </c>
      <c r="U683">
        <f>IF(LARGE($T$1:$T$900,683)=0,0,MATCH(LARGE($T$1:$T$900,683),$T$1:$T$900,0))</f>
        <v>0</v>
      </c>
      <c r="V683">
        <f t="shared" si="62"/>
      </c>
      <c r="W683">
        <f t="shared" si="63"/>
      </c>
    </row>
    <row r="684">
      <c r="C684">
        <f>IF(往来单位!$B$231="","",TRIM(往来单位!$E$231&amp;""))</f>
      </c>
      <c r="D684">
        <f>往来单位!$B$231&amp;""</f>
      </c>
      <c r="T684">
        <f>IF(C684="",0,LEN(C684)*10000+9316)</f>
        <v>0</v>
      </c>
      <c r="U684">
        <f>IF(LARGE($T$1:$T$900,684)=0,0,MATCH(LARGE($T$1:$T$900,684),$T$1:$T$900,0))</f>
        <v>0</v>
      </c>
      <c r="V684">
        <f t="shared" si="62"/>
      </c>
      <c r="W684">
        <f t="shared" si="63"/>
      </c>
    </row>
    <row r="685">
      <c r="C685">
        <f>IF(往来单位!$B$232="","",TRIM(往来单位!$B$232&amp;""))</f>
      </c>
      <c r="D685">
        <f>往来单位!$B$232&amp;""</f>
      </c>
      <c r="T685">
        <f>IF(C685="",0,LEN(C685)*10000+9315)</f>
        <v>0</v>
      </c>
      <c r="U685">
        <f>IF(LARGE($T$1:$T$900,685)=0,0,MATCH(LARGE($T$1:$T$900,685),$T$1:$T$900,0))</f>
        <v>0</v>
      </c>
      <c r="V685">
        <f t="shared" si="62"/>
      </c>
      <c r="W685">
        <f t="shared" si="63"/>
      </c>
    </row>
    <row r="686">
      <c r="C686">
        <f>IF(往来单位!$B$232="","",TRIM(往来单位!$D$232&amp;""))</f>
      </c>
      <c r="D686">
        <f>往来单位!$B$232&amp;""</f>
      </c>
      <c r="T686">
        <f>IF(C686="",0,LEN(C686)*10000+9314)</f>
        <v>0</v>
      </c>
      <c r="U686">
        <f>IF(LARGE($T$1:$T$900,686)=0,0,MATCH(LARGE($T$1:$T$900,686),$T$1:$T$900,0))</f>
        <v>0</v>
      </c>
      <c r="V686">
        <f t="shared" si="62"/>
      </c>
      <c r="W686">
        <f t="shared" si="63"/>
      </c>
    </row>
    <row r="687">
      <c r="C687">
        <f>IF(往来单位!$B$232="","",TRIM(往来单位!$E$232&amp;""))</f>
      </c>
      <c r="D687">
        <f>往来单位!$B$232&amp;""</f>
      </c>
      <c r="T687">
        <f>IF(C687="",0,LEN(C687)*10000+9313)</f>
        <v>0</v>
      </c>
      <c r="U687">
        <f>IF(LARGE($T$1:$T$900,687)=0,0,MATCH(LARGE($T$1:$T$900,687),$T$1:$T$900,0))</f>
        <v>0</v>
      </c>
      <c r="V687">
        <f t="shared" si="62"/>
      </c>
      <c r="W687">
        <f t="shared" si="63"/>
      </c>
    </row>
    <row r="688">
      <c r="C688">
        <f>IF(往来单位!$B$233="","",TRIM(往来单位!$B$233&amp;""))</f>
      </c>
      <c r="D688">
        <f>往来单位!$B$233&amp;""</f>
      </c>
      <c r="T688">
        <f>IF(C688="",0,LEN(C688)*10000+9312)</f>
        <v>0</v>
      </c>
      <c r="U688">
        <f>IF(LARGE($T$1:$T$900,688)=0,0,MATCH(LARGE($T$1:$T$900,688),$T$1:$T$900,0))</f>
        <v>0</v>
      </c>
      <c r="V688">
        <f t="shared" si="62"/>
      </c>
      <c r="W688">
        <f t="shared" si="63"/>
      </c>
    </row>
    <row r="689">
      <c r="C689">
        <f>IF(往来单位!$B$233="","",TRIM(往来单位!$D$233&amp;""))</f>
      </c>
      <c r="D689">
        <f>往来单位!$B$233&amp;""</f>
      </c>
      <c r="T689">
        <f>IF(C689="",0,LEN(C689)*10000+9311)</f>
        <v>0</v>
      </c>
      <c r="U689">
        <f>IF(LARGE($T$1:$T$900,689)=0,0,MATCH(LARGE($T$1:$T$900,689),$T$1:$T$900,0))</f>
        <v>0</v>
      </c>
      <c r="V689">
        <f t="shared" si="62"/>
      </c>
      <c r="W689">
        <f t="shared" si="63"/>
      </c>
    </row>
    <row r="690">
      <c r="C690">
        <f>IF(往来单位!$B$233="","",TRIM(往来单位!$E$233&amp;""))</f>
      </c>
      <c r="D690">
        <f>往来单位!$B$233&amp;""</f>
      </c>
      <c r="T690">
        <f>IF(C690="",0,LEN(C690)*10000+9310)</f>
        <v>0</v>
      </c>
      <c r="U690">
        <f>IF(LARGE($T$1:$T$900,690)=0,0,MATCH(LARGE($T$1:$T$900,690),$T$1:$T$900,0))</f>
        <v>0</v>
      </c>
      <c r="V690">
        <f t="shared" si="62"/>
      </c>
      <c r="W690">
        <f t="shared" si="63"/>
      </c>
    </row>
    <row r="691">
      <c r="C691">
        <f>IF(往来单位!$B$234="","",TRIM(往来单位!$B$234&amp;""))</f>
      </c>
      <c r="D691">
        <f>往来单位!$B$234&amp;""</f>
      </c>
      <c r="T691">
        <f>IF(C691="",0,LEN(C691)*10000+9309)</f>
        <v>0</v>
      </c>
      <c r="U691">
        <f>IF(LARGE($T$1:$T$900,691)=0,0,MATCH(LARGE($T$1:$T$900,691),$T$1:$T$900,0))</f>
        <v>0</v>
      </c>
      <c r="V691">
        <f t="shared" si="62"/>
      </c>
      <c r="W691">
        <f t="shared" si="63"/>
      </c>
    </row>
    <row r="692">
      <c r="C692">
        <f>IF(往来单位!$B$234="","",TRIM(往来单位!$D$234&amp;""))</f>
      </c>
      <c r="D692">
        <f>往来单位!$B$234&amp;""</f>
      </c>
      <c r="T692">
        <f>IF(C692="",0,LEN(C692)*10000+9308)</f>
        <v>0</v>
      </c>
      <c r="U692">
        <f>IF(LARGE($T$1:$T$900,692)=0,0,MATCH(LARGE($T$1:$T$900,692),$T$1:$T$900,0))</f>
        <v>0</v>
      </c>
      <c r="V692">
        <f t="shared" si="62"/>
      </c>
      <c r="W692">
        <f t="shared" si="63"/>
      </c>
    </row>
    <row r="693">
      <c r="C693">
        <f>IF(往来单位!$B$234="","",TRIM(往来单位!$E$234&amp;""))</f>
      </c>
      <c r="D693">
        <f>往来单位!$B$234&amp;""</f>
      </c>
      <c r="T693">
        <f>IF(C693="",0,LEN(C693)*10000+9307)</f>
        <v>0</v>
      </c>
      <c r="U693">
        <f>IF(LARGE($T$1:$T$900,693)=0,0,MATCH(LARGE($T$1:$T$900,693),$T$1:$T$900,0))</f>
        <v>0</v>
      </c>
      <c r="V693">
        <f t="shared" si="62"/>
      </c>
      <c r="W693">
        <f t="shared" si="63"/>
      </c>
    </row>
    <row r="694">
      <c r="C694">
        <f>IF(往来单位!$B$235="","",TRIM(往来单位!$B$235&amp;""))</f>
      </c>
      <c r="D694">
        <f>往来单位!$B$235&amp;""</f>
      </c>
      <c r="T694">
        <f>IF(C694="",0,LEN(C694)*10000+9306)</f>
        <v>0</v>
      </c>
      <c r="U694">
        <f>IF(LARGE($T$1:$T$900,694)=0,0,MATCH(LARGE($T$1:$T$900,694),$T$1:$T$900,0))</f>
        <v>0</v>
      </c>
      <c r="V694">
        <f t="shared" si="62"/>
      </c>
      <c r="W694">
        <f t="shared" si="63"/>
      </c>
    </row>
    <row r="695">
      <c r="C695">
        <f>IF(往来单位!$B$235="","",TRIM(往来单位!$D$235&amp;""))</f>
      </c>
      <c r="D695">
        <f>往来单位!$B$235&amp;""</f>
      </c>
      <c r="T695">
        <f>IF(C695="",0,LEN(C695)*10000+9305)</f>
        <v>0</v>
      </c>
      <c r="U695">
        <f>IF(LARGE($T$1:$T$900,695)=0,0,MATCH(LARGE($T$1:$T$900,695),$T$1:$T$900,0))</f>
        <v>0</v>
      </c>
      <c r="V695">
        <f t="shared" si="62"/>
      </c>
      <c r="W695">
        <f t="shared" si="63"/>
      </c>
    </row>
    <row r="696">
      <c r="C696">
        <f>IF(往来单位!$B$235="","",TRIM(往来单位!$E$235&amp;""))</f>
      </c>
      <c r="D696">
        <f>往来单位!$B$235&amp;""</f>
      </c>
      <c r="T696">
        <f>IF(C696="",0,LEN(C696)*10000+9304)</f>
        <v>0</v>
      </c>
      <c r="U696">
        <f>IF(LARGE($T$1:$T$900,696)=0,0,MATCH(LARGE($T$1:$T$900,696),$T$1:$T$900,0))</f>
        <v>0</v>
      </c>
      <c r="V696">
        <f t="shared" si="62"/>
      </c>
      <c r="W696">
        <f t="shared" si="63"/>
      </c>
    </row>
    <row r="697">
      <c r="C697">
        <f>IF(往来单位!$B$236="","",TRIM(往来单位!$B$236&amp;""))</f>
      </c>
      <c r="D697">
        <f>往来单位!$B$236&amp;""</f>
      </c>
      <c r="T697">
        <f>IF(C697="",0,LEN(C697)*10000+9303)</f>
        <v>0</v>
      </c>
      <c r="U697">
        <f>IF(LARGE($T$1:$T$900,697)=0,0,MATCH(LARGE($T$1:$T$900,697),$T$1:$T$900,0))</f>
        <v>0</v>
      </c>
      <c r="V697">
        <f t="shared" si="62"/>
      </c>
      <c r="W697">
        <f t="shared" si="63"/>
      </c>
    </row>
    <row r="698">
      <c r="C698">
        <f>IF(往来单位!$B$236="","",TRIM(往来单位!$D$236&amp;""))</f>
      </c>
      <c r="D698">
        <f>往来单位!$B$236&amp;""</f>
      </c>
      <c r="T698">
        <f>IF(C698="",0,LEN(C698)*10000+9302)</f>
        <v>0</v>
      </c>
      <c r="U698">
        <f>IF(LARGE($T$1:$T$900,698)=0,0,MATCH(LARGE($T$1:$T$900,698),$T$1:$T$900,0))</f>
        <v>0</v>
      </c>
      <c r="V698">
        <f t="shared" si="62"/>
      </c>
      <c r="W698">
        <f t="shared" si="63"/>
      </c>
    </row>
    <row r="699">
      <c r="C699">
        <f>IF(往来单位!$B$236="","",TRIM(往来单位!$E$236&amp;""))</f>
      </c>
      <c r="D699">
        <f>往来单位!$B$236&amp;""</f>
      </c>
      <c r="T699">
        <f>IF(C699="",0,LEN(C699)*10000+9301)</f>
        <v>0</v>
      </c>
      <c r="U699">
        <f>IF(LARGE($T$1:$T$900,699)=0,0,MATCH(LARGE($T$1:$T$900,699),$T$1:$T$900,0))</f>
        <v>0</v>
      </c>
      <c r="V699">
        <f t="shared" si="62"/>
      </c>
      <c r="W699">
        <f t="shared" si="63"/>
      </c>
    </row>
    <row r="700">
      <c r="C700">
        <f>IF(往来单位!$B$237="","",TRIM(往来单位!$B$237&amp;""))</f>
      </c>
      <c r="D700">
        <f>往来单位!$B$237&amp;""</f>
      </c>
      <c r="T700">
        <f>IF(C700="",0,LEN(C700)*10000+9300)</f>
        <v>0</v>
      </c>
      <c r="U700">
        <f>IF(LARGE($T$1:$T$900,700)=0,0,MATCH(LARGE($T$1:$T$900,700),$T$1:$T$900,0))</f>
        <v>0</v>
      </c>
      <c r="V700">
        <f t="shared" si="62"/>
      </c>
      <c r="W700">
        <f t="shared" si="63"/>
      </c>
    </row>
    <row r="701">
      <c r="C701">
        <f>IF(往来单位!$B$237="","",TRIM(往来单位!$D$237&amp;""))</f>
      </c>
      <c r="D701">
        <f>往来单位!$B$237&amp;""</f>
      </c>
      <c r="T701">
        <f>IF(C701="",0,LEN(C701)*10000+9299)</f>
        <v>0</v>
      </c>
      <c r="U701">
        <f>IF(LARGE($T$1:$T$900,701)=0,0,MATCH(LARGE($T$1:$T$900,701),$T$1:$T$900,0))</f>
        <v>0</v>
      </c>
      <c r="V701">
        <f t="shared" si="62"/>
      </c>
      <c r="W701">
        <f t="shared" si="63"/>
      </c>
    </row>
    <row r="702">
      <c r="C702">
        <f>IF(往来单位!$B$237="","",TRIM(往来单位!$E$237&amp;""))</f>
      </c>
      <c r="D702">
        <f>往来单位!$B$237&amp;""</f>
      </c>
      <c r="T702">
        <f>IF(C702="",0,LEN(C702)*10000+9298)</f>
        <v>0</v>
      </c>
      <c r="U702">
        <f>IF(LARGE($T$1:$T$900,702)=0,0,MATCH(LARGE($T$1:$T$900,702),$T$1:$T$900,0))</f>
        <v>0</v>
      </c>
      <c r="V702">
        <f t="shared" si="62"/>
      </c>
      <c r="W702">
        <f t="shared" si="63"/>
      </c>
    </row>
    <row r="703">
      <c r="C703">
        <f>IF(往来单位!$B$238="","",TRIM(往来单位!$B$238&amp;""))</f>
      </c>
      <c r="D703">
        <f>往来单位!$B$238&amp;""</f>
      </c>
      <c r="T703">
        <f>IF(C703="",0,LEN(C703)*10000+9297)</f>
        <v>0</v>
      </c>
      <c r="U703">
        <f>IF(LARGE($T$1:$T$900,703)=0,0,MATCH(LARGE($T$1:$T$900,703),$T$1:$T$900,0))</f>
        <v>0</v>
      </c>
      <c r="V703">
        <f t="shared" si="62"/>
      </c>
      <c r="W703">
        <f t="shared" si="63"/>
      </c>
    </row>
    <row r="704">
      <c r="C704">
        <f>IF(往来单位!$B$238="","",TRIM(往来单位!$D$238&amp;""))</f>
      </c>
      <c r="D704">
        <f>往来单位!$B$238&amp;""</f>
      </c>
      <c r="T704">
        <f>IF(C704="",0,LEN(C704)*10000+9296)</f>
        <v>0</v>
      </c>
      <c r="U704">
        <f>IF(LARGE($T$1:$T$900,704)=0,0,MATCH(LARGE($T$1:$T$900,704),$T$1:$T$900,0))</f>
        <v>0</v>
      </c>
      <c r="V704">
        <f t="shared" si="62"/>
      </c>
      <c r="W704">
        <f t="shared" si="63"/>
      </c>
    </row>
    <row r="705">
      <c r="C705">
        <f>IF(往来单位!$B$238="","",TRIM(往来单位!$E$238&amp;""))</f>
      </c>
      <c r="D705">
        <f>往来单位!$B$238&amp;""</f>
      </c>
      <c r="T705">
        <f>IF(C705="",0,LEN(C705)*10000+9295)</f>
        <v>0</v>
      </c>
      <c r="U705">
        <f>IF(LARGE($T$1:$T$900,705)=0,0,MATCH(LARGE($T$1:$T$900,705),$T$1:$T$900,0))</f>
        <v>0</v>
      </c>
      <c r="V705">
        <f t="shared" si="62"/>
      </c>
      <c r="W705">
        <f t="shared" si="63"/>
      </c>
    </row>
    <row r="706">
      <c r="C706">
        <f>IF(往来单位!$B$239="","",TRIM(往来单位!$B$239&amp;""))</f>
      </c>
      <c r="D706">
        <f>往来单位!$B$239&amp;""</f>
      </c>
      <c r="T706">
        <f>IF(C706="",0,LEN(C706)*10000+9294)</f>
        <v>0</v>
      </c>
      <c r="U706">
        <f>IF(LARGE($T$1:$T$900,706)=0,0,MATCH(LARGE($T$1:$T$900,706),$T$1:$T$900,0))</f>
        <v>0</v>
      </c>
      <c r="V706">
        <f t="shared" si="62"/>
      </c>
      <c r="W706">
        <f t="shared" si="63"/>
      </c>
    </row>
    <row r="707">
      <c r="C707">
        <f>IF(往来单位!$B$239="","",TRIM(往来单位!$D$239&amp;""))</f>
      </c>
      <c r="D707">
        <f>往来单位!$B$239&amp;""</f>
      </c>
      <c r="T707">
        <f>IF(C707="",0,LEN(C707)*10000+9293)</f>
        <v>0</v>
      </c>
      <c r="U707">
        <f>IF(LARGE($T$1:$T$900,707)=0,0,MATCH(LARGE($T$1:$T$900,707),$T$1:$T$900,0))</f>
        <v>0</v>
      </c>
      <c r="V707">
        <f t="shared" si="62"/>
      </c>
      <c r="W707">
        <f t="shared" si="63"/>
      </c>
    </row>
    <row r="708">
      <c r="C708">
        <f>IF(往来单位!$B$239="","",TRIM(往来单位!$E$239&amp;""))</f>
      </c>
      <c r="D708">
        <f>往来单位!$B$239&amp;""</f>
      </c>
      <c r="T708">
        <f>IF(C708="",0,LEN(C708)*10000+9292)</f>
        <v>0</v>
      </c>
      <c r="U708">
        <f>IF(LARGE($T$1:$T$900,708)=0,0,MATCH(LARGE($T$1:$T$900,708),$T$1:$T$900,0))</f>
        <v>0</v>
      </c>
      <c r="V708">
        <f t="shared" si="62"/>
      </c>
      <c r="W708">
        <f t="shared" si="63"/>
      </c>
    </row>
    <row r="709">
      <c r="C709">
        <f>IF(往来单位!$B$240="","",TRIM(往来单位!$B$240&amp;""))</f>
      </c>
      <c r="D709">
        <f>往来单位!$B$240&amp;""</f>
      </c>
      <c r="T709">
        <f>IF(C709="",0,LEN(C709)*10000+9291)</f>
        <v>0</v>
      </c>
      <c r="U709">
        <f>IF(LARGE($T$1:$T$900,709)=0,0,MATCH(LARGE($T$1:$T$900,709),$T$1:$T$900,0))</f>
        <v>0</v>
      </c>
      <c r="V709">
        <f t="shared" si="62"/>
      </c>
      <c r="W709">
        <f t="shared" si="63"/>
      </c>
    </row>
    <row r="710">
      <c r="C710">
        <f>IF(往来单位!$B$240="","",TRIM(往来单位!$D$240&amp;""))</f>
      </c>
      <c r="D710">
        <f>往来单位!$B$240&amp;""</f>
      </c>
      <c r="T710">
        <f>IF(C710="",0,LEN(C710)*10000+9290)</f>
        <v>0</v>
      </c>
      <c r="U710">
        <f>IF(LARGE($T$1:$T$900,710)=0,0,MATCH(LARGE($T$1:$T$900,710),$T$1:$T$900,0))</f>
        <v>0</v>
      </c>
      <c r="V710">
        <f t="shared" si="62"/>
      </c>
      <c r="W710">
        <f t="shared" si="63"/>
      </c>
    </row>
    <row r="711">
      <c r="C711">
        <f>IF(往来单位!$B$240="","",TRIM(往来单位!$E$240&amp;""))</f>
      </c>
      <c r="D711">
        <f>往来单位!$B$240&amp;""</f>
      </c>
      <c r="T711">
        <f>IF(C711="",0,LEN(C711)*10000+9289)</f>
        <v>0</v>
      </c>
      <c r="U711">
        <f>IF(LARGE($T$1:$T$900,711)=0,0,MATCH(LARGE($T$1:$T$900,711),$T$1:$T$900,0))</f>
        <v>0</v>
      </c>
      <c r="V711">
        <f t="shared" si="62"/>
      </c>
      <c r="W711">
        <f t="shared" si="63"/>
      </c>
    </row>
    <row r="712">
      <c r="C712">
        <f>IF(往来单位!$B$241="","",TRIM(往来单位!$B$241&amp;""))</f>
      </c>
      <c r="D712">
        <f>往来单位!$B$241&amp;""</f>
      </c>
      <c r="T712">
        <f>IF(C712="",0,LEN(C712)*10000+9288)</f>
        <v>0</v>
      </c>
      <c r="U712">
        <f>IF(LARGE($T$1:$T$900,712)=0,0,MATCH(LARGE($T$1:$T$900,712),$T$1:$T$900,0))</f>
        <v>0</v>
      </c>
      <c r="V712">
        <f t="shared" si="62"/>
      </c>
      <c r="W712">
        <f t="shared" si="63"/>
      </c>
    </row>
    <row r="713">
      <c r="C713">
        <f>IF(往来单位!$B$241="","",TRIM(往来单位!$D$241&amp;""))</f>
      </c>
      <c r="D713">
        <f>往来单位!$B$241&amp;""</f>
      </c>
      <c r="T713">
        <f>IF(C713="",0,LEN(C713)*10000+9287)</f>
        <v>0</v>
      </c>
      <c r="U713">
        <f>IF(LARGE($T$1:$T$900,713)=0,0,MATCH(LARGE($T$1:$T$900,713),$T$1:$T$900,0))</f>
        <v>0</v>
      </c>
      <c r="V713">
        <f t="shared" si="62"/>
      </c>
      <c r="W713">
        <f t="shared" si="63"/>
      </c>
    </row>
    <row r="714">
      <c r="C714">
        <f>IF(往来单位!$B$241="","",TRIM(往来单位!$E$241&amp;""))</f>
      </c>
      <c r="D714">
        <f>往来单位!$B$241&amp;""</f>
      </c>
      <c r="T714">
        <f>IF(C714="",0,LEN(C714)*10000+9286)</f>
        <v>0</v>
      </c>
      <c r="U714">
        <f>IF(LARGE($T$1:$T$900,714)=0,0,MATCH(LARGE($T$1:$T$900,714),$T$1:$T$900,0))</f>
        <v>0</v>
      </c>
      <c r="V714">
        <f t="shared" si="62"/>
      </c>
      <c r="W714">
        <f t="shared" si="63"/>
      </c>
    </row>
    <row r="715">
      <c r="C715">
        <f>IF(往来单位!$B$242="","",TRIM(往来单位!$B$242&amp;""))</f>
      </c>
      <c r="D715">
        <f>往来单位!$B$242&amp;""</f>
      </c>
      <c r="T715">
        <f>IF(C715="",0,LEN(C715)*10000+9285)</f>
        <v>0</v>
      </c>
      <c r="U715">
        <f>IF(LARGE($T$1:$T$900,715)=0,0,MATCH(LARGE($T$1:$T$900,715),$T$1:$T$900,0))</f>
        <v>0</v>
      </c>
      <c r="V715">
        <f t="shared" si="62"/>
      </c>
      <c r="W715">
        <f t="shared" si="63"/>
      </c>
    </row>
    <row r="716">
      <c r="C716">
        <f>IF(往来单位!$B$242="","",TRIM(往来单位!$D$242&amp;""))</f>
      </c>
      <c r="D716">
        <f>往来单位!$B$242&amp;""</f>
      </c>
      <c r="T716">
        <f>IF(C716="",0,LEN(C716)*10000+9284)</f>
        <v>0</v>
      </c>
      <c r="U716">
        <f>IF(LARGE($T$1:$T$900,716)=0,0,MATCH(LARGE($T$1:$T$900,716),$T$1:$T$900,0))</f>
        <v>0</v>
      </c>
      <c r="V716">
        <f t="shared" si="62"/>
      </c>
      <c r="W716">
        <f t="shared" si="63"/>
      </c>
    </row>
    <row r="717">
      <c r="C717">
        <f>IF(往来单位!$B$242="","",TRIM(往来单位!$E$242&amp;""))</f>
      </c>
      <c r="D717">
        <f>往来单位!$B$242&amp;""</f>
      </c>
      <c r="T717">
        <f>IF(C717="",0,LEN(C717)*10000+9283)</f>
        <v>0</v>
      </c>
      <c r="U717">
        <f>IF(LARGE($T$1:$T$900,717)=0,0,MATCH(LARGE($T$1:$T$900,717),$T$1:$T$900,0))</f>
        <v>0</v>
      </c>
      <c r="V717">
        <f t="shared" si="62"/>
      </c>
      <c r="W717">
        <f t="shared" si="63"/>
      </c>
    </row>
    <row r="718">
      <c r="C718">
        <f>IF(往来单位!$B$243="","",TRIM(往来单位!$B$243&amp;""))</f>
      </c>
      <c r="D718">
        <f>往来单位!$B$243&amp;""</f>
      </c>
      <c r="T718">
        <f>IF(C718="",0,LEN(C718)*10000+9282)</f>
        <v>0</v>
      </c>
      <c r="U718">
        <f>IF(LARGE($T$1:$T$900,718)=0,0,MATCH(LARGE($T$1:$T$900,718),$T$1:$T$900,0))</f>
        <v>0</v>
      </c>
      <c r="V718">
        <f t="shared" si="62"/>
      </c>
      <c r="W718">
        <f t="shared" si="63"/>
      </c>
    </row>
    <row r="719">
      <c r="C719">
        <f>IF(往来单位!$B$243="","",TRIM(往来单位!$D$243&amp;""))</f>
      </c>
      <c r="D719">
        <f>往来单位!$B$243&amp;""</f>
      </c>
      <c r="T719">
        <f>IF(C719="",0,LEN(C719)*10000+9281)</f>
        <v>0</v>
      </c>
      <c r="U719">
        <f>IF(LARGE($T$1:$T$900,719)=0,0,MATCH(LARGE($T$1:$T$900,719),$T$1:$T$900,0))</f>
        <v>0</v>
      </c>
      <c r="V719">
        <f t="shared" si="62"/>
      </c>
      <c r="W719">
        <f t="shared" si="63"/>
      </c>
    </row>
    <row r="720">
      <c r="C720">
        <f>IF(往来单位!$B$243="","",TRIM(往来单位!$E$243&amp;""))</f>
      </c>
      <c r="D720">
        <f>往来单位!$B$243&amp;""</f>
      </c>
      <c r="T720">
        <f>IF(C720="",0,LEN(C720)*10000+9280)</f>
        <v>0</v>
      </c>
      <c r="U720">
        <f>IF(LARGE($T$1:$T$900,720)=0,0,MATCH(LARGE($T$1:$T$900,720),$T$1:$T$900,0))</f>
        <v>0</v>
      </c>
      <c r="V720">
        <f t="shared" si="62"/>
      </c>
      <c r="W720">
        <f t="shared" si="63"/>
      </c>
    </row>
    <row r="721">
      <c r="C721">
        <f>IF(往来单位!$B$244="","",TRIM(往来单位!$B$244&amp;""))</f>
      </c>
      <c r="D721">
        <f>往来单位!$B$244&amp;""</f>
      </c>
      <c r="T721">
        <f>IF(C721="",0,LEN(C721)*10000+9279)</f>
        <v>0</v>
      </c>
      <c r="U721">
        <f>IF(LARGE($T$1:$T$900,721)=0,0,MATCH(LARGE($T$1:$T$900,721),$T$1:$T$900,0))</f>
        <v>0</v>
      </c>
      <c r="V721">
        <f t="shared" si="62"/>
      </c>
      <c r="W721">
        <f t="shared" si="63"/>
      </c>
    </row>
    <row r="722">
      <c r="C722">
        <f>IF(往来单位!$B$244="","",TRIM(往来单位!$D$244&amp;""))</f>
      </c>
      <c r="D722">
        <f>往来单位!$B$244&amp;""</f>
      </c>
      <c r="T722">
        <f>IF(C722="",0,LEN(C722)*10000+9278)</f>
        <v>0</v>
      </c>
      <c r="U722">
        <f>IF(LARGE($T$1:$T$900,722)=0,0,MATCH(LARGE($T$1:$T$900,722),$T$1:$T$900,0))</f>
        <v>0</v>
      </c>
      <c r="V722">
        <f t="shared" si="62"/>
      </c>
      <c r="W722">
        <f t="shared" si="63"/>
      </c>
    </row>
    <row r="723">
      <c r="C723">
        <f>IF(往来单位!$B$244="","",TRIM(往来单位!$E$244&amp;""))</f>
      </c>
      <c r="D723">
        <f>往来单位!$B$244&amp;""</f>
      </c>
      <c r="T723">
        <f>IF(C723="",0,LEN(C723)*10000+9277)</f>
        <v>0</v>
      </c>
      <c r="U723">
        <f>IF(LARGE($T$1:$T$900,723)=0,0,MATCH(LARGE($T$1:$T$900,723),$T$1:$T$900,0))</f>
        <v>0</v>
      </c>
      <c r="V723">
        <f t="shared" si="62"/>
      </c>
      <c r="W723">
        <f t="shared" si="63"/>
      </c>
    </row>
    <row r="724">
      <c r="C724">
        <f>IF(往来单位!$B$245="","",TRIM(往来单位!$B$245&amp;""))</f>
      </c>
      <c r="D724">
        <f>往来单位!$B$245&amp;""</f>
      </c>
      <c r="T724">
        <f>IF(C724="",0,LEN(C724)*10000+9276)</f>
        <v>0</v>
      </c>
      <c r="U724">
        <f>IF(LARGE($T$1:$T$900,724)=0,0,MATCH(LARGE($T$1:$T$900,724),$T$1:$T$900,0))</f>
        <v>0</v>
      </c>
      <c r="V724">
        <f t="shared" si="62"/>
      </c>
      <c r="W724">
        <f t="shared" si="63"/>
      </c>
    </row>
    <row r="725">
      <c r="C725">
        <f>IF(往来单位!$B$245="","",TRIM(往来单位!$D$245&amp;""))</f>
      </c>
      <c r="D725">
        <f>往来单位!$B$245&amp;""</f>
      </c>
      <c r="T725">
        <f>IF(C725="",0,LEN(C725)*10000+9275)</f>
        <v>0</v>
      </c>
      <c r="U725">
        <f>IF(LARGE($T$1:$T$900,725)=0,0,MATCH(LARGE($T$1:$T$900,725),$T$1:$T$900,0))</f>
        <v>0</v>
      </c>
      <c r="V725">
        <f t="shared" si="62"/>
      </c>
      <c r="W725">
        <f t="shared" si="63"/>
      </c>
    </row>
    <row r="726">
      <c r="C726">
        <f>IF(往来单位!$B$245="","",TRIM(往来单位!$E$245&amp;""))</f>
      </c>
      <c r="D726">
        <f>往来单位!$B$245&amp;""</f>
      </c>
      <c r="T726">
        <f>IF(C726="",0,LEN(C726)*10000+9274)</f>
        <v>0</v>
      </c>
      <c r="U726">
        <f>IF(LARGE($T$1:$T$900,726)=0,0,MATCH(LARGE($T$1:$T$900,726),$T$1:$T$900,0))</f>
        <v>0</v>
      </c>
      <c r="V726">
        <f t="shared" si="62"/>
      </c>
      <c r="W726">
        <f t="shared" si="63"/>
      </c>
    </row>
    <row r="727">
      <c r="C727">
        <f>IF(往来单位!$B$246="","",TRIM(往来单位!$B$246&amp;""))</f>
      </c>
      <c r="D727">
        <f>往来单位!$B$246&amp;""</f>
      </c>
      <c r="T727">
        <f>IF(C727="",0,LEN(C727)*10000+9273)</f>
        <v>0</v>
      </c>
      <c r="U727">
        <f>IF(LARGE($T$1:$T$900,727)=0,0,MATCH(LARGE($T$1:$T$900,727),$T$1:$T$900,0))</f>
        <v>0</v>
      </c>
      <c r="V727">
        <f t="shared" si="62"/>
      </c>
      <c r="W727">
        <f t="shared" si="63"/>
      </c>
    </row>
    <row r="728">
      <c r="C728">
        <f>IF(往来单位!$B$246="","",TRIM(往来单位!$D$246&amp;""))</f>
      </c>
      <c r="D728">
        <f>往来单位!$B$246&amp;""</f>
      </c>
      <c r="T728">
        <f>IF(C728="",0,LEN(C728)*10000+9272)</f>
        <v>0</v>
      </c>
      <c r="U728">
        <f>IF(LARGE($T$1:$T$900,728)=0,0,MATCH(LARGE($T$1:$T$900,728),$T$1:$T$900,0))</f>
        <v>0</v>
      </c>
      <c r="V728">
        <f t="shared" si="62"/>
      </c>
      <c r="W728">
        <f t="shared" si="63"/>
      </c>
    </row>
    <row r="729">
      <c r="C729">
        <f>IF(往来单位!$B$246="","",TRIM(往来单位!$E$246&amp;""))</f>
      </c>
      <c r="D729">
        <f>往来单位!$B$246&amp;""</f>
      </c>
      <c r="T729">
        <f>IF(C729="",0,LEN(C729)*10000+9271)</f>
        <v>0</v>
      </c>
      <c r="U729">
        <f>IF(LARGE($T$1:$T$900,729)=0,0,MATCH(LARGE($T$1:$T$900,729),$T$1:$T$900,0))</f>
        <v>0</v>
      </c>
      <c r="V729">
        <f t="shared" si="62"/>
      </c>
      <c r="W729">
        <f t="shared" si="63"/>
      </c>
    </row>
    <row r="730">
      <c r="C730">
        <f>IF(往来单位!$B$247="","",TRIM(往来单位!$B$247&amp;""))</f>
      </c>
      <c r="D730">
        <f>往来单位!$B$247&amp;""</f>
      </c>
      <c r="T730">
        <f>IF(C730="",0,LEN(C730)*10000+9270)</f>
        <v>0</v>
      </c>
      <c r="U730">
        <f>IF(LARGE($T$1:$T$900,730)=0,0,MATCH(LARGE($T$1:$T$900,730),$T$1:$T$900,0))</f>
        <v>0</v>
      </c>
      <c r="V730">
        <f t="shared" si="62"/>
      </c>
      <c r="W730">
        <f t="shared" si="63"/>
      </c>
    </row>
    <row r="731">
      <c r="C731">
        <f>IF(往来单位!$B$247="","",TRIM(往来单位!$D$247&amp;""))</f>
      </c>
      <c r="D731">
        <f>往来单位!$B$247&amp;""</f>
      </c>
      <c r="T731">
        <f>IF(C731="",0,LEN(C731)*10000+9269)</f>
        <v>0</v>
      </c>
      <c r="U731">
        <f>IF(LARGE($T$1:$T$900,731)=0,0,MATCH(LARGE($T$1:$T$900,731),$T$1:$T$900,0))</f>
        <v>0</v>
      </c>
      <c r="V731">
        <f t="shared" si="62"/>
      </c>
      <c r="W731">
        <f t="shared" si="63"/>
      </c>
    </row>
    <row r="732">
      <c r="C732">
        <f>IF(往来单位!$B$247="","",TRIM(往来单位!$E$247&amp;""))</f>
      </c>
      <c r="D732">
        <f>往来单位!$B$247&amp;""</f>
      </c>
      <c r="T732">
        <f>IF(C732="",0,LEN(C732)*10000+9268)</f>
        <v>0</v>
      </c>
      <c r="U732">
        <f>IF(LARGE($T$1:$T$900,732)=0,0,MATCH(LARGE($T$1:$T$900,732),$T$1:$T$900,0))</f>
        <v>0</v>
      </c>
      <c r="V732">
        <f t="shared" si="62"/>
      </c>
      <c r="W732">
        <f t="shared" si="63"/>
      </c>
    </row>
    <row r="733">
      <c r="C733">
        <f>IF(往来单位!$B$248="","",TRIM(往来单位!$B$248&amp;""))</f>
      </c>
      <c r="D733">
        <f>往来单位!$B$248&amp;""</f>
      </c>
      <c r="T733">
        <f>IF(C733="",0,LEN(C733)*10000+9267)</f>
        <v>0</v>
      </c>
      <c r="U733">
        <f>IF(LARGE($T$1:$T$900,733)=0,0,MATCH(LARGE($T$1:$T$900,733),$T$1:$T$900,0))</f>
        <v>0</v>
      </c>
      <c r="V733">
        <f t="shared" si="62"/>
      </c>
      <c r="W733">
        <f t="shared" si="63"/>
      </c>
    </row>
    <row r="734">
      <c r="C734">
        <f>IF(往来单位!$B$248="","",TRIM(往来单位!$D$248&amp;""))</f>
      </c>
      <c r="D734">
        <f>往来单位!$B$248&amp;""</f>
      </c>
      <c r="T734">
        <f>IF(C734="",0,LEN(C734)*10000+9266)</f>
        <v>0</v>
      </c>
      <c r="U734">
        <f>IF(LARGE($T$1:$T$900,734)=0,0,MATCH(LARGE($T$1:$T$900,734),$T$1:$T$900,0))</f>
        <v>0</v>
      </c>
      <c r="V734">
        <f t="shared" si="62"/>
      </c>
      <c r="W734">
        <f t="shared" si="63"/>
      </c>
    </row>
    <row r="735">
      <c r="C735">
        <f>IF(往来单位!$B$248="","",TRIM(往来单位!$E$248&amp;""))</f>
      </c>
      <c r="D735">
        <f>往来单位!$B$248&amp;""</f>
      </c>
      <c r="T735">
        <f>IF(C735="",0,LEN(C735)*10000+9265)</f>
        <v>0</v>
      </c>
      <c r="U735">
        <f>IF(LARGE($T$1:$T$900,735)=0,0,MATCH(LARGE($T$1:$T$900,735),$T$1:$T$900,0))</f>
        <v>0</v>
      </c>
      <c r="V735">
        <f t="shared" si="62"/>
      </c>
      <c r="W735">
        <f t="shared" si="63"/>
      </c>
    </row>
    <row r="736">
      <c r="C736">
        <f>IF(往来单位!$B$249="","",TRIM(往来单位!$B$249&amp;""))</f>
      </c>
      <c r="D736">
        <f>往来单位!$B$249&amp;""</f>
      </c>
      <c r="T736">
        <f>IF(C736="",0,LEN(C736)*10000+9264)</f>
        <v>0</v>
      </c>
      <c r="U736">
        <f>IF(LARGE($T$1:$T$900,736)=0,0,MATCH(LARGE($T$1:$T$900,736),$T$1:$T$900,0))</f>
        <v>0</v>
      </c>
      <c r="V736">
        <f t="shared" si="62"/>
      </c>
      <c r="W736">
        <f t="shared" si="63"/>
      </c>
    </row>
    <row r="737">
      <c r="C737">
        <f>IF(往来单位!$B$249="","",TRIM(往来单位!$D$249&amp;""))</f>
      </c>
      <c r="D737">
        <f>往来单位!$B$249&amp;""</f>
      </c>
      <c r="T737">
        <f>IF(C737="",0,LEN(C737)*10000+9263)</f>
        <v>0</v>
      </c>
      <c r="U737">
        <f>IF(LARGE($T$1:$T$900,737)=0,0,MATCH(LARGE($T$1:$T$900,737),$T$1:$T$900,0))</f>
        <v>0</v>
      </c>
      <c r="V737">
        <f t="shared" si="62"/>
      </c>
      <c r="W737">
        <f t="shared" si="63"/>
      </c>
    </row>
    <row r="738">
      <c r="C738">
        <f>IF(往来单位!$B$249="","",TRIM(往来单位!$E$249&amp;""))</f>
      </c>
      <c r="D738">
        <f>往来单位!$B$249&amp;""</f>
      </c>
      <c r="T738">
        <f>IF(C738="",0,LEN(C738)*10000+9262)</f>
        <v>0</v>
      </c>
      <c r="U738">
        <f>IF(LARGE($T$1:$T$900,738)=0,0,MATCH(LARGE($T$1:$T$900,738),$T$1:$T$900,0))</f>
        <v>0</v>
      </c>
      <c r="V738">
        <f t="shared" si="62"/>
      </c>
      <c r="W738">
        <f t="shared" si="63"/>
      </c>
    </row>
    <row r="739">
      <c r="C739">
        <f>IF(往来单位!$B$250="","",TRIM(往来单位!$B$250&amp;""))</f>
      </c>
      <c r="D739">
        <f>往来单位!$B$250&amp;""</f>
      </c>
      <c r="T739">
        <f>IF(C739="",0,LEN(C739)*10000+9261)</f>
        <v>0</v>
      </c>
      <c r="U739">
        <f>IF(LARGE($T$1:$T$900,739)=0,0,MATCH(LARGE($T$1:$T$900,739),$T$1:$T$900,0))</f>
        <v>0</v>
      </c>
      <c r="V739">
        <f t="shared" si="62"/>
      </c>
      <c r="W739">
        <f t="shared" si="63"/>
      </c>
    </row>
    <row r="740">
      <c r="C740">
        <f>IF(往来单位!$B$250="","",TRIM(往来单位!$D$250&amp;""))</f>
      </c>
      <c r="D740">
        <f>往来单位!$B$250&amp;""</f>
      </c>
      <c r="T740">
        <f>IF(C740="",0,LEN(C740)*10000+9260)</f>
        <v>0</v>
      </c>
      <c r="U740">
        <f>IF(LARGE($T$1:$T$900,740)=0,0,MATCH(LARGE($T$1:$T$900,740),$T$1:$T$900,0))</f>
        <v>0</v>
      </c>
      <c r="V740">
        <f t="shared" si="62"/>
      </c>
      <c r="W740">
        <f t="shared" si="63"/>
      </c>
    </row>
    <row r="741">
      <c r="C741">
        <f>IF(往来单位!$B$250="","",TRIM(往来单位!$E$250&amp;""))</f>
      </c>
      <c r="D741">
        <f>往来单位!$B$250&amp;""</f>
      </c>
      <c r="T741">
        <f>IF(C741="",0,LEN(C741)*10000+9259)</f>
        <v>0</v>
      </c>
      <c r="U741">
        <f>IF(LARGE($T$1:$T$900,741)=0,0,MATCH(LARGE($T$1:$T$900,741),$T$1:$T$900,0))</f>
        <v>0</v>
      </c>
      <c r="V741">
        <f t="shared" si="62"/>
      </c>
      <c r="W741">
        <f t="shared" si="63"/>
      </c>
    </row>
    <row r="742">
      <c r="C742">
        <f>IF(往来单位!$B$251="","",TRIM(往来单位!$B$251&amp;""))</f>
      </c>
      <c r="D742">
        <f>往来单位!$B$251&amp;""</f>
      </c>
      <c r="T742">
        <f>IF(C742="",0,LEN(C742)*10000+9258)</f>
        <v>0</v>
      </c>
      <c r="U742">
        <f>IF(LARGE($T$1:$T$900,742)=0,0,MATCH(LARGE($T$1:$T$900,742),$T$1:$T$900,0))</f>
        <v>0</v>
      </c>
      <c r="V742">
        <f t="shared" si="62"/>
      </c>
      <c r="W742">
        <f t="shared" si="63"/>
      </c>
    </row>
    <row r="743">
      <c r="C743">
        <f>IF(往来单位!$B$251="","",TRIM(往来单位!$D$251&amp;""))</f>
      </c>
      <c r="D743">
        <f>往来单位!$B$251&amp;""</f>
      </c>
      <c r="T743">
        <f>IF(C743="",0,LEN(C743)*10000+9257)</f>
        <v>0</v>
      </c>
      <c r="U743">
        <f>IF(LARGE($T$1:$T$900,743)=0,0,MATCH(LARGE($T$1:$T$900,743),$T$1:$T$900,0))</f>
        <v>0</v>
      </c>
      <c r="V743">
        <f t="shared" si="62"/>
      </c>
      <c r="W743">
        <f t="shared" si="63"/>
      </c>
    </row>
    <row r="744">
      <c r="C744">
        <f>IF(往来单位!$B$251="","",TRIM(往来单位!$E$251&amp;""))</f>
      </c>
      <c r="D744">
        <f>往来单位!$B$251&amp;""</f>
      </c>
      <c r="T744">
        <f>IF(C744="",0,LEN(C744)*10000+9256)</f>
        <v>0</v>
      </c>
      <c r="U744">
        <f>IF(LARGE($T$1:$T$900,744)=0,0,MATCH(LARGE($T$1:$T$900,744),$T$1:$T$900,0))</f>
        <v>0</v>
      </c>
      <c r="V744">
        <f t="shared" si="62"/>
      </c>
      <c r="W744">
        <f t="shared" si="63"/>
      </c>
    </row>
    <row r="745">
      <c r="C745">
        <f>IF(往来单位!$B$252="","",TRIM(往来单位!$B$252&amp;""))</f>
      </c>
      <c r="D745">
        <f>往来单位!$B$252&amp;""</f>
      </c>
      <c r="T745">
        <f>IF(C745="",0,LEN(C745)*10000+9255)</f>
        <v>0</v>
      </c>
      <c r="U745">
        <f>IF(LARGE($T$1:$T$900,745)=0,0,MATCH(LARGE($T$1:$T$900,745),$T$1:$T$900,0))</f>
        <v>0</v>
      </c>
      <c r="V745">
        <f t="shared" si="62"/>
      </c>
      <c r="W745">
        <f t="shared" si="63"/>
      </c>
    </row>
    <row r="746">
      <c r="C746">
        <f>IF(往来单位!$B$252="","",TRIM(往来单位!$D$252&amp;""))</f>
      </c>
      <c r="D746">
        <f>往来单位!$B$252&amp;""</f>
      </c>
      <c r="T746">
        <f>IF(C746="",0,LEN(C746)*10000+9254)</f>
        <v>0</v>
      </c>
      <c r="U746">
        <f>IF(LARGE($T$1:$T$900,746)=0,0,MATCH(LARGE($T$1:$T$900,746),$T$1:$T$900,0))</f>
        <v>0</v>
      </c>
      <c r="V746">
        <f t="shared" si="62"/>
      </c>
      <c r="W746">
        <f t="shared" si="63"/>
      </c>
    </row>
    <row r="747">
      <c r="C747">
        <f>IF(往来单位!$B$252="","",TRIM(往来单位!$E$252&amp;""))</f>
      </c>
      <c r="D747">
        <f>往来单位!$B$252&amp;""</f>
      </c>
      <c r="T747">
        <f>IF(C747="",0,LEN(C747)*10000+9253)</f>
        <v>0</v>
      </c>
      <c r="U747">
        <f>IF(LARGE($T$1:$T$900,747)=0,0,MATCH(LARGE($T$1:$T$900,747),$T$1:$T$900,0))</f>
        <v>0</v>
      </c>
      <c r="V747">
        <f t="shared" si="62"/>
      </c>
      <c r="W747">
        <f t="shared" si="63"/>
      </c>
    </row>
    <row r="748">
      <c r="C748">
        <f>IF(往来单位!$B$253="","",TRIM(往来单位!$B$253&amp;""))</f>
      </c>
      <c r="D748">
        <f>往来单位!$B$253&amp;""</f>
      </c>
      <c r="T748">
        <f>IF(C748="",0,LEN(C748)*10000+9252)</f>
        <v>0</v>
      </c>
      <c r="U748">
        <f>IF(LARGE($T$1:$T$900,748)=0,0,MATCH(LARGE($T$1:$T$900,748),$T$1:$T$900,0))</f>
        <v>0</v>
      </c>
      <c r="V748">
        <f t="shared" si="62"/>
      </c>
      <c r="W748">
        <f t="shared" si="63"/>
      </c>
    </row>
    <row r="749">
      <c r="C749">
        <f>IF(往来单位!$B$253="","",TRIM(往来单位!$D$253&amp;""))</f>
      </c>
      <c r="D749">
        <f>往来单位!$B$253&amp;""</f>
      </c>
      <c r="T749">
        <f>IF(C749="",0,LEN(C749)*10000+9251)</f>
        <v>0</v>
      </c>
      <c r="U749">
        <f>IF(LARGE($T$1:$T$900,749)=0,0,MATCH(LARGE($T$1:$T$900,749),$T$1:$T$900,0))</f>
        <v>0</v>
      </c>
      <c r="V749">
        <f t="shared" si="62"/>
      </c>
      <c r="W749">
        <f t="shared" si="63"/>
      </c>
    </row>
    <row r="750">
      <c r="C750">
        <f>IF(往来单位!$B$253="","",TRIM(往来单位!$E$253&amp;""))</f>
      </c>
      <c r="D750">
        <f>往来单位!$B$253&amp;""</f>
      </c>
      <c r="T750">
        <f>IF(C750="",0,LEN(C750)*10000+9250)</f>
        <v>0</v>
      </c>
      <c r="U750">
        <f>IF(LARGE($T$1:$T$900,750)=0,0,MATCH(LARGE($T$1:$T$900,750),$T$1:$T$900,0))</f>
        <v>0</v>
      </c>
      <c r="V750">
        <f t="shared" si="62"/>
      </c>
      <c r="W750">
        <f t="shared" si="63"/>
      </c>
    </row>
    <row r="751">
      <c r="C751">
        <f>IF(往来单位!$B$254="","",TRIM(往来单位!$B$254&amp;""))</f>
      </c>
      <c r="D751">
        <f>往来单位!$B$254&amp;""</f>
      </c>
      <c r="T751">
        <f>IF(C751="",0,LEN(C751)*10000+9249)</f>
        <v>0</v>
      </c>
      <c r="U751">
        <f>IF(LARGE($T$1:$T$900,751)=0,0,MATCH(LARGE($T$1:$T$900,751),$T$1:$T$900,0))</f>
        <v>0</v>
      </c>
      <c r="V751">
        <f t="shared" si="62"/>
      </c>
      <c r="W751">
        <f t="shared" si="63"/>
      </c>
    </row>
    <row r="752">
      <c r="C752">
        <f>IF(往来单位!$B$254="","",TRIM(往来单位!$D$254&amp;""))</f>
      </c>
      <c r="D752">
        <f>往来单位!$B$254&amp;""</f>
      </c>
      <c r="T752">
        <f>IF(C752="",0,LEN(C752)*10000+9248)</f>
        <v>0</v>
      </c>
      <c r="U752">
        <f>IF(LARGE($T$1:$T$900,752)=0,0,MATCH(LARGE($T$1:$T$900,752),$T$1:$T$900,0))</f>
        <v>0</v>
      </c>
      <c r="V752">
        <f t="shared" si="62"/>
      </c>
      <c r="W752">
        <f t="shared" si="63"/>
      </c>
    </row>
    <row r="753">
      <c r="C753">
        <f>IF(往来单位!$B$254="","",TRIM(往来单位!$E$254&amp;""))</f>
      </c>
      <c r="D753">
        <f>往来单位!$B$254&amp;""</f>
      </c>
      <c r="T753">
        <f>IF(C753="",0,LEN(C753)*10000+9247)</f>
        <v>0</v>
      </c>
      <c r="U753">
        <f>IF(LARGE($T$1:$T$900,753)=0,0,MATCH(LARGE($T$1:$T$900,753),$T$1:$T$900,0))</f>
        <v>0</v>
      </c>
      <c r="V753">
        <f t="shared" si="62"/>
      </c>
      <c r="W753">
        <f t="shared" si="63"/>
      </c>
    </row>
    <row r="754">
      <c r="C754">
        <f>IF(往来单位!$B$255="","",TRIM(往来单位!$B$255&amp;""))</f>
      </c>
      <c r="D754">
        <f>往来单位!$B$255&amp;""</f>
      </c>
      <c r="T754">
        <f>IF(C754="",0,LEN(C754)*10000+9246)</f>
        <v>0</v>
      </c>
      <c r="U754">
        <f>IF(LARGE($T$1:$T$900,754)=0,0,MATCH(LARGE($T$1:$T$900,754),$T$1:$T$900,0))</f>
        <v>0</v>
      </c>
      <c r="V754">
        <f t="shared" si="62"/>
      </c>
      <c r="W754">
        <f t="shared" si="63"/>
      </c>
    </row>
    <row r="755">
      <c r="C755">
        <f>IF(往来单位!$B$255="","",TRIM(往来单位!$D$255&amp;""))</f>
      </c>
      <c r="D755">
        <f>往来单位!$B$255&amp;""</f>
      </c>
      <c r="T755">
        <f>IF(C755="",0,LEN(C755)*10000+9245)</f>
        <v>0</v>
      </c>
      <c r="U755">
        <f>IF(LARGE($T$1:$T$900,755)=0,0,MATCH(LARGE($T$1:$T$900,755),$T$1:$T$900,0))</f>
        <v>0</v>
      </c>
      <c r="V755">
        <f t="shared" si="62"/>
      </c>
      <c r="W755">
        <f t="shared" si="63"/>
      </c>
    </row>
    <row r="756">
      <c r="C756">
        <f>IF(往来单位!$B$255="","",TRIM(往来单位!$E$255&amp;""))</f>
      </c>
      <c r="D756">
        <f>往来单位!$B$255&amp;""</f>
      </c>
      <c r="T756">
        <f>IF(C756="",0,LEN(C756)*10000+9244)</f>
        <v>0</v>
      </c>
      <c r="U756">
        <f>IF(LARGE($T$1:$T$900,756)=0,0,MATCH(LARGE($T$1:$T$900,756),$T$1:$T$900,0))</f>
        <v>0</v>
      </c>
      <c r="V756">
        <f t="shared" si="62"/>
      </c>
      <c r="W756">
        <f t="shared" si="63"/>
      </c>
    </row>
    <row r="757">
      <c r="C757">
        <f>IF(往来单位!$B$256="","",TRIM(往来单位!$B$256&amp;""))</f>
      </c>
      <c r="D757">
        <f>往来单位!$B$256&amp;""</f>
      </c>
      <c r="T757">
        <f>IF(C757="",0,LEN(C757)*10000+9243)</f>
        <v>0</v>
      </c>
      <c r="U757">
        <f>IF(LARGE($T$1:$T$900,757)=0,0,MATCH(LARGE($T$1:$T$900,757),$T$1:$T$900,0))</f>
        <v>0</v>
      </c>
      <c r="V757">
        <f t="shared" si="62"/>
      </c>
      <c r="W757">
        <f t="shared" si="63"/>
      </c>
    </row>
    <row r="758">
      <c r="C758">
        <f>IF(往来单位!$B$256="","",TRIM(往来单位!$D$256&amp;""))</f>
      </c>
      <c r="D758">
        <f>往来单位!$B$256&amp;""</f>
      </c>
      <c r="T758">
        <f>IF(C758="",0,LEN(C758)*10000+9242)</f>
        <v>0</v>
      </c>
      <c r="U758">
        <f>IF(LARGE($T$1:$T$900,758)=0,0,MATCH(LARGE($T$1:$T$900,758),$T$1:$T$900,0))</f>
        <v>0</v>
      </c>
      <c r="V758">
        <f t="shared" si="62"/>
      </c>
      <c r="W758">
        <f t="shared" si="63"/>
      </c>
    </row>
    <row r="759">
      <c r="C759">
        <f>IF(往来单位!$B$256="","",TRIM(往来单位!$E$256&amp;""))</f>
      </c>
      <c r="D759">
        <f>往来单位!$B$256&amp;""</f>
      </c>
      <c r="T759">
        <f>IF(C759="",0,LEN(C759)*10000+9241)</f>
        <v>0</v>
      </c>
      <c r="U759">
        <f>IF(LARGE($T$1:$T$900,759)=0,0,MATCH(LARGE($T$1:$T$900,759),$T$1:$T$900,0))</f>
        <v>0</v>
      </c>
      <c r="V759">
        <f t="shared" si="62"/>
      </c>
      <c r="W759">
        <f t="shared" si="63"/>
      </c>
    </row>
    <row r="760">
      <c r="C760">
        <f>IF(往来单位!$B$257="","",TRIM(往来单位!$B$257&amp;""))</f>
      </c>
      <c r="D760">
        <f>往来单位!$B$257&amp;""</f>
      </c>
      <c r="T760">
        <f>IF(C760="",0,LEN(C760)*10000+9240)</f>
        <v>0</v>
      </c>
      <c r="U760">
        <f>IF(LARGE($T$1:$T$900,760)=0,0,MATCH(LARGE($T$1:$T$900,760),$T$1:$T$900,0))</f>
        <v>0</v>
      </c>
      <c r="V760">
        <f t="shared" si="62"/>
      </c>
      <c r="W760">
        <f t="shared" si="63"/>
      </c>
    </row>
    <row r="761">
      <c r="C761">
        <f>IF(往来单位!$B$257="","",TRIM(往来单位!$D$257&amp;""))</f>
      </c>
      <c r="D761">
        <f>往来单位!$B$257&amp;""</f>
      </c>
      <c r="T761">
        <f>IF(C761="",0,LEN(C761)*10000+9239)</f>
        <v>0</v>
      </c>
      <c r="U761">
        <f>IF(LARGE($T$1:$T$900,761)=0,0,MATCH(LARGE($T$1:$T$900,761),$T$1:$T$900,0))</f>
        <v>0</v>
      </c>
      <c r="V761">
        <f t="shared" si="62"/>
      </c>
      <c r="W761">
        <f t="shared" si="63"/>
      </c>
    </row>
    <row r="762">
      <c r="C762">
        <f>IF(往来单位!$B$257="","",TRIM(往来单位!$E$257&amp;""))</f>
      </c>
      <c r="D762">
        <f>往来单位!$B$257&amp;""</f>
      </c>
      <c r="T762">
        <f>IF(C762="",0,LEN(C762)*10000+9238)</f>
        <v>0</v>
      </c>
      <c r="U762">
        <f>IF(LARGE($T$1:$T$900,762)=0,0,MATCH(LARGE($T$1:$T$900,762),$T$1:$T$900,0))</f>
        <v>0</v>
      </c>
      <c r="V762">
        <f t="shared" si="62"/>
      </c>
      <c r="W762">
        <f t="shared" si="63"/>
      </c>
    </row>
    <row r="763">
      <c r="C763">
        <f>IF(往来单位!$B$258="","",TRIM(往来单位!$B$258&amp;""))</f>
      </c>
      <c r="D763">
        <f>往来单位!$B$258&amp;""</f>
      </c>
      <c r="T763">
        <f>IF(C763="",0,LEN(C763)*10000+9237)</f>
        <v>0</v>
      </c>
      <c r="U763">
        <f>IF(LARGE($T$1:$T$900,763)=0,0,MATCH(LARGE($T$1:$T$900,763),$T$1:$T$900,0))</f>
        <v>0</v>
      </c>
      <c r="V763">
        <f t="shared" si="62"/>
      </c>
      <c r="W763">
        <f t="shared" si="63"/>
      </c>
    </row>
    <row r="764">
      <c r="C764">
        <f>IF(往来单位!$B$258="","",TRIM(往来单位!$D$258&amp;""))</f>
      </c>
      <c r="D764">
        <f>往来单位!$B$258&amp;""</f>
      </c>
      <c r="T764">
        <f>IF(C764="",0,LEN(C764)*10000+9236)</f>
        <v>0</v>
      </c>
      <c r="U764">
        <f>IF(LARGE($T$1:$T$900,764)=0,0,MATCH(LARGE($T$1:$T$900,764),$T$1:$T$900,0))</f>
        <v>0</v>
      </c>
      <c r="V764">
        <f t="shared" si="62"/>
      </c>
      <c r="W764">
        <f t="shared" si="63"/>
      </c>
    </row>
    <row r="765">
      <c r="C765">
        <f>IF(往来单位!$B$258="","",TRIM(往来单位!$E$258&amp;""))</f>
      </c>
      <c r="D765">
        <f>往来单位!$B$258&amp;""</f>
      </c>
      <c r="T765">
        <f>IF(C765="",0,LEN(C765)*10000+9235)</f>
        <v>0</v>
      </c>
      <c r="U765">
        <f>IF(LARGE($T$1:$T$900,765)=0,0,MATCH(LARGE($T$1:$T$900,765),$T$1:$T$900,0))</f>
        <v>0</v>
      </c>
      <c r="V765">
        <f t="shared" si="62"/>
      </c>
      <c r="W765">
        <f t="shared" si="63"/>
      </c>
    </row>
    <row r="766">
      <c r="C766">
        <f>IF(往来单位!$B$259="","",TRIM(往来单位!$B$259&amp;""))</f>
      </c>
      <c r="D766">
        <f>往来单位!$B$259&amp;""</f>
      </c>
      <c r="T766">
        <f>IF(C766="",0,LEN(C766)*10000+9234)</f>
        <v>0</v>
      </c>
      <c r="U766">
        <f>IF(LARGE($T$1:$T$900,766)=0,0,MATCH(LARGE($T$1:$T$900,766),$T$1:$T$900,0))</f>
        <v>0</v>
      </c>
      <c r="V766">
        <f t="shared" si="62"/>
      </c>
      <c r="W766">
        <f t="shared" si="63"/>
      </c>
    </row>
    <row r="767">
      <c r="C767">
        <f>IF(往来单位!$B$259="","",TRIM(往来单位!$D$259&amp;""))</f>
      </c>
      <c r="D767">
        <f>往来单位!$B$259&amp;""</f>
      </c>
      <c r="T767">
        <f>IF(C767="",0,LEN(C767)*10000+9233)</f>
        <v>0</v>
      </c>
      <c r="U767">
        <f>IF(LARGE($T$1:$T$900,767)=0,0,MATCH(LARGE($T$1:$T$900,767),$T$1:$T$900,0))</f>
        <v>0</v>
      </c>
      <c r="V767">
        <f t="shared" si="62"/>
      </c>
      <c r="W767">
        <f t="shared" si="63"/>
      </c>
    </row>
    <row r="768">
      <c r="C768">
        <f>IF(往来单位!$B$259="","",TRIM(往来单位!$E$259&amp;""))</f>
      </c>
      <c r="D768">
        <f>往来单位!$B$259&amp;""</f>
      </c>
      <c r="T768">
        <f>IF(C768="",0,LEN(C768)*10000+9232)</f>
        <v>0</v>
      </c>
      <c r="U768">
        <f>IF(LARGE($T$1:$T$900,768)=0,0,MATCH(LARGE($T$1:$T$900,768),$T$1:$T$900,0))</f>
        <v>0</v>
      </c>
      <c r="V768">
        <f t="shared" si="62"/>
      </c>
      <c r="W768">
        <f t="shared" si="63"/>
      </c>
    </row>
    <row r="769">
      <c r="C769">
        <f>IF(往来单位!$B$260="","",TRIM(往来单位!$B$260&amp;""))</f>
      </c>
      <c r="D769">
        <f>往来单位!$B$260&amp;""</f>
      </c>
      <c r="T769">
        <f>IF(C769="",0,LEN(C769)*10000+9231)</f>
        <v>0</v>
      </c>
      <c r="U769">
        <f>IF(LARGE($T$1:$T$900,769)=0,0,MATCH(LARGE($T$1:$T$900,769),$T$1:$T$900,0))</f>
        <v>0</v>
      </c>
      <c r="V769">
        <f t="shared" si="62"/>
      </c>
      <c r="W769">
        <f t="shared" si="63"/>
      </c>
    </row>
    <row r="770">
      <c r="C770">
        <f>IF(往来单位!$B$260="","",TRIM(往来单位!$D$260&amp;""))</f>
      </c>
      <c r="D770">
        <f>往来单位!$B$260&amp;""</f>
      </c>
      <c r="T770">
        <f>IF(C770="",0,LEN(C770)*10000+9230)</f>
        <v>0</v>
      </c>
      <c r="U770">
        <f>IF(LARGE($T$1:$T$900,770)=0,0,MATCH(LARGE($T$1:$T$900,770),$T$1:$T$900,0))</f>
        <v>0</v>
      </c>
      <c r="V770">
        <f t="shared" si="62"/>
      </c>
      <c r="W770">
        <f t="shared" si="63"/>
      </c>
    </row>
    <row r="771">
      <c r="C771">
        <f>IF(往来单位!$B$260="","",TRIM(往来单位!$E$260&amp;""))</f>
      </c>
      <c r="D771">
        <f>往来单位!$B$260&amp;""</f>
      </c>
      <c r="T771">
        <f>IF(C771="",0,LEN(C771)*10000+9229)</f>
        <v>0</v>
      </c>
      <c r="U771">
        <f>IF(LARGE($T$1:$T$900,771)=0,0,MATCH(LARGE($T$1:$T$900,771),$T$1:$T$900,0))</f>
        <v>0</v>
      </c>
      <c r="V771">
        <f t="shared" si="62"/>
      </c>
      <c r="W771">
        <f t="shared" si="63"/>
      </c>
    </row>
    <row r="772">
      <c r="C772">
        <f>IF(往来单位!$B$261="","",TRIM(往来单位!$B$261&amp;""))</f>
      </c>
      <c r="D772">
        <f>往来单位!$B$261&amp;""</f>
      </c>
      <c r="T772">
        <f>IF(C772="",0,LEN(C772)*10000+9228)</f>
        <v>0</v>
      </c>
      <c r="U772">
        <f>IF(LARGE($T$1:$T$900,772)=0,0,MATCH(LARGE($T$1:$T$900,772),$T$1:$T$900,0))</f>
        <v>0</v>
      </c>
      <c r="V772">
        <f t="shared" si="62"/>
      </c>
      <c r="W772">
        <f t="shared" si="63"/>
      </c>
    </row>
    <row r="773">
      <c r="C773">
        <f>IF(往来单位!$B$261="","",TRIM(往来单位!$D$261&amp;""))</f>
      </c>
      <c r="D773">
        <f>往来单位!$B$261&amp;""</f>
      </c>
      <c r="T773">
        <f>IF(C773="",0,LEN(C773)*10000+9227)</f>
        <v>0</v>
      </c>
      <c r="U773">
        <f>IF(LARGE($T$1:$T$900,773)=0,0,MATCH(LARGE($T$1:$T$900,773),$T$1:$T$900,0))</f>
        <v>0</v>
      </c>
      <c r="V773">
        <f t="shared" si="62"/>
      </c>
      <c r="W773">
        <f t="shared" si="63"/>
      </c>
    </row>
    <row r="774">
      <c r="C774">
        <f>IF(往来单位!$B$261="","",TRIM(往来单位!$E$261&amp;""))</f>
      </c>
      <c r="D774">
        <f>往来单位!$B$261&amp;""</f>
      </c>
      <c r="T774">
        <f>IF(C774="",0,LEN(C774)*10000+9226)</f>
        <v>0</v>
      </c>
      <c r="U774">
        <f>IF(LARGE($T$1:$T$900,774)=0,0,MATCH(LARGE($T$1:$T$900,774),$T$1:$T$900,0))</f>
        <v>0</v>
      </c>
      <c r="V774">
        <f t="shared" si="62"/>
      </c>
      <c r="W774">
        <f t="shared" si="63"/>
      </c>
    </row>
    <row r="775">
      <c r="C775">
        <f>IF(往来单位!$B$262="","",TRIM(往来单位!$B$262&amp;""))</f>
      </c>
      <c r="D775">
        <f>往来单位!$B$262&amp;""</f>
      </c>
      <c r="T775">
        <f>IF(C775="",0,LEN(C775)*10000+9225)</f>
        <v>0</v>
      </c>
      <c r="U775">
        <f>IF(LARGE($T$1:$T$900,775)=0,0,MATCH(LARGE($T$1:$T$900,775),$T$1:$T$900,0))</f>
        <v>0</v>
      </c>
      <c r="V775">
        <f t="shared" si="62"/>
      </c>
      <c r="W775">
        <f t="shared" si="63"/>
      </c>
    </row>
    <row r="776">
      <c r="C776">
        <f>IF(往来单位!$B$262="","",TRIM(往来单位!$D$262&amp;""))</f>
      </c>
      <c r="D776">
        <f>往来单位!$B$262&amp;""</f>
      </c>
      <c r="T776">
        <f>IF(C776="",0,LEN(C776)*10000+9224)</f>
        <v>0</v>
      </c>
      <c r="U776">
        <f>IF(LARGE($T$1:$T$900,776)=0,0,MATCH(LARGE($T$1:$T$900,776),$T$1:$T$900,0))</f>
        <v>0</v>
      </c>
      <c r="V776">
        <f t="shared" si="62"/>
      </c>
      <c r="W776">
        <f t="shared" si="63"/>
      </c>
    </row>
    <row r="777">
      <c r="C777">
        <f>IF(往来单位!$B$262="","",TRIM(往来单位!$E$262&amp;""))</f>
      </c>
      <c r="D777">
        <f>往来单位!$B$262&amp;""</f>
      </c>
      <c r="T777">
        <f>IF(C777="",0,LEN(C777)*10000+9223)</f>
        <v>0</v>
      </c>
      <c r="U777">
        <f>IF(LARGE($T$1:$T$900,777)=0,0,MATCH(LARGE($T$1:$T$900,777),$T$1:$T$900,0))</f>
        <v>0</v>
      </c>
      <c r="V777">
        <f t="shared" si="62"/>
      </c>
      <c r="W777">
        <f t="shared" si="63"/>
      </c>
    </row>
    <row r="778">
      <c r="C778">
        <f>IF(往来单位!$B$263="","",TRIM(往来单位!$B$263&amp;""))</f>
      </c>
      <c r="D778">
        <f>往来单位!$B$263&amp;""</f>
      </c>
      <c r="T778">
        <f>IF(C778="",0,LEN(C778)*10000+9222)</f>
        <v>0</v>
      </c>
      <c r="U778">
        <f>IF(LARGE($T$1:$T$900,778)=0,0,MATCH(LARGE($T$1:$T$900,778),$T$1:$T$900,0))</f>
        <v>0</v>
      </c>
      <c r="V778">
        <f t="shared" si="62"/>
      </c>
      <c r="W778">
        <f t="shared" si="63"/>
      </c>
    </row>
    <row r="779">
      <c r="C779">
        <f>IF(往来单位!$B$263="","",TRIM(往来单位!$D$263&amp;""))</f>
      </c>
      <c r="D779">
        <f>往来单位!$B$263&amp;""</f>
      </c>
      <c r="T779">
        <f>IF(C779="",0,LEN(C779)*10000+9221)</f>
        <v>0</v>
      </c>
      <c r="U779">
        <f>IF(LARGE($T$1:$T$900,779)=0,0,MATCH(LARGE($T$1:$T$900,779),$T$1:$T$900,0))</f>
        <v>0</v>
      </c>
      <c r="V779">
        <f t="shared" si="62"/>
      </c>
      <c r="W779">
        <f t="shared" si="63"/>
      </c>
    </row>
    <row r="780">
      <c r="C780">
        <f>IF(往来单位!$B$263="","",TRIM(往来单位!$E$263&amp;""))</f>
      </c>
      <c r="D780">
        <f>往来单位!$B$263&amp;""</f>
      </c>
      <c r="T780">
        <f>IF(C780="",0,LEN(C780)*10000+9220)</f>
        <v>0</v>
      </c>
      <c r="U780">
        <f>IF(LARGE($T$1:$T$900,780)=0,0,MATCH(LARGE($T$1:$T$900,780),$T$1:$T$900,0))</f>
        <v>0</v>
      </c>
      <c r="V780">
        <f t="shared" si="62"/>
      </c>
      <c r="W780">
        <f t="shared" si="63"/>
      </c>
    </row>
    <row r="781">
      <c r="C781">
        <f>IF(往来单位!$B$264="","",TRIM(往来单位!$B$264&amp;""))</f>
      </c>
      <c r="D781">
        <f>往来单位!$B$264&amp;""</f>
      </c>
      <c r="T781">
        <f>IF(C781="",0,LEN(C781)*10000+9219)</f>
        <v>0</v>
      </c>
      <c r="U781">
        <f>IF(LARGE($T$1:$T$900,781)=0,0,MATCH(LARGE($T$1:$T$900,781),$T$1:$T$900,0))</f>
        <v>0</v>
      </c>
      <c r="V781">
        <f t="shared" si="62"/>
      </c>
      <c r="W781">
        <f t="shared" si="63"/>
      </c>
    </row>
    <row r="782">
      <c r="C782">
        <f>IF(往来单位!$B$264="","",TRIM(往来单位!$D$264&amp;""))</f>
      </c>
      <c r="D782">
        <f>往来单位!$B$264&amp;""</f>
      </c>
      <c r="T782">
        <f>IF(C782="",0,LEN(C782)*10000+9218)</f>
        <v>0</v>
      </c>
      <c r="U782">
        <f>IF(LARGE($T$1:$T$900,782)=0,0,MATCH(LARGE($T$1:$T$900,782),$T$1:$T$900,0))</f>
        <v>0</v>
      </c>
      <c r="V782">
        <f t="shared" si="62"/>
      </c>
      <c r="W782">
        <f t="shared" si="63"/>
      </c>
    </row>
    <row r="783">
      <c r="C783">
        <f>IF(往来单位!$B$264="","",TRIM(往来单位!$E$264&amp;""))</f>
      </c>
      <c r="D783">
        <f>往来单位!$B$264&amp;""</f>
      </c>
      <c r="T783">
        <f>IF(C783="",0,LEN(C783)*10000+9217)</f>
        <v>0</v>
      </c>
      <c r="U783">
        <f>IF(LARGE($T$1:$T$900,783)=0,0,MATCH(LARGE($T$1:$T$900,783),$T$1:$T$900,0))</f>
        <v>0</v>
      </c>
      <c r="V783">
        <f t="shared" si="62"/>
      </c>
      <c r="W783">
        <f t="shared" si="63"/>
      </c>
    </row>
    <row r="784">
      <c r="C784">
        <f>IF(往来单位!$B$265="","",TRIM(往来单位!$B$265&amp;""))</f>
      </c>
      <c r="D784">
        <f>往来单位!$B$265&amp;""</f>
      </c>
      <c r="T784">
        <f>IF(C784="",0,LEN(C784)*10000+9216)</f>
        <v>0</v>
      </c>
      <c r="U784">
        <f>IF(LARGE($T$1:$T$900,784)=0,0,MATCH(LARGE($T$1:$T$900,784),$T$1:$T$900,0))</f>
        <v>0</v>
      </c>
      <c r="V784">
        <f t="shared" si="62"/>
      </c>
      <c r="W784">
        <f t="shared" si="63"/>
      </c>
    </row>
    <row r="785">
      <c r="C785">
        <f>IF(往来单位!$B$265="","",TRIM(往来单位!$D$265&amp;""))</f>
      </c>
      <c r="D785">
        <f>往来单位!$B$265&amp;""</f>
      </c>
      <c r="T785">
        <f>IF(C785="",0,LEN(C785)*10000+9215)</f>
        <v>0</v>
      </c>
      <c r="U785">
        <f>IF(LARGE($T$1:$T$900,785)=0,0,MATCH(LARGE($T$1:$T$900,785),$T$1:$T$900,0))</f>
        <v>0</v>
      </c>
      <c r="V785">
        <f t="shared" si="62"/>
      </c>
      <c r="W785">
        <f t="shared" si="63"/>
      </c>
    </row>
    <row r="786">
      <c r="C786">
        <f>IF(往来单位!$B$265="","",TRIM(往来单位!$E$265&amp;""))</f>
      </c>
      <c r="D786">
        <f>往来单位!$B$265&amp;""</f>
      </c>
      <c r="T786">
        <f>IF(C786="",0,LEN(C786)*10000+9214)</f>
        <v>0</v>
      </c>
      <c r="U786">
        <f>IF(LARGE($T$1:$T$900,786)=0,0,MATCH(LARGE($T$1:$T$900,786),$T$1:$T$900,0))</f>
        <v>0</v>
      </c>
      <c r="V786">
        <f t="shared" si="62"/>
      </c>
      <c r="W786">
        <f t="shared" si="63"/>
      </c>
    </row>
    <row r="787">
      <c r="C787">
        <f>IF(往来单位!$B$266="","",TRIM(往来单位!$B$266&amp;""))</f>
      </c>
      <c r="D787">
        <f>往来单位!$B$266&amp;""</f>
      </c>
      <c r="T787">
        <f>IF(C787="",0,LEN(C787)*10000+9213)</f>
        <v>0</v>
      </c>
      <c r="U787">
        <f>IF(LARGE($T$1:$T$900,787)=0,0,MATCH(LARGE($T$1:$T$900,787),$T$1:$T$900,0))</f>
        <v>0</v>
      </c>
      <c r="V787">
        <f t="shared" si="62"/>
      </c>
      <c r="W787">
        <f t="shared" si="63"/>
      </c>
    </row>
    <row r="788">
      <c r="C788">
        <f>IF(往来单位!$B$266="","",TRIM(往来单位!$D$266&amp;""))</f>
      </c>
      <c r="D788">
        <f>往来单位!$B$266&amp;""</f>
      </c>
      <c r="T788">
        <f>IF(C788="",0,LEN(C788)*10000+9212)</f>
        <v>0</v>
      </c>
      <c r="U788">
        <f>IF(LARGE($T$1:$T$900,788)=0,0,MATCH(LARGE($T$1:$T$900,788),$T$1:$T$900,0))</f>
        <v>0</v>
      </c>
      <c r="V788">
        <f t="shared" si="62"/>
      </c>
      <c r="W788">
        <f t="shared" si="63"/>
      </c>
    </row>
    <row r="789">
      <c r="C789">
        <f>IF(往来单位!$B$266="","",TRIM(往来单位!$E$266&amp;""))</f>
      </c>
      <c r="D789">
        <f>往来单位!$B$266&amp;""</f>
      </c>
      <c r="T789">
        <f>IF(C789="",0,LEN(C789)*10000+9211)</f>
        <v>0</v>
      </c>
      <c r="U789">
        <f>IF(LARGE($T$1:$T$900,789)=0,0,MATCH(LARGE($T$1:$T$900,789),$T$1:$T$900,0))</f>
        <v>0</v>
      </c>
      <c r="V789">
        <f t="shared" si="62"/>
      </c>
      <c r="W789">
        <f t="shared" si="63"/>
      </c>
    </row>
    <row r="790">
      <c r="C790">
        <f>IF(往来单位!$B$267="","",TRIM(往来单位!$B$267&amp;""))</f>
      </c>
      <c r="D790">
        <f>往来单位!$B$267&amp;""</f>
      </c>
      <c r="T790">
        <f>IF(C790="",0,LEN(C790)*10000+9210)</f>
        <v>0</v>
      </c>
      <c r="U790">
        <f>IF(LARGE($T$1:$T$900,790)=0,0,MATCH(LARGE($T$1:$T$900,790),$T$1:$T$900,0))</f>
        <v>0</v>
      </c>
      <c r="V790">
        <f t="shared" si="62"/>
      </c>
      <c r="W790">
        <f t="shared" si="63"/>
      </c>
    </row>
    <row r="791">
      <c r="C791">
        <f>IF(往来单位!$B$267="","",TRIM(往来单位!$D$267&amp;""))</f>
      </c>
      <c r="D791">
        <f>往来单位!$B$267&amp;""</f>
      </c>
      <c r="T791">
        <f>IF(C791="",0,LEN(C791)*10000+9209)</f>
        <v>0</v>
      </c>
      <c r="U791">
        <f>IF(LARGE($T$1:$T$900,791)=0,0,MATCH(LARGE($T$1:$T$900,791),$T$1:$T$900,0))</f>
        <v>0</v>
      </c>
      <c r="V791">
        <f t="shared" si="62"/>
      </c>
      <c r="W791">
        <f t="shared" si="63"/>
      </c>
    </row>
    <row r="792">
      <c r="C792">
        <f>IF(往来单位!$B$267="","",TRIM(往来单位!$E$267&amp;""))</f>
      </c>
      <c r="D792">
        <f>往来单位!$B$267&amp;""</f>
      </c>
      <c r="T792">
        <f>IF(C792="",0,LEN(C792)*10000+9208)</f>
        <v>0</v>
      </c>
      <c r="U792">
        <f>IF(LARGE($T$1:$T$900,792)=0,0,MATCH(LARGE($T$1:$T$900,792),$T$1:$T$900,0))</f>
        <v>0</v>
      </c>
      <c r="V792">
        <f t="shared" si="62"/>
      </c>
      <c r="W792">
        <f t="shared" si="63"/>
      </c>
    </row>
    <row r="793">
      <c r="C793">
        <f>IF(往来单位!$B$268="","",TRIM(往来单位!$B$268&amp;""))</f>
      </c>
      <c r="D793">
        <f>往来单位!$B$268&amp;""</f>
      </c>
      <c r="T793">
        <f>IF(C793="",0,LEN(C793)*10000+9207)</f>
        <v>0</v>
      </c>
      <c r="U793">
        <f>IF(LARGE($T$1:$T$900,793)=0,0,MATCH(LARGE($T$1:$T$900,793),$T$1:$T$900,0))</f>
        <v>0</v>
      </c>
      <c r="V793">
        <f t="shared" si="62"/>
      </c>
      <c r="W793">
        <f t="shared" si="63"/>
      </c>
    </row>
    <row r="794">
      <c r="C794">
        <f>IF(往来单位!$B$268="","",TRIM(往来单位!$D$268&amp;""))</f>
      </c>
      <c r="D794">
        <f>往来单位!$B$268&amp;""</f>
      </c>
      <c r="T794">
        <f>IF(C794="",0,LEN(C794)*10000+9206)</f>
        <v>0</v>
      </c>
      <c r="U794">
        <f>IF(LARGE($T$1:$T$900,794)=0,0,MATCH(LARGE($T$1:$T$900,794),$T$1:$T$900,0))</f>
        <v>0</v>
      </c>
      <c r="V794">
        <f t="shared" si="62"/>
      </c>
      <c r="W794">
        <f t="shared" si="63"/>
      </c>
    </row>
    <row r="795">
      <c r="C795">
        <f>IF(往来单位!$B$268="","",TRIM(往来单位!$E$268&amp;""))</f>
      </c>
      <c r="D795">
        <f>往来单位!$B$268&amp;""</f>
      </c>
      <c r="T795">
        <f>IF(C795="",0,LEN(C795)*10000+9205)</f>
        <v>0</v>
      </c>
      <c r="U795">
        <f>IF(LARGE($T$1:$T$900,795)=0,0,MATCH(LARGE($T$1:$T$900,795),$T$1:$T$900,0))</f>
        <v>0</v>
      </c>
      <c r="V795">
        <f t="shared" si="62"/>
      </c>
      <c r="W795">
        <f t="shared" si="63"/>
      </c>
    </row>
    <row r="796">
      <c r="C796">
        <f>IF(往来单位!$B$269="","",TRIM(往来单位!$B$269&amp;""))</f>
      </c>
      <c r="D796">
        <f>往来单位!$B$269&amp;""</f>
      </c>
      <c r="T796">
        <f>IF(C796="",0,LEN(C796)*10000+9204)</f>
        <v>0</v>
      </c>
      <c r="U796">
        <f>IF(LARGE($T$1:$T$900,796)=0,0,MATCH(LARGE($T$1:$T$900,796),$T$1:$T$900,0))</f>
        <v>0</v>
      </c>
      <c r="V796">
        <f t="shared" si="62"/>
      </c>
      <c r="W796">
        <f t="shared" si="63"/>
      </c>
    </row>
    <row r="797">
      <c r="C797">
        <f>IF(往来单位!$B$269="","",TRIM(往来单位!$D$269&amp;""))</f>
      </c>
      <c r="D797">
        <f>往来单位!$B$269&amp;""</f>
      </c>
      <c r="T797">
        <f>IF(C797="",0,LEN(C797)*10000+9203)</f>
        <v>0</v>
      </c>
      <c r="U797">
        <f>IF(LARGE($T$1:$T$900,797)=0,0,MATCH(LARGE($T$1:$T$900,797),$T$1:$T$900,0))</f>
        <v>0</v>
      </c>
      <c r="V797">
        <f t="shared" si="62"/>
      </c>
      <c r="W797">
        <f t="shared" si="63"/>
      </c>
    </row>
    <row r="798">
      <c r="C798">
        <f>IF(往来单位!$B$269="","",TRIM(往来单位!$E$269&amp;""))</f>
      </c>
      <c r="D798">
        <f>往来单位!$B$269&amp;""</f>
      </c>
      <c r="T798">
        <f>IF(C798="",0,LEN(C798)*10000+9202)</f>
        <v>0</v>
      </c>
      <c r="U798">
        <f>IF(LARGE($T$1:$T$900,798)=0,0,MATCH(LARGE($T$1:$T$900,798),$T$1:$T$900,0))</f>
        <v>0</v>
      </c>
      <c r="V798">
        <f t="shared" si="62"/>
      </c>
      <c r="W798">
        <f t="shared" si="63"/>
      </c>
    </row>
    <row r="799">
      <c r="C799">
        <f>IF(往来单位!$B$270="","",TRIM(往来单位!$B$270&amp;""))</f>
      </c>
      <c r="D799">
        <f>往来单位!$B$270&amp;""</f>
      </c>
      <c r="T799">
        <f>IF(C799="",0,LEN(C799)*10000+9201)</f>
        <v>0</v>
      </c>
      <c r="U799">
        <f>IF(LARGE($T$1:$T$900,799)=0,0,MATCH(LARGE($T$1:$T$900,799),$T$1:$T$900,0))</f>
        <v>0</v>
      </c>
      <c r="V799">
        <f t="shared" si="62"/>
      </c>
      <c r="W799">
        <f t="shared" si="63"/>
      </c>
    </row>
    <row r="800">
      <c r="C800">
        <f>IF(往来单位!$B$270="","",TRIM(往来单位!$D$270&amp;""))</f>
      </c>
      <c r="D800">
        <f>往来单位!$B$270&amp;""</f>
      </c>
      <c r="T800">
        <f>IF(C800="",0,LEN(C800)*10000+9200)</f>
        <v>0</v>
      </c>
      <c r="U800">
        <f>IF(LARGE($T$1:$T$900,800)=0,0,MATCH(LARGE($T$1:$T$900,800),$T$1:$T$900,0))</f>
        <v>0</v>
      </c>
      <c r="V800">
        <f t="shared" si="62"/>
      </c>
      <c r="W800">
        <f t="shared" si="63"/>
      </c>
    </row>
    <row r="801">
      <c r="C801">
        <f>IF(往来单位!$B$270="","",TRIM(往来单位!$E$270&amp;""))</f>
      </c>
      <c r="D801">
        <f>往来单位!$B$270&amp;""</f>
      </c>
      <c r="T801">
        <f>IF(C801="",0,LEN(C801)*10000+9199)</f>
        <v>0</v>
      </c>
      <c r="U801">
        <f>IF(LARGE($T$1:$T$900,801)=0,0,MATCH(LARGE($T$1:$T$900,801),$T$1:$T$900,0))</f>
        <v>0</v>
      </c>
      <c r="V801">
        <f t="shared" si="62"/>
      </c>
      <c r="W801">
        <f t="shared" si="63"/>
      </c>
    </row>
    <row r="802">
      <c r="C802">
        <f>IF(往来单位!$B$271="","",TRIM(往来单位!$B$271&amp;""))</f>
      </c>
      <c r="D802">
        <f>往来单位!$B$271&amp;""</f>
      </c>
      <c r="T802">
        <f>IF(C802="",0,LEN(C802)*10000+9198)</f>
        <v>0</v>
      </c>
      <c r="U802">
        <f>IF(LARGE($T$1:$T$900,802)=0,0,MATCH(LARGE($T$1:$T$900,802),$T$1:$T$900,0))</f>
        <v>0</v>
      </c>
      <c r="V802">
        <f t="shared" si="62"/>
      </c>
      <c r="W802">
        <f t="shared" si="63"/>
      </c>
    </row>
    <row r="803">
      <c r="C803">
        <f>IF(往来单位!$B$271="","",TRIM(往来单位!$D$271&amp;""))</f>
      </c>
      <c r="D803">
        <f>往来单位!$B$271&amp;""</f>
      </c>
      <c r="T803">
        <f>IF(C803="",0,LEN(C803)*10000+9197)</f>
        <v>0</v>
      </c>
      <c r="U803">
        <f>IF(LARGE($T$1:$T$900,803)=0,0,MATCH(LARGE($T$1:$T$900,803),$T$1:$T$900,0))</f>
        <v>0</v>
      </c>
      <c r="V803">
        <f t="shared" si="62"/>
      </c>
      <c r="W803">
        <f t="shared" si="63"/>
      </c>
    </row>
    <row r="804">
      <c r="C804">
        <f>IF(往来单位!$B$271="","",TRIM(往来单位!$E$271&amp;""))</f>
      </c>
      <c r="D804">
        <f>往来单位!$B$271&amp;""</f>
      </c>
      <c r="T804">
        <f>IF(C804="",0,LEN(C804)*10000+9196)</f>
        <v>0</v>
      </c>
      <c r="U804">
        <f>IF(LARGE($T$1:$T$900,804)=0,0,MATCH(LARGE($T$1:$T$900,804),$T$1:$T$900,0))</f>
        <v>0</v>
      </c>
      <c r="V804">
        <f t="shared" si="62"/>
      </c>
      <c r="W804">
        <f t="shared" si="63"/>
      </c>
    </row>
    <row r="805">
      <c r="C805">
        <f>IF(往来单位!$B$272="","",TRIM(往来单位!$B$272&amp;""))</f>
      </c>
      <c r="D805">
        <f>往来单位!$B$272&amp;""</f>
      </c>
      <c r="T805">
        <f>IF(C805="",0,LEN(C805)*10000+9195)</f>
        <v>0</v>
      </c>
      <c r="U805">
        <f>IF(LARGE($T$1:$T$900,805)=0,0,MATCH(LARGE($T$1:$T$900,805),$T$1:$T$900,0))</f>
        <v>0</v>
      </c>
      <c r="V805">
        <f t="shared" si="62"/>
      </c>
      <c r="W805">
        <f t="shared" si="63"/>
      </c>
    </row>
    <row r="806">
      <c r="C806">
        <f>IF(往来单位!$B$272="","",TRIM(往来单位!$D$272&amp;""))</f>
      </c>
      <c r="D806">
        <f>往来单位!$B$272&amp;""</f>
      </c>
      <c r="T806">
        <f>IF(C806="",0,LEN(C806)*10000+9194)</f>
        <v>0</v>
      </c>
      <c r="U806">
        <f>IF(LARGE($T$1:$T$900,806)=0,0,MATCH(LARGE($T$1:$T$900,806),$T$1:$T$900,0))</f>
        <v>0</v>
      </c>
      <c r="V806">
        <f t="shared" si="62"/>
      </c>
      <c r="W806">
        <f t="shared" si="63"/>
      </c>
    </row>
    <row r="807">
      <c r="C807">
        <f>IF(往来单位!$B$272="","",TRIM(往来单位!$E$272&amp;""))</f>
      </c>
      <c r="D807">
        <f>往来单位!$B$272&amp;""</f>
      </c>
      <c r="T807">
        <f>IF(C807="",0,LEN(C807)*10000+9193)</f>
        <v>0</v>
      </c>
      <c r="U807">
        <f>IF(LARGE($T$1:$T$900,807)=0,0,MATCH(LARGE($T$1:$T$900,807),$T$1:$T$900,0))</f>
        <v>0</v>
      </c>
      <c r="V807">
        <f t="shared" si="62"/>
      </c>
      <c r="W807">
        <f t="shared" si="63"/>
      </c>
    </row>
    <row r="808">
      <c r="C808">
        <f>IF(往来单位!$B$273="","",TRIM(往来单位!$B$273&amp;""))</f>
      </c>
      <c r="D808">
        <f>往来单位!$B$273&amp;""</f>
      </c>
      <c r="T808">
        <f>IF(C808="",0,LEN(C808)*10000+9192)</f>
        <v>0</v>
      </c>
      <c r="U808">
        <f>IF(LARGE($T$1:$T$900,808)=0,0,MATCH(LARGE($T$1:$T$900,808),$T$1:$T$900,0))</f>
        <v>0</v>
      </c>
      <c r="V808">
        <f t="shared" si="62"/>
      </c>
      <c r="W808">
        <f t="shared" si="63"/>
      </c>
    </row>
    <row r="809">
      <c r="C809">
        <f>IF(往来单位!$B$273="","",TRIM(往来单位!$D$273&amp;""))</f>
      </c>
      <c r="D809">
        <f>往来单位!$B$273&amp;""</f>
      </c>
      <c r="T809">
        <f>IF(C809="",0,LEN(C809)*10000+9191)</f>
        <v>0</v>
      </c>
      <c r="U809">
        <f>IF(LARGE($T$1:$T$900,809)=0,0,MATCH(LARGE($T$1:$T$900,809),$T$1:$T$900,0))</f>
        <v>0</v>
      </c>
      <c r="V809">
        <f t="shared" si="62"/>
      </c>
      <c r="W809">
        <f t="shared" si="63"/>
      </c>
    </row>
    <row r="810">
      <c r="C810">
        <f>IF(往来单位!$B$273="","",TRIM(往来单位!$E$273&amp;""))</f>
      </c>
      <c r="D810">
        <f>往来单位!$B$273&amp;""</f>
      </c>
      <c r="T810">
        <f>IF(C810="",0,LEN(C810)*10000+9190)</f>
        <v>0</v>
      </c>
      <c r="U810">
        <f>IF(LARGE($T$1:$T$900,810)=0,0,MATCH(LARGE($T$1:$T$900,810),$T$1:$T$900,0))</f>
        <v>0</v>
      </c>
      <c r="V810">
        <f t="shared" si="62"/>
      </c>
      <c r="W810">
        <f t="shared" si="63"/>
      </c>
    </row>
    <row r="811">
      <c r="C811">
        <f>IF(往来单位!$B$274="","",TRIM(往来单位!$B$274&amp;""))</f>
      </c>
      <c r="D811">
        <f>往来单位!$B$274&amp;""</f>
      </c>
      <c r="T811">
        <f>IF(C811="",0,LEN(C811)*10000+9189)</f>
        <v>0</v>
      </c>
      <c r="U811">
        <f>IF(LARGE($T$1:$T$900,811)=0,0,MATCH(LARGE($T$1:$T$900,811),$T$1:$T$900,0))</f>
        <v>0</v>
      </c>
      <c r="V811">
        <f t="shared" si="62"/>
      </c>
      <c r="W811">
        <f t="shared" si="63"/>
      </c>
    </row>
    <row r="812">
      <c r="C812">
        <f>IF(往来单位!$B$274="","",TRIM(往来单位!$D$274&amp;""))</f>
      </c>
      <c r="D812">
        <f>往来单位!$B$274&amp;""</f>
      </c>
      <c r="T812">
        <f>IF(C812="",0,LEN(C812)*10000+9188)</f>
        <v>0</v>
      </c>
      <c r="U812">
        <f>IF(LARGE($T$1:$T$900,812)=0,0,MATCH(LARGE($T$1:$T$900,812),$T$1:$T$900,0))</f>
        <v>0</v>
      </c>
      <c r="V812">
        <f t="shared" si="62"/>
      </c>
      <c r="W812">
        <f t="shared" si="63"/>
      </c>
    </row>
    <row r="813">
      <c r="C813">
        <f>IF(往来单位!$B$274="","",TRIM(往来单位!$E$274&amp;""))</f>
      </c>
      <c r="D813">
        <f>往来单位!$B$274&amp;""</f>
      </c>
      <c r="T813">
        <f>IF(C813="",0,LEN(C813)*10000+9187)</f>
        <v>0</v>
      </c>
      <c r="U813">
        <f>IF(LARGE($T$1:$T$900,813)=0,0,MATCH(LARGE($T$1:$T$900,813),$T$1:$T$900,0))</f>
        <v>0</v>
      </c>
      <c r="V813">
        <f t="shared" si="62"/>
      </c>
      <c r="W813">
        <f t="shared" si="63"/>
      </c>
    </row>
    <row r="814">
      <c r="C814">
        <f>IF(往来单位!$B$275="","",TRIM(往来单位!$B$275&amp;""))</f>
      </c>
      <c r="D814">
        <f>往来单位!$B$275&amp;""</f>
      </c>
      <c r="T814">
        <f>IF(C814="",0,LEN(C814)*10000+9186)</f>
        <v>0</v>
      </c>
      <c r="U814">
        <f>IF(LARGE($T$1:$T$900,814)=0,0,MATCH(LARGE($T$1:$T$900,814),$T$1:$T$900,0))</f>
        <v>0</v>
      </c>
      <c r="V814">
        <f t="shared" si="62"/>
      </c>
      <c r="W814">
        <f t="shared" si="63"/>
      </c>
    </row>
    <row r="815">
      <c r="C815">
        <f>IF(往来单位!$B$275="","",TRIM(往来单位!$D$275&amp;""))</f>
      </c>
      <c r="D815">
        <f>往来单位!$B$275&amp;""</f>
      </c>
      <c r="T815">
        <f>IF(C815="",0,LEN(C815)*10000+9185)</f>
        <v>0</v>
      </c>
      <c r="U815">
        <f>IF(LARGE($T$1:$T$900,815)=0,0,MATCH(LARGE($T$1:$T$900,815),$T$1:$T$900,0))</f>
        <v>0</v>
      </c>
      <c r="V815">
        <f t="shared" si="62"/>
      </c>
      <c r="W815">
        <f t="shared" si="63"/>
      </c>
    </row>
    <row r="816">
      <c r="C816">
        <f>IF(往来单位!$B$275="","",TRIM(往来单位!$E$275&amp;""))</f>
      </c>
      <c r="D816">
        <f>往来单位!$B$275&amp;""</f>
      </c>
      <c r="T816">
        <f>IF(C816="",0,LEN(C816)*10000+9184)</f>
        <v>0</v>
      </c>
      <c r="U816">
        <f>IF(LARGE($T$1:$T$900,816)=0,0,MATCH(LARGE($T$1:$T$900,816),$T$1:$T$900,0))</f>
        <v>0</v>
      </c>
      <c r="V816">
        <f t="shared" si="62"/>
      </c>
      <c r="W816">
        <f t="shared" si="63"/>
      </c>
    </row>
    <row r="817">
      <c r="C817">
        <f>IF(往来单位!$B$276="","",TRIM(往来单位!$B$276&amp;""))</f>
      </c>
      <c r="D817">
        <f>往来单位!$B$276&amp;""</f>
      </c>
      <c r="T817">
        <f>IF(C817="",0,LEN(C817)*10000+9183)</f>
        <v>0</v>
      </c>
      <c r="U817">
        <f>IF(LARGE($T$1:$T$900,817)=0,0,MATCH(LARGE($T$1:$T$900,817),$T$1:$T$900,0))</f>
        <v>0</v>
      </c>
      <c r="V817">
        <f t="shared" si="62"/>
      </c>
      <c r="W817">
        <f t="shared" si="63"/>
      </c>
    </row>
    <row r="818">
      <c r="C818">
        <f>IF(往来单位!$B$276="","",TRIM(往来单位!$D$276&amp;""))</f>
      </c>
      <c r="D818">
        <f>往来单位!$B$276&amp;""</f>
      </c>
      <c r="T818">
        <f>IF(C818="",0,LEN(C818)*10000+9182)</f>
        <v>0</v>
      </c>
      <c r="U818">
        <f>IF(LARGE($T$1:$T$900,818)=0,0,MATCH(LARGE($T$1:$T$900,818),$T$1:$T$900,0))</f>
        <v>0</v>
      </c>
      <c r="V818">
        <f t="shared" si="62"/>
      </c>
      <c r="W818">
        <f t="shared" si="63"/>
      </c>
    </row>
    <row r="819">
      <c r="C819">
        <f>IF(往来单位!$B$276="","",TRIM(往来单位!$E$276&amp;""))</f>
      </c>
      <c r="D819">
        <f>往来单位!$B$276&amp;""</f>
      </c>
      <c r="T819">
        <f>IF(C819="",0,LEN(C819)*10000+9181)</f>
        <v>0</v>
      </c>
      <c r="U819">
        <f>IF(LARGE($T$1:$T$900,819)=0,0,MATCH(LARGE($T$1:$T$900,819),$T$1:$T$900,0))</f>
        <v>0</v>
      </c>
      <c r="V819">
        <f t="shared" si="62"/>
      </c>
      <c r="W819">
        <f t="shared" si="63"/>
      </c>
    </row>
    <row r="820">
      <c r="C820">
        <f>IF(往来单位!$B$277="","",TRIM(往来单位!$B$277&amp;""))</f>
      </c>
      <c r="D820">
        <f>往来单位!$B$277&amp;""</f>
      </c>
      <c r="T820">
        <f>IF(C820="",0,LEN(C820)*10000+9180)</f>
        <v>0</v>
      </c>
      <c r="U820">
        <f>IF(LARGE($T$1:$T$900,820)=0,0,MATCH(LARGE($T$1:$T$900,820),$T$1:$T$900,0))</f>
        <v>0</v>
      </c>
      <c r="V820">
        <f t="shared" si="62"/>
      </c>
      <c r="W820">
        <f t="shared" si="63"/>
      </c>
    </row>
    <row r="821">
      <c r="C821">
        <f>IF(往来单位!$B$277="","",TRIM(往来单位!$D$277&amp;""))</f>
      </c>
      <c r="D821">
        <f>往来单位!$B$277&amp;""</f>
      </c>
      <c r="T821">
        <f>IF(C821="",0,LEN(C821)*10000+9179)</f>
        <v>0</v>
      </c>
      <c r="U821">
        <f>IF(LARGE($T$1:$T$900,821)=0,0,MATCH(LARGE($T$1:$T$900,821),$T$1:$T$900,0))</f>
        <v>0</v>
      </c>
      <c r="V821">
        <f t="shared" si="62"/>
      </c>
      <c r="W821">
        <f t="shared" si="63"/>
      </c>
    </row>
    <row r="822">
      <c r="C822">
        <f>IF(往来单位!$B$277="","",TRIM(往来单位!$E$277&amp;""))</f>
      </c>
      <c r="D822">
        <f>往来单位!$B$277&amp;""</f>
      </c>
      <c r="T822">
        <f>IF(C822="",0,LEN(C822)*10000+9178)</f>
        <v>0</v>
      </c>
      <c r="U822">
        <f>IF(LARGE($T$1:$T$900,822)=0,0,MATCH(LARGE($T$1:$T$900,822),$T$1:$T$900,0))</f>
        <v>0</v>
      </c>
      <c r="V822">
        <f t="shared" si="62"/>
      </c>
      <c r="W822">
        <f t="shared" si="63"/>
      </c>
    </row>
    <row r="823">
      <c r="C823">
        <f>IF(往来单位!$B$278="","",TRIM(往来单位!$B$278&amp;""))</f>
      </c>
      <c r="D823">
        <f>往来单位!$B$278&amp;""</f>
      </c>
      <c r="T823">
        <f>IF(C823="",0,LEN(C823)*10000+9177)</f>
        <v>0</v>
      </c>
      <c r="U823">
        <f>IF(LARGE($T$1:$T$900,823)=0,0,MATCH(LARGE($T$1:$T$900,823),$T$1:$T$900,0))</f>
        <v>0</v>
      </c>
      <c r="V823">
        <f t="shared" si="62"/>
      </c>
      <c r="W823">
        <f t="shared" si="63"/>
      </c>
    </row>
    <row r="824">
      <c r="C824">
        <f>IF(往来单位!$B$278="","",TRIM(往来单位!$D$278&amp;""))</f>
      </c>
      <c r="D824">
        <f>往来单位!$B$278&amp;""</f>
      </c>
      <c r="T824">
        <f>IF(C824="",0,LEN(C824)*10000+9176)</f>
        <v>0</v>
      </c>
      <c r="U824">
        <f>IF(LARGE($T$1:$T$900,824)=0,0,MATCH(LARGE($T$1:$T$900,824),$T$1:$T$900,0))</f>
        <v>0</v>
      </c>
      <c r="V824">
        <f t="shared" si="62"/>
      </c>
      <c r="W824">
        <f t="shared" si="63"/>
      </c>
    </row>
    <row r="825">
      <c r="C825">
        <f>IF(往来单位!$B$278="","",TRIM(往来单位!$E$278&amp;""))</f>
      </c>
      <c r="D825">
        <f>往来单位!$B$278&amp;""</f>
      </c>
      <c r="T825">
        <f>IF(C825="",0,LEN(C825)*10000+9175)</f>
        <v>0</v>
      </c>
      <c r="U825">
        <f>IF(LARGE($T$1:$T$900,825)=0,0,MATCH(LARGE($T$1:$T$900,825),$T$1:$T$900,0))</f>
        <v>0</v>
      </c>
      <c r="V825">
        <f t="shared" si="62"/>
      </c>
      <c r="W825">
        <f t="shared" si="63"/>
      </c>
    </row>
    <row r="826">
      <c r="C826">
        <f>IF(往来单位!$B$279="","",TRIM(往来单位!$B$279&amp;""))</f>
      </c>
      <c r="D826">
        <f>往来单位!$B$279&amp;""</f>
      </c>
      <c r="T826">
        <f>IF(C826="",0,LEN(C826)*10000+9174)</f>
        <v>0</v>
      </c>
      <c r="U826">
        <f>IF(LARGE($T$1:$T$900,826)=0,0,MATCH(LARGE($T$1:$T$900,826),$T$1:$T$900,0))</f>
        <v>0</v>
      </c>
      <c r="V826">
        <f t="shared" si="62"/>
      </c>
      <c r="W826">
        <f t="shared" si="63"/>
      </c>
    </row>
    <row r="827">
      <c r="C827">
        <f>IF(往来单位!$B$279="","",TRIM(往来单位!$D$279&amp;""))</f>
      </c>
      <c r="D827">
        <f>往来单位!$B$279&amp;""</f>
      </c>
      <c r="T827">
        <f>IF(C827="",0,LEN(C827)*10000+9173)</f>
        <v>0</v>
      </c>
      <c r="U827">
        <f>IF(LARGE($T$1:$T$900,827)=0,0,MATCH(LARGE($T$1:$T$900,827),$T$1:$T$900,0))</f>
        <v>0</v>
      </c>
      <c r="V827">
        <f t="shared" si="62"/>
      </c>
      <c r="W827">
        <f t="shared" si="63"/>
      </c>
    </row>
    <row r="828">
      <c r="C828">
        <f>IF(往来单位!$B$279="","",TRIM(往来单位!$E$279&amp;""))</f>
      </c>
      <c r="D828">
        <f>往来单位!$B$279&amp;""</f>
      </c>
      <c r="T828">
        <f>IF(C828="",0,LEN(C828)*10000+9172)</f>
        <v>0</v>
      </c>
      <c r="U828">
        <f>IF(LARGE($T$1:$T$900,828)=0,0,MATCH(LARGE($T$1:$T$900,828),$T$1:$T$900,0))</f>
        <v>0</v>
      </c>
      <c r="V828">
        <f t="shared" si="62"/>
      </c>
      <c r="W828">
        <f t="shared" si="63"/>
      </c>
    </row>
    <row r="829">
      <c r="C829">
        <f>IF(往来单位!$B$280="","",TRIM(往来单位!$B$280&amp;""))</f>
      </c>
      <c r="D829">
        <f>往来单位!$B$280&amp;""</f>
      </c>
      <c r="T829">
        <f>IF(C829="",0,LEN(C829)*10000+9171)</f>
        <v>0</v>
      </c>
      <c r="U829">
        <f>IF(LARGE($T$1:$T$900,829)=0,0,MATCH(LARGE($T$1:$T$900,829),$T$1:$T$900,0))</f>
        <v>0</v>
      </c>
      <c r="V829">
        <f t="shared" si="62"/>
      </c>
      <c r="W829">
        <f t="shared" si="63"/>
      </c>
    </row>
    <row r="830">
      <c r="C830">
        <f>IF(往来单位!$B$280="","",TRIM(往来单位!$D$280&amp;""))</f>
      </c>
      <c r="D830">
        <f>往来单位!$B$280&amp;""</f>
      </c>
      <c r="T830">
        <f>IF(C830="",0,LEN(C830)*10000+9170)</f>
        <v>0</v>
      </c>
      <c r="U830">
        <f>IF(LARGE($T$1:$T$900,830)=0,0,MATCH(LARGE($T$1:$T$900,830),$T$1:$T$900,0))</f>
        <v>0</v>
      </c>
      <c r="V830">
        <f t="shared" si="62"/>
      </c>
      <c r="W830">
        <f t="shared" si="63"/>
      </c>
    </row>
    <row r="831">
      <c r="C831">
        <f>IF(往来单位!$B$280="","",TRIM(往来单位!$E$280&amp;""))</f>
      </c>
      <c r="D831">
        <f>往来单位!$B$280&amp;""</f>
      </c>
      <c r="T831">
        <f>IF(C831="",0,LEN(C831)*10000+9169)</f>
        <v>0</v>
      </c>
      <c r="U831">
        <f>IF(LARGE($T$1:$T$900,831)=0,0,MATCH(LARGE($T$1:$T$900,831),$T$1:$T$900,0))</f>
        <v>0</v>
      </c>
      <c r="V831">
        <f t="shared" si="62"/>
      </c>
      <c r="W831">
        <f t="shared" si="63"/>
      </c>
    </row>
    <row r="832">
      <c r="C832">
        <f>IF(往来单位!$B$281="","",TRIM(往来单位!$B$281&amp;""))</f>
      </c>
      <c r="D832">
        <f>往来单位!$B$281&amp;""</f>
      </c>
      <c r="T832">
        <f>IF(C832="",0,LEN(C832)*10000+9168)</f>
        <v>0</v>
      </c>
      <c r="U832">
        <f>IF(LARGE($T$1:$T$900,832)=0,0,MATCH(LARGE($T$1:$T$900,832),$T$1:$T$900,0))</f>
        <v>0</v>
      </c>
      <c r="V832">
        <f t="shared" si="62"/>
      </c>
      <c r="W832">
        <f t="shared" si="63"/>
      </c>
    </row>
    <row r="833">
      <c r="C833">
        <f>IF(往来单位!$B$281="","",TRIM(往来单位!$D$281&amp;""))</f>
      </c>
      <c r="D833">
        <f>往来单位!$B$281&amp;""</f>
      </c>
      <c r="T833">
        <f>IF(C833="",0,LEN(C833)*10000+9167)</f>
        <v>0</v>
      </c>
      <c r="U833">
        <f>IF(LARGE($T$1:$T$900,833)=0,0,MATCH(LARGE($T$1:$T$900,833),$T$1:$T$900,0))</f>
        <v>0</v>
      </c>
      <c r="V833">
        <f t="shared" si="62"/>
      </c>
      <c r="W833">
        <f t="shared" si="63"/>
      </c>
    </row>
    <row r="834">
      <c r="C834">
        <f>IF(往来单位!$B$281="","",TRIM(往来单位!$E$281&amp;""))</f>
      </c>
      <c r="D834">
        <f>往来单位!$B$281&amp;""</f>
      </c>
      <c r="T834">
        <f>IF(C834="",0,LEN(C834)*10000+9166)</f>
        <v>0</v>
      </c>
      <c r="U834">
        <f>IF(LARGE($T$1:$T$900,834)=0,0,MATCH(LARGE($T$1:$T$900,834),$T$1:$T$900,0))</f>
        <v>0</v>
      </c>
      <c r="V834">
        <f t="shared" si="62"/>
      </c>
      <c r="W834">
        <f t="shared" si="63"/>
      </c>
    </row>
    <row r="835">
      <c r="C835">
        <f>IF(往来单位!$B$282="","",TRIM(往来单位!$B$282&amp;""))</f>
      </c>
      <c r="D835">
        <f>往来单位!$B$282&amp;""</f>
      </c>
      <c r="T835">
        <f>IF(C835="",0,LEN(C835)*10000+9165)</f>
        <v>0</v>
      </c>
      <c r="U835">
        <f>IF(LARGE($T$1:$T$900,835)=0,0,MATCH(LARGE($T$1:$T$900,835),$T$1:$T$900,0))</f>
        <v>0</v>
      </c>
      <c r="V835">
        <f t="shared" si="62"/>
      </c>
      <c r="W835">
        <f t="shared" si="63"/>
      </c>
    </row>
    <row r="836">
      <c r="C836">
        <f>IF(往来单位!$B$282="","",TRIM(往来单位!$D$282&amp;""))</f>
      </c>
      <c r="D836">
        <f>往来单位!$B$282&amp;""</f>
      </c>
      <c r="T836">
        <f>IF(C836="",0,LEN(C836)*10000+9164)</f>
        <v>0</v>
      </c>
      <c r="U836">
        <f>IF(LARGE($T$1:$T$900,836)=0,0,MATCH(LARGE($T$1:$T$900,836),$T$1:$T$900,0))</f>
        <v>0</v>
      </c>
      <c r="V836">
        <f t="shared" si="62"/>
      </c>
      <c r="W836">
        <f t="shared" si="63"/>
      </c>
    </row>
    <row r="837">
      <c r="C837">
        <f>IF(往来单位!$B$282="","",TRIM(往来单位!$E$282&amp;""))</f>
      </c>
      <c r="D837">
        <f>往来单位!$B$282&amp;""</f>
      </c>
      <c r="T837">
        <f>IF(C837="",0,LEN(C837)*10000+9163)</f>
        <v>0</v>
      </c>
      <c r="U837">
        <f>IF(LARGE($T$1:$T$900,837)=0,0,MATCH(LARGE($T$1:$T$900,837),$T$1:$T$900,0))</f>
        <v>0</v>
      </c>
      <c r="V837">
        <f t="shared" si="62"/>
      </c>
      <c r="W837">
        <f t="shared" si="63"/>
      </c>
    </row>
    <row r="838">
      <c r="C838">
        <f>IF(往来单位!$B$283="","",TRIM(往来单位!$B$283&amp;""))</f>
      </c>
      <c r="D838">
        <f>往来单位!$B$283&amp;""</f>
      </c>
      <c r="T838">
        <f>IF(C838="",0,LEN(C838)*10000+9162)</f>
        <v>0</v>
      </c>
      <c r="U838">
        <f>IF(LARGE($T$1:$T$900,838)=0,0,MATCH(LARGE($T$1:$T$900,838),$T$1:$T$900,0))</f>
        <v>0</v>
      </c>
      <c r="V838">
        <f t="shared" si="62"/>
      </c>
      <c r="W838">
        <f t="shared" si="63"/>
      </c>
    </row>
    <row r="839">
      <c r="C839">
        <f>IF(往来单位!$B$283="","",TRIM(往来单位!$D$283&amp;""))</f>
      </c>
      <c r="D839">
        <f>往来单位!$B$283&amp;""</f>
      </c>
      <c r="T839">
        <f>IF(C839="",0,LEN(C839)*10000+9161)</f>
        <v>0</v>
      </c>
      <c r="U839">
        <f>IF(LARGE($T$1:$T$900,839)=0,0,MATCH(LARGE($T$1:$T$900,839),$T$1:$T$900,0))</f>
        <v>0</v>
      </c>
      <c r="V839">
        <f t="shared" si="62"/>
      </c>
      <c r="W839">
        <f t="shared" si="63"/>
      </c>
    </row>
    <row r="840">
      <c r="C840">
        <f>IF(往来单位!$B$283="","",TRIM(往来单位!$E$283&amp;""))</f>
      </c>
      <c r="D840">
        <f>往来单位!$B$283&amp;""</f>
      </c>
      <c r="T840">
        <f>IF(C840="",0,LEN(C840)*10000+9160)</f>
        <v>0</v>
      </c>
      <c r="U840">
        <f>IF(LARGE($T$1:$T$900,840)=0,0,MATCH(LARGE($T$1:$T$900,840),$T$1:$T$900,0))</f>
        <v>0</v>
      </c>
      <c r="V840">
        <f t="shared" si="62"/>
      </c>
      <c r="W840">
        <f t="shared" si="63"/>
      </c>
    </row>
    <row r="841">
      <c r="C841">
        <f>IF(往来单位!$B$284="","",TRIM(往来单位!$B$284&amp;""))</f>
      </c>
      <c r="D841">
        <f>往来单位!$B$284&amp;""</f>
      </c>
      <c r="T841">
        <f>IF(C841="",0,LEN(C841)*10000+9159)</f>
        <v>0</v>
      </c>
      <c r="U841">
        <f>IF(LARGE($T$1:$T$900,841)=0,0,MATCH(LARGE($T$1:$T$900,841),$T$1:$T$900,0))</f>
        <v>0</v>
      </c>
      <c r="V841">
        <f t="shared" si="62"/>
      </c>
      <c r="W841">
        <f t="shared" si="63"/>
      </c>
    </row>
    <row r="842">
      <c r="C842">
        <f>IF(往来单位!$B$284="","",TRIM(往来单位!$D$284&amp;""))</f>
      </c>
      <c r="D842">
        <f>往来单位!$B$284&amp;""</f>
      </c>
      <c r="T842">
        <f>IF(C842="",0,LEN(C842)*10000+9158)</f>
        <v>0</v>
      </c>
      <c r="U842">
        <f>IF(LARGE($T$1:$T$900,842)=0,0,MATCH(LARGE($T$1:$T$900,842),$T$1:$T$900,0))</f>
        <v>0</v>
      </c>
      <c r="V842">
        <f t="shared" si="62"/>
      </c>
      <c r="W842">
        <f t="shared" si="63"/>
      </c>
    </row>
    <row r="843">
      <c r="C843">
        <f>IF(往来单位!$B$284="","",TRIM(往来单位!$E$284&amp;""))</f>
      </c>
      <c r="D843">
        <f>往来单位!$B$284&amp;""</f>
      </c>
      <c r="T843">
        <f>IF(C843="",0,LEN(C843)*10000+9157)</f>
        <v>0</v>
      </c>
      <c r="U843">
        <f>IF(LARGE($T$1:$T$900,843)=0,0,MATCH(LARGE($T$1:$T$900,843),$T$1:$T$900,0))</f>
        <v>0</v>
      </c>
      <c r="V843">
        <f t="shared" si="62"/>
      </c>
      <c r="W843">
        <f t="shared" si="63"/>
      </c>
    </row>
    <row r="844">
      <c r="C844">
        <f>IF(往来单位!$B$285="","",TRIM(往来单位!$B$285&amp;""))</f>
      </c>
      <c r="D844">
        <f>往来单位!$B$285&amp;""</f>
      </c>
      <c r="T844">
        <f>IF(C844="",0,LEN(C844)*10000+9156)</f>
        <v>0</v>
      </c>
      <c r="U844">
        <f>IF(LARGE($T$1:$T$900,844)=0,0,MATCH(LARGE($T$1:$T$900,844),$T$1:$T$900,0))</f>
        <v>0</v>
      </c>
      <c r="V844">
        <f t="shared" si="62"/>
      </c>
      <c r="W844">
        <f t="shared" si="63"/>
      </c>
    </row>
    <row r="845">
      <c r="C845">
        <f>IF(往来单位!$B$285="","",TRIM(往来单位!$D$285&amp;""))</f>
      </c>
      <c r="D845">
        <f>往来单位!$B$285&amp;""</f>
      </c>
      <c r="T845">
        <f>IF(C845="",0,LEN(C845)*10000+9155)</f>
        <v>0</v>
      </c>
      <c r="U845">
        <f>IF(LARGE($T$1:$T$900,845)=0,0,MATCH(LARGE($T$1:$T$900,845),$T$1:$T$900,0))</f>
        <v>0</v>
      </c>
      <c r="V845">
        <f t="shared" si="62"/>
      </c>
      <c r="W845">
        <f t="shared" si="63"/>
      </c>
    </row>
    <row r="846">
      <c r="C846">
        <f>IF(往来单位!$B$285="","",TRIM(往来单位!$E$285&amp;""))</f>
      </c>
      <c r="D846">
        <f>往来单位!$B$285&amp;""</f>
      </c>
      <c r="T846">
        <f>IF(C846="",0,LEN(C846)*10000+9154)</f>
        <v>0</v>
      </c>
      <c r="U846">
        <f>IF(LARGE($T$1:$T$900,846)=0,0,MATCH(LARGE($T$1:$T$900,846),$T$1:$T$900,0))</f>
        <v>0</v>
      </c>
      <c r="V846">
        <f t="shared" si="62"/>
      </c>
      <c r="W846">
        <f t="shared" si="63"/>
      </c>
    </row>
    <row r="847">
      <c r="C847">
        <f>IF(往来单位!$B$286="","",TRIM(往来单位!$B$286&amp;""))</f>
      </c>
      <c r="D847">
        <f>往来单位!$B$286&amp;""</f>
      </c>
      <c r="T847">
        <f>IF(C847="",0,LEN(C847)*10000+9153)</f>
        <v>0</v>
      </c>
      <c r="U847">
        <f>IF(LARGE($T$1:$T$900,847)=0,0,MATCH(LARGE($T$1:$T$900,847),$T$1:$T$900,0))</f>
        <v>0</v>
      </c>
      <c r="V847">
        <f t="shared" si="62"/>
      </c>
      <c r="W847">
        <f t="shared" si="63"/>
      </c>
    </row>
    <row r="848">
      <c r="C848">
        <f>IF(往来单位!$B$286="","",TRIM(往来单位!$D$286&amp;""))</f>
      </c>
      <c r="D848">
        <f>往来单位!$B$286&amp;""</f>
      </c>
      <c r="T848">
        <f>IF(C848="",0,LEN(C848)*10000+9152)</f>
        <v>0</v>
      </c>
      <c r="U848">
        <f>IF(LARGE($T$1:$T$900,848)=0,0,MATCH(LARGE($T$1:$T$900,848),$T$1:$T$900,0))</f>
        <v>0</v>
      </c>
      <c r="V848">
        <f t="shared" si="62"/>
      </c>
      <c r="W848">
        <f t="shared" si="63"/>
      </c>
    </row>
    <row r="849">
      <c r="C849">
        <f>IF(往来单位!$B$286="","",TRIM(往来单位!$E$286&amp;""))</f>
      </c>
      <c r="D849">
        <f>往来单位!$B$286&amp;""</f>
      </c>
      <c r="T849">
        <f>IF(C849="",0,LEN(C849)*10000+9151)</f>
        <v>0</v>
      </c>
      <c r="U849">
        <f>IF(LARGE($T$1:$T$900,849)=0,0,MATCH(LARGE($T$1:$T$900,849),$T$1:$T$900,0))</f>
        <v>0</v>
      </c>
      <c r="V849">
        <f t="shared" si="62"/>
      </c>
      <c r="W849">
        <f t="shared" si="63"/>
      </c>
    </row>
    <row r="850">
      <c r="C850">
        <f>IF(往来单位!$B$287="","",TRIM(往来单位!$B$287&amp;""))</f>
      </c>
      <c r="D850">
        <f>往来单位!$B$287&amp;""</f>
      </c>
      <c r="T850">
        <f>IF(C850="",0,LEN(C850)*10000+9150)</f>
        <v>0</v>
      </c>
      <c r="U850">
        <f>IF(LARGE($T$1:$T$900,850)=0,0,MATCH(LARGE($T$1:$T$900,850),$T$1:$T$900,0))</f>
        <v>0</v>
      </c>
      <c r="V850">
        <f t="shared" si="62"/>
      </c>
      <c r="W850">
        <f t="shared" si="63"/>
      </c>
    </row>
    <row r="851">
      <c r="C851">
        <f>IF(往来单位!$B$287="","",TRIM(往来单位!$D$287&amp;""))</f>
      </c>
      <c r="D851">
        <f>往来单位!$B$287&amp;""</f>
      </c>
      <c r="T851">
        <f>IF(C851="",0,LEN(C851)*10000+9149)</f>
        <v>0</v>
      </c>
      <c r="U851">
        <f>IF(LARGE($T$1:$T$900,851)=0,0,MATCH(LARGE($T$1:$T$900,851),$T$1:$T$900,0))</f>
        <v>0</v>
      </c>
      <c r="V851">
        <f t="shared" si="62"/>
      </c>
      <c r="W851">
        <f t="shared" si="63"/>
      </c>
    </row>
    <row r="852">
      <c r="C852">
        <f>IF(往来单位!$B$287="","",TRIM(往来单位!$E$287&amp;""))</f>
      </c>
      <c r="D852">
        <f>往来单位!$B$287&amp;""</f>
      </c>
      <c r="T852">
        <f>IF(C852="",0,LEN(C852)*10000+9148)</f>
        <v>0</v>
      </c>
      <c r="U852">
        <f>IF(LARGE($T$1:$T$900,852)=0,0,MATCH(LARGE($T$1:$T$900,852),$T$1:$T$900,0))</f>
        <v>0</v>
      </c>
      <c r="V852">
        <f t="shared" si="62"/>
      </c>
      <c r="W852">
        <f t="shared" si="63"/>
      </c>
    </row>
    <row r="853">
      <c r="C853">
        <f>IF(往来单位!$B$288="","",TRIM(往来单位!$B$288&amp;""))</f>
      </c>
      <c r="D853">
        <f>往来单位!$B$288&amp;""</f>
      </c>
      <c r="T853">
        <f>IF(C853="",0,LEN(C853)*10000+9147)</f>
        <v>0</v>
      </c>
      <c r="U853">
        <f>IF(LARGE($T$1:$T$900,853)=0,0,MATCH(LARGE($T$1:$T$900,853),$T$1:$T$900,0))</f>
        <v>0</v>
      </c>
      <c r="V853">
        <f t="shared" si="62"/>
      </c>
      <c r="W853">
        <f t="shared" si="63"/>
      </c>
    </row>
    <row r="854">
      <c r="C854">
        <f>IF(往来单位!$B$288="","",TRIM(往来单位!$D$288&amp;""))</f>
      </c>
      <c r="D854">
        <f>往来单位!$B$288&amp;""</f>
      </c>
      <c r="T854">
        <f>IF(C854="",0,LEN(C854)*10000+9146)</f>
        <v>0</v>
      </c>
      <c r="U854">
        <f>IF(LARGE($T$1:$T$900,854)=0,0,MATCH(LARGE($T$1:$T$900,854),$T$1:$T$900,0))</f>
        <v>0</v>
      </c>
      <c r="V854">
        <f t="shared" si="62"/>
      </c>
      <c r="W854">
        <f t="shared" si="63"/>
      </c>
    </row>
    <row r="855">
      <c r="C855">
        <f>IF(往来单位!$B$288="","",TRIM(往来单位!$E$288&amp;""))</f>
      </c>
      <c r="D855">
        <f>往来单位!$B$288&amp;""</f>
      </c>
      <c r="T855">
        <f>IF(C855="",0,LEN(C855)*10000+9145)</f>
        <v>0</v>
      </c>
      <c r="U855">
        <f>IF(LARGE($T$1:$T$900,855)=0,0,MATCH(LARGE($T$1:$T$900,855),$T$1:$T$900,0))</f>
        <v>0</v>
      </c>
      <c r="V855">
        <f t="shared" si="62"/>
      </c>
      <c r="W855">
        <f t="shared" si="63"/>
      </c>
    </row>
    <row r="856">
      <c r="C856">
        <f>IF(往来单位!$B$289="","",TRIM(往来单位!$B$289&amp;""))</f>
      </c>
      <c r="D856">
        <f>往来单位!$B$289&amp;""</f>
      </c>
      <c r="T856">
        <f>IF(C856="",0,LEN(C856)*10000+9144)</f>
        <v>0</v>
      </c>
      <c r="U856">
        <f>IF(LARGE($T$1:$T$900,856)=0,0,MATCH(LARGE($T$1:$T$900,856),$T$1:$T$900,0))</f>
        <v>0</v>
      </c>
      <c r="V856">
        <f t="shared" si="62"/>
      </c>
      <c r="W856">
        <f t="shared" si="63"/>
      </c>
    </row>
    <row r="857">
      <c r="C857">
        <f>IF(往来单位!$B$289="","",TRIM(往来单位!$D$289&amp;""))</f>
      </c>
      <c r="D857">
        <f>往来单位!$B$289&amp;""</f>
      </c>
      <c r="T857">
        <f>IF(C857="",0,LEN(C857)*10000+9143)</f>
        <v>0</v>
      </c>
      <c r="U857">
        <f>IF(LARGE($T$1:$T$900,857)=0,0,MATCH(LARGE($T$1:$T$900,857),$T$1:$T$900,0))</f>
        <v>0</v>
      </c>
      <c r="V857">
        <f t="shared" si="62"/>
      </c>
      <c r="W857">
        <f t="shared" si="63"/>
      </c>
    </row>
    <row r="858">
      <c r="C858">
        <f>IF(往来单位!$B$289="","",TRIM(往来单位!$E$289&amp;""))</f>
      </c>
      <c r="D858">
        <f>往来单位!$B$289&amp;""</f>
      </c>
      <c r="T858">
        <f>IF(C858="",0,LEN(C858)*10000+9142)</f>
        <v>0</v>
      </c>
      <c r="U858">
        <f>IF(LARGE($T$1:$T$900,858)=0,0,MATCH(LARGE($T$1:$T$900,858),$T$1:$T$900,0))</f>
        <v>0</v>
      </c>
      <c r="V858">
        <f t="shared" si="62"/>
      </c>
      <c r="W858">
        <f t="shared" si="63"/>
      </c>
    </row>
    <row r="859">
      <c r="C859">
        <f>IF(往来单位!$B$290="","",TRIM(往来单位!$B$290&amp;""))</f>
      </c>
      <c r="D859">
        <f>往来单位!$B$290&amp;""</f>
      </c>
      <c r="T859">
        <f>IF(C859="",0,LEN(C859)*10000+9141)</f>
        <v>0</v>
      </c>
      <c r="U859">
        <f>IF(LARGE($T$1:$T$900,859)=0,0,MATCH(LARGE($T$1:$T$900,859),$T$1:$T$900,0))</f>
        <v>0</v>
      </c>
      <c r="V859">
        <f t="shared" si="62"/>
      </c>
      <c r="W859">
        <f t="shared" si="63"/>
      </c>
    </row>
    <row r="860">
      <c r="C860">
        <f>IF(往来单位!$B$290="","",TRIM(往来单位!$D$290&amp;""))</f>
      </c>
      <c r="D860">
        <f>往来单位!$B$290&amp;""</f>
      </c>
      <c r="T860">
        <f>IF(C860="",0,LEN(C860)*10000+9140)</f>
        <v>0</v>
      </c>
      <c r="U860">
        <f>IF(LARGE($T$1:$T$900,860)=0,0,MATCH(LARGE($T$1:$T$900,860),$T$1:$T$900,0))</f>
        <v>0</v>
      </c>
      <c r="V860">
        <f t="shared" si="62"/>
      </c>
      <c r="W860">
        <f t="shared" si="63"/>
      </c>
    </row>
    <row r="861">
      <c r="C861">
        <f>IF(往来单位!$B$290="","",TRIM(往来单位!$E$290&amp;""))</f>
      </c>
      <c r="D861">
        <f>往来单位!$B$290&amp;""</f>
      </c>
      <c r="T861">
        <f>IF(C861="",0,LEN(C861)*10000+9139)</f>
        <v>0</v>
      </c>
      <c r="U861">
        <f>IF(LARGE($T$1:$T$900,861)=0,0,MATCH(LARGE($T$1:$T$900,861),$T$1:$T$900,0))</f>
        <v>0</v>
      </c>
      <c r="V861">
        <f t="shared" si="62"/>
      </c>
      <c r="W861">
        <f t="shared" si="63"/>
      </c>
    </row>
    <row r="862">
      <c r="C862">
        <f>IF(往来单位!$B$291="","",TRIM(往来单位!$B$291&amp;""))</f>
      </c>
      <c r="D862">
        <f>往来单位!$B$291&amp;""</f>
      </c>
      <c r="T862">
        <f>IF(C862="",0,LEN(C862)*10000+9138)</f>
        <v>0</v>
      </c>
      <c r="U862">
        <f>IF(LARGE($T$1:$T$900,862)=0,0,MATCH(LARGE($T$1:$T$900,862),$T$1:$T$900,0))</f>
        <v>0</v>
      </c>
      <c r="V862">
        <f t="shared" si="62"/>
      </c>
      <c r="W862">
        <f t="shared" si="63"/>
      </c>
    </row>
    <row r="863">
      <c r="C863">
        <f>IF(往来单位!$B$291="","",TRIM(往来单位!$D$291&amp;""))</f>
      </c>
      <c r="D863">
        <f>往来单位!$B$291&amp;""</f>
      </c>
      <c r="T863">
        <f>IF(C863="",0,LEN(C863)*10000+9137)</f>
        <v>0</v>
      </c>
      <c r="U863">
        <f>IF(LARGE($T$1:$T$900,863)=0,0,MATCH(LARGE($T$1:$T$900,863),$T$1:$T$900,0))</f>
        <v>0</v>
      </c>
      <c r="V863">
        <f t="shared" si="62"/>
      </c>
      <c r="W863">
        <f t="shared" si="63"/>
      </c>
    </row>
    <row r="864">
      <c r="C864">
        <f>IF(往来单位!$B$291="","",TRIM(往来单位!$E$291&amp;""))</f>
      </c>
      <c r="D864">
        <f>往来单位!$B$291&amp;""</f>
      </c>
      <c r="T864">
        <f>IF(C864="",0,LEN(C864)*10000+9136)</f>
        <v>0</v>
      </c>
      <c r="U864">
        <f>IF(LARGE($T$1:$T$900,864)=0,0,MATCH(LARGE($T$1:$T$900,864),$T$1:$T$900,0))</f>
        <v>0</v>
      </c>
      <c r="V864">
        <f t="shared" si="62"/>
      </c>
      <c r="W864">
        <f t="shared" si="63"/>
      </c>
    </row>
    <row r="865">
      <c r="C865">
        <f>IF(往来单位!$B$292="","",TRIM(往来单位!$B$292&amp;""))</f>
      </c>
      <c r="D865">
        <f>往来单位!$B$292&amp;""</f>
      </c>
      <c r="T865">
        <f>IF(C865="",0,LEN(C865)*10000+9135)</f>
        <v>0</v>
      </c>
      <c r="U865">
        <f>IF(LARGE($T$1:$T$900,865)=0,0,MATCH(LARGE($T$1:$T$900,865),$T$1:$T$900,0))</f>
        <v>0</v>
      </c>
      <c r="V865">
        <f t="shared" si="62"/>
      </c>
      <c r="W865">
        <f t="shared" si="63"/>
      </c>
    </row>
    <row r="866">
      <c r="C866">
        <f>IF(往来单位!$B$292="","",TRIM(往来单位!$D$292&amp;""))</f>
      </c>
      <c r="D866">
        <f>往来单位!$B$292&amp;""</f>
      </c>
      <c r="T866">
        <f>IF(C866="",0,LEN(C866)*10000+9134)</f>
        <v>0</v>
      </c>
      <c r="U866">
        <f>IF(LARGE($T$1:$T$900,866)=0,0,MATCH(LARGE($T$1:$T$900,866),$T$1:$T$900,0))</f>
        <v>0</v>
      </c>
      <c r="V866">
        <f t="shared" si="62"/>
      </c>
      <c r="W866">
        <f t="shared" si="63"/>
      </c>
    </row>
    <row r="867">
      <c r="C867">
        <f>IF(往来单位!$B$292="","",TRIM(往来单位!$E$292&amp;""))</f>
      </c>
      <c r="D867">
        <f>往来单位!$B$292&amp;""</f>
      </c>
      <c r="T867">
        <f>IF(C867="",0,LEN(C867)*10000+9133)</f>
        <v>0</v>
      </c>
      <c r="U867">
        <f>IF(LARGE($T$1:$T$900,867)=0,0,MATCH(LARGE($T$1:$T$900,867),$T$1:$T$900,0))</f>
        <v>0</v>
      </c>
      <c r="V867">
        <f t="shared" si="62"/>
      </c>
      <c r="W867">
        <f t="shared" si="63"/>
      </c>
    </row>
    <row r="868">
      <c r="C868">
        <f>IF(往来单位!$B$293="","",TRIM(往来单位!$B$293&amp;""))</f>
      </c>
      <c r="D868">
        <f>往来单位!$B$293&amp;""</f>
      </c>
      <c r="T868">
        <f>IF(C868="",0,LEN(C868)*10000+9132)</f>
        <v>0</v>
      </c>
      <c r="U868">
        <f>IF(LARGE($T$1:$T$900,868)=0,0,MATCH(LARGE($T$1:$T$900,868),$T$1:$T$900,0))</f>
        <v>0</v>
      </c>
      <c r="V868">
        <f t="shared" si="62"/>
      </c>
      <c r="W868">
        <f t="shared" si="63"/>
      </c>
    </row>
    <row r="869">
      <c r="C869">
        <f>IF(往来单位!$B$293="","",TRIM(往来单位!$D$293&amp;""))</f>
      </c>
      <c r="D869">
        <f>往来单位!$B$293&amp;""</f>
      </c>
      <c r="T869">
        <f>IF(C869="",0,LEN(C869)*10000+9131)</f>
        <v>0</v>
      </c>
      <c r="U869">
        <f>IF(LARGE($T$1:$T$900,869)=0,0,MATCH(LARGE($T$1:$T$900,869),$T$1:$T$900,0))</f>
        <v>0</v>
      </c>
      <c r="V869">
        <f t="shared" si="62"/>
      </c>
      <c r="W869">
        <f t="shared" si="63"/>
      </c>
    </row>
    <row r="870">
      <c r="C870">
        <f>IF(往来单位!$B$293="","",TRIM(往来单位!$E$293&amp;""))</f>
      </c>
      <c r="D870">
        <f>往来单位!$B$293&amp;""</f>
      </c>
      <c r="T870">
        <f>IF(C870="",0,LEN(C870)*10000+9130)</f>
        <v>0</v>
      </c>
      <c r="U870">
        <f>IF(LARGE($T$1:$T$900,870)=0,0,MATCH(LARGE($T$1:$T$900,870),$T$1:$T$900,0))</f>
        <v>0</v>
      </c>
      <c r="V870">
        <f t="shared" si="62"/>
      </c>
      <c r="W870">
        <f t="shared" si="63"/>
      </c>
    </row>
    <row r="871">
      <c r="C871">
        <f>IF(往来单位!$B$294="","",TRIM(往来单位!$B$294&amp;""))</f>
      </c>
      <c r="D871">
        <f>往来单位!$B$294&amp;""</f>
      </c>
      <c r="T871">
        <f>IF(C871="",0,LEN(C871)*10000+9129)</f>
        <v>0</v>
      </c>
      <c r="U871">
        <f>IF(LARGE($T$1:$T$900,871)=0,0,MATCH(LARGE($T$1:$T$900,871),$T$1:$T$900,0))</f>
        <v>0</v>
      </c>
      <c r="V871">
        <f t="shared" si="62"/>
      </c>
      <c r="W871">
        <f t="shared" si="63"/>
      </c>
    </row>
    <row r="872">
      <c r="C872">
        <f>IF(往来单位!$B$294="","",TRIM(往来单位!$D$294&amp;""))</f>
      </c>
      <c r="D872">
        <f>往来单位!$B$294&amp;""</f>
      </c>
      <c r="T872">
        <f>IF(C872="",0,LEN(C872)*10000+9128)</f>
        <v>0</v>
      </c>
      <c r="U872">
        <f>IF(LARGE($T$1:$T$900,872)=0,0,MATCH(LARGE($T$1:$T$900,872),$T$1:$T$900,0))</f>
        <v>0</v>
      </c>
      <c r="V872">
        <f t="shared" si="62"/>
      </c>
      <c r="W872">
        <f t="shared" si="63"/>
      </c>
    </row>
    <row r="873">
      <c r="C873">
        <f>IF(往来单位!$B$294="","",TRIM(往来单位!$E$294&amp;""))</f>
      </c>
      <c r="D873">
        <f>往来单位!$B$294&amp;""</f>
      </c>
      <c r="T873">
        <f>IF(C873="",0,LEN(C873)*10000+9127)</f>
        <v>0</v>
      </c>
      <c r="U873">
        <f>IF(LARGE($T$1:$T$900,873)=0,0,MATCH(LARGE($T$1:$T$900,873),$T$1:$T$900,0))</f>
        <v>0</v>
      </c>
      <c r="V873">
        <f t="shared" si="62"/>
      </c>
      <c r="W873">
        <f t="shared" si="63"/>
      </c>
    </row>
    <row r="874">
      <c r="C874">
        <f>IF(往来单位!$B$295="","",TRIM(往来单位!$B$295&amp;""))</f>
      </c>
      <c r="D874">
        <f>往来单位!$B$295&amp;""</f>
      </c>
      <c r="T874">
        <f>IF(C874="",0,LEN(C874)*10000+9126)</f>
        <v>0</v>
      </c>
      <c r="U874">
        <f>IF(LARGE($T$1:$T$900,874)=0,0,MATCH(LARGE($T$1:$T$900,874),$T$1:$T$900,0))</f>
        <v>0</v>
      </c>
      <c r="V874">
        <f t="shared" si="62"/>
      </c>
      <c r="W874">
        <f t="shared" si="63"/>
      </c>
    </row>
    <row r="875">
      <c r="C875">
        <f>IF(往来单位!$B$295="","",TRIM(往来单位!$D$295&amp;""))</f>
      </c>
      <c r="D875">
        <f>往来单位!$B$295&amp;""</f>
      </c>
      <c r="T875">
        <f>IF(C875="",0,LEN(C875)*10000+9125)</f>
        <v>0</v>
      </c>
      <c r="U875">
        <f>IF(LARGE($T$1:$T$900,875)=0,0,MATCH(LARGE($T$1:$T$900,875),$T$1:$T$900,0))</f>
        <v>0</v>
      </c>
      <c r="V875">
        <f t="shared" si="62"/>
      </c>
      <c r="W875">
        <f t="shared" si="63"/>
      </c>
    </row>
    <row r="876">
      <c r="C876">
        <f>IF(往来单位!$B$295="","",TRIM(往来单位!$E$295&amp;""))</f>
      </c>
      <c r="D876">
        <f>往来单位!$B$295&amp;""</f>
      </c>
      <c r="T876">
        <f>IF(C876="",0,LEN(C876)*10000+9124)</f>
        <v>0</v>
      </c>
      <c r="U876">
        <f>IF(LARGE($T$1:$T$900,876)=0,0,MATCH(LARGE($T$1:$T$900,876),$T$1:$T$900,0))</f>
        <v>0</v>
      </c>
      <c r="V876">
        <f t="shared" si="62"/>
      </c>
      <c r="W876">
        <f t="shared" si="63"/>
      </c>
    </row>
    <row r="877">
      <c r="C877">
        <f>IF(往来单位!$B$296="","",TRIM(往来单位!$B$296&amp;""))</f>
      </c>
      <c r="D877">
        <f>往来单位!$B$296&amp;""</f>
      </c>
      <c r="T877">
        <f>IF(C877="",0,LEN(C877)*10000+9123)</f>
        <v>0</v>
      </c>
      <c r="U877">
        <f>IF(LARGE($T$1:$T$900,877)=0,0,MATCH(LARGE($T$1:$T$900,877),$T$1:$T$900,0))</f>
        <v>0</v>
      </c>
      <c r="V877">
        <f t="shared" si="62"/>
      </c>
      <c r="W877">
        <f t="shared" si="63"/>
      </c>
    </row>
    <row r="878">
      <c r="C878">
        <f>IF(往来单位!$B$296="","",TRIM(往来单位!$D$296&amp;""))</f>
      </c>
      <c r="D878">
        <f>往来单位!$B$296&amp;""</f>
      </c>
      <c r="T878">
        <f>IF(C878="",0,LEN(C878)*10000+9122)</f>
        <v>0</v>
      </c>
      <c r="U878">
        <f>IF(LARGE($T$1:$T$900,878)=0,0,MATCH(LARGE($T$1:$T$900,878),$T$1:$T$900,0))</f>
        <v>0</v>
      </c>
      <c r="V878">
        <f t="shared" si="62"/>
      </c>
      <c r="W878">
        <f t="shared" si="63"/>
      </c>
    </row>
    <row r="879">
      <c r="C879">
        <f>IF(往来单位!$B$296="","",TRIM(往来单位!$E$296&amp;""))</f>
      </c>
      <c r="D879">
        <f>往来单位!$B$296&amp;""</f>
      </c>
      <c r="T879">
        <f>IF(C879="",0,LEN(C879)*10000+9121)</f>
        <v>0</v>
      </c>
      <c r="U879">
        <f>IF(LARGE($T$1:$T$900,879)=0,0,MATCH(LARGE($T$1:$T$900,879),$T$1:$T$900,0))</f>
        <v>0</v>
      </c>
      <c r="V879">
        <f t="shared" si="62"/>
      </c>
      <c r="W879">
        <f t="shared" si="63"/>
      </c>
    </row>
    <row r="880">
      <c r="C880">
        <f>IF(往来单位!$B$297="","",TRIM(往来单位!$B$297&amp;""))</f>
      </c>
      <c r="D880">
        <f>往来单位!$B$297&amp;""</f>
      </c>
      <c r="T880">
        <f>IF(C880="",0,LEN(C880)*10000+9120)</f>
        <v>0</v>
      </c>
      <c r="U880">
        <f>IF(LARGE($T$1:$T$900,880)=0,0,MATCH(LARGE($T$1:$T$900,880),$T$1:$T$900,0))</f>
        <v>0</v>
      </c>
      <c r="V880">
        <f t="shared" si="62"/>
      </c>
      <c r="W880">
        <f t="shared" si="63"/>
      </c>
    </row>
    <row r="881">
      <c r="C881">
        <f>IF(往来单位!$B$297="","",TRIM(往来单位!$D$297&amp;""))</f>
      </c>
      <c r="D881">
        <f>往来单位!$B$297&amp;""</f>
      </c>
      <c r="T881">
        <f>IF(C881="",0,LEN(C881)*10000+9119)</f>
        <v>0</v>
      </c>
      <c r="U881">
        <f>IF(LARGE($T$1:$T$900,881)=0,0,MATCH(LARGE($T$1:$T$900,881),$T$1:$T$900,0))</f>
        <v>0</v>
      </c>
      <c r="V881">
        <f t="shared" si="62"/>
      </c>
      <c r="W881">
        <f t="shared" si="63"/>
      </c>
    </row>
    <row r="882">
      <c r="C882">
        <f>IF(往来单位!$B$297="","",TRIM(往来单位!$E$297&amp;""))</f>
      </c>
      <c r="D882">
        <f>往来单位!$B$297&amp;""</f>
      </c>
      <c r="T882">
        <f>IF(C882="",0,LEN(C882)*10000+9118)</f>
        <v>0</v>
      </c>
      <c r="U882">
        <f>IF(LARGE($T$1:$T$900,882)=0,0,MATCH(LARGE($T$1:$T$900,882),$T$1:$T$900,0))</f>
        <v>0</v>
      </c>
      <c r="V882">
        <f t="shared" si="62"/>
      </c>
      <c r="W882">
        <f t="shared" si="63"/>
      </c>
    </row>
    <row r="883">
      <c r="C883">
        <f>IF(往来单位!$B$298="","",TRIM(往来单位!$B$298&amp;""))</f>
      </c>
      <c r="D883">
        <f>往来单位!$B$298&amp;""</f>
      </c>
      <c r="T883">
        <f>IF(C883="",0,LEN(C883)*10000+9117)</f>
        <v>0</v>
      </c>
      <c r="U883">
        <f>IF(LARGE($T$1:$T$900,883)=0,0,MATCH(LARGE($T$1:$T$900,883),$T$1:$T$900,0))</f>
        <v>0</v>
      </c>
      <c r="V883">
        <f t="shared" si="62"/>
      </c>
      <c r="W883">
        <f t="shared" si="63"/>
      </c>
    </row>
    <row r="884">
      <c r="C884">
        <f>IF(往来单位!$B$298="","",TRIM(往来单位!$D$298&amp;""))</f>
      </c>
      <c r="D884">
        <f>往来单位!$B$298&amp;""</f>
      </c>
      <c r="T884">
        <f>IF(C884="",0,LEN(C884)*10000+9116)</f>
        <v>0</v>
      </c>
      <c r="U884">
        <f>IF(LARGE($T$1:$T$900,884)=0,0,MATCH(LARGE($T$1:$T$900,884),$T$1:$T$900,0))</f>
        <v>0</v>
      </c>
      <c r="V884">
        <f t="shared" si="62"/>
      </c>
      <c r="W884">
        <f t="shared" si="63"/>
      </c>
    </row>
    <row r="885">
      <c r="C885">
        <f>IF(往来单位!$B$298="","",TRIM(往来单位!$E$298&amp;""))</f>
      </c>
      <c r="D885">
        <f>往来单位!$B$298&amp;""</f>
      </c>
      <c r="T885">
        <f>IF(C885="",0,LEN(C885)*10000+9115)</f>
        <v>0</v>
      </c>
      <c r="U885">
        <f>IF(LARGE($T$1:$T$900,885)=0,0,MATCH(LARGE($T$1:$T$900,885),$T$1:$T$900,0))</f>
        <v>0</v>
      </c>
      <c r="V885">
        <f t="shared" si="62"/>
      </c>
      <c r="W885">
        <f t="shared" si="63"/>
      </c>
    </row>
    <row r="886">
      <c r="C886">
        <f>IF(往来单位!$B$299="","",TRIM(往来单位!$B$299&amp;""))</f>
      </c>
      <c r="D886">
        <f>往来单位!$B$299&amp;""</f>
      </c>
      <c r="T886">
        <f>IF(C886="",0,LEN(C886)*10000+9114)</f>
        <v>0</v>
      </c>
      <c r="U886">
        <f>IF(LARGE($T$1:$T$900,886)=0,0,MATCH(LARGE($T$1:$T$900,886),$T$1:$T$900,0))</f>
        <v>0</v>
      </c>
      <c r="V886">
        <f t="shared" si="62"/>
      </c>
      <c r="W886">
        <f t="shared" si="63"/>
      </c>
    </row>
    <row r="887">
      <c r="C887">
        <f>IF(往来单位!$B$299="","",TRIM(往来单位!$D$299&amp;""))</f>
      </c>
      <c r="D887">
        <f>往来单位!$B$299&amp;""</f>
      </c>
      <c r="T887">
        <f>IF(C887="",0,LEN(C887)*10000+9113)</f>
        <v>0</v>
      </c>
      <c r="U887">
        <f>IF(LARGE($T$1:$T$900,887)=0,0,MATCH(LARGE($T$1:$T$900,887),$T$1:$T$900,0))</f>
        <v>0</v>
      </c>
      <c r="V887">
        <f t="shared" si="62"/>
      </c>
      <c r="W887">
        <f t="shared" si="63"/>
      </c>
    </row>
    <row r="888">
      <c r="C888">
        <f>IF(往来单位!$B$299="","",TRIM(往来单位!$E$299&amp;""))</f>
      </c>
      <c r="D888">
        <f>往来单位!$B$299&amp;""</f>
      </c>
      <c r="T888">
        <f>IF(C888="",0,LEN(C888)*10000+9112)</f>
        <v>0</v>
      </c>
      <c r="U888">
        <f>IF(LARGE($T$1:$T$900,888)=0,0,MATCH(LARGE($T$1:$T$900,888),$T$1:$T$900,0))</f>
        <v>0</v>
      </c>
      <c r="V888">
        <f t="shared" si="62"/>
      </c>
      <c r="W888">
        <f t="shared" si="63"/>
      </c>
    </row>
    <row r="889">
      <c r="C889">
        <f>IF(往来单位!$B$300="","",TRIM(往来单位!$B$300&amp;""))</f>
      </c>
      <c r="D889">
        <f>往来单位!$B$300&amp;""</f>
      </c>
      <c r="T889">
        <f>IF(C889="",0,LEN(C889)*10000+9111)</f>
        <v>0</v>
      </c>
      <c r="U889">
        <f>IF(LARGE($T$1:$T$900,889)=0,0,MATCH(LARGE($T$1:$T$900,889),$T$1:$T$900,0))</f>
        <v>0</v>
      </c>
      <c r="V889">
        <f t="shared" si="62"/>
      </c>
      <c r="W889">
        <f t="shared" si="63"/>
      </c>
    </row>
    <row r="890">
      <c r="C890">
        <f>IF(往来单位!$B$300="","",TRIM(往来单位!$D$300&amp;""))</f>
      </c>
      <c r="D890">
        <f>往来单位!$B$300&amp;""</f>
      </c>
      <c r="T890">
        <f>IF(C890="",0,LEN(C890)*10000+9110)</f>
        <v>0</v>
      </c>
      <c r="U890">
        <f>IF(LARGE($T$1:$T$900,890)=0,0,MATCH(LARGE($T$1:$T$900,890),$T$1:$T$900,0))</f>
        <v>0</v>
      </c>
      <c r="V890">
        <f t="shared" si="62"/>
      </c>
      <c r="W890">
        <f t="shared" si="63"/>
      </c>
    </row>
    <row r="891">
      <c r="C891">
        <f>IF(往来单位!$B$300="","",TRIM(往来单位!$E$300&amp;""))</f>
      </c>
      <c r="D891">
        <f>往来单位!$B$300&amp;""</f>
      </c>
      <c r="T891">
        <f>IF(C891="",0,LEN(C891)*10000+9109)</f>
        <v>0</v>
      </c>
      <c r="U891">
        <f>IF(LARGE($T$1:$T$900,891)=0,0,MATCH(LARGE($T$1:$T$900,891),$T$1:$T$900,0))</f>
        <v>0</v>
      </c>
      <c r="V891">
        <f t="shared" si="62"/>
      </c>
      <c r="W891">
        <f t="shared" si="63"/>
      </c>
    </row>
    <row r="892">
      <c r="C892">
        <f>IF(往来单位!$B$301="","",TRIM(往来单位!$B$301&amp;""))</f>
      </c>
      <c r="D892">
        <f>往来单位!$B$301&amp;""</f>
      </c>
      <c r="T892">
        <f>IF(C892="",0,LEN(C892)*10000+9108)</f>
        <v>0</v>
      </c>
      <c r="U892">
        <f>IF(LARGE($T$1:$T$900,892)=0,0,MATCH(LARGE($T$1:$T$900,892),$T$1:$T$900,0))</f>
        <v>0</v>
      </c>
      <c r="V892">
        <f t="shared" si="62"/>
      </c>
      <c r="W892">
        <f t="shared" si="63"/>
      </c>
    </row>
    <row r="893">
      <c r="C893">
        <f>IF(往来单位!$B$301="","",TRIM(往来单位!$D$301&amp;""))</f>
      </c>
      <c r="D893">
        <f>往来单位!$B$301&amp;""</f>
      </c>
      <c r="T893">
        <f>IF(C893="",0,LEN(C893)*10000+9107)</f>
        <v>0</v>
      </c>
      <c r="U893">
        <f>IF(LARGE($T$1:$T$900,893)=0,0,MATCH(LARGE($T$1:$T$900,893),$T$1:$T$900,0))</f>
        <v>0</v>
      </c>
      <c r="V893">
        <f t="shared" si="62"/>
      </c>
      <c r="W893">
        <f t="shared" si="63"/>
      </c>
    </row>
    <row r="894">
      <c r="C894">
        <f>IF(往来单位!$B$301="","",TRIM(往来单位!$E$301&amp;""))</f>
      </c>
      <c r="D894">
        <f>往来单位!$B$301&amp;""</f>
      </c>
      <c r="T894">
        <f>IF(C894="",0,LEN(C894)*10000+9106)</f>
        <v>0</v>
      </c>
      <c r="U894">
        <f>IF(LARGE($T$1:$T$900,894)=0,0,MATCH(LARGE($T$1:$T$900,894),$T$1:$T$900,0))</f>
        <v>0</v>
      </c>
      <c r="V894">
        <f t="shared" si="62"/>
      </c>
      <c r="W894">
        <f t="shared" si="63"/>
      </c>
    </row>
    <row r="895">
      <c r="C895">
        <f>IF(往来单位!$B$302="","",TRIM(往来单位!$B$302&amp;""))</f>
      </c>
      <c r="D895">
        <f>往来单位!$B$302&amp;""</f>
      </c>
      <c r="T895">
        <f>IF(C895="",0,LEN(C895)*10000+9105)</f>
        <v>0</v>
      </c>
      <c r="U895">
        <f>IF(LARGE($T$1:$T$900,895)=0,0,MATCH(LARGE($T$1:$T$900,895),$T$1:$T$900,0))</f>
        <v>0</v>
      </c>
      <c r="V895">
        <f t="shared" si="62"/>
      </c>
      <c r="W895">
        <f t="shared" si="63"/>
      </c>
    </row>
    <row r="896">
      <c r="C896">
        <f>IF(往来单位!$B$302="","",TRIM(往来单位!$D$302&amp;""))</f>
      </c>
      <c r="D896">
        <f>往来单位!$B$302&amp;""</f>
      </c>
      <c r="T896">
        <f>IF(C896="",0,LEN(C896)*10000+9104)</f>
        <v>0</v>
      </c>
      <c r="U896">
        <f>IF(LARGE($T$1:$T$900,896)=0,0,MATCH(LARGE($T$1:$T$900,896),$T$1:$T$900,0))</f>
        <v>0</v>
      </c>
      <c r="V896">
        <f t="shared" si="62"/>
      </c>
      <c r="W896">
        <f t="shared" si="63"/>
      </c>
    </row>
    <row r="897">
      <c r="C897">
        <f>IF(往来单位!$B$302="","",TRIM(往来单位!$E$302&amp;""))</f>
      </c>
      <c r="D897">
        <f>往来单位!$B$302&amp;""</f>
      </c>
      <c r="T897">
        <f>IF(C897="",0,LEN(C897)*10000+9103)</f>
        <v>0</v>
      </c>
      <c r="U897">
        <f>IF(LARGE($T$1:$T$900,897)=0,0,MATCH(LARGE($T$1:$T$900,897),$T$1:$T$900,0))</f>
        <v>0</v>
      </c>
      <c r="V897">
        <f t="shared" si="62"/>
      </c>
      <c r="W897">
        <f t="shared" si="63"/>
      </c>
    </row>
    <row r="898">
      <c r="C898">
        <f>IF(往来单位!$B$303="","",TRIM(往来单位!$B$303&amp;""))</f>
      </c>
      <c r="D898">
        <f>往来单位!$B$303&amp;""</f>
      </c>
      <c r="T898">
        <f>IF(C898="",0,LEN(C898)*10000+9102)</f>
        <v>0</v>
      </c>
      <c r="U898">
        <f>IF(LARGE($T$1:$T$900,898)=0,0,MATCH(LARGE($T$1:$T$900,898),$T$1:$T$900,0))</f>
        <v>0</v>
      </c>
      <c r="V898">
        <f t="shared" si="62"/>
      </c>
      <c r="W898">
        <f t="shared" si="63"/>
      </c>
    </row>
    <row r="899">
      <c r="C899">
        <f>IF(往来单位!$B$303="","",TRIM(往来单位!$D$303&amp;""))</f>
      </c>
      <c r="D899">
        <f>往来单位!$B$303&amp;""</f>
      </c>
      <c r="T899">
        <f>IF(C899="",0,LEN(C899)*10000+9101)</f>
        <v>0</v>
      </c>
      <c r="U899">
        <f>IF(LARGE($T$1:$T$900,899)=0,0,MATCH(LARGE($T$1:$T$900,899),$T$1:$T$900,0))</f>
        <v>0</v>
      </c>
      <c r="V899">
        <f t="shared" si="62"/>
      </c>
      <c r="W899">
        <f t="shared" si="63"/>
      </c>
    </row>
    <row r="900">
      <c r="C900">
        <f>IF(往来单位!$B$303="","",TRIM(往来单位!$E$303&amp;""))</f>
      </c>
      <c r="D900">
        <f>往来单位!$B$303&amp;""</f>
      </c>
      <c r="T900">
        <f>IF(C900="",0,LEN(C900)*10000+9100)</f>
        <v>0</v>
      </c>
      <c r="U900">
        <f>IF(LARGE($T$1:$T$900,900)=0,0,MATCH(LARGE($T$1:$T$900,900),$T$1:$T$900,0))</f>
        <v>0</v>
      </c>
      <c r="V900">
        <f t="shared" si="62"/>
      </c>
      <c r="W900">
        <f t="shared" si="63"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2026-09-30T15:03:02Z</dcterms:created>
  <dcterms:modified xmlns:dcterms="http://purl.org/dc/terms/" xmlns:xsi="http://www.w3.org/2001/XMLSchema-instance" xsi:type="dcterms:W3CDTF">2026-09-30T15:03:19Z</dcterms:modified>
</cp:coreProperties>
</file>